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7.xml" ContentType="application/vnd.openxmlformats-officedocument.drawingml.chart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Eingaben" sheetId="2" state="visible" r:id="rId4"/>
    <sheet name="Nutzungsprofile" sheetId="3" state="visible" r:id="rId5"/>
    <sheet name="Kalender" sheetId="4" state="visible" r:id="rId6"/>
    <sheet name="Schwellenwerte" sheetId="5" state="visible" r:id="rId7"/>
    <sheet name="Wasserbilanz" sheetId="6" state="visible" r:id="rId8"/>
    <sheet name="Zahlungen" sheetId="7" state="visible" r:id="rId9"/>
    <sheet name="Berechnung" sheetId="8" state="visible" r:id="rId10"/>
    <sheet name="Szenarien" sheetId="9" state="visible" r:id="rId11"/>
    <sheet name="Variantenbilanz" sheetId="10" state="visible" r:id="rId12"/>
    <sheet name="VariantenCF" sheetId="11" state="visible" r:id="rId13"/>
    <sheet name="KPI_Katalog" sheetId="12" state="visible" r:id="rId14"/>
    <sheet name="Prüfungen" sheetId="13" state="visible" r:id="rId15"/>
    <sheet name="Nutzertest" sheetId="14" state="visible" r:id="rId16"/>
    <sheet name="Testauswertung" sheetId="15" state="visible" r:id="rId17"/>
    <sheet name="Anleitung" sheetId="16" state="visible" r:id="rId18"/>
  </sheets>
  <definedNames>
    <definedName function="false" hidden="false" localSheetId="15" name="_xlnm.Print_Area" vbProcedure="false">Anleitung!$A$1:$F$19</definedName>
    <definedName function="false" hidden="false" localSheetId="7" name="_xlnm.Print_Area" vbProcedure="false">Berechnung!$A$1:$D$43</definedName>
    <definedName function="false" hidden="false" localSheetId="0" name="_xlnm.Print_Area" vbProcedure="false">Dashboard!$A$1:$L$63</definedName>
    <definedName function="false" hidden="false" localSheetId="1" name="_xlnm.Print_Area" vbProcedure="false">Eingaben!$A$1:$D$48</definedName>
    <definedName function="false" hidden="false" localSheetId="3" name="_xlnm.Print_Area" vbProcedure="false">Kalender!$A$1:$G$40</definedName>
    <definedName function="false" hidden="true" localSheetId="3" name="_xlnm._FilterDatabase" vbProcedure="false">Kalender!$A$4:$G$370</definedName>
    <definedName function="false" hidden="false" localSheetId="11" name="_xlnm.Print_Area" vbProcedure="false">KPI_Katalog!$A$1:$H$16</definedName>
    <definedName function="false" hidden="true" localSheetId="11" name="_xlnm._FilterDatabase" vbProcedure="false">KPI_Katalog!$A$4:$H$16</definedName>
    <definedName function="false" hidden="false" localSheetId="13" name="_xlnm.Print_Area" vbProcedure="false">Nutzertest!$A$1:$R$15</definedName>
    <definedName function="false" hidden="false" localSheetId="2" name="_xlnm.Print_Area" vbProcedure="false">Nutzungsprofile!$A$1:$J$26</definedName>
    <definedName function="false" hidden="true" localSheetId="2" name="_xlnm._FilterDatabase" vbProcedure="false">Nutzungsprofile!$A$5:$J$11</definedName>
    <definedName function="false" hidden="false" localSheetId="12" name="_xlnm.Print_Area" vbProcedure="false">Prüfungen!$A$1:$E$54</definedName>
    <definedName function="false" hidden="true" localSheetId="12" name="_xlnm._FilterDatabase" vbProcedure="false">Prüfungen!$A$6:$E$54</definedName>
    <definedName function="false" hidden="false" localSheetId="4" name="_xlnm.Print_Area" vbProcedure="false">Schwellenwerte!$A$1:$E$22</definedName>
    <definedName function="false" hidden="false" localSheetId="8" name="_xlnm.Print_Area" vbProcedure="false">Szenarien!$A$1:$P$54</definedName>
    <definedName function="false" hidden="false" localSheetId="14" name="_xlnm.Print_Area" vbProcedure="false">Testauswertung!$A$1:$L$49</definedName>
    <definedName function="false" hidden="false" localSheetId="9" name="_xlnm.Print_Area" vbProcedure="false">Variantenbilanz!$A$1:$N$25</definedName>
    <definedName function="false" hidden="false" localSheetId="10" name="_xlnm.Print_Area" vbProcedure="false">VariantenCF!$A$1:$K$25</definedName>
    <definedName function="false" hidden="false" localSheetId="5" name="_xlnm.Print_Area" vbProcedure="false">Wasserbilanz!$A$1:$Q$25</definedName>
    <definedName function="false" hidden="true" localSheetId="5" name="_xlnm._FilterDatabase" vbProcedure="false">Wasserbilanz!$A$4:$Q$370</definedName>
    <definedName function="false" hidden="false" localSheetId="6" name="_xlnm.Print_Area" vbProcedure="false">Zahlungen!$A$1:$M$28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<sst xmlns="http://schemas.openxmlformats.org/spreadsheetml/2006/main" count="991" uniqueCount="688">
  <si>
    <t xml:space="preserve">GRAUWASSER · Bewertungsdashboard</t>
  </si>
  <si>
    <t xml:space="preserve">Dashboard</t>
  </si>
  <si>
    <t xml:space="preserve">Eingaben</t>
  </si>
  <si>
    <t xml:space="preserve">Profile</t>
  </si>
  <si>
    <t xml:space="preserve">Kalender</t>
  </si>
  <si>
    <t xml:space="preserve">Methodik</t>
  </si>
  <si>
    <t xml:space="preserve">Wissenschaftlicher Excel-Prototyp · makrofrei · Eingaben blau · Ampelschwellen vorläufig · keine Freigabe</t>
  </si>
  <si>
    <t xml:space="preserve">Projekt</t>
  </si>
  <si>
    <t xml:space="preserve">Gebäudetyp</t>
  </si>
  <si>
    <t xml:space="preserve">Grauwasseranfall</t>
  </si>
  <si>
    <t xml:space="preserve">Betriebswasserbedarf</t>
  </si>
  <si>
    <t xml:space="preserve">Nutzbar / Trinkwasser gespart</t>
  </si>
  <si>
    <t xml:space="preserve">Trinkwassereinsparquote</t>
  </si>
  <si>
    <t xml:space="preserve">Gesamtinvestition</t>
  </si>
  <si>
    <t xml:space="preserve">Betriebskosten Jahr 1</t>
  </si>
  <si>
    <t xml:space="preserve">Vermiedene Kosten Jahr 1</t>
  </si>
  <si>
    <t xml:space="preserve">Netto-Cashflow Jahr 1</t>
  </si>
  <si>
    <t xml:space="preserve">Statische Amortisation</t>
  </si>
  <si>
    <t xml:space="preserve">Dynamische Amortisation</t>
  </si>
  <si>
    <t xml:space="preserve">Kapitalwert</t>
  </si>
  <si>
    <t xml:space="preserve">Deckungsgrad</t>
  </si>
  <si>
    <t xml:space="preserve">Ökonomie</t>
  </si>
  <si>
    <t xml:space="preserve">Ressourcen</t>
  </si>
  <si>
    <t xml:space="preserve">Gesamtbewertung</t>
  </si>
  <si>
    <t xml:space="preserve">Wasserbilanz</t>
  </si>
  <si>
    <t xml:space="preserve">m³/a</t>
  </si>
  <si>
    <t xml:space="preserve">Rohgrauwasser</t>
  </si>
  <si>
    <t xml:space="preserve">Aufbereitet</t>
  </si>
  <si>
    <t xml:space="preserve">Wiederverwendung</t>
  </si>
  <si>
    <t xml:space="preserve">Betriebsbedarf</t>
  </si>
  <si>
    <t xml:space="preserve">Nachspeisung</t>
  </si>
  <si>
    <t xml:space="preserve">Jahr</t>
  </si>
  <si>
    <t xml:space="preserve">Cashflow €</t>
  </si>
  <si>
    <t xml:space="preserve">Kumuliert diskontiert €</t>
  </si>
  <si>
    <t xml:space="preserve">Anleitung → Eingaben → Profile → Kalender → Nachweise → Dashboard → Szenarien. Tabellen rechts liefern Diagrammdaten.</t>
  </si>
  <si>
    <t xml:space="preserve">Projekt &amp; Anlage</t>
  </si>
  <si>
    <t xml:space="preserve">Blaue Felder bearbeiten · RECHENBEISPIEL, nicht vermessene Projektwerte</t>
  </si>
  <si>
    <t xml:space="preserve">01  Projekt</t>
  </si>
  <si>
    <t xml:space="preserve">Projektname</t>
  </si>
  <si>
    <t xml:space="preserve">OGS mit Sporthalle – RECHENBEISPIEL</t>
  </si>
  <si>
    <t xml:space="preserve">–</t>
  </si>
  <si>
    <t xml:space="preserve">Bezeichnung für Dashboard und Dokumentation.</t>
  </si>
  <si>
    <t xml:space="preserve">Offene Ganztagsschule mit Sporthalle</t>
  </si>
  <si>
    <t xml:space="preserve">Nutzergruppen separat in Nutzungsprofile erfassen.</t>
  </si>
  <si>
    <t xml:space="preserve">Standort</t>
  </si>
  <si>
    <t xml:space="preserve">Beispielstandort – keine realen Projektdaten</t>
  </si>
  <si>
    <t xml:space="preserve">Gebührenbescheid und tatsächlichen Ferienkalender prüfen.</t>
  </si>
  <si>
    <t xml:space="preserve">Geplante Anlage</t>
  </si>
  <si>
    <t xml:space="preserve">Modellanlage – Herstellerdaten ergänzen</t>
  </si>
  <si>
    <t xml:space="preserve">Kapazität, Energie und Verluste mit Hersteller-/Messdaten belegen.</t>
  </si>
  <si>
    <t xml:space="preserve">Nutzer im Referenzprojekt</t>
  </si>
  <si>
    <t xml:space="preserve">Personen</t>
  </si>
  <si>
    <t xml:space="preserve">Informative Bezugsgröße; Profile dürfen Teil-/Fremdnutzer abbilden.</t>
  </si>
  <si>
    <t xml:space="preserve">Bilanzjahr</t>
  </si>
  <si>
    <t xml:space="preserve">Bei Jahreswechsel Kalenderflaggen kontrollieren; keine automatische Ferienerkennung.</t>
  </si>
  <si>
    <t xml:space="preserve">Betrachtungszeitraum</t>
  </si>
  <si>
    <t xml:space="preserve">Jahre</t>
  </si>
  <si>
    <t xml:space="preserve">1–50; Kalenderjahr wird für alle Betriebsjahre wiederholt.</t>
  </si>
  <si>
    <t xml:space="preserve">Sonstiger Trinkwasserbedarf</t>
  </si>
  <si>
    <t xml:space="preserve">Baseline außerhalb erfasster Betriebswassernutzungen; keine Doppelzählung.</t>
  </si>
  <si>
    <t xml:space="preserve">02  Anlage, Speicher &amp; Nachweise</t>
  </si>
  <si>
    <t xml:space="preserve">Aufbereitungsausbeute</t>
  </si>
  <si>
    <t xml:space="preserve">%</t>
  </si>
  <si>
    <t xml:space="preserve">Aufbereitet / verarbeitet. Kein garantierter Herstellerwert.</t>
  </si>
  <si>
    <t xml:space="preserve">Betriebsverfügbarkeit</t>
  </si>
  <si>
    <t xml:space="preserve">Pauschaler Tagesfaktor auf min(Rohwasser, Kapazität); kein Ausfallkalender.</t>
  </si>
  <si>
    <t xml:space="preserve">Rohwasser-Aufbereitungskapazität</t>
  </si>
  <si>
    <t xml:space="preserve">m³/d</t>
  </si>
  <si>
    <t xml:space="preserve">Maximale verarbeitbare Rohwassermenge je Tag vor Verfügbarkeitsfaktor.</t>
  </si>
  <si>
    <t xml:space="preserve">Nutzbares Speichervolumen</t>
  </si>
  <si>
    <t xml:space="preserve">m³</t>
  </si>
  <si>
    <t xml:space="preserve">Modell: frischer Tagesrest für genau den Folgetag; alte Reste werden verworfen.</t>
  </si>
  <si>
    <t xml:space="preserve">Direkt nutzbarer Tagesanteil</t>
  </si>
  <si>
    <t xml:space="preserve">Vereinfachte zeitliche Übereinstimmung; mit Stundenprofilen validieren.</t>
  </si>
  <si>
    <t xml:space="preserve">Verlust bei Tagesübertrag</t>
  </si>
  <si>
    <t xml:space="preserve">Volumetrischer Verlust, keine hygienische Inaktivierungsrate.</t>
  </si>
  <si>
    <t xml:space="preserve">Hygienische Nachweise</t>
  </si>
  <si>
    <t xml:space="preserve">Ungeklärt</t>
  </si>
  <si>
    <t xml:space="preserve">Status</t>
  </si>
  <si>
    <t xml:space="preserve">Ungeklärt begrenzt Gesamtergebnis auf Gelb; Nicht erfüllt ergibt Rot.</t>
  </si>
  <si>
    <t xml:space="preserve">Technische Nachweise</t>
  </si>
  <si>
    <t xml:space="preserve">Trennung, Nachspeisung, Betrieb und Auslegung projektbezogen prüfen.</t>
  </si>
  <si>
    <t xml:space="preserve">Rechtliche Zulässigkeit</t>
  </si>
  <si>
    <t xml:space="preserve">Behördliche / Betreiberanforderungen separat nachweisen.</t>
  </si>
  <si>
    <t xml:space="preserve">Nachweise / Aktenverweise</t>
  </si>
  <si>
    <t xml:space="preserve">Projektbezogene Nachweise fehlen; kein Freigabenachweis.</t>
  </si>
  <si>
    <t xml:space="preserve">Status ist Selbstauskunft; dieses Tool prüft keine Nachweisdokumente.</t>
  </si>
  <si>
    <t xml:space="preserve">03  Wirtschaftlichkeit</t>
  </si>
  <si>
    <t xml:space="preserve">Planungskosten</t>
  </si>
  <si>
    <t xml:space="preserve">€</t>
  </si>
  <si>
    <t xml:space="preserve">Einheitlicher Preisstand und Brutto-/Nettobezug für alle Kosten.</t>
  </si>
  <si>
    <t xml:space="preserve">Anlagenkosten</t>
  </si>
  <si>
    <t xml:space="preserve">Beschaffung; keine Montage doppelt erfassen.</t>
  </si>
  <si>
    <t xml:space="preserve">Montagekosten</t>
  </si>
  <si>
    <t xml:space="preserve">Einbau inklusive erforderlicher Leitungen erfassen.</t>
  </si>
  <si>
    <t xml:space="preserve">Sonstige Investitionskosten</t>
  </si>
  <si>
    <t xml:space="preserve">Zusatzleistungen ohne Doppelzählung.</t>
  </si>
  <si>
    <t xml:space="preserve">Fördermittel bei Investition</t>
  </si>
  <si>
    <t xml:space="preserve">Jahr 0; höchstens Gesamtinvestition. In Varianten begrenzt auf Bruttoinvestition.</t>
  </si>
  <si>
    <t xml:space="preserve">Wartungskosten erstes Jahr</t>
  </si>
  <si>
    <t xml:space="preserve">€/a</t>
  </si>
  <si>
    <t xml:space="preserve">Wiederkehrende Kosten; Preisentwicklung separat.</t>
  </si>
  <si>
    <t xml:space="preserve">Spezifische Aufbereitungsenergie</t>
  </si>
  <si>
    <t xml:space="preserve">kWh/m³</t>
  </si>
  <si>
    <t xml:space="preserve">Bezug: verarbeitetes Rohwasser, auch bei später ungenutztem Wasser.</t>
  </si>
  <si>
    <t xml:space="preserve">Strompreis erstes Jahr</t>
  </si>
  <si>
    <t xml:space="preserve">€/kWh</t>
  </si>
  <si>
    <t xml:space="preserve">Projektbezogener Tarif.</t>
  </si>
  <si>
    <t xml:space="preserve">Sonstige Betriebskosten erstes Jahr</t>
  </si>
  <si>
    <t xml:space="preserve">Labor, Verbrauchsmaterial, Betreiberaufwand etc.</t>
  </si>
  <si>
    <t xml:space="preserve">Vermiedener Trinkwasserpreis</t>
  </si>
  <si>
    <t xml:space="preserve">€/m³</t>
  </si>
  <si>
    <t xml:space="preserve">Nur mengenabhängig vermeidbarer Anteil; Grundgebühren ausschließen.</t>
  </si>
  <si>
    <t xml:space="preserve">Abwassergebühr</t>
  </si>
  <si>
    <t xml:space="preserve">Keine automatische Einsparung; Gebührenregelung projektspezifisch.</t>
  </si>
  <si>
    <t xml:space="preserve">Anerkannter Abwasser-Einsparanteil</t>
  </si>
  <si>
    <t xml:space="preserve">Standard 0 %. Positiver Wert erfordert dokumentierte Gebührenentlastung.</t>
  </si>
  <si>
    <t xml:space="preserve">Kalkulationszins</t>
  </si>
  <si>
    <t xml:space="preserve">Nominalzins zusammen mit nominalen Preissteigerungen; ≥ 0.</t>
  </si>
  <si>
    <t xml:space="preserve">Trinkwasserpreissteigerung</t>
  </si>
  <si>
    <t xml:space="preserve">%/a</t>
  </si>
  <si>
    <t xml:space="preserve">Optionale nominale Szenarioannahme; Basisjahr t=1.</t>
  </si>
  <si>
    <t xml:space="preserve">Wartung / sonstige Preissteigerung</t>
  </si>
  <si>
    <t xml:space="preserve">Auch für Ersatzinvestition; keine Inflationsprognose.</t>
  </si>
  <si>
    <t xml:space="preserve">Strompreissteigerung</t>
  </si>
  <si>
    <t xml:space="preserve">Unabhängig veränderbar.</t>
  </si>
  <si>
    <t xml:space="preserve">Jahr der Ersatzinvestition</t>
  </si>
  <si>
    <t xml:space="preserve">0 nur ohne Ersatzkosten; sonst 1 bis Betrachtungszeitraum.</t>
  </si>
  <si>
    <t xml:space="preserve">Ersatzinvestition im Preisstand Jahr 1</t>
  </si>
  <si>
    <t xml:space="preserve">Ein Ersatzereignis; Kosten mit Betriebs-Kostensteigerung fortgeschrieben.</t>
  </si>
  <si>
    <t xml:space="preserve">Restwert am Betrachtungsende</t>
  </si>
  <si>
    <t xml:space="preserve">Optionaler nominaler Endwert; standardmäßig 0. Keine automatische Wertermittlung.</t>
  </si>
  <si>
    <t xml:space="preserve">Abwassergebührensteigerung</t>
  </si>
  <si>
    <t xml:space="preserve">Nur auf bestätigten mengenabhängigen Einsparanteil angewandt.</t>
  </si>
  <si>
    <t xml:space="preserve">Beleg der Gebührenentlastung</t>
  </si>
  <si>
    <t xml:space="preserve">Keine bestätigte Gebührenentlastung; Ansatz 0 %.</t>
  </si>
  <si>
    <t xml:space="preserve">Bei positiver Anerkennung voreingestellten Text durch konkreten Beleg ersetzen.</t>
  </si>
  <si>
    <t xml:space="preserve">Datenstatus</t>
  </si>
  <si>
    <t xml:space="preserve">Beispieldaten</t>
  </si>
  <si>
    <t xml:space="preserve">Beispieldaten sind keine Entscheidungsgrundlage für das reale Projekt.</t>
  </si>
  <si>
    <t xml:space="preserve">Nutzergruppen &amp; Mengen</t>
  </si>
  <si>
    <t xml:space="preserve">Tage sind Jahres-Nutzungstage je Profil; Verteilung auf aktive Kalendertage der Gruppe. Quellen fachlich separat freigeben.</t>
  </si>
  <si>
    <t xml:space="preserve">Quelle / Nutzung</t>
  </si>
  <si>
    <t xml:space="preserve">Kalendergruppe</t>
  </si>
  <si>
    <t xml:space="preserve">Nutzer</t>
  </si>
  <si>
    <t xml:space="preserve">Nutzungen je Tag</t>
  </si>
  <si>
    <t xml:space="preserve">Liter je Nutzung</t>
  </si>
  <si>
    <t xml:space="preserve">Tage pro Jahr</t>
  </si>
  <si>
    <t xml:space="preserve">Jahresmenge m³</t>
  </si>
  <si>
    <t xml:space="preserve">Aktive Kalendertage</t>
  </si>
  <si>
    <t xml:space="preserve">Prüfung</t>
  </si>
  <si>
    <t xml:space="preserve">Hinweise / Quelle</t>
  </si>
  <si>
    <t xml:space="preserve">Duschen Sporthalle</t>
  </si>
  <si>
    <t xml:space="preserve">Halle</t>
  </si>
  <si>
    <t xml:space="preserve">Fiktiver Rechenansatz; Messung / Planungsnachweis ergänzen.</t>
  </si>
  <si>
    <t xml:space="preserve">Handwaschbecken Schule</t>
  </si>
  <si>
    <t xml:space="preserve">Schulbetrieb</t>
  </si>
  <si>
    <t xml:space="preserve">Handwaschbecken Halle</t>
  </si>
  <si>
    <t xml:space="preserve">Weitere zulässige Quelle 1</t>
  </si>
  <si>
    <t xml:space="preserve">Individuell</t>
  </si>
  <si>
    <t xml:space="preserve">Weitere zulässige Quelle 2</t>
  </si>
  <si>
    <t xml:space="preserve">Weitere zulässige Quelle 3</t>
  </si>
  <si>
    <t xml:space="preserve">Grauwasserquellen: Küchenabwasser und belastete Quellen nicht ungeprüft als zulässig ansetzen.</t>
  </si>
  <si>
    <t xml:space="preserve">WC Schule</t>
  </si>
  <si>
    <t xml:space="preserve">WC Halle</t>
  </si>
  <si>
    <t xml:space="preserve">Urinale Halle</t>
  </si>
  <si>
    <t xml:space="preserve">Weitere zulässige Nutzung 1</t>
  </si>
  <si>
    <t xml:space="preserve">Weitere zulässige Nutzung 2</t>
  </si>
  <si>
    <t xml:space="preserve">Weitere zulässige Nutzung 3</t>
  </si>
  <si>
    <t xml:space="preserve">Tagesverteilung = Jahresmenge / aktive Gruppentage. Weniger Profiltage reduzieren die Tagesintensität gleichmäßig.</t>
  </si>
  <si>
    <t xml:space="preserve">Schule und Halle dürfen verschiedene Nutzerzahlen / Tage haben. Anzahl im Projektkopf ist nur informativ.</t>
  </si>
  <si>
    <t xml:space="preserve">Nutzungstage größer als aktive Gruppentage bei positivem Volumen sind ungültig. Kalender entsprechend ergänzen.</t>
  </si>
  <si>
    <t xml:space="preserve">Tageskalender</t>
  </si>
  <si>
    <t xml:space="preserve">0 = inaktiv · 1 = aktiv. Fiktiv: 190 Schul-, 280 Hallentage; Ferien/Feiertage selbst abgleichen. Hallentage enthalten Wochenenden.</t>
  </si>
  <si>
    <t xml:space="preserve">Datum</t>
  </si>
  <si>
    <t xml:space="preserve">Wochentag</t>
  </si>
  <si>
    <t xml:space="preserve">Schulbetrieb 0/1</t>
  </si>
  <si>
    <t xml:space="preserve">Halle 0/1</t>
  </si>
  <si>
    <t xml:space="preserve">Individuell 0/1</t>
  </si>
  <si>
    <t xml:space="preserve">Notiz / Datengrundlage</t>
  </si>
  <si>
    <t xml:space="preserve">Fiktives Kalenderprofil – zu ersetzen</t>
  </si>
  <si>
    <t xml:space="preserve">Ampelmodell &amp; Schwellen</t>
  </si>
  <si>
    <t xml:space="preserve">Alle Grenzwerte sind vorläufige Modellannahmen, keine normativen oder empirisch validierten Eignungsgrenzen.</t>
  </si>
  <si>
    <t xml:space="preserve">Kriterium</t>
  </si>
  <si>
    <t xml:space="preserve">Schwelle</t>
  </si>
  <si>
    <t xml:space="preserve">Einheit</t>
  </si>
  <si>
    <t xml:space="preserve">Status / Interpretation</t>
  </si>
  <si>
    <t xml:space="preserve">Begründung</t>
  </si>
  <si>
    <t xml:space="preserve">Ökonomie Grün ab</t>
  </si>
  <si>
    <t xml:space="preserve">NPV / Nettoinvestition</t>
  </si>
  <si>
    <t xml:space="preserve">Vorläufig · zu validieren</t>
  </si>
  <si>
    <t xml:space="preserve">Grün ab Kapitalwert ≥ 0 bei Basisschwelle 0 %.</t>
  </si>
  <si>
    <t xml:space="preserve">Ökonomie Gelb ab</t>
  </si>
  <si>
    <t xml:space="preserve">Verlust bis 20 % des Kapitaleinsatzes als vorläufiger Prüfbereich.</t>
  </si>
  <si>
    <t xml:space="preserve">Ressourcen Grün ab</t>
  </si>
  <si>
    <t xml:space="preserve">Anteil Baseline-Trinkwasser</t>
  </si>
  <si>
    <t xml:space="preserve">Vorläufig: 15 % der Baseline aus Betriebsbedarf + sonstigem Bedarf.</t>
  </si>
  <si>
    <t xml:space="preserve">Ressourcen Gelb ab</t>
  </si>
  <si>
    <t xml:space="preserve">Vorläufig: 5 %; keine Literaturgrenze.</t>
  </si>
  <si>
    <t xml:space="preserve">Aggregation: schlechteste Kategorie entscheidet (konservatives Maximum). Keine kompensatorische gewichtete Summe.</t>
  </si>
  <si>
    <t xml:space="preserve">Grün / Gelb / Rot entsprechen günstiger / bedingter / ungünstiger Eignung innerhalb dieses Modells.</t>
  </si>
  <si>
    <t xml:space="preserve">Nachweise: Nicht erfüllt → Rot; Ungeklärt → mindestens Gelb + Prüfbedarf; alle Nachgewiesen → keine Begrenzung.</t>
  </si>
  <si>
    <t xml:space="preserve">Fehlende oder ungültige Pflichtwerte → Nicht bewertbar; kein Ersatz durch Nullwerte im Dashboard.</t>
  </si>
  <si>
    <t xml:space="preserve">Keine Wassereinsparung → Ressourcen Rot unabhängig von Schwellen. Kein Bedarf ist kein positiver Nutzen.</t>
  </si>
  <si>
    <t xml:space="preserve">Bei Nettoinvestition = 0: NPV ≥ 0 → ökonomisch Grün, NPV &lt; 0 → Rot; Quotient ist nicht definiert.</t>
  </si>
  <si>
    <t xml:space="preserve">Technisch/hygienisch/rechtlich sind Nachweisstatus, keine vom Tool erteilte Freigabe. Selbstauskunft dokumentieren.</t>
  </si>
  <si>
    <t xml:space="preserve">Gewichtete Bewertung wurde verworfen: Kompensation verdeckt Konflikte, korrelierte KPIs würden doppelt zählen.</t>
  </si>
  <si>
    <t xml:space="preserve">Konservative Aggregation macht Zielkonflikte sichtbar; alternative Gewichte erst mit Beteiligten validieren.</t>
  </si>
  <si>
    <t xml:space="preserve">Wissenschaftliche Validierung: Schwellen begründen, Expertenreview und Sensitivität durchführen; Nutzertest separat.</t>
  </si>
  <si>
    <t xml:space="preserve">Wasserbilanz · 366 Tageszeilen</t>
  </si>
  <si>
    <t xml:space="preserve">m³ je Tag · Speicher aus Vortag zuerst nutzen, dann direkte Deckung; alte Reste spätestens am Tagesende verwerfen.</t>
  </si>
  <si>
    <t xml:space="preserve">Schule</t>
  </si>
  <si>
    <t xml:space="preserve">Verarbeitet</t>
  </si>
  <si>
    <t xml:space="preserve">Altbestand nach Verlust</t>
  </si>
  <si>
    <t xml:space="preserve">Verbrauch Alt</t>
  </si>
  <si>
    <t xml:space="preserve">Direktverbrauch</t>
  </si>
  <si>
    <t xml:space="preserve">Endbestand frisch</t>
  </si>
  <si>
    <t xml:space="preserve">Überschuss frisch</t>
  </si>
  <si>
    <t xml:space="preserve">Speicherverlust / Alt</t>
  </si>
  <si>
    <t xml:space="preserve">Bilanzrest</t>
  </si>
  <si>
    <t xml:space="preserve">Tank Vortag</t>
  </si>
  <si>
    <t xml:space="preserve">Zahlungsreihe &amp; Kapitalwert</t>
  </si>
  <si>
    <t xml:space="preserve">Nominale Zahlungen am Jahresende; Jahr 0 = Nettoinvestition. Jahreswasserprofil wiederholt sich ohne Wachstum der Nutzerzahl.</t>
  </si>
  <si>
    <t xml:space="preserve">Einsparmenge m³</t>
  </si>
  <si>
    <t xml:space="preserve">Vermiedene Kosten €</t>
  </si>
  <si>
    <t xml:space="preserve">Betriebskosten €</t>
  </si>
  <si>
    <t xml:space="preserve">Ersatzinvestition €</t>
  </si>
  <si>
    <t xml:space="preserve">Restwert €</t>
  </si>
  <si>
    <t xml:space="preserve">Diskontfaktor</t>
  </si>
  <si>
    <t xml:space="preserve">Barwert CF €</t>
  </si>
  <si>
    <t xml:space="preserve">Barwert Kosten €</t>
  </si>
  <si>
    <t xml:space="preserve">Barwert Einsparmenge m³</t>
  </si>
  <si>
    <t xml:space="preserve">Erste Rückgewinnung Jahr</t>
  </si>
  <si>
    <t xml:space="preserve">Kennzahlen · nachvollziehbarer Rechenkern</t>
  </si>
  <si>
    <t xml:space="preserve">Ungültige Eingaben werden im Dashboard gesperrt. Technische Hilfswerte sind keine Ergebnisse bei Pflichtfehlern.</t>
  </si>
  <si>
    <t xml:space="preserve">Kennzahl</t>
  </si>
  <si>
    <t xml:space="preserve">Wert</t>
  </si>
  <si>
    <t xml:space="preserve">Definition / Bezug</t>
  </si>
  <si>
    <t xml:space="preserve">Pflichtfehler</t>
  </si>
  <si>
    <t xml:space="preserve">Anzahl</t>
  </si>
  <si>
    <t xml:space="preserve">Muss 0 sein.</t>
  </si>
  <si>
    <t xml:space="preserve">Jährlicher Grauwasseranfall</t>
  </si>
  <si>
    <t xml:space="preserve">Rohgrauwasser aller Quellen.</t>
  </si>
  <si>
    <t xml:space="preserve">Verarbeitetes Rohgrauwasser</t>
  </si>
  <si>
    <t xml:space="preserve">Kapazität und Verfügbarkeit begrenzen Verarbeitung.</t>
  </si>
  <si>
    <t xml:space="preserve">Aufbereitete Wassermenge</t>
  </si>
  <si>
    <t xml:space="preserve">Verarbeitet × Ausbeute.</t>
  </si>
  <si>
    <t xml:space="preserve">Bedarf aller zulässigen Anwendungen.</t>
  </si>
  <si>
    <t xml:space="preserve">Nutzbare Menge / Trinkwassereinsparung</t>
  </si>
  <si>
    <t xml:space="preserve">Altverbrauch + Direktverbrauch; ohne Nachspeisung.</t>
  </si>
  <si>
    <t xml:space="preserve">Erforderliche Trinkwassernachspeisung</t>
  </si>
  <si>
    <t xml:space="preserve">Bedarf − Wiederverwendung.</t>
  </si>
  <si>
    <t xml:space="preserve">Nicht genutztes aufbereitetes Wasser</t>
  </si>
  <si>
    <t xml:space="preserve">Überschuss + Speicherverluste + Endbestand.</t>
  </si>
  <si>
    <t xml:space="preserve">Planung + Anlage + Montage + Sonstiges.</t>
  </si>
  <si>
    <t xml:space="preserve">Nettoinvestition</t>
  </si>
  <si>
    <t xml:space="preserve">Gesamtinvestition − Förderung.</t>
  </si>
  <si>
    <t xml:space="preserve">Jährlicher Strombedarf</t>
  </si>
  <si>
    <t xml:space="preserve">kWh/a</t>
  </si>
  <si>
    <t xml:space="preserve">Energie auf verarbeitete Rohmenge, kein LCA-Nachweis.</t>
  </si>
  <si>
    <t xml:space="preserve">Wartung, Sonstiges, Energie.</t>
  </si>
  <si>
    <t xml:space="preserve">Nur tatsächlich vermiedene variable Gebühren.</t>
  </si>
  <si>
    <t xml:space="preserve">Vor Ersatzinvestition.</t>
  </si>
  <si>
    <t xml:space="preserve">Konstante Jahr-1-Nettoeinsparung; ohne Zins/Ersatz.</t>
  </si>
  <si>
    <t xml:space="preserve">Summe aller diskontierten Cashflows incl. Jahr 0.</t>
  </si>
  <si>
    <t xml:space="preserve">Erste dynamische Amortisation</t>
  </si>
  <si>
    <t xml:space="preserve">Erste Rückgewinnung; interpoliert. Stabilität separat prüfen.</t>
  </si>
  <si>
    <t xml:space="preserve">Trinkwasser-Baseline = Betriebsbedarf + sonstiger Bedarf.</t>
  </si>
  <si>
    <t xml:space="preserve">Wiederverwendung / Betriebsbedarf.</t>
  </si>
  <si>
    <t xml:space="preserve">Grauwassernutzungsgrad</t>
  </si>
  <si>
    <t xml:space="preserve">Wiederverwendung / Rohgrauwasseranfall.</t>
  </si>
  <si>
    <t xml:space="preserve">Spezifische Lebenszykluskosten</t>
  </si>
  <si>
    <t xml:space="preserve">Barwert Kosten / Barwert eingespartes Volumen.</t>
  </si>
  <si>
    <t xml:space="preserve">Frischer Überschuss</t>
  </si>
  <si>
    <t xml:space="preserve">Nicht speicherbarer frischer Tagesrest.</t>
  </si>
  <si>
    <t xml:space="preserve">Nachweis-Sperre</t>
  </si>
  <si>
    <t xml:space="preserve">1/2/3</t>
  </si>
  <si>
    <t xml:space="preserve">Maximum mit Kategorien, niemals kompensiert.</t>
  </si>
  <si>
    <t xml:space="preserve">Ökonomischer Score</t>
  </si>
  <si>
    <t xml:space="preserve">Kapitalwert relativ zur Nettoinvestition.</t>
  </si>
  <si>
    <t xml:space="preserve">Ressourcen-Score</t>
  </si>
  <si>
    <t xml:space="preserve">Nur Einsparquote wird bewertet.</t>
  </si>
  <si>
    <t xml:space="preserve">Gesamt-Score</t>
  </si>
  <si>
    <t xml:space="preserve">Schlechteste Kategorie einschließlich Nachweisen.</t>
  </si>
  <si>
    <t xml:space="preserve">Ökonomische Ampel</t>
  </si>
  <si>
    <t xml:space="preserve">Günstig / bedingt / ungünstig.</t>
  </si>
  <si>
    <t xml:space="preserve">Ressourcenampel</t>
  </si>
  <si>
    <t xml:space="preserve">Keine Aussage über gesamtheitliche Umweltbilanz.</t>
  </si>
  <si>
    <t xml:space="preserve">Keine behördliche oder normative Freigabe.</t>
  </si>
  <si>
    <t xml:space="preserve">Nachweisstatus</t>
  </si>
  <si>
    <t xml:space="preserve">Selbstauskunft, Belege separat prüfen.</t>
  </si>
  <si>
    <t xml:space="preserve">Jahresbilanzrest</t>
  </si>
  <si>
    <t xml:space="preserve">Aufbereitet = Nutzung + Überschuss + Verlust + Endbestand.</t>
  </si>
  <si>
    <t xml:space="preserve">Rohwasser-Kontrollrest</t>
  </si>
  <si>
    <t xml:space="preserve">Profil-Jahresmenge minus Tagesintegration.</t>
  </si>
  <si>
    <t xml:space="preserve">Dynamische Rückgewinnung stabil?</t>
  </si>
  <si>
    <t xml:space="preserve">Ersatzinvestition kann erste Amortisation rückgängig machen.</t>
  </si>
  <si>
    <t xml:space="preserve">Speicherverluste / verworfene Altmenge</t>
  </si>
  <si>
    <t xml:space="preserve">Übertragsverluste + ungenutzte Vortragsmenge.</t>
  </si>
  <si>
    <t xml:space="preserve">Endbestand Bilanzjahr</t>
  </si>
  <si>
    <t xml:space="preserve">Jahresende enthält keine im Jahr verbuchte Einsparung.</t>
  </si>
  <si>
    <t xml:space="preserve">Kritische Hinweise</t>
  </si>
  <si>
    <t xml:space="preserve">Text</t>
  </si>
  <si>
    <t xml:space="preserve">Kein Freigabenachweis.</t>
  </si>
  <si>
    <t xml:space="preserve">Bewertungsstatus</t>
  </si>
  <si>
    <t xml:space="preserve">Datenqualität und fachliche Freigabe sind getrennt.</t>
  </si>
  <si>
    <t xml:space="preserve">Aufbereitungsverlust</t>
  </si>
  <si>
    <t xml:space="preserve">Verarbeitet minus aufbereitet.</t>
  </si>
  <si>
    <t xml:space="preserve">Nicht verarbeitetes Rohwasser</t>
  </si>
  <si>
    <t xml:space="preserve">Kapazitäts-/Verfügbarkeitsbegrenzung.</t>
  </si>
  <si>
    <t xml:space="preserve">Szenarien &amp; Sensitivität</t>
  </si>
  <si>
    <t xml:space="preserve">Jede Zeile rechnet die gesamte Tagesbilanz erneut. Faktoren sind frei veränderbare Annahmen; Zinsänderung in Prozentpunkten.</t>
  </si>
  <si>
    <t xml:space="preserve">Faktor 1,00 = tatsächlicher Projektansatz. Basisszenario startet mit 1,00; Projekt-Dashboard bleibt unverändert.</t>
  </si>
  <si>
    <t xml:space="preserve">Variante</t>
  </si>
  <si>
    <t xml:space="preserve">Investitionsfaktor</t>
  </si>
  <si>
    <t xml:space="preserve">Wasserpreisfaktor</t>
  </si>
  <si>
    <t xml:space="preserve">Bedarfsfaktor</t>
  </si>
  <si>
    <t xml:space="preserve">Grauwasserfaktor</t>
  </si>
  <si>
    <t xml:space="preserve">Betriebskostenfaktor</t>
  </si>
  <si>
    <t xml:space="preserve">Zins Δ</t>
  </si>
  <si>
    <t xml:space="preserve">Nutzung m³/a</t>
  </si>
  <si>
    <t xml:space="preserve">Einsparquote</t>
  </si>
  <si>
    <t xml:space="preserve">CF Jahr 1 €</t>
  </si>
  <si>
    <t xml:space="preserve">Kapitalwert €</t>
  </si>
  <si>
    <t xml:space="preserve">Statisch Jahre</t>
  </si>
  <si>
    <t xml:space="preserve">Gesamt</t>
  </si>
  <si>
    <t xml:space="preserve">Konservativ</t>
  </si>
  <si>
    <t xml:space="preserve">Basis</t>
  </si>
  <si>
    <t xml:space="preserve">Optimistisch</t>
  </si>
  <si>
    <t xml:space="preserve">Einzelfaktor-Sensitivitäten: alle anderen Faktoren = 1. Die Beschriftungen beschreiben die Startwerte; Werte frei editierbar.</t>
  </si>
  <si>
    <t xml:space="preserve">Investition −20 %</t>
  </si>
  <si>
    <t xml:space="preserve">Investition +20 %</t>
  </si>
  <si>
    <t xml:space="preserve">Trinkwasserpreis −20 %</t>
  </si>
  <si>
    <t xml:space="preserve">Trinkwasserpreis +20 %</t>
  </si>
  <si>
    <t xml:space="preserve">Betriebswasserbedarf −20 %</t>
  </si>
  <si>
    <t xml:space="preserve">Betriebswasserbedarf +20 %</t>
  </si>
  <si>
    <t xml:space="preserve">Grauwasseranfall −20 %</t>
  </si>
  <si>
    <t xml:space="preserve">Grauwasseranfall +20 %</t>
  </si>
  <si>
    <t xml:space="preserve">Betriebskosten −20 %</t>
  </si>
  <si>
    <t xml:space="preserve">Betriebskosten +20 %</t>
  </si>
  <si>
    <t xml:space="preserve">Kalkulationszins −1 %-Punkt</t>
  </si>
  <si>
    <t xml:space="preserve">Kalkulationszins +1 %-Punkt</t>
  </si>
  <si>
    <t xml:space="preserve">Keine Wahrscheinlichkeiten: Konservativ / Optimistisch sind Modellvarianten, keine Prognose oder statistische Unsicherheit.</t>
  </si>
  <si>
    <t xml:space="preserve">Andere Trinkwasser-Baseline außerhalb Betriebsbedarf bleibt konstant; Förderung absolut, Ersatzkosten/Restwert skaliert mit Investition.</t>
  </si>
  <si>
    <t xml:space="preserve">Tagesbilanzen aller Varianten</t>
  </si>
  <si>
    <t xml:space="preserve">Berechnung, keine Eingaben. Je Variante 366 Tageszeilen; gleiche Kalender- und Speicherregeln wie im Basismodell.</t>
  </si>
  <si>
    <t xml:space="preserve">Tag</t>
  </si>
  <si>
    <t xml:space="preserve">Rohmenge</t>
  </si>
  <si>
    <t xml:space="preserve">Bedarf</t>
  </si>
  <si>
    <t xml:space="preserve">Alt nach Verlust</t>
  </si>
  <si>
    <t xml:space="preserve">Altverbrauch</t>
  </si>
  <si>
    <t xml:space="preserve">Endbestand</t>
  </si>
  <si>
    <t xml:space="preserve">Nutzung</t>
  </si>
  <si>
    <t xml:space="preserve">Überschuss</t>
  </si>
  <si>
    <t xml:space="preserve">Speicherverluste</t>
  </si>
  <si>
    <t xml:space="preserve">Zahlungsreihen aller Varianten</t>
  </si>
  <si>
    <t xml:space="preserve">Berechnung, keine Eingaben. Faktoren gelten auch für Ersatzinvestition und Restwert; Förderung bleibt absolut gedeckelt.</t>
  </si>
  <si>
    <t xml:space="preserve">Nutzen</t>
  </si>
  <si>
    <t xml:space="preserve">Betriebskosten</t>
  </si>
  <si>
    <t xml:space="preserve">Investition / Ersatz</t>
  </si>
  <si>
    <t xml:space="preserve">Restwert</t>
  </si>
  <si>
    <t xml:space="preserve">Cashflow</t>
  </si>
  <si>
    <t xml:space="preserve">Barwert CF</t>
  </si>
  <si>
    <t xml:space="preserve">Barwert Kosten</t>
  </si>
  <si>
    <t xml:space="preserve">Barwert Menge</t>
  </si>
  <si>
    <t xml:space="preserve">KPI-Katalog</t>
  </si>
  <si>
    <t xml:space="preserve">Definitionen, Interpretation, Herkunft und Grenzen; nur ein Kriterium je Bewertungskategorie.</t>
  </si>
  <si>
    <t xml:space="preserve">KPI</t>
  </si>
  <si>
    <t xml:space="preserve">Definition</t>
  </si>
  <si>
    <t xml:space="preserve">Formel</t>
  </si>
  <si>
    <t xml:space="preserve">Interpretation</t>
  </si>
  <si>
    <t xml:space="preserve">Datenquelle</t>
  </si>
  <si>
    <t xml:space="preserve">Grenzen</t>
  </si>
  <si>
    <t xml:space="preserve">Ampel</t>
  </si>
  <si>
    <t xml:space="preserve">Trinkwassereinsparung</t>
  </si>
  <si>
    <t xml:space="preserve">Ersetzte Trinkwassermenge</t>
  </si>
  <si>
    <t xml:space="preserve">Σ(Altverbrauch + Direktverbrauch)</t>
  </si>
  <si>
    <t xml:space="preserve">Absolute lokale Wassersubstitution</t>
  </si>
  <si>
    <t xml:space="preserve">Profile, Kalender, Hersteller-/Speicherdaten</t>
  </si>
  <si>
    <t xml:space="preserve">Keine LCA; Tagesmodell vereinfacht Zeitverlauf</t>
  </si>
  <si>
    <t xml:space="preserve">Nullmenge → Ressourcen Rot; sonst informativ</t>
  </si>
  <si>
    <t xml:space="preserve">Substitution bezogen auf Baseline</t>
  </si>
  <si>
    <t xml:space="preserve">Nutzung / (Betriebsbedarf + sonstiger Trinkwasserbedarf)</t>
  </si>
  <si>
    <t xml:space="preserve">Relative Verringerung des Trinkwasserbezugs</t>
  </si>
  <si>
    <t xml:space="preserve">Zähler/Messung/Planung, keine Beispielwerte als Evidenz</t>
  </si>
  <si>
    <t xml:space="preserve">Nenner beeinflusst Bewertung; Baseline konsistent halten</t>
  </si>
  <si>
    <t xml:space="preserve">Einziges Ressourcen-Ampelkriterium</t>
  </si>
  <si>
    <t xml:space="preserve">Deckung des Betriebsbedarfs</t>
  </si>
  <si>
    <t xml:space="preserve">Nutzung / Betriebsbedarf</t>
  </si>
  <si>
    <t xml:space="preserve">Anteil ohne Trinkwassernachspeisung</t>
  </si>
  <si>
    <t xml:space="preserve">Nutzungsprofile, Tagesbilanz</t>
  </si>
  <si>
    <t xml:space="preserve">Ohne Bedarf nicht definiert; intern 0 mit Hinweis</t>
  </si>
  <si>
    <t xml:space="preserve">Informativ; mit Einsparquote korreliert</t>
  </si>
  <si>
    <t xml:space="preserve">GW-Nutzungsgrad</t>
  </si>
  <si>
    <t xml:space="preserve">Anteil genutzter Rohmenge</t>
  </si>
  <si>
    <t xml:space="preserve">Nutzung / Rohgrauwasser</t>
  </si>
  <si>
    <t xml:space="preserve">Enthält Aufbereitungs- und Speicherverluste</t>
  </si>
  <si>
    <t xml:space="preserve">Profile, Anlagenparameter</t>
  </si>
  <si>
    <t xml:space="preserve">Hoher Anteil allein kein Eignungsnachweis; Nullnenner</t>
  </si>
  <si>
    <t xml:space="preserve">Informativ; keine Doppelbewertung</t>
  </si>
  <si>
    <t xml:space="preserve">Brutto-Kapitaleinsatz</t>
  </si>
  <si>
    <t xml:space="preserve">Planung + Anlage + Montage + Sonstiges</t>
  </si>
  <si>
    <t xml:space="preserve">Kostenumfang, einheitlicher Preisstand</t>
  </si>
  <si>
    <t xml:space="preserve">Angebote/Kostenschätzung; Beispiele nicht belegt</t>
  </si>
  <si>
    <t xml:space="preserve">Ohne Kostenunsicherheit oder Finanzierung</t>
  </si>
  <si>
    <t xml:space="preserve">Informativ</t>
  </si>
  <si>
    <t xml:space="preserve">Eigenmittel im Jahr 0</t>
  </si>
  <si>
    <t xml:space="preserve">Brutto − bestätigte Förderung</t>
  </si>
  <si>
    <t xml:space="preserve">Förderung entlastet Kapitaleinsatz</t>
  </si>
  <si>
    <t xml:space="preserve">Förderbescheid und Angebote</t>
  </si>
  <si>
    <t xml:space="preserve">Förderung als sichere Jahr-0-Zahlung angenommen</t>
  </si>
  <si>
    <t xml:space="preserve">Nenner relativer NPV, keine eigene Bewertung</t>
  </si>
  <si>
    <t xml:space="preserve">Nettoeinsparung</t>
  </si>
  <si>
    <t xml:space="preserve">Wiederkehrender Netto-Cashflow Jahr 1</t>
  </si>
  <si>
    <t xml:space="preserve">vermiedene variable Kosten − Betriebskosten</t>
  </si>
  <si>
    <t xml:space="preserve">Erstes Betriebsjahr vor Ersatz und Zins</t>
  </si>
  <si>
    <t xml:space="preserve">Tarife, Wartung, Energie, Mengen</t>
  </si>
  <si>
    <t xml:space="preserve">Kein Äquivalent zum Kapitalwert</t>
  </si>
  <si>
    <t xml:space="preserve">Zeit bei konstantem Jahr-1-CF</t>
  </si>
  <si>
    <t xml:space="preserve">Nettoinvestition / CF1, nur CF1 &gt; 0</t>
  </si>
  <si>
    <t xml:space="preserve">Einfache Rückgewinnung; Horizont beachten</t>
  </si>
  <si>
    <t xml:space="preserve">Kosten- und Nutzendaten</t>
  </si>
  <si>
    <t xml:space="preserve">Kein Zins, keine Ersatzinvestition; außerhalb Horizont ausweisen</t>
  </si>
  <si>
    <t xml:space="preserve">Diskontierter Gesamtnutzen</t>
  </si>
  <si>
    <t xml:space="preserve">−I_net + Σ CF_t / (1+i)^t</t>
  </si>
  <si>
    <t xml:space="preserve">≥0: wirtschaftlich unter Annahmen; relativ I_net klassifiziert</t>
  </si>
  <si>
    <t xml:space="preserve">Nominale Kosten, nominaler Zins, Restwert</t>
  </si>
  <si>
    <t xml:space="preserve">Zukunft unsicher; kein Risiko-/Steuermodell</t>
  </si>
  <si>
    <t xml:space="preserve">Einziges Ökonomie-Ampelkriterium</t>
  </si>
  <si>
    <t xml:space="preserve">Erste diskontierte Rückgewinnung</t>
  </si>
  <si>
    <t xml:space="preserve">Erster kumulierter Barwert ≥0, linear interpoliert</t>
  </si>
  <si>
    <t xml:space="preserve">Zeit bis erste Deckung des eingesetzten Kapitals</t>
  </si>
  <si>
    <t xml:space="preserve">Zahlungsreihe</t>
  </si>
  <si>
    <t xml:space="preserve">Interpolation trotz Jahresendzahlungen; spätere Unterdeckung möglich</t>
  </si>
  <si>
    <t xml:space="preserve">Informativ, Stabilitätswarnung ergänzend</t>
  </si>
  <si>
    <t xml:space="preserve">Diskontierte Kosten pro ersetztem m³</t>
  </si>
  <si>
    <t xml:space="preserve">PV(I+OPEX+Ersatz−Restwert) / PV(Einsparmenge)</t>
  </si>
  <si>
    <t xml:space="preserve">Kosten der lokalen Wasserbereitstellung</t>
  </si>
  <si>
    <t xml:space="preserve">Zahlungs- und Wasserbilanz</t>
  </si>
  <si>
    <t xml:space="preserve">Kein Gebührenabzug im Zähler; PV-Volumen Konvention, keine Normformel</t>
  </si>
  <si>
    <t xml:space="preserve">Informativ, kein zweites Ökonomiekriterium</t>
  </si>
  <si>
    <t xml:space="preserve">Strombedarf</t>
  </si>
  <si>
    <t xml:space="preserve">Aufbereitungselektrizität</t>
  </si>
  <si>
    <t xml:space="preserve">Verarbeitete Rohmenge × kWh/m³</t>
  </si>
  <si>
    <t xml:space="preserve">Energieaufwand einschließlich ungenutzter Produktion</t>
  </si>
  <si>
    <t xml:space="preserve">Hersteller-/Messdaten</t>
  </si>
  <si>
    <t xml:space="preserve">Keine Pumpdetailrechnung, CO₂- oder Ökobilanz</t>
  </si>
  <si>
    <t xml:space="preserve">Eingabe- &amp; Plausibilitätsprüfung</t>
  </si>
  <si>
    <t xml:space="preserve">FEHLER sperrt Projektbewertung; Hinweise stehen zusätzlich im Dashboard.</t>
  </si>
  <si>
    <t xml:space="preserve">Anzahl Pflichtfehler</t>
  </si>
  <si>
    <t xml:space="preserve">Parameter / Zusammenhang</t>
  </si>
  <si>
    <t xml:space="preserve">Bedingung</t>
  </si>
  <si>
    <t xml:space="preserve">Fundstelle</t>
  </si>
  <si>
    <t xml:space="preserve">Ergebnis</t>
  </si>
  <si>
    <t xml:space="preserve">Aktion bei Fehler</t>
  </si>
  <si>
    <t xml:space="preserve">name</t>
  </si>
  <si>
    <t xml:space="preserve">AND(ISTEXT('Eingaben'!$B$5),LEN(TRIM('Eingaben'!$B$5))&gt;0)</t>
  </si>
  <si>
    <t xml:space="preserve">Eingaben!B5</t>
  </si>
  <si>
    <t xml:space="preserve">Pflichtfeld, Datentyp und Wertebereich prüfen.</t>
  </si>
  <si>
    <t xml:space="preserve">building</t>
  </si>
  <si>
    <t xml:space="preserve">AND(ISTEXT('Eingaben'!$B$6),LEN(TRIM('Eingaben'!$B$6))&gt;0)</t>
  </si>
  <si>
    <t xml:space="preserve">Eingaben!B6</t>
  </si>
  <si>
    <t xml:space="preserve">location</t>
  </si>
  <si>
    <t xml:space="preserve">AND(ISTEXT('Eingaben'!$B$7),LEN(TRIM('Eingaben'!$B$7))&gt;0)</t>
  </si>
  <si>
    <t xml:space="preserve">Eingaben!B7</t>
  </si>
  <si>
    <t xml:space="preserve">plant</t>
  </si>
  <si>
    <t xml:space="preserve">AND(ISTEXT('Eingaben'!$B$8),LEN(TRIM('Eingaben'!$B$8))&gt;0)</t>
  </si>
  <si>
    <t xml:space="preserve">Eingaben!B8</t>
  </si>
  <si>
    <t xml:space="preserve">users</t>
  </si>
  <si>
    <t xml:space="preserve">AND(ISNUMBER('Eingaben'!$B$9),'Eingaben'!$B$9&gt;=0,'Eingaben'!$B$9&lt;=1000000.0,MOD('Eingaben'!$B$9,1)=0)</t>
  </si>
  <si>
    <t xml:space="preserve">Eingaben!B9</t>
  </si>
  <si>
    <t xml:space="preserve">year</t>
  </si>
  <si>
    <t xml:space="preserve">AND(ISNUMBER('Eingaben'!$B$10),'Eingaben'!$B$10&gt;=2020,'Eingaben'!$B$10&lt;=2100,MOD('Eingaben'!$B$10,1)=0)</t>
  </si>
  <si>
    <t xml:space="preserve">Eingaben!B10</t>
  </si>
  <si>
    <t xml:space="preserve">horizon</t>
  </si>
  <si>
    <t xml:space="preserve">AND(ISNUMBER('Eingaben'!$B$11),'Eingaben'!$B$11&gt;=1,'Eingaben'!$B$11&lt;=50,MOD('Eingaben'!$B$11,1)=0)</t>
  </si>
  <si>
    <t xml:space="preserve">Eingaben!B11</t>
  </si>
  <si>
    <t xml:space="preserve">other_water</t>
  </si>
  <si>
    <t xml:space="preserve">AND(ISNUMBER('Eingaben'!$B$12),'Eingaben'!$B$12&gt;=0,'Eingaben'!$B$12&lt;=10000000.0)</t>
  </si>
  <si>
    <t xml:space="preserve">Eingaben!B12</t>
  </si>
  <si>
    <t xml:space="preserve">yield_rate</t>
  </si>
  <si>
    <t xml:space="preserve">AND(ISNUMBER('Eingaben'!$B$15),'Eingaben'!$B$15&gt;=0,'Eingaben'!$B$15&lt;=1)</t>
  </si>
  <si>
    <t xml:space="preserve">Eingaben!B15</t>
  </si>
  <si>
    <t xml:space="preserve">availability</t>
  </si>
  <si>
    <t xml:space="preserve">AND(ISNUMBER('Eingaben'!$B$16),'Eingaben'!$B$16&gt;=0,'Eingaben'!$B$16&lt;=1)</t>
  </si>
  <si>
    <t xml:space="preserve">Eingaben!B16</t>
  </si>
  <si>
    <t xml:space="preserve">capacity</t>
  </si>
  <si>
    <t xml:space="preserve">AND(ISNUMBER('Eingaben'!$B$17),'Eingaben'!$B$17&gt;=0,'Eingaben'!$B$17&lt;=100000.0)</t>
  </si>
  <si>
    <t xml:space="preserve">Eingaben!B17</t>
  </si>
  <si>
    <t xml:space="preserve">storage</t>
  </si>
  <si>
    <t xml:space="preserve">AND(ISNUMBER('Eingaben'!$B$18),'Eingaben'!$B$18&gt;=0,'Eingaben'!$B$18&lt;=100000.0)</t>
  </si>
  <si>
    <t xml:space="preserve">Eingaben!B18</t>
  </si>
  <si>
    <t xml:space="preserve">overlap</t>
  </si>
  <si>
    <t xml:space="preserve">AND(ISNUMBER('Eingaben'!$B$19),'Eingaben'!$B$19&gt;=0,'Eingaben'!$B$19&lt;=1)</t>
  </si>
  <si>
    <t xml:space="preserve">Eingaben!B19</t>
  </si>
  <si>
    <t xml:space="preserve">storage_loss</t>
  </si>
  <si>
    <t xml:space="preserve">AND(ISNUMBER('Eingaben'!$B$20),'Eingaben'!$B$20&gt;=0,'Eingaben'!$B$20&lt;=1)</t>
  </si>
  <si>
    <t xml:space="preserve">Eingaben!B20</t>
  </si>
  <si>
    <t xml:space="preserve">hygiene</t>
  </si>
  <si>
    <t xml:space="preserve">OR('Eingaben'!$B$21="Ungeklärt",'Eingaben'!$B$21="Nachgewiesen",'Eingaben'!$B$21="Nicht erfüllt")</t>
  </si>
  <si>
    <t xml:space="preserve">Eingaben!B21</t>
  </si>
  <si>
    <t xml:space="preserve">technical</t>
  </si>
  <si>
    <t xml:space="preserve">OR('Eingaben'!$B$22="Ungeklärt",'Eingaben'!$B$22="Nachgewiesen",'Eingaben'!$B$22="Nicht erfüllt")</t>
  </si>
  <si>
    <t xml:space="preserve">Eingaben!B22</t>
  </si>
  <si>
    <t xml:space="preserve">legal</t>
  </si>
  <si>
    <t xml:space="preserve">OR('Eingaben'!$B$23="Ungeklärt",'Eingaben'!$B$23="Nachgewiesen",'Eingaben'!$B$23="Nicht erfüllt")</t>
  </si>
  <si>
    <t xml:space="preserve">Eingaben!B23</t>
  </si>
  <si>
    <t xml:space="preserve">evidence</t>
  </si>
  <si>
    <t xml:space="preserve">AND(ISTEXT('Eingaben'!$B$24),LEN(TRIM('Eingaben'!$B$24))&gt;0)</t>
  </si>
  <si>
    <t xml:space="preserve">Eingaben!B24</t>
  </si>
  <si>
    <t xml:space="preserve">planning</t>
  </si>
  <si>
    <t xml:space="preserve">AND(ISNUMBER('Eingaben'!$B$27),'Eingaben'!$B$27&gt;=0,'Eingaben'!$B$27&lt;=1000000000.0)</t>
  </si>
  <si>
    <t xml:space="preserve">Eingaben!B27</t>
  </si>
  <si>
    <t xml:space="preserve">equipment</t>
  </si>
  <si>
    <t xml:space="preserve">AND(ISNUMBER('Eingaben'!$B$28),'Eingaben'!$B$28&gt;=0,'Eingaben'!$B$28&lt;=1000000000.0)</t>
  </si>
  <si>
    <t xml:space="preserve">Eingaben!B28</t>
  </si>
  <si>
    <t xml:space="preserve">installation</t>
  </si>
  <si>
    <t xml:space="preserve">AND(ISNUMBER('Eingaben'!$B$29),'Eingaben'!$B$29&gt;=0,'Eingaben'!$B$29&lt;=1000000000.0)</t>
  </si>
  <si>
    <t xml:space="preserve">Eingaben!B29</t>
  </si>
  <si>
    <t xml:space="preserve">extra_investment</t>
  </si>
  <si>
    <t xml:space="preserve">AND(ISNUMBER('Eingaben'!$B$30),'Eingaben'!$B$30&gt;=0,'Eingaben'!$B$30&lt;=1000000000.0)</t>
  </si>
  <si>
    <t xml:space="preserve">Eingaben!B30</t>
  </si>
  <si>
    <t xml:space="preserve">grant</t>
  </si>
  <si>
    <t xml:space="preserve">AND(ISNUMBER('Eingaben'!$B$31),'Eingaben'!$B$31&gt;=0,'Eingaben'!$B$31&lt;=1000000000.0)</t>
  </si>
  <si>
    <t xml:space="preserve">Eingaben!B31</t>
  </si>
  <si>
    <t xml:space="preserve">maintenance</t>
  </si>
  <si>
    <t xml:space="preserve">AND(ISNUMBER('Eingaben'!$B$32),'Eingaben'!$B$32&gt;=0,'Eingaben'!$B$32&lt;=1000000000.0)</t>
  </si>
  <si>
    <t xml:space="preserve">Eingaben!B32</t>
  </si>
  <si>
    <t xml:space="preserve">energy_intensity</t>
  </si>
  <si>
    <t xml:space="preserve">AND(ISNUMBER('Eingaben'!$B$33),'Eingaben'!$B$33&gt;=0,'Eingaben'!$B$33&lt;=1000000000.0)</t>
  </si>
  <si>
    <t xml:space="preserve">Eingaben!B33</t>
  </si>
  <si>
    <t xml:space="preserve">energy_price</t>
  </si>
  <si>
    <t xml:space="preserve">AND(ISNUMBER('Eingaben'!$B$34),'Eingaben'!$B$34&gt;=0,'Eingaben'!$B$34&lt;=1000000000.0)</t>
  </si>
  <si>
    <t xml:space="preserve">Eingaben!B34</t>
  </si>
  <si>
    <t xml:space="preserve">other_cost</t>
  </si>
  <si>
    <t xml:space="preserve">AND(ISNUMBER('Eingaben'!$B$35),'Eingaben'!$B$35&gt;=0,'Eingaben'!$B$35&lt;=1000000000.0)</t>
  </si>
  <si>
    <t xml:space="preserve">Eingaben!B35</t>
  </si>
  <si>
    <t xml:space="preserve">water_price</t>
  </si>
  <si>
    <t xml:space="preserve">AND(ISNUMBER('Eingaben'!$B$36),'Eingaben'!$B$36&gt;=0,'Eingaben'!$B$36&lt;=1000000000.0)</t>
  </si>
  <si>
    <t xml:space="preserve">Eingaben!B36</t>
  </si>
  <si>
    <t xml:space="preserve">sewage_price</t>
  </si>
  <si>
    <t xml:space="preserve">AND(ISNUMBER('Eingaben'!$B$37),'Eingaben'!$B$37&gt;=0,'Eingaben'!$B$37&lt;=1000000000.0)</t>
  </si>
  <si>
    <t xml:space="preserve">Eingaben!B37</t>
  </si>
  <si>
    <t xml:space="preserve">sewage_credit</t>
  </si>
  <si>
    <t xml:space="preserve">AND(ISNUMBER('Eingaben'!$B$38),'Eingaben'!$B$38&gt;=0,'Eingaben'!$B$38&lt;=1)</t>
  </si>
  <si>
    <t xml:space="preserve">Eingaben!B38</t>
  </si>
  <si>
    <t xml:space="preserve">discount</t>
  </si>
  <si>
    <t xml:space="preserve">AND(ISNUMBER('Eingaben'!$B$39),'Eingaben'!$B$39&gt;=0,'Eingaben'!$B$39&lt;=1)</t>
  </si>
  <si>
    <t xml:space="preserve">Eingaben!B39</t>
  </si>
  <si>
    <t xml:space="preserve">water_growth</t>
  </si>
  <si>
    <t xml:space="preserve">AND(ISNUMBER('Eingaben'!$B$40),'Eingaben'!$B$40&gt;=-0.5,'Eingaben'!$B$40&lt;=1)</t>
  </si>
  <si>
    <t xml:space="preserve">Eingaben!B40</t>
  </si>
  <si>
    <t xml:space="preserve">cost_growth</t>
  </si>
  <si>
    <t xml:space="preserve">AND(ISNUMBER('Eingaben'!$B$41),'Eingaben'!$B$41&gt;=-0.5,'Eingaben'!$B$41&lt;=1)</t>
  </si>
  <si>
    <t xml:space="preserve">Eingaben!B41</t>
  </si>
  <si>
    <t xml:space="preserve">energy_growth</t>
  </si>
  <si>
    <t xml:space="preserve">AND(ISNUMBER('Eingaben'!$B$42),'Eingaben'!$B$42&gt;=-0.5,'Eingaben'!$B$42&lt;=1)</t>
  </si>
  <si>
    <t xml:space="preserve">Eingaben!B42</t>
  </si>
  <si>
    <t xml:space="preserve">replacement_year</t>
  </si>
  <si>
    <t xml:space="preserve">AND(ISNUMBER('Eingaben'!$B$43),'Eingaben'!$B$43&gt;=0,'Eingaben'!$B$43&lt;=50,MOD('Eingaben'!$B$43,1)=0)</t>
  </si>
  <si>
    <t xml:space="preserve">Eingaben!B43</t>
  </si>
  <si>
    <t xml:space="preserve">replacement_cost</t>
  </si>
  <si>
    <t xml:space="preserve">AND(ISNUMBER('Eingaben'!$B$44),'Eingaben'!$B$44&gt;=0,'Eingaben'!$B$44&lt;=1000000000.0)</t>
  </si>
  <si>
    <t xml:space="preserve">Eingaben!B44</t>
  </si>
  <si>
    <t xml:space="preserve">residual</t>
  </si>
  <si>
    <t xml:space="preserve">AND(ISNUMBER('Eingaben'!$B$45),'Eingaben'!$B$45&gt;=0,'Eingaben'!$B$45&lt;=1000000000.0)</t>
  </si>
  <si>
    <t xml:space="preserve">Eingaben!B45</t>
  </si>
  <si>
    <t xml:space="preserve">sewage_growth</t>
  </si>
  <si>
    <t xml:space="preserve">AND(ISNUMBER('Eingaben'!$B$46),'Eingaben'!$B$46&gt;=-0.5,'Eingaben'!$B$46&lt;=1)</t>
  </si>
  <si>
    <t xml:space="preserve">Eingaben!B46</t>
  </si>
  <si>
    <t xml:space="preserve">billing_evidence</t>
  </si>
  <si>
    <t xml:space="preserve">AND(ISTEXT('Eingaben'!$B$47),LEN(TRIM('Eingaben'!$B$47))&gt;0)</t>
  </si>
  <si>
    <t xml:space="preserve">Eingaben!B47</t>
  </si>
  <si>
    <t xml:space="preserve">data_status</t>
  </si>
  <si>
    <t xml:space="preserve">OR('Eingaben'!$B$48="Beispieldaten",'Eingaben'!$B$48="Projektdaten")</t>
  </si>
  <si>
    <t xml:space="preserve">Eingaben!B48</t>
  </si>
  <si>
    <t xml:space="preserve">Förderung ≤ Bruttoinvestition</t>
  </si>
  <si>
    <t xml:space="preserve">'Eingaben'!$B$31&lt;=SUM(Eingaben!B27:B30)</t>
  </si>
  <si>
    <t xml:space="preserve">Förderung darf Kosten nicht übersteigen.</t>
  </si>
  <si>
    <t xml:space="preserve">Ersatzjahr innerhalb Horizont</t>
  </si>
  <si>
    <t xml:space="preserve">'Eingaben'!$B$43&lt;='Eingaben'!$B$11</t>
  </si>
  <si>
    <t xml:space="preserve">Jahr 0 nur ohne Ersatzkosten.</t>
  </si>
  <si>
    <t xml:space="preserve">Ersatzkosten benötigen Jahr</t>
  </si>
  <si>
    <t xml:space="preserve">OR('Eingaben'!$B$44=0,'Eingaben'!$B$43&gt;0)</t>
  </si>
  <si>
    <t xml:space="preserve">Eingaben!B43:B44</t>
  </si>
  <si>
    <t xml:space="preserve">Jahr 1 bis Betrachtungsende wählen.</t>
  </si>
  <si>
    <t xml:space="preserve">Abwasserentlastung belegt</t>
  </si>
  <si>
    <t xml:space="preserve">OR('Eingaben'!$B$38=0,AND(LEN(TRIM('Eingaben'!$B$47))&gt;0,LEFT('Eingaben'!$B$47,LEN("Keine bestätigte"))&lt;&gt;"Keine bestätigte"))</t>
  </si>
  <si>
    <t xml:space="preserve">Eingaben!B38/B47</t>
  </si>
  <si>
    <t xml:space="preserve">Dokumentierten Gebührenbescheid ergänzen; Standardtext ersetzen.</t>
  </si>
  <si>
    <t xml:space="preserve">Ressourcenschwellen geordnet</t>
  </si>
  <si>
    <t xml:space="preserve">AND(ISNUMBER(Schwellenwerte!B9),ISNUMBER(Schwellenwerte!B10),Schwellenwerte!B10&gt;=0,Schwellenwerte!B9&lt;=1,Schwellenwerte!B10&lt;=Schwellenwerte!B9)</t>
  </si>
  <si>
    <t xml:space="preserve">Schwellenwerte!B9:B10</t>
  </si>
  <si>
    <t xml:space="preserve">0 ≤ Gelb ≤ Grün ≤ 100 %.</t>
  </si>
  <si>
    <t xml:space="preserve">Ökonomieschwellen geordnet</t>
  </si>
  <si>
    <t xml:space="preserve">AND(ISNUMBER(Schwellenwerte!B5),ISNUMBER(Schwellenwerte!B6),Schwellenwerte!B6&gt;=-1,Schwellenwerte!B5&lt;=1,Schwellenwerte!B6&lt;=Schwellenwerte!B5)</t>
  </si>
  <si>
    <t xml:space="preserve">Schwellenwerte!B5:B6</t>
  </si>
  <si>
    <t xml:space="preserve">−100 % ≤ Gelb ≤ Grün ≤ 100 %.</t>
  </si>
  <si>
    <t xml:space="preserve">Profile gültig</t>
  </si>
  <si>
    <t xml:space="preserve">AND(COUNTIF(Nutzungsprofile!I6:I11,"FEHLER")=0,COUNTIF(Nutzungsprofile!I17:I22,"FEHLER")=0)</t>
  </si>
  <si>
    <t xml:space="preserve">Nutzungsprofile!I</t>
  </si>
  <si>
    <t xml:space="preserve">Numerische Felder, Gruppe und aktive Tage prüfen.</t>
  </si>
  <si>
    <t xml:space="preserve">Kalender gültig</t>
  </si>
  <si>
    <t xml:space="preserve">COUNTIF(Kalender!G5:G370,"FEHLER")=0</t>
  </si>
  <si>
    <t xml:space="preserve">Kalender!G</t>
  </si>
  <si>
    <t xml:space="preserve">Nur 0/1; in nicht existierendem 366. Tag alle Flaggen 0.</t>
  </si>
  <si>
    <t xml:space="preserve">Anonymisierter Probandentest</t>
  </si>
  <si>
    <t xml:space="preserve">Nur IDs erfassen, keine Namen. Nutzertest bewertet Verständlichkeit und Bedienung, keine fachliche Rechenvalidierung.</t>
  </si>
  <si>
    <t xml:space="preserve">Anonyme ID</t>
  </si>
  <si>
    <t xml:space="preserve">Rolle</t>
  </si>
  <si>
    <t xml:space="preserve">Erfahrung Excel 1–5</t>
  </si>
  <si>
    <t xml:space="preserve">Zeit Minuten</t>
  </si>
  <si>
    <t xml:space="preserve">Fehlerzahl</t>
  </si>
  <si>
    <t xml:space="preserve">Verständlichkeit</t>
  </si>
  <si>
    <t xml:space="preserve">Bedienbarkeit</t>
  </si>
  <si>
    <t xml:space="preserve">Übersichtlichkeit</t>
  </si>
  <si>
    <t xml:space="preserve">Rechenweg verständlich</t>
  </si>
  <si>
    <t xml:space="preserve">Ampel verständlich</t>
  </si>
  <si>
    <t xml:space="preserve">Fehlersicherheit</t>
  </si>
  <si>
    <t xml:space="preserve">Praxistauglichkeit</t>
  </si>
  <si>
    <t xml:space="preserve">A1 Projekt erfasst</t>
  </si>
  <si>
    <t xml:space="preserve">A2 Szenario erstellt</t>
  </si>
  <si>
    <t xml:space="preserve">A3 Ampel erklärt</t>
  </si>
  <si>
    <t xml:space="preserve">A4 Fehler erkannt</t>
  </si>
  <si>
    <t xml:space="preserve">Beobachtete Fehler</t>
  </si>
  <si>
    <t xml:space="preserve">Kommentar</t>
  </si>
  <si>
    <t xml:space="preserve">Nutzertest · Auswertung</t>
  </si>
  <si>
    <t xml:space="preserve">Likert 1 = stimme gar nicht zu, 5 = stimme voll zu. Fehlende Antworten bleiben leer; keine imputierten Werte.</t>
  </si>
  <si>
    <t xml:space="preserve">Dimension</t>
  </si>
  <si>
    <t xml:space="preserve">n gültig</t>
  </si>
  <si>
    <t xml:space="preserve">Mittelwert</t>
  </si>
  <si>
    <t xml:space="preserve">Streuung (Stichprobe)</t>
  </si>
  <si>
    <t xml:space="preserve">Antwort 1</t>
  </si>
  <si>
    <t xml:space="preserve">Antwort 2</t>
  </si>
  <si>
    <t xml:space="preserve">Antwort 3</t>
  </si>
  <si>
    <t xml:space="preserve">Antwort 4</t>
  </si>
  <si>
    <t xml:space="preserve">Antwort 5</t>
  </si>
  <si>
    <t xml:space="preserve">Fehlend bei ID</t>
  </si>
  <si>
    <t xml:space="preserve">Ungültig bei ID</t>
  </si>
  <si>
    <t xml:space="preserve">Deskriptiv; keine fachliche Formelvalidierung</t>
  </si>
  <si>
    <t xml:space="preserve">Anzahl IDs</t>
  </si>
  <si>
    <t xml:space="preserve">IDs mehrfach (Zeilen)</t>
  </si>
  <si>
    <t xml:space="preserve">Gültige Bearbeitungszeiten n</t>
  </si>
  <si>
    <t xml:space="preserve">Mittlere Zeit Minuten</t>
  </si>
  <si>
    <t xml:space="preserve">Mittlere Fehlerzahl</t>
  </si>
  <si>
    <t xml:space="preserve">Nicht zugeordnete Datenzeilen</t>
  </si>
  <si>
    <t xml:space="preserve">Gültige Fehlerzahlen n</t>
  </si>
  <si>
    <t xml:space="preserve">Ungültige Zeit-/Fehlerfelder</t>
  </si>
  <si>
    <t xml:space="preserve">Aufgabe</t>
  </si>
  <si>
    <t xml:space="preserve">Erfüllt</t>
  </si>
  <si>
    <t xml:space="preserve">Teilweise</t>
  </si>
  <si>
    <t xml:space="preserve">Nicht erfüllt</t>
  </si>
  <si>
    <t xml:space="preserve">Projekt erfassen</t>
  </si>
  <si>
    <t xml:space="preserve">Szenario ändern</t>
  </si>
  <si>
    <t xml:space="preserve">Ampel begründen</t>
  </si>
  <si>
    <t xml:space="preserve">Fehler erkennen</t>
  </si>
  <si>
    <t xml:space="preserve">Anleitung &amp; wissenschaftliche Einordnung</t>
  </si>
  <si>
    <t xml:space="preserve">Version 1.0 · 14.10.2026 · Bearbeitbare Annahmen, keine normative Freigabe oder Literaturvalidierung der Schwellen.</t>
  </si>
  <si>
    <t xml:space="preserve">1  Start</t>
  </si>
  <si>
    <t xml:space="preserve">Nur blaue Felder bearbeiten. Eingaben, Profile und Kalender abgleichen. Das Dashboard rechnet automatisch; Excel-Berechnungsmodus Automatisch verwenden.</t>
  </si>
  <si>
    <t xml:space="preserve">2  Datenbasis</t>
  </si>
  <si>
    <t xml:space="preserve">Auslieferung enthält ausschließlich fiktive Beispieldaten. Eine bestehende Excel-Datei wurde nicht bereitgestellt. Baseline, Angebote, Tarife und Herstellernachweise ergänzen.</t>
  </si>
  <si>
    <t xml:space="preserve">3  Kalender</t>
  </si>
  <si>
    <t xml:space="preserve">Jede aktive Gruppe erhält gleiche Tagesmenge: Profil-Jahresmenge / aktive Tage. Profiltage können kleiner als Gruppentage sein. Ferien, Wochenenden und Hallenfremdnutzung manuell abbilden.</t>
  </si>
  <si>
    <t xml:space="preserve">4  Speicher</t>
  </si>
  <si>
    <t xml:space="preserve">Tank startet leer. Nur frischer Tagesrest wird einen Tag übertragen; ungenutzte Altmenge verworfen. Dies ist eine Modellannahme, keine hygienisch zulässige Speicherzeit.</t>
  </si>
  <si>
    <t xml:space="preserve">5  Kosten</t>
  </si>
  <si>
    <t xml:space="preserve">Einheitliche Währung und Preisbasis. Nur variable Wasser-/Abwassergebühren vermeiden. Abwasseranteil standardmäßig 0; Projektbeleg erforderlich. Nominalzins und nominale Steigerungen konsistent wählen.</t>
  </si>
  <si>
    <t xml:space="preserve">6  Ampel</t>
  </si>
  <si>
    <t xml:space="preserve">Ökonomie: relativer Kapitalwert; Ressourcen: Einsparquote. Schlechteste Kategorie zählt. Nachweise ungeklärt: mindestens Gelb / Prüfbedarf; nicht erfüllt: Rot. Keine Kompensation.</t>
  </si>
  <si>
    <t xml:space="preserve">7  Amortisation</t>
  </si>
  <si>
    <t xml:space="preserve">Statisch: Jahr-1-CF ohne Ersatz/Zins. Werte oberhalb Horizont sind keine im Projektzeitraum nachgewiesene Amortisation. Dynamisch: erste diskontierte Rückgewinnung; spätere Unterdeckung separat angezeigt.</t>
  </si>
  <si>
    <t xml:space="preserve">8  Szenarien</t>
  </si>
  <si>
    <t xml:space="preserve">Drei Szenarien und zwölf Einzelfaktorvarianten sind konfigurierbar; erneute Tagesrechnung je Variante. Projekt-Dashboard bleibt auf Originaleingaben. Änderungen &gt; Grenzbereich sperren nur betroffene Variante.</t>
  </si>
  <si>
    <t xml:space="preserve">9  Qualität</t>
  </si>
  <si>
    <t xml:space="preserve">Prüfungen zeigt alle Pflichtfehler. Gültige Nullmengen sind zulässig und ergeben keinen Nutzen. Ungültige/fehlende Eingaben sperren das Dashboard; Hilfswerte sind dann nicht interpretierbar.</t>
  </si>
  <si>
    <t xml:space="preserve">10  Nutzerstudie</t>
  </si>
  <si>
    <t xml:space="preserve">Nutzertest: 50 anonymisierte Personen, Likert 1–5, Aufgaben, Zeiten, Fehler. Auswertung nur mit ID; ungültige Ratings ausgeschlossen und gezählt. Duplikate separat prüfen.</t>
  </si>
  <si>
    <t xml:space="preserve">11  Grenzen</t>
  </si>
  <si>
    <t xml:space="preserve">Keine stündliche Hydraulik, Wasserqualitätsberechnung, Ausfallsimulation, Mehrfach-Ersatzzyklen, Finanzierung/Steuern oder vollständige Ökobilanz. Kosten-/Zeitannahmen projektspezifisch validieren.</t>
  </si>
  <si>
    <t xml:space="preserve">12  Regelwerke</t>
  </si>
  <si>
    <t xml:space="preserve">DIN EN 16941-2 (aufbereitetes Grauwasser) und DIN EN 1717 (Schutz des Trinkwassers) als Recherchehinweise. Volltexte/Projektanwendbarkeit nicht geprüft; keine Normgrenzwerte übernommen.</t>
  </si>
  <si>
    <t xml:space="preserve">13  Evidenz</t>
  </si>
  <si>
    <t xml:space="preserve">Alle Mengen, Preise, Anlagenparameter und Schwellen im Beispiel sind unbestätigte Modellannahmen. Status Nachgewiesen nur mit nachprüfbaren Projektbelegen setzen.</t>
  </si>
  <si>
    <t xml:space="preserve">14  Reproduzierbarkeit</t>
  </si>
  <si>
    <t xml:space="preserve">Python-Generator und Tests liegen bei. Excel-Formeln verwenden Standardfunktionen ohne Makros, externe Links oder Datenverbindungen. LibreOffice-Enginevalidierung ersetzt keinen abschließenden Windows-Excel-Test.</t>
  </si>
  <si>
    <t xml:space="preserve">15  Begleitdateien</t>
  </si>
  <si>
    <t xml:space="preserve">Methodik_Dokumentation.md enthält Gleichungen und KPI-Abgrenzungen; Probandentest.md enthält Aufgaben/Skala; Validierungsbericht.md dokumentiert tatsächlich ausgeführte Tests.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</si>
</sst>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&quot; m³/a&quot;"/>
    <numFmt numFmtId="166" formatCode="0.0%"/>
    <numFmt numFmtId="167" formatCode="#,##0.00&quot; €&quot;"/>
    <numFmt numFmtId="168" formatCode="#,##0.0&quot; €/a&quot;"/>
    <numFmt numFmtId="169" formatCode="0.0&quot; Jahre&quot;"/>
    <numFmt numFmtId="170" formatCode="#,##0.00"/>
    <numFmt numFmtId="171" formatCode="0"/>
    <numFmt numFmtId="172" formatCode="dd\.mm\.yyyy"/>
    <numFmt numFmtId="173" formatCode="0.00\×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ptos Display"/>
      <family val="0"/>
      <charset val="1"/>
    </font>
    <font>
      <b val="true"/>
      <sz val="10"/>
      <color rgb="FF007F86"/>
      <name val="Aptos"/>
      <family val="0"/>
      <charset val="1"/>
    </font>
    <font>
      <sz val="11"/>
      <color rgb="FF22364A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8"/>
      <color rgb="FF142D4E"/>
      <name val="Aptos"/>
      <family val="0"/>
      <charset val="1"/>
    </font>
    <font>
      <b val="true"/>
      <sz val="20"/>
      <color rgb="FF142D4E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ptos"/>
      <family val="0"/>
      <charset val="1"/>
    </font>
    <font>
      <sz val="11"/>
      <color rgb="FF007F86"/>
      <name val="Apto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2D4E"/>
        <bgColor rgb="FF22364A"/>
      </patternFill>
    </fill>
    <fill>
      <patternFill patternType="solid">
        <fgColor rgb="FFE8F4F5"/>
        <bgColor rgb="FFE0F2F7"/>
      </patternFill>
    </fill>
    <fill>
      <patternFill patternType="solid">
        <fgColor rgb="FF007F86"/>
        <bgColor rgb="FF008080"/>
      </patternFill>
    </fill>
    <fill>
      <patternFill patternType="solid">
        <fgColor rgb="FFE0F2F7"/>
        <bgColor rgb="FFE8F4F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007F8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71" fontId="14" fillId="5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70" fontId="14" fillId="5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14" fillId="5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72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14" fillId="5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>
          <bgColor rgb="FFD7EEDD"/>
        </patternFill>
      </fill>
    </dxf>
    <dxf>
      <fill>
        <patternFill>
          <bgColor rgb="FFFFF0BD"/>
        </patternFill>
      </fill>
    </dxf>
    <dxf>
      <fill>
        <patternFill>
          <bgColor rgb="FFFAD9D8"/>
        </patternFill>
      </fill>
    </dxf>
    <dxf>
      <fill>
        <patternFill>
          <bgColor rgb="FFF2F5F8"/>
        </patternFill>
      </fill>
    </dxf>
    <dxf>
      <fill>
        <patternFill patternType="solid">
          <fgColor rgb="FF142D4E"/>
          <bgColor rgb="FF000000"/>
        </patternFill>
      </fill>
    </dxf>
    <dxf>
      <fill>
        <patternFill patternType="solid">
          <fgColor rgb="FFE0F2F7"/>
          <bgColor rgb="FF000000"/>
        </patternFill>
      </fill>
    </dxf>
    <dxf>
      <fill>
        <patternFill patternType="solid">
          <fgColor rgb="FF007F8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364A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10" type="wholeTable"/>
      <tableStyleElement dxfId="11" type="firstColumnStripe"/>
      <tableStyleElement dxfId="12" type="firstRowStripe"/>
      <tableStyleElement dxfId="13" type="lastColumn"/>
      <tableStyleElement dxfId="14" type="firstColumn"/>
      <tableStyleElement dxfId="15" type="headerRow"/>
      <tableStyleElement dxfId="16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F86"/>
      <rgbColor rgb="FFC0C0C0"/>
      <rgbColor rgb="FF878787"/>
      <rgbColor rgb="FF9999FF"/>
      <rgbColor rgb="FF993366"/>
      <rgbColor rgb="FFFFF0BD"/>
      <rgbColor rgb="FFE0F2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5"/>
      <rgbColor rgb="FFD7EEDD"/>
      <rgbColor rgb="FFF2F5F8"/>
      <rgbColor rgb="FF95B3D7"/>
      <rgbColor rgb="FFFF99CC"/>
      <rgbColor rgb="FFCC99FF"/>
      <rgbColor rgb="FFFAD9D8"/>
      <rgbColor rgb="FF3366FF"/>
      <rgbColor rgb="FF33CCCC"/>
      <rgbColor rgb="FF99CC00"/>
      <rgbColor rgb="FFFFCC00"/>
      <rgbColor rgb="FFEAB05A"/>
      <rgbColor rgb="FFFF6600"/>
      <rgbColor rgb="FF4F81BD"/>
      <rgbColor rgb="FF7A9BB4"/>
      <rgbColor rgb="FF142D4E"/>
      <rgbColor rgb="FF339966"/>
      <rgbColor rgb="FF003300"/>
      <rgbColor rgb="FF333300"/>
      <rgbColor rgb="FF993300"/>
      <rgbColor rgb="FF993366"/>
      <rgbColor rgb="FF333399"/>
      <rgbColor rgb="FF2236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Jährliche Wasserbilanz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Dashboard!Q46</c:f>
              <c:strCache>
                <c:ptCount val="1"/>
                <c:pt idx="0">
                  <c:v>m³/a</c:v>
                </c:pt>
              </c:strCache>
            </c:strRef>
          </c:tx>
          <c:spPr>
            <a:solidFill>
              <a:srgbClr val="007F86"/>
            </a:solidFill>
            <a:ln w="12600">
              <a:solidFill>
                <a:srgbClr val="007F8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Dashboard!$P$47:$P$51</c:f>
              <c:strCache>
                <c:ptCount val="5"/>
                <c:pt idx="0">
                  <c:v>Rohgrauwasser</c:v>
                </c:pt>
                <c:pt idx="1">
                  <c:v>Aufbereitet</c:v>
                </c:pt>
                <c:pt idx="2">
                  <c:v>Wiederverwendung</c:v>
                </c:pt>
                <c:pt idx="3">
                  <c:v>Betriebsbedarf</c:v>
                </c:pt>
                <c:pt idx="4">
                  <c:v>Nachspeisung</c:v>
                </c:pt>
              </c:strCache>
            </c:strRef>
          </c:cat>
          <c:val>
            <c:numRef>
              <c:f>Dashboard!$Q$47:$Q$51</c:f>
              <c:numCache>
                <c:formatCode>#,##0.00</c:formatCode>
                <c:ptCount val="5"/>
                <c:pt idx="0">
                  <c:v>742.2</c:v>
                </c:pt>
                <c:pt idx="1">
                  <c:v>634.581</c:v>
                </c:pt>
                <c:pt idx="2">
                  <c:v>555.3897572</c:v>
                </c:pt>
                <c:pt idx="3">
                  <c:v>1018.7</c:v>
                </c:pt>
                <c:pt idx="4">
                  <c:v>463.3102428</c:v>
                </c:pt>
              </c:numCache>
            </c:numRef>
          </c:val>
        </c:ser>
        <c:gapWidth val="150"/>
        <c:overlap val="0"/>
        <c:axId val="65013623"/>
        <c:axId val="65645124"/>
      </c:barChart>
      <c:catAx>
        <c:axId val="6501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645124"/>
        <c:crosses val="autoZero"/>
        <c:auto val="1"/>
        <c:lblAlgn val="ctr"/>
        <c:lblOffset val="100"/>
        <c:noMultiLvlLbl val="0"/>
      </c:catAx>
      <c:valAx>
        <c:axId val="656451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m³/a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013623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Jährliche Zahlungsströme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Dashboard!Q54</c:f>
              <c:strCache>
                <c:ptCount val="1"/>
                <c:pt idx="0">
                  <c:v>Cashflow €</c:v>
                </c:pt>
              </c:strCache>
            </c:strRef>
          </c:tx>
          <c:spPr>
            <a:ln w="12600">
              <a:solidFill>
                <a:srgbClr val="007F86"/>
              </a:solidFill>
              <a:round/>
            </a:ln>
          </c:spPr>
          <c:marker>
            <c:symbol val="circle"/>
            <c:size val="3"/>
            <c:spPr>
              <a:solidFill>
                <a:srgbClr val="007F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Dashboard!$P$55:$P$105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</c:numCache>
            </c:numRef>
          </c:xVal>
          <c:yVal>
            <c:numRef>
              <c:f>Dashboard!$Q$55:$Q$105</c:f>
              <c:numCache>
                <c:formatCode>#,##0.00</c:formatCode>
                <c:ptCount val="51"/>
                <c:pt idx="0">
                  <c:v>-25000</c:v>
                </c:pt>
                <c:pt idx="1">
                  <c:v>606.947393</c:v>
                </c:pt>
                <c:pt idx="2">
                  <c:v>619.08634086</c:v>
                </c:pt>
                <c:pt idx="3">
                  <c:v>631.4680676772</c:v>
                </c:pt>
                <c:pt idx="4">
                  <c:v>644.097429030744</c:v>
                </c:pt>
                <c:pt idx="5">
                  <c:v>656.979377611359</c:v>
                </c:pt>
                <c:pt idx="6">
                  <c:v>670.118965163586</c:v>
                </c:pt>
                <c:pt idx="7">
                  <c:v>683.521344466858</c:v>
                </c:pt>
                <c:pt idx="8">
                  <c:v>697.191771356195</c:v>
                </c:pt>
                <c:pt idx="9">
                  <c:v>711.135606783319</c:v>
                </c:pt>
                <c:pt idx="10">
                  <c:v>-4055.01195557026</c:v>
                </c:pt>
                <c:pt idx="11">
                  <c:v>739.865485297365</c:v>
                </c:pt>
                <c:pt idx="12">
                  <c:v>754.662795003312</c:v>
                </c:pt>
                <c:pt idx="13">
                  <c:v>769.756050903378</c:v>
                </c:pt>
                <c:pt idx="14">
                  <c:v>785.151171921446</c:v>
                </c:pt>
                <c:pt idx="15">
                  <c:v>800.854195359875</c:v>
                </c:pt>
                <c:pt idx="16">
                  <c:v>816.871279267072</c:v>
                </c:pt>
                <c:pt idx="17">
                  <c:v>833.208704852414</c:v>
                </c:pt>
                <c:pt idx="18">
                  <c:v>849.872878949462</c:v>
                </c:pt>
                <c:pt idx="19">
                  <c:v>866.870336528452</c:v>
                </c:pt>
                <c:pt idx="20">
                  <c:v>884.20774325902</c:v>
                </c:pt>
                <c:pt idx="21">
                  <c:v>884.20774325902</c:v>
                </c:pt>
                <c:pt idx="22">
                  <c:v>884.20774325902</c:v>
                </c:pt>
                <c:pt idx="23">
                  <c:v>884.20774325902</c:v>
                </c:pt>
                <c:pt idx="24">
                  <c:v>884.20774325902</c:v>
                </c:pt>
                <c:pt idx="25">
                  <c:v>884.20774325902</c:v>
                </c:pt>
                <c:pt idx="26">
                  <c:v>884.20774325902</c:v>
                </c:pt>
                <c:pt idx="27">
                  <c:v>884.20774325902</c:v>
                </c:pt>
                <c:pt idx="28">
                  <c:v>884.20774325902</c:v>
                </c:pt>
                <c:pt idx="29">
                  <c:v>884.20774325902</c:v>
                </c:pt>
                <c:pt idx="30">
                  <c:v>884.20774325902</c:v>
                </c:pt>
                <c:pt idx="31">
                  <c:v>884.20774325902</c:v>
                </c:pt>
                <c:pt idx="32">
                  <c:v>884.20774325902</c:v>
                </c:pt>
                <c:pt idx="33">
                  <c:v>884.20774325902</c:v>
                </c:pt>
                <c:pt idx="34">
                  <c:v>884.20774325902</c:v>
                </c:pt>
                <c:pt idx="35">
                  <c:v>884.20774325902</c:v>
                </c:pt>
                <c:pt idx="36">
                  <c:v>884.20774325902</c:v>
                </c:pt>
                <c:pt idx="37">
                  <c:v>884.20774325902</c:v>
                </c:pt>
                <c:pt idx="38">
                  <c:v>884.20774325902</c:v>
                </c:pt>
                <c:pt idx="39">
                  <c:v>884.20774325902</c:v>
                </c:pt>
                <c:pt idx="40">
                  <c:v>884.20774325902</c:v>
                </c:pt>
                <c:pt idx="41">
                  <c:v>884.20774325902</c:v>
                </c:pt>
                <c:pt idx="42">
                  <c:v>884.20774325902</c:v>
                </c:pt>
                <c:pt idx="43">
                  <c:v>884.20774325902</c:v>
                </c:pt>
                <c:pt idx="44">
                  <c:v>884.20774325902</c:v>
                </c:pt>
                <c:pt idx="45">
                  <c:v>884.20774325902</c:v>
                </c:pt>
                <c:pt idx="46">
                  <c:v>884.20774325902</c:v>
                </c:pt>
                <c:pt idx="47">
                  <c:v>884.20774325902</c:v>
                </c:pt>
                <c:pt idx="48">
                  <c:v>884.20774325902</c:v>
                </c:pt>
                <c:pt idx="49">
                  <c:v>884.20774325902</c:v>
                </c:pt>
                <c:pt idx="50">
                  <c:v>884.20774325902</c:v>
                </c:pt>
              </c:numCache>
            </c:numRef>
          </c:yVal>
          <c:smooth val="0"/>
        </c:ser>
        <c:axId val="19500400"/>
        <c:axId val="26800371"/>
      </c:scatterChart>
      <c:valAx>
        <c:axId val="19500400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Jahr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800371"/>
        <c:crosses val="autoZero"/>
        <c:crossBetween val="midCat"/>
      </c:valAx>
      <c:valAx>
        <c:axId val="268003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500400"/>
        <c:crosses val="autoZero"/>
        <c:crossBetween val="midCat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Kumulierter diskontierter Cashflow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Dashboard!R54</c:f>
              <c:strCache>
                <c:ptCount val="1"/>
                <c:pt idx="0">
                  <c:v>Kumuliert diskontiert €</c:v>
                </c:pt>
              </c:strCache>
            </c:strRef>
          </c:tx>
          <c:spPr>
            <a:ln w="12600">
              <a:solidFill>
                <a:srgbClr val="007F86"/>
              </a:solidFill>
              <a:round/>
            </a:ln>
          </c:spPr>
          <c:marker>
            <c:symbol val="circle"/>
            <c:size val="3"/>
            <c:spPr>
              <a:solidFill>
                <a:srgbClr val="007F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Dashboard!$P$55:$P$105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</c:numCache>
            </c:numRef>
          </c:xVal>
          <c:yVal>
            <c:numRef>
              <c:f>Dashboard!$R$55:$R$105</c:f>
              <c:numCache>
                <c:formatCode>#,##0.00</c:formatCode>
                <c:ptCount val="51"/>
                <c:pt idx="0">
                  <c:v>-25000</c:v>
                </c:pt>
                <c:pt idx="1">
                  <c:v>-24410.7306864078</c:v>
                </c:pt>
                <c:pt idx="2">
                  <c:v>-23827.1824341125</c:v>
                </c:pt>
                <c:pt idx="3">
                  <c:v>-23249.2996988299</c:v>
                </c:pt>
                <c:pt idx="4">
                  <c:v>-22677.0274755403</c:v>
                </c:pt>
                <c:pt idx="5">
                  <c:v>-22110.3112932535</c:v>
                </c:pt>
                <c:pt idx="6">
                  <c:v>-21549.0972098238</c:v>
                </c:pt>
                <c:pt idx="7">
                  <c:v>-20993.3318068158</c:v>
                </c:pt>
                <c:pt idx="8">
                  <c:v>-20442.9621844196</c:v>
                </c:pt>
                <c:pt idx="9">
                  <c:v>-19897.9359564155</c:v>
                </c:pt>
                <c:pt idx="10">
                  <c:v>-22915.2456773888</c:v>
                </c:pt>
                <c:pt idx="11">
                  <c:v>-22380.7511089889</c:v>
                </c:pt>
                <c:pt idx="12">
                  <c:v>-21851.4458082434</c:v>
                </c:pt>
                <c:pt idx="13">
                  <c:v>-21327.2793939129</c:v>
                </c:pt>
                <c:pt idx="14">
                  <c:v>-20808.2019738963</c:v>
                </c:pt>
                <c:pt idx="15">
                  <c:v>-20294.1641404817</c:v>
                </c:pt>
                <c:pt idx="16">
                  <c:v>-19785.1169656441</c:v>
                </c:pt>
                <c:pt idx="17">
                  <c:v>-19281.0119963873</c:v>
                </c:pt>
                <c:pt idx="18">
                  <c:v>-18781.8012501331</c:v>
                </c:pt>
                <c:pt idx="19">
                  <c:v>-18287.4372101532</c:v>
                </c:pt>
                <c:pt idx="20">
                  <c:v>-17797.8728210468</c:v>
                </c:pt>
                <c:pt idx="21">
                  <c:v>-17797.8728210468</c:v>
                </c:pt>
                <c:pt idx="22">
                  <c:v>-17797.8728210468</c:v>
                </c:pt>
                <c:pt idx="23">
                  <c:v>-17797.8728210468</c:v>
                </c:pt>
                <c:pt idx="24">
                  <c:v>-17797.8728210468</c:v>
                </c:pt>
                <c:pt idx="25">
                  <c:v>-17797.8728210468</c:v>
                </c:pt>
                <c:pt idx="26">
                  <c:v>-17797.8728210468</c:v>
                </c:pt>
                <c:pt idx="27">
                  <c:v>-17797.8728210468</c:v>
                </c:pt>
                <c:pt idx="28">
                  <c:v>-17797.8728210468</c:v>
                </c:pt>
                <c:pt idx="29">
                  <c:v>-17797.8728210468</c:v>
                </c:pt>
                <c:pt idx="30">
                  <c:v>-17797.8728210468</c:v>
                </c:pt>
                <c:pt idx="31">
                  <c:v>-17797.8728210468</c:v>
                </c:pt>
                <c:pt idx="32">
                  <c:v>-17797.8728210468</c:v>
                </c:pt>
                <c:pt idx="33">
                  <c:v>-17797.8728210468</c:v>
                </c:pt>
                <c:pt idx="34">
                  <c:v>-17797.8728210468</c:v>
                </c:pt>
                <c:pt idx="35">
                  <c:v>-17797.8728210468</c:v>
                </c:pt>
                <c:pt idx="36">
                  <c:v>-17797.8728210468</c:v>
                </c:pt>
                <c:pt idx="37">
                  <c:v>-17797.8728210468</c:v>
                </c:pt>
                <c:pt idx="38">
                  <c:v>-17797.8728210468</c:v>
                </c:pt>
                <c:pt idx="39">
                  <c:v>-17797.8728210468</c:v>
                </c:pt>
                <c:pt idx="40">
                  <c:v>-17797.8728210468</c:v>
                </c:pt>
                <c:pt idx="41">
                  <c:v>-17797.8728210468</c:v>
                </c:pt>
                <c:pt idx="42">
                  <c:v>-17797.8728210468</c:v>
                </c:pt>
                <c:pt idx="43">
                  <c:v>-17797.8728210468</c:v>
                </c:pt>
                <c:pt idx="44">
                  <c:v>-17797.8728210468</c:v>
                </c:pt>
                <c:pt idx="45">
                  <c:v>-17797.8728210468</c:v>
                </c:pt>
                <c:pt idx="46">
                  <c:v>-17797.8728210468</c:v>
                </c:pt>
                <c:pt idx="47">
                  <c:v>-17797.8728210468</c:v>
                </c:pt>
                <c:pt idx="48">
                  <c:v>-17797.8728210468</c:v>
                </c:pt>
                <c:pt idx="49">
                  <c:v>-17797.8728210468</c:v>
                </c:pt>
                <c:pt idx="50">
                  <c:v>-17797.8728210468</c:v>
                </c:pt>
              </c:numCache>
            </c:numRef>
          </c:yVal>
          <c:smooth val="0"/>
        </c:ser>
        <c:axId val="99257306"/>
        <c:axId val="13870368"/>
      </c:scatterChart>
      <c:valAx>
        <c:axId val="99257306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Jahr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870368"/>
        <c:crosses val="autoZero"/>
        <c:crossBetween val="midCat"/>
      </c:valAx>
      <c:valAx>
        <c:axId val="138703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257306"/>
        <c:crosses val="autoZero"/>
        <c:crossBetween val="midCat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Kapitalwert der drei Szenarien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Szenarien!L7</c:f>
              <c:strCache>
                <c:ptCount val="1"/>
                <c:pt idx="0">
                  <c:v>Kapitalwert €</c:v>
                </c:pt>
              </c:strCache>
            </c:strRef>
          </c:tx>
          <c:spPr>
            <a:solidFill>
              <a:srgbClr val="007F86"/>
            </a:solidFill>
            <a:ln w="12600">
              <a:solidFill>
                <a:srgbClr val="007F8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Szenarien!$A$8:$A$10</c:f>
              <c:strCache>
                <c:ptCount val="3"/>
                <c:pt idx="0">
                  <c:v>Konservativ</c:v>
                </c:pt>
                <c:pt idx="1">
                  <c:v>Basis</c:v>
                </c:pt>
                <c:pt idx="2">
                  <c:v>Optimistisch</c:v>
                </c:pt>
              </c:strCache>
            </c:strRef>
          </c:cat>
          <c:val>
            <c:numRef>
              <c:f>Szenarien!$L$8:$L$10</c:f>
              <c:numCache>
                <c:formatCode>#,##0.00</c:formatCode>
                <c:ptCount val="3"/>
                <c:pt idx="0">
                  <c:v>-31663.2711008011</c:v>
                </c:pt>
                <c:pt idx="1">
                  <c:v>-17797.8728210468</c:v>
                </c:pt>
                <c:pt idx="2">
                  <c:v>-875.539036078431</c:v>
                </c:pt>
              </c:numCache>
            </c:numRef>
          </c:val>
        </c:ser>
        <c:gapWidth val="150"/>
        <c:overlap val="0"/>
        <c:axId val="8931627"/>
        <c:axId val="88840606"/>
      </c:barChart>
      <c:catAx>
        <c:axId val="89316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840606"/>
        <c:crosses val="autoZero"/>
        <c:auto val="1"/>
        <c:lblAlgn val="ctr"/>
        <c:lblOffset val="100"/>
        <c:noMultiLvlLbl val="0"/>
      </c:catAx>
      <c:valAx>
        <c:axId val="888406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31627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Sensitivität des Kapitalwerts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Szenarien!L13</c:f>
              <c:strCache>
                <c:ptCount val="1"/>
                <c:pt idx="0">
                  <c:v>Kapitalwert €</c:v>
                </c:pt>
              </c:strCache>
            </c:strRef>
          </c:tx>
          <c:spPr>
            <a:solidFill>
              <a:srgbClr val="007F86"/>
            </a:solidFill>
            <a:ln w="12600">
              <a:solidFill>
                <a:srgbClr val="007F8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Szenarien!$A$14:$A$25</c:f>
              <c:strCache>
                <c:ptCount val="12"/>
                <c:pt idx="0">
                  <c:v>Investition −20 %</c:v>
                </c:pt>
                <c:pt idx="1">
                  <c:v>Investition +20 %</c:v>
                </c:pt>
                <c:pt idx="2">
                  <c:v>Trinkwasserpreis −20 %</c:v>
                </c:pt>
                <c:pt idx="3">
                  <c:v>Trinkwasserpreis +20 %</c:v>
                </c:pt>
                <c:pt idx="4">
                  <c:v>Betriebswasserbedarf −20 %</c:v>
                </c:pt>
                <c:pt idx="5">
                  <c:v>Betriebswasserbedarf +20 %</c:v>
                </c:pt>
                <c:pt idx="6">
                  <c:v>Grauwasseranfall −20 %</c:v>
                </c:pt>
                <c:pt idx="7">
                  <c:v>Grauwasseranfall +20 %</c:v>
                </c:pt>
                <c:pt idx="8">
                  <c:v>Betriebskosten −20 %</c:v>
                </c:pt>
                <c:pt idx="9">
                  <c:v>Betriebskosten +20 %</c:v>
                </c:pt>
                <c:pt idx="10">
                  <c:v>Kalkulationszins −1 %-Punkt</c:v>
                </c:pt>
                <c:pt idx="11">
                  <c:v>Kalkulationszins +1 %-Punkt</c:v>
                </c:pt>
              </c:strCache>
            </c:strRef>
          </c:cat>
          <c:val>
            <c:numRef>
              <c:f>Szenarien!$L$14:$L$25</c:f>
              <c:numCache>
                <c:formatCode>#,##0.00</c:formatCode>
                <c:ptCount val="12"/>
                <c:pt idx="0">
                  <c:v>-12086.4639346067</c:v>
                </c:pt>
                <c:pt idx="1">
                  <c:v>-23509.281707487</c:v>
                </c:pt>
                <c:pt idx="2">
                  <c:v>-22720.485371746</c:v>
                </c:pt>
                <c:pt idx="3">
                  <c:v>-12875.2602703477</c:v>
                </c:pt>
                <c:pt idx="4">
                  <c:v>-18776.0318779117</c:v>
                </c:pt>
                <c:pt idx="5">
                  <c:v>-16819.713764182</c:v>
                </c:pt>
                <c:pt idx="6">
                  <c:v>-20992.391371708</c:v>
                </c:pt>
                <c:pt idx="7">
                  <c:v>-14732.6587434232</c:v>
                </c:pt>
                <c:pt idx="8">
                  <c:v>-15027.0945925785</c:v>
                </c:pt>
                <c:pt idx="9">
                  <c:v>-20568.6510495152</c:v>
                </c:pt>
                <c:pt idx="10">
                  <c:v>-17020.6393529412</c:v>
                </c:pt>
                <c:pt idx="11">
                  <c:v>-18462.6616805944</c:v>
                </c:pt>
              </c:numCache>
            </c:numRef>
          </c:val>
        </c:ser>
        <c:gapWidth val="150"/>
        <c:overlap val="0"/>
        <c:axId val="75992319"/>
        <c:axId val="13628542"/>
      </c:barChart>
      <c:catAx>
        <c:axId val="7599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628542"/>
        <c:crosses val="autoZero"/>
        <c:auto val="1"/>
        <c:lblAlgn val="ctr"/>
        <c:lblOffset val="100"/>
        <c:noMultiLvlLbl val="0"/>
      </c:catAx>
      <c:valAx>
        <c:axId val="13628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992319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Mittlere Nutzerbewertungen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Testauswertung!C5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rgbClr val="007F86"/>
            </a:solidFill>
            <a:ln w="12600">
              <a:solidFill>
                <a:srgbClr val="007F8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Testauswertung!$A$6:$A$12</c:f>
              <c:strCache>
                <c:ptCount val="7"/>
                <c:pt idx="0">
                  <c:v>Verständlichkeit</c:v>
                </c:pt>
                <c:pt idx="1">
                  <c:v>Bedienbarkeit</c:v>
                </c:pt>
                <c:pt idx="2">
                  <c:v>Übersichtlichkeit</c:v>
                </c:pt>
                <c:pt idx="3">
                  <c:v>Rechenweg verständlich</c:v>
                </c:pt>
                <c:pt idx="4">
                  <c:v>Ampel verständlich</c:v>
                </c:pt>
                <c:pt idx="5">
                  <c:v>Fehlersicherheit</c:v>
                </c:pt>
                <c:pt idx="6">
                  <c:v>Praxistauglichkeit</c:v>
                </c:pt>
              </c:strCache>
            </c:strRef>
          </c:cat>
          <c:val>
            <c:numRef>
              <c:f>Testauswertung!$C$6:$C$12</c:f>
              <c:numCache>
                <c:formatCode>General</c:formatCode>
                <c:ptCount val="7"/>
              </c:numCache>
            </c:numRef>
          </c:val>
        </c:ser>
        <c:gapWidth val="150"/>
        <c:overlap val="0"/>
        <c:axId val="7049552"/>
        <c:axId val="19914525"/>
      </c:barChart>
      <c:catAx>
        <c:axId val="704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914525"/>
        <c:crosses val="autoZero"/>
        <c:auto val="1"/>
        <c:lblAlgn val="ctr"/>
        <c:lblOffset val="100"/>
        <c:noMultiLvlLbl val="0"/>
      </c:catAx>
      <c:valAx>
        <c:axId val="19914525"/>
        <c:scaling>
          <c:orientation val="minMax"/>
          <c:max val="5"/>
          <c:min val="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Skala 1–5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49552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Antwortverteilungen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Testauswertung!E5</c:f>
              <c:strCache>
                <c:ptCount val="1"/>
                <c:pt idx="0">
                  <c:v>Antwort 1</c:v>
                </c:pt>
              </c:strCache>
            </c:strRef>
          </c:tx>
          <c:spPr>
            <a:solidFill>
              <a:srgbClr val="007F86"/>
            </a:solidFill>
            <a:ln w="12600">
              <a:solidFill>
                <a:srgbClr val="007F8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Testauswertung!$A$6:$A$12</c:f>
              <c:strCache>
                <c:ptCount val="7"/>
                <c:pt idx="0">
                  <c:v>Verständlichkeit</c:v>
                </c:pt>
                <c:pt idx="1">
                  <c:v>Bedienbarkeit</c:v>
                </c:pt>
                <c:pt idx="2">
                  <c:v>Übersichtlichkeit</c:v>
                </c:pt>
                <c:pt idx="3">
                  <c:v>Rechenweg verständlich</c:v>
                </c:pt>
                <c:pt idx="4">
                  <c:v>Ampel verständlich</c:v>
                </c:pt>
                <c:pt idx="5">
                  <c:v>Fehlersicherheit</c:v>
                </c:pt>
                <c:pt idx="6">
                  <c:v>Praxistauglichkeit</c:v>
                </c:pt>
              </c:strCache>
            </c:strRef>
          </c:cat>
          <c:val>
            <c:numRef>
              <c:f>Testauswertung!$E$6:$E$12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Testauswertung!F5</c:f>
              <c:strCache>
                <c:ptCount val="1"/>
                <c:pt idx="0">
                  <c:v>Antwort 2</c:v>
                </c:pt>
              </c:strCache>
            </c:strRef>
          </c:tx>
          <c:spPr>
            <a:solidFill>
              <a:srgbClr val="142D4E"/>
            </a:solidFill>
            <a:ln w="12600">
              <a:solidFill>
                <a:srgbClr val="142D4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Testauswertung!$A$6:$A$12</c:f>
              <c:strCache>
                <c:ptCount val="7"/>
                <c:pt idx="0">
                  <c:v>Verständlichkeit</c:v>
                </c:pt>
                <c:pt idx="1">
                  <c:v>Bedienbarkeit</c:v>
                </c:pt>
                <c:pt idx="2">
                  <c:v>Übersichtlichkeit</c:v>
                </c:pt>
                <c:pt idx="3">
                  <c:v>Rechenweg verständlich</c:v>
                </c:pt>
                <c:pt idx="4">
                  <c:v>Ampel verständlich</c:v>
                </c:pt>
                <c:pt idx="5">
                  <c:v>Fehlersicherheit</c:v>
                </c:pt>
                <c:pt idx="6">
                  <c:v>Praxistauglichkeit</c:v>
                </c:pt>
              </c:strCache>
            </c:strRef>
          </c:cat>
          <c:val>
            <c:numRef>
              <c:f>Testauswertung!$F$6:$F$12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Testauswertung!G5</c:f>
              <c:strCache>
                <c:ptCount val="1"/>
                <c:pt idx="0">
                  <c:v>Antwort 3</c:v>
                </c:pt>
              </c:strCache>
            </c:strRef>
          </c:tx>
          <c:spPr>
            <a:solidFill>
              <a:srgbClr val="7A9BB4"/>
            </a:solidFill>
            <a:ln w="12600">
              <a:solidFill>
                <a:srgbClr val="7A9BB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Testauswertung!$A$6:$A$12</c:f>
              <c:strCache>
                <c:ptCount val="7"/>
                <c:pt idx="0">
                  <c:v>Verständlichkeit</c:v>
                </c:pt>
                <c:pt idx="1">
                  <c:v>Bedienbarkeit</c:v>
                </c:pt>
                <c:pt idx="2">
                  <c:v>Übersichtlichkeit</c:v>
                </c:pt>
                <c:pt idx="3">
                  <c:v>Rechenweg verständlich</c:v>
                </c:pt>
                <c:pt idx="4">
                  <c:v>Ampel verständlich</c:v>
                </c:pt>
                <c:pt idx="5">
                  <c:v>Fehlersicherheit</c:v>
                </c:pt>
                <c:pt idx="6">
                  <c:v>Praxistauglichkeit</c:v>
                </c:pt>
              </c:strCache>
            </c:strRef>
          </c:cat>
          <c:val>
            <c:numRef>
              <c:f>Testauswertung!$G$6:$G$12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Testauswertung!H5</c:f>
              <c:strCache>
                <c:ptCount val="1"/>
                <c:pt idx="0">
                  <c:v>Antwort 4</c:v>
                </c:pt>
              </c:strCache>
            </c:strRef>
          </c:tx>
          <c:spPr>
            <a:solidFill>
              <a:srgbClr val="EAB05A"/>
            </a:solidFill>
            <a:ln w="12600">
              <a:solidFill>
                <a:srgbClr val="EAB05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Testauswertung!$A$6:$A$12</c:f>
              <c:strCache>
                <c:ptCount val="7"/>
                <c:pt idx="0">
                  <c:v>Verständlichkeit</c:v>
                </c:pt>
                <c:pt idx="1">
                  <c:v>Bedienbarkeit</c:v>
                </c:pt>
                <c:pt idx="2">
                  <c:v>Übersichtlichkeit</c:v>
                </c:pt>
                <c:pt idx="3">
                  <c:v>Rechenweg verständlich</c:v>
                </c:pt>
                <c:pt idx="4">
                  <c:v>Ampel verständlich</c:v>
                </c:pt>
                <c:pt idx="5">
                  <c:v>Fehlersicherheit</c:v>
                </c:pt>
                <c:pt idx="6">
                  <c:v>Praxistauglichkeit</c:v>
                </c:pt>
              </c:strCache>
            </c:strRef>
          </c:cat>
          <c:val>
            <c:numRef>
              <c:f>Testauswertung!$H$6:$H$12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4"/>
          <c:order val="4"/>
          <c:tx>
            <c:strRef>
              <c:f>Testauswertung!I5</c:f>
              <c:strCache>
                <c:ptCount val="1"/>
                <c:pt idx="0">
                  <c:v>Antwort 5</c:v>
                </c:pt>
              </c:strCache>
            </c:strRef>
          </c:tx>
          <c:spPr>
            <a:solidFill>
              <a:srgbClr val="007F86"/>
            </a:solidFill>
            <a:ln w="12600">
              <a:solidFill>
                <a:srgbClr val="007F8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Testauswertung!$A$6:$A$12</c:f>
              <c:strCache>
                <c:ptCount val="7"/>
                <c:pt idx="0">
                  <c:v>Verständlichkeit</c:v>
                </c:pt>
                <c:pt idx="1">
                  <c:v>Bedienbarkeit</c:v>
                </c:pt>
                <c:pt idx="2">
                  <c:v>Übersichtlichkeit</c:v>
                </c:pt>
                <c:pt idx="3">
                  <c:v>Rechenweg verständlich</c:v>
                </c:pt>
                <c:pt idx="4">
                  <c:v>Ampel verständlich</c:v>
                </c:pt>
                <c:pt idx="5">
                  <c:v>Fehlersicherheit</c:v>
                </c:pt>
                <c:pt idx="6">
                  <c:v>Praxistauglichkeit</c:v>
                </c:pt>
              </c:strCache>
            </c:strRef>
          </c:cat>
          <c:val>
            <c:numRef>
              <c:f>Testauswertung!$I$6:$I$12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19056679"/>
        <c:axId val="13686797"/>
      </c:barChart>
      <c:catAx>
        <c:axId val="19056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686797"/>
        <c:crosses val="autoZero"/>
        <c:auto val="1"/>
        <c:lblAlgn val="ctr"/>
        <c:lblOffset val="100"/>
        <c:noMultiLvlLbl val="0"/>
      </c:catAx>
      <c:valAx>
        <c:axId val="136867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Anzahl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056679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5</xdr:col>
      <xdr:colOff>465840</xdr:colOff>
      <xdr:row>43</xdr:row>
      <xdr:rowOff>1440</xdr:rowOff>
    </xdr:to>
    <xdr:graphicFrame>
      <xdr:nvGraphicFramePr>
        <xdr:cNvPr id="1" name="Chart 1"/>
        <xdr:cNvGraphicFramePr/>
      </xdr:nvGraphicFramePr>
      <xdr:xfrm>
        <a:off x="0" y="85428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26</xdr:row>
      <xdr:rowOff>0</xdr:rowOff>
    </xdr:from>
    <xdr:to>
      <xdr:col>11</xdr:col>
      <xdr:colOff>465840</xdr:colOff>
      <xdr:row>43</xdr:row>
      <xdr:rowOff>1440</xdr:rowOff>
    </xdr:to>
    <xdr:graphicFrame>
      <xdr:nvGraphicFramePr>
        <xdr:cNvPr id="2" name="Chart 2"/>
        <xdr:cNvGraphicFramePr/>
      </xdr:nvGraphicFramePr>
      <xdr:xfrm>
        <a:off x="5920920" y="85428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43</xdr:row>
      <xdr:rowOff>0</xdr:rowOff>
    </xdr:from>
    <xdr:to>
      <xdr:col>10</xdr:col>
      <xdr:colOff>931680</xdr:colOff>
      <xdr:row>55</xdr:row>
      <xdr:rowOff>174240</xdr:rowOff>
    </xdr:to>
    <xdr:graphicFrame>
      <xdr:nvGraphicFramePr>
        <xdr:cNvPr id="3" name="Chart 3"/>
        <xdr:cNvGraphicFramePr/>
      </xdr:nvGraphicFramePr>
      <xdr:xfrm>
        <a:off x="0" y="1178100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0</xdr:rowOff>
    </xdr:from>
    <xdr:to>
      <xdr:col>4</xdr:col>
      <xdr:colOff>692280</xdr:colOff>
      <xdr:row>47</xdr:row>
      <xdr:rowOff>1080</xdr:rowOff>
    </xdr:to>
    <xdr:graphicFrame>
      <xdr:nvGraphicFramePr>
        <xdr:cNvPr id="4" name="Chart 1"/>
        <xdr:cNvGraphicFramePr/>
      </xdr:nvGraphicFramePr>
      <xdr:xfrm>
        <a:off x="0" y="112107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14</xdr:col>
      <xdr:colOff>385200</xdr:colOff>
      <xdr:row>50</xdr:row>
      <xdr:rowOff>149400</xdr:rowOff>
    </xdr:to>
    <xdr:graphicFrame>
      <xdr:nvGraphicFramePr>
        <xdr:cNvPr id="5" name="Chart 2"/>
        <xdr:cNvGraphicFramePr/>
      </xdr:nvGraphicFramePr>
      <xdr:xfrm>
        <a:off x="8810640" y="11210760"/>
        <a:ext cx="82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0</xdr:rowOff>
    </xdr:from>
    <xdr:to>
      <xdr:col>3</xdr:col>
      <xdr:colOff>677160</xdr:colOff>
      <xdr:row>46</xdr:row>
      <xdr:rowOff>1080</xdr:rowOff>
    </xdr:to>
    <xdr:graphicFrame>
      <xdr:nvGraphicFramePr>
        <xdr:cNvPr id="6" name="Chart 1"/>
        <xdr:cNvGraphicFramePr/>
      </xdr:nvGraphicFramePr>
      <xdr:xfrm>
        <a:off x="0" y="10801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29</xdr:row>
      <xdr:rowOff>0</xdr:rowOff>
    </xdr:from>
    <xdr:to>
      <xdr:col>11</xdr:col>
      <xdr:colOff>480960</xdr:colOff>
      <xdr:row>46</xdr:row>
      <xdr:rowOff>1080</xdr:rowOff>
    </xdr:to>
    <xdr:graphicFrame>
      <xdr:nvGraphicFramePr>
        <xdr:cNvPr id="7" name="Chart 2"/>
        <xdr:cNvGraphicFramePr/>
      </xdr:nvGraphicFramePr>
      <xdr:xfrm>
        <a:off x="8105760" y="108014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nonymeTests" displayName="AnonymeTests" ref="A5:R55" headerRowCount="1" totalsRowCount="0" totalsRowShown="0">
  <autoFilter ref="A5:R55"/>
  <tableColumns count="18">
    <tableColumn id="1" name="Anonyme ID"/>
    <tableColumn id="2" name="Rolle"/>
    <tableColumn id="3" name="Erfahrung Excel 1–5"/>
    <tableColumn id="4" name="Zeit Minuten"/>
    <tableColumn id="5" name="Fehlerzahl"/>
    <tableColumn id="6" name="Verständlichkeit"/>
    <tableColumn id="7" name="Bedienbarkeit"/>
    <tableColumn id="8" name="Übersichtlichkeit"/>
    <tableColumn id="9" name="Rechenweg verständlich"/>
    <tableColumn id="10" name="Ampel verständlich"/>
    <tableColumn id="11" name="Fehlersicherheit"/>
    <tableColumn id="12" name="Praxistauglichkeit"/>
    <tableColumn id="13" name="A1 Projekt erfasst"/>
    <tableColumn id="14" name="A2 Szenario erstellt"/>
    <tableColumn id="15" name="A3 Ampel erklärt"/>
    <tableColumn id="16" name="A4 Fehler erkannt"/>
    <tableColumn id="17" name="Beobachtete Fehler"/>
    <tableColumn id="18" name="Kommen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build/raw/Grauwasser_Bewertungstool.xlsx" TargetMode="External"/><Relationship Id="rId2" Type="http://schemas.openxmlformats.org/officeDocument/2006/relationships/hyperlink" Target="build/raw/Grauwasser_Bewertungstool.xlsx" TargetMode="External"/><Relationship Id="rId3" Type="http://schemas.openxmlformats.org/officeDocument/2006/relationships/hyperlink" Target="build/raw/Grauwasser_Bewertungstool.xlsx" TargetMode="External"/><Relationship Id="rId4" Type="http://schemas.openxmlformats.org/officeDocument/2006/relationships/hyperlink" Target="build/raw/Grauwasser_Bewertungstool.xlsx" TargetMode="External"/><Relationship Id="rId5" Type="http://schemas.openxmlformats.org/officeDocument/2006/relationships/hyperlink" Target="build/raw/Grauwasser_Bewertungstool.xlsx" TargetMode="External"/><Relationship Id="rId6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build/raw/Grauwasser_Bewertungstool.xlsx" TargetMode="External"/><Relationship Id="rId2" Type="http://schemas.openxmlformats.org/officeDocument/2006/relationships/hyperlink" Target="build/raw/Grauwasser_Bewertungstool.xlsx" TargetMode="External"/><Relationship Id="rId3" Type="http://schemas.openxmlformats.org/officeDocument/2006/relationships/hyperlink" Target="build/raw/Grauwasser_Bewertungstool.xlsx" TargetMode="External"/><Relationship Id="rId4" Type="http://schemas.openxmlformats.org/officeDocument/2006/relationships/hyperlink" Target="build/raw/Grauwasser_Bewertungstool.xlsx" TargetMode="External"/><Relationship Id="rId5" Type="http://schemas.openxmlformats.org/officeDocument/2006/relationships/hyperlink" Target="build/raw/Grauwasser_Bewertungstool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build/raw/Grauwasser_Bewertungstool.xlsx" TargetMode="External"/><Relationship Id="rId2" Type="http://schemas.openxmlformats.org/officeDocument/2006/relationships/hyperlink" Target="build/raw/Grauwasser_Bewertungstool.xlsx" TargetMode="External"/><Relationship Id="rId3" Type="http://schemas.openxmlformats.org/officeDocument/2006/relationships/hyperlink" Target="build/raw/Grauwasser_Bewertungstool.xlsx" TargetMode="External"/><Relationship Id="rId4" Type="http://schemas.openxmlformats.org/officeDocument/2006/relationships/hyperlink" Target="build/raw/Grauwasser_Bewertungstool.xlsx" TargetMode="External"/><Relationship Id="rId5" Type="http://schemas.openxmlformats.org/officeDocument/2006/relationships/hyperlink" Target="build/raw/Grauwasser_Bewertungstool.xlsx" TargetMode="External"/><Relationship Id="rId6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build/raw/Grauwasser_Bewertungstool.xlsx" TargetMode="External"/><Relationship Id="rId2" Type="http://schemas.openxmlformats.org/officeDocument/2006/relationships/hyperlink" Target="build/raw/Grauwasser_Bewertungstool.xlsx" TargetMode="External"/><Relationship Id="rId3" Type="http://schemas.openxmlformats.org/officeDocument/2006/relationships/hyperlink" Target="build/raw/Grauwasser_Bewertungstool.xlsx" TargetMode="External"/><Relationship Id="rId4" Type="http://schemas.openxmlformats.org/officeDocument/2006/relationships/hyperlink" Target="build/raw/Grauwasser_Bewertungstool.xlsx" TargetMode="External"/><Relationship Id="rId5" Type="http://schemas.openxmlformats.org/officeDocument/2006/relationships/hyperlink" Target="build/raw/Grauwasser_Bewertungstool.xlsx" TargetMode="External"/><Relationship Id="rId6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build/raw/Grauwasser_Bewertungstool.xlsx" TargetMode="External"/><Relationship Id="rId2" Type="http://schemas.openxmlformats.org/officeDocument/2006/relationships/hyperlink" Target="build/raw/Grauwasser_Bewertungstool.xlsx" TargetMode="External"/><Relationship Id="rId3" Type="http://schemas.openxmlformats.org/officeDocument/2006/relationships/hyperlink" Target="build/raw/Grauwasser_Bewertungstool.xlsx" TargetMode="External"/><Relationship Id="rId4" Type="http://schemas.openxmlformats.org/officeDocument/2006/relationships/hyperlink" Target="build/raw/Grauwasser_Bewertungstool.xlsx" TargetMode="External"/><Relationship Id="rId5" Type="http://schemas.openxmlformats.org/officeDocument/2006/relationships/hyperlink" Target="build/raw/Grauwasser_Bewertungstool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build/raw/Grauwasser_Bewertungstool.xlsx" TargetMode="External"/><Relationship Id="rId2" Type="http://schemas.openxmlformats.org/officeDocument/2006/relationships/hyperlink" Target="build/raw/Grauwasser_Bewertungstool.xlsx" TargetMode="External"/><Relationship Id="rId3" Type="http://schemas.openxmlformats.org/officeDocument/2006/relationships/hyperlink" Target="build/raw/Grauwasser_Bewertungstool.xlsx" TargetMode="External"/><Relationship Id="rId4" Type="http://schemas.openxmlformats.org/officeDocument/2006/relationships/hyperlink" Target="build/raw/Grauwasser_Bewertungstool.xlsx" TargetMode="External"/><Relationship Id="rId5" Type="http://schemas.openxmlformats.org/officeDocument/2006/relationships/hyperlink" Target="build/raw/Grauwasser_Bewertungstool.xlsx" TargetMode="External"/><Relationship Id="rId6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build/raw/Grauwasser_Bewertungstool.xlsx" TargetMode="External"/><Relationship Id="rId2" Type="http://schemas.openxmlformats.org/officeDocument/2006/relationships/hyperlink" Target="build/raw/Grauwasser_Bewertungstool.xlsx" TargetMode="External"/><Relationship Id="rId3" Type="http://schemas.openxmlformats.org/officeDocument/2006/relationships/hyperlink" Target="build/raw/Grauwasser_Bewertungstool.xlsx" TargetMode="External"/><Relationship Id="rId4" Type="http://schemas.openxmlformats.org/officeDocument/2006/relationships/hyperlink" Target="build/raw/Grauwasser_Bewertungstool.xlsx" TargetMode="External"/><Relationship Id="rId5" Type="http://schemas.openxmlformats.org/officeDocument/2006/relationships/hyperlink" Target="build/raw/Grauwasser_Bewertungstool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build/raw/Grauwasser_Bewertungstool.xlsx" TargetMode="External"/><Relationship Id="rId2" Type="http://schemas.openxmlformats.org/officeDocument/2006/relationships/hyperlink" Target="build/raw/Grauwasser_Bewertungstool.xlsx" TargetMode="External"/><Relationship Id="rId3" Type="http://schemas.openxmlformats.org/officeDocument/2006/relationships/hyperlink" Target="build/raw/Grauwasser_Bewertungstool.xlsx" TargetMode="External"/><Relationship Id="rId4" Type="http://schemas.openxmlformats.org/officeDocument/2006/relationships/hyperlink" Target="build/raw/Grauwasser_Bewertungstool.xlsx" TargetMode="External"/><Relationship Id="rId5" Type="http://schemas.openxmlformats.org/officeDocument/2006/relationships/hyperlink" Target="build/raw/Grauwasser_Bewertungstool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build/raw/Grauwasser_Bewertungstool.xlsx" TargetMode="External"/><Relationship Id="rId2" Type="http://schemas.openxmlformats.org/officeDocument/2006/relationships/hyperlink" Target="build/raw/Grauwasser_Bewertungstool.xlsx" TargetMode="External"/><Relationship Id="rId3" Type="http://schemas.openxmlformats.org/officeDocument/2006/relationships/hyperlink" Target="build/raw/Grauwasser_Bewertungstool.xlsx" TargetMode="External"/><Relationship Id="rId4" Type="http://schemas.openxmlformats.org/officeDocument/2006/relationships/hyperlink" Target="build/raw/Grauwasser_Bewertungstool.xlsx" TargetMode="External"/><Relationship Id="rId5" Type="http://schemas.openxmlformats.org/officeDocument/2006/relationships/hyperlink" Target="build/raw/Grauwasser_Bewertungstool.xlsx" TargetMode="External"/><Relationship Id="rId6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build/raw/Grauwasser_Bewertungstool.xlsx" TargetMode="External"/><Relationship Id="rId2" Type="http://schemas.openxmlformats.org/officeDocument/2006/relationships/hyperlink" Target="build/raw/Grauwasser_Bewertungstool.xlsx" TargetMode="External"/><Relationship Id="rId3" Type="http://schemas.openxmlformats.org/officeDocument/2006/relationships/hyperlink" Target="build/raw/Grauwasser_Bewertungstool.xlsx" TargetMode="External"/><Relationship Id="rId4" Type="http://schemas.openxmlformats.org/officeDocument/2006/relationships/hyperlink" Target="build/raw/Grauwasser_Bewertungstool.xlsx" TargetMode="External"/><Relationship Id="rId5" Type="http://schemas.openxmlformats.org/officeDocument/2006/relationships/hyperlink" Target="build/raw/Grauwasser_Bewertungstool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build/raw/Grauwasser_Bewertungstool.xlsx" TargetMode="External"/><Relationship Id="rId2" Type="http://schemas.openxmlformats.org/officeDocument/2006/relationships/hyperlink" Target="build/raw/Grauwasser_Bewertungstool.xlsx" TargetMode="External"/><Relationship Id="rId3" Type="http://schemas.openxmlformats.org/officeDocument/2006/relationships/hyperlink" Target="build/raw/Grauwasser_Bewertungstool.xlsx" TargetMode="External"/><Relationship Id="rId4" Type="http://schemas.openxmlformats.org/officeDocument/2006/relationships/hyperlink" Target="build/raw/Grauwasser_Bewertungstool.xlsx" TargetMode="External"/><Relationship Id="rId5" Type="http://schemas.openxmlformats.org/officeDocument/2006/relationships/hyperlink" Target="build/raw/Grauwasser_Bewertungstool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build/raw/Grauwasser_Bewertungstool.xlsx" TargetMode="External"/><Relationship Id="rId2" Type="http://schemas.openxmlformats.org/officeDocument/2006/relationships/hyperlink" Target="build/raw/Grauwasser_Bewertungstool.xlsx" TargetMode="External"/><Relationship Id="rId3" Type="http://schemas.openxmlformats.org/officeDocument/2006/relationships/hyperlink" Target="build/raw/Grauwasser_Bewertungstool.xlsx" TargetMode="External"/><Relationship Id="rId4" Type="http://schemas.openxmlformats.org/officeDocument/2006/relationships/hyperlink" Target="build/raw/Grauwasser_Bewertungstool.xlsx" TargetMode="External"/><Relationship Id="rId5" Type="http://schemas.openxmlformats.org/officeDocument/2006/relationships/hyperlink" Target="build/raw/Grauwasser_Bewertungstool.xlsx" TargetMode="External"/><Relationship Id="rId6" Type="http://schemas.openxmlformats.org/officeDocument/2006/relationships/drawing" Target="../drawings/drawing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build/raw/Grauwasser_Bewertungstool.xlsx" TargetMode="External"/><Relationship Id="rId2" Type="http://schemas.openxmlformats.org/officeDocument/2006/relationships/hyperlink" Target="build/raw/Grauwasser_Bewertungstool.xlsx" TargetMode="External"/><Relationship Id="rId3" Type="http://schemas.openxmlformats.org/officeDocument/2006/relationships/hyperlink" Target="build/raw/Grauwasser_Bewertungstool.xlsx" TargetMode="External"/><Relationship Id="rId4" Type="http://schemas.openxmlformats.org/officeDocument/2006/relationships/hyperlink" Target="build/raw/Grauwasser_Bewertungstool.xlsx" TargetMode="External"/><Relationship Id="rId5" Type="http://schemas.openxmlformats.org/officeDocument/2006/relationships/hyperlink" Target="build/raw/Grauwasser_Bewertungstool.xlsx" TargetMode="External"/><Relationship Id="rId6" Type="http://schemas.openxmlformats.org/officeDocument/2006/relationships/drawing" Target="../drawings/drawing7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build/raw/Grauwasser_Bewertungstool.xlsx" TargetMode="External"/><Relationship Id="rId2" Type="http://schemas.openxmlformats.org/officeDocument/2006/relationships/hyperlink" Target="build/raw/Grauwasser_Bewertungstool.xlsx" TargetMode="External"/><Relationship Id="rId3" Type="http://schemas.openxmlformats.org/officeDocument/2006/relationships/hyperlink" Target="build/raw/Grauwasser_Bewertungstool.xlsx" TargetMode="External"/><Relationship Id="rId4" Type="http://schemas.openxmlformats.org/officeDocument/2006/relationships/hyperlink" Target="build/raw/Grauwasser_Bewertungstool.xlsx" TargetMode="External"/><Relationship Id="rId5" Type="http://schemas.openxmlformats.org/officeDocument/2006/relationships/hyperlink" Target="build/raw/Grauwasser_Bewertungstool.xlsx" TargetMode="External"/><Relationship Id="rId6" Type="http://schemas.openxmlformats.org/officeDocument/2006/relationships/table" Target="../tables/table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build/raw/Grauwasser_Bewertungstool.xlsx" TargetMode="External"/><Relationship Id="rId2" Type="http://schemas.openxmlformats.org/officeDocument/2006/relationships/hyperlink" Target="build/raw/Grauwasser_Bewertungstool.xlsx" TargetMode="External"/><Relationship Id="rId3" Type="http://schemas.openxmlformats.org/officeDocument/2006/relationships/hyperlink" Target="build/raw/Grauwasser_Bewertungstool.xlsx" TargetMode="External"/><Relationship Id="rId4" Type="http://schemas.openxmlformats.org/officeDocument/2006/relationships/hyperlink" Target="build/raw/Grauwasser_Bewertungstool.xlsx" TargetMode="External"/><Relationship Id="rId5" Type="http://schemas.openxmlformats.org/officeDocument/2006/relationships/hyperlink" Target="build/raw/Grauwasser_Bewertungstool.xlsx" TargetMode="External"/><Relationship Id="rId6" Type="http://schemas.openxmlformats.org/officeDocument/2006/relationships/drawing" Target="../drawings/drawing8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build/raw/Grauwasser_Bewertungstool.xlsx" TargetMode="External"/><Relationship Id="rId2" Type="http://schemas.openxmlformats.org/officeDocument/2006/relationships/hyperlink" Target="build/raw/Grauwasser_Bewertungstool.xlsx" TargetMode="External"/><Relationship Id="rId3" Type="http://schemas.openxmlformats.org/officeDocument/2006/relationships/hyperlink" Target="build/raw/Grauwasser_Bewertungstool.xlsx" TargetMode="External"/><Relationship Id="rId4" Type="http://schemas.openxmlformats.org/officeDocument/2006/relationships/hyperlink" Target="build/raw/Grauwasser_Bewertungstool.xlsx" TargetMode="External"/><Relationship Id="rId5" Type="http://schemas.openxmlformats.org/officeDocument/2006/relationships/hyperlink" Target="build/raw/Grauwasser_Bewertungstool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5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4"/>
    <col collapsed="false" customWidth="true" hidden="false" outlineLevel="0" max="16" min="16" style="0" width="24"/>
    <col collapsed="false" customWidth="true" hidden="false" outlineLevel="0" max="17" min="17" style="0" width="20"/>
    <col collapsed="false" customWidth="true" hidden="false" outlineLevel="0" max="18" min="18" style="0" width="25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3.75" hidden="false" customHeight="true" outlineLevel="0" collapsed="false">
      <c r="A3" s="3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4" hidden="false" customHeight="true" outlineLevel="0" collapsed="false">
      <c r="A4" s="3" t="s">
        <v>7</v>
      </c>
      <c r="B4" s="3"/>
      <c r="C4" s="3" t="str">
        <f aca="false">Eingaben!$B$5</f>
        <v>OGS mit Sporthalle – RECHENBEISPIEL</v>
      </c>
      <c r="D4" s="3"/>
      <c r="E4" s="3"/>
      <c r="F4" s="3"/>
      <c r="G4" s="3"/>
      <c r="H4" s="3"/>
      <c r="I4" s="3" t="str">
        <f aca="false">"Zeitraum: "&amp;Eingaben!$B$11&amp;" Jahre | Bilanz "&amp;Eingaben!$B$10</f>
        <v>Zeitraum: 20 Jahre | Bilanz 2026</v>
      </c>
      <c r="J4" s="3"/>
      <c r="K4" s="3"/>
      <c r="L4" s="3"/>
    </row>
    <row r="5" customFormat="false" ht="34.5" hidden="false" customHeight="true" outlineLevel="0" collapsed="false">
      <c r="A5" s="3" t="s">
        <v>8</v>
      </c>
      <c r="B5" s="3"/>
      <c r="C5" s="3" t="str">
        <f aca="false">Eingaben!$B$6</f>
        <v>Offene Ganztagsschule mit Sporthalle</v>
      </c>
      <c r="D5" s="3"/>
      <c r="E5" s="3"/>
      <c r="F5" s="3"/>
      <c r="G5" s="3"/>
      <c r="H5" s="3"/>
      <c r="I5" s="3" t="str">
        <f aca="false">Berechnung!$B$41</f>
        <v>Modellergebnis mit Beispieldaten</v>
      </c>
      <c r="J5" s="3"/>
      <c r="K5" s="3"/>
      <c r="L5" s="3"/>
    </row>
    <row r="7" customFormat="false" ht="27.75" hidden="false" customHeight="true" outlineLevel="0" collapsed="false">
      <c r="A7" s="4" t="s">
        <v>9</v>
      </c>
      <c r="B7" s="4"/>
      <c r="C7" s="4"/>
      <c r="D7" s="4" t="s">
        <v>10</v>
      </c>
      <c r="E7" s="4"/>
      <c r="F7" s="4"/>
      <c r="G7" s="4" t="s">
        <v>11</v>
      </c>
      <c r="H7" s="4"/>
      <c r="I7" s="4"/>
      <c r="J7" s="4" t="s">
        <v>12</v>
      </c>
      <c r="K7" s="4"/>
      <c r="L7" s="4"/>
    </row>
    <row r="8" customFormat="false" ht="25.5" hidden="false" customHeight="true" outlineLevel="0" collapsed="false">
      <c r="A8" s="5" t="n">
        <f aca="false">IF(Berechnung!$B$5&gt;0,"Eingaben prüfen",Berechnung!$B$6)</f>
        <v>742.2</v>
      </c>
      <c r="B8" s="5"/>
      <c r="C8" s="5"/>
      <c r="D8" s="5" t="n">
        <f aca="false">IF(Berechnung!$B$5&gt;0,"Eingaben prüfen",Berechnung!$B$9)</f>
        <v>1018.7</v>
      </c>
      <c r="E8" s="5"/>
      <c r="F8" s="5"/>
      <c r="G8" s="5" t="n">
        <f aca="false">IF(Berechnung!$B$5&gt;0,"Eingaben prüfen",Berechnung!$B$10)</f>
        <v>555.3897572</v>
      </c>
      <c r="H8" s="5"/>
      <c r="I8" s="5"/>
      <c r="J8" s="6" t="n">
        <f aca="false">IF(Berechnung!$B$5&gt;0,"Eingaben prüfen",Berechnung!$B$22)</f>
        <v>0.220506514154127</v>
      </c>
      <c r="K8" s="6"/>
      <c r="L8" s="6"/>
    </row>
    <row r="9" customFormat="false" ht="21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6"/>
      <c r="K9" s="6"/>
      <c r="L9" s="6"/>
    </row>
    <row r="11" customFormat="false" ht="27.75" hidden="false" customHeight="true" outlineLevel="0" collapsed="false">
      <c r="A11" s="4" t="s">
        <v>13</v>
      </c>
      <c r="B11" s="4"/>
      <c r="C11" s="4"/>
      <c r="D11" s="4" t="s">
        <v>14</v>
      </c>
      <c r="E11" s="4"/>
      <c r="F11" s="4"/>
      <c r="G11" s="4" t="s">
        <v>15</v>
      </c>
      <c r="H11" s="4"/>
      <c r="I11" s="4"/>
      <c r="J11" s="4" t="s">
        <v>16</v>
      </c>
      <c r="K11" s="4"/>
      <c r="L11" s="4"/>
    </row>
    <row r="12" customFormat="false" ht="25.5" hidden="false" customHeight="true" outlineLevel="0" collapsed="false">
      <c r="A12" s="7" t="n">
        <f aca="false">IF(Berechnung!$B$5&gt;0,"Eingaben prüfen",Berechnung!$B$13)</f>
        <v>25000</v>
      </c>
      <c r="B12" s="7"/>
      <c r="C12" s="7"/>
      <c r="D12" s="8" t="n">
        <f aca="false">IF(Berechnung!$B$5&gt;0,"Eingaben prüfen",Berechnung!$B$16)</f>
        <v>781.527</v>
      </c>
      <c r="E12" s="8"/>
      <c r="F12" s="8"/>
      <c r="G12" s="8" t="n">
        <f aca="false">IF(Berechnung!$B$5&gt;0,"Eingaben prüfen",Berechnung!$B$17)</f>
        <v>1388.474393</v>
      </c>
      <c r="H12" s="8"/>
      <c r="I12" s="8"/>
      <c r="J12" s="8" t="n">
        <f aca="false">IF(Berechnung!$B$5&gt;0,"Eingaben prüfen",Berechnung!$B$18)</f>
        <v>606.947393</v>
      </c>
      <c r="K12" s="8"/>
      <c r="L12" s="8"/>
    </row>
    <row r="13" customFormat="false" ht="21.75" hidden="false" customHeight="true" outlineLevel="0" collapsed="false">
      <c r="A13" s="7"/>
      <c r="B13" s="7"/>
      <c r="C13" s="7"/>
      <c r="D13" s="8"/>
      <c r="E13" s="8"/>
      <c r="F13" s="8"/>
      <c r="G13" s="8"/>
      <c r="H13" s="8"/>
      <c r="I13" s="8"/>
      <c r="J13" s="8"/>
      <c r="K13" s="8"/>
      <c r="L13" s="8"/>
    </row>
    <row r="15" customFormat="false" ht="27.75" hidden="false" customHeight="true" outlineLevel="0" collapsed="false">
      <c r="A15" s="4" t="s">
        <v>17</v>
      </c>
      <c r="B15" s="4"/>
      <c r="C15" s="4"/>
      <c r="D15" s="4" t="s">
        <v>18</v>
      </c>
      <c r="E15" s="4"/>
      <c r="F15" s="4"/>
      <c r="G15" s="4" t="s">
        <v>19</v>
      </c>
      <c r="H15" s="4"/>
      <c r="I15" s="4"/>
      <c r="J15" s="4" t="s">
        <v>20</v>
      </c>
      <c r="K15" s="4"/>
      <c r="L15" s="4"/>
    </row>
    <row r="16" customFormat="false" ht="25.5" hidden="false" customHeight="true" outlineLevel="0" collapsed="false">
      <c r="A16" s="9" t="n">
        <f aca="false">IF(Berechnung!$B$5&gt;0,"Eingaben prüfen",Berechnung!$B$19)</f>
        <v>41.1897312490804</v>
      </c>
      <c r="B16" s="9"/>
      <c r="C16" s="9"/>
      <c r="D16" s="9" t="str">
        <f aca="false">IF(Berechnung!$B$5&gt;0,"Eingaben prüfen",Berechnung!$B$21)</f>
        <v>Im Zeitraum nicht erreicht</v>
      </c>
      <c r="E16" s="9"/>
      <c r="F16" s="9"/>
      <c r="G16" s="7" t="n">
        <f aca="false">IF(Berechnung!$B$5&gt;0,"Eingaben prüfen",Berechnung!$B$20)</f>
        <v>-17797.8728210468</v>
      </c>
      <c r="H16" s="7"/>
      <c r="I16" s="7"/>
      <c r="J16" s="6" t="n">
        <f aca="false">IF(Berechnung!$B$5&gt;0,"Eingaben prüfen",Berechnung!$B$23)</f>
        <v>0.545194617846275</v>
      </c>
      <c r="K16" s="6"/>
      <c r="L16" s="6"/>
    </row>
    <row r="17" customFormat="false" ht="21.75" hidden="false" customHeight="true" outlineLevel="0" collapsed="false">
      <c r="A17" s="9"/>
      <c r="B17" s="9"/>
      <c r="C17" s="9"/>
      <c r="D17" s="9"/>
      <c r="E17" s="9"/>
      <c r="F17" s="9"/>
      <c r="G17" s="7"/>
      <c r="H17" s="7"/>
      <c r="I17" s="7"/>
      <c r="J17" s="6"/>
      <c r="K17" s="6"/>
      <c r="L17" s="6"/>
    </row>
    <row r="19" customFormat="false" ht="16.4" hidden="false" customHeight="true" outlineLevel="0" collapsed="false">
      <c r="A19" s="3" t="s">
        <v>21</v>
      </c>
      <c r="B19" s="3"/>
      <c r="C19" s="3"/>
      <c r="D19" s="3"/>
      <c r="E19" s="3" t="s">
        <v>22</v>
      </c>
      <c r="F19" s="3"/>
      <c r="G19" s="3"/>
      <c r="H19" s="3"/>
      <c r="I19" s="3" t="s">
        <v>23</v>
      </c>
      <c r="J19" s="3"/>
      <c r="K19" s="3"/>
      <c r="L19" s="3"/>
    </row>
    <row r="20" customFormat="false" ht="36" hidden="false" customHeight="true" outlineLevel="0" collapsed="false">
      <c r="A20" s="10" t="str">
        <f aca="false">Berechnung!$B$31</f>
        <v>Rot</v>
      </c>
      <c r="B20" s="10"/>
      <c r="C20" s="10"/>
      <c r="D20" s="10"/>
      <c r="E20" s="10" t="str">
        <f aca="false">Berechnung!$B$32</f>
        <v>Grün</v>
      </c>
      <c r="F20" s="10"/>
      <c r="G20" s="10"/>
      <c r="H20" s="10"/>
      <c r="I20" s="10" t="str">
        <f aca="false">Berechnung!$B$33</f>
        <v>Rot</v>
      </c>
      <c r="J20" s="10"/>
      <c r="K20" s="10"/>
      <c r="L20" s="10"/>
    </row>
    <row r="21" customFormat="false" ht="37.5" hidden="false" customHeight="true" outlineLevel="0" collapsed="false">
      <c r="A21" s="3" t="str">
        <f aca="false">IF(Berechnung!$B$5&gt;0,"Bewertung gesperrt: "&amp;Berechnung!$B$5&amp;" Pflichtfehler; Blatt Prüfungen öffnen.","Ökonomie: Kapitalwert "&amp;TEXT(Berechnung!$B$20,"#,##0.00")&amp;" €; Kriterium NPV/Nettoinvestition, Grün ab "&amp;TEXT(Schwellenwerte!B5,"0.0%")&amp;", Gelb ab "&amp;TEXT(Schwellenwerte!B6,"0.0%")&amp;". Ohne Nettoinvestition entscheidet Vorzeichen des NPV.")</f>
        <v>Ökonomie: Kapitalwert -17,797.87 €; Kriterium NPV/Nettoinvestition, Grün ab 0.0%, Gelb ab -20.0%. Ohne Nettoinvestition entscheidet Vorzeichen des NPV.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37.5" hidden="false" customHeight="true" outlineLevel="0" collapsed="false">
      <c r="A22" s="3" t="str">
        <f aca="false">IF(Berechnung!$B$5&gt;0,"Ressourcenbewertung gesperrt.","Ressourcen: Einsparquote "&amp;TEXT(Berechnung!$B$22,"0.0%")&amp;"; Grün ab "&amp;TEXT(Schwellenwerte!B9,"0.0%")&amp;", Gelb ab "&amp;TEXT(Schwellenwerte!B10,"0.0%")&amp;". Ohne Einsparung Rot. Keine vollständige Umweltbilanz.")</f>
        <v>Ressourcen: Einsparquote 22.1%; Grün ab 15.0%, Gelb ab 5.0%. Ohne Einsparung Rot. Keine vollständige Umweltbilanz.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37.5" hidden="false" customHeight="true" outlineLevel="0" collapsed="false">
      <c r="A23" s="3" t="str">
        <f aca="false">"Gesamt = schlechteste Kategorie einschließlich Nachweisstatus. "&amp;Berechnung!$B$34&amp;". Statische Amortisation nur innerhalb Horizont interpretieren; dynamische Stabilität: "&amp;Berechnung!$B$37&amp;"."</f>
        <v>Gesamt = schlechteste Kategorie einschließlich Nachweisstatus. PRÜFBEDARF: Nachweise ungeklärt. Statische Amortisation nur innerhalb Horizont interpretieren; dynamische Stabilität: Keine positive Rückgewinnung.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48" hidden="false" customHeight="true" outlineLevel="0" collapsed="false">
      <c r="A24" s="3" t="str">
        <f aca="false">Berechnung!$B$40</f>
        <v>BEISPIELDATEN · PRÜFBEDARF: Nachweise ungeklärt · Statische Amortisation außerhalb Horizont. · Schwellen vorläufig; Tagesprofil und Quellen projektbezogen validieren.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46" customFormat="false" ht="31.5" hidden="false" customHeight="true" outlineLevel="0" collapsed="false">
      <c r="A46" s="11"/>
      <c r="B46" s="11"/>
      <c r="P46" s="0" t="s">
        <v>24</v>
      </c>
      <c r="Q46" s="0" t="s">
        <v>25</v>
      </c>
    </row>
    <row r="47" customFormat="false" ht="15" hidden="false" customHeight="false" outlineLevel="0" collapsed="false">
      <c r="A47" s="12"/>
      <c r="B47" s="13"/>
      <c r="P47" s="0" t="s">
        <v>26</v>
      </c>
      <c r="Q47" s="14" t="n">
        <f aca="false">IF(Berechnung!$B$5=0,Berechnung!$B$6,0)</f>
        <v>742.2</v>
      </c>
    </row>
    <row r="48" customFormat="false" ht="15" hidden="false" customHeight="false" outlineLevel="0" collapsed="false">
      <c r="A48" s="12"/>
      <c r="B48" s="13"/>
      <c r="P48" s="0" t="s">
        <v>27</v>
      </c>
      <c r="Q48" s="14" t="n">
        <f aca="false">IF(Berechnung!$B$5=0,Berechnung!$B$8,0)</f>
        <v>634.581</v>
      </c>
    </row>
    <row r="49" customFormat="false" ht="15" hidden="false" customHeight="false" outlineLevel="0" collapsed="false">
      <c r="A49" s="12"/>
      <c r="B49" s="13"/>
      <c r="P49" s="0" t="s">
        <v>28</v>
      </c>
      <c r="Q49" s="14" t="n">
        <f aca="false">IF(Berechnung!$B$5=0,Berechnung!$B$10,0)</f>
        <v>555.3897572</v>
      </c>
    </row>
    <row r="50" customFormat="false" ht="15" hidden="false" customHeight="false" outlineLevel="0" collapsed="false">
      <c r="A50" s="12"/>
      <c r="B50" s="13"/>
      <c r="P50" s="0" t="s">
        <v>29</v>
      </c>
      <c r="Q50" s="14" t="n">
        <f aca="false">IF(Berechnung!$B$5=0,Berechnung!$B$9,0)</f>
        <v>1018.7</v>
      </c>
    </row>
    <row r="51" customFormat="false" ht="15" hidden="false" customHeight="false" outlineLevel="0" collapsed="false">
      <c r="A51" s="12"/>
      <c r="B51" s="13"/>
      <c r="P51" s="0" t="s">
        <v>30</v>
      </c>
      <c r="Q51" s="14" t="n">
        <f aca="false">IF(Berechnung!$B$5=0,Berechnung!$B$11,0)</f>
        <v>463.3102428</v>
      </c>
    </row>
    <row r="54" customFormat="false" ht="31.5" hidden="false" customHeight="true" outlineLevel="0" collapsed="false">
      <c r="A54" s="11"/>
      <c r="B54" s="11"/>
      <c r="C54" s="11"/>
      <c r="P54" s="0" t="s">
        <v>31</v>
      </c>
      <c r="Q54" s="0" t="s">
        <v>32</v>
      </c>
      <c r="R54" s="0" t="s">
        <v>33</v>
      </c>
    </row>
    <row r="55" customFormat="false" ht="15" hidden="false" customHeight="false" outlineLevel="0" collapsed="false">
      <c r="A55" s="15"/>
      <c r="B55" s="13"/>
      <c r="C55" s="13"/>
      <c r="P55" s="16" t="n">
        <f aca="false">IFERROR(MIN(Zahlungen!A7,Eingaben!$B$11),0)</f>
        <v>0</v>
      </c>
      <c r="Q55" s="14" t="n">
        <f aca="false">IF(Berechnung!$B$5=0,INDEX(Zahlungen!$G$7:$G$57,P55+1),0)</f>
        <v>-25000</v>
      </c>
      <c r="R55" s="14" t="n">
        <f aca="false">IF(Berechnung!$B$5=0,INDEX(Zahlungen!$J$7:$J$57,P55+1),0)</f>
        <v>-25000</v>
      </c>
    </row>
    <row r="56" customFormat="false" ht="15" hidden="false" customHeight="false" outlineLevel="0" collapsed="false">
      <c r="A56" s="15"/>
      <c r="B56" s="13"/>
      <c r="C56" s="13"/>
      <c r="P56" s="16" t="n">
        <f aca="false">IFERROR(MIN(Zahlungen!A8,Eingaben!$B$11),0)</f>
        <v>1</v>
      </c>
      <c r="Q56" s="14" t="n">
        <f aca="false">IF(Berechnung!$B$5=0,INDEX(Zahlungen!$G$7:$G$57,P56+1),0)</f>
        <v>606.947393</v>
      </c>
      <c r="R56" s="14" t="n">
        <f aca="false">IF(Berechnung!$B$5=0,INDEX(Zahlungen!$J$7:$J$57,P56+1),0)</f>
        <v>-24410.7306864078</v>
      </c>
    </row>
    <row r="57" customFormat="false" ht="15" hidden="false" customHeight="false" outlineLevel="0" collapsed="false">
      <c r="A57" s="15"/>
      <c r="B57" s="13"/>
      <c r="C57" s="13"/>
      <c r="P57" s="16" t="n">
        <f aca="false">IFERROR(MIN(Zahlungen!A9,Eingaben!$B$11),0)</f>
        <v>2</v>
      </c>
      <c r="Q57" s="14" t="n">
        <f aca="false">IF(Berechnung!$B$5=0,INDEX(Zahlungen!$G$7:$G$57,P57+1),0)</f>
        <v>619.08634086</v>
      </c>
      <c r="R57" s="14" t="n">
        <f aca="false">IF(Berechnung!$B$5=0,INDEX(Zahlungen!$J$7:$J$57,P57+1),0)</f>
        <v>-23827.1824341125</v>
      </c>
    </row>
    <row r="58" customFormat="false" ht="15" hidden="false" customHeight="false" outlineLevel="0" collapsed="false">
      <c r="A58" s="15"/>
      <c r="B58" s="13"/>
      <c r="C58" s="13"/>
      <c r="P58" s="16" t="n">
        <f aca="false">IFERROR(MIN(Zahlungen!A10,Eingaben!$B$11),0)</f>
        <v>3</v>
      </c>
      <c r="Q58" s="14" t="n">
        <f aca="false">IF(Berechnung!$B$5=0,INDEX(Zahlungen!$G$7:$G$57,P58+1),0)</f>
        <v>631.4680676772</v>
      </c>
      <c r="R58" s="14" t="n">
        <f aca="false">IF(Berechnung!$B$5=0,INDEX(Zahlungen!$J$7:$J$57,P58+1),0)</f>
        <v>-23249.2996988299</v>
      </c>
    </row>
    <row r="59" customFormat="false" ht="15" hidden="false" customHeight="false" outlineLevel="0" collapsed="false">
      <c r="A59" s="15"/>
      <c r="B59" s="13"/>
      <c r="C59" s="13"/>
      <c r="P59" s="16" t="n">
        <f aca="false">IFERROR(MIN(Zahlungen!A11,Eingaben!$B$11),0)</f>
        <v>4</v>
      </c>
      <c r="Q59" s="14" t="n">
        <f aca="false">IF(Berechnung!$B$5=0,INDEX(Zahlungen!$G$7:$G$57,P59+1),0)</f>
        <v>644.097429030744</v>
      </c>
      <c r="R59" s="14" t="n">
        <f aca="false">IF(Berechnung!$B$5=0,INDEX(Zahlungen!$J$7:$J$57,P59+1),0)</f>
        <v>-22677.0274755403</v>
      </c>
    </row>
    <row r="60" customFormat="false" ht="15" hidden="false" customHeight="false" outlineLevel="0" collapsed="false">
      <c r="A60" s="15"/>
      <c r="B60" s="13"/>
      <c r="C60" s="13"/>
      <c r="P60" s="16" t="n">
        <f aca="false">IFERROR(MIN(Zahlungen!A12,Eingaben!$B$11),0)</f>
        <v>5</v>
      </c>
      <c r="Q60" s="14" t="n">
        <f aca="false">IF(Berechnung!$B$5=0,INDEX(Zahlungen!$G$7:$G$57,P60+1),0)</f>
        <v>656.979377611359</v>
      </c>
      <c r="R60" s="14" t="n">
        <f aca="false">IF(Berechnung!$B$5=0,INDEX(Zahlungen!$J$7:$J$57,P60+1),0)</f>
        <v>-22110.3112932535</v>
      </c>
    </row>
    <row r="61" customFormat="false" ht="15" hidden="false" customHeight="false" outlineLevel="0" collapsed="false">
      <c r="A61" s="15"/>
      <c r="B61" s="13"/>
      <c r="C61" s="13"/>
      <c r="P61" s="16" t="n">
        <f aca="false">IFERROR(MIN(Zahlungen!A13,Eingaben!$B$11),0)</f>
        <v>6</v>
      </c>
      <c r="Q61" s="14" t="n">
        <f aca="false">IF(Berechnung!$B$5=0,INDEX(Zahlungen!$G$7:$G$57,P61+1),0)</f>
        <v>670.118965163586</v>
      </c>
      <c r="R61" s="14" t="n">
        <f aca="false">IF(Berechnung!$B$5=0,INDEX(Zahlungen!$J$7:$J$57,P61+1),0)</f>
        <v>-21549.0972098238</v>
      </c>
    </row>
    <row r="62" customFormat="false" ht="30" hidden="false" customHeight="true" outlineLevel="0" collapsed="false">
      <c r="A62" s="17" t="s">
        <v>34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P62" s="16" t="n">
        <f aca="false">IFERROR(MIN(Zahlungen!A14,Eingaben!$B$11),0)</f>
        <v>7</v>
      </c>
      <c r="Q62" s="14" t="n">
        <f aca="false">IF(Berechnung!$B$5=0,INDEX(Zahlungen!$G$7:$G$57,P62+1),0)</f>
        <v>683.521344466858</v>
      </c>
      <c r="R62" s="14" t="n">
        <f aca="false">IF(Berechnung!$B$5=0,INDEX(Zahlungen!$J$7:$J$57,P62+1),0)</f>
        <v>-20993.3318068158</v>
      </c>
    </row>
    <row r="63" customFormat="false" ht="15" hidden="false" customHeight="false" outlineLevel="0" collapsed="false">
      <c r="A63" s="15"/>
      <c r="B63" s="13"/>
      <c r="C63" s="13"/>
      <c r="P63" s="16" t="n">
        <f aca="false">IFERROR(MIN(Zahlungen!A15,Eingaben!$B$11),0)</f>
        <v>8</v>
      </c>
      <c r="Q63" s="14" t="n">
        <f aca="false">IF(Berechnung!$B$5=0,INDEX(Zahlungen!$G$7:$G$57,P63+1),0)</f>
        <v>697.191771356195</v>
      </c>
      <c r="R63" s="14" t="n">
        <f aca="false">IF(Berechnung!$B$5=0,INDEX(Zahlungen!$J$7:$J$57,P63+1),0)</f>
        <v>-20442.9621844196</v>
      </c>
    </row>
    <row r="64" customFormat="false" ht="15" hidden="false" customHeight="false" outlineLevel="0" collapsed="false">
      <c r="A64" s="15"/>
      <c r="B64" s="13"/>
      <c r="C64" s="13"/>
      <c r="P64" s="16" t="n">
        <f aca="false">IFERROR(MIN(Zahlungen!A16,Eingaben!$B$11),0)</f>
        <v>9</v>
      </c>
      <c r="Q64" s="14" t="n">
        <f aca="false">IF(Berechnung!$B$5=0,INDEX(Zahlungen!$G$7:$G$57,P64+1),0)</f>
        <v>711.135606783319</v>
      </c>
      <c r="R64" s="14" t="n">
        <f aca="false">IF(Berechnung!$B$5=0,INDEX(Zahlungen!$J$7:$J$57,P64+1),0)</f>
        <v>-19897.9359564155</v>
      </c>
    </row>
    <row r="65" customFormat="false" ht="15" hidden="false" customHeight="false" outlineLevel="0" collapsed="false">
      <c r="A65" s="15"/>
      <c r="B65" s="13"/>
      <c r="C65" s="13"/>
      <c r="P65" s="16" t="n">
        <f aca="false">IFERROR(MIN(Zahlungen!A17,Eingaben!$B$11),0)</f>
        <v>10</v>
      </c>
      <c r="Q65" s="14" t="n">
        <f aca="false">IF(Berechnung!$B$5=0,INDEX(Zahlungen!$G$7:$G$57,P65+1),0)</f>
        <v>-4055.01195557026</v>
      </c>
      <c r="R65" s="14" t="n">
        <f aca="false">IF(Berechnung!$B$5=0,INDEX(Zahlungen!$J$7:$J$57,P65+1),0)</f>
        <v>-22915.2456773888</v>
      </c>
    </row>
    <row r="66" customFormat="false" ht="15" hidden="false" customHeight="false" outlineLevel="0" collapsed="false">
      <c r="A66" s="15"/>
      <c r="B66" s="13"/>
      <c r="C66" s="13"/>
      <c r="P66" s="16" t="n">
        <f aca="false">IFERROR(MIN(Zahlungen!A18,Eingaben!$B$11),0)</f>
        <v>11</v>
      </c>
      <c r="Q66" s="14" t="n">
        <f aca="false">IF(Berechnung!$B$5=0,INDEX(Zahlungen!$G$7:$G$57,P66+1),0)</f>
        <v>739.865485297365</v>
      </c>
      <c r="R66" s="14" t="n">
        <f aca="false">IF(Berechnung!$B$5=0,INDEX(Zahlungen!$J$7:$J$57,P66+1),0)</f>
        <v>-22380.7511089889</v>
      </c>
    </row>
    <row r="67" customFormat="false" ht="15" hidden="false" customHeight="false" outlineLevel="0" collapsed="false">
      <c r="A67" s="15"/>
      <c r="B67" s="13"/>
      <c r="C67" s="13"/>
      <c r="P67" s="16" t="n">
        <f aca="false">IFERROR(MIN(Zahlungen!A19,Eingaben!$B$11),0)</f>
        <v>12</v>
      </c>
      <c r="Q67" s="14" t="n">
        <f aca="false">IF(Berechnung!$B$5=0,INDEX(Zahlungen!$G$7:$G$57,P67+1),0)</f>
        <v>754.662795003312</v>
      </c>
      <c r="R67" s="14" t="n">
        <f aca="false">IF(Berechnung!$B$5=0,INDEX(Zahlungen!$J$7:$J$57,P67+1),0)</f>
        <v>-21851.4458082434</v>
      </c>
    </row>
    <row r="68" customFormat="false" ht="15" hidden="false" customHeight="false" outlineLevel="0" collapsed="false">
      <c r="A68" s="15"/>
      <c r="B68" s="13"/>
      <c r="C68" s="13"/>
      <c r="P68" s="16" t="n">
        <f aca="false">IFERROR(MIN(Zahlungen!A20,Eingaben!$B$11),0)</f>
        <v>13</v>
      </c>
      <c r="Q68" s="14" t="n">
        <f aca="false">IF(Berechnung!$B$5=0,INDEX(Zahlungen!$G$7:$G$57,P68+1),0)</f>
        <v>769.756050903378</v>
      </c>
      <c r="R68" s="14" t="n">
        <f aca="false">IF(Berechnung!$B$5=0,INDEX(Zahlungen!$J$7:$J$57,P68+1),0)</f>
        <v>-21327.2793939129</v>
      </c>
    </row>
    <row r="69" customFormat="false" ht="15" hidden="false" customHeight="false" outlineLevel="0" collapsed="false">
      <c r="A69" s="15"/>
      <c r="B69" s="13"/>
      <c r="C69" s="13"/>
      <c r="P69" s="16" t="n">
        <f aca="false">IFERROR(MIN(Zahlungen!A21,Eingaben!$B$11),0)</f>
        <v>14</v>
      </c>
      <c r="Q69" s="14" t="n">
        <f aca="false">IF(Berechnung!$B$5=0,INDEX(Zahlungen!$G$7:$G$57,P69+1),0)</f>
        <v>785.151171921446</v>
      </c>
      <c r="R69" s="14" t="n">
        <f aca="false">IF(Berechnung!$B$5=0,INDEX(Zahlungen!$J$7:$J$57,P69+1),0)</f>
        <v>-20808.2019738963</v>
      </c>
    </row>
    <row r="70" customFormat="false" ht="15" hidden="false" customHeight="false" outlineLevel="0" collapsed="false">
      <c r="A70" s="15"/>
      <c r="B70" s="13"/>
      <c r="C70" s="13"/>
      <c r="P70" s="16" t="n">
        <f aca="false">IFERROR(MIN(Zahlungen!A22,Eingaben!$B$11),0)</f>
        <v>15</v>
      </c>
      <c r="Q70" s="14" t="n">
        <f aca="false">IF(Berechnung!$B$5=0,INDEX(Zahlungen!$G$7:$G$57,P70+1),0)</f>
        <v>800.854195359875</v>
      </c>
      <c r="R70" s="14" t="n">
        <f aca="false">IF(Berechnung!$B$5=0,INDEX(Zahlungen!$J$7:$J$57,P70+1),0)</f>
        <v>-20294.1641404817</v>
      </c>
    </row>
    <row r="71" customFormat="false" ht="15" hidden="false" customHeight="false" outlineLevel="0" collapsed="false">
      <c r="A71" s="15"/>
      <c r="B71" s="13"/>
      <c r="C71" s="13"/>
      <c r="P71" s="16" t="n">
        <f aca="false">IFERROR(MIN(Zahlungen!A23,Eingaben!$B$11),0)</f>
        <v>16</v>
      </c>
      <c r="Q71" s="14" t="n">
        <f aca="false">IF(Berechnung!$B$5=0,INDEX(Zahlungen!$G$7:$G$57,P71+1),0)</f>
        <v>816.871279267072</v>
      </c>
      <c r="R71" s="14" t="n">
        <f aca="false">IF(Berechnung!$B$5=0,INDEX(Zahlungen!$J$7:$J$57,P71+1),0)</f>
        <v>-19785.1169656441</v>
      </c>
    </row>
    <row r="72" customFormat="false" ht="15" hidden="false" customHeight="false" outlineLevel="0" collapsed="false">
      <c r="A72" s="15"/>
      <c r="B72" s="13"/>
      <c r="C72" s="13"/>
      <c r="P72" s="16" t="n">
        <f aca="false">IFERROR(MIN(Zahlungen!A24,Eingaben!$B$11),0)</f>
        <v>17</v>
      </c>
      <c r="Q72" s="14" t="n">
        <f aca="false">IF(Berechnung!$B$5=0,INDEX(Zahlungen!$G$7:$G$57,P72+1),0)</f>
        <v>833.208704852414</v>
      </c>
      <c r="R72" s="14" t="n">
        <f aca="false">IF(Berechnung!$B$5=0,INDEX(Zahlungen!$J$7:$J$57,P72+1),0)</f>
        <v>-19281.0119963873</v>
      </c>
    </row>
    <row r="73" customFormat="false" ht="15" hidden="false" customHeight="false" outlineLevel="0" collapsed="false">
      <c r="A73" s="15"/>
      <c r="B73" s="13"/>
      <c r="C73" s="13"/>
      <c r="P73" s="16" t="n">
        <f aca="false">IFERROR(MIN(Zahlungen!A25,Eingaben!$B$11),0)</f>
        <v>18</v>
      </c>
      <c r="Q73" s="14" t="n">
        <f aca="false">IF(Berechnung!$B$5=0,INDEX(Zahlungen!$G$7:$G$57,P73+1),0)</f>
        <v>849.872878949462</v>
      </c>
      <c r="R73" s="14" t="n">
        <f aca="false">IF(Berechnung!$B$5=0,INDEX(Zahlungen!$J$7:$J$57,P73+1),0)</f>
        <v>-18781.8012501331</v>
      </c>
    </row>
    <row r="74" customFormat="false" ht="15" hidden="false" customHeight="false" outlineLevel="0" collapsed="false">
      <c r="A74" s="15"/>
      <c r="B74" s="13"/>
      <c r="C74" s="13"/>
      <c r="P74" s="16" t="n">
        <f aca="false">IFERROR(MIN(Zahlungen!A26,Eingaben!$B$11),0)</f>
        <v>19</v>
      </c>
      <c r="Q74" s="14" t="n">
        <f aca="false">IF(Berechnung!$B$5=0,INDEX(Zahlungen!$G$7:$G$57,P74+1),0)</f>
        <v>866.870336528452</v>
      </c>
      <c r="R74" s="14" t="n">
        <f aca="false">IF(Berechnung!$B$5=0,INDEX(Zahlungen!$J$7:$J$57,P74+1),0)</f>
        <v>-18287.4372101532</v>
      </c>
    </row>
    <row r="75" customFormat="false" ht="15" hidden="false" customHeight="false" outlineLevel="0" collapsed="false">
      <c r="A75" s="15"/>
      <c r="B75" s="13"/>
      <c r="C75" s="13"/>
      <c r="P75" s="16" t="n">
        <f aca="false">IFERROR(MIN(Zahlungen!A27,Eingaben!$B$11),0)</f>
        <v>20</v>
      </c>
      <c r="Q75" s="14" t="n">
        <f aca="false">IF(Berechnung!$B$5=0,INDEX(Zahlungen!$G$7:$G$57,P75+1),0)</f>
        <v>884.20774325902</v>
      </c>
      <c r="R75" s="14" t="n">
        <f aca="false">IF(Berechnung!$B$5=0,INDEX(Zahlungen!$J$7:$J$57,P75+1),0)</f>
        <v>-17797.8728210468</v>
      </c>
    </row>
    <row r="76" customFormat="false" ht="15" hidden="false" customHeight="false" outlineLevel="0" collapsed="false">
      <c r="A76" s="15"/>
      <c r="B76" s="13"/>
      <c r="C76" s="13"/>
      <c r="P76" s="16" t="n">
        <f aca="false">IFERROR(MIN(Zahlungen!A28,Eingaben!$B$11),0)</f>
        <v>20</v>
      </c>
      <c r="Q76" s="14" t="n">
        <f aca="false">IF(Berechnung!$B$5=0,INDEX(Zahlungen!$G$7:$G$57,P76+1),0)</f>
        <v>884.20774325902</v>
      </c>
      <c r="R76" s="14" t="n">
        <f aca="false">IF(Berechnung!$B$5=0,INDEX(Zahlungen!$J$7:$J$57,P76+1),0)</f>
        <v>-17797.8728210468</v>
      </c>
    </row>
    <row r="77" customFormat="false" ht="15" hidden="false" customHeight="false" outlineLevel="0" collapsed="false">
      <c r="A77" s="15"/>
      <c r="B77" s="13"/>
      <c r="C77" s="13"/>
      <c r="P77" s="16" t="n">
        <f aca="false">IFERROR(MIN(Zahlungen!A29,Eingaben!$B$11),0)</f>
        <v>20</v>
      </c>
      <c r="Q77" s="14" t="n">
        <f aca="false">IF(Berechnung!$B$5=0,INDEX(Zahlungen!$G$7:$G$57,P77+1),0)</f>
        <v>884.20774325902</v>
      </c>
      <c r="R77" s="14" t="n">
        <f aca="false">IF(Berechnung!$B$5=0,INDEX(Zahlungen!$J$7:$J$57,P77+1),0)</f>
        <v>-17797.8728210468</v>
      </c>
    </row>
    <row r="78" customFormat="false" ht="15" hidden="false" customHeight="false" outlineLevel="0" collapsed="false">
      <c r="A78" s="15"/>
      <c r="B78" s="13"/>
      <c r="C78" s="13"/>
      <c r="P78" s="16" t="n">
        <f aca="false">IFERROR(MIN(Zahlungen!A30,Eingaben!$B$11),0)</f>
        <v>20</v>
      </c>
      <c r="Q78" s="14" t="n">
        <f aca="false">IF(Berechnung!$B$5=0,INDEX(Zahlungen!$G$7:$G$57,P78+1),0)</f>
        <v>884.20774325902</v>
      </c>
      <c r="R78" s="14" t="n">
        <f aca="false">IF(Berechnung!$B$5=0,INDEX(Zahlungen!$J$7:$J$57,P78+1),0)</f>
        <v>-17797.8728210468</v>
      </c>
    </row>
    <row r="79" customFormat="false" ht="15" hidden="false" customHeight="false" outlineLevel="0" collapsed="false">
      <c r="A79" s="15"/>
      <c r="B79" s="13"/>
      <c r="C79" s="13"/>
      <c r="P79" s="16" t="n">
        <f aca="false">IFERROR(MIN(Zahlungen!A31,Eingaben!$B$11),0)</f>
        <v>20</v>
      </c>
      <c r="Q79" s="14" t="n">
        <f aca="false">IF(Berechnung!$B$5=0,INDEX(Zahlungen!$G$7:$G$57,P79+1),0)</f>
        <v>884.20774325902</v>
      </c>
      <c r="R79" s="14" t="n">
        <f aca="false">IF(Berechnung!$B$5=0,INDEX(Zahlungen!$J$7:$J$57,P79+1),0)</f>
        <v>-17797.8728210468</v>
      </c>
    </row>
    <row r="80" customFormat="false" ht="15" hidden="false" customHeight="false" outlineLevel="0" collapsed="false">
      <c r="A80" s="15"/>
      <c r="B80" s="13"/>
      <c r="C80" s="13"/>
      <c r="P80" s="16" t="n">
        <f aca="false">IFERROR(MIN(Zahlungen!A32,Eingaben!$B$11),0)</f>
        <v>20</v>
      </c>
      <c r="Q80" s="14" t="n">
        <f aca="false">IF(Berechnung!$B$5=0,INDEX(Zahlungen!$G$7:$G$57,P80+1),0)</f>
        <v>884.20774325902</v>
      </c>
      <c r="R80" s="14" t="n">
        <f aca="false">IF(Berechnung!$B$5=0,INDEX(Zahlungen!$J$7:$J$57,P80+1),0)</f>
        <v>-17797.8728210468</v>
      </c>
    </row>
    <row r="81" customFormat="false" ht="15" hidden="false" customHeight="false" outlineLevel="0" collapsed="false">
      <c r="A81" s="15"/>
      <c r="B81" s="13"/>
      <c r="C81" s="13"/>
      <c r="P81" s="16" t="n">
        <f aca="false">IFERROR(MIN(Zahlungen!A33,Eingaben!$B$11),0)</f>
        <v>20</v>
      </c>
      <c r="Q81" s="14" t="n">
        <f aca="false">IF(Berechnung!$B$5=0,INDEX(Zahlungen!$G$7:$G$57,P81+1),0)</f>
        <v>884.20774325902</v>
      </c>
      <c r="R81" s="14" t="n">
        <f aca="false">IF(Berechnung!$B$5=0,INDEX(Zahlungen!$J$7:$J$57,P81+1),0)</f>
        <v>-17797.8728210468</v>
      </c>
    </row>
    <row r="82" customFormat="false" ht="15" hidden="false" customHeight="false" outlineLevel="0" collapsed="false">
      <c r="A82" s="15"/>
      <c r="B82" s="13"/>
      <c r="C82" s="13"/>
      <c r="P82" s="16" t="n">
        <f aca="false">IFERROR(MIN(Zahlungen!A34,Eingaben!$B$11),0)</f>
        <v>20</v>
      </c>
      <c r="Q82" s="14" t="n">
        <f aca="false">IF(Berechnung!$B$5=0,INDEX(Zahlungen!$G$7:$G$57,P82+1),0)</f>
        <v>884.20774325902</v>
      </c>
      <c r="R82" s="14" t="n">
        <f aca="false">IF(Berechnung!$B$5=0,INDEX(Zahlungen!$J$7:$J$57,P82+1),0)</f>
        <v>-17797.8728210468</v>
      </c>
    </row>
    <row r="83" customFormat="false" ht="15" hidden="false" customHeight="false" outlineLevel="0" collapsed="false">
      <c r="A83" s="15"/>
      <c r="B83" s="13"/>
      <c r="C83" s="13"/>
      <c r="P83" s="16" t="n">
        <f aca="false">IFERROR(MIN(Zahlungen!A35,Eingaben!$B$11),0)</f>
        <v>20</v>
      </c>
      <c r="Q83" s="14" t="n">
        <f aca="false">IF(Berechnung!$B$5=0,INDEX(Zahlungen!$G$7:$G$57,P83+1),0)</f>
        <v>884.20774325902</v>
      </c>
      <c r="R83" s="14" t="n">
        <f aca="false">IF(Berechnung!$B$5=0,INDEX(Zahlungen!$J$7:$J$57,P83+1),0)</f>
        <v>-17797.8728210468</v>
      </c>
    </row>
    <row r="84" customFormat="false" ht="15" hidden="false" customHeight="false" outlineLevel="0" collapsed="false">
      <c r="A84" s="15"/>
      <c r="B84" s="13"/>
      <c r="C84" s="13"/>
      <c r="P84" s="16" t="n">
        <f aca="false">IFERROR(MIN(Zahlungen!A36,Eingaben!$B$11),0)</f>
        <v>20</v>
      </c>
      <c r="Q84" s="14" t="n">
        <f aca="false">IF(Berechnung!$B$5=0,INDEX(Zahlungen!$G$7:$G$57,P84+1),0)</f>
        <v>884.20774325902</v>
      </c>
      <c r="R84" s="14" t="n">
        <f aca="false">IF(Berechnung!$B$5=0,INDEX(Zahlungen!$J$7:$J$57,P84+1),0)</f>
        <v>-17797.8728210468</v>
      </c>
    </row>
    <row r="85" customFormat="false" ht="15" hidden="false" customHeight="false" outlineLevel="0" collapsed="false">
      <c r="A85" s="15"/>
      <c r="B85" s="13"/>
      <c r="C85" s="13"/>
      <c r="P85" s="16" t="n">
        <f aca="false">IFERROR(MIN(Zahlungen!A37,Eingaben!$B$11),0)</f>
        <v>20</v>
      </c>
      <c r="Q85" s="14" t="n">
        <f aca="false">IF(Berechnung!$B$5=0,INDEX(Zahlungen!$G$7:$G$57,P85+1),0)</f>
        <v>884.20774325902</v>
      </c>
      <c r="R85" s="14" t="n">
        <f aca="false">IF(Berechnung!$B$5=0,INDEX(Zahlungen!$J$7:$J$57,P85+1),0)</f>
        <v>-17797.8728210468</v>
      </c>
    </row>
    <row r="86" customFormat="false" ht="15" hidden="false" customHeight="false" outlineLevel="0" collapsed="false">
      <c r="A86" s="15"/>
      <c r="B86" s="13"/>
      <c r="C86" s="13"/>
      <c r="P86" s="16" t="n">
        <f aca="false">IFERROR(MIN(Zahlungen!A38,Eingaben!$B$11),0)</f>
        <v>20</v>
      </c>
      <c r="Q86" s="14" t="n">
        <f aca="false">IF(Berechnung!$B$5=0,INDEX(Zahlungen!$G$7:$G$57,P86+1),0)</f>
        <v>884.20774325902</v>
      </c>
      <c r="R86" s="14" t="n">
        <f aca="false">IF(Berechnung!$B$5=0,INDEX(Zahlungen!$J$7:$J$57,P86+1),0)</f>
        <v>-17797.8728210468</v>
      </c>
    </row>
    <row r="87" customFormat="false" ht="15" hidden="false" customHeight="false" outlineLevel="0" collapsed="false">
      <c r="A87" s="15"/>
      <c r="B87" s="13"/>
      <c r="C87" s="13"/>
      <c r="P87" s="16" t="n">
        <f aca="false">IFERROR(MIN(Zahlungen!A39,Eingaben!$B$11),0)</f>
        <v>20</v>
      </c>
      <c r="Q87" s="14" t="n">
        <f aca="false">IF(Berechnung!$B$5=0,INDEX(Zahlungen!$G$7:$G$57,P87+1),0)</f>
        <v>884.20774325902</v>
      </c>
      <c r="R87" s="14" t="n">
        <f aca="false">IF(Berechnung!$B$5=0,INDEX(Zahlungen!$J$7:$J$57,P87+1),0)</f>
        <v>-17797.8728210468</v>
      </c>
    </row>
    <row r="88" customFormat="false" ht="15" hidden="false" customHeight="false" outlineLevel="0" collapsed="false">
      <c r="A88" s="15"/>
      <c r="B88" s="13"/>
      <c r="C88" s="13"/>
      <c r="P88" s="16" t="n">
        <f aca="false">IFERROR(MIN(Zahlungen!A40,Eingaben!$B$11),0)</f>
        <v>20</v>
      </c>
      <c r="Q88" s="14" t="n">
        <f aca="false">IF(Berechnung!$B$5=0,INDEX(Zahlungen!$G$7:$G$57,P88+1),0)</f>
        <v>884.20774325902</v>
      </c>
      <c r="R88" s="14" t="n">
        <f aca="false">IF(Berechnung!$B$5=0,INDEX(Zahlungen!$J$7:$J$57,P88+1),0)</f>
        <v>-17797.8728210468</v>
      </c>
    </row>
    <row r="89" customFormat="false" ht="15" hidden="false" customHeight="false" outlineLevel="0" collapsed="false">
      <c r="A89" s="15"/>
      <c r="B89" s="13"/>
      <c r="C89" s="13"/>
      <c r="P89" s="16" t="n">
        <f aca="false">IFERROR(MIN(Zahlungen!A41,Eingaben!$B$11),0)</f>
        <v>20</v>
      </c>
      <c r="Q89" s="14" t="n">
        <f aca="false">IF(Berechnung!$B$5=0,INDEX(Zahlungen!$G$7:$G$57,P89+1),0)</f>
        <v>884.20774325902</v>
      </c>
      <c r="R89" s="14" t="n">
        <f aca="false">IF(Berechnung!$B$5=0,INDEX(Zahlungen!$J$7:$J$57,P89+1),0)</f>
        <v>-17797.8728210468</v>
      </c>
    </row>
    <row r="90" customFormat="false" ht="15" hidden="false" customHeight="false" outlineLevel="0" collapsed="false">
      <c r="A90" s="15"/>
      <c r="B90" s="13"/>
      <c r="C90" s="13"/>
      <c r="P90" s="16" t="n">
        <f aca="false">IFERROR(MIN(Zahlungen!A42,Eingaben!$B$11),0)</f>
        <v>20</v>
      </c>
      <c r="Q90" s="14" t="n">
        <f aca="false">IF(Berechnung!$B$5=0,INDEX(Zahlungen!$G$7:$G$57,P90+1),0)</f>
        <v>884.20774325902</v>
      </c>
      <c r="R90" s="14" t="n">
        <f aca="false">IF(Berechnung!$B$5=0,INDEX(Zahlungen!$J$7:$J$57,P90+1),0)</f>
        <v>-17797.8728210468</v>
      </c>
    </row>
    <row r="91" customFormat="false" ht="15" hidden="false" customHeight="false" outlineLevel="0" collapsed="false">
      <c r="A91" s="15"/>
      <c r="B91" s="13"/>
      <c r="C91" s="13"/>
      <c r="P91" s="16" t="n">
        <f aca="false">IFERROR(MIN(Zahlungen!A43,Eingaben!$B$11),0)</f>
        <v>20</v>
      </c>
      <c r="Q91" s="14" t="n">
        <f aca="false">IF(Berechnung!$B$5=0,INDEX(Zahlungen!$G$7:$G$57,P91+1),0)</f>
        <v>884.20774325902</v>
      </c>
      <c r="R91" s="14" t="n">
        <f aca="false">IF(Berechnung!$B$5=0,INDEX(Zahlungen!$J$7:$J$57,P91+1),0)</f>
        <v>-17797.8728210468</v>
      </c>
    </row>
    <row r="92" customFormat="false" ht="15" hidden="false" customHeight="false" outlineLevel="0" collapsed="false">
      <c r="A92" s="15"/>
      <c r="B92" s="13"/>
      <c r="C92" s="13"/>
      <c r="P92" s="16" t="n">
        <f aca="false">IFERROR(MIN(Zahlungen!A44,Eingaben!$B$11),0)</f>
        <v>20</v>
      </c>
      <c r="Q92" s="14" t="n">
        <f aca="false">IF(Berechnung!$B$5=0,INDEX(Zahlungen!$G$7:$G$57,P92+1),0)</f>
        <v>884.20774325902</v>
      </c>
      <c r="R92" s="14" t="n">
        <f aca="false">IF(Berechnung!$B$5=0,INDEX(Zahlungen!$J$7:$J$57,P92+1),0)</f>
        <v>-17797.8728210468</v>
      </c>
    </row>
    <row r="93" customFormat="false" ht="15" hidden="false" customHeight="false" outlineLevel="0" collapsed="false">
      <c r="A93" s="15"/>
      <c r="B93" s="13"/>
      <c r="C93" s="13"/>
      <c r="P93" s="16" t="n">
        <f aca="false">IFERROR(MIN(Zahlungen!A45,Eingaben!$B$11),0)</f>
        <v>20</v>
      </c>
      <c r="Q93" s="14" t="n">
        <f aca="false">IF(Berechnung!$B$5=0,INDEX(Zahlungen!$G$7:$G$57,P93+1),0)</f>
        <v>884.20774325902</v>
      </c>
      <c r="R93" s="14" t="n">
        <f aca="false">IF(Berechnung!$B$5=0,INDEX(Zahlungen!$J$7:$J$57,P93+1),0)</f>
        <v>-17797.8728210468</v>
      </c>
    </row>
    <row r="94" customFormat="false" ht="15" hidden="false" customHeight="false" outlineLevel="0" collapsed="false">
      <c r="A94" s="15"/>
      <c r="B94" s="13"/>
      <c r="C94" s="13"/>
      <c r="P94" s="16" t="n">
        <f aca="false">IFERROR(MIN(Zahlungen!A46,Eingaben!$B$11),0)</f>
        <v>20</v>
      </c>
      <c r="Q94" s="14" t="n">
        <f aca="false">IF(Berechnung!$B$5=0,INDEX(Zahlungen!$G$7:$G$57,P94+1),0)</f>
        <v>884.20774325902</v>
      </c>
      <c r="R94" s="14" t="n">
        <f aca="false">IF(Berechnung!$B$5=0,INDEX(Zahlungen!$J$7:$J$57,P94+1),0)</f>
        <v>-17797.8728210468</v>
      </c>
    </row>
    <row r="95" customFormat="false" ht="15" hidden="false" customHeight="false" outlineLevel="0" collapsed="false">
      <c r="A95" s="15"/>
      <c r="B95" s="13"/>
      <c r="C95" s="13"/>
      <c r="P95" s="16" t="n">
        <f aca="false">IFERROR(MIN(Zahlungen!A47,Eingaben!$B$11),0)</f>
        <v>20</v>
      </c>
      <c r="Q95" s="14" t="n">
        <f aca="false">IF(Berechnung!$B$5=0,INDEX(Zahlungen!$G$7:$G$57,P95+1),0)</f>
        <v>884.20774325902</v>
      </c>
      <c r="R95" s="14" t="n">
        <f aca="false">IF(Berechnung!$B$5=0,INDEX(Zahlungen!$J$7:$J$57,P95+1),0)</f>
        <v>-17797.8728210468</v>
      </c>
    </row>
    <row r="96" customFormat="false" ht="15" hidden="false" customHeight="false" outlineLevel="0" collapsed="false">
      <c r="A96" s="15"/>
      <c r="B96" s="13"/>
      <c r="C96" s="13"/>
      <c r="P96" s="16" t="n">
        <f aca="false">IFERROR(MIN(Zahlungen!A48,Eingaben!$B$11),0)</f>
        <v>20</v>
      </c>
      <c r="Q96" s="14" t="n">
        <f aca="false">IF(Berechnung!$B$5=0,INDEX(Zahlungen!$G$7:$G$57,P96+1),0)</f>
        <v>884.20774325902</v>
      </c>
      <c r="R96" s="14" t="n">
        <f aca="false">IF(Berechnung!$B$5=0,INDEX(Zahlungen!$J$7:$J$57,P96+1),0)</f>
        <v>-17797.8728210468</v>
      </c>
    </row>
    <row r="97" customFormat="false" ht="15" hidden="false" customHeight="false" outlineLevel="0" collapsed="false">
      <c r="A97" s="15"/>
      <c r="B97" s="13"/>
      <c r="C97" s="13"/>
      <c r="P97" s="16" t="n">
        <f aca="false">IFERROR(MIN(Zahlungen!A49,Eingaben!$B$11),0)</f>
        <v>20</v>
      </c>
      <c r="Q97" s="14" t="n">
        <f aca="false">IF(Berechnung!$B$5=0,INDEX(Zahlungen!$G$7:$G$57,P97+1),0)</f>
        <v>884.20774325902</v>
      </c>
      <c r="R97" s="14" t="n">
        <f aca="false">IF(Berechnung!$B$5=0,INDEX(Zahlungen!$J$7:$J$57,P97+1),0)</f>
        <v>-17797.8728210468</v>
      </c>
    </row>
    <row r="98" customFormat="false" ht="15" hidden="false" customHeight="false" outlineLevel="0" collapsed="false">
      <c r="A98" s="15"/>
      <c r="B98" s="13"/>
      <c r="C98" s="13"/>
      <c r="P98" s="16" t="n">
        <f aca="false">IFERROR(MIN(Zahlungen!A50,Eingaben!$B$11),0)</f>
        <v>20</v>
      </c>
      <c r="Q98" s="14" t="n">
        <f aca="false">IF(Berechnung!$B$5=0,INDEX(Zahlungen!$G$7:$G$57,P98+1),0)</f>
        <v>884.20774325902</v>
      </c>
      <c r="R98" s="14" t="n">
        <f aca="false">IF(Berechnung!$B$5=0,INDEX(Zahlungen!$J$7:$J$57,P98+1),0)</f>
        <v>-17797.8728210468</v>
      </c>
    </row>
    <row r="99" customFormat="false" ht="15" hidden="false" customHeight="false" outlineLevel="0" collapsed="false">
      <c r="A99" s="15"/>
      <c r="B99" s="13"/>
      <c r="C99" s="13"/>
      <c r="P99" s="16" t="n">
        <f aca="false">IFERROR(MIN(Zahlungen!A51,Eingaben!$B$11),0)</f>
        <v>20</v>
      </c>
      <c r="Q99" s="14" t="n">
        <f aca="false">IF(Berechnung!$B$5=0,INDEX(Zahlungen!$G$7:$G$57,P99+1),0)</f>
        <v>884.20774325902</v>
      </c>
      <c r="R99" s="14" t="n">
        <f aca="false">IF(Berechnung!$B$5=0,INDEX(Zahlungen!$J$7:$J$57,P99+1),0)</f>
        <v>-17797.8728210468</v>
      </c>
    </row>
    <row r="100" customFormat="false" ht="15" hidden="false" customHeight="false" outlineLevel="0" collapsed="false">
      <c r="A100" s="15"/>
      <c r="B100" s="13"/>
      <c r="C100" s="13"/>
      <c r="P100" s="16" t="n">
        <f aca="false">IFERROR(MIN(Zahlungen!A52,Eingaben!$B$11),0)</f>
        <v>20</v>
      </c>
      <c r="Q100" s="14" t="n">
        <f aca="false">IF(Berechnung!$B$5=0,INDEX(Zahlungen!$G$7:$G$57,P100+1),0)</f>
        <v>884.20774325902</v>
      </c>
      <c r="R100" s="14" t="n">
        <f aca="false">IF(Berechnung!$B$5=0,INDEX(Zahlungen!$J$7:$J$57,P100+1),0)</f>
        <v>-17797.8728210468</v>
      </c>
    </row>
    <row r="101" customFormat="false" ht="15" hidden="false" customHeight="false" outlineLevel="0" collapsed="false">
      <c r="A101" s="15"/>
      <c r="B101" s="13"/>
      <c r="C101" s="13"/>
      <c r="P101" s="16" t="n">
        <f aca="false">IFERROR(MIN(Zahlungen!A53,Eingaben!$B$11),0)</f>
        <v>20</v>
      </c>
      <c r="Q101" s="14" t="n">
        <f aca="false">IF(Berechnung!$B$5=0,INDEX(Zahlungen!$G$7:$G$57,P101+1),0)</f>
        <v>884.20774325902</v>
      </c>
      <c r="R101" s="14" t="n">
        <f aca="false">IF(Berechnung!$B$5=0,INDEX(Zahlungen!$J$7:$J$57,P101+1),0)</f>
        <v>-17797.8728210468</v>
      </c>
    </row>
    <row r="102" customFormat="false" ht="15" hidden="false" customHeight="false" outlineLevel="0" collapsed="false">
      <c r="A102" s="15"/>
      <c r="B102" s="13"/>
      <c r="C102" s="13"/>
      <c r="P102" s="16" t="n">
        <f aca="false">IFERROR(MIN(Zahlungen!A54,Eingaben!$B$11),0)</f>
        <v>20</v>
      </c>
      <c r="Q102" s="14" t="n">
        <f aca="false">IF(Berechnung!$B$5=0,INDEX(Zahlungen!$G$7:$G$57,P102+1),0)</f>
        <v>884.20774325902</v>
      </c>
      <c r="R102" s="14" t="n">
        <f aca="false">IF(Berechnung!$B$5=0,INDEX(Zahlungen!$J$7:$J$57,P102+1),0)</f>
        <v>-17797.8728210468</v>
      </c>
    </row>
    <row r="103" customFormat="false" ht="15" hidden="false" customHeight="false" outlineLevel="0" collapsed="false">
      <c r="A103" s="15"/>
      <c r="B103" s="13"/>
      <c r="C103" s="13"/>
      <c r="P103" s="16" t="n">
        <f aca="false">IFERROR(MIN(Zahlungen!A55,Eingaben!$B$11),0)</f>
        <v>20</v>
      </c>
      <c r="Q103" s="14" t="n">
        <f aca="false">IF(Berechnung!$B$5=0,INDEX(Zahlungen!$G$7:$G$57,P103+1),0)</f>
        <v>884.20774325902</v>
      </c>
      <c r="R103" s="14" t="n">
        <f aca="false">IF(Berechnung!$B$5=0,INDEX(Zahlungen!$J$7:$J$57,P103+1),0)</f>
        <v>-17797.8728210468</v>
      </c>
    </row>
    <row r="104" customFormat="false" ht="15" hidden="false" customHeight="false" outlineLevel="0" collapsed="false">
      <c r="A104" s="15"/>
      <c r="B104" s="13"/>
      <c r="C104" s="13"/>
      <c r="P104" s="16" t="n">
        <f aca="false">IFERROR(MIN(Zahlungen!A56,Eingaben!$B$11),0)</f>
        <v>20</v>
      </c>
      <c r="Q104" s="14" t="n">
        <f aca="false">IF(Berechnung!$B$5=0,INDEX(Zahlungen!$G$7:$G$57,P104+1),0)</f>
        <v>884.20774325902</v>
      </c>
      <c r="R104" s="14" t="n">
        <f aca="false">IF(Berechnung!$B$5=0,INDEX(Zahlungen!$J$7:$J$57,P104+1),0)</f>
        <v>-17797.8728210468</v>
      </c>
    </row>
    <row r="105" customFormat="false" ht="15" hidden="false" customHeight="false" outlineLevel="0" collapsed="false">
      <c r="A105" s="15"/>
      <c r="B105" s="13"/>
      <c r="C105" s="13"/>
      <c r="P105" s="16" t="n">
        <f aca="false">IFERROR(MIN(Zahlungen!A57,Eingaben!$B$11),0)</f>
        <v>20</v>
      </c>
      <c r="Q105" s="14" t="n">
        <f aca="false">IF(Berechnung!$B$5=0,INDEX(Zahlungen!$G$7:$G$57,P105+1),0)</f>
        <v>884.20774325902</v>
      </c>
      <c r="R105" s="14" t="n">
        <f aca="false">IF(Berechnung!$B$5=0,INDEX(Zahlungen!$J$7:$J$57,P105+1),0)</f>
        <v>-17797.8728210468</v>
      </c>
    </row>
  </sheetData>
  <sheetProtection sheet="true" objects="true" sort="false" autoFilter="false"/>
  <mergeCells count="43">
    <mergeCell ref="A1:L1"/>
    <mergeCell ref="A3:L3"/>
    <mergeCell ref="A4:B4"/>
    <mergeCell ref="C4:H4"/>
    <mergeCell ref="I4:L4"/>
    <mergeCell ref="A5:B5"/>
    <mergeCell ref="C5:H5"/>
    <mergeCell ref="I5:L5"/>
    <mergeCell ref="A7:C7"/>
    <mergeCell ref="D7:F7"/>
    <mergeCell ref="G7:I7"/>
    <mergeCell ref="J7:L7"/>
    <mergeCell ref="A8:C9"/>
    <mergeCell ref="D8:F9"/>
    <mergeCell ref="G8:I9"/>
    <mergeCell ref="J8:L9"/>
    <mergeCell ref="A11:C11"/>
    <mergeCell ref="D11:F11"/>
    <mergeCell ref="G11:I11"/>
    <mergeCell ref="J11:L11"/>
    <mergeCell ref="A12:C13"/>
    <mergeCell ref="D12:F13"/>
    <mergeCell ref="G12:I13"/>
    <mergeCell ref="J12:L13"/>
    <mergeCell ref="A15:C15"/>
    <mergeCell ref="D15:F15"/>
    <mergeCell ref="G15:I15"/>
    <mergeCell ref="J15:L15"/>
    <mergeCell ref="A16:C17"/>
    <mergeCell ref="D16:F17"/>
    <mergeCell ref="G16:I17"/>
    <mergeCell ref="J16:L17"/>
    <mergeCell ref="A19:D19"/>
    <mergeCell ref="E19:H19"/>
    <mergeCell ref="I19:L19"/>
    <mergeCell ref="A20:D20"/>
    <mergeCell ref="E20:H20"/>
    <mergeCell ref="I20:L20"/>
    <mergeCell ref="A21:L21"/>
    <mergeCell ref="A22:L22"/>
    <mergeCell ref="A23:L23"/>
    <mergeCell ref="A24:L24"/>
    <mergeCell ref="A62:L62"/>
  </mergeCells>
  <conditionalFormatting sqref="A20:D20">
    <cfRule type="cellIs" priority="2" operator="equal" aboveAverage="0" equalAverage="0" bottom="0" percent="0" rank="0" text="" dxfId="0">
      <formula>"Grün"</formula>
    </cfRule>
    <cfRule type="cellIs" priority="3" operator="equal" aboveAverage="0" equalAverage="0" bottom="0" percent="0" rank="0" text="" dxfId="1">
      <formula>"Gelb"</formula>
    </cfRule>
    <cfRule type="cellIs" priority="4" operator="equal" aboveAverage="0" equalAverage="0" bottom="0" percent="0" rank="0" text="" dxfId="2">
      <formula>"Rot"</formula>
    </cfRule>
    <cfRule type="cellIs" priority="5" operator="equal" aboveAverage="0" equalAverage="0" bottom="0" percent="0" rank="0" text="" dxfId="3">
      <formula>"Nicht bewertbar"</formula>
    </cfRule>
  </conditionalFormatting>
  <conditionalFormatting sqref="E20:H20">
    <cfRule type="cellIs" priority="6" operator="equal" aboveAverage="0" equalAverage="0" bottom="0" percent="0" rank="0" text="" dxfId="0">
      <formula>"Grün"</formula>
    </cfRule>
    <cfRule type="cellIs" priority="7" operator="equal" aboveAverage="0" equalAverage="0" bottom="0" percent="0" rank="0" text="" dxfId="1">
      <formula>"Gelb"</formula>
    </cfRule>
    <cfRule type="cellIs" priority="8" operator="equal" aboveAverage="0" equalAverage="0" bottom="0" percent="0" rank="0" text="" dxfId="2">
      <formula>"Rot"</formula>
    </cfRule>
    <cfRule type="cellIs" priority="9" operator="equal" aboveAverage="0" equalAverage="0" bottom="0" percent="0" rank="0" text="" dxfId="3">
      <formula>"Nicht bewertbar"</formula>
    </cfRule>
  </conditionalFormatting>
  <conditionalFormatting sqref="I20:L20">
    <cfRule type="cellIs" priority="10" operator="equal" aboveAverage="0" equalAverage="0" bottom="0" percent="0" rank="0" text="" dxfId="0">
      <formula>"Grün"</formula>
    </cfRule>
    <cfRule type="cellIs" priority="11" operator="equal" aboveAverage="0" equalAverage="0" bottom="0" percent="0" rank="0" text="" dxfId="1">
      <formula>"Gelb"</formula>
    </cfRule>
    <cfRule type="cellIs" priority="12" operator="equal" aboveAverage="0" equalAverage="0" bottom="0" percent="0" rank="0" text="" dxfId="2">
      <formula>"Rot"</formula>
    </cfRule>
    <cfRule type="cellIs" priority="13" operator="equal" aboveAverage="0" equalAverage="0" bottom="0" percent="0" rank="0" text="" dxfId="3">
      <formula>"Nicht bewertbar"</formula>
    </cfRule>
  </conditionalFormatting>
  <hyperlinks>
    <hyperlink ref="A2" r:id="rId1" location="'Dashboard'!A1" display="Dashboard"/>
    <hyperlink ref="B2" r:id="rId2" location="'Eingaben'!A1" display="Eingaben"/>
    <hyperlink ref="C2" r:id="rId3" location="'Nutzungsprofile'!A1" display="Profile"/>
    <hyperlink ref="D2" r:id="rId4" location="'Kalender'!A1" display="Kalender"/>
    <hyperlink ref="E2" r:id="rId5" location="'Anleitung'!A1" display="Methodik"/>
  </hyperlinks>
  <printOptions headings="false" gridLines="false" gridLinesSet="true" horizontalCentered="true" verticalCentered="false"/>
  <pageMargins left="0.25" right="0.2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Grauwasserbewertung | wissenschaftlicher Prototyp | &amp;P / &amp;N</oddFooter>
  </headerFooter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83"/>
  </cols>
  <sheetData>
    <row r="1" customFormat="false" ht="37.5" hidden="false" customHeight="true" outlineLevel="0" collapsed="false">
      <c r="A1" s="1" t="s">
        <v>35</v>
      </c>
      <c r="B1" s="1"/>
      <c r="C1" s="1"/>
      <c r="D1" s="1"/>
    </row>
    <row r="2" customFormat="false" ht="14.9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3.75" hidden="false" customHeight="true" outlineLevel="0" collapsed="false">
      <c r="A3" s="3" t="s">
        <v>36</v>
      </c>
      <c r="B3" s="3"/>
      <c r="C3" s="3"/>
      <c r="D3" s="3"/>
    </row>
    <row r="4" customFormat="false" ht="24" hidden="false" customHeight="true" outlineLevel="0" collapsed="false">
      <c r="A4" s="18" t="s">
        <v>37</v>
      </c>
      <c r="B4" s="18"/>
      <c r="C4" s="18"/>
      <c r="D4" s="18"/>
    </row>
    <row r="5" customFormat="false" ht="36" hidden="false" customHeight="true" outlineLevel="0" collapsed="false">
      <c r="A5" s="12" t="s">
        <v>38</v>
      </c>
      <c r="B5" s="19" t="s">
        <v>39</v>
      </c>
      <c r="C5" s="12" t="s">
        <v>40</v>
      </c>
      <c r="D5" s="12" t="s">
        <v>41</v>
      </c>
    </row>
    <row r="6" customFormat="false" ht="36" hidden="false" customHeight="true" outlineLevel="0" collapsed="false">
      <c r="A6" s="12" t="s">
        <v>8</v>
      </c>
      <c r="B6" s="19" t="s">
        <v>42</v>
      </c>
      <c r="C6" s="12" t="s">
        <v>40</v>
      </c>
      <c r="D6" s="12" t="s">
        <v>43</v>
      </c>
    </row>
    <row r="7" customFormat="false" ht="36" hidden="false" customHeight="true" outlineLevel="0" collapsed="false">
      <c r="A7" s="12" t="s">
        <v>44</v>
      </c>
      <c r="B7" s="19" t="s">
        <v>45</v>
      </c>
      <c r="C7" s="12" t="s">
        <v>40</v>
      </c>
      <c r="D7" s="12" t="s">
        <v>46</v>
      </c>
    </row>
    <row r="8" customFormat="false" ht="36" hidden="false" customHeight="true" outlineLevel="0" collapsed="false">
      <c r="A8" s="12" t="s">
        <v>47</v>
      </c>
      <c r="B8" s="19" t="s">
        <v>48</v>
      </c>
      <c r="C8" s="12" t="s">
        <v>40</v>
      </c>
      <c r="D8" s="12" t="s">
        <v>49</v>
      </c>
    </row>
    <row r="9" customFormat="false" ht="30" hidden="false" customHeight="true" outlineLevel="0" collapsed="false">
      <c r="A9" s="12" t="s">
        <v>50</v>
      </c>
      <c r="B9" s="20" t="n">
        <v>300</v>
      </c>
      <c r="C9" s="12" t="s">
        <v>51</v>
      </c>
      <c r="D9" s="12" t="s">
        <v>52</v>
      </c>
    </row>
    <row r="10" customFormat="false" ht="30" hidden="false" customHeight="true" outlineLevel="0" collapsed="false">
      <c r="A10" s="12" t="s">
        <v>53</v>
      </c>
      <c r="B10" s="20" t="n">
        <v>2026</v>
      </c>
      <c r="C10" s="12" t="s">
        <v>31</v>
      </c>
      <c r="D10" s="12" t="s">
        <v>54</v>
      </c>
    </row>
    <row r="11" customFormat="false" ht="30" hidden="false" customHeight="true" outlineLevel="0" collapsed="false">
      <c r="A11" s="12" t="s">
        <v>55</v>
      </c>
      <c r="B11" s="20" t="n">
        <v>20</v>
      </c>
      <c r="C11" s="12" t="s">
        <v>56</v>
      </c>
      <c r="D11" s="12" t="s">
        <v>57</v>
      </c>
    </row>
    <row r="12" customFormat="false" ht="30" hidden="false" customHeight="true" outlineLevel="0" collapsed="false">
      <c r="A12" s="12" t="s">
        <v>58</v>
      </c>
      <c r="B12" s="21" t="n">
        <v>1500</v>
      </c>
      <c r="C12" s="12" t="s">
        <v>25</v>
      </c>
      <c r="D12" s="12" t="s">
        <v>59</v>
      </c>
    </row>
    <row r="14" customFormat="false" ht="24" hidden="false" customHeight="true" outlineLevel="0" collapsed="false">
      <c r="A14" s="18" t="s">
        <v>60</v>
      </c>
      <c r="B14" s="18"/>
      <c r="C14" s="18"/>
      <c r="D14" s="18"/>
    </row>
    <row r="15" customFormat="false" ht="30" hidden="false" customHeight="true" outlineLevel="0" collapsed="false">
      <c r="A15" s="12" t="s">
        <v>61</v>
      </c>
      <c r="B15" s="22" t="n">
        <v>0.9</v>
      </c>
      <c r="C15" s="12" t="s">
        <v>62</v>
      </c>
      <c r="D15" s="12" t="s">
        <v>63</v>
      </c>
    </row>
    <row r="16" customFormat="false" ht="30" hidden="false" customHeight="true" outlineLevel="0" collapsed="false">
      <c r="A16" s="12" t="s">
        <v>64</v>
      </c>
      <c r="B16" s="22" t="n">
        <v>0.95</v>
      </c>
      <c r="C16" s="12" t="s">
        <v>62</v>
      </c>
      <c r="D16" s="12" t="s">
        <v>65</v>
      </c>
    </row>
    <row r="17" customFormat="false" ht="30" hidden="false" customHeight="true" outlineLevel="0" collapsed="false">
      <c r="A17" s="12" t="s">
        <v>66</v>
      </c>
      <c r="B17" s="21" t="n">
        <v>5</v>
      </c>
      <c r="C17" s="12" t="s">
        <v>67</v>
      </c>
      <c r="D17" s="12" t="s">
        <v>68</v>
      </c>
    </row>
    <row r="18" customFormat="false" ht="30" hidden="false" customHeight="true" outlineLevel="0" collapsed="false">
      <c r="A18" s="12" t="s">
        <v>69</v>
      </c>
      <c r="B18" s="21" t="n">
        <v>2</v>
      </c>
      <c r="C18" s="12" t="s">
        <v>70</v>
      </c>
      <c r="D18" s="12" t="s">
        <v>71</v>
      </c>
    </row>
    <row r="19" customFormat="false" ht="30" hidden="false" customHeight="true" outlineLevel="0" collapsed="false">
      <c r="A19" s="12" t="s">
        <v>72</v>
      </c>
      <c r="B19" s="22" t="n">
        <v>0.7</v>
      </c>
      <c r="C19" s="12" t="s">
        <v>62</v>
      </c>
      <c r="D19" s="12" t="s">
        <v>73</v>
      </c>
    </row>
    <row r="20" customFormat="false" ht="30" hidden="false" customHeight="true" outlineLevel="0" collapsed="false">
      <c r="A20" s="12" t="s">
        <v>74</v>
      </c>
      <c r="B20" s="22" t="n">
        <v>0.02</v>
      </c>
      <c r="C20" s="12" t="s">
        <v>62</v>
      </c>
      <c r="D20" s="12" t="s">
        <v>75</v>
      </c>
    </row>
    <row r="21" customFormat="false" ht="36" hidden="false" customHeight="true" outlineLevel="0" collapsed="false">
      <c r="A21" s="12" t="s">
        <v>76</v>
      </c>
      <c r="B21" s="19" t="s">
        <v>77</v>
      </c>
      <c r="C21" s="12" t="s">
        <v>78</v>
      </c>
      <c r="D21" s="12" t="s">
        <v>79</v>
      </c>
    </row>
    <row r="22" customFormat="false" ht="36" hidden="false" customHeight="true" outlineLevel="0" collapsed="false">
      <c r="A22" s="12" t="s">
        <v>80</v>
      </c>
      <c r="B22" s="19" t="s">
        <v>77</v>
      </c>
      <c r="C22" s="12" t="s">
        <v>78</v>
      </c>
      <c r="D22" s="12" t="s">
        <v>81</v>
      </c>
    </row>
    <row r="23" customFormat="false" ht="36" hidden="false" customHeight="true" outlineLevel="0" collapsed="false">
      <c r="A23" s="12" t="s">
        <v>82</v>
      </c>
      <c r="B23" s="19" t="s">
        <v>77</v>
      </c>
      <c r="C23" s="12" t="s">
        <v>78</v>
      </c>
      <c r="D23" s="12" t="s">
        <v>83</v>
      </c>
    </row>
    <row r="24" customFormat="false" ht="36" hidden="false" customHeight="true" outlineLevel="0" collapsed="false">
      <c r="A24" s="12" t="s">
        <v>84</v>
      </c>
      <c r="B24" s="19" t="s">
        <v>85</v>
      </c>
      <c r="C24" s="12" t="s">
        <v>40</v>
      </c>
      <c r="D24" s="12" t="s">
        <v>86</v>
      </c>
    </row>
    <row r="26" customFormat="false" ht="24" hidden="false" customHeight="true" outlineLevel="0" collapsed="false">
      <c r="A26" s="18" t="s">
        <v>87</v>
      </c>
      <c r="B26" s="18"/>
      <c r="C26" s="18"/>
      <c r="D26" s="18"/>
    </row>
    <row r="27" customFormat="false" ht="30" hidden="false" customHeight="true" outlineLevel="0" collapsed="false">
      <c r="A27" s="12" t="s">
        <v>88</v>
      </c>
      <c r="B27" s="21" t="n">
        <v>3000</v>
      </c>
      <c r="C27" s="12" t="s">
        <v>89</v>
      </c>
      <c r="D27" s="12" t="s">
        <v>90</v>
      </c>
    </row>
    <row r="28" customFormat="false" ht="30" hidden="false" customHeight="true" outlineLevel="0" collapsed="false">
      <c r="A28" s="12" t="s">
        <v>91</v>
      </c>
      <c r="B28" s="21" t="n">
        <v>15000</v>
      </c>
      <c r="C28" s="12" t="s">
        <v>89</v>
      </c>
      <c r="D28" s="12" t="s">
        <v>92</v>
      </c>
    </row>
    <row r="29" customFormat="false" ht="30" hidden="false" customHeight="true" outlineLevel="0" collapsed="false">
      <c r="A29" s="12" t="s">
        <v>93</v>
      </c>
      <c r="B29" s="21" t="n">
        <v>5000</v>
      </c>
      <c r="C29" s="12" t="s">
        <v>89</v>
      </c>
      <c r="D29" s="12" t="s">
        <v>94</v>
      </c>
    </row>
    <row r="30" customFormat="false" ht="30" hidden="false" customHeight="true" outlineLevel="0" collapsed="false">
      <c r="A30" s="12" t="s">
        <v>95</v>
      </c>
      <c r="B30" s="21" t="n">
        <v>2000</v>
      </c>
      <c r="C30" s="12" t="s">
        <v>89</v>
      </c>
      <c r="D30" s="12" t="s">
        <v>96</v>
      </c>
    </row>
    <row r="31" customFormat="false" ht="30" hidden="false" customHeight="true" outlineLevel="0" collapsed="false">
      <c r="A31" s="12" t="s">
        <v>97</v>
      </c>
      <c r="B31" s="21" t="n">
        <v>0</v>
      </c>
      <c r="C31" s="12" t="s">
        <v>89</v>
      </c>
      <c r="D31" s="12" t="s">
        <v>98</v>
      </c>
    </row>
    <row r="32" customFormat="false" ht="30" hidden="false" customHeight="true" outlineLevel="0" collapsed="false">
      <c r="A32" s="12" t="s">
        <v>99</v>
      </c>
      <c r="B32" s="21" t="n">
        <v>450</v>
      </c>
      <c r="C32" s="12" t="s">
        <v>100</v>
      </c>
      <c r="D32" s="12" t="s">
        <v>101</v>
      </c>
    </row>
    <row r="33" customFormat="false" ht="30" hidden="false" customHeight="true" outlineLevel="0" collapsed="false">
      <c r="A33" s="12" t="s">
        <v>102</v>
      </c>
      <c r="B33" s="21" t="n">
        <v>1</v>
      </c>
      <c r="C33" s="12" t="s">
        <v>103</v>
      </c>
      <c r="D33" s="12" t="s">
        <v>104</v>
      </c>
    </row>
    <row r="34" customFormat="false" ht="30" hidden="false" customHeight="true" outlineLevel="0" collapsed="false">
      <c r="A34" s="12" t="s">
        <v>105</v>
      </c>
      <c r="B34" s="21" t="n">
        <v>0.3</v>
      </c>
      <c r="C34" s="12" t="s">
        <v>106</v>
      </c>
      <c r="D34" s="12" t="s">
        <v>107</v>
      </c>
    </row>
    <row r="35" customFormat="false" ht="30" hidden="false" customHeight="true" outlineLevel="0" collapsed="false">
      <c r="A35" s="12" t="s">
        <v>108</v>
      </c>
      <c r="B35" s="21" t="n">
        <v>120</v>
      </c>
      <c r="C35" s="12" t="s">
        <v>100</v>
      </c>
      <c r="D35" s="12" t="s">
        <v>109</v>
      </c>
    </row>
    <row r="36" customFormat="false" ht="30" hidden="false" customHeight="true" outlineLevel="0" collapsed="false">
      <c r="A36" s="12" t="s">
        <v>110</v>
      </c>
      <c r="B36" s="21" t="n">
        <v>2.5</v>
      </c>
      <c r="C36" s="12" t="s">
        <v>111</v>
      </c>
      <c r="D36" s="12" t="s">
        <v>112</v>
      </c>
    </row>
    <row r="37" customFormat="false" ht="30" hidden="false" customHeight="true" outlineLevel="0" collapsed="false">
      <c r="A37" s="12" t="s">
        <v>113</v>
      </c>
      <c r="B37" s="21" t="n">
        <v>2.2</v>
      </c>
      <c r="C37" s="12" t="s">
        <v>111</v>
      </c>
      <c r="D37" s="12" t="s">
        <v>114</v>
      </c>
    </row>
    <row r="38" customFormat="false" ht="30" hidden="false" customHeight="true" outlineLevel="0" collapsed="false">
      <c r="A38" s="12" t="s">
        <v>115</v>
      </c>
      <c r="B38" s="22" t="n">
        <v>0</v>
      </c>
      <c r="C38" s="12" t="s">
        <v>62</v>
      </c>
      <c r="D38" s="12" t="s">
        <v>116</v>
      </c>
    </row>
    <row r="39" customFormat="false" ht="30" hidden="false" customHeight="true" outlineLevel="0" collapsed="false">
      <c r="A39" s="12" t="s">
        <v>117</v>
      </c>
      <c r="B39" s="22" t="n">
        <v>0.03</v>
      </c>
      <c r="C39" s="12" t="s">
        <v>62</v>
      </c>
      <c r="D39" s="12" t="s">
        <v>118</v>
      </c>
    </row>
    <row r="40" customFormat="false" ht="30" hidden="false" customHeight="true" outlineLevel="0" collapsed="false">
      <c r="A40" s="12" t="s">
        <v>119</v>
      </c>
      <c r="B40" s="22" t="n">
        <v>0.02</v>
      </c>
      <c r="C40" s="12" t="s">
        <v>120</v>
      </c>
      <c r="D40" s="12" t="s">
        <v>121</v>
      </c>
    </row>
    <row r="41" customFormat="false" ht="30" hidden="false" customHeight="true" outlineLevel="0" collapsed="false">
      <c r="A41" s="12" t="s">
        <v>122</v>
      </c>
      <c r="B41" s="22" t="n">
        <v>0.02</v>
      </c>
      <c r="C41" s="12" t="s">
        <v>120</v>
      </c>
      <c r="D41" s="12" t="s">
        <v>123</v>
      </c>
    </row>
    <row r="42" customFormat="false" ht="30" hidden="false" customHeight="true" outlineLevel="0" collapsed="false">
      <c r="A42" s="12" t="s">
        <v>124</v>
      </c>
      <c r="B42" s="22" t="n">
        <v>0.02</v>
      </c>
      <c r="C42" s="12" t="s">
        <v>120</v>
      </c>
      <c r="D42" s="12" t="s">
        <v>125</v>
      </c>
    </row>
    <row r="43" customFormat="false" ht="30" hidden="false" customHeight="true" outlineLevel="0" collapsed="false">
      <c r="A43" s="12" t="s">
        <v>126</v>
      </c>
      <c r="B43" s="20" t="n">
        <v>10</v>
      </c>
      <c r="C43" s="12" t="s">
        <v>31</v>
      </c>
      <c r="D43" s="12" t="s">
        <v>127</v>
      </c>
    </row>
    <row r="44" customFormat="false" ht="30" hidden="false" customHeight="true" outlineLevel="0" collapsed="false">
      <c r="A44" s="12" t="s">
        <v>128</v>
      </c>
      <c r="B44" s="21" t="n">
        <v>4000</v>
      </c>
      <c r="C44" s="12" t="s">
        <v>89</v>
      </c>
      <c r="D44" s="12" t="s">
        <v>129</v>
      </c>
    </row>
    <row r="45" customFormat="false" ht="30" hidden="false" customHeight="true" outlineLevel="0" collapsed="false">
      <c r="A45" s="12" t="s">
        <v>130</v>
      </c>
      <c r="B45" s="21" t="n">
        <v>0</v>
      </c>
      <c r="C45" s="12" t="s">
        <v>89</v>
      </c>
      <c r="D45" s="12" t="s">
        <v>131</v>
      </c>
    </row>
    <row r="46" customFormat="false" ht="30" hidden="false" customHeight="true" outlineLevel="0" collapsed="false">
      <c r="A46" s="12" t="s">
        <v>132</v>
      </c>
      <c r="B46" s="22" t="n">
        <v>0.02</v>
      </c>
      <c r="C46" s="12" t="s">
        <v>120</v>
      </c>
      <c r="D46" s="12" t="s">
        <v>133</v>
      </c>
    </row>
    <row r="47" customFormat="false" ht="36" hidden="false" customHeight="true" outlineLevel="0" collapsed="false">
      <c r="A47" s="12" t="s">
        <v>134</v>
      </c>
      <c r="B47" s="19" t="s">
        <v>135</v>
      </c>
      <c r="C47" s="12" t="s">
        <v>40</v>
      </c>
      <c r="D47" s="12" t="s">
        <v>136</v>
      </c>
    </row>
    <row r="48" customFormat="false" ht="36" hidden="false" customHeight="true" outlineLevel="0" collapsed="false">
      <c r="A48" s="12" t="s">
        <v>137</v>
      </c>
      <c r="B48" s="19" t="s">
        <v>138</v>
      </c>
      <c r="C48" s="12" t="s">
        <v>78</v>
      </c>
      <c r="D48" s="12" t="s">
        <v>139</v>
      </c>
    </row>
  </sheetData>
  <sheetProtection sheet="true" objects="true" sort="false" autoFilter="false"/>
  <mergeCells count="5">
    <mergeCell ref="A1:D1"/>
    <mergeCell ref="A3:D3"/>
    <mergeCell ref="A4:D4"/>
    <mergeCell ref="A14:D14"/>
    <mergeCell ref="A26:D26"/>
  </mergeCells>
  <dataValidations count="34"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9" type="whole">
      <formula1>0</formula1>
      <formula2>1000000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0" type="whole">
      <formula1>2020</formula1>
      <formula2>2100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1" type="whole">
      <formula1>1</formula1>
      <formula2>50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2" type="decimal">
      <formula1>0</formula1>
      <formula2>10000000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5" type="decimal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6" type="decimal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7" type="decimal">
      <formula1>0</formula1>
      <formula2>100000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8" type="decimal">
      <formula1>0</formula1>
      <formula2>100000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9" type="decimal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0" type="decimal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1" type="list">
      <formula1>"Ungeklärt,Nachgewiesen,Nicht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2" type="list">
      <formula1>"Ungeklärt,Nachgewiesen,Nicht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3" type="list">
      <formula1>"Ungeklärt,Nachgewiesen,Nicht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7" type="decimal">
      <formula1>0</formula1>
      <formula2>1000000000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8" type="decimal">
      <formula1>0</formula1>
      <formula2>1000000000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9" type="decimal">
      <formula1>0</formula1>
      <formula2>1000000000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0" type="decimal">
      <formula1>0</formula1>
      <formula2>1000000000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1" type="decimal">
      <formula1>0</formula1>
      <formula2>1000000000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2" type="decimal">
      <formula1>0</formula1>
      <formula2>1000000000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3" type="decimal">
      <formula1>0</formula1>
      <formula2>1000000000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4" type="decimal">
      <formula1>0</formula1>
      <formula2>1000000000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5" type="decimal">
      <formula1>0</formula1>
      <formula2>1000000000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6" type="decimal">
      <formula1>0</formula1>
      <formula2>1000000000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7" type="decimal">
      <formula1>0</formula1>
      <formula2>1000000000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8" type="decimal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9" type="decimal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40" type="decimal">
      <formula1>-0.5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41" type="decimal">
      <formula1>-0.5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42" type="decimal">
      <formula1>-0.5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43" type="whole">
      <formula1>0</formula1>
      <formula2>50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44" type="decimal">
      <formula1>0</formula1>
      <formula2>1000000000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45" type="decimal">
      <formula1>0</formula1>
      <formula2>1000000000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46" type="decimal">
      <formula1>-0.5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48" type="list">
      <formula1>"Beispieldaten,Projektdaten"</formula1>
      <formula2>0</formula2>
    </dataValidation>
  </dataValidations>
  <hyperlinks>
    <hyperlink ref="A2" r:id="rId1" location="'Dashboard'!A1" display="Dashboard"/>
    <hyperlink ref="B2" r:id="rId2" location="'Eingaben'!A1" display="Eingaben"/>
    <hyperlink ref="C2" r:id="rId3" location="'Nutzungsprofile'!A1" display="Profile"/>
    <hyperlink ref="D2" r:id="rId4" location="'Kalender'!A1" display="Kalender"/>
    <hyperlink ref="E2" r:id="rId5" location="'Anleitung'!A1" display="Methodik"/>
  </hyperlinks>
  <printOptions headings="false" gridLines="false" gridLinesSet="true" horizontalCentered="true" verticalCentered="false"/>
  <pageMargins left="0.25" right="0.2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Grauwasserbewertung | wissenschaftlicher Prototyp |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9"/>
    <col collapsed="false" customWidth="true" hidden="false" outlineLevel="0" max="9" min="9" style="0" width="13"/>
    <col collapsed="false" customWidth="true" hidden="false" outlineLevel="0" max="10" min="10" style="0" width="50"/>
  </cols>
  <sheetData>
    <row r="1" customFormat="false" ht="37.5" hidden="false" customHeight="true" outlineLevel="0" collapsed="false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3.75" hidden="false" customHeight="true" outlineLevel="0" collapsed="false">
      <c r="A3" s="3" t="s">
        <v>141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31.5" hidden="false" customHeight="true" outlineLevel="0" collapsed="false">
      <c r="A5" s="11" t="s">
        <v>142</v>
      </c>
      <c r="B5" s="11" t="s">
        <v>143</v>
      </c>
      <c r="C5" s="11" t="s">
        <v>144</v>
      </c>
      <c r="D5" s="11" t="s">
        <v>145</v>
      </c>
      <c r="E5" s="11" t="s">
        <v>146</v>
      </c>
      <c r="F5" s="11" t="s">
        <v>147</v>
      </c>
      <c r="G5" s="11" t="s">
        <v>148</v>
      </c>
      <c r="H5" s="11" t="s">
        <v>149</v>
      </c>
      <c r="I5" s="11" t="s">
        <v>150</v>
      </c>
      <c r="J5" s="11" t="s">
        <v>151</v>
      </c>
    </row>
    <row r="6" customFormat="false" ht="37.5" hidden="false" customHeight="true" outlineLevel="0" collapsed="false">
      <c r="A6" s="19" t="s">
        <v>152</v>
      </c>
      <c r="B6" s="19" t="s">
        <v>153</v>
      </c>
      <c r="C6" s="20" t="n">
        <v>120</v>
      </c>
      <c r="D6" s="21" t="n">
        <v>0.6</v>
      </c>
      <c r="E6" s="21" t="n">
        <v>25</v>
      </c>
      <c r="F6" s="20" t="n">
        <v>280</v>
      </c>
      <c r="G6" s="13" t="n">
        <f aca="false">IFERROR(C6*D6*E6*F6/1000,0)</f>
        <v>504</v>
      </c>
      <c r="H6" s="15" t="n">
        <f aca="false">IF(B6="Schulbetrieb",SUM(Kalender!$C$5:$C$370),IF(B6="Halle",SUM(Kalender!$D$5:$D$370),IF(B6="Individuell",SUM(Kalender!$E$5:$E$370),0)))</f>
        <v>280</v>
      </c>
      <c r="I6" s="12" t="str">
        <f aca="false">IFERROR(IF(AND(LEN(TRIM(A6))&gt;0,OR(B6="Schulbetrieb",B6="Halle",B6="Individuell"),COUNT(C6:F6)=4,C6&gt;=0,C6&lt;=1000000,D6&gt;=0,D6&lt;=100,E6&gt;=0,E6&lt;=1000,F6&gt;=0,F6&lt;=366,MOD(F6,1)=0,OR(G6=0,F6&lt;=H6)),"OK","FEHLER"),"FEHLER")</f>
        <v>OK</v>
      </c>
      <c r="J6" s="19" t="s">
        <v>154</v>
      </c>
    </row>
    <row r="7" customFormat="false" ht="37.5" hidden="false" customHeight="true" outlineLevel="0" collapsed="false">
      <c r="A7" s="19" t="s">
        <v>155</v>
      </c>
      <c r="B7" s="19" t="s">
        <v>156</v>
      </c>
      <c r="C7" s="20" t="n">
        <v>300</v>
      </c>
      <c r="D7" s="21" t="n">
        <v>3</v>
      </c>
      <c r="E7" s="21" t="n">
        <v>1</v>
      </c>
      <c r="F7" s="20" t="n">
        <v>190</v>
      </c>
      <c r="G7" s="13" t="n">
        <f aca="false">IFERROR(C7*D7*E7*F7/1000,0)</f>
        <v>171</v>
      </c>
      <c r="H7" s="15" t="n">
        <f aca="false">IF(B7="Schulbetrieb",SUM(Kalender!$C$5:$C$370),IF(B7="Halle",SUM(Kalender!$D$5:$D$370),IF(B7="Individuell",SUM(Kalender!$E$5:$E$370),0)))</f>
        <v>190</v>
      </c>
      <c r="I7" s="12" t="str">
        <f aca="false">IFERROR(IF(AND(LEN(TRIM(A7))&gt;0,OR(B7="Schulbetrieb",B7="Halle",B7="Individuell"),COUNT(C7:F7)=4,C7&gt;=0,C7&lt;=1000000,D7&gt;=0,D7&lt;=100,E7&gt;=0,E7&lt;=1000,F7&gt;=0,F7&lt;=366,MOD(F7,1)=0,OR(G7=0,F7&lt;=H7)),"OK","FEHLER"),"FEHLER")</f>
        <v>OK</v>
      </c>
      <c r="J7" s="19" t="s">
        <v>154</v>
      </c>
    </row>
    <row r="8" customFormat="false" ht="37.5" hidden="false" customHeight="true" outlineLevel="0" collapsed="false">
      <c r="A8" s="19" t="s">
        <v>157</v>
      </c>
      <c r="B8" s="19" t="s">
        <v>153</v>
      </c>
      <c r="C8" s="20" t="n">
        <v>120</v>
      </c>
      <c r="D8" s="21" t="n">
        <v>2</v>
      </c>
      <c r="E8" s="21" t="n">
        <v>1</v>
      </c>
      <c r="F8" s="20" t="n">
        <v>280</v>
      </c>
      <c r="G8" s="13" t="n">
        <f aca="false">IFERROR(C8*D8*E8*F8/1000,0)</f>
        <v>67.2</v>
      </c>
      <c r="H8" s="15" t="n">
        <f aca="false">IF(B8="Schulbetrieb",SUM(Kalender!$C$5:$C$370),IF(B8="Halle",SUM(Kalender!$D$5:$D$370),IF(B8="Individuell",SUM(Kalender!$E$5:$E$370),0)))</f>
        <v>280</v>
      </c>
      <c r="I8" s="12" t="str">
        <f aca="false">IFERROR(IF(AND(LEN(TRIM(A8))&gt;0,OR(B8="Schulbetrieb",B8="Halle",B8="Individuell"),COUNT(C8:F8)=4,C8&gt;=0,C8&lt;=1000000,D8&gt;=0,D8&lt;=100,E8&gt;=0,E8&lt;=1000,F8&gt;=0,F8&lt;=366,MOD(F8,1)=0,OR(G8=0,F8&lt;=H8)),"OK","FEHLER"),"FEHLER")</f>
        <v>OK</v>
      </c>
      <c r="J8" s="19" t="s">
        <v>154</v>
      </c>
    </row>
    <row r="9" customFormat="false" ht="37.5" hidden="false" customHeight="true" outlineLevel="0" collapsed="false">
      <c r="A9" s="19" t="s">
        <v>158</v>
      </c>
      <c r="B9" s="19" t="s">
        <v>159</v>
      </c>
      <c r="C9" s="20" t="n">
        <v>0</v>
      </c>
      <c r="D9" s="21" t="n">
        <v>0</v>
      </c>
      <c r="E9" s="21" t="n">
        <v>0</v>
      </c>
      <c r="F9" s="20" t="n">
        <v>0</v>
      </c>
      <c r="G9" s="13" t="n">
        <f aca="false">IFERROR(C9*D9*E9*F9/1000,0)</f>
        <v>0</v>
      </c>
      <c r="H9" s="15" t="n">
        <f aca="false">IF(B9="Schulbetrieb",SUM(Kalender!$C$5:$C$370),IF(B9="Halle",SUM(Kalender!$D$5:$D$370),IF(B9="Individuell",SUM(Kalender!$E$5:$E$370),0)))</f>
        <v>0</v>
      </c>
      <c r="I9" s="12" t="str">
        <f aca="false">IFERROR(IF(AND(LEN(TRIM(A9))&gt;0,OR(B9="Schulbetrieb",B9="Halle",B9="Individuell"),COUNT(C9:F9)=4,C9&gt;=0,C9&lt;=1000000,D9&gt;=0,D9&lt;=100,E9&gt;=0,E9&lt;=1000,F9&gt;=0,F9&lt;=366,MOD(F9,1)=0,OR(G9=0,F9&lt;=H9)),"OK","FEHLER"),"FEHLER")</f>
        <v>OK</v>
      </c>
      <c r="J9" s="19" t="s">
        <v>154</v>
      </c>
    </row>
    <row r="10" customFormat="false" ht="37.5" hidden="false" customHeight="true" outlineLevel="0" collapsed="false">
      <c r="A10" s="19" t="s">
        <v>160</v>
      </c>
      <c r="B10" s="19" t="s">
        <v>159</v>
      </c>
      <c r="C10" s="20" t="n">
        <v>0</v>
      </c>
      <c r="D10" s="21" t="n">
        <v>0</v>
      </c>
      <c r="E10" s="21" t="n">
        <v>0</v>
      </c>
      <c r="F10" s="20" t="n">
        <v>0</v>
      </c>
      <c r="G10" s="13" t="n">
        <f aca="false">IFERROR(C10*D10*E10*F10/1000,0)</f>
        <v>0</v>
      </c>
      <c r="H10" s="15" t="n">
        <f aca="false">IF(B10="Schulbetrieb",SUM(Kalender!$C$5:$C$370),IF(B10="Halle",SUM(Kalender!$D$5:$D$370),IF(B10="Individuell",SUM(Kalender!$E$5:$E$370),0)))</f>
        <v>0</v>
      </c>
      <c r="I10" s="12" t="str">
        <f aca="false">IFERROR(IF(AND(LEN(TRIM(A10))&gt;0,OR(B10="Schulbetrieb",B10="Halle",B10="Individuell"),COUNT(C10:F10)=4,C10&gt;=0,C10&lt;=1000000,D10&gt;=0,D10&lt;=100,E10&gt;=0,E10&lt;=1000,F10&gt;=0,F10&lt;=366,MOD(F10,1)=0,OR(G10=0,F10&lt;=H10)),"OK","FEHLER"),"FEHLER")</f>
        <v>OK</v>
      </c>
      <c r="J10" s="19" t="s">
        <v>154</v>
      </c>
    </row>
    <row r="11" customFormat="false" ht="37.5" hidden="false" customHeight="true" outlineLevel="0" collapsed="false">
      <c r="A11" s="19" t="s">
        <v>161</v>
      </c>
      <c r="B11" s="19" t="s">
        <v>159</v>
      </c>
      <c r="C11" s="20" t="n">
        <v>0</v>
      </c>
      <c r="D11" s="21" t="n">
        <v>0</v>
      </c>
      <c r="E11" s="21" t="n">
        <v>0</v>
      </c>
      <c r="F11" s="20" t="n">
        <v>0</v>
      </c>
      <c r="G11" s="13" t="n">
        <f aca="false">IFERROR(C11*D11*E11*F11/1000,0)</f>
        <v>0</v>
      </c>
      <c r="H11" s="15" t="n">
        <f aca="false">IF(B11="Schulbetrieb",SUM(Kalender!$C$5:$C$370),IF(B11="Halle",SUM(Kalender!$D$5:$D$370),IF(B11="Individuell",SUM(Kalender!$E$5:$E$370),0)))</f>
        <v>0</v>
      </c>
      <c r="I11" s="12" t="str">
        <f aca="false">IFERROR(IF(AND(LEN(TRIM(A11))&gt;0,OR(B11="Schulbetrieb",B11="Halle",B11="Individuell"),COUNT(C11:F11)=4,C11&gt;=0,C11&lt;=1000000,D11&gt;=0,D11&lt;=100,E11&gt;=0,E11&lt;=1000,F11&gt;=0,F11&lt;=366,MOD(F11,1)=0,OR(G11=0,F11&lt;=H11)),"OK","FEHLER"),"FEHLER")</f>
        <v>OK</v>
      </c>
      <c r="J11" s="19" t="s">
        <v>154</v>
      </c>
    </row>
    <row r="13" customFormat="false" ht="30" hidden="false" customHeight="true" outlineLevel="0" collapsed="false">
      <c r="A13" s="3" t="s">
        <v>162</v>
      </c>
      <c r="B13" s="3"/>
      <c r="C13" s="3"/>
      <c r="D13" s="3"/>
      <c r="E13" s="3"/>
      <c r="F13" s="3"/>
      <c r="G13" s="3"/>
      <c r="H13" s="3"/>
      <c r="I13" s="3"/>
      <c r="J13" s="3"/>
    </row>
    <row r="16" customFormat="false" ht="31.5" hidden="false" customHeight="true" outlineLevel="0" collapsed="false">
      <c r="A16" s="11" t="s">
        <v>142</v>
      </c>
      <c r="B16" s="11" t="s">
        <v>143</v>
      </c>
      <c r="C16" s="11" t="s">
        <v>144</v>
      </c>
      <c r="D16" s="11" t="s">
        <v>145</v>
      </c>
      <c r="E16" s="11" t="s">
        <v>146</v>
      </c>
      <c r="F16" s="11" t="s">
        <v>147</v>
      </c>
      <c r="G16" s="11" t="s">
        <v>148</v>
      </c>
      <c r="H16" s="11" t="s">
        <v>149</v>
      </c>
      <c r="I16" s="11" t="s">
        <v>150</v>
      </c>
      <c r="J16" s="11" t="s">
        <v>151</v>
      </c>
    </row>
    <row r="17" customFormat="false" ht="37.5" hidden="false" customHeight="true" outlineLevel="0" collapsed="false">
      <c r="A17" s="19" t="s">
        <v>163</v>
      </c>
      <c r="B17" s="19" t="s">
        <v>156</v>
      </c>
      <c r="C17" s="20" t="n">
        <v>300</v>
      </c>
      <c r="D17" s="21" t="n">
        <v>3</v>
      </c>
      <c r="E17" s="21" t="n">
        <v>4.5</v>
      </c>
      <c r="F17" s="20" t="n">
        <v>190</v>
      </c>
      <c r="G17" s="13" t="n">
        <f aca="false">IFERROR(C17*D17*E17*F17/1000,0)</f>
        <v>769.5</v>
      </c>
      <c r="H17" s="15" t="n">
        <f aca="false">IF(B17="Schulbetrieb",SUM(Kalender!$C$5:$C$370),IF(B17="Halle",SUM(Kalender!$D$5:$D$370),IF(B17="Individuell",SUM(Kalender!$E$5:$E$370),0)))</f>
        <v>190</v>
      </c>
      <c r="I17" s="12" t="str">
        <f aca="false">IFERROR(IF(AND(LEN(TRIM(A17))&gt;0,OR(B17="Schulbetrieb",B17="Halle",B17="Individuell"),COUNT(C17:F17)=4,C17&gt;=0,C17&lt;=1000000,D17&gt;=0,D17&lt;=100,E17&gt;=0,E17&lt;=1000,F17&gt;=0,F17&lt;=366,MOD(F17,1)=0,OR(G17=0,F17&lt;=H17)),"OK","FEHLER"),"FEHLER")</f>
        <v>OK</v>
      </c>
      <c r="J17" s="19" t="s">
        <v>154</v>
      </c>
    </row>
    <row r="18" customFormat="false" ht="37.5" hidden="false" customHeight="true" outlineLevel="0" collapsed="false">
      <c r="A18" s="19" t="s">
        <v>164</v>
      </c>
      <c r="B18" s="19" t="s">
        <v>153</v>
      </c>
      <c r="C18" s="20" t="n">
        <v>120</v>
      </c>
      <c r="D18" s="21" t="n">
        <v>1.5</v>
      </c>
      <c r="E18" s="21" t="n">
        <v>4.5</v>
      </c>
      <c r="F18" s="20" t="n">
        <v>280</v>
      </c>
      <c r="G18" s="13" t="n">
        <f aca="false">IFERROR(C18*D18*E18*F18/1000,0)</f>
        <v>226.8</v>
      </c>
      <c r="H18" s="15" t="n">
        <f aca="false">IF(B18="Schulbetrieb",SUM(Kalender!$C$5:$C$370),IF(B18="Halle",SUM(Kalender!$D$5:$D$370),IF(B18="Individuell",SUM(Kalender!$E$5:$E$370),0)))</f>
        <v>280</v>
      </c>
      <c r="I18" s="12" t="str">
        <f aca="false">IFERROR(IF(AND(LEN(TRIM(A18))&gt;0,OR(B18="Schulbetrieb",B18="Halle",B18="Individuell"),COUNT(C18:F18)=4,C18&gt;=0,C18&lt;=1000000,D18&gt;=0,D18&lt;=100,E18&gt;=0,E18&lt;=1000,F18&gt;=0,F18&lt;=366,MOD(F18,1)=0,OR(G18=0,F18&lt;=H18)),"OK","FEHLER"),"FEHLER")</f>
        <v>OK</v>
      </c>
      <c r="J18" s="19" t="s">
        <v>154</v>
      </c>
    </row>
    <row r="19" customFormat="false" ht="37.5" hidden="false" customHeight="true" outlineLevel="0" collapsed="false">
      <c r="A19" s="19" t="s">
        <v>165</v>
      </c>
      <c r="B19" s="19" t="s">
        <v>153</v>
      </c>
      <c r="C19" s="20" t="n">
        <v>80</v>
      </c>
      <c r="D19" s="21" t="n">
        <v>1</v>
      </c>
      <c r="E19" s="21" t="n">
        <v>1</v>
      </c>
      <c r="F19" s="20" t="n">
        <v>280</v>
      </c>
      <c r="G19" s="13" t="n">
        <f aca="false">IFERROR(C19*D19*E19*F19/1000,0)</f>
        <v>22.4</v>
      </c>
      <c r="H19" s="15" t="n">
        <f aca="false">IF(B19="Schulbetrieb",SUM(Kalender!$C$5:$C$370),IF(B19="Halle",SUM(Kalender!$D$5:$D$370),IF(B19="Individuell",SUM(Kalender!$E$5:$E$370),0)))</f>
        <v>280</v>
      </c>
      <c r="I19" s="12" t="str">
        <f aca="false">IFERROR(IF(AND(LEN(TRIM(A19))&gt;0,OR(B19="Schulbetrieb",B19="Halle",B19="Individuell"),COUNT(C19:F19)=4,C19&gt;=0,C19&lt;=1000000,D19&gt;=0,D19&lt;=100,E19&gt;=0,E19&lt;=1000,F19&gt;=0,F19&lt;=366,MOD(F19,1)=0,OR(G19=0,F19&lt;=H19)),"OK","FEHLER"),"FEHLER")</f>
        <v>OK</v>
      </c>
      <c r="J19" s="19" t="s">
        <v>154</v>
      </c>
    </row>
    <row r="20" customFormat="false" ht="37.5" hidden="false" customHeight="true" outlineLevel="0" collapsed="false">
      <c r="A20" s="19" t="s">
        <v>166</v>
      </c>
      <c r="B20" s="19" t="s">
        <v>159</v>
      </c>
      <c r="C20" s="20" t="n">
        <v>0</v>
      </c>
      <c r="D20" s="21" t="n">
        <v>0</v>
      </c>
      <c r="E20" s="21" t="n">
        <v>0</v>
      </c>
      <c r="F20" s="20" t="n">
        <v>0</v>
      </c>
      <c r="G20" s="13" t="n">
        <f aca="false">IFERROR(C20*D20*E20*F20/1000,0)</f>
        <v>0</v>
      </c>
      <c r="H20" s="15" t="n">
        <f aca="false">IF(B20="Schulbetrieb",SUM(Kalender!$C$5:$C$370),IF(B20="Halle",SUM(Kalender!$D$5:$D$370),IF(B20="Individuell",SUM(Kalender!$E$5:$E$370),0)))</f>
        <v>0</v>
      </c>
      <c r="I20" s="12" t="str">
        <f aca="false">IFERROR(IF(AND(LEN(TRIM(A20))&gt;0,OR(B20="Schulbetrieb",B20="Halle",B20="Individuell"),COUNT(C20:F20)=4,C20&gt;=0,C20&lt;=1000000,D20&gt;=0,D20&lt;=100,E20&gt;=0,E20&lt;=1000,F20&gt;=0,F20&lt;=366,MOD(F20,1)=0,OR(G20=0,F20&lt;=H20)),"OK","FEHLER"),"FEHLER")</f>
        <v>OK</v>
      </c>
      <c r="J20" s="19" t="s">
        <v>154</v>
      </c>
    </row>
    <row r="21" customFormat="false" ht="37.5" hidden="false" customHeight="true" outlineLevel="0" collapsed="false">
      <c r="A21" s="19" t="s">
        <v>167</v>
      </c>
      <c r="B21" s="19" t="s">
        <v>159</v>
      </c>
      <c r="C21" s="20" t="n">
        <v>0</v>
      </c>
      <c r="D21" s="21" t="n">
        <v>0</v>
      </c>
      <c r="E21" s="21" t="n">
        <v>0</v>
      </c>
      <c r="F21" s="20" t="n">
        <v>0</v>
      </c>
      <c r="G21" s="13" t="n">
        <f aca="false">IFERROR(C21*D21*E21*F21/1000,0)</f>
        <v>0</v>
      </c>
      <c r="H21" s="15" t="n">
        <f aca="false">IF(B21="Schulbetrieb",SUM(Kalender!$C$5:$C$370),IF(B21="Halle",SUM(Kalender!$D$5:$D$370),IF(B21="Individuell",SUM(Kalender!$E$5:$E$370),0)))</f>
        <v>0</v>
      </c>
      <c r="I21" s="12" t="str">
        <f aca="false">IFERROR(IF(AND(LEN(TRIM(A21))&gt;0,OR(B21="Schulbetrieb",B21="Halle",B21="Individuell"),COUNT(C21:F21)=4,C21&gt;=0,C21&lt;=1000000,D21&gt;=0,D21&lt;=100,E21&gt;=0,E21&lt;=1000,F21&gt;=0,F21&lt;=366,MOD(F21,1)=0,OR(G21=0,F21&lt;=H21)),"OK","FEHLER"),"FEHLER")</f>
        <v>OK</v>
      </c>
      <c r="J21" s="19" t="s">
        <v>154</v>
      </c>
    </row>
    <row r="22" customFormat="false" ht="37.5" hidden="false" customHeight="true" outlineLevel="0" collapsed="false">
      <c r="A22" s="19" t="s">
        <v>168</v>
      </c>
      <c r="B22" s="19" t="s">
        <v>159</v>
      </c>
      <c r="C22" s="20" t="n">
        <v>0</v>
      </c>
      <c r="D22" s="21" t="n">
        <v>0</v>
      </c>
      <c r="E22" s="21" t="n">
        <v>0</v>
      </c>
      <c r="F22" s="20" t="n">
        <v>0</v>
      </c>
      <c r="G22" s="13" t="n">
        <f aca="false">IFERROR(C22*D22*E22*F22/1000,0)</f>
        <v>0</v>
      </c>
      <c r="H22" s="15" t="n">
        <f aca="false">IF(B22="Schulbetrieb",SUM(Kalender!$C$5:$C$370),IF(B22="Halle",SUM(Kalender!$D$5:$D$370),IF(B22="Individuell",SUM(Kalender!$E$5:$E$370),0)))</f>
        <v>0</v>
      </c>
      <c r="I22" s="12" t="str">
        <f aca="false">IFERROR(IF(AND(LEN(TRIM(A22))&gt;0,OR(B22="Schulbetrieb",B22="Halle",B22="Individuell"),COUNT(C22:F22)=4,C22&gt;=0,C22&lt;=1000000,D22&gt;=0,D22&lt;=100,E22&gt;=0,E22&lt;=1000,F22&gt;=0,F22&lt;=366,MOD(F22,1)=0,OR(G22=0,F22&lt;=H22)),"OK","FEHLER"),"FEHLER")</f>
        <v>OK</v>
      </c>
      <c r="J22" s="19" t="s">
        <v>154</v>
      </c>
    </row>
    <row r="24" customFormat="false" ht="30" hidden="false" customHeight="true" outlineLevel="0" collapsed="false">
      <c r="A24" s="3" t="s">
        <v>169</v>
      </c>
      <c r="B24" s="3"/>
      <c r="C24" s="3"/>
      <c r="D24" s="3"/>
      <c r="E24" s="3"/>
      <c r="F24" s="3"/>
      <c r="G24" s="3"/>
      <c r="H24" s="3"/>
      <c r="I24" s="3"/>
      <c r="J24" s="3"/>
    </row>
    <row r="25" customFormat="false" ht="30" hidden="false" customHeight="true" outlineLevel="0" collapsed="false">
      <c r="A25" s="3" t="s">
        <v>170</v>
      </c>
      <c r="B25" s="3"/>
      <c r="C25" s="3"/>
      <c r="D25" s="3"/>
      <c r="E25" s="3"/>
      <c r="F25" s="3"/>
      <c r="G25" s="3"/>
      <c r="H25" s="3"/>
      <c r="I25" s="3"/>
      <c r="J25" s="3"/>
    </row>
    <row r="26" customFormat="false" ht="30" hidden="false" customHeight="true" outlineLevel="0" collapsed="false">
      <c r="A26" s="3" t="s">
        <v>171</v>
      </c>
      <c r="B26" s="3"/>
      <c r="C26" s="3"/>
      <c r="D26" s="3"/>
      <c r="E26" s="3"/>
      <c r="F26" s="3"/>
      <c r="G26" s="3"/>
      <c r="H26" s="3"/>
      <c r="I26" s="3"/>
      <c r="J26" s="3"/>
    </row>
  </sheetData>
  <sheetProtection sheet="true" objects="true" sort="false" autoFilter="false"/>
  <autoFilter ref="A5:J11"/>
  <mergeCells count="6">
    <mergeCell ref="A1:J1"/>
    <mergeCell ref="A3:J3"/>
    <mergeCell ref="A13:J13"/>
    <mergeCell ref="A24:J24"/>
    <mergeCell ref="A25:J25"/>
    <mergeCell ref="A26:J26"/>
  </mergeCells>
  <dataValidations count="60"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6" type="list">
      <formula1>"Schulbetrieb,Halle,Individuell"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6" type="decimal">
      <formula1>0</formula1>
      <formula2>1000000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6" type="decimal">
      <formula1>0</formula1>
      <formula2>100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6" type="decimal">
      <formula1>0</formula1>
      <formula2>1000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6" type="whole">
      <formula1>0</formula1>
      <formula2>366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7" type="list">
      <formula1>"Schulbetrieb,Halle,Individuell"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7" type="decimal">
      <formula1>0</formula1>
      <formula2>1000000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7" type="decimal">
      <formula1>0</formula1>
      <formula2>100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7" type="decimal">
      <formula1>0</formula1>
      <formula2>1000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7" type="whole">
      <formula1>0</formula1>
      <formula2>366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8" type="list">
      <formula1>"Schulbetrieb,Halle,Individuell"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8" type="decimal">
      <formula1>0</formula1>
      <formula2>1000000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8" type="decimal">
      <formula1>0</formula1>
      <formula2>100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8" type="decimal">
      <formula1>0</formula1>
      <formula2>1000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8" type="whole">
      <formula1>0</formula1>
      <formula2>366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9" type="list">
      <formula1>"Schulbetrieb,Halle,Individuell"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9" type="decimal">
      <formula1>0</formula1>
      <formula2>1000000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9" type="decimal">
      <formula1>0</formula1>
      <formula2>100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9" type="decimal">
      <formula1>0</formula1>
      <formula2>1000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9" type="whole">
      <formula1>0</formula1>
      <formula2>366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0" type="list">
      <formula1>"Schulbetrieb,Halle,Individuell"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0" type="decimal">
      <formula1>0</formula1>
      <formula2>1000000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0" type="decimal">
      <formula1>0</formula1>
      <formula2>100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0" type="decimal">
      <formula1>0</formula1>
      <formula2>1000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0" type="whole">
      <formula1>0</formula1>
      <formula2>366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1" type="list">
      <formula1>"Schulbetrieb,Halle,Individuell"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1" type="decimal">
      <formula1>0</formula1>
      <formula2>1000000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1" type="decimal">
      <formula1>0</formula1>
      <formula2>100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1" type="decimal">
      <formula1>0</formula1>
      <formula2>1000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1" type="whole">
      <formula1>0</formula1>
      <formula2>366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7" type="list">
      <formula1>"Schulbetrieb,Halle,Individuell"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7" type="decimal">
      <formula1>0</formula1>
      <formula2>1000000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7" type="decimal">
      <formula1>0</formula1>
      <formula2>100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7" type="decimal">
      <formula1>0</formula1>
      <formula2>1000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7" type="whole">
      <formula1>0</formula1>
      <formula2>366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8" type="list">
      <formula1>"Schulbetrieb,Halle,Individuell"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8" type="decimal">
      <formula1>0</formula1>
      <formula2>1000000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8" type="decimal">
      <formula1>0</formula1>
      <formula2>100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8" type="decimal">
      <formula1>0</formula1>
      <formula2>1000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8" type="whole">
      <formula1>0</formula1>
      <formula2>366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9" type="list">
      <formula1>"Schulbetrieb,Halle,Individuell"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9" type="decimal">
      <formula1>0</formula1>
      <formula2>1000000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9" type="decimal">
      <formula1>0</formula1>
      <formula2>100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9" type="decimal">
      <formula1>0</formula1>
      <formula2>1000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9" type="whole">
      <formula1>0</formula1>
      <formula2>366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0" type="list">
      <formula1>"Schulbetrieb,Halle,Individuell"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0" type="decimal">
      <formula1>0</formula1>
      <formula2>1000000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0" type="decimal">
      <formula1>0</formula1>
      <formula2>100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0" type="decimal">
      <formula1>0</formula1>
      <formula2>1000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20" type="whole">
      <formula1>0</formula1>
      <formula2>366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1" type="list">
      <formula1>"Schulbetrieb,Halle,Individuell"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1" type="decimal">
      <formula1>0</formula1>
      <formula2>1000000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1" type="decimal">
      <formula1>0</formula1>
      <formula2>100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1" type="decimal">
      <formula1>0</formula1>
      <formula2>1000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21" type="whole">
      <formula1>0</formula1>
      <formula2>366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2" type="list">
      <formula1>"Schulbetrieb,Halle,Individuell"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2" type="decimal">
      <formula1>0</formula1>
      <formula2>1000000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2" type="decimal">
      <formula1>0</formula1>
      <formula2>100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2" type="decimal">
      <formula1>0</formula1>
      <formula2>1000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22" type="whole">
      <formula1>0</formula1>
      <formula2>366</formula2>
    </dataValidation>
  </dataValidations>
  <hyperlinks>
    <hyperlink ref="A2" r:id="rId1" location="'Dashboard'!A1" display="Dashboard"/>
    <hyperlink ref="B2" r:id="rId2" location="'Eingaben'!A1" display="Eingaben"/>
    <hyperlink ref="C2" r:id="rId3" location="'Nutzungsprofile'!A1" display="Profile"/>
    <hyperlink ref="D2" r:id="rId4" location="'Kalender'!A1" display="Kalender"/>
    <hyperlink ref="E2" r:id="rId5" location="'Anleitung'!A1" display="Methodik"/>
  </hyperlinks>
  <printOptions headings="false" gridLines="false" gridLinesSet="true" horizontalCentered="true" verticalCentered="false"/>
  <pageMargins left="0.25" right="0.2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Grauwasserbewertung | wissenschaftlicher Prototyp | &amp;P / &amp;N</oddFooter>
  </headerFooter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7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16"/>
    <col collapsed="false" customWidth="true" hidden="false" outlineLevel="0" max="6" min="6" style="0" width="55"/>
    <col collapsed="false" customWidth="true" hidden="false" outlineLevel="0" max="7" min="7" style="0" width="16"/>
  </cols>
  <sheetData>
    <row r="1" customFormat="false" ht="37.5" hidden="false" customHeight="true" outlineLevel="0" collapsed="false">
      <c r="A1" s="1" t="s">
        <v>172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3.75" hidden="false" customHeight="true" outlineLevel="0" collapsed="false">
      <c r="A3" s="3" t="s">
        <v>173</v>
      </c>
      <c r="B3" s="3"/>
      <c r="C3" s="3"/>
      <c r="D3" s="3"/>
      <c r="E3" s="3"/>
      <c r="F3" s="3"/>
      <c r="G3" s="3"/>
    </row>
    <row r="4" customFormat="false" ht="31.5" hidden="false" customHeight="true" outlineLevel="0" collapsed="false">
      <c r="A4" s="11" t="s">
        <v>174</v>
      </c>
      <c r="B4" s="11" t="s">
        <v>175</v>
      </c>
      <c r="C4" s="11" t="s">
        <v>176</v>
      </c>
      <c r="D4" s="11" t="s">
        <v>177</v>
      </c>
      <c r="E4" s="11" t="s">
        <v>178</v>
      </c>
      <c r="F4" s="11" t="s">
        <v>179</v>
      </c>
      <c r="G4" s="11" t="s">
        <v>150</v>
      </c>
    </row>
    <row r="5" customFormat="false" ht="16.4" hidden="false" customHeight="false" outlineLevel="0" collapsed="false">
      <c r="A5" s="23" t="n">
        <f aca="false">IFERROR(IF(YEAR(DATE(Eingaben!$B$10,1,1)+0)=Eingaben!$B$10,DATE(Eingaben!$B$10,1,1)+0,""),"")</f>
        <v>46023</v>
      </c>
      <c r="B5" s="12" t="str">
        <f aca="false">IF(A5="","",CHOOSE(WEEKDAY(A5,2),"Mo","Di","Mi","Do","Fr","Sa","So"))</f>
        <v>Do</v>
      </c>
      <c r="C5" s="20" t="n">
        <v>1</v>
      </c>
      <c r="D5" s="20" t="n">
        <v>1</v>
      </c>
      <c r="E5" s="20" t="n">
        <v>0</v>
      </c>
      <c r="F5" s="19" t="s">
        <v>180</v>
      </c>
      <c r="G5" s="12" t="str">
        <f aca="false">IFERROR(IF(AND(COUNT(C5:E5)=3,OR(C5=0,C5=1),OR(D5=0,D5=1),OR(E5=0,E5=1),OR(A5&lt;&gt;"",SUM(C5:E5)=0)),"OK","FEHLER"),"FEHLER")</f>
        <v>OK</v>
      </c>
    </row>
    <row r="6" customFormat="false" ht="16.4" hidden="false" customHeight="false" outlineLevel="0" collapsed="false">
      <c r="A6" s="23" t="n">
        <f aca="false">IFERROR(IF(YEAR(DATE(Eingaben!$B$10,1,1)+1)=Eingaben!$B$10,DATE(Eingaben!$B$10,1,1)+1,""),"")</f>
        <v>46024</v>
      </c>
      <c r="B6" s="12" t="str">
        <f aca="false">IF(A6="","",CHOOSE(WEEKDAY(A6,2),"Mo","Di","Mi","Do","Fr","Sa","So"))</f>
        <v>Fr</v>
      </c>
      <c r="C6" s="20" t="n">
        <v>1</v>
      </c>
      <c r="D6" s="20" t="n">
        <v>1</v>
      </c>
      <c r="E6" s="20" t="n">
        <v>0</v>
      </c>
      <c r="F6" s="19"/>
      <c r="G6" s="12" t="str">
        <f aca="false">IFERROR(IF(AND(COUNT(C6:E6)=3,OR(C6=0,C6=1),OR(D6=0,D6=1),OR(E6=0,E6=1),OR(A6&lt;&gt;"",SUM(C6:E6)=0)),"OK","FEHLER"),"FEHLER")</f>
        <v>OK</v>
      </c>
    </row>
    <row r="7" customFormat="false" ht="16.4" hidden="false" customHeight="false" outlineLevel="0" collapsed="false">
      <c r="A7" s="23" t="n">
        <f aca="false">IFERROR(IF(YEAR(DATE(Eingaben!$B$10,1,1)+2)=Eingaben!$B$10,DATE(Eingaben!$B$10,1,1)+2,""),"")</f>
        <v>46025</v>
      </c>
      <c r="B7" s="12" t="str">
        <f aca="false">IF(A7="","",CHOOSE(WEEKDAY(A7,2),"Mo","Di","Mi","Do","Fr","Sa","So"))</f>
        <v>Sa</v>
      </c>
      <c r="C7" s="20" t="n">
        <v>0</v>
      </c>
      <c r="D7" s="20" t="n">
        <v>1</v>
      </c>
      <c r="E7" s="20" t="n">
        <v>0</v>
      </c>
      <c r="F7" s="19"/>
      <c r="G7" s="12" t="str">
        <f aca="false">IFERROR(IF(AND(COUNT(C7:E7)=3,OR(C7=0,C7=1),OR(D7=0,D7=1),OR(E7=0,E7=1),OR(A7&lt;&gt;"",SUM(C7:E7)=0)),"OK","FEHLER"),"FEHLER")</f>
        <v>OK</v>
      </c>
    </row>
    <row r="8" customFormat="false" ht="16.4" hidden="false" customHeight="false" outlineLevel="0" collapsed="false">
      <c r="A8" s="23" t="n">
        <f aca="false">IFERROR(IF(YEAR(DATE(Eingaben!$B$10,1,1)+3)=Eingaben!$B$10,DATE(Eingaben!$B$10,1,1)+3,""),"")</f>
        <v>46026</v>
      </c>
      <c r="B8" s="12" t="str">
        <f aca="false">IF(A8="","",CHOOSE(WEEKDAY(A8,2),"Mo","Di","Mi","Do","Fr","Sa","So"))</f>
        <v>So</v>
      </c>
      <c r="C8" s="20" t="n">
        <v>0</v>
      </c>
      <c r="D8" s="20" t="n">
        <v>1</v>
      </c>
      <c r="E8" s="20" t="n">
        <v>0</v>
      </c>
      <c r="F8" s="19"/>
      <c r="G8" s="12" t="str">
        <f aca="false">IFERROR(IF(AND(COUNT(C8:E8)=3,OR(C8=0,C8=1),OR(D8=0,D8=1),OR(E8=0,E8=1),OR(A8&lt;&gt;"",SUM(C8:E8)=0)),"OK","FEHLER"),"FEHLER")</f>
        <v>OK</v>
      </c>
    </row>
    <row r="9" customFormat="false" ht="16.4" hidden="false" customHeight="false" outlineLevel="0" collapsed="false">
      <c r="A9" s="23" t="n">
        <f aca="false">IFERROR(IF(YEAR(DATE(Eingaben!$B$10,1,1)+4)=Eingaben!$B$10,DATE(Eingaben!$B$10,1,1)+4,""),"")</f>
        <v>46027</v>
      </c>
      <c r="B9" s="12" t="str">
        <f aca="false">IF(A9="","",CHOOSE(WEEKDAY(A9,2),"Mo","Di","Mi","Do","Fr","Sa","So"))</f>
        <v>Mo</v>
      </c>
      <c r="C9" s="20" t="n">
        <v>1</v>
      </c>
      <c r="D9" s="20" t="n">
        <v>1</v>
      </c>
      <c r="E9" s="20" t="n">
        <v>0</v>
      </c>
      <c r="F9" s="19"/>
      <c r="G9" s="12" t="str">
        <f aca="false">IFERROR(IF(AND(COUNT(C9:E9)=3,OR(C9=0,C9=1),OR(D9=0,D9=1),OR(E9=0,E9=1),OR(A9&lt;&gt;"",SUM(C9:E9)=0)),"OK","FEHLER"),"FEHLER")</f>
        <v>OK</v>
      </c>
    </row>
    <row r="10" customFormat="false" ht="16.4" hidden="false" customHeight="false" outlineLevel="0" collapsed="false">
      <c r="A10" s="23" t="n">
        <f aca="false">IFERROR(IF(YEAR(DATE(Eingaben!$B$10,1,1)+5)=Eingaben!$B$10,DATE(Eingaben!$B$10,1,1)+5,""),"")</f>
        <v>46028</v>
      </c>
      <c r="B10" s="12" t="str">
        <f aca="false">IF(A10="","",CHOOSE(WEEKDAY(A10,2),"Mo","Di","Mi","Do","Fr","Sa","So"))</f>
        <v>Di</v>
      </c>
      <c r="C10" s="20" t="n">
        <v>1</v>
      </c>
      <c r="D10" s="20" t="n">
        <v>1</v>
      </c>
      <c r="E10" s="20" t="n">
        <v>0</v>
      </c>
      <c r="F10" s="19"/>
      <c r="G10" s="12" t="str">
        <f aca="false">IFERROR(IF(AND(COUNT(C10:E10)=3,OR(C10=0,C10=1),OR(D10=0,D10=1),OR(E10=0,E10=1),OR(A10&lt;&gt;"",SUM(C10:E10)=0)),"OK","FEHLER"),"FEHLER")</f>
        <v>OK</v>
      </c>
    </row>
    <row r="11" customFormat="false" ht="16.4" hidden="false" customHeight="false" outlineLevel="0" collapsed="false">
      <c r="A11" s="23" t="n">
        <f aca="false">IFERROR(IF(YEAR(DATE(Eingaben!$B$10,1,1)+6)=Eingaben!$B$10,DATE(Eingaben!$B$10,1,1)+6,""),"")</f>
        <v>46029</v>
      </c>
      <c r="B11" s="12" t="str">
        <f aca="false">IF(A11="","",CHOOSE(WEEKDAY(A11,2),"Mo","Di","Mi","Do","Fr","Sa","So"))</f>
        <v>Mi</v>
      </c>
      <c r="C11" s="20" t="n">
        <v>1</v>
      </c>
      <c r="D11" s="20" t="n">
        <v>1</v>
      </c>
      <c r="E11" s="20" t="n">
        <v>0</v>
      </c>
      <c r="F11" s="19"/>
      <c r="G11" s="12" t="str">
        <f aca="false">IFERROR(IF(AND(COUNT(C11:E11)=3,OR(C11=0,C11=1),OR(D11=0,D11=1),OR(E11=0,E11=1),OR(A11&lt;&gt;"",SUM(C11:E11)=0)),"OK","FEHLER"),"FEHLER")</f>
        <v>OK</v>
      </c>
    </row>
    <row r="12" customFormat="false" ht="16.4" hidden="false" customHeight="false" outlineLevel="0" collapsed="false">
      <c r="A12" s="23" t="n">
        <f aca="false">IFERROR(IF(YEAR(DATE(Eingaben!$B$10,1,1)+7)=Eingaben!$B$10,DATE(Eingaben!$B$10,1,1)+7,""),"")</f>
        <v>46030</v>
      </c>
      <c r="B12" s="12" t="str">
        <f aca="false">IF(A12="","",CHOOSE(WEEKDAY(A12,2),"Mo","Di","Mi","Do","Fr","Sa","So"))</f>
        <v>Do</v>
      </c>
      <c r="C12" s="20" t="n">
        <v>1</v>
      </c>
      <c r="D12" s="20" t="n">
        <v>1</v>
      </c>
      <c r="E12" s="20" t="n">
        <v>0</v>
      </c>
      <c r="F12" s="19"/>
      <c r="G12" s="12" t="str">
        <f aca="false">IFERROR(IF(AND(COUNT(C12:E12)=3,OR(C12=0,C12=1),OR(D12=0,D12=1),OR(E12=0,E12=1),OR(A12&lt;&gt;"",SUM(C12:E12)=0)),"OK","FEHLER"),"FEHLER")</f>
        <v>OK</v>
      </c>
    </row>
    <row r="13" customFormat="false" ht="16.4" hidden="false" customHeight="false" outlineLevel="0" collapsed="false">
      <c r="A13" s="23" t="n">
        <f aca="false">IFERROR(IF(YEAR(DATE(Eingaben!$B$10,1,1)+8)=Eingaben!$B$10,DATE(Eingaben!$B$10,1,1)+8,""),"")</f>
        <v>46031</v>
      </c>
      <c r="B13" s="12" t="str">
        <f aca="false">IF(A13="","",CHOOSE(WEEKDAY(A13,2),"Mo","Di","Mi","Do","Fr","Sa","So"))</f>
        <v>Fr</v>
      </c>
      <c r="C13" s="20" t="n">
        <v>1</v>
      </c>
      <c r="D13" s="20" t="n">
        <v>1</v>
      </c>
      <c r="E13" s="20" t="n">
        <v>0</v>
      </c>
      <c r="F13" s="19"/>
      <c r="G13" s="12" t="str">
        <f aca="false">IFERROR(IF(AND(COUNT(C13:E13)=3,OR(C13=0,C13=1),OR(D13=0,D13=1),OR(E13=0,E13=1),OR(A13&lt;&gt;"",SUM(C13:E13)=0)),"OK","FEHLER"),"FEHLER")</f>
        <v>OK</v>
      </c>
    </row>
    <row r="14" customFormat="false" ht="16.4" hidden="false" customHeight="false" outlineLevel="0" collapsed="false">
      <c r="A14" s="23" t="n">
        <f aca="false">IFERROR(IF(YEAR(DATE(Eingaben!$B$10,1,1)+9)=Eingaben!$B$10,DATE(Eingaben!$B$10,1,1)+9,""),"")</f>
        <v>46032</v>
      </c>
      <c r="B14" s="12" t="str">
        <f aca="false">IF(A14="","",CHOOSE(WEEKDAY(A14,2),"Mo","Di","Mi","Do","Fr","Sa","So"))</f>
        <v>Sa</v>
      </c>
      <c r="C14" s="20" t="n">
        <v>0</v>
      </c>
      <c r="D14" s="20" t="n">
        <v>1</v>
      </c>
      <c r="E14" s="20" t="n">
        <v>0</v>
      </c>
      <c r="F14" s="19"/>
      <c r="G14" s="12" t="str">
        <f aca="false">IFERROR(IF(AND(COUNT(C14:E14)=3,OR(C14=0,C14=1),OR(D14=0,D14=1),OR(E14=0,E14=1),OR(A14&lt;&gt;"",SUM(C14:E14)=0)),"OK","FEHLER"),"FEHLER")</f>
        <v>OK</v>
      </c>
    </row>
    <row r="15" customFormat="false" ht="16.4" hidden="false" customHeight="false" outlineLevel="0" collapsed="false">
      <c r="A15" s="23" t="n">
        <f aca="false">IFERROR(IF(YEAR(DATE(Eingaben!$B$10,1,1)+10)=Eingaben!$B$10,DATE(Eingaben!$B$10,1,1)+10,""),"")</f>
        <v>46033</v>
      </c>
      <c r="B15" s="12" t="str">
        <f aca="false">IF(A15="","",CHOOSE(WEEKDAY(A15,2),"Mo","Di","Mi","Do","Fr","Sa","So"))</f>
        <v>So</v>
      </c>
      <c r="C15" s="20" t="n">
        <v>0</v>
      </c>
      <c r="D15" s="20" t="n">
        <v>1</v>
      </c>
      <c r="E15" s="20" t="n">
        <v>0</v>
      </c>
      <c r="F15" s="19"/>
      <c r="G15" s="12" t="str">
        <f aca="false">IFERROR(IF(AND(COUNT(C15:E15)=3,OR(C15=0,C15=1),OR(D15=0,D15=1),OR(E15=0,E15=1),OR(A15&lt;&gt;"",SUM(C15:E15)=0)),"OK","FEHLER"),"FEHLER")</f>
        <v>OK</v>
      </c>
    </row>
    <row r="16" customFormat="false" ht="16.4" hidden="false" customHeight="false" outlineLevel="0" collapsed="false">
      <c r="A16" s="23" t="n">
        <f aca="false">IFERROR(IF(YEAR(DATE(Eingaben!$B$10,1,1)+11)=Eingaben!$B$10,DATE(Eingaben!$B$10,1,1)+11,""),"")</f>
        <v>46034</v>
      </c>
      <c r="B16" s="12" t="str">
        <f aca="false">IF(A16="","",CHOOSE(WEEKDAY(A16,2),"Mo","Di","Mi","Do","Fr","Sa","So"))</f>
        <v>Mo</v>
      </c>
      <c r="C16" s="20" t="n">
        <v>1</v>
      </c>
      <c r="D16" s="20" t="n">
        <v>1</v>
      </c>
      <c r="E16" s="20" t="n">
        <v>0</v>
      </c>
      <c r="F16" s="19"/>
      <c r="G16" s="12" t="str">
        <f aca="false">IFERROR(IF(AND(COUNT(C16:E16)=3,OR(C16=0,C16=1),OR(D16=0,D16=1),OR(E16=0,E16=1),OR(A16&lt;&gt;"",SUM(C16:E16)=0)),"OK","FEHLER"),"FEHLER")</f>
        <v>OK</v>
      </c>
    </row>
    <row r="17" customFormat="false" ht="16.4" hidden="false" customHeight="false" outlineLevel="0" collapsed="false">
      <c r="A17" s="23" t="n">
        <f aca="false">IFERROR(IF(YEAR(DATE(Eingaben!$B$10,1,1)+12)=Eingaben!$B$10,DATE(Eingaben!$B$10,1,1)+12,""),"")</f>
        <v>46035</v>
      </c>
      <c r="B17" s="12" t="str">
        <f aca="false">IF(A17="","",CHOOSE(WEEKDAY(A17,2),"Mo","Di","Mi","Do","Fr","Sa","So"))</f>
        <v>Di</v>
      </c>
      <c r="C17" s="20" t="n">
        <v>1</v>
      </c>
      <c r="D17" s="20" t="n">
        <v>1</v>
      </c>
      <c r="E17" s="20" t="n">
        <v>0</v>
      </c>
      <c r="F17" s="19"/>
      <c r="G17" s="12" t="str">
        <f aca="false">IFERROR(IF(AND(COUNT(C17:E17)=3,OR(C17=0,C17=1),OR(D17=0,D17=1),OR(E17=0,E17=1),OR(A17&lt;&gt;"",SUM(C17:E17)=0)),"OK","FEHLER"),"FEHLER")</f>
        <v>OK</v>
      </c>
    </row>
    <row r="18" customFormat="false" ht="16.4" hidden="false" customHeight="false" outlineLevel="0" collapsed="false">
      <c r="A18" s="23" t="n">
        <f aca="false">IFERROR(IF(YEAR(DATE(Eingaben!$B$10,1,1)+13)=Eingaben!$B$10,DATE(Eingaben!$B$10,1,1)+13,""),"")</f>
        <v>46036</v>
      </c>
      <c r="B18" s="12" t="str">
        <f aca="false">IF(A18="","",CHOOSE(WEEKDAY(A18,2),"Mo","Di","Mi","Do","Fr","Sa","So"))</f>
        <v>Mi</v>
      </c>
      <c r="C18" s="20" t="n">
        <v>1</v>
      </c>
      <c r="D18" s="20" t="n">
        <v>1</v>
      </c>
      <c r="E18" s="20" t="n">
        <v>0</v>
      </c>
      <c r="F18" s="19"/>
      <c r="G18" s="12" t="str">
        <f aca="false">IFERROR(IF(AND(COUNT(C18:E18)=3,OR(C18=0,C18=1),OR(D18=0,D18=1),OR(E18=0,E18=1),OR(A18&lt;&gt;"",SUM(C18:E18)=0)),"OK","FEHLER"),"FEHLER")</f>
        <v>OK</v>
      </c>
    </row>
    <row r="19" customFormat="false" ht="16.4" hidden="false" customHeight="false" outlineLevel="0" collapsed="false">
      <c r="A19" s="23" t="n">
        <f aca="false">IFERROR(IF(YEAR(DATE(Eingaben!$B$10,1,1)+14)=Eingaben!$B$10,DATE(Eingaben!$B$10,1,1)+14,""),"")</f>
        <v>46037</v>
      </c>
      <c r="B19" s="12" t="str">
        <f aca="false">IF(A19="","",CHOOSE(WEEKDAY(A19,2),"Mo","Di","Mi","Do","Fr","Sa","So"))</f>
        <v>Do</v>
      </c>
      <c r="C19" s="20" t="n">
        <v>1</v>
      </c>
      <c r="D19" s="20" t="n">
        <v>1</v>
      </c>
      <c r="E19" s="20" t="n">
        <v>0</v>
      </c>
      <c r="F19" s="19"/>
      <c r="G19" s="12" t="str">
        <f aca="false">IFERROR(IF(AND(COUNT(C19:E19)=3,OR(C19=0,C19=1),OR(D19=0,D19=1),OR(E19=0,E19=1),OR(A19&lt;&gt;"",SUM(C19:E19)=0)),"OK","FEHLER"),"FEHLER")</f>
        <v>OK</v>
      </c>
    </row>
    <row r="20" customFormat="false" ht="16.4" hidden="false" customHeight="false" outlineLevel="0" collapsed="false">
      <c r="A20" s="23" t="n">
        <f aca="false">IFERROR(IF(YEAR(DATE(Eingaben!$B$10,1,1)+15)=Eingaben!$B$10,DATE(Eingaben!$B$10,1,1)+15,""),"")</f>
        <v>46038</v>
      </c>
      <c r="B20" s="12" t="str">
        <f aca="false">IF(A20="","",CHOOSE(WEEKDAY(A20,2),"Mo","Di","Mi","Do","Fr","Sa","So"))</f>
        <v>Fr</v>
      </c>
      <c r="C20" s="20" t="n">
        <v>1</v>
      </c>
      <c r="D20" s="20" t="n">
        <v>1</v>
      </c>
      <c r="E20" s="20" t="n">
        <v>0</v>
      </c>
      <c r="F20" s="19"/>
      <c r="G20" s="12" t="str">
        <f aca="false">IFERROR(IF(AND(COUNT(C20:E20)=3,OR(C20=0,C20=1),OR(D20=0,D20=1),OR(E20=0,E20=1),OR(A20&lt;&gt;"",SUM(C20:E20)=0)),"OK","FEHLER"),"FEHLER")</f>
        <v>OK</v>
      </c>
    </row>
    <row r="21" customFormat="false" ht="16.4" hidden="false" customHeight="false" outlineLevel="0" collapsed="false">
      <c r="A21" s="23" t="n">
        <f aca="false">IFERROR(IF(YEAR(DATE(Eingaben!$B$10,1,1)+16)=Eingaben!$B$10,DATE(Eingaben!$B$10,1,1)+16,""),"")</f>
        <v>46039</v>
      </c>
      <c r="B21" s="12" t="str">
        <f aca="false">IF(A21="","",CHOOSE(WEEKDAY(A21,2),"Mo","Di","Mi","Do","Fr","Sa","So"))</f>
        <v>Sa</v>
      </c>
      <c r="C21" s="20" t="n">
        <v>0</v>
      </c>
      <c r="D21" s="20" t="n">
        <v>1</v>
      </c>
      <c r="E21" s="20" t="n">
        <v>0</v>
      </c>
      <c r="F21" s="19"/>
      <c r="G21" s="12" t="str">
        <f aca="false">IFERROR(IF(AND(COUNT(C21:E21)=3,OR(C21=0,C21=1),OR(D21=0,D21=1),OR(E21=0,E21=1),OR(A21&lt;&gt;"",SUM(C21:E21)=0)),"OK","FEHLER"),"FEHLER")</f>
        <v>OK</v>
      </c>
    </row>
    <row r="22" customFormat="false" ht="16.4" hidden="false" customHeight="false" outlineLevel="0" collapsed="false">
      <c r="A22" s="23" t="n">
        <f aca="false">IFERROR(IF(YEAR(DATE(Eingaben!$B$10,1,1)+17)=Eingaben!$B$10,DATE(Eingaben!$B$10,1,1)+17,""),"")</f>
        <v>46040</v>
      </c>
      <c r="B22" s="12" t="str">
        <f aca="false">IF(A22="","",CHOOSE(WEEKDAY(A22,2),"Mo","Di","Mi","Do","Fr","Sa","So"))</f>
        <v>So</v>
      </c>
      <c r="C22" s="20" t="n">
        <v>0</v>
      </c>
      <c r="D22" s="20" t="n">
        <v>1</v>
      </c>
      <c r="E22" s="20" t="n">
        <v>0</v>
      </c>
      <c r="F22" s="19"/>
      <c r="G22" s="12" t="str">
        <f aca="false">IFERROR(IF(AND(COUNT(C22:E22)=3,OR(C22=0,C22=1),OR(D22=0,D22=1),OR(E22=0,E22=1),OR(A22&lt;&gt;"",SUM(C22:E22)=0)),"OK","FEHLER"),"FEHLER")</f>
        <v>OK</v>
      </c>
    </row>
    <row r="23" customFormat="false" ht="16.4" hidden="false" customHeight="false" outlineLevel="0" collapsed="false">
      <c r="A23" s="23" t="n">
        <f aca="false">IFERROR(IF(YEAR(DATE(Eingaben!$B$10,1,1)+18)=Eingaben!$B$10,DATE(Eingaben!$B$10,1,1)+18,""),"")</f>
        <v>46041</v>
      </c>
      <c r="B23" s="12" t="str">
        <f aca="false">IF(A23="","",CHOOSE(WEEKDAY(A23,2),"Mo","Di","Mi","Do","Fr","Sa","So"))</f>
        <v>Mo</v>
      </c>
      <c r="C23" s="20" t="n">
        <v>1</v>
      </c>
      <c r="D23" s="20" t="n">
        <v>1</v>
      </c>
      <c r="E23" s="20" t="n">
        <v>0</v>
      </c>
      <c r="F23" s="19"/>
      <c r="G23" s="12" t="str">
        <f aca="false">IFERROR(IF(AND(COUNT(C23:E23)=3,OR(C23=0,C23=1),OR(D23=0,D23=1),OR(E23=0,E23=1),OR(A23&lt;&gt;"",SUM(C23:E23)=0)),"OK","FEHLER"),"FEHLER")</f>
        <v>OK</v>
      </c>
    </row>
    <row r="24" customFormat="false" ht="16.4" hidden="false" customHeight="false" outlineLevel="0" collapsed="false">
      <c r="A24" s="23" t="n">
        <f aca="false">IFERROR(IF(YEAR(DATE(Eingaben!$B$10,1,1)+19)=Eingaben!$B$10,DATE(Eingaben!$B$10,1,1)+19,""),"")</f>
        <v>46042</v>
      </c>
      <c r="B24" s="12" t="str">
        <f aca="false">IF(A24="","",CHOOSE(WEEKDAY(A24,2),"Mo","Di","Mi","Do","Fr","Sa","So"))</f>
        <v>Di</v>
      </c>
      <c r="C24" s="20" t="n">
        <v>1</v>
      </c>
      <c r="D24" s="20" t="n">
        <v>1</v>
      </c>
      <c r="E24" s="20" t="n">
        <v>0</v>
      </c>
      <c r="F24" s="19"/>
      <c r="G24" s="12" t="str">
        <f aca="false">IFERROR(IF(AND(COUNT(C24:E24)=3,OR(C24=0,C24=1),OR(D24=0,D24=1),OR(E24=0,E24=1),OR(A24&lt;&gt;"",SUM(C24:E24)=0)),"OK","FEHLER"),"FEHLER")</f>
        <v>OK</v>
      </c>
    </row>
    <row r="25" customFormat="false" ht="16.4" hidden="false" customHeight="false" outlineLevel="0" collapsed="false">
      <c r="A25" s="23" t="n">
        <f aca="false">IFERROR(IF(YEAR(DATE(Eingaben!$B$10,1,1)+20)=Eingaben!$B$10,DATE(Eingaben!$B$10,1,1)+20,""),"")</f>
        <v>46043</v>
      </c>
      <c r="B25" s="12" t="str">
        <f aca="false">IF(A25="","",CHOOSE(WEEKDAY(A25,2),"Mo","Di","Mi","Do","Fr","Sa","So"))</f>
        <v>Mi</v>
      </c>
      <c r="C25" s="20" t="n">
        <v>1</v>
      </c>
      <c r="D25" s="20" t="n">
        <v>1</v>
      </c>
      <c r="E25" s="20" t="n">
        <v>0</v>
      </c>
      <c r="F25" s="19"/>
      <c r="G25" s="12" t="str">
        <f aca="false">IFERROR(IF(AND(COUNT(C25:E25)=3,OR(C25=0,C25=1),OR(D25=0,D25=1),OR(E25=0,E25=1),OR(A25&lt;&gt;"",SUM(C25:E25)=0)),"OK","FEHLER"),"FEHLER")</f>
        <v>OK</v>
      </c>
    </row>
    <row r="26" customFormat="false" ht="16.4" hidden="false" customHeight="false" outlineLevel="0" collapsed="false">
      <c r="A26" s="23" t="n">
        <f aca="false">IFERROR(IF(YEAR(DATE(Eingaben!$B$10,1,1)+21)=Eingaben!$B$10,DATE(Eingaben!$B$10,1,1)+21,""),"")</f>
        <v>46044</v>
      </c>
      <c r="B26" s="12" t="str">
        <f aca="false">IF(A26="","",CHOOSE(WEEKDAY(A26,2),"Mo","Di","Mi","Do","Fr","Sa","So"))</f>
        <v>Do</v>
      </c>
      <c r="C26" s="20" t="n">
        <v>1</v>
      </c>
      <c r="D26" s="20" t="n">
        <v>1</v>
      </c>
      <c r="E26" s="20" t="n">
        <v>0</v>
      </c>
      <c r="F26" s="19"/>
      <c r="G26" s="12" t="str">
        <f aca="false">IFERROR(IF(AND(COUNT(C26:E26)=3,OR(C26=0,C26=1),OR(D26=0,D26=1),OR(E26=0,E26=1),OR(A26&lt;&gt;"",SUM(C26:E26)=0)),"OK","FEHLER"),"FEHLER")</f>
        <v>OK</v>
      </c>
    </row>
    <row r="27" customFormat="false" ht="16.4" hidden="false" customHeight="false" outlineLevel="0" collapsed="false">
      <c r="A27" s="23" t="n">
        <f aca="false">IFERROR(IF(YEAR(DATE(Eingaben!$B$10,1,1)+22)=Eingaben!$B$10,DATE(Eingaben!$B$10,1,1)+22,""),"")</f>
        <v>46045</v>
      </c>
      <c r="B27" s="12" t="str">
        <f aca="false">IF(A27="","",CHOOSE(WEEKDAY(A27,2),"Mo","Di","Mi","Do","Fr","Sa","So"))</f>
        <v>Fr</v>
      </c>
      <c r="C27" s="20" t="n">
        <v>1</v>
      </c>
      <c r="D27" s="20" t="n">
        <v>1</v>
      </c>
      <c r="E27" s="20" t="n">
        <v>0</v>
      </c>
      <c r="F27" s="19"/>
      <c r="G27" s="12" t="str">
        <f aca="false">IFERROR(IF(AND(COUNT(C27:E27)=3,OR(C27=0,C27=1),OR(D27=0,D27=1),OR(E27=0,E27=1),OR(A27&lt;&gt;"",SUM(C27:E27)=0)),"OK","FEHLER"),"FEHLER")</f>
        <v>OK</v>
      </c>
    </row>
    <row r="28" customFormat="false" ht="16.4" hidden="false" customHeight="false" outlineLevel="0" collapsed="false">
      <c r="A28" s="23" t="n">
        <f aca="false">IFERROR(IF(YEAR(DATE(Eingaben!$B$10,1,1)+23)=Eingaben!$B$10,DATE(Eingaben!$B$10,1,1)+23,""),"")</f>
        <v>46046</v>
      </c>
      <c r="B28" s="12" t="str">
        <f aca="false">IF(A28="","",CHOOSE(WEEKDAY(A28,2),"Mo","Di","Mi","Do","Fr","Sa","So"))</f>
        <v>Sa</v>
      </c>
      <c r="C28" s="20" t="n">
        <v>0</v>
      </c>
      <c r="D28" s="20" t="n">
        <v>1</v>
      </c>
      <c r="E28" s="20" t="n">
        <v>0</v>
      </c>
      <c r="F28" s="19"/>
      <c r="G28" s="12" t="str">
        <f aca="false">IFERROR(IF(AND(COUNT(C28:E28)=3,OR(C28=0,C28=1),OR(D28=0,D28=1),OR(E28=0,E28=1),OR(A28&lt;&gt;"",SUM(C28:E28)=0)),"OK","FEHLER"),"FEHLER")</f>
        <v>OK</v>
      </c>
    </row>
    <row r="29" customFormat="false" ht="16.4" hidden="false" customHeight="false" outlineLevel="0" collapsed="false">
      <c r="A29" s="23" t="n">
        <f aca="false">IFERROR(IF(YEAR(DATE(Eingaben!$B$10,1,1)+24)=Eingaben!$B$10,DATE(Eingaben!$B$10,1,1)+24,""),"")</f>
        <v>46047</v>
      </c>
      <c r="B29" s="12" t="str">
        <f aca="false">IF(A29="","",CHOOSE(WEEKDAY(A29,2),"Mo","Di","Mi","Do","Fr","Sa","So"))</f>
        <v>So</v>
      </c>
      <c r="C29" s="20" t="n">
        <v>0</v>
      </c>
      <c r="D29" s="20" t="n">
        <v>1</v>
      </c>
      <c r="E29" s="20" t="n">
        <v>0</v>
      </c>
      <c r="F29" s="19"/>
      <c r="G29" s="12" t="str">
        <f aca="false">IFERROR(IF(AND(COUNT(C29:E29)=3,OR(C29=0,C29=1),OR(D29=0,D29=1),OR(E29=0,E29=1),OR(A29&lt;&gt;"",SUM(C29:E29)=0)),"OK","FEHLER"),"FEHLER")</f>
        <v>OK</v>
      </c>
    </row>
    <row r="30" customFormat="false" ht="16.4" hidden="false" customHeight="false" outlineLevel="0" collapsed="false">
      <c r="A30" s="23" t="n">
        <f aca="false">IFERROR(IF(YEAR(DATE(Eingaben!$B$10,1,1)+25)=Eingaben!$B$10,DATE(Eingaben!$B$10,1,1)+25,""),"")</f>
        <v>46048</v>
      </c>
      <c r="B30" s="12" t="str">
        <f aca="false">IF(A30="","",CHOOSE(WEEKDAY(A30,2),"Mo","Di","Mi","Do","Fr","Sa","So"))</f>
        <v>Mo</v>
      </c>
      <c r="C30" s="20" t="n">
        <v>1</v>
      </c>
      <c r="D30" s="20" t="n">
        <v>1</v>
      </c>
      <c r="E30" s="20" t="n">
        <v>0</v>
      </c>
      <c r="F30" s="19"/>
      <c r="G30" s="12" t="str">
        <f aca="false">IFERROR(IF(AND(COUNT(C30:E30)=3,OR(C30=0,C30=1),OR(D30=0,D30=1),OR(E30=0,E30=1),OR(A30&lt;&gt;"",SUM(C30:E30)=0)),"OK","FEHLER"),"FEHLER")</f>
        <v>OK</v>
      </c>
    </row>
    <row r="31" customFormat="false" ht="16.4" hidden="false" customHeight="false" outlineLevel="0" collapsed="false">
      <c r="A31" s="23" t="n">
        <f aca="false">IFERROR(IF(YEAR(DATE(Eingaben!$B$10,1,1)+26)=Eingaben!$B$10,DATE(Eingaben!$B$10,1,1)+26,""),"")</f>
        <v>46049</v>
      </c>
      <c r="B31" s="12" t="str">
        <f aca="false">IF(A31="","",CHOOSE(WEEKDAY(A31,2),"Mo","Di","Mi","Do","Fr","Sa","So"))</f>
        <v>Di</v>
      </c>
      <c r="C31" s="20" t="n">
        <v>1</v>
      </c>
      <c r="D31" s="20" t="n">
        <v>1</v>
      </c>
      <c r="E31" s="20" t="n">
        <v>0</v>
      </c>
      <c r="F31" s="19"/>
      <c r="G31" s="12" t="str">
        <f aca="false">IFERROR(IF(AND(COUNT(C31:E31)=3,OR(C31=0,C31=1),OR(D31=0,D31=1),OR(E31=0,E31=1),OR(A31&lt;&gt;"",SUM(C31:E31)=0)),"OK","FEHLER"),"FEHLER")</f>
        <v>OK</v>
      </c>
    </row>
    <row r="32" customFormat="false" ht="16.4" hidden="false" customHeight="false" outlineLevel="0" collapsed="false">
      <c r="A32" s="23" t="n">
        <f aca="false">IFERROR(IF(YEAR(DATE(Eingaben!$B$10,1,1)+27)=Eingaben!$B$10,DATE(Eingaben!$B$10,1,1)+27,""),"")</f>
        <v>46050</v>
      </c>
      <c r="B32" s="12" t="str">
        <f aca="false">IF(A32="","",CHOOSE(WEEKDAY(A32,2),"Mo","Di","Mi","Do","Fr","Sa","So"))</f>
        <v>Mi</v>
      </c>
      <c r="C32" s="20" t="n">
        <v>1</v>
      </c>
      <c r="D32" s="20" t="n">
        <v>1</v>
      </c>
      <c r="E32" s="20" t="n">
        <v>0</v>
      </c>
      <c r="F32" s="19"/>
      <c r="G32" s="12" t="str">
        <f aca="false">IFERROR(IF(AND(COUNT(C32:E32)=3,OR(C32=0,C32=1),OR(D32=0,D32=1),OR(E32=0,E32=1),OR(A32&lt;&gt;"",SUM(C32:E32)=0)),"OK","FEHLER"),"FEHLER")</f>
        <v>OK</v>
      </c>
    </row>
    <row r="33" customFormat="false" ht="16.4" hidden="false" customHeight="false" outlineLevel="0" collapsed="false">
      <c r="A33" s="23" t="n">
        <f aca="false">IFERROR(IF(YEAR(DATE(Eingaben!$B$10,1,1)+28)=Eingaben!$B$10,DATE(Eingaben!$B$10,1,1)+28,""),"")</f>
        <v>46051</v>
      </c>
      <c r="B33" s="12" t="str">
        <f aca="false">IF(A33="","",CHOOSE(WEEKDAY(A33,2),"Mo","Di","Mi","Do","Fr","Sa","So"))</f>
        <v>Do</v>
      </c>
      <c r="C33" s="20" t="n">
        <v>1</v>
      </c>
      <c r="D33" s="20" t="n">
        <v>1</v>
      </c>
      <c r="E33" s="20" t="n">
        <v>0</v>
      </c>
      <c r="F33" s="19"/>
      <c r="G33" s="12" t="str">
        <f aca="false">IFERROR(IF(AND(COUNT(C33:E33)=3,OR(C33=0,C33=1),OR(D33=0,D33=1),OR(E33=0,E33=1),OR(A33&lt;&gt;"",SUM(C33:E33)=0)),"OK","FEHLER"),"FEHLER")</f>
        <v>OK</v>
      </c>
    </row>
    <row r="34" customFormat="false" ht="16.4" hidden="false" customHeight="false" outlineLevel="0" collapsed="false">
      <c r="A34" s="23" t="n">
        <f aca="false">IFERROR(IF(YEAR(DATE(Eingaben!$B$10,1,1)+29)=Eingaben!$B$10,DATE(Eingaben!$B$10,1,1)+29,""),"")</f>
        <v>46052</v>
      </c>
      <c r="B34" s="12" t="str">
        <f aca="false">IF(A34="","",CHOOSE(WEEKDAY(A34,2),"Mo","Di","Mi","Do","Fr","Sa","So"))</f>
        <v>Fr</v>
      </c>
      <c r="C34" s="20" t="n">
        <v>1</v>
      </c>
      <c r="D34" s="20" t="n">
        <v>1</v>
      </c>
      <c r="E34" s="20" t="n">
        <v>0</v>
      </c>
      <c r="F34" s="19"/>
      <c r="G34" s="12" t="str">
        <f aca="false">IFERROR(IF(AND(COUNT(C34:E34)=3,OR(C34=0,C34=1),OR(D34=0,D34=1),OR(E34=0,E34=1),OR(A34&lt;&gt;"",SUM(C34:E34)=0)),"OK","FEHLER"),"FEHLER")</f>
        <v>OK</v>
      </c>
    </row>
    <row r="35" customFormat="false" ht="16.4" hidden="false" customHeight="false" outlineLevel="0" collapsed="false">
      <c r="A35" s="23" t="n">
        <f aca="false">IFERROR(IF(YEAR(DATE(Eingaben!$B$10,1,1)+30)=Eingaben!$B$10,DATE(Eingaben!$B$10,1,1)+30,""),"")</f>
        <v>46053</v>
      </c>
      <c r="B35" s="12" t="str">
        <f aca="false">IF(A35="","",CHOOSE(WEEKDAY(A35,2),"Mo","Di","Mi","Do","Fr","Sa","So"))</f>
        <v>Sa</v>
      </c>
      <c r="C35" s="20" t="n">
        <v>0</v>
      </c>
      <c r="D35" s="20" t="n">
        <v>1</v>
      </c>
      <c r="E35" s="20" t="n">
        <v>0</v>
      </c>
      <c r="F35" s="19"/>
      <c r="G35" s="12" t="str">
        <f aca="false">IFERROR(IF(AND(COUNT(C35:E35)=3,OR(C35=0,C35=1),OR(D35=0,D35=1),OR(E35=0,E35=1),OR(A35&lt;&gt;"",SUM(C35:E35)=0)),"OK","FEHLER"),"FEHLER")</f>
        <v>OK</v>
      </c>
    </row>
    <row r="36" customFormat="false" ht="16.4" hidden="false" customHeight="false" outlineLevel="0" collapsed="false">
      <c r="A36" s="23" t="n">
        <f aca="false">IFERROR(IF(YEAR(DATE(Eingaben!$B$10,1,1)+31)=Eingaben!$B$10,DATE(Eingaben!$B$10,1,1)+31,""),"")</f>
        <v>46054</v>
      </c>
      <c r="B36" s="12" t="str">
        <f aca="false">IF(A36="","",CHOOSE(WEEKDAY(A36,2),"Mo","Di","Mi","Do","Fr","Sa","So"))</f>
        <v>So</v>
      </c>
      <c r="C36" s="20" t="n">
        <v>0</v>
      </c>
      <c r="D36" s="20" t="n">
        <v>1</v>
      </c>
      <c r="E36" s="20" t="n">
        <v>0</v>
      </c>
      <c r="F36" s="19"/>
      <c r="G36" s="12" t="str">
        <f aca="false">IFERROR(IF(AND(COUNT(C36:E36)=3,OR(C36=0,C36=1),OR(D36=0,D36=1),OR(E36=0,E36=1),OR(A36&lt;&gt;"",SUM(C36:E36)=0)),"OK","FEHLER"),"FEHLER")</f>
        <v>OK</v>
      </c>
    </row>
    <row r="37" customFormat="false" ht="16.4" hidden="false" customHeight="false" outlineLevel="0" collapsed="false">
      <c r="A37" s="23" t="n">
        <f aca="false">IFERROR(IF(YEAR(DATE(Eingaben!$B$10,1,1)+32)=Eingaben!$B$10,DATE(Eingaben!$B$10,1,1)+32,""),"")</f>
        <v>46055</v>
      </c>
      <c r="B37" s="12" t="str">
        <f aca="false">IF(A37="","",CHOOSE(WEEKDAY(A37,2),"Mo","Di","Mi","Do","Fr","Sa","So"))</f>
        <v>Mo</v>
      </c>
      <c r="C37" s="20" t="n">
        <v>1</v>
      </c>
      <c r="D37" s="20" t="n">
        <v>1</v>
      </c>
      <c r="E37" s="20" t="n">
        <v>0</v>
      </c>
      <c r="F37" s="19"/>
      <c r="G37" s="12" t="str">
        <f aca="false">IFERROR(IF(AND(COUNT(C37:E37)=3,OR(C37=0,C37=1),OR(D37=0,D37=1),OR(E37=0,E37=1),OR(A37&lt;&gt;"",SUM(C37:E37)=0)),"OK","FEHLER"),"FEHLER")</f>
        <v>OK</v>
      </c>
    </row>
    <row r="38" customFormat="false" ht="16.4" hidden="false" customHeight="false" outlineLevel="0" collapsed="false">
      <c r="A38" s="23" t="n">
        <f aca="false">IFERROR(IF(YEAR(DATE(Eingaben!$B$10,1,1)+33)=Eingaben!$B$10,DATE(Eingaben!$B$10,1,1)+33,""),"")</f>
        <v>46056</v>
      </c>
      <c r="B38" s="12" t="str">
        <f aca="false">IF(A38="","",CHOOSE(WEEKDAY(A38,2),"Mo","Di","Mi","Do","Fr","Sa","So"))</f>
        <v>Di</v>
      </c>
      <c r="C38" s="20" t="n">
        <v>1</v>
      </c>
      <c r="D38" s="20" t="n">
        <v>1</v>
      </c>
      <c r="E38" s="20" t="n">
        <v>0</v>
      </c>
      <c r="F38" s="19"/>
      <c r="G38" s="12" t="str">
        <f aca="false">IFERROR(IF(AND(COUNT(C38:E38)=3,OR(C38=0,C38=1),OR(D38=0,D38=1),OR(E38=0,E38=1),OR(A38&lt;&gt;"",SUM(C38:E38)=0)),"OK","FEHLER"),"FEHLER")</f>
        <v>OK</v>
      </c>
    </row>
    <row r="39" customFormat="false" ht="16.4" hidden="false" customHeight="false" outlineLevel="0" collapsed="false">
      <c r="A39" s="23" t="n">
        <f aca="false">IFERROR(IF(YEAR(DATE(Eingaben!$B$10,1,1)+34)=Eingaben!$B$10,DATE(Eingaben!$B$10,1,1)+34,""),"")</f>
        <v>46057</v>
      </c>
      <c r="B39" s="12" t="str">
        <f aca="false">IF(A39="","",CHOOSE(WEEKDAY(A39,2),"Mo","Di","Mi","Do","Fr","Sa","So"))</f>
        <v>Mi</v>
      </c>
      <c r="C39" s="20" t="n">
        <v>1</v>
      </c>
      <c r="D39" s="20" t="n">
        <v>1</v>
      </c>
      <c r="E39" s="20" t="n">
        <v>0</v>
      </c>
      <c r="F39" s="19"/>
      <c r="G39" s="12" t="str">
        <f aca="false">IFERROR(IF(AND(COUNT(C39:E39)=3,OR(C39=0,C39=1),OR(D39=0,D39=1),OR(E39=0,E39=1),OR(A39&lt;&gt;"",SUM(C39:E39)=0)),"OK","FEHLER"),"FEHLER")</f>
        <v>OK</v>
      </c>
    </row>
    <row r="40" customFormat="false" ht="16.4" hidden="false" customHeight="false" outlineLevel="0" collapsed="false">
      <c r="A40" s="23" t="n">
        <f aca="false">IFERROR(IF(YEAR(DATE(Eingaben!$B$10,1,1)+35)=Eingaben!$B$10,DATE(Eingaben!$B$10,1,1)+35,""),"")</f>
        <v>46058</v>
      </c>
      <c r="B40" s="12" t="str">
        <f aca="false">IF(A40="","",CHOOSE(WEEKDAY(A40,2),"Mo","Di","Mi","Do","Fr","Sa","So"))</f>
        <v>Do</v>
      </c>
      <c r="C40" s="20" t="n">
        <v>1</v>
      </c>
      <c r="D40" s="20" t="n">
        <v>1</v>
      </c>
      <c r="E40" s="20" t="n">
        <v>0</v>
      </c>
      <c r="F40" s="19"/>
      <c r="G40" s="12" t="str">
        <f aca="false">IFERROR(IF(AND(COUNT(C40:E40)=3,OR(C40=0,C40=1),OR(D40=0,D40=1),OR(E40=0,E40=1),OR(A40&lt;&gt;"",SUM(C40:E40)=0)),"OK","FEHLER"),"FEHLER")</f>
        <v>OK</v>
      </c>
    </row>
    <row r="41" customFormat="false" ht="16.4" hidden="false" customHeight="false" outlineLevel="0" collapsed="false">
      <c r="A41" s="23" t="n">
        <f aca="false">IFERROR(IF(YEAR(DATE(Eingaben!$B$10,1,1)+36)=Eingaben!$B$10,DATE(Eingaben!$B$10,1,1)+36,""),"")</f>
        <v>46059</v>
      </c>
      <c r="B41" s="12" t="str">
        <f aca="false">IF(A41="","",CHOOSE(WEEKDAY(A41,2),"Mo","Di","Mi","Do","Fr","Sa","So"))</f>
        <v>Fr</v>
      </c>
      <c r="C41" s="20" t="n">
        <v>1</v>
      </c>
      <c r="D41" s="20" t="n">
        <v>1</v>
      </c>
      <c r="E41" s="20" t="n">
        <v>0</v>
      </c>
      <c r="F41" s="19"/>
      <c r="G41" s="12" t="str">
        <f aca="false">IFERROR(IF(AND(COUNT(C41:E41)=3,OR(C41=0,C41=1),OR(D41=0,D41=1),OR(E41=0,E41=1),OR(A41&lt;&gt;"",SUM(C41:E41)=0)),"OK","FEHLER"),"FEHLER")</f>
        <v>OK</v>
      </c>
    </row>
    <row r="42" customFormat="false" ht="16.4" hidden="false" customHeight="false" outlineLevel="0" collapsed="false">
      <c r="A42" s="23" t="n">
        <f aca="false">IFERROR(IF(YEAR(DATE(Eingaben!$B$10,1,1)+37)=Eingaben!$B$10,DATE(Eingaben!$B$10,1,1)+37,""),"")</f>
        <v>46060</v>
      </c>
      <c r="B42" s="12" t="str">
        <f aca="false">IF(A42="","",CHOOSE(WEEKDAY(A42,2),"Mo","Di","Mi","Do","Fr","Sa","So"))</f>
        <v>Sa</v>
      </c>
      <c r="C42" s="20" t="n">
        <v>0</v>
      </c>
      <c r="D42" s="20" t="n">
        <v>1</v>
      </c>
      <c r="E42" s="20" t="n">
        <v>0</v>
      </c>
      <c r="F42" s="19"/>
      <c r="G42" s="12" t="str">
        <f aca="false">IFERROR(IF(AND(COUNT(C42:E42)=3,OR(C42=0,C42=1),OR(D42=0,D42=1),OR(E42=0,E42=1),OR(A42&lt;&gt;"",SUM(C42:E42)=0)),"OK","FEHLER"),"FEHLER")</f>
        <v>OK</v>
      </c>
    </row>
    <row r="43" customFormat="false" ht="16.4" hidden="false" customHeight="false" outlineLevel="0" collapsed="false">
      <c r="A43" s="23" t="n">
        <f aca="false">IFERROR(IF(YEAR(DATE(Eingaben!$B$10,1,1)+38)=Eingaben!$B$10,DATE(Eingaben!$B$10,1,1)+38,""),"")</f>
        <v>46061</v>
      </c>
      <c r="B43" s="12" t="str">
        <f aca="false">IF(A43="","",CHOOSE(WEEKDAY(A43,2),"Mo","Di","Mi","Do","Fr","Sa","So"))</f>
        <v>So</v>
      </c>
      <c r="C43" s="20" t="n">
        <v>0</v>
      </c>
      <c r="D43" s="20" t="n">
        <v>1</v>
      </c>
      <c r="E43" s="20" t="n">
        <v>0</v>
      </c>
      <c r="F43" s="19"/>
      <c r="G43" s="12" t="str">
        <f aca="false">IFERROR(IF(AND(COUNT(C43:E43)=3,OR(C43=0,C43=1),OR(D43=0,D43=1),OR(E43=0,E43=1),OR(A43&lt;&gt;"",SUM(C43:E43)=0)),"OK","FEHLER"),"FEHLER")</f>
        <v>OK</v>
      </c>
    </row>
    <row r="44" customFormat="false" ht="16.4" hidden="false" customHeight="false" outlineLevel="0" collapsed="false">
      <c r="A44" s="23" t="n">
        <f aca="false">IFERROR(IF(YEAR(DATE(Eingaben!$B$10,1,1)+39)=Eingaben!$B$10,DATE(Eingaben!$B$10,1,1)+39,""),"")</f>
        <v>46062</v>
      </c>
      <c r="B44" s="12" t="str">
        <f aca="false">IF(A44="","",CHOOSE(WEEKDAY(A44,2),"Mo","Di","Mi","Do","Fr","Sa","So"))</f>
        <v>Mo</v>
      </c>
      <c r="C44" s="20" t="n">
        <v>1</v>
      </c>
      <c r="D44" s="20" t="n">
        <v>1</v>
      </c>
      <c r="E44" s="20" t="n">
        <v>0</v>
      </c>
      <c r="F44" s="19"/>
      <c r="G44" s="12" t="str">
        <f aca="false">IFERROR(IF(AND(COUNT(C44:E44)=3,OR(C44=0,C44=1),OR(D44=0,D44=1),OR(E44=0,E44=1),OR(A44&lt;&gt;"",SUM(C44:E44)=0)),"OK","FEHLER"),"FEHLER")</f>
        <v>OK</v>
      </c>
    </row>
    <row r="45" customFormat="false" ht="16.4" hidden="false" customHeight="false" outlineLevel="0" collapsed="false">
      <c r="A45" s="23" t="n">
        <f aca="false">IFERROR(IF(YEAR(DATE(Eingaben!$B$10,1,1)+40)=Eingaben!$B$10,DATE(Eingaben!$B$10,1,1)+40,""),"")</f>
        <v>46063</v>
      </c>
      <c r="B45" s="12" t="str">
        <f aca="false">IF(A45="","",CHOOSE(WEEKDAY(A45,2),"Mo","Di","Mi","Do","Fr","Sa","So"))</f>
        <v>Di</v>
      </c>
      <c r="C45" s="20" t="n">
        <v>1</v>
      </c>
      <c r="D45" s="20" t="n">
        <v>1</v>
      </c>
      <c r="E45" s="20" t="n">
        <v>0</v>
      </c>
      <c r="F45" s="19"/>
      <c r="G45" s="12" t="str">
        <f aca="false">IFERROR(IF(AND(COUNT(C45:E45)=3,OR(C45=0,C45=1),OR(D45=0,D45=1),OR(E45=0,E45=1),OR(A45&lt;&gt;"",SUM(C45:E45)=0)),"OK","FEHLER"),"FEHLER")</f>
        <v>OK</v>
      </c>
    </row>
    <row r="46" customFormat="false" ht="16.4" hidden="false" customHeight="false" outlineLevel="0" collapsed="false">
      <c r="A46" s="23" t="n">
        <f aca="false">IFERROR(IF(YEAR(DATE(Eingaben!$B$10,1,1)+41)=Eingaben!$B$10,DATE(Eingaben!$B$10,1,1)+41,""),"")</f>
        <v>46064</v>
      </c>
      <c r="B46" s="12" t="str">
        <f aca="false">IF(A46="","",CHOOSE(WEEKDAY(A46,2),"Mo","Di","Mi","Do","Fr","Sa","So"))</f>
        <v>Mi</v>
      </c>
      <c r="C46" s="20" t="n">
        <v>1</v>
      </c>
      <c r="D46" s="20" t="n">
        <v>1</v>
      </c>
      <c r="E46" s="20" t="n">
        <v>0</v>
      </c>
      <c r="F46" s="19"/>
      <c r="G46" s="12" t="str">
        <f aca="false">IFERROR(IF(AND(COUNT(C46:E46)=3,OR(C46=0,C46=1),OR(D46=0,D46=1),OR(E46=0,E46=1),OR(A46&lt;&gt;"",SUM(C46:E46)=0)),"OK","FEHLER"),"FEHLER")</f>
        <v>OK</v>
      </c>
    </row>
    <row r="47" customFormat="false" ht="16.4" hidden="false" customHeight="false" outlineLevel="0" collapsed="false">
      <c r="A47" s="23" t="n">
        <f aca="false">IFERROR(IF(YEAR(DATE(Eingaben!$B$10,1,1)+42)=Eingaben!$B$10,DATE(Eingaben!$B$10,1,1)+42,""),"")</f>
        <v>46065</v>
      </c>
      <c r="B47" s="12" t="str">
        <f aca="false">IF(A47="","",CHOOSE(WEEKDAY(A47,2),"Mo","Di","Mi","Do","Fr","Sa","So"))</f>
        <v>Do</v>
      </c>
      <c r="C47" s="20" t="n">
        <v>1</v>
      </c>
      <c r="D47" s="20" t="n">
        <v>1</v>
      </c>
      <c r="E47" s="20" t="n">
        <v>0</v>
      </c>
      <c r="F47" s="19"/>
      <c r="G47" s="12" t="str">
        <f aca="false">IFERROR(IF(AND(COUNT(C47:E47)=3,OR(C47=0,C47=1),OR(D47=0,D47=1),OR(E47=0,E47=1),OR(A47&lt;&gt;"",SUM(C47:E47)=0)),"OK","FEHLER"),"FEHLER")</f>
        <v>OK</v>
      </c>
    </row>
    <row r="48" customFormat="false" ht="16.4" hidden="false" customHeight="false" outlineLevel="0" collapsed="false">
      <c r="A48" s="23" t="n">
        <f aca="false">IFERROR(IF(YEAR(DATE(Eingaben!$B$10,1,1)+43)=Eingaben!$B$10,DATE(Eingaben!$B$10,1,1)+43,""),"")</f>
        <v>46066</v>
      </c>
      <c r="B48" s="12" t="str">
        <f aca="false">IF(A48="","",CHOOSE(WEEKDAY(A48,2),"Mo","Di","Mi","Do","Fr","Sa","So"))</f>
        <v>Fr</v>
      </c>
      <c r="C48" s="20" t="n">
        <v>1</v>
      </c>
      <c r="D48" s="20" t="n">
        <v>1</v>
      </c>
      <c r="E48" s="20" t="n">
        <v>0</v>
      </c>
      <c r="F48" s="19"/>
      <c r="G48" s="12" t="str">
        <f aca="false">IFERROR(IF(AND(COUNT(C48:E48)=3,OR(C48=0,C48=1),OR(D48=0,D48=1),OR(E48=0,E48=1),OR(A48&lt;&gt;"",SUM(C48:E48)=0)),"OK","FEHLER"),"FEHLER")</f>
        <v>OK</v>
      </c>
    </row>
    <row r="49" customFormat="false" ht="16.4" hidden="false" customHeight="false" outlineLevel="0" collapsed="false">
      <c r="A49" s="23" t="n">
        <f aca="false">IFERROR(IF(YEAR(DATE(Eingaben!$B$10,1,1)+44)=Eingaben!$B$10,DATE(Eingaben!$B$10,1,1)+44,""),"")</f>
        <v>46067</v>
      </c>
      <c r="B49" s="12" t="str">
        <f aca="false">IF(A49="","",CHOOSE(WEEKDAY(A49,2),"Mo","Di","Mi","Do","Fr","Sa","So"))</f>
        <v>Sa</v>
      </c>
      <c r="C49" s="20" t="n">
        <v>0</v>
      </c>
      <c r="D49" s="20" t="n">
        <v>1</v>
      </c>
      <c r="E49" s="20" t="n">
        <v>0</v>
      </c>
      <c r="F49" s="19"/>
      <c r="G49" s="12" t="str">
        <f aca="false">IFERROR(IF(AND(COUNT(C49:E49)=3,OR(C49=0,C49=1),OR(D49=0,D49=1),OR(E49=0,E49=1),OR(A49&lt;&gt;"",SUM(C49:E49)=0)),"OK","FEHLER"),"FEHLER")</f>
        <v>OK</v>
      </c>
    </row>
    <row r="50" customFormat="false" ht="16.4" hidden="false" customHeight="false" outlineLevel="0" collapsed="false">
      <c r="A50" s="23" t="n">
        <f aca="false">IFERROR(IF(YEAR(DATE(Eingaben!$B$10,1,1)+45)=Eingaben!$B$10,DATE(Eingaben!$B$10,1,1)+45,""),"")</f>
        <v>46068</v>
      </c>
      <c r="B50" s="12" t="str">
        <f aca="false">IF(A50="","",CHOOSE(WEEKDAY(A50,2),"Mo","Di","Mi","Do","Fr","Sa","So"))</f>
        <v>So</v>
      </c>
      <c r="C50" s="20" t="n">
        <v>0</v>
      </c>
      <c r="D50" s="20" t="n">
        <v>1</v>
      </c>
      <c r="E50" s="20" t="n">
        <v>0</v>
      </c>
      <c r="F50" s="19"/>
      <c r="G50" s="12" t="str">
        <f aca="false">IFERROR(IF(AND(COUNT(C50:E50)=3,OR(C50=0,C50=1),OR(D50=0,D50=1),OR(E50=0,E50=1),OR(A50&lt;&gt;"",SUM(C50:E50)=0)),"OK","FEHLER"),"FEHLER")</f>
        <v>OK</v>
      </c>
    </row>
    <row r="51" customFormat="false" ht="16.4" hidden="false" customHeight="false" outlineLevel="0" collapsed="false">
      <c r="A51" s="23" t="n">
        <f aca="false">IFERROR(IF(YEAR(DATE(Eingaben!$B$10,1,1)+46)=Eingaben!$B$10,DATE(Eingaben!$B$10,1,1)+46,""),"")</f>
        <v>46069</v>
      </c>
      <c r="B51" s="12" t="str">
        <f aca="false">IF(A51="","",CHOOSE(WEEKDAY(A51,2),"Mo","Di","Mi","Do","Fr","Sa","So"))</f>
        <v>Mo</v>
      </c>
      <c r="C51" s="20" t="n">
        <v>1</v>
      </c>
      <c r="D51" s="20" t="n">
        <v>1</v>
      </c>
      <c r="E51" s="20" t="n">
        <v>0</v>
      </c>
      <c r="F51" s="19"/>
      <c r="G51" s="12" t="str">
        <f aca="false">IFERROR(IF(AND(COUNT(C51:E51)=3,OR(C51=0,C51=1),OR(D51=0,D51=1),OR(E51=0,E51=1),OR(A51&lt;&gt;"",SUM(C51:E51)=0)),"OK","FEHLER"),"FEHLER")</f>
        <v>OK</v>
      </c>
    </row>
    <row r="52" customFormat="false" ht="16.4" hidden="false" customHeight="false" outlineLevel="0" collapsed="false">
      <c r="A52" s="23" t="n">
        <f aca="false">IFERROR(IF(YEAR(DATE(Eingaben!$B$10,1,1)+47)=Eingaben!$B$10,DATE(Eingaben!$B$10,1,1)+47,""),"")</f>
        <v>46070</v>
      </c>
      <c r="B52" s="12" t="str">
        <f aca="false">IF(A52="","",CHOOSE(WEEKDAY(A52,2),"Mo","Di","Mi","Do","Fr","Sa","So"))</f>
        <v>Di</v>
      </c>
      <c r="C52" s="20" t="n">
        <v>1</v>
      </c>
      <c r="D52" s="20" t="n">
        <v>1</v>
      </c>
      <c r="E52" s="20" t="n">
        <v>0</v>
      </c>
      <c r="F52" s="19"/>
      <c r="G52" s="12" t="str">
        <f aca="false">IFERROR(IF(AND(COUNT(C52:E52)=3,OR(C52=0,C52=1),OR(D52=0,D52=1),OR(E52=0,E52=1),OR(A52&lt;&gt;"",SUM(C52:E52)=0)),"OK","FEHLER"),"FEHLER")</f>
        <v>OK</v>
      </c>
    </row>
    <row r="53" customFormat="false" ht="16.4" hidden="false" customHeight="false" outlineLevel="0" collapsed="false">
      <c r="A53" s="23" t="n">
        <f aca="false">IFERROR(IF(YEAR(DATE(Eingaben!$B$10,1,1)+48)=Eingaben!$B$10,DATE(Eingaben!$B$10,1,1)+48,""),"")</f>
        <v>46071</v>
      </c>
      <c r="B53" s="12" t="str">
        <f aca="false">IF(A53="","",CHOOSE(WEEKDAY(A53,2),"Mo","Di","Mi","Do","Fr","Sa","So"))</f>
        <v>Mi</v>
      </c>
      <c r="C53" s="20" t="n">
        <v>1</v>
      </c>
      <c r="D53" s="20" t="n">
        <v>1</v>
      </c>
      <c r="E53" s="20" t="n">
        <v>0</v>
      </c>
      <c r="F53" s="19"/>
      <c r="G53" s="12" t="str">
        <f aca="false">IFERROR(IF(AND(COUNT(C53:E53)=3,OR(C53=0,C53=1),OR(D53=0,D53=1),OR(E53=0,E53=1),OR(A53&lt;&gt;"",SUM(C53:E53)=0)),"OK","FEHLER"),"FEHLER")</f>
        <v>OK</v>
      </c>
    </row>
    <row r="54" customFormat="false" ht="16.4" hidden="false" customHeight="false" outlineLevel="0" collapsed="false">
      <c r="A54" s="23" t="n">
        <f aca="false">IFERROR(IF(YEAR(DATE(Eingaben!$B$10,1,1)+49)=Eingaben!$B$10,DATE(Eingaben!$B$10,1,1)+49,""),"")</f>
        <v>46072</v>
      </c>
      <c r="B54" s="12" t="str">
        <f aca="false">IF(A54="","",CHOOSE(WEEKDAY(A54,2),"Mo","Di","Mi","Do","Fr","Sa","So"))</f>
        <v>Do</v>
      </c>
      <c r="C54" s="20" t="n">
        <v>1</v>
      </c>
      <c r="D54" s="20" t="n">
        <v>1</v>
      </c>
      <c r="E54" s="20" t="n">
        <v>0</v>
      </c>
      <c r="F54" s="19"/>
      <c r="G54" s="12" t="str">
        <f aca="false">IFERROR(IF(AND(COUNT(C54:E54)=3,OR(C54=0,C54=1),OR(D54=0,D54=1),OR(E54=0,E54=1),OR(A54&lt;&gt;"",SUM(C54:E54)=0)),"OK","FEHLER"),"FEHLER")</f>
        <v>OK</v>
      </c>
    </row>
    <row r="55" customFormat="false" ht="16.4" hidden="false" customHeight="false" outlineLevel="0" collapsed="false">
      <c r="A55" s="23" t="n">
        <f aca="false">IFERROR(IF(YEAR(DATE(Eingaben!$B$10,1,1)+50)=Eingaben!$B$10,DATE(Eingaben!$B$10,1,1)+50,""),"")</f>
        <v>46073</v>
      </c>
      <c r="B55" s="12" t="str">
        <f aca="false">IF(A55="","",CHOOSE(WEEKDAY(A55,2),"Mo","Di","Mi","Do","Fr","Sa","So"))</f>
        <v>Fr</v>
      </c>
      <c r="C55" s="20" t="n">
        <v>1</v>
      </c>
      <c r="D55" s="20" t="n">
        <v>1</v>
      </c>
      <c r="E55" s="20" t="n">
        <v>0</v>
      </c>
      <c r="F55" s="19"/>
      <c r="G55" s="12" t="str">
        <f aca="false">IFERROR(IF(AND(COUNT(C55:E55)=3,OR(C55=0,C55=1),OR(D55=0,D55=1),OR(E55=0,E55=1),OR(A55&lt;&gt;"",SUM(C55:E55)=0)),"OK","FEHLER"),"FEHLER")</f>
        <v>OK</v>
      </c>
    </row>
    <row r="56" customFormat="false" ht="16.4" hidden="false" customHeight="false" outlineLevel="0" collapsed="false">
      <c r="A56" s="23" t="n">
        <f aca="false">IFERROR(IF(YEAR(DATE(Eingaben!$B$10,1,1)+51)=Eingaben!$B$10,DATE(Eingaben!$B$10,1,1)+51,""),"")</f>
        <v>46074</v>
      </c>
      <c r="B56" s="12" t="str">
        <f aca="false">IF(A56="","",CHOOSE(WEEKDAY(A56,2),"Mo","Di","Mi","Do","Fr","Sa","So"))</f>
        <v>Sa</v>
      </c>
      <c r="C56" s="20" t="n">
        <v>0</v>
      </c>
      <c r="D56" s="20" t="n">
        <v>1</v>
      </c>
      <c r="E56" s="20" t="n">
        <v>0</v>
      </c>
      <c r="F56" s="19"/>
      <c r="G56" s="12" t="str">
        <f aca="false">IFERROR(IF(AND(COUNT(C56:E56)=3,OR(C56=0,C56=1),OR(D56=0,D56=1),OR(E56=0,E56=1),OR(A56&lt;&gt;"",SUM(C56:E56)=0)),"OK","FEHLER"),"FEHLER")</f>
        <v>OK</v>
      </c>
    </row>
    <row r="57" customFormat="false" ht="16.4" hidden="false" customHeight="false" outlineLevel="0" collapsed="false">
      <c r="A57" s="23" t="n">
        <f aca="false">IFERROR(IF(YEAR(DATE(Eingaben!$B$10,1,1)+52)=Eingaben!$B$10,DATE(Eingaben!$B$10,1,1)+52,""),"")</f>
        <v>46075</v>
      </c>
      <c r="B57" s="12" t="str">
        <f aca="false">IF(A57="","",CHOOSE(WEEKDAY(A57,2),"Mo","Di","Mi","Do","Fr","Sa","So"))</f>
        <v>So</v>
      </c>
      <c r="C57" s="20" t="n">
        <v>0</v>
      </c>
      <c r="D57" s="20" t="n">
        <v>1</v>
      </c>
      <c r="E57" s="20" t="n">
        <v>0</v>
      </c>
      <c r="F57" s="19"/>
      <c r="G57" s="12" t="str">
        <f aca="false">IFERROR(IF(AND(COUNT(C57:E57)=3,OR(C57=0,C57=1),OR(D57=0,D57=1),OR(E57=0,E57=1),OR(A57&lt;&gt;"",SUM(C57:E57)=0)),"OK","FEHLER"),"FEHLER")</f>
        <v>OK</v>
      </c>
    </row>
    <row r="58" customFormat="false" ht="16.4" hidden="false" customHeight="false" outlineLevel="0" collapsed="false">
      <c r="A58" s="23" t="n">
        <f aca="false">IFERROR(IF(YEAR(DATE(Eingaben!$B$10,1,1)+53)=Eingaben!$B$10,DATE(Eingaben!$B$10,1,1)+53,""),"")</f>
        <v>46076</v>
      </c>
      <c r="B58" s="12" t="str">
        <f aca="false">IF(A58="","",CHOOSE(WEEKDAY(A58,2),"Mo","Di","Mi","Do","Fr","Sa","So"))</f>
        <v>Mo</v>
      </c>
      <c r="C58" s="20" t="n">
        <v>1</v>
      </c>
      <c r="D58" s="20" t="n">
        <v>1</v>
      </c>
      <c r="E58" s="20" t="n">
        <v>0</v>
      </c>
      <c r="F58" s="19"/>
      <c r="G58" s="12" t="str">
        <f aca="false">IFERROR(IF(AND(COUNT(C58:E58)=3,OR(C58=0,C58=1),OR(D58=0,D58=1),OR(E58=0,E58=1),OR(A58&lt;&gt;"",SUM(C58:E58)=0)),"OK","FEHLER"),"FEHLER")</f>
        <v>OK</v>
      </c>
    </row>
    <row r="59" customFormat="false" ht="16.4" hidden="false" customHeight="false" outlineLevel="0" collapsed="false">
      <c r="A59" s="23" t="n">
        <f aca="false">IFERROR(IF(YEAR(DATE(Eingaben!$B$10,1,1)+54)=Eingaben!$B$10,DATE(Eingaben!$B$10,1,1)+54,""),"")</f>
        <v>46077</v>
      </c>
      <c r="B59" s="12" t="str">
        <f aca="false">IF(A59="","",CHOOSE(WEEKDAY(A59,2),"Mo","Di","Mi","Do","Fr","Sa","So"))</f>
        <v>Di</v>
      </c>
      <c r="C59" s="20" t="n">
        <v>1</v>
      </c>
      <c r="D59" s="20" t="n">
        <v>1</v>
      </c>
      <c r="E59" s="20" t="n">
        <v>0</v>
      </c>
      <c r="F59" s="19"/>
      <c r="G59" s="12" t="str">
        <f aca="false">IFERROR(IF(AND(COUNT(C59:E59)=3,OR(C59=0,C59=1),OR(D59=0,D59=1),OR(E59=0,E59=1),OR(A59&lt;&gt;"",SUM(C59:E59)=0)),"OK","FEHLER"),"FEHLER")</f>
        <v>OK</v>
      </c>
    </row>
    <row r="60" customFormat="false" ht="16.4" hidden="false" customHeight="false" outlineLevel="0" collapsed="false">
      <c r="A60" s="23" t="n">
        <f aca="false">IFERROR(IF(YEAR(DATE(Eingaben!$B$10,1,1)+55)=Eingaben!$B$10,DATE(Eingaben!$B$10,1,1)+55,""),"")</f>
        <v>46078</v>
      </c>
      <c r="B60" s="12" t="str">
        <f aca="false">IF(A60="","",CHOOSE(WEEKDAY(A60,2),"Mo","Di","Mi","Do","Fr","Sa","So"))</f>
        <v>Mi</v>
      </c>
      <c r="C60" s="20" t="n">
        <v>1</v>
      </c>
      <c r="D60" s="20" t="n">
        <v>1</v>
      </c>
      <c r="E60" s="20" t="n">
        <v>0</v>
      </c>
      <c r="F60" s="19"/>
      <c r="G60" s="12" t="str">
        <f aca="false">IFERROR(IF(AND(COUNT(C60:E60)=3,OR(C60=0,C60=1),OR(D60=0,D60=1),OR(E60=0,E60=1),OR(A60&lt;&gt;"",SUM(C60:E60)=0)),"OK","FEHLER"),"FEHLER")</f>
        <v>OK</v>
      </c>
    </row>
    <row r="61" customFormat="false" ht="16.4" hidden="false" customHeight="false" outlineLevel="0" collapsed="false">
      <c r="A61" s="23" t="n">
        <f aca="false">IFERROR(IF(YEAR(DATE(Eingaben!$B$10,1,1)+56)=Eingaben!$B$10,DATE(Eingaben!$B$10,1,1)+56,""),"")</f>
        <v>46079</v>
      </c>
      <c r="B61" s="12" t="str">
        <f aca="false">IF(A61="","",CHOOSE(WEEKDAY(A61,2),"Mo","Di","Mi","Do","Fr","Sa","So"))</f>
        <v>Do</v>
      </c>
      <c r="C61" s="20" t="n">
        <v>1</v>
      </c>
      <c r="D61" s="20" t="n">
        <v>1</v>
      </c>
      <c r="E61" s="20" t="n">
        <v>0</v>
      </c>
      <c r="F61" s="19"/>
      <c r="G61" s="12" t="str">
        <f aca="false">IFERROR(IF(AND(COUNT(C61:E61)=3,OR(C61=0,C61=1),OR(D61=0,D61=1),OR(E61=0,E61=1),OR(A61&lt;&gt;"",SUM(C61:E61)=0)),"OK","FEHLER"),"FEHLER")</f>
        <v>OK</v>
      </c>
    </row>
    <row r="62" customFormat="false" ht="16.4" hidden="false" customHeight="false" outlineLevel="0" collapsed="false">
      <c r="A62" s="23" t="n">
        <f aca="false">IFERROR(IF(YEAR(DATE(Eingaben!$B$10,1,1)+57)=Eingaben!$B$10,DATE(Eingaben!$B$10,1,1)+57,""),"")</f>
        <v>46080</v>
      </c>
      <c r="B62" s="12" t="str">
        <f aca="false">IF(A62="","",CHOOSE(WEEKDAY(A62,2),"Mo","Di","Mi","Do","Fr","Sa","So"))</f>
        <v>Fr</v>
      </c>
      <c r="C62" s="20" t="n">
        <v>1</v>
      </c>
      <c r="D62" s="20" t="n">
        <v>1</v>
      </c>
      <c r="E62" s="20" t="n">
        <v>0</v>
      </c>
      <c r="F62" s="19"/>
      <c r="G62" s="12" t="str">
        <f aca="false">IFERROR(IF(AND(COUNT(C62:E62)=3,OR(C62=0,C62=1),OR(D62=0,D62=1),OR(E62=0,E62=1),OR(A62&lt;&gt;"",SUM(C62:E62)=0)),"OK","FEHLER"),"FEHLER")</f>
        <v>OK</v>
      </c>
    </row>
    <row r="63" customFormat="false" ht="16.4" hidden="false" customHeight="false" outlineLevel="0" collapsed="false">
      <c r="A63" s="23" t="n">
        <f aca="false">IFERROR(IF(YEAR(DATE(Eingaben!$B$10,1,1)+58)=Eingaben!$B$10,DATE(Eingaben!$B$10,1,1)+58,""),"")</f>
        <v>46081</v>
      </c>
      <c r="B63" s="12" t="str">
        <f aca="false">IF(A63="","",CHOOSE(WEEKDAY(A63,2),"Mo","Di","Mi","Do","Fr","Sa","So"))</f>
        <v>Sa</v>
      </c>
      <c r="C63" s="20" t="n">
        <v>0</v>
      </c>
      <c r="D63" s="20" t="n">
        <v>1</v>
      </c>
      <c r="E63" s="20" t="n">
        <v>0</v>
      </c>
      <c r="F63" s="19"/>
      <c r="G63" s="12" t="str">
        <f aca="false">IFERROR(IF(AND(COUNT(C63:E63)=3,OR(C63=0,C63=1),OR(D63=0,D63=1),OR(E63=0,E63=1),OR(A63&lt;&gt;"",SUM(C63:E63)=0)),"OK","FEHLER"),"FEHLER")</f>
        <v>OK</v>
      </c>
    </row>
    <row r="64" customFormat="false" ht="16.4" hidden="false" customHeight="false" outlineLevel="0" collapsed="false">
      <c r="A64" s="23" t="n">
        <f aca="false">IFERROR(IF(YEAR(DATE(Eingaben!$B$10,1,1)+59)=Eingaben!$B$10,DATE(Eingaben!$B$10,1,1)+59,""),"")</f>
        <v>46082</v>
      </c>
      <c r="B64" s="12" t="str">
        <f aca="false">IF(A64="","",CHOOSE(WEEKDAY(A64,2),"Mo","Di","Mi","Do","Fr","Sa","So"))</f>
        <v>So</v>
      </c>
      <c r="C64" s="20" t="n">
        <v>0</v>
      </c>
      <c r="D64" s="20" t="n">
        <v>1</v>
      </c>
      <c r="E64" s="20" t="n">
        <v>0</v>
      </c>
      <c r="F64" s="19"/>
      <c r="G64" s="12" t="str">
        <f aca="false">IFERROR(IF(AND(COUNT(C64:E64)=3,OR(C64=0,C64=1),OR(D64=0,D64=1),OR(E64=0,E64=1),OR(A64&lt;&gt;"",SUM(C64:E64)=0)),"OK","FEHLER"),"FEHLER")</f>
        <v>OK</v>
      </c>
    </row>
    <row r="65" customFormat="false" ht="16.4" hidden="false" customHeight="false" outlineLevel="0" collapsed="false">
      <c r="A65" s="23" t="n">
        <f aca="false">IFERROR(IF(YEAR(DATE(Eingaben!$B$10,1,1)+60)=Eingaben!$B$10,DATE(Eingaben!$B$10,1,1)+60,""),"")</f>
        <v>46083</v>
      </c>
      <c r="B65" s="12" t="str">
        <f aca="false">IF(A65="","",CHOOSE(WEEKDAY(A65,2),"Mo","Di","Mi","Do","Fr","Sa","So"))</f>
        <v>Mo</v>
      </c>
      <c r="C65" s="20" t="n">
        <v>1</v>
      </c>
      <c r="D65" s="20" t="n">
        <v>1</v>
      </c>
      <c r="E65" s="20" t="n">
        <v>0</v>
      </c>
      <c r="F65" s="19"/>
      <c r="G65" s="12" t="str">
        <f aca="false">IFERROR(IF(AND(COUNT(C65:E65)=3,OR(C65=0,C65=1),OR(D65=0,D65=1),OR(E65=0,E65=1),OR(A65&lt;&gt;"",SUM(C65:E65)=0)),"OK","FEHLER"),"FEHLER")</f>
        <v>OK</v>
      </c>
    </row>
    <row r="66" customFormat="false" ht="16.4" hidden="false" customHeight="false" outlineLevel="0" collapsed="false">
      <c r="A66" s="23" t="n">
        <f aca="false">IFERROR(IF(YEAR(DATE(Eingaben!$B$10,1,1)+61)=Eingaben!$B$10,DATE(Eingaben!$B$10,1,1)+61,""),"")</f>
        <v>46084</v>
      </c>
      <c r="B66" s="12" t="str">
        <f aca="false">IF(A66="","",CHOOSE(WEEKDAY(A66,2),"Mo","Di","Mi","Do","Fr","Sa","So"))</f>
        <v>Di</v>
      </c>
      <c r="C66" s="20" t="n">
        <v>1</v>
      </c>
      <c r="D66" s="20" t="n">
        <v>1</v>
      </c>
      <c r="E66" s="20" t="n">
        <v>0</v>
      </c>
      <c r="F66" s="19"/>
      <c r="G66" s="12" t="str">
        <f aca="false">IFERROR(IF(AND(COUNT(C66:E66)=3,OR(C66=0,C66=1),OR(D66=0,D66=1),OR(E66=0,E66=1),OR(A66&lt;&gt;"",SUM(C66:E66)=0)),"OK","FEHLER"),"FEHLER")</f>
        <v>OK</v>
      </c>
    </row>
    <row r="67" customFormat="false" ht="16.4" hidden="false" customHeight="false" outlineLevel="0" collapsed="false">
      <c r="A67" s="23" t="n">
        <f aca="false">IFERROR(IF(YEAR(DATE(Eingaben!$B$10,1,1)+62)=Eingaben!$B$10,DATE(Eingaben!$B$10,1,1)+62,""),"")</f>
        <v>46085</v>
      </c>
      <c r="B67" s="12" t="str">
        <f aca="false">IF(A67="","",CHOOSE(WEEKDAY(A67,2),"Mo","Di","Mi","Do","Fr","Sa","So"))</f>
        <v>Mi</v>
      </c>
      <c r="C67" s="20" t="n">
        <v>1</v>
      </c>
      <c r="D67" s="20" t="n">
        <v>1</v>
      </c>
      <c r="E67" s="20" t="n">
        <v>0</v>
      </c>
      <c r="F67" s="19"/>
      <c r="G67" s="12" t="str">
        <f aca="false">IFERROR(IF(AND(COUNT(C67:E67)=3,OR(C67=0,C67=1),OR(D67=0,D67=1),OR(E67=0,E67=1),OR(A67&lt;&gt;"",SUM(C67:E67)=0)),"OK","FEHLER"),"FEHLER")</f>
        <v>OK</v>
      </c>
    </row>
    <row r="68" customFormat="false" ht="16.4" hidden="false" customHeight="false" outlineLevel="0" collapsed="false">
      <c r="A68" s="23" t="n">
        <f aca="false">IFERROR(IF(YEAR(DATE(Eingaben!$B$10,1,1)+63)=Eingaben!$B$10,DATE(Eingaben!$B$10,1,1)+63,""),"")</f>
        <v>46086</v>
      </c>
      <c r="B68" s="12" t="str">
        <f aca="false">IF(A68="","",CHOOSE(WEEKDAY(A68,2),"Mo","Di","Mi","Do","Fr","Sa","So"))</f>
        <v>Do</v>
      </c>
      <c r="C68" s="20" t="n">
        <v>1</v>
      </c>
      <c r="D68" s="20" t="n">
        <v>1</v>
      </c>
      <c r="E68" s="20" t="n">
        <v>0</v>
      </c>
      <c r="F68" s="19"/>
      <c r="G68" s="12" t="str">
        <f aca="false">IFERROR(IF(AND(COUNT(C68:E68)=3,OR(C68=0,C68=1),OR(D68=0,D68=1),OR(E68=0,E68=1),OR(A68&lt;&gt;"",SUM(C68:E68)=0)),"OK","FEHLER"),"FEHLER")</f>
        <v>OK</v>
      </c>
    </row>
    <row r="69" customFormat="false" ht="16.4" hidden="false" customHeight="false" outlineLevel="0" collapsed="false">
      <c r="A69" s="23" t="n">
        <f aca="false">IFERROR(IF(YEAR(DATE(Eingaben!$B$10,1,1)+64)=Eingaben!$B$10,DATE(Eingaben!$B$10,1,1)+64,""),"")</f>
        <v>46087</v>
      </c>
      <c r="B69" s="12" t="str">
        <f aca="false">IF(A69="","",CHOOSE(WEEKDAY(A69,2),"Mo","Di","Mi","Do","Fr","Sa","So"))</f>
        <v>Fr</v>
      </c>
      <c r="C69" s="20" t="n">
        <v>1</v>
      </c>
      <c r="D69" s="20" t="n">
        <v>1</v>
      </c>
      <c r="E69" s="20" t="n">
        <v>0</v>
      </c>
      <c r="F69" s="19"/>
      <c r="G69" s="12" t="str">
        <f aca="false">IFERROR(IF(AND(COUNT(C69:E69)=3,OR(C69=0,C69=1),OR(D69=0,D69=1),OR(E69=0,E69=1),OR(A69&lt;&gt;"",SUM(C69:E69)=0)),"OK","FEHLER"),"FEHLER")</f>
        <v>OK</v>
      </c>
    </row>
    <row r="70" customFormat="false" ht="16.4" hidden="false" customHeight="false" outlineLevel="0" collapsed="false">
      <c r="A70" s="23" t="n">
        <f aca="false">IFERROR(IF(YEAR(DATE(Eingaben!$B$10,1,1)+65)=Eingaben!$B$10,DATE(Eingaben!$B$10,1,1)+65,""),"")</f>
        <v>46088</v>
      </c>
      <c r="B70" s="12" t="str">
        <f aca="false">IF(A70="","",CHOOSE(WEEKDAY(A70,2),"Mo","Di","Mi","Do","Fr","Sa","So"))</f>
        <v>Sa</v>
      </c>
      <c r="C70" s="20" t="n">
        <v>0</v>
      </c>
      <c r="D70" s="20" t="n">
        <v>1</v>
      </c>
      <c r="E70" s="20" t="n">
        <v>0</v>
      </c>
      <c r="F70" s="19"/>
      <c r="G70" s="12" t="str">
        <f aca="false">IFERROR(IF(AND(COUNT(C70:E70)=3,OR(C70=0,C70=1),OR(D70=0,D70=1),OR(E70=0,E70=1),OR(A70&lt;&gt;"",SUM(C70:E70)=0)),"OK","FEHLER"),"FEHLER")</f>
        <v>OK</v>
      </c>
    </row>
    <row r="71" customFormat="false" ht="16.4" hidden="false" customHeight="false" outlineLevel="0" collapsed="false">
      <c r="A71" s="23" t="n">
        <f aca="false">IFERROR(IF(YEAR(DATE(Eingaben!$B$10,1,1)+66)=Eingaben!$B$10,DATE(Eingaben!$B$10,1,1)+66,""),"")</f>
        <v>46089</v>
      </c>
      <c r="B71" s="12" t="str">
        <f aca="false">IF(A71="","",CHOOSE(WEEKDAY(A71,2),"Mo","Di","Mi","Do","Fr","Sa","So"))</f>
        <v>So</v>
      </c>
      <c r="C71" s="20" t="n">
        <v>0</v>
      </c>
      <c r="D71" s="20" t="n">
        <v>1</v>
      </c>
      <c r="E71" s="20" t="n">
        <v>0</v>
      </c>
      <c r="F71" s="19"/>
      <c r="G71" s="12" t="str">
        <f aca="false">IFERROR(IF(AND(COUNT(C71:E71)=3,OR(C71=0,C71=1),OR(D71=0,D71=1),OR(E71=0,E71=1),OR(A71&lt;&gt;"",SUM(C71:E71)=0)),"OK","FEHLER"),"FEHLER")</f>
        <v>OK</v>
      </c>
    </row>
    <row r="72" customFormat="false" ht="16.4" hidden="false" customHeight="false" outlineLevel="0" collapsed="false">
      <c r="A72" s="23" t="n">
        <f aca="false">IFERROR(IF(YEAR(DATE(Eingaben!$B$10,1,1)+67)=Eingaben!$B$10,DATE(Eingaben!$B$10,1,1)+67,""),"")</f>
        <v>46090</v>
      </c>
      <c r="B72" s="12" t="str">
        <f aca="false">IF(A72="","",CHOOSE(WEEKDAY(A72,2),"Mo","Di","Mi","Do","Fr","Sa","So"))</f>
        <v>Mo</v>
      </c>
      <c r="C72" s="20" t="n">
        <v>1</v>
      </c>
      <c r="D72" s="20" t="n">
        <v>1</v>
      </c>
      <c r="E72" s="20" t="n">
        <v>0</v>
      </c>
      <c r="F72" s="19"/>
      <c r="G72" s="12" t="str">
        <f aca="false">IFERROR(IF(AND(COUNT(C72:E72)=3,OR(C72=0,C72=1),OR(D72=0,D72=1),OR(E72=0,E72=1),OR(A72&lt;&gt;"",SUM(C72:E72)=0)),"OK","FEHLER"),"FEHLER")</f>
        <v>OK</v>
      </c>
    </row>
    <row r="73" customFormat="false" ht="16.4" hidden="false" customHeight="false" outlineLevel="0" collapsed="false">
      <c r="A73" s="23" t="n">
        <f aca="false">IFERROR(IF(YEAR(DATE(Eingaben!$B$10,1,1)+68)=Eingaben!$B$10,DATE(Eingaben!$B$10,1,1)+68,""),"")</f>
        <v>46091</v>
      </c>
      <c r="B73" s="12" t="str">
        <f aca="false">IF(A73="","",CHOOSE(WEEKDAY(A73,2),"Mo","Di","Mi","Do","Fr","Sa","So"))</f>
        <v>Di</v>
      </c>
      <c r="C73" s="20" t="n">
        <v>1</v>
      </c>
      <c r="D73" s="20" t="n">
        <v>1</v>
      </c>
      <c r="E73" s="20" t="n">
        <v>0</v>
      </c>
      <c r="F73" s="19"/>
      <c r="G73" s="12" t="str">
        <f aca="false">IFERROR(IF(AND(COUNT(C73:E73)=3,OR(C73=0,C73=1),OR(D73=0,D73=1),OR(E73=0,E73=1),OR(A73&lt;&gt;"",SUM(C73:E73)=0)),"OK","FEHLER"),"FEHLER")</f>
        <v>OK</v>
      </c>
    </row>
    <row r="74" customFormat="false" ht="16.4" hidden="false" customHeight="false" outlineLevel="0" collapsed="false">
      <c r="A74" s="23" t="n">
        <f aca="false">IFERROR(IF(YEAR(DATE(Eingaben!$B$10,1,1)+69)=Eingaben!$B$10,DATE(Eingaben!$B$10,1,1)+69,""),"")</f>
        <v>46092</v>
      </c>
      <c r="B74" s="12" t="str">
        <f aca="false">IF(A74="","",CHOOSE(WEEKDAY(A74,2),"Mo","Di","Mi","Do","Fr","Sa","So"))</f>
        <v>Mi</v>
      </c>
      <c r="C74" s="20" t="n">
        <v>1</v>
      </c>
      <c r="D74" s="20" t="n">
        <v>1</v>
      </c>
      <c r="E74" s="20" t="n">
        <v>0</v>
      </c>
      <c r="F74" s="19"/>
      <c r="G74" s="12" t="str">
        <f aca="false">IFERROR(IF(AND(COUNT(C74:E74)=3,OR(C74=0,C74=1),OR(D74=0,D74=1),OR(E74=0,E74=1),OR(A74&lt;&gt;"",SUM(C74:E74)=0)),"OK","FEHLER"),"FEHLER")</f>
        <v>OK</v>
      </c>
    </row>
    <row r="75" customFormat="false" ht="16.4" hidden="false" customHeight="false" outlineLevel="0" collapsed="false">
      <c r="A75" s="23" t="n">
        <f aca="false">IFERROR(IF(YEAR(DATE(Eingaben!$B$10,1,1)+70)=Eingaben!$B$10,DATE(Eingaben!$B$10,1,1)+70,""),"")</f>
        <v>46093</v>
      </c>
      <c r="B75" s="12" t="str">
        <f aca="false">IF(A75="","",CHOOSE(WEEKDAY(A75,2),"Mo","Di","Mi","Do","Fr","Sa","So"))</f>
        <v>Do</v>
      </c>
      <c r="C75" s="20" t="n">
        <v>1</v>
      </c>
      <c r="D75" s="20" t="n">
        <v>1</v>
      </c>
      <c r="E75" s="20" t="n">
        <v>0</v>
      </c>
      <c r="F75" s="19"/>
      <c r="G75" s="12" t="str">
        <f aca="false">IFERROR(IF(AND(COUNT(C75:E75)=3,OR(C75=0,C75=1),OR(D75=0,D75=1),OR(E75=0,E75=1),OR(A75&lt;&gt;"",SUM(C75:E75)=0)),"OK","FEHLER"),"FEHLER")</f>
        <v>OK</v>
      </c>
    </row>
    <row r="76" customFormat="false" ht="16.4" hidden="false" customHeight="false" outlineLevel="0" collapsed="false">
      <c r="A76" s="23" t="n">
        <f aca="false">IFERROR(IF(YEAR(DATE(Eingaben!$B$10,1,1)+71)=Eingaben!$B$10,DATE(Eingaben!$B$10,1,1)+71,""),"")</f>
        <v>46094</v>
      </c>
      <c r="B76" s="12" t="str">
        <f aca="false">IF(A76="","",CHOOSE(WEEKDAY(A76,2),"Mo","Di","Mi","Do","Fr","Sa","So"))</f>
        <v>Fr</v>
      </c>
      <c r="C76" s="20" t="n">
        <v>1</v>
      </c>
      <c r="D76" s="20" t="n">
        <v>1</v>
      </c>
      <c r="E76" s="20" t="n">
        <v>0</v>
      </c>
      <c r="F76" s="19"/>
      <c r="G76" s="12" t="str">
        <f aca="false">IFERROR(IF(AND(COUNT(C76:E76)=3,OR(C76=0,C76=1),OR(D76=0,D76=1),OR(E76=0,E76=1),OR(A76&lt;&gt;"",SUM(C76:E76)=0)),"OK","FEHLER"),"FEHLER")</f>
        <v>OK</v>
      </c>
    </row>
    <row r="77" customFormat="false" ht="16.4" hidden="false" customHeight="false" outlineLevel="0" collapsed="false">
      <c r="A77" s="23" t="n">
        <f aca="false">IFERROR(IF(YEAR(DATE(Eingaben!$B$10,1,1)+72)=Eingaben!$B$10,DATE(Eingaben!$B$10,1,1)+72,""),"")</f>
        <v>46095</v>
      </c>
      <c r="B77" s="12" t="str">
        <f aca="false">IF(A77="","",CHOOSE(WEEKDAY(A77,2),"Mo","Di","Mi","Do","Fr","Sa","So"))</f>
        <v>Sa</v>
      </c>
      <c r="C77" s="20" t="n">
        <v>0</v>
      </c>
      <c r="D77" s="20" t="n">
        <v>1</v>
      </c>
      <c r="E77" s="20" t="n">
        <v>0</v>
      </c>
      <c r="F77" s="19"/>
      <c r="G77" s="12" t="str">
        <f aca="false">IFERROR(IF(AND(COUNT(C77:E77)=3,OR(C77=0,C77=1),OR(D77=0,D77=1),OR(E77=0,E77=1),OR(A77&lt;&gt;"",SUM(C77:E77)=0)),"OK","FEHLER"),"FEHLER")</f>
        <v>OK</v>
      </c>
    </row>
    <row r="78" customFormat="false" ht="16.4" hidden="false" customHeight="false" outlineLevel="0" collapsed="false">
      <c r="A78" s="23" t="n">
        <f aca="false">IFERROR(IF(YEAR(DATE(Eingaben!$B$10,1,1)+73)=Eingaben!$B$10,DATE(Eingaben!$B$10,1,1)+73,""),"")</f>
        <v>46096</v>
      </c>
      <c r="B78" s="12" t="str">
        <f aca="false">IF(A78="","",CHOOSE(WEEKDAY(A78,2),"Mo","Di","Mi","Do","Fr","Sa","So"))</f>
        <v>So</v>
      </c>
      <c r="C78" s="20" t="n">
        <v>0</v>
      </c>
      <c r="D78" s="20" t="n">
        <v>1</v>
      </c>
      <c r="E78" s="20" t="n">
        <v>0</v>
      </c>
      <c r="F78" s="19"/>
      <c r="G78" s="12" t="str">
        <f aca="false">IFERROR(IF(AND(COUNT(C78:E78)=3,OR(C78=0,C78=1),OR(D78=0,D78=1),OR(E78=0,E78=1),OR(A78&lt;&gt;"",SUM(C78:E78)=0)),"OK","FEHLER"),"FEHLER")</f>
        <v>OK</v>
      </c>
    </row>
    <row r="79" customFormat="false" ht="16.4" hidden="false" customHeight="false" outlineLevel="0" collapsed="false">
      <c r="A79" s="23" t="n">
        <f aca="false">IFERROR(IF(YEAR(DATE(Eingaben!$B$10,1,1)+74)=Eingaben!$B$10,DATE(Eingaben!$B$10,1,1)+74,""),"")</f>
        <v>46097</v>
      </c>
      <c r="B79" s="12" t="str">
        <f aca="false">IF(A79="","",CHOOSE(WEEKDAY(A79,2),"Mo","Di","Mi","Do","Fr","Sa","So"))</f>
        <v>Mo</v>
      </c>
      <c r="C79" s="20" t="n">
        <v>1</v>
      </c>
      <c r="D79" s="20" t="n">
        <v>1</v>
      </c>
      <c r="E79" s="20" t="n">
        <v>0</v>
      </c>
      <c r="F79" s="19"/>
      <c r="G79" s="12" t="str">
        <f aca="false">IFERROR(IF(AND(COUNT(C79:E79)=3,OR(C79=0,C79=1),OR(D79=0,D79=1),OR(E79=0,E79=1),OR(A79&lt;&gt;"",SUM(C79:E79)=0)),"OK","FEHLER"),"FEHLER")</f>
        <v>OK</v>
      </c>
    </row>
    <row r="80" customFormat="false" ht="16.4" hidden="false" customHeight="false" outlineLevel="0" collapsed="false">
      <c r="A80" s="23" t="n">
        <f aca="false">IFERROR(IF(YEAR(DATE(Eingaben!$B$10,1,1)+75)=Eingaben!$B$10,DATE(Eingaben!$B$10,1,1)+75,""),"")</f>
        <v>46098</v>
      </c>
      <c r="B80" s="12" t="str">
        <f aca="false">IF(A80="","",CHOOSE(WEEKDAY(A80,2),"Mo","Di","Mi","Do","Fr","Sa","So"))</f>
        <v>Di</v>
      </c>
      <c r="C80" s="20" t="n">
        <v>1</v>
      </c>
      <c r="D80" s="20" t="n">
        <v>1</v>
      </c>
      <c r="E80" s="20" t="n">
        <v>0</v>
      </c>
      <c r="F80" s="19"/>
      <c r="G80" s="12" t="str">
        <f aca="false">IFERROR(IF(AND(COUNT(C80:E80)=3,OR(C80=0,C80=1),OR(D80=0,D80=1),OR(E80=0,E80=1),OR(A80&lt;&gt;"",SUM(C80:E80)=0)),"OK","FEHLER"),"FEHLER")</f>
        <v>OK</v>
      </c>
    </row>
    <row r="81" customFormat="false" ht="16.4" hidden="false" customHeight="false" outlineLevel="0" collapsed="false">
      <c r="A81" s="23" t="n">
        <f aca="false">IFERROR(IF(YEAR(DATE(Eingaben!$B$10,1,1)+76)=Eingaben!$B$10,DATE(Eingaben!$B$10,1,1)+76,""),"")</f>
        <v>46099</v>
      </c>
      <c r="B81" s="12" t="str">
        <f aca="false">IF(A81="","",CHOOSE(WEEKDAY(A81,2),"Mo","Di","Mi","Do","Fr","Sa","So"))</f>
        <v>Mi</v>
      </c>
      <c r="C81" s="20" t="n">
        <v>1</v>
      </c>
      <c r="D81" s="20" t="n">
        <v>1</v>
      </c>
      <c r="E81" s="20" t="n">
        <v>0</v>
      </c>
      <c r="F81" s="19"/>
      <c r="G81" s="12" t="str">
        <f aca="false">IFERROR(IF(AND(COUNT(C81:E81)=3,OR(C81=0,C81=1),OR(D81=0,D81=1),OR(E81=0,E81=1),OR(A81&lt;&gt;"",SUM(C81:E81)=0)),"OK","FEHLER"),"FEHLER")</f>
        <v>OK</v>
      </c>
    </row>
    <row r="82" customFormat="false" ht="16.4" hidden="false" customHeight="false" outlineLevel="0" collapsed="false">
      <c r="A82" s="23" t="n">
        <f aca="false">IFERROR(IF(YEAR(DATE(Eingaben!$B$10,1,1)+77)=Eingaben!$B$10,DATE(Eingaben!$B$10,1,1)+77,""),"")</f>
        <v>46100</v>
      </c>
      <c r="B82" s="12" t="str">
        <f aca="false">IF(A82="","",CHOOSE(WEEKDAY(A82,2),"Mo","Di","Mi","Do","Fr","Sa","So"))</f>
        <v>Do</v>
      </c>
      <c r="C82" s="20" t="n">
        <v>1</v>
      </c>
      <c r="D82" s="20" t="n">
        <v>1</v>
      </c>
      <c r="E82" s="20" t="n">
        <v>0</v>
      </c>
      <c r="F82" s="19"/>
      <c r="G82" s="12" t="str">
        <f aca="false">IFERROR(IF(AND(COUNT(C82:E82)=3,OR(C82=0,C82=1),OR(D82=0,D82=1),OR(E82=0,E82=1),OR(A82&lt;&gt;"",SUM(C82:E82)=0)),"OK","FEHLER"),"FEHLER")</f>
        <v>OK</v>
      </c>
    </row>
    <row r="83" customFormat="false" ht="16.4" hidden="false" customHeight="false" outlineLevel="0" collapsed="false">
      <c r="A83" s="23" t="n">
        <f aca="false">IFERROR(IF(YEAR(DATE(Eingaben!$B$10,1,1)+78)=Eingaben!$B$10,DATE(Eingaben!$B$10,1,1)+78,""),"")</f>
        <v>46101</v>
      </c>
      <c r="B83" s="12" t="str">
        <f aca="false">IF(A83="","",CHOOSE(WEEKDAY(A83,2),"Mo","Di","Mi","Do","Fr","Sa","So"))</f>
        <v>Fr</v>
      </c>
      <c r="C83" s="20" t="n">
        <v>1</v>
      </c>
      <c r="D83" s="20" t="n">
        <v>1</v>
      </c>
      <c r="E83" s="20" t="n">
        <v>0</v>
      </c>
      <c r="F83" s="19"/>
      <c r="G83" s="12" t="str">
        <f aca="false">IFERROR(IF(AND(COUNT(C83:E83)=3,OR(C83=0,C83=1),OR(D83=0,D83=1),OR(E83=0,E83=1),OR(A83&lt;&gt;"",SUM(C83:E83)=0)),"OK","FEHLER"),"FEHLER")</f>
        <v>OK</v>
      </c>
    </row>
    <row r="84" customFormat="false" ht="16.4" hidden="false" customHeight="false" outlineLevel="0" collapsed="false">
      <c r="A84" s="23" t="n">
        <f aca="false">IFERROR(IF(YEAR(DATE(Eingaben!$B$10,1,1)+79)=Eingaben!$B$10,DATE(Eingaben!$B$10,1,1)+79,""),"")</f>
        <v>46102</v>
      </c>
      <c r="B84" s="12" t="str">
        <f aca="false">IF(A84="","",CHOOSE(WEEKDAY(A84,2),"Mo","Di","Mi","Do","Fr","Sa","So"))</f>
        <v>Sa</v>
      </c>
      <c r="C84" s="20" t="n">
        <v>0</v>
      </c>
      <c r="D84" s="20" t="n">
        <v>1</v>
      </c>
      <c r="E84" s="20" t="n">
        <v>0</v>
      </c>
      <c r="F84" s="19"/>
      <c r="G84" s="12" t="str">
        <f aca="false">IFERROR(IF(AND(COUNT(C84:E84)=3,OR(C84=0,C84=1),OR(D84=0,D84=1),OR(E84=0,E84=1),OR(A84&lt;&gt;"",SUM(C84:E84)=0)),"OK","FEHLER"),"FEHLER")</f>
        <v>OK</v>
      </c>
    </row>
    <row r="85" customFormat="false" ht="16.4" hidden="false" customHeight="false" outlineLevel="0" collapsed="false">
      <c r="A85" s="23" t="n">
        <f aca="false">IFERROR(IF(YEAR(DATE(Eingaben!$B$10,1,1)+80)=Eingaben!$B$10,DATE(Eingaben!$B$10,1,1)+80,""),"")</f>
        <v>46103</v>
      </c>
      <c r="B85" s="12" t="str">
        <f aca="false">IF(A85="","",CHOOSE(WEEKDAY(A85,2),"Mo","Di","Mi","Do","Fr","Sa","So"))</f>
        <v>So</v>
      </c>
      <c r="C85" s="20" t="n">
        <v>0</v>
      </c>
      <c r="D85" s="20" t="n">
        <v>1</v>
      </c>
      <c r="E85" s="20" t="n">
        <v>0</v>
      </c>
      <c r="F85" s="19"/>
      <c r="G85" s="12" t="str">
        <f aca="false">IFERROR(IF(AND(COUNT(C85:E85)=3,OR(C85=0,C85=1),OR(D85=0,D85=1),OR(E85=0,E85=1),OR(A85&lt;&gt;"",SUM(C85:E85)=0)),"OK","FEHLER"),"FEHLER")</f>
        <v>OK</v>
      </c>
    </row>
    <row r="86" customFormat="false" ht="16.4" hidden="false" customHeight="false" outlineLevel="0" collapsed="false">
      <c r="A86" s="23" t="n">
        <f aca="false">IFERROR(IF(YEAR(DATE(Eingaben!$B$10,1,1)+81)=Eingaben!$B$10,DATE(Eingaben!$B$10,1,1)+81,""),"")</f>
        <v>46104</v>
      </c>
      <c r="B86" s="12" t="str">
        <f aca="false">IF(A86="","",CHOOSE(WEEKDAY(A86,2),"Mo","Di","Mi","Do","Fr","Sa","So"))</f>
        <v>Mo</v>
      </c>
      <c r="C86" s="20" t="n">
        <v>1</v>
      </c>
      <c r="D86" s="20" t="n">
        <v>1</v>
      </c>
      <c r="E86" s="20" t="n">
        <v>0</v>
      </c>
      <c r="F86" s="19"/>
      <c r="G86" s="12" t="str">
        <f aca="false">IFERROR(IF(AND(COUNT(C86:E86)=3,OR(C86=0,C86=1),OR(D86=0,D86=1),OR(E86=0,E86=1),OR(A86&lt;&gt;"",SUM(C86:E86)=0)),"OK","FEHLER"),"FEHLER")</f>
        <v>OK</v>
      </c>
    </row>
    <row r="87" customFormat="false" ht="16.4" hidden="false" customHeight="false" outlineLevel="0" collapsed="false">
      <c r="A87" s="23" t="n">
        <f aca="false">IFERROR(IF(YEAR(DATE(Eingaben!$B$10,1,1)+82)=Eingaben!$B$10,DATE(Eingaben!$B$10,1,1)+82,""),"")</f>
        <v>46105</v>
      </c>
      <c r="B87" s="12" t="str">
        <f aca="false">IF(A87="","",CHOOSE(WEEKDAY(A87,2),"Mo","Di","Mi","Do","Fr","Sa","So"))</f>
        <v>Di</v>
      </c>
      <c r="C87" s="20" t="n">
        <v>1</v>
      </c>
      <c r="D87" s="20" t="n">
        <v>1</v>
      </c>
      <c r="E87" s="20" t="n">
        <v>0</v>
      </c>
      <c r="F87" s="19"/>
      <c r="G87" s="12" t="str">
        <f aca="false">IFERROR(IF(AND(COUNT(C87:E87)=3,OR(C87=0,C87=1),OR(D87=0,D87=1),OR(E87=0,E87=1),OR(A87&lt;&gt;"",SUM(C87:E87)=0)),"OK","FEHLER"),"FEHLER")</f>
        <v>OK</v>
      </c>
    </row>
    <row r="88" customFormat="false" ht="16.4" hidden="false" customHeight="false" outlineLevel="0" collapsed="false">
      <c r="A88" s="23" t="n">
        <f aca="false">IFERROR(IF(YEAR(DATE(Eingaben!$B$10,1,1)+83)=Eingaben!$B$10,DATE(Eingaben!$B$10,1,1)+83,""),"")</f>
        <v>46106</v>
      </c>
      <c r="B88" s="12" t="str">
        <f aca="false">IF(A88="","",CHOOSE(WEEKDAY(A88,2),"Mo","Di","Mi","Do","Fr","Sa","So"))</f>
        <v>Mi</v>
      </c>
      <c r="C88" s="20" t="n">
        <v>1</v>
      </c>
      <c r="D88" s="20" t="n">
        <v>1</v>
      </c>
      <c r="E88" s="20" t="n">
        <v>0</v>
      </c>
      <c r="F88" s="19"/>
      <c r="G88" s="12" t="str">
        <f aca="false">IFERROR(IF(AND(COUNT(C88:E88)=3,OR(C88=0,C88=1),OR(D88=0,D88=1),OR(E88=0,E88=1),OR(A88&lt;&gt;"",SUM(C88:E88)=0)),"OK","FEHLER"),"FEHLER")</f>
        <v>OK</v>
      </c>
    </row>
    <row r="89" customFormat="false" ht="16.4" hidden="false" customHeight="false" outlineLevel="0" collapsed="false">
      <c r="A89" s="23" t="n">
        <f aca="false">IFERROR(IF(YEAR(DATE(Eingaben!$B$10,1,1)+84)=Eingaben!$B$10,DATE(Eingaben!$B$10,1,1)+84,""),"")</f>
        <v>46107</v>
      </c>
      <c r="B89" s="12" t="str">
        <f aca="false">IF(A89="","",CHOOSE(WEEKDAY(A89,2),"Mo","Di","Mi","Do","Fr","Sa","So"))</f>
        <v>Do</v>
      </c>
      <c r="C89" s="20" t="n">
        <v>1</v>
      </c>
      <c r="D89" s="20" t="n">
        <v>1</v>
      </c>
      <c r="E89" s="20" t="n">
        <v>0</v>
      </c>
      <c r="F89" s="19"/>
      <c r="G89" s="12" t="str">
        <f aca="false">IFERROR(IF(AND(COUNT(C89:E89)=3,OR(C89=0,C89=1),OR(D89=0,D89=1),OR(E89=0,E89=1),OR(A89&lt;&gt;"",SUM(C89:E89)=0)),"OK","FEHLER"),"FEHLER")</f>
        <v>OK</v>
      </c>
    </row>
    <row r="90" customFormat="false" ht="16.4" hidden="false" customHeight="false" outlineLevel="0" collapsed="false">
      <c r="A90" s="23" t="n">
        <f aca="false">IFERROR(IF(YEAR(DATE(Eingaben!$B$10,1,1)+85)=Eingaben!$B$10,DATE(Eingaben!$B$10,1,1)+85,""),"")</f>
        <v>46108</v>
      </c>
      <c r="B90" s="12" t="str">
        <f aca="false">IF(A90="","",CHOOSE(WEEKDAY(A90,2),"Mo","Di","Mi","Do","Fr","Sa","So"))</f>
        <v>Fr</v>
      </c>
      <c r="C90" s="20" t="n">
        <v>1</v>
      </c>
      <c r="D90" s="20" t="n">
        <v>1</v>
      </c>
      <c r="E90" s="20" t="n">
        <v>0</v>
      </c>
      <c r="F90" s="19"/>
      <c r="G90" s="12" t="str">
        <f aca="false">IFERROR(IF(AND(COUNT(C90:E90)=3,OR(C90=0,C90=1),OR(D90=0,D90=1),OR(E90=0,E90=1),OR(A90&lt;&gt;"",SUM(C90:E90)=0)),"OK","FEHLER"),"FEHLER")</f>
        <v>OK</v>
      </c>
    </row>
    <row r="91" customFormat="false" ht="16.4" hidden="false" customHeight="false" outlineLevel="0" collapsed="false">
      <c r="A91" s="23" t="n">
        <f aca="false">IFERROR(IF(YEAR(DATE(Eingaben!$B$10,1,1)+86)=Eingaben!$B$10,DATE(Eingaben!$B$10,1,1)+86,""),"")</f>
        <v>46109</v>
      </c>
      <c r="B91" s="12" t="str">
        <f aca="false">IF(A91="","",CHOOSE(WEEKDAY(A91,2),"Mo","Di","Mi","Do","Fr","Sa","So"))</f>
        <v>Sa</v>
      </c>
      <c r="C91" s="20" t="n">
        <v>0</v>
      </c>
      <c r="D91" s="20" t="n">
        <v>1</v>
      </c>
      <c r="E91" s="20" t="n">
        <v>0</v>
      </c>
      <c r="F91" s="19"/>
      <c r="G91" s="12" t="str">
        <f aca="false">IFERROR(IF(AND(COUNT(C91:E91)=3,OR(C91=0,C91=1),OR(D91=0,D91=1),OR(E91=0,E91=1),OR(A91&lt;&gt;"",SUM(C91:E91)=0)),"OK","FEHLER"),"FEHLER")</f>
        <v>OK</v>
      </c>
    </row>
    <row r="92" customFormat="false" ht="16.4" hidden="false" customHeight="false" outlineLevel="0" collapsed="false">
      <c r="A92" s="23" t="n">
        <f aca="false">IFERROR(IF(YEAR(DATE(Eingaben!$B$10,1,1)+87)=Eingaben!$B$10,DATE(Eingaben!$B$10,1,1)+87,""),"")</f>
        <v>46110</v>
      </c>
      <c r="B92" s="12" t="str">
        <f aca="false">IF(A92="","",CHOOSE(WEEKDAY(A92,2),"Mo","Di","Mi","Do","Fr","Sa","So"))</f>
        <v>So</v>
      </c>
      <c r="C92" s="20" t="n">
        <v>0</v>
      </c>
      <c r="D92" s="20" t="n">
        <v>1</v>
      </c>
      <c r="E92" s="20" t="n">
        <v>0</v>
      </c>
      <c r="F92" s="19"/>
      <c r="G92" s="12" t="str">
        <f aca="false">IFERROR(IF(AND(COUNT(C92:E92)=3,OR(C92=0,C92=1),OR(D92=0,D92=1),OR(E92=0,E92=1),OR(A92&lt;&gt;"",SUM(C92:E92)=0)),"OK","FEHLER"),"FEHLER")</f>
        <v>OK</v>
      </c>
    </row>
    <row r="93" customFormat="false" ht="16.4" hidden="false" customHeight="false" outlineLevel="0" collapsed="false">
      <c r="A93" s="23" t="n">
        <f aca="false">IFERROR(IF(YEAR(DATE(Eingaben!$B$10,1,1)+88)=Eingaben!$B$10,DATE(Eingaben!$B$10,1,1)+88,""),"")</f>
        <v>46111</v>
      </c>
      <c r="B93" s="12" t="str">
        <f aca="false">IF(A93="","",CHOOSE(WEEKDAY(A93,2),"Mo","Di","Mi","Do","Fr","Sa","So"))</f>
        <v>Mo</v>
      </c>
      <c r="C93" s="20" t="n">
        <v>1</v>
      </c>
      <c r="D93" s="20" t="n">
        <v>1</v>
      </c>
      <c r="E93" s="20" t="n">
        <v>0</v>
      </c>
      <c r="F93" s="19"/>
      <c r="G93" s="12" t="str">
        <f aca="false">IFERROR(IF(AND(COUNT(C93:E93)=3,OR(C93=0,C93=1),OR(D93=0,D93=1),OR(E93=0,E93=1),OR(A93&lt;&gt;"",SUM(C93:E93)=0)),"OK","FEHLER"),"FEHLER")</f>
        <v>OK</v>
      </c>
    </row>
    <row r="94" customFormat="false" ht="16.4" hidden="false" customHeight="false" outlineLevel="0" collapsed="false">
      <c r="A94" s="23" t="n">
        <f aca="false">IFERROR(IF(YEAR(DATE(Eingaben!$B$10,1,1)+89)=Eingaben!$B$10,DATE(Eingaben!$B$10,1,1)+89,""),"")</f>
        <v>46112</v>
      </c>
      <c r="B94" s="12" t="str">
        <f aca="false">IF(A94="","",CHOOSE(WEEKDAY(A94,2),"Mo","Di","Mi","Do","Fr","Sa","So"))</f>
        <v>Di</v>
      </c>
      <c r="C94" s="20" t="n">
        <v>1</v>
      </c>
      <c r="D94" s="20" t="n">
        <v>1</v>
      </c>
      <c r="E94" s="20" t="n">
        <v>0</v>
      </c>
      <c r="F94" s="19"/>
      <c r="G94" s="12" t="str">
        <f aca="false">IFERROR(IF(AND(COUNT(C94:E94)=3,OR(C94=0,C94=1),OR(D94=0,D94=1),OR(E94=0,E94=1),OR(A94&lt;&gt;"",SUM(C94:E94)=0)),"OK","FEHLER"),"FEHLER")</f>
        <v>OK</v>
      </c>
    </row>
    <row r="95" customFormat="false" ht="16.4" hidden="false" customHeight="false" outlineLevel="0" collapsed="false">
      <c r="A95" s="23" t="n">
        <f aca="false">IFERROR(IF(YEAR(DATE(Eingaben!$B$10,1,1)+90)=Eingaben!$B$10,DATE(Eingaben!$B$10,1,1)+90,""),"")</f>
        <v>46113</v>
      </c>
      <c r="B95" s="12" t="str">
        <f aca="false">IF(A95="","",CHOOSE(WEEKDAY(A95,2),"Mo","Di","Mi","Do","Fr","Sa","So"))</f>
        <v>Mi</v>
      </c>
      <c r="C95" s="20" t="n">
        <v>1</v>
      </c>
      <c r="D95" s="20" t="n">
        <v>1</v>
      </c>
      <c r="E95" s="20" t="n">
        <v>0</v>
      </c>
      <c r="F95" s="19"/>
      <c r="G95" s="12" t="str">
        <f aca="false">IFERROR(IF(AND(COUNT(C95:E95)=3,OR(C95=0,C95=1),OR(D95=0,D95=1),OR(E95=0,E95=1),OR(A95&lt;&gt;"",SUM(C95:E95)=0)),"OK","FEHLER"),"FEHLER")</f>
        <v>OK</v>
      </c>
    </row>
    <row r="96" customFormat="false" ht="16.4" hidden="false" customHeight="false" outlineLevel="0" collapsed="false">
      <c r="A96" s="23" t="n">
        <f aca="false">IFERROR(IF(YEAR(DATE(Eingaben!$B$10,1,1)+91)=Eingaben!$B$10,DATE(Eingaben!$B$10,1,1)+91,""),"")</f>
        <v>46114</v>
      </c>
      <c r="B96" s="12" t="str">
        <f aca="false">IF(A96="","",CHOOSE(WEEKDAY(A96,2),"Mo","Di","Mi","Do","Fr","Sa","So"))</f>
        <v>Do</v>
      </c>
      <c r="C96" s="20" t="n">
        <v>1</v>
      </c>
      <c r="D96" s="20" t="n">
        <v>1</v>
      </c>
      <c r="E96" s="20" t="n">
        <v>0</v>
      </c>
      <c r="F96" s="19"/>
      <c r="G96" s="12" t="str">
        <f aca="false">IFERROR(IF(AND(COUNT(C96:E96)=3,OR(C96=0,C96=1),OR(D96=0,D96=1),OR(E96=0,E96=1),OR(A96&lt;&gt;"",SUM(C96:E96)=0)),"OK","FEHLER"),"FEHLER")</f>
        <v>OK</v>
      </c>
    </row>
    <row r="97" customFormat="false" ht="16.4" hidden="false" customHeight="false" outlineLevel="0" collapsed="false">
      <c r="A97" s="23" t="n">
        <f aca="false">IFERROR(IF(YEAR(DATE(Eingaben!$B$10,1,1)+92)=Eingaben!$B$10,DATE(Eingaben!$B$10,1,1)+92,""),"")</f>
        <v>46115</v>
      </c>
      <c r="B97" s="12" t="str">
        <f aca="false">IF(A97="","",CHOOSE(WEEKDAY(A97,2),"Mo","Di","Mi","Do","Fr","Sa","So"))</f>
        <v>Fr</v>
      </c>
      <c r="C97" s="20" t="n">
        <v>1</v>
      </c>
      <c r="D97" s="20" t="n">
        <v>1</v>
      </c>
      <c r="E97" s="20" t="n">
        <v>0</v>
      </c>
      <c r="F97" s="19"/>
      <c r="G97" s="12" t="str">
        <f aca="false">IFERROR(IF(AND(COUNT(C97:E97)=3,OR(C97=0,C97=1),OR(D97=0,D97=1),OR(E97=0,E97=1),OR(A97&lt;&gt;"",SUM(C97:E97)=0)),"OK","FEHLER"),"FEHLER")</f>
        <v>OK</v>
      </c>
    </row>
    <row r="98" customFormat="false" ht="16.4" hidden="false" customHeight="false" outlineLevel="0" collapsed="false">
      <c r="A98" s="23" t="n">
        <f aca="false">IFERROR(IF(YEAR(DATE(Eingaben!$B$10,1,1)+93)=Eingaben!$B$10,DATE(Eingaben!$B$10,1,1)+93,""),"")</f>
        <v>46116</v>
      </c>
      <c r="B98" s="12" t="str">
        <f aca="false">IF(A98="","",CHOOSE(WEEKDAY(A98,2),"Mo","Di","Mi","Do","Fr","Sa","So"))</f>
        <v>Sa</v>
      </c>
      <c r="C98" s="20" t="n">
        <v>0</v>
      </c>
      <c r="D98" s="20" t="n">
        <v>1</v>
      </c>
      <c r="E98" s="20" t="n">
        <v>0</v>
      </c>
      <c r="F98" s="19"/>
      <c r="G98" s="12" t="str">
        <f aca="false">IFERROR(IF(AND(COUNT(C98:E98)=3,OR(C98=0,C98=1),OR(D98=0,D98=1),OR(E98=0,E98=1),OR(A98&lt;&gt;"",SUM(C98:E98)=0)),"OK","FEHLER"),"FEHLER")</f>
        <v>OK</v>
      </c>
    </row>
    <row r="99" customFormat="false" ht="16.4" hidden="false" customHeight="false" outlineLevel="0" collapsed="false">
      <c r="A99" s="23" t="n">
        <f aca="false">IFERROR(IF(YEAR(DATE(Eingaben!$B$10,1,1)+94)=Eingaben!$B$10,DATE(Eingaben!$B$10,1,1)+94,""),"")</f>
        <v>46117</v>
      </c>
      <c r="B99" s="12" t="str">
        <f aca="false">IF(A99="","",CHOOSE(WEEKDAY(A99,2),"Mo","Di","Mi","Do","Fr","Sa","So"))</f>
        <v>So</v>
      </c>
      <c r="C99" s="20" t="n">
        <v>0</v>
      </c>
      <c r="D99" s="20" t="n">
        <v>1</v>
      </c>
      <c r="E99" s="20" t="n">
        <v>0</v>
      </c>
      <c r="F99" s="19"/>
      <c r="G99" s="12" t="str">
        <f aca="false">IFERROR(IF(AND(COUNT(C99:E99)=3,OR(C99=0,C99=1),OR(D99=0,D99=1),OR(E99=0,E99=1),OR(A99&lt;&gt;"",SUM(C99:E99)=0)),"OK","FEHLER"),"FEHLER")</f>
        <v>OK</v>
      </c>
    </row>
    <row r="100" customFormat="false" ht="16.4" hidden="false" customHeight="false" outlineLevel="0" collapsed="false">
      <c r="A100" s="23" t="n">
        <f aca="false">IFERROR(IF(YEAR(DATE(Eingaben!$B$10,1,1)+95)=Eingaben!$B$10,DATE(Eingaben!$B$10,1,1)+95,""),"")</f>
        <v>46118</v>
      </c>
      <c r="B100" s="12" t="str">
        <f aca="false">IF(A100="","",CHOOSE(WEEKDAY(A100,2),"Mo","Di","Mi","Do","Fr","Sa","So"))</f>
        <v>Mo</v>
      </c>
      <c r="C100" s="20" t="n">
        <v>1</v>
      </c>
      <c r="D100" s="20" t="n">
        <v>1</v>
      </c>
      <c r="E100" s="20" t="n">
        <v>0</v>
      </c>
      <c r="F100" s="19"/>
      <c r="G100" s="12" t="str">
        <f aca="false">IFERROR(IF(AND(COUNT(C100:E100)=3,OR(C100=0,C100=1),OR(D100=0,D100=1),OR(E100=0,E100=1),OR(A100&lt;&gt;"",SUM(C100:E100)=0)),"OK","FEHLER"),"FEHLER")</f>
        <v>OK</v>
      </c>
    </row>
    <row r="101" customFormat="false" ht="16.4" hidden="false" customHeight="false" outlineLevel="0" collapsed="false">
      <c r="A101" s="23" t="n">
        <f aca="false">IFERROR(IF(YEAR(DATE(Eingaben!$B$10,1,1)+96)=Eingaben!$B$10,DATE(Eingaben!$B$10,1,1)+96,""),"")</f>
        <v>46119</v>
      </c>
      <c r="B101" s="12" t="str">
        <f aca="false">IF(A101="","",CHOOSE(WEEKDAY(A101,2),"Mo","Di","Mi","Do","Fr","Sa","So"))</f>
        <v>Di</v>
      </c>
      <c r="C101" s="20" t="n">
        <v>1</v>
      </c>
      <c r="D101" s="20" t="n">
        <v>1</v>
      </c>
      <c r="E101" s="20" t="n">
        <v>0</v>
      </c>
      <c r="F101" s="19"/>
      <c r="G101" s="12" t="str">
        <f aca="false">IFERROR(IF(AND(COUNT(C101:E101)=3,OR(C101=0,C101=1),OR(D101=0,D101=1),OR(E101=0,E101=1),OR(A101&lt;&gt;"",SUM(C101:E101)=0)),"OK","FEHLER"),"FEHLER")</f>
        <v>OK</v>
      </c>
    </row>
    <row r="102" customFormat="false" ht="16.4" hidden="false" customHeight="false" outlineLevel="0" collapsed="false">
      <c r="A102" s="23" t="n">
        <f aca="false">IFERROR(IF(YEAR(DATE(Eingaben!$B$10,1,1)+97)=Eingaben!$B$10,DATE(Eingaben!$B$10,1,1)+97,""),"")</f>
        <v>46120</v>
      </c>
      <c r="B102" s="12" t="str">
        <f aca="false">IF(A102="","",CHOOSE(WEEKDAY(A102,2),"Mo","Di","Mi","Do","Fr","Sa","So"))</f>
        <v>Mi</v>
      </c>
      <c r="C102" s="20" t="n">
        <v>1</v>
      </c>
      <c r="D102" s="20" t="n">
        <v>1</v>
      </c>
      <c r="E102" s="20" t="n">
        <v>0</v>
      </c>
      <c r="F102" s="19"/>
      <c r="G102" s="12" t="str">
        <f aca="false">IFERROR(IF(AND(COUNT(C102:E102)=3,OR(C102=0,C102=1),OR(D102=0,D102=1),OR(E102=0,E102=1),OR(A102&lt;&gt;"",SUM(C102:E102)=0)),"OK","FEHLER"),"FEHLER")</f>
        <v>OK</v>
      </c>
    </row>
    <row r="103" customFormat="false" ht="16.4" hidden="false" customHeight="false" outlineLevel="0" collapsed="false">
      <c r="A103" s="23" t="n">
        <f aca="false">IFERROR(IF(YEAR(DATE(Eingaben!$B$10,1,1)+98)=Eingaben!$B$10,DATE(Eingaben!$B$10,1,1)+98,""),"")</f>
        <v>46121</v>
      </c>
      <c r="B103" s="12" t="str">
        <f aca="false">IF(A103="","",CHOOSE(WEEKDAY(A103,2),"Mo","Di","Mi","Do","Fr","Sa","So"))</f>
        <v>Do</v>
      </c>
      <c r="C103" s="20" t="n">
        <v>1</v>
      </c>
      <c r="D103" s="20" t="n">
        <v>1</v>
      </c>
      <c r="E103" s="20" t="n">
        <v>0</v>
      </c>
      <c r="F103" s="19"/>
      <c r="G103" s="12" t="str">
        <f aca="false">IFERROR(IF(AND(COUNT(C103:E103)=3,OR(C103=0,C103=1),OR(D103=0,D103=1),OR(E103=0,E103=1),OR(A103&lt;&gt;"",SUM(C103:E103)=0)),"OK","FEHLER"),"FEHLER")</f>
        <v>OK</v>
      </c>
    </row>
    <row r="104" customFormat="false" ht="16.4" hidden="false" customHeight="false" outlineLevel="0" collapsed="false">
      <c r="A104" s="23" t="n">
        <f aca="false">IFERROR(IF(YEAR(DATE(Eingaben!$B$10,1,1)+99)=Eingaben!$B$10,DATE(Eingaben!$B$10,1,1)+99,""),"")</f>
        <v>46122</v>
      </c>
      <c r="B104" s="12" t="str">
        <f aca="false">IF(A104="","",CHOOSE(WEEKDAY(A104,2),"Mo","Di","Mi","Do","Fr","Sa","So"))</f>
        <v>Fr</v>
      </c>
      <c r="C104" s="20" t="n">
        <v>1</v>
      </c>
      <c r="D104" s="20" t="n">
        <v>1</v>
      </c>
      <c r="E104" s="20" t="n">
        <v>0</v>
      </c>
      <c r="F104" s="19"/>
      <c r="G104" s="12" t="str">
        <f aca="false">IFERROR(IF(AND(COUNT(C104:E104)=3,OR(C104=0,C104=1),OR(D104=0,D104=1),OR(E104=0,E104=1),OR(A104&lt;&gt;"",SUM(C104:E104)=0)),"OK","FEHLER"),"FEHLER")</f>
        <v>OK</v>
      </c>
    </row>
    <row r="105" customFormat="false" ht="16.4" hidden="false" customHeight="false" outlineLevel="0" collapsed="false">
      <c r="A105" s="23" t="n">
        <f aca="false">IFERROR(IF(YEAR(DATE(Eingaben!$B$10,1,1)+100)=Eingaben!$B$10,DATE(Eingaben!$B$10,1,1)+100,""),"")</f>
        <v>46123</v>
      </c>
      <c r="B105" s="12" t="str">
        <f aca="false">IF(A105="","",CHOOSE(WEEKDAY(A105,2),"Mo","Di","Mi","Do","Fr","Sa","So"))</f>
        <v>Sa</v>
      </c>
      <c r="C105" s="20" t="n">
        <v>0</v>
      </c>
      <c r="D105" s="20" t="n">
        <v>1</v>
      </c>
      <c r="E105" s="20" t="n">
        <v>0</v>
      </c>
      <c r="F105" s="19"/>
      <c r="G105" s="12" t="str">
        <f aca="false">IFERROR(IF(AND(COUNT(C105:E105)=3,OR(C105=0,C105=1),OR(D105=0,D105=1),OR(E105=0,E105=1),OR(A105&lt;&gt;"",SUM(C105:E105)=0)),"OK","FEHLER"),"FEHLER")</f>
        <v>OK</v>
      </c>
    </row>
    <row r="106" customFormat="false" ht="16.4" hidden="false" customHeight="false" outlineLevel="0" collapsed="false">
      <c r="A106" s="23" t="n">
        <f aca="false">IFERROR(IF(YEAR(DATE(Eingaben!$B$10,1,1)+101)=Eingaben!$B$10,DATE(Eingaben!$B$10,1,1)+101,""),"")</f>
        <v>46124</v>
      </c>
      <c r="B106" s="12" t="str">
        <f aca="false">IF(A106="","",CHOOSE(WEEKDAY(A106,2),"Mo","Di","Mi","Do","Fr","Sa","So"))</f>
        <v>So</v>
      </c>
      <c r="C106" s="20" t="n">
        <v>0</v>
      </c>
      <c r="D106" s="20" t="n">
        <v>1</v>
      </c>
      <c r="E106" s="20" t="n">
        <v>0</v>
      </c>
      <c r="F106" s="19"/>
      <c r="G106" s="12" t="str">
        <f aca="false">IFERROR(IF(AND(COUNT(C106:E106)=3,OR(C106=0,C106=1),OR(D106=0,D106=1),OR(E106=0,E106=1),OR(A106&lt;&gt;"",SUM(C106:E106)=0)),"OK","FEHLER"),"FEHLER")</f>
        <v>OK</v>
      </c>
    </row>
    <row r="107" customFormat="false" ht="16.4" hidden="false" customHeight="false" outlineLevel="0" collapsed="false">
      <c r="A107" s="23" t="n">
        <f aca="false">IFERROR(IF(YEAR(DATE(Eingaben!$B$10,1,1)+102)=Eingaben!$B$10,DATE(Eingaben!$B$10,1,1)+102,""),"")</f>
        <v>46125</v>
      </c>
      <c r="B107" s="12" t="str">
        <f aca="false">IF(A107="","",CHOOSE(WEEKDAY(A107,2),"Mo","Di","Mi","Do","Fr","Sa","So"))</f>
        <v>Mo</v>
      </c>
      <c r="C107" s="20" t="n">
        <v>1</v>
      </c>
      <c r="D107" s="20" t="n">
        <v>1</v>
      </c>
      <c r="E107" s="20" t="n">
        <v>0</v>
      </c>
      <c r="F107" s="19"/>
      <c r="G107" s="12" t="str">
        <f aca="false">IFERROR(IF(AND(COUNT(C107:E107)=3,OR(C107=0,C107=1),OR(D107=0,D107=1),OR(E107=0,E107=1),OR(A107&lt;&gt;"",SUM(C107:E107)=0)),"OK","FEHLER"),"FEHLER")</f>
        <v>OK</v>
      </c>
    </row>
    <row r="108" customFormat="false" ht="16.4" hidden="false" customHeight="false" outlineLevel="0" collapsed="false">
      <c r="A108" s="23" t="n">
        <f aca="false">IFERROR(IF(YEAR(DATE(Eingaben!$B$10,1,1)+103)=Eingaben!$B$10,DATE(Eingaben!$B$10,1,1)+103,""),"")</f>
        <v>46126</v>
      </c>
      <c r="B108" s="12" t="str">
        <f aca="false">IF(A108="","",CHOOSE(WEEKDAY(A108,2),"Mo","Di","Mi","Do","Fr","Sa","So"))</f>
        <v>Di</v>
      </c>
      <c r="C108" s="20" t="n">
        <v>1</v>
      </c>
      <c r="D108" s="20" t="n">
        <v>1</v>
      </c>
      <c r="E108" s="20" t="n">
        <v>0</v>
      </c>
      <c r="F108" s="19"/>
      <c r="G108" s="12" t="str">
        <f aca="false">IFERROR(IF(AND(COUNT(C108:E108)=3,OR(C108=0,C108=1),OR(D108=0,D108=1),OR(E108=0,E108=1),OR(A108&lt;&gt;"",SUM(C108:E108)=0)),"OK","FEHLER"),"FEHLER")</f>
        <v>OK</v>
      </c>
    </row>
    <row r="109" customFormat="false" ht="16.4" hidden="false" customHeight="false" outlineLevel="0" collapsed="false">
      <c r="A109" s="23" t="n">
        <f aca="false">IFERROR(IF(YEAR(DATE(Eingaben!$B$10,1,1)+104)=Eingaben!$B$10,DATE(Eingaben!$B$10,1,1)+104,""),"")</f>
        <v>46127</v>
      </c>
      <c r="B109" s="12" t="str">
        <f aca="false">IF(A109="","",CHOOSE(WEEKDAY(A109,2),"Mo","Di","Mi","Do","Fr","Sa","So"))</f>
        <v>Mi</v>
      </c>
      <c r="C109" s="20" t="n">
        <v>1</v>
      </c>
      <c r="D109" s="20" t="n">
        <v>1</v>
      </c>
      <c r="E109" s="20" t="n">
        <v>0</v>
      </c>
      <c r="F109" s="19"/>
      <c r="G109" s="12" t="str">
        <f aca="false">IFERROR(IF(AND(COUNT(C109:E109)=3,OR(C109=0,C109=1),OR(D109=0,D109=1),OR(E109=0,E109=1),OR(A109&lt;&gt;"",SUM(C109:E109)=0)),"OK","FEHLER"),"FEHLER")</f>
        <v>OK</v>
      </c>
    </row>
    <row r="110" customFormat="false" ht="16.4" hidden="false" customHeight="false" outlineLevel="0" collapsed="false">
      <c r="A110" s="23" t="n">
        <f aca="false">IFERROR(IF(YEAR(DATE(Eingaben!$B$10,1,1)+105)=Eingaben!$B$10,DATE(Eingaben!$B$10,1,1)+105,""),"")</f>
        <v>46128</v>
      </c>
      <c r="B110" s="12" t="str">
        <f aca="false">IF(A110="","",CHOOSE(WEEKDAY(A110,2),"Mo","Di","Mi","Do","Fr","Sa","So"))</f>
        <v>Do</v>
      </c>
      <c r="C110" s="20" t="n">
        <v>1</v>
      </c>
      <c r="D110" s="20" t="n">
        <v>1</v>
      </c>
      <c r="E110" s="20" t="n">
        <v>0</v>
      </c>
      <c r="F110" s="19"/>
      <c r="G110" s="12" t="str">
        <f aca="false">IFERROR(IF(AND(COUNT(C110:E110)=3,OR(C110=0,C110=1),OR(D110=0,D110=1),OR(E110=0,E110=1),OR(A110&lt;&gt;"",SUM(C110:E110)=0)),"OK","FEHLER"),"FEHLER")</f>
        <v>OK</v>
      </c>
    </row>
    <row r="111" customFormat="false" ht="16.4" hidden="false" customHeight="false" outlineLevel="0" collapsed="false">
      <c r="A111" s="23" t="n">
        <f aca="false">IFERROR(IF(YEAR(DATE(Eingaben!$B$10,1,1)+106)=Eingaben!$B$10,DATE(Eingaben!$B$10,1,1)+106,""),"")</f>
        <v>46129</v>
      </c>
      <c r="B111" s="12" t="str">
        <f aca="false">IF(A111="","",CHOOSE(WEEKDAY(A111,2),"Mo","Di","Mi","Do","Fr","Sa","So"))</f>
        <v>Fr</v>
      </c>
      <c r="C111" s="20" t="n">
        <v>1</v>
      </c>
      <c r="D111" s="20" t="n">
        <v>1</v>
      </c>
      <c r="E111" s="20" t="n">
        <v>0</v>
      </c>
      <c r="F111" s="19"/>
      <c r="G111" s="12" t="str">
        <f aca="false">IFERROR(IF(AND(COUNT(C111:E111)=3,OR(C111=0,C111=1),OR(D111=0,D111=1),OR(E111=0,E111=1),OR(A111&lt;&gt;"",SUM(C111:E111)=0)),"OK","FEHLER"),"FEHLER")</f>
        <v>OK</v>
      </c>
    </row>
    <row r="112" customFormat="false" ht="16.4" hidden="false" customHeight="false" outlineLevel="0" collapsed="false">
      <c r="A112" s="23" t="n">
        <f aca="false">IFERROR(IF(YEAR(DATE(Eingaben!$B$10,1,1)+107)=Eingaben!$B$10,DATE(Eingaben!$B$10,1,1)+107,""),"")</f>
        <v>46130</v>
      </c>
      <c r="B112" s="12" t="str">
        <f aca="false">IF(A112="","",CHOOSE(WEEKDAY(A112,2),"Mo","Di","Mi","Do","Fr","Sa","So"))</f>
        <v>Sa</v>
      </c>
      <c r="C112" s="20" t="n">
        <v>0</v>
      </c>
      <c r="D112" s="20" t="n">
        <v>1</v>
      </c>
      <c r="E112" s="20" t="n">
        <v>0</v>
      </c>
      <c r="F112" s="19"/>
      <c r="G112" s="12" t="str">
        <f aca="false">IFERROR(IF(AND(COUNT(C112:E112)=3,OR(C112=0,C112=1),OR(D112=0,D112=1),OR(E112=0,E112=1),OR(A112&lt;&gt;"",SUM(C112:E112)=0)),"OK","FEHLER"),"FEHLER")</f>
        <v>OK</v>
      </c>
    </row>
    <row r="113" customFormat="false" ht="16.4" hidden="false" customHeight="false" outlineLevel="0" collapsed="false">
      <c r="A113" s="23" t="n">
        <f aca="false">IFERROR(IF(YEAR(DATE(Eingaben!$B$10,1,1)+108)=Eingaben!$B$10,DATE(Eingaben!$B$10,1,1)+108,""),"")</f>
        <v>46131</v>
      </c>
      <c r="B113" s="12" t="str">
        <f aca="false">IF(A113="","",CHOOSE(WEEKDAY(A113,2),"Mo","Di","Mi","Do","Fr","Sa","So"))</f>
        <v>So</v>
      </c>
      <c r="C113" s="20" t="n">
        <v>0</v>
      </c>
      <c r="D113" s="20" t="n">
        <v>1</v>
      </c>
      <c r="E113" s="20" t="n">
        <v>0</v>
      </c>
      <c r="F113" s="19"/>
      <c r="G113" s="12" t="str">
        <f aca="false">IFERROR(IF(AND(COUNT(C113:E113)=3,OR(C113=0,C113=1),OR(D113=0,D113=1),OR(E113=0,E113=1),OR(A113&lt;&gt;"",SUM(C113:E113)=0)),"OK","FEHLER"),"FEHLER")</f>
        <v>OK</v>
      </c>
    </row>
    <row r="114" customFormat="false" ht="16.4" hidden="false" customHeight="false" outlineLevel="0" collapsed="false">
      <c r="A114" s="23" t="n">
        <f aca="false">IFERROR(IF(YEAR(DATE(Eingaben!$B$10,1,1)+109)=Eingaben!$B$10,DATE(Eingaben!$B$10,1,1)+109,""),"")</f>
        <v>46132</v>
      </c>
      <c r="B114" s="12" t="str">
        <f aca="false">IF(A114="","",CHOOSE(WEEKDAY(A114,2),"Mo","Di","Mi","Do","Fr","Sa","So"))</f>
        <v>Mo</v>
      </c>
      <c r="C114" s="20" t="n">
        <v>1</v>
      </c>
      <c r="D114" s="20" t="n">
        <v>1</v>
      </c>
      <c r="E114" s="20" t="n">
        <v>0</v>
      </c>
      <c r="F114" s="19"/>
      <c r="G114" s="12" t="str">
        <f aca="false">IFERROR(IF(AND(COUNT(C114:E114)=3,OR(C114=0,C114=1),OR(D114=0,D114=1),OR(E114=0,E114=1),OR(A114&lt;&gt;"",SUM(C114:E114)=0)),"OK","FEHLER"),"FEHLER")</f>
        <v>OK</v>
      </c>
    </row>
    <row r="115" customFormat="false" ht="16.4" hidden="false" customHeight="false" outlineLevel="0" collapsed="false">
      <c r="A115" s="23" t="n">
        <f aca="false">IFERROR(IF(YEAR(DATE(Eingaben!$B$10,1,1)+110)=Eingaben!$B$10,DATE(Eingaben!$B$10,1,1)+110,""),"")</f>
        <v>46133</v>
      </c>
      <c r="B115" s="12" t="str">
        <f aca="false">IF(A115="","",CHOOSE(WEEKDAY(A115,2),"Mo","Di","Mi","Do","Fr","Sa","So"))</f>
        <v>Di</v>
      </c>
      <c r="C115" s="20" t="n">
        <v>1</v>
      </c>
      <c r="D115" s="20" t="n">
        <v>1</v>
      </c>
      <c r="E115" s="20" t="n">
        <v>0</v>
      </c>
      <c r="F115" s="19"/>
      <c r="G115" s="12" t="str">
        <f aca="false">IFERROR(IF(AND(COUNT(C115:E115)=3,OR(C115=0,C115=1),OR(D115=0,D115=1),OR(E115=0,E115=1),OR(A115&lt;&gt;"",SUM(C115:E115)=0)),"OK","FEHLER"),"FEHLER")</f>
        <v>OK</v>
      </c>
    </row>
    <row r="116" customFormat="false" ht="16.4" hidden="false" customHeight="false" outlineLevel="0" collapsed="false">
      <c r="A116" s="23" t="n">
        <f aca="false">IFERROR(IF(YEAR(DATE(Eingaben!$B$10,1,1)+111)=Eingaben!$B$10,DATE(Eingaben!$B$10,1,1)+111,""),"")</f>
        <v>46134</v>
      </c>
      <c r="B116" s="12" t="str">
        <f aca="false">IF(A116="","",CHOOSE(WEEKDAY(A116,2),"Mo","Di","Mi","Do","Fr","Sa","So"))</f>
        <v>Mi</v>
      </c>
      <c r="C116" s="20" t="n">
        <v>1</v>
      </c>
      <c r="D116" s="20" t="n">
        <v>1</v>
      </c>
      <c r="E116" s="20" t="n">
        <v>0</v>
      </c>
      <c r="F116" s="19"/>
      <c r="G116" s="12" t="str">
        <f aca="false">IFERROR(IF(AND(COUNT(C116:E116)=3,OR(C116=0,C116=1),OR(D116=0,D116=1),OR(E116=0,E116=1),OR(A116&lt;&gt;"",SUM(C116:E116)=0)),"OK","FEHLER"),"FEHLER")</f>
        <v>OK</v>
      </c>
    </row>
    <row r="117" customFormat="false" ht="16.4" hidden="false" customHeight="false" outlineLevel="0" collapsed="false">
      <c r="A117" s="23" t="n">
        <f aca="false">IFERROR(IF(YEAR(DATE(Eingaben!$B$10,1,1)+112)=Eingaben!$B$10,DATE(Eingaben!$B$10,1,1)+112,""),"")</f>
        <v>46135</v>
      </c>
      <c r="B117" s="12" t="str">
        <f aca="false">IF(A117="","",CHOOSE(WEEKDAY(A117,2),"Mo","Di","Mi","Do","Fr","Sa","So"))</f>
        <v>Do</v>
      </c>
      <c r="C117" s="20" t="n">
        <v>1</v>
      </c>
      <c r="D117" s="20" t="n">
        <v>1</v>
      </c>
      <c r="E117" s="20" t="n">
        <v>0</v>
      </c>
      <c r="F117" s="19"/>
      <c r="G117" s="12" t="str">
        <f aca="false">IFERROR(IF(AND(COUNT(C117:E117)=3,OR(C117=0,C117=1),OR(D117=0,D117=1),OR(E117=0,E117=1),OR(A117&lt;&gt;"",SUM(C117:E117)=0)),"OK","FEHLER"),"FEHLER")</f>
        <v>OK</v>
      </c>
    </row>
    <row r="118" customFormat="false" ht="16.4" hidden="false" customHeight="false" outlineLevel="0" collapsed="false">
      <c r="A118" s="23" t="n">
        <f aca="false">IFERROR(IF(YEAR(DATE(Eingaben!$B$10,1,1)+113)=Eingaben!$B$10,DATE(Eingaben!$B$10,1,1)+113,""),"")</f>
        <v>46136</v>
      </c>
      <c r="B118" s="12" t="str">
        <f aca="false">IF(A118="","",CHOOSE(WEEKDAY(A118,2),"Mo","Di","Mi","Do","Fr","Sa","So"))</f>
        <v>Fr</v>
      </c>
      <c r="C118" s="20" t="n">
        <v>1</v>
      </c>
      <c r="D118" s="20" t="n">
        <v>1</v>
      </c>
      <c r="E118" s="20" t="n">
        <v>0</v>
      </c>
      <c r="F118" s="19"/>
      <c r="G118" s="12" t="str">
        <f aca="false">IFERROR(IF(AND(COUNT(C118:E118)=3,OR(C118=0,C118=1),OR(D118=0,D118=1),OR(E118=0,E118=1),OR(A118&lt;&gt;"",SUM(C118:E118)=0)),"OK","FEHLER"),"FEHLER")</f>
        <v>OK</v>
      </c>
    </row>
    <row r="119" customFormat="false" ht="16.4" hidden="false" customHeight="false" outlineLevel="0" collapsed="false">
      <c r="A119" s="23" t="n">
        <f aca="false">IFERROR(IF(YEAR(DATE(Eingaben!$B$10,1,1)+114)=Eingaben!$B$10,DATE(Eingaben!$B$10,1,1)+114,""),"")</f>
        <v>46137</v>
      </c>
      <c r="B119" s="12" t="str">
        <f aca="false">IF(A119="","",CHOOSE(WEEKDAY(A119,2),"Mo","Di","Mi","Do","Fr","Sa","So"))</f>
        <v>Sa</v>
      </c>
      <c r="C119" s="20" t="n">
        <v>0</v>
      </c>
      <c r="D119" s="20" t="n">
        <v>1</v>
      </c>
      <c r="E119" s="20" t="n">
        <v>0</v>
      </c>
      <c r="F119" s="19"/>
      <c r="G119" s="12" t="str">
        <f aca="false">IFERROR(IF(AND(COUNT(C119:E119)=3,OR(C119=0,C119=1),OR(D119=0,D119=1),OR(E119=0,E119=1),OR(A119&lt;&gt;"",SUM(C119:E119)=0)),"OK","FEHLER"),"FEHLER")</f>
        <v>OK</v>
      </c>
    </row>
    <row r="120" customFormat="false" ht="16.4" hidden="false" customHeight="false" outlineLevel="0" collapsed="false">
      <c r="A120" s="23" t="n">
        <f aca="false">IFERROR(IF(YEAR(DATE(Eingaben!$B$10,1,1)+115)=Eingaben!$B$10,DATE(Eingaben!$B$10,1,1)+115,""),"")</f>
        <v>46138</v>
      </c>
      <c r="B120" s="12" t="str">
        <f aca="false">IF(A120="","",CHOOSE(WEEKDAY(A120,2),"Mo","Di","Mi","Do","Fr","Sa","So"))</f>
        <v>So</v>
      </c>
      <c r="C120" s="20" t="n">
        <v>0</v>
      </c>
      <c r="D120" s="20" t="n">
        <v>1</v>
      </c>
      <c r="E120" s="20" t="n">
        <v>0</v>
      </c>
      <c r="F120" s="19"/>
      <c r="G120" s="12" t="str">
        <f aca="false">IFERROR(IF(AND(COUNT(C120:E120)=3,OR(C120=0,C120=1),OR(D120=0,D120=1),OR(E120=0,E120=1),OR(A120&lt;&gt;"",SUM(C120:E120)=0)),"OK","FEHLER"),"FEHLER")</f>
        <v>OK</v>
      </c>
    </row>
    <row r="121" customFormat="false" ht="16.4" hidden="false" customHeight="false" outlineLevel="0" collapsed="false">
      <c r="A121" s="23" t="n">
        <f aca="false">IFERROR(IF(YEAR(DATE(Eingaben!$B$10,1,1)+116)=Eingaben!$B$10,DATE(Eingaben!$B$10,1,1)+116,""),"")</f>
        <v>46139</v>
      </c>
      <c r="B121" s="12" t="str">
        <f aca="false">IF(A121="","",CHOOSE(WEEKDAY(A121,2),"Mo","Di","Mi","Do","Fr","Sa","So"))</f>
        <v>Mo</v>
      </c>
      <c r="C121" s="20" t="n">
        <v>1</v>
      </c>
      <c r="D121" s="20" t="n">
        <v>1</v>
      </c>
      <c r="E121" s="20" t="n">
        <v>0</v>
      </c>
      <c r="F121" s="19"/>
      <c r="G121" s="12" t="str">
        <f aca="false">IFERROR(IF(AND(COUNT(C121:E121)=3,OR(C121=0,C121=1),OR(D121=0,D121=1),OR(E121=0,E121=1),OR(A121&lt;&gt;"",SUM(C121:E121)=0)),"OK","FEHLER"),"FEHLER")</f>
        <v>OK</v>
      </c>
    </row>
    <row r="122" customFormat="false" ht="16.4" hidden="false" customHeight="false" outlineLevel="0" collapsed="false">
      <c r="A122" s="23" t="n">
        <f aca="false">IFERROR(IF(YEAR(DATE(Eingaben!$B$10,1,1)+117)=Eingaben!$B$10,DATE(Eingaben!$B$10,1,1)+117,""),"")</f>
        <v>46140</v>
      </c>
      <c r="B122" s="12" t="str">
        <f aca="false">IF(A122="","",CHOOSE(WEEKDAY(A122,2),"Mo","Di","Mi","Do","Fr","Sa","So"))</f>
        <v>Di</v>
      </c>
      <c r="C122" s="20" t="n">
        <v>1</v>
      </c>
      <c r="D122" s="20" t="n">
        <v>1</v>
      </c>
      <c r="E122" s="20" t="n">
        <v>0</v>
      </c>
      <c r="F122" s="19"/>
      <c r="G122" s="12" t="str">
        <f aca="false">IFERROR(IF(AND(COUNT(C122:E122)=3,OR(C122=0,C122=1),OR(D122=0,D122=1),OR(E122=0,E122=1),OR(A122&lt;&gt;"",SUM(C122:E122)=0)),"OK","FEHLER"),"FEHLER")</f>
        <v>OK</v>
      </c>
    </row>
    <row r="123" customFormat="false" ht="16.4" hidden="false" customHeight="false" outlineLevel="0" collapsed="false">
      <c r="A123" s="23" t="n">
        <f aca="false">IFERROR(IF(YEAR(DATE(Eingaben!$B$10,1,1)+118)=Eingaben!$B$10,DATE(Eingaben!$B$10,1,1)+118,""),"")</f>
        <v>46141</v>
      </c>
      <c r="B123" s="12" t="str">
        <f aca="false">IF(A123="","",CHOOSE(WEEKDAY(A123,2),"Mo","Di","Mi","Do","Fr","Sa","So"))</f>
        <v>Mi</v>
      </c>
      <c r="C123" s="20" t="n">
        <v>1</v>
      </c>
      <c r="D123" s="20" t="n">
        <v>1</v>
      </c>
      <c r="E123" s="20" t="n">
        <v>0</v>
      </c>
      <c r="F123" s="19"/>
      <c r="G123" s="12" t="str">
        <f aca="false">IFERROR(IF(AND(COUNT(C123:E123)=3,OR(C123=0,C123=1),OR(D123=0,D123=1),OR(E123=0,E123=1),OR(A123&lt;&gt;"",SUM(C123:E123)=0)),"OK","FEHLER"),"FEHLER")</f>
        <v>OK</v>
      </c>
    </row>
    <row r="124" customFormat="false" ht="16.4" hidden="false" customHeight="false" outlineLevel="0" collapsed="false">
      <c r="A124" s="23" t="n">
        <f aca="false">IFERROR(IF(YEAR(DATE(Eingaben!$B$10,1,1)+119)=Eingaben!$B$10,DATE(Eingaben!$B$10,1,1)+119,""),"")</f>
        <v>46142</v>
      </c>
      <c r="B124" s="12" t="str">
        <f aca="false">IF(A124="","",CHOOSE(WEEKDAY(A124,2),"Mo","Di","Mi","Do","Fr","Sa","So"))</f>
        <v>Do</v>
      </c>
      <c r="C124" s="20" t="n">
        <v>1</v>
      </c>
      <c r="D124" s="20" t="n">
        <v>1</v>
      </c>
      <c r="E124" s="20" t="n">
        <v>0</v>
      </c>
      <c r="F124" s="19"/>
      <c r="G124" s="12" t="str">
        <f aca="false">IFERROR(IF(AND(COUNT(C124:E124)=3,OR(C124=0,C124=1),OR(D124=0,D124=1),OR(E124=0,E124=1),OR(A124&lt;&gt;"",SUM(C124:E124)=0)),"OK","FEHLER"),"FEHLER")</f>
        <v>OK</v>
      </c>
    </row>
    <row r="125" customFormat="false" ht="16.4" hidden="false" customHeight="false" outlineLevel="0" collapsed="false">
      <c r="A125" s="23" t="n">
        <f aca="false">IFERROR(IF(YEAR(DATE(Eingaben!$B$10,1,1)+120)=Eingaben!$B$10,DATE(Eingaben!$B$10,1,1)+120,""),"")</f>
        <v>46143</v>
      </c>
      <c r="B125" s="12" t="str">
        <f aca="false">IF(A125="","",CHOOSE(WEEKDAY(A125,2),"Mo","Di","Mi","Do","Fr","Sa","So"))</f>
        <v>Fr</v>
      </c>
      <c r="C125" s="20" t="n">
        <v>1</v>
      </c>
      <c r="D125" s="20" t="n">
        <v>1</v>
      </c>
      <c r="E125" s="20" t="n">
        <v>0</v>
      </c>
      <c r="F125" s="19"/>
      <c r="G125" s="12" t="str">
        <f aca="false">IFERROR(IF(AND(COUNT(C125:E125)=3,OR(C125=0,C125=1),OR(D125=0,D125=1),OR(E125=0,E125=1),OR(A125&lt;&gt;"",SUM(C125:E125)=0)),"OK","FEHLER"),"FEHLER")</f>
        <v>OK</v>
      </c>
    </row>
    <row r="126" customFormat="false" ht="16.4" hidden="false" customHeight="false" outlineLevel="0" collapsed="false">
      <c r="A126" s="23" t="n">
        <f aca="false">IFERROR(IF(YEAR(DATE(Eingaben!$B$10,1,1)+121)=Eingaben!$B$10,DATE(Eingaben!$B$10,1,1)+121,""),"")</f>
        <v>46144</v>
      </c>
      <c r="B126" s="12" t="str">
        <f aca="false">IF(A126="","",CHOOSE(WEEKDAY(A126,2),"Mo","Di","Mi","Do","Fr","Sa","So"))</f>
        <v>Sa</v>
      </c>
      <c r="C126" s="20" t="n">
        <v>0</v>
      </c>
      <c r="D126" s="20" t="n">
        <v>1</v>
      </c>
      <c r="E126" s="20" t="n">
        <v>0</v>
      </c>
      <c r="F126" s="19"/>
      <c r="G126" s="12" t="str">
        <f aca="false">IFERROR(IF(AND(COUNT(C126:E126)=3,OR(C126=0,C126=1),OR(D126=0,D126=1),OR(E126=0,E126=1),OR(A126&lt;&gt;"",SUM(C126:E126)=0)),"OK","FEHLER"),"FEHLER")</f>
        <v>OK</v>
      </c>
    </row>
    <row r="127" customFormat="false" ht="16.4" hidden="false" customHeight="false" outlineLevel="0" collapsed="false">
      <c r="A127" s="23" t="n">
        <f aca="false">IFERROR(IF(YEAR(DATE(Eingaben!$B$10,1,1)+122)=Eingaben!$B$10,DATE(Eingaben!$B$10,1,1)+122,""),"")</f>
        <v>46145</v>
      </c>
      <c r="B127" s="12" t="str">
        <f aca="false">IF(A127="","",CHOOSE(WEEKDAY(A127,2),"Mo","Di","Mi","Do","Fr","Sa","So"))</f>
        <v>So</v>
      </c>
      <c r="C127" s="20" t="n">
        <v>0</v>
      </c>
      <c r="D127" s="20" t="n">
        <v>1</v>
      </c>
      <c r="E127" s="20" t="n">
        <v>0</v>
      </c>
      <c r="F127" s="19"/>
      <c r="G127" s="12" t="str">
        <f aca="false">IFERROR(IF(AND(COUNT(C127:E127)=3,OR(C127=0,C127=1),OR(D127=0,D127=1),OR(E127=0,E127=1),OR(A127&lt;&gt;"",SUM(C127:E127)=0)),"OK","FEHLER"),"FEHLER")</f>
        <v>OK</v>
      </c>
    </row>
    <row r="128" customFormat="false" ht="16.4" hidden="false" customHeight="false" outlineLevel="0" collapsed="false">
      <c r="A128" s="23" t="n">
        <f aca="false">IFERROR(IF(YEAR(DATE(Eingaben!$B$10,1,1)+123)=Eingaben!$B$10,DATE(Eingaben!$B$10,1,1)+123,""),"")</f>
        <v>46146</v>
      </c>
      <c r="B128" s="12" t="str">
        <f aca="false">IF(A128="","",CHOOSE(WEEKDAY(A128,2),"Mo","Di","Mi","Do","Fr","Sa","So"))</f>
        <v>Mo</v>
      </c>
      <c r="C128" s="20" t="n">
        <v>1</v>
      </c>
      <c r="D128" s="20" t="n">
        <v>1</v>
      </c>
      <c r="E128" s="20" t="n">
        <v>0</v>
      </c>
      <c r="F128" s="19"/>
      <c r="G128" s="12" t="str">
        <f aca="false">IFERROR(IF(AND(COUNT(C128:E128)=3,OR(C128=0,C128=1),OR(D128=0,D128=1),OR(E128=0,E128=1),OR(A128&lt;&gt;"",SUM(C128:E128)=0)),"OK","FEHLER"),"FEHLER")</f>
        <v>OK</v>
      </c>
    </row>
    <row r="129" customFormat="false" ht="16.4" hidden="false" customHeight="false" outlineLevel="0" collapsed="false">
      <c r="A129" s="23" t="n">
        <f aca="false">IFERROR(IF(YEAR(DATE(Eingaben!$B$10,1,1)+124)=Eingaben!$B$10,DATE(Eingaben!$B$10,1,1)+124,""),"")</f>
        <v>46147</v>
      </c>
      <c r="B129" s="12" t="str">
        <f aca="false">IF(A129="","",CHOOSE(WEEKDAY(A129,2),"Mo","Di","Mi","Do","Fr","Sa","So"))</f>
        <v>Di</v>
      </c>
      <c r="C129" s="20" t="n">
        <v>1</v>
      </c>
      <c r="D129" s="20" t="n">
        <v>1</v>
      </c>
      <c r="E129" s="20" t="n">
        <v>0</v>
      </c>
      <c r="F129" s="19"/>
      <c r="G129" s="12" t="str">
        <f aca="false">IFERROR(IF(AND(COUNT(C129:E129)=3,OR(C129=0,C129=1),OR(D129=0,D129=1),OR(E129=0,E129=1),OR(A129&lt;&gt;"",SUM(C129:E129)=0)),"OK","FEHLER"),"FEHLER")</f>
        <v>OK</v>
      </c>
    </row>
    <row r="130" customFormat="false" ht="16.4" hidden="false" customHeight="false" outlineLevel="0" collapsed="false">
      <c r="A130" s="23" t="n">
        <f aca="false">IFERROR(IF(YEAR(DATE(Eingaben!$B$10,1,1)+125)=Eingaben!$B$10,DATE(Eingaben!$B$10,1,1)+125,""),"")</f>
        <v>46148</v>
      </c>
      <c r="B130" s="12" t="str">
        <f aca="false">IF(A130="","",CHOOSE(WEEKDAY(A130,2),"Mo","Di","Mi","Do","Fr","Sa","So"))</f>
        <v>Mi</v>
      </c>
      <c r="C130" s="20" t="n">
        <v>1</v>
      </c>
      <c r="D130" s="20" t="n">
        <v>1</v>
      </c>
      <c r="E130" s="20" t="n">
        <v>0</v>
      </c>
      <c r="F130" s="19"/>
      <c r="G130" s="12" t="str">
        <f aca="false">IFERROR(IF(AND(COUNT(C130:E130)=3,OR(C130=0,C130=1),OR(D130=0,D130=1),OR(E130=0,E130=1),OR(A130&lt;&gt;"",SUM(C130:E130)=0)),"OK","FEHLER"),"FEHLER")</f>
        <v>OK</v>
      </c>
    </row>
    <row r="131" customFormat="false" ht="16.4" hidden="false" customHeight="false" outlineLevel="0" collapsed="false">
      <c r="A131" s="23" t="n">
        <f aca="false">IFERROR(IF(YEAR(DATE(Eingaben!$B$10,1,1)+126)=Eingaben!$B$10,DATE(Eingaben!$B$10,1,1)+126,""),"")</f>
        <v>46149</v>
      </c>
      <c r="B131" s="12" t="str">
        <f aca="false">IF(A131="","",CHOOSE(WEEKDAY(A131,2),"Mo","Di","Mi","Do","Fr","Sa","So"))</f>
        <v>Do</v>
      </c>
      <c r="C131" s="20" t="n">
        <v>1</v>
      </c>
      <c r="D131" s="20" t="n">
        <v>1</v>
      </c>
      <c r="E131" s="20" t="n">
        <v>0</v>
      </c>
      <c r="F131" s="19"/>
      <c r="G131" s="12" t="str">
        <f aca="false">IFERROR(IF(AND(COUNT(C131:E131)=3,OR(C131=0,C131=1),OR(D131=0,D131=1),OR(E131=0,E131=1),OR(A131&lt;&gt;"",SUM(C131:E131)=0)),"OK","FEHLER"),"FEHLER")</f>
        <v>OK</v>
      </c>
    </row>
    <row r="132" customFormat="false" ht="16.4" hidden="false" customHeight="false" outlineLevel="0" collapsed="false">
      <c r="A132" s="23" t="n">
        <f aca="false">IFERROR(IF(YEAR(DATE(Eingaben!$B$10,1,1)+127)=Eingaben!$B$10,DATE(Eingaben!$B$10,1,1)+127,""),"")</f>
        <v>46150</v>
      </c>
      <c r="B132" s="12" t="str">
        <f aca="false">IF(A132="","",CHOOSE(WEEKDAY(A132,2),"Mo","Di","Mi","Do","Fr","Sa","So"))</f>
        <v>Fr</v>
      </c>
      <c r="C132" s="20" t="n">
        <v>1</v>
      </c>
      <c r="D132" s="20" t="n">
        <v>1</v>
      </c>
      <c r="E132" s="20" t="n">
        <v>0</v>
      </c>
      <c r="F132" s="19"/>
      <c r="G132" s="12" t="str">
        <f aca="false">IFERROR(IF(AND(COUNT(C132:E132)=3,OR(C132=0,C132=1),OR(D132=0,D132=1),OR(E132=0,E132=1),OR(A132&lt;&gt;"",SUM(C132:E132)=0)),"OK","FEHLER"),"FEHLER")</f>
        <v>OK</v>
      </c>
    </row>
    <row r="133" customFormat="false" ht="16.4" hidden="false" customHeight="false" outlineLevel="0" collapsed="false">
      <c r="A133" s="23" t="n">
        <f aca="false">IFERROR(IF(YEAR(DATE(Eingaben!$B$10,1,1)+128)=Eingaben!$B$10,DATE(Eingaben!$B$10,1,1)+128,""),"")</f>
        <v>46151</v>
      </c>
      <c r="B133" s="12" t="str">
        <f aca="false">IF(A133="","",CHOOSE(WEEKDAY(A133,2),"Mo","Di","Mi","Do","Fr","Sa","So"))</f>
        <v>Sa</v>
      </c>
      <c r="C133" s="20" t="n">
        <v>0</v>
      </c>
      <c r="D133" s="20" t="n">
        <v>1</v>
      </c>
      <c r="E133" s="20" t="n">
        <v>0</v>
      </c>
      <c r="F133" s="19"/>
      <c r="G133" s="12" t="str">
        <f aca="false">IFERROR(IF(AND(COUNT(C133:E133)=3,OR(C133=0,C133=1),OR(D133=0,D133=1),OR(E133=0,E133=1),OR(A133&lt;&gt;"",SUM(C133:E133)=0)),"OK","FEHLER"),"FEHLER")</f>
        <v>OK</v>
      </c>
    </row>
    <row r="134" customFormat="false" ht="16.4" hidden="false" customHeight="false" outlineLevel="0" collapsed="false">
      <c r="A134" s="23" t="n">
        <f aca="false">IFERROR(IF(YEAR(DATE(Eingaben!$B$10,1,1)+129)=Eingaben!$B$10,DATE(Eingaben!$B$10,1,1)+129,""),"")</f>
        <v>46152</v>
      </c>
      <c r="B134" s="12" t="str">
        <f aca="false">IF(A134="","",CHOOSE(WEEKDAY(A134,2),"Mo","Di","Mi","Do","Fr","Sa","So"))</f>
        <v>So</v>
      </c>
      <c r="C134" s="20" t="n">
        <v>0</v>
      </c>
      <c r="D134" s="20" t="n">
        <v>1</v>
      </c>
      <c r="E134" s="20" t="n">
        <v>0</v>
      </c>
      <c r="F134" s="19"/>
      <c r="G134" s="12" t="str">
        <f aca="false">IFERROR(IF(AND(COUNT(C134:E134)=3,OR(C134=0,C134=1),OR(D134=0,D134=1),OR(E134=0,E134=1),OR(A134&lt;&gt;"",SUM(C134:E134)=0)),"OK","FEHLER"),"FEHLER")</f>
        <v>OK</v>
      </c>
    </row>
    <row r="135" customFormat="false" ht="16.4" hidden="false" customHeight="false" outlineLevel="0" collapsed="false">
      <c r="A135" s="23" t="n">
        <f aca="false">IFERROR(IF(YEAR(DATE(Eingaben!$B$10,1,1)+130)=Eingaben!$B$10,DATE(Eingaben!$B$10,1,1)+130,""),"")</f>
        <v>46153</v>
      </c>
      <c r="B135" s="12" t="str">
        <f aca="false">IF(A135="","",CHOOSE(WEEKDAY(A135,2),"Mo","Di","Mi","Do","Fr","Sa","So"))</f>
        <v>Mo</v>
      </c>
      <c r="C135" s="20" t="n">
        <v>1</v>
      </c>
      <c r="D135" s="20" t="n">
        <v>1</v>
      </c>
      <c r="E135" s="20" t="n">
        <v>0</v>
      </c>
      <c r="F135" s="19"/>
      <c r="G135" s="12" t="str">
        <f aca="false">IFERROR(IF(AND(COUNT(C135:E135)=3,OR(C135=0,C135=1),OR(D135=0,D135=1),OR(E135=0,E135=1),OR(A135&lt;&gt;"",SUM(C135:E135)=0)),"OK","FEHLER"),"FEHLER")</f>
        <v>OK</v>
      </c>
    </row>
    <row r="136" customFormat="false" ht="16.4" hidden="false" customHeight="false" outlineLevel="0" collapsed="false">
      <c r="A136" s="23" t="n">
        <f aca="false">IFERROR(IF(YEAR(DATE(Eingaben!$B$10,1,1)+131)=Eingaben!$B$10,DATE(Eingaben!$B$10,1,1)+131,""),"")</f>
        <v>46154</v>
      </c>
      <c r="B136" s="12" t="str">
        <f aca="false">IF(A136="","",CHOOSE(WEEKDAY(A136,2),"Mo","Di","Mi","Do","Fr","Sa","So"))</f>
        <v>Di</v>
      </c>
      <c r="C136" s="20" t="n">
        <v>1</v>
      </c>
      <c r="D136" s="20" t="n">
        <v>1</v>
      </c>
      <c r="E136" s="20" t="n">
        <v>0</v>
      </c>
      <c r="F136" s="19"/>
      <c r="G136" s="12" t="str">
        <f aca="false">IFERROR(IF(AND(COUNT(C136:E136)=3,OR(C136=0,C136=1),OR(D136=0,D136=1),OR(E136=0,E136=1),OR(A136&lt;&gt;"",SUM(C136:E136)=0)),"OK","FEHLER"),"FEHLER")</f>
        <v>OK</v>
      </c>
    </row>
    <row r="137" customFormat="false" ht="16.4" hidden="false" customHeight="false" outlineLevel="0" collapsed="false">
      <c r="A137" s="23" t="n">
        <f aca="false">IFERROR(IF(YEAR(DATE(Eingaben!$B$10,1,1)+132)=Eingaben!$B$10,DATE(Eingaben!$B$10,1,1)+132,""),"")</f>
        <v>46155</v>
      </c>
      <c r="B137" s="12" t="str">
        <f aca="false">IF(A137="","",CHOOSE(WEEKDAY(A137,2),"Mo","Di","Mi","Do","Fr","Sa","So"))</f>
        <v>Mi</v>
      </c>
      <c r="C137" s="20" t="n">
        <v>1</v>
      </c>
      <c r="D137" s="20" t="n">
        <v>1</v>
      </c>
      <c r="E137" s="20" t="n">
        <v>0</v>
      </c>
      <c r="F137" s="19"/>
      <c r="G137" s="12" t="str">
        <f aca="false">IFERROR(IF(AND(COUNT(C137:E137)=3,OR(C137=0,C137=1),OR(D137=0,D137=1),OR(E137=0,E137=1),OR(A137&lt;&gt;"",SUM(C137:E137)=0)),"OK","FEHLER"),"FEHLER")</f>
        <v>OK</v>
      </c>
    </row>
    <row r="138" customFormat="false" ht="16.4" hidden="false" customHeight="false" outlineLevel="0" collapsed="false">
      <c r="A138" s="23" t="n">
        <f aca="false">IFERROR(IF(YEAR(DATE(Eingaben!$B$10,1,1)+133)=Eingaben!$B$10,DATE(Eingaben!$B$10,1,1)+133,""),"")</f>
        <v>46156</v>
      </c>
      <c r="B138" s="12" t="str">
        <f aca="false">IF(A138="","",CHOOSE(WEEKDAY(A138,2),"Mo","Di","Mi","Do","Fr","Sa","So"))</f>
        <v>Do</v>
      </c>
      <c r="C138" s="20" t="n">
        <v>1</v>
      </c>
      <c r="D138" s="20" t="n">
        <v>1</v>
      </c>
      <c r="E138" s="20" t="n">
        <v>0</v>
      </c>
      <c r="F138" s="19"/>
      <c r="G138" s="12" t="str">
        <f aca="false">IFERROR(IF(AND(COUNT(C138:E138)=3,OR(C138=0,C138=1),OR(D138=0,D138=1),OR(E138=0,E138=1),OR(A138&lt;&gt;"",SUM(C138:E138)=0)),"OK","FEHLER"),"FEHLER")</f>
        <v>OK</v>
      </c>
    </row>
    <row r="139" customFormat="false" ht="16.4" hidden="false" customHeight="false" outlineLevel="0" collapsed="false">
      <c r="A139" s="23" t="n">
        <f aca="false">IFERROR(IF(YEAR(DATE(Eingaben!$B$10,1,1)+134)=Eingaben!$B$10,DATE(Eingaben!$B$10,1,1)+134,""),"")</f>
        <v>46157</v>
      </c>
      <c r="B139" s="12" t="str">
        <f aca="false">IF(A139="","",CHOOSE(WEEKDAY(A139,2),"Mo","Di","Mi","Do","Fr","Sa","So"))</f>
        <v>Fr</v>
      </c>
      <c r="C139" s="20" t="n">
        <v>1</v>
      </c>
      <c r="D139" s="20" t="n">
        <v>1</v>
      </c>
      <c r="E139" s="20" t="n">
        <v>0</v>
      </c>
      <c r="F139" s="19"/>
      <c r="G139" s="12" t="str">
        <f aca="false">IFERROR(IF(AND(COUNT(C139:E139)=3,OR(C139=0,C139=1),OR(D139=0,D139=1),OR(E139=0,E139=1),OR(A139&lt;&gt;"",SUM(C139:E139)=0)),"OK","FEHLER"),"FEHLER")</f>
        <v>OK</v>
      </c>
    </row>
    <row r="140" customFormat="false" ht="16.4" hidden="false" customHeight="false" outlineLevel="0" collapsed="false">
      <c r="A140" s="23" t="n">
        <f aca="false">IFERROR(IF(YEAR(DATE(Eingaben!$B$10,1,1)+135)=Eingaben!$B$10,DATE(Eingaben!$B$10,1,1)+135,""),"")</f>
        <v>46158</v>
      </c>
      <c r="B140" s="12" t="str">
        <f aca="false">IF(A140="","",CHOOSE(WEEKDAY(A140,2),"Mo","Di","Mi","Do","Fr","Sa","So"))</f>
        <v>Sa</v>
      </c>
      <c r="C140" s="20" t="n">
        <v>0</v>
      </c>
      <c r="D140" s="20" t="n">
        <v>1</v>
      </c>
      <c r="E140" s="20" t="n">
        <v>0</v>
      </c>
      <c r="F140" s="19"/>
      <c r="G140" s="12" t="str">
        <f aca="false">IFERROR(IF(AND(COUNT(C140:E140)=3,OR(C140=0,C140=1),OR(D140=0,D140=1),OR(E140=0,E140=1),OR(A140&lt;&gt;"",SUM(C140:E140)=0)),"OK","FEHLER"),"FEHLER")</f>
        <v>OK</v>
      </c>
    </row>
    <row r="141" customFormat="false" ht="16.4" hidden="false" customHeight="false" outlineLevel="0" collapsed="false">
      <c r="A141" s="23" t="n">
        <f aca="false">IFERROR(IF(YEAR(DATE(Eingaben!$B$10,1,1)+136)=Eingaben!$B$10,DATE(Eingaben!$B$10,1,1)+136,""),"")</f>
        <v>46159</v>
      </c>
      <c r="B141" s="12" t="str">
        <f aca="false">IF(A141="","",CHOOSE(WEEKDAY(A141,2),"Mo","Di","Mi","Do","Fr","Sa","So"))</f>
        <v>So</v>
      </c>
      <c r="C141" s="20" t="n">
        <v>0</v>
      </c>
      <c r="D141" s="20" t="n">
        <v>1</v>
      </c>
      <c r="E141" s="20" t="n">
        <v>0</v>
      </c>
      <c r="F141" s="19"/>
      <c r="G141" s="12" t="str">
        <f aca="false">IFERROR(IF(AND(COUNT(C141:E141)=3,OR(C141=0,C141=1),OR(D141=0,D141=1),OR(E141=0,E141=1),OR(A141&lt;&gt;"",SUM(C141:E141)=0)),"OK","FEHLER"),"FEHLER")</f>
        <v>OK</v>
      </c>
    </row>
    <row r="142" customFormat="false" ht="16.4" hidden="false" customHeight="false" outlineLevel="0" collapsed="false">
      <c r="A142" s="23" t="n">
        <f aca="false">IFERROR(IF(YEAR(DATE(Eingaben!$B$10,1,1)+137)=Eingaben!$B$10,DATE(Eingaben!$B$10,1,1)+137,""),"")</f>
        <v>46160</v>
      </c>
      <c r="B142" s="12" t="str">
        <f aca="false">IF(A142="","",CHOOSE(WEEKDAY(A142,2),"Mo","Di","Mi","Do","Fr","Sa","So"))</f>
        <v>Mo</v>
      </c>
      <c r="C142" s="20" t="n">
        <v>1</v>
      </c>
      <c r="D142" s="20" t="n">
        <v>1</v>
      </c>
      <c r="E142" s="20" t="n">
        <v>0</v>
      </c>
      <c r="F142" s="19"/>
      <c r="G142" s="12" t="str">
        <f aca="false">IFERROR(IF(AND(COUNT(C142:E142)=3,OR(C142=0,C142=1),OR(D142=0,D142=1),OR(E142=0,E142=1),OR(A142&lt;&gt;"",SUM(C142:E142)=0)),"OK","FEHLER"),"FEHLER")</f>
        <v>OK</v>
      </c>
    </row>
    <row r="143" customFormat="false" ht="16.4" hidden="false" customHeight="false" outlineLevel="0" collapsed="false">
      <c r="A143" s="23" t="n">
        <f aca="false">IFERROR(IF(YEAR(DATE(Eingaben!$B$10,1,1)+138)=Eingaben!$B$10,DATE(Eingaben!$B$10,1,1)+138,""),"")</f>
        <v>46161</v>
      </c>
      <c r="B143" s="12" t="str">
        <f aca="false">IF(A143="","",CHOOSE(WEEKDAY(A143,2),"Mo","Di","Mi","Do","Fr","Sa","So"))</f>
        <v>Di</v>
      </c>
      <c r="C143" s="20" t="n">
        <v>1</v>
      </c>
      <c r="D143" s="20" t="n">
        <v>1</v>
      </c>
      <c r="E143" s="20" t="n">
        <v>0</v>
      </c>
      <c r="F143" s="19"/>
      <c r="G143" s="12" t="str">
        <f aca="false">IFERROR(IF(AND(COUNT(C143:E143)=3,OR(C143=0,C143=1),OR(D143=0,D143=1),OR(E143=0,E143=1),OR(A143&lt;&gt;"",SUM(C143:E143)=0)),"OK","FEHLER"),"FEHLER")</f>
        <v>OK</v>
      </c>
    </row>
    <row r="144" customFormat="false" ht="16.4" hidden="false" customHeight="false" outlineLevel="0" collapsed="false">
      <c r="A144" s="23" t="n">
        <f aca="false">IFERROR(IF(YEAR(DATE(Eingaben!$B$10,1,1)+139)=Eingaben!$B$10,DATE(Eingaben!$B$10,1,1)+139,""),"")</f>
        <v>46162</v>
      </c>
      <c r="B144" s="12" t="str">
        <f aca="false">IF(A144="","",CHOOSE(WEEKDAY(A144,2),"Mo","Di","Mi","Do","Fr","Sa","So"))</f>
        <v>Mi</v>
      </c>
      <c r="C144" s="20" t="n">
        <v>1</v>
      </c>
      <c r="D144" s="20" t="n">
        <v>1</v>
      </c>
      <c r="E144" s="20" t="n">
        <v>0</v>
      </c>
      <c r="F144" s="19"/>
      <c r="G144" s="12" t="str">
        <f aca="false">IFERROR(IF(AND(COUNT(C144:E144)=3,OR(C144=0,C144=1),OR(D144=0,D144=1),OR(E144=0,E144=1),OR(A144&lt;&gt;"",SUM(C144:E144)=0)),"OK","FEHLER"),"FEHLER")</f>
        <v>OK</v>
      </c>
    </row>
    <row r="145" customFormat="false" ht="16.4" hidden="false" customHeight="false" outlineLevel="0" collapsed="false">
      <c r="A145" s="23" t="n">
        <f aca="false">IFERROR(IF(YEAR(DATE(Eingaben!$B$10,1,1)+140)=Eingaben!$B$10,DATE(Eingaben!$B$10,1,1)+140,""),"")</f>
        <v>46163</v>
      </c>
      <c r="B145" s="12" t="str">
        <f aca="false">IF(A145="","",CHOOSE(WEEKDAY(A145,2),"Mo","Di","Mi","Do","Fr","Sa","So"))</f>
        <v>Do</v>
      </c>
      <c r="C145" s="20" t="n">
        <v>1</v>
      </c>
      <c r="D145" s="20" t="n">
        <v>1</v>
      </c>
      <c r="E145" s="20" t="n">
        <v>0</v>
      </c>
      <c r="F145" s="19"/>
      <c r="G145" s="12" t="str">
        <f aca="false">IFERROR(IF(AND(COUNT(C145:E145)=3,OR(C145=0,C145=1),OR(D145=0,D145=1),OR(E145=0,E145=1),OR(A145&lt;&gt;"",SUM(C145:E145)=0)),"OK","FEHLER"),"FEHLER")</f>
        <v>OK</v>
      </c>
    </row>
    <row r="146" customFormat="false" ht="16.4" hidden="false" customHeight="false" outlineLevel="0" collapsed="false">
      <c r="A146" s="23" t="n">
        <f aca="false">IFERROR(IF(YEAR(DATE(Eingaben!$B$10,1,1)+141)=Eingaben!$B$10,DATE(Eingaben!$B$10,1,1)+141,""),"")</f>
        <v>46164</v>
      </c>
      <c r="B146" s="12" t="str">
        <f aca="false">IF(A146="","",CHOOSE(WEEKDAY(A146,2),"Mo","Di","Mi","Do","Fr","Sa","So"))</f>
        <v>Fr</v>
      </c>
      <c r="C146" s="20" t="n">
        <v>1</v>
      </c>
      <c r="D146" s="20" t="n">
        <v>1</v>
      </c>
      <c r="E146" s="20" t="n">
        <v>0</v>
      </c>
      <c r="F146" s="19"/>
      <c r="G146" s="12" t="str">
        <f aca="false">IFERROR(IF(AND(COUNT(C146:E146)=3,OR(C146=0,C146=1),OR(D146=0,D146=1),OR(E146=0,E146=1),OR(A146&lt;&gt;"",SUM(C146:E146)=0)),"OK","FEHLER"),"FEHLER")</f>
        <v>OK</v>
      </c>
    </row>
    <row r="147" customFormat="false" ht="16.4" hidden="false" customHeight="false" outlineLevel="0" collapsed="false">
      <c r="A147" s="23" t="n">
        <f aca="false">IFERROR(IF(YEAR(DATE(Eingaben!$B$10,1,1)+142)=Eingaben!$B$10,DATE(Eingaben!$B$10,1,1)+142,""),"")</f>
        <v>46165</v>
      </c>
      <c r="B147" s="12" t="str">
        <f aca="false">IF(A147="","",CHOOSE(WEEKDAY(A147,2),"Mo","Di","Mi","Do","Fr","Sa","So"))</f>
        <v>Sa</v>
      </c>
      <c r="C147" s="20" t="n">
        <v>0</v>
      </c>
      <c r="D147" s="20" t="n">
        <v>1</v>
      </c>
      <c r="E147" s="20" t="n">
        <v>0</v>
      </c>
      <c r="F147" s="19"/>
      <c r="G147" s="12" t="str">
        <f aca="false">IFERROR(IF(AND(COUNT(C147:E147)=3,OR(C147=0,C147=1),OR(D147=0,D147=1),OR(E147=0,E147=1),OR(A147&lt;&gt;"",SUM(C147:E147)=0)),"OK","FEHLER"),"FEHLER")</f>
        <v>OK</v>
      </c>
    </row>
    <row r="148" customFormat="false" ht="16.4" hidden="false" customHeight="false" outlineLevel="0" collapsed="false">
      <c r="A148" s="23" t="n">
        <f aca="false">IFERROR(IF(YEAR(DATE(Eingaben!$B$10,1,1)+143)=Eingaben!$B$10,DATE(Eingaben!$B$10,1,1)+143,""),"")</f>
        <v>46166</v>
      </c>
      <c r="B148" s="12" t="str">
        <f aca="false">IF(A148="","",CHOOSE(WEEKDAY(A148,2),"Mo","Di","Mi","Do","Fr","Sa","So"))</f>
        <v>So</v>
      </c>
      <c r="C148" s="20" t="n">
        <v>0</v>
      </c>
      <c r="D148" s="20" t="n">
        <v>1</v>
      </c>
      <c r="E148" s="20" t="n">
        <v>0</v>
      </c>
      <c r="F148" s="19"/>
      <c r="G148" s="12" t="str">
        <f aca="false">IFERROR(IF(AND(COUNT(C148:E148)=3,OR(C148=0,C148=1),OR(D148=0,D148=1),OR(E148=0,E148=1),OR(A148&lt;&gt;"",SUM(C148:E148)=0)),"OK","FEHLER"),"FEHLER")</f>
        <v>OK</v>
      </c>
    </row>
    <row r="149" customFormat="false" ht="16.4" hidden="false" customHeight="false" outlineLevel="0" collapsed="false">
      <c r="A149" s="23" t="n">
        <f aca="false">IFERROR(IF(YEAR(DATE(Eingaben!$B$10,1,1)+144)=Eingaben!$B$10,DATE(Eingaben!$B$10,1,1)+144,""),"")</f>
        <v>46167</v>
      </c>
      <c r="B149" s="12" t="str">
        <f aca="false">IF(A149="","",CHOOSE(WEEKDAY(A149,2),"Mo","Di","Mi","Do","Fr","Sa","So"))</f>
        <v>Mo</v>
      </c>
      <c r="C149" s="20" t="n">
        <v>1</v>
      </c>
      <c r="D149" s="20" t="n">
        <v>1</v>
      </c>
      <c r="E149" s="20" t="n">
        <v>0</v>
      </c>
      <c r="F149" s="19"/>
      <c r="G149" s="12" t="str">
        <f aca="false">IFERROR(IF(AND(COUNT(C149:E149)=3,OR(C149=0,C149=1),OR(D149=0,D149=1),OR(E149=0,E149=1),OR(A149&lt;&gt;"",SUM(C149:E149)=0)),"OK","FEHLER"),"FEHLER")</f>
        <v>OK</v>
      </c>
    </row>
    <row r="150" customFormat="false" ht="16.4" hidden="false" customHeight="false" outlineLevel="0" collapsed="false">
      <c r="A150" s="23" t="n">
        <f aca="false">IFERROR(IF(YEAR(DATE(Eingaben!$B$10,1,1)+145)=Eingaben!$B$10,DATE(Eingaben!$B$10,1,1)+145,""),"")</f>
        <v>46168</v>
      </c>
      <c r="B150" s="12" t="str">
        <f aca="false">IF(A150="","",CHOOSE(WEEKDAY(A150,2),"Mo","Di","Mi","Do","Fr","Sa","So"))</f>
        <v>Di</v>
      </c>
      <c r="C150" s="20" t="n">
        <v>1</v>
      </c>
      <c r="D150" s="20" t="n">
        <v>1</v>
      </c>
      <c r="E150" s="20" t="n">
        <v>0</v>
      </c>
      <c r="F150" s="19"/>
      <c r="G150" s="12" t="str">
        <f aca="false">IFERROR(IF(AND(COUNT(C150:E150)=3,OR(C150=0,C150=1),OR(D150=0,D150=1),OR(E150=0,E150=1),OR(A150&lt;&gt;"",SUM(C150:E150)=0)),"OK","FEHLER"),"FEHLER")</f>
        <v>OK</v>
      </c>
    </row>
    <row r="151" customFormat="false" ht="16.4" hidden="false" customHeight="false" outlineLevel="0" collapsed="false">
      <c r="A151" s="23" t="n">
        <f aca="false">IFERROR(IF(YEAR(DATE(Eingaben!$B$10,1,1)+146)=Eingaben!$B$10,DATE(Eingaben!$B$10,1,1)+146,""),"")</f>
        <v>46169</v>
      </c>
      <c r="B151" s="12" t="str">
        <f aca="false">IF(A151="","",CHOOSE(WEEKDAY(A151,2),"Mo","Di","Mi","Do","Fr","Sa","So"))</f>
        <v>Mi</v>
      </c>
      <c r="C151" s="20" t="n">
        <v>1</v>
      </c>
      <c r="D151" s="20" t="n">
        <v>1</v>
      </c>
      <c r="E151" s="20" t="n">
        <v>0</v>
      </c>
      <c r="F151" s="19"/>
      <c r="G151" s="12" t="str">
        <f aca="false">IFERROR(IF(AND(COUNT(C151:E151)=3,OR(C151=0,C151=1),OR(D151=0,D151=1),OR(E151=0,E151=1),OR(A151&lt;&gt;"",SUM(C151:E151)=0)),"OK","FEHLER"),"FEHLER")</f>
        <v>OK</v>
      </c>
    </row>
    <row r="152" customFormat="false" ht="16.4" hidden="false" customHeight="false" outlineLevel="0" collapsed="false">
      <c r="A152" s="23" t="n">
        <f aca="false">IFERROR(IF(YEAR(DATE(Eingaben!$B$10,1,1)+147)=Eingaben!$B$10,DATE(Eingaben!$B$10,1,1)+147,""),"")</f>
        <v>46170</v>
      </c>
      <c r="B152" s="12" t="str">
        <f aca="false">IF(A152="","",CHOOSE(WEEKDAY(A152,2),"Mo","Di","Mi","Do","Fr","Sa","So"))</f>
        <v>Do</v>
      </c>
      <c r="C152" s="20" t="n">
        <v>1</v>
      </c>
      <c r="D152" s="20" t="n">
        <v>1</v>
      </c>
      <c r="E152" s="20" t="n">
        <v>0</v>
      </c>
      <c r="F152" s="19"/>
      <c r="G152" s="12" t="str">
        <f aca="false">IFERROR(IF(AND(COUNT(C152:E152)=3,OR(C152=0,C152=1),OR(D152=0,D152=1),OR(E152=0,E152=1),OR(A152&lt;&gt;"",SUM(C152:E152)=0)),"OK","FEHLER"),"FEHLER")</f>
        <v>OK</v>
      </c>
    </row>
    <row r="153" customFormat="false" ht="16.4" hidden="false" customHeight="false" outlineLevel="0" collapsed="false">
      <c r="A153" s="23" t="n">
        <f aca="false">IFERROR(IF(YEAR(DATE(Eingaben!$B$10,1,1)+148)=Eingaben!$B$10,DATE(Eingaben!$B$10,1,1)+148,""),"")</f>
        <v>46171</v>
      </c>
      <c r="B153" s="12" t="str">
        <f aca="false">IF(A153="","",CHOOSE(WEEKDAY(A153,2),"Mo","Di","Mi","Do","Fr","Sa","So"))</f>
        <v>Fr</v>
      </c>
      <c r="C153" s="20" t="n">
        <v>1</v>
      </c>
      <c r="D153" s="20" t="n">
        <v>1</v>
      </c>
      <c r="E153" s="20" t="n">
        <v>0</v>
      </c>
      <c r="F153" s="19"/>
      <c r="G153" s="12" t="str">
        <f aca="false">IFERROR(IF(AND(COUNT(C153:E153)=3,OR(C153=0,C153=1),OR(D153=0,D153=1),OR(E153=0,E153=1),OR(A153&lt;&gt;"",SUM(C153:E153)=0)),"OK","FEHLER"),"FEHLER")</f>
        <v>OK</v>
      </c>
    </row>
    <row r="154" customFormat="false" ht="16.4" hidden="false" customHeight="false" outlineLevel="0" collapsed="false">
      <c r="A154" s="23" t="n">
        <f aca="false">IFERROR(IF(YEAR(DATE(Eingaben!$B$10,1,1)+149)=Eingaben!$B$10,DATE(Eingaben!$B$10,1,1)+149,""),"")</f>
        <v>46172</v>
      </c>
      <c r="B154" s="12" t="str">
        <f aca="false">IF(A154="","",CHOOSE(WEEKDAY(A154,2),"Mo","Di","Mi","Do","Fr","Sa","So"))</f>
        <v>Sa</v>
      </c>
      <c r="C154" s="20" t="n">
        <v>0</v>
      </c>
      <c r="D154" s="20" t="n">
        <v>1</v>
      </c>
      <c r="E154" s="20" t="n">
        <v>0</v>
      </c>
      <c r="F154" s="19"/>
      <c r="G154" s="12" t="str">
        <f aca="false">IFERROR(IF(AND(COUNT(C154:E154)=3,OR(C154=0,C154=1),OR(D154=0,D154=1),OR(E154=0,E154=1),OR(A154&lt;&gt;"",SUM(C154:E154)=0)),"OK","FEHLER"),"FEHLER")</f>
        <v>OK</v>
      </c>
    </row>
    <row r="155" customFormat="false" ht="16.4" hidden="false" customHeight="false" outlineLevel="0" collapsed="false">
      <c r="A155" s="23" t="n">
        <f aca="false">IFERROR(IF(YEAR(DATE(Eingaben!$B$10,1,1)+150)=Eingaben!$B$10,DATE(Eingaben!$B$10,1,1)+150,""),"")</f>
        <v>46173</v>
      </c>
      <c r="B155" s="12" t="str">
        <f aca="false">IF(A155="","",CHOOSE(WEEKDAY(A155,2),"Mo","Di","Mi","Do","Fr","Sa","So"))</f>
        <v>So</v>
      </c>
      <c r="C155" s="20" t="n">
        <v>0</v>
      </c>
      <c r="D155" s="20" t="n">
        <v>1</v>
      </c>
      <c r="E155" s="20" t="n">
        <v>0</v>
      </c>
      <c r="F155" s="19"/>
      <c r="G155" s="12" t="str">
        <f aca="false">IFERROR(IF(AND(COUNT(C155:E155)=3,OR(C155=0,C155=1),OR(D155=0,D155=1),OR(E155=0,E155=1),OR(A155&lt;&gt;"",SUM(C155:E155)=0)),"OK","FEHLER"),"FEHLER")</f>
        <v>OK</v>
      </c>
    </row>
    <row r="156" customFormat="false" ht="16.4" hidden="false" customHeight="false" outlineLevel="0" collapsed="false">
      <c r="A156" s="23" t="n">
        <f aca="false">IFERROR(IF(YEAR(DATE(Eingaben!$B$10,1,1)+151)=Eingaben!$B$10,DATE(Eingaben!$B$10,1,1)+151,""),"")</f>
        <v>46174</v>
      </c>
      <c r="B156" s="12" t="str">
        <f aca="false">IF(A156="","",CHOOSE(WEEKDAY(A156,2),"Mo","Di","Mi","Do","Fr","Sa","So"))</f>
        <v>Mo</v>
      </c>
      <c r="C156" s="20" t="n">
        <v>1</v>
      </c>
      <c r="D156" s="20" t="n">
        <v>1</v>
      </c>
      <c r="E156" s="20" t="n">
        <v>0</v>
      </c>
      <c r="F156" s="19"/>
      <c r="G156" s="12" t="str">
        <f aca="false">IFERROR(IF(AND(COUNT(C156:E156)=3,OR(C156=0,C156=1),OR(D156=0,D156=1),OR(E156=0,E156=1),OR(A156&lt;&gt;"",SUM(C156:E156)=0)),"OK","FEHLER"),"FEHLER")</f>
        <v>OK</v>
      </c>
    </row>
    <row r="157" customFormat="false" ht="16.4" hidden="false" customHeight="false" outlineLevel="0" collapsed="false">
      <c r="A157" s="23" t="n">
        <f aca="false">IFERROR(IF(YEAR(DATE(Eingaben!$B$10,1,1)+152)=Eingaben!$B$10,DATE(Eingaben!$B$10,1,1)+152,""),"")</f>
        <v>46175</v>
      </c>
      <c r="B157" s="12" t="str">
        <f aca="false">IF(A157="","",CHOOSE(WEEKDAY(A157,2),"Mo","Di","Mi","Do","Fr","Sa","So"))</f>
        <v>Di</v>
      </c>
      <c r="C157" s="20" t="n">
        <v>1</v>
      </c>
      <c r="D157" s="20" t="n">
        <v>1</v>
      </c>
      <c r="E157" s="20" t="n">
        <v>0</v>
      </c>
      <c r="F157" s="19"/>
      <c r="G157" s="12" t="str">
        <f aca="false">IFERROR(IF(AND(COUNT(C157:E157)=3,OR(C157=0,C157=1),OR(D157=0,D157=1),OR(E157=0,E157=1),OR(A157&lt;&gt;"",SUM(C157:E157)=0)),"OK","FEHLER"),"FEHLER")</f>
        <v>OK</v>
      </c>
    </row>
    <row r="158" customFormat="false" ht="16.4" hidden="false" customHeight="false" outlineLevel="0" collapsed="false">
      <c r="A158" s="23" t="n">
        <f aca="false">IFERROR(IF(YEAR(DATE(Eingaben!$B$10,1,1)+153)=Eingaben!$B$10,DATE(Eingaben!$B$10,1,1)+153,""),"")</f>
        <v>46176</v>
      </c>
      <c r="B158" s="12" t="str">
        <f aca="false">IF(A158="","",CHOOSE(WEEKDAY(A158,2),"Mo","Di","Mi","Do","Fr","Sa","So"))</f>
        <v>Mi</v>
      </c>
      <c r="C158" s="20" t="n">
        <v>1</v>
      </c>
      <c r="D158" s="20" t="n">
        <v>1</v>
      </c>
      <c r="E158" s="20" t="n">
        <v>0</v>
      </c>
      <c r="F158" s="19"/>
      <c r="G158" s="12" t="str">
        <f aca="false">IFERROR(IF(AND(COUNT(C158:E158)=3,OR(C158=0,C158=1),OR(D158=0,D158=1),OR(E158=0,E158=1),OR(A158&lt;&gt;"",SUM(C158:E158)=0)),"OK","FEHLER"),"FEHLER")</f>
        <v>OK</v>
      </c>
    </row>
    <row r="159" customFormat="false" ht="16.4" hidden="false" customHeight="false" outlineLevel="0" collapsed="false">
      <c r="A159" s="23" t="n">
        <f aca="false">IFERROR(IF(YEAR(DATE(Eingaben!$B$10,1,1)+154)=Eingaben!$B$10,DATE(Eingaben!$B$10,1,1)+154,""),"")</f>
        <v>46177</v>
      </c>
      <c r="B159" s="12" t="str">
        <f aca="false">IF(A159="","",CHOOSE(WEEKDAY(A159,2),"Mo","Di","Mi","Do","Fr","Sa","So"))</f>
        <v>Do</v>
      </c>
      <c r="C159" s="20" t="n">
        <v>1</v>
      </c>
      <c r="D159" s="20" t="n">
        <v>1</v>
      </c>
      <c r="E159" s="20" t="n">
        <v>0</v>
      </c>
      <c r="F159" s="19"/>
      <c r="G159" s="12" t="str">
        <f aca="false">IFERROR(IF(AND(COUNT(C159:E159)=3,OR(C159=0,C159=1),OR(D159=0,D159=1),OR(E159=0,E159=1),OR(A159&lt;&gt;"",SUM(C159:E159)=0)),"OK","FEHLER"),"FEHLER")</f>
        <v>OK</v>
      </c>
    </row>
    <row r="160" customFormat="false" ht="16.4" hidden="false" customHeight="false" outlineLevel="0" collapsed="false">
      <c r="A160" s="23" t="n">
        <f aca="false">IFERROR(IF(YEAR(DATE(Eingaben!$B$10,1,1)+155)=Eingaben!$B$10,DATE(Eingaben!$B$10,1,1)+155,""),"")</f>
        <v>46178</v>
      </c>
      <c r="B160" s="12" t="str">
        <f aca="false">IF(A160="","",CHOOSE(WEEKDAY(A160,2),"Mo","Di","Mi","Do","Fr","Sa","So"))</f>
        <v>Fr</v>
      </c>
      <c r="C160" s="20" t="n">
        <v>1</v>
      </c>
      <c r="D160" s="20" t="n">
        <v>1</v>
      </c>
      <c r="E160" s="20" t="n">
        <v>0</v>
      </c>
      <c r="F160" s="19"/>
      <c r="G160" s="12" t="str">
        <f aca="false">IFERROR(IF(AND(COUNT(C160:E160)=3,OR(C160=0,C160=1),OR(D160=0,D160=1),OR(E160=0,E160=1),OR(A160&lt;&gt;"",SUM(C160:E160)=0)),"OK","FEHLER"),"FEHLER")</f>
        <v>OK</v>
      </c>
    </row>
    <row r="161" customFormat="false" ht="16.4" hidden="false" customHeight="false" outlineLevel="0" collapsed="false">
      <c r="A161" s="23" t="n">
        <f aca="false">IFERROR(IF(YEAR(DATE(Eingaben!$B$10,1,1)+156)=Eingaben!$B$10,DATE(Eingaben!$B$10,1,1)+156,""),"")</f>
        <v>46179</v>
      </c>
      <c r="B161" s="12" t="str">
        <f aca="false">IF(A161="","",CHOOSE(WEEKDAY(A161,2),"Mo","Di","Mi","Do","Fr","Sa","So"))</f>
        <v>Sa</v>
      </c>
      <c r="C161" s="20" t="n">
        <v>0</v>
      </c>
      <c r="D161" s="20" t="n">
        <v>1</v>
      </c>
      <c r="E161" s="20" t="n">
        <v>0</v>
      </c>
      <c r="F161" s="19"/>
      <c r="G161" s="12" t="str">
        <f aca="false">IFERROR(IF(AND(COUNT(C161:E161)=3,OR(C161=0,C161=1),OR(D161=0,D161=1),OR(E161=0,E161=1),OR(A161&lt;&gt;"",SUM(C161:E161)=0)),"OK","FEHLER"),"FEHLER")</f>
        <v>OK</v>
      </c>
    </row>
    <row r="162" customFormat="false" ht="16.4" hidden="false" customHeight="false" outlineLevel="0" collapsed="false">
      <c r="A162" s="23" t="n">
        <f aca="false">IFERROR(IF(YEAR(DATE(Eingaben!$B$10,1,1)+157)=Eingaben!$B$10,DATE(Eingaben!$B$10,1,1)+157,""),"")</f>
        <v>46180</v>
      </c>
      <c r="B162" s="12" t="str">
        <f aca="false">IF(A162="","",CHOOSE(WEEKDAY(A162,2),"Mo","Di","Mi","Do","Fr","Sa","So"))</f>
        <v>So</v>
      </c>
      <c r="C162" s="20" t="n">
        <v>0</v>
      </c>
      <c r="D162" s="20" t="n">
        <v>1</v>
      </c>
      <c r="E162" s="20" t="n">
        <v>0</v>
      </c>
      <c r="F162" s="19"/>
      <c r="G162" s="12" t="str">
        <f aca="false">IFERROR(IF(AND(COUNT(C162:E162)=3,OR(C162=0,C162=1),OR(D162=0,D162=1),OR(E162=0,E162=1),OR(A162&lt;&gt;"",SUM(C162:E162)=0)),"OK","FEHLER"),"FEHLER")</f>
        <v>OK</v>
      </c>
    </row>
    <row r="163" customFormat="false" ht="16.4" hidden="false" customHeight="false" outlineLevel="0" collapsed="false">
      <c r="A163" s="23" t="n">
        <f aca="false">IFERROR(IF(YEAR(DATE(Eingaben!$B$10,1,1)+158)=Eingaben!$B$10,DATE(Eingaben!$B$10,1,1)+158,""),"")</f>
        <v>46181</v>
      </c>
      <c r="B163" s="12" t="str">
        <f aca="false">IF(A163="","",CHOOSE(WEEKDAY(A163,2),"Mo","Di","Mi","Do","Fr","Sa","So"))</f>
        <v>Mo</v>
      </c>
      <c r="C163" s="20" t="n">
        <v>1</v>
      </c>
      <c r="D163" s="20" t="n">
        <v>1</v>
      </c>
      <c r="E163" s="20" t="n">
        <v>0</v>
      </c>
      <c r="F163" s="19"/>
      <c r="G163" s="12" t="str">
        <f aca="false">IFERROR(IF(AND(COUNT(C163:E163)=3,OR(C163=0,C163=1),OR(D163=0,D163=1),OR(E163=0,E163=1),OR(A163&lt;&gt;"",SUM(C163:E163)=0)),"OK","FEHLER"),"FEHLER")</f>
        <v>OK</v>
      </c>
    </row>
    <row r="164" customFormat="false" ht="16.4" hidden="false" customHeight="false" outlineLevel="0" collapsed="false">
      <c r="A164" s="23" t="n">
        <f aca="false">IFERROR(IF(YEAR(DATE(Eingaben!$B$10,1,1)+159)=Eingaben!$B$10,DATE(Eingaben!$B$10,1,1)+159,""),"")</f>
        <v>46182</v>
      </c>
      <c r="B164" s="12" t="str">
        <f aca="false">IF(A164="","",CHOOSE(WEEKDAY(A164,2),"Mo","Di","Mi","Do","Fr","Sa","So"))</f>
        <v>Di</v>
      </c>
      <c r="C164" s="20" t="n">
        <v>1</v>
      </c>
      <c r="D164" s="20" t="n">
        <v>1</v>
      </c>
      <c r="E164" s="20" t="n">
        <v>0</v>
      </c>
      <c r="F164" s="19"/>
      <c r="G164" s="12" t="str">
        <f aca="false">IFERROR(IF(AND(COUNT(C164:E164)=3,OR(C164=0,C164=1),OR(D164=0,D164=1),OR(E164=0,E164=1),OR(A164&lt;&gt;"",SUM(C164:E164)=0)),"OK","FEHLER"),"FEHLER")</f>
        <v>OK</v>
      </c>
    </row>
    <row r="165" customFormat="false" ht="16.4" hidden="false" customHeight="false" outlineLevel="0" collapsed="false">
      <c r="A165" s="23" t="n">
        <f aca="false">IFERROR(IF(YEAR(DATE(Eingaben!$B$10,1,1)+160)=Eingaben!$B$10,DATE(Eingaben!$B$10,1,1)+160,""),"")</f>
        <v>46183</v>
      </c>
      <c r="B165" s="12" t="str">
        <f aca="false">IF(A165="","",CHOOSE(WEEKDAY(A165,2),"Mo","Di","Mi","Do","Fr","Sa","So"))</f>
        <v>Mi</v>
      </c>
      <c r="C165" s="20" t="n">
        <v>1</v>
      </c>
      <c r="D165" s="20" t="n">
        <v>1</v>
      </c>
      <c r="E165" s="20" t="n">
        <v>0</v>
      </c>
      <c r="F165" s="19"/>
      <c r="G165" s="12" t="str">
        <f aca="false">IFERROR(IF(AND(COUNT(C165:E165)=3,OR(C165=0,C165=1),OR(D165=0,D165=1),OR(E165=0,E165=1),OR(A165&lt;&gt;"",SUM(C165:E165)=0)),"OK","FEHLER"),"FEHLER")</f>
        <v>OK</v>
      </c>
    </row>
    <row r="166" customFormat="false" ht="16.4" hidden="false" customHeight="false" outlineLevel="0" collapsed="false">
      <c r="A166" s="23" t="n">
        <f aca="false">IFERROR(IF(YEAR(DATE(Eingaben!$B$10,1,1)+161)=Eingaben!$B$10,DATE(Eingaben!$B$10,1,1)+161,""),"")</f>
        <v>46184</v>
      </c>
      <c r="B166" s="12" t="str">
        <f aca="false">IF(A166="","",CHOOSE(WEEKDAY(A166,2),"Mo","Di","Mi","Do","Fr","Sa","So"))</f>
        <v>Do</v>
      </c>
      <c r="C166" s="20" t="n">
        <v>1</v>
      </c>
      <c r="D166" s="20" t="n">
        <v>1</v>
      </c>
      <c r="E166" s="20" t="n">
        <v>0</v>
      </c>
      <c r="F166" s="19"/>
      <c r="G166" s="12" t="str">
        <f aca="false">IFERROR(IF(AND(COUNT(C166:E166)=3,OR(C166=0,C166=1),OR(D166=0,D166=1),OR(E166=0,E166=1),OR(A166&lt;&gt;"",SUM(C166:E166)=0)),"OK","FEHLER"),"FEHLER")</f>
        <v>OK</v>
      </c>
    </row>
    <row r="167" customFormat="false" ht="16.4" hidden="false" customHeight="false" outlineLevel="0" collapsed="false">
      <c r="A167" s="23" t="n">
        <f aca="false">IFERROR(IF(YEAR(DATE(Eingaben!$B$10,1,1)+162)=Eingaben!$B$10,DATE(Eingaben!$B$10,1,1)+162,""),"")</f>
        <v>46185</v>
      </c>
      <c r="B167" s="12" t="str">
        <f aca="false">IF(A167="","",CHOOSE(WEEKDAY(A167,2),"Mo","Di","Mi","Do","Fr","Sa","So"))</f>
        <v>Fr</v>
      </c>
      <c r="C167" s="20" t="n">
        <v>1</v>
      </c>
      <c r="D167" s="20" t="n">
        <v>1</v>
      </c>
      <c r="E167" s="20" t="n">
        <v>0</v>
      </c>
      <c r="F167" s="19"/>
      <c r="G167" s="12" t="str">
        <f aca="false">IFERROR(IF(AND(COUNT(C167:E167)=3,OR(C167=0,C167=1),OR(D167=0,D167=1),OR(E167=0,E167=1),OR(A167&lt;&gt;"",SUM(C167:E167)=0)),"OK","FEHLER"),"FEHLER")</f>
        <v>OK</v>
      </c>
    </row>
    <row r="168" customFormat="false" ht="16.4" hidden="false" customHeight="false" outlineLevel="0" collapsed="false">
      <c r="A168" s="23" t="n">
        <f aca="false">IFERROR(IF(YEAR(DATE(Eingaben!$B$10,1,1)+163)=Eingaben!$B$10,DATE(Eingaben!$B$10,1,1)+163,""),"")</f>
        <v>46186</v>
      </c>
      <c r="B168" s="12" t="str">
        <f aca="false">IF(A168="","",CHOOSE(WEEKDAY(A168,2),"Mo","Di","Mi","Do","Fr","Sa","So"))</f>
        <v>Sa</v>
      </c>
      <c r="C168" s="20" t="n">
        <v>0</v>
      </c>
      <c r="D168" s="20" t="n">
        <v>1</v>
      </c>
      <c r="E168" s="20" t="n">
        <v>0</v>
      </c>
      <c r="F168" s="19"/>
      <c r="G168" s="12" t="str">
        <f aca="false">IFERROR(IF(AND(COUNT(C168:E168)=3,OR(C168=0,C168=1),OR(D168=0,D168=1),OR(E168=0,E168=1),OR(A168&lt;&gt;"",SUM(C168:E168)=0)),"OK","FEHLER"),"FEHLER")</f>
        <v>OK</v>
      </c>
    </row>
    <row r="169" customFormat="false" ht="16.4" hidden="false" customHeight="false" outlineLevel="0" collapsed="false">
      <c r="A169" s="23" t="n">
        <f aca="false">IFERROR(IF(YEAR(DATE(Eingaben!$B$10,1,1)+164)=Eingaben!$B$10,DATE(Eingaben!$B$10,1,1)+164,""),"")</f>
        <v>46187</v>
      </c>
      <c r="B169" s="12" t="str">
        <f aca="false">IF(A169="","",CHOOSE(WEEKDAY(A169,2),"Mo","Di","Mi","Do","Fr","Sa","So"))</f>
        <v>So</v>
      </c>
      <c r="C169" s="20" t="n">
        <v>0</v>
      </c>
      <c r="D169" s="20" t="n">
        <v>1</v>
      </c>
      <c r="E169" s="20" t="n">
        <v>0</v>
      </c>
      <c r="F169" s="19"/>
      <c r="G169" s="12" t="str">
        <f aca="false">IFERROR(IF(AND(COUNT(C169:E169)=3,OR(C169=0,C169=1),OR(D169=0,D169=1),OR(E169=0,E169=1),OR(A169&lt;&gt;"",SUM(C169:E169)=0)),"OK","FEHLER"),"FEHLER")</f>
        <v>OK</v>
      </c>
    </row>
    <row r="170" customFormat="false" ht="16.4" hidden="false" customHeight="false" outlineLevel="0" collapsed="false">
      <c r="A170" s="23" t="n">
        <f aca="false">IFERROR(IF(YEAR(DATE(Eingaben!$B$10,1,1)+165)=Eingaben!$B$10,DATE(Eingaben!$B$10,1,1)+165,""),"")</f>
        <v>46188</v>
      </c>
      <c r="B170" s="12" t="str">
        <f aca="false">IF(A170="","",CHOOSE(WEEKDAY(A170,2),"Mo","Di","Mi","Do","Fr","Sa","So"))</f>
        <v>Mo</v>
      </c>
      <c r="C170" s="20" t="n">
        <v>1</v>
      </c>
      <c r="D170" s="20" t="n">
        <v>1</v>
      </c>
      <c r="E170" s="20" t="n">
        <v>0</v>
      </c>
      <c r="F170" s="19"/>
      <c r="G170" s="12" t="str">
        <f aca="false">IFERROR(IF(AND(COUNT(C170:E170)=3,OR(C170=0,C170=1),OR(D170=0,D170=1),OR(E170=0,E170=1),OR(A170&lt;&gt;"",SUM(C170:E170)=0)),"OK","FEHLER"),"FEHLER")</f>
        <v>OK</v>
      </c>
    </row>
    <row r="171" customFormat="false" ht="16.4" hidden="false" customHeight="false" outlineLevel="0" collapsed="false">
      <c r="A171" s="23" t="n">
        <f aca="false">IFERROR(IF(YEAR(DATE(Eingaben!$B$10,1,1)+166)=Eingaben!$B$10,DATE(Eingaben!$B$10,1,1)+166,""),"")</f>
        <v>46189</v>
      </c>
      <c r="B171" s="12" t="str">
        <f aca="false">IF(A171="","",CHOOSE(WEEKDAY(A171,2),"Mo","Di","Mi","Do","Fr","Sa","So"))</f>
        <v>Di</v>
      </c>
      <c r="C171" s="20" t="n">
        <v>1</v>
      </c>
      <c r="D171" s="20" t="n">
        <v>1</v>
      </c>
      <c r="E171" s="20" t="n">
        <v>0</v>
      </c>
      <c r="F171" s="19"/>
      <c r="G171" s="12" t="str">
        <f aca="false">IFERROR(IF(AND(COUNT(C171:E171)=3,OR(C171=0,C171=1),OR(D171=0,D171=1),OR(E171=0,E171=1),OR(A171&lt;&gt;"",SUM(C171:E171)=0)),"OK","FEHLER"),"FEHLER")</f>
        <v>OK</v>
      </c>
    </row>
    <row r="172" customFormat="false" ht="16.4" hidden="false" customHeight="false" outlineLevel="0" collapsed="false">
      <c r="A172" s="23" t="n">
        <f aca="false">IFERROR(IF(YEAR(DATE(Eingaben!$B$10,1,1)+167)=Eingaben!$B$10,DATE(Eingaben!$B$10,1,1)+167,""),"")</f>
        <v>46190</v>
      </c>
      <c r="B172" s="12" t="str">
        <f aca="false">IF(A172="","",CHOOSE(WEEKDAY(A172,2),"Mo","Di","Mi","Do","Fr","Sa","So"))</f>
        <v>Mi</v>
      </c>
      <c r="C172" s="20" t="n">
        <v>1</v>
      </c>
      <c r="D172" s="20" t="n">
        <v>1</v>
      </c>
      <c r="E172" s="20" t="n">
        <v>0</v>
      </c>
      <c r="F172" s="19"/>
      <c r="G172" s="12" t="str">
        <f aca="false">IFERROR(IF(AND(COUNT(C172:E172)=3,OR(C172=0,C172=1),OR(D172=0,D172=1),OR(E172=0,E172=1),OR(A172&lt;&gt;"",SUM(C172:E172)=0)),"OK","FEHLER"),"FEHLER")</f>
        <v>OK</v>
      </c>
    </row>
    <row r="173" customFormat="false" ht="16.4" hidden="false" customHeight="false" outlineLevel="0" collapsed="false">
      <c r="A173" s="23" t="n">
        <f aca="false">IFERROR(IF(YEAR(DATE(Eingaben!$B$10,1,1)+168)=Eingaben!$B$10,DATE(Eingaben!$B$10,1,1)+168,""),"")</f>
        <v>46191</v>
      </c>
      <c r="B173" s="12" t="str">
        <f aca="false">IF(A173="","",CHOOSE(WEEKDAY(A173,2),"Mo","Di","Mi","Do","Fr","Sa","So"))</f>
        <v>Do</v>
      </c>
      <c r="C173" s="20" t="n">
        <v>1</v>
      </c>
      <c r="D173" s="20" t="n">
        <v>1</v>
      </c>
      <c r="E173" s="20" t="n">
        <v>0</v>
      </c>
      <c r="F173" s="19"/>
      <c r="G173" s="12" t="str">
        <f aca="false">IFERROR(IF(AND(COUNT(C173:E173)=3,OR(C173=0,C173=1),OR(D173=0,D173=1),OR(E173=0,E173=1),OR(A173&lt;&gt;"",SUM(C173:E173)=0)),"OK","FEHLER"),"FEHLER")</f>
        <v>OK</v>
      </c>
    </row>
    <row r="174" customFormat="false" ht="16.4" hidden="false" customHeight="false" outlineLevel="0" collapsed="false">
      <c r="A174" s="23" t="n">
        <f aca="false">IFERROR(IF(YEAR(DATE(Eingaben!$B$10,1,1)+169)=Eingaben!$B$10,DATE(Eingaben!$B$10,1,1)+169,""),"")</f>
        <v>46192</v>
      </c>
      <c r="B174" s="12" t="str">
        <f aca="false">IF(A174="","",CHOOSE(WEEKDAY(A174,2),"Mo","Di","Mi","Do","Fr","Sa","So"))</f>
        <v>Fr</v>
      </c>
      <c r="C174" s="20" t="n">
        <v>1</v>
      </c>
      <c r="D174" s="20" t="n">
        <v>1</v>
      </c>
      <c r="E174" s="20" t="n">
        <v>0</v>
      </c>
      <c r="F174" s="19"/>
      <c r="G174" s="12" t="str">
        <f aca="false">IFERROR(IF(AND(COUNT(C174:E174)=3,OR(C174=0,C174=1),OR(D174=0,D174=1),OR(E174=0,E174=1),OR(A174&lt;&gt;"",SUM(C174:E174)=0)),"OK","FEHLER"),"FEHLER")</f>
        <v>OK</v>
      </c>
    </row>
    <row r="175" customFormat="false" ht="16.4" hidden="false" customHeight="false" outlineLevel="0" collapsed="false">
      <c r="A175" s="23" t="n">
        <f aca="false">IFERROR(IF(YEAR(DATE(Eingaben!$B$10,1,1)+170)=Eingaben!$B$10,DATE(Eingaben!$B$10,1,1)+170,""),"")</f>
        <v>46193</v>
      </c>
      <c r="B175" s="12" t="str">
        <f aca="false">IF(A175="","",CHOOSE(WEEKDAY(A175,2),"Mo","Di","Mi","Do","Fr","Sa","So"))</f>
        <v>Sa</v>
      </c>
      <c r="C175" s="20" t="n">
        <v>0</v>
      </c>
      <c r="D175" s="20" t="n">
        <v>1</v>
      </c>
      <c r="E175" s="20" t="n">
        <v>0</v>
      </c>
      <c r="F175" s="19"/>
      <c r="G175" s="12" t="str">
        <f aca="false">IFERROR(IF(AND(COUNT(C175:E175)=3,OR(C175=0,C175=1),OR(D175=0,D175=1),OR(E175=0,E175=1),OR(A175&lt;&gt;"",SUM(C175:E175)=0)),"OK","FEHLER"),"FEHLER")</f>
        <v>OK</v>
      </c>
    </row>
    <row r="176" customFormat="false" ht="16.4" hidden="false" customHeight="false" outlineLevel="0" collapsed="false">
      <c r="A176" s="23" t="n">
        <f aca="false">IFERROR(IF(YEAR(DATE(Eingaben!$B$10,1,1)+171)=Eingaben!$B$10,DATE(Eingaben!$B$10,1,1)+171,""),"")</f>
        <v>46194</v>
      </c>
      <c r="B176" s="12" t="str">
        <f aca="false">IF(A176="","",CHOOSE(WEEKDAY(A176,2),"Mo","Di","Mi","Do","Fr","Sa","So"))</f>
        <v>So</v>
      </c>
      <c r="C176" s="20" t="n">
        <v>0</v>
      </c>
      <c r="D176" s="20" t="n">
        <v>1</v>
      </c>
      <c r="E176" s="20" t="n">
        <v>0</v>
      </c>
      <c r="F176" s="19"/>
      <c r="G176" s="12" t="str">
        <f aca="false">IFERROR(IF(AND(COUNT(C176:E176)=3,OR(C176=0,C176=1),OR(D176=0,D176=1),OR(E176=0,E176=1),OR(A176&lt;&gt;"",SUM(C176:E176)=0)),"OK","FEHLER"),"FEHLER")</f>
        <v>OK</v>
      </c>
    </row>
    <row r="177" customFormat="false" ht="16.4" hidden="false" customHeight="false" outlineLevel="0" collapsed="false">
      <c r="A177" s="23" t="n">
        <f aca="false">IFERROR(IF(YEAR(DATE(Eingaben!$B$10,1,1)+172)=Eingaben!$B$10,DATE(Eingaben!$B$10,1,1)+172,""),"")</f>
        <v>46195</v>
      </c>
      <c r="B177" s="12" t="str">
        <f aca="false">IF(A177="","",CHOOSE(WEEKDAY(A177,2),"Mo","Di","Mi","Do","Fr","Sa","So"))</f>
        <v>Mo</v>
      </c>
      <c r="C177" s="20" t="n">
        <v>1</v>
      </c>
      <c r="D177" s="20" t="n">
        <v>1</v>
      </c>
      <c r="E177" s="20" t="n">
        <v>0</v>
      </c>
      <c r="F177" s="19"/>
      <c r="G177" s="12" t="str">
        <f aca="false">IFERROR(IF(AND(COUNT(C177:E177)=3,OR(C177=0,C177=1),OR(D177=0,D177=1),OR(E177=0,E177=1),OR(A177&lt;&gt;"",SUM(C177:E177)=0)),"OK","FEHLER"),"FEHLER")</f>
        <v>OK</v>
      </c>
    </row>
    <row r="178" customFormat="false" ht="16.4" hidden="false" customHeight="false" outlineLevel="0" collapsed="false">
      <c r="A178" s="23" t="n">
        <f aca="false">IFERROR(IF(YEAR(DATE(Eingaben!$B$10,1,1)+173)=Eingaben!$B$10,DATE(Eingaben!$B$10,1,1)+173,""),"")</f>
        <v>46196</v>
      </c>
      <c r="B178" s="12" t="str">
        <f aca="false">IF(A178="","",CHOOSE(WEEKDAY(A178,2),"Mo","Di","Mi","Do","Fr","Sa","So"))</f>
        <v>Di</v>
      </c>
      <c r="C178" s="20" t="n">
        <v>1</v>
      </c>
      <c r="D178" s="20" t="n">
        <v>1</v>
      </c>
      <c r="E178" s="20" t="n">
        <v>0</v>
      </c>
      <c r="F178" s="19"/>
      <c r="G178" s="12" t="str">
        <f aca="false">IFERROR(IF(AND(COUNT(C178:E178)=3,OR(C178=0,C178=1),OR(D178=0,D178=1),OR(E178=0,E178=1),OR(A178&lt;&gt;"",SUM(C178:E178)=0)),"OK","FEHLER"),"FEHLER")</f>
        <v>OK</v>
      </c>
    </row>
    <row r="179" customFormat="false" ht="16.4" hidden="false" customHeight="false" outlineLevel="0" collapsed="false">
      <c r="A179" s="23" t="n">
        <f aca="false">IFERROR(IF(YEAR(DATE(Eingaben!$B$10,1,1)+174)=Eingaben!$B$10,DATE(Eingaben!$B$10,1,1)+174,""),"")</f>
        <v>46197</v>
      </c>
      <c r="B179" s="12" t="str">
        <f aca="false">IF(A179="","",CHOOSE(WEEKDAY(A179,2),"Mo","Di","Mi","Do","Fr","Sa","So"))</f>
        <v>Mi</v>
      </c>
      <c r="C179" s="20" t="n">
        <v>1</v>
      </c>
      <c r="D179" s="20" t="n">
        <v>1</v>
      </c>
      <c r="E179" s="20" t="n">
        <v>0</v>
      </c>
      <c r="F179" s="19"/>
      <c r="G179" s="12" t="str">
        <f aca="false">IFERROR(IF(AND(COUNT(C179:E179)=3,OR(C179=0,C179=1),OR(D179=0,D179=1),OR(E179=0,E179=1),OR(A179&lt;&gt;"",SUM(C179:E179)=0)),"OK","FEHLER"),"FEHLER")</f>
        <v>OK</v>
      </c>
    </row>
    <row r="180" customFormat="false" ht="16.4" hidden="false" customHeight="false" outlineLevel="0" collapsed="false">
      <c r="A180" s="23" t="n">
        <f aca="false">IFERROR(IF(YEAR(DATE(Eingaben!$B$10,1,1)+175)=Eingaben!$B$10,DATE(Eingaben!$B$10,1,1)+175,""),"")</f>
        <v>46198</v>
      </c>
      <c r="B180" s="12" t="str">
        <f aca="false">IF(A180="","",CHOOSE(WEEKDAY(A180,2),"Mo","Di","Mi","Do","Fr","Sa","So"))</f>
        <v>Do</v>
      </c>
      <c r="C180" s="20" t="n">
        <v>1</v>
      </c>
      <c r="D180" s="20" t="n">
        <v>1</v>
      </c>
      <c r="E180" s="20" t="n">
        <v>0</v>
      </c>
      <c r="F180" s="19"/>
      <c r="G180" s="12" t="str">
        <f aca="false">IFERROR(IF(AND(COUNT(C180:E180)=3,OR(C180=0,C180=1),OR(D180=0,D180=1),OR(E180=0,E180=1),OR(A180&lt;&gt;"",SUM(C180:E180)=0)),"OK","FEHLER"),"FEHLER")</f>
        <v>OK</v>
      </c>
    </row>
    <row r="181" customFormat="false" ht="16.4" hidden="false" customHeight="false" outlineLevel="0" collapsed="false">
      <c r="A181" s="23" t="n">
        <f aca="false">IFERROR(IF(YEAR(DATE(Eingaben!$B$10,1,1)+176)=Eingaben!$B$10,DATE(Eingaben!$B$10,1,1)+176,""),"")</f>
        <v>46199</v>
      </c>
      <c r="B181" s="12" t="str">
        <f aca="false">IF(A181="","",CHOOSE(WEEKDAY(A181,2),"Mo","Di","Mi","Do","Fr","Sa","So"))</f>
        <v>Fr</v>
      </c>
      <c r="C181" s="20" t="n">
        <v>1</v>
      </c>
      <c r="D181" s="20" t="n">
        <v>1</v>
      </c>
      <c r="E181" s="20" t="n">
        <v>0</v>
      </c>
      <c r="F181" s="19"/>
      <c r="G181" s="12" t="str">
        <f aca="false">IFERROR(IF(AND(COUNT(C181:E181)=3,OR(C181=0,C181=1),OR(D181=0,D181=1),OR(E181=0,E181=1),OR(A181&lt;&gt;"",SUM(C181:E181)=0)),"OK","FEHLER"),"FEHLER")</f>
        <v>OK</v>
      </c>
    </row>
    <row r="182" customFormat="false" ht="16.4" hidden="false" customHeight="false" outlineLevel="0" collapsed="false">
      <c r="A182" s="23" t="n">
        <f aca="false">IFERROR(IF(YEAR(DATE(Eingaben!$B$10,1,1)+177)=Eingaben!$B$10,DATE(Eingaben!$B$10,1,1)+177,""),"")</f>
        <v>46200</v>
      </c>
      <c r="B182" s="12" t="str">
        <f aca="false">IF(A182="","",CHOOSE(WEEKDAY(A182,2),"Mo","Di","Mi","Do","Fr","Sa","So"))</f>
        <v>Sa</v>
      </c>
      <c r="C182" s="20" t="n">
        <v>0</v>
      </c>
      <c r="D182" s="20" t="n">
        <v>1</v>
      </c>
      <c r="E182" s="20" t="n">
        <v>0</v>
      </c>
      <c r="F182" s="19"/>
      <c r="G182" s="12" t="str">
        <f aca="false">IFERROR(IF(AND(COUNT(C182:E182)=3,OR(C182=0,C182=1),OR(D182=0,D182=1),OR(E182=0,E182=1),OR(A182&lt;&gt;"",SUM(C182:E182)=0)),"OK","FEHLER"),"FEHLER")</f>
        <v>OK</v>
      </c>
    </row>
    <row r="183" customFormat="false" ht="16.4" hidden="false" customHeight="false" outlineLevel="0" collapsed="false">
      <c r="A183" s="23" t="n">
        <f aca="false">IFERROR(IF(YEAR(DATE(Eingaben!$B$10,1,1)+178)=Eingaben!$B$10,DATE(Eingaben!$B$10,1,1)+178,""),"")</f>
        <v>46201</v>
      </c>
      <c r="B183" s="12" t="str">
        <f aca="false">IF(A183="","",CHOOSE(WEEKDAY(A183,2),"Mo","Di","Mi","Do","Fr","Sa","So"))</f>
        <v>So</v>
      </c>
      <c r="C183" s="20" t="n">
        <v>0</v>
      </c>
      <c r="D183" s="20" t="n">
        <v>1</v>
      </c>
      <c r="E183" s="20" t="n">
        <v>0</v>
      </c>
      <c r="F183" s="19"/>
      <c r="G183" s="12" t="str">
        <f aca="false">IFERROR(IF(AND(COUNT(C183:E183)=3,OR(C183=0,C183=1),OR(D183=0,D183=1),OR(E183=0,E183=1),OR(A183&lt;&gt;"",SUM(C183:E183)=0)),"OK","FEHLER"),"FEHLER")</f>
        <v>OK</v>
      </c>
    </row>
    <row r="184" customFormat="false" ht="16.4" hidden="false" customHeight="false" outlineLevel="0" collapsed="false">
      <c r="A184" s="23" t="n">
        <f aca="false">IFERROR(IF(YEAR(DATE(Eingaben!$B$10,1,1)+179)=Eingaben!$B$10,DATE(Eingaben!$B$10,1,1)+179,""),"")</f>
        <v>46202</v>
      </c>
      <c r="B184" s="12" t="str">
        <f aca="false">IF(A184="","",CHOOSE(WEEKDAY(A184,2),"Mo","Di","Mi","Do","Fr","Sa","So"))</f>
        <v>Mo</v>
      </c>
      <c r="C184" s="20" t="n">
        <v>1</v>
      </c>
      <c r="D184" s="20" t="n">
        <v>1</v>
      </c>
      <c r="E184" s="20" t="n">
        <v>0</v>
      </c>
      <c r="F184" s="19"/>
      <c r="G184" s="12" t="str">
        <f aca="false">IFERROR(IF(AND(COUNT(C184:E184)=3,OR(C184=0,C184=1),OR(D184=0,D184=1),OR(E184=0,E184=1),OR(A184&lt;&gt;"",SUM(C184:E184)=0)),"OK","FEHLER"),"FEHLER")</f>
        <v>OK</v>
      </c>
    </row>
    <row r="185" customFormat="false" ht="16.4" hidden="false" customHeight="false" outlineLevel="0" collapsed="false">
      <c r="A185" s="23" t="n">
        <f aca="false">IFERROR(IF(YEAR(DATE(Eingaben!$B$10,1,1)+180)=Eingaben!$B$10,DATE(Eingaben!$B$10,1,1)+180,""),"")</f>
        <v>46203</v>
      </c>
      <c r="B185" s="12" t="str">
        <f aca="false">IF(A185="","",CHOOSE(WEEKDAY(A185,2),"Mo","Di","Mi","Do","Fr","Sa","So"))</f>
        <v>Di</v>
      </c>
      <c r="C185" s="20" t="n">
        <v>1</v>
      </c>
      <c r="D185" s="20" t="n">
        <v>1</v>
      </c>
      <c r="E185" s="20" t="n">
        <v>0</v>
      </c>
      <c r="F185" s="19"/>
      <c r="G185" s="12" t="str">
        <f aca="false">IFERROR(IF(AND(COUNT(C185:E185)=3,OR(C185=0,C185=1),OR(D185=0,D185=1),OR(E185=0,E185=1),OR(A185&lt;&gt;"",SUM(C185:E185)=0)),"OK","FEHLER"),"FEHLER")</f>
        <v>OK</v>
      </c>
    </row>
    <row r="186" customFormat="false" ht="16.4" hidden="false" customHeight="false" outlineLevel="0" collapsed="false">
      <c r="A186" s="23" t="n">
        <f aca="false">IFERROR(IF(YEAR(DATE(Eingaben!$B$10,1,1)+181)=Eingaben!$B$10,DATE(Eingaben!$B$10,1,1)+181,""),"")</f>
        <v>46204</v>
      </c>
      <c r="B186" s="12" t="str">
        <f aca="false">IF(A186="","",CHOOSE(WEEKDAY(A186,2),"Mo","Di","Mi","Do","Fr","Sa","So"))</f>
        <v>Mi</v>
      </c>
      <c r="C186" s="20" t="n">
        <v>0</v>
      </c>
      <c r="D186" s="20" t="n">
        <v>1</v>
      </c>
      <c r="E186" s="20" t="n">
        <v>0</v>
      </c>
      <c r="F186" s="19"/>
      <c r="G186" s="12" t="str">
        <f aca="false">IFERROR(IF(AND(COUNT(C186:E186)=3,OR(C186=0,C186=1),OR(D186=0,D186=1),OR(E186=0,E186=1),OR(A186&lt;&gt;"",SUM(C186:E186)=0)),"OK","FEHLER"),"FEHLER")</f>
        <v>OK</v>
      </c>
    </row>
    <row r="187" customFormat="false" ht="16.4" hidden="false" customHeight="false" outlineLevel="0" collapsed="false">
      <c r="A187" s="23" t="n">
        <f aca="false">IFERROR(IF(YEAR(DATE(Eingaben!$B$10,1,1)+182)=Eingaben!$B$10,DATE(Eingaben!$B$10,1,1)+182,""),"")</f>
        <v>46205</v>
      </c>
      <c r="B187" s="12" t="str">
        <f aca="false">IF(A187="","",CHOOSE(WEEKDAY(A187,2),"Mo","Di","Mi","Do","Fr","Sa","So"))</f>
        <v>Do</v>
      </c>
      <c r="C187" s="20" t="n">
        <v>0</v>
      </c>
      <c r="D187" s="20" t="n">
        <v>1</v>
      </c>
      <c r="E187" s="20" t="n">
        <v>0</v>
      </c>
      <c r="F187" s="19"/>
      <c r="G187" s="12" t="str">
        <f aca="false">IFERROR(IF(AND(COUNT(C187:E187)=3,OR(C187=0,C187=1),OR(D187=0,D187=1),OR(E187=0,E187=1),OR(A187&lt;&gt;"",SUM(C187:E187)=0)),"OK","FEHLER"),"FEHLER")</f>
        <v>OK</v>
      </c>
    </row>
    <row r="188" customFormat="false" ht="16.4" hidden="false" customHeight="false" outlineLevel="0" collapsed="false">
      <c r="A188" s="23" t="n">
        <f aca="false">IFERROR(IF(YEAR(DATE(Eingaben!$B$10,1,1)+183)=Eingaben!$B$10,DATE(Eingaben!$B$10,1,1)+183,""),"")</f>
        <v>46206</v>
      </c>
      <c r="B188" s="12" t="str">
        <f aca="false">IF(A188="","",CHOOSE(WEEKDAY(A188,2),"Mo","Di","Mi","Do","Fr","Sa","So"))</f>
        <v>Fr</v>
      </c>
      <c r="C188" s="20" t="n">
        <v>0</v>
      </c>
      <c r="D188" s="20" t="n">
        <v>1</v>
      </c>
      <c r="E188" s="20" t="n">
        <v>0</v>
      </c>
      <c r="F188" s="19"/>
      <c r="G188" s="12" t="str">
        <f aca="false">IFERROR(IF(AND(COUNT(C188:E188)=3,OR(C188=0,C188=1),OR(D188=0,D188=1),OR(E188=0,E188=1),OR(A188&lt;&gt;"",SUM(C188:E188)=0)),"OK","FEHLER"),"FEHLER")</f>
        <v>OK</v>
      </c>
    </row>
    <row r="189" customFormat="false" ht="16.4" hidden="false" customHeight="false" outlineLevel="0" collapsed="false">
      <c r="A189" s="23" t="n">
        <f aca="false">IFERROR(IF(YEAR(DATE(Eingaben!$B$10,1,1)+184)=Eingaben!$B$10,DATE(Eingaben!$B$10,1,1)+184,""),"")</f>
        <v>46207</v>
      </c>
      <c r="B189" s="12" t="str">
        <f aca="false">IF(A189="","",CHOOSE(WEEKDAY(A189,2),"Mo","Di","Mi","Do","Fr","Sa","So"))</f>
        <v>Sa</v>
      </c>
      <c r="C189" s="20" t="n">
        <v>0</v>
      </c>
      <c r="D189" s="20" t="n">
        <v>1</v>
      </c>
      <c r="E189" s="20" t="n">
        <v>0</v>
      </c>
      <c r="F189" s="19"/>
      <c r="G189" s="12" t="str">
        <f aca="false">IFERROR(IF(AND(COUNT(C189:E189)=3,OR(C189=0,C189=1),OR(D189=0,D189=1),OR(E189=0,E189=1),OR(A189&lt;&gt;"",SUM(C189:E189)=0)),"OK","FEHLER"),"FEHLER")</f>
        <v>OK</v>
      </c>
    </row>
    <row r="190" customFormat="false" ht="16.4" hidden="false" customHeight="false" outlineLevel="0" collapsed="false">
      <c r="A190" s="23" t="n">
        <f aca="false">IFERROR(IF(YEAR(DATE(Eingaben!$B$10,1,1)+185)=Eingaben!$B$10,DATE(Eingaben!$B$10,1,1)+185,""),"")</f>
        <v>46208</v>
      </c>
      <c r="B190" s="12" t="str">
        <f aca="false">IF(A190="","",CHOOSE(WEEKDAY(A190,2),"Mo","Di","Mi","Do","Fr","Sa","So"))</f>
        <v>So</v>
      </c>
      <c r="C190" s="20" t="n">
        <v>0</v>
      </c>
      <c r="D190" s="20" t="n">
        <v>1</v>
      </c>
      <c r="E190" s="20" t="n">
        <v>0</v>
      </c>
      <c r="F190" s="19"/>
      <c r="G190" s="12" t="str">
        <f aca="false">IFERROR(IF(AND(COUNT(C190:E190)=3,OR(C190=0,C190=1),OR(D190=0,D190=1),OR(E190=0,E190=1),OR(A190&lt;&gt;"",SUM(C190:E190)=0)),"OK","FEHLER"),"FEHLER")</f>
        <v>OK</v>
      </c>
    </row>
    <row r="191" customFormat="false" ht="16.4" hidden="false" customHeight="false" outlineLevel="0" collapsed="false">
      <c r="A191" s="23" t="n">
        <f aca="false">IFERROR(IF(YEAR(DATE(Eingaben!$B$10,1,1)+186)=Eingaben!$B$10,DATE(Eingaben!$B$10,1,1)+186,""),"")</f>
        <v>46209</v>
      </c>
      <c r="B191" s="12" t="str">
        <f aca="false">IF(A191="","",CHOOSE(WEEKDAY(A191,2),"Mo","Di","Mi","Do","Fr","Sa","So"))</f>
        <v>Mo</v>
      </c>
      <c r="C191" s="20" t="n">
        <v>0</v>
      </c>
      <c r="D191" s="20" t="n">
        <v>1</v>
      </c>
      <c r="E191" s="20" t="n">
        <v>0</v>
      </c>
      <c r="F191" s="19"/>
      <c r="G191" s="12" t="str">
        <f aca="false">IFERROR(IF(AND(COUNT(C191:E191)=3,OR(C191=0,C191=1),OR(D191=0,D191=1),OR(E191=0,E191=1),OR(A191&lt;&gt;"",SUM(C191:E191)=0)),"OK","FEHLER"),"FEHLER")</f>
        <v>OK</v>
      </c>
    </row>
    <row r="192" customFormat="false" ht="16.4" hidden="false" customHeight="false" outlineLevel="0" collapsed="false">
      <c r="A192" s="23" t="n">
        <f aca="false">IFERROR(IF(YEAR(DATE(Eingaben!$B$10,1,1)+187)=Eingaben!$B$10,DATE(Eingaben!$B$10,1,1)+187,""),"")</f>
        <v>46210</v>
      </c>
      <c r="B192" s="12" t="str">
        <f aca="false">IF(A192="","",CHOOSE(WEEKDAY(A192,2),"Mo","Di","Mi","Do","Fr","Sa","So"))</f>
        <v>Di</v>
      </c>
      <c r="C192" s="20" t="n">
        <v>0</v>
      </c>
      <c r="D192" s="20" t="n">
        <v>1</v>
      </c>
      <c r="E192" s="20" t="n">
        <v>0</v>
      </c>
      <c r="F192" s="19"/>
      <c r="G192" s="12" t="str">
        <f aca="false">IFERROR(IF(AND(COUNT(C192:E192)=3,OR(C192=0,C192=1),OR(D192=0,D192=1),OR(E192=0,E192=1),OR(A192&lt;&gt;"",SUM(C192:E192)=0)),"OK","FEHLER"),"FEHLER")</f>
        <v>OK</v>
      </c>
    </row>
    <row r="193" customFormat="false" ht="16.4" hidden="false" customHeight="false" outlineLevel="0" collapsed="false">
      <c r="A193" s="23" t="n">
        <f aca="false">IFERROR(IF(YEAR(DATE(Eingaben!$B$10,1,1)+188)=Eingaben!$B$10,DATE(Eingaben!$B$10,1,1)+188,""),"")</f>
        <v>46211</v>
      </c>
      <c r="B193" s="12" t="str">
        <f aca="false">IF(A193="","",CHOOSE(WEEKDAY(A193,2),"Mo","Di","Mi","Do","Fr","Sa","So"))</f>
        <v>Mi</v>
      </c>
      <c r="C193" s="20" t="n">
        <v>0</v>
      </c>
      <c r="D193" s="20" t="n">
        <v>1</v>
      </c>
      <c r="E193" s="20" t="n">
        <v>0</v>
      </c>
      <c r="F193" s="19"/>
      <c r="G193" s="12" t="str">
        <f aca="false">IFERROR(IF(AND(COUNT(C193:E193)=3,OR(C193=0,C193=1),OR(D193=0,D193=1),OR(E193=0,E193=1),OR(A193&lt;&gt;"",SUM(C193:E193)=0)),"OK","FEHLER"),"FEHLER")</f>
        <v>OK</v>
      </c>
    </row>
    <row r="194" customFormat="false" ht="16.4" hidden="false" customHeight="false" outlineLevel="0" collapsed="false">
      <c r="A194" s="23" t="n">
        <f aca="false">IFERROR(IF(YEAR(DATE(Eingaben!$B$10,1,1)+189)=Eingaben!$B$10,DATE(Eingaben!$B$10,1,1)+189,""),"")</f>
        <v>46212</v>
      </c>
      <c r="B194" s="12" t="str">
        <f aca="false">IF(A194="","",CHOOSE(WEEKDAY(A194,2),"Mo","Di","Mi","Do","Fr","Sa","So"))</f>
        <v>Do</v>
      </c>
      <c r="C194" s="20" t="n">
        <v>0</v>
      </c>
      <c r="D194" s="20" t="n">
        <v>1</v>
      </c>
      <c r="E194" s="20" t="n">
        <v>0</v>
      </c>
      <c r="F194" s="19"/>
      <c r="G194" s="12" t="str">
        <f aca="false">IFERROR(IF(AND(COUNT(C194:E194)=3,OR(C194=0,C194=1),OR(D194=0,D194=1),OR(E194=0,E194=1),OR(A194&lt;&gt;"",SUM(C194:E194)=0)),"OK","FEHLER"),"FEHLER")</f>
        <v>OK</v>
      </c>
    </row>
    <row r="195" customFormat="false" ht="16.4" hidden="false" customHeight="false" outlineLevel="0" collapsed="false">
      <c r="A195" s="23" t="n">
        <f aca="false">IFERROR(IF(YEAR(DATE(Eingaben!$B$10,1,1)+190)=Eingaben!$B$10,DATE(Eingaben!$B$10,1,1)+190,""),"")</f>
        <v>46213</v>
      </c>
      <c r="B195" s="12" t="str">
        <f aca="false">IF(A195="","",CHOOSE(WEEKDAY(A195,2),"Mo","Di","Mi","Do","Fr","Sa","So"))</f>
        <v>Fr</v>
      </c>
      <c r="C195" s="20" t="n">
        <v>0</v>
      </c>
      <c r="D195" s="20" t="n">
        <v>1</v>
      </c>
      <c r="E195" s="20" t="n">
        <v>0</v>
      </c>
      <c r="F195" s="19"/>
      <c r="G195" s="12" t="str">
        <f aca="false">IFERROR(IF(AND(COUNT(C195:E195)=3,OR(C195=0,C195=1),OR(D195=0,D195=1),OR(E195=0,E195=1),OR(A195&lt;&gt;"",SUM(C195:E195)=0)),"OK","FEHLER"),"FEHLER")</f>
        <v>OK</v>
      </c>
    </row>
    <row r="196" customFormat="false" ht="16.4" hidden="false" customHeight="false" outlineLevel="0" collapsed="false">
      <c r="A196" s="23" t="n">
        <f aca="false">IFERROR(IF(YEAR(DATE(Eingaben!$B$10,1,1)+191)=Eingaben!$B$10,DATE(Eingaben!$B$10,1,1)+191,""),"")</f>
        <v>46214</v>
      </c>
      <c r="B196" s="12" t="str">
        <f aca="false">IF(A196="","",CHOOSE(WEEKDAY(A196,2),"Mo","Di","Mi","Do","Fr","Sa","So"))</f>
        <v>Sa</v>
      </c>
      <c r="C196" s="20" t="n">
        <v>0</v>
      </c>
      <c r="D196" s="20" t="n">
        <v>1</v>
      </c>
      <c r="E196" s="20" t="n">
        <v>0</v>
      </c>
      <c r="F196" s="19"/>
      <c r="G196" s="12" t="str">
        <f aca="false">IFERROR(IF(AND(COUNT(C196:E196)=3,OR(C196=0,C196=1),OR(D196=0,D196=1),OR(E196=0,E196=1),OR(A196&lt;&gt;"",SUM(C196:E196)=0)),"OK","FEHLER"),"FEHLER")</f>
        <v>OK</v>
      </c>
    </row>
    <row r="197" customFormat="false" ht="16.4" hidden="false" customHeight="false" outlineLevel="0" collapsed="false">
      <c r="A197" s="23" t="n">
        <f aca="false">IFERROR(IF(YEAR(DATE(Eingaben!$B$10,1,1)+192)=Eingaben!$B$10,DATE(Eingaben!$B$10,1,1)+192,""),"")</f>
        <v>46215</v>
      </c>
      <c r="B197" s="12" t="str">
        <f aca="false">IF(A197="","",CHOOSE(WEEKDAY(A197,2),"Mo","Di","Mi","Do","Fr","Sa","So"))</f>
        <v>So</v>
      </c>
      <c r="C197" s="20" t="n">
        <v>0</v>
      </c>
      <c r="D197" s="20" t="n">
        <v>1</v>
      </c>
      <c r="E197" s="20" t="n">
        <v>0</v>
      </c>
      <c r="F197" s="19"/>
      <c r="G197" s="12" t="str">
        <f aca="false">IFERROR(IF(AND(COUNT(C197:E197)=3,OR(C197=0,C197=1),OR(D197=0,D197=1),OR(E197=0,E197=1),OR(A197&lt;&gt;"",SUM(C197:E197)=0)),"OK","FEHLER"),"FEHLER")</f>
        <v>OK</v>
      </c>
    </row>
    <row r="198" customFormat="false" ht="16.4" hidden="false" customHeight="false" outlineLevel="0" collapsed="false">
      <c r="A198" s="23" t="n">
        <f aca="false">IFERROR(IF(YEAR(DATE(Eingaben!$B$10,1,1)+193)=Eingaben!$B$10,DATE(Eingaben!$B$10,1,1)+193,""),"")</f>
        <v>46216</v>
      </c>
      <c r="B198" s="12" t="str">
        <f aca="false">IF(A198="","",CHOOSE(WEEKDAY(A198,2),"Mo","Di","Mi","Do","Fr","Sa","So"))</f>
        <v>Mo</v>
      </c>
      <c r="C198" s="20" t="n">
        <v>0</v>
      </c>
      <c r="D198" s="20" t="n">
        <v>1</v>
      </c>
      <c r="E198" s="20" t="n">
        <v>0</v>
      </c>
      <c r="F198" s="19"/>
      <c r="G198" s="12" t="str">
        <f aca="false">IFERROR(IF(AND(COUNT(C198:E198)=3,OR(C198=0,C198=1),OR(D198=0,D198=1),OR(E198=0,E198=1),OR(A198&lt;&gt;"",SUM(C198:E198)=0)),"OK","FEHLER"),"FEHLER")</f>
        <v>OK</v>
      </c>
    </row>
    <row r="199" customFormat="false" ht="16.4" hidden="false" customHeight="false" outlineLevel="0" collapsed="false">
      <c r="A199" s="23" t="n">
        <f aca="false">IFERROR(IF(YEAR(DATE(Eingaben!$B$10,1,1)+194)=Eingaben!$B$10,DATE(Eingaben!$B$10,1,1)+194,""),"")</f>
        <v>46217</v>
      </c>
      <c r="B199" s="12" t="str">
        <f aca="false">IF(A199="","",CHOOSE(WEEKDAY(A199,2),"Mo","Di","Mi","Do","Fr","Sa","So"))</f>
        <v>Di</v>
      </c>
      <c r="C199" s="20" t="n">
        <v>0</v>
      </c>
      <c r="D199" s="20" t="n">
        <v>1</v>
      </c>
      <c r="E199" s="20" t="n">
        <v>0</v>
      </c>
      <c r="F199" s="19"/>
      <c r="G199" s="12" t="str">
        <f aca="false">IFERROR(IF(AND(COUNT(C199:E199)=3,OR(C199=0,C199=1),OR(D199=0,D199=1),OR(E199=0,E199=1),OR(A199&lt;&gt;"",SUM(C199:E199)=0)),"OK","FEHLER"),"FEHLER")</f>
        <v>OK</v>
      </c>
    </row>
    <row r="200" customFormat="false" ht="16.4" hidden="false" customHeight="false" outlineLevel="0" collapsed="false">
      <c r="A200" s="23" t="n">
        <f aca="false">IFERROR(IF(YEAR(DATE(Eingaben!$B$10,1,1)+195)=Eingaben!$B$10,DATE(Eingaben!$B$10,1,1)+195,""),"")</f>
        <v>46218</v>
      </c>
      <c r="B200" s="12" t="str">
        <f aca="false">IF(A200="","",CHOOSE(WEEKDAY(A200,2),"Mo","Di","Mi","Do","Fr","Sa","So"))</f>
        <v>Mi</v>
      </c>
      <c r="C200" s="20" t="n">
        <v>0</v>
      </c>
      <c r="D200" s="20" t="n">
        <v>1</v>
      </c>
      <c r="E200" s="20" t="n">
        <v>0</v>
      </c>
      <c r="F200" s="19"/>
      <c r="G200" s="12" t="str">
        <f aca="false">IFERROR(IF(AND(COUNT(C200:E200)=3,OR(C200=0,C200=1),OR(D200=0,D200=1),OR(E200=0,E200=1),OR(A200&lt;&gt;"",SUM(C200:E200)=0)),"OK","FEHLER"),"FEHLER")</f>
        <v>OK</v>
      </c>
    </row>
    <row r="201" customFormat="false" ht="16.4" hidden="false" customHeight="false" outlineLevel="0" collapsed="false">
      <c r="A201" s="23" t="n">
        <f aca="false">IFERROR(IF(YEAR(DATE(Eingaben!$B$10,1,1)+196)=Eingaben!$B$10,DATE(Eingaben!$B$10,1,1)+196,""),"")</f>
        <v>46219</v>
      </c>
      <c r="B201" s="12" t="str">
        <f aca="false">IF(A201="","",CHOOSE(WEEKDAY(A201,2),"Mo","Di","Mi","Do","Fr","Sa","So"))</f>
        <v>Do</v>
      </c>
      <c r="C201" s="20" t="n">
        <v>0</v>
      </c>
      <c r="D201" s="20" t="n">
        <v>1</v>
      </c>
      <c r="E201" s="20" t="n">
        <v>0</v>
      </c>
      <c r="F201" s="19"/>
      <c r="G201" s="12" t="str">
        <f aca="false">IFERROR(IF(AND(COUNT(C201:E201)=3,OR(C201=0,C201=1),OR(D201=0,D201=1),OR(E201=0,E201=1),OR(A201&lt;&gt;"",SUM(C201:E201)=0)),"OK","FEHLER"),"FEHLER")</f>
        <v>OK</v>
      </c>
    </row>
    <row r="202" customFormat="false" ht="16.4" hidden="false" customHeight="false" outlineLevel="0" collapsed="false">
      <c r="A202" s="23" t="n">
        <f aca="false">IFERROR(IF(YEAR(DATE(Eingaben!$B$10,1,1)+197)=Eingaben!$B$10,DATE(Eingaben!$B$10,1,1)+197,""),"")</f>
        <v>46220</v>
      </c>
      <c r="B202" s="12" t="str">
        <f aca="false">IF(A202="","",CHOOSE(WEEKDAY(A202,2),"Mo","Di","Mi","Do","Fr","Sa","So"))</f>
        <v>Fr</v>
      </c>
      <c r="C202" s="20" t="n">
        <v>0</v>
      </c>
      <c r="D202" s="20" t="n">
        <v>1</v>
      </c>
      <c r="E202" s="20" t="n">
        <v>0</v>
      </c>
      <c r="F202" s="19"/>
      <c r="G202" s="12" t="str">
        <f aca="false">IFERROR(IF(AND(COUNT(C202:E202)=3,OR(C202=0,C202=1),OR(D202=0,D202=1),OR(E202=0,E202=1),OR(A202&lt;&gt;"",SUM(C202:E202)=0)),"OK","FEHLER"),"FEHLER")</f>
        <v>OK</v>
      </c>
    </row>
    <row r="203" customFormat="false" ht="16.4" hidden="false" customHeight="false" outlineLevel="0" collapsed="false">
      <c r="A203" s="23" t="n">
        <f aca="false">IFERROR(IF(YEAR(DATE(Eingaben!$B$10,1,1)+198)=Eingaben!$B$10,DATE(Eingaben!$B$10,1,1)+198,""),"")</f>
        <v>46221</v>
      </c>
      <c r="B203" s="12" t="str">
        <f aca="false">IF(A203="","",CHOOSE(WEEKDAY(A203,2),"Mo","Di","Mi","Do","Fr","Sa","So"))</f>
        <v>Sa</v>
      </c>
      <c r="C203" s="20" t="n">
        <v>0</v>
      </c>
      <c r="D203" s="20" t="n">
        <v>1</v>
      </c>
      <c r="E203" s="20" t="n">
        <v>0</v>
      </c>
      <c r="F203" s="19"/>
      <c r="G203" s="12" t="str">
        <f aca="false">IFERROR(IF(AND(COUNT(C203:E203)=3,OR(C203=0,C203=1),OR(D203=0,D203=1),OR(E203=0,E203=1),OR(A203&lt;&gt;"",SUM(C203:E203)=0)),"OK","FEHLER"),"FEHLER")</f>
        <v>OK</v>
      </c>
    </row>
    <row r="204" customFormat="false" ht="16.4" hidden="false" customHeight="false" outlineLevel="0" collapsed="false">
      <c r="A204" s="23" t="n">
        <f aca="false">IFERROR(IF(YEAR(DATE(Eingaben!$B$10,1,1)+199)=Eingaben!$B$10,DATE(Eingaben!$B$10,1,1)+199,""),"")</f>
        <v>46222</v>
      </c>
      <c r="B204" s="12" t="str">
        <f aca="false">IF(A204="","",CHOOSE(WEEKDAY(A204,2),"Mo","Di","Mi","Do","Fr","Sa","So"))</f>
        <v>So</v>
      </c>
      <c r="C204" s="20" t="n">
        <v>0</v>
      </c>
      <c r="D204" s="20" t="n">
        <v>1</v>
      </c>
      <c r="E204" s="20" t="n">
        <v>0</v>
      </c>
      <c r="F204" s="19"/>
      <c r="G204" s="12" t="str">
        <f aca="false">IFERROR(IF(AND(COUNT(C204:E204)=3,OR(C204=0,C204=1),OR(D204=0,D204=1),OR(E204=0,E204=1),OR(A204&lt;&gt;"",SUM(C204:E204)=0)),"OK","FEHLER"),"FEHLER")</f>
        <v>OK</v>
      </c>
    </row>
    <row r="205" customFormat="false" ht="16.4" hidden="false" customHeight="false" outlineLevel="0" collapsed="false">
      <c r="A205" s="23" t="n">
        <f aca="false">IFERROR(IF(YEAR(DATE(Eingaben!$B$10,1,1)+200)=Eingaben!$B$10,DATE(Eingaben!$B$10,1,1)+200,""),"")</f>
        <v>46223</v>
      </c>
      <c r="B205" s="12" t="str">
        <f aca="false">IF(A205="","",CHOOSE(WEEKDAY(A205,2),"Mo","Di","Mi","Do","Fr","Sa","So"))</f>
        <v>Mo</v>
      </c>
      <c r="C205" s="20" t="n">
        <v>0</v>
      </c>
      <c r="D205" s="20" t="n">
        <v>1</v>
      </c>
      <c r="E205" s="20" t="n">
        <v>0</v>
      </c>
      <c r="F205" s="19"/>
      <c r="G205" s="12" t="str">
        <f aca="false">IFERROR(IF(AND(COUNT(C205:E205)=3,OR(C205=0,C205=1),OR(D205=0,D205=1),OR(E205=0,E205=1),OR(A205&lt;&gt;"",SUM(C205:E205)=0)),"OK","FEHLER"),"FEHLER")</f>
        <v>OK</v>
      </c>
    </row>
    <row r="206" customFormat="false" ht="16.4" hidden="false" customHeight="false" outlineLevel="0" collapsed="false">
      <c r="A206" s="23" t="n">
        <f aca="false">IFERROR(IF(YEAR(DATE(Eingaben!$B$10,1,1)+201)=Eingaben!$B$10,DATE(Eingaben!$B$10,1,1)+201,""),"")</f>
        <v>46224</v>
      </c>
      <c r="B206" s="12" t="str">
        <f aca="false">IF(A206="","",CHOOSE(WEEKDAY(A206,2),"Mo","Di","Mi","Do","Fr","Sa","So"))</f>
        <v>Di</v>
      </c>
      <c r="C206" s="20" t="n">
        <v>0</v>
      </c>
      <c r="D206" s="20" t="n">
        <v>1</v>
      </c>
      <c r="E206" s="20" t="n">
        <v>0</v>
      </c>
      <c r="F206" s="19"/>
      <c r="G206" s="12" t="str">
        <f aca="false">IFERROR(IF(AND(COUNT(C206:E206)=3,OR(C206=0,C206=1),OR(D206=0,D206=1),OR(E206=0,E206=1),OR(A206&lt;&gt;"",SUM(C206:E206)=0)),"OK","FEHLER"),"FEHLER")</f>
        <v>OK</v>
      </c>
    </row>
    <row r="207" customFormat="false" ht="16.4" hidden="false" customHeight="false" outlineLevel="0" collapsed="false">
      <c r="A207" s="23" t="n">
        <f aca="false">IFERROR(IF(YEAR(DATE(Eingaben!$B$10,1,1)+202)=Eingaben!$B$10,DATE(Eingaben!$B$10,1,1)+202,""),"")</f>
        <v>46225</v>
      </c>
      <c r="B207" s="12" t="str">
        <f aca="false">IF(A207="","",CHOOSE(WEEKDAY(A207,2),"Mo","Di","Mi","Do","Fr","Sa","So"))</f>
        <v>Mi</v>
      </c>
      <c r="C207" s="20" t="n">
        <v>0</v>
      </c>
      <c r="D207" s="20" t="n">
        <v>1</v>
      </c>
      <c r="E207" s="20" t="n">
        <v>0</v>
      </c>
      <c r="F207" s="19"/>
      <c r="G207" s="12" t="str">
        <f aca="false">IFERROR(IF(AND(COUNT(C207:E207)=3,OR(C207=0,C207=1),OR(D207=0,D207=1),OR(E207=0,E207=1),OR(A207&lt;&gt;"",SUM(C207:E207)=0)),"OK","FEHLER"),"FEHLER")</f>
        <v>OK</v>
      </c>
    </row>
    <row r="208" customFormat="false" ht="16.4" hidden="false" customHeight="false" outlineLevel="0" collapsed="false">
      <c r="A208" s="23" t="n">
        <f aca="false">IFERROR(IF(YEAR(DATE(Eingaben!$B$10,1,1)+203)=Eingaben!$B$10,DATE(Eingaben!$B$10,1,1)+203,""),"")</f>
        <v>46226</v>
      </c>
      <c r="B208" s="12" t="str">
        <f aca="false">IF(A208="","",CHOOSE(WEEKDAY(A208,2),"Mo","Di","Mi","Do","Fr","Sa","So"))</f>
        <v>Do</v>
      </c>
      <c r="C208" s="20" t="n">
        <v>0</v>
      </c>
      <c r="D208" s="20" t="n">
        <v>1</v>
      </c>
      <c r="E208" s="20" t="n">
        <v>0</v>
      </c>
      <c r="F208" s="19"/>
      <c r="G208" s="12" t="str">
        <f aca="false">IFERROR(IF(AND(COUNT(C208:E208)=3,OR(C208=0,C208=1),OR(D208=0,D208=1),OR(E208=0,E208=1),OR(A208&lt;&gt;"",SUM(C208:E208)=0)),"OK","FEHLER"),"FEHLER")</f>
        <v>OK</v>
      </c>
    </row>
    <row r="209" customFormat="false" ht="16.4" hidden="false" customHeight="false" outlineLevel="0" collapsed="false">
      <c r="A209" s="23" t="n">
        <f aca="false">IFERROR(IF(YEAR(DATE(Eingaben!$B$10,1,1)+204)=Eingaben!$B$10,DATE(Eingaben!$B$10,1,1)+204,""),"")</f>
        <v>46227</v>
      </c>
      <c r="B209" s="12" t="str">
        <f aca="false">IF(A209="","",CHOOSE(WEEKDAY(A209,2),"Mo","Di","Mi","Do","Fr","Sa","So"))</f>
        <v>Fr</v>
      </c>
      <c r="C209" s="20" t="n">
        <v>0</v>
      </c>
      <c r="D209" s="20" t="n">
        <v>1</v>
      </c>
      <c r="E209" s="20" t="n">
        <v>0</v>
      </c>
      <c r="F209" s="19"/>
      <c r="G209" s="12" t="str">
        <f aca="false">IFERROR(IF(AND(COUNT(C209:E209)=3,OR(C209=0,C209=1),OR(D209=0,D209=1),OR(E209=0,E209=1),OR(A209&lt;&gt;"",SUM(C209:E209)=0)),"OK","FEHLER"),"FEHLER")</f>
        <v>OK</v>
      </c>
    </row>
    <row r="210" customFormat="false" ht="16.4" hidden="false" customHeight="false" outlineLevel="0" collapsed="false">
      <c r="A210" s="23" t="n">
        <f aca="false">IFERROR(IF(YEAR(DATE(Eingaben!$B$10,1,1)+205)=Eingaben!$B$10,DATE(Eingaben!$B$10,1,1)+205,""),"")</f>
        <v>46228</v>
      </c>
      <c r="B210" s="12" t="str">
        <f aca="false">IF(A210="","",CHOOSE(WEEKDAY(A210,2),"Mo","Di","Mi","Do","Fr","Sa","So"))</f>
        <v>Sa</v>
      </c>
      <c r="C210" s="20" t="n">
        <v>0</v>
      </c>
      <c r="D210" s="20" t="n">
        <v>1</v>
      </c>
      <c r="E210" s="20" t="n">
        <v>0</v>
      </c>
      <c r="F210" s="19"/>
      <c r="G210" s="12" t="str">
        <f aca="false">IFERROR(IF(AND(COUNT(C210:E210)=3,OR(C210=0,C210=1),OR(D210=0,D210=1),OR(E210=0,E210=1),OR(A210&lt;&gt;"",SUM(C210:E210)=0)),"OK","FEHLER"),"FEHLER")</f>
        <v>OK</v>
      </c>
    </row>
    <row r="211" customFormat="false" ht="16.4" hidden="false" customHeight="false" outlineLevel="0" collapsed="false">
      <c r="A211" s="23" t="n">
        <f aca="false">IFERROR(IF(YEAR(DATE(Eingaben!$B$10,1,1)+206)=Eingaben!$B$10,DATE(Eingaben!$B$10,1,1)+206,""),"")</f>
        <v>46229</v>
      </c>
      <c r="B211" s="12" t="str">
        <f aca="false">IF(A211="","",CHOOSE(WEEKDAY(A211,2),"Mo","Di","Mi","Do","Fr","Sa","So"))</f>
        <v>So</v>
      </c>
      <c r="C211" s="20" t="n">
        <v>0</v>
      </c>
      <c r="D211" s="20" t="n">
        <v>1</v>
      </c>
      <c r="E211" s="20" t="n">
        <v>0</v>
      </c>
      <c r="F211" s="19"/>
      <c r="G211" s="12" t="str">
        <f aca="false">IFERROR(IF(AND(COUNT(C211:E211)=3,OR(C211=0,C211=1),OR(D211=0,D211=1),OR(E211=0,E211=1),OR(A211&lt;&gt;"",SUM(C211:E211)=0)),"OK","FEHLER"),"FEHLER")</f>
        <v>OK</v>
      </c>
    </row>
    <row r="212" customFormat="false" ht="16.4" hidden="false" customHeight="false" outlineLevel="0" collapsed="false">
      <c r="A212" s="23" t="n">
        <f aca="false">IFERROR(IF(YEAR(DATE(Eingaben!$B$10,1,1)+207)=Eingaben!$B$10,DATE(Eingaben!$B$10,1,1)+207,""),"")</f>
        <v>46230</v>
      </c>
      <c r="B212" s="12" t="str">
        <f aca="false">IF(A212="","",CHOOSE(WEEKDAY(A212,2),"Mo","Di","Mi","Do","Fr","Sa","So"))</f>
        <v>Mo</v>
      </c>
      <c r="C212" s="20" t="n">
        <v>0</v>
      </c>
      <c r="D212" s="20" t="n">
        <v>1</v>
      </c>
      <c r="E212" s="20" t="n">
        <v>0</v>
      </c>
      <c r="F212" s="19"/>
      <c r="G212" s="12" t="str">
        <f aca="false">IFERROR(IF(AND(COUNT(C212:E212)=3,OR(C212=0,C212=1),OR(D212=0,D212=1),OR(E212=0,E212=1),OR(A212&lt;&gt;"",SUM(C212:E212)=0)),"OK","FEHLER"),"FEHLER")</f>
        <v>OK</v>
      </c>
    </row>
    <row r="213" customFormat="false" ht="16.4" hidden="false" customHeight="false" outlineLevel="0" collapsed="false">
      <c r="A213" s="23" t="n">
        <f aca="false">IFERROR(IF(YEAR(DATE(Eingaben!$B$10,1,1)+208)=Eingaben!$B$10,DATE(Eingaben!$B$10,1,1)+208,""),"")</f>
        <v>46231</v>
      </c>
      <c r="B213" s="12" t="str">
        <f aca="false">IF(A213="","",CHOOSE(WEEKDAY(A213,2),"Mo","Di","Mi","Do","Fr","Sa","So"))</f>
        <v>Di</v>
      </c>
      <c r="C213" s="20" t="n">
        <v>0</v>
      </c>
      <c r="D213" s="20" t="n">
        <v>1</v>
      </c>
      <c r="E213" s="20" t="n">
        <v>0</v>
      </c>
      <c r="F213" s="19"/>
      <c r="G213" s="12" t="str">
        <f aca="false">IFERROR(IF(AND(COUNT(C213:E213)=3,OR(C213=0,C213=1),OR(D213=0,D213=1),OR(E213=0,E213=1),OR(A213&lt;&gt;"",SUM(C213:E213)=0)),"OK","FEHLER"),"FEHLER")</f>
        <v>OK</v>
      </c>
    </row>
    <row r="214" customFormat="false" ht="16.4" hidden="false" customHeight="false" outlineLevel="0" collapsed="false">
      <c r="A214" s="23" t="n">
        <f aca="false">IFERROR(IF(YEAR(DATE(Eingaben!$B$10,1,1)+209)=Eingaben!$B$10,DATE(Eingaben!$B$10,1,1)+209,""),"")</f>
        <v>46232</v>
      </c>
      <c r="B214" s="12" t="str">
        <f aca="false">IF(A214="","",CHOOSE(WEEKDAY(A214,2),"Mo","Di","Mi","Do","Fr","Sa","So"))</f>
        <v>Mi</v>
      </c>
      <c r="C214" s="20" t="n">
        <v>0</v>
      </c>
      <c r="D214" s="20" t="n">
        <v>1</v>
      </c>
      <c r="E214" s="20" t="n">
        <v>0</v>
      </c>
      <c r="F214" s="19"/>
      <c r="G214" s="12" t="str">
        <f aca="false">IFERROR(IF(AND(COUNT(C214:E214)=3,OR(C214=0,C214=1),OR(D214=0,D214=1),OR(E214=0,E214=1),OR(A214&lt;&gt;"",SUM(C214:E214)=0)),"OK","FEHLER"),"FEHLER")</f>
        <v>OK</v>
      </c>
    </row>
    <row r="215" customFormat="false" ht="16.4" hidden="false" customHeight="false" outlineLevel="0" collapsed="false">
      <c r="A215" s="23" t="n">
        <f aca="false">IFERROR(IF(YEAR(DATE(Eingaben!$B$10,1,1)+210)=Eingaben!$B$10,DATE(Eingaben!$B$10,1,1)+210,""),"")</f>
        <v>46233</v>
      </c>
      <c r="B215" s="12" t="str">
        <f aca="false">IF(A215="","",CHOOSE(WEEKDAY(A215,2),"Mo","Di","Mi","Do","Fr","Sa","So"))</f>
        <v>Do</v>
      </c>
      <c r="C215" s="20" t="n">
        <v>0</v>
      </c>
      <c r="D215" s="20" t="n">
        <v>1</v>
      </c>
      <c r="E215" s="20" t="n">
        <v>0</v>
      </c>
      <c r="F215" s="19"/>
      <c r="G215" s="12" t="str">
        <f aca="false">IFERROR(IF(AND(COUNT(C215:E215)=3,OR(C215=0,C215=1),OR(D215=0,D215=1),OR(E215=0,E215=1),OR(A215&lt;&gt;"",SUM(C215:E215)=0)),"OK","FEHLER"),"FEHLER")</f>
        <v>OK</v>
      </c>
    </row>
    <row r="216" customFormat="false" ht="16.4" hidden="false" customHeight="false" outlineLevel="0" collapsed="false">
      <c r="A216" s="23" t="n">
        <f aca="false">IFERROR(IF(YEAR(DATE(Eingaben!$B$10,1,1)+211)=Eingaben!$B$10,DATE(Eingaben!$B$10,1,1)+211,""),"")</f>
        <v>46234</v>
      </c>
      <c r="B216" s="12" t="str">
        <f aca="false">IF(A216="","",CHOOSE(WEEKDAY(A216,2),"Mo","Di","Mi","Do","Fr","Sa","So"))</f>
        <v>Fr</v>
      </c>
      <c r="C216" s="20" t="n">
        <v>0</v>
      </c>
      <c r="D216" s="20" t="n">
        <v>1</v>
      </c>
      <c r="E216" s="20" t="n">
        <v>0</v>
      </c>
      <c r="F216" s="19"/>
      <c r="G216" s="12" t="str">
        <f aca="false">IFERROR(IF(AND(COUNT(C216:E216)=3,OR(C216=0,C216=1),OR(D216=0,D216=1),OR(E216=0,E216=1),OR(A216&lt;&gt;"",SUM(C216:E216)=0)),"OK","FEHLER"),"FEHLER")</f>
        <v>OK</v>
      </c>
    </row>
    <row r="217" customFormat="false" ht="16.4" hidden="false" customHeight="false" outlineLevel="0" collapsed="false">
      <c r="A217" s="23" t="n">
        <f aca="false">IFERROR(IF(YEAR(DATE(Eingaben!$B$10,1,1)+212)=Eingaben!$B$10,DATE(Eingaben!$B$10,1,1)+212,""),"")</f>
        <v>46235</v>
      </c>
      <c r="B217" s="12" t="str">
        <f aca="false">IF(A217="","",CHOOSE(WEEKDAY(A217,2),"Mo","Di","Mi","Do","Fr","Sa","So"))</f>
        <v>Sa</v>
      </c>
      <c r="C217" s="20" t="n">
        <v>0</v>
      </c>
      <c r="D217" s="20" t="n">
        <v>1</v>
      </c>
      <c r="E217" s="20" t="n">
        <v>0</v>
      </c>
      <c r="F217" s="19"/>
      <c r="G217" s="12" t="str">
        <f aca="false">IFERROR(IF(AND(COUNT(C217:E217)=3,OR(C217=0,C217=1),OR(D217=0,D217=1),OR(E217=0,E217=1),OR(A217&lt;&gt;"",SUM(C217:E217)=0)),"OK","FEHLER"),"FEHLER")</f>
        <v>OK</v>
      </c>
    </row>
    <row r="218" customFormat="false" ht="16.4" hidden="false" customHeight="false" outlineLevel="0" collapsed="false">
      <c r="A218" s="23" t="n">
        <f aca="false">IFERROR(IF(YEAR(DATE(Eingaben!$B$10,1,1)+213)=Eingaben!$B$10,DATE(Eingaben!$B$10,1,1)+213,""),"")</f>
        <v>46236</v>
      </c>
      <c r="B218" s="12" t="str">
        <f aca="false">IF(A218="","",CHOOSE(WEEKDAY(A218,2),"Mo","Di","Mi","Do","Fr","Sa","So"))</f>
        <v>So</v>
      </c>
      <c r="C218" s="20" t="n">
        <v>0</v>
      </c>
      <c r="D218" s="20" t="n">
        <v>1</v>
      </c>
      <c r="E218" s="20" t="n">
        <v>0</v>
      </c>
      <c r="F218" s="19"/>
      <c r="G218" s="12" t="str">
        <f aca="false">IFERROR(IF(AND(COUNT(C218:E218)=3,OR(C218=0,C218=1),OR(D218=0,D218=1),OR(E218=0,E218=1),OR(A218&lt;&gt;"",SUM(C218:E218)=0)),"OK","FEHLER"),"FEHLER")</f>
        <v>OK</v>
      </c>
    </row>
    <row r="219" customFormat="false" ht="16.4" hidden="false" customHeight="false" outlineLevel="0" collapsed="false">
      <c r="A219" s="23" t="n">
        <f aca="false">IFERROR(IF(YEAR(DATE(Eingaben!$B$10,1,1)+214)=Eingaben!$B$10,DATE(Eingaben!$B$10,1,1)+214,""),"")</f>
        <v>46237</v>
      </c>
      <c r="B219" s="12" t="str">
        <f aca="false">IF(A219="","",CHOOSE(WEEKDAY(A219,2),"Mo","Di","Mi","Do","Fr","Sa","So"))</f>
        <v>Mo</v>
      </c>
      <c r="C219" s="20" t="n">
        <v>0</v>
      </c>
      <c r="D219" s="20" t="n">
        <v>1</v>
      </c>
      <c r="E219" s="20" t="n">
        <v>0</v>
      </c>
      <c r="F219" s="19"/>
      <c r="G219" s="12" t="str">
        <f aca="false">IFERROR(IF(AND(COUNT(C219:E219)=3,OR(C219=0,C219=1),OR(D219=0,D219=1),OR(E219=0,E219=1),OR(A219&lt;&gt;"",SUM(C219:E219)=0)),"OK","FEHLER"),"FEHLER")</f>
        <v>OK</v>
      </c>
    </row>
    <row r="220" customFormat="false" ht="16.4" hidden="false" customHeight="false" outlineLevel="0" collapsed="false">
      <c r="A220" s="23" t="n">
        <f aca="false">IFERROR(IF(YEAR(DATE(Eingaben!$B$10,1,1)+215)=Eingaben!$B$10,DATE(Eingaben!$B$10,1,1)+215,""),"")</f>
        <v>46238</v>
      </c>
      <c r="B220" s="12" t="str">
        <f aca="false">IF(A220="","",CHOOSE(WEEKDAY(A220,2),"Mo","Di","Mi","Do","Fr","Sa","So"))</f>
        <v>Di</v>
      </c>
      <c r="C220" s="20" t="n">
        <v>0</v>
      </c>
      <c r="D220" s="20" t="n">
        <v>1</v>
      </c>
      <c r="E220" s="20" t="n">
        <v>0</v>
      </c>
      <c r="F220" s="19"/>
      <c r="G220" s="12" t="str">
        <f aca="false">IFERROR(IF(AND(COUNT(C220:E220)=3,OR(C220=0,C220=1),OR(D220=0,D220=1),OR(E220=0,E220=1),OR(A220&lt;&gt;"",SUM(C220:E220)=0)),"OK","FEHLER"),"FEHLER")</f>
        <v>OK</v>
      </c>
    </row>
    <row r="221" customFormat="false" ht="16.4" hidden="false" customHeight="false" outlineLevel="0" collapsed="false">
      <c r="A221" s="23" t="n">
        <f aca="false">IFERROR(IF(YEAR(DATE(Eingaben!$B$10,1,1)+216)=Eingaben!$B$10,DATE(Eingaben!$B$10,1,1)+216,""),"")</f>
        <v>46239</v>
      </c>
      <c r="B221" s="12" t="str">
        <f aca="false">IF(A221="","",CHOOSE(WEEKDAY(A221,2),"Mo","Di","Mi","Do","Fr","Sa","So"))</f>
        <v>Mi</v>
      </c>
      <c r="C221" s="20" t="n">
        <v>0</v>
      </c>
      <c r="D221" s="20" t="n">
        <v>1</v>
      </c>
      <c r="E221" s="20" t="n">
        <v>0</v>
      </c>
      <c r="F221" s="19"/>
      <c r="G221" s="12" t="str">
        <f aca="false">IFERROR(IF(AND(COUNT(C221:E221)=3,OR(C221=0,C221=1),OR(D221=0,D221=1),OR(E221=0,E221=1),OR(A221&lt;&gt;"",SUM(C221:E221)=0)),"OK","FEHLER"),"FEHLER")</f>
        <v>OK</v>
      </c>
    </row>
    <row r="222" customFormat="false" ht="16.4" hidden="false" customHeight="false" outlineLevel="0" collapsed="false">
      <c r="A222" s="23" t="n">
        <f aca="false">IFERROR(IF(YEAR(DATE(Eingaben!$B$10,1,1)+217)=Eingaben!$B$10,DATE(Eingaben!$B$10,1,1)+217,""),"")</f>
        <v>46240</v>
      </c>
      <c r="B222" s="12" t="str">
        <f aca="false">IF(A222="","",CHOOSE(WEEKDAY(A222,2),"Mo","Di","Mi","Do","Fr","Sa","So"))</f>
        <v>Do</v>
      </c>
      <c r="C222" s="20" t="n">
        <v>0</v>
      </c>
      <c r="D222" s="20" t="n">
        <v>1</v>
      </c>
      <c r="E222" s="20" t="n">
        <v>0</v>
      </c>
      <c r="F222" s="19"/>
      <c r="G222" s="12" t="str">
        <f aca="false">IFERROR(IF(AND(COUNT(C222:E222)=3,OR(C222=0,C222=1),OR(D222=0,D222=1),OR(E222=0,E222=1),OR(A222&lt;&gt;"",SUM(C222:E222)=0)),"OK","FEHLER"),"FEHLER")</f>
        <v>OK</v>
      </c>
    </row>
    <row r="223" customFormat="false" ht="16.4" hidden="false" customHeight="false" outlineLevel="0" collapsed="false">
      <c r="A223" s="23" t="n">
        <f aca="false">IFERROR(IF(YEAR(DATE(Eingaben!$B$10,1,1)+218)=Eingaben!$B$10,DATE(Eingaben!$B$10,1,1)+218,""),"")</f>
        <v>46241</v>
      </c>
      <c r="B223" s="12" t="str">
        <f aca="false">IF(A223="","",CHOOSE(WEEKDAY(A223,2),"Mo","Di","Mi","Do","Fr","Sa","So"))</f>
        <v>Fr</v>
      </c>
      <c r="C223" s="20" t="n">
        <v>0</v>
      </c>
      <c r="D223" s="20" t="n">
        <v>1</v>
      </c>
      <c r="E223" s="20" t="n">
        <v>0</v>
      </c>
      <c r="F223" s="19"/>
      <c r="G223" s="12" t="str">
        <f aca="false">IFERROR(IF(AND(COUNT(C223:E223)=3,OR(C223=0,C223=1),OR(D223=0,D223=1),OR(E223=0,E223=1),OR(A223&lt;&gt;"",SUM(C223:E223)=0)),"OK","FEHLER"),"FEHLER")</f>
        <v>OK</v>
      </c>
    </row>
    <row r="224" customFormat="false" ht="16.4" hidden="false" customHeight="false" outlineLevel="0" collapsed="false">
      <c r="A224" s="23" t="n">
        <f aca="false">IFERROR(IF(YEAR(DATE(Eingaben!$B$10,1,1)+219)=Eingaben!$B$10,DATE(Eingaben!$B$10,1,1)+219,""),"")</f>
        <v>46242</v>
      </c>
      <c r="B224" s="12" t="str">
        <f aca="false">IF(A224="","",CHOOSE(WEEKDAY(A224,2),"Mo","Di","Mi","Do","Fr","Sa","So"))</f>
        <v>Sa</v>
      </c>
      <c r="C224" s="20" t="n">
        <v>0</v>
      </c>
      <c r="D224" s="20" t="n">
        <v>1</v>
      </c>
      <c r="E224" s="20" t="n">
        <v>0</v>
      </c>
      <c r="F224" s="19"/>
      <c r="G224" s="12" t="str">
        <f aca="false">IFERROR(IF(AND(COUNT(C224:E224)=3,OR(C224=0,C224=1),OR(D224=0,D224=1),OR(E224=0,E224=1),OR(A224&lt;&gt;"",SUM(C224:E224)=0)),"OK","FEHLER"),"FEHLER")</f>
        <v>OK</v>
      </c>
    </row>
    <row r="225" customFormat="false" ht="16.4" hidden="false" customHeight="false" outlineLevel="0" collapsed="false">
      <c r="A225" s="23" t="n">
        <f aca="false">IFERROR(IF(YEAR(DATE(Eingaben!$B$10,1,1)+220)=Eingaben!$B$10,DATE(Eingaben!$B$10,1,1)+220,""),"")</f>
        <v>46243</v>
      </c>
      <c r="B225" s="12" t="str">
        <f aca="false">IF(A225="","",CHOOSE(WEEKDAY(A225,2),"Mo","Di","Mi","Do","Fr","Sa","So"))</f>
        <v>So</v>
      </c>
      <c r="C225" s="20" t="n">
        <v>0</v>
      </c>
      <c r="D225" s="20" t="n">
        <v>1</v>
      </c>
      <c r="E225" s="20" t="n">
        <v>0</v>
      </c>
      <c r="F225" s="19"/>
      <c r="G225" s="12" t="str">
        <f aca="false">IFERROR(IF(AND(COUNT(C225:E225)=3,OR(C225=0,C225=1),OR(D225=0,D225=1),OR(E225=0,E225=1),OR(A225&lt;&gt;"",SUM(C225:E225)=0)),"OK","FEHLER"),"FEHLER")</f>
        <v>OK</v>
      </c>
    </row>
    <row r="226" customFormat="false" ht="16.4" hidden="false" customHeight="false" outlineLevel="0" collapsed="false">
      <c r="A226" s="23" t="n">
        <f aca="false">IFERROR(IF(YEAR(DATE(Eingaben!$B$10,1,1)+221)=Eingaben!$B$10,DATE(Eingaben!$B$10,1,1)+221,""),"")</f>
        <v>46244</v>
      </c>
      <c r="B226" s="12" t="str">
        <f aca="false">IF(A226="","",CHOOSE(WEEKDAY(A226,2),"Mo","Di","Mi","Do","Fr","Sa","So"))</f>
        <v>Mo</v>
      </c>
      <c r="C226" s="20" t="n">
        <v>0</v>
      </c>
      <c r="D226" s="20" t="n">
        <v>1</v>
      </c>
      <c r="E226" s="20" t="n">
        <v>0</v>
      </c>
      <c r="F226" s="19"/>
      <c r="G226" s="12" t="str">
        <f aca="false">IFERROR(IF(AND(COUNT(C226:E226)=3,OR(C226=0,C226=1),OR(D226=0,D226=1),OR(E226=0,E226=1),OR(A226&lt;&gt;"",SUM(C226:E226)=0)),"OK","FEHLER"),"FEHLER")</f>
        <v>OK</v>
      </c>
    </row>
    <row r="227" customFormat="false" ht="16.4" hidden="false" customHeight="false" outlineLevel="0" collapsed="false">
      <c r="A227" s="23" t="n">
        <f aca="false">IFERROR(IF(YEAR(DATE(Eingaben!$B$10,1,1)+222)=Eingaben!$B$10,DATE(Eingaben!$B$10,1,1)+222,""),"")</f>
        <v>46245</v>
      </c>
      <c r="B227" s="12" t="str">
        <f aca="false">IF(A227="","",CHOOSE(WEEKDAY(A227,2),"Mo","Di","Mi","Do","Fr","Sa","So"))</f>
        <v>Di</v>
      </c>
      <c r="C227" s="20" t="n">
        <v>0</v>
      </c>
      <c r="D227" s="20" t="n">
        <v>1</v>
      </c>
      <c r="E227" s="20" t="n">
        <v>0</v>
      </c>
      <c r="F227" s="19"/>
      <c r="G227" s="12" t="str">
        <f aca="false">IFERROR(IF(AND(COUNT(C227:E227)=3,OR(C227=0,C227=1),OR(D227=0,D227=1),OR(E227=0,E227=1),OR(A227&lt;&gt;"",SUM(C227:E227)=0)),"OK","FEHLER"),"FEHLER")</f>
        <v>OK</v>
      </c>
    </row>
    <row r="228" customFormat="false" ht="16.4" hidden="false" customHeight="false" outlineLevel="0" collapsed="false">
      <c r="A228" s="23" t="n">
        <f aca="false">IFERROR(IF(YEAR(DATE(Eingaben!$B$10,1,1)+223)=Eingaben!$B$10,DATE(Eingaben!$B$10,1,1)+223,""),"")</f>
        <v>46246</v>
      </c>
      <c r="B228" s="12" t="str">
        <f aca="false">IF(A228="","",CHOOSE(WEEKDAY(A228,2),"Mo","Di","Mi","Do","Fr","Sa","So"))</f>
        <v>Mi</v>
      </c>
      <c r="C228" s="20" t="n">
        <v>0</v>
      </c>
      <c r="D228" s="20" t="n">
        <v>1</v>
      </c>
      <c r="E228" s="20" t="n">
        <v>0</v>
      </c>
      <c r="F228" s="19"/>
      <c r="G228" s="12" t="str">
        <f aca="false">IFERROR(IF(AND(COUNT(C228:E228)=3,OR(C228=0,C228=1),OR(D228=0,D228=1),OR(E228=0,E228=1),OR(A228&lt;&gt;"",SUM(C228:E228)=0)),"OK","FEHLER"),"FEHLER")</f>
        <v>OK</v>
      </c>
    </row>
    <row r="229" customFormat="false" ht="16.4" hidden="false" customHeight="false" outlineLevel="0" collapsed="false">
      <c r="A229" s="23" t="n">
        <f aca="false">IFERROR(IF(YEAR(DATE(Eingaben!$B$10,1,1)+224)=Eingaben!$B$10,DATE(Eingaben!$B$10,1,1)+224,""),"")</f>
        <v>46247</v>
      </c>
      <c r="B229" s="12" t="str">
        <f aca="false">IF(A229="","",CHOOSE(WEEKDAY(A229,2),"Mo","Di","Mi","Do","Fr","Sa","So"))</f>
        <v>Do</v>
      </c>
      <c r="C229" s="20" t="n">
        <v>0</v>
      </c>
      <c r="D229" s="20" t="n">
        <v>1</v>
      </c>
      <c r="E229" s="20" t="n">
        <v>0</v>
      </c>
      <c r="F229" s="19"/>
      <c r="G229" s="12" t="str">
        <f aca="false">IFERROR(IF(AND(COUNT(C229:E229)=3,OR(C229=0,C229=1),OR(D229=0,D229=1),OR(E229=0,E229=1),OR(A229&lt;&gt;"",SUM(C229:E229)=0)),"OK","FEHLER"),"FEHLER")</f>
        <v>OK</v>
      </c>
    </row>
    <row r="230" customFormat="false" ht="16.4" hidden="false" customHeight="false" outlineLevel="0" collapsed="false">
      <c r="A230" s="23" t="n">
        <f aca="false">IFERROR(IF(YEAR(DATE(Eingaben!$B$10,1,1)+225)=Eingaben!$B$10,DATE(Eingaben!$B$10,1,1)+225,""),"")</f>
        <v>46248</v>
      </c>
      <c r="B230" s="12" t="str">
        <f aca="false">IF(A230="","",CHOOSE(WEEKDAY(A230,2),"Mo","Di","Mi","Do","Fr","Sa","So"))</f>
        <v>Fr</v>
      </c>
      <c r="C230" s="20" t="n">
        <v>0</v>
      </c>
      <c r="D230" s="20" t="n">
        <v>1</v>
      </c>
      <c r="E230" s="20" t="n">
        <v>0</v>
      </c>
      <c r="F230" s="19"/>
      <c r="G230" s="12" t="str">
        <f aca="false">IFERROR(IF(AND(COUNT(C230:E230)=3,OR(C230=0,C230=1),OR(D230=0,D230=1),OR(E230=0,E230=1),OR(A230&lt;&gt;"",SUM(C230:E230)=0)),"OK","FEHLER"),"FEHLER")</f>
        <v>OK</v>
      </c>
    </row>
    <row r="231" customFormat="false" ht="16.4" hidden="false" customHeight="false" outlineLevel="0" collapsed="false">
      <c r="A231" s="23" t="n">
        <f aca="false">IFERROR(IF(YEAR(DATE(Eingaben!$B$10,1,1)+226)=Eingaben!$B$10,DATE(Eingaben!$B$10,1,1)+226,""),"")</f>
        <v>46249</v>
      </c>
      <c r="B231" s="12" t="str">
        <f aca="false">IF(A231="","",CHOOSE(WEEKDAY(A231,2),"Mo","Di","Mi","Do","Fr","Sa","So"))</f>
        <v>Sa</v>
      </c>
      <c r="C231" s="20" t="n">
        <v>0</v>
      </c>
      <c r="D231" s="20" t="n">
        <v>1</v>
      </c>
      <c r="E231" s="20" t="n">
        <v>0</v>
      </c>
      <c r="F231" s="19"/>
      <c r="G231" s="12" t="str">
        <f aca="false">IFERROR(IF(AND(COUNT(C231:E231)=3,OR(C231=0,C231=1),OR(D231=0,D231=1),OR(E231=0,E231=1),OR(A231&lt;&gt;"",SUM(C231:E231)=0)),"OK","FEHLER"),"FEHLER")</f>
        <v>OK</v>
      </c>
    </row>
    <row r="232" customFormat="false" ht="16.4" hidden="false" customHeight="false" outlineLevel="0" collapsed="false">
      <c r="A232" s="23" t="n">
        <f aca="false">IFERROR(IF(YEAR(DATE(Eingaben!$B$10,1,1)+227)=Eingaben!$B$10,DATE(Eingaben!$B$10,1,1)+227,""),"")</f>
        <v>46250</v>
      </c>
      <c r="B232" s="12" t="str">
        <f aca="false">IF(A232="","",CHOOSE(WEEKDAY(A232,2),"Mo","Di","Mi","Do","Fr","Sa","So"))</f>
        <v>So</v>
      </c>
      <c r="C232" s="20" t="n">
        <v>0</v>
      </c>
      <c r="D232" s="20" t="n">
        <v>1</v>
      </c>
      <c r="E232" s="20" t="n">
        <v>0</v>
      </c>
      <c r="F232" s="19"/>
      <c r="G232" s="12" t="str">
        <f aca="false">IFERROR(IF(AND(COUNT(C232:E232)=3,OR(C232=0,C232=1),OR(D232=0,D232=1),OR(E232=0,E232=1),OR(A232&lt;&gt;"",SUM(C232:E232)=0)),"OK","FEHLER"),"FEHLER")</f>
        <v>OK</v>
      </c>
    </row>
    <row r="233" customFormat="false" ht="16.4" hidden="false" customHeight="false" outlineLevel="0" collapsed="false">
      <c r="A233" s="23" t="n">
        <f aca="false">IFERROR(IF(YEAR(DATE(Eingaben!$B$10,1,1)+228)=Eingaben!$B$10,DATE(Eingaben!$B$10,1,1)+228,""),"")</f>
        <v>46251</v>
      </c>
      <c r="B233" s="12" t="str">
        <f aca="false">IF(A233="","",CHOOSE(WEEKDAY(A233,2),"Mo","Di","Mi","Do","Fr","Sa","So"))</f>
        <v>Mo</v>
      </c>
      <c r="C233" s="20" t="n">
        <v>0</v>
      </c>
      <c r="D233" s="20" t="n">
        <v>1</v>
      </c>
      <c r="E233" s="20" t="n">
        <v>0</v>
      </c>
      <c r="F233" s="19"/>
      <c r="G233" s="12" t="str">
        <f aca="false">IFERROR(IF(AND(COUNT(C233:E233)=3,OR(C233=0,C233=1),OR(D233=0,D233=1),OR(E233=0,E233=1),OR(A233&lt;&gt;"",SUM(C233:E233)=0)),"OK","FEHLER"),"FEHLER")</f>
        <v>OK</v>
      </c>
    </row>
    <row r="234" customFormat="false" ht="16.4" hidden="false" customHeight="false" outlineLevel="0" collapsed="false">
      <c r="A234" s="23" t="n">
        <f aca="false">IFERROR(IF(YEAR(DATE(Eingaben!$B$10,1,1)+229)=Eingaben!$B$10,DATE(Eingaben!$B$10,1,1)+229,""),"")</f>
        <v>46252</v>
      </c>
      <c r="B234" s="12" t="str">
        <f aca="false">IF(A234="","",CHOOSE(WEEKDAY(A234,2),"Mo","Di","Mi","Do","Fr","Sa","So"))</f>
        <v>Di</v>
      </c>
      <c r="C234" s="20" t="n">
        <v>0</v>
      </c>
      <c r="D234" s="20" t="n">
        <v>1</v>
      </c>
      <c r="E234" s="20" t="n">
        <v>0</v>
      </c>
      <c r="F234" s="19"/>
      <c r="G234" s="12" t="str">
        <f aca="false">IFERROR(IF(AND(COUNT(C234:E234)=3,OR(C234=0,C234=1),OR(D234=0,D234=1),OR(E234=0,E234=1),OR(A234&lt;&gt;"",SUM(C234:E234)=0)),"OK","FEHLER"),"FEHLER")</f>
        <v>OK</v>
      </c>
    </row>
    <row r="235" customFormat="false" ht="16.4" hidden="false" customHeight="false" outlineLevel="0" collapsed="false">
      <c r="A235" s="23" t="n">
        <f aca="false">IFERROR(IF(YEAR(DATE(Eingaben!$B$10,1,1)+230)=Eingaben!$B$10,DATE(Eingaben!$B$10,1,1)+230,""),"")</f>
        <v>46253</v>
      </c>
      <c r="B235" s="12" t="str">
        <f aca="false">IF(A235="","",CHOOSE(WEEKDAY(A235,2),"Mo","Di","Mi","Do","Fr","Sa","So"))</f>
        <v>Mi</v>
      </c>
      <c r="C235" s="20" t="n">
        <v>0</v>
      </c>
      <c r="D235" s="20" t="n">
        <v>1</v>
      </c>
      <c r="E235" s="20" t="n">
        <v>0</v>
      </c>
      <c r="F235" s="19"/>
      <c r="G235" s="12" t="str">
        <f aca="false">IFERROR(IF(AND(COUNT(C235:E235)=3,OR(C235=0,C235=1),OR(D235=0,D235=1),OR(E235=0,E235=1),OR(A235&lt;&gt;"",SUM(C235:E235)=0)),"OK","FEHLER"),"FEHLER")</f>
        <v>OK</v>
      </c>
    </row>
    <row r="236" customFormat="false" ht="16.4" hidden="false" customHeight="false" outlineLevel="0" collapsed="false">
      <c r="A236" s="23" t="n">
        <f aca="false">IFERROR(IF(YEAR(DATE(Eingaben!$B$10,1,1)+231)=Eingaben!$B$10,DATE(Eingaben!$B$10,1,1)+231,""),"")</f>
        <v>46254</v>
      </c>
      <c r="B236" s="12" t="str">
        <f aca="false">IF(A236="","",CHOOSE(WEEKDAY(A236,2),"Mo","Di","Mi","Do","Fr","Sa","So"))</f>
        <v>Do</v>
      </c>
      <c r="C236" s="20" t="n">
        <v>0</v>
      </c>
      <c r="D236" s="20" t="n">
        <v>1</v>
      </c>
      <c r="E236" s="20" t="n">
        <v>0</v>
      </c>
      <c r="F236" s="19"/>
      <c r="G236" s="12" t="str">
        <f aca="false">IFERROR(IF(AND(COUNT(C236:E236)=3,OR(C236=0,C236=1),OR(D236=0,D236=1),OR(E236=0,E236=1),OR(A236&lt;&gt;"",SUM(C236:E236)=0)),"OK","FEHLER"),"FEHLER")</f>
        <v>OK</v>
      </c>
    </row>
    <row r="237" customFormat="false" ht="16.4" hidden="false" customHeight="false" outlineLevel="0" collapsed="false">
      <c r="A237" s="23" t="n">
        <f aca="false">IFERROR(IF(YEAR(DATE(Eingaben!$B$10,1,1)+232)=Eingaben!$B$10,DATE(Eingaben!$B$10,1,1)+232,""),"")</f>
        <v>46255</v>
      </c>
      <c r="B237" s="12" t="str">
        <f aca="false">IF(A237="","",CHOOSE(WEEKDAY(A237,2),"Mo","Di","Mi","Do","Fr","Sa","So"))</f>
        <v>Fr</v>
      </c>
      <c r="C237" s="20" t="n">
        <v>0</v>
      </c>
      <c r="D237" s="20" t="n">
        <v>1</v>
      </c>
      <c r="E237" s="20" t="n">
        <v>0</v>
      </c>
      <c r="F237" s="19"/>
      <c r="G237" s="12" t="str">
        <f aca="false">IFERROR(IF(AND(COUNT(C237:E237)=3,OR(C237=0,C237=1),OR(D237=0,D237=1),OR(E237=0,E237=1),OR(A237&lt;&gt;"",SUM(C237:E237)=0)),"OK","FEHLER"),"FEHLER")</f>
        <v>OK</v>
      </c>
    </row>
    <row r="238" customFormat="false" ht="16.4" hidden="false" customHeight="false" outlineLevel="0" collapsed="false">
      <c r="A238" s="23" t="n">
        <f aca="false">IFERROR(IF(YEAR(DATE(Eingaben!$B$10,1,1)+233)=Eingaben!$B$10,DATE(Eingaben!$B$10,1,1)+233,""),"")</f>
        <v>46256</v>
      </c>
      <c r="B238" s="12" t="str">
        <f aca="false">IF(A238="","",CHOOSE(WEEKDAY(A238,2),"Mo","Di","Mi","Do","Fr","Sa","So"))</f>
        <v>Sa</v>
      </c>
      <c r="C238" s="20" t="n">
        <v>0</v>
      </c>
      <c r="D238" s="20" t="n">
        <v>1</v>
      </c>
      <c r="E238" s="20" t="n">
        <v>0</v>
      </c>
      <c r="F238" s="19"/>
      <c r="G238" s="12" t="str">
        <f aca="false">IFERROR(IF(AND(COUNT(C238:E238)=3,OR(C238=0,C238=1),OR(D238=0,D238=1),OR(E238=0,E238=1),OR(A238&lt;&gt;"",SUM(C238:E238)=0)),"OK","FEHLER"),"FEHLER")</f>
        <v>OK</v>
      </c>
    </row>
    <row r="239" customFormat="false" ht="16.4" hidden="false" customHeight="false" outlineLevel="0" collapsed="false">
      <c r="A239" s="23" t="n">
        <f aca="false">IFERROR(IF(YEAR(DATE(Eingaben!$B$10,1,1)+234)=Eingaben!$B$10,DATE(Eingaben!$B$10,1,1)+234,""),"")</f>
        <v>46257</v>
      </c>
      <c r="B239" s="12" t="str">
        <f aca="false">IF(A239="","",CHOOSE(WEEKDAY(A239,2),"Mo","Di","Mi","Do","Fr","Sa","So"))</f>
        <v>So</v>
      </c>
      <c r="C239" s="20" t="n">
        <v>0</v>
      </c>
      <c r="D239" s="20" t="n">
        <v>1</v>
      </c>
      <c r="E239" s="20" t="n">
        <v>0</v>
      </c>
      <c r="F239" s="19"/>
      <c r="G239" s="12" t="str">
        <f aca="false">IFERROR(IF(AND(COUNT(C239:E239)=3,OR(C239=0,C239=1),OR(D239=0,D239=1),OR(E239=0,E239=1),OR(A239&lt;&gt;"",SUM(C239:E239)=0)),"OK","FEHLER"),"FEHLER")</f>
        <v>OK</v>
      </c>
    </row>
    <row r="240" customFormat="false" ht="16.4" hidden="false" customHeight="false" outlineLevel="0" collapsed="false">
      <c r="A240" s="23" t="n">
        <f aca="false">IFERROR(IF(YEAR(DATE(Eingaben!$B$10,1,1)+235)=Eingaben!$B$10,DATE(Eingaben!$B$10,1,1)+235,""),"")</f>
        <v>46258</v>
      </c>
      <c r="B240" s="12" t="str">
        <f aca="false">IF(A240="","",CHOOSE(WEEKDAY(A240,2),"Mo","Di","Mi","Do","Fr","Sa","So"))</f>
        <v>Mo</v>
      </c>
      <c r="C240" s="20" t="n">
        <v>0</v>
      </c>
      <c r="D240" s="20" t="n">
        <v>1</v>
      </c>
      <c r="E240" s="20" t="n">
        <v>0</v>
      </c>
      <c r="F240" s="19"/>
      <c r="G240" s="12" t="str">
        <f aca="false">IFERROR(IF(AND(COUNT(C240:E240)=3,OR(C240=0,C240=1),OR(D240=0,D240=1),OR(E240=0,E240=1),OR(A240&lt;&gt;"",SUM(C240:E240)=0)),"OK","FEHLER"),"FEHLER")</f>
        <v>OK</v>
      </c>
    </row>
    <row r="241" customFormat="false" ht="16.4" hidden="false" customHeight="false" outlineLevel="0" collapsed="false">
      <c r="A241" s="23" t="n">
        <f aca="false">IFERROR(IF(YEAR(DATE(Eingaben!$B$10,1,1)+236)=Eingaben!$B$10,DATE(Eingaben!$B$10,1,1)+236,""),"")</f>
        <v>46259</v>
      </c>
      <c r="B241" s="12" t="str">
        <f aca="false">IF(A241="","",CHOOSE(WEEKDAY(A241,2),"Mo","Di","Mi","Do","Fr","Sa","So"))</f>
        <v>Di</v>
      </c>
      <c r="C241" s="20" t="n">
        <v>0</v>
      </c>
      <c r="D241" s="20" t="n">
        <v>1</v>
      </c>
      <c r="E241" s="20" t="n">
        <v>0</v>
      </c>
      <c r="F241" s="19"/>
      <c r="G241" s="12" t="str">
        <f aca="false">IFERROR(IF(AND(COUNT(C241:E241)=3,OR(C241=0,C241=1),OR(D241=0,D241=1),OR(E241=0,E241=1),OR(A241&lt;&gt;"",SUM(C241:E241)=0)),"OK","FEHLER"),"FEHLER")</f>
        <v>OK</v>
      </c>
    </row>
    <row r="242" customFormat="false" ht="16.4" hidden="false" customHeight="false" outlineLevel="0" collapsed="false">
      <c r="A242" s="23" t="n">
        <f aca="false">IFERROR(IF(YEAR(DATE(Eingaben!$B$10,1,1)+237)=Eingaben!$B$10,DATE(Eingaben!$B$10,1,1)+237,""),"")</f>
        <v>46260</v>
      </c>
      <c r="B242" s="12" t="str">
        <f aca="false">IF(A242="","",CHOOSE(WEEKDAY(A242,2),"Mo","Di","Mi","Do","Fr","Sa","So"))</f>
        <v>Mi</v>
      </c>
      <c r="C242" s="20" t="n">
        <v>0</v>
      </c>
      <c r="D242" s="20" t="n">
        <v>1</v>
      </c>
      <c r="E242" s="20" t="n">
        <v>0</v>
      </c>
      <c r="F242" s="19"/>
      <c r="G242" s="12" t="str">
        <f aca="false">IFERROR(IF(AND(COUNT(C242:E242)=3,OR(C242=0,C242=1),OR(D242=0,D242=1),OR(E242=0,E242=1),OR(A242&lt;&gt;"",SUM(C242:E242)=0)),"OK","FEHLER"),"FEHLER")</f>
        <v>OK</v>
      </c>
    </row>
    <row r="243" customFormat="false" ht="16.4" hidden="false" customHeight="false" outlineLevel="0" collapsed="false">
      <c r="A243" s="23" t="n">
        <f aca="false">IFERROR(IF(YEAR(DATE(Eingaben!$B$10,1,1)+238)=Eingaben!$B$10,DATE(Eingaben!$B$10,1,1)+238,""),"")</f>
        <v>46261</v>
      </c>
      <c r="B243" s="12" t="str">
        <f aca="false">IF(A243="","",CHOOSE(WEEKDAY(A243,2),"Mo","Di","Mi","Do","Fr","Sa","So"))</f>
        <v>Do</v>
      </c>
      <c r="C243" s="20" t="n">
        <v>0</v>
      </c>
      <c r="D243" s="20" t="n">
        <v>1</v>
      </c>
      <c r="E243" s="20" t="n">
        <v>0</v>
      </c>
      <c r="F243" s="19"/>
      <c r="G243" s="12" t="str">
        <f aca="false">IFERROR(IF(AND(COUNT(C243:E243)=3,OR(C243=0,C243=1),OR(D243=0,D243=1),OR(E243=0,E243=1),OR(A243&lt;&gt;"",SUM(C243:E243)=0)),"OK","FEHLER"),"FEHLER")</f>
        <v>OK</v>
      </c>
    </row>
    <row r="244" customFormat="false" ht="16.4" hidden="false" customHeight="false" outlineLevel="0" collapsed="false">
      <c r="A244" s="23" t="n">
        <f aca="false">IFERROR(IF(YEAR(DATE(Eingaben!$B$10,1,1)+239)=Eingaben!$B$10,DATE(Eingaben!$B$10,1,1)+239,""),"")</f>
        <v>46262</v>
      </c>
      <c r="B244" s="12" t="str">
        <f aca="false">IF(A244="","",CHOOSE(WEEKDAY(A244,2),"Mo","Di","Mi","Do","Fr","Sa","So"))</f>
        <v>Fr</v>
      </c>
      <c r="C244" s="20" t="n">
        <v>0</v>
      </c>
      <c r="D244" s="20" t="n">
        <v>1</v>
      </c>
      <c r="E244" s="20" t="n">
        <v>0</v>
      </c>
      <c r="F244" s="19"/>
      <c r="G244" s="12" t="str">
        <f aca="false">IFERROR(IF(AND(COUNT(C244:E244)=3,OR(C244=0,C244=1),OR(D244=0,D244=1),OR(E244=0,E244=1),OR(A244&lt;&gt;"",SUM(C244:E244)=0)),"OK","FEHLER"),"FEHLER")</f>
        <v>OK</v>
      </c>
    </row>
    <row r="245" customFormat="false" ht="16.4" hidden="false" customHeight="false" outlineLevel="0" collapsed="false">
      <c r="A245" s="23" t="n">
        <f aca="false">IFERROR(IF(YEAR(DATE(Eingaben!$B$10,1,1)+240)=Eingaben!$B$10,DATE(Eingaben!$B$10,1,1)+240,""),"")</f>
        <v>46263</v>
      </c>
      <c r="B245" s="12" t="str">
        <f aca="false">IF(A245="","",CHOOSE(WEEKDAY(A245,2),"Mo","Di","Mi","Do","Fr","Sa","So"))</f>
        <v>Sa</v>
      </c>
      <c r="C245" s="20" t="n">
        <v>0</v>
      </c>
      <c r="D245" s="20" t="n">
        <v>1</v>
      </c>
      <c r="E245" s="20" t="n">
        <v>0</v>
      </c>
      <c r="F245" s="19"/>
      <c r="G245" s="12" t="str">
        <f aca="false">IFERROR(IF(AND(COUNT(C245:E245)=3,OR(C245=0,C245=1),OR(D245=0,D245=1),OR(E245=0,E245=1),OR(A245&lt;&gt;"",SUM(C245:E245)=0)),"OK","FEHLER"),"FEHLER")</f>
        <v>OK</v>
      </c>
    </row>
    <row r="246" customFormat="false" ht="16.4" hidden="false" customHeight="false" outlineLevel="0" collapsed="false">
      <c r="A246" s="23" t="n">
        <f aca="false">IFERROR(IF(YEAR(DATE(Eingaben!$B$10,1,1)+241)=Eingaben!$B$10,DATE(Eingaben!$B$10,1,1)+241,""),"")</f>
        <v>46264</v>
      </c>
      <c r="B246" s="12" t="str">
        <f aca="false">IF(A246="","",CHOOSE(WEEKDAY(A246,2),"Mo","Di","Mi","Do","Fr","Sa","So"))</f>
        <v>So</v>
      </c>
      <c r="C246" s="20" t="n">
        <v>0</v>
      </c>
      <c r="D246" s="20" t="n">
        <v>1</v>
      </c>
      <c r="E246" s="20" t="n">
        <v>0</v>
      </c>
      <c r="F246" s="19"/>
      <c r="G246" s="12" t="str">
        <f aca="false">IFERROR(IF(AND(COUNT(C246:E246)=3,OR(C246=0,C246=1),OR(D246=0,D246=1),OR(E246=0,E246=1),OR(A246&lt;&gt;"",SUM(C246:E246)=0)),"OK","FEHLER"),"FEHLER")</f>
        <v>OK</v>
      </c>
    </row>
    <row r="247" customFormat="false" ht="16.4" hidden="false" customHeight="false" outlineLevel="0" collapsed="false">
      <c r="A247" s="23" t="n">
        <f aca="false">IFERROR(IF(YEAR(DATE(Eingaben!$B$10,1,1)+242)=Eingaben!$B$10,DATE(Eingaben!$B$10,1,1)+242,""),"")</f>
        <v>46265</v>
      </c>
      <c r="B247" s="12" t="str">
        <f aca="false">IF(A247="","",CHOOSE(WEEKDAY(A247,2),"Mo","Di","Mi","Do","Fr","Sa","So"))</f>
        <v>Mo</v>
      </c>
      <c r="C247" s="20" t="n">
        <v>0</v>
      </c>
      <c r="D247" s="20" t="n">
        <v>1</v>
      </c>
      <c r="E247" s="20" t="n">
        <v>0</v>
      </c>
      <c r="F247" s="19"/>
      <c r="G247" s="12" t="str">
        <f aca="false">IFERROR(IF(AND(COUNT(C247:E247)=3,OR(C247=0,C247=1),OR(D247=0,D247=1),OR(E247=0,E247=1),OR(A247&lt;&gt;"",SUM(C247:E247)=0)),"OK","FEHLER"),"FEHLER")</f>
        <v>OK</v>
      </c>
    </row>
    <row r="248" customFormat="false" ht="16.4" hidden="false" customHeight="false" outlineLevel="0" collapsed="false">
      <c r="A248" s="23" t="n">
        <f aca="false">IFERROR(IF(YEAR(DATE(Eingaben!$B$10,1,1)+243)=Eingaben!$B$10,DATE(Eingaben!$B$10,1,1)+243,""),"")</f>
        <v>46266</v>
      </c>
      <c r="B248" s="12" t="str">
        <f aca="false">IF(A248="","",CHOOSE(WEEKDAY(A248,2),"Mo","Di","Mi","Do","Fr","Sa","So"))</f>
        <v>Di</v>
      </c>
      <c r="C248" s="20" t="n">
        <v>1</v>
      </c>
      <c r="D248" s="20" t="n">
        <v>1</v>
      </c>
      <c r="E248" s="20" t="n">
        <v>0</v>
      </c>
      <c r="F248" s="19"/>
      <c r="G248" s="12" t="str">
        <f aca="false">IFERROR(IF(AND(COUNT(C248:E248)=3,OR(C248=0,C248=1),OR(D248=0,D248=1),OR(E248=0,E248=1),OR(A248&lt;&gt;"",SUM(C248:E248)=0)),"OK","FEHLER"),"FEHLER")</f>
        <v>OK</v>
      </c>
    </row>
    <row r="249" customFormat="false" ht="16.4" hidden="false" customHeight="false" outlineLevel="0" collapsed="false">
      <c r="A249" s="23" t="n">
        <f aca="false">IFERROR(IF(YEAR(DATE(Eingaben!$B$10,1,1)+244)=Eingaben!$B$10,DATE(Eingaben!$B$10,1,1)+244,""),"")</f>
        <v>46267</v>
      </c>
      <c r="B249" s="12" t="str">
        <f aca="false">IF(A249="","",CHOOSE(WEEKDAY(A249,2),"Mo","Di","Mi","Do","Fr","Sa","So"))</f>
        <v>Mi</v>
      </c>
      <c r="C249" s="20" t="n">
        <v>1</v>
      </c>
      <c r="D249" s="20" t="n">
        <v>1</v>
      </c>
      <c r="E249" s="20" t="n">
        <v>0</v>
      </c>
      <c r="F249" s="19"/>
      <c r="G249" s="12" t="str">
        <f aca="false">IFERROR(IF(AND(COUNT(C249:E249)=3,OR(C249=0,C249=1),OR(D249=0,D249=1),OR(E249=0,E249=1),OR(A249&lt;&gt;"",SUM(C249:E249)=0)),"OK","FEHLER"),"FEHLER")</f>
        <v>OK</v>
      </c>
    </row>
    <row r="250" customFormat="false" ht="16.4" hidden="false" customHeight="false" outlineLevel="0" collapsed="false">
      <c r="A250" s="23" t="n">
        <f aca="false">IFERROR(IF(YEAR(DATE(Eingaben!$B$10,1,1)+245)=Eingaben!$B$10,DATE(Eingaben!$B$10,1,1)+245,""),"")</f>
        <v>46268</v>
      </c>
      <c r="B250" s="12" t="str">
        <f aca="false">IF(A250="","",CHOOSE(WEEKDAY(A250,2),"Mo","Di","Mi","Do","Fr","Sa","So"))</f>
        <v>Do</v>
      </c>
      <c r="C250" s="20" t="n">
        <v>1</v>
      </c>
      <c r="D250" s="20" t="n">
        <v>1</v>
      </c>
      <c r="E250" s="20" t="n">
        <v>0</v>
      </c>
      <c r="F250" s="19"/>
      <c r="G250" s="12" t="str">
        <f aca="false">IFERROR(IF(AND(COUNT(C250:E250)=3,OR(C250=0,C250=1),OR(D250=0,D250=1),OR(E250=0,E250=1),OR(A250&lt;&gt;"",SUM(C250:E250)=0)),"OK","FEHLER"),"FEHLER")</f>
        <v>OK</v>
      </c>
    </row>
    <row r="251" customFormat="false" ht="16.4" hidden="false" customHeight="false" outlineLevel="0" collapsed="false">
      <c r="A251" s="23" t="n">
        <f aca="false">IFERROR(IF(YEAR(DATE(Eingaben!$B$10,1,1)+246)=Eingaben!$B$10,DATE(Eingaben!$B$10,1,1)+246,""),"")</f>
        <v>46269</v>
      </c>
      <c r="B251" s="12" t="str">
        <f aca="false">IF(A251="","",CHOOSE(WEEKDAY(A251,2),"Mo","Di","Mi","Do","Fr","Sa","So"))</f>
        <v>Fr</v>
      </c>
      <c r="C251" s="20" t="n">
        <v>1</v>
      </c>
      <c r="D251" s="20" t="n">
        <v>1</v>
      </c>
      <c r="E251" s="20" t="n">
        <v>0</v>
      </c>
      <c r="F251" s="19"/>
      <c r="G251" s="12" t="str">
        <f aca="false">IFERROR(IF(AND(COUNT(C251:E251)=3,OR(C251=0,C251=1),OR(D251=0,D251=1),OR(E251=0,E251=1),OR(A251&lt;&gt;"",SUM(C251:E251)=0)),"OK","FEHLER"),"FEHLER")</f>
        <v>OK</v>
      </c>
    </row>
    <row r="252" customFormat="false" ht="16.4" hidden="false" customHeight="false" outlineLevel="0" collapsed="false">
      <c r="A252" s="23" t="n">
        <f aca="false">IFERROR(IF(YEAR(DATE(Eingaben!$B$10,1,1)+247)=Eingaben!$B$10,DATE(Eingaben!$B$10,1,1)+247,""),"")</f>
        <v>46270</v>
      </c>
      <c r="B252" s="12" t="str">
        <f aca="false">IF(A252="","",CHOOSE(WEEKDAY(A252,2),"Mo","Di","Mi","Do","Fr","Sa","So"))</f>
        <v>Sa</v>
      </c>
      <c r="C252" s="20" t="n">
        <v>0</v>
      </c>
      <c r="D252" s="20" t="n">
        <v>1</v>
      </c>
      <c r="E252" s="20" t="n">
        <v>0</v>
      </c>
      <c r="F252" s="19"/>
      <c r="G252" s="12" t="str">
        <f aca="false">IFERROR(IF(AND(COUNT(C252:E252)=3,OR(C252=0,C252=1),OR(D252=0,D252=1),OR(E252=0,E252=1),OR(A252&lt;&gt;"",SUM(C252:E252)=0)),"OK","FEHLER"),"FEHLER")</f>
        <v>OK</v>
      </c>
    </row>
    <row r="253" customFormat="false" ht="16.4" hidden="false" customHeight="false" outlineLevel="0" collapsed="false">
      <c r="A253" s="23" t="n">
        <f aca="false">IFERROR(IF(YEAR(DATE(Eingaben!$B$10,1,1)+248)=Eingaben!$B$10,DATE(Eingaben!$B$10,1,1)+248,""),"")</f>
        <v>46271</v>
      </c>
      <c r="B253" s="12" t="str">
        <f aca="false">IF(A253="","",CHOOSE(WEEKDAY(A253,2),"Mo","Di","Mi","Do","Fr","Sa","So"))</f>
        <v>So</v>
      </c>
      <c r="C253" s="20" t="n">
        <v>0</v>
      </c>
      <c r="D253" s="20" t="n">
        <v>1</v>
      </c>
      <c r="E253" s="20" t="n">
        <v>0</v>
      </c>
      <c r="F253" s="19"/>
      <c r="G253" s="12" t="str">
        <f aca="false">IFERROR(IF(AND(COUNT(C253:E253)=3,OR(C253=0,C253=1),OR(D253=0,D253=1),OR(E253=0,E253=1),OR(A253&lt;&gt;"",SUM(C253:E253)=0)),"OK","FEHLER"),"FEHLER")</f>
        <v>OK</v>
      </c>
    </row>
    <row r="254" customFormat="false" ht="16.4" hidden="false" customHeight="false" outlineLevel="0" collapsed="false">
      <c r="A254" s="23" t="n">
        <f aca="false">IFERROR(IF(YEAR(DATE(Eingaben!$B$10,1,1)+249)=Eingaben!$B$10,DATE(Eingaben!$B$10,1,1)+249,""),"")</f>
        <v>46272</v>
      </c>
      <c r="B254" s="12" t="str">
        <f aca="false">IF(A254="","",CHOOSE(WEEKDAY(A254,2),"Mo","Di","Mi","Do","Fr","Sa","So"))</f>
        <v>Mo</v>
      </c>
      <c r="C254" s="20" t="n">
        <v>1</v>
      </c>
      <c r="D254" s="20" t="n">
        <v>1</v>
      </c>
      <c r="E254" s="20" t="n">
        <v>0</v>
      </c>
      <c r="F254" s="19"/>
      <c r="G254" s="12" t="str">
        <f aca="false">IFERROR(IF(AND(COUNT(C254:E254)=3,OR(C254=0,C254=1),OR(D254=0,D254=1),OR(E254=0,E254=1),OR(A254&lt;&gt;"",SUM(C254:E254)=0)),"OK","FEHLER"),"FEHLER")</f>
        <v>OK</v>
      </c>
    </row>
    <row r="255" customFormat="false" ht="16.4" hidden="false" customHeight="false" outlineLevel="0" collapsed="false">
      <c r="A255" s="23" t="n">
        <f aca="false">IFERROR(IF(YEAR(DATE(Eingaben!$B$10,1,1)+250)=Eingaben!$B$10,DATE(Eingaben!$B$10,1,1)+250,""),"")</f>
        <v>46273</v>
      </c>
      <c r="B255" s="12" t="str">
        <f aca="false">IF(A255="","",CHOOSE(WEEKDAY(A255,2),"Mo","Di","Mi","Do","Fr","Sa","So"))</f>
        <v>Di</v>
      </c>
      <c r="C255" s="20" t="n">
        <v>1</v>
      </c>
      <c r="D255" s="20" t="n">
        <v>1</v>
      </c>
      <c r="E255" s="20" t="n">
        <v>0</v>
      </c>
      <c r="F255" s="19"/>
      <c r="G255" s="12" t="str">
        <f aca="false">IFERROR(IF(AND(COUNT(C255:E255)=3,OR(C255=0,C255=1),OR(D255=0,D255=1),OR(E255=0,E255=1),OR(A255&lt;&gt;"",SUM(C255:E255)=0)),"OK","FEHLER"),"FEHLER")</f>
        <v>OK</v>
      </c>
    </row>
    <row r="256" customFormat="false" ht="16.4" hidden="false" customHeight="false" outlineLevel="0" collapsed="false">
      <c r="A256" s="23" t="n">
        <f aca="false">IFERROR(IF(YEAR(DATE(Eingaben!$B$10,1,1)+251)=Eingaben!$B$10,DATE(Eingaben!$B$10,1,1)+251,""),"")</f>
        <v>46274</v>
      </c>
      <c r="B256" s="12" t="str">
        <f aca="false">IF(A256="","",CHOOSE(WEEKDAY(A256,2),"Mo","Di","Mi","Do","Fr","Sa","So"))</f>
        <v>Mi</v>
      </c>
      <c r="C256" s="20" t="n">
        <v>1</v>
      </c>
      <c r="D256" s="20" t="n">
        <v>1</v>
      </c>
      <c r="E256" s="20" t="n">
        <v>0</v>
      </c>
      <c r="F256" s="19"/>
      <c r="G256" s="12" t="str">
        <f aca="false">IFERROR(IF(AND(COUNT(C256:E256)=3,OR(C256=0,C256=1),OR(D256=0,D256=1),OR(E256=0,E256=1),OR(A256&lt;&gt;"",SUM(C256:E256)=0)),"OK","FEHLER"),"FEHLER")</f>
        <v>OK</v>
      </c>
    </row>
    <row r="257" customFormat="false" ht="16.4" hidden="false" customHeight="false" outlineLevel="0" collapsed="false">
      <c r="A257" s="23" t="n">
        <f aca="false">IFERROR(IF(YEAR(DATE(Eingaben!$B$10,1,1)+252)=Eingaben!$B$10,DATE(Eingaben!$B$10,1,1)+252,""),"")</f>
        <v>46275</v>
      </c>
      <c r="B257" s="12" t="str">
        <f aca="false">IF(A257="","",CHOOSE(WEEKDAY(A257,2),"Mo","Di","Mi","Do","Fr","Sa","So"))</f>
        <v>Do</v>
      </c>
      <c r="C257" s="20" t="n">
        <v>1</v>
      </c>
      <c r="D257" s="20" t="n">
        <v>1</v>
      </c>
      <c r="E257" s="20" t="n">
        <v>0</v>
      </c>
      <c r="F257" s="19"/>
      <c r="G257" s="12" t="str">
        <f aca="false">IFERROR(IF(AND(COUNT(C257:E257)=3,OR(C257=0,C257=1),OR(D257=0,D257=1),OR(E257=0,E257=1),OR(A257&lt;&gt;"",SUM(C257:E257)=0)),"OK","FEHLER"),"FEHLER")</f>
        <v>OK</v>
      </c>
    </row>
    <row r="258" customFormat="false" ht="16.4" hidden="false" customHeight="false" outlineLevel="0" collapsed="false">
      <c r="A258" s="23" t="n">
        <f aca="false">IFERROR(IF(YEAR(DATE(Eingaben!$B$10,1,1)+253)=Eingaben!$B$10,DATE(Eingaben!$B$10,1,1)+253,""),"")</f>
        <v>46276</v>
      </c>
      <c r="B258" s="12" t="str">
        <f aca="false">IF(A258="","",CHOOSE(WEEKDAY(A258,2),"Mo","Di","Mi","Do","Fr","Sa","So"))</f>
        <v>Fr</v>
      </c>
      <c r="C258" s="20" t="n">
        <v>1</v>
      </c>
      <c r="D258" s="20" t="n">
        <v>1</v>
      </c>
      <c r="E258" s="20" t="n">
        <v>0</v>
      </c>
      <c r="F258" s="19"/>
      <c r="G258" s="12" t="str">
        <f aca="false">IFERROR(IF(AND(COUNT(C258:E258)=3,OR(C258=0,C258=1),OR(D258=0,D258=1),OR(E258=0,E258=1),OR(A258&lt;&gt;"",SUM(C258:E258)=0)),"OK","FEHLER"),"FEHLER")</f>
        <v>OK</v>
      </c>
    </row>
    <row r="259" customFormat="false" ht="16.4" hidden="false" customHeight="false" outlineLevel="0" collapsed="false">
      <c r="A259" s="23" t="n">
        <f aca="false">IFERROR(IF(YEAR(DATE(Eingaben!$B$10,1,1)+254)=Eingaben!$B$10,DATE(Eingaben!$B$10,1,1)+254,""),"")</f>
        <v>46277</v>
      </c>
      <c r="B259" s="12" t="str">
        <f aca="false">IF(A259="","",CHOOSE(WEEKDAY(A259,2),"Mo","Di","Mi","Do","Fr","Sa","So"))</f>
        <v>Sa</v>
      </c>
      <c r="C259" s="20" t="n">
        <v>0</v>
      </c>
      <c r="D259" s="20" t="n">
        <v>1</v>
      </c>
      <c r="E259" s="20" t="n">
        <v>0</v>
      </c>
      <c r="F259" s="19"/>
      <c r="G259" s="12" t="str">
        <f aca="false">IFERROR(IF(AND(COUNT(C259:E259)=3,OR(C259=0,C259=1),OR(D259=0,D259=1),OR(E259=0,E259=1),OR(A259&lt;&gt;"",SUM(C259:E259)=0)),"OK","FEHLER"),"FEHLER")</f>
        <v>OK</v>
      </c>
    </row>
    <row r="260" customFormat="false" ht="16.4" hidden="false" customHeight="false" outlineLevel="0" collapsed="false">
      <c r="A260" s="23" t="n">
        <f aca="false">IFERROR(IF(YEAR(DATE(Eingaben!$B$10,1,1)+255)=Eingaben!$B$10,DATE(Eingaben!$B$10,1,1)+255,""),"")</f>
        <v>46278</v>
      </c>
      <c r="B260" s="12" t="str">
        <f aca="false">IF(A260="","",CHOOSE(WEEKDAY(A260,2),"Mo","Di","Mi","Do","Fr","Sa","So"))</f>
        <v>So</v>
      </c>
      <c r="C260" s="20" t="n">
        <v>0</v>
      </c>
      <c r="D260" s="20" t="n">
        <v>1</v>
      </c>
      <c r="E260" s="20" t="n">
        <v>0</v>
      </c>
      <c r="F260" s="19"/>
      <c r="G260" s="12" t="str">
        <f aca="false">IFERROR(IF(AND(COUNT(C260:E260)=3,OR(C260=0,C260=1),OR(D260=0,D260=1),OR(E260=0,E260=1),OR(A260&lt;&gt;"",SUM(C260:E260)=0)),"OK","FEHLER"),"FEHLER")</f>
        <v>OK</v>
      </c>
    </row>
    <row r="261" customFormat="false" ht="16.4" hidden="false" customHeight="false" outlineLevel="0" collapsed="false">
      <c r="A261" s="23" t="n">
        <f aca="false">IFERROR(IF(YEAR(DATE(Eingaben!$B$10,1,1)+256)=Eingaben!$B$10,DATE(Eingaben!$B$10,1,1)+256,""),"")</f>
        <v>46279</v>
      </c>
      <c r="B261" s="12" t="str">
        <f aca="false">IF(A261="","",CHOOSE(WEEKDAY(A261,2),"Mo","Di","Mi","Do","Fr","Sa","So"))</f>
        <v>Mo</v>
      </c>
      <c r="C261" s="20" t="n">
        <v>1</v>
      </c>
      <c r="D261" s="20" t="n">
        <v>1</v>
      </c>
      <c r="E261" s="20" t="n">
        <v>0</v>
      </c>
      <c r="F261" s="19"/>
      <c r="G261" s="12" t="str">
        <f aca="false">IFERROR(IF(AND(COUNT(C261:E261)=3,OR(C261=0,C261=1),OR(D261=0,D261=1),OR(E261=0,E261=1),OR(A261&lt;&gt;"",SUM(C261:E261)=0)),"OK","FEHLER"),"FEHLER")</f>
        <v>OK</v>
      </c>
    </row>
    <row r="262" customFormat="false" ht="16.4" hidden="false" customHeight="false" outlineLevel="0" collapsed="false">
      <c r="A262" s="23" t="n">
        <f aca="false">IFERROR(IF(YEAR(DATE(Eingaben!$B$10,1,1)+257)=Eingaben!$B$10,DATE(Eingaben!$B$10,1,1)+257,""),"")</f>
        <v>46280</v>
      </c>
      <c r="B262" s="12" t="str">
        <f aca="false">IF(A262="","",CHOOSE(WEEKDAY(A262,2),"Mo","Di","Mi","Do","Fr","Sa","So"))</f>
        <v>Di</v>
      </c>
      <c r="C262" s="20" t="n">
        <v>1</v>
      </c>
      <c r="D262" s="20" t="n">
        <v>1</v>
      </c>
      <c r="E262" s="20" t="n">
        <v>0</v>
      </c>
      <c r="F262" s="19"/>
      <c r="G262" s="12" t="str">
        <f aca="false">IFERROR(IF(AND(COUNT(C262:E262)=3,OR(C262=0,C262=1),OR(D262=0,D262=1),OR(E262=0,E262=1),OR(A262&lt;&gt;"",SUM(C262:E262)=0)),"OK","FEHLER"),"FEHLER")</f>
        <v>OK</v>
      </c>
    </row>
    <row r="263" customFormat="false" ht="16.4" hidden="false" customHeight="false" outlineLevel="0" collapsed="false">
      <c r="A263" s="23" t="n">
        <f aca="false">IFERROR(IF(YEAR(DATE(Eingaben!$B$10,1,1)+258)=Eingaben!$B$10,DATE(Eingaben!$B$10,1,1)+258,""),"")</f>
        <v>46281</v>
      </c>
      <c r="B263" s="12" t="str">
        <f aca="false">IF(A263="","",CHOOSE(WEEKDAY(A263,2),"Mo","Di","Mi","Do","Fr","Sa","So"))</f>
        <v>Mi</v>
      </c>
      <c r="C263" s="20" t="n">
        <v>1</v>
      </c>
      <c r="D263" s="20" t="n">
        <v>1</v>
      </c>
      <c r="E263" s="20" t="n">
        <v>0</v>
      </c>
      <c r="F263" s="19"/>
      <c r="G263" s="12" t="str">
        <f aca="false">IFERROR(IF(AND(COUNT(C263:E263)=3,OR(C263=0,C263=1),OR(D263=0,D263=1),OR(E263=0,E263=1),OR(A263&lt;&gt;"",SUM(C263:E263)=0)),"OK","FEHLER"),"FEHLER")</f>
        <v>OK</v>
      </c>
    </row>
    <row r="264" customFormat="false" ht="16.4" hidden="false" customHeight="false" outlineLevel="0" collapsed="false">
      <c r="A264" s="23" t="n">
        <f aca="false">IFERROR(IF(YEAR(DATE(Eingaben!$B$10,1,1)+259)=Eingaben!$B$10,DATE(Eingaben!$B$10,1,1)+259,""),"")</f>
        <v>46282</v>
      </c>
      <c r="B264" s="12" t="str">
        <f aca="false">IF(A264="","",CHOOSE(WEEKDAY(A264,2),"Mo","Di","Mi","Do","Fr","Sa","So"))</f>
        <v>Do</v>
      </c>
      <c r="C264" s="20" t="n">
        <v>1</v>
      </c>
      <c r="D264" s="20" t="n">
        <v>1</v>
      </c>
      <c r="E264" s="20" t="n">
        <v>0</v>
      </c>
      <c r="F264" s="19"/>
      <c r="G264" s="12" t="str">
        <f aca="false">IFERROR(IF(AND(COUNT(C264:E264)=3,OR(C264=0,C264=1),OR(D264=0,D264=1),OR(E264=0,E264=1),OR(A264&lt;&gt;"",SUM(C264:E264)=0)),"OK","FEHLER"),"FEHLER")</f>
        <v>OK</v>
      </c>
    </row>
    <row r="265" customFormat="false" ht="16.4" hidden="false" customHeight="false" outlineLevel="0" collapsed="false">
      <c r="A265" s="23" t="n">
        <f aca="false">IFERROR(IF(YEAR(DATE(Eingaben!$B$10,1,1)+260)=Eingaben!$B$10,DATE(Eingaben!$B$10,1,1)+260,""),"")</f>
        <v>46283</v>
      </c>
      <c r="B265" s="12" t="str">
        <f aca="false">IF(A265="","",CHOOSE(WEEKDAY(A265,2),"Mo","Di","Mi","Do","Fr","Sa","So"))</f>
        <v>Fr</v>
      </c>
      <c r="C265" s="20" t="n">
        <v>1</v>
      </c>
      <c r="D265" s="20" t="n">
        <v>1</v>
      </c>
      <c r="E265" s="20" t="n">
        <v>0</v>
      </c>
      <c r="F265" s="19"/>
      <c r="G265" s="12" t="str">
        <f aca="false">IFERROR(IF(AND(COUNT(C265:E265)=3,OR(C265=0,C265=1),OR(D265=0,D265=1),OR(E265=0,E265=1),OR(A265&lt;&gt;"",SUM(C265:E265)=0)),"OK","FEHLER"),"FEHLER")</f>
        <v>OK</v>
      </c>
    </row>
    <row r="266" customFormat="false" ht="16.4" hidden="false" customHeight="false" outlineLevel="0" collapsed="false">
      <c r="A266" s="23" t="n">
        <f aca="false">IFERROR(IF(YEAR(DATE(Eingaben!$B$10,1,1)+261)=Eingaben!$B$10,DATE(Eingaben!$B$10,1,1)+261,""),"")</f>
        <v>46284</v>
      </c>
      <c r="B266" s="12" t="str">
        <f aca="false">IF(A266="","",CHOOSE(WEEKDAY(A266,2),"Mo","Di","Mi","Do","Fr","Sa","So"))</f>
        <v>Sa</v>
      </c>
      <c r="C266" s="20" t="n">
        <v>0</v>
      </c>
      <c r="D266" s="20" t="n">
        <v>1</v>
      </c>
      <c r="E266" s="20" t="n">
        <v>0</v>
      </c>
      <c r="F266" s="19"/>
      <c r="G266" s="12" t="str">
        <f aca="false">IFERROR(IF(AND(COUNT(C266:E266)=3,OR(C266=0,C266=1),OR(D266=0,D266=1),OR(E266=0,E266=1),OR(A266&lt;&gt;"",SUM(C266:E266)=0)),"OK","FEHLER"),"FEHLER")</f>
        <v>OK</v>
      </c>
    </row>
    <row r="267" customFormat="false" ht="16.4" hidden="false" customHeight="false" outlineLevel="0" collapsed="false">
      <c r="A267" s="23" t="n">
        <f aca="false">IFERROR(IF(YEAR(DATE(Eingaben!$B$10,1,1)+262)=Eingaben!$B$10,DATE(Eingaben!$B$10,1,1)+262,""),"")</f>
        <v>46285</v>
      </c>
      <c r="B267" s="12" t="str">
        <f aca="false">IF(A267="","",CHOOSE(WEEKDAY(A267,2),"Mo","Di","Mi","Do","Fr","Sa","So"))</f>
        <v>So</v>
      </c>
      <c r="C267" s="20" t="n">
        <v>0</v>
      </c>
      <c r="D267" s="20" t="n">
        <v>1</v>
      </c>
      <c r="E267" s="20" t="n">
        <v>0</v>
      </c>
      <c r="F267" s="19"/>
      <c r="G267" s="12" t="str">
        <f aca="false">IFERROR(IF(AND(COUNT(C267:E267)=3,OR(C267=0,C267=1),OR(D267=0,D267=1),OR(E267=0,E267=1),OR(A267&lt;&gt;"",SUM(C267:E267)=0)),"OK","FEHLER"),"FEHLER")</f>
        <v>OK</v>
      </c>
    </row>
    <row r="268" customFormat="false" ht="16.4" hidden="false" customHeight="false" outlineLevel="0" collapsed="false">
      <c r="A268" s="23" t="n">
        <f aca="false">IFERROR(IF(YEAR(DATE(Eingaben!$B$10,1,1)+263)=Eingaben!$B$10,DATE(Eingaben!$B$10,1,1)+263,""),"")</f>
        <v>46286</v>
      </c>
      <c r="B268" s="12" t="str">
        <f aca="false">IF(A268="","",CHOOSE(WEEKDAY(A268,2),"Mo","Di","Mi","Do","Fr","Sa","So"))</f>
        <v>Mo</v>
      </c>
      <c r="C268" s="20" t="n">
        <v>1</v>
      </c>
      <c r="D268" s="20" t="n">
        <v>1</v>
      </c>
      <c r="E268" s="20" t="n">
        <v>0</v>
      </c>
      <c r="F268" s="19"/>
      <c r="G268" s="12" t="str">
        <f aca="false">IFERROR(IF(AND(COUNT(C268:E268)=3,OR(C268=0,C268=1),OR(D268=0,D268=1),OR(E268=0,E268=1),OR(A268&lt;&gt;"",SUM(C268:E268)=0)),"OK","FEHLER"),"FEHLER")</f>
        <v>OK</v>
      </c>
    </row>
    <row r="269" customFormat="false" ht="16.4" hidden="false" customHeight="false" outlineLevel="0" collapsed="false">
      <c r="A269" s="23" t="n">
        <f aca="false">IFERROR(IF(YEAR(DATE(Eingaben!$B$10,1,1)+264)=Eingaben!$B$10,DATE(Eingaben!$B$10,1,1)+264,""),"")</f>
        <v>46287</v>
      </c>
      <c r="B269" s="12" t="str">
        <f aca="false">IF(A269="","",CHOOSE(WEEKDAY(A269,2),"Mo","Di","Mi","Do","Fr","Sa","So"))</f>
        <v>Di</v>
      </c>
      <c r="C269" s="20" t="n">
        <v>1</v>
      </c>
      <c r="D269" s="20" t="n">
        <v>1</v>
      </c>
      <c r="E269" s="20" t="n">
        <v>0</v>
      </c>
      <c r="F269" s="19"/>
      <c r="G269" s="12" t="str">
        <f aca="false">IFERROR(IF(AND(COUNT(C269:E269)=3,OR(C269=0,C269=1),OR(D269=0,D269=1),OR(E269=0,E269=1),OR(A269&lt;&gt;"",SUM(C269:E269)=0)),"OK","FEHLER"),"FEHLER")</f>
        <v>OK</v>
      </c>
    </row>
    <row r="270" customFormat="false" ht="16.4" hidden="false" customHeight="false" outlineLevel="0" collapsed="false">
      <c r="A270" s="23" t="n">
        <f aca="false">IFERROR(IF(YEAR(DATE(Eingaben!$B$10,1,1)+265)=Eingaben!$B$10,DATE(Eingaben!$B$10,1,1)+265,""),"")</f>
        <v>46288</v>
      </c>
      <c r="B270" s="12" t="str">
        <f aca="false">IF(A270="","",CHOOSE(WEEKDAY(A270,2),"Mo","Di","Mi","Do","Fr","Sa","So"))</f>
        <v>Mi</v>
      </c>
      <c r="C270" s="20" t="n">
        <v>1</v>
      </c>
      <c r="D270" s="20" t="n">
        <v>1</v>
      </c>
      <c r="E270" s="20" t="n">
        <v>0</v>
      </c>
      <c r="F270" s="19"/>
      <c r="G270" s="12" t="str">
        <f aca="false">IFERROR(IF(AND(COUNT(C270:E270)=3,OR(C270=0,C270=1),OR(D270=0,D270=1),OR(E270=0,E270=1),OR(A270&lt;&gt;"",SUM(C270:E270)=0)),"OK","FEHLER"),"FEHLER")</f>
        <v>OK</v>
      </c>
    </row>
    <row r="271" customFormat="false" ht="16.4" hidden="false" customHeight="false" outlineLevel="0" collapsed="false">
      <c r="A271" s="23" t="n">
        <f aca="false">IFERROR(IF(YEAR(DATE(Eingaben!$B$10,1,1)+266)=Eingaben!$B$10,DATE(Eingaben!$B$10,1,1)+266,""),"")</f>
        <v>46289</v>
      </c>
      <c r="B271" s="12" t="str">
        <f aca="false">IF(A271="","",CHOOSE(WEEKDAY(A271,2),"Mo","Di","Mi","Do","Fr","Sa","So"))</f>
        <v>Do</v>
      </c>
      <c r="C271" s="20" t="n">
        <v>1</v>
      </c>
      <c r="D271" s="20" t="n">
        <v>1</v>
      </c>
      <c r="E271" s="20" t="n">
        <v>0</v>
      </c>
      <c r="F271" s="19"/>
      <c r="G271" s="12" t="str">
        <f aca="false">IFERROR(IF(AND(COUNT(C271:E271)=3,OR(C271=0,C271=1),OR(D271=0,D271=1),OR(E271=0,E271=1),OR(A271&lt;&gt;"",SUM(C271:E271)=0)),"OK","FEHLER"),"FEHLER")</f>
        <v>OK</v>
      </c>
    </row>
    <row r="272" customFormat="false" ht="16.4" hidden="false" customHeight="false" outlineLevel="0" collapsed="false">
      <c r="A272" s="23" t="n">
        <f aca="false">IFERROR(IF(YEAR(DATE(Eingaben!$B$10,1,1)+267)=Eingaben!$B$10,DATE(Eingaben!$B$10,1,1)+267,""),"")</f>
        <v>46290</v>
      </c>
      <c r="B272" s="12" t="str">
        <f aca="false">IF(A272="","",CHOOSE(WEEKDAY(A272,2),"Mo","Di","Mi","Do","Fr","Sa","So"))</f>
        <v>Fr</v>
      </c>
      <c r="C272" s="20" t="n">
        <v>1</v>
      </c>
      <c r="D272" s="20" t="n">
        <v>1</v>
      </c>
      <c r="E272" s="20" t="n">
        <v>0</v>
      </c>
      <c r="F272" s="19"/>
      <c r="G272" s="12" t="str">
        <f aca="false">IFERROR(IF(AND(COUNT(C272:E272)=3,OR(C272=0,C272=1),OR(D272=0,D272=1),OR(E272=0,E272=1),OR(A272&lt;&gt;"",SUM(C272:E272)=0)),"OK","FEHLER"),"FEHLER")</f>
        <v>OK</v>
      </c>
    </row>
    <row r="273" customFormat="false" ht="16.4" hidden="false" customHeight="false" outlineLevel="0" collapsed="false">
      <c r="A273" s="23" t="n">
        <f aca="false">IFERROR(IF(YEAR(DATE(Eingaben!$B$10,1,1)+268)=Eingaben!$B$10,DATE(Eingaben!$B$10,1,1)+268,""),"")</f>
        <v>46291</v>
      </c>
      <c r="B273" s="12" t="str">
        <f aca="false">IF(A273="","",CHOOSE(WEEKDAY(A273,2),"Mo","Di","Mi","Do","Fr","Sa","So"))</f>
        <v>Sa</v>
      </c>
      <c r="C273" s="20" t="n">
        <v>0</v>
      </c>
      <c r="D273" s="20" t="n">
        <v>1</v>
      </c>
      <c r="E273" s="20" t="n">
        <v>0</v>
      </c>
      <c r="F273" s="19"/>
      <c r="G273" s="12" t="str">
        <f aca="false">IFERROR(IF(AND(COUNT(C273:E273)=3,OR(C273=0,C273=1),OR(D273=0,D273=1),OR(E273=0,E273=1),OR(A273&lt;&gt;"",SUM(C273:E273)=0)),"OK","FEHLER"),"FEHLER")</f>
        <v>OK</v>
      </c>
    </row>
    <row r="274" customFormat="false" ht="16.4" hidden="false" customHeight="false" outlineLevel="0" collapsed="false">
      <c r="A274" s="23" t="n">
        <f aca="false">IFERROR(IF(YEAR(DATE(Eingaben!$B$10,1,1)+269)=Eingaben!$B$10,DATE(Eingaben!$B$10,1,1)+269,""),"")</f>
        <v>46292</v>
      </c>
      <c r="B274" s="12" t="str">
        <f aca="false">IF(A274="","",CHOOSE(WEEKDAY(A274,2),"Mo","Di","Mi","Do","Fr","Sa","So"))</f>
        <v>So</v>
      </c>
      <c r="C274" s="20" t="n">
        <v>0</v>
      </c>
      <c r="D274" s="20" t="n">
        <v>1</v>
      </c>
      <c r="E274" s="20" t="n">
        <v>0</v>
      </c>
      <c r="F274" s="19"/>
      <c r="G274" s="12" t="str">
        <f aca="false">IFERROR(IF(AND(COUNT(C274:E274)=3,OR(C274=0,C274=1),OR(D274=0,D274=1),OR(E274=0,E274=1),OR(A274&lt;&gt;"",SUM(C274:E274)=0)),"OK","FEHLER"),"FEHLER")</f>
        <v>OK</v>
      </c>
    </row>
    <row r="275" customFormat="false" ht="16.4" hidden="false" customHeight="false" outlineLevel="0" collapsed="false">
      <c r="A275" s="23" t="n">
        <f aca="false">IFERROR(IF(YEAR(DATE(Eingaben!$B$10,1,1)+270)=Eingaben!$B$10,DATE(Eingaben!$B$10,1,1)+270,""),"")</f>
        <v>46293</v>
      </c>
      <c r="B275" s="12" t="str">
        <f aca="false">IF(A275="","",CHOOSE(WEEKDAY(A275,2),"Mo","Di","Mi","Do","Fr","Sa","So"))</f>
        <v>Mo</v>
      </c>
      <c r="C275" s="20" t="n">
        <v>1</v>
      </c>
      <c r="D275" s="20" t="n">
        <v>1</v>
      </c>
      <c r="E275" s="20" t="n">
        <v>0</v>
      </c>
      <c r="F275" s="19"/>
      <c r="G275" s="12" t="str">
        <f aca="false">IFERROR(IF(AND(COUNT(C275:E275)=3,OR(C275=0,C275=1),OR(D275=0,D275=1),OR(E275=0,E275=1),OR(A275&lt;&gt;"",SUM(C275:E275)=0)),"OK","FEHLER"),"FEHLER")</f>
        <v>OK</v>
      </c>
    </row>
    <row r="276" customFormat="false" ht="16.4" hidden="false" customHeight="false" outlineLevel="0" collapsed="false">
      <c r="A276" s="23" t="n">
        <f aca="false">IFERROR(IF(YEAR(DATE(Eingaben!$B$10,1,1)+271)=Eingaben!$B$10,DATE(Eingaben!$B$10,1,1)+271,""),"")</f>
        <v>46294</v>
      </c>
      <c r="B276" s="12" t="str">
        <f aca="false">IF(A276="","",CHOOSE(WEEKDAY(A276,2),"Mo","Di","Mi","Do","Fr","Sa","So"))</f>
        <v>Di</v>
      </c>
      <c r="C276" s="20" t="n">
        <v>1</v>
      </c>
      <c r="D276" s="20" t="n">
        <v>1</v>
      </c>
      <c r="E276" s="20" t="n">
        <v>0</v>
      </c>
      <c r="F276" s="19"/>
      <c r="G276" s="12" t="str">
        <f aca="false">IFERROR(IF(AND(COUNT(C276:E276)=3,OR(C276=0,C276=1),OR(D276=0,D276=1),OR(E276=0,E276=1),OR(A276&lt;&gt;"",SUM(C276:E276)=0)),"OK","FEHLER"),"FEHLER")</f>
        <v>OK</v>
      </c>
    </row>
    <row r="277" customFormat="false" ht="16.4" hidden="false" customHeight="false" outlineLevel="0" collapsed="false">
      <c r="A277" s="23" t="n">
        <f aca="false">IFERROR(IF(YEAR(DATE(Eingaben!$B$10,1,1)+272)=Eingaben!$B$10,DATE(Eingaben!$B$10,1,1)+272,""),"")</f>
        <v>46295</v>
      </c>
      <c r="B277" s="12" t="str">
        <f aca="false">IF(A277="","",CHOOSE(WEEKDAY(A277,2),"Mo","Di","Mi","Do","Fr","Sa","So"))</f>
        <v>Mi</v>
      </c>
      <c r="C277" s="20" t="n">
        <v>1</v>
      </c>
      <c r="D277" s="20" t="n">
        <v>1</v>
      </c>
      <c r="E277" s="20" t="n">
        <v>0</v>
      </c>
      <c r="F277" s="19"/>
      <c r="G277" s="12" t="str">
        <f aca="false">IFERROR(IF(AND(COUNT(C277:E277)=3,OR(C277=0,C277=1),OR(D277=0,D277=1),OR(E277=0,E277=1),OR(A277&lt;&gt;"",SUM(C277:E277)=0)),"OK","FEHLER"),"FEHLER")</f>
        <v>OK</v>
      </c>
    </row>
    <row r="278" customFormat="false" ht="16.4" hidden="false" customHeight="false" outlineLevel="0" collapsed="false">
      <c r="A278" s="23" t="n">
        <f aca="false">IFERROR(IF(YEAR(DATE(Eingaben!$B$10,1,1)+273)=Eingaben!$B$10,DATE(Eingaben!$B$10,1,1)+273,""),"")</f>
        <v>46296</v>
      </c>
      <c r="B278" s="12" t="str">
        <f aca="false">IF(A278="","",CHOOSE(WEEKDAY(A278,2),"Mo","Di","Mi","Do","Fr","Sa","So"))</f>
        <v>Do</v>
      </c>
      <c r="C278" s="20" t="n">
        <v>1</v>
      </c>
      <c r="D278" s="20" t="n">
        <v>1</v>
      </c>
      <c r="E278" s="20" t="n">
        <v>0</v>
      </c>
      <c r="F278" s="19"/>
      <c r="G278" s="12" t="str">
        <f aca="false">IFERROR(IF(AND(COUNT(C278:E278)=3,OR(C278=0,C278=1),OR(D278=0,D278=1),OR(E278=0,E278=1),OR(A278&lt;&gt;"",SUM(C278:E278)=0)),"OK","FEHLER"),"FEHLER")</f>
        <v>OK</v>
      </c>
    </row>
    <row r="279" customFormat="false" ht="16.4" hidden="false" customHeight="false" outlineLevel="0" collapsed="false">
      <c r="A279" s="23" t="n">
        <f aca="false">IFERROR(IF(YEAR(DATE(Eingaben!$B$10,1,1)+274)=Eingaben!$B$10,DATE(Eingaben!$B$10,1,1)+274,""),"")</f>
        <v>46297</v>
      </c>
      <c r="B279" s="12" t="str">
        <f aca="false">IF(A279="","",CHOOSE(WEEKDAY(A279,2),"Mo","Di","Mi","Do","Fr","Sa","So"))</f>
        <v>Fr</v>
      </c>
      <c r="C279" s="20" t="n">
        <v>1</v>
      </c>
      <c r="D279" s="20" t="n">
        <v>1</v>
      </c>
      <c r="E279" s="20" t="n">
        <v>0</v>
      </c>
      <c r="F279" s="19"/>
      <c r="G279" s="12" t="str">
        <f aca="false">IFERROR(IF(AND(COUNT(C279:E279)=3,OR(C279=0,C279=1),OR(D279=0,D279=1),OR(E279=0,E279=1),OR(A279&lt;&gt;"",SUM(C279:E279)=0)),"OK","FEHLER"),"FEHLER")</f>
        <v>OK</v>
      </c>
    </row>
    <row r="280" customFormat="false" ht="16.4" hidden="false" customHeight="false" outlineLevel="0" collapsed="false">
      <c r="A280" s="23" t="n">
        <f aca="false">IFERROR(IF(YEAR(DATE(Eingaben!$B$10,1,1)+275)=Eingaben!$B$10,DATE(Eingaben!$B$10,1,1)+275,""),"")</f>
        <v>46298</v>
      </c>
      <c r="B280" s="12" t="str">
        <f aca="false">IF(A280="","",CHOOSE(WEEKDAY(A280,2),"Mo","Di","Mi","Do","Fr","Sa","So"))</f>
        <v>Sa</v>
      </c>
      <c r="C280" s="20" t="n">
        <v>0</v>
      </c>
      <c r="D280" s="20" t="n">
        <v>1</v>
      </c>
      <c r="E280" s="20" t="n">
        <v>0</v>
      </c>
      <c r="F280" s="19"/>
      <c r="G280" s="12" t="str">
        <f aca="false">IFERROR(IF(AND(COUNT(C280:E280)=3,OR(C280=0,C280=1),OR(D280=0,D280=1),OR(E280=0,E280=1),OR(A280&lt;&gt;"",SUM(C280:E280)=0)),"OK","FEHLER"),"FEHLER")</f>
        <v>OK</v>
      </c>
    </row>
    <row r="281" customFormat="false" ht="16.4" hidden="false" customHeight="false" outlineLevel="0" collapsed="false">
      <c r="A281" s="23" t="n">
        <f aca="false">IFERROR(IF(YEAR(DATE(Eingaben!$B$10,1,1)+276)=Eingaben!$B$10,DATE(Eingaben!$B$10,1,1)+276,""),"")</f>
        <v>46299</v>
      </c>
      <c r="B281" s="12" t="str">
        <f aca="false">IF(A281="","",CHOOSE(WEEKDAY(A281,2),"Mo","Di","Mi","Do","Fr","Sa","So"))</f>
        <v>So</v>
      </c>
      <c r="C281" s="20" t="n">
        <v>0</v>
      </c>
      <c r="D281" s="20" t="n">
        <v>1</v>
      </c>
      <c r="E281" s="20" t="n">
        <v>0</v>
      </c>
      <c r="F281" s="19"/>
      <c r="G281" s="12" t="str">
        <f aca="false">IFERROR(IF(AND(COUNT(C281:E281)=3,OR(C281=0,C281=1),OR(D281=0,D281=1),OR(E281=0,E281=1),OR(A281&lt;&gt;"",SUM(C281:E281)=0)),"OK","FEHLER"),"FEHLER")</f>
        <v>OK</v>
      </c>
    </row>
    <row r="282" customFormat="false" ht="16.4" hidden="false" customHeight="false" outlineLevel="0" collapsed="false">
      <c r="A282" s="23" t="n">
        <f aca="false">IFERROR(IF(YEAR(DATE(Eingaben!$B$10,1,1)+277)=Eingaben!$B$10,DATE(Eingaben!$B$10,1,1)+277,""),"")</f>
        <v>46300</v>
      </c>
      <c r="B282" s="12" t="str">
        <f aca="false">IF(A282="","",CHOOSE(WEEKDAY(A282,2),"Mo","Di","Mi","Do","Fr","Sa","So"))</f>
        <v>Mo</v>
      </c>
      <c r="C282" s="20" t="n">
        <v>1</v>
      </c>
      <c r="D282" s="20" t="n">
        <v>1</v>
      </c>
      <c r="E282" s="20" t="n">
        <v>0</v>
      </c>
      <c r="F282" s="19"/>
      <c r="G282" s="12" t="str">
        <f aca="false">IFERROR(IF(AND(COUNT(C282:E282)=3,OR(C282=0,C282=1),OR(D282=0,D282=1),OR(E282=0,E282=1),OR(A282&lt;&gt;"",SUM(C282:E282)=0)),"OK","FEHLER"),"FEHLER")</f>
        <v>OK</v>
      </c>
    </row>
    <row r="283" customFormat="false" ht="16.4" hidden="false" customHeight="false" outlineLevel="0" collapsed="false">
      <c r="A283" s="23" t="n">
        <f aca="false">IFERROR(IF(YEAR(DATE(Eingaben!$B$10,1,1)+278)=Eingaben!$B$10,DATE(Eingaben!$B$10,1,1)+278,""),"")</f>
        <v>46301</v>
      </c>
      <c r="B283" s="12" t="str">
        <f aca="false">IF(A283="","",CHOOSE(WEEKDAY(A283,2),"Mo","Di","Mi","Do","Fr","Sa","So"))</f>
        <v>Di</v>
      </c>
      <c r="C283" s="20" t="n">
        <v>1</v>
      </c>
      <c r="D283" s="20" t="n">
        <v>1</v>
      </c>
      <c r="E283" s="20" t="n">
        <v>0</v>
      </c>
      <c r="F283" s="19"/>
      <c r="G283" s="12" t="str">
        <f aca="false">IFERROR(IF(AND(COUNT(C283:E283)=3,OR(C283=0,C283=1),OR(D283=0,D283=1),OR(E283=0,E283=1),OR(A283&lt;&gt;"",SUM(C283:E283)=0)),"OK","FEHLER"),"FEHLER")</f>
        <v>OK</v>
      </c>
    </row>
    <row r="284" customFormat="false" ht="16.4" hidden="false" customHeight="false" outlineLevel="0" collapsed="false">
      <c r="A284" s="23" t="n">
        <f aca="false">IFERROR(IF(YEAR(DATE(Eingaben!$B$10,1,1)+279)=Eingaben!$B$10,DATE(Eingaben!$B$10,1,1)+279,""),"")</f>
        <v>46302</v>
      </c>
      <c r="B284" s="12" t="str">
        <f aca="false">IF(A284="","",CHOOSE(WEEKDAY(A284,2),"Mo","Di","Mi","Do","Fr","Sa","So"))</f>
        <v>Mi</v>
      </c>
      <c r="C284" s="20" t="n">
        <v>1</v>
      </c>
      <c r="D284" s="20" t="n">
        <v>1</v>
      </c>
      <c r="E284" s="20" t="n">
        <v>0</v>
      </c>
      <c r="F284" s="19"/>
      <c r="G284" s="12" t="str">
        <f aca="false">IFERROR(IF(AND(COUNT(C284:E284)=3,OR(C284=0,C284=1),OR(D284=0,D284=1),OR(E284=0,E284=1),OR(A284&lt;&gt;"",SUM(C284:E284)=0)),"OK","FEHLER"),"FEHLER")</f>
        <v>OK</v>
      </c>
    </row>
    <row r="285" customFormat="false" ht="16.4" hidden="false" customHeight="false" outlineLevel="0" collapsed="false">
      <c r="A285" s="23" t="n">
        <f aca="false">IFERROR(IF(YEAR(DATE(Eingaben!$B$10,1,1)+280)=Eingaben!$B$10,DATE(Eingaben!$B$10,1,1)+280,""),"")</f>
        <v>46303</v>
      </c>
      <c r="B285" s="12" t="str">
        <f aca="false">IF(A285="","",CHOOSE(WEEKDAY(A285,2),"Mo","Di","Mi","Do","Fr","Sa","So"))</f>
        <v>Do</v>
      </c>
      <c r="C285" s="20" t="n">
        <v>1</v>
      </c>
      <c r="D285" s="20" t="n">
        <v>0</v>
      </c>
      <c r="E285" s="20" t="n">
        <v>0</v>
      </c>
      <c r="F285" s="19"/>
      <c r="G285" s="12" t="str">
        <f aca="false">IFERROR(IF(AND(COUNT(C285:E285)=3,OR(C285=0,C285=1),OR(D285=0,D285=1),OR(E285=0,E285=1),OR(A285&lt;&gt;"",SUM(C285:E285)=0)),"OK","FEHLER"),"FEHLER")</f>
        <v>OK</v>
      </c>
    </row>
    <row r="286" customFormat="false" ht="16.4" hidden="false" customHeight="false" outlineLevel="0" collapsed="false">
      <c r="A286" s="23" t="n">
        <f aca="false">IFERROR(IF(YEAR(DATE(Eingaben!$B$10,1,1)+281)=Eingaben!$B$10,DATE(Eingaben!$B$10,1,1)+281,""),"")</f>
        <v>46304</v>
      </c>
      <c r="B286" s="12" t="str">
        <f aca="false">IF(A286="","",CHOOSE(WEEKDAY(A286,2),"Mo","Di","Mi","Do","Fr","Sa","So"))</f>
        <v>Fr</v>
      </c>
      <c r="C286" s="20" t="n">
        <v>1</v>
      </c>
      <c r="D286" s="20" t="n">
        <v>0</v>
      </c>
      <c r="E286" s="20" t="n">
        <v>0</v>
      </c>
      <c r="F286" s="19"/>
      <c r="G286" s="12" t="str">
        <f aca="false">IFERROR(IF(AND(COUNT(C286:E286)=3,OR(C286=0,C286=1),OR(D286=0,D286=1),OR(E286=0,E286=1),OR(A286&lt;&gt;"",SUM(C286:E286)=0)),"OK","FEHLER"),"FEHLER")</f>
        <v>OK</v>
      </c>
    </row>
    <row r="287" customFormat="false" ht="16.4" hidden="false" customHeight="false" outlineLevel="0" collapsed="false">
      <c r="A287" s="23" t="n">
        <f aca="false">IFERROR(IF(YEAR(DATE(Eingaben!$B$10,1,1)+282)=Eingaben!$B$10,DATE(Eingaben!$B$10,1,1)+282,""),"")</f>
        <v>46305</v>
      </c>
      <c r="B287" s="12" t="str">
        <f aca="false">IF(A287="","",CHOOSE(WEEKDAY(A287,2),"Mo","Di","Mi","Do","Fr","Sa","So"))</f>
        <v>Sa</v>
      </c>
      <c r="C287" s="20" t="n">
        <v>0</v>
      </c>
      <c r="D287" s="20" t="n">
        <v>0</v>
      </c>
      <c r="E287" s="20" t="n">
        <v>0</v>
      </c>
      <c r="F287" s="19"/>
      <c r="G287" s="12" t="str">
        <f aca="false">IFERROR(IF(AND(COUNT(C287:E287)=3,OR(C287=0,C287=1),OR(D287=0,D287=1),OR(E287=0,E287=1),OR(A287&lt;&gt;"",SUM(C287:E287)=0)),"OK","FEHLER"),"FEHLER")</f>
        <v>OK</v>
      </c>
    </row>
    <row r="288" customFormat="false" ht="16.4" hidden="false" customHeight="false" outlineLevel="0" collapsed="false">
      <c r="A288" s="23" t="n">
        <f aca="false">IFERROR(IF(YEAR(DATE(Eingaben!$B$10,1,1)+283)=Eingaben!$B$10,DATE(Eingaben!$B$10,1,1)+283,""),"")</f>
        <v>46306</v>
      </c>
      <c r="B288" s="12" t="str">
        <f aca="false">IF(A288="","",CHOOSE(WEEKDAY(A288,2),"Mo","Di","Mi","Do","Fr","Sa","So"))</f>
        <v>So</v>
      </c>
      <c r="C288" s="20" t="n">
        <v>0</v>
      </c>
      <c r="D288" s="20" t="n">
        <v>0</v>
      </c>
      <c r="E288" s="20" t="n">
        <v>0</v>
      </c>
      <c r="F288" s="19"/>
      <c r="G288" s="12" t="str">
        <f aca="false">IFERROR(IF(AND(COUNT(C288:E288)=3,OR(C288=0,C288=1),OR(D288=0,D288=1),OR(E288=0,E288=1),OR(A288&lt;&gt;"",SUM(C288:E288)=0)),"OK","FEHLER"),"FEHLER")</f>
        <v>OK</v>
      </c>
    </row>
    <row r="289" customFormat="false" ht="16.4" hidden="false" customHeight="false" outlineLevel="0" collapsed="false">
      <c r="A289" s="23" t="n">
        <f aca="false">IFERROR(IF(YEAR(DATE(Eingaben!$B$10,1,1)+284)=Eingaben!$B$10,DATE(Eingaben!$B$10,1,1)+284,""),"")</f>
        <v>46307</v>
      </c>
      <c r="B289" s="12" t="str">
        <f aca="false">IF(A289="","",CHOOSE(WEEKDAY(A289,2),"Mo","Di","Mi","Do","Fr","Sa","So"))</f>
        <v>Mo</v>
      </c>
      <c r="C289" s="20" t="n">
        <v>1</v>
      </c>
      <c r="D289" s="20" t="n">
        <v>0</v>
      </c>
      <c r="E289" s="20" t="n">
        <v>0</v>
      </c>
      <c r="F289" s="19"/>
      <c r="G289" s="12" t="str">
        <f aca="false">IFERROR(IF(AND(COUNT(C289:E289)=3,OR(C289=0,C289=1),OR(D289=0,D289=1),OR(E289=0,E289=1),OR(A289&lt;&gt;"",SUM(C289:E289)=0)),"OK","FEHLER"),"FEHLER")</f>
        <v>OK</v>
      </c>
    </row>
    <row r="290" customFormat="false" ht="16.4" hidden="false" customHeight="false" outlineLevel="0" collapsed="false">
      <c r="A290" s="23" t="n">
        <f aca="false">IFERROR(IF(YEAR(DATE(Eingaben!$B$10,1,1)+285)=Eingaben!$B$10,DATE(Eingaben!$B$10,1,1)+285,""),"")</f>
        <v>46308</v>
      </c>
      <c r="B290" s="12" t="str">
        <f aca="false">IF(A290="","",CHOOSE(WEEKDAY(A290,2),"Mo","Di","Mi","Do","Fr","Sa","So"))</f>
        <v>Di</v>
      </c>
      <c r="C290" s="20" t="n">
        <v>1</v>
      </c>
      <c r="D290" s="20" t="n">
        <v>0</v>
      </c>
      <c r="E290" s="20" t="n">
        <v>0</v>
      </c>
      <c r="F290" s="19"/>
      <c r="G290" s="12" t="str">
        <f aca="false">IFERROR(IF(AND(COUNT(C290:E290)=3,OR(C290=0,C290=1),OR(D290=0,D290=1),OR(E290=0,E290=1),OR(A290&lt;&gt;"",SUM(C290:E290)=0)),"OK","FEHLER"),"FEHLER")</f>
        <v>OK</v>
      </c>
    </row>
    <row r="291" customFormat="false" ht="16.4" hidden="false" customHeight="false" outlineLevel="0" collapsed="false">
      <c r="A291" s="23" t="n">
        <f aca="false">IFERROR(IF(YEAR(DATE(Eingaben!$B$10,1,1)+286)=Eingaben!$B$10,DATE(Eingaben!$B$10,1,1)+286,""),"")</f>
        <v>46309</v>
      </c>
      <c r="B291" s="12" t="str">
        <f aca="false">IF(A291="","",CHOOSE(WEEKDAY(A291,2),"Mo","Di","Mi","Do","Fr","Sa","So"))</f>
        <v>Mi</v>
      </c>
      <c r="C291" s="20" t="n">
        <v>1</v>
      </c>
      <c r="D291" s="20" t="n">
        <v>0</v>
      </c>
      <c r="E291" s="20" t="n">
        <v>0</v>
      </c>
      <c r="F291" s="19"/>
      <c r="G291" s="12" t="str">
        <f aca="false">IFERROR(IF(AND(COUNT(C291:E291)=3,OR(C291=0,C291=1),OR(D291=0,D291=1),OR(E291=0,E291=1),OR(A291&lt;&gt;"",SUM(C291:E291)=0)),"OK","FEHLER"),"FEHLER")</f>
        <v>OK</v>
      </c>
    </row>
    <row r="292" customFormat="false" ht="16.4" hidden="false" customHeight="false" outlineLevel="0" collapsed="false">
      <c r="A292" s="23" t="n">
        <f aca="false">IFERROR(IF(YEAR(DATE(Eingaben!$B$10,1,1)+287)=Eingaben!$B$10,DATE(Eingaben!$B$10,1,1)+287,""),"")</f>
        <v>46310</v>
      </c>
      <c r="B292" s="12" t="str">
        <f aca="false">IF(A292="","",CHOOSE(WEEKDAY(A292,2),"Mo","Di","Mi","Do","Fr","Sa","So"))</f>
        <v>Do</v>
      </c>
      <c r="C292" s="20" t="n">
        <v>1</v>
      </c>
      <c r="D292" s="20" t="n">
        <v>0</v>
      </c>
      <c r="E292" s="20" t="n">
        <v>0</v>
      </c>
      <c r="F292" s="19"/>
      <c r="G292" s="12" t="str">
        <f aca="false">IFERROR(IF(AND(COUNT(C292:E292)=3,OR(C292=0,C292=1),OR(D292=0,D292=1),OR(E292=0,E292=1),OR(A292&lt;&gt;"",SUM(C292:E292)=0)),"OK","FEHLER"),"FEHLER")</f>
        <v>OK</v>
      </c>
    </row>
    <row r="293" customFormat="false" ht="16.4" hidden="false" customHeight="false" outlineLevel="0" collapsed="false">
      <c r="A293" s="23" t="n">
        <f aca="false">IFERROR(IF(YEAR(DATE(Eingaben!$B$10,1,1)+288)=Eingaben!$B$10,DATE(Eingaben!$B$10,1,1)+288,""),"")</f>
        <v>46311</v>
      </c>
      <c r="B293" s="12" t="str">
        <f aca="false">IF(A293="","",CHOOSE(WEEKDAY(A293,2),"Mo","Di","Mi","Do","Fr","Sa","So"))</f>
        <v>Fr</v>
      </c>
      <c r="C293" s="20" t="n">
        <v>1</v>
      </c>
      <c r="D293" s="20" t="n">
        <v>0</v>
      </c>
      <c r="E293" s="20" t="n">
        <v>0</v>
      </c>
      <c r="F293" s="19"/>
      <c r="G293" s="12" t="str">
        <f aca="false">IFERROR(IF(AND(COUNT(C293:E293)=3,OR(C293=0,C293=1),OR(D293=0,D293=1),OR(E293=0,E293=1),OR(A293&lt;&gt;"",SUM(C293:E293)=0)),"OK","FEHLER"),"FEHLER")</f>
        <v>OK</v>
      </c>
    </row>
    <row r="294" customFormat="false" ht="16.4" hidden="false" customHeight="false" outlineLevel="0" collapsed="false">
      <c r="A294" s="23" t="n">
        <f aca="false">IFERROR(IF(YEAR(DATE(Eingaben!$B$10,1,1)+289)=Eingaben!$B$10,DATE(Eingaben!$B$10,1,1)+289,""),"")</f>
        <v>46312</v>
      </c>
      <c r="B294" s="12" t="str">
        <f aca="false">IF(A294="","",CHOOSE(WEEKDAY(A294,2),"Mo","Di","Mi","Do","Fr","Sa","So"))</f>
        <v>Sa</v>
      </c>
      <c r="C294" s="20" t="n">
        <v>0</v>
      </c>
      <c r="D294" s="20" t="n">
        <v>0</v>
      </c>
      <c r="E294" s="20" t="n">
        <v>0</v>
      </c>
      <c r="F294" s="19"/>
      <c r="G294" s="12" t="str">
        <f aca="false">IFERROR(IF(AND(COUNT(C294:E294)=3,OR(C294=0,C294=1),OR(D294=0,D294=1),OR(E294=0,E294=1),OR(A294&lt;&gt;"",SUM(C294:E294)=0)),"OK","FEHLER"),"FEHLER")</f>
        <v>OK</v>
      </c>
    </row>
    <row r="295" customFormat="false" ht="16.4" hidden="false" customHeight="false" outlineLevel="0" collapsed="false">
      <c r="A295" s="23" t="n">
        <f aca="false">IFERROR(IF(YEAR(DATE(Eingaben!$B$10,1,1)+290)=Eingaben!$B$10,DATE(Eingaben!$B$10,1,1)+290,""),"")</f>
        <v>46313</v>
      </c>
      <c r="B295" s="12" t="str">
        <f aca="false">IF(A295="","",CHOOSE(WEEKDAY(A295,2),"Mo","Di","Mi","Do","Fr","Sa","So"))</f>
        <v>So</v>
      </c>
      <c r="C295" s="20" t="n">
        <v>0</v>
      </c>
      <c r="D295" s="20" t="n">
        <v>0</v>
      </c>
      <c r="E295" s="20" t="n">
        <v>0</v>
      </c>
      <c r="F295" s="19"/>
      <c r="G295" s="12" t="str">
        <f aca="false">IFERROR(IF(AND(COUNT(C295:E295)=3,OR(C295=0,C295=1),OR(D295=0,D295=1),OR(E295=0,E295=1),OR(A295&lt;&gt;"",SUM(C295:E295)=0)),"OK","FEHLER"),"FEHLER")</f>
        <v>OK</v>
      </c>
    </row>
    <row r="296" customFormat="false" ht="16.4" hidden="false" customHeight="false" outlineLevel="0" collapsed="false">
      <c r="A296" s="23" t="n">
        <f aca="false">IFERROR(IF(YEAR(DATE(Eingaben!$B$10,1,1)+291)=Eingaben!$B$10,DATE(Eingaben!$B$10,1,1)+291,""),"")</f>
        <v>46314</v>
      </c>
      <c r="B296" s="12" t="str">
        <f aca="false">IF(A296="","",CHOOSE(WEEKDAY(A296,2),"Mo","Di","Mi","Do","Fr","Sa","So"))</f>
        <v>Mo</v>
      </c>
      <c r="C296" s="20" t="n">
        <v>1</v>
      </c>
      <c r="D296" s="20" t="n">
        <v>0</v>
      </c>
      <c r="E296" s="20" t="n">
        <v>0</v>
      </c>
      <c r="F296" s="19"/>
      <c r="G296" s="12" t="str">
        <f aca="false">IFERROR(IF(AND(COUNT(C296:E296)=3,OR(C296=0,C296=1),OR(D296=0,D296=1),OR(E296=0,E296=1),OR(A296&lt;&gt;"",SUM(C296:E296)=0)),"OK","FEHLER"),"FEHLER")</f>
        <v>OK</v>
      </c>
    </row>
    <row r="297" customFormat="false" ht="16.4" hidden="false" customHeight="false" outlineLevel="0" collapsed="false">
      <c r="A297" s="23" t="n">
        <f aca="false">IFERROR(IF(YEAR(DATE(Eingaben!$B$10,1,1)+292)=Eingaben!$B$10,DATE(Eingaben!$B$10,1,1)+292,""),"")</f>
        <v>46315</v>
      </c>
      <c r="B297" s="12" t="str">
        <f aca="false">IF(A297="","",CHOOSE(WEEKDAY(A297,2),"Mo","Di","Mi","Do","Fr","Sa","So"))</f>
        <v>Di</v>
      </c>
      <c r="C297" s="20" t="n">
        <v>1</v>
      </c>
      <c r="D297" s="20" t="n">
        <v>0</v>
      </c>
      <c r="E297" s="20" t="n">
        <v>0</v>
      </c>
      <c r="F297" s="19"/>
      <c r="G297" s="12" t="str">
        <f aca="false">IFERROR(IF(AND(COUNT(C297:E297)=3,OR(C297=0,C297=1),OR(D297=0,D297=1),OR(E297=0,E297=1),OR(A297&lt;&gt;"",SUM(C297:E297)=0)),"OK","FEHLER"),"FEHLER")</f>
        <v>OK</v>
      </c>
    </row>
    <row r="298" customFormat="false" ht="16.4" hidden="false" customHeight="false" outlineLevel="0" collapsed="false">
      <c r="A298" s="23" t="n">
        <f aca="false">IFERROR(IF(YEAR(DATE(Eingaben!$B$10,1,1)+293)=Eingaben!$B$10,DATE(Eingaben!$B$10,1,1)+293,""),"")</f>
        <v>46316</v>
      </c>
      <c r="B298" s="12" t="str">
        <f aca="false">IF(A298="","",CHOOSE(WEEKDAY(A298,2),"Mo","Di","Mi","Do","Fr","Sa","So"))</f>
        <v>Mi</v>
      </c>
      <c r="C298" s="20" t="n">
        <v>1</v>
      </c>
      <c r="D298" s="20" t="n">
        <v>0</v>
      </c>
      <c r="E298" s="20" t="n">
        <v>0</v>
      </c>
      <c r="F298" s="19"/>
      <c r="G298" s="12" t="str">
        <f aca="false">IFERROR(IF(AND(COUNT(C298:E298)=3,OR(C298=0,C298=1),OR(D298=0,D298=1),OR(E298=0,E298=1),OR(A298&lt;&gt;"",SUM(C298:E298)=0)),"OK","FEHLER"),"FEHLER")</f>
        <v>OK</v>
      </c>
    </row>
    <row r="299" customFormat="false" ht="16.4" hidden="false" customHeight="false" outlineLevel="0" collapsed="false">
      <c r="A299" s="23" t="n">
        <f aca="false">IFERROR(IF(YEAR(DATE(Eingaben!$B$10,1,1)+294)=Eingaben!$B$10,DATE(Eingaben!$B$10,1,1)+294,""),"")</f>
        <v>46317</v>
      </c>
      <c r="B299" s="12" t="str">
        <f aca="false">IF(A299="","",CHOOSE(WEEKDAY(A299,2),"Mo","Di","Mi","Do","Fr","Sa","So"))</f>
        <v>Do</v>
      </c>
      <c r="C299" s="20" t="n">
        <v>1</v>
      </c>
      <c r="D299" s="20" t="n">
        <v>0</v>
      </c>
      <c r="E299" s="20" t="n">
        <v>0</v>
      </c>
      <c r="F299" s="19"/>
      <c r="G299" s="12" t="str">
        <f aca="false">IFERROR(IF(AND(COUNT(C299:E299)=3,OR(C299=0,C299=1),OR(D299=0,D299=1),OR(E299=0,E299=1),OR(A299&lt;&gt;"",SUM(C299:E299)=0)),"OK","FEHLER"),"FEHLER")</f>
        <v>OK</v>
      </c>
    </row>
    <row r="300" customFormat="false" ht="16.4" hidden="false" customHeight="false" outlineLevel="0" collapsed="false">
      <c r="A300" s="23" t="n">
        <f aca="false">IFERROR(IF(YEAR(DATE(Eingaben!$B$10,1,1)+295)=Eingaben!$B$10,DATE(Eingaben!$B$10,1,1)+295,""),"")</f>
        <v>46318</v>
      </c>
      <c r="B300" s="12" t="str">
        <f aca="false">IF(A300="","",CHOOSE(WEEKDAY(A300,2),"Mo","Di","Mi","Do","Fr","Sa","So"))</f>
        <v>Fr</v>
      </c>
      <c r="C300" s="20" t="n">
        <v>1</v>
      </c>
      <c r="D300" s="20" t="n">
        <v>0</v>
      </c>
      <c r="E300" s="20" t="n">
        <v>0</v>
      </c>
      <c r="F300" s="19"/>
      <c r="G300" s="12" t="str">
        <f aca="false">IFERROR(IF(AND(COUNT(C300:E300)=3,OR(C300=0,C300=1),OR(D300=0,D300=1),OR(E300=0,E300=1),OR(A300&lt;&gt;"",SUM(C300:E300)=0)),"OK","FEHLER"),"FEHLER")</f>
        <v>OK</v>
      </c>
    </row>
    <row r="301" customFormat="false" ht="16.4" hidden="false" customHeight="false" outlineLevel="0" collapsed="false">
      <c r="A301" s="23" t="n">
        <f aca="false">IFERROR(IF(YEAR(DATE(Eingaben!$B$10,1,1)+296)=Eingaben!$B$10,DATE(Eingaben!$B$10,1,1)+296,""),"")</f>
        <v>46319</v>
      </c>
      <c r="B301" s="12" t="str">
        <f aca="false">IF(A301="","",CHOOSE(WEEKDAY(A301,2),"Mo","Di","Mi","Do","Fr","Sa","So"))</f>
        <v>Sa</v>
      </c>
      <c r="C301" s="20" t="n">
        <v>0</v>
      </c>
      <c r="D301" s="20" t="n">
        <v>0</v>
      </c>
      <c r="E301" s="20" t="n">
        <v>0</v>
      </c>
      <c r="F301" s="19"/>
      <c r="G301" s="12" t="str">
        <f aca="false">IFERROR(IF(AND(COUNT(C301:E301)=3,OR(C301=0,C301=1),OR(D301=0,D301=1),OR(E301=0,E301=1),OR(A301&lt;&gt;"",SUM(C301:E301)=0)),"OK","FEHLER"),"FEHLER")</f>
        <v>OK</v>
      </c>
    </row>
    <row r="302" customFormat="false" ht="16.4" hidden="false" customHeight="false" outlineLevel="0" collapsed="false">
      <c r="A302" s="23" t="n">
        <f aca="false">IFERROR(IF(YEAR(DATE(Eingaben!$B$10,1,1)+297)=Eingaben!$B$10,DATE(Eingaben!$B$10,1,1)+297,""),"")</f>
        <v>46320</v>
      </c>
      <c r="B302" s="12" t="str">
        <f aca="false">IF(A302="","",CHOOSE(WEEKDAY(A302,2),"Mo","Di","Mi","Do","Fr","Sa","So"))</f>
        <v>So</v>
      </c>
      <c r="C302" s="20" t="n">
        <v>0</v>
      </c>
      <c r="D302" s="20" t="n">
        <v>0</v>
      </c>
      <c r="E302" s="20" t="n">
        <v>0</v>
      </c>
      <c r="F302" s="19"/>
      <c r="G302" s="12" t="str">
        <f aca="false">IFERROR(IF(AND(COUNT(C302:E302)=3,OR(C302=0,C302=1),OR(D302=0,D302=1),OR(E302=0,E302=1),OR(A302&lt;&gt;"",SUM(C302:E302)=0)),"OK","FEHLER"),"FEHLER")</f>
        <v>OK</v>
      </c>
    </row>
    <row r="303" customFormat="false" ht="16.4" hidden="false" customHeight="false" outlineLevel="0" collapsed="false">
      <c r="A303" s="23" t="n">
        <f aca="false">IFERROR(IF(YEAR(DATE(Eingaben!$B$10,1,1)+298)=Eingaben!$B$10,DATE(Eingaben!$B$10,1,1)+298,""),"")</f>
        <v>46321</v>
      </c>
      <c r="B303" s="12" t="str">
        <f aca="false">IF(A303="","",CHOOSE(WEEKDAY(A303,2),"Mo","Di","Mi","Do","Fr","Sa","So"))</f>
        <v>Mo</v>
      </c>
      <c r="C303" s="20" t="n">
        <v>1</v>
      </c>
      <c r="D303" s="20" t="n">
        <v>0</v>
      </c>
      <c r="E303" s="20" t="n">
        <v>0</v>
      </c>
      <c r="F303" s="19"/>
      <c r="G303" s="12" t="str">
        <f aca="false">IFERROR(IF(AND(COUNT(C303:E303)=3,OR(C303=0,C303=1),OR(D303=0,D303=1),OR(E303=0,E303=1),OR(A303&lt;&gt;"",SUM(C303:E303)=0)),"OK","FEHLER"),"FEHLER")</f>
        <v>OK</v>
      </c>
    </row>
    <row r="304" customFormat="false" ht="16.4" hidden="false" customHeight="false" outlineLevel="0" collapsed="false">
      <c r="A304" s="23" t="n">
        <f aca="false">IFERROR(IF(YEAR(DATE(Eingaben!$B$10,1,1)+299)=Eingaben!$B$10,DATE(Eingaben!$B$10,1,1)+299,""),"")</f>
        <v>46322</v>
      </c>
      <c r="B304" s="12" t="str">
        <f aca="false">IF(A304="","",CHOOSE(WEEKDAY(A304,2),"Mo","Di","Mi","Do","Fr","Sa","So"))</f>
        <v>Di</v>
      </c>
      <c r="C304" s="20" t="n">
        <v>1</v>
      </c>
      <c r="D304" s="20" t="n">
        <v>0</v>
      </c>
      <c r="E304" s="20" t="n">
        <v>0</v>
      </c>
      <c r="F304" s="19"/>
      <c r="G304" s="12" t="str">
        <f aca="false">IFERROR(IF(AND(COUNT(C304:E304)=3,OR(C304=0,C304=1),OR(D304=0,D304=1),OR(E304=0,E304=1),OR(A304&lt;&gt;"",SUM(C304:E304)=0)),"OK","FEHLER"),"FEHLER")</f>
        <v>OK</v>
      </c>
    </row>
    <row r="305" customFormat="false" ht="16.4" hidden="false" customHeight="false" outlineLevel="0" collapsed="false">
      <c r="A305" s="23" t="n">
        <f aca="false">IFERROR(IF(YEAR(DATE(Eingaben!$B$10,1,1)+300)=Eingaben!$B$10,DATE(Eingaben!$B$10,1,1)+300,""),"")</f>
        <v>46323</v>
      </c>
      <c r="B305" s="12" t="str">
        <f aca="false">IF(A305="","",CHOOSE(WEEKDAY(A305,2),"Mo","Di","Mi","Do","Fr","Sa","So"))</f>
        <v>Mi</v>
      </c>
      <c r="C305" s="20" t="n">
        <v>1</v>
      </c>
      <c r="D305" s="20" t="n">
        <v>0</v>
      </c>
      <c r="E305" s="20" t="n">
        <v>0</v>
      </c>
      <c r="F305" s="19"/>
      <c r="G305" s="12" t="str">
        <f aca="false">IFERROR(IF(AND(COUNT(C305:E305)=3,OR(C305=0,C305=1),OR(D305=0,D305=1),OR(E305=0,E305=1),OR(A305&lt;&gt;"",SUM(C305:E305)=0)),"OK","FEHLER"),"FEHLER")</f>
        <v>OK</v>
      </c>
    </row>
    <row r="306" customFormat="false" ht="16.4" hidden="false" customHeight="false" outlineLevel="0" collapsed="false">
      <c r="A306" s="23" t="n">
        <f aca="false">IFERROR(IF(YEAR(DATE(Eingaben!$B$10,1,1)+301)=Eingaben!$B$10,DATE(Eingaben!$B$10,1,1)+301,""),"")</f>
        <v>46324</v>
      </c>
      <c r="B306" s="12" t="str">
        <f aca="false">IF(A306="","",CHOOSE(WEEKDAY(A306,2),"Mo","Di","Mi","Do","Fr","Sa","So"))</f>
        <v>Do</v>
      </c>
      <c r="C306" s="20" t="n">
        <v>1</v>
      </c>
      <c r="D306" s="20" t="n">
        <v>0</v>
      </c>
      <c r="E306" s="20" t="n">
        <v>0</v>
      </c>
      <c r="F306" s="19"/>
      <c r="G306" s="12" t="str">
        <f aca="false">IFERROR(IF(AND(COUNT(C306:E306)=3,OR(C306=0,C306=1),OR(D306=0,D306=1),OR(E306=0,E306=1),OR(A306&lt;&gt;"",SUM(C306:E306)=0)),"OK","FEHLER"),"FEHLER")</f>
        <v>OK</v>
      </c>
    </row>
    <row r="307" customFormat="false" ht="16.4" hidden="false" customHeight="false" outlineLevel="0" collapsed="false">
      <c r="A307" s="23" t="n">
        <f aca="false">IFERROR(IF(YEAR(DATE(Eingaben!$B$10,1,1)+302)=Eingaben!$B$10,DATE(Eingaben!$B$10,1,1)+302,""),"")</f>
        <v>46325</v>
      </c>
      <c r="B307" s="12" t="str">
        <f aca="false">IF(A307="","",CHOOSE(WEEKDAY(A307,2),"Mo","Di","Mi","Do","Fr","Sa","So"))</f>
        <v>Fr</v>
      </c>
      <c r="C307" s="20" t="n">
        <v>1</v>
      </c>
      <c r="D307" s="20" t="n">
        <v>0</v>
      </c>
      <c r="E307" s="20" t="n">
        <v>0</v>
      </c>
      <c r="F307" s="19"/>
      <c r="G307" s="12" t="str">
        <f aca="false">IFERROR(IF(AND(COUNT(C307:E307)=3,OR(C307=0,C307=1),OR(D307=0,D307=1),OR(E307=0,E307=1),OR(A307&lt;&gt;"",SUM(C307:E307)=0)),"OK","FEHLER"),"FEHLER")</f>
        <v>OK</v>
      </c>
    </row>
    <row r="308" customFormat="false" ht="16.4" hidden="false" customHeight="false" outlineLevel="0" collapsed="false">
      <c r="A308" s="23" t="n">
        <f aca="false">IFERROR(IF(YEAR(DATE(Eingaben!$B$10,1,1)+303)=Eingaben!$B$10,DATE(Eingaben!$B$10,1,1)+303,""),"")</f>
        <v>46326</v>
      </c>
      <c r="B308" s="12" t="str">
        <f aca="false">IF(A308="","",CHOOSE(WEEKDAY(A308,2),"Mo","Di","Mi","Do","Fr","Sa","So"))</f>
        <v>Sa</v>
      </c>
      <c r="C308" s="20" t="n">
        <v>0</v>
      </c>
      <c r="D308" s="20" t="n">
        <v>0</v>
      </c>
      <c r="E308" s="20" t="n">
        <v>0</v>
      </c>
      <c r="F308" s="19"/>
      <c r="G308" s="12" t="str">
        <f aca="false">IFERROR(IF(AND(COUNT(C308:E308)=3,OR(C308=0,C308=1),OR(D308=0,D308=1),OR(E308=0,E308=1),OR(A308&lt;&gt;"",SUM(C308:E308)=0)),"OK","FEHLER"),"FEHLER")</f>
        <v>OK</v>
      </c>
    </row>
    <row r="309" customFormat="false" ht="16.4" hidden="false" customHeight="false" outlineLevel="0" collapsed="false">
      <c r="A309" s="23" t="n">
        <f aca="false">IFERROR(IF(YEAR(DATE(Eingaben!$B$10,1,1)+304)=Eingaben!$B$10,DATE(Eingaben!$B$10,1,1)+304,""),"")</f>
        <v>46327</v>
      </c>
      <c r="B309" s="12" t="str">
        <f aca="false">IF(A309="","",CHOOSE(WEEKDAY(A309,2),"Mo","Di","Mi","Do","Fr","Sa","So"))</f>
        <v>So</v>
      </c>
      <c r="C309" s="20" t="n">
        <v>0</v>
      </c>
      <c r="D309" s="20" t="n">
        <v>0</v>
      </c>
      <c r="E309" s="20" t="n">
        <v>0</v>
      </c>
      <c r="F309" s="19"/>
      <c r="G309" s="12" t="str">
        <f aca="false">IFERROR(IF(AND(COUNT(C309:E309)=3,OR(C309=0,C309=1),OR(D309=0,D309=1),OR(E309=0,E309=1),OR(A309&lt;&gt;"",SUM(C309:E309)=0)),"OK","FEHLER"),"FEHLER")</f>
        <v>OK</v>
      </c>
    </row>
    <row r="310" customFormat="false" ht="16.4" hidden="false" customHeight="false" outlineLevel="0" collapsed="false">
      <c r="A310" s="23" t="n">
        <f aca="false">IFERROR(IF(YEAR(DATE(Eingaben!$B$10,1,1)+305)=Eingaben!$B$10,DATE(Eingaben!$B$10,1,1)+305,""),"")</f>
        <v>46328</v>
      </c>
      <c r="B310" s="12" t="str">
        <f aca="false">IF(A310="","",CHOOSE(WEEKDAY(A310,2),"Mo","Di","Mi","Do","Fr","Sa","So"))</f>
        <v>Mo</v>
      </c>
      <c r="C310" s="20" t="n">
        <v>1</v>
      </c>
      <c r="D310" s="20" t="n">
        <v>0</v>
      </c>
      <c r="E310" s="20" t="n">
        <v>0</v>
      </c>
      <c r="F310" s="19"/>
      <c r="G310" s="12" t="str">
        <f aca="false">IFERROR(IF(AND(COUNT(C310:E310)=3,OR(C310=0,C310=1),OR(D310=0,D310=1),OR(E310=0,E310=1),OR(A310&lt;&gt;"",SUM(C310:E310)=0)),"OK","FEHLER"),"FEHLER")</f>
        <v>OK</v>
      </c>
    </row>
    <row r="311" customFormat="false" ht="16.4" hidden="false" customHeight="false" outlineLevel="0" collapsed="false">
      <c r="A311" s="23" t="n">
        <f aca="false">IFERROR(IF(YEAR(DATE(Eingaben!$B$10,1,1)+306)=Eingaben!$B$10,DATE(Eingaben!$B$10,1,1)+306,""),"")</f>
        <v>46329</v>
      </c>
      <c r="B311" s="12" t="str">
        <f aca="false">IF(A311="","",CHOOSE(WEEKDAY(A311,2),"Mo","Di","Mi","Do","Fr","Sa","So"))</f>
        <v>Di</v>
      </c>
      <c r="C311" s="20" t="n">
        <v>1</v>
      </c>
      <c r="D311" s="20" t="n">
        <v>0</v>
      </c>
      <c r="E311" s="20" t="n">
        <v>0</v>
      </c>
      <c r="F311" s="19"/>
      <c r="G311" s="12" t="str">
        <f aca="false">IFERROR(IF(AND(COUNT(C311:E311)=3,OR(C311=0,C311=1),OR(D311=0,D311=1),OR(E311=0,E311=1),OR(A311&lt;&gt;"",SUM(C311:E311)=0)),"OK","FEHLER"),"FEHLER")</f>
        <v>OK</v>
      </c>
    </row>
    <row r="312" customFormat="false" ht="16.4" hidden="false" customHeight="false" outlineLevel="0" collapsed="false">
      <c r="A312" s="23" t="n">
        <f aca="false">IFERROR(IF(YEAR(DATE(Eingaben!$B$10,1,1)+307)=Eingaben!$B$10,DATE(Eingaben!$B$10,1,1)+307,""),"")</f>
        <v>46330</v>
      </c>
      <c r="B312" s="12" t="str">
        <f aca="false">IF(A312="","",CHOOSE(WEEKDAY(A312,2),"Mo","Di","Mi","Do","Fr","Sa","So"))</f>
        <v>Mi</v>
      </c>
      <c r="C312" s="20" t="n">
        <v>1</v>
      </c>
      <c r="D312" s="20" t="n">
        <v>0</v>
      </c>
      <c r="E312" s="20" t="n">
        <v>0</v>
      </c>
      <c r="F312" s="19"/>
      <c r="G312" s="12" t="str">
        <f aca="false">IFERROR(IF(AND(COUNT(C312:E312)=3,OR(C312=0,C312=1),OR(D312=0,D312=1),OR(E312=0,E312=1),OR(A312&lt;&gt;"",SUM(C312:E312)=0)),"OK","FEHLER"),"FEHLER")</f>
        <v>OK</v>
      </c>
    </row>
    <row r="313" customFormat="false" ht="16.4" hidden="false" customHeight="false" outlineLevel="0" collapsed="false">
      <c r="A313" s="23" t="n">
        <f aca="false">IFERROR(IF(YEAR(DATE(Eingaben!$B$10,1,1)+308)=Eingaben!$B$10,DATE(Eingaben!$B$10,1,1)+308,""),"")</f>
        <v>46331</v>
      </c>
      <c r="B313" s="12" t="str">
        <f aca="false">IF(A313="","",CHOOSE(WEEKDAY(A313,2),"Mo","Di","Mi","Do","Fr","Sa","So"))</f>
        <v>Do</v>
      </c>
      <c r="C313" s="20" t="n">
        <v>1</v>
      </c>
      <c r="D313" s="20" t="n">
        <v>0</v>
      </c>
      <c r="E313" s="20" t="n">
        <v>0</v>
      </c>
      <c r="F313" s="19"/>
      <c r="G313" s="12" t="str">
        <f aca="false">IFERROR(IF(AND(COUNT(C313:E313)=3,OR(C313=0,C313=1),OR(D313=0,D313=1),OR(E313=0,E313=1),OR(A313&lt;&gt;"",SUM(C313:E313)=0)),"OK","FEHLER"),"FEHLER")</f>
        <v>OK</v>
      </c>
    </row>
    <row r="314" customFormat="false" ht="16.4" hidden="false" customHeight="false" outlineLevel="0" collapsed="false">
      <c r="A314" s="23" t="n">
        <f aca="false">IFERROR(IF(YEAR(DATE(Eingaben!$B$10,1,1)+309)=Eingaben!$B$10,DATE(Eingaben!$B$10,1,1)+309,""),"")</f>
        <v>46332</v>
      </c>
      <c r="B314" s="12" t="str">
        <f aca="false">IF(A314="","",CHOOSE(WEEKDAY(A314,2),"Mo","Di","Mi","Do","Fr","Sa","So"))</f>
        <v>Fr</v>
      </c>
      <c r="C314" s="20" t="n">
        <v>1</v>
      </c>
      <c r="D314" s="20" t="n">
        <v>0</v>
      </c>
      <c r="E314" s="20" t="n">
        <v>0</v>
      </c>
      <c r="F314" s="19"/>
      <c r="G314" s="12" t="str">
        <f aca="false">IFERROR(IF(AND(COUNT(C314:E314)=3,OR(C314=0,C314=1),OR(D314=0,D314=1),OR(E314=0,E314=1),OR(A314&lt;&gt;"",SUM(C314:E314)=0)),"OK","FEHLER"),"FEHLER")</f>
        <v>OK</v>
      </c>
    </row>
    <row r="315" customFormat="false" ht="16.4" hidden="false" customHeight="false" outlineLevel="0" collapsed="false">
      <c r="A315" s="23" t="n">
        <f aca="false">IFERROR(IF(YEAR(DATE(Eingaben!$B$10,1,1)+310)=Eingaben!$B$10,DATE(Eingaben!$B$10,1,1)+310,""),"")</f>
        <v>46333</v>
      </c>
      <c r="B315" s="12" t="str">
        <f aca="false">IF(A315="","",CHOOSE(WEEKDAY(A315,2),"Mo","Di","Mi","Do","Fr","Sa","So"))</f>
        <v>Sa</v>
      </c>
      <c r="C315" s="20" t="n">
        <v>0</v>
      </c>
      <c r="D315" s="20" t="n">
        <v>0</v>
      </c>
      <c r="E315" s="20" t="n">
        <v>0</v>
      </c>
      <c r="F315" s="19"/>
      <c r="G315" s="12" t="str">
        <f aca="false">IFERROR(IF(AND(COUNT(C315:E315)=3,OR(C315=0,C315=1),OR(D315=0,D315=1),OR(E315=0,E315=1),OR(A315&lt;&gt;"",SUM(C315:E315)=0)),"OK","FEHLER"),"FEHLER")</f>
        <v>OK</v>
      </c>
    </row>
    <row r="316" customFormat="false" ht="16.4" hidden="false" customHeight="false" outlineLevel="0" collapsed="false">
      <c r="A316" s="23" t="n">
        <f aca="false">IFERROR(IF(YEAR(DATE(Eingaben!$B$10,1,1)+311)=Eingaben!$B$10,DATE(Eingaben!$B$10,1,1)+311,""),"")</f>
        <v>46334</v>
      </c>
      <c r="B316" s="12" t="str">
        <f aca="false">IF(A316="","",CHOOSE(WEEKDAY(A316,2),"Mo","Di","Mi","Do","Fr","Sa","So"))</f>
        <v>So</v>
      </c>
      <c r="C316" s="20" t="n">
        <v>0</v>
      </c>
      <c r="D316" s="20" t="n">
        <v>0</v>
      </c>
      <c r="E316" s="20" t="n">
        <v>0</v>
      </c>
      <c r="F316" s="19"/>
      <c r="G316" s="12" t="str">
        <f aca="false">IFERROR(IF(AND(COUNT(C316:E316)=3,OR(C316=0,C316=1),OR(D316=0,D316=1),OR(E316=0,E316=1),OR(A316&lt;&gt;"",SUM(C316:E316)=0)),"OK","FEHLER"),"FEHLER")</f>
        <v>OK</v>
      </c>
    </row>
    <row r="317" customFormat="false" ht="16.4" hidden="false" customHeight="false" outlineLevel="0" collapsed="false">
      <c r="A317" s="23" t="n">
        <f aca="false">IFERROR(IF(YEAR(DATE(Eingaben!$B$10,1,1)+312)=Eingaben!$B$10,DATE(Eingaben!$B$10,1,1)+312,""),"")</f>
        <v>46335</v>
      </c>
      <c r="B317" s="12" t="str">
        <f aca="false">IF(A317="","",CHOOSE(WEEKDAY(A317,2),"Mo","Di","Mi","Do","Fr","Sa","So"))</f>
        <v>Mo</v>
      </c>
      <c r="C317" s="20" t="n">
        <v>1</v>
      </c>
      <c r="D317" s="20" t="n">
        <v>0</v>
      </c>
      <c r="E317" s="20" t="n">
        <v>0</v>
      </c>
      <c r="F317" s="19"/>
      <c r="G317" s="12" t="str">
        <f aca="false">IFERROR(IF(AND(COUNT(C317:E317)=3,OR(C317=0,C317=1),OR(D317=0,D317=1),OR(E317=0,E317=1),OR(A317&lt;&gt;"",SUM(C317:E317)=0)),"OK","FEHLER"),"FEHLER")</f>
        <v>OK</v>
      </c>
    </row>
    <row r="318" customFormat="false" ht="16.4" hidden="false" customHeight="false" outlineLevel="0" collapsed="false">
      <c r="A318" s="23" t="n">
        <f aca="false">IFERROR(IF(YEAR(DATE(Eingaben!$B$10,1,1)+313)=Eingaben!$B$10,DATE(Eingaben!$B$10,1,1)+313,""),"")</f>
        <v>46336</v>
      </c>
      <c r="B318" s="12" t="str">
        <f aca="false">IF(A318="","",CHOOSE(WEEKDAY(A318,2),"Mo","Di","Mi","Do","Fr","Sa","So"))</f>
        <v>Di</v>
      </c>
      <c r="C318" s="20" t="n">
        <v>1</v>
      </c>
      <c r="D318" s="20" t="n">
        <v>0</v>
      </c>
      <c r="E318" s="20" t="n">
        <v>0</v>
      </c>
      <c r="F318" s="19"/>
      <c r="G318" s="12" t="str">
        <f aca="false">IFERROR(IF(AND(COUNT(C318:E318)=3,OR(C318=0,C318=1),OR(D318=0,D318=1),OR(E318=0,E318=1),OR(A318&lt;&gt;"",SUM(C318:E318)=0)),"OK","FEHLER"),"FEHLER")</f>
        <v>OK</v>
      </c>
    </row>
    <row r="319" customFormat="false" ht="16.4" hidden="false" customHeight="false" outlineLevel="0" collapsed="false">
      <c r="A319" s="23" t="n">
        <f aca="false">IFERROR(IF(YEAR(DATE(Eingaben!$B$10,1,1)+314)=Eingaben!$B$10,DATE(Eingaben!$B$10,1,1)+314,""),"")</f>
        <v>46337</v>
      </c>
      <c r="B319" s="12" t="str">
        <f aca="false">IF(A319="","",CHOOSE(WEEKDAY(A319,2),"Mo","Di","Mi","Do","Fr","Sa","So"))</f>
        <v>Mi</v>
      </c>
      <c r="C319" s="20" t="n">
        <v>1</v>
      </c>
      <c r="D319" s="20" t="n">
        <v>0</v>
      </c>
      <c r="E319" s="20" t="n">
        <v>0</v>
      </c>
      <c r="F319" s="19"/>
      <c r="G319" s="12" t="str">
        <f aca="false">IFERROR(IF(AND(COUNT(C319:E319)=3,OR(C319=0,C319=1),OR(D319=0,D319=1),OR(E319=0,E319=1),OR(A319&lt;&gt;"",SUM(C319:E319)=0)),"OK","FEHLER"),"FEHLER")</f>
        <v>OK</v>
      </c>
    </row>
    <row r="320" customFormat="false" ht="16.4" hidden="false" customHeight="false" outlineLevel="0" collapsed="false">
      <c r="A320" s="23" t="n">
        <f aca="false">IFERROR(IF(YEAR(DATE(Eingaben!$B$10,1,1)+315)=Eingaben!$B$10,DATE(Eingaben!$B$10,1,1)+315,""),"")</f>
        <v>46338</v>
      </c>
      <c r="B320" s="12" t="str">
        <f aca="false">IF(A320="","",CHOOSE(WEEKDAY(A320,2),"Mo","Di","Mi","Do","Fr","Sa","So"))</f>
        <v>Do</v>
      </c>
      <c r="C320" s="20" t="n">
        <v>1</v>
      </c>
      <c r="D320" s="20" t="n">
        <v>0</v>
      </c>
      <c r="E320" s="20" t="n">
        <v>0</v>
      </c>
      <c r="F320" s="19"/>
      <c r="G320" s="12" t="str">
        <f aca="false">IFERROR(IF(AND(COUNT(C320:E320)=3,OR(C320=0,C320=1),OR(D320=0,D320=1),OR(E320=0,E320=1),OR(A320&lt;&gt;"",SUM(C320:E320)=0)),"OK","FEHLER"),"FEHLER")</f>
        <v>OK</v>
      </c>
    </row>
    <row r="321" customFormat="false" ht="16.4" hidden="false" customHeight="false" outlineLevel="0" collapsed="false">
      <c r="A321" s="23" t="n">
        <f aca="false">IFERROR(IF(YEAR(DATE(Eingaben!$B$10,1,1)+316)=Eingaben!$B$10,DATE(Eingaben!$B$10,1,1)+316,""),"")</f>
        <v>46339</v>
      </c>
      <c r="B321" s="12" t="str">
        <f aca="false">IF(A321="","",CHOOSE(WEEKDAY(A321,2),"Mo","Di","Mi","Do","Fr","Sa","So"))</f>
        <v>Fr</v>
      </c>
      <c r="C321" s="20" t="n">
        <v>1</v>
      </c>
      <c r="D321" s="20" t="n">
        <v>0</v>
      </c>
      <c r="E321" s="20" t="n">
        <v>0</v>
      </c>
      <c r="F321" s="19"/>
      <c r="G321" s="12" t="str">
        <f aca="false">IFERROR(IF(AND(COUNT(C321:E321)=3,OR(C321=0,C321=1),OR(D321=0,D321=1),OR(E321=0,E321=1),OR(A321&lt;&gt;"",SUM(C321:E321)=0)),"OK","FEHLER"),"FEHLER")</f>
        <v>OK</v>
      </c>
    </row>
    <row r="322" customFormat="false" ht="16.4" hidden="false" customHeight="false" outlineLevel="0" collapsed="false">
      <c r="A322" s="23" t="n">
        <f aca="false">IFERROR(IF(YEAR(DATE(Eingaben!$B$10,1,1)+317)=Eingaben!$B$10,DATE(Eingaben!$B$10,1,1)+317,""),"")</f>
        <v>46340</v>
      </c>
      <c r="B322" s="12" t="str">
        <f aca="false">IF(A322="","",CHOOSE(WEEKDAY(A322,2),"Mo","Di","Mi","Do","Fr","Sa","So"))</f>
        <v>Sa</v>
      </c>
      <c r="C322" s="20" t="n">
        <v>0</v>
      </c>
      <c r="D322" s="20" t="n">
        <v>0</v>
      </c>
      <c r="E322" s="20" t="n">
        <v>0</v>
      </c>
      <c r="F322" s="19"/>
      <c r="G322" s="12" t="str">
        <f aca="false">IFERROR(IF(AND(COUNT(C322:E322)=3,OR(C322=0,C322=1),OR(D322=0,D322=1),OR(E322=0,E322=1),OR(A322&lt;&gt;"",SUM(C322:E322)=0)),"OK","FEHLER"),"FEHLER")</f>
        <v>OK</v>
      </c>
    </row>
    <row r="323" customFormat="false" ht="16.4" hidden="false" customHeight="false" outlineLevel="0" collapsed="false">
      <c r="A323" s="23" t="n">
        <f aca="false">IFERROR(IF(YEAR(DATE(Eingaben!$B$10,1,1)+318)=Eingaben!$B$10,DATE(Eingaben!$B$10,1,1)+318,""),"")</f>
        <v>46341</v>
      </c>
      <c r="B323" s="12" t="str">
        <f aca="false">IF(A323="","",CHOOSE(WEEKDAY(A323,2),"Mo","Di","Mi","Do","Fr","Sa","So"))</f>
        <v>So</v>
      </c>
      <c r="C323" s="20" t="n">
        <v>0</v>
      </c>
      <c r="D323" s="20" t="n">
        <v>0</v>
      </c>
      <c r="E323" s="20" t="n">
        <v>0</v>
      </c>
      <c r="F323" s="19"/>
      <c r="G323" s="12" t="str">
        <f aca="false">IFERROR(IF(AND(COUNT(C323:E323)=3,OR(C323=0,C323=1),OR(D323=0,D323=1),OR(E323=0,E323=1),OR(A323&lt;&gt;"",SUM(C323:E323)=0)),"OK","FEHLER"),"FEHLER")</f>
        <v>OK</v>
      </c>
    </row>
    <row r="324" customFormat="false" ht="16.4" hidden="false" customHeight="false" outlineLevel="0" collapsed="false">
      <c r="A324" s="23" t="n">
        <f aca="false">IFERROR(IF(YEAR(DATE(Eingaben!$B$10,1,1)+319)=Eingaben!$B$10,DATE(Eingaben!$B$10,1,1)+319,""),"")</f>
        <v>46342</v>
      </c>
      <c r="B324" s="12" t="str">
        <f aca="false">IF(A324="","",CHOOSE(WEEKDAY(A324,2),"Mo","Di","Mi","Do","Fr","Sa","So"))</f>
        <v>Mo</v>
      </c>
      <c r="C324" s="20" t="n">
        <v>1</v>
      </c>
      <c r="D324" s="20" t="n">
        <v>0</v>
      </c>
      <c r="E324" s="20" t="n">
        <v>0</v>
      </c>
      <c r="F324" s="19"/>
      <c r="G324" s="12" t="str">
        <f aca="false">IFERROR(IF(AND(COUNT(C324:E324)=3,OR(C324=0,C324=1),OR(D324=0,D324=1),OR(E324=0,E324=1),OR(A324&lt;&gt;"",SUM(C324:E324)=0)),"OK","FEHLER"),"FEHLER")</f>
        <v>OK</v>
      </c>
    </row>
    <row r="325" customFormat="false" ht="16.4" hidden="false" customHeight="false" outlineLevel="0" collapsed="false">
      <c r="A325" s="23" t="n">
        <f aca="false">IFERROR(IF(YEAR(DATE(Eingaben!$B$10,1,1)+320)=Eingaben!$B$10,DATE(Eingaben!$B$10,1,1)+320,""),"")</f>
        <v>46343</v>
      </c>
      <c r="B325" s="12" t="str">
        <f aca="false">IF(A325="","",CHOOSE(WEEKDAY(A325,2),"Mo","Di","Mi","Do","Fr","Sa","So"))</f>
        <v>Di</v>
      </c>
      <c r="C325" s="20" t="n">
        <v>1</v>
      </c>
      <c r="D325" s="20" t="n">
        <v>0</v>
      </c>
      <c r="E325" s="20" t="n">
        <v>0</v>
      </c>
      <c r="F325" s="19"/>
      <c r="G325" s="12" t="str">
        <f aca="false">IFERROR(IF(AND(COUNT(C325:E325)=3,OR(C325=0,C325=1),OR(D325=0,D325=1),OR(E325=0,E325=1),OR(A325&lt;&gt;"",SUM(C325:E325)=0)),"OK","FEHLER"),"FEHLER")</f>
        <v>OK</v>
      </c>
    </row>
    <row r="326" customFormat="false" ht="16.4" hidden="false" customHeight="false" outlineLevel="0" collapsed="false">
      <c r="A326" s="23" t="n">
        <f aca="false">IFERROR(IF(YEAR(DATE(Eingaben!$B$10,1,1)+321)=Eingaben!$B$10,DATE(Eingaben!$B$10,1,1)+321,""),"")</f>
        <v>46344</v>
      </c>
      <c r="B326" s="12" t="str">
        <f aca="false">IF(A326="","",CHOOSE(WEEKDAY(A326,2),"Mo","Di","Mi","Do","Fr","Sa","So"))</f>
        <v>Mi</v>
      </c>
      <c r="C326" s="20" t="n">
        <v>1</v>
      </c>
      <c r="D326" s="20" t="n">
        <v>0</v>
      </c>
      <c r="E326" s="20" t="n">
        <v>0</v>
      </c>
      <c r="F326" s="19"/>
      <c r="G326" s="12" t="str">
        <f aca="false">IFERROR(IF(AND(COUNT(C326:E326)=3,OR(C326=0,C326=1),OR(D326=0,D326=1),OR(E326=0,E326=1),OR(A326&lt;&gt;"",SUM(C326:E326)=0)),"OK","FEHLER"),"FEHLER")</f>
        <v>OK</v>
      </c>
    </row>
    <row r="327" customFormat="false" ht="16.4" hidden="false" customHeight="false" outlineLevel="0" collapsed="false">
      <c r="A327" s="23" t="n">
        <f aca="false">IFERROR(IF(YEAR(DATE(Eingaben!$B$10,1,1)+322)=Eingaben!$B$10,DATE(Eingaben!$B$10,1,1)+322,""),"")</f>
        <v>46345</v>
      </c>
      <c r="B327" s="12" t="str">
        <f aca="false">IF(A327="","",CHOOSE(WEEKDAY(A327,2),"Mo","Di","Mi","Do","Fr","Sa","So"))</f>
        <v>Do</v>
      </c>
      <c r="C327" s="20" t="n">
        <v>1</v>
      </c>
      <c r="D327" s="20" t="n">
        <v>0</v>
      </c>
      <c r="E327" s="20" t="n">
        <v>0</v>
      </c>
      <c r="F327" s="19"/>
      <c r="G327" s="12" t="str">
        <f aca="false">IFERROR(IF(AND(COUNT(C327:E327)=3,OR(C327=0,C327=1),OR(D327=0,D327=1),OR(E327=0,E327=1),OR(A327&lt;&gt;"",SUM(C327:E327)=0)),"OK","FEHLER"),"FEHLER")</f>
        <v>OK</v>
      </c>
    </row>
    <row r="328" customFormat="false" ht="16.4" hidden="false" customHeight="false" outlineLevel="0" collapsed="false">
      <c r="A328" s="23" t="n">
        <f aca="false">IFERROR(IF(YEAR(DATE(Eingaben!$B$10,1,1)+323)=Eingaben!$B$10,DATE(Eingaben!$B$10,1,1)+323,""),"")</f>
        <v>46346</v>
      </c>
      <c r="B328" s="12" t="str">
        <f aca="false">IF(A328="","",CHOOSE(WEEKDAY(A328,2),"Mo","Di","Mi","Do","Fr","Sa","So"))</f>
        <v>Fr</v>
      </c>
      <c r="C328" s="20" t="n">
        <v>1</v>
      </c>
      <c r="D328" s="20" t="n">
        <v>0</v>
      </c>
      <c r="E328" s="20" t="n">
        <v>0</v>
      </c>
      <c r="F328" s="19"/>
      <c r="G328" s="12" t="str">
        <f aca="false">IFERROR(IF(AND(COUNT(C328:E328)=3,OR(C328=0,C328=1),OR(D328=0,D328=1),OR(E328=0,E328=1),OR(A328&lt;&gt;"",SUM(C328:E328)=0)),"OK","FEHLER"),"FEHLER")</f>
        <v>OK</v>
      </c>
    </row>
    <row r="329" customFormat="false" ht="16.4" hidden="false" customHeight="false" outlineLevel="0" collapsed="false">
      <c r="A329" s="23" t="n">
        <f aca="false">IFERROR(IF(YEAR(DATE(Eingaben!$B$10,1,1)+324)=Eingaben!$B$10,DATE(Eingaben!$B$10,1,1)+324,""),"")</f>
        <v>46347</v>
      </c>
      <c r="B329" s="12" t="str">
        <f aca="false">IF(A329="","",CHOOSE(WEEKDAY(A329,2),"Mo","Di","Mi","Do","Fr","Sa","So"))</f>
        <v>Sa</v>
      </c>
      <c r="C329" s="20" t="n">
        <v>0</v>
      </c>
      <c r="D329" s="20" t="n">
        <v>0</v>
      </c>
      <c r="E329" s="20" t="n">
        <v>0</v>
      </c>
      <c r="F329" s="19"/>
      <c r="G329" s="12" t="str">
        <f aca="false">IFERROR(IF(AND(COUNT(C329:E329)=3,OR(C329=0,C329=1),OR(D329=0,D329=1),OR(E329=0,E329=1),OR(A329&lt;&gt;"",SUM(C329:E329)=0)),"OK","FEHLER"),"FEHLER")</f>
        <v>OK</v>
      </c>
    </row>
    <row r="330" customFormat="false" ht="16.4" hidden="false" customHeight="false" outlineLevel="0" collapsed="false">
      <c r="A330" s="23" t="n">
        <f aca="false">IFERROR(IF(YEAR(DATE(Eingaben!$B$10,1,1)+325)=Eingaben!$B$10,DATE(Eingaben!$B$10,1,1)+325,""),"")</f>
        <v>46348</v>
      </c>
      <c r="B330" s="12" t="str">
        <f aca="false">IF(A330="","",CHOOSE(WEEKDAY(A330,2),"Mo","Di","Mi","Do","Fr","Sa","So"))</f>
        <v>So</v>
      </c>
      <c r="C330" s="20" t="n">
        <v>0</v>
      </c>
      <c r="D330" s="20" t="n">
        <v>0</v>
      </c>
      <c r="E330" s="20" t="n">
        <v>0</v>
      </c>
      <c r="F330" s="19"/>
      <c r="G330" s="12" t="str">
        <f aca="false">IFERROR(IF(AND(COUNT(C330:E330)=3,OR(C330=0,C330=1),OR(D330=0,D330=1),OR(E330=0,E330=1),OR(A330&lt;&gt;"",SUM(C330:E330)=0)),"OK","FEHLER"),"FEHLER")</f>
        <v>OK</v>
      </c>
    </row>
    <row r="331" customFormat="false" ht="16.4" hidden="false" customHeight="false" outlineLevel="0" collapsed="false">
      <c r="A331" s="23" t="n">
        <f aca="false">IFERROR(IF(YEAR(DATE(Eingaben!$B$10,1,1)+326)=Eingaben!$B$10,DATE(Eingaben!$B$10,1,1)+326,""),"")</f>
        <v>46349</v>
      </c>
      <c r="B331" s="12" t="str">
        <f aca="false">IF(A331="","",CHOOSE(WEEKDAY(A331,2),"Mo","Di","Mi","Do","Fr","Sa","So"))</f>
        <v>Mo</v>
      </c>
      <c r="C331" s="20" t="n">
        <v>1</v>
      </c>
      <c r="D331" s="20" t="n">
        <v>0</v>
      </c>
      <c r="E331" s="20" t="n">
        <v>0</v>
      </c>
      <c r="F331" s="19"/>
      <c r="G331" s="12" t="str">
        <f aca="false">IFERROR(IF(AND(COUNT(C331:E331)=3,OR(C331=0,C331=1),OR(D331=0,D331=1),OR(E331=0,E331=1),OR(A331&lt;&gt;"",SUM(C331:E331)=0)),"OK","FEHLER"),"FEHLER")</f>
        <v>OK</v>
      </c>
    </row>
    <row r="332" customFormat="false" ht="16.4" hidden="false" customHeight="false" outlineLevel="0" collapsed="false">
      <c r="A332" s="23" t="n">
        <f aca="false">IFERROR(IF(YEAR(DATE(Eingaben!$B$10,1,1)+327)=Eingaben!$B$10,DATE(Eingaben!$B$10,1,1)+327,""),"")</f>
        <v>46350</v>
      </c>
      <c r="B332" s="12" t="str">
        <f aca="false">IF(A332="","",CHOOSE(WEEKDAY(A332,2),"Mo","Di","Mi","Do","Fr","Sa","So"))</f>
        <v>Di</v>
      </c>
      <c r="C332" s="20" t="n">
        <v>1</v>
      </c>
      <c r="D332" s="20" t="n">
        <v>0</v>
      </c>
      <c r="E332" s="20" t="n">
        <v>0</v>
      </c>
      <c r="F332" s="19"/>
      <c r="G332" s="12" t="str">
        <f aca="false">IFERROR(IF(AND(COUNT(C332:E332)=3,OR(C332=0,C332=1),OR(D332=0,D332=1),OR(E332=0,E332=1),OR(A332&lt;&gt;"",SUM(C332:E332)=0)),"OK","FEHLER"),"FEHLER")</f>
        <v>OK</v>
      </c>
    </row>
    <row r="333" customFormat="false" ht="16.4" hidden="false" customHeight="false" outlineLevel="0" collapsed="false">
      <c r="A333" s="23" t="n">
        <f aca="false">IFERROR(IF(YEAR(DATE(Eingaben!$B$10,1,1)+328)=Eingaben!$B$10,DATE(Eingaben!$B$10,1,1)+328,""),"")</f>
        <v>46351</v>
      </c>
      <c r="B333" s="12" t="str">
        <f aca="false">IF(A333="","",CHOOSE(WEEKDAY(A333,2),"Mo","Di","Mi","Do","Fr","Sa","So"))</f>
        <v>Mi</v>
      </c>
      <c r="C333" s="20" t="n">
        <v>0</v>
      </c>
      <c r="D333" s="20" t="n">
        <v>0</v>
      </c>
      <c r="E333" s="20" t="n">
        <v>0</v>
      </c>
      <c r="F333" s="19"/>
      <c r="G333" s="12" t="str">
        <f aca="false">IFERROR(IF(AND(COUNT(C333:E333)=3,OR(C333=0,C333=1),OR(D333=0,D333=1),OR(E333=0,E333=1),OR(A333&lt;&gt;"",SUM(C333:E333)=0)),"OK","FEHLER"),"FEHLER")</f>
        <v>OK</v>
      </c>
    </row>
    <row r="334" customFormat="false" ht="16.4" hidden="false" customHeight="false" outlineLevel="0" collapsed="false">
      <c r="A334" s="23" t="n">
        <f aca="false">IFERROR(IF(YEAR(DATE(Eingaben!$B$10,1,1)+329)=Eingaben!$B$10,DATE(Eingaben!$B$10,1,1)+329,""),"")</f>
        <v>46352</v>
      </c>
      <c r="B334" s="12" t="str">
        <f aca="false">IF(A334="","",CHOOSE(WEEKDAY(A334,2),"Mo","Di","Mi","Do","Fr","Sa","So"))</f>
        <v>Do</v>
      </c>
      <c r="C334" s="20" t="n">
        <v>0</v>
      </c>
      <c r="D334" s="20" t="n">
        <v>0</v>
      </c>
      <c r="E334" s="20" t="n">
        <v>0</v>
      </c>
      <c r="F334" s="19"/>
      <c r="G334" s="12" t="str">
        <f aca="false">IFERROR(IF(AND(COUNT(C334:E334)=3,OR(C334=0,C334=1),OR(D334=0,D334=1),OR(E334=0,E334=1),OR(A334&lt;&gt;"",SUM(C334:E334)=0)),"OK","FEHLER"),"FEHLER")</f>
        <v>OK</v>
      </c>
    </row>
    <row r="335" customFormat="false" ht="16.4" hidden="false" customHeight="false" outlineLevel="0" collapsed="false">
      <c r="A335" s="23" t="n">
        <f aca="false">IFERROR(IF(YEAR(DATE(Eingaben!$B$10,1,1)+330)=Eingaben!$B$10,DATE(Eingaben!$B$10,1,1)+330,""),"")</f>
        <v>46353</v>
      </c>
      <c r="B335" s="12" t="str">
        <f aca="false">IF(A335="","",CHOOSE(WEEKDAY(A335,2),"Mo","Di","Mi","Do","Fr","Sa","So"))</f>
        <v>Fr</v>
      </c>
      <c r="C335" s="20" t="n">
        <v>0</v>
      </c>
      <c r="D335" s="20" t="n">
        <v>0</v>
      </c>
      <c r="E335" s="20" t="n">
        <v>0</v>
      </c>
      <c r="F335" s="19"/>
      <c r="G335" s="12" t="str">
        <f aca="false">IFERROR(IF(AND(COUNT(C335:E335)=3,OR(C335=0,C335=1),OR(D335=0,D335=1),OR(E335=0,E335=1),OR(A335&lt;&gt;"",SUM(C335:E335)=0)),"OK","FEHLER"),"FEHLER")</f>
        <v>OK</v>
      </c>
    </row>
    <row r="336" customFormat="false" ht="16.4" hidden="false" customHeight="false" outlineLevel="0" collapsed="false">
      <c r="A336" s="23" t="n">
        <f aca="false">IFERROR(IF(YEAR(DATE(Eingaben!$B$10,1,1)+331)=Eingaben!$B$10,DATE(Eingaben!$B$10,1,1)+331,""),"")</f>
        <v>46354</v>
      </c>
      <c r="B336" s="12" t="str">
        <f aca="false">IF(A336="","",CHOOSE(WEEKDAY(A336,2),"Mo","Di","Mi","Do","Fr","Sa","So"))</f>
        <v>Sa</v>
      </c>
      <c r="C336" s="20" t="n">
        <v>0</v>
      </c>
      <c r="D336" s="20" t="n">
        <v>0</v>
      </c>
      <c r="E336" s="20" t="n">
        <v>0</v>
      </c>
      <c r="F336" s="19"/>
      <c r="G336" s="12" t="str">
        <f aca="false">IFERROR(IF(AND(COUNT(C336:E336)=3,OR(C336=0,C336=1),OR(D336=0,D336=1),OR(E336=0,E336=1),OR(A336&lt;&gt;"",SUM(C336:E336)=0)),"OK","FEHLER"),"FEHLER")</f>
        <v>OK</v>
      </c>
    </row>
    <row r="337" customFormat="false" ht="16.4" hidden="false" customHeight="false" outlineLevel="0" collapsed="false">
      <c r="A337" s="23" t="n">
        <f aca="false">IFERROR(IF(YEAR(DATE(Eingaben!$B$10,1,1)+332)=Eingaben!$B$10,DATE(Eingaben!$B$10,1,1)+332,""),"")</f>
        <v>46355</v>
      </c>
      <c r="B337" s="12" t="str">
        <f aca="false">IF(A337="","",CHOOSE(WEEKDAY(A337,2),"Mo","Di","Mi","Do","Fr","Sa","So"))</f>
        <v>So</v>
      </c>
      <c r="C337" s="20" t="n">
        <v>0</v>
      </c>
      <c r="D337" s="20" t="n">
        <v>0</v>
      </c>
      <c r="E337" s="20" t="n">
        <v>0</v>
      </c>
      <c r="F337" s="19"/>
      <c r="G337" s="12" t="str">
        <f aca="false">IFERROR(IF(AND(COUNT(C337:E337)=3,OR(C337=0,C337=1),OR(D337=0,D337=1),OR(E337=0,E337=1),OR(A337&lt;&gt;"",SUM(C337:E337)=0)),"OK","FEHLER"),"FEHLER")</f>
        <v>OK</v>
      </c>
    </row>
    <row r="338" customFormat="false" ht="16.4" hidden="false" customHeight="false" outlineLevel="0" collapsed="false">
      <c r="A338" s="23" t="n">
        <f aca="false">IFERROR(IF(YEAR(DATE(Eingaben!$B$10,1,1)+333)=Eingaben!$B$10,DATE(Eingaben!$B$10,1,1)+333,""),"")</f>
        <v>46356</v>
      </c>
      <c r="B338" s="12" t="str">
        <f aca="false">IF(A338="","",CHOOSE(WEEKDAY(A338,2),"Mo","Di","Mi","Do","Fr","Sa","So"))</f>
        <v>Mo</v>
      </c>
      <c r="C338" s="20" t="n">
        <v>0</v>
      </c>
      <c r="D338" s="20" t="n">
        <v>0</v>
      </c>
      <c r="E338" s="20" t="n">
        <v>0</v>
      </c>
      <c r="F338" s="19"/>
      <c r="G338" s="12" t="str">
        <f aca="false">IFERROR(IF(AND(COUNT(C338:E338)=3,OR(C338=0,C338=1),OR(D338=0,D338=1),OR(E338=0,E338=1),OR(A338&lt;&gt;"",SUM(C338:E338)=0)),"OK","FEHLER"),"FEHLER")</f>
        <v>OK</v>
      </c>
    </row>
    <row r="339" customFormat="false" ht="16.4" hidden="false" customHeight="false" outlineLevel="0" collapsed="false">
      <c r="A339" s="23" t="n">
        <f aca="false">IFERROR(IF(YEAR(DATE(Eingaben!$B$10,1,1)+334)=Eingaben!$B$10,DATE(Eingaben!$B$10,1,1)+334,""),"")</f>
        <v>46357</v>
      </c>
      <c r="B339" s="12" t="str">
        <f aca="false">IF(A339="","",CHOOSE(WEEKDAY(A339,2),"Mo","Di","Mi","Do","Fr","Sa","So"))</f>
        <v>Di</v>
      </c>
      <c r="C339" s="20" t="n">
        <v>0</v>
      </c>
      <c r="D339" s="20" t="n">
        <v>0</v>
      </c>
      <c r="E339" s="20" t="n">
        <v>0</v>
      </c>
      <c r="F339" s="19"/>
      <c r="G339" s="12" t="str">
        <f aca="false">IFERROR(IF(AND(COUNT(C339:E339)=3,OR(C339=0,C339=1),OR(D339=0,D339=1),OR(E339=0,E339=1),OR(A339&lt;&gt;"",SUM(C339:E339)=0)),"OK","FEHLER"),"FEHLER")</f>
        <v>OK</v>
      </c>
    </row>
    <row r="340" customFormat="false" ht="16.4" hidden="false" customHeight="false" outlineLevel="0" collapsed="false">
      <c r="A340" s="23" t="n">
        <f aca="false">IFERROR(IF(YEAR(DATE(Eingaben!$B$10,1,1)+335)=Eingaben!$B$10,DATE(Eingaben!$B$10,1,1)+335,""),"")</f>
        <v>46358</v>
      </c>
      <c r="B340" s="12" t="str">
        <f aca="false">IF(A340="","",CHOOSE(WEEKDAY(A340,2),"Mo","Di","Mi","Do","Fr","Sa","So"))</f>
        <v>Mi</v>
      </c>
      <c r="C340" s="20" t="n">
        <v>0</v>
      </c>
      <c r="D340" s="20" t="n">
        <v>0</v>
      </c>
      <c r="E340" s="20" t="n">
        <v>0</v>
      </c>
      <c r="F340" s="19"/>
      <c r="G340" s="12" t="str">
        <f aca="false">IFERROR(IF(AND(COUNT(C340:E340)=3,OR(C340=0,C340=1),OR(D340=0,D340=1),OR(E340=0,E340=1),OR(A340&lt;&gt;"",SUM(C340:E340)=0)),"OK","FEHLER"),"FEHLER")</f>
        <v>OK</v>
      </c>
    </row>
    <row r="341" customFormat="false" ht="16.4" hidden="false" customHeight="false" outlineLevel="0" collapsed="false">
      <c r="A341" s="23" t="n">
        <f aca="false">IFERROR(IF(YEAR(DATE(Eingaben!$B$10,1,1)+336)=Eingaben!$B$10,DATE(Eingaben!$B$10,1,1)+336,""),"")</f>
        <v>46359</v>
      </c>
      <c r="B341" s="12" t="str">
        <f aca="false">IF(A341="","",CHOOSE(WEEKDAY(A341,2),"Mo","Di","Mi","Do","Fr","Sa","So"))</f>
        <v>Do</v>
      </c>
      <c r="C341" s="20" t="n">
        <v>0</v>
      </c>
      <c r="D341" s="20" t="n">
        <v>0</v>
      </c>
      <c r="E341" s="20" t="n">
        <v>0</v>
      </c>
      <c r="F341" s="19"/>
      <c r="G341" s="12" t="str">
        <f aca="false">IFERROR(IF(AND(COUNT(C341:E341)=3,OR(C341=0,C341=1),OR(D341=0,D341=1),OR(E341=0,E341=1),OR(A341&lt;&gt;"",SUM(C341:E341)=0)),"OK","FEHLER"),"FEHLER")</f>
        <v>OK</v>
      </c>
    </row>
    <row r="342" customFormat="false" ht="16.4" hidden="false" customHeight="false" outlineLevel="0" collapsed="false">
      <c r="A342" s="23" t="n">
        <f aca="false">IFERROR(IF(YEAR(DATE(Eingaben!$B$10,1,1)+337)=Eingaben!$B$10,DATE(Eingaben!$B$10,1,1)+337,""),"")</f>
        <v>46360</v>
      </c>
      <c r="B342" s="12" t="str">
        <f aca="false">IF(A342="","",CHOOSE(WEEKDAY(A342,2),"Mo","Di","Mi","Do","Fr","Sa","So"))</f>
        <v>Fr</v>
      </c>
      <c r="C342" s="20" t="n">
        <v>0</v>
      </c>
      <c r="D342" s="20" t="n">
        <v>0</v>
      </c>
      <c r="E342" s="20" t="n">
        <v>0</v>
      </c>
      <c r="F342" s="19"/>
      <c r="G342" s="12" t="str">
        <f aca="false">IFERROR(IF(AND(COUNT(C342:E342)=3,OR(C342=0,C342=1),OR(D342=0,D342=1),OR(E342=0,E342=1),OR(A342&lt;&gt;"",SUM(C342:E342)=0)),"OK","FEHLER"),"FEHLER")</f>
        <v>OK</v>
      </c>
    </row>
    <row r="343" customFormat="false" ht="16.4" hidden="false" customHeight="false" outlineLevel="0" collapsed="false">
      <c r="A343" s="23" t="n">
        <f aca="false">IFERROR(IF(YEAR(DATE(Eingaben!$B$10,1,1)+338)=Eingaben!$B$10,DATE(Eingaben!$B$10,1,1)+338,""),"")</f>
        <v>46361</v>
      </c>
      <c r="B343" s="12" t="str">
        <f aca="false">IF(A343="","",CHOOSE(WEEKDAY(A343,2),"Mo","Di","Mi","Do","Fr","Sa","So"))</f>
        <v>Sa</v>
      </c>
      <c r="C343" s="20" t="n">
        <v>0</v>
      </c>
      <c r="D343" s="20" t="n">
        <v>0</v>
      </c>
      <c r="E343" s="20" t="n">
        <v>0</v>
      </c>
      <c r="F343" s="19"/>
      <c r="G343" s="12" t="str">
        <f aca="false">IFERROR(IF(AND(COUNT(C343:E343)=3,OR(C343=0,C343=1),OR(D343=0,D343=1),OR(E343=0,E343=1),OR(A343&lt;&gt;"",SUM(C343:E343)=0)),"OK","FEHLER"),"FEHLER")</f>
        <v>OK</v>
      </c>
    </row>
    <row r="344" customFormat="false" ht="16.4" hidden="false" customHeight="false" outlineLevel="0" collapsed="false">
      <c r="A344" s="23" t="n">
        <f aca="false">IFERROR(IF(YEAR(DATE(Eingaben!$B$10,1,1)+339)=Eingaben!$B$10,DATE(Eingaben!$B$10,1,1)+339,""),"")</f>
        <v>46362</v>
      </c>
      <c r="B344" s="12" t="str">
        <f aca="false">IF(A344="","",CHOOSE(WEEKDAY(A344,2),"Mo","Di","Mi","Do","Fr","Sa","So"))</f>
        <v>So</v>
      </c>
      <c r="C344" s="20" t="n">
        <v>0</v>
      </c>
      <c r="D344" s="20" t="n">
        <v>0</v>
      </c>
      <c r="E344" s="20" t="n">
        <v>0</v>
      </c>
      <c r="F344" s="19"/>
      <c r="G344" s="12" t="str">
        <f aca="false">IFERROR(IF(AND(COUNT(C344:E344)=3,OR(C344=0,C344=1),OR(D344=0,D344=1),OR(E344=0,E344=1),OR(A344&lt;&gt;"",SUM(C344:E344)=0)),"OK","FEHLER"),"FEHLER")</f>
        <v>OK</v>
      </c>
    </row>
    <row r="345" customFormat="false" ht="16.4" hidden="false" customHeight="false" outlineLevel="0" collapsed="false">
      <c r="A345" s="23" t="n">
        <f aca="false">IFERROR(IF(YEAR(DATE(Eingaben!$B$10,1,1)+340)=Eingaben!$B$10,DATE(Eingaben!$B$10,1,1)+340,""),"")</f>
        <v>46363</v>
      </c>
      <c r="B345" s="12" t="str">
        <f aca="false">IF(A345="","",CHOOSE(WEEKDAY(A345,2),"Mo","Di","Mi","Do","Fr","Sa","So"))</f>
        <v>Mo</v>
      </c>
      <c r="C345" s="20" t="n">
        <v>0</v>
      </c>
      <c r="D345" s="20" t="n">
        <v>0</v>
      </c>
      <c r="E345" s="20" t="n">
        <v>0</v>
      </c>
      <c r="F345" s="19"/>
      <c r="G345" s="12" t="str">
        <f aca="false">IFERROR(IF(AND(COUNT(C345:E345)=3,OR(C345=0,C345=1),OR(D345=0,D345=1),OR(E345=0,E345=1),OR(A345&lt;&gt;"",SUM(C345:E345)=0)),"OK","FEHLER"),"FEHLER")</f>
        <v>OK</v>
      </c>
    </row>
    <row r="346" customFormat="false" ht="16.4" hidden="false" customHeight="false" outlineLevel="0" collapsed="false">
      <c r="A346" s="23" t="n">
        <f aca="false">IFERROR(IF(YEAR(DATE(Eingaben!$B$10,1,1)+341)=Eingaben!$B$10,DATE(Eingaben!$B$10,1,1)+341,""),"")</f>
        <v>46364</v>
      </c>
      <c r="B346" s="12" t="str">
        <f aca="false">IF(A346="","",CHOOSE(WEEKDAY(A346,2),"Mo","Di","Mi","Do","Fr","Sa","So"))</f>
        <v>Di</v>
      </c>
      <c r="C346" s="20" t="n">
        <v>0</v>
      </c>
      <c r="D346" s="20" t="n">
        <v>0</v>
      </c>
      <c r="E346" s="20" t="n">
        <v>0</v>
      </c>
      <c r="F346" s="19"/>
      <c r="G346" s="12" t="str">
        <f aca="false">IFERROR(IF(AND(COUNT(C346:E346)=3,OR(C346=0,C346=1),OR(D346=0,D346=1),OR(E346=0,E346=1),OR(A346&lt;&gt;"",SUM(C346:E346)=0)),"OK","FEHLER"),"FEHLER")</f>
        <v>OK</v>
      </c>
    </row>
    <row r="347" customFormat="false" ht="16.4" hidden="false" customHeight="false" outlineLevel="0" collapsed="false">
      <c r="A347" s="23" t="n">
        <f aca="false">IFERROR(IF(YEAR(DATE(Eingaben!$B$10,1,1)+342)=Eingaben!$B$10,DATE(Eingaben!$B$10,1,1)+342,""),"")</f>
        <v>46365</v>
      </c>
      <c r="B347" s="12" t="str">
        <f aca="false">IF(A347="","",CHOOSE(WEEKDAY(A347,2),"Mo","Di","Mi","Do","Fr","Sa","So"))</f>
        <v>Mi</v>
      </c>
      <c r="C347" s="20" t="n">
        <v>0</v>
      </c>
      <c r="D347" s="20" t="n">
        <v>0</v>
      </c>
      <c r="E347" s="20" t="n">
        <v>0</v>
      </c>
      <c r="F347" s="19"/>
      <c r="G347" s="12" t="str">
        <f aca="false">IFERROR(IF(AND(COUNT(C347:E347)=3,OR(C347=0,C347=1),OR(D347=0,D347=1),OR(E347=0,E347=1),OR(A347&lt;&gt;"",SUM(C347:E347)=0)),"OK","FEHLER"),"FEHLER")</f>
        <v>OK</v>
      </c>
    </row>
    <row r="348" customFormat="false" ht="16.4" hidden="false" customHeight="false" outlineLevel="0" collapsed="false">
      <c r="A348" s="23" t="n">
        <f aca="false">IFERROR(IF(YEAR(DATE(Eingaben!$B$10,1,1)+343)=Eingaben!$B$10,DATE(Eingaben!$B$10,1,1)+343,""),"")</f>
        <v>46366</v>
      </c>
      <c r="B348" s="12" t="str">
        <f aca="false">IF(A348="","",CHOOSE(WEEKDAY(A348,2),"Mo","Di","Mi","Do","Fr","Sa","So"))</f>
        <v>Do</v>
      </c>
      <c r="C348" s="20" t="n">
        <v>0</v>
      </c>
      <c r="D348" s="20" t="n">
        <v>0</v>
      </c>
      <c r="E348" s="20" t="n">
        <v>0</v>
      </c>
      <c r="F348" s="19"/>
      <c r="G348" s="12" t="str">
        <f aca="false">IFERROR(IF(AND(COUNT(C348:E348)=3,OR(C348=0,C348=1),OR(D348=0,D348=1),OR(E348=0,E348=1),OR(A348&lt;&gt;"",SUM(C348:E348)=0)),"OK","FEHLER"),"FEHLER")</f>
        <v>OK</v>
      </c>
    </row>
    <row r="349" customFormat="false" ht="16.4" hidden="false" customHeight="false" outlineLevel="0" collapsed="false">
      <c r="A349" s="23" t="n">
        <f aca="false">IFERROR(IF(YEAR(DATE(Eingaben!$B$10,1,1)+344)=Eingaben!$B$10,DATE(Eingaben!$B$10,1,1)+344,""),"")</f>
        <v>46367</v>
      </c>
      <c r="B349" s="12" t="str">
        <f aca="false">IF(A349="","",CHOOSE(WEEKDAY(A349,2),"Mo","Di","Mi","Do","Fr","Sa","So"))</f>
        <v>Fr</v>
      </c>
      <c r="C349" s="20" t="n">
        <v>0</v>
      </c>
      <c r="D349" s="20" t="n">
        <v>0</v>
      </c>
      <c r="E349" s="20" t="n">
        <v>0</v>
      </c>
      <c r="F349" s="19"/>
      <c r="G349" s="12" t="str">
        <f aca="false">IFERROR(IF(AND(COUNT(C349:E349)=3,OR(C349=0,C349=1),OR(D349=0,D349=1),OR(E349=0,E349=1),OR(A349&lt;&gt;"",SUM(C349:E349)=0)),"OK","FEHLER"),"FEHLER")</f>
        <v>OK</v>
      </c>
    </row>
    <row r="350" customFormat="false" ht="16.4" hidden="false" customHeight="false" outlineLevel="0" collapsed="false">
      <c r="A350" s="23" t="n">
        <f aca="false">IFERROR(IF(YEAR(DATE(Eingaben!$B$10,1,1)+345)=Eingaben!$B$10,DATE(Eingaben!$B$10,1,1)+345,""),"")</f>
        <v>46368</v>
      </c>
      <c r="B350" s="12" t="str">
        <f aca="false">IF(A350="","",CHOOSE(WEEKDAY(A350,2),"Mo","Di","Mi","Do","Fr","Sa","So"))</f>
        <v>Sa</v>
      </c>
      <c r="C350" s="20" t="n">
        <v>0</v>
      </c>
      <c r="D350" s="20" t="n">
        <v>0</v>
      </c>
      <c r="E350" s="20" t="n">
        <v>0</v>
      </c>
      <c r="F350" s="19"/>
      <c r="G350" s="12" t="str">
        <f aca="false">IFERROR(IF(AND(COUNT(C350:E350)=3,OR(C350=0,C350=1),OR(D350=0,D350=1),OR(E350=0,E350=1),OR(A350&lt;&gt;"",SUM(C350:E350)=0)),"OK","FEHLER"),"FEHLER")</f>
        <v>OK</v>
      </c>
    </row>
    <row r="351" customFormat="false" ht="16.4" hidden="false" customHeight="false" outlineLevel="0" collapsed="false">
      <c r="A351" s="23" t="n">
        <f aca="false">IFERROR(IF(YEAR(DATE(Eingaben!$B$10,1,1)+346)=Eingaben!$B$10,DATE(Eingaben!$B$10,1,1)+346,""),"")</f>
        <v>46369</v>
      </c>
      <c r="B351" s="12" t="str">
        <f aca="false">IF(A351="","",CHOOSE(WEEKDAY(A351,2),"Mo","Di","Mi","Do","Fr","Sa","So"))</f>
        <v>So</v>
      </c>
      <c r="C351" s="20" t="n">
        <v>0</v>
      </c>
      <c r="D351" s="20" t="n">
        <v>0</v>
      </c>
      <c r="E351" s="20" t="n">
        <v>0</v>
      </c>
      <c r="F351" s="19"/>
      <c r="G351" s="12" t="str">
        <f aca="false">IFERROR(IF(AND(COUNT(C351:E351)=3,OR(C351=0,C351=1),OR(D351=0,D351=1),OR(E351=0,E351=1),OR(A351&lt;&gt;"",SUM(C351:E351)=0)),"OK","FEHLER"),"FEHLER")</f>
        <v>OK</v>
      </c>
    </row>
    <row r="352" customFormat="false" ht="16.4" hidden="false" customHeight="false" outlineLevel="0" collapsed="false">
      <c r="A352" s="23" t="n">
        <f aca="false">IFERROR(IF(YEAR(DATE(Eingaben!$B$10,1,1)+347)=Eingaben!$B$10,DATE(Eingaben!$B$10,1,1)+347,""),"")</f>
        <v>46370</v>
      </c>
      <c r="B352" s="12" t="str">
        <f aca="false">IF(A352="","",CHOOSE(WEEKDAY(A352,2),"Mo","Di","Mi","Do","Fr","Sa","So"))</f>
        <v>Mo</v>
      </c>
      <c r="C352" s="20" t="n">
        <v>0</v>
      </c>
      <c r="D352" s="20" t="n">
        <v>0</v>
      </c>
      <c r="E352" s="20" t="n">
        <v>0</v>
      </c>
      <c r="F352" s="19"/>
      <c r="G352" s="12" t="str">
        <f aca="false">IFERROR(IF(AND(COUNT(C352:E352)=3,OR(C352=0,C352=1),OR(D352=0,D352=1),OR(E352=0,E352=1),OR(A352&lt;&gt;"",SUM(C352:E352)=0)),"OK","FEHLER"),"FEHLER")</f>
        <v>OK</v>
      </c>
    </row>
    <row r="353" customFormat="false" ht="16.4" hidden="false" customHeight="false" outlineLevel="0" collapsed="false">
      <c r="A353" s="23" t="n">
        <f aca="false">IFERROR(IF(YEAR(DATE(Eingaben!$B$10,1,1)+348)=Eingaben!$B$10,DATE(Eingaben!$B$10,1,1)+348,""),"")</f>
        <v>46371</v>
      </c>
      <c r="B353" s="12" t="str">
        <f aca="false">IF(A353="","",CHOOSE(WEEKDAY(A353,2),"Mo","Di","Mi","Do","Fr","Sa","So"))</f>
        <v>Di</v>
      </c>
      <c r="C353" s="20" t="n">
        <v>0</v>
      </c>
      <c r="D353" s="20" t="n">
        <v>0</v>
      </c>
      <c r="E353" s="20" t="n">
        <v>0</v>
      </c>
      <c r="F353" s="19"/>
      <c r="G353" s="12" t="str">
        <f aca="false">IFERROR(IF(AND(COUNT(C353:E353)=3,OR(C353=0,C353=1),OR(D353=0,D353=1),OR(E353=0,E353=1),OR(A353&lt;&gt;"",SUM(C353:E353)=0)),"OK","FEHLER"),"FEHLER")</f>
        <v>OK</v>
      </c>
    </row>
    <row r="354" customFormat="false" ht="16.4" hidden="false" customHeight="false" outlineLevel="0" collapsed="false">
      <c r="A354" s="23" t="n">
        <f aca="false">IFERROR(IF(YEAR(DATE(Eingaben!$B$10,1,1)+349)=Eingaben!$B$10,DATE(Eingaben!$B$10,1,1)+349,""),"")</f>
        <v>46372</v>
      </c>
      <c r="B354" s="12" t="str">
        <f aca="false">IF(A354="","",CHOOSE(WEEKDAY(A354,2),"Mo","Di","Mi","Do","Fr","Sa","So"))</f>
        <v>Mi</v>
      </c>
      <c r="C354" s="20" t="n">
        <v>0</v>
      </c>
      <c r="D354" s="20" t="n">
        <v>0</v>
      </c>
      <c r="E354" s="20" t="n">
        <v>0</v>
      </c>
      <c r="F354" s="19"/>
      <c r="G354" s="12" t="str">
        <f aca="false">IFERROR(IF(AND(COUNT(C354:E354)=3,OR(C354=0,C354=1),OR(D354=0,D354=1),OR(E354=0,E354=1),OR(A354&lt;&gt;"",SUM(C354:E354)=0)),"OK","FEHLER"),"FEHLER")</f>
        <v>OK</v>
      </c>
    </row>
    <row r="355" customFormat="false" ht="16.4" hidden="false" customHeight="false" outlineLevel="0" collapsed="false">
      <c r="A355" s="23" t="n">
        <f aca="false">IFERROR(IF(YEAR(DATE(Eingaben!$B$10,1,1)+350)=Eingaben!$B$10,DATE(Eingaben!$B$10,1,1)+350,""),"")</f>
        <v>46373</v>
      </c>
      <c r="B355" s="12" t="str">
        <f aca="false">IF(A355="","",CHOOSE(WEEKDAY(A355,2),"Mo","Di","Mi","Do","Fr","Sa","So"))</f>
        <v>Do</v>
      </c>
      <c r="C355" s="20" t="n">
        <v>0</v>
      </c>
      <c r="D355" s="20" t="n">
        <v>0</v>
      </c>
      <c r="E355" s="20" t="n">
        <v>0</v>
      </c>
      <c r="F355" s="19"/>
      <c r="G355" s="12" t="str">
        <f aca="false">IFERROR(IF(AND(COUNT(C355:E355)=3,OR(C355=0,C355=1),OR(D355=0,D355=1),OR(E355=0,E355=1),OR(A355&lt;&gt;"",SUM(C355:E355)=0)),"OK","FEHLER"),"FEHLER")</f>
        <v>OK</v>
      </c>
    </row>
    <row r="356" customFormat="false" ht="16.4" hidden="false" customHeight="false" outlineLevel="0" collapsed="false">
      <c r="A356" s="23" t="n">
        <f aca="false">IFERROR(IF(YEAR(DATE(Eingaben!$B$10,1,1)+351)=Eingaben!$B$10,DATE(Eingaben!$B$10,1,1)+351,""),"")</f>
        <v>46374</v>
      </c>
      <c r="B356" s="12" t="str">
        <f aca="false">IF(A356="","",CHOOSE(WEEKDAY(A356,2),"Mo","Di","Mi","Do","Fr","Sa","So"))</f>
        <v>Fr</v>
      </c>
      <c r="C356" s="20" t="n">
        <v>0</v>
      </c>
      <c r="D356" s="20" t="n">
        <v>0</v>
      </c>
      <c r="E356" s="20" t="n">
        <v>0</v>
      </c>
      <c r="F356" s="19"/>
      <c r="G356" s="12" t="str">
        <f aca="false">IFERROR(IF(AND(COUNT(C356:E356)=3,OR(C356=0,C356=1),OR(D356=0,D356=1),OR(E356=0,E356=1),OR(A356&lt;&gt;"",SUM(C356:E356)=0)),"OK","FEHLER"),"FEHLER")</f>
        <v>OK</v>
      </c>
    </row>
    <row r="357" customFormat="false" ht="16.4" hidden="false" customHeight="false" outlineLevel="0" collapsed="false">
      <c r="A357" s="23" t="n">
        <f aca="false">IFERROR(IF(YEAR(DATE(Eingaben!$B$10,1,1)+352)=Eingaben!$B$10,DATE(Eingaben!$B$10,1,1)+352,""),"")</f>
        <v>46375</v>
      </c>
      <c r="B357" s="12" t="str">
        <f aca="false">IF(A357="","",CHOOSE(WEEKDAY(A357,2),"Mo","Di","Mi","Do","Fr","Sa","So"))</f>
        <v>Sa</v>
      </c>
      <c r="C357" s="20" t="n">
        <v>0</v>
      </c>
      <c r="D357" s="20" t="n">
        <v>0</v>
      </c>
      <c r="E357" s="20" t="n">
        <v>0</v>
      </c>
      <c r="F357" s="19"/>
      <c r="G357" s="12" t="str">
        <f aca="false">IFERROR(IF(AND(COUNT(C357:E357)=3,OR(C357=0,C357=1),OR(D357=0,D357=1),OR(E357=0,E357=1),OR(A357&lt;&gt;"",SUM(C357:E357)=0)),"OK","FEHLER"),"FEHLER")</f>
        <v>OK</v>
      </c>
    </row>
    <row r="358" customFormat="false" ht="16.4" hidden="false" customHeight="false" outlineLevel="0" collapsed="false">
      <c r="A358" s="23" t="n">
        <f aca="false">IFERROR(IF(YEAR(DATE(Eingaben!$B$10,1,1)+353)=Eingaben!$B$10,DATE(Eingaben!$B$10,1,1)+353,""),"")</f>
        <v>46376</v>
      </c>
      <c r="B358" s="12" t="str">
        <f aca="false">IF(A358="","",CHOOSE(WEEKDAY(A358,2),"Mo","Di","Mi","Do","Fr","Sa","So"))</f>
        <v>So</v>
      </c>
      <c r="C358" s="20" t="n">
        <v>0</v>
      </c>
      <c r="D358" s="20" t="n">
        <v>0</v>
      </c>
      <c r="E358" s="20" t="n">
        <v>0</v>
      </c>
      <c r="F358" s="19"/>
      <c r="G358" s="12" t="str">
        <f aca="false">IFERROR(IF(AND(COUNT(C358:E358)=3,OR(C358=0,C358=1),OR(D358=0,D358=1),OR(E358=0,E358=1),OR(A358&lt;&gt;"",SUM(C358:E358)=0)),"OK","FEHLER"),"FEHLER")</f>
        <v>OK</v>
      </c>
    </row>
    <row r="359" customFormat="false" ht="16.4" hidden="false" customHeight="false" outlineLevel="0" collapsed="false">
      <c r="A359" s="23" t="n">
        <f aca="false">IFERROR(IF(YEAR(DATE(Eingaben!$B$10,1,1)+354)=Eingaben!$B$10,DATE(Eingaben!$B$10,1,1)+354,""),"")</f>
        <v>46377</v>
      </c>
      <c r="B359" s="12" t="str">
        <f aca="false">IF(A359="","",CHOOSE(WEEKDAY(A359,2),"Mo","Di","Mi","Do","Fr","Sa","So"))</f>
        <v>Mo</v>
      </c>
      <c r="C359" s="20" t="n">
        <v>0</v>
      </c>
      <c r="D359" s="20" t="n">
        <v>0</v>
      </c>
      <c r="E359" s="20" t="n">
        <v>0</v>
      </c>
      <c r="F359" s="19"/>
      <c r="G359" s="12" t="str">
        <f aca="false">IFERROR(IF(AND(COUNT(C359:E359)=3,OR(C359=0,C359=1),OR(D359=0,D359=1),OR(E359=0,E359=1),OR(A359&lt;&gt;"",SUM(C359:E359)=0)),"OK","FEHLER"),"FEHLER")</f>
        <v>OK</v>
      </c>
    </row>
    <row r="360" customFormat="false" ht="16.4" hidden="false" customHeight="false" outlineLevel="0" collapsed="false">
      <c r="A360" s="23" t="n">
        <f aca="false">IFERROR(IF(YEAR(DATE(Eingaben!$B$10,1,1)+355)=Eingaben!$B$10,DATE(Eingaben!$B$10,1,1)+355,""),"")</f>
        <v>46378</v>
      </c>
      <c r="B360" s="12" t="str">
        <f aca="false">IF(A360="","",CHOOSE(WEEKDAY(A360,2),"Mo","Di","Mi","Do","Fr","Sa","So"))</f>
        <v>Di</v>
      </c>
      <c r="C360" s="20" t="n">
        <v>0</v>
      </c>
      <c r="D360" s="20" t="n">
        <v>0</v>
      </c>
      <c r="E360" s="20" t="n">
        <v>0</v>
      </c>
      <c r="F360" s="19"/>
      <c r="G360" s="12" t="str">
        <f aca="false">IFERROR(IF(AND(COUNT(C360:E360)=3,OR(C360=0,C360=1),OR(D360=0,D360=1),OR(E360=0,E360=1),OR(A360&lt;&gt;"",SUM(C360:E360)=0)),"OK","FEHLER"),"FEHLER")</f>
        <v>OK</v>
      </c>
    </row>
    <row r="361" customFormat="false" ht="16.4" hidden="false" customHeight="false" outlineLevel="0" collapsed="false">
      <c r="A361" s="23" t="n">
        <f aca="false">IFERROR(IF(YEAR(DATE(Eingaben!$B$10,1,1)+356)=Eingaben!$B$10,DATE(Eingaben!$B$10,1,1)+356,""),"")</f>
        <v>46379</v>
      </c>
      <c r="B361" s="12" t="str">
        <f aca="false">IF(A361="","",CHOOSE(WEEKDAY(A361,2),"Mo","Di","Mi","Do","Fr","Sa","So"))</f>
        <v>Mi</v>
      </c>
      <c r="C361" s="20" t="n">
        <v>0</v>
      </c>
      <c r="D361" s="20" t="n">
        <v>0</v>
      </c>
      <c r="E361" s="20" t="n">
        <v>0</v>
      </c>
      <c r="F361" s="19"/>
      <c r="G361" s="12" t="str">
        <f aca="false">IFERROR(IF(AND(COUNT(C361:E361)=3,OR(C361=0,C361=1),OR(D361=0,D361=1),OR(E361=0,E361=1),OR(A361&lt;&gt;"",SUM(C361:E361)=0)),"OK","FEHLER"),"FEHLER")</f>
        <v>OK</v>
      </c>
    </row>
    <row r="362" customFormat="false" ht="16.4" hidden="false" customHeight="false" outlineLevel="0" collapsed="false">
      <c r="A362" s="23" t="n">
        <f aca="false">IFERROR(IF(YEAR(DATE(Eingaben!$B$10,1,1)+357)=Eingaben!$B$10,DATE(Eingaben!$B$10,1,1)+357,""),"")</f>
        <v>46380</v>
      </c>
      <c r="B362" s="12" t="str">
        <f aca="false">IF(A362="","",CHOOSE(WEEKDAY(A362,2),"Mo","Di","Mi","Do","Fr","Sa","So"))</f>
        <v>Do</v>
      </c>
      <c r="C362" s="20" t="n">
        <v>0</v>
      </c>
      <c r="D362" s="20" t="n">
        <v>0</v>
      </c>
      <c r="E362" s="20" t="n">
        <v>0</v>
      </c>
      <c r="F362" s="19"/>
      <c r="G362" s="12" t="str">
        <f aca="false">IFERROR(IF(AND(COUNT(C362:E362)=3,OR(C362=0,C362=1),OR(D362=0,D362=1),OR(E362=0,E362=1),OR(A362&lt;&gt;"",SUM(C362:E362)=0)),"OK","FEHLER"),"FEHLER")</f>
        <v>OK</v>
      </c>
    </row>
    <row r="363" customFormat="false" ht="16.4" hidden="false" customHeight="false" outlineLevel="0" collapsed="false">
      <c r="A363" s="23" t="n">
        <f aca="false">IFERROR(IF(YEAR(DATE(Eingaben!$B$10,1,1)+358)=Eingaben!$B$10,DATE(Eingaben!$B$10,1,1)+358,""),"")</f>
        <v>46381</v>
      </c>
      <c r="B363" s="12" t="str">
        <f aca="false">IF(A363="","",CHOOSE(WEEKDAY(A363,2),"Mo","Di","Mi","Do","Fr","Sa","So"))</f>
        <v>Fr</v>
      </c>
      <c r="C363" s="20" t="n">
        <v>0</v>
      </c>
      <c r="D363" s="20" t="n">
        <v>0</v>
      </c>
      <c r="E363" s="20" t="n">
        <v>0</v>
      </c>
      <c r="F363" s="19"/>
      <c r="G363" s="12" t="str">
        <f aca="false">IFERROR(IF(AND(COUNT(C363:E363)=3,OR(C363=0,C363=1),OR(D363=0,D363=1),OR(E363=0,E363=1),OR(A363&lt;&gt;"",SUM(C363:E363)=0)),"OK","FEHLER"),"FEHLER")</f>
        <v>OK</v>
      </c>
    </row>
    <row r="364" customFormat="false" ht="16.4" hidden="false" customHeight="false" outlineLevel="0" collapsed="false">
      <c r="A364" s="23" t="n">
        <f aca="false">IFERROR(IF(YEAR(DATE(Eingaben!$B$10,1,1)+359)=Eingaben!$B$10,DATE(Eingaben!$B$10,1,1)+359,""),"")</f>
        <v>46382</v>
      </c>
      <c r="B364" s="12" t="str">
        <f aca="false">IF(A364="","",CHOOSE(WEEKDAY(A364,2),"Mo","Di","Mi","Do","Fr","Sa","So"))</f>
        <v>Sa</v>
      </c>
      <c r="C364" s="20" t="n">
        <v>0</v>
      </c>
      <c r="D364" s="20" t="n">
        <v>0</v>
      </c>
      <c r="E364" s="20" t="n">
        <v>0</v>
      </c>
      <c r="F364" s="19"/>
      <c r="G364" s="12" t="str">
        <f aca="false">IFERROR(IF(AND(COUNT(C364:E364)=3,OR(C364=0,C364=1),OR(D364=0,D364=1),OR(E364=0,E364=1),OR(A364&lt;&gt;"",SUM(C364:E364)=0)),"OK","FEHLER"),"FEHLER")</f>
        <v>OK</v>
      </c>
    </row>
    <row r="365" customFormat="false" ht="16.4" hidden="false" customHeight="false" outlineLevel="0" collapsed="false">
      <c r="A365" s="23" t="n">
        <f aca="false">IFERROR(IF(YEAR(DATE(Eingaben!$B$10,1,1)+360)=Eingaben!$B$10,DATE(Eingaben!$B$10,1,1)+360,""),"")</f>
        <v>46383</v>
      </c>
      <c r="B365" s="12" t="str">
        <f aca="false">IF(A365="","",CHOOSE(WEEKDAY(A365,2),"Mo","Di","Mi","Do","Fr","Sa","So"))</f>
        <v>So</v>
      </c>
      <c r="C365" s="20" t="n">
        <v>0</v>
      </c>
      <c r="D365" s="20" t="n">
        <v>0</v>
      </c>
      <c r="E365" s="20" t="n">
        <v>0</v>
      </c>
      <c r="F365" s="19"/>
      <c r="G365" s="12" t="str">
        <f aca="false">IFERROR(IF(AND(COUNT(C365:E365)=3,OR(C365=0,C365=1),OR(D365=0,D365=1),OR(E365=0,E365=1),OR(A365&lt;&gt;"",SUM(C365:E365)=0)),"OK","FEHLER"),"FEHLER")</f>
        <v>OK</v>
      </c>
    </row>
    <row r="366" customFormat="false" ht="16.4" hidden="false" customHeight="false" outlineLevel="0" collapsed="false">
      <c r="A366" s="23" t="n">
        <f aca="false">IFERROR(IF(YEAR(DATE(Eingaben!$B$10,1,1)+361)=Eingaben!$B$10,DATE(Eingaben!$B$10,1,1)+361,""),"")</f>
        <v>46384</v>
      </c>
      <c r="B366" s="12" t="str">
        <f aca="false">IF(A366="","",CHOOSE(WEEKDAY(A366,2),"Mo","Di","Mi","Do","Fr","Sa","So"))</f>
        <v>Mo</v>
      </c>
      <c r="C366" s="20" t="n">
        <v>0</v>
      </c>
      <c r="D366" s="20" t="n">
        <v>0</v>
      </c>
      <c r="E366" s="20" t="n">
        <v>0</v>
      </c>
      <c r="F366" s="19"/>
      <c r="G366" s="12" t="str">
        <f aca="false">IFERROR(IF(AND(COUNT(C366:E366)=3,OR(C366=0,C366=1),OR(D366=0,D366=1),OR(E366=0,E366=1),OR(A366&lt;&gt;"",SUM(C366:E366)=0)),"OK","FEHLER"),"FEHLER")</f>
        <v>OK</v>
      </c>
    </row>
    <row r="367" customFormat="false" ht="16.4" hidden="false" customHeight="false" outlineLevel="0" collapsed="false">
      <c r="A367" s="23" t="n">
        <f aca="false">IFERROR(IF(YEAR(DATE(Eingaben!$B$10,1,1)+362)=Eingaben!$B$10,DATE(Eingaben!$B$10,1,1)+362,""),"")</f>
        <v>46385</v>
      </c>
      <c r="B367" s="12" t="str">
        <f aca="false">IF(A367="","",CHOOSE(WEEKDAY(A367,2),"Mo","Di","Mi","Do","Fr","Sa","So"))</f>
        <v>Di</v>
      </c>
      <c r="C367" s="20" t="n">
        <v>0</v>
      </c>
      <c r="D367" s="20" t="n">
        <v>0</v>
      </c>
      <c r="E367" s="20" t="n">
        <v>0</v>
      </c>
      <c r="F367" s="19"/>
      <c r="G367" s="12" t="str">
        <f aca="false">IFERROR(IF(AND(COUNT(C367:E367)=3,OR(C367=0,C367=1),OR(D367=0,D367=1),OR(E367=0,E367=1),OR(A367&lt;&gt;"",SUM(C367:E367)=0)),"OK","FEHLER"),"FEHLER")</f>
        <v>OK</v>
      </c>
    </row>
    <row r="368" customFormat="false" ht="16.4" hidden="false" customHeight="false" outlineLevel="0" collapsed="false">
      <c r="A368" s="23" t="n">
        <f aca="false">IFERROR(IF(YEAR(DATE(Eingaben!$B$10,1,1)+363)=Eingaben!$B$10,DATE(Eingaben!$B$10,1,1)+363,""),"")</f>
        <v>46386</v>
      </c>
      <c r="B368" s="12" t="str">
        <f aca="false">IF(A368="","",CHOOSE(WEEKDAY(A368,2),"Mo","Di","Mi","Do","Fr","Sa","So"))</f>
        <v>Mi</v>
      </c>
      <c r="C368" s="20" t="n">
        <v>0</v>
      </c>
      <c r="D368" s="20" t="n">
        <v>0</v>
      </c>
      <c r="E368" s="20" t="n">
        <v>0</v>
      </c>
      <c r="F368" s="19"/>
      <c r="G368" s="12" t="str">
        <f aca="false">IFERROR(IF(AND(COUNT(C368:E368)=3,OR(C368=0,C368=1),OR(D368=0,D368=1),OR(E368=0,E368=1),OR(A368&lt;&gt;"",SUM(C368:E368)=0)),"OK","FEHLER"),"FEHLER")</f>
        <v>OK</v>
      </c>
    </row>
    <row r="369" customFormat="false" ht="16.4" hidden="false" customHeight="false" outlineLevel="0" collapsed="false">
      <c r="A369" s="23" t="n">
        <f aca="false">IFERROR(IF(YEAR(DATE(Eingaben!$B$10,1,1)+364)=Eingaben!$B$10,DATE(Eingaben!$B$10,1,1)+364,""),"")</f>
        <v>46387</v>
      </c>
      <c r="B369" s="12" t="str">
        <f aca="false">IF(A369="","",CHOOSE(WEEKDAY(A369,2),"Mo","Di","Mi","Do","Fr","Sa","So"))</f>
        <v>Do</v>
      </c>
      <c r="C369" s="20" t="n">
        <v>0</v>
      </c>
      <c r="D369" s="20" t="n">
        <v>0</v>
      </c>
      <c r="E369" s="20" t="n">
        <v>0</v>
      </c>
      <c r="F369" s="19"/>
      <c r="G369" s="12" t="str">
        <f aca="false">IFERROR(IF(AND(COUNT(C369:E369)=3,OR(C369=0,C369=1),OR(D369=0,D369=1),OR(E369=0,E369=1),OR(A369&lt;&gt;"",SUM(C369:E369)=0)),"OK","FEHLER"),"FEHLER")</f>
        <v>OK</v>
      </c>
    </row>
    <row r="370" customFormat="false" ht="16.4" hidden="false" customHeight="false" outlineLevel="0" collapsed="false">
      <c r="A370" s="23" t="str">
        <f aca="false">IFERROR(IF(YEAR(DATE(Eingaben!$B$10,1,1)+365)=Eingaben!$B$10,DATE(Eingaben!$B$10,1,1)+365,""),"")</f>
        <v/>
      </c>
      <c r="B370" s="12" t="str">
        <f aca="false">IF(A370="","",CHOOSE(WEEKDAY(A370,2),"Mo","Di","Mi","Do","Fr","Sa","So"))</f>
        <v/>
      </c>
      <c r="C370" s="20" t="n">
        <v>0</v>
      </c>
      <c r="D370" s="20" t="n">
        <v>0</v>
      </c>
      <c r="E370" s="20" t="n">
        <v>0</v>
      </c>
      <c r="F370" s="19"/>
      <c r="G370" s="12" t="str">
        <f aca="false">IFERROR(IF(AND(COUNT(C370:E370)=3,OR(C370=0,C370=1),OR(D370=0,D370=1),OR(E370=0,E370=1),OR(A370&lt;&gt;"",SUM(C370:E370)=0)),"OK","FEHLER"),"FEHLER")</f>
        <v>OK</v>
      </c>
    </row>
  </sheetData>
  <sheetProtection sheet="true" objects="true" sort="false" autoFilter="false"/>
  <autoFilter ref="A4:G370"/>
  <mergeCells count="2">
    <mergeCell ref="A1:G1"/>
    <mergeCell ref="A3:G3"/>
  </mergeCells>
  <dataValidations count="1098"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5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5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5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5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5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5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5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5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5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5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5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5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5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5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5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5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5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5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5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5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5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5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5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5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5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5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5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5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5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5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6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6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6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6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6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6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6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6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6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6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6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6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6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6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6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6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6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6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6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6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6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6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6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6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6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6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6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6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6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6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7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7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7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7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7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7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7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7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7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7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7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7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7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7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7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7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7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7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7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7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7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7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7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7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7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7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7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7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7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7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8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8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8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8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8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8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8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8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8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8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8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8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8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8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8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8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8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8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8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8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8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8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8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8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8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8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8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8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8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8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9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9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9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9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9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9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9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9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9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9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9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9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9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9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9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9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9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9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9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9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9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9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9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9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9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9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9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9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9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9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0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0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0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0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0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0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0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0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0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0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0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0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0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0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0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0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0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0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0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0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0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0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0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0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0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0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0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0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0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0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1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1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1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1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1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1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1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1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1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1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1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1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1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1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1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1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1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1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1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1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1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1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1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1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1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1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1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1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1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1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2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2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2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2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2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2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2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2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2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2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2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2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2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2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2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2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2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2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2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2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2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2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2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2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2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2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2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2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2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2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3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3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3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3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3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3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3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3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3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3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3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3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3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3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3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3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3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3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3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3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3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3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3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3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3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3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3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3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3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3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4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4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4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4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4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4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4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4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4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4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4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4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4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4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4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4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4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4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4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4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4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4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4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4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4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4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4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4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4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4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5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5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5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5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5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5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5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5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5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5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5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5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5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5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5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5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5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5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5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5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5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5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5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5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5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5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5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5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5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5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6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6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6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6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6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6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6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6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6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6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6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6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6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6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6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6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6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6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6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6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6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6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6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6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6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6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6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6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6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6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7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7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7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7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7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7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7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7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7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7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7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7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7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7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7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7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7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7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7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7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7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7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7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7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7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7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7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7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7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7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8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8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8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8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8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8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8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8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8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8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8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8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8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8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8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8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8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8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8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8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8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8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8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8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8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8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8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8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8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8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9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9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9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9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9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9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9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9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9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9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9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9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9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9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9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9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9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9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9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9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9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9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9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9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9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9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9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9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9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9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0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0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0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0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0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0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0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0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0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0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0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0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0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0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0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0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0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0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0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0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0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0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0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0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0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0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0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0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0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0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1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1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1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1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1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1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1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1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1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1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1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1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1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1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1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1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1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1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1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1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1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1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1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1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1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1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1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1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1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1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2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2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2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2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2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2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2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2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2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2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2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2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2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2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2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2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2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2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2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2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2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2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2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2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2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2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2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2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2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2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3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3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3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3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3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3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3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3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3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3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3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3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3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3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3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3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3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3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3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3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3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3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3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3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3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3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3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3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3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3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4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4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4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4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4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4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4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4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4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4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4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4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4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4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4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4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4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4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4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4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4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4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4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4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4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4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4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4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4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4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5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5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5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5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5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5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5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5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5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5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5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5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5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5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5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5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5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5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5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5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5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5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5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5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5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5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5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5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5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5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6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6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6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6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6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6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6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6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6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6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6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6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6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6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6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6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6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6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6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6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6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6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6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6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6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6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6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6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6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6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7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7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7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7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7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7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7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7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7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7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7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7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7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7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7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7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7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7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7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7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7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7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7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7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7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7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7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7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7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7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8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8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8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8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8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8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8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8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8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8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8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8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8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8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8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8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8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8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8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8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8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8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8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8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8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8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8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8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8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8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9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9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9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9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9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9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9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9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9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9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9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9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9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9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9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9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9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9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9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9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9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9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9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9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9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9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9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9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9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9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0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0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0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0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0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0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0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0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0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0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0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0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0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0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0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0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0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0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0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0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0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0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0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0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0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0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0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0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0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0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1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1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1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1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1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1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1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1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1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1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1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1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1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1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1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1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1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1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1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1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1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1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1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1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1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1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1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1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1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1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2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2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2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2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2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2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2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2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2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2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2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2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2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2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2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2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2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2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2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2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2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2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2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2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2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2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2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2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2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2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3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3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3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3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3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3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3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3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3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3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3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3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3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3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3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3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3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3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3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3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3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3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3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3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3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3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3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3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3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3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4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4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4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4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4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4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4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4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4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4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4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4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4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4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4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4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4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4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4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4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4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4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4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4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4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4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4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4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4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4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5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5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5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5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5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5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5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5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5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5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5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5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5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5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5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5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5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5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5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5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5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5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5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5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5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5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5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5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5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5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6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6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6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6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6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61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6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6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62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6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6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63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6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6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64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6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6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65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6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6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66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6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6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67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6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6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68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6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6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69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7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70" type="whole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70" type="whole">
      <formula1>0</formula1>
      <formula2>1</formula2>
    </dataValidation>
  </dataValidations>
  <hyperlinks>
    <hyperlink ref="A2" r:id="rId1" location="'Dashboard'!A1" display="Dashboard"/>
    <hyperlink ref="B2" r:id="rId2" location="'Eingaben'!A1" display="Eingaben"/>
    <hyperlink ref="C2" r:id="rId3" location="'Nutzungsprofile'!A1" display="Profile"/>
    <hyperlink ref="D2" r:id="rId4" location="'Kalender'!A1" display="Kalender"/>
    <hyperlink ref="E2" r:id="rId5" location="'Anleitung'!A1" display="Methodik"/>
  </hyperlinks>
  <printOptions headings="false" gridLines="false" gridLinesSet="true" horizontalCentered="true" verticalCentered="false"/>
  <pageMargins left="0.25" right="0.2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Grauwasserbewertung | wissenschaftlicher Prototyp | &amp;P / &amp;N</oddFooter>
  </headerFooter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6"/>
    <col collapsed="false" customWidth="true" hidden="false" outlineLevel="0" max="3" min="3" style="0" width="29"/>
    <col collapsed="false" customWidth="true" hidden="false" outlineLevel="0" max="4" min="4" style="0" width="30"/>
    <col collapsed="false" customWidth="true" hidden="false" outlineLevel="0" max="5" min="5" style="0" width="67"/>
  </cols>
  <sheetData>
    <row r="1" customFormat="false" ht="37.5" hidden="false" customHeight="true" outlineLevel="0" collapsed="false">
      <c r="A1" s="1" t="s">
        <v>181</v>
      </c>
      <c r="B1" s="1"/>
      <c r="C1" s="1"/>
      <c r="D1" s="1"/>
      <c r="E1" s="1"/>
    </row>
    <row r="2" customFormat="false" ht="14.9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3.75" hidden="false" customHeight="true" outlineLevel="0" collapsed="false">
      <c r="A3" s="3" t="s">
        <v>182</v>
      </c>
      <c r="B3" s="3"/>
      <c r="C3" s="3"/>
      <c r="D3" s="3"/>
      <c r="E3" s="3"/>
    </row>
    <row r="4" customFormat="false" ht="31.5" hidden="false" customHeight="true" outlineLevel="0" collapsed="false">
      <c r="A4" s="11" t="s">
        <v>183</v>
      </c>
      <c r="B4" s="11" t="s">
        <v>184</v>
      </c>
      <c r="C4" s="11" t="s">
        <v>185</v>
      </c>
      <c r="D4" s="11" t="s">
        <v>186</v>
      </c>
      <c r="E4" s="11" t="s">
        <v>187</v>
      </c>
    </row>
    <row r="5" customFormat="false" ht="45" hidden="false" customHeight="true" outlineLevel="0" collapsed="false">
      <c r="A5" s="12" t="s">
        <v>188</v>
      </c>
      <c r="B5" s="22" t="n">
        <v>0</v>
      </c>
      <c r="C5" s="12" t="s">
        <v>189</v>
      </c>
      <c r="D5" s="12" t="s">
        <v>190</v>
      </c>
      <c r="E5" s="12" t="s">
        <v>191</v>
      </c>
    </row>
    <row r="6" customFormat="false" ht="45" hidden="false" customHeight="true" outlineLevel="0" collapsed="false">
      <c r="A6" s="12" t="s">
        <v>192</v>
      </c>
      <c r="B6" s="22" t="n">
        <v>-0.2</v>
      </c>
      <c r="C6" s="12" t="s">
        <v>189</v>
      </c>
      <c r="D6" s="12" t="s">
        <v>190</v>
      </c>
      <c r="E6" s="12" t="s">
        <v>193</v>
      </c>
    </row>
    <row r="9" customFormat="false" ht="45" hidden="false" customHeight="true" outlineLevel="0" collapsed="false">
      <c r="A9" s="12" t="s">
        <v>194</v>
      </c>
      <c r="B9" s="22" t="n">
        <v>0.15</v>
      </c>
      <c r="C9" s="12" t="s">
        <v>195</v>
      </c>
      <c r="D9" s="12" t="s">
        <v>190</v>
      </c>
      <c r="E9" s="12" t="s">
        <v>196</v>
      </c>
    </row>
    <row r="10" customFormat="false" ht="45" hidden="false" customHeight="true" outlineLevel="0" collapsed="false">
      <c r="A10" s="12" t="s">
        <v>197</v>
      </c>
      <c r="B10" s="22" t="n">
        <v>0.05</v>
      </c>
      <c r="C10" s="12" t="s">
        <v>195</v>
      </c>
      <c r="D10" s="12" t="s">
        <v>190</v>
      </c>
      <c r="E10" s="12" t="s">
        <v>198</v>
      </c>
    </row>
    <row r="13" customFormat="false" ht="33.75" hidden="false" customHeight="true" outlineLevel="0" collapsed="false">
      <c r="A13" s="3" t="s">
        <v>199</v>
      </c>
      <c r="B13" s="3"/>
      <c r="C13" s="3"/>
      <c r="D13" s="3"/>
      <c r="E13" s="3"/>
    </row>
    <row r="14" customFormat="false" ht="33.75" hidden="false" customHeight="true" outlineLevel="0" collapsed="false">
      <c r="A14" s="3" t="s">
        <v>200</v>
      </c>
      <c r="B14" s="3"/>
      <c r="C14" s="3"/>
      <c r="D14" s="3"/>
      <c r="E14" s="3"/>
    </row>
    <row r="15" customFormat="false" ht="33.75" hidden="false" customHeight="true" outlineLevel="0" collapsed="false">
      <c r="A15" s="3" t="s">
        <v>201</v>
      </c>
      <c r="B15" s="3"/>
      <c r="C15" s="3"/>
      <c r="D15" s="3"/>
      <c r="E15" s="3"/>
    </row>
    <row r="16" customFormat="false" ht="33.75" hidden="false" customHeight="true" outlineLevel="0" collapsed="false">
      <c r="A16" s="3" t="s">
        <v>202</v>
      </c>
      <c r="B16" s="3"/>
      <c r="C16" s="3"/>
      <c r="D16" s="3"/>
      <c r="E16" s="3"/>
    </row>
    <row r="17" customFormat="false" ht="33.75" hidden="false" customHeight="true" outlineLevel="0" collapsed="false">
      <c r="A17" s="3" t="s">
        <v>203</v>
      </c>
      <c r="B17" s="3"/>
      <c r="C17" s="3"/>
      <c r="D17" s="3"/>
      <c r="E17" s="3"/>
    </row>
    <row r="18" customFormat="false" ht="33.75" hidden="false" customHeight="true" outlineLevel="0" collapsed="false">
      <c r="A18" s="3" t="s">
        <v>204</v>
      </c>
      <c r="B18" s="3"/>
      <c r="C18" s="3"/>
      <c r="D18" s="3"/>
      <c r="E18" s="3"/>
    </row>
    <row r="19" customFormat="false" ht="33.75" hidden="false" customHeight="true" outlineLevel="0" collapsed="false">
      <c r="A19" s="3" t="s">
        <v>205</v>
      </c>
      <c r="B19" s="3"/>
      <c r="C19" s="3"/>
      <c r="D19" s="3"/>
      <c r="E19" s="3"/>
    </row>
    <row r="20" customFormat="false" ht="33.75" hidden="false" customHeight="true" outlineLevel="0" collapsed="false">
      <c r="A20" s="3" t="s">
        <v>206</v>
      </c>
      <c r="B20" s="3"/>
      <c r="C20" s="3"/>
      <c r="D20" s="3"/>
      <c r="E20" s="3"/>
    </row>
    <row r="21" customFormat="false" ht="33.75" hidden="false" customHeight="true" outlineLevel="0" collapsed="false">
      <c r="A21" s="3" t="s">
        <v>207</v>
      </c>
      <c r="B21" s="3"/>
      <c r="C21" s="3"/>
      <c r="D21" s="3"/>
      <c r="E21" s="3"/>
    </row>
    <row r="22" customFormat="false" ht="33.75" hidden="false" customHeight="true" outlineLevel="0" collapsed="false">
      <c r="A22" s="3" t="s">
        <v>208</v>
      </c>
      <c r="B22" s="3"/>
      <c r="C22" s="3"/>
      <c r="D22" s="3"/>
      <c r="E22" s="3"/>
    </row>
  </sheetData>
  <sheetProtection sheet="true" objects="true" sort="false" autoFilter="false"/>
  <mergeCells count="12">
    <mergeCell ref="A1:E1"/>
    <mergeCell ref="A3:E3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</mergeCells>
  <dataValidations count="4"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5" type="decimal">
      <formula1>-1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6" type="decimal">
      <formula1>-1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9" type="decimal">
      <formula1>0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0" type="decimal">
      <formula1>0</formula1>
      <formula2>1</formula2>
    </dataValidation>
  </dataValidations>
  <hyperlinks>
    <hyperlink ref="A2" r:id="rId1" location="'Dashboard'!A1" display="Dashboard"/>
    <hyperlink ref="B2" r:id="rId2" location="'Eingaben'!A1" display="Eingaben"/>
    <hyperlink ref="C2" r:id="rId3" location="'Nutzungsprofile'!A1" display="Profile"/>
    <hyperlink ref="D2" r:id="rId4" location="'Kalender'!A1" display="Kalender"/>
    <hyperlink ref="E2" r:id="rId5" location="'Anleitung'!A1" display="Methodik"/>
  </hyperlinks>
  <printOptions headings="false" gridLines="false" gridLinesSet="true" horizontalCentered="true" verticalCentered="false"/>
  <pageMargins left="0.25" right="0.2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Grauwasserbewertung | wissenschaftlicher Prototyp |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7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7" min="1" style="0" width="16"/>
  </cols>
  <sheetData>
    <row r="1" customFormat="false" ht="37.5" hidden="false" customHeight="true" outlineLevel="0" collapsed="false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3.75" hidden="false" customHeight="true" outlineLevel="0" collapsed="false">
      <c r="A3" s="3" t="s">
        <v>210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31.5" hidden="false" customHeight="true" outlineLevel="0" collapsed="false">
      <c r="A4" s="11" t="s">
        <v>174</v>
      </c>
      <c r="B4" s="11" t="s">
        <v>211</v>
      </c>
      <c r="C4" s="11" t="s">
        <v>153</v>
      </c>
      <c r="D4" s="11" t="s">
        <v>26</v>
      </c>
      <c r="E4" s="11" t="s">
        <v>29</v>
      </c>
      <c r="F4" s="11" t="s">
        <v>212</v>
      </c>
      <c r="G4" s="11" t="s">
        <v>27</v>
      </c>
      <c r="H4" s="11" t="s">
        <v>213</v>
      </c>
      <c r="I4" s="11" t="s">
        <v>214</v>
      </c>
      <c r="J4" s="11" t="s">
        <v>215</v>
      </c>
      <c r="K4" s="11" t="s">
        <v>216</v>
      </c>
      <c r="L4" s="11" t="s">
        <v>28</v>
      </c>
      <c r="M4" s="11" t="s">
        <v>30</v>
      </c>
      <c r="N4" s="11" t="s">
        <v>217</v>
      </c>
      <c r="O4" s="11" t="s">
        <v>218</v>
      </c>
      <c r="P4" s="11" t="s">
        <v>219</v>
      </c>
      <c r="Q4" s="11" t="s">
        <v>220</v>
      </c>
    </row>
    <row r="5" customFormat="false" ht="16.4" hidden="false" customHeight="false" outlineLevel="0" collapsed="false">
      <c r="A5" s="23" t="n">
        <f aca="false">Kalender!A5</f>
        <v>46023</v>
      </c>
      <c r="B5" s="13" t="n">
        <f aca="false">Kalender!C5</f>
        <v>1</v>
      </c>
      <c r="C5" s="13" t="n">
        <f aca="false">Kalender!D5</f>
        <v>1</v>
      </c>
      <c r="D5" s="13" t="n">
        <f aca="false">IF(Prüfungen!$B$4=0,(IFERROR(SUMIF(Nutzungsprofile!$B$6:$B$11,"Schulbetrieb",Nutzungsprofile!$G$6:$G$11)*Kalender!C5/SUM(Kalender!$C$5:$C$370),0)+IFERROR(SUMIF(Nutzungsprofile!$B$6:$B$11,"Halle",Nutzungsprofile!$G$6:$G$11)*Kalender!D5/SUM(Kalender!$D$5:$D$370),0)+IFERROR(SUMIF(Nutzungsprofile!$B$6:$B$11,"Individuell",Nutzungsprofile!$G$6:$G$11)*Kalender!E5/SUM(Kalender!$E$5:$E$370),0)),0)</f>
        <v>2.94</v>
      </c>
      <c r="E5" s="13" t="n">
        <f aca="false">IF(Prüfungen!$B$4=0,(IFERROR(SUMIF(Nutzungsprofile!$B$17:$B$22,"Schulbetrieb",Nutzungsprofile!$G$17:$G$22)*Kalender!C5/SUM(Kalender!$C$5:$C$370),0)+IFERROR(SUMIF(Nutzungsprofile!$B$17:$B$22,"Halle",Nutzungsprofile!$G$17:$G$22)*Kalender!D5/SUM(Kalender!$D$5:$D$370),0)+IFERROR(SUMIF(Nutzungsprofile!$B$17:$B$22,"Individuell",Nutzungsprofile!$G$17:$G$22)*Kalender!E5/SUM(Kalender!$E$5:$E$370),0)),0)</f>
        <v>4.94</v>
      </c>
      <c r="F5" s="13" t="n">
        <f aca="false">IFERROR(MIN(D5,Eingaben!$B$17)*Eingaben!$B$16,0)</f>
        <v>2.793</v>
      </c>
      <c r="G5" s="13" t="n">
        <f aca="false">IFERROR(F5*Eingaben!$B$15,0)</f>
        <v>2.5137</v>
      </c>
      <c r="H5" s="13" t="n">
        <f aca="false">IFERROR(Q5*(1-Eingaben!$B$20),0)</f>
        <v>0</v>
      </c>
      <c r="I5" s="13" t="n">
        <f aca="false">MIN(H5,E5)</f>
        <v>0</v>
      </c>
      <c r="J5" s="13" t="n">
        <f aca="false">IFERROR(MIN(G5*Eingaben!$B$19,MAX(0,E5-I5)),0)</f>
        <v>1.75959</v>
      </c>
      <c r="K5" s="13" t="n">
        <f aca="false">IFERROR(MIN(Eingaben!$B$18,MAX(0,G5-J5)),0)</f>
        <v>0.75411</v>
      </c>
      <c r="L5" s="13" t="n">
        <f aca="false">I5+J5</f>
        <v>1.75959</v>
      </c>
      <c r="M5" s="13" t="n">
        <f aca="false">MAX(0,E5-L5)</f>
        <v>3.18041</v>
      </c>
      <c r="N5" s="13" t="n">
        <f aca="false">MAX(0,G5-J5-K5)</f>
        <v>0</v>
      </c>
      <c r="O5" s="13" t="n">
        <f aca="false">Q5-I5</f>
        <v>0</v>
      </c>
      <c r="P5" s="13" t="n">
        <f aca="false">G5+Q5-L5-N5-O5-K5</f>
        <v>0</v>
      </c>
      <c r="Q5" s="13" t="n">
        <f aca="false">0</f>
        <v>0</v>
      </c>
    </row>
    <row r="6" customFormat="false" ht="16.4" hidden="false" customHeight="false" outlineLevel="0" collapsed="false">
      <c r="A6" s="23" t="n">
        <f aca="false">Kalender!A6</f>
        <v>46024</v>
      </c>
      <c r="B6" s="13" t="n">
        <f aca="false">Kalender!C6</f>
        <v>1</v>
      </c>
      <c r="C6" s="13" t="n">
        <f aca="false">Kalender!D6</f>
        <v>1</v>
      </c>
      <c r="D6" s="13" t="n">
        <f aca="false">IF(Prüfungen!$B$4=0,(IFERROR(SUMIF(Nutzungsprofile!$B$6:$B$11,"Schulbetrieb",Nutzungsprofile!$G$6:$G$11)*Kalender!C6/SUM(Kalender!$C$5:$C$370),0)+IFERROR(SUMIF(Nutzungsprofile!$B$6:$B$11,"Halle",Nutzungsprofile!$G$6:$G$11)*Kalender!D6/SUM(Kalender!$D$5:$D$370),0)+IFERROR(SUMIF(Nutzungsprofile!$B$6:$B$11,"Individuell",Nutzungsprofile!$G$6:$G$11)*Kalender!E6/SUM(Kalender!$E$5:$E$370),0)),0)</f>
        <v>2.94</v>
      </c>
      <c r="E6" s="13" t="n">
        <f aca="false">IF(Prüfungen!$B$4=0,(IFERROR(SUMIF(Nutzungsprofile!$B$17:$B$22,"Schulbetrieb",Nutzungsprofile!$G$17:$G$22)*Kalender!C6/SUM(Kalender!$C$5:$C$370),0)+IFERROR(SUMIF(Nutzungsprofile!$B$17:$B$22,"Halle",Nutzungsprofile!$G$17:$G$22)*Kalender!D6/SUM(Kalender!$D$5:$D$370),0)+IFERROR(SUMIF(Nutzungsprofile!$B$17:$B$22,"Individuell",Nutzungsprofile!$G$17:$G$22)*Kalender!E6/SUM(Kalender!$E$5:$E$370),0)),0)</f>
        <v>4.94</v>
      </c>
      <c r="F6" s="13" t="n">
        <f aca="false">IFERROR(MIN(D6,Eingaben!$B$17)*Eingaben!$B$16,0)</f>
        <v>2.793</v>
      </c>
      <c r="G6" s="13" t="n">
        <f aca="false">IFERROR(F6*Eingaben!$B$15,0)</f>
        <v>2.5137</v>
      </c>
      <c r="H6" s="13" t="n">
        <f aca="false">IFERROR(Q6*(1-Eingaben!$B$20),0)</f>
        <v>0.7390278</v>
      </c>
      <c r="I6" s="13" t="n">
        <f aca="false">MIN(H6,E6)</f>
        <v>0.7390278</v>
      </c>
      <c r="J6" s="13" t="n">
        <f aca="false">IFERROR(MIN(G6*Eingaben!$B$19,MAX(0,E6-I6)),0)</f>
        <v>1.75959</v>
      </c>
      <c r="K6" s="13" t="n">
        <f aca="false">IFERROR(MIN(Eingaben!$B$18,MAX(0,G6-J6)),0)</f>
        <v>0.75411</v>
      </c>
      <c r="L6" s="13" t="n">
        <f aca="false">I6+J6</f>
        <v>2.4986178</v>
      </c>
      <c r="M6" s="13" t="n">
        <f aca="false">MAX(0,E6-L6)</f>
        <v>2.4413822</v>
      </c>
      <c r="N6" s="13" t="n">
        <f aca="false">MAX(0,G6-J6-K6)</f>
        <v>0</v>
      </c>
      <c r="O6" s="13" t="n">
        <f aca="false">Q6-I6</f>
        <v>0.0150822</v>
      </c>
      <c r="P6" s="13" t="n">
        <f aca="false">G6+Q6-L6-N6-O6-K6</f>
        <v>0</v>
      </c>
      <c r="Q6" s="13" t="n">
        <f aca="false">IF(A6="",0,K5)</f>
        <v>0.75411</v>
      </c>
    </row>
    <row r="7" customFormat="false" ht="16.4" hidden="false" customHeight="false" outlineLevel="0" collapsed="false">
      <c r="A7" s="23" t="n">
        <f aca="false">Kalender!A7</f>
        <v>46025</v>
      </c>
      <c r="B7" s="13" t="n">
        <f aca="false">Kalender!C7</f>
        <v>0</v>
      </c>
      <c r="C7" s="13" t="n">
        <f aca="false">Kalender!D7</f>
        <v>1</v>
      </c>
      <c r="D7" s="13" t="n">
        <f aca="false">IF(Prüfungen!$B$4=0,(IFERROR(SUMIF(Nutzungsprofile!$B$6:$B$11,"Schulbetrieb",Nutzungsprofile!$G$6:$G$11)*Kalender!C7/SUM(Kalender!$C$5:$C$370),0)+IFERROR(SUMIF(Nutzungsprofile!$B$6:$B$11,"Halle",Nutzungsprofile!$G$6:$G$11)*Kalender!D7/SUM(Kalender!$D$5:$D$370),0)+IFERROR(SUMIF(Nutzungsprofile!$B$6:$B$11,"Individuell",Nutzungsprofile!$G$6:$G$11)*Kalender!E7/SUM(Kalender!$E$5:$E$370),0)),0)</f>
        <v>2.04</v>
      </c>
      <c r="E7" s="13" t="n">
        <f aca="false">IF(Prüfungen!$B$4=0,(IFERROR(SUMIF(Nutzungsprofile!$B$17:$B$22,"Schulbetrieb",Nutzungsprofile!$G$17:$G$22)*Kalender!C7/SUM(Kalender!$C$5:$C$370),0)+IFERROR(SUMIF(Nutzungsprofile!$B$17:$B$22,"Halle",Nutzungsprofile!$G$17:$G$22)*Kalender!D7/SUM(Kalender!$D$5:$D$370),0)+IFERROR(SUMIF(Nutzungsprofile!$B$17:$B$22,"Individuell",Nutzungsprofile!$G$17:$G$22)*Kalender!E7/SUM(Kalender!$E$5:$E$370),0)),0)</f>
        <v>0.89</v>
      </c>
      <c r="F7" s="13" t="n">
        <f aca="false">IFERROR(MIN(D7,Eingaben!$B$17)*Eingaben!$B$16,0)</f>
        <v>1.938</v>
      </c>
      <c r="G7" s="13" t="n">
        <f aca="false">IFERROR(F7*Eingaben!$B$15,0)</f>
        <v>1.7442</v>
      </c>
      <c r="H7" s="13" t="n">
        <f aca="false">IFERROR(Q7*(1-Eingaben!$B$20),0)</f>
        <v>0.7390278</v>
      </c>
      <c r="I7" s="13" t="n">
        <f aca="false">MIN(H7,E7)</f>
        <v>0.7390278</v>
      </c>
      <c r="J7" s="13" t="n">
        <f aca="false">IFERROR(MIN(G7*Eingaben!$B$19,MAX(0,E7-I7)),0)</f>
        <v>0.1509722</v>
      </c>
      <c r="K7" s="13" t="n">
        <f aca="false">IFERROR(MIN(Eingaben!$B$18,MAX(0,G7-J7)),0)</f>
        <v>1.5932278</v>
      </c>
      <c r="L7" s="13" t="n">
        <f aca="false">I7+J7</f>
        <v>0.89</v>
      </c>
      <c r="M7" s="13" t="n">
        <f aca="false">MAX(0,E7-L7)</f>
        <v>0</v>
      </c>
      <c r="N7" s="13" t="n">
        <f aca="false">MAX(0,G7-J7-K7)</f>
        <v>0</v>
      </c>
      <c r="O7" s="13" t="n">
        <f aca="false">Q7-I7</f>
        <v>0.0150822</v>
      </c>
      <c r="P7" s="13" t="n">
        <f aca="false">G7+Q7-L7-N7-O7-K7</f>
        <v>0</v>
      </c>
      <c r="Q7" s="13" t="n">
        <f aca="false">IF(A7="",0,K6)</f>
        <v>0.75411</v>
      </c>
    </row>
    <row r="8" customFormat="false" ht="16.4" hidden="false" customHeight="false" outlineLevel="0" collapsed="false">
      <c r="A8" s="23" t="n">
        <f aca="false">Kalender!A8</f>
        <v>46026</v>
      </c>
      <c r="B8" s="13" t="n">
        <f aca="false">Kalender!C8</f>
        <v>0</v>
      </c>
      <c r="C8" s="13" t="n">
        <f aca="false">Kalender!D8</f>
        <v>1</v>
      </c>
      <c r="D8" s="13" t="n">
        <f aca="false">IF(Prüfungen!$B$4=0,(IFERROR(SUMIF(Nutzungsprofile!$B$6:$B$11,"Schulbetrieb",Nutzungsprofile!$G$6:$G$11)*Kalender!C8/SUM(Kalender!$C$5:$C$370),0)+IFERROR(SUMIF(Nutzungsprofile!$B$6:$B$11,"Halle",Nutzungsprofile!$G$6:$G$11)*Kalender!D8/SUM(Kalender!$D$5:$D$370),0)+IFERROR(SUMIF(Nutzungsprofile!$B$6:$B$11,"Individuell",Nutzungsprofile!$G$6:$G$11)*Kalender!E8/SUM(Kalender!$E$5:$E$370),0)),0)</f>
        <v>2.04</v>
      </c>
      <c r="E8" s="13" t="n">
        <f aca="false">IF(Prüfungen!$B$4=0,(IFERROR(SUMIF(Nutzungsprofile!$B$17:$B$22,"Schulbetrieb",Nutzungsprofile!$G$17:$G$22)*Kalender!C8/SUM(Kalender!$C$5:$C$370),0)+IFERROR(SUMIF(Nutzungsprofile!$B$17:$B$22,"Halle",Nutzungsprofile!$G$17:$G$22)*Kalender!D8/SUM(Kalender!$D$5:$D$370),0)+IFERROR(SUMIF(Nutzungsprofile!$B$17:$B$22,"Individuell",Nutzungsprofile!$G$17:$G$22)*Kalender!E8/SUM(Kalender!$E$5:$E$370),0)),0)</f>
        <v>0.89</v>
      </c>
      <c r="F8" s="13" t="n">
        <f aca="false">IFERROR(MIN(D8,Eingaben!$B$17)*Eingaben!$B$16,0)</f>
        <v>1.938</v>
      </c>
      <c r="G8" s="13" t="n">
        <f aca="false">IFERROR(F8*Eingaben!$B$15,0)</f>
        <v>1.7442</v>
      </c>
      <c r="H8" s="13" t="n">
        <f aca="false">IFERROR(Q8*(1-Eingaben!$B$20),0)</f>
        <v>1.561363244</v>
      </c>
      <c r="I8" s="13" t="n">
        <f aca="false">MIN(H8,E8)</f>
        <v>0.89</v>
      </c>
      <c r="J8" s="13" t="n">
        <f aca="false">IFERROR(MIN(G8*Eingaben!$B$19,MAX(0,E8-I8)),0)</f>
        <v>0</v>
      </c>
      <c r="K8" s="13" t="n">
        <f aca="false">IFERROR(MIN(Eingaben!$B$18,MAX(0,G8-J8)),0)</f>
        <v>1.7442</v>
      </c>
      <c r="L8" s="13" t="n">
        <f aca="false">I8+J8</f>
        <v>0.89</v>
      </c>
      <c r="M8" s="13" t="n">
        <f aca="false">MAX(0,E8-L8)</f>
        <v>0</v>
      </c>
      <c r="N8" s="13" t="n">
        <f aca="false">MAX(0,G8-J8-K8)</f>
        <v>0</v>
      </c>
      <c r="O8" s="13" t="n">
        <f aca="false">Q8-I8</f>
        <v>0.7032278</v>
      </c>
      <c r="P8" s="13" t="n">
        <f aca="false">G8+Q8-L8-N8-O8-K8</f>
        <v>0</v>
      </c>
      <c r="Q8" s="13" t="n">
        <f aca="false">IF(A8="",0,K7)</f>
        <v>1.5932278</v>
      </c>
    </row>
    <row r="9" customFormat="false" ht="16.4" hidden="false" customHeight="false" outlineLevel="0" collapsed="false">
      <c r="A9" s="23" t="n">
        <f aca="false">Kalender!A9</f>
        <v>46027</v>
      </c>
      <c r="B9" s="13" t="n">
        <f aca="false">Kalender!C9</f>
        <v>1</v>
      </c>
      <c r="C9" s="13" t="n">
        <f aca="false">Kalender!D9</f>
        <v>1</v>
      </c>
      <c r="D9" s="13" t="n">
        <f aca="false">IF(Prüfungen!$B$4=0,(IFERROR(SUMIF(Nutzungsprofile!$B$6:$B$11,"Schulbetrieb",Nutzungsprofile!$G$6:$G$11)*Kalender!C9/SUM(Kalender!$C$5:$C$370),0)+IFERROR(SUMIF(Nutzungsprofile!$B$6:$B$11,"Halle",Nutzungsprofile!$G$6:$G$11)*Kalender!D9/SUM(Kalender!$D$5:$D$370),0)+IFERROR(SUMIF(Nutzungsprofile!$B$6:$B$11,"Individuell",Nutzungsprofile!$G$6:$G$11)*Kalender!E9/SUM(Kalender!$E$5:$E$370),0)),0)</f>
        <v>2.94</v>
      </c>
      <c r="E9" s="13" t="n">
        <f aca="false">IF(Prüfungen!$B$4=0,(IFERROR(SUMIF(Nutzungsprofile!$B$17:$B$22,"Schulbetrieb",Nutzungsprofile!$G$17:$G$22)*Kalender!C9/SUM(Kalender!$C$5:$C$370),0)+IFERROR(SUMIF(Nutzungsprofile!$B$17:$B$22,"Halle",Nutzungsprofile!$G$17:$G$22)*Kalender!D9/SUM(Kalender!$D$5:$D$370),0)+IFERROR(SUMIF(Nutzungsprofile!$B$17:$B$22,"Individuell",Nutzungsprofile!$G$17:$G$22)*Kalender!E9/SUM(Kalender!$E$5:$E$370),0)),0)</f>
        <v>4.94</v>
      </c>
      <c r="F9" s="13" t="n">
        <f aca="false">IFERROR(MIN(D9,Eingaben!$B$17)*Eingaben!$B$16,0)</f>
        <v>2.793</v>
      </c>
      <c r="G9" s="13" t="n">
        <f aca="false">IFERROR(F9*Eingaben!$B$15,0)</f>
        <v>2.5137</v>
      </c>
      <c r="H9" s="13" t="n">
        <f aca="false">IFERROR(Q9*(1-Eingaben!$B$20),0)</f>
        <v>1.709316</v>
      </c>
      <c r="I9" s="13" t="n">
        <f aca="false">MIN(H9,E9)</f>
        <v>1.709316</v>
      </c>
      <c r="J9" s="13" t="n">
        <f aca="false">IFERROR(MIN(G9*Eingaben!$B$19,MAX(0,E9-I9)),0)</f>
        <v>1.75959</v>
      </c>
      <c r="K9" s="13" t="n">
        <f aca="false">IFERROR(MIN(Eingaben!$B$18,MAX(0,G9-J9)),0)</f>
        <v>0.75411</v>
      </c>
      <c r="L9" s="13" t="n">
        <f aca="false">I9+J9</f>
        <v>3.468906</v>
      </c>
      <c r="M9" s="13" t="n">
        <f aca="false">MAX(0,E9-L9)</f>
        <v>1.471094</v>
      </c>
      <c r="N9" s="13" t="n">
        <f aca="false">MAX(0,G9-J9-K9)</f>
        <v>0</v>
      </c>
      <c r="O9" s="13" t="n">
        <f aca="false">Q9-I9</f>
        <v>0.0348840000000001</v>
      </c>
      <c r="P9" s="13" t="n">
        <f aca="false">G9+Q9-L9-N9-O9-K9</f>
        <v>0</v>
      </c>
      <c r="Q9" s="13" t="n">
        <f aca="false">IF(A9="",0,K8)</f>
        <v>1.7442</v>
      </c>
    </row>
    <row r="10" customFormat="false" ht="16.4" hidden="false" customHeight="false" outlineLevel="0" collapsed="false">
      <c r="A10" s="23" t="n">
        <f aca="false">Kalender!A10</f>
        <v>46028</v>
      </c>
      <c r="B10" s="13" t="n">
        <f aca="false">Kalender!C10</f>
        <v>1</v>
      </c>
      <c r="C10" s="13" t="n">
        <f aca="false">Kalender!D10</f>
        <v>1</v>
      </c>
      <c r="D10" s="13" t="n">
        <f aca="false">IF(Prüfungen!$B$4=0,(IFERROR(SUMIF(Nutzungsprofile!$B$6:$B$11,"Schulbetrieb",Nutzungsprofile!$G$6:$G$11)*Kalender!C10/SUM(Kalender!$C$5:$C$370),0)+IFERROR(SUMIF(Nutzungsprofile!$B$6:$B$11,"Halle",Nutzungsprofile!$G$6:$G$11)*Kalender!D10/SUM(Kalender!$D$5:$D$370),0)+IFERROR(SUMIF(Nutzungsprofile!$B$6:$B$11,"Individuell",Nutzungsprofile!$G$6:$G$11)*Kalender!E10/SUM(Kalender!$E$5:$E$370),0)),0)</f>
        <v>2.94</v>
      </c>
      <c r="E10" s="13" t="n">
        <f aca="false">IF(Prüfungen!$B$4=0,(IFERROR(SUMIF(Nutzungsprofile!$B$17:$B$22,"Schulbetrieb",Nutzungsprofile!$G$17:$G$22)*Kalender!C10/SUM(Kalender!$C$5:$C$370),0)+IFERROR(SUMIF(Nutzungsprofile!$B$17:$B$22,"Halle",Nutzungsprofile!$G$17:$G$22)*Kalender!D10/SUM(Kalender!$D$5:$D$370),0)+IFERROR(SUMIF(Nutzungsprofile!$B$17:$B$22,"Individuell",Nutzungsprofile!$G$17:$G$22)*Kalender!E10/SUM(Kalender!$E$5:$E$370),0)),0)</f>
        <v>4.94</v>
      </c>
      <c r="F10" s="13" t="n">
        <f aca="false">IFERROR(MIN(D10,Eingaben!$B$17)*Eingaben!$B$16,0)</f>
        <v>2.793</v>
      </c>
      <c r="G10" s="13" t="n">
        <f aca="false">IFERROR(F10*Eingaben!$B$15,0)</f>
        <v>2.5137</v>
      </c>
      <c r="H10" s="13" t="n">
        <f aca="false">IFERROR(Q10*(1-Eingaben!$B$20),0)</f>
        <v>0.7390278</v>
      </c>
      <c r="I10" s="13" t="n">
        <f aca="false">MIN(H10,E10)</f>
        <v>0.7390278</v>
      </c>
      <c r="J10" s="13" t="n">
        <f aca="false">IFERROR(MIN(G10*Eingaben!$B$19,MAX(0,E10-I10)),0)</f>
        <v>1.75959</v>
      </c>
      <c r="K10" s="13" t="n">
        <f aca="false">IFERROR(MIN(Eingaben!$B$18,MAX(0,G10-J10)),0)</f>
        <v>0.75411</v>
      </c>
      <c r="L10" s="13" t="n">
        <f aca="false">I10+J10</f>
        <v>2.4986178</v>
      </c>
      <c r="M10" s="13" t="n">
        <f aca="false">MAX(0,E10-L10)</f>
        <v>2.4413822</v>
      </c>
      <c r="N10" s="13" t="n">
        <f aca="false">MAX(0,G10-J10-K10)</f>
        <v>0</v>
      </c>
      <c r="O10" s="13" t="n">
        <f aca="false">Q10-I10</f>
        <v>0.0150822</v>
      </c>
      <c r="P10" s="13" t="n">
        <f aca="false">G10+Q10-L10-N10-O10-K10</f>
        <v>0</v>
      </c>
      <c r="Q10" s="13" t="n">
        <f aca="false">IF(A10="",0,K9)</f>
        <v>0.75411</v>
      </c>
    </row>
    <row r="11" customFormat="false" ht="16.4" hidden="false" customHeight="false" outlineLevel="0" collapsed="false">
      <c r="A11" s="23" t="n">
        <f aca="false">Kalender!A11</f>
        <v>46029</v>
      </c>
      <c r="B11" s="13" t="n">
        <f aca="false">Kalender!C11</f>
        <v>1</v>
      </c>
      <c r="C11" s="13" t="n">
        <f aca="false">Kalender!D11</f>
        <v>1</v>
      </c>
      <c r="D11" s="13" t="n">
        <f aca="false">IF(Prüfungen!$B$4=0,(IFERROR(SUMIF(Nutzungsprofile!$B$6:$B$11,"Schulbetrieb",Nutzungsprofile!$G$6:$G$11)*Kalender!C11/SUM(Kalender!$C$5:$C$370),0)+IFERROR(SUMIF(Nutzungsprofile!$B$6:$B$11,"Halle",Nutzungsprofile!$G$6:$G$11)*Kalender!D11/SUM(Kalender!$D$5:$D$370),0)+IFERROR(SUMIF(Nutzungsprofile!$B$6:$B$11,"Individuell",Nutzungsprofile!$G$6:$G$11)*Kalender!E11/SUM(Kalender!$E$5:$E$370),0)),0)</f>
        <v>2.94</v>
      </c>
      <c r="E11" s="13" t="n">
        <f aca="false">IF(Prüfungen!$B$4=0,(IFERROR(SUMIF(Nutzungsprofile!$B$17:$B$22,"Schulbetrieb",Nutzungsprofile!$G$17:$G$22)*Kalender!C11/SUM(Kalender!$C$5:$C$370),0)+IFERROR(SUMIF(Nutzungsprofile!$B$17:$B$22,"Halle",Nutzungsprofile!$G$17:$G$22)*Kalender!D11/SUM(Kalender!$D$5:$D$370),0)+IFERROR(SUMIF(Nutzungsprofile!$B$17:$B$22,"Individuell",Nutzungsprofile!$G$17:$G$22)*Kalender!E11/SUM(Kalender!$E$5:$E$370),0)),0)</f>
        <v>4.94</v>
      </c>
      <c r="F11" s="13" t="n">
        <f aca="false">IFERROR(MIN(D11,Eingaben!$B$17)*Eingaben!$B$16,0)</f>
        <v>2.793</v>
      </c>
      <c r="G11" s="13" t="n">
        <f aca="false">IFERROR(F11*Eingaben!$B$15,0)</f>
        <v>2.5137</v>
      </c>
      <c r="H11" s="13" t="n">
        <f aca="false">IFERROR(Q11*(1-Eingaben!$B$20),0)</f>
        <v>0.7390278</v>
      </c>
      <c r="I11" s="13" t="n">
        <f aca="false">MIN(H11,E11)</f>
        <v>0.7390278</v>
      </c>
      <c r="J11" s="13" t="n">
        <f aca="false">IFERROR(MIN(G11*Eingaben!$B$19,MAX(0,E11-I11)),0)</f>
        <v>1.75959</v>
      </c>
      <c r="K11" s="13" t="n">
        <f aca="false">IFERROR(MIN(Eingaben!$B$18,MAX(0,G11-J11)),0)</f>
        <v>0.75411</v>
      </c>
      <c r="L11" s="13" t="n">
        <f aca="false">I11+J11</f>
        <v>2.4986178</v>
      </c>
      <c r="M11" s="13" t="n">
        <f aca="false">MAX(0,E11-L11)</f>
        <v>2.4413822</v>
      </c>
      <c r="N11" s="13" t="n">
        <f aca="false">MAX(0,G11-J11-K11)</f>
        <v>0</v>
      </c>
      <c r="O11" s="13" t="n">
        <f aca="false">Q11-I11</f>
        <v>0.0150822</v>
      </c>
      <c r="P11" s="13" t="n">
        <f aca="false">G11+Q11-L11-N11-O11-K11</f>
        <v>0</v>
      </c>
      <c r="Q11" s="13" t="n">
        <f aca="false">IF(A11="",0,K10)</f>
        <v>0.75411</v>
      </c>
    </row>
    <row r="12" customFormat="false" ht="16.4" hidden="false" customHeight="false" outlineLevel="0" collapsed="false">
      <c r="A12" s="23" t="n">
        <f aca="false">Kalender!A12</f>
        <v>46030</v>
      </c>
      <c r="B12" s="13" t="n">
        <f aca="false">Kalender!C12</f>
        <v>1</v>
      </c>
      <c r="C12" s="13" t="n">
        <f aca="false">Kalender!D12</f>
        <v>1</v>
      </c>
      <c r="D12" s="13" t="n">
        <f aca="false">IF(Prüfungen!$B$4=0,(IFERROR(SUMIF(Nutzungsprofile!$B$6:$B$11,"Schulbetrieb",Nutzungsprofile!$G$6:$G$11)*Kalender!C12/SUM(Kalender!$C$5:$C$370),0)+IFERROR(SUMIF(Nutzungsprofile!$B$6:$B$11,"Halle",Nutzungsprofile!$G$6:$G$11)*Kalender!D12/SUM(Kalender!$D$5:$D$370),0)+IFERROR(SUMIF(Nutzungsprofile!$B$6:$B$11,"Individuell",Nutzungsprofile!$G$6:$G$11)*Kalender!E12/SUM(Kalender!$E$5:$E$370),0)),0)</f>
        <v>2.94</v>
      </c>
      <c r="E12" s="13" t="n">
        <f aca="false">IF(Prüfungen!$B$4=0,(IFERROR(SUMIF(Nutzungsprofile!$B$17:$B$22,"Schulbetrieb",Nutzungsprofile!$G$17:$G$22)*Kalender!C12/SUM(Kalender!$C$5:$C$370),0)+IFERROR(SUMIF(Nutzungsprofile!$B$17:$B$22,"Halle",Nutzungsprofile!$G$17:$G$22)*Kalender!D12/SUM(Kalender!$D$5:$D$370),0)+IFERROR(SUMIF(Nutzungsprofile!$B$17:$B$22,"Individuell",Nutzungsprofile!$G$17:$G$22)*Kalender!E12/SUM(Kalender!$E$5:$E$370),0)),0)</f>
        <v>4.94</v>
      </c>
      <c r="F12" s="13" t="n">
        <f aca="false">IFERROR(MIN(D12,Eingaben!$B$17)*Eingaben!$B$16,0)</f>
        <v>2.793</v>
      </c>
      <c r="G12" s="13" t="n">
        <f aca="false">IFERROR(F12*Eingaben!$B$15,0)</f>
        <v>2.5137</v>
      </c>
      <c r="H12" s="13" t="n">
        <f aca="false">IFERROR(Q12*(1-Eingaben!$B$20),0)</f>
        <v>0.7390278</v>
      </c>
      <c r="I12" s="13" t="n">
        <f aca="false">MIN(H12,E12)</f>
        <v>0.7390278</v>
      </c>
      <c r="J12" s="13" t="n">
        <f aca="false">IFERROR(MIN(G12*Eingaben!$B$19,MAX(0,E12-I12)),0)</f>
        <v>1.75959</v>
      </c>
      <c r="K12" s="13" t="n">
        <f aca="false">IFERROR(MIN(Eingaben!$B$18,MAX(0,G12-J12)),0)</f>
        <v>0.75411</v>
      </c>
      <c r="L12" s="13" t="n">
        <f aca="false">I12+J12</f>
        <v>2.4986178</v>
      </c>
      <c r="M12" s="13" t="n">
        <f aca="false">MAX(0,E12-L12)</f>
        <v>2.4413822</v>
      </c>
      <c r="N12" s="13" t="n">
        <f aca="false">MAX(0,G12-J12-K12)</f>
        <v>0</v>
      </c>
      <c r="O12" s="13" t="n">
        <f aca="false">Q12-I12</f>
        <v>0.0150822</v>
      </c>
      <c r="P12" s="13" t="n">
        <f aca="false">G12+Q12-L12-N12-O12-K12</f>
        <v>0</v>
      </c>
      <c r="Q12" s="13" t="n">
        <f aca="false">IF(A12="",0,K11)</f>
        <v>0.75411</v>
      </c>
    </row>
    <row r="13" customFormat="false" ht="16.4" hidden="false" customHeight="false" outlineLevel="0" collapsed="false">
      <c r="A13" s="23" t="n">
        <f aca="false">Kalender!A13</f>
        <v>46031</v>
      </c>
      <c r="B13" s="13" t="n">
        <f aca="false">Kalender!C13</f>
        <v>1</v>
      </c>
      <c r="C13" s="13" t="n">
        <f aca="false">Kalender!D13</f>
        <v>1</v>
      </c>
      <c r="D13" s="13" t="n">
        <f aca="false">IF(Prüfungen!$B$4=0,(IFERROR(SUMIF(Nutzungsprofile!$B$6:$B$11,"Schulbetrieb",Nutzungsprofile!$G$6:$G$11)*Kalender!C13/SUM(Kalender!$C$5:$C$370),0)+IFERROR(SUMIF(Nutzungsprofile!$B$6:$B$11,"Halle",Nutzungsprofile!$G$6:$G$11)*Kalender!D13/SUM(Kalender!$D$5:$D$370),0)+IFERROR(SUMIF(Nutzungsprofile!$B$6:$B$11,"Individuell",Nutzungsprofile!$G$6:$G$11)*Kalender!E13/SUM(Kalender!$E$5:$E$370),0)),0)</f>
        <v>2.94</v>
      </c>
      <c r="E13" s="13" t="n">
        <f aca="false">IF(Prüfungen!$B$4=0,(IFERROR(SUMIF(Nutzungsprofile!$B$17:$B$22,"Schulbetrieb",Nutzungsprofile!$G$17:$G$22)*Kalender!C13/SUM(Kalender!$C$5:$C$370),0)+IFERROR(SUMIF(Nutzungsprofile!$B$17:$B$22,"Halle",Nutzungsprofile!$G$17:$G$22)*Kalender!D13/SUM(Kalender!$D$5:$D$370),0)+IFERROR(SUMIF(Nutzungsprofile!$B$17:$B$22,"Individuell",Nutzungsprofile!$G$17:$G$22)*Kalender!E13/SUM(Kalender!$E$5:$E$370),0)),0)</f>
        <v>4.94</v>
      </c>
      <c r="F13" s="13" t="n">
        <f aca="false">IFERROR(MIN(D13,Eingaben!$B$17)*Eingaben!$B$16,0)</f>
        <v>2.793</v>
      </c>
      <c r="G13" s="13" t="n">
        <f aca="false">IFERROR(F13*Eingaben!$B$15,0)</f>
        <v>2.5137</v>
      </c>
      <c r="H13" s="13" t="n">
        <f aca="false">IFERROR(Q13*(1-Eingaben!$B$20),0)</f>
        <v>0.7390278</v>
      </c>
      <c r="I13" s="13" t="n">
        <f aca="false">MIN(H13,E13)</f>
        <v>0.7390278</v>
      </c>
      <c r="J13" s="13" t="n">
        <f aca="false">IFERROR(MIN(G13*Eingaben!$B$19,MAX(0,E13-I13)),0)</f>
        <v>1.75959</v>
      </c>
      <c r="K13" s="13" t="n">
        <f aca="false">IFERROR(MIN(Eingaben!$B$18,MAX(0,G13-J13)),0)</f>
        <v>0.75411</v>
      </c>
      <c r="L13" s="13" t="n">
        <f aca="false">I13+J13</f>
        <v>2.4986178</v>
      </c>
      <c r="M13" s="13" t="n">
        <f aca="false">MAX(0,E13-L13)</f>
        <v>2.4413822</v>
      </c>
      <c r="N13" s="13" t="n">
        <f aca="false">MAX(0,G13-J13-K13)</f>
        <v>0</v>
      </c>
      <c r="O13" s="13" t="n">
        <f aca="false">Q13-I13</f>
        <v>0.0150822</v>
      </c>
      <c r="P13" s="13" t="n">
        <f aca="false">G13+Q13-L13-N13-O13-K13</f>
        <v>0</v>
      </c>
      <c r="Q13" s="13" t="n">
        <f aca="false">IF(A13="",0,K12)</f>
        <v>0.75411</v>
      </c>
    </row>
    <row r="14" customFormat="false" ht="16.4" hidden="false" customHeight="false" outlineLevel="0" collapsed="false">
      <c r="A14" s="23" t="n">
        <f aca="false">Kalender!A14</f>
        <v>46032</v>
      </c>
      <c r="B14" s="13" t="n">
        <f aca="false">Kalender!C14</f>
        <v>0</v>
      </c>
      <c r="C14" s="13" t="n">
        <f aca="false">Kalender!D14</f>
        <v>1</v>
      </c>
      <c r="D14" s="13" t="n">
        <f aca="false">IF(Prüfungen!$B$4=0,(IFERROR(SUMIF(Nutzungsprofile!$B$6:$B$11,"Schulbetrieb",Nutzungsprofile!$G$6:$G$11)*Kalender!C14/SUM(Kalender!$C$5:$C$370),0)+IFERROR(SUMIF(Nutzungsprofile!$B$6:$B$11,"Halle",Nutzungsprofile!$G$6:$G$11)*Kalender!D14/SUM(Kalender!$D$5:$D$370),0)+IFERROR(SUMIF(Nutzungsprofile!$B$6:$B$11,"Individuell",Nutzungsprofile!$G$6:$G$11)*Kalender!E14/SUM(Kalender!$E$5:$E$370),0)),0)</f>
        <v>2.04</v>
      </c>
      <c r="E14" s="13" t="n">
        <f aca="false">IF(Prüfungen!$B$4=0,(IFERROR(SUMIF(Nutzungsprofile!$B$17:$B$22,"Schulbetrieb",Nutzungsprofile!$G$17:$G$22)*Kalender!C14/SUM(Kalender!$C$5:$C$370),0)+IFERROR(SUMIF(Nutzungsprofile!$B$17:$B$22,"Halle",Nutzungsprofile!$G$17:$G$22)*Kalender!D14/SUM(Kalender!$D$5:$D$370),0)+IFERROR(SUMIF(Nutzungsprofile!$B$17:$B$22,"Individuell",Nutzungsprofile!$G$17:$G$22)*Kalender!E14/SUM(Kalender!$E$5:$E$370),0)),0)</f>
        <v>0.89</v>
      </c>
      <c r="F14" s="13" t="n">
        <f aca="false">IFERROR(MIN(D14,Eingaben!$B$17)*Eingaben!$B$16,0)</f>
        <v>1.938</v>
      </c>
      <c r="G14" s="13" t="n">
        <f aca="false">IFERROR(F14*Eingaben!$B$15,0)</f>
        <v>1.7442</v>
      </c>
      <c r="H14" s="13" t="n">
        <f aca="false">IFERROR(Q14*(1-Eingaben!$B$20),0)</f>
        <v>0.7390278</v>
      </c>
      <c r="I14" s="13" t="n">
        <f aca="false">MIN(H14,E14)</f>
        <v>0.7390278</v>
      </c>
      <c r="J14" s="13" t="n">
        <f aca="false">IFERROR(MIN(G14*Eingaben!$B$19,MAX(0,E14-I14)),0)</f>
        <v>0.1509722</v>
      </c>
      <c r="K14" s="13" t="n">
        <f aca="false">IFERROR(MIN(Eingaben!$B$18,MAX(0,G14-J14)),0)</f>
        <v>1.5932278</v>
      </c>
      <c r="L14" s="13" t="n">
        <f aca="false">I14+J14</f>
        <v>0.89</v>
      </c>
      <c r="M14" s="13" t="n">
        <f aca="false">MAX(0,E14-L14)</f>
        <v>0</v>
      </c>
      <c r="N14" s="13" t="n">
        <f aca="false">MAX(0,G14-J14-K14)</f>
        <v>0</v>
      </c>
      <c r="O14" s="13" t="n">
        <f aca="false">Q14-I14</f>
        <v>0.0150822</v>
      </c>
      <c r="P14" s="13" t="n">
        <f aca="false">G14+Q14-L14-N14-O14-K14</f>
        <v>0</v>
      </c>
      <c r="Q14" s="13" t="n">
        <f aca="false">IF(A14="",0,K13)</f>
        <v>0.75411</v>
      </c>
    </row>
    <row r="15" customFormat="false" ht="16.4" hidden="false" customHeight="false" outlineLevel="0" collapsed="false">
      <c r="A15" s="23" t="n">
        <f aca="false">Kalender!A15</f>
        <v>46033</v>
      </c>
      <c r="B15" s="13" t="n">
        <f aca="false">Kalender!C15</f>
        <v>0</v>
      </c>
      <c r="C15" s="13" t="n">
        <f aca="false">Kalender!D15</f>
        <v>1</v>
      </c>
      <c r="D15" s="13" t="n">
        <f aca="false">IF(Prüfungen!$B$4=0,(IFERROR(SUMIF(Nutzungsprofile!$B$6:$B$11,"Schulbetrieb",Nutzungsprofile!$G$6:$G$11)*Kalender!C15/SUM(Kalender!$C$5:$C$370),0)+IFERROR(SUMIF(Nutzungsprofile!$B$6:$B$11,"Halle",Nutzungsprofile!$G$6:$G$11)*Kalender!D15/SUM(Kalender!$D$5:$D$370),0)+IFERROR(SUMIF(Nutzungsprofile!$B$6:$B$11,"Individuell",Nutzungsprofile!$G$6:$G$11)*Kalender!E15/SUM(Kalender!$E$5:$E$370),0)),0)</f>
        <v>2.04</v>
      </c>
      <c r="E15" s="13" t="n">
        <f aca="false">IF(Prüfungen!$B$4=0,(IFERROR(SUMIF(Nutzungsprofile!$B$17:$B$22,"Schulbetrieb",Nutzungsprofile!$G$17:$G$22)*Kalender!C15/SUM(Kalender!$C$5:$C$370),0)+IFERROR(SUMIF(Nutzungsprofile!$B$17:$B$22,"Halle",Nutzungsprofile!$G$17:$G$22)*Kalender!D15/SUM(Kalender!$D$5:$D$370),0)+IFERROR(SUMIF(Nutzungsprofile!$B$17:$B$22,"Individuell",Nutzungsprofile!$G$17:$G$22)*Kalender!E15/SUM(Kalender!$E$5:$E$370),0)),0)</f>
        <v>0.89</v>
      </c>
      <c r="F15" s="13" t="n">
        <f aca="false">IFERROR(MIN(D15,Eingaben!$B$17)*Eingaben!$B$16,0)</f>
        <v>1.938</v>
      </c>
      <c r="G15" s="13" t="n">
        <f aca="false">IFERROR(F15*Eingaben!$B$15,0)</f>
        <v>1.7442</v>
      </c>
      <c r="H15" s="13" t="n">
        <f aca="false">IFERROR(Q15*(1-Eingaben!$B$20),0)</f>
        <v>1.561363244</v>
      </c>
      <c r="I15" s="13" t="n">
        <f aca="false">MIN(H15,E15)</f>
        <v>0.89</v>
      </c>
      <c r="J15" s="13" t="n">
        <f aca="false">IFERROR(MIN(G15*Eingaben!$B$19,MAX(0,E15-I15)),0)</f>
        <v>0</v>
      </c>
      <c r="K15" s="13" t="n">
        <f aca="false">IFERROR(MIN(Eingaben!$B$18,MAX(0,G15-J15)),0)</f>
        <v>1.7442</v>
      </c>
      <c r="L15" s="13" t="n">
        <f aca="false">I15+J15</f>
        <v>0.89</v>
      </c>
      <c r="M15" s="13" t="n">
        <f aca="false">MAX(0,E15-L15)</f>
        <v>0</v>
      </c>
      <c r="N15" s="13" t="n">
        <f aca="false">MAX(0,G15-J15-K15)</f>
        <v>0</v>
      </c>
      <c r="O15" s="13" t="n">
        <f aca="false">Q15-I15</f>
        <v>0.7032278</v>
      </c>
      <c r="P15" s="13" t="n">
        <f aca="false">G15+Q15-L15-N15-O15-K15</f>
        <v>0</v>
      </c>
      <c r="Q15" s="13" t="n">
        <f aca="false">IF(A15="",0,K14)</f>
        <v>1.5932278</v>
      </c>
    </row>
    <row r="16" customFormat="false" ht="16.4" hidden="false" customHeight="false" outlineLevel="0" collapsed="false">
      <c r="A16" s="23" t="n">
        <f aca="false">Kalender!A16</f>
        <v>46034</v>
      </c>
      <c r="B16" s="13" t="n">
        <f aca="false">Kalender!C16</f>
        <v>1</v>
      </c>
      <c r="C16" s="13" t="n">
        <f aca="false">Kalender!D16</f>
        <v>1</v>
      </c>
      <c r="D16" s="13" t="n">
        <f aca="false">IF(Prüfungen!$B$4=0,(IFERROR(SUMIF(Nutzungsprofile!$B$6:$B$11,"Schulbetrieb",Nutzungsprofile!$G$6:$G$11)*Kalender!C16/SUM(Kalender!$C$5:$C$370),0)+IFERROR(SUMIF(Nutzungsprofile!$B$6:$B$11,"Halle",Nutzungsprofile!$G$6:$G$11)*Kalender!D16/SUM(Kalender!$D$5:$D$370),0)+IFERROR(SUMIF(Nutzungsprofile!$B$6:$B$11,"Individuell",Nutzungsprofile!$G$6:$G$11)*Kalender!E16/SUM(Kalender!$E$5:$E$370),0)),0)</f>
        <v>2.94</v>
      </c>
      <c r="E16" s="13" t="n">
        <f aca="false">IF(Prüfungen!$B$4=0,(IFERROR(SUMIF(Nutzungsprofile!$B$17:$B$22,"Schulbetrieb",Nutzungsprofile!$G$17:$G$22)*Kalender!C16/SUM(Kalender!$C$5:$C$370),0)+IFERROR(SUMIF(Nutzungsprofile!$B$17:$B$22,"Halle",Nutzungsprofile!$G$17:$G$22)*Kalender!D16/SUM(Kalender!$D$5:$D$370),0)+IFERROR(SUMIF(Nutzungsprofile!$B$17:$B$22,"Individuell",Nutzungsprofile!$G$17:$G$22)*Kalender!E16/SUM(Kalender!$E$5:$E$370),0)),0)</f>
        <v>4.94</v>
      </c>
      <c r="F16" s="13" t="n">
        <f aca="false">IFERROR(MIN(D16,Eingaben!$B$17)*Eingaben!$B$16,0)</f>
        <v>2.793</v>
      </c>
      <c r="G16" s="13" t="n">
        <f aca="false">IFERROR(F16*Eingaben!$B$15,0)</f>
        <v>2.5137</v>
      </c>
      <c r="H16" s="13" t="n">
        <f aca="false">IFERROR(Q16*(1-Eingaben!$B$20),0)</f>
        <v>1.709316</v>
      </c>
      <c r="I16" s="13" t="n">
        <f aca="false">MIN(H16,E16)</f>
        <v>1.709316</v>
      </c>
      <c r="J16" s="13" t="n">
        <f aca="false">IFERROR(MIN(G16*Eingaben!$B$19,MAX(0,E16-I16)),0)</f>
        <v>1.75959</v>
      </c>
      <c r="K16" s="13" t="n">
        <f aca="false">IFERROR(MIN(Eingaben!$B$18,MAX(0,G16-J16)),0)</f>
        <v>0.75411</v>
      </c>
      <c r="L16" s="13" t="n">
        <f aca="false">I16+J16</f>
        <v>3.468906</v>
      </c>
      <c r="M16" s="13" t="n">
        <f aca="false">MAX(0,E16-L16)</f>
        <v>1.471094</v>
      </c>
      <c r="N16" s="13" t="n">
        <f aca="false">MAX(0,G16-J16-K16)</f>
        <v>0</v>
      </c>
      <c r="O16" s="13" t="n">
        <f aca="false">Q16-I16</f>
        <v>0.0348840000000001</v>
      </c>
      <c r="P16" s="13" t="n">
        <f aca="false">G16+Q16-L16-N16-O16-K16</f>
        <v>0</v>
      </c>
      <c r="Q16" s="13" t="n">
        <f aca="false">IF(A16="",0,K15)</f>
        <v>1.7442</v>
      </c>
    </row>
    <row r="17" customFormat="false" ht="16.4" hidden="false" customHeight="false" outlineLevel="0" collapsed="false">
      <c r="A17" s="23" t="n">
        <f aca="false">Kalender!A17</f>
        <v>46035</v>
      </c>
      <c r="B17" s="13" t="n">
        <f aca="false">Kalender!C17</f>
        <v>1</v>
      </c>
      <c r="C17" s="13" t="n">
        <f aca="false">Kalender!D17</f>
        <v>1</v>
      </c>
      <c r="D17" s="13" t="n">
        <f aca="false">IF(Prüfungen!$B$4=0,(IFERROR(SUMIF(Nutzungsprofile!$B$6:$B$11,"Schulbetrieb",Nutzungsprofile!$G$6:$G$11)*Kalender!C17/SUM(Kalender!$C$5:$C$370),0)+IFERROR(SUMIF(Nutzungsprofile!$B$6:$B$11,"Halle",Nutzungsprofile!$G$6:$G$11)*Kalender!D17/SUM(Kalender!$D$5:$D$370),0)+IFERROR(SUMIF(Nutzungsprofile!$B$6:$B$11,"Individuell",Nutzungsprofile!$G$6:$G$11)*Kalender!E17/SUM(Kalender!$E$5:$E$370),0)),0)</f>
        <v>2.94</v>
      </c>
      <c r="E17" s="13" t="n">
        <f aca="false">IF(Prüfungen!$B$4=0,(IFERROR(SUMIF(Nutzungsprofile!$B$17:$B$22,"Schulbetrieb",Nutzungsprofile!$G$17:$G$22)*Kalender!C17/SUM(Kalender!$C$5:$C$370),0)+IFERROR(SUMIF(Nutzungsprofile!$B$17:$B$22,"Halle",Nutzungsprofile!$G$17:$G$22)*Kalender!D17/SUM(Kalender!$D$5:$D$370),0)+IFERROR(SUMIF(Nutzungsprofile!$B$17:$B$22,"Individuell",Nutzungsprofile!$G$17:$G$22)*Kalender!E17/SUM(Kalender!$E$5:$E$370),0)),0)</f>
        <v>4.94</v>
      </c>
      <c r="F17" s="13" t="n">
        <f aca="false">IFERROR(MIN(D17,Eingaben!$B$17)*Eingaben!$B$16,0)</f>
        <v>2.793</v>
      </c>
      <c r="G17" s="13" t="n">
        <f aca="false">IFERROR(F17*Eingaben!$B$15,0)</f>
        <v>2.5137</v>
      </c>
      <c r="H17" s="13" t="n">
        <f aca="false">IFERROR(Q17*(1-Eingaben!$B$20),0)</f>
        <v>0.7390278</v>
      </c>
      <c r="I17" s="13" t="n">
        <f aca="false">MIN(H17,E17)</f>
        <v>0.7390278</v>
      </c>
      <c r="J17" s="13" t="n">
        <f aca="false">IFERROR(MIN(G17*Eingaben!$B$19,MAX(0,E17-I17)),0)</f>
        <v>1.75959</v>
      </c>
      <c r="K17" s="13" t="n">
        <f aca="false">IFERROR(MIN(Eingaben!$B$18,MAX(0,G17-J17)),0)</f>
        <v>0.75411</v>
      </c>
      <c r="L17" s="13" t="n">
        <f aca="false">I17+J17</f>
        <v>2.4986178</v>
      </c>
      <c r="M17" s="13" t="n">
        <f aca="false">MAX(0,E17-L17)</f>
        <v>2.4413822</v>
      </c>
      <c r="N17" s="13" t="n">
        <f aca="false">MAX(0,G17-J17-K17)</f>
        <v>0</v>
      </c>
      <c r="O17" s="13" t="n">
        <f aca="false">Q17-I17</f>
        <v>0.0150822</v>
      </c>
      <c r="P17" s="13" t="n">
        <f aca="false">G17+Q17-L17-N17-O17-K17</f>
        <v>0</v>
      </c>
      <c r="Q17" s="13" t="n">
        <f aca="false">IF(A17="",0,K16)</f>
        <v>0.75411</v>
      </c>
    </row>
    <row r="18" customFormat="false" ht="16.4" hidden="false" customHeight="false" outlineLevel="0" collapsed="false">
      <c r="A18" s="23" t="n">
        <f aca="false">Kalender!A18</f>
        <v>46036</v>
      </c>
      <c r="B18" s="13" t="n">
        <f aca="false">Kalender!C18</f>
        <v>1</v>
      </c>
      <c r="C18" s="13" t="n">
        <f aca="false">Kalender!D18</f>
        <v>1</v>
      </c>
      <c r="D18" s="13" t="n">
        <f aca="false">IF(Prüfungen!$B$4=0,(IFERROR(SUMIF(Nutzungsprofile!$B$6:$B$11,"Schulbetrieb",Nutzungsprofile!$G$6:$G$11)*Kalender!C18/SUM(Kalender!$C$5:$C$370),0)+IFERROR(SUMIF(Nutzungsprofile!$B$6:$B$11,"Halle",Nutzungsprofile!$G$6:$G$11)*Kalender!D18/SUM(Kalender!$D$5:$D$370),0)+IFERROR(SUMIF(Nutzungsprofile!$B$6:$B$11,"Individuell",Nutzungsprofile!$G$6:$G$11)*Kalender!E18/SUM(Kalender!$E$5:$E$370),0)),0)</f>
        <v>2.94</v>
      </c>
      <c r="E18" s="13" t="n">
        <f aca="false">IF(Prüfungen!$B$4=0,(IFERROR(SUMIF(Nutzungsprofile!$B$17:$B$22,"Schulbetrieb",Nutzungsprofile!$G$17:$G$22)*Kalender!C18/SUM(Kalender!$C$5:$C$370),0)+IFERROR(SUMIF(Nutzungsprofile!$B$17:$B$22,"Halle",Nutzungsprofile!$G$17:$G$22)*Kalender!D18/SUM(Kalender!$D$5:$D$370),0)+IFERROR(SUMIF(Nutzungsprofile!$B$17:$B$22,"Individuell",Nutzungsprofile!$G$17:$G$22)*Kalender!E18/SUM(Kalender!$E$5:$E$370),0)),0)</f>
        <v>4.94</v>
      </c>
      <c r="F18" s="13" t="n">
        <f aca="false">IFERROR(MIN(D18,Eingaben!$B$17)*Eingaben!$B$16,0)</f>
        <v>2.793</v>
      </c>
      <c r="G18" s="13" t="n">
        <f aca="false">IFERROR(F18*Eingaben!$B$15,0)</f>
        <v>2.5137</v>
      </c>
      <c r="H18" s="13" t="n">
        <f aca="false">IFERROR(Q18*(1-Eingaben!$B$20),0)</f>
        <v>0.7390278</v>
      </c>
      <c r="I18" s="13" t="n">
        <f aca="false">MIN(H18,E18)</f>
        <v>0.7390278</v>
      </c>
      <c r="J18" s="13" t="n">
        <f aca="false">IFERROR(MIN(G18*Eingaben!$B$19,MAX(0,E18-I18)),0)</f>
        <v>1.75959</v>
      </c>
      <c r="K18" s="13" t="n">
        <f aca="false">IFERROR(MIN(Eingaben!$B$18,MAX(0,G18-J18)),0)</f>
        <v>0.75411</v>
      </c>
      <c r="L18" s="13" t="n">
        <f aca="false">I18+J18</f>
        <v>2.4986178</v>
      </c>
      <c r="M18" s="13" t="n">
        <f aca="false">MAX(0,E18-L18)</f>
        <v>2.4413822</v>
      </c>
      <c r="N18" s="13" t="n">
        <f aca="false">MAX(0,G18-J18-K18)</f>
        <v>0</v>
      </c>
      <c r="O18" s="13" t="n">
        <f aca="false">Q18-I18</f>
        <v>0.0150822</v>
      </c>
      <c r="P18" s="13" t="n">
        <f aca="false">G18+Q18-L18-N18-O18-K18</f>
        <v>0</v>
      </c>
      <c r="Q18" s="13" t="n">
        <f aca="false">IF(A18="",0,K17)</f>
        <v>0.75411</v>
      </c>
    </row>
    <row r="19" customFormat="false" ht="16.4" hidden="false" customHeight="false" outlineLevel="0" collapsed="false">
      <c r="A19" s="23" t="n">
        <f aca="false">Kalender!A19</f>
        <v>46037</v>
      </c>
      <c r="B19" s="13" t="n">
        <f aca="false">Kalender!C19</f>
        <v>1</v>
      </c>
      <c r="C19" s="13" t="n">
        <f aca="false">Kalender!D19</f>
        <v>1</v>
      </c>
      <c r="D19" s="13" t="n">
        <f aca="false">IF(Prüfungen!$B$4=0,(IFERROR(SUMIF(Nutzungsprofile!$B$6:$B$11,"Schulbetrieb",Nutzungsprofile!$G$6:$G$11)*Kalender!C19/SUM(Kalender!$C$5:$C$370),0)+IFERROR(SUMIF(Nutzungsprofile!$B$6:$B$11,"Halle",Nutzungsprofile!$G$6:$G$11)*Kalender!D19/SUM(Kalender!$D$5:$D$370),0)+IFERROR(SUMIF(Nutzungsprofile!$B$6:$B$11,"Individuell",Nutzungsprofile!$G$6:$G$11)*Kalender!E19/SUM(Kalender!$E$5:$E$370),0)),0)</f>
        <v>2.94</v>
      </c>
      <c r="E19" s="13" t="n">
        <f aca="false">IF(Prüfungen!$B$4=0,(IFERROR(SUMIF(Nutzungsprofile!$B$17:$B$22,"Schulbetrieb",Nutzungsprofile!$G$17:$G$22)*Kalender!C19/SUM(Kalender!$C$5:$C$370),0)+IFERROR(SUMIF(Nutzungsprofile!$B$17:$B$22,"Halle",Nutzungsprofile!$G$17:$G$22)*Kalender!D19/SUM(Kalender!$D$5:$D$370),0)+IFERROR(SUMIF(Nutzungsprofile!$B$17:$B$22,"Individuell",Nutzungsprofile!$G$17:$G$22)*Kalender!E19/SUM(Kalender!$E$5:$E$370),0)),0)</f>
        <v>4.94</v>
      </c>
      <c r="F19" s="13" t="n">
        <f aca="false">IFERROR(MIN(D19,Eingaben!$B$17)*Eingaben!$B$16,0)</f>
        <v>2.793</v>
      </c>
      <c r="G19" s="13" t="n">
        <f aca="false">IFERROR(F19*Eingaben!$B$15,0)</f>
        <v>2.5137</v>
      </c>
      <c r="H19" s="13" t="n">
        <f aca="false">IFERROR(Q19*(1-Eingaben!$B$20),0)</f>
        <v>0.7390278</v>
      </c>
      <c r="I19" s="13" t="n">
        <f aca="false">MIN(H19,E19)</f>
        <v>0.7390278</v>
      </c>
      <c r="J19" s="13" t="n">
        <f aca="false">IFERROR(MIN(G19*Eingaben!$B$19,MAX(0,E19-I19)),0)</f>
        <v>1.75959</v>
      </c>
      <c r="K19" s="13" t="n">
        <f aca="false">IFERROR(MIN(Eingaben!$B$18,MAX(0,G19-J19)),0)</f>
        <v>0.75411</v>
      </c>
      <c r="L19" s="13" t="n">
        <f aca="false">I19+J19</f>
        <v>2.4986178</v>
      </c>
      <c r="M19" s="13" t="n">
        <f aca="false">MAX(0,E19-L19)</f>
        <v>2.4413822</v>
      </c>
      <c r="N19" s="13" t="n">
        <f aca="false">MAX(0,G19-J19-K19)</f>
        <v>0</v>
      </c>
      <c r="O19" s="13" t="n">
        <f aca="false">Q19-I19</f>
        <v>0.0150822</v>
      </c>
      <c r="P19" s="13" t="n">
        <f aca="false">G19+Q19-L19-N19-O19-K19</f>
        <v>0</v>
      </c>
      <c r="Q19" s="13" t="n">
        <f aca="false">IF(A19="",0,K18)</f>
        <v>0.75411</v>
      </c>
    </row>
    <row r="20" customFormat="false" ht="16.4" hidden="false" customHeight="false" outlineLevel="0" collapsed="false">
      <c r="A20" s="23" t="n">
        <f aca="false">Kalender!A20</f>
        <v>46038</v>
      </c>
      <c r="B20" s="13" t="n">
        <f aca="false">Kalender!C20</f>
        <v>1</v>
      </c>
      <c r="C20" s="13" t="n">
        <f aca="false">Kalender!D20</f>
        <v>1</v>
      </c>
      <c r="D20" s="13" t="n">
        <f aca="false">IF(Prüfungen!$B$4=0,(IFERROR(SUMIF(Nutzungsprofile!$B$6:$B$11,"Schulbetrieb",Nutzungsprofile!$G$6:$G$11)*Kalender!C20/SUM(Kalender!$C$5:$C$370),0)+IFERROR(SUMIF(Nutzungsprofile!$B$6:$B$11,"Halle",Nutzungsprofile!$G$6:$G$11)*Kalender!D20/SUM(Kalender!$D$5:$D$370),0)+IFERROR(SUMIF(Nutzungsprofile!$B$6:$B$11,"Individuell",Nutzungsprofile!$G$6:$G$11)*Kalender!E20/SUM(Kalender!$E$5:$E$370),0)),0)</f>
        <v>2.94</v>
      </c>
      <c r="E20" s="13" t="n">
        <f aca="false">IF(Prüfungen!$B$4=0,(IFERROR(SUMIF(Nutzungsprofile!$B$17:$B$22,"Schulbetrieb",Nutzungsprofile!$G$17:$G$22)*Kalender!C20/SUM(Kalender!$C$5:$C$370),0)+IFERROR(SUMIF(Nutzungsprofile!$B$17:$B$22,"Halle",Nutzungsprofile!$G$17:$G$22)*Kalender!D20/SUM(Kalender!$D$5:$D$370),0)+IFERROR(SUMIF(Nutzungsprofile!$B$17:$B$22,"Individuell",Nutzungsprofile!$G$17:$G$22)*Kalender!E20/SUM(Kalender!$E$5:$E$370),0)),0)</f>
        <v>4.94</v>
      </c>
      <c r="F20" s="13" t="n">
        <f aca="false">IFERROR(MIN(D20,Eingaben!$B$17)*Eingaben!$B$16,0)</f>
        <v>2.793</v>
      </c>
      <c r="G20" s="13" t="n">
        <f aca="false">IFERROR(F20*Eingaben!$B$15,0)</f>
        <v>2.5137</v>
      </c>
      <c r="H20" s="13" t="n">
        <f aca="false">IFERROR(Q20*(1-Eingaben!$B$20),0)</f>
        <v>0.7390278</v>
      </c>
      <c r="I20" s="13" t="n">
        <f aca="false">MIN(H20,E20)</f>
        <v>0.7390278</v>
      </c>
      <c r="J20" s="13" t="n">
        <f aca="false">IFERROR(MIN(G20*Eingaben!$B$19,MAX(0,E20-I20)),0)</f>
        <v>1.75959</v>
      </c>
      <c r="K20" s="13" t="n">
        <f aca="false">IFERROR(MIN(Eingaben!$B$18,MAX(0,G20-J20)),0)</f>
        <v>0.75411</v>
      </c>
      <c r="L20" s="13" t="n">
        <f aca="false">I20+J20</f>
        <v>2.4986178</v>
      </c>
      <c r="M20" s="13" t="n">
        <f aca="false">MAX(0,E20-L20)</f>
        <v>2.4413822</v>
      </c>
      <c r="N20" s="13" t="n">
        <f aca="false">MAX(0,G20-J20-K20)</f>
        <v>0</v>
      </c>
      <c r="O20" s="13" t="n">
        <f aca="false">Q20-I20</f>
        <v>0.0150822</v>
      </c>
      <c r="P20" s="13" t="n">
        <f aca="false">G20+Q20-L20-N20-O20-K20</f>
        <v>0</v>
      </c>
      <c r="Q20" s="13" t="n">
        <f aca="false">IF(A20="",0,K19)</f>
        <v>0.75411</v>
      </c>
    </row>
    <row r="21" customFormat="false" ht="16.4" hidden="false" customHeight="false" outlineLevel="0" collapsed="false">
      <c r="A21" s="23" t="n">
        <f aca="false">Kalender!A21</f>
        <v>46039</v>
      </c>
      <c r="B21" s="13" t="n">
        <f aca="false">Kalender!C21</f>
        <v>0</v>
      </c>
      <c r="C21" s="13" t="n">
        <f aca="false">Kalender!D21</f>
        <v>1</v>
      </c>
      <c r="D21" s="13" t="n">
        <f aca="false">IF(Prüfungen!$B$4=0,(IFERROR(SUMIF(Nutzungsprofile!$B$6:$B$11,"Schulbetrieb",Nutzungsprofile!$G$6:$G$11)*Kalender!C21/SUM(Kalender!$C$5:$C$370),0)+IFERROR(SUMIF(Nutzungsprofile!$B$6:$B$11,"Halle",Nutzungsprofile!$G$6:$G$11)*Kalender!D21/SUM(Kalender!$D$5:$D$370),0)+IFERROR(SUMIF(Nutzungsprofile!$B$6:$B$11,"Individuell",Nutzungsprofile!$G$6:$G$11)*Kalender!E21/SUM(Kalender!$E$5:$E$370),0)),0)</f>
        <v>2.04</v>
      </c>
      <c r="E21" s="13" t="n">
        <f aca="false">IF(Prüfungen!$B$4=0,(IFERROR(SUMIF(Nutzungsprofile!$B$17:$B$22,"Schulbetrieb",Nutzungsprofile!$G$17:$G$22)*Kalender!C21/SUM(Kalender!$C$5:$C$370),0)+IFERROR(SUMIF(Nutzungsprofile!$B$17:$B$22,"Halle",Nutzungsprofile!$G$17:$G$22)*Kalender!D21/SUM(Kalender!$D$5:$D$370),0)+IFERROR(SUMIF(Nutzungsprofile!$B$17:$B$22,"Individuell",Nutzungsprofile!$G$17:$G$22)*Kalender!E21/SUM(Kalender!$E$5:$E$370),0)),0)</f>
        <v>0.89</v>
      </c>
      <c r="F21" s="13" t="n">
        <f aca="false">IFERROR(MIN(D21,Eingaben!$B$17)*Eingaben!$B$16,0)</f>
        <v>1.938</v>
      </c>
      <c r="G21" s="13" t="n">
        <f aca="false">IFERROR(F21*Eingaben!$B$15,0)</f>
        <v>1.7442</v>
      </c>
      <c r="H21" s="13" t="n">
        <f aca="false">IFERROR(Q21*(1-Eingaben!$B$20),0)</f>
        <v>0.7390278</v>
      </c>
      <c r="I21" s="13" t="n">
        <f aca="false">MIN(H21,E21)</f>
        <v>0.7390278</v>
      </c>
      <c r="J21" s="13" t="n">
        <f aca="false">IFERROR(MIN(G21*Eingaben!$B$19,MAX(0,E21-I21)),0)</f>
        <v>0.1509722</v>
      </c>
      <c r="K21" s="13" t="n">
        <f aca="false">IFERROR(MIN(Eingaben!$B$18,MAX(0,G21-J21)),0)</f>
        <v>1.5932278</v>
      </c>
      <c r="L21" s="13" t="n">
        <f aca="false">I21+J21</f>
        <v>0.89</v>
      </c>
      <c r="M21" s="13" t="n">
        <f aca="false">MAX(0,E21-L21)</f>
        <v>0</v>
      </c>
      <c r="N21" s="13" t="n">
        <f aca="false">MAX(0,G21-J21-K21)</f>
        <v>0</v>
      </c>
      <c r="O21" s="13" t="n">
        <f aca="false">Q21-I21</f>
        <v>0.0150822</v>
      </c>
      <c r="P21" s="13" t="n">
        <f aca="false">G21+Q21-L21-N21-O21-K21</f>
        <v>0</v>
      </c>
      <c r="Q21" s="13" t="n">
        <f aca="false">IF(A21="",0,K20)</f>
        <v>0.75411</v>
      </c>
    </row>
    <row r="22" customFormat="false" ht="16.4" hidden="false" customHeight="false" outlineLevel="0" collapsed="false">
      <c r="A22" s="23" t="n">
        <f aca="false">Kalender!A22</f>
        <v>46040</v>
      </c>
      <c r="B22" s="13" t="n">
        <f aca="false">Kalender!C22</f>
        <v>0</v>
      </c>
      <c r="C22" s="13" t="n">
        <f aca="false">Kalender!D22</f>
        <v>1</v>
      </c>
      <c r="D22" s="13" t="n">
        <f aca="false">IF(Prüfungen!$B$4=0,(IFERROR(SUMIF(Nutzungsprofile!$B$6:$B$11,"Schulbetrieb",Nutzungsprofile!$G$6:$G$11)*Kalender!C22/SUM(Kalender!$C$5:$C$370),0)+IFERROR(SUMIF(Nutzungsprofile!$B$6:$B$11,"Halle",Nutzungsprofile!$G$6:$G$11)*Kalender!D22/SUM(Kalender!$D$5:$D$370),0)+IFERROR(SUMIF(Nutzungsprofile!$B$6:$B$11,"Individuell",Nutzungsprofile!$G$6:$G$11)*Kalender!E22/SUM(Kalender!$E$5:$E$370),0)),0)</f>
        <v>2.04</v>
      </c>
      <c r="E22" s="13" t="n">
        <f aca="false">IF(Prüfungen!$B$4=0,(IFERROR(SUMIF(Nutzungsprofile!$B$17:$B$22,"Schulbetrieb",Nutzungsprofile!$G$17:$G$22)*Kalender!C22/SUM(Kalender!$C$5:$C$370),0)+IFERROR(SUMIF(Nutzungsprofile!$B$17:$B$22,"Halle",Nutzungsprofile!$G$17:$G$22)*Kalender!D22/SUM(Kalender!$D$5:$D$370),0)+IFERROR(SUMIF(Nutzungsprofile!$B$17:$B$22,"Individuell",Nutzungsprofile!$G$17:$G$22)*Kalender!E22/SUM(Kalender!$E$5:$E$370),0)),0)</f>
        <v>0.89</v>
      </c>
      <c r="F22" s="13" t="n">
        <f aca="false">IFERROR(MIN(D22,Eingaben!$B$17)*Eingaben!$B$16,0)</f>
        <v>1.938</v>
      </c>
      <c r="G22" s="13" t="n">
        <f aca="false">IFERROR(F22*Eingaben!$B$15,0)</f>
        <v>1.7442</v>
      </c>
      <c r="H22" s="13" t="n">
        <f aca="false">IFERROR(Q22*(1-Eingaben!$B$20),0)</f>
        <v>1.561363244</v>
      </c>
      <c r="I22" s="13" t="n">
        <f aca="false">MIN(H22,E22)</f>
        <v>0.89</v>
      </c>
      <c r="J22" s="13" t="n">
        <f aca="false">IFERROR(MIN(G22*Eingaben!$B$19,MAX(0,E22-I22)),0)</f>
        <v>0</v>
      </c>
      <c r="K22" s="13" t="n">
        <f aca="false">IFERROR(MIN(Eingaben!$B$18,MAX(0,G22-J22)),0)</f>
        <v>1.7442</v>
      </c>
      <c r="L22" s="13" t="n">
        <f aca="false">I22+J22</f>
        <v>0.89</v>
      </c>
      <c r="M22" s="13" t="n">
        <f aca="false">MAX(0,E22-L22)</f>
        <v>0</v>
      </c>
      <c r="N22" s="13" t="n">
        <f aca="false">MAX(0,G22-J22-K22)</f>
        <v>0</v>
      </c>
      <c r="O22" s="13" t="n">
        <f aca="false">Q22-I22</f>
        <v>0.7032278</v>
      </c>
      <c r="P22" s="13" t="n">
        <f aca="false">G22+Q22-L22-N22-O22-K22</f>
        <v>0</v>
      </c>
      <c r="Q22" s="13" t="n">
        <f aca="false">IF(A22="",0,K21)</f>
        <v>1.5932278</v>
      </c>
    </row>
    <row r="23" customFormat="false" ht="16.4" hidden="false" customHeight="false" outlineLevel="0" collapsed="false">
      <c r="A23" s="23" t="n">
        <f aca="false">Kalender!A23</f>
        <v>46041</v>
      </c>
      <c r="B23" s="13" t="n">
        <f aca="false">Kalender!C23</f>
        <v>1</v>
      </c>
      <c r="C23" s="13" t="n">
        <f aca="false">Kalender!D23</f>
        <v>1</v>
      </c>
      <c r="D23" s="13" t="n">
        <f aca="false">IF(Prüfungen!$B$4=0,(IFERROR(SUMIF(Nutzungsprofile!$B$6:$B$11,"Schulbetrieb",Nutzungsprofile!$G$6:$G$11)*Kalender!C23/SUM(Kalender!$C$5:$C$370),0)+IFERROR(SUMIF(Nutzungsprofile!$B$6:$B$11,"Halle",Nutzungsprofile!$G$6:$G$11)*Kalender!D23/SUM(Kalender!$D$5:$D$370),0)+IFERROR(SUMIF(Nutzungsprofile!$B$6:$B$11,"Individuell",Nutzungsprofile!$G$6:$G$11)*Kalender!E23/SUM(Kalender!$E$5:$E$370),0)),0)</f>
        <v>2.94</v>
      </c>
      <c r="E23" s="13" t="n">
        <f aca="false">IF(Prüfungen!$B$4=0,(IFERROR(SUMIF(Nutzungsprofile!$B$17:$B$22,"Schulbetrieb",Nutzungsprofile!$G$17:$G$22)*Kalender!C23/SUM(Kalender!$C$5:$C$370),0)+IFERROR(SUMIF(Nutzungsprofile!$B$17:$B$22,"Halle",Nutzungsprofile!$G$17:$G$22)*Kalender!D23/SUM(Kalender!$D$5:$D$370),0)+IFERROR(SUMIF(Nutzungsprofile!$B$17:$B$22,"Individuell",Nutzungsprofile!$G$17:$G$22)*Kalender!E23/SUM(Kalender!$E$5:$E$370),0)),0)</f>
        <v>4.94</v>
      </c>
      <c r="F23" s="13" t="n">
        <f aca="false">IFERROR(MIN(D23,Eingaben!$B$17)*Eingaben!$B$16,0)</f>
        <v>2.793</v>
      </c>
      <c r="G23" s="13" t="n">
        <f aca="false">IFERROR(F23*Eingaben!$B$15,0)</f>
        <v>2.5137</v>
      </c>
      <c r="H23" s="13" t="n">
        <f aca="false">IFERROR(Q23*(1-Eingaben!$B$20),0)</f>
        <v>1.709316</v>
      </c>
      <c r="I23" s="13" t="n">
        <f aca="false">MIN(H23,E23)</f>
        <v>1.709316</v>
      </c>
      <c r="J23" s="13" t="n">
        <f aca="false">IFERROR(MIN(G23*Eingaben!$B$19,MAX(0,E23-I23)),0)</f>
        <v>1.75959</v>
      </c>
      <c r="K23" s="13" t="n">
        <f aca="false">IFERROR(MIN(Eingaben!$B$18,MAX(0,G23-J23)),0)</f>
        <v>0.75411</v>
      </c>
      <c r="L23" s="13" t="n">
        <f aca="false">I23+J23</f>
        <v>3.468906</v>
      </c>
      <c r="M23" s="13" t="n">
        <f aca="false">MAX(0,E23-L23)</f>
        <v>1.471094</v>
      </c>
      <c r="N23" s="13" t="n">
        <f aca="false">MAX(0,G23-J23-K23)</f>
        <v>0</v>
      </c>
      <c r="O23" s="13" t="n">
        <f aca="false">Q23-I23</f>
        <v>0.0348840000000001</v>
      </c>
      <c r="P23" s="13" t="n">
        <f aca="false">G23+Q23-L23-N23-O23-K23</f>
        <v>0</v>
      </c>
      <c r="Q23" s="13" t="n">
        <f aca="false">IF(A23="",0,K22)</f>
        <v>1.7442</v>
      </c>
    </row>
    <row r="24" customFormat="false" ht="16.4" hidden="false" customHeight="false" outlineLevel="0" collapsed="false">
      <c r="A24" s="23" t="n">
        <f aca="false">Kalender!A24</f>
        <v>46042</v>
      </c>
      <c r="B24" s="13" t="n">
        <f aca="false">Kalender!C24</f>
        <v>1</v>
      </c>
      <c r="C24" s="13" t="n">
        <f aca="false">Kalender!D24</f>
        <v>1</v>
      </c>
      <c r="D24" s="13" t="n">
        <f aca="false">IF(Prüfungen!$B$4=0,(IFERROR(SUMIF(Nutzungsprofile!$B$6:$B$11,"Schulbetrieb",Nutzungsprofile!$G$6:$G$11)*Kalender!C24/SUM(Kalender!$C$5:$C$370),0)+IFERROR(SUMIF(Nutzungsprofile!$B$6:$B$11,"Halle",Nutzungsprofile!$G$6:$G$11)*Kalender!D24/SUM(Kalender!$D$5:$D$370),0)+IFERROR(SUMIF(Nutzungsprofile!$B$6:$B$11,"Individuell",Nutzungsprofile!$G$6:$G$11)*Kalender!E24/SUM(Kalender!$E$5:$E$370),0)),0)</f>
        <v>2.94</v>
      </c>
      <c r="E24" s="13" t="n">
        <f aca="false">IF(Prüfungen!$B$4=0,(IFERROR(SUMIF(Nutzungsprofile!$B$17:$B$22,"Schulbetrieb",Nutzungsprofile!$G$17:$G$22)*Kalender!C24/SUM(Kalender!$C$5:$C$370),0)+IFERROR(SUMIF(Nutzungsprofile!$B$17:$B$22,"Halle",Nutzungsprofile!$G$17:$G$22)*Kalender!D24/SUM(Kalender!$D$5:$D$370),0)+IFERROR(SUMIF(Nutzungsprofile!$B$17:$B$22,"Individuell",Nutzungsprofile!$G$17:$G$22)*Kalender!E24/SUM(Kalender!$E$5:$E$370),0)),0)</f>
        <v>4.94</v>
      </c>
      <c r="F24" s="13" t="n">
        <f aca="false">IFERROR(MIN(D24,Eingaben!$B$17)*Eingaben!$B$16,0)</f>
        <v>2.793</v>
      </c>
      <c r="G24" s="13" t="n">
        <f aca="false">IFERROR(F24*Eingaben!$B$15,0)</f>
        <v>2.5137</v>
      </c>
      <c r="H24" s="13" t="n">
        <f aca="false">IFERROR(Q24*(1-Eingaben!$B$20),0)</f>
        <v>0.7390278</v>
      </c>
      <c r="I24" s="13" t="n">
        <f aca="false">MIN(H24,E24)</f>
        <v>0.7390278</v>
      </c>
      <c r="J24" s="13" t="n">
        <f aca="false">IFERROR(MIN(G24*Eingaben!$B$19,MAX(0,E24-I24)),0)</f>
        <v>1.75959</v>
      </c>
      <c r="K24" s="13" t="n">
        <f aca="false">IFERROR(MIN(Eingaben!$B$18,MAX(0,G24-J24)),0)</f>
        <v>0.75411</v>
      </c>
      <c r="L24" s="13" t="n">
        <f aca="false">I24+J24</f>
        <v>2.4986178</v>
      </c>
      <c r="M24" s="13" t="n">
        <f aca="false">MAX(0,E24-L24)</f>
        <v>2.4413822</v>
      </c>
      <c r="N24" s="13" t="n">
        <f aca="false">MAX(0,G24-J24-K24)</f>
        <v>0</v>
      </c>
      <c r="O24" s="13" t="n">
        <f aca="false">Q24-I24</f>
        <v>0.0150822</v>
      </c>
      <c r="P24" s="13" t="n">
        <f aca="false">G24+Q24-L24-N24-O24-K24</f>
        <v>0</v>
      </c>
      <c r="Q24" s="13" t="n">
        <f aca="false">IF(A24="",0,K23)</f>
        <v>0.75411</v>
      </c>
    </row>
    <row r="25" customFormat="false" ht="16.4" hidden="false" customHeight="false" outlineLevel="0" collapsed="false">
      <c r="A25" s="23" t="n">
        <f aca="false">Kalender!A25</f>
        <v>46043</v>
      </c>
      <c r="B25" s="13" t="n">
        <f aca="false">Kalender!C25</f>
        <v>1</v>
      </c>
      <c r="C25" s="13" t="n">
        <f aca="false">Kalender!D25</f>
        <v>1</v>
      </c>
      <c r="D25" s="13" t="n">
        <f aca="false">IF(Prüfungen!$B$4=0,(IFERROR(SUMIF(Nutzungsprofile!$B$6:$B$11,"Schulbetrieb",Nutzungsprofile!$G$6:$G$11)*Kalender!C25/SUM(Kalender!$C$5:$C$370),0)+IFERROR(SUMIF(Nutzungsprofile!$B$6:$B$11,"Halle",Nutzungsprofile!$G$6:$G$11)*Kalender!D25/SUM(Kalender!$D$5:$D$370),0)+IFERROR(SUMIF(Nutzungsprofile!$B$6:$B$11,"Individuell",Nutzungsprofile!$G$6:$G$11)*Kalender!E25/SUM(Kalender!$E$5:$E$370),0)),0)</f>
        <v>2.94</v>
      </c>
      <c r="E25" s="13" t="n">
        <f aca="false">IF(Prüfungen!$B$4=0,(IFERROR(SUMIF(Nutzungsprofile!$B$17:$B$22,"Schulbetrieb",Nutzungsprofile!$G$17:$G$22)*Kalender!C25/SUM(Kalender!$C$5:$C$370),0)+IFERROR(SUMIF(Nutzungsprofile!$B$17:$B$22,"Halle",Nutzungsprofile!$G$17:$G$22)*Kalender!D25/SUM(Kalender!$D$5:$D$370),0)+IFERROR(SUMIF(Nutzungsprofile!$B$17:$B$22,"Individuell",Nutzungsprofile!$G$17:$G$22)*Kalender!E25/SUM(Kalender!$E$5:$E$370),0)),0)</f>
        <v>4.94</v>
      </c>
      <c r="F25" s="13" t="n">
        <f aca="false">IFERROR(MIN(D25,Eingaben!$B$17)*Eingaben!$B$16,0)</f>
        <v>2.793</v>
      </c>
      <c r="G25" s="13" t="n">
        <f aca="false">IFERROR(F25*Eingaben!$B$15,0)</f>
        <v>2.5137</v>
      </c>
      <c r="H25" s="13" t="n">
        <f aca="false">IFERROR(Q25*(1-Eingaben!$B$20),0)</f>
        <v>0.7390278</v>
      </c>
      <c r="I25" s="13" t="n">
        <f aca="false">MIN(H25,E25)</f>
        <v>0.7390278</v>
      </c>
      <c r="J25" s="13" t="n">
        <f aca="false">IFERROR(MIN(G25*Eingaben!$B$19,MAX(0,E25-I25)),0)</f>
        <v>1.75959</v>
      </c>
      <c r="K25" s="13" t="n">
        <f aca="false">IFERROR(MIN(Eingaben!$B$18,MAX(0,G25-J25)),0)</f>
        <v>0.75411</v>
      </c>
      <c r="L25" s="13" t="n">
        <f aca="false">I25+J25</f>
        <v>2.4986178</v>
      </c>
      <c r="M25" s="13" t="n">
        <f aca="false">MAX(0,E25-L25)</f>
        <v>2.4413822</v>
      </c>
      <c r="N25" s="13" t="n">
        <f aca="false">MAX(0,G25-J25-K25)</f>
        <v>0</v>
      </c>
      <c r="O25" s="13" t="n">
        <f aca="false">Q25-I25</f>
        <v>0.0150822</v>
      </c>
      <c r="P25" s="13" t="n">
        <f aca="false">G25+Q25-L25-N25-O25-K25</f>
        <v>0</v>
      </c>
      <c r="Q25" s="13" t="n">
        <f aca="false">IF(A25="",0,K24)</f>
        <v>0.75411</v>
      </c>
    </row>
    <row r="26" customFormat="false" ht="16.4" hidden="false" customHeight="false" outlineLevel="0" collapsed="false">
      <c r="A26" s="23" t="n">
        <f aca="false">Kalender!A26</f>
        <v>46044</v>
      </c>
      <c r="B26" s="13" t="n">
        <f aca="false">Kalender!C26</f>
        <v>1</v>
      </c>
      <c r="C26" s="13" t="n">
        <f aca="false">Kalender!D26</f>
        <v>1</v>
      </c>
      <c r="D26" s="13" t="n">
        <f aca="false">IF(Prüfungen!$B$4=0,(IFERROR(SUMIF(Nutzungsprofile!$B$6:$B$11,"Schulbetrieb",Nutzungsprofile!$G$6:$G$11)*Kalender!C26/SUM(Kalender!$C$5:$C$370),0)+IFERROR(SUMIF(Nutzungsprofile!$B$6:$B$11,"Halle",Nutzungsprofile!$G$6:$G$11)*Kalender!D26/SUM(Kalender!$D$5:$D$370),0)+IFERROR(SUMIF(Nutzungsprofile!$B$6:$B$11,"Individuell",Nutzungsprofile!$G$6:$G$11)*Kalender!E26/SUM(Kalender!$E$5:$E$370),0)),0)</f>
        <v>2.94</v>
      </c>
      <c r="E26" s="13" t="n">
        <f aca="false">IF(Prüfungen!$B$4=0,(IFERROR(SUMIF(Nutzungsprofile!$B$17:$B$22,"Schulbetrieb",Nutzungsprofile!$G$17:$G$22)*Kalender!C26/SUM(Kalender!$C$5:$C$370),0)+IFERROR(SUMIF(Nutzungsprofile!$B$17:$B$22,"Halle",Nutzungsprofile!$G$17:$G$22)*Kalender!D26/SUM(Kalender!$D$5:$D$370),0)+IFERROR(SUMIF(Nutzungsprofile!$B$17:$B$22,"Individuell",Nutzungsprofile!$G$17:$G$22)*Kalender!E26/SUM(Kalender!$E$5:$E$370),0)),0)</f>
        <v>4.94</v>
      </c>
      <c r="F26" s="13" t="n">
        <f aca="false">IFERROR(MIN(D26,Eingaben!$B$17)*Eingaben!$B$16,0)</f>
        <v>2.793</v>
      </c>
      <c r="G26" s="13" t="n">
        <f aca="false">IFERROR(F26*Eingaben!$B$15,0)</f>
        <v>2.5137</v>
      </c>
      <c r="H26" s="13" t="n">
        <f aca="false">IFERROR(Q26*(1-Eingaben!$B$20),0)</f>
        <v>0.7390278</v>
      </c>
      <c r="I26" s="13" t="n">
        <f aca="false">MIN(H26,E26)</f>
        <v>0.7390278</v>
      </c>
      <c r="J26" s="13" t="n">
        <f aca="false">IFERROR(MIN(G26*Eingaben!$B$19,MAX(0,E26-I26)),0)</f>
        <v>1.75959</v>
      </c>
      <c r="K26" s="13" t="n">
        <f aca="false">IFERROR(MIN(Eingaben!$B$18,MAX(0,G26-J26)),0)</f>
        <v>0.75411</v>
      </c>
      <c r="L26" s="13" t="n">
        <f aca="false">I26+J26</f>
        <v>2.4986178</v>
      </c>
      <c r="M26" s="13" t="n">
        <f aca="false">MAX(0,E26-L26)</f>
        <v>2.4413822</v>
      </c>
      <c r="N26" s="13" t="n">
        <f aca="false">MAX(0,G26-J26-K26)</f>
        <v>0</v>
      </c>
      <c r="O26" s="13" t="n">
        <f aca="false">Q26-I26</f>
        <v>0.0150822</v>
      </c>
      <c r="P26" s="13" t="n">
        <f aca="false">G26+Q26-L26-N26-O26-K26</f>
        <v>0</v>
      </c>
      <c r="Q26" s="13" t="n">
        <f aca="false">IF(A26="",0,K25)</f>
        <v>0.75411</v>
      </c>
    </row>
    <row r="27" customFormat="false" ht="16.4" hidden="false" customHeight="false" outlineLevel="0" collapsed="false">
      <c r="A27" s="23" t="n">
        <f aca="false">Kalender!A27</f>
        <v>46045</v>
      </c>
      <c r="B27" s="13" t="n">
        <f aca="false">Kalender!C27</f>
        <v>1</v>
      </c>
      <c r="C27" s="13" t="n">
        <f aca="false">Kalender!D27</f>
        <v>1</v>
      </c>
      <c r="D27" s="13" t="n">
        <f aca="false">IF(Prüfungen!$B$4=0,(IFERROR(SUMIF(Nutzungsprofile!$B$6:$B$11,"Schulbetrieb",Nutzungsprofile!$G$6:$G$11)*Kalender!C27/SUM(Kalender!$C$5:$C$370),0)+IFERROR(SUMIF(Nutzungsprofile!$B$6:$B$11,"Halle",Nutzungsprofile!$G$6:$G$11)*Kalender!D27/SUM(Kalender!$D$5:$D$370),0)+IFERROR(SUMIF(Nutzungsprofile!$B$6:$B$11,"Individuell",Nutzungsprofile!$G$6:$G$11)*Kalender!E27/SUM(Kalender!$E$5:$E$370),0)),0)</f>
        <v>2.94</v>
      </c>
      <c r="E27" s="13" t="n">
        <f aca="false">IF(Prüfungen!$B$4=0,(IFERROR(SUMIF(Nutzungsprofile!$B$17:$B$22,"Schulbetrieb",Nutzungsprofile!$G$17:$G$22)*Kalender!C27/SUM(Kalender!$C$5:$C$370),0)+IFERROR(SUMIF(Nutzungsprofile!$B$17:$B$22,"Halle",Nutzungsprofile!$G$17:$G$22)*Kalender!D27/SUM(Kalender!$D$5:$D$370),0)+IFERROR(SUMIF(Nutzungsprofile!$B$17:$B$22,"Individuell",Nutzungsprofile!$G$17:$G$22)*Kalender!E27/SUM(Kalender!$E$5:$E$370),0)),0)</f>
        <v>4.94</v>
      </c>
      <c r="F27" s="13" t="n">
        <f aca="false">IFERROR(MIN(D27,Eingaben!$B$17)*Eingaben!$B$16,0)</f>
        <v>2.793</v>
      </c>
      <c r="G27" s="13" t="n">
        <f aca="false">IFERROR(F27*Eingaben!$B$15,0)</f>
        <v>2.5137</v>
      </c>
      <c r="H27" s="13" t="n">
        <f aca="false">IFERROR(Q27*(1-Eingaben!$B$20),0)</f>
        <v>0.7390278</v>
      </c>
      <c r="I27" s="13" t="n">
        <f aca="false">MIN(H27,E27)</f>
        <v>0.7390278</v>
      </c>
      <c r="J27" s="13" t="n">
        <f aca="false">IFERROR(MIN(G27*Eingaben!$B$19,MAX(0,E27-I27)),0)</f>
        <v>1.75959</v>
      </c>
      <c r="K27" s="13" t="n">
        <f aca="false">IFERROR(MIN(Eingaben!$B$18,MAX(0,G27-J27)),0)</f>
        <v>0.75411</v>
      </c>
      <c r="L27" s="13" t="n">
        <f aca="false">I27+J27</f>
        <v>2.4986178</v>
      </c>
      <c r="M27" s="13" t="n">
        <f aca="false">MAX(0,E27-L27)</f>
        <v>2.4413822</v>
      </c>
      <c r="N27" s="13" t="n">
        <f aca="false">MAX(0,G27-J27-K27)</f>
        <v>0</v>
      </c>
      <c r="O27" s="13" t="n">
        <f aca="false">Q27-I27</f>
        <v>0.0150822</v>
      </c>
      <c r="P27" s="13" t="n">
        <f aca="false">G27+Q27-L27-N27-O27-K27</f>
        <v>0</v>
      </c>
      <c r="Q27" s="13" t="n">
        <f aca="false">IF(A27="",0,K26)</f>
        <v>0.75411</v>
      </c>
    </row>
    <row r="28" customFormat="false" ht="16.4" hidden="false" customHeight="false" outlineLevel="0" collapsed="false">
      <c r="A28" s="23" t="n">
        <f aca="false">Kalender!A28</f>
        <v>46046</v>
      </c>
      <c r="B28" s="13" t="n">
        <f aca="false">Kalender!C28</f>
        <v>0</v>
      </c>
      <c r="C28" s="13" t="n">
        <f aca="false">Kalender!D28</f>
        <v>1</v>
      </c>
      <c r="D28" s="13" t="n">
        <f aca="false">IF(Prüfungen!$B$4=0,(IFERROR(SUMIF(Nutzungsprofile!$B$6:$B$11,"Schulbetrieb",Nutzungsprofile!$G$6:$G$11)*Kalender!C28/SUM(Kalender!$C$5:$C$370),0)+IFERROR(SUMIF(Nutzungsprofile!$B$6:$B$11,"Halle",Nutzungsprofile!$G$6:$G$11)*Kalender!D28/SUM(Kalender!$D$5:$D$370),0)+IFERROR(SUMIF(Nutzungsprofile!$B$6:$B$11,"Individuell",Nutzungsprofile!$G$6:$G$11)*Kalender!E28/SUM(Kalender!$E$5:$E$370),0)),0)</f>
        <v>2.04</v>
      </c>
      <c r="E28" s="13" t="n">
        <f aca="false">IF(Prüfungen!$B$4=0,(IFERROR(SUMIF(Nutzungsprofile!$B$17:$B$22,"Schulbetrieb",Nutzungsprofile!$G$17:$G$22)*Kalender!C28/SUM(Kalender!$C$5:$C$370),0)+IFERROR(SUMIF(Nutzungsprofile!$B$17:$B$22,"Halle",Nutzungsprofile!$G$17:$G$22)*Kalender!D28/SUM(Kalender!$D$5:$D$370),0)+IFERROR(SUMIF(Nutzungsprofile!$B$17:$B$22,"Individuell",Nutzungsprofile!$G$17:$G$22)*Kalender!E28/SUM(Kalender!$E$5:$E$370),0)),0)</f>
        <v>0.89</v>
      </c>
      <c r="F28" s="13" t="n">
        <f aca="false">IFERROR(MIN(D28,Eingaben!$B$17)*Eingaben!$B$16,0)</f>
        <v>1.938</v>
      </c>
      <c r="G28" s="13" t="n">
        <f aca="false">IFERROR(F28*Eingaben!$B$15,0)</f>
        <v>1.7442</v>
      </c>
      <c r="H28" s="13" t="n">
        <f aca="false">IFERROR(Q28*(1-Eingaben!$B$20),0)</f>
        <v>0.7390278</v>
      </c>
      <c r="I28" s="13" t="n">
        <f aca="false">MIN(H28,E28)</f>
        <v>0.7390278</v>
      </c>
      <c r="J28" s="13" t="n">
        <f aca="false">IFERROR(MIN(G28*Eingaben!$B$19,MAX(0,E28-I28)),0)</f>
        <v>0.1509722</v>
      </c>
      <c r="K28" s="13" t="n">
        <f aca="false">IFERROR(MIN(Eingaben!$B$18,MAX(0,G28-J28)),0)</f>
        <v>1.5932278</v>
      </c>
      <c r="L28" s="13" t="n">
        <f aca="false">I28+J28</f>
        <v>0.89</v>
      </c>
      <c r="M28" s="13" t="n">
        <f aca="false">MAX(0,E28-L28)</f>
        <v>0</v>
      </c>
      <c r="N28" s="13" t="n">
        <f aca="false">MAX(0,G28-J28-K28)</f>
        <v>0</v>
      </c>
      <c r="O28" s="13" t="n">
        <f aca="false">Q28-I28</f>
        <v>0.0150822</v>
      </c>
      <c r="P28" s="13" t="n">
        <f aca="false">G28+Q28-L28-N28-O28-K28</f>
        <v>0</v>
      </c>
      <c r="Q28" s="13" t="n">
        <f aca="false">IF(A28="",0,K27)</f>
        <v>0.75411</v>
      </c>
    </row>
    <row r="29" customFormat="false" ht="16.4" hidden="false" customHeight="false" outlineLevel="0" collapsed="false">
      <c r="A29" s="23" t="n">
        <f aca="false">Kalender!A29</f>
        <v>46047</v>
      </c>
      <c r="B29" s="13" t="n">
        <f aca="false">Kalender!C29</f>
        <v>0</v>
      </c>
      <c r="C29" s="13" t="n">
        <f aca="false">Kalender!D29</f>
        <v>1</v>
      </c>
      <c r="D29" s="13" t="n">
        <f aca="false">IF(Prüfungen!$B$4=0,(IFERROR(SUMIF(Nutzungsprofile!$B$6:$B$11,"Schulbetrieb",Nutzungsprofile!$G$6:$G$11)*Kalender!C29/SUM(Kalender!$C$5:$C$370),0)+IFERROR(SUMIF(Nutzungsprofile!$B$6:$B$11,"Halle",Nutzungsprofile!$G$6:$G$11)*Kalender!D29/SUM(Kalender!$D$5:$D$370),0)+IFERROR(SUMIF(Nutzungsprofile!$B$6:$B$11,"Individuell",Nutzungsprofile!$G$6:$G$11)*Kalender!E29/SUM(Kalender!$E$5:$E$370),0)),0)</f>
        <v>2.04</v>
      </c>
      <c r="E29" s="13" t="n">
        <f aca="false">IF(Prüfungen!$B$4=0,(IFERROR(SUMIF(Nutzungsprofile!$B$17:$B$22,"Schulbetrieb",Nutzungsprofile!$G$17:$G$22)*Kalender!C29/SUM(Kalender!$C$5:$C$370),0)+IFERROR(SUMIF(Nutzungsprofile!$B$17:$B$22,"Halle",Nutzungsprofile!$G$17:$G$22)*Kalender!D29/SUM(Kalender!$D$5:$D$370),0)+IFERROR(SUMIF(Nutzungsprofile!$B$17:$B$22,"Individuell",Nutzungsprofile!$G$17:$G$22)*Kalender!E29/SUM(Kalender!$E$5:$E$370),0)),0)</f>
        <v>0.89</v>
      </c>
      <c r="F29" s="13" t="n">
        <f aca="false">IFERROR(MIN(D29,Eingaben!$B$17)*Eingaben!$B$16,0)</f>
        <v>1.938</v>
      </c>
      <c r="G29" s="13" t="n">
        <f aca="false">IFERROR(F29*Eingaben!$B$15,0)</f>
        <v>1.7442</v>
      </c>
      <c r="H29" s="13" t="n">
        <f aca="false">IFERROR(Q29*(1-Eingaben!$B$20),0)</f>
        <v>1.561363244</v>
      </c>
      <c r="I29" s="13" t="n">
        <f aca="false">MIN(H29,E29)</f>
        <v>0.89</v>
      </c>
      <c r="J29" s="13" t="n">
        <f aca="false">IFERROR(MIN(G29*Eingaben!$B$19,MAX(0,E29-I29)),0)</f>
        <v>0</v>
      </c>
      <c r="K29" s="13" t="n">
        <f aca="false">IFERROR(MIN(Eingaben!$B$18,MAX(0,G29-J29)),0)</f>
        <v>1.7442</v>
      </c>
      <c r="L29" s="13" t="n">
        <f aca="false">I29+J29</f>
        <v>0.89</v>
      </c>
      <c r="M29" s="13" t="n">
        <f aca="false">MAX(0,E29-L29)</f>
        <v>0</v>
      </c>
      <c r="N29" s="13" t="n">
        <f aca="false">MAX(0,G29-J29-K29)</f>
        <v>0</v>
      </c>
      <c r="O29" s="13" t="n">
        <f aca="false">Q29-I29</f>
        <v>0.7032278</v>
      </c>
      <c r="P29" s="13" t="n">
        <f aca="false">G29+Q29-L29-N29-O29-K29</f>
        <v>0</v>
      </c>
      <c r="Q29" s="13" t="n">
        <f aca="false">IF(A29="",0,K28)</f>
        <v>1.5932278</v>
      </c>
    </row>
    <row r="30" customFormat="false" ht="16.4" hidden="false" customHeight="false" outlineLevel="0" collapsed="false">
      <c r="A30" s="23" t="n">
        <f aca="false">Kalender!A30</f>
        <v>46048</v>
      </c>
      <c r="B30" s="13" t="n">
        <f aca="false">Kalender!C30</f>
        <v>1</v>
      </c>
      <c r="C30" s="13" t="n">
        <f aca="false">Kalender!D30</f>
        <v>1</v>
      </c>
      <c r="D30" s="13" t="n">
        <f aca="false">IF(Prüfungen!$B$4=0,(IFERROR(SUMIF(Nutzungsprofile!$B$6:$B$11,"Schulbetrieb",Nutzungsprofile!$G$6:$G$11)*Kalender!C30/SUM(Kalender!$C$5:$C$370),0)+IFERROR(SUMIF(Nutzungsprofile!$B$6:$B$11,"Halle",Nutzungsprofile!$G$6:$G$11)*Kalender!D30/SUM(Kalender!$D$5:$D$370),0)+IFERROR(SUMIF(Nutzungsprofile!$B$6:$B$11,"Individuell",Nutzungsprofile!$G$6:$G$11)*Kalender!E30/SUM(Kalender!$E$5:$E$370),0)),0)</f>
        <v>2.94</v>
      </c>
      <c r="E30" s="13" t="n">
        <f aca="false">IF(Prüfungen!$B$4=0,(IFERROR(SUMIF(Nutzungsprofile!$B$17:$B$22,"Schulbetrieb",Nutzungsprofile!$G$17:$G$22)*Kalender!C30/SUM(Kalender!$C$5:$C$370),0)+IFERROR(SUMIF(Nutzungsprofile!$B$17:$B$22,"Halle",Nutzungsprofile!$G$17:$G$22)*Kalender!D30/SUM(Kalender!$D$5:$D$370),0)+IFERROR(SUMIF(Nutzungsprofile!$B$17:$B$22,"Individuell",Nutzungsprofile!$G$17:$G$22)*Kalender!E30/SUM(Kalender!$E$5:$E$370),0)),0)</f>
        <v>4.94</v>
      </c>
      <c r="F30" s="13" t="n">
        <f aca="false">IFERROR(MIN(D30,Eingaben!$B$17)*Eingaben!$B$16,0)</f>
        <v>2.793</v>
      </c>
      <c r="G30" s="13" t="n">
        <f aca="false">IFERROR(F30*Eingaben!$B$15,0)</f>
        <v>2.5137</v>
      </c>
      <c r="H30" s="13" t="n">
        <f aca="false">IFERROR(Q30*(1-Eingaben!$B$20),0)</f>
        <v>1.709316</v>
      </c>
      <c r="I30" s="13" t="n">
        <f aca="false">MIN(H30,E30)</f>
        <v>1.709316</v>
      </c>
      <c r="J30" s="13" t="n">
        <f aca="false">IFERROR(MIN(G30*Eingaben!$B$19,MAX(0,E30-I30)),0)</f>
        <v>1.75959</v>
      </c>
      <c r="K30" s="13" t="n">
        <f aca="false">IFERROR(MIN(Eingaben!$B$18,MAX(0,G30-J30)),0)</f>
        <v>0.75411</v>
      </c>
      <c r="L30" s="13" t="n">
        <f aca="false">I30+J30</f>
        <v>3.468906</v>
      </c>
      <c r="M30" s="13" t="n">
        <f aca="false">MAX(0,E30-L30)</f>
        <v>1.471094</v>
      </c>
      <c r="N30" s="13" t="n">
        <f aca="false">MAX(0,G30-J30-K30)</f>
        <v>0</v>
      </c>
      <c r="O30" s="13" t="n">
        <f aca="false">Q30-I30</f>
        <v>0.0348840000000001</v>
      </c>
      <c r="P30" s="13" t="n">
        <f aca="false">G30+Q30-L30-N30-O30-K30</f>
        <v>0</v>
      </c>
      <c r="Q30" s="13" t="n">
        <f aca="false">IF(A30="",0,K29)</f>
        <v>1.7442</v>
      </c>
    </row>
    <row r="31" customFormat="false" ht="16.4" hidden="false" customHeight="false" outlineLevel="0" collapsed="false">
      <c r="A31" s="23" t="n">
        <f aca="false">Kalender!A31</f>
        <v>46049</v>
      </c>
      <c r="B31" s="13" t="n">
        <f aca="false">Kalender!C31</f>
        <v>1</v>
      </c>
      <c r="C31" s="13" t="n">
        <f aca="false">Kalender!D31</f>
        <v>1</v>
      </c>
      <c r="D31" s="13" t="n">
        <f aca="false">IF(Prüfungen!$B$4=0,(IFERROR(SUMIF(Nutzungsprofile!$B$6:$B$11,"Schulbetrieb",Nutzungsprofile!$G$6:$G$11)*Kalender!C31/SUM(Kalender!$C$5:$C$370),0)+IFERROR(SUMIF(Nutzungsprofile!$B$6:$B$11,"Halle",Nutzungsprofile!$G$6:$G$11)*Kalender!D31/SUM(Kalender!$D$5:$D$370),0)+IFERROR(SUMIF(Nutzungsprofile!$B$6:$B$11,"Individuell",Nutzungsprofile!$G$6:$G$11)*Kalender!E31/SUM(Kalender!$E$5:$E$370),0)),0)</f>
        <v>2.94</v>
      </c>
      <c r="E31" s="13" t="n">
        <f aca="false">IF(Prüfungen!$B$4=0,(IFERROR(SUMIF(Nutzungsprofile!$B$17:$B$22,"Schulbetrieb",Nutzungsprofile!$G$17:$G$22)*Kalender!C31/SUM(Kalender!$C$5:$C$370),0)+IFERROR(SUMIF(Nutzungsprofile!$B$17:$B$22,"Halle",Nutzungsprofile!$G$17:$G$22)*Kalender!D31/SUM(Kalender!$D$5:$D$370),0)+IFERROR(SUMIF(Nutzungsprofile!$B$17:$B$22,"Individuell",Nutzungsprofile!$G$17:$G$22)*Kalender!E31/SUM(Kalender!$E$5:$E$370),0)),0)</f>
        <v>4.94</v>
      </c>
      <c r="F31" s="13" t="n">
        <f aca="false">IFERROR(MIN(D31,Eingaben!$B$17)*Eingaben!$B$16,0)</f>
        <v>2.793</v>
      </c>
      <c r="G31" s="13" t="n">
        <f aca="false">IFERROR(F31*Eingaben!$B$15,0)</f>
        <v>2.5137</v>
      </c>
      <c r="H31" s="13" t="n">
        <f aca="false">IFERROR(Q31*(1-Eingaben!$B$20),0)</f>
        <v>0.7390278</v>
      </c>
      <c r="I31" s="13" t="n">
        <f aca="false">MIN(H31,E31)</f>
        <v>0.7390278</v>
      </c>
      <c r="J31" s="13" t="n">
        <f aca="false">IFERROR(MIN(G31*Eingaben!$B$19,MAX(0,E31-I31)),0)</f>
        <v>1.75959</v>
      </c>
      <c r="K31" s="13" t="n">
        <f aca="false">IFERROR(MIN(Eingaben!$B$18,MAX(0,G31-J31)),0)</f>
        <v>0.75411</v>
      </c>
      <c r="L31" s="13" t="n">
        <f aca="false">I31+J31</f>
        <v>2.4986178</v>
      </c>
      <c r="M31" s="13" t="n">
        <f aca="false">MAX(0,E31-L31)</f>
        <v>2.4413822</v>
      </c>
      <c r="N31" s="13" t="n">
        <f aca="false">MAX(0,G31-J31-K31)</f>
        <v>0</v>
      </c>
      <c r="O31" s="13" t="n">
        <f aca="false">Q31-I31</f>
        <v>0.0150822</v>
      </c>
      <c r="P31" s="13" t="n">
        <f aca="false">G31+Q31-L31-N31-O31-K31</f>
        <v>0</v>
      </c>
      <c r="Q31" s="13" t="n">
        <f aca="false">IF(A31="",0,K30)</f>
        <v>0.75411</v>
      </c>
    </row>
    <row r="32" customFormat="false" ht="16.4" hidden="false" customHeight="false" outlineLevel="0" collapsed="false">
      <c r="A32" s="23" t="n">
        <f aca="false">Kalender!A32</f>
        <v>46050</v>
      </c>
      <c r="B32" s="13" t="n">
        <f aca="false">Kalender!C32</f>
        <v>1</v>
      </c>
      <c r="C32" s="13" t="n">
        <f aca="false">Kalender!D32</f>
        <v>1</v>
      </c>
      <c r="D32" s="13" t="n">
        <f aca="false">IF(Prüfungen!$B$4=0,(IFERROR(SUMIF(Nutzungsprofile!$B$6:$B$11,"Schulbetrieb",Nutzungsprofile!$G$6:$G$11)*Kalender!C32/SUM(Kalender!$C$5:$C$370),0)+IFERROR(SUMIF(Nutzungsprofile!$B$6:$B$11,"Halle",Nutzungsprofile!$G$6:$G$11)*Kalender!D32/SUM(Kalender!$D$5:$D$370),0)+IFERROR(SUMIF(Nutzungsprofile!$B$6:$B$11,"Individuell",Nutzungsprofile!$G$6:$G$11)*Kalender!E32/SUM(Kalender!$E$5:$E$370),0)),0)</f>
        <v>2.94</v>
      </c>
      <c r="E32" s="13" t="n">
        <f aca="false">IF(Prüfungen!$B$4=0,(IFERROR(SUMIF(Nutzungsprofile!$B$17:$B$22,"Schulbetrieb",Nutzungsprofile!$G$17:$G$22)*Kalender!C32/SUM(Kalender!$C$5:$C$370),0)+IFERROR(SUMIF(Nutzungsprofile!$B$17:$B$22,"Halle",Nutzungsprofile!$G$17:$G$22)*Kalender!D32/SUM(Kalender!$D$5:$D$370),0)+IFERROR(SUMIF(Nutzungsprofile!$B$17:$B$22,"Individuell",Nutzungsprofile!$G$17:$G$22)*Kalender!E32/SUM(Kalender!$E$5:$E$370),0)),0)</f>
        <v>4.94</v>
      </c>
      <c r="F32" s="13" t="n">
        <f aca="false">IFERROR(MIN(D32,Eingaben!$B$17)*Eingaben!$B$16,0)</f>
        <v>2.793</v>
      </c>
      <c r="G32" s="13" t="n">
        <f aca="false">IFERROR(F32*Eingaben!$B$15,0)</f>
        <v>2.5137</v>
      </c>
      <c r="H32" s="13" t="n">
        <f aca="false">IFERROR(Q32*(1-Eingaben!$B$20),0)</f>
        <v>0.7390278</v>
      </c>
      <c r="I32" s="13" t="n">
        <f aca="false">MIN(H32,E32)</f>
        <v>0.7390278</v>
      </c>
      <c r="J32" s="13" t="n">
        <f aca="false">IFERROR(MIN(G32*Eingaben!$B$19,MAX(0,E32-I32)),0)</f>
        <v>1.75959</v>
      </c>
      <c r="K32" s="13" t="n">
        <f aca="false">IFERROR(MIN(Eingaben!$B$18,MAX(0,G32-J32)),0)</f>
        <v>0.75411</v>
      </c>
      <c r="L32" s="13" t="n">
        <f aca="false">I32+J32</f>
        <v>2.4986178</v>
      </c>
      <c r="M32" s="13" t="n">
        <f aca="false">MAX(0,E32-L32)</f>
        <v>2.4413822</v>
      </c>
      <c r="N32" s="13" t="n">
        <f aca="false">MAX(0,G32-J32-K32)</f>
        <v>0</v>
      </c>
      <c r="O32" s="13" t="n">
        <f aca="false">Q32-I32</f>
        <v>0.0150822</v>
      </c>
      <c r="P32" s="13" t="n">
        <f aca="false">G32+Q32-L32-N32-O32-K32</f>
        <v>0</v>
      </c>
      <c r="Q32" s="13" t="n">
        <f aca="false">IF(A32="",0,K31)</f>
        <v>0.75411</v>
      </c>
    </row>
    <row r="33" customFormat="false" ht="16.4" hidden="false" customHeight="false" outlineLevel="0" collapsed="false">
      <c r="A33" s="23" t="n">
        <f aca="false">Kalender!A33</f>
        <v>46051</v>
      </c>
      <c r="B33" s="13" t="n">
        <f aca="false">Kalender!C33</f>
        <v>1</v>
      </c>
      <c r="C33" s="13" t="n">
        <f aca="false">Kalender!D33</f>
        <v>1</v>
      </c>
      <c r="D33" s="13" t="n">
        <f aca="false">IF(Prüfungen!$B$4=0,(IFERROR(SUMIF(Nutzungsprofile!$B$6:$B$11,"Schulbetrieb",Nutzungsprofile!$G$6:$G$11)*Kalender!C33/SUM(Kalender!$C$5:$C$370),0)+IFERROR(SUMIF(Nutzungsprofile!$B$6:$B$11,"Halle",Nutzungsprofile!$G$6:$G$11)*Kalender!D33/SUM(Kalender!$D$5:$D$370),0)+IFERROR(SUMIF(Nutzungsprofile!$B$6:$B$11,"Individuell",Nutzungsprofile!$G$6:$G$11)*Kalender!E33/SUM(Kalender!$E$5:$E$370),0)),0)</f>
        <v>2.94</v>
      </c>
      <c r="E33" s="13" t="n">
        <f aca="false">IF(Prüfungen!$B$4=0,(IFERROR(SUMIF(Nutzungsprofile!$B$17:$B$22,"Schulbetrieb",Nutzungsprofile!$G$17:$G$22)*Kalender!C33/SUM(Kalender!$C$5:$C$370),0)+IFERROR(SUMIF(Nutzungsprofile!$B$17:$B$22,"Halle",Nutzungsprofile!$G$17:$G$22)*Kalender!D33/SUM(Kalender!$D$5:$D$370),0)+IFERROR(SUMIF(Nutzungsprofile!$B$17:$B$22,"Individuell",Nutzungsprofile!$G$17:$G$22)*Kalender!E33/SUM(Kalender!$E$5:$E$370),0)),0)</f>
        <v>4.94</v>
      </c>
      <c r="F33" s="13" t="n">
        <f aca="false">IFERROR(MIN(D33,Eingaben!$B$17)*Eingaben!$B$16,0)</f>
        <v>2.793</v>
      </c>
      <c r="G33" s="13" t="n">
        <f aca="false">IFERROR(F33*Eingaben!$B$15,0)</f>
        <v>2.5137</v>
      </c>
      <c r="H33" s="13" t="n">
        <f aca="false">IFERROR(Q33*(1-Eingaben!$B$20),0)</f>
        <v>0.7390278</v>
      </c>
      <c r="I33" s="13" t="n">
        <f aca="false">MIN(H33,E33)</f>
        <v>0.7390278</v>
      </c>
      <c r="J33" s="13" t="n">
        <f aca="false">IFERROR(MIN(G33*Eingaben!$B$19,MAX(0,E33-I33)),0)</f>
        <v>1.75959</v>
      </c>
      <c r="K33" s="13" t="n">
        <f aca="false">IFERROR(MIN(Eingaben!$B$18,MAX(0,G33-J33)),0)</f>
        <v>0.75411</v>
      </c>
      <c r="L33" s="13" t="n">
        <f aca="false">I33+J33</f>
        <v>2.4986178</v>
      </c>
      <c r="M33" s="13" t="n">
        <f aca="false">MAX(0,E33-L33)</f>
        <v>2.4413822</v>
      </c>
      <c r="N33" s="13" t="n">
        <f aca="false">MAX(0,G33-J33-K33)</f>
        <v>0</v>
      </c>
      <c r="O33" s="13" t="n">
        <f aca="false">Q33-I33</f>
        <v>0.0150822</v>
      </c>
      <c r="P33" s="13" t="n">
        <f aca="false">G33+Q33-L33-N33-O33-K33</f>
        <v>0</v>
      </c>
      <c r="Q33" s="13" t="n">
        <f aca="false">IF(A33="",0,K32)</f>
        <v>0.75411</v>
      </c>
    </row>
    <row r="34" customFormat="false" ht="16.4" hidden="false" customHeight="false" outlineLevel="0" collapsed="false">
      <c r="A34" s="23" t="n">
        <f aca="false">Kalender!A34</f>
        <v>46052</v>
      </c>
      <c r="B34" s="13" t="n">
        <f aca="false">Kalender!C34</f>
        <v>1</v>
      </c>
      <c r="C34" s="13" t="n">
        <f aca="false">Kalender!D34</f>
        <v>1</v>
      </c>
      <c r="D34" s="13" t="n">
        <f aca="false">IF(Prüfungen!$B$4=0,(IFERROR(SUMIF(Nutzungsprofile!$B$6:$B$11,"Schulbetrieb",Nutzungsprofile!$G$6:$G$11)*Kalender!C34/SUM(Kalender!$C$5:$C$370),0)+IFERROR(SUMIF(Nutzungsprofile!$B$6:$B$11,"Halle",Nutzungsprofile!$G$6:$G$11)*Kalender!D34/SUM(Kalender!$D$5:$D$370),0)+IFERROR(SUMIF(Nutzungsprofile!$B$6:$B$11,"Individuell",Nutzungsprofile!$G$6:$G$11)*Kalender!E34/SUM(Kalender!$E$5:$E$370),0)),0)</f>
        <v>2.94</v>
      </c>
      <c r="E34" s="13" t="n">
        <f aca="false">IF(Prüfungen!$B$4=0,(IFERROR(SUMIF(Nutzungsprofile!$B$17:$B$22,"Schulbetrieb",Nutzungsprofile!$G$17:$G$22)*Kalender!C34/SUM(Kalender!$C$5:$C$370),0)+IFERROR(SUMIF(Nutzungsprofile!$B$17:$B$22,"Halle",Nutzungsprofile!$G$17:$G$22)*Kalender!D34/SUM(Kalender!$D$5:$D$370),0)+IFERROR(SUMIF(Nutzungsprofile!$B$17:$B$22,"Individuell",Nutzungsprofile!$G$17:$G$22)*Kalender!E34/SUM(Kalender!$E$5:$E$370),0)),0)</f>
        <v>4.94</v>
      </c>
      <c r="F34" s="13" t="n">
        <f aca="false">IFERROR(MIN(D34,Eingaben!$B$17)*Eingaben!$B$16,0)</f>
        <v>2.793</v>
      </c>
      <c r="G34" s="13" t="n">
        <f aca="false">IFERROR(F34*Eingaben!$B$15,0)</f>
        <v>2.5137</v>
      </c>
      <c r="H34" s="13" t="n">
        <f aca="false">IFERROR(Q34*(1-Eingaben!$B$20),0)</f>
        <v>0.7390278</v>
      </c>
      <c r="I34" s="13" t="n">
        <f aca="false">MIN(H34,E34)</f>
        <v>0.7390278</v>
      </c>
      <c r="J34" s="13" t="n">
        <f aca="false">IFERROR(MIN(G34*Eingaben!$B$19,MAX(0,E34-I34)),0)</f>
        <v>1.75959</v>
      </c>
      <c r="K34" s="13" t="n">
        <f aca="false">IFERROR(MIN(Eingaben!$B$18,MAX(0,G34-J34)),0)</f>
        <v>0.75411</v>
      </c>
      <c r="L34" s="13" t="n">
        <f aca="false">I34+J34</f>
        <v>2.4986178</v>
      </c>
      <c r="M34" s="13" t="n">
        <f aca="false">MAX(0,E34-L34)</f>
        <v>2.4413822</v>
      </c>
      <c r="N34" s="13" t="n">
        <f aca="false">MAX(0,G34-J34-K34)</f>
        <v>0</v>
      </c>
      <c r="O34" s="13" t="n">
        <f aca="false">Q34-I34</f>
        <v>0.0150822</v>
      </c>
      <c r="P34" s="13" t="n">
        <f aca="false">G34+Q34-L34-N34-O34-K34</f>
        <v>0</v>
      </c>
      <c r="Q34" s="13" t="n">
        <f aca="false">IF(A34="",0,K33)</f>
        <v>0.75411</v>
      </c>
    </row>
    <row r="35" customFormat="false" ht="16.4" hidden="false" customHeight="false" outlineLevel="0" collapsed="false">
      <c r="A35" s="23" t="n">
        <f aca="false">Kalender!A35</f>
        <v>46053</v>
      </c>
      <c r="B35" s="13" t="n">
        <f aca="false">Kalender!C35</f>
        <v>0</v>
      </c>
      <c r="C35" s="13" t="n">
        <f aca="false">Kalender!D35</f>
        <v>1</v>
      </c>
      <c r="D35" s="13" t="n">
        <f aca="false">IF(Prüfungen!$B$4=0,(IFERROR(SUMIF(Nutzungsprofile!$B$6:$B$11,"Schulbetrieb",Nutzungsprofile!$G$6:$G$11)*Kalender!C35/SUM(Kalender!$C$5:$C$370),0)+IFERROR(SUMIF(Nutzungsprofile!$B$6:$B$11,"Halle",Nutzungsprofile!$G$6:$G$11)*Kalender!D35/SUM(Kalender!$D$5:$D$370),0)+IFERROR(SUMIF(Nutzungsprofile!$B$6:$B$11,"Individuell",Nutzungsprofile!$G$6:$G$11)*Kalender!E35/SUM(Kalender!$E$5:$E$370),0)),0)</f>
        <v>2.04</v>
      </c>
      <c r="E35" s="13" t="n">
        <f aca="false">IF(Prüfungen!$B$4=0,(IFERROR(SUMIF(Nutzungsprofile!$B$17:$B$22,"Schulbetrieb",Nutzungsprofile!$G$17:$G$22)*Kalender!C35/SUM(Kalender!$C$5:$C$370),0)+IFERROR(SUMIF(Nutzungsprofile!$B$17:$B$22,"Halle",Nutzungsprofile!$G$17:$G$22)*Kalender!D35/SUM(Kalender!$D$5:$D$370),0)+IFERROR(SUMIF(Nutzungsprofile!$B$17:$B$22,"Individuell",Nutzungsprofile!$G$17:$G$22)*Kalender!E35/SUM(Kalender!$E$5:$E$370),0)),0)</f>
        <v>0.89</v>
      </c>
      <c r="F35" s="13" t="n">
        <f aca="false">IFERROR(MIN(D35,Eingaben!$B$17)*Eingaben!$B$16,0)</f>
        <v>1.938</v>
      </c>
      <c r="G35" s="13" t="n">
        <f aca="false">IFERROR(F35*Eingaben!$B$15,0)</f>
        <v>1.7442</v>
      </c>
      <c r="H35" s="13" t="n">
        <f aca="false">IFERROR(Q35*(1-Eingaben!$B$20),0)</f>
        <v>0.7390278</v>
      </c>
      <c r="I35" s="13" t="n">
        <f aca="false">MIN(H35,E35)</f>
        <v>0.7390278</v>
      </c>
      <c r="J35" s="13" t="n">
        <f aca="false">IFERROR(MIN(G35*Eingaben!$B$19,MAX(0,E35-I35)),0)</f>
        <v>0.1509722</v>
      </c>
      <c r="K35" s="13" t="n">
        <f aca="false">IFERROR(MIN(Eingaben!$B$18,MAX(0,G35-J35)),0)</f>
        <v>1.5932278</v>
      </c>
      <c r="L35" s="13" t="n">
        <f aca="false">I35+J35</f>
        <v>0.89</v>
      </c>
      <c r="M35" s="13" t="n">
        <f aca="false">MAX(0,E35-L35)</f>
        <v>0</v>
      </c>
      <c r="N35" s="13" t="n">
        <f aca="false">MAX(0,G35-J35-K35)</f>
        <v>0</v>
      </c>
      <c r="O35" s="13" t="n">
        <f aca="false">Q35-I35</f>
        <v>0.0150822</v>
      </c>
      <c r="P35" s="13" t="n">
        <f aca="false">G35+Q35-L35-N35-O35-K35</f>
        <v>0</v>
      </c>
      <c r="Q35" s="13" t="n">
        <f aca="false">IF(A35="",0,K34)</f>
        <v>0.75411</v>
      </c>
    </row>
    <row r="36" customFormat="false" ht="16.4" hidden="false" customHeight="false" outlineLevel="0" collapsed="false">
      <c r="A36" s="23" t="n">
        <f aca="false">Kalender!A36</f>
        <v>46054</v>
      </c>
      <c r="B36" s="13" t="n">
        <f aca="false">Kalender!C36</f>
        <v>0</v>
      </c>
      <c r="C36" s="13" t="n">
        <f aca="false">Kalender!D36</f>
        <v>1</v>
      </c>
      <c r="D36" s="13" t="n">
        <f aca="false">IF(Prüfungen!$B$4=0,(IFERROR(SUMIF(Nutzungsprofile!$B$6:$B$11,"Schulbetrieb",Nutzungsprofile!$G$6:$G$11)*Kalender!C36/SUM(Kalender!$C$5:$C$370),0)+IFERROR(SUMIF(Nutzungsprofile!$B$6:$B$11,"Halle",Nutzungsprofile!$G$6:$G$11)*Kalender!D36/SUM(Kalender!$D$5:$D$370),0)+IFERROR(SUMIF(Nutzungsprofile!$B$6:$B$11,"Individuell",Nutzungsprofile!$G$6:$G$11)*Kalender!E36/SUM(Kalender!$E$5:$E$370),0)),0)</f>
        <v>2.04</v>
      </c>
      <c r="E36" s="13" t="n">
        <f aca="false">IF(Prüfungen!$B$4=0,(IFERROR(SUMIF(Nutzungsprofile!$B$17:$B$22,"Schulbetrieb",Nutzungsprofile!$G$17:$G$22)*Kalender!C36/SUM(Kalender!$C$5:$C$370),0)+IFERROR(SUMIF(Nutzungsprofile!$B$17:$B$22,"Halle",Nutzungsprofile!$G$17:$G$22)*Kalender!D36/SUM(Kalender!$D$5:$D$370),0)+IFERROR(SUMIF(Nutzungsprofile!$B$17:$B$22,"Individuell",Nutzungsprofile!$G$17:$G$22)*Kalender!E36/SUM(Kalender!$E$5:$E$370),0)),0)</f>
        <v>0.89</v>
      </c>
      <c r="F36" s="13" t="n">
        <f aca="false">IFERROR(MIN(D36,Eingaben!$B$17)*Eingaben!$B$16,0)</f>
        <v>1.938</v>
      </c>
      <c r="G36" s="13" t="n">
        <f aca="false">IFERROR(F36*Eingaben!$B$15,0)</f>
        <v>1.7442</v>
      </c>
      <c r="H36" s="13" t="n">
        <f aca="false">IFERROR(Q36*(1-Eingaben!$B$20),0)</f>
        <v>1.561363244</v>
      </c>
      <c r="I36" s="13" t="n">
        <f aca="false">MIN(H36,E36)</f>
        <v>0.89</v>
      </c>
      <c r="J36" s="13" t="n">
        <f aca="false">IFERROR(MIN(G36*Eingaben!$B$19,MAX(0,E36-I36)),0)</f>
        <v>0</v>
      </c>
      <c r="K36" s="13" t="n">
        <f aca="false">IFERROR(MIN(Eingaben!$B$18,MAX(0,G36-J36)),0)</f>
        <v>1.7442</v>
      </c>
      <c r="L36" s="13" t="n">
        <f aca="false">I36+J36</f>
        <v>0.89</v>
      </c>
      <c r="M36" s="13" t="n">
        <f aca="false">MAX(0,E36-L36)</f>
        <v>0</v>
      </c>
      <c r="N36" s="13" t="n">
        <f aca="false">MAX(0,G36-J36-K36)</f>
        <v>0</v>
      </c>
      <c r="O36" s="13" t="n">
        <f aca="false">Q36-I36</f>
        <v>0.7032278</v>
      </c>
      <c r="P36" s="13" t="n">
        <f aca="false">G36+Q36-L36-N36-O36-K36</f>
        <v>0</v>
      </c>
      <c r="Q36" s="13" t="n">
        <f aca="false">IF(A36="",0,K35)</f>
        <v>1.5932278</v>
      </c>
    </row>
    <row r="37" customFormat="false" ht="16.4" hidden="false" customHeight="false" outlineLevel="0" collapsed="false">
      <c r="A37" s="23" t="n">
        <f aca="false">Kalender!A37</f>
        <v>46055</v>
      </c>
      <c r="B37" s="13" t="n">
        <f aca="false">Kalender!C37</f>
        <v>1</v>
      </c>
      <c r="C37" s="13" t="n">
        <f aca="false">Kalender!D37</f>
        <v>1</v>
      </c>
      <c r="D37" s="13" t="n">
        <f aca="false">IF(Prüfungen!$B$4=0,(IFERROR(SUMIF(Nutzungsprofile!$B$6:$B$11,"Schulbetrieb",Nutzungsprofile!$G$6:$G$11)*Kalender!C37/SUM(Kalender!$C$5:$C$370),0)+IFERROR(SUMIF(Nutzungsprofile!$B$6:$B$11,"Halle",Nutzungsprofile!$G$6:$G$11)*Kalender!D37/SUM(Kalender!$D$5:$D$370),0)+IFERROR(SUMIF(Nutzungsprofile!$B$6:$B$11,"Individuell",Nutzungsprofile!$G$6:$G$11)*Kalender!E37/SUM(Kalender!$E$5:$E$370),0)),0)</f>
        <v>2.94</v>
      </c>
      <c r="E37" s="13" t="n">
        <f aca="false">IF(Prüfungen!$B$4=0,(IFERROR(SUMIF(Nutzungsprofile!$B$17:$B$22,"Schulbetrieb",Nutzungsprofile!$G$17:$G$22)*Kalender!C37/SUM(Kalender!$C$5:$C$370),0)+IFERROR(SUMIF(Nutzungsprofile!$B$17:$B$22,"Halle",Nutzungsprofile!$G$17:$G$22)*Kalender!D37/SUM(Kalender!$D$5:$D$370),0)+IFERROR(SUMIF(Nutzungsprofile!$B$17:$B$22,"Individuell",Nutzungsprofile!$G$17:$G$22)*Kalender!E37/SUM(Kalender!$E$5:$E$370),0)),0)</f>
        <v>4.94</v>
      </c>
      <c r="F37" s="13" t="n">
        <f aca="false">IFERROR(MIN(D37,Eingaben!$B$17)*Eingaben!$B$16,0)</f>
        <v>2.793</v>
      </c>
      <c r="G37" s="13" t="n">
        <f aca="false">IFERROR(F37*Eingaben!$B$15,0)</f>
        <v>2.5137</v>
      </c>
      <c r="H37" s="13" t="n">
        <f aca="false">IFERROR(Q37*(1-Eingaben!$B$20),0)</f>
        <v>1.709316</v>
      </c>
      <c r="I37" s="13" t="n">
        <f aca="false">MIN(H37,E37)</f>
        <v>1.709316</v>
      </c>
      <c r="J37" s="13" t="n">
        <f aca="false">IFERROR(MIN(G37*Eingaben!$B$19,MAX(0,E37-I37)),0)</f>
        <v>1.75959</v>
      </c>
      <c r="K37" s="13" t="n">
        <f aca="false">IFERROR(MIN(Eingaben!$B$18,MAX(0,G37-J37)),0)</f>
        <v>0.75411</v>
      </c>
      <c r="L37" s="13" t="n">
        <f aca="false">I37+J37</f>
        <v>3.468906</v>
      </c>
      <c r="M37" s="13" t="n">
        <f aca="false">MAX(0,E37-L37)</f>
        <v>1.471094</v>
      </c>
      <c r="N37" s="13" t="n">
        <f aca="false">MAX(0,G37-J37-K37)</f>
        <v>0</v>
      </c>
      <c r="O37" s="13" t="n">
        <f aca="false">Q37-I37</f>
        <v>0.0348840000000001</v>
      </c>
      <c r="P37" s="13" t="n">
        <f aca="false">G37+Q37-L37-N37-O37-K37</f>
        <v>0</v>
      </c>
      <c r="Q37" s="13" t="n">
        <f aca="false">IF(A37="",0,K36)</f>
        <v>1.7442</v>
      </c>
    </row>
    <row r="38" customFormat="false" ht="16.4" hidden="false" customHeight="false" outlineLevel="0" collapsed="false">
      <c r="A38" s="23" t="n">
        <f aca="false">Kalender!A38</f>
        <v>46056</v>
      </c>
      <c r="B38" s="13" t="n">
        <f aca="false">Kalender!C38</f>
        <v>1</v>
      </c>
      <c r="C38" s="13" t="n">
        <f aca="false">Kalender!D38</f>
        <v>1</v>
      </c>
      <c r="D38" s="13" t="n">
        <f aca="false">IF(Prüfungen!$B$4=0,(IFERROR(SUMIF(Nutzungsprofile!$B$6:$B$11,"Schulbetrieb",Nutzungsprofile!$G$6:$G$11)*Kalender!C38/SUM(Kalender!$C$5:$C$370),0)+IFERROR(SUMIF(Nutzungsprofile!$B$6:$B$11,"Halle",Nutzungsprofile!$G$6:$G$11)*Kalender!D38/SUM(Kalender!$D$5:$D$370),0)+IFERROR(SUMIF(Nutzungsprofile!$B$6:$B$11,"Individuell",Nutzungsprofile!$G$6:$G$11)*Kalender!E38/SUM(Kalender!$E$5:$E$370),0)),0)</f>
        <v>2.94</v>
      </c>
      <c r="E38" s="13" t="n">
        <f aca="false">IF(Prüfungen!$B$4=0,(IFERROR(SUMIF(Nutzungsprofile!$B$17:$B$22,"Schulbetrieb",Nutzungsprofile!$G$17:$G$22)*Kalender!C38/SUM(Kalender!$C$5:$C$370),0)+IFERROR(SUMIF(Nutzungsprofile!$B$17:$B$22,"Halle",Nutzungsprofile!$G$17:$G$22)*Kalender!D38/SUM(Kalender!$D$5:$D$370),0)+IFERROR(SUMIF(Nutzungsprofile!$B$17:$B$22,"Individuell",Nutzungsprofile!$G$17:$G$22)*Kalender!E38/SUM(Kalender!$E$5:$E$370),0)),0)</f>
        <v>4.94</v>
      </c>
      <c r="F38" s="13" t="n">
        <f aca="false">IFERROR(MIN(D38,Eingaben!$B$17)*Eingaben!$B$16,0)</f>
        <v>2.793</v>
      </c>
      <c r="G38" s="13" t="n">
        <f aca="false">IFERROR(F38*Eingaben!$B$15,0)</f>
        <v>2.5137</v>
      </c>
      <c r="H38" s="13" t="n">
        <f aca="false">IFERROR(Q38*(1-Eingaben!$B$20),0)</f>
        <v>0.7390278</v>
      </c>
      <c r="I38" s="13" t="n">
        <f aca="false">MIN(H38,E38)</f>
        <v>0.7390278</v>
      </c>
      <c r="J38" s="13" t="n">
        <f aca="false">IFERROR(MIN(G38*Eingaben!$B$19,MAX(0,E38-I38)),0)</f>
        <v>1.75959</v>
      </c>
      <c r="K38" s="13" t="n">
        <f aca="false">IFERROR(MIN(Eingaben!$B$18,MAX(0,G38-J38)),0)</f>
        <v>0.75411</v>
      </c>
      <c r="L38" s="13" t="n">
        <f aca="false">I38+J38</f>
        <v>2.4986178</v>
      </c>
      <c r="M38" s="13" t="n">
        <f aca="false">MAX(0,E38-L38)</f>
        <v>2.4413822</v>
      </c>
      <c r="N38" s="13" t="n">
        <f aca="false">MAX(0,G38-J38-K38)</f>
        <v>0</v>
      </c>
      <c r="O38" s="13" t="n">
        <f aca="false">Q38-I38</f>
        <v>0.0150822</v>
      </c>
      <c r="P38" s="13" t="n">
        <f aca="false">G38+Q38-L38-N38-O38-K38</f>
        <v>0</v>
      </c>
      <c r="Q38" s="13" t="n">
        <f aca="false">IF(A38="",0,K37)</f>
        <v>0.75411</v>
      </c>
    </row>
    <row r="39" customFormat="false" ht="16.4" hidden="false" customHeight="false" outlineLevel="0" collapsed="false">
      <c r="A39" s="23" t="n">
        <f aca="false">Kalender!A39</f>
        <v>46057</v>
      </c>
      <c r="B39" s="13" t="n">
        <f aca="false">Kalender!C39</f>
        <v>1</v>
      </c>
      <c r="C39" s="13" t="n">
        <f aca="false">Kalender!D39</f>
        <v>1</v>
      </c>
      <c r="D39" s="13" t="n">
        <f aca="false">IF(Prüfungen!$B$4=0,(IFERROR(SUMIF(Nutzungsprofile!$B$6:$B$11,"Schulbetrieb",Nutzungsprofile!$G$6:$G$11)*Kalender!C39/SUM(Kalender!$C$5:$C$370),0)+IFERROR(SUMIF(Nutzungsprofile!$B$6:$B$11,"Halle",Nutzungsprofile!$G$6:$G$11)*Kalender!D39/SUM(Kalender!$D$5:$D$370),0)+IFERROR(SUMIF(Nutzungsprofile!$B$6:$B$11,"Individuell",Nutzungsprofile!$G$6:$G$11)*Kalender!E39/SUM(Kalender!$E$5:$E$370),0)),0)</f>
        <v>2.94</v>
      </c>
      <c r="E39" s="13" t="n">
        <f aca="false">IF(Prüfungen!$B$4=0,(IFERROR(SUMIF(Nutzungsprofile!$B$17:$B$22,"Schulbetrieb",Nutzungsprofile!$G$17:$G$22)*Kalender!C39/SUM(Kalender!$C$5:$C$370),0)+IFERROR(SUMIF(Nutzungsprofile!$B$17:$B$22,"Halle",Nutzungsprofile!$G$17:$G$22)*Kalender!D39/SUM(Kalender!$D$5:$D$370),0)+IFERROR(SUMIF(Nutzungsprofile!$B$17:$B$22,"Individuell",Nutzungsprofile!$G$17:$G$22)*Kalender!E39/SUM(Kalender!$E$5:$E$370),0)),0)</f>
        <v>4.94</v>
      </c>
      <c r="F39" s="13" t="n">
        <f aca="false">IFERROR(MIN(D39,Eingaben!$B$17)*Eingaben!$B$16,0)</f>
        <v>2.793</v>
      </c>
      <c r="G39" s="13" t="n">
        <f aca="false">IFERROR(F39*Eingaben!$B$15,0)</f>
        <v>2.5137</v>
      </c>
      <c r="H39" s="13" t="n">
        <f aca="false">IFERROR(Q39*(1-Eingaben!$B$20),0)</f>
        <v>0.7390278</v>
      </c>
      <c r="I39" s="13" t="n">
        <f aca="false">MIN(H39,E39)</f>
        <v>0.7390278</v>
      </c>
      <c r="J39" s="13" t="n">
        <f aca="false">IFERROR(MIN(G39*Eingaben!$B$19,MAX(0,E39-I39)),0)</f>
        <v>1.75959</v>
      </c>
      <c r="K39" s="13" t="n">
        <f aca="false">IFERROR(MIN(Eingaben!$B$18,MAX(0,G39-J39)),0)</f>
        <v>0.75411</v>
      </c>
      <c r="L39" s="13" t="n">
        <f aca="false">I39+J39</f>
        <v>2.4986178</v>
      </c>
      <c r="M39" s="13" t="n">
        <f aca="false">MAX(0,E39-L39)</f>
        <v>2.4413822</v>
      </c>
      <c r="N39" s="13" t="n">
        <f aca="false">MAX(0,G39-J39-K39)</f>
        <v>0</v>
      </c>
      <c r="O39" s="13" t="n">
        <f aca="false">Q39-I39</f>
        <v>0.0150822</v>
      </c>
      <c r="P39" s="13" t="n">
        <f aca="false">G39+Q39-L39-N39-O39-K39</f>
        <v>0</v>
      </c>
      <c r="Q39" s="13" t="n">
        <f aca="false">IF(A39="",0,K38)</f>
        <v>0.75411</v>
      </c>
    </row>
    <row r="40" customFormat="false" ht="16.4" hidden="false" customHeight="false" outlineLevel="0" collapsed="false">
      <c r="A40" s="23" t="n">
        <f aca="false">Kalender!A40</f>
        <v>46058</v>
      </c>
      <c r="B40" s="13" t="n">
        <f aca="false">Kalender!C40</f>
        <v>1</v>
      </c>
      <c r="C40" s="13" t="n">
        <f aca="false">Kalender!D40</f>
        <v>1</v>
      </c>
      <c r="D40" s="13" t="n">
        <f aca="false">IF(Prüfungen!$B$4=0,(IFERROR(SUMIF(Nutzungsprofile!$B$6:$B$11,"Schulbetrieb",Nutzungsprofile!$G$6:$G$11)*Kalender!C40/SUM(Kalender!$C$5:$C$370),0)+IFERROR(SUMIF(Nutzungsprofile!$B$6:$B$11,"Halle",Nutzungsprofile!$G$6:$G$11)*Kalender!D40/SUM(Kalender!$D$5:$D$370),0)+IFERROR(SUMIF(Nutzungsprofile!$B$6:$B$11,"Individuell",Nutzungsprofile!$G$6:$G$11)*Kalender!E40/SUM(Kalender!$E$5:$E$370),0)),0)</f>
        <v>2.94</v>
      </c>
      <c r="E40" s="13" t="n">
        <f aca="false">IF(Prüfungen!$B$4=0,(IFERROR(SUMIF(Nutzungsprofile!$B$17:$B$22,"Schulbetrieb",Nutzungsprofile!$G$17:$G$22)*Kalender!C40/SUM(Kalender!$C$5:$C$370),0)+IFERROR(SUMIF(Nutzungsprofile!$B$17:$B$22,"Halle",Nutzungsprofile!$G$17:$G$22)*Kalender!D40/SUM(Kalender!$D$5:$D$370),0)+IFERROR(SUMIF(Nutzungsprofile!$B$17:$B$22,"Individuell",Nutzungsprofile!$G$17:$G$22)*Kalender!E40/SUM(Kalender!$E$5:$E$370),0)),0)</f>
        <v>4.94</v>
      </c>
      <c r="F40" s="13" t="n">
        <f aca="false">IFERROR(MIN(D40,Eingaben!$B$17)*Eingaben!$B$16,0)</f>
        <v>2.793</v>
      </c>
      <c r="G40" s="13" t="n">
        <f aca="false">IFERROR(F40*Eingaben!$B$15,0)</f>
        <v>2.5137</v>
      </c>
      <c r="H40" s="13" t="n">
        <f aca="false">IFERROR(Q40*(1-Eingaben!$B$20),0)</f>
        <v>0.7390278</v>
      </c>
      <c r="I40" s="13" t="n">
        <f aca="false">MIN(H40,E40)</f>
        <v>0.7390278</v>
      </c>
      <c r="J40" s="13" t="n">
        <f aca="false">IFERROR(MIN(G40*Eingaben!$B$19,MAX(0,E40-I40)),0)</f>
        <v>1.75959</v>
      </c>
      <c r="K40" s="13" t="n">
        <f aca="false">IFERROR(MIN(Eingaben!$B$18,MAX(0,G40-J40)),0)</f>
        <v>0.75411</v>
      </c>
      <c r="L40" s="13" t="n">
        <f aca="false">I40+J40</f>
        <v>2.4986178</v>
      </c>
      <c r="M40" s="13" t="n">
        <f aca="false">MAX(0,E40-L40)</f>
        <v>2.4413822</v>
      </c>
      <c r="N40" s="13" t="n">
        <f aca="false">MAX(0,G40-J40-K40)</f>
        <v>0</v>
      </c>
      <c r="O40" s="13" t="n">
        <f aca="false">Q40-I40</f>
        <v>0.0150822</v>
      </c>
      <c r="P40" s="13" t="n">
        <f aca="false">G40+Q40-L40-N40-O40-K40</f>
        <v>0</v>
      </c>
      <c r="Q40" s="13" t="n">
        <f aca="false">IF(A40="",0,K39)</f>
        <v>0.75411</v>
      </c>
    </row>
    <row r="41" customFormat="false" ht="16.4" hidden="false" customHeight="false" outlineLevel="0" collapsed="false">
      <c r="A41" s="23" t="n">
        <f aca="false">Kalender!A41</f>
        <v>46059</v>
      </c>
      <c r="B41" s="13" t="n">
        <f aca="false">Kalender!C41</f>
        <v>1</v>
      </c>
      <c r="C41" s="13" t="n">
        <f aca="false">Kalender!D41</f>
        <v>1</v>
      </c>
      <c r="D41" s="13" t="n">
        <f aca="false">IF(Prüfungen!$B$4=0,(IFERROR(SUMIF(Nutzungsprofile!$B$6:$B$11,"Schulbetrieb",Nutzungsprofile!$G$6:$G$11)*Kalender!C41/SUM(Kalender!$C$5:$C$370),0)+IFERROR(SUMIF(Nutzungsprofile!$B$6:$B$11,"Halle",Nutzungsprofile!$G$6:$G$11)*Kalender!D41/SUM(Kalender!$D$5:$D$370),0)+IFERROR(SUMIF(Nutzungsprofile!$B$6:$B$11,"Individuell",Nutzungsprofile!$G$6:$G$11)*Kalender!E41/SUM(Kalender!$E$5:$E$370),0)),0)</f>
        <v>2.94</v>
      </c>
      <c r="E41" s="13" t="n">
        <f aca="false">IF(Prüfungen!$B$4=0,(IFERROR(SUMIF(Nutzungsprofile!$B$17:$B$22,"Schulbetrieb",Nutzungsprofile!$G$17:$G$22)*Kalender!C41/SUM(Kalender!$C$5:$C$370),0)+IFERROR(SUMIF(Nutzungsprofile!$B$17:$B$22,"Halle",Nutzungsprofile!$G$17:$G$22)*Kalender!D41/SUM(Kalender!$D$5:$D$370),0)+IFERROR(SUMIF(Nutzungsprofile!$B$17:$B$22,"Individuell",Nutzungsprofile!$G$17:$G$22)*Kalender!E41/SUM(Kalender!$E$5:$E$370),0)),0)</f>
        <v>4.94</v>
      </c>
      <c r="F41" s="13" t="n">
        <f aca="false">IFERROR(MIN(D41,Eingaben!$B$17)*Eingaben!$B$16,0)</f>
        <v>2.793</v>
      </c>
      <c r="G41" s="13" t="n">
        <f aca="false">IFERROR(F41*Eingaben!$B$15,0)</f>
        <v>2.5137</v>
      </c>
      <c r="H41" s="13" t="n">
        <f aca="false">IFERROR(Q41*(1-Eingaben!$B$20),0)</f>
        <v>0.7390278</v>
      </c>
      <c r="I41" s="13" t="n">
        <f aca="false">MIN(H41,E41)</f>
        <v>0.7390278</v>
      </c>
      <c r="J41" s="13" t="n">
        <f aca="false">IFERROR(MIN(G41*Eingaben!$B$19,MAX(0,E41-I41)),0)</f>
        <v>1.75959</v>
      </c>
      <c r="K41" s="13" t="n">
        <f aca="false">IFERROR(MIN(Eingaben!$B$18,MAX(0,G41-J41)),0)</f>
        <v>0.75411</v>
      </c>
      <c r="L41" s="13" t="n">
        <f aca="false">I41+J41</f>
        <v>2.4986178</v>
      </c>
      <c r="M41" s="13" t="n">
        <f aca="false">MAX(0,E41-L41)</f>
        <v>2.4413822</v>
      </c>
      <c r="N41" s="13" t="n">
        <f aca="false">MAX(0,G41-J41-K41)</f>
        <v>0</v>
      </c>
      <c r="O41" s="13" t="n">
        <f aca="false">Q41-I41</f>
        <v>0.0150822</v>
      </c>
      <c r="P41" s="13" t="n">
        <f aca="false">G41+Q41-L41-N41-O41-K41</f>
        <v>0</v>
      </c>
      <c r="Q41" s="13" t="n">
        <f aca="false">IF(A41="",0,K40)</f>
        <v>0.75411</v>
      </c>
    </row>
    <row r="42" customFormat="false" ht="16.4" hidden="false" customHeight="false" outlineLevel="0" collapsed="false">
      <c r="A42" s="23" t="n">
        <f aca="false">Kalender!A42</f>
        <v>46060</v>
      </c>
      <c r="B42" s="13" t="n">
        <f aca="false">Kalender!C42</f>
        <v>0</v>
      </c>
      <c r="C42" s="13" t="n">
        <f aca="false">Kalender!D42</f>
        <v>1</v>
      </c>
      <c r="D42" s="13" t="n">
        <f aca="false">IF(Prüfungen!$B$4=0,(IFERROR(SUMIF(Nutzungsprofile!$B$6:$B$11,"Schulbetrieb",Nutzungsprofile!$G$6:$G$11)*Kalender!C42/SUM(Kalender!$C$5:$C$370),0)+IFERROR(SUMIF(Nutzungsprofile!$B$6:$B$11,"Halle",Nutzungsprofile!$G$6:$G$11)*Kalender!D42/SUM(Kalender!$D$5:$D$370),0)+IFERROR(SUMIF(Nutzungsprofile!$B$6:$B$11,"Individuell",Nutzungsprofile!$G$6:$G$11)*Kalender!E42/SUM(Kalender!$E$5:$E$370),0)),0)</f>
        <v>2.04</v>
      </c>
      <c r="E42" s="13" t="n">
        <f aca="false">IF(Prüfungen!$B$4=0,(IFERROR(SUMIF(Nutzungsprofile!$B$17:$B$22,"Schulbetrieb",Nutzungsprofile!$G$17:$G$22)*Kalender!C42/SUM(Kalender!$C$5:$C$370),0)+IFERROR(SUMIF(Nutzungsprofile!$B$17:$B$22,"Halle",Nutzungsprofile!$G$17:$G$22)*Kalender!D42/SUM(Kalender!$D$5:$D$370),0)+IFERROR(SUMIF(Nutzungsprofile!$B$17:$B$22,"Individuell",Nutzungsprofile!$G$17:$G$22)*Kalender!E42/SUM(Kalender!$E$5:$E$370),0)),0)</f>
        <v>0.89</v>
      </c>
      <c r="F42" s="13" t="n">
        <f aca="false">IFERROR(MIN(D42,Eingaben!$B$17)*Eingaben!$B$16,0)</f>
        <v>1.938</v>
      </c>
      <c r="G42" s="13" t="n">
        <f aca="false">IFERROR(F42*Eingaben!$B$15,0)</f>
        <v>1.7442</v>
      </c>
      <c r="H42" s="13" t="n">
        <f aca="false">IFERROR(Q42*(1-Eingaben!$B$20),0)</f>
        <v>0.7390278</v>
      </c>
      <c r="I42" s="13" t="n">
        <f aca="false">MIN(H42,E42)</f>
        <v>0.7390278</v>
      </c>
      <c r="J42" s="13" t="n">
        <f aca="false">IFERROR(MIN(G42*Eingaben!$B$19,MAX(0,E42-I42)),0)</f>
        <v>0.1509722</v>
      </c>
      <c r="K42" s="13" t="n">
        <f aca="false">IFERROR(MIN(Eingaben!$B$18,MAX(0,G42-J42)),0)</f>
        <v>1.5932278</v>
      </c>
      <c r="L42" s="13" t="n">
        <f aca="false">I42+J42</f>
        <v>0.89</v>
      </c>
      <c r="M42" s="13" t="n">
        <f aca="false">MAX(0,E42-L42)</f>
        <v>0</v>
      </c>
      <c r="N42" s="13" t="n">
        <f aca="false">MAX(0,G42-J42-K42)</f>
        <v>0</v>
      </c>
      <c r="O42" s="13" t="n">
        <f aca="false">Q42-I42</f>
        <v>0.0150822</v>
      </c>
      <c r="P42" s="13" t="n">
        <f aca="false">G42+Q42-L42-N42-O42-K42</f>
        <v>0</v>
      </c>
      <c r="Q42" s="13" t="n">
        <f aca="false">IF(A42="",0,K41)</f>
        <v>0.75411</v>
      </c>
    </row>
    <row r="43" customFormat="false" ht="16.4" hidden="false" customHeight="false" outlineLevel="0" collapsed="false">
      <c r="A43" s="23" t="n">
        <f aca="false">Kalender!A43</f>
        <v>46061</v>
      </c>
      <c r="B43" s="13" t="n">
        <f aca="false">Kalender!C43</f>
        <v>0</v>
      </c>
      <c r="C43" s="13" t="n">
        <f aca="false">Kalender!D43</f>
        <v>1</v>
      </c>
      <c r="D43" s="13" t="n">
        <f aca="false">IF(Prüfungen!$B$4=0,(IFERROR(SUMIF(Nutzungsprofile!$B$6:$B$11,"Schulbetrieb",Nutzungsprofile!$G$6:$G$11)*Kalender!C43/SUM(Kalender!$C$5:$C$370),0)+IFERROR(SUMIF(Nutzungsprofile!$B$6:$B$11,"Halle",Nutzungsprofile!$G$6:$G$11)*Kalender!D43/SUM(Kalender!$D$5:$D$370),0)+IFERROR(SUMIF(Nutzungsprofile!$B$6:$B$11,"Individuell",Nutzungsprofile!$G$6:$G$11)*Kalender!E43/SUM(Kalender!$E$5:$E$370),0)),0)</f>
        <v>2.04</v>
      </c>
      <c r="E43" s="13" t="n">
        <f aca="false">IF(Prüfungen!$B$4=0,(IFERROR(SUMIF(Nutzungsprofile!$B$17:$B$22,"Schulbetrieb",Nutzungsprofile!$G$17:$G$22)*Kalender!C43/SUM(Kalender!$C$5:$C$370),0)+IFERROR(SUMIF(Nutzungsprofile!$B$17:$B$22,"Halle",Nutzungsprofile!$G$17:$G$22)*Kalender!D43/SUM(Kalender!$D$5:$D$370),0)+IFERROR(SUMIF(Nutzungsprofile!$B$17:$B$22,"Individuell",Nutzungsprofile!$G$17:$G$22)*Kalender!E43/SUM(Kalender!$E$5:$E$370),0)),0)</f>
        <v>0.89</v>
      </c>
      <c r="F43" s="13" t="n">
        <f aca="false">IFERROR(MIN(D43,Eingaben!$B$17)*Eingaben!$B$16,0)</f>
        <v>1.938</v>
      </c>
      <c r="G43" s="13" t="n">
        <f aca="false">IFERROR(F43*Eingaben!$B$15,0)</f>
        <v>1.7442</v>
      </c>
      <c r="H43" s="13" t="n">
        <f aca="false">IFERROR(Q43*(1-Eingaben!$B$20),0)</f>
        <v>1.561363244</v>
      </c>
      <c r="I43" s="13" t="n">
        <f aca="false">MIN(H43,E43)</f>
        <v>0.89</v>
      </c>
      <c r="J43" s="13" t="n">
        <f aca="false">IFERROR(MIN(G43*Eingaben!$B$19,MAX(0,E43-I43)),0)</f>
        <v>0</v>
      </c>
      <c r="K43" s="13" t="n">
        <f aca="false">IFERROR(MIN(Eingaben!$B$18,MAX(0,G43-J43)),0)</f>
        <v>1.7442</v>
      </c>
      <c r="L43" s="13" t="n">
        <f aca="false">I43+J43</f>
        <v>0.89</v>
      </c>
      <c r="M43" s="13" t="n">
        <f aca="false">MAX(0,E43-L43)</f>
        <v>0</v>
      </c>
      <c r="N43" s="13" t="n">
        <f aca="false">MAX(0,G43-J43-K43)</f>
        <v>0</v>
      </c>
      <c r="O43" s="13" t="n">
        <f aca="false">Q43-I43</f>
        <v>0.7032278</v>
      </c>
      <c r="P43" s="13" t="n">
        <f aca="false">G43+Q43-L43-N43-O43-K43</f>
        <v>0</v>
      </c>
      <c r="Q43" s="13" t="n">
        <f aca="false">IF(A43="",0,K42)</f>
        <v>1.5932278</v>
      </c>
    </row>
    <row r="44" customFormat="false" ht="16.4" hidden="false" customHeight="false" outlineLevel="0" collapsed="false">
      <c r="A44" s="23" t="n">
        <f aca="false">Kalender!A44</f>
        <v>46062</v>
      </c>
      <c r="B44" s="13" t="n">
        <f aca="false">Kalender!C44</f>
        <v>1</v>
      </c>
      <c r="C44" s="13" t="n">
        <f aca="false">Kalender!D44</f>
        <v>1</v>
      </c>
      <c r="D44" s="13" t="n">
        <f aca="false">IF(Prüfungen!$B$4=0,(IFERROR(SUMIF(Nutzungsprofile!$B$6:$B$11,"Schulbetrieb",Nutzungsprofile!$G$6:$G$11)*Kalender!C44/SUM(Kalender!$C$5:$C$370),0)+IFERROR(SUMIF(Nutzungsprofile!$B$6:$B$11,"Halle",Nutzungsprofile!$G$6:$G$11)*Kalender!D44/SUM(Kalender!$D$5:$D$370),0)+IFERROR(SUMIF(Nutzungsprofile!$B$6:$B$11,"Individuell",Nutzungsprofile!$G$6:$G$11)*Kalender!E44/SUM(Kalender!$E$5:$E$370),0)),0)</f>
        <v>2.94</v>
      </c>
      <c r="E44" s="13" t="n">
        <f aca="false">IF(Prüfungen!$B$4=0,(IFERROR(SUMIF(Nutzungsprofile!$B$17:$B$22,"Schulbetrieb",Nutzungsprofile!$G$17:$G$22)*Kalender!C44/SUM(Kalender!$C$5:$C$370),0)+IFERROR(SUMIF(Nutzungsprofile!$B$17:$B$22,"Halle",Nutzungsprofile!$G$17:$G$22)*Kalender!D44/SUM(Kalender!$D$5:$D$370),0)+IFERROR(SUMIF(Nutzungsprofile!$B$17:$B$22,"Individuell",Nutzungsprofile!$G$17:$G$22)*Kalender!E44/SUM(Kalender!$E$5:$E$370),0)),0)</f>
        <v>4.94</v>
      </c>
      <c r="F44" s="13" t="n">
        <f aca="false">IFERROR(MIN(D44,Eingaben!$B$17)*Eingaben!$B$16,0)</f>
        <v>2.793</v>
      </c>
      <c r="G44" s="13" t="n">
        <f aca="false">IFERROR(F44*Eingaben!$B$15,0)</f>
        <v>2.5137</v>
      </c>
      <c r="H44" s="13" t="n">
        <f aca="false">IFERROR(Q44*(1-Eingaben!$B$20),0)</f>
        <v>1.709316</v>
      </c>
      <c r="I44" s="13" t="n">
        <f aca="false">MIN(H44,E44)</f>
        <v>1.709316</v>
      </c>
      <c r="J44" s="13" t="n">
        <f aca="false">IFERROR(MIN(G44*Eingaben!$B$19,MAX(0,E44-I44)),0)</f>
        <v>1.75959</v>
      </c>
      <c r="K44" s="13" t="n">
        <f aca="false">IFERROR(MIN(Eingaben!$B$18,MAX(0,G44-J44)),0)</f>
        <v>0.75411</v>
      </c>
      <c r="L44" s="13" t="n">
        <f aca="false">I44+J44</f>
        <v>3.468906</v>
      </c>
      <c r="M44" s="13" t="n">
        <f aca="false">MAX(0,E44-L44)</f>
        <v>1.471094</v>
      </c>
      <c r="N44" s="13" t="n">
        <f aca="false">MAX(0,G44-J44-K44)</f>
        <v>0</v>
      </c>
      <c r="O44" s="13" t="n">
        <f aca="false">Q44-I44</f>
        <v>0.0348840000000001</v>
      </c>
      <c r="P44" s="13" t="n">
        <f aca="false">G44+Q44-L44-N44-O44-K44</f>
        <v>0</v>
      </c>
      <c r="Q44" s="13" t="n">
        <f aca="false">IF(A44="",0,K43)</f>
        <v>1.7442</v>
      </c>
    </row>
    <row r="45" customFormat="false" ht="16.4" hidden="false" customHeight="false" outlineLevel="0" collapsed="false">
      <c r="A45" s="23" t="n">
        <f aca="false">Kalender!A45</f>
        <v>46063</v>
      </c>
      <c r="B45" s="13" t="n">
        <f aca="false">Kalender!C45</f>
        <v>1</v>
      </c>
      <c r="C45" s="13" t="n">
        <f aca="false">Kalender!D45</f>
        <v>1</v>
      </c>
      <c r="D45" s="13" t="n">
        <f aca="false">IF(Prüfungen!$B$4=0,(IFERROR(SUMIF(Nutzungsprofile!$B$6:$B$11,"Schulbetrieb",Nutzungsprofile!$G$6:$G$11)*Kalender!C45/SUM(Kalender!$C$5:$C$370),0)+IFERROR(SUMIF(Nutzungsprofile!$B$6:$B$11,"Halle",Nutzungsprofile!$G$6:$G$11)*Kalender!D45/SUM(Kalender!$D$5:$D$370),0)+IFERROR(SUMIF(Nutzungsprofile!$B$6:$B$11,"Individuell",Nutzungsprofile!$G$6:$G$11)*Kalender!E45/SUM(Kalender!$E$5:$E$370),0)),0)</f>
        <v>2.94</v>
      </c>
      <c r="E45" s="13" t="n">
        <f aca="false">IF(Prüfungen!$B$4=0,(IFERROR(SUMIF(Nutzungsprofile!$B$17:$B$22,"Schulbetrieb",Nutzungsprofile!$G$17:$G$22)*Kalender!C45/SUM(Kalender!$C$5:$C$370),0)+IFERROR(SUMIF(Nutzungsprofile!$B$17:$B$22,"Halle",Nutzungsprofile!$G$17:$G$22)*Kalender!D45/SUM(Kalender!$D$5:$D$370),0)+IFERROR(SUMIF(Nutzungsprofile!$B$17:$B$22,"Individuell",Nutzungsprofile!$G$17:$G$22)*Kalender!E45/SUM(Kalender!$E$5:$E$370),0)),0)</f>
        <v>4.94</v>
      </c>
      <c r="F45" s="13" t="n">
        <f aca="false">IFERROR(MIN(D45,Eingaben!$B$17)*Eingaben!$B$16,0)</f>
        <v>2.793</v>
      </c>
      <c r="G45" s="13" t="n">
        <f aca="false">IFERROR(F45*Eingaben!$B$15,0)</f>
        <v>2.5137</v>
      </c>
      <c r="H45" s="13" t="n">
        <f aca="false">IFERROR(Q45*(1-Eingaben!$B$20),0)</f>
        <v>0.7390278</v>
      </c>
      <c r="I45" s="13" t="n">
        <f aca="false">MIN(H45,E45)</f>
        <v>0.7390278</v>
      </c>
      <c r="J45" s="13" t="n">
        <f aca="false">IFERROR(MIN(G45*Eingaben!$B$19,MAX(0,E45-I45)),0)</f>
        <v>1.75959</v>
      </c>
      <c r="K45" s="13" t="n">
        <f aca="false">IFERROR(MIN(Eingaben!$B$18,MAX(0,G45-J45)),0)</f>
        <v>0.75411</v>
      </c>
      <c r="L45" s="13" t="n">
        <f aca="false">I45+J45</f>
        <v>2.4986178</v>
      </c>
      <c r="M45" s="13" t="n">
        <f aca="false">MAX(0,E45-L45)</f>
        <v>2.4413822</v>
      </c>
      <c r="N45" s="13" t="n">
        <f aca="false">MAX(0,G45-J45-K45)</f>
        <v>0</v>
      </c>
      <c r="O45" s="13" t="n">
        <f aca="false">Q45-I45</f>
        <v>0.0150822</v>
      </c>
      <c r="P45" s="13" t="n">
        <f aca="false">G45+Q45-L45-N45-O45-K45</f>
        <v>0</v>
      </c>
      <c r="Q45" s="13" t="n">
        <f aca="false">IF(A45="",0,K44)</f>
        <v>0.75411</v>
      </c>
    </row>
    <row r="46" customFormat="false" ht="16.4" hidden="false" customHeight="false" outlineLevel="0" collapsed="false">
      <c r="A46" s="23" t="n">
        <f aca="false">Kalender!A46</f>
        <v>46064</v>
      </c>
      <c r="B46" s="13" t="n">
        <f aca="false">Kalender!C46</f>
        <v>1</v>
      </c>
      <c r="C46" s="13" t="n">
        <f aca="false">Kalender!D46</f>
        <v>1</v>
      </c>
      <c r="D46" s="13" t="n">
        <f aca="false">IF(Prüfungen!$B$4=0,(IFERROR(SUMIF(Nutzungsprofile!$B$6:$B$11,"Schulbetrieb",Nutzungsprofile!$G$6:$G$11)*Kalender!C46/SUM(Kalender!$C$5:$C$370),0)+IFERROR(SUMIF(Nutzungsprofile!$B$6:$B$11,"Halle",Nutzungsprofile!$G$6:$G$11)*Kalender!D46/SUM(Kalender!$D$5:$D$370),0)+IFERROR(SUMIF(Nutzungsprofile!$B$6:$B$11,"Individuell",Nutzungsprofile!$G$6:$G$11)*Kalender!E46/SUM(Kalender!$E$5:$E$370),0)),0)</f>
        <v>2.94</v>
      </c>
      <c r="E46" s="13" t="n">
        <f aca="false">IF(Prüfungen!$B$4=0,(IFERROR(SUMIF(Nutzungsprofile!$B$17:$B$22,"Schulbetrieb",Nutzungsprofile!$G$17:$G$22)*Kalender!C46/SUM(Kalender!$C$5:$C$370),0)+IFERROR(SUMIF(Nutzungsprofile!$B$17:$B$22,"Halle",Nutzungsprofile!$G$17:$G$22)*Kalender!D46/SUM(Kalender!$D$5:$D$370),0)+IFERROR(SUMIF(Nutzungsprofile!$B$17:$B$22,"Individuell",Nutzungsprofile!$G$17:$G$22)*Kalender!E46/SUM(Kalender!$E$5:$E$370),0)),0)</f>
        <v>4.94</v>
      </c>
      <c r="F46" s="13" t="n">
        <f aca="false">IFERROR(MIN(D46,Eingaben!$B$17)*Eingaben!$B$16,0)</f>
        <v>2.793</v>
      </c>
      <c r="G46" s="13" t="n">
        <f aca="false">IFERROR(F46*Eingaben!$B$15,0)</f>
        <v>2.5137</v>
      </c>
      <c r="H46" s="13" t="n">
        <f aca="false">IFERROR(Q46*(1-Eingaben!$B$20),0)</f>
        <v>0.7390278</v>
      </c>
      <c r="I46" s="13" t="n">
        <f aca="false">MIN(H46,E46)</f>
        <v>0.7390278</v>
      </c>
      <c r="J46" s="13" t="n">
        <f aca="false">IFERROR(MIN(G46*Eingaben!$B$19,MAX(0,E46-I46)),0)</f>
        <v>1.75959</v>
      </c>
      <c r="K46" s="13" t="n">
        <f aca="false">IFERROR(MIN(Eingaben!$B$18,MAX(0,G46-J46)),0)</f>
        <v>0.75411</v>
      </c>
      <c r="L46" s="13" t="n">
        <f aca="false">I46+J46</f>
        <v>2.4986178</v>
      </c>
      <c r="M46" s="13" t="n">
        <f aca="false">MAX(0,E46-L46)</f>
        <v>2.4413822</v>
      </c>
      <c r="N46" s="13" t="n">
        <f aca="false">MAX(0,G46-J46-K46)</f>
        <v>0</v>
      </c>
      <c r="O46" s="13" t="n">
        <f aca="false">Q46-I46</f>
        <v>0.0150822</v>
      </c>
      <c r="P46" s="13" t="n">
        <f aca="false">G46+Q46-L46-N46-O46-K46</f>
        <v>0</v>
      </c>
      <c r="Q46" s="13" t="n">
        <f aca="false">IF(A46="",0,K45)</f>
        <v>0.75411</v>
      </c>
    </row>
    <row r="47" customFormat="false" ht="16.4" hidden="false" customHeight="false" outlineLevel="0" collapsed="false">
      <c r="A47" s="23" t="n">
        <f aca="false">Kalender!A47</f>
        <v>46065</v>
      </c>
      <c r="B47" s="13" t="n">
        <f aca="false">Kalender!C47</f>
        <v>1</v>
      </c>
      <c r="C47" s="13" t="n">
        <f aca="false">Kalender!D47</f>
        <v>1</v>
      </c>
      <c r="D47" s="13" t="n">
        <f aca="false">IF(Prüfungen!$B$4=0,(IFERROR(SUMIF(Nutzungsprofile!$B$6:$B$11,"Schulbetrieb",Nutzungsprofile!$G$6:$G$11)*Kalender!C47/SUM(Kalender!$C$5:$C$370),0)+IFERROR(SUMIF(Nutzungsprofile!$B$6:$B$11,"Halle",Nutzungsprofile!$G$6:$G$11)*Kalender!D47/SUM(Kalender!$D$5:$D$370),0)+IFERROR(SUMIF(Nutzungsprofile!$B$6:$B$11,"Individuell",Nutzungsprofile!$G$6:$G$11)*Kalender!E47/SUM(Kalender!$E$5:$E$370),0)),0)</f>
        <v>2.94</v>
      </c>
      <c r="E47" s="13" t="n">
        <f aca="false">IF(Prüfungen!$B$4=0,(IFERROR(SUMIF(Nutzungsprofile!$B$17:$B$22,"Schulbetrieb",Nutzungsprofile!$G$17:$G$22)*Kalender!C47/SUM(Kalender!$C$5:$C$370),0)+IFERROR(SUMIF(Nutzungsprofile!$B$17:$B$22,"Halle",Nutzungsprofile!$G$17:$G$22)*Kalender!D47/SUM(Kalender!$D$5:$D$370),0)+IFERROR(SUMIF(Nutzungsprofile!$B$17:$B$22,"Individuell",Nutzungsprofile!$G$17:$G$22)*Kalender!E47/SUM(Kalender!$E$5:$E$370),0)),0)</f>
        <v>4.94</v>
      </c>
      <c r="F47" s="13" t="n">
        <f aca="false">IFERROR(MIN(D47,Eingaben!$B$17)*Eingaben!$B$16,0)</f>
        <v>2.793</v>
      </c>
      <c r="G47" s="13" t="n">
        <f aca="false">IFERROR(F47*Eingaben!$B$15,0)</f>
        <v>2.5137</v>
      </c>
      <c r="H47" s="13" t="n">
        <f aca="false">IFERROR(Q47*(1-Eingaben!$B$20),0)</f>
        <v>0.7390278</v>
      </c>
      <c r="I47" s="13" t="n">
        <f aca="false">MIN(H47,E47)</f>
        <v>0.7390278</v>
      </c>
      <c r="J47" s="13" t="n">
        <f aca="false">IFERROR(MIN(G47*Eingaben!$B$19,MAX(0,E47-I47)),0)</f>
        <v>1.75959</v>
      </c>
      <c r="K47" s="13" t="n">
        <f aca="false">IFERROR(MIN(Eingaben!$B$18,MAX(0,G47-J47)),0)</f>
        <v>0.75411</v>
      </c>
      <c r="L47" s="13" t="n">
        <f aca="false">I47+J47</f>
        <v>2.4986178</v>
      </c>
      <c r="M47" s="13" t="n">
        <f aca="false">MAX(0,E47-L47)</f>
        <v>2.4413822</v>
      </c>
      <c r="N47" s="13" t="n">
        <f aca="false">MAX(0,G47-J47-K47)</f>
        <v>0</v>
      </c>
      <c r="O47" s="13" t="n">
        <f aca="false">Q47-I47</f>
        <v>0.0150822</v>
      </c>
      <c r="P47" s="13" t="n">
        <f aca="false">G47+Q47-L47-N47-O47-K47</f>
        <v>0</v>
      </c>
      <c r="Q47" s="13" t="n">
        <f aca="false">IF(A47="",0,K46)</f>
        <v>0.75411</v>
      </c>
    </row>
    <row r="48" customFormat="false" ht="16.4" hidden="false" customHeight="false" outlineLevel="0" collapsed="false">
      <c r="A48" s="23" t="n">
        <f aca="false">Kalender!A48</f>
        <v>46066</v>
      </c>
      <c r="B48" s="13" t="n">
        <f aca="false">Kalender!C48</f>
        <v>1</v>
      </c>
      <c r="C48" s="13" t="n">
        <f aca="false">Kalender!D48</f>
        <v>1</v>
      </c>
      <c r="D48" s="13" t="n">
        <f aca="false">IF(Prüfungen!$B$4=0,(IFERROR(SUMIF(Nutzungsprofile!$B$6:$B$11,"Schulbetrieb",Nutzungsprofile!$G$6:$G$11)*Kalender!C48/SUM(Kalender!$C$5:$C$370),0)+IFERROR(SUMIF(Nutzungsprofile!$B$6:$B$11,"Halle",Nutzungsprofile!$G$6:$G$11)*Kalender!D48/SUM(Kalender!$D$5:$D$370),0)+IFERROR(SUMIF(Nutzungsprofile!$B$6:$B$11,"Individuell",Nutzungsprofile!$G$6:$G$11)*Kalender!E48/SUM(Kalender!$E$5:$E$370),0)),0)</f>
        <v>2.94</v>
      </c>
      <c r="E48" s="13" t="n">
        <f aca="false">IF(Prüfungen!$B$4=0,(IFERROR(SUMIF(Nutzungsprofile!$B$17:$B$22,"Schulbetrieb",Nutzungsprofile!$G$17:$G$22)*Kalender!C48/SUM(Kalender!$C$5:$C$370),0)+IFERROR(SUMIF(Nutzungsprofile!$B$17:$B$22,"Halle",Nutzungsprofile!$G$17:$G$22)*Kalender!D48/SUM(Kalender!$D$5:$D$370),0)+IFERROR(SUMIF(Nutzungsprofile!$B$17:$B$22,"Individuell",Nutzungsprofile!$G$17:$G$22)*Kalender!E48/SUM(Kalender!$E$5:$E$370),0)),0)</f>
        <v>4.94</v>
      </c>
      <c r="F48" s="13" t="n">
        <f aca="false">IFERROR(MIN(D48,Eingaben!$B$17)*Eingaben!$B$16,0)</f>
        <v>2.793</v>
      </c>
      <c r="G48" s="13" t="n">
        <f aca="false">IFERROR(F48*Eingaben!$B$15,0)</f>
        <v>2.5137</v>
      </c>
      <c r="H48" s="13" t="n">
        <f aca="false">IFERROR(Q48*(1-Eingaben!$B$20),0)</f>
        <v>0.7390278</v>
      </c>
      <c r="I48" s="13" t="n">
        <f aca="false">MIN(H48,E48)</f>
        <v>0.7390278</v>
      </c>
      <c r="J48" s="13" t="n">
        <f aca="false">IFERROR(MIN(G48*Eingaben!$B$19,MAX(0,E48-I48)),0)</f>
        <v>1.75959</v>
      </c>
      <c r="K48" s="13" t="n">
        <f aca="false">IFERROR(MIN(Eingaben!$B$18,MAX(0,G48-J48)),0)</f>
        <v>0.75411</v>
      </c>
      <c r="L48" s="13" t="n">
        <f aca="false">I48+J48</f>
        <v>2.4986178</v>
      </c>
      <c r="M48" s="13" t="n">
        <f aca="false">MAX(0,E48-L48)</f>
        <v>2.4413822</v>
      </c>
      <c r="N48" s="13" t="n">
        <f aca="false">MAX(0,G48-J48-K48)</f>
        <v>0</v>
      </c>
      <c r="O48" s="13" t="n">
        <f aca="false">Q48-I48</f>
        <v>0.0150822</v>
      </c>
      <c r="P48" s="13" t="n">
        <f aca="false">G48+Q48-L48-N48-O48-K48</f>
        <v>0</v>
      </c>
      <c r="Q48" s="13" t="n">
        <f aca="false">IF(A48="",0,K47)</f>
        <v>0.75411</v>
      </c>
    </row>
    <row r="49" customFormat="false" ht="16.4" hidden="false" customHeight="false" outlineLevel="0" collapsed="false">
      <c r="A49" s="23" t="n">
        <f aca="false">Kalender!A49</f>
        <v>46067</v>
      </c>
      <c r="B49" s="13" t="n">
        <f aca="false">Kalender!C49</f>
        <v>0</v>
      </c>
      <c r="C49" s="13" t="n">
        <f aca="false">Kalender!D49</f>
        <v>1</v>
      </c>
      <c r="D49" s="13" t="n">
        <f aca="false">IF(Prüfungen!$B$4=0,(IFERROR(SUMIF(Nutzungsprofile!$B$6:$B$11,"Schulbetrieb",Nutzungsprofile!$G$6:$G$11)*Kalender!C49/SUM(Kalender!$C$5:$C$370),0)+IFERROR(SUMIF(Nutzungsprofile!$B$6:$B$11,"Halle",Nutzungsprofile!$G$6:$G$11)*Kalender!D49/SUM(Kalender!$D$5:$D$370),0)+IFERROR(SUMIF(Nutzungsprofile!$B$6:$B$11,"Individuell",Nutzungsprofile!$G$6:$G$11)*Kalender!E49/SUM(Kalender!$E$5:$E$370),0)),0)</f>
        <v>2.04</v>
      </c>
      <c r="E49" s="13" t="n">
        <f aca="false">IF(Prüfungen!$B$4=0,(IFERROR(SUMIF(Nutzungsprofile!$B$17:$B$22,"Schulbetrieb",Nutzungsprofile!$G$17:$G$22)*Kalender!C49/SUM(Kalender!$C$5:$C$370),0)+IFERROR(SUMIF(Nutzungsprofile!$B$17:$B$22,"Halle",Nutzungsprofile!$G$17:$G$22)*Kalender!D49/SUM(Kalender!$D$5:$D$370),0)+IFERROR(SUMIF(Nutzungsprofile!$B$17:$B$22,"Individuell",Nutzungsprofile!$G$17:$G$22)*Kalender!E49/SUM(Kalender!$E$5:$E$370),0)),0)</f>
        <v>0.89</v>
      </c>
      <c r="F49" s="13" t="n">
        <f aca="false">IFERROR(MIN(D49,Eingaben!$B$17)*Eingaben!$B$16,0)</f>
        <v>1.938</v>
      </c>
      <c r="G49" s="13" t="n">
        <f aca="false">IFERROR(F49*Eingaben!$B$15,0)</f>
        <v>1.7442</v>
      </c>
      <c r="H49" s="13" t="n">
        <f aca="false">IFERROR(Q49*(1-Eingaben!$B$20),0)</f>
        <v>0.7390278</v>
      </c>
      <c r="I49" s="13" t="n">
        <f aca="false">MIN(H49,E49)</f>
        <v>0.7390278</v>
      </c>
      <c r="J49" s="13" t="n">
        <f aca="false">IFERROR(MIN(G49*Eingaben!$B$19,MAX(0,E49-I49)),0)</f>
        <v>0.1509722</v>
      </c>
      <c r="K49" s="13" t="n">
        <f aca="false">IFERROR(MIN(Eingaben!$B$18,MAX(0,G49-J49)),0)</f>
        <v>1.5932278</v>
      </c>
      <c r="L49" s="13" t="n">
        <f aca="false">I49+J49</f>
        <v>0.89</v>
      </c>
      <c r="M49" s="13" t="n">
        <f aca="false">MAX(0,E49-L49)</f>
        <v>0</v>
      </c>
      <c r="N49" s="13" t="n">
        <f aca="false">MAX(0,G49-J49-K49)</f>
        <v>0</v>
      </c>
      <c r="O49" s="13" t="n">
        <f aca="false">Q49-I49</f>
        <v>0.0150822</v>
      </c>
      <c r="P49" s="13" t="n">
        <f aca="false">G49+Q49-L49-N49-O49-K49</f>
        <v>0</v>
      </c>
      <c r="Q49" s="13" t="n">
        <f aca="false">IF(A49="",0,K48)</f>
        <v>0.75411</v>
      </c>
    </row>
    <row r="50" customFormat="false" ht="16.4" hidden="false" customHeight="false" outlineLevel="0" collapsed="false">
      <c r="A50" s="23" t="n">
        <f aca="false">Kalender!A50</f>
        <v>46068</v>
      </c>
      <c r="B50" s="13" t="n">
        <f aca="false">Kalender!C50</f>
        <v>0</v>
      </c>
      <c r="C50" s="13" t="n">
        <f aca="false">Kalender!D50</f>
        <v>1</v>
      </c>
      <c r="D50" s="13" t="n">
        <f aca="false">IF(Prüfungen!$B$4=0,(IFERROR(SUMIF(Nutzungsprofile!$B$6:$B$11,"Schulbetrieb",Nutzungsprofile!$G$6:$G$11)*Kalender!C50/SUM(Kalender!$C$5:$C$370),0)+IFERROR(SUMIF(Nutzungsprofile!$B$6:$B$11,"Halle",Nutzungsprofile!$G$6:$G$11)*Kalender!D50/SUM(Kalender!$D$5:$D$370),0)+IFERROR(SUMIF(Nutzungsprofile!$B$6:$B$11,"Individuell",Nutzungsprofile!$G$6:$G$11)*Kalender!E50/SUM(Kalender!$E$5:$E$370),0)),0)</f>
        <v>2.04</v>
      </c>
      <c r="E50" s="13" t="n">
        <f aca="false">IF(Prüfungen!$B$4=0,(IFERROR(SUMIF(Nutzungsprofile!$B$17:$B$22,"Schulbetrieb",Nutzungsprofile!$G$17:$G$22)*Kalender!C50/SUM(Kalender!$C$5:$C$370),0)+IFERROR(SUMIF(Nutzungsprofile!$B$17:$B$22,"Halle",Nutzungsprofile!$G$17:$G$22)*Kalender!D50/SUM(Kalender!$D$5:$D$370),0)+IFERROR(SUMIF(Nutzungsprofile!$B$17:$B$22,"Individuell",Nutzungsprofile!$G$17:$G$22)*Kalender!E50/SUM(Kalender!$E$5:$E$370),0)),0)</f>
        <v>0.89</v>
      </c>
      <c r="F50" s="13" t="n">
        <f aca="false">IFERROR(MIN(D50,Eingaben!$B$17)*Eingaben!$B$16,0)</f>
        <v>1.938</v>
      </c>
      <c r="G50" s="13" t="n">
        <f aca="false">IFERROR(F50*Eingaben!$B$15,0)</f>
        <v>1.7442</v>
      </c>
      <c r="H50" s="13" t="n">
        <f aca="false">IFERROR(Q50*(1-Eingaben!$B$20),0)</f>
        <v>1.561363244</v>
      </c>
      <c r="I50" s="13" t="n">
        <f aca="false">MIN(H50,E50)</f>
        <v>0.89</v>
      </c>
      <c r="J50" s="13" t="n">
        <f aca="false">IFERROR(MIN(G50*Eingaben!$B$19,MAX(0,E50-I50)),0)</f>
        <v>0</v>
      </c>
      <c r="K50" s="13" t="n">
        <f aca="false">IFERROR(MIN(Eingaben!$B$18,MAX(0,G50-J50)),0)</f>
        <v>1.7442</v>
      </c>
      <c r="L50" s="13" t="n">
        <f aca="false">I50+J50</f>
        <v>0.89</v>
      </c>
      <c r="M50" s="13" t="n">
        <f aca="false">MAX(0,E50-L50)</f>
        <v>0</v>
      </c>
      <c r="N50" s="13" t="n">
        <f aca="false">MAX(0,G50-J50-K50)</f>
        <v>0</v>
      </c>
      <c r="O50" s="13" t="n">
        <f aca="false">Q50-I50</f>
        <v>0.7032278</v>
      </c>
      <c r="P50" s="13" t="n">
        <f aca="false">G50+Q50-L50-N50-O50-K50</f>
        <v>0</v>
      </c>
      <c r="Q50" s="13" t="n">
        <f aca="false">IF(A50="",0,K49)</f>
        <v>1.5932278</v>
      </c>
    </row>
    <row r="51" customFormat="false" ht="16.4" hidden="false" customHeight="false" outlineLevel="0" collapsed="false">
      <c r="A51" s="23" t="n">
        <f aca="false">Kalender!A51</f>
        <v>46069</v>
      </c>
      <c r="B51" s="13" t="n">
        <f aca="false">Kalender!C51</f>
        <v>1</v>
      </c>
      <c r="C51" s="13" t="n">
        <f aca="false">Kalender!D51</f>
        <v>1</v>
      </c>
      <c r="D51" s="13" t="n">
        <f aca="false">IF(Prüfungen!$B$4=0,(IFERROR(SUMIF(Nutzungsprofile!$B$6:$B$11,"Schulbetrieb",Nutzungsprofile!$G$6:$G$11)*Kalender!C51/SUM(Kalender!$C$5:$C$370),0)+IFERROR(SUMIF(Nutzungsprofile!$B$6:$B$11,"Halle",Nutzungsprofile!$G$6:$G$11)*Kalender!D51/SUM(Kalender!$D$5:$D$370),0)+IFERROR(SUMIF(Nutzungsprofile!$B$6:$B$11,"Individuell",Nutzungsprofile!$G$6:$G$11)*Kalender!E51/SUM(Kalender!$E$5:$E$370),0)),0)</f>
        <v>2.94</v>
      </c>
      <c r="E51" s="13" t="n">
        <f aca="false">IF(Prüfungen!$B$4=0,(IFERROR(SUMIF(Nutzungsprofile!$B$17:$B$22,"Schulbetrieb",Nutzungsprofile!$G$17:$G$22)*Kalender!C51/SUM(Kalender!$C$5:$C$370),0)+IFERROR(SUMIF(Nutzungsprofile!$B$17:$B$22,"Halle",Nutzungsprofile!$G$17:$G$22)*Kalender!D51/SUM(Kalender!$D$5:$D$370),0)+IFERROR(SUMIF(Nutzungsprofile!$B$17:$B$22,"Individuell",Nutzungsprofile!$G$17:$G$22)*Kalender!E51/SUM(Kalender!$E$5:$E$370),0)),0)</f>
        <v>4.94</v>
      </c>
      <c r="F51" s="13" t="n">
        <f aca="false">IFERROR(MIN(D51,Eingaben!$B$17)*Eingaben!$B$16,0)</f>
        <v>2.793</v>
      </c>
      <c r="G51" s="13" t="n">
        <f aca="false">IFERROR(F51*Eingaben!$B$15,0)</f>
        <v>2.5137</v>
      </c>
      <c r="H51" s="13" t="n">
        <f aca="false">IFERROR(Q51*(1-Eingaben!$B$20),0)</f>
        <v>1.709316</v>
      </c>
      <c r="I51" s="13" t="n">
        <f aca="false">MIN(H51,E51)</f>
        <v>1.709316</v>
      </c>
      <c r="J51" s="13" t="n">
        <f aca="false">IFERROR(MIN(G51*Eingaben!$B$19,MAX(0,E51-I51)),0)</f>
        <v>1.75959</v>
      </c>
      <c r="K51" s="13" t="n">
        <f aca="false">IFERROR(MIN(Eingaben!$B$18,MAX(0,G51-J51)),0)</f>
        <v>0.75411</v>
      </c>
      <c r="L51" s="13" t="n">
        <f aca="false">I51+J51</f>
        <v>3.468906</v>
      </c>
      <c r="M51" s="13" t="n">
        <f aca="false">MAX(0,E51-L51)</f>
        <v>1.471094</v>
      </c>
      <c r="N51" s="13" t="n">
        <f aca="false">MAX(0,G51-J51-K51)</f>
        <v>0</v>
      </c>
      <c r="O51" s="13" t="n">
        <f aca="false">Q51-I51</f>
        <v>0.0348840000000001</v>
      </c>
      <c r="P51" s="13" t="n">
        <f aca="false">G51+Q51-L51-N51-O51-K51</f>
        <v>0</v>
      </c>
      <c r="Q51" s="13" t="n">
        <f aca="false">IF(A51="",0,K50)</f>
        <v>1.7442</v>
      </c>
    </row>
    <row r="52" customFormat="false" ht="16.4" hidden="false" customHeight="false" outlineLevel="0" collapsed="false">
      <c r="A52" s="23" t="n">
        <f aca="false">Kalender!A52</f>
        <v>46070</v>
      </c>
      <c r="B52" s="13" t="n">
        <f aca="false">Kalender!C52</f>
        <v>1</v>
      </c>
      <c r="C52" s="13" t="n">
        <f aca="false">Kalender!D52</f>
        <v>1</v>
      </c>
      <c r="D52" s="13" t="n">
        <f aca="false">IF(Prüfungen!$B$4=0,(IFERROR(SUMIF(Nutzungsprofile!$B$6:$B$11,"Schulbetrieb",Nutzungsprofile!$G$6:$G$11)*Kalender!C52/SUM(Kalender!$C$5:$C$370),0)+IFERROR(SUMIF(Nutzungsprofile!$B$6:$B$11,"Halle",Nutzungsprofile!$G$6:$G$11)*Kalender!D52/SUM(Kalender!$D$5:$D$370),0)+IFERROR(SUMIF(Nutzungsprofile!$B$6:$B$11,"Individuell",Nutzungsprofile!$G$6:$G$11)*Kalender!E52/SUM(Kalender!$E$5:$E$370),0)),0)</f>
        <v>2.94</v>
      </c>
      <c r="E52" s="13" t="n">
        <f aca="false">IF(Prüfungen!$B$4=0,(IFERROR(SUMIF(Nutzungsprofile!$B$17:$B$22,"Schulbetrieb",Nutzungsprofile!$G$17:$G$22)*Kalender!C52/SUM(Kalender!$C$5:$C$370),0)+IFERROR(SUMIF(Nutzungsprofile!$B$17:$B$22,"Halle",Nutzungsprofile!$G$17:$G$22)*Kalender!D52/SUM(Kalender!$D$5:$D$370),0)+IFERROR(SUMIF(Nutzungsprofile!$B$17:$B$22,"Individuell",Nutzungsprofile!$G$17:$G$22)*Kalender!E52/SUM(Kalender!$E$5:$E$370),0)),0)</f>
        <v>4.94</v>
      </c>
      <c r="F52" s="13" t="n">
        <f aca="false">IFERROR(MIN(D52,Eingaben!$B$17)*Eingaben!$B$16,0)</f>
        <v>2.793</v>
      </c>
      <c r="G52" s="13" t="n">
        <f aca="false">IFERROR(F52*Eingaben!$B$15,0)</f>
        <v>2.5137</v>
      </c>
      <c r="H52" s="13" t="n">
        <f aca="false">IFERROR(Q52*(1-Eingaben!$B$20),0)</f>
        <v>0.7390278</v>
      </c>
      <c r="I52" s="13" t="n">
        <f aca="false">MIN(H52,E52)</f>
        <v>0.7390278</v>
      </c>
      <c r="J52" s="13" t="n">
        <f aca="false">IFERROR(MIN(G52*Eingaben!$B$19,MAX(0,E52-I52)),0)</f>
        <v>1.75959</v>
      </c>
      <c r="K52" s="13" t="n">
        <f aca="false">IFERROR(MIN(Eingaben!$B$18,MAX(0,G52-J52)),0)</f>
        <v>0.75411</v>
      </c>
      <c r="L52" s="13" t="n">
        <f aca="false">I52+J52</f>
        <v>2.4986178</v>
      </c>
      <c r="M52" s="13" t="n">
        <f aca="false">MAX(0,E52-L52)</f>
        <v>2.4413822</v>
      </c>
      <c r="N52" s="13" t="n">
        <f aca="false">MAX(0,G52-J52-K52)</f>
        <v>0</v>
      </c>
      <c r="O52" s="13" t="n">
        <f aca="false">Q52-I52</f>
        <v>0.0150822</v>
      </c>
      <c r="P52" s="13" t="n">
        <f aca="false">G52+Q52-L52-N52-O52-K52</f>
        <v>0</v>
      </c>
      <c r="Q52" s="13" t="n">
        <f aca="false">IF(A52="",0,K51)</f>
        <v>0.75411</v>
      </c>
    </row>
    <row r="53" customFormat="false" ht="16.4" hidden="false" customHeight="false" outlineLevel="0" collapsed="false">
      <c r="A53" s="23" t="n">
        <f aca="false">Kalender!A53</f>
        <v>46071</v>
      </c>
      <c r="B53" s="13" t="n">
        <f aca="false">Kalender!C53</f>
        <v>1</v>
      </c>
      <c r="C53" s="13" t="n">
        <f aca="false">Kalender!D53</f>
        <v>1</v>
      </c>
      <c r="D53" s="13" t="n">
        <f aca="false">IF(Prüfungen!$B$4=0,(IFERROR(SUMIF(Nutzungsprofile!$B$6:$B$11,"Schulbetrieb",Nutzungsprofile!$G$6:$G$11)*Kalender!C53/SUM(Kalender!$C$5:$C$370),0)+IFERROR(SUMIF(Nutzungsprofile!$B$6:$B$11,"Halle",Nutzungsprofile!$G$6:$G$11)*Kalender!D53/SUM(Kalender!$D$5:$D$370),0)+IFERROR(SUMIF(Nutzungsprofile!$B$6:$B$11,"Individuell",Nutzungsprofile!$G$6:$G$11)*Kalender!E53/SUM(Kalender!$E$5:$E$370),0)),0)</f>
        <v>2.94</v>
      </c>
      <c r="E53" s="13" t="n">
        <f aca="false">IF(Prüfungen!$B$4=0,(IFERROR(SUMIF(Nutzungsprofile!$B$17:$B$22,"Schulbetrieb",Nutzungsprofile!$G$17:$G$22)*Kalender!C53/SUM(Kalender!$C$5:$C$370),0)+IFERROR(SUMIF(Nutzungsprofile!$B$17:$B$22,"Halle",Nutzungsprofile!$G$17:$G$22)*Kalender!D53/SUM(Kalender!$D$5:$D$370),0)+IFERROR(SUMIF(Nutzungsprofile!$B$17:$B$22,"Individuell",Nutzungsprofile!$G$17:$G$22)*Kalender!E53/SUM(Kalender!$E$5:$E$370),0)),0)</f>
        <v>4.94</v>
      </c>
      <c r="F53" s="13" t="n">
        <f aca="false">IFERROR(MIN(D53,Eingaben!$B$17)*Eingaben!$B$16,0)</f>
        <v>2.793</v>
      </c>
      <c r="G53" s="13" t="n">
        <f aca="false">IFERROR(F53*Eingaben!$B$15,0)</f>
        <v>2.5137</v>
      </c>
      <c r="H53" s="13" t="n">
        <f aca="false">IFERROR(Q53*(1-Eingaben!$B$20),0)</f>
        <v>0.7390278</v>
      </c>
      <c r="I53" s="13" t="n">
        <f aca="false">MIN(H53,E53)</f>
        <v>0.7390278</v>
      </c>
      <c r="J53" s="13" t="n">
        <f aca="false">IFERROR(MIN(G53*Eingaben!$B$19,MAX(0,E53-I53)),0)</f>
        <v>1.75959</v>
      </c>
      <c r="K53" s="13" t="n">
        <f aca="false">IFERROR(MIN(Eingaben!$B$18,MAX(0,G53-J53)),0)</f>
        <v>0.75411</v>
      </c>
      <c r="L53" s="13" t="n">
        <f aca="false">I53+J53</f>
        <v>2.4986178</v>
      </c>
      <c r="M53" s="13" t="n">
        <f aca="false">MAX(0,E53-L53)</f>
        <v>2.4413822</v>
      </c>
      <c r="N53" s="13" t="n">
        <f aca="false">MAX(0,G53-J53-K53)</f>
        <v>0</v>
      </c>
      <c r="O53" s="13" t="n">
        <f aca="false">Q53-I53</f>
        <v>0.0150822</v>
      </c>
      <c r="P53" s="13" t="n">
        <f aca="false">G53+Q53-L53-N53-O53-K53</f>
        <v>0</v>
      </c>
      <c r="Q53" s="13" t="n">
        <f aca="false">IF(A53="",0,K52)</f>
        <v>0.75411</v>
      </c>
    </row>
    <row r="54" customFormat="false" ht="16.4" hidden="false" customHeight="false" outlineLevel="0" collapsed="false">
      <c r="A54" s="23" t="n">
        <f aca="false">Kalender!A54</f>
        <v>46072</v>
      </c>
      <c r="B54" s="13" t="n">
        <f aca="false">Kalender!C54</f>
        <v>1</v>
      </c>
      <c r="C54" s="13" t="n">
        <f aca="false">Kalender!D54</f>
        <v>1</v>
      </c>
      <c r="D54" s="13" t="n">
        <f aca="false">IF(Prüfungen!$B$4=0,(IFERROR(SUMIF(Nutzungsprofile!$B$6:$B$11,"Schulbetrieb",Nutzungsprofile!$G$6:$G$11)*Kalender!C54/SUM(Kalender!$C$5:$C$370),0)+IFERROR(SUMIF(Nutzungsprofile!$B$6:$B$11,"Halle",Nutzungsprofile!$G$6:$G$11)*Kalender!D54/SUM(Kalender!$D$5:$D$370),0)+IFERROR(SUMIF(Nutzungsprofile!$B$6:$B$11,"Individuell",Nutzungsprofile!$G$6:$G$11)*Kalender!E54/SUM(Kalender!$E$5:$E$370),0)),0)</f>
        <v>2.94</v>
      </c>
      <c r="E54" s="13" t="n">
        <f aca="false">IF(Prüfungen!$B$4=0,(IFERROR(SUMIF(Nutzungsprofile!$B$17:$B$22,"Schulbetrieb",Nutzungsprofile!$G$17:$G$22)*Kalender!C54/SUM(Kalender!$C$5:$C$370),0)+IFERROR(SUMIF(Nutzungsprofile!$B$17:$B$22,"Halle",Nutzungsprofile!$G$17:$G$22)*Kalender!D54/SUM(Kalender!$D$5:$D$370),0)+IFERROR(SUMIF(Nutzungsprofile!$B$17:$B$22,"Individuell",Nutzungsprofile!$G$17:$G$22)*Kalender!E54/SUM(Kalender!$E$5:$E$370),0)),0)</f>
        <v>4.94</v>
      </c>
      <c r="F54" s="13" t="n">
        <f aca="false">IFERROR(MIN(D54,Eingaben!$B$17)*Eingaben!$B$16,0)</f>
        <v>2.793</v>
      </c>
      <c r="G54" s="13" t="n">
        <f aca="false">IFERROR(F54*Eingaben!$B$15,0)</f>
        <v>2.5137</v>
      </c>
      <c r="H54" s="13" t="n">
        <f aca="false">IFERROR(Q54*(1-Eingaben!$B$20),0)</f>
        <v>0.7390278</v>
      </c>
      <c r="I54" s="13" t="n">
        <f aca="false">MIN(H54,E54)</f>
        <v>0.7390278</v>
      </c>
      <c r="J54" s="13" t="n">
        <f aca="false">IFERROR(MIN(G54*Eingaben!$B$19,MAX(0,E54-I54)),0)</f>
        <v>1.75959</v>
      </c>
      <c r="K54" s="13" t="n">
        <f aca="false">IFERROR(MIN(Eingaben!$B$18,MAX(0,G54-J54)),0)</f>
        <v>0.75411</v>
      </c>
      <c r="L54" s="13" t="n">
        <f aca="false">I54+J54</f>
        <v>2.4986178</v>
      </c>
      <c r="M54" s="13" t="n">
        <f aca="false">MAX(0,E54-L54)</f>
        <v>2.4413822</v>
      </c>
      <c r="N54" s="13" t="n">
        <f aca="false">MAX(0,G54-J54-K54)</f>
        <v>0</v>
      </c>
      <c r="O54" s="13" t="n">
        <f aca="false">Q54-I54</f>
        <v>0.0150822</v>
      </c>
      <c r="P54" s="13" t="n">
        <f aca="false">G54+Q54-L54-N54-O54-K54</f>
        <v>0</v>
      </c>
      <c r="Q54" s="13" t="n">
        <f aca="false">IF(A54="",0,K53)</f>
        <v>0.75411</v>
      </c>
    </row>
    <row r="55" customFormat="false" ht="16.4" hidden="false" customHeight="false" outlineLevel="0" collapsed="false">
      <c r="A55" s="23" t="n">
        <f aca="false">Kalender!A55</f>
        <v>46073</v>
      </c>
      <c r="B55" s="13" t="n">
        <f aca="false">Kalender!C55</f>
        <v>1</v>
      </c>
      <c r="C55" s="13" t="n">
        <f aca="false">Kalender!D55</f>
        <v>1</v>
      </c>
      <c r="D55" s="13" t="n">
        <f aca="false">IF(Prüfungen!$B$4=0,(IFERROR(SUMIF(Nutzungsprofile!$B$6:$B$11,"Schulbetrieb",Nutzungsprofile!$G$6:$G$11)*Kalender!C55/SUM(Kalender!$C$5:$C$370),0)+IFERROR(SUMIF(Nutzungsprofile!$B$6:$B$11,"Halle",Nutzungsprofile!$G$6:$G$11)*Kalender!D55/SUM(Kalender!$D$5:$D$370),0)+IFERROR(SUMIF(Nutzungsprofile!$B$6:$B$11,"Individuell",Nutzungsprofile!$G$6:$G$11)*Kalender!E55/SUM(Kalender!$E$5:$E$370),0)),0)</f>
        <v>2.94</v>
      </c>
      <c r="E55" s="13" t="n">
        <f aca="false">IF(Prüfungen!$B$4=0,(IFERROR(SUMIF(Nutzungsprofile!$B$17:$B$22,"Schulbetrieb",Nutzungsprofile!$G$17:$G$22)*Kalender!C55/SUM(Kalender!$C$5:$C$370),0)+IFERROR(SUMIF(Nutzungsprofile!$B$17:$B$22,"Halle",Nutzungsprofile!$G$17:$G$22)*Kalender!D55/SUM(Kalender!$D$5:$D$370),0)+IFERROR(SUMIF(Nutzungsprofile!$B$17:$B$22,"Individuell",Nutzungsprofile!$G$17:$G$22)*Kalender!E55/SUM(Kalender!$E$5:$E$370),0)),0)</f>
        <v>4.94</v>
      </c>
      <c r="F55" s="13" t="n">
        <f aca="false">IFERROR(MIN(D55,Eingaben!$B$17)*Eingaben!$B$16,0)</f>
        <v>2.793</v>
      </c>
      <c r="G55" s="13" t="n">
        <f aca="false">IFERROR(F55*Eingaben!$B$15,0)</f>
        <v>2.5137</v>
      </c>
      <c r="H55" s="13" t="n">
        <f aca="false">IFERROR(Q55*(1-Eingaben!$B$20),0)</f>
        <v>0.7390278</v>
      </c>
      <c r="I55" s="13" t="n">
        <f aca="false">MIN(H55,E55)</f>
        <v>0.7390278</v>
      </c>
      <c r="J55" s="13" t="n">
        <f aca="false">IFERROR(MIN(G55*Eingaben!$B$19,MAX(0,E55-I55)),0)</f>
        <v>1.75959</v>
      </c>
      <c r="K55" s="13" t="n">
        <f aca="false">IFERROR(MIN(Eingaben!$B$18,MAX(0,G55-J55)),0)</f>
        <v>0.75411</v>
      </c>
      <c r="L55" s="13" t="n">
        <f aca="false">I55+J55</f>
        <v>2.4986178</v>
      </c>
      <c r="M55" s="13" t="n">
        <f aca="false">MAX(0,E55-L55)</f>
        <v>2.4413822</v>
      </c>
      <c r="N55" s="13" t="n">
        <f aca="false">MAX(0,G55-J55-K55)</f>
        <v>0</v>
      </c>
      <c r="O55" s="13" t="n">
        <f aca="false">Q55-I55</f>
        <v>0.0150822</v>
      </c>
      <c r="P55" s="13" t="n">
        <f aca="false">G55+Q55-L55-N55-O55-K55</f>
        <v>0</v>
      </c>
      <c r="Q55" s="13" t="n">
        <f aca="false">IF(A55="",0,K54)</f>
        <v>0.75411</v>
      </c>
    </row>
    <row r="56" customFormat="false" ht="16.4" hidden="false" customHeight="false" outlineLevel="0" collapsed="false">
      <c r="A56" s="23" t="n">
        <f aca="false">Kalender!A56</f>
        <v>46074</v>
      </c>
      <c r="B56" s="13" t="n">
        <f aca="false">Kalender!C56</f>
        <v>0</v>
      </c>
      <c r="C56" s="13" t="n">
        <f aca="false">Kalender!D56</f>
        <v>1</v>
      </c>
      <c r="D56" s="13" t="n">
        <f aca="false">IF(Prüfungen!$B$4=0,(IFERROR(SUMIF(Nutzungsprofile!$B$6:$B$11,"Schulbetrieb",Nutzungsprofile!$G$6:$G$11)*Kalender!C56/SUM(Kalender!$C$5:$C$370),0)+IFERROR(SUMIF(Nutzungsprofile!$B$6:$B$11,"Halle",Nutzungsprofile!$G$6:$G$11)*Kalender!D56/SUM(Kalender!$D$5:$D$370),0)+IFERROR(SUMIF(Nutzungsprofile!$B$6:$B$11,"Individuell",Nutzungsprofile!$G$6:$G$11)*Kalender!E56/SUM(Kalender!$E$5:$E$370),0)),0)</f>
        <v>2.04</v>
      </c>
      <c r="E56" s="13" t="n">
        <f aca="false">IF(Prüfungen!$B$4=0,(IFERROR(SUMIF(Nutzungsprofile!$B$17:$B$22,"Schulbetrieb",Nutzungsprofile!$G$17:$G$22)*Kalender!C56/SUM(Kalender!$C$5:$C$370),0)+IFERROR(SUMIF(Nutzungsprofile!$B$17:$B$22,"Halle",Nutzungsprofile!$G$17:$G$22)*Kalender!D56/SUM(Kalender!$D$5:$D$370),0)+IFERROR(SUMIF(Nutzungsprofile!$B$17:$B$22,"Individuell",Nutzungsprofile!$G$17:$G$22)*Kalender!E56/SUM(Kalender!$E$5:$E$370),0)),0)</f>
        <v>0.89</v>
      </c>
      <c r="F56" s="13" t="n">
        <f aca="false">IFERROR(MIN(D56,Eingaben!$B$17)*Eingaben!$B$16,0)</f>
        <v>1.938</v>
      </c>
      <c r="G56" s="13" t="n">
        <f aca="false">IFERROR(F56*Eingaben!$B$15,0)</f>
        <v>1.7442</v>
      </c>
      <c r="H56" s="13" t="n">
        <f aca="false">IFERROR(Q56*(1-Eingaben!$B$20),0)</f>
        <v>0.7390278</v>
      </c>
      <c r="I56" s="13" t="n">
        <f aca="false">MIN(H56,E56)</f>
        <v>0.7390278</v>
      </c>
      <c r="J56" s="13" t="n">
        <f aca="false">IFERROR(MIN(G56*Eingaben!$B$19,MAX(0,E56-I56)),0)</f>
        <v>0.1509722</v>
      </c>
      <c r="K56" s="13" t="n">
        <f aca="false">IFERROR(MIN(Eingaben!$B$18,MAX(0,G56-J56)),0)</f>
        <v>1.5932278</v>
      </c>
      <c r="L56" s="13" t="n">
        <f aca="false">I56+J56</f>
        <v>0.89</v>
      </c>
      <c r="M56" s="13" t="n">
        <f aca="false">MAX(0,E56-L56)</f>
        <v>0</v>
      </c>
      <c r="N56" s="13" t="n">
        <f aca="false">MAX(0,G56-J56-K56)</f>
        <v>0</v>
      </c>
      <c r="O56" s="13" t="n">
        <f aca="false">Q56-I56</f>
        <v>0.0150822</v>
      </c>
      <c r="P56" s="13" t="n">
        <f aca="false">G56+Q56-L56-N56-O56-K56</f>
        <v>0</v>
      </c>
      <c r="Q56" s="13" t="n">
        <f aca="false">IF(A56="",0,K55)</f>
        <v>0.75411</v>
      </c>
    </row>
    <row r="57" customFormat="false" ht="16.4" hidden="false" customHeight="false" outlineLevel="0" collapsed="false">
      <c r="A57" s="23" t="n">
        <f aca="false">Kalender!A57</f>
        <v>46075</v>
      </c>
      <c r="B57" s="13" t="n">
        <f aca="false">Kalender!C57</f>
        <v>0</v>
      </c>
      <c r="C57" s="13" t="n">
        <f aca="false">Kalender!D57</f>
        <v>1</v>
      </c>
      <c r="D57" s="13" t="n">
        <f aca="false">IF(Prüfungen!$B$4=0,(IFERROR(SUMIF(Nutzungsprofile!$B$6:$B$11,"Schulbetrieb",Nutzungsprofile!$G$6:$G$11)*Kalender!C57/SUM(Kalender!$C$5:$C$370),0)+IFERROR(SUMIF(Nutzungsprofile!$B$6:$B$11,"Halle",Nutzungsprofile!$G$6:$G$11)*Kalender!D57/SUM(Kalender!$D$5:$D$370),0)+IFERROR(SUMIF(Nutzungsprofile!$B$6:$B$11,"Individuell",Nutzungsprofile!$G$6:$G$11)*Kalender!E57/SUM(Kalender!$E$5:$E$370),0)),0)</f>
        <v>2.04</v>
      </c>
      <c r="E57" s="13" t="n">
        <f aca="false">IF(Prüfungen!$B$4=0,(IFERROR(SUMIF(Nutzungsprofile!$B$17:$B$22,"Schulbetrieb",Nutzungsprofile!$G$17:$G$22)*Kalender!C57/SUM(Kalender!$C$5:$C$370),0)+IFERROR(SUMIF(Nutzungsprofile!$B$17:$B$22,"Halle",Nutzungsprofile!$G$17:$G$22)*Kalender!D57/SUM(Kalender!$D$5:$D$370),0)+IFERROR(SUMIF(Nutzungsprofile!$B$17:$B$22,"Individuell",Nutzungsprofile!$G$17:$G$22)*Kalender!E57/SUM(Kalender!$E$5:$E$370),0)),0)</f>
        <v>0.89</v>
      </c>
      <c r="F57" s="13" t="n">
        <f aca="false">IFERROR(MIN(D57,Eingaben!$B$17)*Eingaben!$B$16,0)</f>
        <v>1.938</v>
      </c>
      <c r="G57" s="13" t="n">
        <f aca="false">IFERROR(F57*Eingaben!$B$15,0)</f>
        <v>1.7442</v>
      </c>
      <c r="H57" s="13" t="n">
        <f aca="false">IFERROR(Q57*(1-Eingaben!$B$20),0)</f>
        <v>1.561363244</v>
      </c>
      <c r="I57" s="13" t="n">
        <f aca="false">MIN(H57,E57)</f>
        <v>0.89</v>
      </c>
      <c r="J57" s="13" t="n">
        <f aca="false">IFERROR(MIN(G57*Eingaben!$B$19,MAX(0,E57-I57)),0)</f>
        <v>0</v>
      </c>
      <c r="K57" s="13" t="n">
        <f aca="false">IFERROR(MIN(Eingaben!$B$18,MAX(0,G57-J57)),0)</f>
        <v>1.7442</v>
      </c>
      <c r="L57" s="13" t="n">
        <f aca="false">I57+J57</f>
        <v>0.89</v>
      </c>
      <c r="M57" s="13" t="n">
        <f aca="false">MAX(0,E57-L57)</f>
        <v>0</v>
      </c>
      <c r="N57" s="13" t="n">
        <f aca="false">MAX(0,G57-J57-K57)</f>
        <v>0</v>
      </c>
      <c r="O57" s="13" t="n">
        <f aca="false">Q57-I57</f>
        <v>0.7032278</v>
      </c>
      <c r="P57" s="13" t="n">
        <f aca="false">G57+Q57-L57-N57-O57-K57</f>
        <v>0</v>
      </c>
      <c r="Q57" s="13" t="n">
        <f aca="false">IF(A57="",0,K56)</f>
        <v>1.5932278</v>
      </c>
    </row>
    <row r="58" customFormat="false" ht="16.4" hidden="false" customHeight="false" outlineLevel="0" collapsed="false">
      <c r="A58" s="23" t="n">
        <f aca="false">Kalender!A58</f>
        <v>46076</v>
      </c>
      <c r="B58" s="13" t="n">
        <f aca="false">Kalender!C58</f>
        <v>1</v>
      </c>
      <c r="C58" s="13" t="n">
        <f aca="false">Kalender!D58</f>
        <v>1</v>
      </c>
      <c r="D58" s="13" t="n">
        <f aca="false">IF(Prüfungen!$B$4=0,(IFERROR(SUMIF(Nutzungsprofile!$B$6:$B$11,"Schulbetrieb",Nutzungsprofile!$G$6:$G$11)*Kalender!C58/SUM(Kalender!$C$5:$C$370),0)+IFERROR(SUMIF(Nutzungsprofile!$B$6:$B$11,"Halle",Nutzungsprofile!$G$6:$G$11)*Kalender!D58/SUM(Kalender!$D$5:$D$370),0)+IFERROR(SUMIF(Nutzungsprofile!$B$6:$B$11,"Individuell",Nutzungsprofile!$G$6:$G$11)*Kalender!E58/SUM(Kalender!$E$5:$E$370),0)),0)</f>
        <v>2.94</v>
      </c>
      <c r="E58" s="13" t="n">
        <f aca="false">IF(Prüfungen!$B$4=0,(IFERROR(SUMIF(Nutzungsprofile!$B$17:$B$22,"Schulbetrieb",Nutzungsprofile!$G$17:$G$22)*Kalender!C58/SUM(Kalender!$C$5:$C$370),0)+IFERROR(SUMIF(Nutzungsprofile!$B$17:$B$22,"Halle",Nutzungsprofile!$G$17:$G$22)*Kalender!D58/SUM(Kalender!$D$5:$D$370),0)+IFERROR(SUMIF(Nutzungsprofile!$B$17:$B$22,"Individuell",Nutzungsprofile!$G$17:$G$22)*Kalender!E58/SUM(Kalender!$E$5:$E$370),0)),0)</f>
        <v>4.94</v>
      </c>
      <c r="F58" s="13" t="n">
        <f aca="false">IFERROR(MIN(D58,Eingaben!$B$17)*Eingaben!$B$16,0)</f>
        <v>2.793</v>
      </c>
      <c r="G58" s="13" t="n">
        <f aca="false">IFERROR(F58*Eingaben!$B$15,0)</f>
        <v>2.5137</v>
      </c>
      <c r="H58" s="13" t="n">
        <f aca="false">IFERROR(Q58*(1-Eingaben!$B$20),0)</f>
        <v>1.709316</v>
      </c>
      <c r="I58" s="13" t="n">
        <f aca="false">MIN(H58,E58)</f>
        <v>1.709316</v>
      </c>
      <c r="J58" s="13" t="n">
        <f aca="false">IFERROR(MIN(G58*Eingaben!$B$19,MAX(0,E58-I58)),0)</f>
        <v>1.75959</v>
      </c>
      <c r="K58" s="13" t="n">
        <f aca="false">IFERROR(MIN(Eingaben!$B$18,MAX(0,G58-J58)),0)</f>
        <v>0.75411</v>
      </c>
      <c r="L58" s="13" t="n">
        <f aca="false">I58+J58</f>
        <v>3.468906</v>
      </c>
      <c r="M58" s="13" t="n">
        <f aca="false">MAX(0,E58-L58)</f>
        <v>1.471094</v>
      </c>
      <c r="N58" s="13" t="n">
        <f aca="false">MAX(0,G58-J58-K58)</f>
        <v>0</v>
      </c>
      <c r="O58" s="13" t="n">
        <f aca="false">Q58-I58</f>
        <v>0.0348840000000001</v>
      </c>
      <c r="P58" s="13" t="n">
        <f aca="false">G58+Q58-L58-N58-O58-K58</f>
        <v>0</v>
      </c>
      <c r="Q58" s="13" t="n">
        <f aca="false">IF(A58="",0,K57)</f>
        <v>1.7442</v>
      </c>
    </row>
    <row r="59" customFormat="false" ht="16.4" hidden="false" customHeight="false" outlineLevel="0" collapsed="false">
      <c r="A59" s="23" t="n">
        <f aca="false">Kalender!A59</f>
        <v>46077</v>
      </c>
      <c r="B59" s="13" t="n">
        <f aca="false">Kalender!C59</f>
        <v>1</v>
      </c>
      <c r="C59" s="13" t="n">
        <f aca="false">Kalender!D59</f>
        <v>1</v>
      </c>
      <c r="D59" s="13" t="n">
        <f aca="false">IF(Prüfungen!$B$4=0,(IFERROR(SUMIF(Nutzungsprofile!$B$6:$B$11,"Schulbetrieb",Nutzungsprofile!$G$6:$G$11)*Kalender!C59/SUM(Kalender!$C$5:$C$370),0)+IFERROR(SUMIF(Nutzungsprofile!$B$6:$B$11,"Halle",Nutzungsprofile!$G$6:$G$11)*Kalender!D59/SUM(Kalender!$D$5:$D$370),0)+IFERROR(SUMIF(Nutzungsprofile!$B$6:$B$11,"Individuell",Nutzungsprofile!$G$6:$G$11)*Kalender!E59/SUM(Kalender!$E$5:$E$370),0)),0)</f>
        <v>2.94</v>
      </c>
      <c r="E59" s="13" t="n">
        <f aca="false">IF(Prüfungen!$B$4=0,(IFERROR(SUMIF(Nutzungsprofile!$B$17:$B$22,"Schulbetrieb",Nutzungsprofile!$G$17:$G$22)*Kalender!C59/SUM(Kalender!$C$5:$C$370),0)+IFERROR(SUMIF(Nutzungsprofile!$B$17:$B$22,"Halle",Nutzungsprofile!$G$17:$G$22)*Kalender!D59/SUM(Kalender!$D$5:$D$370),0)+IFERROR(SUMIF(Nutzungsprofile!$B$17:$B$22,"Individuell",Nutzungsprofile!$G$17:$G$22)*Kalender!E59/SUM(Kalender!$E$5:$E$370),0)),0)</f>
        <v>4.94</v>
      </c>
      <c r="F59" s="13" t="n">
        <f aca="false">IFERROR(MIN(D59,Eingaben!$B$17)*Eingaben!$B$16,0)</f>
        <v>2.793</v>
      </c>
      <c r="G59" s="13" t="n">
        <f aca="false">IFERROR(F59*Eingaben!$B$15,0)</f>
        <v>2.5137</v>
      </c>
      <c r="H59" s="13" t="n">
        <f aca="false">IFERROR(Q59*(1-Eingaben!$B$20),0)</f>
        <v>0.7390278</v>
      </c>
      <c r="I59" s="13" t="n">
        <f aca="false">MIN(H59,E59)</f>
        <v>0.7390278</v>
      </c>
      <c r="J59" s="13" t="n">
        <f aca="false">IFERROR(MIN(G59*Eingaben!$B$19,MAX(0,E59-I59)),0)</f>
        <v>1.75959</v>
      </c>
      <c r="K59" s="13" t="n">
        <f aca="false">IFERROR(MIN(Eingaben!$B$18,MAX(0,G59-J59)),0)</f>
        <v>0.75411</v>
      </c>
      <c r="L59" s="13" t="n">
        <f aca="false">I59+J59</f>
        <v>2.4986178</v>
      </c>
      <c r="M59" s="13" t="n">
        <f aca="false">MAX(0,E59-L59)</f>
        <v>2.4413822</v>
      </c>
      <c r="N59" s="13" t="n">
        <f aca="false">MAX(0,G59-J59-K59)</f>
        <v>0</v>
      </c>
      <c r="O59" s="13" t="n">
        <f aca="false">Q59-I59</f>
        <v>0.0150822</v>
      </c>
      <c r="P59" s="13" t="n">
        <f aca="false">G59+Q59-L59-N59-O59-K59</f>
        <v>0</v>
      </c>
      <c r="Q59" s="13" t="n">
        <f aca="false">IF(A59="",0,K58)</f>
        <v>0.75411</v>
      </c>
    </row>
    <row r="60" customFormat="false" ht="16.4" hidden="false" customHeight="false" outlineLevel="0" collapsed="false">
      <c r="A60" s="23" t="n">
        <f aca="false">Kalender!A60</f>
        <v>46078</v>
      </c>
      <c r="B60" s="13" t="n">
        <f aca="false">Kalender!C60</f>
        <v>1</v>
      </c>
      <c r="C60" s="13" t="n">
        <f aca="false">Kalender!D60</f>
        <v>1</v>
      </c>
      <c r="D60" s="13" t="n">
        <f aca="false">IF(Prüfungen!$B$4=0,(IFERROR(SUMIF(Nutzungsprofile!$B$6:$B$11,"Schulbetrieb",Nutzungsprofile!$G$6:$G$11)*Kalender!C60/SUM(Kalender!$C$5:$C$370),0)+IFERROR(SUMIF(Nutzungsprofile!$B$6:$B$11,"Halle",Nutzungsprofile!$G$6:$G$11)*Kalender!D60/SUM(Kalender!$D$5:$D$370),0)+IFERROR(SUMIF(Nutzungsprofile!$B$6:$B$11,"Individuell",Nutzungsprofile!$G$6:$G$11)*Kalender!E60/SUM(Kalender!$E$5:$E$370),0)),0)</f>
        <v>2.94</v>
      </c>
      <c r="E60" s="13" t="n">
        <f aca="false">IF(Prüfungen!$B$4=0,(IFERROR(SUMIF(Nutzungsprofile!$B$17:$B$22,"Schulbetrieb",Nutzungsprofile!$G$17:$G$22)*Kalender!C60/SUM(Kalender!$C$5:$C$370),0)+IFERROR(SUMIF(Nutzungsprofile!$B$17:$B$22,"Halle",Nutzungsprofile!$G$17:$G$22)*Kalender!D60/SUM(Kalender!$D$5:$D$370),0)+IFERROR(SUMIF(Nutzungsprofile!$B$17:$B$22,"Individuell",Nutzungsprofile!$G$17:$G$22)*Kalender!E60/SUM(Kalender!$E$5:$E$370),0)),0)</f>
        <v>4.94</v>
      </c>
      <c r="F60" s="13" t="n">
        <f aca="false">IFERROR(MIN(D60,Eingaben!$B$17)*Eingaben!$B$16,0)</f>
        <v>2.793</v>
      </c>
      <c r="G60" s="13" t="n">
        <f aca="false">IFERROR(F60*Eingaben!$B$15,0)</f>
        <v>2.5137</v>
      </c>
      <c r="H60" s="13" t="n">
        <f aca="false">IFERROR(Q60*(1-Eingaben!$B$20),0)</f>
        <v>0.7390278</v>
      </c>
      <c r="I60" s="13" t="n">
        <f aca="false">MIN(H60,E60)</f>
        <v>0.7390278</v>
      </c>
      <c r="J60" s="13" t="n">
        <f aca="false">IFERROR(MIN(G60*Eingaben!$B$19,MAX(0,E60-I60)),0)</f>
        <v>1.75959</v>
      </c>
      <c r="K60" s="13" t="n">
        <f aca="false">IFERROR(MIN(Eingaben!$B$18,MAX(0,G60-J60)),0)</f>
        <v>0.75411</v>
      </c>
      <c r="L60" s="13" t="n">
        <f aca="false">I60+J60</f>
        <v>2.4986178</v>
      </c>
      <c r="M60" s="13" t="n">
        <f aca="false">MAX(0,E60-L60)</f>
        <v>2.4413822</v>
      </c>
      <c r="N60" s="13" t="n">
        <f aca="false">MAX(0,G60-J60-K60)</f>
        <v>0</v>
      </c>
      <c r="O60" s="13" t="n">
        <f aca="false">Q60-I60</f>
        <v>0.0150822</v>
      </c>
      <c r="P60" s="13" t="n">
        <f aca="false">G60+Q60-L60-N60-O60-K60</f>
        <v>0</v>
      </c>
      <c r="Q60" s="13" t="n">
        <f aca="false">IF(A60="",0,K59)</f>
        <v>0.75411</v>
      </c>
    </row>
    <row r="61" customFormat="false" ht="16.4" hidden="false" customHeight="false" outlineLevel="0" collapsed="false">
      <c r="A61" s="23" t="n">
        <f aca="false">Kalender!A61</f>
        <v>46079</v>
      </c>
      <c r="B61" s="13" t="n">
        <f aca="false">Kalender!C61</f>
        <v>1</v>
      </c>
      <c r="C61" s="13" t="n">
        <f aca="false">Kalender!D61</f>
        <v>1</v>
      </c>
      <c r="D61" s="13" t="n">
        <f aca="false">IF(Prüfungen!$B$4=0,(IFERROR(SUMIF(Nutzungsprofile!$B$6:$B$11,"Schulbetrieb",Nutzungsprofile!$G$6:$G$11)*Kalender!C61/SUM(Kalender!$C$5:$C$370),0)+IFERROR(SUMIF(Nutzungsprofile!$B$6:$B$11,"Halle",Nutzungsprofile!$G$6:$G$11)*Kalender!D61/SUM(Kalender!$D$5:$D$370),0)+IFERROR(SUMIF(Nutzungsprofile!$B$6:$B$11,"Individuell",Nutzungsprofile!$G$6:$G$11)*Kalender!E61/SUM(Kalender!$E$5:$E$370),0)),0)</f>
        <v>2.94</v>
      </c>
      <c r="E61" s="13" t="n">
        <f aca="false">IF(Prüfungen!$B$4=0,(IFERROR(SUMIF(Nutzungsprofile!$B$17:$B$22,"Schulbetrieb",Nutzungsprofile!$G$17:$G$22)*Kalender!C61/SUM(Kalender!$C$5:$C$370),0)+IFERROR(SUMIF(Nutzungsprofile!$B$17:$B$22,"Halle",Nutzungsprofile!$G$17:$G$22)*Kalender!D61/SUM(Kalender!$D$5:$D$370),0)+IFERROR(SUMIF(Nutzungsprofile!$B$17:$B$22,"Individuell",Nutzungsprofile!$G$17:$G$22)*Kalender!E61/SUM(Kalender!$E$5:$E$370),0)),0)</f>
        <v>4.94</v>
      </c>
      <c r="F61" s="13" t="n">
        <f aca="false">IFERROR(MIN(D61,Eingaben!$B$17)*Eingaben!$B$16,0)</f>
        <v>2.793</v>
      </c>
      <c r="G61" s="13" t="n">
        <f aca="false">IFERROR(F61*Eingaben!$B$15,0)</f>
        <v>2.5137</v>
      </c>
      <c r="H61" s="13" t="n">
        <f aca="false">IFERROR(Q61*(1-Eingaben!$B$20),0)</f>
        <v>0.7390278</v>
      </c>
      <c r="I61" s="13" t="n">
        <f aca="false">MIN(H61,E61)</f>
        <v>0.7390278</v>
      </c>
      <c r="J61" s="13" t="n">
        <f aca="false">IFERROR(MIN(G61*Eingaben!$B$19,MAX(0,E61-I61)),0)</f>
        <v>1.75959</v>
      </c>
      <c r="K61" s="13" t="n">
        <f aca="false">IFERROR(MIN(Eingaben!$B$18,MAX(0,G61-J61)),0)</f>
        <v>0.75411</v>
      </c>
      <c r="L61" s="13" t="n">
        <f aca="false">I61+J61</f>
        <v>2.4986178</v>
      </c>
      <c r="M61" s="13" t="n">
        <f aca="false">MAX(0,E61-L61)</f>
        <v>2.4413822</v>
      </c>
      <c r="N61" s="13" t="n">
        <f aca="false">MAX(0,G61-J61-K61)</f>
        <v>0</v>
      </c>
      <c r="O61" s="13" t="n">
        <f aca="false">Q61-I61</f>
        <v>0.0150822</v>
      </c>
      <c r="P61" s="13" t="n">
        <f aca="false">G61+Q61-L61-N61-O61-K61</f>
        <v>0</v>
      </c>
      <c r="Q61" s="13" t="n">
        <f aca="false">IF(A61="",0,K60)</f>
        <v>0.75411</v>
      </c>
    </row>
    <row r="62" customFormat="false" ht="16.4" hidden="false" customHeight="false" outlineLevel="0" collapsed="false">
      <c r="A62" s="23" t="n">
        <f aca="false">Kalender!A62</f>
        <v>46080</v>
      </c>
      <c r="B62" s="13" t="n">
        <f aca="false">Kalender!C62</f>
        <v>1</v>
      </c>
      <c r="C62" s="13" t="n">
        <f aca="false">Kalender!D62</f>
        <v>1</v>
      </c>
      <c r="D62" s="13" t="n">
        <f aca="false">IF(Prüfungen!$B$4=0,(IFERROR(SUMIF(Nutzungsprofile!$B$6:$B$11,"Schulbetrieb",Nutzungsprofile!$G$6:$G$11)*Kalender!C62/SUM(Kalender!$C$5:$C$370),0)+IFERROR(SUMIF(Nutzungsprofile!$B$6:$B$11,"Halle",Nutzungsprofile!$G$6:$G$11)*Kalender!D62/SUM(Kalender!$D$5:$D$370),0)+IFERROR(SUMIF(Nutzungsprofile!$B$6:$B$11,"Individuell",Nutzungsprofile!$G$6:$G$11)*Kalender!E62/SUM(Kalender!$E$5:$E$370),0)),0)</f>
        <v>2.94</v>
      </c>
      <c r="E62" s="13" t="n">
        <f aca="false">IF(Prüfungen!$B$4=0,(IFERROR(SUMIF(Nutzungsprofile!$B$17:$B$22,"Schulbetrieb",Nutzungsprofile!$G$17:$G$22)*Kalender!C62/SUM(Kalender!$C$5:$C$370),0)+IFERROR(SUMIF(Nutzungsprofile!$B$17:$B$22,"Halle",Nutzungsprofile!$G$17:$G$22)*Kalender!D62/SUM(Kalender!$D$5:$D$370),0)+IFERROR(SUMIF(Nutzungsprofile!$B$17:$B$22,"Individuell",Nutzungsprofile!$G$17:$G$22)*Kalender!E62/SUM(Kalender!$E$5:$E$370),0)),0)</f>
        <v>4.94</v>
      </c>
      <c r="F62" s="13" t="n">
        <f aca="false">IFERROR(MIN(D62,Eingaben!$B$17)*Eingaben!$B$16,0)</f>
        <v>2.793</v>
      </c>
      <c r="G62" s="13" t="n">
        <f aca="false">IFERROR(F62*Eingaben!$B$15,0)</f>
        <v>2.5137</v>
      </c>
      <c r="H62" s="13" t="n">
        <f aca="false">IFERROR(Q62*(1-Eingaben!$B$20),0)</f>
        <v>0.7390278</v>
      </c>
      <c r="I62" s="13" t="n">
        <f aca="false">MIN(H62,E62)</f>
        <v>0.7390278</v>
      </c>
      <c r="J62" s="13" t="n">
        <f aca="false">IFERROR(MIN(G62*Eingaben!$B$19,MAX(0,E62-I62)),0)</f>
        <v>1.75959</v>
      </c>
      <c r="K62" s="13" t="n">
        <f aca="false">IFERROR(MIN(Eingaben!$B$18,MAX(0,G62-J62)),0)</f>
        <v>0.75411</v>
      </c>
      <c r="L62" s="13" t="n">
        <f aca="false">I62+J62</f>
        <v>2.4986178</v>
      </c>
      <c r="M62" s="13" t="n">
        <f aca="false">MAX(0,E62-L62)</f>
        <v>2.4413822</v>
      </c>
      <c r="N62" s="13" t="n">
        <f aca="false">MAX(0,G62-J62-K62)</f>
        <v>0</v>
      </c>
      <c r="O62" s="13" t="n">
        <f aca="false">Q62-I62</f>
        <v>0.0150822</v>
      </c>
      <c r="P62" s="13" t="n">
        <f aca="false">G62+Q62-L62-N62-O62-K62</f>
        <v>0</v>
      </c>
      <c r="Q62" s="13" t="n">
        <f aca="false">IF(A62="",0,K61)</f>
        <v>0.75411</v>
      </c>
    </row>
    <row r="63" customFormat="false" ht="16.4" hidden="false" customHeight="false" outlineLevel="0" collapsed="false">
      <c r="A63" s="23" t="n">
        <f aca="false">Kalender!A63</f>
        <v>46081</v>
      </c>
      <c r="B63" s="13" t="n">
        <f aca="false">Kalender!C63</f>
        <v>0</v>
      </c>
      <c r="C63" s="13" t="n">
        <f aca="false">Kalender!D63</f>
        <v>1</v>
      </c>
      <c r="D63" s="13" t="n">
        <f aca="false">IF(Prüfungen!$B$4=0,(IFERROR(SUMIF(Nutzungsprofile!$B$6:$B$11,"Schulbetrieb",Nutzungsprofile!$G$6:$G$11)*Kalender!C63/SUM(Kalender!$C$5:$C$370),0)+IFERROR(SUMIF(Nutzungsprofile!$B$6:$B$11,"Halle",Nutzungsprofile!$G$6:$G$11)*Kalender!D63/SUM(Kalender!$D$5:$D$370),0)+IFERROR(SUMIF(Nutzungsprofile!$B$6:$B$11,"Individuell",Nutzungsprofile!$G$6:$G$11)*Kalender!E63/SUM(Kalender!$E$5:$E$370),0)),0)</f>
        <v>2.04</v>
      </c>
      <c r="E63" s="13" t="n">
        <f aca="false">IF(Prüfungen!$B$4=0,(IFERROR(SUMIF(Nutzungsprofile!$B$17:$B$22,"Schulbetrieb",Nutzungsprofile!$G$17:$G$22)*Kalender!C63/SUM(Kalender!$C$5:$C$370),0)+IFERROR(SUMIF(Nutzungsprofile!$B$17:$B$22,"Halle",Nutzungsprofile!$G$17:$G$22)*Kalender!D63/SUM(Kalender!$D$5:$D$370),0)+IFERROR(SUMIF(Nutzungsprofile!$B$17:$B$22,"Individuell",Nutzungsprofile!$G$17:$G$22)*Kalender!E63/SUM(Kalender!$E$5:$E$370),0)),0)</f>
        <v>0.89</v>
      </c>
      <c r="F63" s="13" t="n">
        <f aca="false">IFERROR(MIN(D63,Eingaben!$B$17)*Eingaben!$B$16,0)</f>
        <v>1.938</v>
      </c>
      <c r="G63" s="13" t="n">
        <f aca="false">IFERROR(F63*Eingaben!$B$15,0)</f>
        <v>1.7442</v>
      </c>
      <c r="H63" s="13" t="n">
        <f aca="false">IFERROR(Q63*(1-Eingaben!$B$20),0)</f>
        <v>0.7390278</v>
      </c>
      <c r="I63" s="13" t="n">
        <f aca="false">MIN(H63,E63)</f>
        <v>0.7390278</v>
      </c>
      <c r="J63" s="13" t="n">
        <f aca="false">IFERROR(MIN(G63*Eingaben!$B$19,MAX(0,E63-I63)),0)</f>
        <v>0.1509722</v>
      </c>
      <c r="K63" s="13" t="n">
        <f aca="false">IFERROR(MIN(Eingaben!$B$18,MAX(0,G63-J63)),0)</f>
        <v>1.5932278</v>
      </c>
      <c r="L63" s="13" t="n">
        <f aca="false">I63+J63</f>
        <v>0.89</v>
      </c>
      <c r="M63" s="13" t="n">
        <f aca="false">MAX(0,E63-L63)</f>
        <v>0</v>
      </c>
      <c r="N63" s="13" t="n">
        <f aca="false">MAX(0,G63-J63-K63)</f>
        <v>0</v>
      </c>
      <c r="O63" s="13" t="n">
        <f aca="false">Q63-I63</f>
        <v>0.0150822</v>
      </c>
      <c r="P63" s="13" t="n">
        <f aca="false">G63+Q63-L63-N63-O63-K63</f>
        <v>0</v>
      </c>
      <c r="Q63" s="13" t="n">
        <f aca="false">IF(A63="",0,K62)</f>
        <v>0.75411</v>
      </c>
    </row>
    <row r="64" customFormat="false" ht="16.4" hidden="false" customHeight="false" outlineLevel="0" collapsed="false">
      <c r="A64" s="23" t="n">
        <f aca="false">Kalender!A64</f>
        <v>46082</v>
      </c>
      <c r="B64" s="13" t="n">
        <f aca="false">Kalender!C64</f>
        <v>0</v>
      </c>
      <c r="C64" s="13" t="n">
        <f aca="false">Kalender!D64</f>
        <v>1</v>
      </c>
      <c r="D64" s="13" t="n">
        <f aca="false">IF(Prüfungen!$B$4=0,(IFERROR(SUMIF(Nutzungsprofile!$B$6:$B$11,"Schulbetrieb",Nutzungsprofile!$G$6:$G$11)*Kalender!C64/SUM(Kalender!$C$5:$C$370),0)+IFERROR(SUMIF(Nutzungsprofile!$B$6:$B$11,"Halle",Nutzungsprofile!$G$6:$G$11)*Kalender!D64/SUM(Kalender!$D$5:$D$370),0)+IFERROR(SUMIF(Nutzungsprofile!$B$6:$B$11,"Individuell",Nutzungsprofile!$G$6:$G$11)*Kalender!E64/SUM(Kalender!$E$5:$E$370),0)),0)</f>
        <v>2.04</v>
      </c>
      <c r="E64" s="13" t="n">
        <f aca="false">IF(Prüfungen!$B$4=0,(IFERROR(SUMIF(Nutzungsprofile!$B$17:$B$22,"Schulbetrieb",Nutzungsprofile!$G$17:$G$22)*Kalender!C64/SUM(Kalender!$C$5:$C$370),0)+IFERROR(SUMIF(Nutzungsprofile!$B$17:$B$22,"Halle",Nutzungsprofile!$G$17:$G$22)*Kalender!D64/SUM(Kalender!$D$5:$D$370),0)+IFERROR(SUMIF(Nutzungsprofile!$B$17:$B$22,"Individuell",Nutzungsprofile!$G$17:$G$22)*Kalender!E64/SUM(Kalender!$E$5:$E$370),0)),0)</f>
        <v>0.89</v>
      </c>
      <c r="F64" s="13" t="n">
        <f aca="false">IFERROR(MIN(D64,Eingaben!$B$17)*Eingaben!$B$16,0)</f>
        <v>1.938</v>
      </c>
      <c r="G64" s="13" t="n">
        <f aca="false">IFERROR(F64*Eingaben!$B$15,0)</f>
        <v>1.7442</v>
      </c>
      <c r="H64" s="13" t="n">
        <f aca="false">IFERROR(Q64*(1-Eingaben!$B$20),0)</f>
        <v>1.561363244</v>
      </c>
      <c r="I64" s="13" t="n">
        <f aca="false">MIN(H64,E64)</f>
        <v>0.89</v>
      </c>
      <c r="J64" s="13" t="n">
        <f aca="false">IFERROR(MIN(G64*Eingaben!$B$19,MAX(0,E64-I64)),0)</f>
        <v>0</v>
      </c>
      <c r="K64" s="13" t="n">
        <f aca="false">IFERROR(MIN(Eingaben!$B$18,MAX(0,G64-J64)),0)</f>
        <v>1.7442</v>
      </c>
      <c r="L64" s="13" t="n">
        <f aca="false">I64+J64</f>
        <v>0.89</v>
      </c>
      <c r="M64" s="13" t="n">
        <f aca="false">MAX(0,E64-L64)</f>
        <v>0</v>
      </c>
      <c r="N64" s="13" t="n">
        <f aca="false">MAX(0,G64-J64-K64)</f>
        <v>0</v>
      </c>
      <c r="O64" s="13" t="n">
        <f aca="false">Q64-I64</f>
        <v>0.7032278</v>
      </c>
      <c r="P64" s="13" t="n">
        <f aca="false">G64+Q64-L64-N64-O64-K64</f>
        <v>0</v>
      </c>
      <c r="Q64" s="13" t="n">
        <f aca="false">IF(A64="",0,K63)</f>
        <v>1.5932278</v>
      </c>
    </row>
    <row r="65" customFormat="false" ht="16.4" hidden="false" customHeight="false" outlineLevel="0" collapsed="false">
      <c r="A65" s="23" t="n">
        <f aca="false">Kalender!A65</f>
        <v>46083</v>
      </c>
      <c r="B65" s="13" t="n">
        <f aca="false">Kalender!C65</f>
        <v>1</v>
      </c>
      <c r="C65" s="13" t="n">
        <f aca="false">Kalender!D65</f>
        <v>1</v>
      </c>
      <c r="D65" s="13" t="n">
        <f aca="false">IF(Prüfungen!$B$4=0,(IFERROR(SUMIF(Nutzungsprofile!$B$6:$B$11,"Schulbetrieb",Nutzungsprofile!$G$6:$G$11)*Kalender!C65/SUM(Kalender!$C$5:$C$370),0)+IFERROR(SUMIF(Nutzungsprofile!$B$6:$B$11,"Halle",Nutzungsprofile!$G$6:$G$11)*Kalender!D65/SUM(Kalender!$D$5:$D$370),0)+IFERROR(SUMIF(Nutzungsprofile!$B$6:$B$11,"Individuell",Nutzungsprofile!$G$6:$G$11)*Kalender!E65/SUM(Kalender!$E$5:$E$370),0)),0)</f>
        <v>2.94</v>
      </c>
      <c r="E65" s="13" t="n">
        <f aca="false">IF(Prüfungen!$B$4=0,(IFERROR(SUMIF(Nutzungsprofile!$B$17:$B$22,"Schulbetrieb",Nutzungsprofile!$G$17:$G$22)*Kalender!C65/SUM(Kalender!$C$5:$C$370),0)+IFERROR(SUMIF(Nutzungsprofile!$B$17:$B$22,"Halle",Nutzungsprofile!$G$17:$G$22)*Kalender!D65/SUM(Kalender!$D$5:$D$370),0)+IFERROR(SUMIF(Nutzungsprofile!$B$17:$B$22,"Individuell",Nutzungsprofile!$G$17:$G$22)*Kalender!E65/SUM(Kalender!$E$5:$E$370),0)),0)</f>
        <v>4.94</v>
      </c>
      <c r="F65" s="13" t="n">
        <f aca="false">IFERROR(MIN(D65,Eingaben!$B$17)*Eingaben!$B$16,0)</f>
        <v>2.793</v>
      </c>
      <c r="G65" s="13" t="n">
        <f aca="false">IFERROR(F65*Eingaben!$B$15,0)</f>
        <v>2.5137</v>
      </c>
      <c r="H65" s="13" t="n">
        <f aca="false">IFERROR(Q65*(1-Eingaben!$B$20),0)</f>
        <v>1.709316</v>
      </c>
      <c r="I65" s="13" t="n">
        <f aca="false">MIN(H65,E65)</f>
        <v>1.709316</v>
      </c>
      <c r="J65" s="13" t="n">
        <f aca="false">IFERROR(MIN(G65*Eingaben!$B$19,MAX(0,E65-I65)),0)</f>
        <v>1.75959</v>
      </c>
      <c r="K65" s="13" t="n">
        <f aca="false">IFERROR(MIN(Eingaben!$B$18,MAX(0,G65-J65)),0)</f>
        <v>0.75411</v>
      </c>
      <c r="L65" s="13" t="n">
        <f aca="false">I65+J65</f>
        <v>3.468906</v>
      </c>
      <c r="M65" s="13" t="n">
        <f aca="false">MAX(0,E65-L65)</f>
        <v>1.471094</v>
      </c>
      <c r="N65" s="13" t="n">
        <f aca="false">MAX(0,G65-J65-K65)</f>
        <v>0</v>
      </c>
      <c r="O65" s="13" t="n">
        <f aca="false">Q65-I65</f>
        <v>0.0348840000000001</v>
      </c>
      <c r="P65" s="13" t="n">
        <f aca="false">G65+Q65-L65-N65-O65-K65</f>
        <v>0</v>
      </c>
      <c r="Q65" s="13" t="n">
        <f aca="false">IF(A65="",0,K64)</f>
        <v>1.7442</v>
      </c>
    </row>
    <row r="66" customFormat="false" ht="16.4" hidden="false" customHeight="false" outlineLevel="0" collapsed="false">
      <c r="A66" s="23" t="n">
        <f aca="false">Kalender!A66</f>
        <v>46084</v>
      </c>
      <c r="B66" s="13" t="n">
        <f aca="false">Kalender!C66</f>
        <v>1</v>
      </c>
      <c r="C66" s="13" t="n">
        <f aca="false">Kalender!D66</f>
        <v>1</v>
      </c>
      <c r="D66" s="13" t="n">
        <f aca="false">IF(Prüfungen!$B$4=0,(IFERROR(SUMIF(Nutzungsprofile!$B$6:$B$11,"Schulbetrieb",Nutzungsprofile!$G$6:$G$11)*Kalender!C66/SUM(Kalender!$C$5:$C$370),0)+IFERROR(SUMIF(Nutzungsprofile!$B$6:$B$11,"Halle",Nutzungsprofile!$G$6:$G$11)*Kalender!D66/SUM(Kalender!$D$5:$D$370),0)+IFERROR(SUMIF(Nutzungsprofile!$B$6:$B$11,"Individuell",Nutzungsprofile!$G$6:$G$11)*Kalender!E66/SUM(Kalender!$E$5:$E$370),0)),0)</f>
        <v>2.94</v>
      </c>
      <c r="E66" s="13" t="n">
        <f aca="false">IF(Prüfungen!$B$4=0,(IFERROR(SUMIF(Nutzungsprofile!$B$17:$B$22,"Schulbetrieb",Nutzungsprofile!$G$17:$G$22)*Kalender!C66/SUM(Kalender!$C$5:$C$370),0)+IFERROR(SUMIF(Nutzungsprofile!$B$17:$B$22,"Halle",Nutzungsprofile!$G$17:$G$22)*Kalender!D66/SUM(Kalender!$D$5:$D$370),0)+IFERROR(SUMIF(Nutzungsprofile!$B$17:$B$22,"Individuell",Nutzungsprofile!$G$17:$G$22)*Kalender!E66/SUM(Kalender!$E$5:$E$370),0)),0)</f>
        <v>4.94</v>
      </c>
      <c r="F66" s="13" t="n">
        <f aca="false">IFERROR(MIN(D66,Eingaben!$B$17)*Eingaben!$B$16,0)</f>
        <v>2.793</v>
      </c>
      <c r="G66" s="13" t="n">
        <f aca="false">IFERROR(F66*Eingaben!$B$15,0)</f>
        <v>2.5137</v>
      </c>
      <c r="H66" s="13" t="n">
        <f aca="false">IFERROR(Q66*(1-Eingaben!$B$20),0)</f>
        <v>0.7390278</v>
      </c>
      <c r="I66" s="13" t="n">
        <f aca="false">MIN(H66,E66)</f>
        <v>0.7390278</v>
      </c>
      <c r="J66" s="13" t="n">
        <f aca="false">IFERROR(MIN(G66*Eingaben!$B$19,MAX(0,E66-I66)),0)</f>
        <v>1.75959</v>
      </c>
      <c r="K66" s="13" t="n">
        <f aca="false">IFERROR(MIN(Eingaben!$B$18,MAX(0,G66-J66)),0)</f>
        <v>0.75411</v>
      </c>
      <c r="L66" s="13" t="n">
        <f aca="false">I66+J66</f>
        <v>2.4986178</v>
      </c>
      <c r="M66" s="13" t="n">
        <f aca="false">MAX(0,E66-L66)</f>
        <v>2.4413822</v>
      </c>
      <c r="N66" s="13" t="n">
        <f aca="false">MAX(0,G66-J66-K66)</f>
        <v>0</v>
      </c>
      <c r="O66" s="13" t="n">
        <f aca="false">Q66-I66</f>
        <v>0.0150822</v>
      </c>
      <c r="P66" s="13" t="n">
        <f aca="false">G66+Q66-L66-N66-O66-K66</f>
        <v>0</v>
      </c>
      <c r="Q66" s="13" t="n">
        <f aca="false">IF(A66="",0,K65)</f>
        <v>0.75411</v>
      </c>
    </row>
    <row r="67" customFormat="false" ht="16.4" hidden="false" customHeight="false" outlineLevel="0" collapsed="false">
      <c r="A67" s="23" t="n">
        <f aca="false">Kalender!A67</f>
        <v>46085</v>
      </c>
      <c r="B67" s="13" t="n">
        <f aca="false">Kalender!C67</f>
        <v>1</v>
      </c>
      <c r="C67" s="13" t="n">
        <f aca="false">Kalender!D67</f>
        <v>1</v>
      </c>
      <c r="D67" s="13" t="n">
        <f aca="false">IF(Prüfungen!$B$4=0,(IFERROR(SUMIF(Nutzungsprofile!$B$6:$B$11,"Schulbetrieb",Nutzungsprofile!$G$6:$G$11)*Kalender!C67/SUM(Kalender!$C$5:$C$370),0)+IFERROR(SUMIF(Nutzungsprofile!$B$6:$B$11,"Halle",Nutzungsprofile!$G$6:$G$11)*Kalender!D67/SUM(Kalender!$D$5:$D$370),0)+IFERROR(SUMIF(Nutzungsprofile!$B$6:$B$11,"Individuell",Nutzungsprofile!$G$6:$G$11)*Kalender!E67/SUM(Kalender!$E$5:$E$370),0)),0)</f>
        <v>2.94</v>
      </c>
      <c r="E67" s="13" t="n">
        <f aca="false">IF(Prüfungen!$B$4=0,(IFERROR(SUMIF(Nutzungsprofile!$B$17:$B$22,"Schulbetrieb",Nutzungsprofile!$G$17:$G$22)*Kalender!C67/SUM(Kalender!$C$5:$C$370),0)+IFERROR(SUMIF(Nutzungsprofile!$B$17:$B$22,"Halle",Nutzungsprofile!$G$17:$G$22)*Kalender!D67/SUM(Kalender!$D$5:$D$370),0)+IFERROR(SUMIF(Nutzungsprofile!$B$17:$B$22,"Individuell",Nutzungsprofile!$G$17:$G$22)*Kalender!E67/SUM(Kalender!$E$5:$E$370),0)),0)</f>
        <v>4.94</v>
      </c>
      <c r="F67" s="13" t="n">
        <f aca="false">IFERROR(MIN(D67,Eingaben!$B$17)*Eingaben!$B$16,0)</f>
        <v>2.793</v>
      </c>
      <c r="G67" s="13" t="n">
        <f aca="false">IFERROR(F67*Eingaben!$B$15,0)</f>
        <v>2.5137</v>
      </c>
      <c r="H67" s="13" t="n">
        <f aca="false">IFERROR(Q67*(1-Eingaben!$B$20),0)</f>
        <v>0.7390278</v>
      </c>
      <c r="I67" s="13" t="n">
        <f aca="false">MIN(H67,E67)</f>
        <v>0.7390278</v>
      </c>
      <c r="J67" s="13" t="n">
        <f aca="false">IFERROR(MIN(G67*Eingaben!$B$19,MAX(0,E67-I67)),0)</f>
        <v>1.75959</v>
      </c>
      <c r="K67" s="13" t="n">
        <f aca="false">IFERROR(MIN(Eingaben!$B$18,MAX(0,G67-J67)),0)</f>
        <v>0.75411</v>
      </c>
      <c r="L67" s="13" t="n">
        <f aca="false">I67+J67</f>
        <v>2.4986178</v>
      </c>
      <c r="M67" s="13" t="n">
        <f aca="false">MAX(0,E67-L67)</f>
        <v>2.4413822</v>
      </c>
      <c r="N67" s="13" t="n">
        <f aca="false">MAX(0,G67-J67-K67)</f>
        <v>0</v>
      </c>
      <c r="O67" s="13" t="n">
        <f aca="false">Q67-I67</f>
        <v>0.0150822</v>
      </c>
      <c r="P67" s="13" t="n">
        <f aca="false">G67+Q67-L67-N67-O67-K67</f>
        <v>0</v>
      </c>
      <c r="Q67" s="13" t="n">
        <f aca="false">IF(A67="",0,K66)</f>
        <v>0.75411</v>
      </c>
    </row>
    <row r="68" customFormat="false" ht="16.4" hidden="false" customHeight="false" outlineLevel="0" collapsed="false">
      <c r="A68" s="23" t="n">
        <f aca="false">Kalender!A68</f>
        <v>46086</v>
      </c>
      <c r="B68" s="13" t="n">
        <f aca="false">Kalender!C68</f>
        <v>1</v>
      </c>
      <c r="C68" s="13" t="n">
        <f aca="false">Kalender!D68</f>
        <v>1</v>
      </c>
      <c r="D68" s="13" t="n">
        <f aca="false">IF(Prüfungen!$B$4=0,(IFERROR(SUMIF(Nutzungsprofile!$B$6:$B$11,"Schulbetrieb",Nutzungsprofile!$G$6:$G$11)*Kalender!C68/SUM(Kalender!$C$5:$C$370),0)+IFERROR(SUMIF(Nutzungsprofile!$B$6:$B$11,"Halle",Nutzungsprofile!$G$6:$G$11)*Kalender!D68/SUM(Kalender!$D$5:$D$370),0)+IFERROR(SUMIF(Nutzungsprofile!$B$6:$B$11,"Individuell",Nutzungsprofile!$G$6:$G$11)*Kalender!E68/SUM(Kalender!$E$5:$E$370),0)),0)</f>
        <v>2.94</v>
      </c>
      <c r="E68" s="13" t="n">
        <f aca="false">IF(Prüfungen!$B$4=0,(IFERROR(SUMIF(Nutzungsprofile!$B$17:$B$22,"Schulbetrieb",Nutzungsprofile!$G$17:$G$22)*Kalender!C68/SUM(Kalender!$C$5:$C$370),0)+IFERROR(SUMIF(Nutzungsprofile!$B$17:$B$22,"Halle",Nutzungsprofile!$G$17:$G$22)*Kalender!D68/SUM(Kalender!$D$5:$D$370),0)+IFERROR(SUMIF(Nutzungsprofile!$B$17:$B$22,"Individuell",Nutzungsprofile!$G$17:$G$22)*Kalender!E68/SUM(Kalender!$E$5:$E$370),0)),0)</f>
        <v>4.94</v>
      </c>
      <c r="F68" s="13" t="n">
        <f aca="false">IFERROR(MIN(D68,Eingaben!$B$17)*Eingaben!$B$16,0)</f>
        <v>2.793</v>
      </c>
      <c r="G68" s="13" t="n">
        <f aca="false">IFERROR(F68*Eingaben!$B$15,0)</f>
        <v>2.5137</v>
      </c>
      <c r="H68" s="13" t="n">
        <f aca="false">IFERROR(Q68*(1-Eingaben!$B$20),0)</f>
        <v>0.7390278</v>
      </c>
      <c r="I68" s="13" t="n">
        <f aca="false">MIN(H68,E68)</f>
        <v>0.7390278</v>
      </c>
      <c r="J68" s="13" t="n">
        <f aca="false">IFERROR(MIN(G68*Eingaben!$B$19,MAX(0,E68-I68)),0)</f>
        <v>1.75959</v>
      </c>
      <c r="K68" s="13" t="n">
        <f aca="false">IFERROR(MIN(Eingaben!$B$18,MAX(0,G68-J68)),0)</f>
        <v>0.75411</v>
      </c>
      <c r="L68" s="13" t="n">
        <f aca="false">I68+J68</f>
        <v>2.4986178</v>
      </c>
      <c r="M68" s="13" t="n">
        <f aca="false">MAX(0,E68-L68)</f>
        <v>2.4413822</v>
      </c>
      <c r="N68" s="13" t="n">
        <f aca="false">MAX(0,G68-J68-K68)</f>
        <v>0</v>
      </c>
      <c r="O68" s="13" t="n">
        <f aca="false">Q68-I68</f>
        <v>0.0150822</v>
      </c>
      <c r="P68" s="13" t="n">
        <f aca="false">G68+Q68-L68-N68-O68-K68</f>
        <v>0</v>
      </c>
      <c r="Q68" s="13" t="n">
        <f aca="false">IF(A68="",0,K67)</f>
        <v>0.75411</v>
      </c>
    </row>
    <row r="69" customFormat="false" ht="16.4" hidden="false" customHeight="false" outlineLevel="0" collapsed="false">
      <c r="A69" s="23" t="n">
        <f aca="false">Kalender!A69</f>
        <v>46087</v>
      </c>
      <c r="B69" s="13" t="n">
        <f aca="false">Kalender!C69</f>
        <v>1</v>
      </c>
      <c r="C69" s="13" t="n">
        <f aca="false">Kalender!D69</f>
        <v>1</v>
      </c>
      <c r="D69" s="13" t="n">
        <f aca="false">IF(Prüfungen!$B$4=0,(IFERROR(SUMIF(Nutzungsprofile!$B$6:$B$11,"Schulbetrieb",Nutzungsprofile!$G$6:$G$11)*Kalender!C69/SUM(Kalender!$C$5:$C$370),0)+IFERROR(SUMIF(Nutzungsprofile!$B$6:$B$11,"Halle",Nutzungsprofile!$G$6:$G$11)*Kalender!D69/SUM(Kalender!$D$5:$D$370),0)+IFERROR(SUMIF(Nutzungsprofile!$B$6:$B$11,"Individuell",Nutzungsprofile!$G$6:$G$11)*Kalender!E69/SUM(Kalender!$E$5:$E$370),0)),0)</f>
        <v>2.94</v>
      </c>
      <c r="E69" s="13" t="n">
        <f aca="false">IF(Prüfungen!$B$4=0,(IFERROR(SUMIF(Nutzungsprofile!$B$17:$B$22,"Schulbetrieb",Nutzungsprofile!$G$17:$G$22)*Kalender!C69/SUM(Kalender!$C$5:$C$370),0)+IFERROR(SUMIF(Nutzungsprofile!$B$17:$B$22,"Halle",Nutzungsprofile!$G$17:$G$22)*Kalender!D69/SUM(Kalender!$D$5:$D$370),0)+IFERROR(SUMIF(Nutzungsprofile!$B$17:$B$22,"Individuell",Nutzungsprofile!$G$17:$G$22)*Kalender!E69/SUM(Kalender!$E$5:$E$370),0)),0)</f>
        <v>4.94</v>
      </c>
      <c r="F69" s="13" t="n">
        <f aca="false">IFERROR(MIN(D69,Eingaben!$B$17)*Eingaben!$B$16,0)</f>
        <v>2.793</v>
      </c>
      <c r="G69" s="13" t="n">
        <f aca="false">IFERROR(F69*Eingaben!$B$15,0)</f>
        <v>2.5137</v>
      </c>
      <c r="H69" s="13" t="n">
        <f aca="false">IFERROR(Q69*(1-Eingaben!$B$20),0)</f>
        <v>0.7390278</v>
      </c>
      <c r="I69" s="13" t="n">
        <f aca="false">MIN(H69,E69)</f>
        <v>0.7390278</v>
      </c>
      <c r="J69" s="13" t="n">
        <f aca="false">IFERROR(MIN(G69*Eingaben!$B$19,MAX(0,E69-I69)),0)</f>
        <v>1.75959</v>
      </c>
      <c r="K69" s="13" t="n">
        <f aca="false">IFERROR(MIN(Eingaben!$B$18,MAX(0,G69-J69)),0)</f>
        <v>0.75411</v>
      </c>
      <c r="L69" s="13" t="n">
        <f aca="false">I69+J69</f>
        <v>2.4986178</v>
      </c>
      <c r="M69" s="13" t="n">
        <f aca="false">MAX(0,E69-L69)</f>
        <v>2.4413822</v>
      </c>
      <c r="N69" s="13" t="n">
        <f aca="false">MAX(0,G69-J69-K69)</f>
        <v>0</v>
      </c>
      <c r="O69" s="13" t="n">
        <f aca="false">Q69-I69</f>
        <v>0.0150822</v>
      </c>
      <c r="P69" s="13" t="n">
        <f aca="false">G69+Q69-L69-N69-O69-K69</f>
        <v>0</v>
      </c>
      <c r="Q69" s="13" t="n">
        <f aca="false">IF(A69="",0,K68)</f>
        <v>0.75411</v>
      </c>
    </row>
    <row r="70" customFormat="false" ht="16.4" hidden="false" customHeight="false" outlineLevel="0" collapsed="false">
      <c r="A70" s="23" t="n">
        <f aca="false">Kalender!A70</f>
        <v>46088</v>
      </c>
      <c r="B70" s="13" t="n">
        <f aca="false">Kalender!C70</f>
        <v>0</v>
      </c>
      <c r="C70" s="13" t="n">
        <f aca="false">Kalender!D70</f>
        <v>1</v>
      </c>
      <c r="D70" s="13" t="n">
        <f aca="false">IF(Prüfungen!$B$4=0,(IFERROR(SUMIF(Nutzungsprofile!$B$6:$B$11,"Schulbetrieb",Nutzungsprofile!$G$6:$G$11)*Kalender!C70/SUM(Kalender!$C$5:$C$370),0)+IFERROR(SUMIF(Nutzungsprofile!$B$6:$B$11,"Halle",Nutzungsprofile!$G$6:$G$11)*Kalender!D70/SUM(Kalender!$D$5:$D$370),0)+IFERROR(SUMIF(Nutzungsprofile!$B$6:$B$11,"Individuell",Nutzungsprofile!$G$6:$G$11)*Kalender!E70/SUM(Kalender!$E$5:$E$370),0)),0)</f>
        <v>2.04</v>
      </c>
      <c r="E70" s="13" t="n">
        <f aca="false">IF(Prüfungen!$B$4=0,(IFERROR(SUMIF(Nutzungsprofile!$B$17:$B$22,"Schulbetrieb",Nutzungsprofile!$G$17:$G$22)*Kalender!C70/SUM(Kalender!$C$5:$C$370),0)+IFERROR(SUMIF(Nutzungsprofile!$B$17:$B$22,"Halle",Nutzungsprofile!$G$17:$G$22)*Kalender!D70/SUM(Kalender!$D$5:$D$370),0)+IFERROR(SUMIF(Nutzungsprofile!$B$17:$B$22,"Individuell",Nutzungsprofile!$G$17:$G$22)*Kalender!E70/SUM(Kalender!$E$5:$E$370),0)),0)</f>
        <v>0.89</v>
      </c>
      <c r="F70" s="13" t="n">
        <f aca="false">IFERROR(MIN(D70,Eingaben!$B$17)*Eingaben!$B$16,0)</f>
        <v>1.938</v>
      </c>
      <c r="G70" s="13" t="n">
        <f aca="false">IFERROR(F70*Eingaben!$B$15,0)</f>
        <v>1.7442</v>
      </c>
      <c r="H70" s="13" t="n">
        <f aca="false">IFERROR(Q70*(1-Eingaben!$B$20),0)</f>
        <v>0.7390278</v>
      </c>
      <c r="I70" s="13" t="n">
        <f aca="false">MIN(H70,E70)</f>
        <v>0.7390278</v>
      </c>
      <c r="J70" s="13" t="n">
        <f aca="false">IFERROR(MIN(G70*Eingaben!$B$19,MAX(0,E70-I70)),0)</f>
        <v>0.1509722</v>
      </c>
      <c r="K70" s="13" t="n">
        <f aca="false">IFERROR(MIN(Eingaben!$B$18,MAX(0,G70-J70)),0)</f>
        <v>1.5932278</v>
      </c>
      <c r="L70" s="13" t="n">
        <f aca="false">I70+J70</f>
        <v>0.89</v>
      </c>
      <c r="M70" s="13" t="n">
        <f aca="false">MAX(0,E70-L70)</f>
        <v>0</v>
      </c>
      <c r="N70" s="13" t="n">
        <f aca="false">MAX(0,G70-J70-K70)</f>
        <v>0</v>
      </c>
      <c r="O70" s="13" t="n">
        <f aca="false">Q70-I70</f>
        <v>0.0150822</v>
      </c>
      <c r="P70" s="13" t="n">
        <f aca="false">G70+Q70-L70-N70-O70-K70</f>
        <v>0</v>
      </c>
      <c r="Q70" s="13" t="n">
        <f aca="false">IF(A70="",0,K69)</f>
        <v>0.75411</v>
      </c>
    </row>
    <row r="71" customFormat="false" ht="16.4" hidden="false" customHeight="false" outlineLevel="0" collapsed="false">
      <c r="A71" s="23" t="n">
        <f aca="false">Kalender!A71</f>
        <v>46089</v>
      </c>
      <c r="B71" s="13" t="n">
        <f aca="false">Kalender!C71</f>
        <v>0</v>
      </c>
      <c r="C71" s="13" t="n">
        <f aca="false">Kalender!D71</f>
        <v>1</v>
      </c>
      <c r="D71" s="13" t="n">
        <f aca="false">IF(Prüfungen!$B$4=0,(IFERROR(SUMIF(Nutzungsprofile!$B$6:$B$11,"Schulbetrieb",Nutzungsprofile!$G$6:$G$11)*Kalender!C71/SUM(Kalender!$C$5:$C$370),0)+IFERROR(SUMIF(Nutzungsprofile!$B$6:$B$11,"Halle",Nutzungsprofile!$G$6:$G$11)*Kalender!D71/SUM(Kalender!$D$5:$D$370),0)+IFERROR(SUMIF(Nutzungsprofile!$B$6:$B$11,"Individuell",Nutzungsprofile!$G$6:$G$11)*Kalender!E71/SUM(Kalender!$E$5:$E$370),0)),0)</f>
        <v>2.04</v>
      </c>
      <c r="E71" s="13" t="n">
        <f aca="false">IF(Prüfungen!$B$4=0,(IFERROR(SUMIF(Nutzungsprofile!$B$17:$B$22,"Schulbetrieb",Nutzungsprofile!$G$17:$G$22)*Kalender!C71/SUM(Kalender!$C$5:$C$370),0)+IFERROR(SUMIF(Nutzungsprofile!$B$17:$B$22,"Halle",Nutzungsprofile!$G$17:$G$22)*Kalender!D71/SUM(Kalender!$D$5:$D$370),0)+IFERROR(SUMIF(Nutzungsprofile!$B$17:$B$22,"Individuell",Nutzungsprofile!$G$17:$G$22)*Kalender!E71/SUM(Kalender!$E$5:$E$370),0)),0)</f>
        <v>0.89</v>
      </c>
      <c r="F71" s="13" t="n">
        <f aca="false">IFERROR(MIN(D71,Eingaben!$B$17)*Eingaben!$B$16,0)</f>
        <v>1.938</v>
      </c>
      <c r="G71" s="13" t="n">
        <f aca="false">IFERROR(F71*Eingaben!$B$15,0)</f>
        <v>1.7442</v>
      </c>
      <c r="H71" s="13" t="n">
        <f aca="false">IFERROR(Q71*(1-Eingaben!$B$20),0)</f>
        <v>1.561363244</v>
      </c>
      <c r="I71" s="13" t="n">
        <f aca="false">MIN(H71,E71)</f>
        <v>0.89</v>
      </c>
      <c r="J71" s="13" t="n">
        <f aca="false">IFERROR(MIN(G71*Eingaben!$B$19,MAX(0,E71-I71)),0)</f>
        <v>0</v>
      </c>
      <c r="K71" s="13" t="n">
        <f aca="false">IFERROR(MIN(Eingaben!$B$18,MAX(0,G71-J71)),0)</f>
        <v>1.7442</v>
      </c>
      <c r="L71" s="13" t="n">
        <f aca="false">I71+J71</f>
        <v>0.89</v>
      </c>
      <c r="M71" s="13" t="n">
        <f aca="false">MAX(0,E71-L71)</f>
        <v>0</v>
      </c>
      <c r="N71" s="13" t="n">
        <f aca="false">MAX(0,G71-J71-K71)</f>
        <v>0</v>
      </c>
      <c r="O71" s="13" t="n">
        <f aca="false">Q71-I71</f>
        <v>0.7032278</v>
      </c>
      <c r="P71" s="13" t="n">
        <f aca="false">G71+Q71-L71-N71-O71-K71</f>
        <v>0</v>
      </c>
      <c r="Q71" s="13" t="n">
        <f aca="false">IF(A71="",0,K70)</f>
        <v>1.5932278</v>
      </c>
    </row>
    <row r="72" customFormat="false" ht="16.4" hidden="false" customHeight="false" outlineLevel="0" collapsed="false">
      <c r="A72" s="23" t="n">
        <f aca="false">Kalender!A72</f>
        <v>46090</v>
      </c>
      <c r="B72" s="13" t="n">
        <f aca="false">Kalender!C72</f>
        <v>1</v>
      </c>
      <c r="C72" s="13" t="n">
        <f aca="false">Kalender!D72</f>
        <v>1</v>
      </c>
      <c r="D72" s="13" t="n">
        <f aca="false">IF(Prüfungen!$B$4=0,(IFERROR(SUMIF(Nutzungsprofile!$B$6:$B$11,"Schulbetrieb",Nutzungsprofile!$G$6:$G$11)*Kalender!C72/SUM(Kalender!$C$5:$C$370),0)+IFERROR(SUMIF(Nutzungsprofile!$B$6:$B$11,"Halle",Nutzungsprofile!$G$6:$G$11)*Kalender!D72/SUM(Kalender!$D$5:$D$370),0)+IFERROR(SUMIF(Nutzungsprofile!$B$6:$B$11,"Individuell",Nutzungsprofile!$G$6:$G$11)*Kalender!E72/SUM(Kalender!$E$5:$E$370),0)),0)</f>
        <v>2.94</v>
      </c>
      <c r="E72" s="13" t="n">
        <f aca="false">IF(Prüfungen!$B$4=0,(IFERROR(SUMIF(Nutzungsprofile!$B$17:$B$22,"Schulbetrieb",Nutzungsprofile!$G$17:$G$22)*Kalender!C72/SUM(Kalender!$C$5:$C$370),0)+IFERROR(SUMIF(Nutzungsprofile!$B$17:$B$22,"Halle",Nutzungsprofile!$G$17:$G$22)*Kalender!D72/SUM(Kalender!$D$5:$D$370),0)+IFERROR(SUMIF(Nutzungsprofile!$B$17:$B$22,"Individuell",Nutzungsprofile!$G$17:$G$22)*Kalender!E72/SUM(Kalender!$E$5:$E$370),0)),0)</f>
        <v>4.94</v>
      </c>
      <c r="F72" s="13" t="n">
        <f aca="false">IFERROR(MIN(D72,Eingaben!$B$17)*Eingaben!$B$16,0)</f>
        <v>2.793</v>
      </c>
      <c r="G72" s="13" t="n">
        <f aca="false">IFERROR(F72*Eingaben!$B$15,0)</f>
        <v>2.5137</v>
      </c>
      <c r="H72" s="13" t="n">
        <f aca="false">IFERROR(Q72*(1-Eingaben!$B$20),0)</f>
        <v>1.709316</v>
      </c>
      <c r="I72" s="13" t="n">
        <f aca="false">MIN(H72,E72)</f>
        <v>1.709316</v>
      </c>
      <c r="J72" s="13" t="n">
        <f aca="false">IFERROR(MIN(G72*Eingaben!$B$19,MAX(0,E72-I72)),0)</f>
        <v>1.75959</v>
      </c>
      <c r="K72" s="13" t="n">
        <f aca="false">IFERROR(MIN(Eingaben!$B$18,MAX(0,G72-J72)),0)</f>
        <v>0.75411</v>
      </c>
      <c r="L72" s="13" t="n">
        <f aca="false">I72+J72</f>
        <v>3.468906</v>
      </c>
      <c r="M72" s="13" t="n">
        <f aca="false">MAX(0,E72-L72)</f>
        <v>1.471094</v>
      </c>
      <c r="N72" s="13" t="n">
        <f aca="false">MAX(0,G72-J72-K72)</f>
        <v>0</v>
      </c>
      <c r="O72" s="13" t="n">
        <f aca="false">Q72-I72</f>
        <v>0.0348840000000001</v>
      </c>
      <c r="P72" s="13" t="n">
        <f aca="false">G72+Q72-L72-N72-O72-K72</f>
        <v>0</v>
      </c>
      <c r="Q72" s="13" t="n">
        <f aca="false">IF(A72="",0,K71)</f>
        <v>1.7442</v>
      </c>
    </row>
    <row r="73" customFormat="false" ht="16.4" hidden="false" customHeight="false" outlineLevel="0" collapsed="false">
      <c r="A73" s="23" t="n">
        <f aca="false">Kalender!A73</f>
        <v>46091</v>
      </c>
      <c r="B73" s="13" t="n">
        <f aca="false">Kalender!C73</f>
        <v>1</v>
      </c>
      <c r="C73" s="13" t="n">
        <f aca="false">Kalender!D73</f>
        <v>1</v>
      </c>
      <c r="D73" s="13" t="n">
        <f aca="false">IF(Prüfungen!$B$4=0,(IFERROR(SUMIF(Nutzungsprofile!$B$6:$B$11,"Schulbetrieb",Nutzungsprofile!$G$6:$G$11)*Kalender!C73/SUM(Kalender!$C$5:$C$370),0)+IFERROR(SUMIF(Nutzungsprofile!$B$6:$B$11,"Halle",Nutzungsprofile!$G$6:$G$11)*Kalender!D73/SUM(Kalender!$D$5:$D$370),0)+IFERROR(SUMIF(Nutzungsprofile!$B$6:$B$11,"Individuell",Nutzungsprofile!$G$6:$G$11)*Kalender!E73/SUM(Kalender!$E$5:$E$370),0)),0)</f>
        <v>2.94</v>
      </c>
      <c r="E73" s="13" t="n">
        <f aca="false">IF(Prüfungen!$B$4=0,(IFERROR(SUMIF(Nutzungsprofile!$B$17:$B$22,"Schulbetrieb",Nutzungsprofile!$G$17:$G$22)*Kalender!C73/SUM(Kalender!$C$5:$C$370),0)+IFERROR(SUMIF(Nutzungsprofile!$B$17:$B$22,"Halle",Nutzungsprofile!$G$17:$G$22)*Kalender!D73/SUM(Kalender!$D$5:$D$370),0)+IFERROR(SUMIF(Nutzungsprofile!$B$17:$B$22,"Individuell",Nutzungsprofile!$G$17:$G$22)*Kalender!E73/SUM(Kalender!$E$5:$E$370),0)),0)</f>
        <v>4.94</v>
      </c>
      <c r="F73" s="13" t="n">
        <f aca="false">IFERROR(MIN(D73,Eingaben!$B$17)*Eingaben!$B$16,0)</f>
        <v>2.793</v>
      </c>
      <c r="G73" s="13" t="n">
        <f aca="false">IFERROR(F73*Eingaben!$B$15,0)</f>
        <v>2.5137</v>
      </c>
      <c r="H73" s="13" t="n">
        <f aca="false">IFERROR(Q73*(1-Eingaben!$B$20),0)</f>
        <v>0.7390278</v>
      </c>
      <c r="I73" s="13" t="n">
        <f aca="false">MIN(H73,E73)</f>
        <v>0.7390278</v>
      </c>
      <c r="J73" s="13" t="n">
        <f aca="false">IFERROR(MIN(G73*Eingaben!$B$19,MAX(0,E73-I73)),0)</f>
        <v>1.75959</v>
      </c>
      <c r="K73" s="13" t="n">
        <f aca="false">IFERROR(MIN(Eingaben!$B$18,MAX(0,G73-J73)),0)</f>
        <v>0.75411</v>
      </c>
      <c r="L73" s="13" t="n">
        <f aca="false">I73+J73</f>
        <v>2.4986178</v>
      </c>
      <c r="M73" s="13" t="n">
        <f aca="false">MAX(0,E73-L73)</f>
        <v>2.4413822</v>
      </c>
      <c r="N73" s="13" t="n">
        <f aca="false">MAX(0,G73-J73-K73)</f>
        <v>0</v>
      </c>
      <c r="O73" s="13" t="n">
        <f aca="false">Q73-I73</f>
        <v>0.0150822</v>
      </c>
      <c r="P73" s="13" t="n">
        <f aca="false">G73+Q73-L73-N73-O73-K73</f>
        <v>0</v>
      </c>
      <c r="Q73" s="13" t="n">
        <f aca="false">IF(A73="",0,K72)</f>
        <v>0.75411</v>
      </c>
    </row>
    <row r="74" customFormat="false" ht="16.4" hidden="false" customHeight="false" outlineLevel="0" collapsed="false">
      <c r="A74" s="23" t="n">
        <f aca="false">Kalender!A74</f>
        <v>46092</v>
      </c>
      <c r="B74" s="13" t="n">
        <f aca="false">Kalender!C74</f>
        <v>1</v>
      </c>
      <c r="C74" s="13" t="n">
        <f aca="false">Kalender!D74</f>
        <v>1</v>
      </c>
      <c r="D74" s="13" t="n">
        <f aca="false">IF(Prüfungen!$B$4=0,(IFERROR(SUMIF(Nutzungsprofile!$B$6:$B$11,"Schulbetrieb",Nutzungsprofile!$G$6:$G$11)*Kalender!C74/SUM(Kalender!$C$5:$C$370),0)+IFERROR(SUMIF(Nutzungsprofile!$B$6:$B$11,"Halle",Nutzungsprofile!$G$6:$G$11)*Kalender!D74/SUM(Kalender!$D$5:$D$370),0)+IFERROR(SUMIF(Nutzungsprofile!$B$6:$B$11,"Individuell",Nutzungsprofile!$G$6:$G$11)*Kalender!E74/SUM(Kalender!$E$5:$E$370),0)),0)</f>
        <v>2.94</v>
      </c>
      <c r="E74" s="13" t="n">
        <f aca="false">IF(Prüfungen!$B$4=0,(IFERROR(SUMIF(Nutzungsprofile!$B$17:$B$22,"Schulbetrieb",Nutzungsprofile!$G$17:$G$22)*Kalender!C74/SUM(Kalender!$C$5:$C$370),0)+IFERROR(SUMIF(Nutzungsprofile!$B$17:$B$22,"Halle",Nutzungsprofile!$G$17:$G$22)*Kalender!D74/SUM(Kalender!$D$5:$D$370),0)+IFERROR(SUMIF(Nutzungsprofile!$B$17:$B$22,"Individuell",Nutzungsprofile!$G$17:$G$22)*Kalender!E74/SUM(Kalender!$E$5:$E$370),0)),0)</f>
        <v>4.94</v>
      </c>
      <c r="F74" s="13" t="n">
        <f aca="false">IFERROR(MIN(D74,Eingaben!$B$17)*Eingaben!$B$16,0)</f>
        <v>2.793</v>
      </c>
      <c r="G74" s="13" t="n">
        <f aca="false">IFERROR(F74*Eingaben!$B$15,0)</f>
        <v>2.5137</v>
      </c>
      <c r="H74" s="13" t="n">
        <f aca="false">IFERROR(Q74*(1-Eingaben!$B$20),0)</f>
        <v>0.7390278</v>
      </c>
      <c r="I74" s="13" t="n">
        <f aca="false">MIN(H74,E74)</f>
        <v>0.7390278</v>
      </c>
      <c r="J74" s="13" t="n">
        <f aca="false">IFERROR(MIN(G74*Eingaben!$B$19,MAX(0,E74-I74)),0)</f>
        <v>1.75959</v>
      </c>
      <c r="K74" s="13" t="n">
        <f aca="false">IFERROR(MIN(Eingaben!$B$18,MAX(0,G74-J74)),0)</f>
        <v>0.75411</v>
      </c>
      <c r="L74" s="13" t="n">
        <f aca="false">I74+J74</f>
        <v>2.4986178</v>
      </c>
      <c r="M74" s="13" t="n">
        <f aca="false">MAX(0,E74-L74)</f>
        <v>2.4413822</v>
      </c>
      <c r="N74" s="13" t="n">
        <f aca="false">MAX(0,G74-J74-K74)</f>
        <v>0</v>
      </c>
      <c r="O74" s="13" t="n">
        <f aca="false">Q74-I74</f>
        <v>0.0150822</v>
      </c>
      <c r="P74" s="13" t="n">
        <f aca="false">G74+Q74-L74-N74-O74-K74</f>
        <v>0</v>
      </c>
      <c r="Q74" s="13" t="n">
        <f aca="false">IF(A74="",0,K73)</f>
        <v>0.75411</v>
      </c>
    </row>
    <row r="75" customFormat="false" ht="16.4" hidden="false" customHeight="false" outlineLevel="0" collapsed="false">
      <c r="A75" s="23" t="n">
        <f aca="false">Kalender!A75</f>
        <v>46093</v>
      </c>
      <c r="B75" s="13" t="n">
        <f aca="false">Kalender!C75</f>
        <v>1</v>
      </c>
      <c r="C75" s="13" t="n">
        <f aca="false">Kalender!D75</f>
        <v>1</v>
      </c>
      <c r="D75" s="13" t="n">
        <f aca="false">IF(Prüfungen!$B$4=0,(IFERROR(SUMIF(Nutzungsprofile!$B$6:$B$11,"Schulbetrieb",Nutzungsprofile!$G$6:$G$11)*Kalender!C75/SUM(Kalender!$C$5:$C$370),0)+IFERROR(SUMIF(Nutzungsprofile!$B$6:$B$11,"Halle",Nutzungsprofile!$G$6:$G$11)*Kalender!D75/SUM(Kalender!$D$5:$D$370),0)+IFERROR(SUMIF(Nutzungsprofile!$B$6:$B$11,"Individuell",Nutzungsprofile!$G$6:$G$11)*Kalender!E75/SUM(Kalender!$E$5:$E$370),0)),0)</f>
        <v>2.94</v>
      </c>
      <c r="E75" s="13" t="n">
        <f aca="false">IF(Prüfungen!$B$4=0,(IFERROR(SUMIF(Nutzungsprofile!$B$17:$B$22,"Schulbetrieb",Nutzungsprofile!$G$17:$G$22)*Kalender!C75/SUM(Kalender!$C$5:$C$370),0)+IFERROR(SUMIF(Nutzungsprofile!$B$17:$B$22,"Halle",Nutzungsprofile!$G$17:$G$22)*Kalender!D75/SUM(Kalender!$D$5:$D$370),0)+IFERROR(SUMIF(Nutzungsprofile!$B$17:$B$22,"Individuell",Nutzungsprofile!$G$17:$G$22)*Kalender!E75/SUM(Kalender!$E$5:$E$370),0)),0)</f>
        <v>4.94</v>
      </c>
      <c r="F75" s="13" t="n">
        <f aca="false">IFERROR(MIN(D75,Eingaben!$B$17)*Eingaben!$B$16,0)</f>
        <v>2.793</v>
      </c>
      <c r="G75" s="13" t="n">
        <f aca="false">IFERROR(F75*Eingaben!$B$15,0)</f>
        <v>2.5137</v>
      </c>
      <c r="H75" s="13" t="n">
        <f aca="false">IFERROR(Q75*(1-Eingaben!$B$20),0)</f>
        <v>0.7390278</v>
      </c>
      <c r="I75" s="13" t="n">
        <f aca="false">MIN(H75,E75)</f>
        <v>0.7390278</v>
      </c>
      <c r="J75" s="13" t="n">
        <f aca="false">IFERROR(MIN(G75*Eingaben!$B$19,MAX(0,E75-I75)),0)</f>
        <v>1.75959</v>
      </c>
      <c r="K75" s="13" t="n">
        <f aca="false">IFERROR(MIN(Eingaben!$B$18,MAX(0,G75-J75)),0)</f>
        <v>0.75411</v>
      </c>
      <c r="L75" s="13" t="n">
        <f aca="false">I75+J75</f>
        <v>2.4986178</v>
      </c>
      <c r="M75" s="13" t="n">
        <f aca="false">MAX(0,E75-L75)</f>
        <v>2.4413822</v>
      </c>
      <c r="N75" s="13" t="n">
        <f aca="false">MAX(0,G75-J75-K75)</f>
        <v>0</v>
      </c>
      <c r="O75" s="13" t="n">
        <f aca="false">Q75-I75</f>
        <v>0.0150822</v>
      </c>
      <c r="P75" s="13" t="n">
        <f aca="false">G75+Q75-L75-N75-O75-K75</f>
        <v>0</v>
      </c>
      <c r="Q75" s="13" t="n">
        <f aca="false">IF(A75="",0,K74)</f>
        <v>0.75411</v>
      </c>
    </row>
    <row r="76" customFormat="false" ht="16.4" hidden="false" customHeight="false" outlineLevel="0" collapsed="false">
      <c r="A76" s="23" t="n">
        <f aca="false">Kalender!A76</f>
        <v>46094</v>
      </c>
      <c r="B76" s="13" t="n">
        <f aca="false">Kalender!C76</f>
        <v>1</v>
      </c>
      <c r="C76" s="13" t="n">
        <f aca="false">Kalender!D76</f>
        <v>1</v>
      </c>
      <c r="D76" s="13" t="n">
        <f aca="false">IF(Prüfungen!$B$4=0,(IFERROR(SUMIF(Nutzungsprofile!$B$6:$B$11,"Schulbetrieb",Nutzungsprofile!$G$6:$G$11)*Kalender!C76/SUM(Kalender!$C$5:$C$370),0)+IFERROR(SUMIF(Nutzungsprofile!$B$6:$B$11,"Halle",Nutzungsprofile!$G$6:$G$11)*Kalender!D76/SUM(Kalender!$D$5:$D$370),0)+IFERROR(SUMIF(Nutzungsprofile!$B$6:$B$11,"Individuell",Nutzungsprofile!$G$6:$G$11)*Kalender!E76/SUM(Kalender!$E$5:$E$370),0)),0)</f>
        <v>2.94</v>
      </c>
      <c r="E76" s="13" t="n">
        <f aca="false">IF(Prüfungen!$B$4=0,(IFERROR(SUMIF(Nutzungsprofile!$B$17:$B$22,"Schulbetrieb",Nutzungsprofile!$G$17:$G$22)*Kalender!C76/SUM(Kalender!$C$5:$C$370),0)+IFERROR(SUMIF(Nutzungsprofile!$B$17:$B$22,"Halle",Nutzungsprofile!$G$17:$G$22)*Kalender!D76/SUM(Kalender!$D$5:$D$370),0)+IFERROR(SUMIF(Nutzungsprofile!$B$17:$B$22,"Individuell",Nutzungsprofile!$G$17:$G$22)*Kalender!E76/SUM(Kalender!$E$5:$E$370),0)),0)</f>
        <v>4.94</v>
      </c>
      <c r="F76" s="13" t="n">
        <f aca="false">IFERROR(MIN(D76,Eingaben!$B$17)*Eingaben!$B$16,0)</f>
        <v>2.793</v>
      </c>
      <c r="G76" s="13" t="n">
        <f aca="false">IFERROR(F76*Eingaben!$B$15,0)</f>
        <v>2.5137</v>
      </c>
      <c r="H76" s="13" t="n">
        <f aca="false">IFERROR(Q76*(1-Eingaben!$B$20),0)</f>
        <v>0.7390278</v>
      </c>
      <c r="I76" s="13" t="n">
        <f aca="false">MIN(H76,E76)</f>
        <v>0.7390278</v>
      </c>
      <c r="J76" s="13" t="n">
        <f aca="false">IFERROR(MIN(G76*Eingaben!$B$19,MAX(0,E76-I76)),0)</f>
        <v>1.75959</v>
      </c>
      <c r="K76" s="13" t="n">
        <f aca="false">IFERROR(MIN(Eingaben!$B$18,MAX(0,G76-J76)),0)</f>
        <v>0.75411</v>
      </c>
      <c r="L76" s="13" t="n">
        <f aca="false">I76+J76</f>
        <v>2.4986178</v>
      </c>
      <c r="M76" s="13" t="n">
        <f aca="false">MAX(0,E76-L76)</f>
        <v>2.4413822</v>
      </c>
      <c r="N76" s="13" t="n">
        <f aca="false">MAX(0,G76-J76-K76)</f>
        <v>0</v>
      </c>
      <c r="O76" s="13" t="n">
        <f aca="false">Q76-I76</f>
        <v>0.0150822</v>
      </c>
      <c r="P76" s="13" t="n">
        <f aca="false">G76+Q76-L76-N76-O76-K76</f>
        <v>0</v>
      </c>
      <c r="Q76" s="13" t="n">
        <f aca="false">IF(A76="",0,K75)</f>
        <v>0.75411</v>
      </c>
    </row>
    <row r="77" customFormat="false" ht="16.4" hidden="false" customHeight="false" outlineLevel="0" collapsed="false">
      <c r="A77" s="23" t="n">
        <f aca="false">Kalender!A77</f>
        <v>46095</v>
      </c>
      <c r="B77" s="13" t="n">
        <f aca="false">Kalender!C77</f>
        <v>0</v>
      </c>
      <c r="C77" s="13" t="n">
        <f aca="false">Kalender!D77</f>
        <v>1</v>
      </c>
      <c r="D77" s="13" t="n">
        <f aca="false">IF(Prüfungen!$B$4=0,(IFERROR(SUMIF(Nutzungsprofile!$B$6:$B$11,"Schulbetrieb",Nutzungsprofile!$G$6:$G$11)*Kalender!C77/SUM(Kalender!$C$5:$C$370),0)+IFERROR(SUMIF(Nutzungsprofile!$B$6:$B$11,"Halle",Nutzungsprofile!$G$6:$G$11)*Kalender!D77/SUM(Kalender!$D$5:$D$370),0)+IFERROR(SUMIF(Nutzungsprofile!$B$6:$B$11,"Individuell",Nutzungsprofile!$G$6:$G$11)*Kalender!E77/SUM(Kalender!$E$5:$E$370),0)),0)</f>
        <v>2.04</v>
      </c>
      <c r="E77" s="13" t="n">
        <f aca="false">IF(Prüfungen!$B$4=0,(IFERROR(SUMIF(Nutzungsprofile!$B$17:$B$22,"Schulbetrieb",Nutzungsprofile!$G$17:$G$22)*Kalender!C77/SUM(Kalender!$C$5:$C$370),0)+IFERROR(SUMIF(Nutzungsprofile!$B$17:$B$22,"Halle",Nutzungsprofile!$G$17:$G$22)*Kalender!D77/SUM(Kalender!$D$5:$D$370),0)+IFERROR(SUMIF(Nutzungsprofile!$B$17:$B$22,"Individuell",Nutzungsprofile!$G$17:$G$22)*Kalender!E77/SUM(Kalender!$E$5:$E$370),0)),0)</f>
        <v>0.89</v>
      </c>
      <c r="F77" s="13" t="n">
        <f aca="false">IFERROR(MIN(D77,Eingaben!$B$17)*Eingaben!$B$16,0)</f>
        <v>1.938</v>
      </c>
      <c r="G77" s="13" t="n">
        <f aca="false">IFERROR(F77*Eingaben!$B$15,0)</f>
        <v>1.7442</v>
      </c>
      <c r="H77" s="13" t="n">
        <f aca="false">IFERROR(Q77*(1-Eingaben!$B$20),0)</f>
        <v>0.7390278</v>
      </c>
      <c r="I77" s="13" t="n">
        <f aca="false">MIN(H77,E77)</f>
        <v>0.7390278</v>
      </c>
      <c r="J77" s="13" t="n">
        <f aca="false">IFERROR(MIN(G77*Eingaben!$B$19,MAX(0,E77-I77)),0)</f>
        <v>0.1509722</v>
      </c>
      <c r="K77" s="13" t="n">
        <f aca="false">IFERROR(MIN(Eingaben!$B$18,MAX(0,G77-J77)),0)</f>
        <v>1.5932278</v>
      </c>
      <c r="L77" s="13" t="n">
        <f aca="false">I77+J77</f>
        <v>0.89</v>
      </c>
      <c r="M77" s="13" t="n">
        <f aca="false">MAX(0,E77-L77)</f>
        <v>0</v>
      </c>
      <c r="N77" s="13" t="n">
        <f aca="false">MAX(0,G77-J77-K77)</f>
        <v>0</v>
      </c>
      <c r="O77" s="13" t="n">
        <f aca="false">Q77-I77</f>
        <v>0.0150822</v>
      </c>
      <c r="P77" s="13" t="n">
        <f aca="false">G77+Q77-L77-N77-O77-K77</f>
        <v>0</v>
      </c>
      <c r="Q77" s="13" t="n">
        <f aca="false">IF(A77="",0,K76)</f>
        <v>0.75411</v>
      </c>
    </row>
    <row r="78" customFormat="false" ht="16.4" hidden="false" customHeight="false" outlineLevel="0" collapsed="false">
      <c r="A78" s="23" t="n">
        <f aca="false">Kalender!A78</f>
        <v>46096</v>
      </c>
      <c r="B78" s="13" t="n">
        <f aca="false">Kalender!C78</f>
        <v>0</v>
      </c>
      <c r="C78" s="13" t="n">
        <f aca="false">Kalender!D78</f>
        <v>1</v>
      </c>
      <c r="D78" s="13" t="n">
        <f aca="false">IF(Prüfungen!$B$4=0,(IFERROR(SUMIF(Nutzungsprofile!$B$6:$B$11,"Schulbetrieb",Nutzungsprofile!$G$6:$G$11)*Kalender!C78/SUM(Kalender!$C$5:$C$370),0)+IFERROR(SUMIF(Nutzungsprofile!$B$6:$B$11,"Halle",Nutzungsprofile!$G$6:$G$11)*Kalender!D78/SUM(Kalender!$D$5:$D$370),0)+IFERROR(SUMIF(Nutzungsprofile!$B$6:$B$11,"Individuell",Nutzungsprofile!$G$6:$G$11)*Kalender!E78/SUM(Kalender!$E$5:$E$370),0)),0)</f>
        <v>2.04</v>
      </c>
      <c r="E78" s="13" t="n">
        <f aca="false">IF(Prüfungen!$B$4=0,(IFERROR(SUMIF(Nutzungsprofile!$B$17:$B$22,"Schulbetrieb",Nutzungsprofile!$G$17:$G$22)*Kalender!C78/SUM(Kalender!$C$5:$C$370),0)+IFERROR(SUMIF(Nutzungsprofile!$B$17:$B$22,"Halle",Nutzungsprofile!$G$17:$G$22)*Kalender!D78/SUM(Kalender!$D$5:$D$370),0)+IFERROR(SUMIF(Nutzungsprofile!$B$17:$B$22,"Individuell",Nutzungsprofile!$G$17:$G$22)*Kalender!E78/SUM(Kalender!$E$5:$E$370),0)),0)</f>
        <v>0.89</v>
      </c>
      <c r="F78" s="13" t="n">
        <f aca="false">IFERROR(MIN(D78,Eingaben!$B$17)*Eingaben!$B$16,0)</f>
        <v>1.938</v>
      </c>
      <c r="G78" s="13" t="n">
        <f aca="false">IFERROR(F78*Eingaben!$B$15,0)</f>
        <v>1.7442</v>
      </c>
      <c r="H78" s="13" t="n">
        <f aca="false">IFERROR(Q78*(1-Eingaben!$B$20),0)</f>
        <v>1.561363244</v>
      </c>
      <c r="I78" s="13" t="n">
        <f aca="false">MIN(H78,E78)</f>
        <v>0.89</v>
      </c>
      <c r="J78" s="13" t="n">
        <f aca="false">IFERROR(MIN(G78*Eingaben!$B$19,MAX(0,E78-I78)),0)</f>
        <v>0</v>
      </c>
      <c r="K78" s="13" t="n">
        <f aca="false">IFERROR(MIN(Eingaben!$B$18,MAX(0,G78-J78)),0)</f>
        <v>1.7442</v>
      </c>
      <c r="L78" s="13" t="n">
        <f aca="false">I78+J78</f>
        <v>0.89</v>
      </c>
      <c r="M78" s="13" t="n">
        <f aca="false">MAX(0,E78-L78)</f>
        <v>0</v>
      </c>
      <c r="N78" s="13" t="n">
        <f aca="false">MAX(0,G78-J78-K78)</f>
        <v>0</v>
      </c>
      <c r="O78" s="13" t="n">
        <f aca="false">Q78-I78</f>
        <v>0.7032278</v>
      </c>
      <c r="P78" s="13" t="n">
        <f aca="false">G78+Q78-L78-N78-O78-K78</f>
        <v>0</v>
      </c>
      <c r="Q78" s="13" t="n">
        <f aca="false">IF(A78="",0,K77)</f>
        <v>1.5932278</v>
      </c>
    </row>
    <row r="79" customFormat="false" ht="16.4" hidden="false" customHeight="false" outlineLevel="0" collapsed="false">
      <c r="A79" s="23" t="n">
        <f aca="false">Kalender!A79</f>
        <v>46097</v>
      </c>
      <c r="B79" s="13" t="n">
        <f aca="false">Kalender!C79</f>
        <v>1</v>
      </c>
      <c r="C79" s="13" t="n">
        <f aca="false">Kalender!D79</f>
        <v>1</v>
      </c>
      <c r="D79" s="13" t="n">
        <f aca="false">IF(Prüfungen!$B$4=0,(IFERROR(SUMIF(Nutzungsprofile!$B$6:$B$11,"Schulbetrieb",Nutzungsprofile!$G$6:$G$11)*Kalender!C79/SUM(Kalender!$C$5:$C$370),0)+IFERROR(SUMIF(Nutzungsprofile!$B$6:$B$11,"Halle",Nutzungsprofile!$G$6:$G$11)*Kalender!D79/SUM(Kalender!$D$5:$D$370),0)+IFERROR(SUMIF(Nutzungsprofile!$B$6:$B$11,"Individuell",Nutzungsprofile!$G$6:$G$11)*Kalender!E79/SUM(Kalender!$E$5:$E$370),0)),0)</f>
        <v>2.94</v>
      </c>
      <c r="E79" s="13" t="n">
        <f aca="false">IF(Prüfungen!$B$4=0,(IFERROR(SUMIF(Nutzungsprofile!$B$17:$B$22,"Schulbetrieb",Nutzungsprofile!$G$17:$G$22)*Kalender!C79/SUM(Kalender!$C$5:$C$370),0)+IFERROR(SUMIF(Nutzungsprofile!$B$17:$B$22,"Halle",Nutzungsprofile!$G$17:$G$22)*Kalender!D79/SUM(Kalender!$D$5:$D$370),0)+IFERROR(SUMIF(Nutzungsprofile!$B$17:$B$22,"Individuell",Nutzungsprofile!$G$17:$G$22)*Kalender!E79/SUM(Kalender!$E$5:$E$370),0)),0)</f>
        <v>4.94</v>
      </c>
      <c r="F79" s="13" t="n">
        <f aca="false">IFERROR(MIN(D79,Eingaben!$B$17)*Eingaben!$B$16,0)</f>
        <v>2.793</v>
      </c>
      <c r="G79" s="13" t="n">
        <f aca="false">IFERROR(F79*Eingaben!$B$15,0)</f>
        <v>2.5137</v>
      </c>
      <c r="H79" s="13" t="n">
        <f aca="false">IFERROR(Q79*(1-Eingaben!$B$20),0)</f>
        <v>1.709316</v>
      </c>
      <c r="I79" s="13" t="n">
        <f aca="false">MIN(H79,E79)</f>
        <v>1.709316</v>
      </c>
      <c r="J79" s="13" t="n">
        <f aca="false">IFERROR(MIN(G79*Eingaben!$B$19,MAX(0,E79-I79)),0)</f>
        <v>1.75959</v>
      </c>
      <c r="K79" s="13" t="n">
        <f aca="false">IFERROR(MIN(Eingaben!$B$18,MAX(0,G79-J79)),0)</f>
        <v>0.75411</v>
      </c>
      <c r="L79" s="13" t="n">
        <f aca="false">I79+J79</f>
        <v>3.468906</v>
      </c>
      <c r="M79" s="13" t="n">
        <f aca="false">MAX(0,E79-L79)</f>
        <v>1.471094</v>
      </c>
      <c r="N79" s="13" t="n">
        <f aca="false">MAX(0,G79-J79-K79)</f>
        <v>0</v>
      </c>
      <c r="O79" s="13" t="n">
        <f aca="false">Q79-I79</f>
        <v>0.0348840000000001</v>
      </c>
      <c r="P79" s="13" t="n">
        <f aca="false">G79+Q79-L79-N79-O79-K79</f>
        <v>0</v>
      </c>
      <c r="Q79" s="13" t="n">
        <f aca="false">IF(A79="",0,K78)</f>
        <v>1.7442</v>
      </c>
    </row>
    <row r="80" customFormat="false" ht="16.4" hidden="false" customHeight="false" outlineLevel="0" collapsed="false">
      <c r="A80" s="23" t="n">
        <f aca="false">Kalender!A80</f>
        <v>46098</v>
      </c>
      <c r="B80" s="13" t="n">
        <f aca="false">Kalender!C80</f>
        <v>1</v>
      </c>
      <c r="C80" s="13" t="n">
        <f aca="false">Kalender!D80</f>
        <v>1</v>
      </c>
      <c r="D80" s="13" t="n">
        <f aca="false">IF(Prüfungen!$B$4=0,(IFERROR(SUMIF(Nutzungsprofile!$B$6:$B$11,"Schulbetrieb",Nutzungsprofile!$G$6:$G$11)*Kalender!C80/SUM(Kalender!$C$5:$C$370),0)+IFERROR(SUMIF(Nutzungsprofile!$B$6:$B$11,"Halle",Nutzungsprofile!$G$6:$G$11)*Kalender!D80/SUM(Kalender!$D$5:$D$370),0)+IFERROR(SUMIF(Nutzungsprofile!$B$6:$B$11,"Individuell",Nutzungsprofile!$G$6:$G$11)*Kalender!E80/SUM(Kalender!$E$5:$E$370),0)),0)</f>
        <v>2.94</v>
      </c>
      <c r="E80" s="13" t="n">
        <f aca="false">IF(Prüfungen!$B$4=0,(IFERROR(SUMIF(Nutzungsprofile!$B$17:$B$22,"Schulbetrieb",Nutzungsprofile!$G$17:$G$22)*Kalender!C80/SUM(Kalender!$C$5:$C$370),0)+IFERROR(SUMIF(Nutzungsprofile!$B$17:$B$22,"Halle",Nutzungsprofile!$G$17:$G$22)*Kalender!D80/SUM(Kalender!$D$5:$D$370),0)+IFERROR(SUMIF(Nutzungsprofile!$B$17:$B$22,"Individuell",Nutzungsprofile!$G$17:$G$22)*Kalender!E80/SUM(Kalender!$E$5:$E$370),0)),0)</f>
        <v>4.94</v>
      </c>
      <c r="F80" s="13" t="n">
        <f aca="false">IFERROR(MIN(D80,Eingaben!$B$17)*Eingaben!$B$16,0)</f>
        <v>2.793</v>
      </c>
      <c r="G80" s="13" t="n">
        <f aca="false">IFERROR(F80*Eingaben!$B$15,0)</f>
        <v>2.5137</v>
      </c>
      <c r="H80" s="13" t="n">
        <f aca="false">IFERROR(Q80*(1-Eingaben!$B$20),0)</f>
        <v>0.7390278</v>
      </c>
      <c r="I80" s="13" t="n">
        <f aca="false">MIN(H80,E80)</f>
        <v>0.7390278</v>
      </c>
      <c r="J80" s="13" t="n">
        <f aca="false">IFERROR(MIN(G80*Eingaben!$B$19,MAX(0,E80-I80)),0)</f>
        <v>1.75959</v>
      </c>
      <c r="K80" s="13" t="n">
        <f aca="false">IFERROR(MIN(Eingaben!$B$18,MAX(0,G80-J80)),0)</f>
        <v>0.75411</v>
      </c>
      <c r="L80" s="13" t="n">
        <f aca="false">I80+J80</f>
        <v>2.4986178</v>
      </c>
      <c r="M80" s="13" t="n">
        <f aca="false">MAX(0,E80-L80)</f>
        <v>2.4413822</v>
      </c>
      <c r="N80" s="13" t="n">
        <f aca="false">MAX(0,G80-J80-K80)</f>
        <v>0</v>
      </c>
      <c r="O80" s="13" t="n">
        <f aca="false">Q80-I80</f>
        <v>0.0150822</v>
      </c>
      <c r="P80" s="13" t="n">
        <f aca="false">G80+Q80-L80-N80-O80-K80</f>
        <v>0</v>
      </c>
      <c r="Q80" s="13" t="n">
        <f aca="false">IF(A80="",0,K79)</f>
        <v>0.75411</v>
      </c>
    </row>
    <row r="81" customFormat="false" ht="16.4" hidden="false" customHeight="false" outlineLevel="0" collapsed="false">
      <c r="A81" s="23" t="n">
        <f aca="false">Kalender!A81</f>
        <v>46099</v>
      </c>
      <c r="B81" s="13" t="n">
        <f aca="false">Kalender!C81</f>
        <v>1</v>
      </c>
      <c r="C81" s="13" t="n">
        <f aca="false">Kalender!D81</f>
        <v>1</v>
      </c>
      <c r="D81" s="13" t="n">
        <f aca="false">IF(Prüfungen!$B$4=0,(IFERROR(SUMIF(Nutzungsprofile!$B$6:$B$11,"Schulbetrieb",Nutzungsprofile!$G$6:$G$11)*Kalender!C81/SUM(Kalender!$C$5:$C$370),0)+IFERROR(SUMIF(Nutzungsprofile!$B$6:$B$11,"Halle",Nutzungsprofile!$G$6:$G$11)*Kalender!D81/SUM(Kalender!$D$5:$D$370),0)+IFERROR(SUMIF(Nutzungsprofile!$B$6:$B$11,"Individuell",Nutzungsprofile!$G$6:$G$11)*Kalender!E81/SUM(Kalender!$E$5:$E$370),0)),0)</f>
        <v>2.94</v>
      </c>
      <c r="E81" s="13" t="n">
        <f aca="false">IF(Prüfungen!$B$4=0,(IFERROR(SUMIF(Nutzungsprofile!$B$17:$B$22,"Schulbetrieb",Nutzungsprofile!$G$17:$G$22)*Kalender!C81/SUM(Kalender!$C$5:$C$370),0)+IFERROR(SUMIF(Nutzungsprofile!$B$17:$B$22,"Halle",Nutzungsprofile!$G$17:$G$22)*Kalender!D81/SUM(Kalender!$D$5:$D$370),0)+IFERROR(SUMIF(Nutzungsprofile!$B$17:$B$22,"Individuell",Nutzungsprofile!$G$17:$G$22)*Kalender!E81/SUM(Kalender!$E$5:$E$370),0)),0)</f>
        <v>4.94</v>
      </c>
      <c r="F81" s="13" t="n">
        <f aca="false">IFERROR(MIN(D81,Eingaben!$B$17)*Eingaben!$B$16,0)</f>
        <v>2.793</v>
      </c>
      <c r="G81" s="13" t="n">
        <f aca="false">IFERROR(F81*Eingaben!$B$15,0)</f>
        <v>2.5137</v>
      </c>
      <c r="H81" s="13" t="n">
        <f aca="false">IFERROR(Q81*(1-Eingaben!$B$20),0)</f>
        <v>0.7390278</v>
      </c>
      <c r="I81" s="13" t="n">
        <f aca="false">MIN(H81,E81)</f>
        <v>0.7390278</v>
      </c>
      <c r="J81" s="13" t="n">
        <f aca="false">IFERROR(MIN(G81*Eingaben!$B$19,MAX(0,E81-I81)),0)</f>
        <v>1.75959</v>
      </c>
      <c r="K81" s="13" t="n">
        <f aca="false">IFERROR(MIN(Eingaben!$B$18,MAX(0,G81-J81)),0)</f>
        <v>0.75411</v>
      </c>
      <c r="L81" s="13" t="n">
        <f aca="false">I81+J81</f>
        <v>2.4986178</v>
      </c>
      <c r="M81" s="13" t="n">
        <f aca="false">MAX(0,E81-L81)</f>
        <v>2.4413822</v>
      </c>
      <c r="N81" s="13" t="n">
        <f aca="false">MAX(0,G81-J81-K81)</f>
        <v>0</v>
      </c>
      <c r="O81" s="13" t="n">
        <f aca="false">Q81-I81</f>
        <v>0.0150822</v>
      </c>
      <c r="P81" s="13" t="n">
        <f aca="false">G81+Q81-L81-N81-O81-K81</f>
        <v>0</v>
      </c>
      <c r="Q81" s="13" t="n">
        <f aca="false">IF(A81="",0,K80)</f>
        <v>0.75411</v>
      </c>
    </row>
    <row r="82" customFormat="false" ht="16.4" hidden="false" customHeight="false" outlineLevel="0" collapsed="false">
      <c r="A82" s="23" t="n">
        <f aca="false">Kalender!A82</f>
        <v>46100</v>
      </c>
      <c r="B82" s="13" t="n">
        <f aca="false">Kalender!C82</f>
        <v>1</v>
      </c>
      <c r="C82" s="13" t="n">
        <f aca="false">Kalender!D82</f>
        <v>1</v>
      </c>
      <c r="D82" s="13" t="n">
        <f aca="false">IF(Prüfungen!$B$4=0,(IFERROR(SUMIF(Nutzungsprofile!$B$6:$B$11,"Schulbetrieb",Nutzungsprofile!$G$6:$G$11)*Kalender!C82/SUM(Kalender!$C$5:$C$370),0)+IFERROR(SUMIF(Nutzungsprofile!$B$6:$B$11,"Halle",Nutzungsprofile!$G$6:$G$11)*Kalender!D82/SUM(Kalender!$D$5:$D$370),0)+IFERROR(SUMIF(Nutzungsprofile!$B$6:$B$11,"Individuell",Nutzungsprofile!$G$6:$G$11)*Kalender!E82/SUM(Kalender!$E$5:$E$370),0)),0)</f>
        <v>2.94</v>
      </c>
      <c r="E82" s="13" t="n">
        <f aca="false">IF(Prüfungen!$B$4=0,(IFERROR(SUMIF(Nutzungsprofile!$B$17:$B$22,"Schulbetrieb",Nutzungsprofile!$G$17:$G$22)*Kalender!C82/SUM(Kalender!$C$5:$C$370),0)+IFERROR(SUMIF(Nutzungsprofile!$B$17:$B$22,"Halle",Nutzungsprofile!$G$17:$G$22)*Kalender!D82/SUM(Kalender!$D$5:$D$370),0)+IFERROR(SUMIF(Nutzungsprofile!$B$17:$B$22,"Individuell",Nutzungsprofile!$G$17:$G$22)*Kalender!E82/SUM(Kalender!$E$5:$E$370),0)),0)</f>
        <v>4.94</v>
      </c>
      <c r="F82" s="13" t="n">
        <f aca="false">IFERROR(MIN(D82,Eingaben!$B$17)*Eingaben!$B$16,0)</f>
        <v>2.793</v>
      </c>
      <c r="G82" s="13" t="n">
        <f aca="false">IFERROR(F82*Eingaben!$B$15,0)</f>
        <v>2.5137</v>
      </c>
      <c r="H82" s="13" t="n">
        <f aca="false">IFERROR(Q82*(1-Eingaben!$B$20),0)</f>
        <v>0.7390278</v>
      </c>
      <c r="I82" s="13" t="n">
        <f aca="false">MIN(H82,E82)</f>
        <v>0.7390278</v>
      </c>
      <c r="J82" s="13" t="n">
        <f aca="false">IFERROR(MIN(G82*Eingaben!$B$19,MAX(0,E82-I82)),0)</f>
        <v>1.75959</v>
      </c>
      <c r="K82" s="13" t="n">
        <f aca="false">IFERROR(MIN(Eingaben!$B$18,MAX(0,G82-J82)),0)</f>
        <v>0.75411</v>
      </c>
      <c r="L82" s="13" t="n">
        <f aca="false">I82+J82</f>
        <v>2.4986178</v>
      </c>
      <c r="M82" s="13" t="n">
        <f aca="false">MAX(0,E82-L82)</f>
        <v>2.4413822</v>
      </c>
      <c r="N82" s="13" t="n">
        <f aca="false">MAX(0,G82-J82-K82)</f>
        <v>0</v>
      </c>
      <c r="O82" s="13" t="n">
        <f aca="false">Q82-I82</f>
        <v>0.0150822</v>
      </c>
      <c r="P82" s="13" t="n">
        <f aca="false">G82+Q82-L82-N82-O82-K82</f>
        <v>0</v>
      </c>
      <c r="Q82" s="13" t="n">
        <f aca="false">IF(A82="",0,K81)</f>
        <v>0.75411</v>
      </c>
    </row>
    <row r="83" customFormat="false" ht="16.4" hidden="false" customHeight="false" outlineLevel="0" collapsed="false">
      <c r="A83" s="23" t="n">
        <f aca="false">Kalender!A83</f>
        <v>46101</v>
      </c>
      <c r="B83" s="13" t="n">
        <f aca="false">Kalender!C83</f>
        <v>1</v>
      </c>
      <c r="C83" s="13" t="n">
        <f aca="false">Kalender!D83</f>
        <v>1</v>
      </c>
      <c r="D83" s="13" t="n">
        <f aca="false">IF(Prüfungen!$B$4=0,(IFERROR(SUMIF(Nutzungsprofile!$B$6:$B$11,"Schulbetrieb",Nutzungsprofile!$G$6:$G$11)*Kalender!C83/SUM(Kalender!$C$5:$C$370),0)+IFERROR(SUMIF(Nutzungsprofile!$B$6:$B$11,"Halle",Nutzungsprofile!$G$6:$G$11)*Kalender!D83/SUM(Kalender!$D$5:$D$370),0)+IFERROR(SUMIF(Nutzungsprofile!$B$6:$B$11,"Individuell",Nutzungsprofile!$G$6:$G$11)*Kalender!E83/SUM(Kalender!$E$5:$E$370),0)),0)</f>
        <v>2.94</v>
      </c>
      <c r="E83" s="13" t="n">
        <f aca="false">IF(Prüfungen!$B$4=0,(IFERROR(SUMIF(Nutzungsprofile!$B$17:$B$22,"Schulbetrieb",Nutzungsprofile!$G$17:$G$22)*Kalender!C83/SUM(Kalender!$C$5:$C$370),0)+IFERROR(SUMIF(Nutzungsprofile!$B$17:$B$22,"Halle",Nutzungsprofile!$G$17:$G$22)*Kalender!D83/SUM(Kalender!$D$5:$D$370),0)+IFERROR(SUMIF(Nutzungsprofile!$B$17:$B$22,"Individuell",Nutzungsprofile!$G$17:$G$22)*Kalender!E83/SUM(Kalender!$E$5:$E$370),0)),0)</f>
        <v>4.94</v>
      </c>
      <c r="F83" s="13" t="n">
        <f aca="false">IFERROR(MIN(D83,Eingaben!$B$17)*Eingaben!$B$16,0)</f>
        <v>2.793</v>
      </c>
      <c r="G83" s="13" t="n">
        <f aca="false">IFERROR(F83*Eingaben!$B$15,0)</f>
        <v>2.5137</v>
      </c>
      <c r="H83" s="13" t="n">
        <f aca="false">IFERROR(Q83*(1-Eingaben!$B$20),0)</f>
        <v>0.7390278</v>
      </c>
      <c r="I83" s="13" t="n">
        <f aca="false">MIN(H83,E83)</f>
        <v>0.7390278</v>
      </c>
      <c r="J83" s="13" t="n">
        <f aca="false">IFERROR(MIN(G83*Eingaben!$B$19,MAX(0,E83-I83)),0)</f>
        <v>1.75959</v>
      </c>
      <c r="K83" s="13" t="n">
        <f aca="false">IFERROR(MIN(Eingaben!$B$18,MAX(0,G83-J83)),0)</f>
        <v>0.75411</v>
      </c>
      <c r="L83" s="13" t="n">
        <f aca="false">I83+J83</f>
        <v>2.4986178</v>
      </c>
      <c r="M83" s="13" t="n">
        <f aca="false">MAX(0,E83-L83)</f>
        <v>2.4413822</v>
      </c>
      <c r="N83" s="13" t="n">
        <f aca="false">MAX(0,G83-J83-K83)</f>
        <v>0</v>
      </c>
      <c r="O83" s="13" t="n">
        <f aca="false">Q83-I83</f>
        <v>0.0150822</v>
      </c>
      <c r="P83" s="13" t="n">
        <f aca="false">G83+Q83-L83-N83-O83-K83</f>
        <v>0</v>
      </c>
      <c r="Q83" s="13" t="n">
        <f aca="false">IF(A83="",0,K82)</f>
        <v>0.75411</v>
      </c>
    </row>
    <row r="84" customFormat="false" ht="16.4" hidden="false" customHeight="false" outlineLevel="0" collapsed="false">
      <c r="A84" s="23" t="n">
        <f aca="false">Kalender!A84</f>
        <v>46102</v>
      </c>
      <c r="B84" s="13" t="n">
        <f aca="false">Kalender!C84</f>
        <v>0</v>
      </c>
      <c r="C84" s="13" t="n">
        <f aca="false">Kalender!D84</f>
        <v>1</v>
      </c>
      <c r="D84" s="13" t="n">
        <f aca="false">IF(Prüfungen!$B$4=0,(IFERROR(SUMIF(Nutzungsprofile!$B$6:$B$11,"Schulbetrieb",Nutzungsprofile!$G$6:$G$11)*Kalender!C84/SUM(Kalender!$C$5:$C$370),0)+IFERROR(SUMIF(Nutzungsprofile!$B$6:$B$11,"Halle",Nutzungsprofile!$G$6:$G$11)*Kalender!D84/SUM(Kalender!$D$5:$D$370),0)+IFERROR(SUMIF(Nutzungsprofile!$B$6:$B$11,"Individuell",Nutzungsprofile!$G$6:$G$11)*Kalender!E84/SUM(Kalender!$E$5:$E$370),0)),0)</f>
        <v>2.04</v>
      </c>
      <c r="E84" s="13" t="n">
        <f aca="false">IF(Prüfungen!$B$4=0,(IFERROR(SUMIF(Nutzungsprofile!$B$17:$B$22,"Schulbetrieb",Nutzungsprofile!$G$17:$G$22)*Kalender!C84/SUM(Kalender!$C$5:$C$370),0)+IFERROR(SUMIF(Nutzungsprofile!$B$17:$B$22,"Halle",Nutzungsprofile!$G$17:$G$22)*Kalender!D84/SUM(Kalender!$D$5:$D$370),0)+IFERROR(SUMIF(Nutzungsprofile!$B$17:$B$22,"Individuell",Nutzungsprofile!$G$17:$G$22)*Kalender!E84/SUM(Kalender!$E$5:$E$370),0)),0)</f>
        <v>0.89</v>
      </c>
      <c r="F84" s="13" t="n">
        <f aca="false">IFERROR(MIN(D84,Eingaben!$B$17)*Eingaben!$B$16,0)</f>
        <v>1.938</v>
      </c>
      <c r="G84" s="13" t="n">
        <f aca="false">IFERROR(F84*Eingaben!$B$15,0)</f>
        <v>1.7442</v>
      </c>
      <c r="H84" s="13" t="n">
        <f aca="false">IFERROR(Q84*(1-Eingaben!$B$20),0)</f>
        <v>0.7390278</v>
      </c>
      <c r="I84" s="13" t="n">
        <f aca="false">MIN(H84,E84)</f>
        <v>0.7390278</v>
      </c>
      <c r="J84" s="13" t="n">
        <f aca="false">IFERROR(MIN(G84*Eingaben!$B$19,MAX(0,E84-I84)),0)</f>
        <v>0.1509722</v>
      </c>
      <c r="K84" s="13" t="n">
        <f aca="false">IFERROR(MIN(Eingaben!$B$18,MAX(0,G84-J84)),0)</f>
        <v>1.5932278</v>
      </c>
      <c r="L84" s="13" t="n">
        <f aca="false">I84+J84</f>
        <v>0.89</v>
      </c>
      <c r="M84" s="13" t="n">
        <f aca="false">MAX(0,E84-L84)</f>
        <v>0</v>
      </c>
      <c r="N84" s="13" t="n">
        <f aca="false">MAX(0,G84-J84-K84)</f>
        <v>0</v>
      </c>
      <c r="O84" s="13" t="n">
        <f aca="false">Q84-I84</f>
        <v>0.0150822</v>
      </c>
      <c r="P84" s="13" t="n">
        <f aca="false">G84+Q84-L84-N84-O84-K84</f>
        <v>0</v>
      </c>
      <c r="Q84" s="13" t="n">
        <f aca="false">IF(A84="",0,K83)</f>
        <v>0.75411</v>
      </c>
    </row>
    <row r="85" customFormat="false" ht="16.4" hidden="false" customHeight="false" outlineLevel="0" collapsed="false">
      <c r="A85" s="23" t="n">
        <f aca="false">Kalender!A85</f>
        <v>46103</v>
      </c>
      <c r="B85" s="13" t="n">
        <f aca="false">Kalender!C85</f>
        <v>0</v>
      </c>
      <c r="C85" s="13" t="n">
        <f aca="false">Kalender!D85</f>
        <v>1</v>
      </c>
      <c r="D85" s="13" t="n">
        <f aca="false">IF(Prüfungen!$B$4=0,(IFERROR(SUMIF(Nutzungsprofile!$B$6:$B$11,"Schulbetrieb",Nutzungsprofile!$G$6:$G$11)*Kalender!C85/SUM(Kalender!$C$5:$C$370),0)+IFERROR(SUMIF(Nutzungsprofile!$B$6:$B$11,"Halle",Nutzungsprofile!$G$6:$G$11)*Kalender!D85/SUM(Kalender!$D$5:$D$370),0)+IFERROR(SUMIF(Nutzungsprofile!$B$6:$B$11,"Individuell",Nutzungsprofile!$G$6:$G$11)*Kalender!E85/SUM(Kalender!$E$5:$E$370),0)),0)</f>
        <v>2.04</v>
      </c>
      <c r="E85" s="13" t="n">
        <f aca="false">IF(Prüfungen!$B$4=0,(IFERROR(SUMIF(Nutzungsprofile!$B$17:$B$22,"Schulbetrieb",Nutzungsprofile!$G$17:$G$22)*Kalender!C85/SUM(Kalender!$C$5:$C$370),0)+IFERROR(SUMIF(Nutzungsprofile!$B$17:$B$22,"Halle",Nutzungsprofile!$G$17:$G$22)*Kalender!D85/SUM(Kalender!$D$5:$D$370),0)+IFERROR(SUMIF(Nutzungsprofile!$B$17:$B$22,"Individuell",Nutzungsprofile!$G$17:$G$22)*Kalender!E85/SUM(Kalender!$E$5:$E$370),0)),0)</f>
        <v>0.89</v>
      </c>
      <c r="F85" s="13" t="n">
        <f aca="false">IFERROR(MIN(D85,Eingaben!$B$17)*Eingaben!$B$16,0)</f>
        <v>1.938</v>
      </c>
      <c r="G85" s="13" t="n">
        <f aca="false">IFERROR(F85*Eingaben!$B$15,0)</f>
        <v>1.7442</v>
      </c>
      <c r="H85" s="13" t="n">
        <f aca="false">IFERROR(Q85*(1-Eingaben!$B$20),0)</f>
        <v>1.561363244</v>
      </c>
      <c r="I85" s="13" t="n">
        <f aca="false">MIN(H85,E85)</f>
        <v>0.89</v>
      </c>
      <c r="J85" s="13" t="n">
        <f aca="false">IFERROR(MIN(G85*Eingaben!$B$19,MAX(0,E85-I85)),0)</f>
        <v>0</v>
      </c>
      <c r="K85" s="13" t="n">
        <f aca="false">IFERROR(MIN(Eingaben!$B$18,MAX(0,G85-J85)),0)</f>
        <v>1.7442</v>
      </c>
      <c r="L85" s="13" t="n">
        <f aca="false">I85+J85</f>
        <v>0.89</v>
      </c>
      <c r="M85" s="13" t="n">
        <f aca="false">MAX(0,E85-L85)</f>
        <v>0</v>
      </c>
      <c r="N85" s="13" t="n">
        <f aca="false">MAX(0,G85-J85-K85)</f>
        <v>0</v>
      </c>
      <c r="O85" s="13" t="n">
        <f aca="false">Q85-I85</f>
        <v>0.7032278</v>
      </c>
      <c r="P85" s="13" t="n">
        <f aca="false">G85+Q85-L85-N85-O85-K85</f>
        <v>0</v>
      </c>
      <c r="Q85" s="13" t="n">
        <f aca="false">IF(A85="",0,K84)</f>
        <v>1.5932278</v>
      </c>
    </row>
    <row r="86" customFormat="false" ht="16.4" hidden="false" customHeight="false" outlineLevel="0" collapsed="false">
      <c r="A86" s="23" t="n">
        <f aca="false">Kalender!A86</f>
        <v>46104</v>
      </c>
      <c r="B86" s="13" t="n">
        <f aca="false">Kalender!C86</f>
        <v>1</v>
      </c>
      <c r="C86" s="13" t="n">
        <f aca="false">Kalender!D86</f>
        <v>1</v>
      </c>
      <c r="D86" s="13" t="n">
        <f aca="false">IF(Prüfungen!$B$4=0,(IFERROR(SUMIF(Nutzungsprofile!$B$6:$B$11,"Schulbetrieb",Nutzungsprofile!$G$6:$G$11)*Kalender!C86/SUM(Kalender!$C$5:$C$370),0)+IFERROR(SUMIF(Nutzungsprofile!$B$6:$B$11,"Halle",Nutzungsprofile!$G$6:$G$11)*Kalender!D86/SUM(Kalender!$D$5:$D$370),0)+IFERROR(SUMIF(Nutzungsprofile!$B$6:$B$11,"Individuell",Nutzungsprofile!$G$6:$G$11)*Kalender!E86/SUM(Kalender!$E$5:$E$370),0)),0)</f>
        <v>2.94</v>
      </c>
      <c r="E86" s="13" t="n">
        <f aca="false">IF(Prüfungen!$B$4=0,(IFERROR(SUMIF(Nutzungsprofile!$B$17:$B$22,"Schulbetrieb",Nutzungsprofile!$G$17:$G$22)*Kalender!C86/SUM(Kalender!$C$5:$C$370),0)+IFERROR(SUMIF(Nutzungsprofile!$B$17:$B$22,"Halle",Nutzungsprofile!$G$17:$G$22)*Kalender!D86/SUM(Kalender!$D$5:$D$370),0)+IFERROR(SUMIF(Nutzungsprofile!$B$17:$B$22,"Individuell",Nutzungsprofile!$G$17:$G$22)*Kalender!E86/SUM(Kalender!$E$5:$E$370),0)),0)</f>
        <v>4.94</v>
      </c>
      <c r="F86" s="13" t="n">
        <f aca="false">IFERROR(MIN(D86,Eingaben!$B$17)*Eingaben!$B$16,0)</f>
        <v>2.793</v>
      </c>
      <c r="G86" s="13" t="n">
        <f aca="false">IFERROR(F86*Eingaben!$B$15,0)</f>
        <v>2.5137</v>
      </c>
      <c r="H86" s="13" t="n">
        <f aca="false">IFERROR(Q86*(1-Eingaben!$B$20),0)</f>
        <v>1.709316</v>
      </c>
      <c r="I86" s="13" t="n">
        <f aca="false">MIN(H86,E86)</f>
        <v>1.709316</v>
      </c>
      <c r="J86" s="13" t="n">
        <f aca="false">IFERROR(MIN(G86*Eingaben!$B$19,MAX(0,E86-I86)),0)</f>
        <v>1.75959</v>
      </c>
      <c r="K86" s="13" t="n">
        <f aca="false">IFERROR(MIN(Eingaben!$B$18,MAX(0,G86-J86)),0)</f>
        <v>0.75411</v>
      </c>
      <c r="L86" s="13" t="n">
        <f aca="false">I86+J86</f>
        <v>3.468906</v>
      </c>
      <c r="M86" s="13" t="n">
        <f aca="false">MAX(0,E86-L86)</f>
        <v>1.471094</v>
      </c>
      <c r="N86" s="13" t="n">
        <f aca="false">MAX(0,G86-J86-K86)</f>
        <v>0</v>
      </c>
      <c r="O86" s="13" t="n">
        <f aca="false">Q86-I86</f>
        <v>0.0348840000000001</v>
      </c>
      <c r="P86" s="13" t="n">
        <f aca="false">G86+Q86-L86-N86-O86-K86</f>
        <v>0</v>
      </c>
      <c r="Q86" s="13" t="n">
        <f aca="false">IF(A86="",0,K85)</f>
        <v>1.7442</v>
      </c>
    </row>
    <row r="87" customFormat="false" ht="16.4" hidden="false" customHeight="false" outlineLevel="0" collapsed="false">
      <c r="A87" s="23" t="n">
        <f aca="false">Kalender!A87</f>
        <v>46105</v>
      </c>
      <c r="B87" s="13" t="n">
        <f aca="false">Kalender!C87</f>
        <v>1</v>
      </c>
      <c r="C87" s="13" t="n">
        <f aca="false">Kalender!D87</f>
        <v>1</v>
      </c>
      <c r="D87" s="13" t="n">
        <f aca="false">IF(Prüfungen!$B$4=0,(IFERROR(SUMIF(Nutzungsprofile!$B$6:$B$11,"Schulbetrieb",Nutzungsprofile!$G$6:$G$11)*Kalender!C87/SUM(Kalender!$C$5:$C$370),0)+IFERROR(SUMIF(Nutzungsprofile!$B$6:$B$11,"Halle",Nutzungsprofile!$G$6:$G$11)*Kalender!D87/SUM(Kalender!$D$5:$D$370),0)+IFERROR(SUMIF(Nutzungsprofile!$B$6:$B$11,"Individuell",Nutzungsprofile!$G$6:$G$11)*Kalender!E87/SUM(Kalender!$E$5:$E$370),0)),0)</f>
        <v>2.94</v>
      </c>
      <c r="E87" s="13" t="n">
        <f aca="false">IF(Prüfungen!$B$4=0,(IFERROR(SUMIF(Nutzungsprofile!$B$17:$B$22,"Schulbetrieb",Nutzungsprofile!$G$17:$G$22)*Kalender!C87/SUM(Kalender!$C$5:$C$370),0)+IFERROR(SUMIF(Nutzungsprofile!$B$17:$B$22,"Halle",Nutzungsprofile!$G$17:$G$22)*Kalender!D87/SUM(Kalender!$D$5:$D$370),0)+IFERROR(SUMIF(Nutzungsprofile!$B$17:$B$22,"Individuell",Nutzungsprofile!$G$17:$G$22)*Kalender!E87/SUM(Kalender!$E$5:$E$370),0)),0)</f>
        <v>4.94</v>
      </c>
      <c r="F87" s="13" t="n">
        <f aca="false">IFERROR(MIN(D87,Eingaben!$B$17)*Eingaben!$B$16,0)</f>
        <v>2.793</v>
      </c>
      <c r="G87" s="13" t="n">
        <f aca="false">IFERROR(F87*Eingaben!$B$15,0)</f>
        <v>2.5137</v>
      </c>
      <c r="H87" s="13" t="n">
        <f aca="false">IFERROR(Q87*(1-Eingaben!$B$20),0)</f>
        <v>0.7390278</v>
      </c>
      <c r="I87" s="13" t="n">
        <f aca="false">MIN(H87,E87)</f>
        <v>0.7390278</v>
      </c>
      <c r="J87" s="13" t="n">
        <f aca="false">IFERROR(MIN(G87*Eingaben!$B$19,MAX(0,E87-I87)),0)</f>
        <v>1.75959</v>
      </c>
      <c r="K87" s="13" t="n">
        <f aca="false">IFERROR(MIN(Eingaben!$B$18,MAX(0,G87-J87)),0)</f>
        <v>0.75411</v>
      </c>
      <c r="L87" s="13" t="n">
        <f aca="false">I87+J87</f>
        <v>2.4986178</v>
      </c>
      <c r="M87" s="13" t="n">
        <f aca="false">MAX(0,E87-L87)</f>
        <v>2.4413822</v>
      </c>
      <c r="N87" s="13" t="n">
        <f aca="false">MAX(0,G87-J87-K87)</f>
        <v>0</v>
      </c>
      <c r="O87" s="13" t="n">
        <f aca="false">Q87-I87</f>
        <v>0.0150822</v>
      </c>
      <c r="P87" s="13" t="n">
        <f aca="false">G87+Q87-L87-N87-O87-K87</f>
        <v>0</v>
      </c>
      <c r="Q87" s="13" t="n">
        <f aca="false">IF(A87="",0,K86)</f>
        <v>0.75411</v>
      </c>
    </row>
    <row r="88" customFormat="false" ht="16.4" hidden="false" customHeight="false" outlineLevel="0" collapsed="false">
      <c r="A88" s="23" t="n">
        <f aca="false">Kalender!A88</f>
        <v>46106</v>
      </c>
      <c r="B88" s="13" t="n">
        <f aca="false">Kalender!C88</f>
        <v>1</v>
      </c>
      <c r="C88" s="13" t="n">
        <f aca="false">Kalender!D88</f>
        <v>1</v>
      </c>
      <c r="D88" s="13" t="n">
        <f aca="false">IF(Prüfungen!$B$4=0,(IFERROR(SUMIF(Nutzungsprofile!$B$6:$B$11,"Schulbetrieb",Nutzungsprofile!$G$6:$G$11)*Kalender!C88/SUM(Kalender!$C$5:$C$370),0)+IFERROR(SUMIF(Nutzungsprofile!$B$6:$B$11,"Halle",Nutzungsprofile!$G$6:$G$11)*Kalender!D88/SUM(Kalender!$D$5:$D$370),0)+IFERROR(SUMIF(Nutzungsprofile!$B$6:$B$11,"Individuell",Nutzungsprofile!$G$6:$G$11)*Kalender!E88/SUM(Kalender!$E$5:$E$370),0)),0)</f>
        <v>2.94</v>
      </c>
      <c r="E88" s="13" t="n">
        <f aca="false">IF(Prüfungen!$B$4=0,(IFERROR(SUMIF(Nutzungsprofile!$B$17:$B$22,"Schulbetrieb",Nutzungsprofile!$G$17:$G$22)*Kalender!C88/SUM(Kalender!$C$5:$C$370),0)+IFERROR(SUMIF(Nutzungsprofile!$B$17:$B$22,"Halle",Nutzungsprofile!$G$17:$G$22)*Kalender!D88/SUM(Kalender!$D$5:$D$370),0)+IFERROR(SUMIF(Nutzungsprofile!$B$17:$B$22,"Individuell",Nutzungsprofile!$G$17:$G$22)*Kalender!E88/SUM(Kalender!$E$5:$E$370),0)),0)</f>
        <v>4.94</v>
      </c>
      <c r="F88" s="13" t="n">
        <f aca="false">IFERROR(MIN(D88,Eingaben!$B$17)*Eingaben!$B$16,0)</f>
        <v>2.793</v>
      </c>
      <c r="G88" s="13" t="n">
        <f aca="false">IFERROR(F88*Eingaben!$B$15,0)</f>
        <v>2.5137</v>
      </c>
      <c r="H88" s="13" t="n">
        <f aca="false">IFERROR(Q88*(1-Eingaben!$B$20),0)</f>
        <v>0.7390278</v>
      </c>
      <c r="I88" s="13" t="n">
        <f aca="false">MIN(H88,E88)</f>
        <v>0.7390278</v>
      </c>
      <c r="J88" s="13" t="n">
        <f aca="false">IFERROR(MIN(G88*Eingaben!$B$19,MAX(0,E88-I88)),0)</f>
        <v>1.75959</v>
      </c>
      <c r="K88" s="13" t="n">
        <f aca="false">IFERROR(MIN(Eingaben!$B$18,MAX(0,G88-J88)),0)</f>
        <v>0.75411</v>
      </c>
      <c r="L88" s="13" t="n">
        <f aca="false">I88+J88</f>
        <v>2.4986178</v>
      </c>
      <c r="M88" s="13" t="n">
        <f aca="false">MAX(0,E88-L88)</f>
        <v>2.4413822</v>
      </c>
      <c r="N88" s="13" t="n">
        <f aca="false">MAX(0,G88-J88-K88)</f>
        <v>0</v>
      </c>
      <c r="O88" s="13" t="n">
        <f aca="false">Q88-I88</f>
        <v>0.0150822</v>
      </c>
      <c r="P88" s="13" t="n">
        <f aca="false">G88+Q88-L88-N88-O88-K88</f>
        <v>0</v>
      </c>
      <c r="Q88" s="13" t="n">
        <f aca="false">IF(A88="",0,K87)</f>
        <v>0.75411</v>
      </c>
    </row>
    <row r="89" customFormat="false" ht="16.4" hidden="false" customHeight="false" outlineLevel="0" collapsed="false">
      <c r="A89" s="23" t="n">
        <f aca="false">Kalender!A89</f>
        <v>46107</v>
      </c>
      <c r="B89" s="13" t="n">
        <f aca="false">Kalender!C89</f>
        <v>1</v>
      </c>
      <c r="C89" s="13" t="n">
        <f aca="false">Kalender!D89</f>
        <v>1</v>
      </c>
      <c r="D89" s="13" t="n">
        <f aca="false">IF(Prüfungen!$B$4=0,(IFERROR(SUMIF(Nutzungsprofile!$B$6:$B$11,"Schulbetrieb",Nutzungsprofile!$G$6:$G$11)*Kalender!C89/SUM(Kalender!$C$5:$C$370),0)+IFERROR(SUMIF(Nutzungsprofile!$B$6:$B$11,"Halle",Nutzungsprofile!$G$6:$G$11)*Kalender!D89/SUM(Kalender!$D$5:$D$370),0)+IFERROR(SUMIF(Nutzungsprofile!$B$6:$B$11,"Individuell",Nutzungsprofile!$G$6:$G$11)*Kalender!E89/SUM(Kalender!$E$5:$E$370),0)),0)</f>
        <v>2.94</v>
      </c>
      <c r="E89" s="13" t="n">
        <f aca="false">IF(Prüfungen!$B$4=0,(IFERROR(SUMIF(Nutzungsprofile!$B$17:$B$22,"Schulbetrieb",Nutzungsprofile!$G$17:$G$22)*Kalender!C89/SUM(Kalender!$C$5:$C$370),0)+IFERROR(SUMIF(Nutzungsprofile!$B$17:$B$22,"Halle",Nutzungsprofile!$G$17:$G$22)*Kalender!D89/SUM(Kalender!$D$5:$D$370),0)+IFERROR(SUMIF(Nutzungsprofile!$B$17:$B$22,"Individuell",Nutzungsprofile!$G$17:$G$22)*Kalender!E89/SUM(Kalender!$E$5:$E$370),0)),0)</f>
        <v>4.94</v>
      </c>
      <c r="F89" s="13" t="n">
        <f aca="false">IFERROR(MIN(D89,Eingaben!$B$17)*Eingaben!$B$16,0)</f>
        <v>2.793</v>
      </c>
      <c r="G89" s="13" t="n">
        <f aca="false">IFERROR(F89*Eingaben!$B$15,0)</f>
        <v>2.5137</v>
      </c>
      <c r="H89" s="13" t="n">
        <f aca="false">IFERROR(Q89*(1-Eingaben!$B$20),0)</f>
        <v>0.7390278</v>
      </c>
      <c r="I89" s="13" t="n">
        <f aca="false">MIN(H89,E89)</f>
        <v>0.7390278</v>
      </c>
      <c r="J89" s="13" t="n">
        <f aca="false">IFERROR(MIN(G89*Eingaben!$B$19,MAX(0,E89-I89)),0)</f>
        <v>1.75959</v>
      </c>
      <c r="K89" s="13" t="n">
        <f aca="false">IFERROR(MIN(Eingaben!$B$18,MAX(0,G89-J89)),0)</f>
        <v>0.75411</v>
      </c>
      <c r="L89" s="13" t="n">
        <f aca="false">I89+J89</f>
        <v>2.4986178</v>
      </c>
      <c r="M89" s="13" t="n">
        <f aca="false">MAX(0,E89-L89)</f>
        <v>2.4413822</v>
      </c>
      <c r="N89" s="13" t="n">
        <f aca="false">MAX(0,G89-J89-K89)</f>
        <v>0</v>
      </c>
      <c r="O89" s="13" t="n">
        <f aca="false">Q89-I89</f>
        <v>0.0150822</v>
      </c>
      <c r="P89" s="13" t="n">
        <f aca="false">G89+Q89-L89-N89-O89-K89</f>
        <v>0</v>
      </c>
      <c r="Q89" s="13" t="n">
        <f aca="false">IF(A89="",0,K88)</f>
        <v>0.75411</v>
      </c>
    </row>
    <row r="90" customFormat="false" ht="16.4" hidden="false" customHeight="false" outlineLevel="0" collapsed="false">
      <c r="A90" s="23" t="n">
        <f aca="false">Kalender!A90</f>
        <v>46108</v>
      </c>
      <c r="B90" s="13" t="n">
        <f aca="false">Kalender!C90</f>
        <v>1</v>
      </c>
      <c r="C90" s="13" t="n">
        <f aca="false">Kalender!D90</f>
        <v>1</v>
      </c>
      <c r="D90" s="13" t="n">
        <f aca="false">IF(Prüfungen!$B$4=0,(IFERROR(SUMIF(Nutzungsprofile!$B$6:$B$11,"Schulbetrieb",Nutzungsprofile!$G$6:$G$11)*Kalender!C90/SUM(Kalender!$C$5:$C$370),0)+IFERROR(SUMIF(Nutzungsprofile!$B$6:$B$11,"Halle",Nutzungsprofile!$G$6:$G$11)*Kalender!D90/SUM(Kalender!$D$5:$D$370),0)+IFERROR(SUMIF(Nutzungsprofile!$B$6:$B$11,"Individuell",Nutzungsprofile!$G$6:$G$11)*Kalender!E90/SUM(Kalender!$E$5:$E$370),0)),0)</f>
        <v>2.94</v>
      </c>
      <c r="E90" s="13" t="n">
        <f aca="false">IF(Prüfungen!$B$4=0,(IFERROR(SUMIF(Nutzungsprofile!$B$17:$B$22,"Schulbetrieb",Nutzungsprofile!$G$17:$G$22)*Kalender!C90/SUM(Kalender!$C$5:$C$370),0)+IFERROR(SUMIF(Nutzungsprofile!$B$17:$B$22,"Halle",Nutzungsprofile!$G$17:$G$22)*Kalender!D90/SUM(Kalender!$D$5:$D$370),0)+IFERROR(SUMIF(Nutzungsprofile!$B$17:$B$22,"Individuell",Nutzungsprofile!$G$17:$G$22)*Kalender!E90/SUM(Kalender!$E$5:$E$370),0)),0)</f>
        <v>4.94</v>
      </c>
      <c r="F90" s="13" t="n">
        <f aca="false">IFERROR(MIN(D90,Eingaben!$B$17)*Eingaben!$B$16,0)</f>
        <v>2.793</v>
      </c>
      <c r="G90" s="13" t="n">
        <f aca="false">IFERROR(F90*Eingaben!$B$15,0)</f>
        <v>2.5137</v>
      </c>
      <c r="H90" s="13" t="n">
        <f aca="false">IFERROR(Q90*(1-Eingaben!$B$20),0)</f>
        <v>0.7390278</v>
      </c>
      <c r="I90" s="13" t="n">
        <f aca="false">MIN(H90,E90)</f>
        <v>0.7390278</v>
      </c>
      <c r="J90" s="13" t="n">
        <f aca="false">IFERROR(MIN(G90*Eingaben!$B$19,MAX(0,E90-I90)),0)</f>
        <v>1.75959</v>
      </c>
      <c r="K90" s="13" t="n">
        <f aca="false">IFERROR(MIN(Eingaben!$B$18,MAX(0,G90-J90)),0)</f>
        <v>0.75411</v>
      </c>
      <c r="L90" s="13" t="n">
        <f aca="false">I90+J90</f>
        <v>2.4986178</v>
      </c>
      <c r="M90" s="13" t="n">
        <f aca="false">MAX(0,E90-L90)</f>
        <v>2.4413822</v>
      </c>
      <c r="N90" s="13" t="n">
        <f aca="false">MAX(0,G90-J90-K90)</f>
        <v>0</v>
      </c>
      <c r="O90" s="13" t="n">
        <f aca="false">Q90-I90</f>
        <v>0.0150822</v>
      </c>
      <c r="P90" s="13" t="n">
        <f aca="false">G90+Q90-L90-N90-O90-K90</f>
        <v>0</v>
      </c>
      <c r="Q90" s="13" t="n">
        <f aca="false">IF(A90="",0,K89)</f>
        <v>0.75411</v>
      </c>
    </row>
    <row r="91" customFormat="false" ht="16.4" hidden="false" customHeight="false" outlineLevel="0" collapsed="false">
      <c r="A91" s="23" t="n">
        <f aca="false">Kalender!A91</f>
        <v>46109</v>
      </c>
      <c r="B91" s="13" t="n">
        <f aca="false">Kalender!C91</f>
        <v>0</v>
      </c>
      <c r="C91" s="13" t="n">
        <f aca="false">Kalender!D91</f>
        <v>1</v>
      </c>
      <c r="D91" s="13" t="n">
        <f aca="false">IF(Prüfungen!$B$4=0,(IFERROR(SUMIF(Nutzungsprofile!$B$6:$B$11,"Schulbetrieb",Nutzungsprofile!$G$6:$G$11)*Kalender!C91/SUM(Kalender!$C$5:$C$370),0)+IFERROR(SUMIF(Nutzungsprofile!$B$6:$B$11,"Halle",Nutzungsprofile!$G$6:$G$11)*Kalender!D91/SUM(Kalender!$D$5:$D$370),0)+IFERROR(SUMIF(Nutzungsprofile!$B$6:$B$11,"Individuell",Nutzungsprofile!$G$6:$G$11)*Kalender!E91/SUM(Kalender!$E$5:$E$370),0)),0)</f>
        <v>2.04</v>
      </c>
      <c r="E91" s="13" t="n">
        <f aca="false">IF(Prüfungen!$B$4=0,(IFERROR(SUMIF(Nutzungsprofile!$B$17:$B$22,"Schulbetrieb",Nutzungsprofile!$G$17:$G$22)*Kalender!C91/SUM(Kalender!$C$5:$C$370),0)+IFERROR(SUMIF(Nutzungsprofile!$B$17:$B$22,"Halle",Nutzungsprofile!$G$17:$G$22)*Kalender!D91/SUM(Kalender!$D$5:$D$370),0)+IFERROR(SUMIF(Nutzungsprofile!$B$17:$B$22,"Individuell",Nutzungsprofile!$G$17:$G$22)*Kalender!E91/SUM(Kalender!$E$5:$E$370),0)),0)</f>
        <v>0.89</v>
      </c>
      <c r="F91" s="13" t="n">
        <f aca="false">IFERROR(MIN(D91,Eingaben!$B$17)*Eingaben!$B$16,0)</f>
        <v>1.938</v>
      </c>
      <c r="G91" s="13" t="n">
        <f aca="false">IFERROR(F91*Eingaben!$B$15,0)</f>
        <v>1.7442</v>
      </c>
      <c r="H91" s="13" t="n">
        <f aca="false">IFERROR(Q91*(1-Eingaben!$B$20),0)</f>
        <v>0.7390278</v>
      </c>
      <c r="I91" s="13" t="n">
        <f aca="false">MIN(H91,E91)</f>
        <v>0.7390278</v>
      </c>
      <c r="J91" s="13" t="n">
        <f aca="false">IFERROR(MIN(G91*Eingaben!$B$19,MAX(0,E91-I91)),0)</f>
        <v>0.1509722</v>
      </c>
      <c r="K91" s="13" t="n">
        <f aca="false">IFERROR(MIN(Eingaben!$B$18,MAX(0,G91-J91)),0)</f>
        <v>1.5932278</v>
      </c>
      <c r="L91" s="13" t="n">
        <f aca="false">I91+J91</f>
        <v>0.89</v>
      </c>
      <c r="M91" s="13" t="n">
        <f aca="false">MAX(0,E91-L91)</f>
        <v>0</v>
      </c>
      <c r="N91" s="13" t="n">
        <f aca="false">MAX(0,G91-J91-K91)</f>
        <v>0</v>
      </c>
      <c r="O91" s="13" t="n">
        <f aca="false">Q91-I91</f>
        <v>0.0150822</v>
      </c>
      <c r="P91" s="13" t="n">
        <f aca="false">G91+Q91-L91-N91-O91-K91</f>
        <v>0</v>
      </c>
      <c r="Q91" s="13" t="n">
        <f aca="false">IF(A91="",0,K90)</f>
        <v>0.75411</v>
      </c>
    </row>
    <row r="92" customFormat="false" ht="16.4" hidden="false" customHeight="false" outlineLevel="0" collapsed="false">
      <c r="A92" s="23" t="n">
        <f aca="false">Kalender!A92</f>
        <v>46110</v>
      </c>
      <c r="B92" s="13" t="n">
        <f aca="false">Kalender!C92</f>
        <v>0</v>
      </c>
      <c r="C92" s="13" t="n">
        <f aca="false">Kalender!D92</f>
        <v>1</v>
      </c>
      <c r="D92" s="13" t="n">
        <f aca="false">IF(Prüfungen!$B$4=0,(IFERROR(SUMIF(Nutzungsprofile!$B$6:$B$11,"Schulbetrieb",Nutzungsprofile!$G$6:$G$11)*Kalender!C92/SUM(Kalender!$C$5:$C$370),0)+IFERROR(SUMIF(Nutzungsprofile!$B$6:$B$11,"Halle",Nutzungsprofile!$G$6:$G$11)*Kalender!D92/SUM(Kalender!$D$5:$D$370),0)+IFERROR(SUMIF(Nutzungsprofile!$B$6:$B$11,"Individuell",Nutzungsprofile!$G$6:$G$11)*Kalender!E92/SUM(Kalender!$E$5:$E$370),0)),0)</f>
        <v>2.04</v>
      </c>
      <c r="E92" s="13" t="n">
        <f aca="false">IF(Prüfungen!$B$4=0,(IFERROR(SUMIF(Nutzungsprofile!$B$17:$B$22,"Schulbetrieb",Nutzungsprofile!$G$17:$G$22)*Kalender!C92/SUM(Kalender!$C$5:$C$370),0)+IFERROR(SUMIF(Nutzungsprofile!$B$17:$B$22,"Halle",Nutzungsprofile!$G$17:$G$22)*Kalender!D92/SUM(Kalender!$D$5:$D$370),0)+IFERROR(SUMIF(Nutzungsprofile!$B$17:$B$22,"Individuell",Nutzungsprofile!$G$17:$G$22)*Kalender!E92/SUM(Kalender!$E$5:$E$370),0)),0)</f>
        <v>0.89</v>
      </c>
      <c r="F92" s="13" t="n">
        <f aca="false">IFERROR(MIN(D92,Eingaben!$B$17)*Eingaben!$B$16,0)</f>
        <v>1.938</v>
      </c>
      <c r="G92" s="13" t="n">
        <f aca="false">IFERROR(F92*Eingaben!$B$15,0)</f>
        <v>1.7442</v>
      </c>
      <c r="H92" s="13" t="n">
        <f aca="false">IFERROR(Q92*(1-Eingaben!$B$20),0)</f>
        <v>1.561363244</v>
      </c>
      <c r="I92" s="13" t="n">
        <f aca="false">MIN(H92,E92)</f>
        <v>0.89</v>
      </c>
      <c r="J92" s="13" t="n">
        <f aca="false">IFERROR(MIN(G92*Eingaben!$B$19,MAX(0,E92-I92)),0)</f>
        <v>0</v>
      </c>
      <c r="K92" s="13" t="n">
        <f aca="false">IFERROR(MIN(Eingaben!$B$18,MAX(0,G92-J92)),0)</f>
        <v>1.7442</v>
      </c>
      <c r="L92" s="13" t="n">
        <f aca="false">I92+J92</f>
        <v>0.89</v>
      </c>
      <c r="M92" s="13" t="n">
        <f aca="false">MAX(0,E92-L92)</f>
        <v>0</v>
      </c>
      <c r="N92" s="13" t="n">
        <f aca="false">MAX(0,G92-J92-K92)</f>
        <v>0</v>
      </c>
      <c r="O92" s="13" t="n">
        <f aca="false">Q92-I92</f>
        <v>0.7032278</v>
      </c>
      <c r="P92" s="13" t="n">
        <f aca="false">G92+Q92-L92-N92-O92-K92</f>
        <v>0</v>
      </c>
      <c r="Q92" s="13" t="n">
        <f aca="false">IF(A92="",0,K91)</f>
        <v>1.5932278</v>
      </c>
    </row>
    <row r="93" customFormat="false" ht="16.4" hidden="false" customHeight="false" outlineLevel="0" collapsed="false">
      <c r="A93" s="23" t="n">
        <f aca="false">Kalender!A93</f>
        <v>46111</v>
      </c>
      <c r="B93" s="13" t="n">
        <f aca="false">Kalender!C93</f>
        <v>1</v>
      </c>
      <c r="C93" s="13" t="n">
        <f aca="false">Kalender!D93</f>
        <v>1</v>
      </c>
      <c r="D93" s="13" t="n">
        <f aca="false">IF(Prüfungen!$B$4=0,(IFERROR(SUMIF(Nutzungsprofile!$B$6:$B$11,"Schulbetrieb",Nutzungsprofile!$G$6:$G$11)*Kalender!C93/SUM(Kalender!$C$5:$C$370),0)+IFERROR(SUMIF(Nutzungsprofile!$B$6:$B$11,"Halle",Nutzungsprofile!$G$6:$G$11)*Kalender!D93/SUM(Kalender!$D$5:$D$370),0)+IFERROR(SUMIF(Nutzungsprofile!$B$6:$B$11,"Individuell",Nutzungsprofile!$G$6:$G$11)*Kalender!E93/SUM(Kalender!$E$5:$E$370),0)),0)</f>
        <v>2.94</v>
      </c>
      <c r="E93" s="13" t="n">
        <f aca="false">IF(Prüfungen!$B$4=0,(IFERROR(SUMIF(Nutzungsprofile!$B$17:$B$22,"Schulbetrieb",Nutzungsprofile!$G$17:$G$22)*Kalender!C93/SUM(Kalender!$C$5:$C$370),0)+IFERROR(SUMIF(Nutzungsprofile!$B$17:$B$22,"Halle",Nutzungsprofile!$G$17:$G$22)*Kalender!D93/SUM(Kalender!$D$5:$D$370),0)+IFERROR(SUMIF(Nutzungsprofile!$B$17:$B$22,"Individuell",Nutzungsprofile!$G$17:$G$22)*Kalender!E93/SUM(Kalender!$E$5:$E$370),0)),0)</f>
        <v>4.94</v>
      </c>
      <c r="F93" s="13" t="n">
        <f aca="false">IFERROR(MIN(D93,Eingaben!$B$17)*Eingaben!$B$16,0)</f>
        <v>2.793</v>
      </c>
      <c r="G93" s="13" t="n">
        <f aca="false">IFERROR(F93*Eingaben!$B$15,0)</f>
        <v>2.5137</v>
      </c>
      <c r="H93" s="13" t="n">
        <f aca="false">IFERROR(Q93*(1-Eingaben!$B$20),0)</f>
        <v>1.709316</v>
      </c>
      <c r="I93" s="13" t="n">
        <f aca="false">MIN(H93,E93)</f>
        <v>1.709316</v>
      </c>
      <c r="J93" s="13" t="n">
        <f aca="false">IFERROR(MIN(G93*Eingaben!$B$19,MAX(0,E93-I93)),0)</f>
        <v>1.75959</v>
      </c>
      <c r="K93" s="13" t="n">
        <f aca="false">IFERROR(MIN(Eingaben!$B$18,MAX(0,G93-J93)),0)</f>
        <v>0.75411</v>
      </c>
      <c r="L93" s="13" t="n">
        <f aca="false">I93+J93</f>
        <v>3.468906</v>
      </c>
      <c r="M93" s="13" t="n">
        <f aca="false">MAX(0,E93-L93)</f>
        <v>1.471094</v>
      </c>
      <c r="N93" s="13" t="n">
        <f aca="false">MAX(0,G93-J93-K93)</f>
        <v>0</v>
      </c>
      <c r="O93" s="13" t="n">
        <f aca="false">Q93-I93</f>
        <v>0.0348840000000001</v>
      </c>
      <c r="P93" s="13" t="n">
        <f aca="false">G93+Q93-L93-N93-O93-K93</f>
        <v>0</v>
      </c>
      <c r="Q93" s="13" t="n">
        <f aca="false">IF(A93="",0,K92)</f>
        <v>1.7442</v>
      </c>
    </row>
    <row r="94" customFormat="false" ht="16.4" hidden="false" customHeight="false" outlineLevel="0" collapsed="false">
      <c r="A94" s="23" t="n">
        <f aca="false">Kalender!A94</f>
        <v>46112</v>
      </c>
      <c r="B94" s="13" t="n">
        <f aca="false">Kalender!C94</f>
        <v>1</v>
      </c>
      <c r="C94" s="13" t="n">
        <f aca="false">Kalender!D94</f>
        <v>1</v>
      </c>
      <c r="D94" s="13" t="n">
        <f aca="false">IF(Prüfungen!$B$4=0,(IFERROR(SUMIF(Nutzungsprofile!$B$6:$B$11,"Schulbetrieb",Nutzungsprofile!$G$6:$G$11)*Kalender!C94/SUM(Kalender!$C$5:$C$370),0)+IFERROR(SUMIF(Nutzungsprofile!$B$6:$B$11,"Halle",Nutzungsprofile!$G$6:$G$11)*Kalender!D94/SUM(Kalender!$D$5:$D$370),0)+IFERROR(SUMIF(Nutzungsprofile!$B$6:$B$11,"Individuell",Nutzungsprofile!$G$6:$G$11)*Kalender!E94/SUM(Kalender!$E$5:$E$370),0)),0)</f>
        <v>2.94</v>
      </c>
      <c r="E94" s="13" t="n">
        <f aca="false">IF(Prüfungen!$B$4=0,(IFERROR(SUMIF(Nutzungsprofile!$B$17:$B$22,"Schulbetrieb",Nutzungsprofile!$G$17:$G$22)*Kalender!C94/SUM(Kalender!$C$5:$C$370),0)+IFERROR(SUMIF(Nutzungsprofile!$B$17:$B$22,"Halle",Nutzungsprofile!$G$17:$G$22)*Kalender!D94/SUM(Kalender!$D$5:$D$370),0)+IFERROR(SUMIF(Nutzungsprofile!$B$17:$B$22,"Individuell",Nutzungsprofile!$G$17:$G$22)*Kalender!E94/SUM(Kalender!$E$5:$E$370),0)),0)</f>
        <v>4.94</v>
      </c>
      <c r="F94" s="13" t="n">
        <f aca="false">IFERROR(MIN(D94,Eingaben!$B$17)*Eingaben!$B$16,0)</f>
        <v>2.793</v>
      </c>
      <c r="G94" s="13" t="n">
        <f aca="false">IFERROR(F94*Eingaben!$B$15,0)</f>
        <v>2.5137</v>
      </c>
      <c r="H94" s="13" t="n">
        <f aca="false">IFERROR(Q94*(1-Eingaben!$B$20),0)</f>
        <v>0.7390278</v>
      </c>
      <c r="I94" s="13" t="n">
        <f aca="false">MIN(H94,E94)</f>
        <v>0.7390278</v>
      </c>
      <c r="J94" s="13" t="n">
        <f aca="false">IFERROR(MIN(G94*Eingaben!$B$19,MAX(0,E94-I94)),0)</f>
        <v>1.75959</v>
      </c>
      <c r="K94" s="13" t="n">
        <f aca="false">IFERROR(MIN(Eingaben!$B$18,MAX(0,G94-J94)),0)</f>
        <v>0.75411</v>
      </c>
      <c r="L94" s="13" t="n">
        <f aca="false">I94+J94</f>
        <v>2.4986178</v>
      </c>
      <c r="M94" s="13" t="n">
        <f aca="false">MAX(0,E94-L94)</f>
        <v>2.4413822</v>
      </c>
      <c r="N94" s="13" t="n">
        <f aca="false">MAX(0,G94-J94-K94)</f>
        <v>0</v>
      </c>
      <c r="O94" s="13" t="n">
        <f aca="false">Q94-I94</f>
        <v>0.0150822</v>
      </c>
      <c r="P94" s="13" t="n">
        <f aca="false">G94+Q94-L94-N94-O94-K94</f>
        <v>0</v>
      </c>
      <c r="Q94" s="13" t="n">
        <f aca="false">IF(A94="",0,K93)</f>
        <v>0.75411</v>
      </c>
    </row>
    <row r="95" customFormat="false" ht="16.4" hidden="false" customHeight="false" outlineLevel="0" collapsed="false">
      <c r="A95" s="23" t="n">
        <f aca="false">Kalender!A95</f>
        <v>46113</v>
      </c>
      <c r="B95" s="13" t="n">
        <f aca="false">Kalender!C95</f>
        <v>1</v>
      </c>
      <c r="C95" s="13" t="n">
        <f aca="false">Kalender!D95</f>
        <v>1</v>
      </c>
      <c r="D95" s="13" t="n">
        <f aca="false">IF(Prüfungen!$B$4=0,(IFERROR(SUMIF(Nutzungsprofile!$B$6:$B$11,"Schulbetrieb",Nutzungsprofile!$G$6:$G$11)*Kalender!C95/SUM(Kalender!$C$5:$C$370),0)+IFERROR(SUMIF(Nutzungsprofile!$B$6:$B$11,"Halle",Nutzungsprofile!$G$6:$G$11)*Kalender!D95/SUM(Kalender!$D$5:$D$370),0)+IFERROR(SUMIF(Nutzungsprofile!$B$6:$B$11,"Individuell",Nutzungsprofile!$G$6:$G$11)*Kalender!E95/SUM(Kalender!$E$5:$E$370),0)),0)</f>
        <v>2.94</v>
      </c>
      <c r="E95" s="13" t="n">
        <f aca="false">IF(Prüfungen!$B$4=0,(IFERROR(SUMIF(Nutzungsprofile!$B$17:$B$22,"Schulbetrieb",Nutzungsprofile!$G$17:$G$22)*Kalender!C95/SUM(Kalender!$C$5:$C$370),0)+IFERROR(SUMIF(Nutzungsprofile!$B$17:$B$22,"Halle",Nutzungsprofile!$G$17:$G$22)*Kalender!D95/SUM(Kalender!$D$5:$D$370),0)+IFERROR(SUMIF(Nutzungsprofile!$B$17:$B$22,"Individuell",Nutzungsprofile!$G$17:$G$22)*Kalender!E95/SUM(Kalender!$E$5:$E$370),0)),0)</f>
        <v>4.94</v>
      </c>
      <c r="F95" s="13" t="n">
        <f aca="false">IFERROR(MIN(D95,Eingaben!$B$17)*Eingaben!$B$16,0)</f>
        <v>2.793</v>
      </c>
      <c r="G95" s="13" t="n">
        <f aca="false">IFERROR(F95*Eingaben!$B$15,0)</f>
        <v>2.5137</v>
      </c>
      <c r="H95" s="13" t="n">
        <f aca="false">IFERROR(Q95*(1-Eingaben!$B$20),0)</f>
        <v>0.7390278</v>
      </c>
      <c r="I95" s="13" t="n">
        <f aca="false">MIN(H95,E95)</f>
        <v>0.7390278</v>
      </c>
      <c r="J95" s="13" t="n">
        <f aca="false">IFERROR(MIN(G95*Eingaben!$B$19,MAX(0,E95-I95)),0)</f>
        <v>1.75959</v>
      </c>
      <c r="K95" s="13" t="n">
        <f aca="false">IFERROR(MIN(Eingaben!$B$18,MAX(0,G95-J95)),0)</f>
        <v>0.75411</v>
      </c>
      <c r="L95" s="13" t="n">
        <f aca="false">I95+J95</f>
        <v>2.4986178</v>
      </c>
      <c r="M95" s="13" t="n">
        <f aca="false">MAX(0,E95-L95)</f>
        <v>2.4413822</v>
      </c>
      <c r="N95" s="13" t="n">
        <f aca="false">MAX(0,G95-J95-K95)</f>
        <v>0</v>
      </c>
      <c r="O95" s="13" t="n">
        <f aca="false">Q95-I95</f>
        <v>0.0150822</v>
      </c>
      <c r="P95" s="13" t="n">
        <f aca="false">G95+Q95-L95-N95-O95-K95</f>
        <v>0</v>
      </c>
      <c r="Q95" s="13" t="n">
        <f aca="false">IF(A95="",0,K94)</f>
        <v>0.75411</v>
      </c>
    </row>
    <row r="96" customFormat="false" ht="16.4" hidden="false" customHeight="false" outlineLevel="0" collapsed="false">
      <c r="A96" s="23" t="n">
        <f aca="false">Kalender!A96</f>
        <v>46114</v>
      </c>
      <c r="B96" s="13" t="n">
        <f aca="false">Kalender!C96</f>
        <v>1</v>
      </c>
      <c r="C96" s="13" t="n">
        <f aca="false">Kalender!D96</f>
        <v>1</v>
      </c>
      <c r="D96" s="13" t="n">
        <f aca="false">IF(Prüfungen!$B$4=0,(IFERROR(SUMIF(Nutzungsprofile!$B$6:$B$11,"Schulbetrieb",Nutzungsprofile!$G$6:$G$11)*Kalender!C96/SUM(Kalender!$C$5:$C$370),0)+IFERROR(SUMIF(Nutzungsprofile!$B$6:$B$11,"Halle",Nutzungsprofile!$G$6:$G$11)*Kalender!D96/SUM(Kalender!$D$5:$D$370),0)+IFERROR(SUMIF(Nutzungsprofile!$B$6:$B$11,"Individuell",Nutzungsprofile!$G$6:$G$11)*Kalender!E96/SUM(Kalender!$E$5:$E$370),0)),0)</f>
        <v>2.94</v>
      </c>
      <c r="E96" s="13" t="n">
        <f aca="false">IF(Prüfungen!$B$4=0,(IFERROR(SUMIF(Nutzungsprofile!$B$17:$B$22,"Schulbetrieb",Nutzungsprofile!$G$17:$G$22)*Kalender!C96/SUM(Kalender!$C$5:$C$370),0)+IFERROR(SUMIF(Nutzungsprofile!$B$17:$B$22,"Halle",Nutzungsprofile!$G$17:$G$22)*Kalender!D96/SUM(Kalender!$D$5:$D$370),0)+IFERROR(SUMIF(Nutzungsprofile!$B$17:$B$22,"Individuell",Nutzungsprofile!$G$17:$G$22)*Kalender!E96/SUM(Kalender!$E$5:$E$370),0)),0)</f>
        <v>4.94</v>
      </c>
      <c r="F96" s="13" t="n">
        <f aca="false">IFERROR(MIN(D96,Eingaben!$B$17)*Eingaben!$B$16,0)</f>
        <v>2.793</v>
      </c>
      <c r="G96" s="13" t="n">
        <f aca="false">IFERROR(F96*Eingaben!$B$15,0)</f>
        <v>2.5137</v>
      </c>
      <c r="H96" s="13" t="n">
        <f aca="false">IFERROR(Q96*(1-Eingaben!$B$20),0)</f>
        <v>0.7390278</v>
      </c>
      <c r="I96" s="13" t="n">
        <f aca="false">MIN(H96,E96)</f>
        <v>0.7390278</v>
      </c>
      <c r="J96" s="13" t="n">
        <f aca="false">IFERROR(MIN(G96*Eingaben!$B$19,MAX(0,E96-I96)),0)</f>
        <v>1.75959</v>
      </c>
      <c r="K96" s="13" t="n">
        <f aca="false">IFERROR(MIN(Eingaben!$B$18,MAX(0,G96-J96)),0)</f>
        <v>0.75411</v>
      </c>
      <c r="L96" s="13" t="n">
        <f aca="false">I96+J96</f>
        <v>2.4986178</v>
      </c>
      <c r="M96" s="13" t="n">
        <f aca="false">MAX(0,E96-L96)</f>
        <v>2.4413822</v>
      </c>
      <c r="N96" s="13" t="n">
        <f aca="false">MAX(0,G96-J96-K96)</f>
        <v>0</v>
      </c>
      <c r="O96" s="13" t="n">
        <f aca="false">Q96-I96</f>
        <v>0.0150822</v>
      </c>
      <c r="P96" s="13" t="n">
        <f aca="false">G96+Q96-L96-N96-O96-K96</f>
        <v>0</v>
      </c>
      <c r="Q96" s="13" t="n">
        <f aca="false">IF(A96="",0,K95)</f>
        <v>0.75411</v>
      </c>
    </row>
    <row r="97" customFormat="false" ht="16.4" hidden="false" customHeight="false" outlineLevel="0" collapsed="false">
      <c r="A97" s="23" t="n">
        <f aca="false">Kalender!A97</f>
        <v>46115</v>
      </c>
      <c r="B97" s="13" t="n">
        <f aca="false">Kalender!C97</f>
        <v>1</v>
      </c>
      <c r="C97" s="13" t="n">
        <f aca="false">Kalender!D97</f>
        <v>1</v>
      </c>
      <c r="D97" s="13" t="n">
        <f aca="false">IF(Prüfungen!$B$4=0,(IFERROR(SUMIF(Nutzungsprofile!$B$6:$B$11,"Schulbetrieb",Nutzungsprofile!$G$6:$G$11)*Kalender!C97/SUM(Kalender!$C$5:$C$370),0)+IFERROR(SUMIF(Nutzungsprofile!$B$6:$B$11,"Halle",Nutzungsprofile!$G$6:$G$11)*Kalender!D97/SUM(Kalender!$D$5:$D$370),0)+IFERROR(SUMIF(Nutzungsprofile!$B$6:$B$11,"Individuell",Nutzungsprofile!$G$6:$G$11)*Kalender!E97/SUM(Kalender!$E$5:$E$370),0)),0)</f>
        <v>2.94</v>
      </c>
      <c r="E97" s="13" t="n">
        <f aca="false">IF(Prüfungen!$B$4=0,(IFERROR(SUMIF(Nutzungsprofile!$B$17:$B$22,"Schulbetrieb",Nutzungsprofile!$G$17:$G$22)*Kalender!C97/SUM(Kalender!$C$5:$C$370),0)+IFERROR(SUMIF(Nutzungsprofile!$B$17:$B$22,"Halle",Nutzungsprofile!$G$17:$G$22)*Kalender!D97/SUM(Kalender!$D$5:$D$370),0)+IFERROR(SUMIF(Nutzungsprofile!$B$17:$B$22,"Individuell",Nutzungsprofile!$G$17:$G$22)*Kalender!E97/SUM(Kalender!$E$5:$E$370),0)),0)</f>
        <v>4.94</v>
      </c>
      <c r="F97" s="13" t="n">
        <f aca="false">IFERROR(MIN(D97,Eingaben!$B$17)*Eingaben!$B$16,0)</f>
        <v>2.793</v>
      </c>
      <c r="G97" s="13" t="n">
        <f aca="false">IFERROR(F97*Eingaben!$B$15,0)</f>
        <v>2.5137</v>
      </c>
      <c r="H97" s="13" t="n">
        <f aca="false">IFERROR(Q97*(1-Eingaben!$B$20),0)</f>
        <v>0.7390278</v>
      </c>
      <c r="I97" s="13" t="n">
        <f aca="false">MIN(H97,E97)</f>
        <v>0.7390278</v>
      </c>
      <c r="J97" s="13" t="n">
        <f aca="false">IFERROR(MIN(G97*Eingaben!$B$19,MAX(0,E97-I97)),0)</f>
        <v>1.75959</v>
      </c>
      <c r="K97" s="13" t="n">
        <f aca="false">IFERROR(MIN(Eingaben!$B$18,MAX(0,G97-J97)),0)</f>
        <v>0.75411</v>
      </c>
      <c r="L97" s="13" t="n">
        <f aca="false">I97+J97</f>
        <v>2.4986178</v>
      </c>
      <c r="M97" s="13" t="n">
        <f aca="false">MAX(0,E97-L97)</f>
        <v>2.4413822</v>
      </c>
      <c r="N97" s="13" t="n">
        <f aca="false">MAX(0,G97-J97-K97)</f>
        <v>0</v>
      </c>
      <c r="O97" s="13" t="n">
        <f aca="false">Q97-I97</f>
        <v>0.0150822</v>
      </c>
      <c r="P97" s="13" t="n">
        <f aca="false">G97+Q97-L97-N97-O97-K97</f>
        <v>0</v>
      </c>
      <c r="Q97" s="13" t="n">
        <f aca="false">IF(A97="",0,K96)</f>
        <v>0.75411</v>
      </c>
    </row>
    <row r="98" customFormat="false" ht="16.4" hidden="false" customHeight="false" outlineLevel="0" collapsed="false">
      <c r="A98" s="23" t="n">
        <f aca="false">Kalender!A98</f>
        <v>46116</v>
      </c>
      <c r="B98" s="13" t="n">
        <f aca="false">Kalender!C98</f>
        <v>0</v>
      </c>
      <c r="C98" s="13" t="n">
        <f aca="false">Kalender!D98</f>
        <v>1</v>
      </c>
      <c r="D98" s="13" t="n">
        <f aca="false">IF(Prüfungen!$B$4=0,(IFERROR(SUMIF(Nutzungsprofile!$B$6:$B$11,"Schulbetrieb",Nutzungsprofile!$G$6:$G$11)*Kalender!C98/SUM(Kalender!$C$5:$C$370),0)+IFERROR(SUMIF(Nutzungsprofile!$B$6:$B$11,"Halle",Nutzungsprofile!$G$6:$G$11)*Kalender!D98/SUM(Kalender!$D$5:$D$370),0)+IFERROR(SUMIF(Nutzungsprofile!$B$6:$B$11,"Individuell",Nutzungsprofile!$G$6:$G$11)*Kalender!E98/SUM(Kalender!$E$5:$E$370),0)),0)</f>
        <v>2.04</v>
      </c>
      <c r="E98" s="13" t="n">
        <f aca="false">IF(Prüfungen!$B$4=0,(IFERROR(SUMIF(Nutzungsprofile!$B$17:$B$22,"Schulbetrieb",Nutzungsprofile!$G$17:$G$22)*Kalender!C98/SUM(Kalender!$C$5:$C$370),0)+IFERROR(SUMIF(Nutzungsprofile!$B$17:$B$22,"Halle",Nutzungsprofile!$G$17:$G$22)*Kalender!D98/SUM(Kalender!$D$5:$D$370),0)+IFERROR(SUMIF(Nutzungsprofile!$B$17:$B$22,"Individuell",Nutzungsprofile!$G$17:$G$22)*Kalender!E98/SUM(Kalender!$E$5:$E$370),0)),0)</f>
        <v>0.89</v>
      </c>
      <c r="F98" s="13" t="n">
        <f aca="false">IFERROR(MIN(D98,Eingaben!$B$17)*Eingaben!$B$16,0)</f>
        <v>1.938</v>
      </c>
      <c r="G98" s="13" t="n">
        <f aca="false">IFERROR(F98*Eingaben!$B$15,0)</f>
        <v>1.7442</v>
      </c>
      <c r="H98" s="13" t="n">
        <f aca="false">IFERROR(Q98*(1-Eingaben!$B$20),0)</f>
        <v>0.7390278</v>
      </c>
      <c r="I98" s="13" t="n">
        <f aca="false">MIN(H98,E98)</f>
        <v>0.7390278</v>
      </c>
      <c r="J98" s="13" t="n">
        <f aca="false">IFERROR(MIN(G98*Eingaben!$B$19,MAX(0,E98-I98)),0)</f>
        <v>0.1509722</v>
      </c>
      <c r="K98" s="13" t="n">
        <f aca="false">IFERROR(MIN(Eingaben!$B$18,MAX(0,G98-J98)),0)</f>
        <v>1.5932278</v>
      </c>
      <c r="L98" s="13" t="n">
        <f aca="false">I98+J98</f>
        <v>0.89</v>
      </c>
      <c r="M98" s="13" t="n">
        <f aca="false">MAX(0,E98-L98)</f>
        <v>0</v>
      </c>
      <c r="N98" s="13" t="n">
        <f aca="false">MAX(0,G98-J98-K98)</f>
        <v>0</v>
      </c>
      <c r="O98" s="13" t="n">
        <f aca="false">Q98-I98</f>
        <v>0.0150822</v>
      </c>
      <c r="P98" s="13" t="n">
        <f aca="false">G98+Q98-L98-N98-O98-K98</f>
        <v>0</v>
      </c>
      <c r="Q98" s="13" t="n">
        <f aca="false">IF(A98="",0,K97)</f>
        <v>0.75411</v>
      </c>
    </row>
    <row r="99" customFormat="false" ht="16.4" hidden="false" customHeight="false" outlineLevel="0" collapsed="false">
      <c r="A99" s="23" t="n">
        <f aca="false">Kalender!A99</f>
        <v>46117</v>
      </c>
      <c r="B99" s="13" t="n">
        <f aca="false">Kalender!C99</f>
        <v>0</v>
      </c>
      <c r="C99" s="13" t="n">
        <f aca="false">Kalender!D99</f>
        <v>1</v>
      </c>
      <c r="D99" s="13" t="n">
        <f aca="false">IF(Prüfungen!$B$4=0,(IFERROR(SUMIF(Nutzungsprofile!$B$6:$B$11,"Schulbetrieb",Nutzungsprofile!$G$6:$G$11)*Kalender!C99/SUM(Kalender!$C$5:$C$370),0)+IFERROR(SUMIF(Nutzungsprofile!$B$6:$B$11,"Halle",Nutzungsprofile!$G$6:$G$11)*Kalender!D99/SUM(Kalender!$D$5:$D$370),0)+IFERROR(SUMIF(Nutzungsprofile!$B$6:$B$11,"Individuell",Nutzungsprofile!$G$6:$G$11)*Kalender!E99/SUM(Kalender!$E$5:$E$370),0)),0)</f>
        <v>2.04</v>
      </c>
      <c r="E99" s="13" t="n">
        <f aca="false">IF(Prüfungen!$B$4=0,(IFERROR(SUMIF(Nutzungsprofile!$B$17:$B$22,"Schulbetrieb",Nutzungsprofile!$G$17:$G$22)*Kalender!C99/SUM(Kalender!$C$5:$C$370),0)+IFERROR(SUMIF(Nutzungsprofile!$B$17:$B$22,"Halle",Nutzungsprofile!$G$17:$G$22)*Kalender!D99/SUM(Kalender!$D$5:$D$370),0)+IFERROR(SUMIF(Nutzungsprofile!$B$17:$B$22,"Individuell",Nutzungsprofile!$G$17:$G$22)*Kalender!E99/SUM(Kalender!$E$5:$E$370),0)),0)</f>
        <v>0.89</v>
      </c>
      <c r="F99" s="13" t="n">
        <f aca="false">IFERROR(MIN(D99,Eingaben!$B$17)*Eingaben!$B$16,0)</f>
        <v>1.938</v>
      </c>
      <c r="G99" s="13" t="n">
        <f aca="false">IFERROR(F99*Eingaben!$B$15,0)</f>
        <v>1.7442</v>
      </c>
      <c r="H99" s="13" t="n">
        <f aca="false">IFERROR(Q99*(1-Eingaben!$B$20),0)</f>
        <v>1.561363244</v>
      </c>
      <c r="I99" s="13" t="n">
        <f aca="false">MIN(H99,E99)</f>
        <v>0.89</v>
      </c>
      <c r="J99" s="13" t="n">
        <f aca="false">IFERROR(MIN(G99*Eingaben!$B$19,MAX(0,E99-I99)),0)</f>
        <v>0</v>
      </c>
      <c r="K99" s="13" t="n">
        <f aca="false">IFERROR(MIN(Eingaben!$B$18,MAX(0,G99-J99)),0)</f>
        <v>1.7442</v>
      </c>
      <c r="L99" s="13" t="n">
        <f aca="false">I99+J99</f>
        <v>0.89</v>
      </c>
      <c r="M99" s="13" t="n">
        <f aca="false">MAX(0,E99-L99)</f>
        <v>0</v>
      </c>
      <c r="N99" s="13" t="n">
        <f aca="false">MAX(0,G99-J99-K99)</f>
        <v>0</v>
      </c>
      <c r="O99" s="13" t="n">
        <f aca="false">Q99-I99</f>
        <v>0.7032278</v>
      </c>
      <c r="P99" s="13" t="n">
        <f aca="false">G99+Q99-L99-N99-O99-K99</f>
        <v>0</v>
      </c>
      <c r="Q99" s="13" t="n">
        <f aca="false">IF(A99="",0,K98)</f>
        <v>1.5932278</v>
      </c>
    </row>
    <row r="100" customFormat="false" ht="16.4" hidden="false" customHeight="false" outlineLevel="0" collapsed="false">
      <c r="A100" s="23" t="n">
        <f aca="false">Kalender!A100</f>
        <v>46118</v>
      </c>
      <c r="B100" s="13" t="n">
        <f aca="false">Kalender!C100</f>
        <v>1</v>
      </c>
      <c r="C100" s="13" t="n">
        <f aca="false">Kalender!D100</f>
        <v>1</v>
      </c>
      <c r="D100" s="13" t="n">
        <f aca="false">IF(Prüfungen!$B$4=0,(IFERROR(SUMIF(Nutzungsprofile!$B$6:$B$11,"Schulbetrieb",Nutzungsprofile!$G$6:$G$11)*Kalender!C100/SUM(Kalender!$C$5:$C$370),0)+IFERROR(SUMIF(Nutzungsprofile!$B$6:$B$11,"Halle",Nutzungsprofile!$G$6:$G$11)*Kalender!D100/SUM(Kalender!$D$5:$D$370),0)+IFERROR(SUMIF(Nutzungsprofile!$B$6:$B$11,"Individuell",Nutzungsprofile!$G$6:$G$11)*Kalender!E100/SUM(Kalender!$E$5:$E$370),0)),0)</f>
        <v>2.94</v>
      </c>
      <c r="E100" s="13" t="n">
        <f aca="false">IF(Prüfungen!$B$4=0,(IFERROR(SUMIF(Nutzungsprofile!$B$17:$B$22,"Schulbetrieb",Nutzungsprofile!$G$17:$G$22)*Kalender!C100/SUM(Kalender!$C$5:$C$370),0)+IFERROR(SUMIF(Nutzungsprofile!$B$17:$B$22,"Halle",Nutzungsprofile!$G$17:$G$22)*Kalender!D100/SUM(Kalender!$D$5:$D$370),0)+IFERROR(SUMIF(Nutzungsprofile!$B$17:$B$22,"Individuell",Nutzungsprofile!$G$17:$G$22)*Kalender!E100/SUM(Kalender!$E$5:$E$370),0)),0)</f>
        <v>4.94</v>
      </c>
      <c r="F100" s="13" t="n">
        <f aca="false">IFERROR(MIN(D100,Eingaben!$B$17)*Eingaben!$B$16,0)</f>
        <v>2.793</v>
      </c>
      <c r="G100" s="13" t="n">
        <f aca="false">IFERROR(F100*Eingaben!$B$15,0)</f>
        <v>2.5137</v>
      </c>
      <c r="H100" s="13" t="n">
        <f aca="false">IFERROR(Q100*(1-Eingaben!$B$20),0)</f>
        <v>1.709316</v>
      </c>
      <c r="I100" s="13" t="n">
        <f aca="false">MIN(H100,E100)</f>
        <v>1.709316</v>
      </c>
      <c r="J100" s="13" t="n">
        <f aca="false">IFERROR(MIN(G100*Eingaben!$B$19,MAX(0,E100-I100)),0)</f>
        <v>1.75959</v>
      </c>
      <c r="K100" s="13" t="n">
        <f aca="false">IFERROR(MIN(Eingaben!$B$18,MAX(0,G100-J100)),0)</f>
        <v>0.75411</v>
      </c>
      <c r="L100" s="13" t="n">
        <f aca="false">I100+J100</f>
        <v>3.468906</v>
      </c>
      <c r="M100" s="13" t="n">
        <f aca="false">MAX(0,E100-L100)</f>
        <v>1.471094</v>
      </c>
      <c r="N100" s="13" t="n">
        <f aca="false">MAX(0,G100-J100-K100)</f>
        <v>0</v>
      </c>
      <c r="O100" s="13" t="n">
        <f aca="false">Q100-I100</f>
        <v>0.0348840000000001</v>
      </c>
      <c r="P100" s="13" t="n">
        <f aca="false">G100+Q100-L100-N100-O100-K100</f>
        <v>0</v>
      </c>
      <c r="Q100" s="13" t="n">
        <f aca="false">IF(A100="",0,K99)</f>
        <v>1.7442</v>
      </c>
    </row>
    <row r="101" customFormat="false" ht="16.4" hidden="false" customHeight="false" outlineLevel="0" collapsed="false">
      <c r="A101" s="23" t="n">
        <f aca="false">Kalender!A101</f>
        <v>46119</v>
      </c>
      <c r="B101" s="13" t="n">
        <f aca="false">Kalender!C101</f>
        <v>1</v>
      </c>
      <c r="C101" s="13" t="n">
        <f aca="false">Kalender!D101</f>
        <v>1</v>
      </c>
      <c r="D101" s="13" t="n">
        <f aca="false">IF(Prüfungen!$B$4=0,(IFERROR(SUMIF(Nutzungsprofile!$B$6:$B$11,"Schulbetrieb",Nutzungsprofile!$G$6:$G$11)*Kalender!C101/SUM(Kalender!$C$5:$C$370),0)+IFERROR(SUMIF(Nutzungsprofile!$B$6:$B$11,"Halle",Nutzungsprofile!$G$6:$G$11)*Kalender!D101/SUM(Kalender!$D$5:$D$370),0)+IFERROR(SUMIF(Nutzungsprofile!$B$6:$B$11,"Individuell",Nutzungsprofile!$G$6:$G$11)*Kalender!E101/SUM(Kalender!$E$5:$E$370),0)),0)</f>
        <v>2.94</v>
      </c>
      <c r="E101" s="13" t="n">
        <f aca="false">IF(Prüfungen!$B$4=0,(IFERROR(SUMIF(Nutzungsprofile!$B$17:$B$22,"Schulbetrieb",Nutzungsprofile!$G$17:$G$22)*Kalender!C101/SUM(Kalender!$C$5:$C$370),0)+IFERROR(SUMIF(Nutzungsprofile!$B$17:$B$22,"Halle",Nutzungsprofile!$G$17:$G$22)*Kalender!D101/SUM(Kalender!$D$5:$D$370),0)+IFERROR(SUMIF(Nutzungsprofile!$B$17:$B$22,"Individuell",Nutzungsprofile!$G$17:$G$22)*Kalender!E101/SUM(Kalender!$E$5:$E$370),0)),0)</f>
        <v>4.94</v>
      </c>
      <c r="F101" s="13" t="n">
        <f aca="false">IFERROR(MIN(D101,Eingaben!$B$17)*Eingaben!$B$16,0)</f>
        <v>2.793</v>
      </c>
      <c r="G101" s="13" t="n">
        <f aca="false">IFERROR(F101*Eingaben!$B$15,0)</f>
        <v>2.5137</v>
      </c>
      <c r="H101" s="13" t="n">
        <f aca="false">IFERROR(Q101*(1-Eingaben!$B$20),0)</f>
        <v>0.7390278</v>
      </c>
      <c r="I101" s="13" t="n">
        <f aca="false">MIN(H101,E101)</f>
        <v>0.7390278</v>
      </c>
      <c r="J101" s="13" t="n">
        <f aca="false">IFERROR(MIN(G101*Eingaben!$B$19,MAX(0,E101-I101)),0)</f>
        <v>1.75959</v>
      </c>
      <c r="K101" s="13" t="n">
        <f aca="false">IFERROR(MIN(Eingaben!$B$18,MAX(0,G101-J101)),0)</f>
        <v>0.75411</v>
      </c>
      <c r="L101" s="13" t="n">
        <f aca="false">I101+J101</f>
        <v>2.4986178</v>
      </c>
      <c r="M101" s="13" t="n">
        <f aca="false">MAX(0,E101-L101)</f>
        <v>2.4413822</v>
      </c>
      <c r="N101" s="13" t="n">
        <f aca="false">MAX(0,G101-J101-K101)</f>
        <v>0</v>
      </c>
      <c r="O101" s="13" t="n">
        <f aca="false">Q101-I101</f>
        <v>0.0150822</v>
      </c>
      <c r="P101" s="13" t="n">
        <f aca="false">G101+Q101-L101-N101-O101-K101</f>
        <v>0</v>
      </c>
      <c r="Q101" s="13" t="n">
        <f aca="false">IF(A101="",0,K100)</f>
        <v>0.75411</v>
      </c>
    </row>
    <row r="102" customFormat="false" ht="16.4" hidden="false" customHeight="false" outlineLevel="0" collapsed="false">
      <c r="A102" s="23" t="n">
        <f aca="false">Kalender!A102</f>
        <v>46120</v>
      </c>
      <c r="B102" s="13" t="n">
        <f aca="false">Kalender!C102</f>
        <v>1</v>
      </c>
      <c r="C102" s="13" t="n">
        <f aca="false">Kalender!D102</f>
        <v>1</v>
      </c>
      <c r="D102" s="13" t="n">
        <f aca="false">IF(Prüfungen!$B$4=0,(IFERROR(SUMIF(Nutzungsprofile!$B$6:$B$11,"Schulbetrieb",Nutzungsprofile!$G$6:$G$11)*Kalender!C102/SUM(Kalender!$C$5:$C$370),0)+IFERROR(SUMIF(Nutzungsprofile!$B$6:$B$11,"Halle",Nutzungsprofile!$G$6:$G$11)*Kalender!D102/SUM(Kalender!$D$5:$D$370),0)+IFERROR(SUMIF(Nutzungsprofile!$B$6:$B$11,"Individuell",Nutzungsprofile!$G$6:$G$11)*Kalender!E102/SUM(Kalender!$E$5:$E$370),0)),0)</f>
        <v>2.94</v>
      </c>
      <c r="E102" s="13" t="n">
        <f aca="false">IF(Prüfungen!$B$4=0,(IFERROR(SUMIF(Nutzungsprofile!$B$17:$B$22,"Schulbetrieb",Nutzungsprofile!$G$17:$G$22)*Kalender!C102/SUM(Kalender!$C$5:$C$370),0)+IFERROR(SUMIF(Nutzungsprofile!$B$17:$B$22,"Halle",Nutzungsprofile!$G$17:$G$22)*Kalender!D102/SUM(Kalender!$D$5:$D$370),0)+IFERROR(SUMIF(Nutzungsprofile!$B$17:$B$22,"Individuell",Nutzungsprofile!$G$17:$G$22)*Kalender!E102/SUM(Kalender!$E$5:$E$370),0)),0)</f>
        <v>4.94</v>
      </c>
      <c r="F102" s="13" t="n">
        <f aca="false">IFERROR(MIN(D102,Eingaben!$B$17)*Eingaben!$B$16,0)</f>
        <v>2.793</v>
      </c>
      <c r="G102" s="13" t="n">
        <f aca="false">IFERROR(F102*Eingaben!$B$15,0)</f>
        <v>2.5137</v>
      </c>
      <c r="H102" s="13" t="n">
        <f aca="false">IFERROR(Q102*(1-Eingaben!$B$20),0)</f>
        <v>0.7390278</v>
      </c>
      <c r="I102" s="13" t="n">
        <f aca="false">MIN(H102,E102)</f>
        <v>0.7390278</v>
      </c>
      <c r="J102" s="13" t="n">
        <f aca="false">IFERROR(MIN(G102*Eingaben!$B$19,MAX(0,E102-I102)),0)</f>
        <v>1.75959</v>
      </c>
      <c r="K102" s="13" t="n">
        <f aca="false">IFERROR(MIN(Eingaben!$B$18,MAX(0,G102-J102)),0)</f>
        <v>0.75411</v>
      </c>
      <c r="L102" s="13" t="n">
        <f aca="false">I102+J102</f>
        <v>2.4986178</v>
      </c>
      <c r="M102" s="13" t="n">
        <f aca="false">MAX(0,E102-L102)</f>
        <v>2.4413822</v>
      </c>
      <c r="N102" s="13" t="n">
        <f aca="false">MAX(0,G102-J102-K102)</f>
        <v>0</v>
      </c>
      <c r="O102" s="13" t="n">
        <f aca="false">Q102-I102</f>
        <v>0.0150822</v>
      </c>
      <c r="P102" s="13" t="n">
        <f aca="false">G102+Q102-L102-N102-O102-K102</f>
        <v>0</v>
      </c>
      <c r="Q102" s="13" t="n">
        <f aca="false">IF(A102="",0,K101)</f>
        <v>0.75411</v>
      </c>
    </row>
    <row r="103" customFormat="false" ht="16.4" hidden="false" customHeight="false" outlineLevel="0" collapsed="false">
      <c r="A103" s="23" t="n">
        <f aca="false">Kalender!A103</f>
        <v>46121</v>
      </c>
      <c r="B103" s="13" t="n">
        <f aca="false">Kalender!C103</f>
        <v>1</v>
      </c>
      <c r="C103" s="13" t="n">
        <f aca="false">Kalender!D103</f>
        <v>1</v>
      </c>
      <c r="D103" s="13" t="n">
        <f aca="false">IF(Prüfungen!$B$4=0,(IFERROR(SUMIF(Nutzungsprofile!$B$6:$B$11,"Schulbetrieb",Nutzungsprofile!$G$6:$G$11)*Kalender!C103/SUM(Kalender!$C$5:$C$370),0)+IFERROR(SUMIF(Nutzungsprofile!$B$6:$B$11,"Halle",Nutzungsprofile!$G$6:$G$11)*Kalender!D103/SUM(Kalender!$D$5:$D$370),0)+IFERROR(SUMIF(Nutzungsprofile!$B$6:$B$11,"Individuell",Nutzungsprofile!$G$6:$G$11)*Kalender!E103/SUM(Kalender!$E$5:$E$370),0)),0)</f>
        <v>2.94</v>
      </c>
      <c r="E103" s="13" t="n">
        <f aca="false">IF(Prüfungen!$B$4=0,(IFERROR(SUMIF(Nutzungsprofile!$B$17:$B$22,"Schulbetrieb",Nutzungsprofile!$G$17:$G$22)*Kalender!C103/SUM(Kalender!$C$5:$C$370),0)+IFERROR(SUMIF(Nutzungsprofile!$B$17:$B$22,"Halle",Nutzungsprofile!$G$17:$G$22)*Kalender!D103/SUM(Kalender!$D$5:$D$370),0)+IFERROR(SUMIF(Nutzungsprofile!$B$17:$B$22,"Individuell",Nutzungsprofile!$G$17:$G$22)*Kalender!E103/SUM(Kalender!$E$5:$E$370),0)),0)</f>
        <v>4.94</v>
      </c>
      <c r="F103" s="13" t="n">
        <f aca="false">IFERROR(MIN(D103,Eingaben!$B$17)*Eingaben!$B$16,0)</f>
        <v>2.793</v>
      </c>
      <c r="G103" s="13" t="n">
        <f aca="false">IFERROR(F103*Eingaben!$B$15,0)</f>
        <v>2.5137</v>
      </c>
      <c r="H103" s="13" t="n">
        <f aca="false">IFERROR(Q103*(1-Eingaben!$B$20),0)</f>
        <v>0.7390278</v>
      </c>
      <c r="I103" s="13" t="n">
        <f aca="false">MIN(H103,E103)</f>
        <v>0.7390278</v>
      </c>
      <c r="J103" s="13" t="n">
        <f aca="false">IFERROR(MIN(G103*Eingaben!$B$19,MAX(0,E103-I103)),0)</f>
        <v>1.75959</v>
      </c>
      <c r="K103" s="13" t="n">
        <f aca="false">IFERROR(MIN(Eingaben!$B$18,MAX(0,G103-J103)),0)</f>
        <v>0.75411</v>
      </c>
      <c r="L103" s="13" t="n">
        <f aca="false">I103+J103</f>
        <v>2.4986178</v>
      </c>
      <c r="M103" s="13" t="n">
        <f aca="false">MAX(0,E103-L103)</f>
        <v>2.4413822</v>
      </c>
      <c r="N103" s="13" t="n">
        <f aca="false">MAX(0,G103-J103-K103)</f>
        <v>0</v>
      </c>
      <c r="O103" s="13" t="n">
        <f aca="false">Q103-I103</f>
        <v>0.0150822</v>
      </c>
      <c r="P103" s="13" t="n">
        <f aca="false">G103+Q103-L103-N103-O103-K103</f>
        <v>0</v>
      </c>
      <c r="Q103" s="13" t="n">
        <f aca="false">IF(A103="",0,K102)</f>
        <v>0.75411</v>
      </c>
    </row>
    <row r="104" customFormat="false" ht="16.4" hidden="false" customHeight="false" outlineLevel="0" collapsed="false">
      <c r="A104" s="23" t="n">
        <f aca="false">Kalender!A104</f>
        <v>46122</v>
      </c>
      <c r="B104" s="13" t="n">
        <f aca="false">Kalender!C104</f>
        <v>1</v>
      </c>
      <c r="C104" s="13" t="n">
        <f aca="false">Kalender!D104</f>
        <v>1</v>
      </c>
      <c r="D104" s="13" t="n">
        <f aca="false">IF(Prüfungen!$B$4=0,(IFERROR(SUMIF(Nutzungsprofile!$B$6:$B$11,"Schulbetrieb",Nutzungsprofile!$G$6:$G$11)*Kalender!C104/SUM(Kalender!$C$5:$C$370),0)+IFERROR(SUMIF(Nutzungsprofile!$B$6:$B$11,"Halle",Nutzungsprofile!$G$6:$G$11)*Kalender!D104/SUM(Kalender!$D$5:$D$370),0)+IFERROR(SUMIF(Nutzungsprofile!$B$6:$B$11,"Individuell",Nutzungsprofile!$G$6:$G$11)*Kalender!E104/SUM(Kalender!$E$5:$E$370),0)),0)</f>
        <v>2.94</v>
      </c>
      <c r="E104" s="13" t="n">
        <f aca="false">IF(Prüfungen!$B$4=0,(IFERROR(SUMIF(Nutzungsprofile!$B$17:$B$22,"Schulbetrieb",Nutzungsprofile!$G$17:$G$22)*Kalender!C104/SUM(Kalender!$C$5:$C$370),0)+IFERROR(SUMIF(Nutzungsprofile!$B$17:$B$22,"Halle",Nutzungsprofile!$G$17:$G$22)*Kalender!D104/SUM(Kalender!$D$5:$D$370),0)+IFERROR(SUMIF(Nutzungsprofile!$B$17:$B$22,"Individuell",Nutzungsprofile!$G$17:$G$22)*Kalender!E104/SUM(Kalender!$E$5:$E$370),0)),0)</f>
        <v>4.94</v>
      </c>
      <c r="F104" s="13" t="n">
        <f aca="false">IFERROR(MIN(D104,Eingaben!$B$17)*Eingaben!$B$16,0)</f>
        <v>2.793</v>
      </c>
      <c r="G104" s="13" t="n">
        <f aca="false">IFERROR(F104*Eingaben!$B$15,0)</f>
        <v>2.5137</v>
      </c>
      <c r="H104" s="13" t="n">
        <f aca="false">IFERROR(Q104*(1-Eingaben!$B$20),0)</f>
        <v>0.7390278</v>
      </c>
      <c r="I104" s="13" t="n">
        <f aca="false">MIN(H104,E104)</f>
        <v>0.7390278</v>
      </c>
      <c r="J104" s="13" t="n">
        <f aca="false">IFERROR(MIN(G104*Eingaben!$B$19,MAX(0,E104-I104)),0)</f>
        <v>1.75959</v>
      </c>
      <c r="K104" s="13" t="n">
        <f aca="false">IFERROR(MIN(Eingaben!$B$18,MAX(0,G104-J104)),0)</f>
        <v>0.75411</v>
      </c>
      <c r="L104" s="13" t="n">
        <f aca="false">I104+J104</f>
        <v>2.4986178</v>
      </c>
      <c r="M104" s="13" t="n">
        <f aca="false">MAX(0,E104-L104)</f>
        <v>2.4413822</v>
      </c>
      <c r="N104" s="13" t="n">
        <f aca="false">MAX(0,G104-J104-K104)</f>
        <v>0</v>
      </c>
      <c r="O104" s="13" t="n">
        <f aca="false">Q104-I104</f>
        <v>0.0150822</v>
      </c>
      <c r="P104" s="13" t="n">
        <f aca="false">G104+Q104-L104-N104-O104-K104</f>
        <v>0</v>
      </c>
      <c r="Q104" s="13" t="n">
        <f aca="false">IF(A104="",0,K103)</f>
        <v>0.75411</v>
      </c>
    </row>
    <row r="105" customFormat="false" ht="16.4" hidden="false" customHeight="false" outlineLevel="0" collapsed="false">
      <c r="A105" s="23" t="n">
        <f aca="false">Kalender!A105</f>
        <v>46123</v>
      </c>
      <c r="B105" s="13" t="n">
        <f aca="false">Kalender!C105</f>
        <v>0</v>
      </c>
      <c r="C105" s="13" t="n">
        <f aca="false">Kalender!D105</f>
        <v>1</v>
      </c>
      <c r="D105" s="13" t="n">
        <f aca="false">IF(Prüfungen!$B$4=0,(IFERROR(SUMIF(Nutzungsprofile!$B$6:$B$11,"Schulbetrieb",Nutzungsprofile!$G$6:$G$11)*Kalender!C105/SUM(Kalender!$C$5:$C$370),0)+IFERROR(SUMIF(Nutzungsprofile!$B$6:$B$11,"Halle",Nutzungsprofile!$G$6:$G$11)*Kalender!D105/SUM(Kalender!$D$5:$D$370),0)+IFERROR(SUMIF(Nutzungsprofile!$B$6:$B$11,"Individuell",Nutzungsprofile!$G$6:$G$11)*Kalender!E105/SUM(Kalender!$E$5:$E$370),0)),0)</f>
        <v>2.04</v>
      </c>
      <c r="E105" s="13" t="n">
        <f aca="false">IF(Prüfungen!$B$4=0,(IFERROR(SUMIF(Nutzungsprofile!$B$17:$B$22,"Schulbetrieb",Nutzungsprofile!$G$17:$G$22)*Kalender!C105/SUM(Kalender!$C$5:$C$370),0)+IFERROR(SUMIF(Nutzungsprofile!$B$17:$B$22,"Halle",Nutzungsprofile!$G$17:$G$22)*Kalender!D105/SUM(Kalender!$D$5:$D$370),0)+IFERROR(SUMIF(Nutzungsprofile!$B$17:$B$22,"Individuell",Nutzungsprofile!$G$17:$G$22)*Kalender!E105/SUM(Kalender!$E$5:$E$370),0)),0)</f>
        <v>0.89</v>
      </c>
      <c r="F105" s="13" t="n">
        <f aca="false">IFERROR(MIN(D105,Eingaben!$B$17)*Eingaben!$B$16,0)</f>
        <v>1.938</v>
      </c>
      <c r="G105" s="13" t="n">
        <f aca="false">IFERROR(F105*Eingaben!$B$15,0)</f>
        <v>1.7442</v>
      </c>
      <c r="H105" s="13" t="n">
        <f aca="false">IFERROR(Q105*(1-Eingaben!$B$20),0)</f>
        <v>0.7390278</v>
      </c>
      <c r="I105" s="13" t="n">
        <f aca="false">MIN(H105,E105)</f>
        <v>0.7390278</v>
      </c>
      <c r="J105" s="13" t="n">
        <f aca="false">IFERROR(MIN(G105*Eingaben!$B$19,MAX(0,E105-I105)),0)</f>
        <v>0.1509722</v>
      </c>
      <c r="K105" s="13" t="n">
        <f aca="false">IFERROR(MIN(Eingaben!$B$18,MAX(0,G105-J105)),0)</f>
        <v>1.5932278</v>
      </c>
      <c r="L105" s="13" t="n">
        <f aca="false">I105+J105</f>
        <v>0.89</v>
      </c>
      <c r="M105" s="13" t="n">
        <f aca="false">MAX(0,E105-L105)</f>
        <v>0</v>
      </c>
      <c r="N105" s="13" t="n">
        <f aca="false">MAX(0,G105-J105-K105)</f>
        <v>0</v>
      </c>
      <c r="O105" s="13" t="n">
        <f aca="false">Q105-I105</f>
        <v>0.0150822</v>
      </c>
      <c r="P105" s="13" t="n">
        <f aca="false">G105+Q105-L105-N105-O105-K105</f>
        <v>0</v>
      </c>
      <c r="Q105" s="13" t="n">
        <f aca="false">IF(A105="",0,K104)</f>
        <v>0.75411</v>
      </c>
    </row>
    <row r="106" customFormat="false" ht="16.4" hidden="false" customHeight="false" outlineLevel="0" collapsed="false">
      <c r="A106" s="23" t="n">
        <f aca="false">Kalender!A106</f>
        <v>46124</v>
      </c>
      <c r="B106" s="13" t="n">
        <f aca="false">Kalender!C106</f>
        <v>0</v>
      </c>
      <c r="C106" s="13" t="n">
        <f aca="false">Kalender!D106</f>
        <v>1</v>
      </c>
      <c r="D106" s="13" t="n">
        <f aca="false">IF(Prüfungen!$B$4=0,(IFERROR(SUMIF(Nutzungsprofile!$B$6:$B$11,"Schulbetrieb",Nutzungsprofile!$G$6:$G$11)*Kalender!C106/SUM(Kalender!$C$5:$C$370),0)+IFERROR(SUMIF(Nutzungsprofile!$B$6:$B$11,"Halle",Nutzungsprofile!$G$6:$G$11)*Kalender!D106/SUM(Kalender!$D$5:$D$370),0)+IFERROR(SUMIF(Nutzungsprofile!$B$6:$B$11,"Individuell",Nutzungsprofile!$G$6:$G$11)*Kalender!E106/SUM(Kalender!$E$5:$E$370),0)),0)</f>
        <v>2.04</v>
      </c>
      <c r="E106" s="13" t="n">
        <f aca="false">IF(Prüfungen!$B$4=0,(IFERROR(SUMIF(Nutzungsprofile!$B$17:$B$22,"Schulbetrieb",Nutzungsprofile!$G$17:$G$22)*Kalender!C106/SUM(Kalender!$C$5:$C$370),0)+IFERROR(SUMIF(Nutzungsprofile!$B$17:$B$22,"Halle",Nutzungsprofile!$G$17:$G$22)*Kalender!D106/SUM(Kalender!$D$5:$D$370),0)+IFERROR(SUMIF(Nutzungsprofile!$B$17:$B$22,"Individuell",Nutzungsprofile!$G$17:$G$22)*Kalender!E106/SUM(Kalender!$E$5:$E$370),0)),0)</f>
        <v>0.89</v>
      </c>
      <c r="F106" s="13" t="n">
        <f aca="false">IFERROR(MIN(D106,Eingaben!$B$17)*Eingaben!$B$16,0)</f>
        <v>1.938</v>
      </c>
      <c r="G106" s="13" t="n">
        <f aca="false">IFERROR(F106*Eingaben!$B$15,0)</f>
        <v>1.7442</v>
      </c>
      <c r="H106" s="13" t="n">
        <f aca="false">IFERROR(Q106*(1-Eingaben!$B$20),0)</f>
        <v>1.561363244</v>
      </c>
      <c r="I106" s="13" t="n">
        <f aca="false">MIN(H106,E106)</f>
        <v>0.89</v>
      </c>
      <c r="J106" s="13" t="n">
        <f aca="false">IFERROR(MIN(G106*Eingaben!$B$19,MAX(0,E106-I106)),0)</f>
        <v>0</v>
      </c>
      <c r="K106" s="13" t="n">
        <f aca="false">IFERROR(MIN(Eingaben!$B$18,MAX(0,G106-J106)),0)</f>
        <v>1.7442</v>
      </c>
      <c r="L106" s="13" t="n">
        <f aca="false">I106+J106</f>
        <v>0.89</v>
      </c>
      <c r="M106" s="13" t="n">
        <f aca="false">MAX(0,E106-L106)</f>
        <v>0</v>
      </c>
      <c r="N106" s="13" t="n">
        <f aca="false">MAX(0,G106-J106-K106)</f>
        <v>0</v>
      </c>
      <c r="O106" s="13" t="n">
        <f aca="false">Q106-I106</f>
        <v>0.7032278</v>
      </c>
      <c r="P106" s="13" t="n">
        <f aca="false">G106+Q106-L106-N106-O106-K106</f>
        <v>0</v>
      </c>
      <c r="Q106" s="13" t="n">
        <f aca="false">IF(A106="",0,K105)</f>
        <v>1.5932278</v>
      </c>
    </row>
    <row r="107" customFormat="false" ht="16.4" hidden="false" customHeight="false" outlineLevel="0" collapsed="false">
      <c r="A107" s="23" t="n">
        <f aca="false">Kalender!A107</f>
        <v>46125</v>
      </c>
      <c r="B107" s="13" t="n">
        <f aca="false">Kalender!C107</f>
        <v>1</v>
      </c>
      <c r="C107" s="13" t="n">
        <f aca="false">Kalender!D107</f>
        <v>1</v>
      </c>
      <c r="D107" s="13" t="n">
        <f aca="false">IF(Prüfungen!$B$4=0,(IFERROR(SUMIF(Nutzungsprofile!$B$6:$B$11,"Schulbetrieb",Nutzungsprofile!$G$6:$G$11)*Kalender!C107/SUM(Kalender!$C$5:$C$370),0)+IFERROR(SUMIF(Nutzungsprofile!$B$6:$B$11,"Halle",Nutzungsprofile!$G$6:$G$11)*Kalender!D107/SUM(Kalender!$D$5:$D$370),0)+IFERROR(SUMIF(Nutzungsprofile!$B$6:$B$11,"Individuell",Nutzungsprofile!$G$6:$G$11)*Kalender!E107/SUM(Kalender!$E$5:$E$370),0)),0)</f>
        <v>2.94</v>
      </c>
      <c r="E107" s="13" t="n">
        <f aca="false">IF(Prüfungen!$B$4=0,(IFERROR(SUMIF(Nutzungsprofile!$B$17:$B$22,"Schulbetrieb",Nutzungsprofile!$G$17:$G$22)*Kalender!C107/SUM(Kalender!$C$5:$C$370),0)+IFERROR(SUMIF(Nutzungsprofile!$B$17:$B$22,"Halle",Nutzungsprofile!$G$17:$G$22)*Kalender!D107/SUM(Kalender!$D$5:$D$370),0)+IFERROR(SUMIF(Nutzungsprofile!$B$17:$B$22,"Individuell",Nutzungsprofile!$G$17:$G$22)*Kalender!E107/SUM(Kalender!$E$5:$E$370),0)),0)</f>
        <v>4.94</v>
      </c>
      <c r="F107" s="13" t="n">
        <f aca="false">IFERROR(MIN(D107,Eingaben!$B$17)*Eingaben!$B$16,0)</f>
        <v>2.793</v>
      </c>
      <c r="G107" s="13" t="n">
        <f aca="false">IFERROR(F107*Eingaben!$B$15,0)</f>
        <v>2.5137</v>
      </c>
      <c r="H107" s="13" t="n">
        <f aca="false">IFERROR(Q107*(1-Eingaben!$B$20),0)</f>
        <v>1.709316</v>
      </c>
      <c r="I107" s="13" t="n">
        <f aca="false">MIN(H107,E107)</f>
        <v>1.709316</v>
      </c>
      <c r="J107" s="13" t="n">
        <f aca="false">IFERROR(MIN(G107*Eingaben!$B$19,MAX(0,E107-I107)),0)</f>
        <v>1.75959</v>
      </c>
      <c r="K107" s="13" t="n">
        <f aca="false">IFERROR(MIN(Eingaben!$B$18,MAX(0,G107-J107)),0)</f>
        <v>0.75411</v>
      </c>
      <c r="L107" s="13" t="n">
        <f aca="false">I107+J107</f>
        <v>3.468906</v>
      </c>
      <c r="M107" s="13" t="n">
        <f aca="false">MAX(0,E107-L107)</f>
        <v>1.471094</v>
      </c>
      <c r="N107" s="13" t="n">
        <f aca="false">MAX(0,G107-J107-K107)</f>
        <v>0</v>
      </c>
      <c r="O107" s="13" t="n">
        <f aca="false">Q107-I107</f>
        <v>0.0348840000000001</v>
      </c>
      <c r="P107" s="13" t="n">
        <f aca="false">G107+Q107-L107-N107-O107-K107</f>
        <v>0</v>
      </c>
      <c r="Q107" s="13" t="n">
        <f aca="false">IF(A107="",0,K106)</f>
        <v>1.7442</v>
      </c>
    </row>
    <row r="108" customFormat="false" ht="16.4" hidden="false" customHeight="false" outlineLevel="0" collapsed="false">
      <c r="A108" s="23" t="n">
        <f aca="false">Kalender!A108</f>
        <v>46126</v>
      </c>
      <c r="B108" s="13" t="n">
        <f aca="false">Kalender!C108</f>
        <v>1</v>
      </c>
      <c r="C108" s="13" t="n">
        <f aca="false">Kalender!D108</f>
        <v>1</v>
      </c>
      <c r="D108" s="13" t="n">
        <f aca="false">IF(Prüfungen!$B$4=0,(IFERROR(SUMIF(Nutzungsprofile!$B$6:$B$11,"Schulbetrieb",Nutzungsprofile!$G$6:$G$11)*Kalender!C108/SUM(Kalender!$C$5:$C$370),0)+IFERROR(SUMIF(Nutzungsprofile!$B$6:$B$11,"Halle",Nutzungsprofile!$G$6:$G$11)*Kalender!D108/SUM(Kalender!$D$5:$D$370),0)+IFERROR(SUMIF(Nutzungsprofile!$B$6:$B$11,"Individuell",Nutzungsprofile!$G$6:$G$11)*Kalender!E108/SUM(Kalender!$E$5:$E$370),0)),0)</f>
        <v>2.94</v>
      </c>
      <c r="E108" s="13" t="n">
        <f aca="false">IF(Prüfungen!$B$4=0,(IFERROR(SUMIF(Nutzungsprofile!$B$17:$B$22,"Schulbetrieb",Nutzungsprofile!$G$17:$G$22)*Kalender!C108/SUM(Kalender!$C$5:$C$370),0)+IFERROR(SUMIF(Nutzungsprofile!$B$17:$B$22,"Halle",Nutzungsprofile!$G$17:$G$22)*Kalender!D108/SUM(Kalender!$D$5:$D$370),0)+IFERROR(SUMIF(Nutzungsprofile!$B$17:$B$22,"Individuell",Nutzungsprofile!$G$17:$G$22)*Kalender!E108/SUM(Kalender!$E$5:$E$370),0)),0)</f>
        <v>4.94</v>
      </c>
      <c r="F108" s="13" t="n">
        <f aca="false">IFERROR(MIN(D108,Eingaben!$B$17)*Eingaben!$B$16,0)</f>
        <v>2.793</v>
      </c>
      <c r="G108" s="13" t="n">
        <f aca="false">IFERROR(F108*Eingaben!$B$15,0)</f>
        <v>2.5137</v>
      </c>
      <c r="H108" s="13" t="n">
        <f aca="false">IFERROR(Q108*(1-Eingaben!$B$20),0)</f>
        <v>0.7390278</v>
      </c>
      <c r="I108" s="13" t="n">
        <f aca="false">MIN(H108,E108)</f>
        <v>0.7390278</v>
      </c>
      <c r="J108" s="13" t="n">
        <f aca="false">IFERROR(MIN(G108*Eingaben!$B$19,MAX(0,E108-I108)),0)</f>
        <v>1.75959</v>
      </c>
      <c r="K108" s="13" t="n">
        <f aca="false">IFERROR(MIN(Eingaben!$B$18,MAX(0,G108-J108)),0)</f>
        <v>0.75411</v>
      </c>
      <c r="L108" s="13" t="n">
        <f aca="false">I108+J108</f>
        <v>2.4986178</v>
      </c>
      <c r="M108" s="13" t="n">
        <f aca="false">MAX(0,E108-L108)</f>
        <v>2.4413822</v>
      </c>
      <c r="N108" s="13" t="n">
        <f aca="false">MAX(0,G108-J108-K108)</f>
        <v>0</v>
      </c>
      <c r="O108" s="13" t="n">
        <f aca="false">Q108-I108</f>
        <v>0.0150822</v>
      </c>
      <c r="P108" s="13" t="n">
        <f aca="false">G108+Q108-L108-N108-O108-K108</f>
        <v>0</v>
      </c>
      <c r="Q108" s="13" t="n">
        <f aca="false">IF(A108="",0,K107)</f>
        <v>0.75411</v>
      </c>
    </row>
    <row r="109" customFormat="false" ht="16.4" hidden="false" customHeight="false" outlineLevel="0" collapsed="false">
      <c r="A109" s="23" t="n">
        <f aca="false">Kalender!A109</f>
        <v>46127</v>
      </c>
      <c r="B109" s="13" t="n">
        <f aca="false">Kalender!C109</f>
        <v>1</v>
      </c>
      <c r="C109" s="13" t="n">
        <f aca="false">Kalender!D109</f>
        <v>1</v>
      </c>
      <c r="D109" s="13" t="n">
        <f aca="false">IF(Prüfungen!$B$4=0,(IFERROR(SUMIF(Nutzungsprofile!$B$6:$B$11,"Schulbetrieb",Nutzungsprofile!$G$6:$G$11)*Kalender!C109/SUM(Kalender!$C$5:$C$370),0)+IFERROR(SUMIF(Nutzungsprofile!$B$6:$B$11,"Halle",Nutzungsprofile!$G$6:$G$11)*Kalender!D109/SUM(Kalender!$D$5:$D$370),0)+IFERROR(SUMIF(Nutzungsprofile!$B$6:$B$11,"Individuell",Nutzungsprofile!$G$6:$G$11)*Kalender!E109/SUM(Kalender!$E$5:$E$370),0)),0)</f>
        <v>2.94</v>
      </c>
      <c r="E109" s="13" t="n">
        <f aca="false">IF(Prüfungen!$B$4=0,(IFERROR(SUMIF(Nutzungsprofile!$B$17:$B$22,"Schulbetrieb",Nutzungsprofile!$G$17:$G$22)*Kalender!C109/SUM(Kalender!$C$5:$C$370),0)+IFERROR(SUMIF(Nutzungsprofile!$B$17:$B$22,"Halle",Nutzungsprofile!$G$17:$G$22)*Kalender!D109/SUM(Kalender!$D$5:$D$370),0)+IFERROR(SUMIF(Nutzungsprofile!$B$17:$B$22,"Individuell",Nutzungsprofile!$G$17:$G$22)*Kalender!E109/SUM(Kalender!$E$5:$E$370),0)),0)</f>
        <v>4.94</v>
      </c>
      <c r="F109" s="13" t="n">
        <f aca="false">IFERROR(MIN(D109,Eingaben!$B$17)*Eingaben!$B$16,0)</f>
        <v>2.793</v>
      </c>
      <c r="G109" s="13" t="n">
        <f aca="false">IFERROR(F109*Eingaben!$B$15,0)</f>
        <v>2.5137</v>
      </c>
      <c r="H109" s="13" t="n">
        <f aca="false">IFERROR(Q109*(1-Eingaben!$B$20),0)</f>
        <v>0.7390278</v>
      </c>
      <c r="I109" s="13" t="n">
        <f aca="false">MIN(H109,E109)</f>
        <v>0.7390278</v>
      </c>
      <c r="J109" s="13" t="n">
        <f aca="false">IFERROR(MIN(G109*Eingaben!$B$19,MAX(0,E109-I109)),0)</f>
        <v>1.75959</v>
      </c>
      <c r="K109" s="13" t="n">
        <f aca="false">IFERROR(MIN(Eingaben!$B$18,MAX(0,G109-J109)),0)</f>
        <v>0.75411</v>
      </c>
      <c r="L109" s="13" t="n">
        <f aca="false">I109+J109</f>
        <v>2.4986178</v>
      </c>
      <c r="M109" s="13" t="n">
        <f aca="false">MAX(0,E109-L109)</f>
        <v>2.4413822</v>
      </c>
      <c r="N109" s="13" t="n">
        <f aca="false">MAX(0,G109-J109-K109)</f>
        <v>0</v>
      </c>
      <c r="O109" s="13" t="n">
        <f aca="false">Q109-I109</f>
        <v>0.0150822</v>
      </c>
      <c r="P109" s="13" t="n">
        <f aca="false">G109+Q109-L109-N109-O109-K109</f>
        <v>0</v>
      </c>
      <c r="Q109" s="13" t="n">
        <f aca="false">IF(A109="",0,K108)</f>
        <v>0.75411</v>
      </c>
    </row>
    <row r="110" customFormat="false" ht="16.4" hidden="false" customHeight="false" outlineLevel="0" collapsed="false">
      <c r="A110" s="23" t="n">
        <f aca="false">Kalender!A110</f>
        <v>46128</v>
      </c>
      <c r="B110" s="13" t="n">
        <f aca="false">Kalender!C110</f>
        <v>1</v>
      </c>
      <c r="C110" s="13" t="n">
        <f aca="false">Kalender!D110</f>
        <v>1</v>
      </c>
      <c r="D110" s="13" t="n">
        <f aca="false">IF(Prüfungen!$B$4=0,(IFERROR(SUMIF(Nutzungsprofile!$B$6:$B$11,"Schulbetrieb",Nutzungsprofile!$G$6:$G$11)*Kalender!C110/SUM(Kalender!$C$5:$C$370),0)+IFERROR(SUMIF(Nutzungsprofile!$B$6:$B$11,"Halle",Nutzungsprofile!$G$6:$G$11)*Kalender!D110/SUM(Kalender!$D$5:$D$370),0)+IFERROR(SUMIF(Nutzungsprofile!$B$6:$B$11,"Individuell",Nutzungsprofile!$G$6:$G$11)*Kalender!E110/SUM(Kalender!$E$5:$E$370),0)),0)</f>
        <v>2.94</v>
      </c>
      <c r="E110" s="13" t="n">
        <f aca="false">IF(Prüfungen!$B$4=0,(IFERROR(SUMIF(Nutzungsprofile!$B$17:$B$22,"Schulbetrieb",Nutzungsprofile!$G$17:$G$22)*Kalender!C110/SUM(Kalender!$C$5:$C$370),0)+IFERROR(SUMIF(Nutzungsprofile!$B$17:$B$22,"Halle",Nutzungsprofile!$G$17:$G$22)*Kalender!D110/SUM(Kalender!$D$5:$D$370),0)+IFERROR(SUMIF(Nutzungsprofile!$B$17:$B$22,"Individuell",Nutzungsprofile!$G$17:$G$22)*Kalender!E110/SUM(Kalender!$E$5:$E$370),0)),0)</f>
        <v>4.94</v>
      </c>
      <c r="F110" s="13" t="n">
        <f aca="false">IFERROR(MIN(D110,Eingaben!$B$17)*Eingaben!$B$16,0)</f>
        <v>2.793</v>
      </c>
      <c r="G110" s="13" t="n">
        <f aca="false">IFERROR(F110*Eingaben!$B$15,0)</f>
        <v>2.5137</v>
      </c>
      <c r="H110" s="13" t="n">
        <f aca="false">IFERROR(Q110*(1-Eingaben!$B$20),0)</f>
        <v>0.7390278</v>
      </c>
      <c r="I110" s="13" t="n">
        <f aca="false">MIN(H110,E110)</f>
        <v>0.7390278</v>
      </c>
      <c r="J110" s="13" t="n">
        <f aca="false">IFERROR(MIN(G110*Eingaben!$B$19,MAX(0,E110-I110)),0)</f>
        <v>1.75959</v>
      </c>
      <c r="K110" s="13" t="n">
        <f aca="false">IFERROR(MIN(Eingaben!$B$18,MAX(0,G110-J110)),0)</f>
        <v>0.75411</v>
      </c>
      <c r="L110" s="13" t="n">
        <f aca="false">I110+J110</f>
        <v>2.4986178</v>
      </c>
      <c r="M110" s="13" t="n">
        <f aca="false">MAX(0,E110-L110)</f>
        <v>2.4413822</v>
      </c>
      <c r="N110" s="13" t="n">
        <f aca="false">MAX(0,G110-J110-K110)</f>
        <v>0</v>
      </c>
      <c r="O110" s="13" t="n">
        <f aca="false">Q110-I110</f>
        <v>0.0150822</v>
      </c>
      <c r="P110" s="13" t="n">
        <f aca="false">G110+Q110-L110-N110-O110-K110</f>
        <v>0</v>
      </c>
      <c r="Q110" s="13" t="n">
        <f aca="false">IF(A110="",0,K109)</f>
        <v>0.75411</v>
      </c>
    </row>
    <row r="111" customFormat="false" ht="16.4" hidden="false" customHeight="false" outlineLevel="0" collapsed="false">
      <c r="A111" s="23" t="n">
        <f aca="false">Kalender!A111</f>
        <v>46129</v>
      </c>
      <c r="B111" s="13" t="n">
        <f aca="false">Kalender!C111</f>
        <v>1</v>
      </c>
      <c r="C111" s="13" t="n">
        <f aca="false">Kalender!D111</f>
        <v>1</v>
      </c>
      <c r="D111" s="13" t="n">
        <f aca="false">IF(Prüfungen!$B$4=0,(IFERROR(SUMIF(Nutzungsprofile!$B$6:$B$11,"Schulbetrieb",Nutzungsprofile!$G$6:$G$11)*Kalender!C111/SUM(Kalender!$C$5:$C$370),0)+IFERROR(SUMIF(Nutzungsprofile!$B$6:$B$11,"Halle",Nutzungsprofile!$G$6:$G$11)*Kalender!D111/SUM(Kalender!$D$5:$D$370),0)+IFERROR(SUMIF(Nutzungsprofile!$B$6:$B$11,"Individuell",Nutzungsprofile!$G$6:$G$11)*Kalender!E111/SUM(Kalender!$E$5:$E$370),0)),0)</f>
        <v>2.94</v>
      </c>
      <c r="E111" s="13" t="n">
        <f aca="false">IF(Prüfungen!$B$4=0,(IFERROR(SUMIF(Nutzungsprofile!$B$17:$B$22,"Schulbetrieb",Nutzungsprofile!$G$17:$G$22)*Kalender!C111/SUM(Kalender!$C$5:$C$370),0)+IFERROR(SUMIF(Nutzungsprofile!$B$17:$B$22,"Halle",Nutzungsprofile!$G$17:$G$22)*Kalender!D111/SUM(Kalender!$D$5:$D$370),0)+IFERROR(SUMIF(Nutzungsprofile!$B$17:$B$22,"Individuell",Nutzungsprofile!$G$17:$G$22)*Kalender!E111/SUM(Kalender!$E$5:$E$370),0)),0)</f>
        <v>4.94</v>
      </c>
      <c r="F111" s="13" t="n">
        <f aca="false">IFERROR(MIN(D111,Eingaben!$B$17)*Eingaben!$B$16,0)</f>
        <v>2.793</v>
      </c>
      <c r="G111" s="13" t="n">
        <f aca="false">IFERROR(F111*Eingaben!$B$15,0)</f>
        <v>2.5137</v>
      </c>
      <c r="H111" s="13" t="n">
        <f aca="false">IFERROR(Q111*(1-Eingaben!$B$20),0)</f>
        <v>0.7390278</v>
      </c>
      <c r="I111" s="13" t="n">
        <f aca="false">MIN(H111,E111)</f>
        <v>0.7390278</v>
      </c>
      <c r="J111" s="13" t="n">
        <f aca="false">IFERROR(MIN(G111*Eingaben!$B$19,MAX(0,E111-I111)),0)</f>
        <v>1.75959</v>
      </c>
      <c r="K111" s="13" t="n">
        <f aca="false">IFERROR(MIN(Eingaben!$B$18,MAX(0,G111-J111)),0)</f>
        <v>0.75411</v>
      </c>
      <c r="L111" s="13" t="n">
        <f aca="false">I111+J111</f>
        <v>2.4986178</v>
      </c>
      <c r="M111" s="13" t="n">
        <f aca="false">MAX(0,E111-L111)</f>
        <v>2.4413822</v>
      </c>
      <c r="N111" s="13" t="n">
        <f aca="false">MAX(0,G111-J111-K111)</f>
        <v>0</v>
      </c>
      <c r="O111" s="13" t="n">
        <f aca="false">Q111-I111</f>
        <v>0.0150822</v>
      </c>
      <c r="P111" s="13" t="n">
        <f aca="false">G111+Q111-L111-N111-O111-K111</f>
        <v>0</v>
      </c>
      <c r="Q111" s="13" t="n">
        <f aca="false">IF(A111="",0,K110)</f>
        <v>0.75411</v>
      </c>
    </row>
    <row r="112" customFormat="false" ht="16.4" hidden="false" customHeight="false" outlineLevel="0" collapsed="false">
      <c r="A112" s="23" t="n">
        <f aca="false">Kalender!A112</f>
        <v>46130</v>
      </c>
      <c r="B112" s="13" t="n">
        <f aca="false">Kalender!C112</f>
        <v>0</v>
      </c>
      <c r="C112" s="13" t="n">
        <f aca="false">Kalender!D112</f>
        <v>1</v>
      </c>
      <c r="D112" s="13" t="n">
        <f aca="false">IF(Prüfungen!$B$4=0,(IFERROR(SUMIF(Nutzungsprofile!$B$6:$B$11,"Schulbetrieb",Nutzungsprofile!$G$6:$G$11)*Kalender!C112/SUM(Kalender!$C$5:$C$370),0)+IFERROR(SUMIF(Nutzungsprofile!$B$6:$B$11,"Halle",Nutzungsprofile!$G$6:$G$11)*Kalender!D112/SUM(Kalender!$D$5:$D$370),0)+IFERROR(SUMIF(Nutzungsprofile!$B$6:$B$11,"Individuell",Nutzungsprofile!$G$6:$G$11)*Kalender!E112/SUM(Kalender!$E$5:$E$370),0)),0)</f>
        <v>2.04</v>
      </c>
      <c r="E112" s="13" t="n">
        <f aca="false">IF(Prüfungen!$B$4=0,(IFERROR(SUMIF(Nutzungsprofile!$B$17:$B$22,"Schulbetrieb",Nutzungsprofile!$G$17:$G$22)*Kalender!C112/SUM(Kalender!$C$5:$C$370),0)+IFERROR(SUMIF(Nutzungsprofile!$B$17:$B$22,"Halle",Nutzungsprofile!$G$17:$G$22)*Kalender!D112/SUM(Kalender!$D$5:$D$370),0)+IFERROR(SUMIF(Nutzungsprofile!$B$17:$B$22,"Individuell",Nutzungsprofile!$G$17:$G$22)*Kalender!E112/SUM(Kalender!$E$5:$E$370),0)),0)</f>
        <v>0.89</v>
      </c>
      <c r="F112" s="13" t="n">
        <f aca="false">IFERROR(MIN(D112,Eingaben!$B$17)*Eingaben!$B$16,0)</f>
        <v>1.938</v>
      </c>
      <c r="G112" s="13" t="n">
        <f aca="false">IFERROR(F112*Eingaben!$B$15,0)</f>
        <v>1.7442</v>
      </c>
      <c r="H112" s="13" t="n">
        <f aca="false">IFERROR(Q112*(1-Eingaben!$B$20),0)</f>
        <v>0.7390278</v>
      </c>
      <c r="I112" s="13" t="n">
        <f aca="false">MIN(H112,E112)</f>
        <v>0.7390278</v>
      </c>
      <c r="J112" s="13" t="n">
        <f aca="false">IFERROR(MIN(G112*Eingaben!$B$19,MAX(0,E112-I112)),0)</f>
        <v>0.1509722</v>
      </c>
      <c r="K112" s="13" t="n">
        <f aca="false">IFERROR(MIN(Eingaben!$B$18,MAX(0,G112-J112)),0)</f>
        <v>1.5932278</v>
      </c>
      <c r="L112" s="13" t="n">
        <f aca="false">I112+J112</f>
        <v>0.89</v>
      </c>
      <c r="M112" s="13" t="n">
        <f aca="false">MAX(0,E112-L112)</f>
        <v>0</v>
      </c>
      <c r="N112" s="13" t="n">
        <f aca="false">MAX(0,G112-J112-K112)</f>
        <v>0</v>
      </c>
      <c r="O112" s="13" t="n">
        <f aca="false">Q112-I112</f>
        <v>0.0150822</v>
      </c>
      <c r="P112" s="13" t="n">
        <f aca="false">G112+Q112-L112-N112-O112-K112</f>
        <v>0</v>
      </c>
      <c r="Q112" s="13" t="n">
        <f aca="false">IF(A112="",0,K111)</f>
        <v>0.75411</v>
      </c>
    </row>
    <row r="113" customFormat="false" ht="16.4" hidden="false" customHeight="false" outlineLevel="0" collapsed="false">
      <c r="A113" s="23" t="n">
        <f aca="false">Kalender!A113</f>
        <v>46131</v>
      </c>
      <c r="B113" s="13" t="n">
        <f aca="false">Kalender!C113</f>
        <v>0</v>
      </c>
      <c r="C113" s="13" t="n">
        <f aca="false">Kalender!D113</f>
        <v>1</v>
      </c>
      <c r="D113" s="13" t="n">
        <f aca="false">IF(Prüfungen!$B$4=0,(IFERROR(SUMIF(Nutzungsprofile!$B$6:$B$11,"Schulbetrieb",Nutzungsprofile!$G$6:$G$11)*Kalender!C113/SUM(Kalender!$C$5:$C$370),0)+IFERROR(SUMIF(Nutzungsprofile!$B$6:$B$11,"Halle",Nutzungsprofile!$G$6:$G$11)*Kalender!D113/SUM(Kalender!$D$5:$D$370),0)+IFERROR(SUMIF(Nutzungsprofile!$B$6:$B$11,"Individuell",Nutzungsprofile!$G$6:$G$11)*Kalender!E113/SUM(Kalender!$E$5:$E$370),0)),0)</f>
        <v>2.04</v>
      </c>
      <c r="E113" s="13" t="n">
        <f aca="false">IF(Prüfungen!$B$4=0,(IFERROR(SUMIF(Nutzungsprofile!$B$17:$B$22,"Schulbetrieb",Nutzungsprofile!$G$17:$G$22)*Kalender!C113/SUM(Kalender!$C$5:$C$370),0)+IFERROR(SUMIF(Nutzungsprofile!$B$17:$B$22,"Halle",Nutzungsprofile!$G$17:$G$22)*Kalender!D113/SUM(Kalender!$D$5:$D$370),0)+IFERROR(SUMIF(Nutzungsprofile!$B$17:$B$22,"Individuell",Nutzungsprofile!$G$17:$G$22)*Kalender!E113/SUM(Kalender!$E$5:$E$370),0)),0)</f>
        <v>0.89</v>
      </c>
      <c r="F113" s="13" t="n">
        <f aca="false">IFERROR(MIN(D113,Eingaben!$B$17)*Eingaben!$B$16,0)</f>
        <v>1.938</v>
      </c>
      <c r="G113" s="13" t="n">
        <f aca="false">IFERROR(F113*Eingaben!$B$15,0)</f>
        <v>1.7442</v>
      </c>
      <c r="H113" s="13" t="n">
        <f aca="false">IFERROR(Q113*(1-Eingaben!$B$20),0)</f>
        <v>1.561363244</v>
      </c>
      <c r="I113" s="13" t="n">
        <f aca="false">MIN(H113,E113)</f>
        <v>0.89</v>
      </c>
      <c r="J113" s="13" t="n">
        <f aca="false">IFERROR(MIN(G113*Eingaben!$B$19,MAX(0,E113-I113)),0)</f>
        <v>0</v>
      </c>
      <c r="K113" s="13" t="n">
        <f aca="false">IFERROR(MIN(Eingaben!$B$18,MAX(0,G113-J113)),0)</f>
        <v>1.7442</v>
      </c>
      <c r="L113" s="13" t="n">
        <f aca="false">I113+J113</f>
        <v>0.89</v>
      </c>
      <c r="M113" s="13" t="n">
        <f aca="false">MAX(0,E113-L113)</f>
        <v>0</v>
      </c>
      <c r="N113" s="13" t="n">
        <f aca="false">MAX(0,G113-J113-K113)</f>
        <v>0</v>
      </c>
      <c r="O113" s="13" t="n">
        <f aca="false">Q113-I113</f>
        <v>0.7032278</v>
      </c>
      <c r="P113" s="13" t="n">
        <f aca="false">G113+Q113-L113-N113-O113-K113</f>
        <v>0</v>
      </c>
      <c r="Q113" s="13" t="n">
        <f aca="false">IF(A113="",0,K112)</f>
        <v>1.5932278</v>
      </c>
    </row>
    <row r="114" customFormat="false" ht="16.4" hidden="false" customHeight="false" outlineLevel="0" collapsed="false">
      <c r="A114" s="23" t="n">
        <f aca="false">Kalender!A114</f>
        <v>46132</v>
      </c>
      <c r="B114" s="13" t="n">
        <f aca="false">Kalender!C114</f>
        <v>1</v>
      </c>
      <c r="C114" s="13" t="n">
        <f aca="false">Kalender!D114</f>
        <v>1</v>
      </c>
      <c r="D114" s="13" t="n">
        <f aca="false">IF(Prüfungen!$B$4=0,(IFERROR(SUMIF(Nutzungsprofile!$B$6:$B$11,"Schulbetrieb",Nutzungsprofile!$G$6:$G$11)*Kalender!C114/SUM(Kalender!$C$5:$C$370),0)+IFERROR(SUMIF(Nutzungsprofile!$B$6:$B$11,"Halle",Nutzungsprofile!$G$6:$G$11)*Kalender!D114/SUM(Kalender!$D$5:$D$370),0)+IFERROR(SUMIF(Nutzungsprofile!$B$6:$B$11,"Individuell",Nutzungsprofile!$G$6:$G$11)*Kalender!E114/SUM(Kalender!$E$5:$E$370),0)),0)</f>
        <v>2.94</v>
      </c>
      <c r="E114" s="13" t="n">
        <f aca="false">IF(Prüfungen!$B$4=0,(IFERROR(SUMIF(Nutzungsprofile!$B$17:$B$22,"Schulbetrieb",Nutzungsprofile!$G$17:$G$22)*Kalender!C114/SUM(Kalender!$C$5:$C$370),0)+IFERROR(SUMIF(Nutzungsprofile!$B$17:$B$22,"Halle",Nutzungsprofile!$G$17:$G$22)*Kalender!D114/SUM(Kalender!$D$5:$D$370),0)+IFERROR(SUMIF(Nutzungsprofile!$B$17:$B$22,"Individuell",Nutzungsprofile!$G$17:$G$22)*Kalender!E114/SUM(Kalender!$E$5:$E$370),0)),0)</f>
        <v>4.94</v>
      </c>
      <c r="F114" s="13" t="n">
        <f aca="false">IFERROR(MIN(D114,Eingaben!$B$17)*Eingaben!$B$16,0)</f>
        <v>2.793</v>
      </c>
      <c r="G114" s="13" t="n">
        <f aca="false">IFERROR(F114*Eingaben!$B$15,0)</f>
        <v>2.5137</v>
      </c>
      <c r="H114" s="13" t="n">
        <f aca="false">IFERROR(Q114*(1-Eingaben!$B$20),0)</f>
        <v>1.709316</v>
      </c>
      <c r="I114" s="13" t="n">
        <f aca="false">MIN(H114,E114)</f>
        <v>1.709316</v>
      </c>
      <c r="J114" s="13" t="n">
        <f aca="false">IFERROR(MIN(G114*Eingaben!$B$19,MAX(0,E114-I114)),0)</f>
        <v>1.75959</v>
      </c>
      <c r="K114" s="13" t="n">
        <f aca="false">IFERROR(MIN(Eingaben!$B$18,MAX(0,G114-J114)),0)</f>
        <v>0.75411</v>
      </c>
      <c r="L114" s="13" t="n">
        <f aca="false">I114+J114</f>
        <v>3.468906</v>
      </c>
      <c r="M114" s="13" t="n">
        <f aca="false">MAX(0,E114-L114)</f>
        <v>1.471094</v>
      </c>
      <c r="N114" s="13" t="n">
        <f aca="false">MAX(0,G114-J114-K114)</f>
        <v>0</v>
      </c>
      <c r="O114" s="13" t="n">
        <f aca="false">Q114-I114</f>
        <v>0.0348840000000001</v>
      </c>
      <c r="P114" s="13" t="n">
        <f aca="false">G114+Q114-L114-N114-O114-K114</f>
        <v>0</v>
      </c>
      <c r="Q114" s="13" t="n">
        <f aca="false">IF(A114="",0,K113)</f>
        <v>1.7442</v>
      </c>
    </row>
    <row r="115" customFormat="false" ht="16.4" hidden="false" customHeight="false" outlineLevel="0" collapsed="false">
      <c r="A115" s="23" t="n">
        <f aca="false">Kalender!A115</f>
        <v>46133</v>
      </c>
      <c r="B115" s="13" t="n">
        <f aca="false">Kalender!C115</f>
        <v>1</v>
      </c>
      <c r="C115" s="13" t="n">
        <f aca="false">Kalender!D115</f>
        <v>1</v>
      </c>
      <c r="D115" s="13" t="n">
        <f aca="false">IF(Prüfungen!$B$4=0,(IFERROR(SUMIF(Nutzungsprofile!$B$6:$B$11,"Schulbetrieb",Nutzungsprofile!$G$6:$G$11)*Kalender!C115/SUM(Kalender!$C$5:$C$370),0)+IFERROR(SUMIF(Nutzungsprofile!$B$6:$B$11,"Halle",Nutzungsprofile!$G$6:$G$11)*Kalender!D115/SUM(Kalender!$D$5:$D$370),0)+IFERROR(SUMIF(Nutzungsprofile!$B$6:$B$11,"Individuell",Nutzungsprofile!$G$6:$G$11)*Kalender!E115/SUM(Kalender!$E$5:$E$370),0)),0)</f>
        <v>2.94</v>
      </c>
      <c r="E115" s="13" t="n">
        <f aca="false">IF(Prüfungen!$B$4=0,(IFERROR(SUMIF(Nutzungsprofile!$B$17:$B$22,"Schulbetrieb",Nutzungsprofile!$G$17:$G$22)*Kalender!C115/SUM(Kalender!$C$5:$C$370),0)+IFERROR(SUMIF(Nutzungsprofile!$B$17:$B$22,"Halle",Nutzungsprofile!$G$17:$G$22)*Kalender!D115/SUM(Kalender!$D$5:$D$370),0)+IFERROR(SUMIF(Nutzungsprofile!$B$17:$B$22,"Individuell",Nutzungsprofile!$G$17:$G$22)*Kalender!E115/SUM(Kalender!$E$5:$E$370),0)),0)</f>
        <v>4.94</v>
      </c>
      <c r="F115" s="13" t="n">
        <f aca="false">IFERROR(MIN(D115,Eingaben!$B$17)*Eingaben!$B$16,0)</f>
        <v>2.793</v>
      </c>
      <c r="G115" s="13" t="n">
        <f aca="false">IFERROR(F115*Eingaben!$B$15,0)</f>
        <v>2.5137</v>
      </c>
      <c r="H115" s="13" t="n">
        <f aca="false">IFERROR(Q115*(1-Eingaben!$B$20),0)</f>
        <v>0.7390278</v>
      </c>
      <c r="I115" s="13" t="n">
        <f aca="false">MIN(H115,E115)</f>
        <v>0.7390278</v>
      </c>
      <c r="J115" s="13" t="n">
        <f aca="false">IFERROR(MIN(G115*Eingaben!$B$19,MAX(0,E115-I115)),0)</f>
        <v>1.75959</v>
      </c>
      <c r="K115" s="13" t="n">
        <f aca="false">IFERROR(MIN(Eingaben!$B$18,MAX(0,G115-J115)),0)</f>
        <v>0.75411</v>
      </c>
      <c r="L115" s="13" t="n">
        <f aca="false">I115+J115</f>
        <v>2.4986178</v>
      </c>
      <c r="M115" s="13" t="n">
        <f aca="false">MAX(0,E115-L115)</f>
        <v>2.4413822</v>
      </c>
      <c r="N115" s="13" t="n">
        <f aca="false">MAX(0,G115-J115-K115)</f>
        <v>0</v>
      </c>
      <c r="O115" s="13" t="n">
        <f aca="false">Q115-I115</f>
        <v>0.0150822</v>
      </c>
      <c r="P115" s="13" t="n">
        <f aca="false">G115+Q115-L115-N115-O115-K115</f>
        <v>0</v>
      </c>
      <c r="Q115" s="13" t="n">
        <f aca="false">IF(A115="",0,K114)</f>
        <v>0.75411</v>
      </c>
    </row>
    <row r="116" customFormat="false" ht="16.4" hidden="false" customHeight="false" outlineLevel="0" collapsed="false">
      <c r="A116" s="23" t="n">
        <f aca="false">Kalender!A116</f>
        <v>46134</v>
      </c>
      <c r="B116" s="13" t="n">
        <f aca="false">Kalender!C116</f>
        <v>1</v>
      </c>
      <c r="C116" s="13" t="n">
        <f aca="false">Kalender!D116</f>
        <v>1</v>
      </c>
      <c r="D116" s="13" t="n">
        <f aca="false">IF(Prüfungen!$B$4=0,(IFERROR(SUMIF(Nutzungsprofile!$B$6:$B$11,"Schulbetrieb",Nutzungsprofile!$G$6:$G$11)*Kalender!C116/SUM(Kalender!$C$5:$C$370),0)+IFERROR(SUMIF(Nutzungsprofile!$B$6:$B$11,"Halle",Nutzungsprofile!$G$6:$G$11)*Kalender!D116/SUM(Kalender!$D$5:$D$370),0)+IFERROR(SUMIF(Nutzungsprofile!$B$6:$B$11,"Individuell",Nutzungsprofile!$G$6:$G$11)*Kalender!E116/SUM(Kalender!$E$5:$E$370),0)),0)</f>
        <v>2.94</v>
      </c>
      <c r="E116" s="13" t="n">
        <f aca="false">IF(Prüfungen!$B$4=0,(IFERROR(SUMIF(Nutzungsprofile!$B$17:$B$22,"Schulbetrieb",Nutzungsprofile!$G$17:$G$22)*Kalender!C116/SUM(Kalender!$C$5:$C$370),0)+IFERROR(SUMIF(Nutzungsprofile!$B$17:$B$22,"Halle",Nutzungsprofile!$G$17:$G$22)*Kalender!D116/SUM(Kalender!$D$5:$D$370),0)+IFERROR(SUMIF(Nutzungsprofile!$B$17:$B$22,"Individuell",Nutzungsprofile!$G$17:$G$22)*Kalender!E116/SUM(Kalender!$E$5:$E$370),0)),0)</f>
        <v>4.94</v>
      </c>
      <c r="F116" s="13" t="n">
        <f aca="false">IFERROR(MIN(D116,Eingaben!$B$17)*Eingaben!$B$16,0)</f>
        <v>2.793</v>
      </c>
      <c r="G116" s="13" t="n">
        <f aca="false">IFERROR(F116*Eingaben!$B$15,0)</f>
        <v>2.5137</v>
      </c>
      <c r="H116" s="13" t="n">
        <f aca="false">IFERROR(Q116*(1-Eingaben!$B$20),0)</f>
        <v>0.7390278</v>
      </c>
      <c r="I116" s="13" t="n">
        <f aca="false">MIN(H116,E116)</f>
        <v>0.7390278</v>
      </c>
      <c r="J116" s="13" t="n">
        <f aca="false">IFERROR(MIN(G116*Eingaben!$B$19,MAX(0,E116-I116)),0)</f>
        <v>1.75959</v>
      </c>
      <c r="K116" s="13" t="n">
        <f aca="false">IFERROR(MIN(Eingaben!$B$18,MAX(0,G116-J116)),0)</f>
        <v>0.75411</v>
      </c>
      <c r="L116" s="13" t="n">
        <f aca="false">I116+J116</f>
        <v>2.4986178</v>
      </c>
      <c r="M116" s="13" t="n">
        <f aca="false">MAX(0,E116-L116)</f>
        <v>2.4413822</v>
      </c>
      <c r="N116" s="13" t="n">
        <f aca="false">MAX(0,G116-J116-K116)</f>
        <v>0</v>
      </c>
      <c r="O116" s="13" t="n">
        <f aca="false">Q116-I116</f>
        <v>0.0150822</v>
      </c>
      <c r="P116" s="13" t="n">
        <f aca="false">G116+Q116-L116-N116-O116-K116</f>
        <v>0</v>
      </c>
      <c r="Q116" s="13" t="n">
        <f aca="false">IF(A116="",0,K115)</f>
        <v>0.75411</v>
      </c>
    </row>
    <row r="117" customFormat="false" ht="16.4" hidden="false" customHeight="false" outlineLevel="0" collapsed="false">
      <c r="A117" s="23" t="n">
        <f aca="false">Kalender!A117</f>
        <v>46135</v>
      </c>
      <c r="B117" s="13" t="n">
        <f aca="false">Kalender!C117</f>
        <v>1</v>
      </c>
      <c r="C117" s="13" t="n">
        <f aca="false">Kalender!D117</f>
        <v>1</v>
      </c>
      <c r="D117" s="13" t="n">
        <f aca="false">IF(Prüfungen!$B$4=0,(IFERROR(SUMIF(Nutzungsprofile!$B$6:$B$11,"Schulbetrieb",Nutzungsprofile!$G$6:$G$11)*Kalender!C117/SUM(Kalender!$C$5:$C$370),0)+IFERROR(SUMIF(Nutzungsprofile!$B$6:$B$11,"Halle",Nutzungsprofile!$G$6:$G$11)*Kalender!D117/SUM(Kalender!$D$5:$D$370),0)+IFERROR(SUMIF(Nutzungsprofile!$B$6:$B$11,"Individuell",Nutzungsprofile!$G$6:$G$11)*Kalender!E117/SUM(Kalender!$E$5:$E$370),0)),0)</f>
        <v>2.94</v>
      </c>
      <c r="E117" s="13" t="n">
        <f aca="false">IF(Prüfungen!$B$4=0,(IFERROR(SUMIF(Nutzungsprofile!$B$17:$B$22,"Schulbetrieb",Nutzungsprofile!$G$17:$G$22)*Kalender!C117/SUM(Kalender!$C$5:$C$370),0)+IFERROR(SUMIF(Nutzungsprofile!$B$17:$B$22,"Halle",Nutzungsprofile!$G$17:$G$22)*Kalender!D117/SUM(Kalender!$D$5:$D$370),0)+IFERROR(SUMIF(Nutzungsprofile!$B$17:$B$22,"Individuell",Nutzungsprofile!$G$17:$G$22)*Kalender!E117/SUM(Kalender!$E$5:$E$370),0)),0)</f>
        <v>4.94</v>
      </c>
      <c r="F117" s="13" t="n">
        <f aca="false">IFERROR(MIN(D117,Eingaben!$B$17)*Eingaben!$B$16,0)</f>
        <v>2.793</v>
      </c>
      <c r="G117" s="13" t="n">
        <f aca="false">IFERROR(F117*Eingaben!$B$15,0)</f>
        <v>2.5137</v>
      </c>
      <c r="H117" s="13" t="n">
        <f aca="false">IFERROR(Q117*(1-Eingaben!$B$20),0)</f>
        <v>0.7390278</v>
      </c>
      <c r="I117" s="13" t="n">
        <f aca="false">MIN(H117,E117)</f>
        <v>0.7390278</v>
      </c>
      <c r="J117" s="13" t="n">
        <f aca="false">IFERROR(MIN(G117*Eingaben!$B$19,MAX(0,E117-I117)),0)</f>
        <v>1.75959</v>
      </c>
      <c r="K117" s="13" t="n">
        <f aca="false">IFERROR(MIN(Eingaben!$B$18,MAX(0,G117-J117)),0)</f>
        <v>0.75411</v>
      </c>
      <c r="L117" s="13" t="n">
        <f aca="false">I117+J117</f>
        <v>2.4986178</v>
      </c>
      <c r="M117" s="13" t="n">
        <f aca="false">MAX(0,E117-L117)</f>
        <v>2.4413822</v>
      </c>
      <c r="N117" s="13" t="n">
        <f aca="false">MAX(0,G117-J117-K117)</f>
        <v>0</v>
      </c>
      <c r="O117" s="13" t="n">
        <f aca="false">Q117-I117</f>
        <v>0.0150822</v>
      </c>
      <c r="P117" s="13" t="n">
        <f aca="false">G117+Q117-L117-N117-O117-K117</f>
        <v>0</v>
      </c>
      <c r="Q117" s="13" t="n">
        <f aca="false">IF(A117="",0,K116)</f>
        <v>0.75411</v>
      </c>
    </row>
    <row r="118" customFormat="false" ht="16.4" hidden="false" customHeight="false" outlineLevel="0" collapsed="false">
      <c r="A118" s="23" t="n">
        <f aca="false">Kalender!A118</f>
        <v>46136</v>
      </c>
      <c r="B118" s="13" t="n">
        <f aca="false">Kalender!C118</f>
        <v>1</v>
      </c>
      <c r="C118" s="13" t="n">
        <f aca="false">Kalender!D118</f>
        <v>1</v>
      </c>
      <c r="D118" s="13" t="n">
        <f aca="false">IF(Prüfungen!$B$4=0,(IFERROR(SUMIF(Nutzungsprofile!$B$6:$B$11,"Schulbetrieb",Nutzungsprofile!$G$6:$G$11)*Kalender!C118/SUM(Kalender!$C$5:$C$370),0)+IFERROR(SUMIF(Nutzungsprofile!$B$6:$B$11,"Halle",Nutzungsprofile!$G$6:$G$11)*Kalender!D118/SUM(Kalender!$D$5:$D$370),0)+IFERROR(SUMIF(Nutzungsprofile!$B$6:$B$11,"Individuell",Nutzungsprofile!$G$6:$G$11)*Kalender!E118/SUM(Kalender!$E$5:$E$370),0)),0)</f>
        <v>2.94</v>
      </c>
      <c r="E118" s="13" t="n">
        <f aca="false">IF(Prüfungen!$B$4=0,(IFERROR(SUMIF(Nutzungsprofile!$B$17:$B$22,"Schulbetrieb",Nutzungsprofile!$G$17:$G$22)*Kalender!C118/SUM(Kalender!$C$5:$C$370),0)+IFERROR(SUMIF(Nutzungsprofile!$B$17:$B$22,"Halle",Nutzungsprofile!$G$17:$G$22)*Kalender!D118/SUM(Kalender!$D$5:$D$370),0)+IFERROR(SUMIF(Nutzungsprofile!$B$17:$B$22,"Individuell",Nutzungsprofile!$G$17:$G$22)*Kalender!E118/SUM(Kalender!$E$5:$E$370),0)),0)</f>
        <v>4.94</v>
      </c>
      <c r="F118" s="13" t="n">
        <f aca="false">IFERROR(MIN(D118,Eingaben!$B$17)*Eingaben!$B$16,0)</f>
        <v>2.793</v>
      </c>
      <c r="G118" s="13" t="n">
        <f aca="false">IFERROR(F118*Eingaben!$B$15,0)</f>
        <v>2.5137</v>
      </c>
      <c r="H118" s="13" t="n">
        <f aca="false">IFERROR(Q118*(1-Eingaben!$B$20),0)</f>
        <v>0.7390278</v>
      </c>
      <c r="I118" s="13" t="n">
        <f aca="false">MIN(H118,E118)</f>
        <v>0.7390278</v>
      </c>
      <c r="J118" s="13" t="n">
        <f aca="false">IFERROR(MIN(G118*Eingaben!$B$19,MAX(0,E118-I118)),0)</f>
        <v>1.75959</v>
      </c>
      <c r="K118" s="13" t="n">
        <f aca="false">IFERROR(MIN(Eingaben!$B$18,MAX(0,G118-J118)),0)</f>
        <v>0.75411</v>
      </c>
      <c r="L118" s="13" t="n">
        <f aca="false">I118+J118</f>
        <v>2.4986178</v>
      </c>
      <c r="M118" s="13" t="n">
        <f aca="false">MAX(0,E118-L118)</f>
        <v>2.4413822</v>
      </c>
      <c r="N118" s="13" t="n">
        <f aca="false">MAX(0,G118-J118-K118)</f>
        <v>0</v>
      </c>
      <c r="O118" s="13" t="n">
        <f aca="false">Q118-I118</f>
        <v>0.0150822</v>
      </c>
      <c r="P118" s="13" t="n">
        <f aca="false">G118+Q118-L118-N118-O118-K118</f>
        <v>0</v>
      </c>
      <c r="Q118" s="13" t="n">
        <f aca="false">IF(A118="",0,K117)</f>
        <v>0.75411</v>
      </c>
    </row>
    <row r="119" customFormat="false" ht="16.4" hidden="false" customHeight="false" outlineLevel="0" collapsed="false">
      <c r="A119" s="23" t="n">
        <f aca="false">Kalender!A119</f>
        <v>46137</v>
      </c>
      <c r="B119" s="13" t="n">
        <f aca="false">Kalender!C119</f>
        <v>0</v>
      </c>
      <c r="C119" s="13" t="n">
        <f aca="false">Kalender!D119</f>
        <v>1</v>
      </c>
      <c r="D119" s="13" t="n">
        <f aca="false">IF(Prüfungen!$B$4=0,(IFERROR(SUMIF(Nutzungsprofile!$B$6:$B$11,"Schulbetrieb",Nutzungsprofile!$G$6:$G$11)*Kalender!C119/SUM(Kalender!$C$5:$C$370),0)+IFERROR(SUMIF(Nutzungsprofile!$B$6:$B$11,"Halle",Nutzungsprofile!$G$6:$G$11)*Kalender!D119/SUM(Kalender!$D$5:$D$370),0)+IFERROR(SUMIF(Nutzungsprofile!$B$6:$B$11,"Individuell",Nutzungsprofile!$G$6:$G$11)*Kalender!E119/SUM(Kalender!$E$5:$E$370),0)),0)</f>
        <v>2.04</v>
      </c>
      <c r="E119" s="13" t="n">
        <f aca="false">IF(Prüfungen!$B$4=0,(IFERROR(SUMIF(Nutzungsprofile!$B$17:$B$22,"Schulbetrieb",Nutzungsprofile!$G$17:$G$22)*Kalender!C119/SUM(Kalender!$C$5:$C$370),0)+IFERROR(SUMIF(Nutzungsprofile!$B$17:$B$22,"Halle",Nutzungsprofile!$G$17:$G$22)*Kalender!D119/SUM(Kalender!$D$5:$D$370),0)+IFERROR(SUMIF(Nutzungsprofile!$B$17:$B$22,"Individuell",Nutzungsprofile!$G$17:$G$22)*Kalender!E119/SUM(Kalender!$E$5:$E$370),0)),0)</f>
        <v>0.89</v>
      </c>
      <c r="F119" s="13" t="n">
        <f aca="false">IFERROR(MIN(D119,Eingaben!$B$17)*Eingaben!$B$16,0)</f>
        <v>1.938</v>
      </c>
      <c r="G119" s="13" t="n">
        <f aca="false">IFERROR(F119*Eingaben!$B$15,0)</f>
        <v>1.7442</v>
      </c>
      <c r="H119" s="13" t="n">
        <f aca="false">IFERROR(Q119*(1-Eingaben!$B$20),0)</f>
        <v>0.7390278</v>
      </c>
      <c r="I119" s="13" t="n">
        <f aca="false">MIN(H119,E119)</f>
        <v>0.7390278</v>
      </c>
      <c r="J119" s="13" t="n">
        <f aca="false">IFERROR(MIN(G119*Eingaben!$B$19,MAX(0,E119-I119)),0)</f>
        <v>0.1509722</v>
      </c>
      <c r="K119" s="13" t="n">
        <f aca="false">IFERROR(MIN(Eingaben!$B$18,MAX(0,G119-J119)),0)</f>
        <v>1.5932278</v>
      </c>
      <c r="L119" s="13" t="n">
        <f aca="false">I119+J119</f>
        <v>0.89</v>
      </c>
      <c r="M119" s="13" t="n">
        <f aca="false">MAX(0,E119-L119)</f>
        <v>0</v>
      </c>
      <c r="N119" s="13" t="n">
        <f aca="false">MAX(0,G119-J119-K119)</f>
        <v>0</v>
      </c>
      <c r="O119" s="13" t="n">
        <f aca="false">Q119-I119</f>
        <v>0.0150822</v>
      </c>
      <c r="P119" s="13" t="n">
        <f aca="false">G119+Q119-L119-N119-O119-K119</f>
        <v>0</v>
      </c>
      <c r="Q119" s="13" t="n">
        <f aca="false">IF(A119="",0,K118)</f>
        <v>0.75411</v>
      </c>
    </row>
    <row r="120" customFormat="false" ht="16.4" hidden="false" customHeight="false" outlineLevel="0" collapsed="false">
      <c r="A120" s="23" t="n">
        <f aca="false">Kalender!A120</f>
        <v>46138</v>
      </c>
      <c r="B120" s="13" t="n">
        <f aca="false">Kalender!C120</f>
        <v>0</v>
      </c>
      <c r="C120" s="13" t="n">
        <f aca="false">Kalender!D120</f>
        <v>1</v>
      </c>
      <c r="D120" s="13" t="n">
        <f aca="false">IF(Prüfungen!$B$4=0,(IFERROR(SUMIF(Nutzungsprofile!$B$6:$B$11,"Schulbetrieb",Nutzungsprofile!$G$6:$G$11)*Kalender!C120/SUM(Kalender!$C$5:$C$370),0)+IFERROR(SUMIF(Nutzungsprofile!$B$6:$B$11,"Halle",Nutzungsprofile!$G$6:$G$11)*Kalender!D120/SUM(Kalender!$D$5:$D$370),0)+IFERROR(SUMIF(Nutzungsprofile!$B$6:$B$11,"Individuell",Nutzungsprofile!$G$6:$G$11)*Kalender!E120/SUM(Kalender!$E$5:$E$370),0)),0)</f>
        <v>2.04</v>
      </c>
      <c r="E120" s="13" t="n">
        <f aca="false">IF(Prüfungen!$B$4=0,(IFERROR(SUMIF(Nutzungsprofile!$B$17:$B$22,"Schulbetrieb",Nutzungsprofile!$G$17:$G$22)*Kalender!C120/SUM(Kalender!$C$5:$C$370),0)+IFERROR(SUMIF(Nutzungsprofile!$B$17:$B$22,"Halle",Nutzungsprofile!$G$17:$G$22)*Kalender!D120/SUM(Kalender!$D$5:$D$370),0)+IFERROR(SUMIF(Nutzungsprofile!$B$17:$B$22,"Individuell",Nutzungsprofile!$G$17:$G$22)*Kalender!E120/SUM(Kalender!$E$5:$E$370),0)),0)</f>
        <v>0.89</v>
      </c>
      <c r="F120" s="13" t="n">
        <f aca="false">IFERROR(MIN(D120,Eingaben!$B$17)*Eingaben!$B$16,0)</f>
        <v>1.938</v>
      </c>
      <c r="G120" s="13" t="n">
        <f aca="false">IFERROR(F120*Eingaben!$B$15,0)</f>
        <v>1.7442</v>
      </c>
      <c r="H120" s="13" t="n">
        <f aca="false">IFERROR(Q120*(1-Eingaben!$B$20),0)</f>
        <v>1.561363244</v>
      </c>
      <c r="I120" s="13" t="n">
        <f aca="false">MIN(H120,E120)</f>
        <v>0.89</v>
      </c>
      <c r="J120" s="13" t="n">
        <f aca="false">IFERROR(MIN(G120*Eingaben!$B$19,MAX(0,E120-I120)),0)</f>
        <v>0</v>
      </c>
      <c r="K120" s="13" t="n">
        <f aca="false">IFERROR(MIN(Eingaben!$B$18,MAX(0,G120-J120)),0)</f>
        <v>1.7442</v>
      </c>
      <c r="L120" s="13" t="n">
        <f aca="false">I120+J120</f>
        <v>0.89</v>
      </c>
      <c r="M120" s="13" t="n">
        <f aca="false">MAX(0,E120-L120)</f>
        <v>0</v>
      </c>
      <c r="N120" s="13" t="n">
        <f aca="false">MAX(0,G120-J120-K120)</f>
        <v>0</v>
      </c>
      <c r="O120" s="13" t="n">
        <f aca="false">Q120-I120</f>
        <v>0.7032278</v>
      </c>
      <c r="P120" s="13" t="n">
        <f aca="false">G120+Q120-L120-N120-O120-K120</f>
        <v>0</v>
      </c>
      <c r="Q120" s="13" t="n">
        <f aca="false">IF(A120="",0,K119)</f>
        <v>1.5932278</v>
      </c>
    </row>
    <row r="121" customFormat="false" ht="16.4" hidden="false" customHeight="false" outlineLevel="0" collapsed="false">
      <c r="A121" s="23" t="n">
        <f aca="false">Kalender!A121</f>
        <v>46139</v>
      </c>
      <c r="B121" s="13" t="n">
        <f aca="false">Kalender!C121</f>
        <v>1</v>
      </c>
      <c r="C121" s="13" t="n">
        <f aca="false">Kalender!D121</f>
        <v>1</v>
      </c>
      <c r="D121" s="13" t="n">
        <f aca="false">IF(Prüfungen!$B$4=0,(IFERROR(SUMIF(Nutzungsprofile!$B$6:$B$11,"Schulbetrieb",Nutzungsprofile!$G$6:$G$11)*Kalender!C121/SUM(Kalender!$C$5:$C$370),0)+IFERROR(SUMIF(Nutzungsprofile!$B$6:$B$11,"Halle",Nutzungsprofile!$G$6:$G$11)*Kalender!D121/SUM(Kalender!$D$5:$D$370),0)+IFERROR(SUMIF(Nutzungsprofile!$B$6:$B$11,"Individuell",Nutzungsprofile!$G$6:$G$11)*Kalender!E121/SUM(Kalender!$E$5:$E$370),0)),0)</f>
        <v>2.94</v>
      </c>
      <c r="E121" s="13" t="n">
        <f aca="false">IF(Prüfungen!$B$4=0,(IFERROR(SUMIF(Nutzungsprofile!$B$17:$B$22,"Schulbetrieb",Nutzungsprofile!$G$17:$G$22)*Kalender!C121/SUM(Kalender!$C$5:$C$370),0)+IFERROR(SUMIF(Nutzungsprofile!$B$17:$B$22,"Halle",Nutzungsprofile!$G$17:$G$22)*Kalender!D121/SUM(Kalender!$D$5:$D$370),0)+IFERROR(SUMIF(Nutzungsprofile!$B$17:$B$22,"Individuell",Nutzungsprofile!$G$17:$G$22)*Kalender!E121/SUM(Kalender!$E$5:$E$370),0)),0)</f>
        <v>4.94</v>
      </c>
      <c r="F121" s="13" t="n">
        <f aca="false">IFERROR(MIN(D121,Eingaben!$B$17)*Eingaben!$B$16,0)</f>
        <v>2.793</v>
      </c>
      <c r="G121" s="13" t="n">
        <f aca="false">IFERROR(F121*Eingaben!$B$15,0)</f>
        <v>2.5137</v>
      </c>
      <c r="H121" s="13" t="n">
        <f aca="false">IFERROR(Q121*(1-Eingaben!$B$20),0)</f>
        <v>1.709316</v>
      </c>
      <c r="I121" s="13" t="n">
        <f aca="false">MIN(H121,E121)</f>
        <v>1.709316</v>
      </c>
      <c r="J121" s="13" t="n">
        <f aca="false">IFERROR(MIN(G121*Eingaben!$B$19,MAX(0,E121-I121)),0)</f>
        <v>1.75959</v>
      </c>
      <c r="K121" s="13" t="n">
        <f aca="false">IFERROR(MIN(Eingaben!$B$18,MAX(0,G121-J121)),0)</f>
        <v>0.75411</v>
      </c>
      <c r="L121" s="13" t="n">
        <f aca="false">I121+J121</f>
        <v>3.468906</v>
      </c>
      <c r="M121" s="13" t="n">
        <f aca="false">MAX(0,E121-L121)</f>
        <v>1.471094</v>
      </c>
      <c r="N121" s="13" t="n">
        <f aca="false">MAX(0,G121-J121-K121)</f>
        <v>0</v>
      </c>
      <c r="O121" s="13" t="n">
        <f aca="false">Q121-I121</f>
        <v>0.0348840000000001</v>
      </c>
      <c r="P121" s="13" t="n">
        <f aca="false">G121+Q121-L121-N121-O121-K121</f>
        <v>0</v>
      </c>
      <c r="Q121" s="13" t="n">
        <f aca="false">IF(A121="",0,K120)</f>
        <v>1.7442</v>
      </c>
    </row>
    <row r="122" customFormat="false" ht="16.4" hidden="false" customHeight="false" outlineLevel="0" collapsed="false">
      <c r="A122" s="23" t="n">
        <f aca="false">Kalender!A122</f>
        <v>46140</v>
      </c>
      <c r="B122" s="13" t="n">
        <f aca="false">Kalender!C122</f>
        <v>1</v>
      </c>
      <c r="C122" s="13" t="n">
        <f aca="false">Kalender!D122</f>
        <v>1</v>
      </c>
      <c r="D122" s="13" t="n">
        <f aca="false">IF(Prüfungen!$B$4=0,(IFERROR(SUMIF(Nutzungsprofile!$B$6:$B$11,"Schulbetrieb",Nutzungsprofile!$G$6:$G$11)*Kalender!C122/SUM(Kalender!$C$5:$C$370),0)+IFERROR(SUMIF(Nutzungsprofile!$B$6:$B$11,"Halle",Nutzungsprofile!$G$6:$G$11)*Kalender!D122/SUM(Kalender!$D$5:$D$370),0)+IFERROR(SUMIF(Nutzungsprofile!$B$6:$B$11,"Individuell",Nutzungsprofile!$G$6:$G$11)*Kalender!E122/SUM(Kalender!$E$5:$E$370),0)),0)</f>
        <v>2.94</v>
      </c>
      <c r="E122" s="13" t="n">
        <f aca="false">IF(Prüfungen!$B$4=0,(IFERROR(SUMIF(Nutzungsprofile!$B$17:$B$22,"Schulbetrieb",Nutzungsprofile!$G$17:$G$22)*Kalender!C122/SUM(Kalender!$C$5:$C$370),0)+IFERROR(SUMIF(Nutzungsprofile!$B$17:$B$22,"Halle",Nutzungsprofile!$G$17:$G$22)*Kalender!D122/SUM(Kalender!$D$5:$D$370),0)+IFERROR(SUMIF(Nutzungsprofile!$B$17:$B$22,"Individuell",Nutzungsprofile!$G$17:$G$22)*Kalender!E122/SUM(Kalender!$E$5:$E$370),0)),0)</f>
        <v>4.94</v>
      </c>
      <c r="F122" s="13" t="n">
        <f aca="false">IFERROR(MIN(D122,Eingaben!$B$17)*Eingaben!$B$16,0)</f>
        <v>2.793</v>
      </c>
      <c r="G122" s="13" t="n">
        <f aca="false">IFERROR(F122*Eingaben!$B$15,0)</f>
        <v>2.5137</v>
      </c>
      <c r="H122" s="13" t="n">
        <f aca="false">IFERROR(Q122*(1-Eingaben!$B$20),0)</f>
        <v>0.7390278</v>
      </c>
      <c r="I122" s="13" t="n">
        <f aca="false">MIN(H122,E122)</f>
        <v>0.7390278</v>
      </c>
      <c r="J122" s="13" t="n">
        <f aca="false">IFERROR(MIN(G122*Eingaben!$B$19,MAX(0,E122-I122)),0)</f>
        <v>1.75959</v>
      </c>
      <c r="K122" s="13" t="n">
        <f aca="false">IFERROR(MIN(Eingaben!$B$18,MAX(0,G122-J122)),0)</f>
        <v>0.75411</v>
      </c>
      <c r="L122" s="13" t="n">
        <f aca="false">I122+J122</f>
        <v>2.4986178</v>
      </c>
      <c r="M122" s="13" t="n">
        <f aca="false">MAX(0,E122-L122)</f>
        <v>2.4413822</v>
      </c>
      <c r="N122" s="13" t="n">
        <f aca="false">MAX(0,G122-J122-K122)</f>
        <v>0</v>
      </c>
      <c r="O122" s="13" t="n">
        <f aca="false">Q122-I122</f>
        <v>0.0150822</v>
      </c>
      <c r="P122" s="13" t="n">
        <f aca="false">G122+Q122-L122-N122-O122-K122</f>
        <v>0</v>
      </c>
      <c r="Q122" s="13" t="n">
        <f aca="false">IF(A122="",0,K121)</f>
        <v>0.75411</v>
      </c>
    </row>
    <row r="123" customFormat="false" ht="16.4" hidden="false" customHeight="false" outlineLevel="0" collapsed="false">
      <c r="A123" s="23" t="n">
        <f aca="false">Kalender!A123</f>
        <v>46141</v>
      </c>
      <c r="B123" s="13" t="n">
        <f aca="false">Kalender!C123</f>
        <v>1</v>
      </c>
      <c r="C123" s="13" t="n">
        <f aca="false">Kalender!D123</f>
        <v>1</v>
      </c>
      <c r="D123" s="13" t="n">
        <f aca="false">IF(Prüfungen!$B$4=0,(IFERROR(SUMIF(Nutzungsprofile!$B$6:$B$11,"Schulbetrieb",Nutzungsprofile!$G$6:$G$11)*Kalender!C123/SUM(Kalender!$C$5:$C$370),0)+IFERROR(SUMIF(Nutzungsprofile!$B$6:$B$11,"Halle",Nutzungsprofile!$G$6:$G$11)*Kalender!D123/SUM(Kalender!$D$5:$D$370),0)+IFERROR(SUMIF(Nutzungsprofile!$B$6:$B$11,"Individuell",Nutzungsprofile!$G$6:$G$11)*Kalender!E123/SUM(Kalender!$E$5:$E$370),0)),0)</f>
        <v>2.94</v>
      </c>
      <c r="E123" s="13" t="n">
        <f aca="false">IF(Prüfungen!$B$4=0,(IFERROR(SUMIF(Nutzungsprofile!$B$17:$B$22,"Schulbetrieb",Nutzungsprofile!$G$17:$G$22)*Kalender!C123/SUM(Kalender!$C$5:$C$370),0)+IFERROR(SUMIF(Nutzungsprofile!$B$17:$B$22,"Halle",Nutzungsprofile!$G$17:$G$22)*Kalender!D123/SUM(Kalender!$D$5:$D$370),0)+IFERROR(SUMIF(Nutzungsprofile!$B$17:$B$22,"Individuell",Nutzungsprofile!$G$17:$G$22)*Kalender!E123/SUM(Kalender!$E$5:$E$370),0)),0)</f>
        <v>4.94</v>
      </c>
      <c r="F123" s="13" t="n">
        <f aca="false">IFERROR(MIN(D123,Eingaben!$B$17)*Eingaben!$B$16,0)</f>
        <v>2.793</v>
      </c>
      <c r="G123" s="13" t="n">
        <f aca="false">IFERROR(F123*Eingaben!$B$15,0)</f>
        <v>2.5137</v>
      </c>
      <c r="H123" s="13" t="n">
        <f aca="false">IFERROR(Q123*(1-Eingaben!$B$20),0)</f>
        <v>0.7390278</v>
      </c>
      <c r="I123" s="13" t="n">
        <f aca="false">MIN(H123,E123)</f>
        <v>0.7390278</v>
      </c>
      <c r="J123" s="13" t="n">
        <f aca="false">IFERROR(MIN(G123*Eingaben!$B$19,MAX(0,E123-I123)),0)</f>
        <v>1.75959</v>
      </c>
      <c r="K123" s="13" t="n">
        <f aca="false">IFERROR(MIN(Eingaben!$B$18,MAX(0,G123-J123)),0)</f>
        <v>0.75411</v>
      </c>
      <c r="L123" s="13" t="n">
        <f aca="false">I123+J123</f>
        <v>2.4986178</v>
      </c>
      <c r="M123" s="13" t="n">
        <f aca="false">MAX(0,E123-L123)</f>
        <v>2.4413822</v>
      </c>
      <c r="N123" s="13" t="n">
        <f aca="false">MAX(0,G123-J123-K123)</f>
        <v>0</v>
      </c>
      <c r="O123" s="13" t="n">
        <f aca="false">Q123-I123</f>
        <v>0.0150822</v>
      </c>
      <c r="P123" s="13" t="n">
        <f aca="false">G123+Q123-L123-N123-O123-K123</f>
        <v>0</v>
      </c>
      <c r="Q123" s="13" t="n">
        <f aca="false">IF(A123="",0,K122)</f>
        <v>0.75411</v>
      </c>
    </row>
    <row r="124" customFormat="false" ht="16.4" hidden="false" customHeight="false" outlineLevel="0" collapsed="false">
      <c r="A124" s="23" t="n">
        <f aca="false">Kalender!A124</f>
        <v>46142</v>
      </c>
      <c r="B124" s="13" t="n">
        <f aca="false">Kalender!C124</f>
        <v>1</v>
      </c>
      <c r="C124" s="13" t="n">
        <f aca="false">Kalender!D124</f>
        <v>1</v>
      </c>
      <c r="D124" s="13" t="n">
        <f aca="false">IF(Prüfungen!$B$4=0,(IFERROR(SUMIF(Nutzungsprofile!$B$6:$B$11,"Schulbetrieb",Nutzungsprofile!$G$6:$G$11)*Kalender!C124/SUM(Kalender!$C$5:$C$370),0)+IFERROR(SUMIF(Nutzungsprofile!$B$6:$B$11,"Halle",Nutzungsprofile!$G$6:$G$11)*Kalender!D124/SUM(Kalender!$D$5:$D$370),0)+IFERROR(SUMIF(Nutzungsprofile!$B$6:$B$11,"Individuell",Nutzungsprofile!$G$6:$G$11)*Kalender!E124/SUM(Kalender!$E$5:$E$370),0)),0)</f>
        <v>2.94</v>
      </c>
      <c r="E124" s="13" t="n">
        <f aca="false">IF(Prüfungen!$B$4=0,(IFERROR(SUMIF(Nutzungsprofile!$B$17:$B$22,"Schulbetrieb",Nutzungsprofile!$G$17:$G$22)*Kalender!C124/SUM(Kalender!$C$5:$C$370),0)+IFERROR(SUMIF(Nutzungsprofile!$B$17:$B$22,"Halle",Nutzungsprofile!$G$17:$G$22)*Kalender!D124/SUM(Kalender!$D$5:$D$370),0)+IFERROR(SUMIF(Nutzungsprofile!$B$17:$B$22,"Individuell",Nutzungsprofile!$G$17:$G$22)*Kalender!E124/SUM(Kalender!$E$5:$E$370),0)),0)</f>
        <v>4.94</v>
      </c>
      <c r="F124" s="13" t="n">
        <f aca="false">IFERROR(MIN(D124,Eingaben!$B$17)*Eingaben!$B$16,0)</f>
        <v>2.793</v>
      </c>
      <c r="G124" s="13" t="n">
        <f aca="false">IFERROR(F124*Eingaben!$B$15,0)</f>
        <v>2.5137</v>
      </c>
      <c r="H124" s="13" t="n">
        <f aca="false">IFERROR(Q124*(1-Eingaben!$B$20),0)</f>
        <v>0.7390278</v>
      </c>
      <c r="I124" s="13" t="n">
        <f aca="false">MIN(H124,E124)</f>
        <v>0.7390278</v>
      </c>
      <c r="J124" s="13" t="n">
        <f aca="false">IFERROR(MIN(G124*Eingaben!$B$19,MAX(0,E124-I124)),0)</f>
        <v>1.75959</v>
      </c>
      <c r="K124" s="13" t="n">
        <f aca="false">IFERROR(MIN(Eingaben!$B$18,MAX(0,G124-J124)),0)</f>
        <v>0.75411</v>
      </c>
      <c r="L124" s="13" t="n">
        <f aca="false">I124+J124</f>
        <v>2.4986178</v>
      </c>
      <c r="M124" s="13" t="n">
        <f aca="false">MAX(0,E124-L124)</f>
        <v>2.4413822</v>
      </c>
      <c r="N124" s="13" t="n">
        <f aca="false">MAX(0,G124-J124-K124)</f>
        <v>0</v>
      </c>
      <c r="O124" s="13" t="n">
        <f aca="false">Q124-I124</f>
        <v>0.0150822</v>
      </c>
      <c r="P124" s="13" t="n">
        <f aca="false">G124+Q124-L124-N124-O124-K124</f>
        <v>0</v>
      </c>
      <c r="Q124" s="13" t="n">
        <f aca="false">IF(A124="",0,K123)</f>
        <v>0.75411</v>
      </c>
    </row>
    <row r="125" customFormat="false" ht="16.4" hidden="false" customHeight="false" outlineLevel="0" collapsed="false">
      <c r="A125" s="23" t="n">
        <f aca="false">Kalender!A125</f>
        <v>46143</v>
      </c>
      <c r="B125" s="13" t="n">
        <f aca="false">Kalender!C125</f>
        <v>1</v>
      </c>
      <c r="C125" s="13" t="n">
        <f aca="false">Kalender!D125</f>
        <v>1</v>
      </c>
      <c r="D125" s="13" t="n">
        <f aca="false">IF(Prüfungen!$B$4=0,(IFERROR(SUMIF(Nutzungsprofile!$B$6:$B$11,"Schulbetrieb",Nutzungsprofile!$G$6:$G$11)*Kalender!C125/SUM(Kalender!$C$5:$C$370),0)+IFERROR(SUMIF(Nutzungsprofile!$B$6:$B$11,"Halle",Nutzungsprofile!$G$6:$G$11)*Kalender!D125/SUM(Kalender!$D$5:$D$370),0)+IFERROR(SUMIF(Nutzungsprofile!$B$6:$B$11,"Individuell",Nutzungsprofile!$G$6:$G$11)*Kalender!E125/SUM(Kalender!$E$5:$E$370),0)),0)</f>
        <v>2.94</v>
      </c>
      <c r="E125" s="13" t="n">
        <f aca="false">IF(Prüfungen!$B$4=0,(IFERROR(SUMIF(Nutzungsprofile!$B$17:$B$22,"Schulbetrieb",Nutzungsprofile!$G$17:$G$22)*Kalender!C125/SUM(Kalender!$C$5:$C$370),0)+IFERROR(SUMIF(Nutzungsprofile!$B$17:$B$22,"Halle",Nutzungsprofile!$G$17:$G$22)*Kalender!D125/SUM(Kalender!$D$5:$D$370),0)+IFERROR(SUMIF(Nutzungsprofile!$B$17:$B$22,"Individuell",Nutzungsprofile!$G$17:$G$22)*Kalender!E125/SUM(Kalender!$E$5:$E$370),0)),0)</f>
        <v>4.94</v>
      </c>
      <c r="F125" s="13" t="n">
        <f aca="false">IFERROR(MIN(D125,Eingaben!$B$17)*Eingaben!$B$16,0)</f>
        <v>2.793</v>
      </c>
      <c r="G125" s="13" t="n">
        <f aca="false">IFERROR(F125*Eingaben!$B$15,0)</f>
        <v>2.5137</v>
      </c>
      <c r="H125" s="13" t="n">
        <f aca="false">IFERROR(Q125*(1-Eingaben!$B$20),0)</f>
        <v>0.7390278</v>
      </c>
      <c r="I125" s="13" t="n">
        <f aca="false">MIN(H125,E125)</f>
        <v>0.7390278</v>
      </c>
      <c r="J125" s="13" t="n">
        <f aca="false">IFERROR(MIN(G125*Eingaben!$B$19,MAX(0,E125-I125)),0)</f>
        <v>1.75959</v>
      </c>
      <c r="K125" s="13" t="n">
        <f aca="false">IFERROR(MIN(Eingaben!$B$18,MAX(0,G125-J125)),0)</f>
        <v>0.75411</v>
      </c>
      <c r="L125" s="13" t="n">
        <f aca="false">I125+J125</f>
        <v>2.4986178</v>
      </c>
      <c r="M125" s="13" t="n">
        <f aca="false">MAX(0,E125-L125)</f>
        <v>2.4413822</v>
      </c>
      <c r="N125" s="13" t="n">
        <f aca="false">MAX(0,G125-J125-K125)</f>
        <v>0</v>
      </c>
      <c r="O125" s="13" t="n">
        <f aca="false">Q125-I125</f>
        <v>0.0150822</v>
      </c>
      <c r="P125" s="13" t="n">
        <f aca="false">G125+Q125-L125-N125-O125-K125</f>
        <v>0</v>
      </c>
      <c r="Q125" s="13" t="n">
        <f aca="false">IF(A125="",0,K124)</f>
        <v>0.75411</v>
      </c>
    </row>
    <row r="126" customFormat="false" ht="16.4" hidden="false" customHeight="false" outlineLevel="0" collapsed="false">
      <c r="A126" s="23" t="n">
        <f aca="false">Kalender!A126</f>
        <v>46144</v>
      </c>
      <c r="B126" s="13" t="n">
        <f aca="false">Kalender!C126</f>
        <v>0</v>
      </c>
      <c r="C126" s="13" t="n">
        <f aca="false">Kalender!D126</f>
        <v>1</v>
      </c>
      <c r="D126" s="13" t="n">
        <f aca="false">IF(Prüfungen!$B$4=0,(IFERROR(SUMIF(Nutzungsprofile!$B$6:$B$11,"Schulbetrieb",Nutzungsprofile!$G$6:$G$11)*Kalender!C126/SUM(Kalender!$C$5:$C$370),0)+IFERROR(SUMIF(Nutzungsprofile!$B$6:$B$11,"Halle",Nutzungsprofile!$G$6:$G$11)*Kalender!D126/SUM(Kalender!$D$5:$D$370),0)+IFERROR(SUMIF(Nutzungsprofile!$B$6:$B$11,"Individuell",Nutzungsprofile!$G$6:$G$11)*Kalender!E126/SUM(Kalender!$E$5:$E$370),0)),0)</f>
        <v>2.04</v>
      </c>
      <c r="E126" s="13" t="n">
        <f aca="false">IF(Prüfungen!$B$4=0,(IFERROR(SUMIF(Nutzungsprofile!$B$17:$B$22,"Schulbetrieb",Nutzungsprofile!$G$17:$G$22)*Kalender!C126/SUM(Kalender!$C$5:$C$370),0)+IFERROR(SUMIF(Nutzungsprofile!$B$17:$B$22,"Halle",Nutzungsprofile!$G$17:$G$22)*Kalender!D126/SUM(Kalender!$D$5:$D$370),0)+IFERROR(SUMIF(Nutzungsprofile!$B$17:$B$22,"Individuell",Nutzungsprofile!$G$17:$G$22)*Kalender!E126/SUM(Kalender!$E$5:$E$370),0)),0)</f>
        <v>0.89</v>
      </c>
      <c r="F126" s="13" t="n">
        <f aca="false">IFERROR(MIN(D126,Eingaben!$B$17)*Eingaben!$B$16,0)</f>
        <v>1.938</v>
      </c>
      <c r="G126" s="13" t="n">
        <f aca="false">IFERROR(F126*Eingaben!$B$15,0)</f>
        <v>1.7442</v>
      </c>
      <c r="H126" s="13" t="n">
        <f aca="false">IFERROR(Q126*(1-Eingaben!$B$20),0)</f>
        <v>0.7390278</v>
      </c>
      <c r="I126" s="13" t="n">
        <f aca="false">MIN(H126,E126)</f>
        <v>0.7390278</v>
      </c>
      <c r="J126" s="13" t="n">
        <f aca="false">IFERROR(MIN(G126*Eingaben!$B$19,MAX(0,E126-I126)),0)</f>
        <v>0.1509722</v>
      </c>
      <c r="K126" s="13" t="n">
        <f aca="false">IFERROR(MIN(Eingaben!$B$18,MAX(0,G126-J126)),0)</f>
        <v>1.5932278</v>
      </c>
      <c r="L126" s="13" t="n">
        <f aca="false">I126+J126</f>
        <v>0.89</v>
      </c>
      <c r="M126" s="13" t="n">
        <f aca="false">MAX(0,E126-L126)</f>
        <v>0</v>
      </c>
      <c r="N126" s="13" t="n">
        <f aca="false">MAX(0,G126-J126-K126)</f>
        <v>0</v>
      </c>
      <c r="O126" s="13" t="n">
        <f aca="false">Q126-I126</f>
        <v>0.0150822</v>
      </c>
      <c r="P126" s="13" t="n">
        <f aca="false">G126+Q126-L126-N126-O126-K126</f>
        <v>0</v>
      </c>
      <c r="Q126" s="13" t="n">
        <f aca="false">IF(A126="",0,K125)</f>
        <v>0.75411</v>
      </c>
    </row>
    <row r="127" customFormat="false" ht="16.4" hidden="false" customHeight="false" outlineLevel="0" collapsed="false">
      <c r="A127" s="23" t="n">
        <f aca="false">Kalender!A127</f>
        <v>46145</v>
      </c>
      <c r="B127" s="13" t="n">
        <f aca="false">Kalender!C127</f>
        <v>0</v>
      </c>
      <c r="C127" s="13" t="n">
        <f aca="false">Kalender!D127</f>
        <v>1</v>
      </c>
      <c r="D127" s="13" t="n">
        <f aca="false">IF(Prüfungen!$B$4=0,(IFERROR(SUMIF(Nutzungsprofile!$B$6:$B$11,"Schulbetrieb",Nutzungsprofile!$G$6:$G$11)*Kalender!C127/SUM(Kalender!$C$5:$C$370),0)+IFERROR(SUMIF(Nutzungsprofile!$B$6:$B$11,"Halle",Nutzungsprofile!$G$6:$G$11)*Kalender!D127/SUM(Kalender!$D$5:$D$370),0)+IFERROR(SUMIF(Nutzungsprofile!$B$6:$B$11,"Individuell",Nutzungsprofile!$G$6:$G$11)*Kalender!E127/SUM(Kalender!$E$5:$E$370),0)),0)</f>
        <v>2.04</v>
      </c>
      <c r="E127" s="13" t="n">
        <f aca="false">IF(Prüfungen!$B$4=0,(IFERROR(SUMIF(Nutzungsprofile!$B$17:$B$22,"Schulbetrieb",Nutzungsprofile!$G$17:$G$22)*Kalender!C127/SUM(Kalender!$C$5:$C$370),0)+IFERROR(SUMIF(Nutzungsprofile!$B$17:$B$22,"Halle",Nutzungsprofile!$G$17:$G$22)*Kalender!D127/SUM(Kalender!$D$5:$D$370),0)+IFERROR(SUMIF(Nutzungsprofile!$B$17:$B$22,"Individuell",Nutzungsprofile!$G$17:$G$22)*Kalender!E127/SUM(Kalender!$E$5:$E$370),0)),0)</f>
        <v>0.89</v>
      </c>
      <c r="F127" s="13" t="n">
        <f aca="false">IFERROR(MIN(D127,Eingaben!$B$17)*Eingaben!$B$16,0)</f>
        <v>1.938</v>
      </c>
      <c r="G127" s="13" t="n">
        <f aca="false">IFERROR(F127*Eingaben!$B$15,0)</f>
        <v>1.7442</v>
      </c>
      <c r="H127" s="13" t="n">
        <f aca="false">IFERROR(Q127*(1-Eingaben!$B$20),0)</f>
        <v>1.561363244</v>
      </c>
      <c r="I127" s="13" t="n">
        <f aca="false">MIN(H127,E127)</f>
        <v>0.89</v>
      </c>
      <c r="J127" s="13" t="n">
        <f aca="false">IFERROR(MIN(G127*Eingaben!$B$19,MAX(0,E127-I127)),0)</f>
        <v>0</v>
      </c>
      <c r="K127" s="13" t="n">
        <f aca="false">IFERROR(MIN(Eingaben!$B$18,MAX(0,G127-J127)),0)</f>
        <v>1.7442</v>
      </c>
      <c r="L127" s="13" t="n">
        <f aca="false">I127+J127</f>
        <v>0.89</v>
      </c>
      <c r="M127" s="13" t="n">
        <f aca="false">MAX(0,E127-L127)</f>
        <v>0</v>
      </c>
      <c r="N127" s="13" t="n">
        <f aca="false">MAX(0,G127-J127-K127)</f>
        <v>0</v>
      </c>
      <c r="O127" s="13" t="n">
        <f aca="false">Q127-I127</f>
        <v>0.7032278</v>
      </c>
      <c r="P127" s="13" t="n">
        <f aca="false">G127+Q127-L127-N127-O127-K127</f>
        <v>0</v>
      </c>
      <c r="Q127" s="13" t="n">
        <f aca="false">IF(A127="",0,K126)</f>
        <v>1.5932278</v>
      </c>
    </row>
    <row r="128" customFormat="false" ht="16.4" hidden="false" customHeight="false" outlineLevel="0" collapsed="false">
      <c r="A128" s="23" t="n">
        <f aca="false">Kalender!A128</f>
        <v>46146</v>
      </c>
      <c r="B128" s="13" t="n">
        <f aca="false">Kalender!C128</f>
        <v>1</v>
      </c>
      <c r="C128" s="13" t="n">
        <f aca="false">Kalender!D128</f>
        <v>1</v>
      </c>
      <c r="D128" s="13" t="n">
        <f aca="false">IF(Prüfungen!$B$4=0,(IFERROR(SUMIF(Nutzungsprofile!$B$6:$B$11,"Schulbetrieb",Nutzungsprofile!$G$6:$G$11)*Kalender!C128/SUM(Kalender!$C$5:$C$370),0)+IFERROR(SUMIF(Nutzungsprofile!$B$6:$B$11,"Halle",Nutzungsprofile!$G$6:$G$11)*Kalender!D128/SUM(Kalender!$D$5:$D$370),0)+IFERROR(SUMIF(Nutzungsprofile!$B$6:$B$11,"Individuell",Nutzungsprofile!$G$6:$G$11)*Kalender!E128/SUM(Kalender!$E$5:$E$370),0)),0)</f>
        <v>2.94</v>
      </c>
      <c r="E128" s="13" t="n">
        <f aca="false">IF(Prüfungen!$B$4=0,(IFERROR(SUMIF(Nutzungsprofile!$B$17:$B$22,"Schulbetrieb",Nutzungsprofile!$G$17:$G$22)*Kalender!C128/SUM(Kalender!$C$5:$C$370),0)+IFERROR(SUMIF(Nutzungsprofile!$B$17:$B$22,"Halle",Nutzungsprofile!$G$17:$G$22)*Kalender!D128/SUM(Kalender!$D$5:$D$370),0)+IFERROR(SUMIF(Nutzungsprofile!$B$17:$B$22,"Individuell",Nutzungsprofile!$G$17:$G$22)*Kalender!E128/SUM(Kalender!$E$5:$E$370),0)),0)</f>
        <v>4.94</v>
      </c>
      <c r="F128" s="13" t="n">
        <f aca="false">IFERROR(MIN(D128,Eingaben!$B$17)*Eingaben!$B$16,0)</f>
        <v>2.793</v>
      </c>
      <c r="G128" s="13" t="n">
        <f aca="false">IFERROR(F128*Eingaben!$B$15,0)</f>
        <v>2.5137</v>
      </c>
      <c r="H128" s="13" t="n">
        <f aca="false">IFERROR(Q128*(1-Eingaben!$B$20),0)</f>
        <v>1.709316</v>
      </c>
      <c r="I128" s="13" t="n">
        <f aca="false">MIN(H128,E128)</f>
        <v>1.709316</v>
      </c>
      <c r="J128" s="13" t="n">
        <f aca="false">IFERROR(MIN(G128*Eingaben!$B$19,MAX(0,E128-I128)),0)</f>
        <v>1.75959</v>
      </c>
      <c r="K128" s="13" t="n">
        <f aca="false">IFERROR(MIN(Eingaben!$B$18,MAX(0,G128-J128)),0)</f>
        <v>0.75411</v>
      </c>
      <c r="L128" s="13" t="n">
        <f aca="false">I128+J128</f>
        <v>3.468906</v>
      </c>
      <c r="M128" s="13" t="n">
        <f aca="false">MAX(0,E128-L128)</f>
        <v>1.471094</v>
      </c>
      <c r="N128" s="13" t="n">
        <f aca="false">MAX(0,G128-J128-K128)</f>
        <v>0</v>
      </c>
      <c r="O128" s="13" t="n">
        <f aca="false">Q128-I128</f>
        <v>0.0348840000000001</v>
      </c>
      <c r="P128" s="13" t="n">
        <f aca="false">G128+Q128-L128-N128-O128-K128</f>
        <v>0</v>
      </c>
      <c r="Q128" s="13" t="n">
        <f aca="false">IF(A128="",0,K127)</f>
        <v>1.7442</v>
      </c>
    </row>
    <row r="129" customFormat="false" ht="16.4" hidden="false" customHeight="false" outlineLevel="0" collapsed="false">
      <c r="A129" s="23" t="n">
        <f aca="false">Kalender!A129</f>
        <v>46147</v>
      </c>
      <c r="B129" s="13" t="n">
        <f aca="false">Kalender!C129</f>
        <v>1</v>
      </c>
      <c r="C129" s="13" t="n">
        <f aca="false">Kalender!D129</f>
        <v>1</v>
      </c>
      <c r="D129" s="13" t="n">
        <f aca="false">IF(Prüfungen!$B$4=0,(IFERROR(SUMIF(Nutzungsprofile!$B$6:$B$11,"Schulbetrieb",Nutzungsprofile!$G$6:$G$11)*Kalender!C129/SUM(Kalender!$C$5:$C$370),0)+IFERROR(SUMIF(Nutzungsprofile!$B$6:$B$11,"Halle",Nutzungsprofile!$G$6:$G$11)*Kalender!D129/SUM(Kalender!$D$5:$D$370),0)+IFERROR(SUMIF(Nutzungsprofile!$B$6:$B$11,"Individuell",Nutzungsprofile!$G$6:$G$11)*Kalender!E129/SUM(Kalender!$E$5:$E$370),0)),0)</f>
        <v>2.94</v>
      </c>
      <c r="E129" s="13" t="n">
        <f aca="false">IF(Prüfungen!$B$4=0,(IFERROR(SUMIF(Nutzungsprofile!$B$17:$B$22,"Schulbetrieb",Nutzungsprofile!$G$17:$G$22)*Kalender!C129/SUM(Kalender!$C$5:$C$370),0)+IFERROR(SUMIF(Nutzungsprofile!$B$17:$B$22,"Halle",Nutzungsprofile!$G$17:$G$22)*Kalender!D129/SUM(Kalender!$D$5:$D$370),0)+IFERROR(SUMIF(Nutzungsprofile!$B$17:$B$22,"Individuell",Nutzungsprofile!$G$17:$G$22)*Kalender!E129/SUM(Kalender!$E$5:$E$370),0)),0)</f>
        <v>4.94</v>
      </c>
      <c r="F129" s="13" t="n">
        <f aca="false">IFERROR(MIN(D129,Eingaben!$B$17)*Eingaben!$B$16,0)</f>
        <v>2.793</v>
      </c>
      <c r="G129" s="13" t="n">
        <f aca="false">IFERROR(F129*Eingaben!$B$15,0)</f>
        <v>2.5137</v>
      </c>
      <c r="H129" s="13" t="n">
        <f aca="false">IFERROR(Q129*(1-Eingaben!$B$20),0)</f>
        <v>0.7390278</v>
      </c>
      <c r="I129" s="13" t="n">
        <f aca="false">MIN(H129,E129)</f>
        <v>0.7390278</v>
      </c>
      <c r="J129" s="13" t="n">
        <f aca="false">IFERROR(MIN(G129*Eingaben!$B$19,MAX(0,E129-I129)),0)</f>
        <v>1.75959</v>
      </c>
      <c r="K129" s="13" t="n">
        <f aca="false">IFERROR(MIN(Eingaben!$B$18,MAX(0,G129-J129)),0)</f>
        <v>0.75411</v>
      </c>
      <c r="L129" s="13" t="n">
        <f aca="false">I129+J129</f>
        <v>2.4986178</v>
      </c>
      <c r="M129" s="13" t="n">
        <f aca="false">MAX(0,E129-L129)</f>
        <v>2.4413822</v>
      </c>
      <c r="N129" s="13" t="n">
        <f aca="false">MAX(0,G129-J129-K129)</f>
        <v>0</v>
      </c>
      <c r="O129" s="13" t="n">
        <f aca="false">Q129-I129</f>
        <v>0.0150822</v>
      </c>
      <c r="P129" s="13" t="n">
        <f aca="false">G129+Q129-L129-N129-O129-K129</f>
        <v>0</v>
      </c>
      <c r="Q129" s="13" t="n">
        <f aca="false">IF(A129="",0,K128)</f>
        <v>0.75411</v>
      </c>
    </row>
    <row r="130" customFormat="false" ht="16.4" hidden="false" customHeight="false" outlineLevel="0" collapsed="false">
      <c r="A130" s="23" t="n">
        <f aca="false">Kalender!A130</f>
        <v>46148</v>
      </c>
      <c r="B130" s="13" t="n">
        <f aca="false">Kalender!C130</f>
        <v>1</v>
      </c>
      <c r="C130" s="13" t="n">
        <f aca="false">Kalender!D130</f>
        <v>1</v>
      </c>
      <c r="D130" s="13" t="n">
        <f aca="false">IF(Prüfungen!$B$4=0,(IFERROR(SUMIF(Nutzungsprofile!$B$6:$B$11,"Schulbetrieb",Nutzungsprofile!$G$6:$G$11)*Kalender!C130/SUM(Kalender!$C$5:$C$370),0)+IFERROR(SUMIF(Nutzungsprofile!$B$6:$B$11,"Halle",Nutzungsprofile!$G$6:$G$11)*Kalender!D130/SUM(Kalender!$D$5:$D$370),0)+IFERROR(SUMIF(Nutzungsprofile!$B$6:$B$11,"Individuell",Nutzungsprofile!$G$6:$G$11)*Kalender!E130/SUM(Kalender!$E$5:$E$370),0)),0)</f>
        <v>2.94</v>
      </c>
      <c r="E130" s="13" t="n">
        <f aca="false">IF(Prüfungen!$B$4=0,(IFERROR(SUMIF(Nutzungsprofile!$B$17:$B$22,"Schulbetrieb",Nutzungsprofile!$G$17:$G$22)*Kalender!C130/SUM(Kalender!$C$5:$C$370),0)+IFERROR(SUMIF(Nutzungsprofile!$B$17:$B$22,"Halle",Nutzungsprofile!$G$17:$G$22)*Kalender!D130/SUM(Kalender!$D$5:$D$370),0)+IFERROR(SUMIF(Nutzungsprofile!$B$17:$B$22,"Individuell",Nutzungsprofile!$G$17:$G$22)*Kalender!E130/SUM(Kalender!$E$5:$E$370),0)),0)</f>
        <v>4.94</v>
      </c>
      <c r="F130" s="13" t="n">
        <f aca="false">IFERROR(MIN(D130,Eingaben!$B$17)*Eingaben!$B$16,0)</f>
        <v>2.793</v>
      </c>
      <c r="G130" s="13" t="n">
        <f aca="false">IFERROR(F130*Eingaben!$B$15,0)</f>
        <v>2.5137</v>
      </c>
      <c r="H130" s="13" t="n">
        <f aca="false">IFERROR(Q130*(1-Eingaben!$B$20),0)</f>
        <v>0.7390278</v>
      </c>
      <c r="I130" s="13" t="n">
        <f aca="false">MIN(H130,E130)</f>
        <v>0.7390278</v>
      </c>
      <c r="J130" s="13" t="n">
        <f aca="false">IFERROR(MIN(G130*Eingaben!$B$19,MAX(0,E130-I130)),0)</f>
        <v>1.75959</v>
      </c>
      <c r="K130" s="13" t="n">
        <f aca="false">IFERROR(MIN(Eingaben!$B$18,MAX(0,G130-J130)),0)</f>
        <v>0.75411</v>
      </c>
      <c r="L130" s="13" t="n">
        <f aca="false">I130+J130</f>
        <v>2.4986178</v>
      </c>
      <c r="M130" s="13" t="n">
        <f aca="false">MAX(0,E130-L130)</f>
        <v>2.4413822</v>
      </c>
      <c r="N130" s="13" t="n">
        <f aca="false">MAX(0,G130-J130-K130)</f>
        <v>0</v>
      </c>
      <c r="O130" s="13" t="n">
        <f aca="false">Q130-I130</f>
        <v>0.0150822</v>
      </c>
      <c r="P130" s="13" t="n">
        <f aca="false">G130+Q130-L130-N130-O130-K130</f>
        <v>0</v>
      </c>
      <c r="Q130" s="13" t="n">
        <f aca="false">IF(A130="",0,K129)</f>
        <v>0.75411</v>
      </c>
    </row>
    <row r="131" customFormat="false" ht="16.4" hidden="false" customHeight="false" outlineLevel="0" collapsed="false">
      <c r="A131" s="23" t="n">
        <f aca="false">Kalender!A131</f>
        <v>46149</v>
      </c>
      <c r="B131" s="13" t="n">
        <f aca="false">Kalender!C131</f>
        <v>1</v>
      </c>
      <c r="C131" s="13" t="n">
        <f aca="false">Kalender!D131</f>
        <v>1</v>
      </c>
      <c r="D131" s="13" t="n">
        <f aca="false">IF(Prüfungen!$B$4=0,(IFERROR(SUMIF(Nutzungsprofile!$B$6:$B$11,"Schulbetrieb",Nutzungsprofile!$G$6:$G$11)*Kalender!C131/SUM(Kalender!$C$5:$C$370),0)+IFERROR(SUMIF(Nutzungsprofile!$B$6:$B$11,"Halle",Nutzungsprofile!$G$6:$G$11)*Kalender!D131/SUM(Kalender!$D$5:$D$370),0)+IFERROR(SUMIF(Nutzungsprofile!$B$6:$B$11,"Individuell",Nutzungsprofile!$G$6:$G$11)*Kalender!E131/SUM(Kalender!$E$5:$E$370),0)),0)</f>
        <v>2.94</v>
      </c>
      <c r="E131" s="13" t="n">
        <f aca="false">IF(Prüfungen!$B$4=0,(IFERROR(SUMIF(Nutzungsprofile!$B$17:$B$22,"Schulbetrieb",Nutzungsprofile!$G$17:$G$22)*Kalender!C131/SUM(Kalender!$C$5:$C$370),0)+IFERROR(SUMIF(Nutzungsprofile!$B$17:$B$22,"Halle",Nutzungsprofile!$G$17:$G$22)*Kalender!D131/SUM(Kalender!$D$5:$D$370),0)+IFERROR(SUMIF(Nutzungsprofile!$B$17:$B$22,"Individuell",Nutzungsprofile!$G$17:$G$22)*Kalender!E131/SUM(Kalender!$E$5:$E$370),0)),0)</f>
        <v>4.94</v>
      </c>
      <c r="F131" s="13" t="n">
        <f aca="false">IFERROR(MIN(D131,Eingaben!$B$17)*Eingaben!$B$16,0)</f>
        <v>2.793</v>
      </c>
      <c r="G131" s="13" t="n">
        <f aca="false">IFERROR(F131*Eingaben!$B$15,0)</f>
        <v>2.5137</v>
      </c>
      <c r="H131" s="13" t="n">
        <f aca="false">IFERROR(Q131*(1-Eingaben!$B$20),0)</f>
        <v>0.7390278</v>
      </c>
      <c r="I131" s="13" t="n">
        <f aca="false">MIN(H131,E131)</f>
        <v>0.7390278</v>
      </c>
      <c r="J131" s="13" t="n">
        <f aca="false">IFERROR(MIN(G131*Eingaben!$B$19,MAX(0,E131-I131)),0)</f>
        <v>1.75959</v>
      </c>
      <c r="K131" s="13" t="n">
        <f aca="false">IFERROR(MIN(Eingaben!$B$18,MAX(0,G131-J131)),0)</f>
        <v>0.75411</v>
      </c>
      <c r="L131" s="13" t="n">
        <f aca="false">I131+J131</f>
        <v>2.4986178</v>
      </c>
      <c r="M131" s="13" t="n">
        <f aca="false">MAX(0,E131-L131)</f>
        <v>2.4413822</v>
      </c>
      <c r="N131" s="13" t="n">
        <f aca="false">MAX(0,G131-J131-K131)</f>
        <v>0</v>
      </c>
      <c r="O131" s="13" t="n">
        <f aca="false">Q131-I131</f>
        <v>0.0150822</v>
      </c>
      <c r="P131" s="13" t="n">
        <f aca="false">G131+Q131-L131-N131-O131-K131</f>
        <v>0</v>
      </c>
      <c r="Q131" s="13" t="n">
        <f aca="false">IF(A131="",0,K130)</f>
        <v>0.75411</v>
      </c>
    </row>
    <row r="132" customFormat="false" ht="16.4" hidden="false" customHeight="false" outlineLevel="0" collapsed="false">
      <c r="A132" s="23" t="n">
        <f aca="false">Kalender!A132</f>
        <v>46150</v>
      </c>
      <c r="B132" s="13" t="n">
        <f aca="false">Kalender!C132</f>
        <v>1</v>
      </c>
      <c r="C132" s="13" t="n">
        <f aca="false">Kalender!D132</f>
        <v>1</v>
      </c>
      <c r="D132" s="13" t="n">
        <f aca="false">IF(Prüfungen!$B$4=0,(IFERROR(SUMIF(Nutzungsprofile!$B$6:$B$11,"Schulbetrieb",Nutzungsprofile!$G$6:$G$11)*Kalender!C132/SUM(Kalender!$C$5:$C$370),0)+IFERROR(SUMIF(Nutzungsprofile!$B$6:$B$11,"Halle",Nutzungsprofile!$G$6:$G$11)*Kalender!D132/SUM(Kalender!$D$5:$D$370),0)+IFERROR(SUMIF(Nutzungsprofile!$B$6:$B$11,"Individuell",Nutzungsprofile!$G$6:$G$11)*Kalender!E132/SUM(Kalender!$E$5:$E$370),0)),0)</f>
        <v>2.94</v>
      </c>
      <c r="E132" s="13" t="n">
        <f aca="false">IF(Prüfungen!$B$4=0,(IFERROR(SUMIF(Nutzungsprofile!$B$17:$B$22,"Schulbetrieb",Nutzungsprofile!$G$17:$G$22)*Kalender!C132/SUM(Kalender!$C$5:$C$370),0)+IFERROR(SUMIF(Nutzungsprofile!$B$17:$B$22,"Halle",Nutzungsprofile!$G$17:$G$22)*Kalender!D132/SUM(Kalender!$D$5:$D$370),0)+IFERROR(SUMIF(Nutzungsprofile!$B$17:$B$22,"Individuell",Nutzungsprofile!$G$17:$G$22)*Kalender!E132/SUM(Kalender!$E$5:$E$370),0)),0)</f>
        <v>4.94</v>
      </c>
      <c r="F132" s="13" t="n">
        <f aca="false">IFERROR(MIN(D132,Eingaben!$B$17)*Eingaben!$B$16,0)</f>
        <v>2.793</v>
      </c>
      <c r="G132" s="13" t="n">
        <f aca="false">IFERROR(F132*Eingaben!$B$15,0)</f>
        <v>2.5137</v>
      </c>
      <c r="H132" s="13" t="n">
        <f aca="false">IFERROR(Q132*(1-Eingaben!$B$20),0)</f>
        <v>0.7390278</v>
      </c>
      <c r="I132" s="13" t="n">
        <f aca="false">MIN(H132,E132)</f>
        <v>0.7390278</v>
      </c>
      <c r="J132" s="13" t="n">
        <f aca="false">IFERROR(MIN(G132*Eingaben!$B$19,MAX(0,E132-I132)),0)</f>
        <v>1.75959</v>
      </c>
      <c r="K132" s="13" t="n">
        <f aca="false">IFERROR(MIN(Eingaben!$B$18,MAX(0,G132-J132)),0)</f>
        <v>0.75411</v>
      </c>
      <c r="L132" s="13" t="n">
        <f aca="false">I132+J132</f>
        <v>2.4986178</v>
      </c>
      <c r="M132" s="13" t="n">
        <f aca="false">MAX(0,E132-L132)</f>
        <v>2.4413822</v>
      </c>
      <c r="N132" s="13" t="n">
        <f aca="false">MAX(0,G132-J132-K132)</f>
        <v>0</v>
      </c>
      <c r="O132" s="13" t="n">
        <f aca="false">Q132-I132</f>
        <v>0.0150822</v>
      </c>
      <c r="P132" s="13" t="n">
        <f aca="false">G132+Q132-L132-N132-O132-K132</f>
        <v>0</v>
      </c>
      <c r="Q132" s="13" t="n">
        <f aca="false">IF(A132="",0,K131)</f>
        <v>0.75411</v>
      </c>
    </row>
    <row r="133" customFormat="false" ht="16.4" hidden="false" customHeight="false" outlineLevel="0" collapsed="false">
      <c r="A133" s="23" t="n">
        <f aca="false">Kalender!A133</f>
        <v>46151</v>
      </c>
      <c r="B133" s="13" t="n">
        <f aca="false">Kalender!C133</f>
        <v>0</v>
      </c>
      <c r="C133" s="13" t="n">
        <f aca="false">Kalender!D133</f>
        <v>1</v>
      </c>
      <c r="D133" s="13" t="n">
        <f aca="false">IF(Prüfungen!$B$4=0,(IFERROR(SUMIF(Nutzungsprofile!$B$6:$B$11,"Schulbetrieb",Nutzungsprofile!$G$6:$G$11)*Kalender!C133/SUM(Kalender!$C$5:$C$370),0)+IFERROR(SUMIF(Nutzungsprofile!$B$6:$B$11,"Halle",Nutzungsprofile!$G$6:$G$11)*Kalender!D133/SUM(Kalender!$D$5:$D$370),0)+IFERROR(SUMIF(Nutzungsprofile!$B$6:$B$11,"Individuell",Nutzungsprofile!$G$6:$G$11)*Kalender!E133/SUM(Kalender!$E$5:$E$370),0)),0)</f>
        <v>2.04</v>
      </c>
      <c r="E133" s="13" t="n">
        <f aca="false">IF(Prüfungen!$B$4=0,(IFERROR(SUMIF(Nutzungsprofile!$B$17:$B$22,"Schulbetrieb",Nutzungsprofile!$G$17:$G$22)*Kalender!C133/SUM(Kalender!$C$5:$C$370),0)+IFERROR(SUMIF(Nutzungsprofile!$B$17:$B$22,"Halle",Nutzungsprofile!$G$17:$G$22)*Kalender!D133/SUM(Kalender!$D$5:$D$370),0)+IFERROR(SUMIF(Nutzungsprofile!$B$17:$B$22,"Individuell",Nutzungsprofile!$G$17:$G$22)*Kalender!E133/SUM(Kalender!$E$5:$E$370),0)),0)</f>
        <v>0.89</v>
      </c>
      <c r="F133" s="13" t="n">
        <f aca="false">IFERROR(MIN(D133,Eingaben!$B$17)*Eingaben!$B$16,0)</f>
        <v>1.938</v>
      </c>
      <c r="G133" s="13" t="n">
        <f aca="false">IFERROR(F133*Eingaben!$B$15,0)</f>
        <v>1.7442</v>
      </c>
      <c r="H133" s="13" t="n">
        <f aca="false">IFERROR(Q133*(1-Eingaben!$B$20),0)</f>
        <v>0.7390278</v>
      </c>
      <c r="I133" s="13" t="n">
        <f aca="false">MIN(H133,E133)</f>
        <v>0.7390278</v>
      </c>
      <c r="J133" s="13" t="n">
        <f aca="false">IFERROR(MIN(G133*Eingaben!$B$19,MAX(0,E133-I133)),0)</f>
        <v>0.1509722</v>
      </c>
      <c r="K133" s="13" t="n">
        <f aca="false">IFERROR(MIN(Eingaben!$B$18,MAX(0,G133-J133)),0)</f>
        <v>1.5932278</v>
      </c>
      <c r="L133" s="13" t="n">
        <f aca="false">I133+J133</f>
        <v>0.89</v>
      </c>
      <c r="M133" s="13" t="n">
        <f aca="false">MAX(0,E133-L133)</f>
        <v>0</v>
      </c>
      <c r="N133" s="13" t="n">
        <f aca="false">MAX(0,G133-J133-K133)</f>
        <v>0</v>
      </c>
      <c r="O133" s="13" t="n">
        <f aca="false">Q133-I133</f>
        <v>0.0150822</v>
      </c>
      <c r="P133" s="13" t="n">
        <f aca="false">G133+Q133-L133-N133-O133-K133</f>
        <v>0</v>
      </c>
      <c r="Q133" s="13" t="n">
        <f aca="false">IF(A133="",0,K132)</f>
        <v>0.75411</v>
      </c>
    </row>
    <row r="134" customFormat="false" ht="16.4" hidden="false" customHeight="false" outlineLevel="0" collapsed="false">
      <c r="A134" s="23" t="n">
        <f aca="false">Kalender!A134</f>
        <v>46152</v>
      </c>
      <c r="B134" s="13" t="n">
        <f aca="false">Kalender!C134</f>
        <v>0</v>
      </c>
      <c r="C134" s="13" t="n">
        <f aca="false">Kalender!D134</f>
        <v>1</v>
      </c>
      <c r="D134" s="13" t="n">
        <f aca="false">IF(Prüfungen!$B$4=0,(IFERROR(SUMIF(Nutzungsprofile!$B$6:$B$11,"Schulbetrieb",Nutzungsprofile!$G$6:$G$11)*Kalender!C134/SUM(Kalender!$C$5:$C$370),0)+IFERROR(SUMIF(Nutzungsprofile!$B$6:$B$11,"Halle",Nutzungsprofile!$G$6:$G$11)*Kalender!D134/SUM(Kalender!$D$5:$D$370),0)+IFERROR(SUMIF(Nutzungsprofile!$B$6:$B$11,"Individuell",Nutzungsprofile!$G$6:$G$11)*Kalender!E134/SUM(Kalender!$E$5:$E$370),0)),0)</f>
        <v>2.04</v>
      </c>
      <c r="E134" s="13" t="n">
        <f aca="false">IF(Prüfungen!$B$4=0,(IFERROR(SUMIF(Nutzungsprofile!$B$17:$B$22,"Schulbetrieb",Nutzungsprofile!$G$17:$G$22)*Kalender!C134/SUM(Kalender!$C$5:$C$370),0)+IFERROR(SUMIF(Nutzungsprofile!$B$17:$B$22,"Halle",Nutzungsprofile!$G$17:$G$22)*Kalender!D134/SUM(Kalender!$D$5:$D$370),0)+IFERROR(SUMIF(Nutzungsprofile!$B$17:$B$22,"Individuell",Nutzungsprofile!$G$17:$G$22)*Kalender!E134/SUM(Kalender!$E$5:$E$370),0)),0)</f>
        <v>0.89</v>
      </c>
      <c r="F134" s="13" t="n">
        <f aca="false">IFERROR(MIN(D134,Eingaben!$B$17)*Eingaben!$B$16,0)</f>
        <v>1.938</v>
      </c>
      <c r="G134" s="13" t="n">
        <f aca="false">IFERROR(F134*Eingaben!$B$15,0)</f>
        <v>1.7442</v>
      </c>
      <c r="H134" s="13" t="n">
        <f aca="false">IFERROR(Q134*(1-Eingaben!$B$20),0)</f>
        <v>1.561363244</v>
      </c>
      <c r="I134" s="13" t="n">
        <f aca="false">MIN(H134,E134)</f>
        <v>0.89</v>
      </c>
      <c r="J134" s="13" t="n">
        <f aca="false">IFERROR(MIN(G134*Eingaben!$B$19,MAX(0,E134-I134)),0)</f>
        <v>0</v>
      </c>
      <c r="K134" s="13" t="n">
        <f aca="false">IFERROR(MIN(Eingaben!$B$18,MAX(0,G134-J134)),0)</f>
        <v>1.7442</v>
      </c>
      <c r="L134" s="13" t="n">
        <f aca="false">I134+J134</f>
        <v>0.89</v>
      </c>
      <c r="M134" s="13" t="n">
        <f aca="false">MAX(0,E134-L134)</f>
        <v>0</v>
      </c>
      <c r="N134" s="13" t="n">
        <f aca="false">MAX(0,G134-J134-K134)</f>
        <v>0</v>
      </c>
      <c r="O134" s="13" t="n">
        <f aca="false">Q134-I134</f>
        <v>0.7032278</v>
      </c>
      <c r="P134" s="13" t="n">
        <f aca="false">G134+Q134-L134-N134-O134-K134</f>
        <v>0</v>
      </c>
      <c r="Q134" s="13" t="n">
        <f aca="false">IF(A134="",0,K133)</f>
        <v>1.5932278</v>
      </c>
    </row>
    <row r="135" customFormat="false" ht="16.4" hidden="false" customHeight="false" outlineLevel="0" collapsed="false">
      <c r="A135" s="23" t="n">
        <f aca="false">Kalender!A135</f>
        <v>46153</v>
      </c>
      <c r="B135" s="13" t="n">
        <f aca="false">Kalender!C135</f>
        <v>1</v>
      </c>
      <c r="C135" s="13" t="n">
        <f aca="false">Kalender!D135</f>
        <v>1</v>
      </c>
      <c r="D135" s="13" t="n">
        <f aca="false">IF(Prüfungen!$B$4=0,(IFERROR(SUMIF(Nutzungsprofile!$B$6:$B$11,"Schulbetrieb",Nutzungsprofile!$G$6:$G$11)*Kalender!C135/SUM(Kalender!$C$5:$C$370),0)+IFERROR(SUMIF(Nutzungsprofile!$B$6:$B$11,"Halle",Nutzungsprofile!$G$6:$G$11)*Kalender!D135/SUM(Kalender!$D$5:$D$370),0)+IFERROR(SUMIF(Nutzungsprofile!$B$6:$B$11,"Individuell",Nutzungsprofile!$G$6:$G$11)*Kalender!E135/SUM(Kalender!$E$5:$E$370),0)),0)</f>
        <v>2.94</v>
      </c>
      <c r="E135" s="13" t="n">
        <f aca="false">IF(Prüfungen!$B$4=0,(IFERROR(SUMIF(Nutzungsprofile!$B$17:$B$22,"Schulbetrieb",Nutzungsprofile!$G$17:$G$22)*Kalender!C135/SUM(Kalender!$C$5:$C$370),0)+IFERROR(SUMIF(Nutzungsprofile!$B$17:$B$22,"Halle",Nutzungsprofile!$G$17:$G$22)*Kalender!D135/SUM(Kalender!$D$5:$D$370),0)+IFERROR(SUMIF(Nutzungsprofile!$B$17:$B$22,"Individuell",Nutzungsprofile!$G$17:$G$22)*Kalender!E135/SUM(Kalender!$E$5:$E$370),0)),0)</f>
        <v>4.94</v>
      </c>
      <c r="F135" s="13" t="n">
        <f aca="false">IFERROR(MIN(D135,Eingaben!$B$17)*Eingaben!$B$16,0)</f>
        <v>2.793</v>
      </c>
      <c r="G135" s="13" t="n">
        <f aca="false">IFERROR(F135*Eingaben!$B$15,0)</f>
        <v>2.5137</v>
      </c>
      <c r="H135" s="13" t="n">
        <f aca="false">IFERROR(Q135*(1-Eingaben!$B$20),0)</f>
        <v>1.709316</v>
      </c>
      <c r="I135" s="13" t="n">
        <f aca="false">MIN(H135,E135)</f>
        <v>1.709316</v>
      </c>
      <c r="J135" s="13" t="n">
        <f aca="false">IFERROR(MIN(G135*Eingaben!$B$19,MAX(0,E135-I135)),0)</f>
        <v>1.75959</v>
      </c>
      <c r="K135" s="13" t="n">
        <f aca="false">IFERROR(MIN(Eingaben!$B$18,MAX(0,G135-J135)),0)</f>
        <v>0.75411</v>
      </c>
      <c r="L135" s="13" t="n">
        <f aca="false">I135+J135</f>
        <v>3.468906</v>
      </c>
      <c r="M135" s="13" t="n">
        <f aca="false">MAX(0,E135-L135)</f>
        <v>1.471094</v>
      </c>
      <c r="N135" s="13" t="n">
        <f aca="false">MAX(0,G135-J135-K135)</f>
        <v>0</v>
      </c>
      <c r="O135" s="13" t="n">
        <f aca="false">Q135-I135</f>
        <v>0.0348840000000001</v>
      </c>
      <c r="P135" s="13" t="n">
        <f aca="false">G135+Q135-L135-N135-O135-K135</f>
        <v>0</v>
      </c>
      <c r="Q135" s="13" t="n">
        <f aca="false">IF(A135="",0,K134)</f>
        <v>1.7442</v>
      </c>
    </row>
    <row r="136" customFormat="false" ht="16.4" hidden="false" customHeight="false" outlineLevel="0" collapsed="false">
      <c r="A136" s="23" t="n">
        <f aca="false">Kalender!A136</f>
        <v>46154</v>
      </c>
      <c r="B136" s="13" t="n">
        <f aca="false">Kalender!C136</f>
        <v>1</v>
      </c>
      <c r="C136" s="13" t="n">
        <f aca="false">Kalender!D136</f>
        <v>1</v>
      </c>
      <c r="D136" s="13" t="n">
        <f aca="false">IF(Prüfungen!$B$4=0,(IFERROR(SUMIF(Nutzungsprofile!$B$6:$B$11,"Schulbetrieb",Nutzungsprofile!$G$6:$G$11)*Kalender!C136/SUM(Kalender!$C$5:$C$370),0)+IFERROR(SUMIF(Nutzungsprofile!$B$6:$B$11,"Halle",Nutzungsprofile!$G$6:$G$11)*Kalender!D136/SUM(Kalender!$D$5:$D$370),0)+IFERROR(SUMIF(Nutzungsprofile!$B$6:$B$11,"Individuell",Nutzungsprofile!$G$6:$G$11)*Kalender!E136/SUM(Kalender!$E$5:$E$370),0)),0)</f>
        <v>2.94</v>
      </c>
      <c r="E136" s="13" t="n">
        <f aca="false">IF(Prüfungen!$B$4=0,(IFERROR(SUMIF(Nutzungsprofile!$B$17:$B$22,"Schulbetrieb",Nutzungsprofile!$G$17:$G$22)*Kalender!C136/SUM(Kalender!$C$5:$C$370),0)+IFERROR(SUMIF(Nutzungsprofile!$B$17:$B$22,"Halle",Nutzungsprofile!$G$17:$G$22)*Kalender!D136/SUM(Kalender!$D$5:$D$370),0)+IFERROR(SUMIF(Nutzungsprofile!$B$17:$B$22,"Individuell",Nutzungsprofile!$G$17:$G$22)*Kalender!E136/SUM(Kalender!$E$5:$E$370),0)),0)</f>
        <v>4.94</v>
      </c>
      <c r="F136" s="13" t="n">
        <f aca="false">IFERROR(MIN(D136,Eingaben!$B$17)*Eingaben!$B$16,0)</f>
        <v>2.793</v>
      </c>
      <c r="G136" s="13" t="n">
        <f aca="false">IFERROR(F136*Eingaben!$B$15,0)</f>
        <v>2.5137</v>
      </c>
      <c r="H136" s="13" t="n">
        <f aca="false">IFERROR(Q136*(1-Eingaben!$B$20),0)</f>
        <v>0.7390278</v>
      </c>
      <c r="I136" s="13" t="n">
        <f aca="false">MIN(H136,E136)</f>
        <v>0.7390278</v>
      </c>
      <c r="J136" s="13" t="n">
        <f aca="false">IFERROR(MIN(G136*Eingaben!$B$19,MAX(0,E136-I136)),0)</f>
        <v>1.75959</v>
      </c>
      <c r="K136" s="13" t="n">
        <f aca="false">IFERROR(MIN(Eingaben!$B$18,MAX(0,G136-J136)),0)</f>
        <v>0.75411</v>
      </c>
      <c r="L136" s="13" t="n">
        <f aca="false">I136+J136</f>
        <v>2.4986178</v>
      </c>
      <c r="M136" s="13" t="n">
        <f aca="false">MAX(0,E136-L136)</f>
        <v>2.4413822</v>
      </c>
      <c r="N136" s="13" t="n">
        <f aca="false">MAX(0,G136-J136-K136)</f>
        <v>0</v>
      </c>
      <c r="O136" s="13" t="n">
        <f aca="false">Q136-I136</f>
        <v>0.0150822</v>
      </c>
      <c r="P136" s="13" t="n">
        <f aca="false">G136+Q136-L136-N136-O136-K136</f>
        <v>0</v>
      </c>
      <c r="Q136" s="13" t="n">
        <f aca="false">IF(A136="",0,K135)</f>
        <v>0.75411</v>
      </c>
    </row>
    <row r="137" customFormat="false" ht="16.4" hidden="false" customHeight="false" outlineLevel="0" collapsed="false">
      <c r="A137" s="23" t="n">
        <f aca="false">Kalender!A137</f>
        <v>46155</v>
      </c>
      <c r="B137" s="13" t="n">
        <f aca="false">Kalender!C137</f>
        <v>1</v>
      </c>
      <c r="C137" s="13" t="n">
        <f aca="false">Kalender!D137</f>
        <v>1</v>
      </c>
      <c r="D137" s="13" t="n">
        <f aca="false">IF(Prüfungen!$B$4=0,(IFERROR(SUMIF(Nutzungsprofile!$B$6:$B$11,"Schulbetrieb",Nutzungsprofile!$G$6:$G$11)*Kalender!C137/SUM(Kalender!$C$5:$C$370),0)+IFERROR(SUMIF(Nutzungsprofile!$B$6:$B$11,"Halle",Nutzungsprofile!$G$6:$G$11)*Kalender!D137/SUM(Kalender!$D$5:$D$370),0)+IFERROR(SUMIF(Nutzungsprofile!$B$6:$B$11,"Individuell",Nutzungsprofile!$G$6:$G$11)*Kalender!E137/SUM(Kalender!$E$5:$E$370),0)),0)</f>
        <v>2.94</v>
      </c>
      <c r="E137" s="13" t="n">
        <f aca="false">IF(Prüfungen!$B$4=0,(IFERROR(SUMIF(Nutzungsprofile!$B$17:$B$22,"Schulbetrieb",Nutzungsprofile!$G$17:$G$22)*Kalender!C137/SUM(Kalender!$C$5:$C$370),0)+IFERROR(SUMIF(Nutzungsprofile!$B$17:$B$22,"Halle",Nutzungsprofile!$G$17:$G$22)*Kalender!D137/SUM(Kalender!$D$5:$D$370),0)+IFERROR(SUMIF(Nutzungsprofile!$B$17:$B$22,"Individuell",Nutzungsprofile!$G$17:$G$22)*Kalender!E137/SUM(Kalender!$E$5:$E$370),0)),0)</f>
        <v>4.94</v>
      </c>
      <c r="F137" s="13" t="n">
        <f aca="false">IFERROR(MIN(D137,Eingaben!$B$17)*Eingaben!$B$16,0)</f>
        <v>2.793</v>
      </c>
      <c r="G137" s="13" t="n">
        <f aca="false">IFERROR(F137*Eingaben!$B$15,0)</f>
        <v>2.5137</v>
      </c>
      <c r="H137" s="13" t="n">
        <f aca="false">IFERROR(Q137*(1-Eingaben!$B$20),0)</f>
        <v>0.7390278</v>
      </c>
      <c r="I137" s="13" t="n">
        <f aca="false">MIN(H137,E137)</f>
        <v>0.7390278</v>
      </c>
      <c r="J137" s="13" t="n">
        <f aca="false">IFERROR(MIN(G137*Eingaben!$B$19,MAX(0,E137-I137)),0)</f>
        <v>1.75959</v>
      </c>
      <c r="K137" s="13" t="n">
        <f aca="false">IFERROR(MIN(Eingaben!$B$18,MAX(0,G137-J137)),0)</f>
        <v>0.75411</v>
      </c>
      <c r="L137" s="13" t="n">
        <f aca="false">I137+J137</f>
        <v>2.4986178</v>
      </c>
      <c r="M137" s="13" t="n">
        <f aca="false">MAX(0,E137-L137)</f>
        <v>2.4413822</v>
      </c>
      <c r="N137" s="13" t="n">
        <f aca="false">MAX(0,G137-J137-K137)</f>
        <v>0</v>
      </c>
      <c r="O137" s="13" t="n">
        <f aca="false">Q137-I137</f>
        <v>0.0150822</v>
      </c>
      <c r="P137" s="13" t="n">
        <f aca="false">G137+Q137-L137-N137-O137-K137</f>
        <v>0</v>
      </c>
      <c r="Q137" s="13" t="n">
        <f aca="false">IF(A137="",0,K136)</f>
        <v>0.75411</v>
      </c>
    </row>
    <row r="138" customFormat="false" ht="16.4" hidden="false" customHeight="false" outlineLevel="0" collapsed="false">
      <c r="A138" s="23" t="n">
        <f aca="false">Kalender!A138</f>
        <v>46156</v>
      </c>
      <c r="B138" s="13" t="n">
        <f aca="false">Kalender!C138</f>
        <v>1</v>
      </c>
      <c r="C138" s="13" t="n">
        <f aca="false">Kalender!D138</f>
        <v>1</v>
      </c>
      <c r="D138" s="13" t="n">
        <f aca="false">IF(Prüfungen!$B$4=0,(IFERROR(SUMIF(Nutzungsprofile!$B$6:$B$11,"Schulbetrieb",Nutzungsprofile!$G$6:$G$11)*Kalender!C138/SUM(Kalender!$C$5:$C$370),0)+IFERROR(SUMIF(Nutzungsprofile!$B$6:$B$11,"Halle",Nutzungsprofile!$G$6:$G$11)*Kalender!D138/SUM(Kalender!$D$5:$D$370),0)+IFERROR(SUMIF(Nutzungsprofile!$B$6:$B$11,"Individuell",Nutzungsprofile!$G$6:$G$11)*Kalender!E138/SUM(Kalender!$E$5:$E$370),0)),0)</f>
        <v>2.94</v>
      </c>
      <c r="E138" s="13" t="n">
        <f aca="false">IF(Prüfungen!$B$4=0,(IFERROR(SUMIF(Nutzungsprofile!$B$17:$B$22,"Schulbetrieb",Nutzungsprofile!$G$17:$G$22)*Kalender!C138/SUM(Kalender!$C$5:$C$370),0)+IFERROR(SUMIF(Nutzungsprofile!$B$17:$B$22,"Halle",Nutzungsprofile!$G$17:$G$22)*Kalender!D138/SUM(Kalender!$D$5:$D$370),0)+IFERROR(SUMIF(Nutzungsprofile!$B$17:$B$22,"Individuell",Nutzungsprofile!$G$17:$G$22)*Kalender!E138/SUM(Kalender!$E$5:$E$370),0)),0)</f>
        <v>4.94</v>
      </c>
      <c r="F138" s="13" t="n">
        <f aca="false">IFERROR(MIN(D138,Eingaben!$B$17)*Eingaben!$B$16,0)</f>
        <v>2.793</v>
      </c>
      <c r="G138" s="13" t="n">
        <f aca="false">IFERROR(F138*Eingaben!$B$15,0)</f>
        <v>2.5137</v>
      </c>
      <c r="H138" s="13" t="n">
        <f aca="false">IFERROR(Q138*(1-Eingaben!$B$20),0)</f>
        <v>0.7390278</v>
      </c>
      <c r="I138" s="13" t="n">
        <f aca="false">MIN(H138,E138)</f>
        <v>0.7390278</v>
      </c>
      <c r="J138" s="13" t="n">
        <f aca="false">IFERROR(MIN(G138*Eingaben!$B$19,MAX(0,E138-I138)),0)</f>
        <v>1.75959</v>
      </c>
      <c r="K138" s="13" t="n">
        <f aca="false">IFERROR(MIN(Eingaben!$B$18,MAX(0,G138-J138)),0)</f>
        <v>0.75411</v>
      </c>
      <c r="L138" s="13" t="n">
        <f aca="false">I138+J138</f>
        <v>2.4986178</v>
      </c>
      <c r="M138" s="13" t="n">
        <f aca="false">MAX(0,E138-L138)</f>
        <v>2.4413822</v>
      </c>
      <c r="N138" s="13" t="n">
        <f aca="false">MAX(0,G138-J138-K138)</f>
        <v>0</v>
      </c>
      <c r="O138" s="13" t="n">
        <f aca="false">Q138-I138</f>
        <v>0.0150822</v>
      </c>
      <c r="P138" s="13" t="n">
        <f aca="false">G138+Q138-L138-N138-O138-K138</f>
        <v>0</v>
      </c>
      <c r="Q138" s="13" t="n">
        <f aca="false">IF(A138="",0,K137)</f>
        <v>0.75411</v>
      </c>
    </row>
    <row r="139" customFormat="false" ht="16.4" hidden="false" customHeight="false" outlineLevel="0" collapsed="false">
      <c r="A139" s="23" t="n">
        <f aca="false">Kalender!A139</f>
        <v>46157</v>
      </c>
      <c r="B139" s="13" t="n">
        <f aca="false">Kalender!C139</f>
        <v>1</v>
      </c>
      <c r="C139" s="13" t="n">
        <f aca="false">Kalender!D139</f>
        <v>1</v>
      </c>
      <c r="D139" s="13" t="n">
        <f aca="false">IF(Prüfungen!$B$4=0,(IFERROR(SUMIF(Nutzungsprofile!$B$6:$B$11,"Schulbetrieb",Nutzungsprofile!$G$6:$G$11)*Kalender!C139/SUM(Kalender!$C$5:$C$370),0)+IFERROR(SUMIF(Nutzungsprofile!$B$6:$B$11,"Halle",Nutzungsprofile!$G$6:$G$11)*Kalender!D139/SUM(Kalender!$D$5:$D$370),0)+IFERROR(SUMIF(Nutzungsprofile!$B$6:$B$11,"Individuell",Nutzungsprofile!$G$6:$G$11)*Kalender!E139/SUM(Kalender!$E$5:$E$370),0)),0)</f>
        <v>2.94</v>
      </c>
      <c r="E139" s="13" t="n">
        <f aca="false">IF(Prüfungen!$B$4=0,(IFERROR(SUMIF(Nutzungsprofile!$B$17:$B$22,"Schulbetrieb",Nutzungsprofile!$G$17:$G$22)*Kalender!C139/SUM(Kalender!$C$5:$C$370),0)+IFERROR(SUMIF(Nutzungsprofile!$B$17:$B$22,"Halle",Nutzungsprofile!$G$17:$G$22)*Kalender!D139/SUM(Kalender!$D$5:$D$370),0)+IFERROR(SUMIF(Nutzungsprofile!$B$17:$B$22,"Individuell",Nutzungsprofile!$G$17:$G$22)*Kalender!E139/SUM(Kalender!$E$5:$E$370),0)),0)</f>
        <v>4.94</v>
      </c>
      <c r="F139" s="13" t="n">
        <f aca="false">IFERROR(MIN(D139,Eingaben!$B$17)*Eingaben!$B$16,0)</f>
        <v>2.793</v>
      </c>
      <c r="G139" s="13" t="n">
        <f aca="false">IFERROR(F139*Eingaben!$B$15,0)</f>
        <v>2.5137</v>
      </c>
      <c r="H139" s="13" t="n">
        <f aca="false">IFERROR(Q139*(1-Eingaben!$B$20),0)</f>
        <v>0.7390278</v>
      </c>
      <c r="I139" s="13" t="n">
        <f aca="false">MIN(H139,E139)</f>
        <v>0.7390278</v>
      </c>
      <c r="J139" s="13" t="n">
        <f aca="false">IFERROR(MIN(G139*Eingaben!$B$19,MAX(0,E139-I139)),0)</f>
        <v>1.75959</v>
      </c>
      <c r="K139" s="13" t="n">
        <f aca="false">IFERROR(MIN(Eingaben!$B$18,MAX(0,G139-J139)),0)</f>
        <v>0.75411</v>
      </c>
      <c r="L139" s="13" t="n">
        <f aca="false">I139+J139</f>
        <v>2.4986178</v>
      </c>
      <c r="M139" s="13" t="n">
        <f aca="false">MAX(0,E139-L139)</f>
        <v>2.4413822</v>
      </c>
      <c r="N139" s="13" t="n">
        <f aca="false">MAX(0,G139-J139-K139)</f>
        <v>0</v>
      </c>
      <c r="O139" s="13" t="n">
        <f aca="false">Q139-I139</f>
        <v>0.0150822</v>
      </c>
      <c r="P139" s="13" t="n">
        <f aca="false">G139+Q139-L139-N139-O139-K139</f>
        <v>0</v>
      </c>
      <c r="Q139" s="13" t="n">
        <f aca="false">IF(A139="",0,K138)</f>
        <v>0.75411</v>
      </c>
    </row>
    <row r="140" customFormat="false" ht="16.4" hidden="false" customHeight="false" outlineLevel="0" collapsed="false">
      <c r="A140" s="23" t="n">
        <f aca="false">Kalender!A140</f>
        <v>46158</v>
      </c>
      <c r="B140" s="13" t="n">
        <f aca="false">Kalender!C140</f>
        <v>0</v>
      </c>
      <c r="C140" s="13" t="n">
        <f aca="false">Kalender!D140</f>
        <v>1</v>
      </c>
      <c r="D140" s="13" t="n">
        <f aca="false">IF(Prüfungen!$B$4=0,(IFERROR(SUMIF(Nutzungsprofile!$B$6:$B$11,"Schulbetrieb",Nutzungsprofile!$G$6:$G$11)*Kalender!C140/SUM(Kalender!$C$5:$C$370),0)+IFERROR(SUMIF(Nutzungsprofile!$B$6:$B$11,"Halle",Nutzungsprofile!$G$6:$G$11)*Kalender!D140/SUM(Kalender!$D$5:$D$370),0)+IFERROR(SUMIF(Nutzungsprofile!$B$6:$B$11,"Individuell",Nutzungsprofile!$G$6:$G$11)*Kalender!E140/SUM(Kalender!$E$5:$E$370),0)),0)</f>
        <v>2.04</v>
      </c>
      <c r="E140" s="13" t="n">
        <f aca="false">IF(Prüfungen!$B$4=0,(IFERROR(SUMIF(Nutzungsprofile!$B$17:$B$22,"Schulbetrieb",Nutzungsprofile!$G$17:$G$22)*Kalender!C140/SUM(Kalender!$C$5:$C$370),0)+IFERROR(SUMIF(Nutzungsprofile!$B$17:$B$22,"Halle",Nutzungsprofile!$G$17:$G$22)*Kalender!D140/SUM(Kalender!$D$5:$D$370),0)+IFERROR(SUMIF(Nutzungsprofile!$B$17:$B$22,"Individuell",Nutzungsprofile!$G$17:$G$22)*Kalender!E140/SUM(Kalender!$E$5:$E$370),0)),0)</f>
        <v>0.89</v>
      </c>
      <c r="F140" s="13" t="n">
        <f aca="false">IFERROR(MIN(D140,Eingaben!$B$17)*Eingaben!$B$16,0)</f>
        <v>1.938</v>
      </c>
      <c r="G140" s="13" t="n">
        <f aca="false">IFERROR(F140*Eingaben!$B$15,0)</f>
        <v>1.7442</v>
      </c>
      <c r="H140" s="13" t="n">
        <f aca="false">IFERROR(Q140*(1-Eingaben!$B$20),0)</f>
        <v>0.7390278</v>
      </c>
      <c r="I140" s="13" t="n">
        <f aca="false">MIN(H140,E140)</f>
        <v>0.7390278</v>
      </c>
      <c r="J140" s="13" t="n">
        <f aca="false">IFERROR(MIN(G140*Eingaben!$B$19,MAX(0,E140-I140)),0)</f>
        <v>0.1509722</v>
      </c>
      <c r="K140" s="13" t="n">
        <f aca="false">IFERROR(MIN(Eingaben!$B$18,MAX(0,G140-J140)),0)</f>
        <v>1.5932278</v>
      </c>
      <c r="L140" s="13" t="n">
        <f aca="false">I140+J140</f>
        <v>0.89</v>
      </c>
      <c r="M140" s="13" t="n">
        <f aca="false">MAX(0,E140-L140)</f>
        <v>0</v>
      </c>
      <c r="N140" s="13" t="n">
        <f aca="false">MAX(0,G140-J140-K140)</f>
        <v>0</v>
      </c>
      <c r="O140" s="13" t="n">
        <f aca="false">Q140-I140</f>
        <v>0.0150822</v>
      </c>
      <c r="P140" s="13" t="n">
        <f aca="false">G140+Q140-L140-N140-O140-K140</f>
        <v>0</v>
      </c>
      <c r="Q140" s="13" t="n">
        <f aca="false">IF(A140="",0,K139)</f>
        <v>0.75411</v>
      </c>
    </row>
    <row r="141" customFormat="false" ht="16.4" hidden="false" customHeight="false" outlineLevel="0" collapsed="false">
      <c r="A141" s="23" t="n">
        <f aca="false">Kalender!A141</f>
        <v>46159</v>
      </c>
      <c r="B141" s="13" t="n">
        <f aca="false">Kalender!C141</f>
        <v>0</v>
      </c>
      <c r="C141" s="13" t="n">
        <f aca="false">Kalender!D141</f>
        <v>1</v>
      </c>
      <c r="D141" s="13" t="n">
        <f aca="false">IF(Prüfungen!$B$4=0,(IFERROR(SUMIF(Nutzungsprofile!$B$6:$B$11,"Schulbetrieb",Nutzungsprofile!$G$6:$G$11)*Kalender!C141/SUM(Kalender!$C$5:$C$370),0)+IFERROR(SUMIF(Nutzungsprofile!$B$6:$B$11,"Halle",Nutzungsprofile!$G$6:$G$11)*Kalender!D141/SUM(Kalender!$D$5:$D$370),0)+IFERROR(SUMIF(Nutzungsprofile!$B$6:$B$11,"Individuell",Nutzungsprofile!$G$6:$G$11)*Kalender!E141/SUM(Kalender!$E$5:$E$370),0)),0)</f>
        <v>2.04</v>
      </c>
      <c r="E141" s="13" t="n">
        <f aca="false">IF(Prüfungen!$B$4=0,(IFERROR(SUMIF(Nutzungsprofile!$B$17:$B$22,"Schulbetrieb",Nutzungsprofile!$G$17:$G$22)*Kalender!C141/SUM(Kalender!$C$5:$C$370),0)+IFERROR(SUMIF(Nutzungsprofile!$B$17:$B$22,"Halle",Nutzungsprofile!$G$17:$G$22)*Kalender!D141/SUM(Kalender!$D$5:$D$370),0)+IFERROR(SUMIF(Nutzungsprofile!$B$17:$B$22,"Individuell",Nutzungsprofile!$G$17:$G$22)*Kalender!E141/SUM(Kalender!$E$5:$E$370),0)),0)</f>
        <v>0.89</v>
      </c>
      <c r="F141" s="13" t="n">
        <f aca="false">IFERROR(MIN(D141,Eingaben!$B$17)*Eingaben!$B$16,0)</f>
        <v>1.938</v>
      </c>
      <c r="G141" s="13" t="n">
        <f aca="false">IFERROR(F141*Eingaben!$B$15,0)</f>
        <v>1.7442</v>
      </c>
      <c r="H141" s="13" t="n">
        <f aca="false">IFERROR(Q141*(1-Eingaben!$B$20),0)</f>
        <v>1.561363244</v>
      </c>
      <c r="I141" s="13" t="n">
        <f aca="false">MIN(H141,E141)</f>
        <v>0.89</v>
      </c>
      <c r="J141" s="13" t="n">
        <f aca="false">IFERROR(MIN(G141*Eingaben!$B$19,MAX(0,E141-I141)),0)</f>
        <v>0</v>
      </c>
      <c r="K141" s="13" t="n">
        <f aca="false">IFERROR(MIN(Eingaben!$B$18,MAX(0,G141-J141)),0)</f>
        <v>1.7442</v>
      </c>
      <c r="L141" s="13" t="n">
        <f aca="false">I141+J141</f>
        <v>0.89</v>
      </c>
      <c r="M141" s="13" t="n">
        <f aca="false">MAX(0,E141-L141)</f>
        <v>0</v>
      </c>
      <c r="N141" s="13" t="n">
        <f aca="false">MAX(0,G141-J141-K141)</f>
        <v>0</v>
      </c>
      <c r="O141" s="13" t="n">
        <f aca="false">Q141-I141</f>
        <v>0.7032278</v>
      </c>
      <c r="P141" s="13" t="n">
        <f aca="false">G141+Q141-L141-N141-O141-K141</f>
        <v>0</v>
      </c>
      <c r="Q141" s="13" t="n">
        <f aca="false">IF(A141="",0,K140)</f>
        <v>1.5932278</v>
      </c>
    </row>
    <row r="142" customFormat="false" ht="16.4" hidden="false" customHeight="false" outlineLevel="0" collapsed="false">
      <c r="A142" s="23" t="n">
        <f aca="false">Kalender!A142</f>
        <v>46160</v>
      </c>
      <c r="B142" s="13" t="n">
        <f aca="false">Kalender!C142</f>
        <v>1</v>
      </c>
      <c r="C142" s="13" t="n">
        <f aca="false">Kalender!D142</f>
        <v>1</v>
      </c>
      <c r="D142" s="13" t="n">
        <f aca="false">IF(Prüfungen!$B$4=0,(IFERROR(SUMIF(Nutzungsprofile!$B$6:$B$11,"Schulbetrieb",Nutzungsprofile!$G$6:$G$11)*Kalender!C142/SUM(Kalender!$C$5:$C$370),0)+IFERROR(SUMIF(Nutzungsprofile!$B$6:$B$11,"Halle",Nutzungsprofile!$G$6:$G$11)*Kalender!D142/SUM(Kalender!$D$5:$D$370),0)+IFERROR(SUMIF(Nutzungsprofile!$B$6:$B$11,"Individuell",Nutzungsprofile!$G$6:$G$11)*Kalender!E142/SUM(Kalender!$E$5:$E$370),0)),0)</f>
        <v>2.94</v>
      </c>
      <c r="E142" s="13" t="n">
        <f aca="false">IF(Prüfungen!$B$4=0,(IFERROR(SUMIF(Nutzungsprofile!$B$17:$B$22,"Schulbetrieb",Nutzungsprofile!$G$17:$G$22)*Kalender!C142/SUM(Kalender!$C$5:$C$370),0)+IFERROR(SUMIF(Nutzungsprofile!$B$17:$B$22,"Halle",Nutzungsprofile!$G$17:$G$22)*Kalender!D142/SUM(Kalender!$D$5:$D$370),0)+IFERROR(SUMIF(Nutzungsprofile!$B$17:$B$22,"Individuell",Nutzungsprofile!$G$17:$G$22)*Kalender!E142/SUM(Kalender!$E$5:$E$370),0)),0)</f>
        <v>4.94</v>
      </c>
      <c r="F142" s="13" t="n">
        <f aca="false">IFERROR(MIN(D142,Eingaben!$B$17)*Eingaben!$B$16,0)</f>
        <v>2.793</v>
      </c>
      <c r="G142" s="13" t="n">
        <f aca="false">IFERROR(F142*Eingaben!$B$15,0)</f>
        <v>2.5137</v>
      </c>
      <c r="H142" s="13" t="n">
        <f aca="false">IFERROR(Q142*(1-Eingaben!$B$20),0)</f>
        <v>1.709316</v>
      </c>
      <c r="I142" s="13" t="n">
        <f aca="false">MIN(H142,E142)</f>
        <v>1.709316</v>
      </c>
      <c r="J142" s="13" t="n">
        <f aca="false">IFERROR(MIN(G142*Eingaben!$B$19,MAX(0,E142-I142)),0)</f>
        <v>1.75959</v>
      </c>
      <c r="K142" s="13" t="n">
        <f aca="false">IFERROR(MIN(Eingaben!$B$18,MAX(0,G142-J142)),0)</f>
        <v>0.75411</v>
      </c>
      <c r="L142" s="13" t="n">
        <f aca="false">I142+J142</f>
        <v>3.468906</v>
      </c>
      <c r="M142" s="13" t="n">
        <f aca="false">MAX(0,E142-L142)</f>
        <v>1.471094</v>
      </c>
      <c r="N142" s="13" t="n">
        <f aca="false">MAX(0,G142-J142-K142)</f>
        <v>0</v>
      </c>
      <c r="O142" s="13" t="n">
        <f aca="false">Q142-I142</f>
        <v>0.0348840000000001</v>
      </c>
      <c r="P142" s="13" t="n">
        <f aca="false">G142+Q142-L142-N142-O142-K142</f>
        <v>0</v>
      </c>
      <c r="Q142" s="13" t="n">
        <f aca="false">IF(A142="",0,K141)</f>
        <v>1.7442</v>
      </c>
    </row>
    <row r="143" customFormat="false" ht="16.4" hidden="false" customHeight="false" outlineLevel="0" collapsed="false">
      <c r="A143" s="23" t="n">
        <f aca="false">Kalender!A143</f>
        <v>46161</v>
      </c>
      <c r="B143" s="13" t="n">
        <f aca="false">Kalender!C143</f>
        <v>1</v>
      </c>
      <c r="C143" s="13" t="n">
        <f aca="false">Kalender!D143</f>
        <v>1</v>
      </c>
      <c r="D143" s="13" t="n">
        <f aca="false">IF(Prüfungen!$B$4=0,(IFERROR(SUMIF(Nutzungsprofile!$B$6:$B$11,"Schulbetrieb",Nutzungsprofile!$G$6:$G$11)*Kalender!C143/SUM(Kalender!$C$5:$C$370),0)+IFERROR(SUMIF(Nutzungsprofile!$B$6:$B$11,"Halle",Nutzungsprofile!$G$6:$G$11)*Kalender!D143/SUM(Kalender!$D$5:$D$370),0)+IFERROR(SUMIF(Nutzungsprofile!$B$6:$B$11,"Individuell",Nutzungsprofile!$G$6:$G$11)*Kalender!E143/SUM(Kalender!$E$5:$E$370),0)),0)</f>
        <v>2.94</v>
      </c>
      <c r="E143" s="13" t="n">
        <f aca="false">IF(Prüfungen!$B$4=0,(IFERROR(SUMIF(Nutzungsprofile!$B$17:$B$22,"Schulbetrieb",Nutzungsprofile!$G$17:$G$22)*Kalender!C143/SUM(Kalender!$C$5:$C$370),0)+IFERROR(SUMIF(Nutzungsprofile!$B$17:$B$22,"Halle",Nutzungsprofile!$G$17:$G$22)*Kalender!D143/SUM(Kalender!$D$5:$D$370),0)+IFERROR(SUMIF(Nutzungsprofile!$B$17:$B$22,"Individuell",Nutzungsprofile!$G$17:$G$22)*Kalender!E143/SUM(Kalender!$E$5:$E$370),0)),0)</f>
        <v>4.94</v>
      </c>
      <c r="F143" s="13" t="n">
        <f aca="false">IFERROR(MIN(D143,Eingaben!$B$17)*Eingaben!$B$16,0)</f>
        <v>2.793</v>
      </c>
      <c r="G143" s="13" t="n">
        <f aca="false">IFERROR(F143*Eingaben!$B$15,0)</f>
        <v>2.5137</v>
      </c>
      <c r="H143" s="13" t="n">
        <f aca="false">IFERROR(Q143*(1-Eingaben!$B$20),0)</f>
        <v>0.7390278</v>
      </c>
      <c r="I143" s="13" t="n">
        <f aca="false">MIN(H143,E143)</f>
        <v>0.7390278</v>
      </c>
      <c r="J143" s="13" t="n">
        <f aca="false">IFERROR(MIN(G143*Eingaben!$B$19,MAX(0,E143-I143)),0)</f>
        <v>1.75959</v>
      </c>
      <c r="K143" s="13" t="n">
        <f aca="false">IFERROR(MIN(Eingaben!$B$18,MAX(0,G143-J143)),0)</f>
        <v>0.75411</v>
      </c>
      <c r="L143" s="13" t="n">
        <f aca="false">I143+J143</f>
        <v>2.4986178</v>
      </c>
      <c r="M143" s="13" t="n">
        <f aca="false">MAX(0,E143-L143)</f>
        <v>2.4413822</v>
      </c>
      <c r="N143" s="13" t="n">
        <f aca="false">MAX(0,G143-J143-K143)</f>
        <v>0</v>
      </c>
      <c r="O143" s="13" t="n">
        <f aca="false">Q143-I143</f>
        <v>0.0150822</v>
      </c>
      <c r="P143" s="13" t="n">
        <f aca="false">G143+Q143-L143-N143-O143-K143</f>
        <v>0</v>
      </c>
      <c r="Q143" s="13" t="n">
        <f aca="false">IF(A143="",0,K142)</f>
        <v>0.75411</v>
      </c>
    </row>
    <row r="144" customFormat="false" ht="16.4" hidden="false" customHeight="false" outlineLevel="0" collapsed="false">
      <c r="A144" s="23" t="n">
        <f aca="false">Kalender!A144</f>
        <v>46162</v>
      </c>
      <c r="B144" s="13" t="n">
        <f aca="false">Kalender!C144</f>
        <v>1</v>
      </c>
      <c r="C144" s="13" t="n">
        <f aca="false">Kalender!D144</f>
        <v>1</v>
      </c>
      <c r="D144" s="13" t="n">
        <f aca="false">IF(Prüfungen!$B$4=0,(IFERROR(SUMIF(Nutzungsprofile!$B$6:$B$11,"Schulbetrieb",Nutzungsprofile!$G$6:$G$11)*Kalender!C144/SUM(Kalender!$C$5:$C$370),0)+IFERROR(SUMIF(Nutzungsprofile!$B$6:$B$11,"Halle",Nutzungsprofile!$G$6:$G$11)*Kalender!D144/SUM(Kalender!$D$5:$D$370),0)+IFERROR(SUMIF(Nutzungsprofile!$B$6:$B$11,"Individuell",Nutzungsprofile!$G$6:$G$11)*Kalender!E144/SUM(Kalender!$E$5:$E$370),0)),0)</f>
        <v>2.94</v>
      </c>
      <c r="E144" s="13" t="n">
        <f aca="false">IF(Prüfungen!$B$4=0,(IFERROR(SUMIF(Nutzungsprofile!$B$17:$B$22,"Schulbetrieb",Nutzungsprofile!$G$17:$G$22)*Kalender!C144/SUM(Kalender!$C$5:$C$370),0)+IFERROR(SUMIF(Nutzungsprofile!$B$17:$B$22,"Halle",Nutzungsprofile!$G$17:$G$22)*Kalender!D144/SUM(Kalender!$D$5:$D$370),0)+IFERROR(SUMIF(Nutzungsprofile!$B$17:$B$22,"Individuell",Nutzungsprofile!$G$17:$G$22)*Kalender!E144/SUM(Kalender!$E$5:$E$370),0)),0)</f>
        <v>4.94</v>
      </c>
      <c r="F144" s="13" t="n">
        <f aca="false">IFERROR(MIN(D144,Eingaben!$B$17)*Eingaben!$B$16,0)</f>
        <v>2.793</v>
      </c>
      <c r="G144" s="13" t="n">
        <f aca="false">IFERROR(F144*Eingaben!$B$15,0)</f>
        <v>2.5137</v>
      </c>
      <c r="H144" s="13" t="n">
        <f aca="false">IFERROR(Q144*(1-Eingaben!$B$20),0)</f>
        <v>0.7390278</v>
      </c>
      <c r="I144" s="13" t="n">
        <f aca="false">MIN(H144,E144)</f>
        <v>0.7390278</v>
      </c>
      <c r="J144" s="13" t="n">
        <f aca="false">IFERROR(MIN(G144*Eingaben!$B$19,MAX(0,E144-I144)),0)</f>
        <v>1.75959</v>
      </c>
      <c r="K144" s="13" t="n">
        <f aca="false">IFERROR(MIN(Eingaben!$B$18,MAX(0,G144-J144)),0)</f>
        <v>0.75411</v>
      </c>
      <c r="L144" s="13" t="n">
        <f aca="false">I144+J144</f>
        <v>2.4986178</v>
      </c>
      <c r="M144" s="13" t="n">
        <f aca="false">MAX(0,E144-L144)</f>
        <v>2.4413822</v>
      </c>
      <c r="N144" s="13" t="n">
        <f aca="false">MAX(0,G144-J144-K144)</f>
        <v>0</v>
      </c>
      <c r="O144" s="13" t="n">
        <f aca="false">Q144-I144</f>
        <v>0.0150822</v>
      </c>
      <c r="P144" s="13" t="n">
        <f aca="false">G144+Q144-L144-N144-O144-K144</f>
        <v>0</v>
      </c>
      <c r="Q144" s="13" t="n">
        <f aca="false">IF(A144="",0,K143)</f>
        <v>0.75411</v>
      </c>
    </row>
    <row r="145" customFormat="false" ht="16.4" hidden="false" customHeight="false" outlineLevel="0" collapsed="false">
      <c r="A145" s="23" t="n">
        <f aca="false">Kalender!A145</f>
        <v>46163</v>
      </c>
      <c r="B145" s="13" t="n">
        <f aca="false">Kalender!C145</f>
        <v>1</v>
      </c>
      <c r="C145" s="13" t="n">
        <f aca="false">Kalender!D145</f>
        <v>1</v>
      </c>
      <c r="D145" s="13" t="n">
        <f aca="false">IF(Prüfungen!$B$4=0,(IFERROR(SUMIF(Nutzungsprofile!$B$6:$B$11,"Schulbetrieb",Nutzungsprofile!$G$6:$G$11)*Kalender!C145/SUM(Kalender!$C$5:$C$370),0)+IFERROR(SUMIF(Nutzungsprofile!$B$6:$B$11,"Halle",Nutzungsprofile!$G$6:$G$11)*Kalender!D145/SUM(Kalender!$D$5:$D$370),0)+IFERROR(SUMIF(Nutzungsprofile!$B$6:$B$11,"Individuell",Nutzungsprofile!$G$6:$G$11)*Kalender!E145/SUM(Kalender!$E$5:$E$370),0)),0)</f>
        <v>2.94</v>
      </c>
      <c r="E145" s="13" t="n">
        <f aca="false">IF(Prüfungen!$B$4=0,(IFERROR(SUMIF(Nutzungsprofile!$B$17:$B$22,"Schulbetrieb",Nutzungsprofile!$G$17:$G$22)*Kalender!C145/SUM(Kalender!$C$5:$C$370),0)+IFERROR(SUMIF(Nutzungsprofile!$B$17:$B$22,"Halle",Nutzungsprofile!$G$17:$G$22)*Kalender!D145/SUM(Kalender!$D$5:$D$370),0)+IFERROR(SUMIF(Nutzungsprofile!$B$17:$B$22,"Individuell",Nutzungsprofile!$G$17:$G$22)*Kalender!E145/SUM(Kalender!$E$5:$E$370),0)),0)</f>
        <v>4.94</v>
      </c>
      <c r="F145" s="13" t="n">
        <f aca="false">IFERROR(MIN(D145,Eingaben!$B$17)*Eingaben!$B$16,0)</f>
        <v>2.793</v>
      </c>
      <c r="G145" s="13" t="n">
        <f aca="false">IFERROR(F145*Eingaben!$B$15,0)</f>
        <v>2.5137</v>
      </c>
      <c r="H145" s="13" t="n">
        <f aca="false">IFERROR(Q145*(1-Eingaben!$B$20),0)</f>
        <v>0.7390278</v>
      </c>
      <c r="I145" s="13" t="n">
        <f aca="false">MIN(H145,E145)</f>
        <v>0.7390278</v>
      </c>
      <c r="J145" s="13" t="n">
        <f aca="false">IFERROR(MIN(G145*Eingaben!$B$19,MAX(0,E145-I145)),0)</f>
        <v>1.75959</v>
      </c>
      <c r="K145" s="13" t="n">
        <f aca="false">IFERROR(MIN(Eingaben!$B$18,MAX(0,G145-J145)),0)</f>
        <v>0.75411</v>
      </c>
      <c r="L145" s="13" t="n">
        <f aca="false">I145+J145</f>
        <v>2.4986178</v>
      </c>
      <c r="M145" s="13" t="n">
        <f aca="false">MAX(0,E145-L145)</f>
        <v>2.4413822</v>
      </c>
      <c r="N145" s="13" t="n">
        <f aca="false">MAX(0,G145-J145-K145)</f>
        <v>0</v>
      </c>
      <c r="O145" s="13" t="n">
        <f aca="false">Q145-I145</f>
        <v>0.0150822</v>
      </c>
      <c r="P145" s="13" t="n">
        <f aca="false">G145+Q145-L145-N145-O145-K145</f>
        <v>0</v>
      </c>
      <c r="Q145" s="13" t="n">
        <f aca="false">IF(A145="",0,K144)</f>
        <v>0.75411</v>
      </c>
    </row>
    <row r="146" customFormat="false" ht="16.4" hidden="false" customHeight="false" outlineLevel="0" collapsed="false">
      <c r="A146" s="23" t="n">
        <f aca="false">Kalender!A146</f>
        <v>46164</v>
      </c>
      <c r="B146" s="13" t="n">
        <f aca="false">Kalender!C146</f>
        <v>1</v>
      </c>
      <c r="C146" s="13" t="n">
        <f aca="false">Kalender!D146</f>
        <v>1</v>
      </c>
      <c r="D146" s="13" t="n">
        <f aca="false">IF(Prüfungen!$B$4=0,(IFERROR(SUMIF(Nutzungsprofile!$B$6:$B$11,"Schulbetrieb",Nutzungsprofile!$G$6:$G$11)*Kalender!C146/SUM(Kalender!$C$5:$C$370),0)+IFERROR(SUMIF(Nutzungsprofile!$B$6:$B$11,"Halle",Nutzungsprofile!$G$6:$G$11)*Kalender!D146/SUM(Kalender!$D$5:$D$370),0)+IFERROR(SUMIF(Nutzungsprofile!$B$6:$B$11,"Individuell",Nutzungsprofile!$G$6:$G$11)*Kalender!E146/SUM(Kalender!$E$5:$E$370),0)),0)</f>
        <v>2.94</v>
      </c>
      <c r="E146" s="13" t="n">
        <f aca="false">IF(Prüfungen!$B$4=0,(IFERROR(SUMIF(Nutzungsprofile!$B$17:$B$22,"Schulbetrieb",Nutzungsprofile!$G$17:$G$22)*Kalender!C146/SUM(Kalender!$C$5:$C$370),0)+IFERROR(SUMIF(Nutzungsprofile!$B$17:$B$22,"Halle",Nutzungsprofile!$G$17:$G$22)*Kalender!D146/SUM(Kalender!$D$5:$D$370),0)+IFERROR(SUMIF(Nutzungsprofile!$B$17:$B$22,"Individuell",Nutzungsprofile!$G$17:$G$22)*Kalender!E146/SUM(Kalender!$E$5:$E$370),0)),0)</f>
        <v>4.94</v>
      </c>
      <c r="F146" s="13" t="n">
        <f aca="false">IFERROR(MIN(D146,Eingaben!$B$17)*Eingaben!$B$16,0)</f>
        <v>2.793</v>
      </c>
      <c r="G146" s="13" t="n">
        <f aca="false">IFERROR(F146*Eingaben!$B$15,0)</f>
        <v>2.5137</v>
      </c>
      <c r="H146" s="13" t="n">
        <f aca="false">IFERROR(Q146*(1-Eingaben!$B$20),0)</f>
        <v>0.7390278</v>
      </c>
      <c r="I146" s="13" t="n">
        <f aca="false">MIN(H146,E146)</f>
        <v>0.7390278</v>
      </c>
      <c r="J146" s="13" t="n">
        <f aca="false">IFERROR(MIN(G146*Eingaben!$B$19,MAX(0,E146-I146)),0)</f>
        <v>1.75959</v>
      </c>
      <c r="K146" s="13" t="n">
        <f aca="false">IFERROR(MIN(Eingaben!$B$18,MAX(0,G146-J146)),0)</f>
        <v>0.75411</v>
      </c>
      <c r="L146" s="13" t="n">
        <f aca="false">I146+J146</f>
        <v>2.4986178</v>
      </c>
      <c r="M146" s="13" t="n">
        <f aca="false">MAX(0,E146-L146)</f>
        <v>2.4413822</v>
      </c>
      <c r="N146" s="13" t="n">
        <f aca="false">MAX(0,G146-J146-K146)</f>
        <v>0</v>
      </c>
      <c r="O146" s="13" t="n">
        <f aca="false">Q146-I146</f>
        <v>0.0150822</v>
      </c>
      <c r="P146" s="13" t="n">
        <f aca="false">G146+Q146-L146-N146-O146-K146</f>
        <v>0</v>
      </c>
      <c r="Q146" s="13" t="n">
        <f aca="false">IF(A146="",0,K145)</f>
        <v>0.75411</v>
      </c>
    </row>
    <row r="147" customFormat="false" ht="16.4" hidden="false" customHeight="false" outlineLevel="0" collapsed="false">
      <c r="A147" s="23" t="n">
        <f aca="false">Kalender!A147</f>
        <v>46165</v>
      </c>
      <c r="B147" s="13" t="n">
        <f aca="false">Kalender!C147</f>
        <v>0</v>
      </c>
      <c r="C147" s="13" t="n">
        <f aca="false">Kalender!D147</f>
        <v>1</v>
      </c>
      <c r="D147" s="13" t="n">
        <f aca="false">IF(Prüfungen!$B$4=0,(IFERROR(SUMIF(Nutzungsprofile!$B$6:$B$11,"Schulbetrieb",Nutzungsprofile!$G$6:$G$11)*Kalender!C147/SUM(Kalender!$C$5:$C$370),0)+IFERROR(SUMIF(Nutzungsprofile!$B$6:$B$11,"Halle",Nutzungsprofile!$G$6:$G$11)*Kalender!D147/SUM(Kalender!$D$5:$D$370),0)+IFERROR(SUMIF(Nutzungsprofile!$B$6:$B$11,"Individuell",Nutzungsprofile!$G$6:$G$11)*Kalender!E147/SUM(Kalender!$E$5:$E$370),0)),0)</f>
        <v>2.04</v>
      </c>
      <c r="E147" s="13" t="n">
        <f aca="false">IF(Prüfungen!$B$4=0,(IFERROR(SUMIF(Nutzungsprofile!$B$17:$B$22,"Schulbetrieb",Nutzungsprofile!$G$17:$G$22)*Kalender!C147/SUM(Kalender!$C$5:$C$370),0)+IFERROR(SUMIF(Nutzungsprofile!$B$17:$B$22,"Halle",Nutzungsprofile!$G$17:$G$22)*Kalender!D147/SUM(Kalender!$D$5:$D$370),0)+IFERROR(SUMIF(Nutzungsprofile!$B$17:$B$22,"Individuell",Nutzungsprofile!$G$17:$G$22)*Kalender!E147/SUM(Kalender!$E$5:$E$370),0)),0)</f>
        <v>0.89</v>
      </c>
      <c r="F147" s="13" t="n">
        <f aca="false">IFERROR(MIN(D147,Eingaben!$B$17)*Eingaben!$B$16,0)</f>
        <v>1.938</v>
      </c>
      <c r="G147" s="13" t="n">
        <f aca="false">IFERROR(F147*Eingaben!$B$15,0)</f>
        <v>1.7442</v>
      </c>
      <c r="H147" s="13" t="n">
        <f aca="false">IFERROR(Q147*(1-Eingaben!$B$20),0)</f>
        <v>0.7390278</v>
      </c>
      <c r="I147" s="13" t="n">
        <f aca="false">MIN(H147,E147)</f>
        <v>0.7390278</v>
      </c>
      <c r="J147" s="13" t="n">
        <f aca="false">IFERROR(MIN(G147*Eingaben!$B$19,MAX(0,E147-I147)),0)</f>
        <v>0.1509722</v>
      </c>
      <c r="K147" s="13" t="n">
        <f aca="false">IFERROR(MIN(Eingaben!$B$18,MAX(0,G147-J147)),0)</f>
        <v>1.5932278</v>
      </c>
      <c r="L147" s="13" t="n">
        <f aca="false">I147+J147</f>
        <v>0.89</v>
      </c>
      <c r="M147" s="13" t="n">
        <f aca="false">MAX(0,E147-L147)</f>
        <v>0</v>
      </c>
      <c r="N147" s="13" t="n">
        <f aca="false">MAX(0,G147-J147-K147)</f>
        <v>0</v>
      </c>
      <c r="O147" s="13" t="n">
        <f aca="false">Q147-I147</f>
        <v>0.0150822</v>
      </c>
      <c r="P147" s="13" t="n">
        <f aca="false">G147+Q147-L147-N147-O147-K147</f>
        <v>0</v>
      </c>
      <c r="Q147" s="13" t="n">
        <f aca="false">IF(A147="",0,K146)</f>
        <v>0.75411</v>
      </c>
    </row>
    <row r="148" customFormat="false" ht="16.4" hidden="false" customHeight="false" outlineLevel="0" collapsed="false">
      <c r="A148" s="23" t="n">
        <f aca="false">Kalender!A148</f>
        <v>46166</v>
      </c>
      <c r="B148" s="13" t="n">
        <f aca="false">Kalender!C148</f>
        <v>0</v>
      </c>
      <c r="C148" s="13" t="n">
        <f aca="false">Kalender!D148</f>
        <v>1</v>
      </c>
      <c r="D148" s="13" t="n">
        <f aca="false">IF(Prüfungen!$B$4=0,(IFERROR(SUMIF(Nutzungsprofile!$B$6:$B$11,"Schulbetrieb",Nutzungsprofile!$G$6:$G$11)*Kalender!C148/SUM(Kalender!$C$5:$C$370),0)+IFERROR(SUMIF(Nutzungsprofile!$B$6:$B$11,"Halle",Nutzungsprofile!$G$6:$G$11)*Kalender!D148/SUM(Kalender!$D$5:$D$370),0)+IFERROR(SUMIF(Nutzungsprofile!$B$6:$B$11,"Individuell",Nutzungsprofile!$G$6:$G$11)*Kalender!E148/SUM(Kalender!$E$5:$E$370),0)),0)</f>
        <v>2.04</v>
      </c>
      <c r="E148" s="13" t="n">
        <f aca="false">IF(Prüfungen!$B$4=0,(IFERROR(SUMIF(Nutzungsprofile!$B$17:$B$22,"Schulbetrieb",Nutzungsprofile!$G$17:$G$22)*Kalender!C148/SUM(Kalender!$C$5:$C$370),0)+IFERROR(SUMIF(Nutzungsprofile!$B$17:$B$22,"Halle",Nutzungsprofile!$G$17:$G$22)*Kalender!D148/SUM(Kalender!$D$5:$D$370),0)+IFERROR(SUMIF(Nutzungsprofile!$B$17:$B$22,"Individuell",Nutzungsprofile!$G$17:$G$22)*Kalender!E148/SUM(Kalender!$E$5:$E$370),0)),0)</f>
        <v>0.89</v>
      </c>
      <c r="F148" s="13" t="n">
        <f aca="false">IFERROR(MIN(D148,Eingaben!$B$17)*Eingaben!$B$16,0)</f>
        <v>1.938</v>
      </c>
      <c r="G148" s="13" t="n">
        <f aca="false">IFERROR(F148*Eingaben!$B$15,0)</f>
        <v>1.7442</v>
      </c>
      <c r="H148" s="13" t="n">
        <f aca="false">IFERROR(Q148*(1-Eingaben!$B$20),0)</f>
        <v>1.561363244</v>
      </c>
      <c r="I148" s="13" t="n">
        <f aca="false">MIN(H148,E148)</f>
        <v>0.89</v>
      </c>
      <c r="J148" s="13" t="n">
        <f aca="false">IFERROR(MIN(G148*Eingaben!$B$19,MAX(0,E148-I148)),0)</f>
        <v>0</v>
      </c>
      <c r="K148" s="13" t="n">
        <f aca="false">IFERROR(MIN(Eingaben!$B$18,MAX(0,G148-J148)),0)</f>
        <v>1.7442</v>
      </c>
      <c r="L148" s="13" t="n">
        <f aca="false">I148+J148</f>
        <v>0.89</v>
      </c>
      <c r="M148" s="13" t="n">
        <f aca="false">MAX(0,E148-L148)</f>
        <v>0</v>
      </c>
      <c r="N148" s="13" t="n">
        <f aca="false">MAX(0,G148-J148-K148)</f>
        <v>0</v>
      </c>
      <c r="O148" s="13" t="n">
        <f aca="false">Q148-I148</f>
        <v>0.7032278</v>
      </c>
      <c r="P148" s="13" t="n">
        <f aca="false">G148+Q148-L148-N148-O148-K148</f>
        <v>0</v>
      </c>
      <c r="Q148" s="13" t="n">
        <f aca="false">IF(A148="",0,K147)</f>
        <v>1.5932278</v>
      </c>
    </row>
    <row r="149" customFormat="false" ht="16.4" hidden="false" customHeight="false" outlineLevel="0" collapsed="false">
      <c r="A149" s="23" t="n">
        <f aca="false">Kalender!A149</f>
        <v>46167</v>
      </c>
      <c r="B149" s="13" t="n">
        <f aca="false">Kalender!C149</f>
        <v>1</v>
      </c>
      <c r="C149" s="13" t="n">
        <f aca="false">Kalender!D149</f>
        <v>1</v>
      </c>
      <c r="D149" s="13" t="n">
        <f aca="false">IF(Prüfungen!$B$4=0,(IFERROR(SUMIF(Nutzungsprofile!$B$6:$B$11,"Schulbetrieb",Nutzungsprofile!$G$6:$G$11)*Kalender!C149/SUM(Kalender!$C$5:$C$370),0)+IFERROR(SUMIF(Nutzungsprofile!$B$6:$B$11,"Halle",Nutzungsprofile!$G$6:$G$11)*Kalender!D149/SUM(Kalender!$D$5:$D$370),0)+IFERROR(SUMIF(Nutzungsprofile!$B$6:$B$11,"Individuell",Nutzungsprofile!$G$6:$G$11)*Kalender!E149/SUM(Kalender!$E$5:$E$370),0)),0)</f>
        <v>2.94</v>
      </c>
      <c r="E149" s="13" t="n">
        <f aca="false">IF(Prüfungen!$B$4=0,(IFERROR(SUMIF(Nutzungsprofile!$B$17:$B$22,"Schulbetrieb",Nutzungsprofile!$G$17:$G$22)*Kalender!C149/SUM(Kalender!$C$5:$C$370),0)+IFERROR(SUMIF(Nutzungsprofile!$B$17:$B$22,"Halle",Nutzungsprofile!$G$17:$G$22)*Kalender!D149/SUM(Kalender!$D$5:$D$370),0)+IFERROR(SUMIF(Nutzungsprofile!$B$17:$B$22,"Individuell",Nutzungsprofile!$G$17:$G$22)*Kalender!E149/SUM(Kalender!$E$5:$E$370),0)),0)</f>
        <v>4.94</v>
      </c>
      <c r="F149" s="13" t="n">
        <f aca="false">IFERROR(MIN(D149,Eingaben!$B$17)*Eingaben!$B$16,0)</f>
        <v>2.793</v>
      </c>
      <c r="G149" s="13" t="n">
        <f aca="false">IFERROR(F149*Eingaben!$B$15,0)</f>
        <v>2.5137</v>
      </c>
      <c r="H149" s="13" t="n">
        <f aca="false">IFERROR(Q149*(1-Eingaben!$B$20),0)</f>
        <v>1.709316</v>
      </c>
      <c r="I149" s="13" t="n">
        <f aca="false">MIN(H149,E149)</f>
        <v>1.709316</v>
      </c>
      <c r="J149" s="13" t="n">
        <f aca="false">IFERROR(MIN(G149*Eingaben!$B$19,MAX(0,E149-I149)),0)</f>
        <v>1.75959</v>
      </c>
      <c r="K149" s="13" t="n">
        <f aca="false">IFERROR(MIN(Eingaben!$B$18,MAX(0,G149-J149)),0)</f>
        <v>0.75411</v>
      </c>
      <c r="L149" s="13" t="n">
        <f aca="false">I149+J149</f>
        <v>3.468906</v>
      </c>
      <c r="M149" s="13" t="n">
        <f aca="false">MAX(0,E149-L149)</f>
        <v>1.471094</v>
      </c>
      <c r="N149" s="13" t="n">
        <f aca="false">MAX(0,G149-J149-K149)</f>
        <v>0</v>
      </c>
      <c r="O149" s="13" t="n">
        <f aca="false">Q149-I149</f>
        <v>0.0348840000000001</v>
      </c>
      <c r="P149" s="13" t="n">
        <f aca="false">G149+Q149-L149-N149-O149-K149</f>
        <v>0</v>
      </c>
      <c r="Q149" s="13" t="n">
        <f aca="false">IF(A149="",0,K148)</f>
        <v>1.7442</v>
      </c>
    </row>
    <row r="150" customFormat="false" ht="16.4" hidden="false" customHeight="false" outlineLevel="0" collapsed="false">
      <c r="A150" s="23" t="n">
        <f aca="false">Kalender!A150</f>
        <v>46168</v>
      </c>
      <c r="B150" s="13" t="n">
        <f aca="false">Kalender!C150</f>
        <v>1</v>
      </c>
      <c r="C150" s="13" t="n">
        <f aca="false">Kalender!D150</f>
        <v>1</v>
      </c>
      <c r="D150" s="13" t="n">
        <f aca="false">IF(Prüfungen!$B$4=0,(IFERROR(SUMIF(Nutzungsprofile!$B$6:$B$11,"Schulbetrieb",Nutzungsprofile!$G$6:$G$11)*Kalender!C150/SUM(Kalender!$C$5:$C$370),0)+IFERROR(SUMIF(Nutzungsprofile!$B$6:$B$11,"Halle",Nutzungsprofile!$G$6:$G$11)*Kalender!D150/SUM(Kalender!$D$5:$D$370),0)+IFERROR(SUMIF(Nutzungsprofile!$B$6:$B$11,"Individuell",Nutzungsprofile!$G$6:$G$11)*Kalender!E150/SUM(Kalender!$E$5:$E$370),0)),0)</f>
        <v>2.94</v>
      </c>
      <c r="E150" s="13" t="n">
        <f aca="false">IF(Prüfungen!$B$4=0,(IFERROR(SUMIF(Nutzungsprofile!$B$17:$B$22,"Schulbetrieb",Nutzungsprofile!$G$17:$G$22)*Kalender!C150/SUM(Kalender!$C$5:$C$370),0)+IFERROR(SUMIF(Nutzungsprofile!$B$17:$B$22,"Halle",Nutzungsprofile!$G$17:$G$22)*Kalender!D150/SUM(Kalender!$D$5:$D$370),0)+IFERROR(SUMIF(Nutzungsprofile!$B$17:$B$22,"Individuell",Nutzungsprofile!$G$17:$G$22)*Kalender!E150/SUM(Kalender!$E$5:$E$370),0)),0)</f>
        <v>4.94</v>
      </c>
      <c r="F150" s="13" t="n">
        <f aca="false">IFERROR(MIN(D150,Eingaben!$B$17)*Eingaben!$B$16,0)</f>
        <v>2.793</v>
      </c>
      <c r="G150" s="13" t="n">
        <f aca="false">IFERROR(F150*Eingaben!$B$15,0)</f>
        <v>2.5137</v>
      </c>
      <c r="H150" s="13" t="n">
        <f aca="false">IFERROR(Q150*(1-Eingaben!$B$20),0)</f>
        <v>0.7390278</v>
      </c>
      <c r="I150" s="13" t="n">
        <f aca="false">MIN(H150,E150)</f>
        <v>0.7390278</v>
      </c>
      <c r="J150" s="13" t="n">
        <f aca="false">IFERROR(MIN(G150*Eingaben!$B$19,MAX(0,E150-I150)),0)</f>
        <v>1.75959</v>
      </c>
      <c r="K150" s="13" t="n">
        <f aca="false">IFERROR(MIN(Eingaben!$B$18,MAX(0,G150-J150)),0)</f>
        <v>0.75411</v>
      </c>
      <c r="L150" s="13" t="n">
        <f aca="false">I150+J150</f>
        <v>2.4986178</v>
      </c>
      <c r="M150" s="13" t="n">
        <f aca="false">MAX(0,E150-L150)</f>
        <v>2.4413822</v>
      </c>
      <c r="N150" s="13" t="n">
        <f aca="false">MAX(0,G150-J150-K150)</f>
        <v>0</v>
      </c>
      <c r="O150" s="13" t="n">
        <f aca="false">Q150-I150</f>
        <v>0.0150822</v>
      </c>
      <c r="P150" s="13" t="n">
        <f aca="false">G150+Q150-L150-N150-O150-K150</f>
        <v>0</v>
      </c>
      <c r="Q150" s="13" t="n">
        <f aca="false">IF(A150="",0,K149)</f>
        <v>0.75411</v>
      </c>
    </row>
    <row r="151" customFormat="false" ht="16.4" hidden="false" customHeight="false" outlineLevel="0" collapsed="false">
      <c r="A151" s="23" t="n">
        <f aca="false">Kalender!A151</f>
        <v>46169</v>
      </c>
      <c r="B151" s="13" t="n">
        <f aca="false">Kalender!C151</f>
        <v>1</v>
      </c>
      <c r="C151" s="13" t="n">
        <f aca="false">Kalender!D151</f>
        <v>1</v>
      </c>
      <c r="D151" s="13" t="n">
        <f aca="false">IF(Prüfungen!$B$4=0,(IFERROR(SUMIF(Nutzungsprofile!$B$6:$B$11,"Schulbetrieb",Nutzungsprofile!$G$6:$G$11)*Kalender!C151/SUM(Kalender!$C$5:$C$370),0)+IFERROR(SUMIF(Nutzungsprofile!$B$6:$B$11,"Halle",Nutzungsprofile!$G$6:$G$11)*Kalender!D151/SUM(Kalender!$D$5:$D$370),0)+IFERROR(SUMIF(Nutzungsprofile!$B$6:$B$11,"Individuell",Nutzungsprofile!$G$6:$G$11)*Kalender!E151/SUM(Kalender!$E$5:$E$370),0)),0)</f>
        <v>2.94</v>
      </c>
      <c r="E151" s="13" t="n">
        <f aca="false">IF(Prüfungen!$B$4=0,(IFERROR(SUMIF(Nutzungsprofile!$B$17:$B$22,"Schulbetrieb",Nutzungsprofile!$G$17:$G$22)*Kalender!C151/SUM(Kalender!$C$5:$C$370),0)+IFERROR(SUMIF(Nutzungsprofile!$B$17:$B$22,"Halle",Nutzungsprofile!$G$17:$G$22)*Kalender!D151/SUM(Kalender!$D$5:$D$370),0)+IFERROR(SUMIF(Nutzungsprofile!$B$17:$B$22,"Individuell",Nutzungsprofile!$G$17:$G$22)*Kalender!E151/SUM(Kalender!$E$5:$E$370),0)),0)</f>
        <v>4.94</v>
      </c>
      <c r="F151" s="13" t="n">
        <f aca="false">IFERROR(MIN(D151,Eingaben!$B$17)*Eingaben!$B$16,0)</f>
        <v>2.793</v>
      </c>
      <c r="G151" s="13" t="n">
        <f aca="false">IFERROR(F151*Eingaben!$B$15,0)</f>
        <v>2.5137</v>
      </c>
      <c r="H151" s="13" t="n">
        <f aca="false">IFERROR(Q151*(1-Eingaben!$B$20),0)</f>
        <v>0.7390278</v>
      </c>
      <c r="I151" s="13" t="n">
        <f aca="false">MIN(H151,E151)</f>
        <v>0.7390278</v>
      </c>
      <c r="J151" s="13" t="n">
        <f aca="false">IFERROR(MIN(G151*Eingaben!$B$19,MAX(0,E151-I151)),0)</f>
        <v>1.75959</v>
      </c>
      <c r="K151" s="13" t="n">
        <f aca="false">IFERROR(MIN(Eingaben!$B$18,MAX(0,G151-J151)),0)</f>
        <v>0.75411</v>
      </c>
      <c r="L151" s="13" t="n">
        <f aca="false">I151+J151</f>
        <v>2.4986178</v>
      </c>
      <c r="M151" s="13" t="n">
        <f aca="false">MAX(0,E151-L151)</f>
        <v>2.4413822</v>
      </c>
      <c r="N151" s="13" t="n">
        <f aca="false">MAX(0,G151-J151-K151)</f>
        <v>0</v>
      </c>
      <c r="O151" s="13" t="n">
        <f aca="false">Q151-I151</f>
        <v>0.0150822</v>
      </c>
      <c r="P151" s="13" t="n">
        <f aca="false">G151+Q151-L151-N151-O151-K151</f>
        <v>0</v>
      </c>
      <c r="Q151" s="13" t="n">
        <f aca="false">IF(A151="",0,K150)</f>
        <v>0.75411</v>
      </c>
    </row>
    <row r="152" customFormat="false" ht="16.4" hidden="false" customHeight="false" outlineLevel="0" collapsed="false">
      <c r="A152" s="23" t="n">
        <f aca="false">Kalender!A152</f>
        <v>46170</v>
      </c>
      <c r="B152" s="13" t="n">
        <f aca="false">Kalender!C152</f>
        <v>1</v>
      </c>
      <c r="C152" s="13" t="n">
        <f aca="false">Kalender!D152</f>
        <v>1</v>
      </c>
      <c r="D152" s="13" t="n">
        <f aca="false">IF(Prüfungen!$B$4=0,(IFERROR(SUMIF(Nutzungsprofile!$B$6:$B$11,"Schulbetrieb",Nutzungsprofile!$G$6:$G$11)*Kalender!C152/SUM(Kalender!$C$5:$C$370),0)+IFERROR(SUMIF(Nutzungsprofile!$B$6:$B$11,"Halle",Nutzungsprofile!$G$6:$G$11)*Kalender!D152/SUM(Kalender!$D$5:$D$370),0)+IFERROR(SUMIF(Nutzungsprofile!$B$6:$B$11,"Individuell",Nutzungsprofile!$G$6:$G$11)*Kalender!E152/SUM(Kalender!$E$5:$E$370),0)),0)</f>
        <v>2.94</v>
      </c>
      <c r="E152" s="13" t="n">
        <f aca="false">IF(Prüfungen!$B$4=0,(IFERROR(SUMIF(Nutzungsprofile!$B$17:$B$22,"Schulbetrieb",Nutzungsprofile!$G$17:$G$22)*Kalender!C152/SUM(Kalender!$C$5:$C$370),0)+IFERROR(SUMIF(Nutzungsprofile!$B$17:$B$22,"Halle",Nutzungsprofile!$G$17:$G$22)*Kalender!D152/SUM(Kalender!$D$5:$D$370),0)+IFERROR(SUMIF(Nutzungsprofile!$B$17:$B$22,"Individuell",Nutzungsprofile!$G$17:$G$22)*Kalender!E152/SUM(Kalender!$E$5:$E$370),0)),0)</f>
        <v>4.94</v>
      </c>
      <c r="F152" s="13" t="n">
        <f aca="false">IFERROR(MIN(D152,Eingaben!$B$17)*Eingaben!$B$16,0)</f>
        <v>2.793</v>
      </c>
      <c r="G152" s="13" t="n">
        <f aca="false">IFERROR(F152*Eingaben!$B$15,0)</f>
        <v>2.5137</v>
      </c>
      <c r="H152" s="13" t="n">
        <f aca="false">IFERROR(Q152*(1-Eingaben!$B$20),0)</f>
        <v>0.7390278</v>
      </c>
      <c r="I152" s="13" t="n">
        <f aca="false">MIN(H152,E152)</f>
        <v>0.7390278</v>
      </c>
      <c r="J152" s="13" t="n">
        <f aca="false">IFERROR(MIN(G152*Eingaben!$B$19,MAX(0,E152-I152)),0)</f>
        <v>1.75959</v>
      </c>
      <c r="K152" s="13" t="n">
        <f aca="false">IFERROR(MIN(Eingaben!$B$18,MAX(0,G152-J152)),0)</f>
        <v>0.75411</v>
      </c>
      <c r="L152" s="13" t="n">
        <f aca="false">I152+J152</f>
        <v>2.4986178</v>
      </c>
      <c r="M152" s="13" t="n">
        <f aca="false">MAX(0,E152-L152)</f>
        <v>2.4413822</v>
      </c>
      <c r="N152" s="13" t="n">
        <f aca="false">MAX(0,G152-J152-K152)</f>
        <v>0</v>
      </c>
      <c r="O152" s="13" t="n">
        <f aca="false">Q152-I152</f>
        <v>0.0150822</v>
      </c>
      <c r="P152" s="13" t="n">
        <f aca="false">G152+Q152-L152-N152-O152-K152</f>
        <v>0</v>
      </c>
      <c r="Q152" s="13" t="n">
        <f aca="false">IF(A152="",0,K151)</f>
        <v>0.75411</v>
      </c>
    </row>
    <row r="153" customFormat="false" ht="16.4" hidden="false" customHeight="false" outlineLevel="0" collapsed="false">
      <c r="A153" s="23" t="n">
        <f aca="false">Kalender!A153</f>
        <v>46171</v>
      </c>
      <c r="B153" s="13" t="n">
        <f aca="false">Kalender!C153</f>
        <v>1</v>
      </c>
      <c r="C153" s="13" t="n">
        <f aca="false">Kalender!D153</f>
        <v>1</v>
      </c>
      <c r="D153" s="13" t="n">
        <f aca="false">IF(Prüfungen!$B$4=0,(IFERROR(SUMIF(Nutzungsprofile!$B$6:$B$11,"Schulbetrieb",Nutzungsprofile!$G$6:$G$11)*Kalender!C153/SUM(Kalender!$C$5:$C$370),0)+IFERROR(SUMIF(Nutzungsprofile!$B$6:$B$11,"Halle",Nutzungsprofile!$G$6:$G$11)*Kalender!D153/SUM(Kalender!$D$5:$D$370),0)+IFERROR(SUMIF(Nutzungsprofile!$B$6:$B$11,"Individuell",Nutzungsprofile!$G$6:$G$11)*Kalender!E153/SUM(Kalender!$E$5:$E$370),0)),0)</f>
        <v>2.94</v>
      </c>
      <c r="E153" s="13" t="n">
        <f aca="false">IF(Prüfungen!$B$4=0,(IFERROR(SUMIF(Nutzungsprofile!$B$17:$B$22,"Schulbetrieb",Nutzungsprofile!$G$17:$G$22)*Kalender!C153/SUM(Kalender!$C$5:$C$370),0)+IFERROR(SUMIF(Nutzungsprofile!$B$17:$B$22,"Halle",Nutzungsprofile!$G$17:$G$22)*Kalender!D153/SUM(Kalender!$D$5:$D$370),0)+IFERROR(SUMIF(Nutzungsprofile!$B$17:$B$22,"Individuell",Nutzungsprofile!$G$17:$G$22)*Kalender!E153/SUM(Kalender!$E$5:$E$370),0)),0)</f>
        <v>4.94</v>
      </c>
      <c r="F153" s="13" t="n">
        <f aca="false">IFERROR(MIN(D153,Eingaben!$B$17)*Eingaben!$B$16,0)</f>
        <v>2.793</v>
      </c>
      <c r="G153" s="13" t="n">
        <f aca="false">IFERROR(F153*Eingaben!$B$15,0)</f>
        <v>2.5137</v>
      </c>
      <c r="H153" s="13" t="n">
        <f aca="false">IFERROR(Q153*(1-Eingaben!$B$20),0)</f>
        <v>0.7390278</v>
      </c>
      <c r="I153" s="13" t="n">
        <f aca="false">MIN(H153,E153)</f>
        <v>0.7390278</v>
      </c>
      <c r="J153" s="13" t="n">
        <f aca="false">IFERROR(MIN(G153*Eingaben!$B$19,MAX(0,E153-I153)),0)</f>
        <v>1.75959</v>
      </c>
      <c r="K153" s="13" t="n">
        <f aca="false">IFERROR(MIN(Eingaben!$B$18,MAX(0,G153-J153)),0)</f>
        <v>0.75411</v>
      </c>
      <c r="L153" s="13" t="n">
        <f aca="false">I153+J153</f>
        <v>2.4986178</v>
      </c>
      <c r="M153" s="13" t="n">
        <f aca="false">MAX(0,E153-L153)</f>
        <v>2.4413822</v>
      </c>
      <c r="N153" s="13" t="n">
        <f aca="false">MAX(0,G153-J153-K153)</f>
        <v>0</v>
      </c>
      <c r="O153" s="13" t="n">
        <f aca="false">Q153-I153</f>
        <v>0.0150822</v>
      </c>
      <c r="P153" s="13" t="n">
        <f aca="false">G153+Q153-L153-N153-O153-K153</f>
        <v>0</v>
      </c>
      <c r="Q153" s="13" t="n">
        <f aca="false">IF(A153="",0,K152)</f>
        <v>0.75411</v>
      </c>
    </row>
    <row r="154" customFormat="false" ht="16.4" hidden="false" customHeight="false" outlineLevel="0" collapsed="false">
      <c r="A154" s="23" t="n">
        <f aca="false">Kalender!A154</f>
        <v>46172</v>
      </c>
      <c r="B154" s="13" t="n">
        <f aca="false">Kalender!C154</f>
        <v>0</v>
      </c>
      <c r="C154" s="13" t="n">
        <f aca="false">Kalender!D154</f>
        <v>1</v>
      </c>
      <c r="D154" s="13" t="n">
        <f aca="false">IF(Prüfungen!$B$4=0,(IFERROR(SUMIF(Nutzungsprofile!$B$6:$B$11,"Schulbetrieb",Nutzungsprofile!$G$6:$G$11)*Kalender!C154/SUM(Kalender!$C$5:$C$370),0)+IFERROR(SUMIF(Nutzungsprofile!$B$6:$B$11,"Halle",Nutzungsprofile!$G$6:$G$11)*Kalender!D154/SUM(Kalender!$D$5:$D$370),0)+IFERROR(SUMIF(Nutzungsprofile!$B$6:$B$11,"Individuell",Nutzungsprofile!$G$6:$G$11)*Kalender!E154/SUM(Kalender!$E$5:$E$370),0)),0)</f>
        <v>2.04</v>
      </c>
      <c r="E154" s="13" t="n">
        <f aca="false">IF(Prüfungen!$B$4=0,(IFERROR(SUMIF(Nutzungsprofile!$B$17:$B$22,"Schulbetrieb",Nutzungsprofile!$G$17:$G$22)*Kalender!C154/SUM(Kalender!$C$5:$C$370),0)+IFERROR(SUMIF(Nutzungsprofile!$B$17:$B$22,"Halle",Nutzungsprofile!$G$17:$G$22)*Kalender!D154/SUM(Kalender!$D$5:$D$370),0)+IFERROR(SUMIF(Nutzungsprofile!$B$17:$B$22,"Individuell",Nutzungsprofile!$G$17:$G$22)*Kalender!E154/SUM(Kalender!$E$5:$E$370),0)),0)</f>
        <v>0.89</v>
      </c>
      <c r="F154" s="13" t="n">
        <f aca="false">IFERROR(MIN(D154,Eingaben!$B$17)*Eingaben!$B$16,0)</f>
        <v>1.938</v>
      </c>
      <c r="G154" s="13" t="n">
        <f aca="false">IFERROR(F154*Eingaben!$B$15,0)</f>
        <v>1.7442</v>
      </c>
      <c r="H154" s="13" t="n">
        <f aca="false">IFERROR(Q154*(1-Eingaben!$B$20),0)</f>
        <v>0.7390278</v>
      </c>
      <c r="I154" s="13" t="n">
        <f aca="false">MIN(H154,E154)</f>
        <v>0.7390278</v>
      </c>
      <c r="J154" s="13" t="n">
        <f aca="false">IFERROR(MIN(G154*Eingaben!$B$19,MAX(0,E154-I154)),0)</f>
        <v>0.1509722</v>
      </c>
      <c r="K154" s="13" t="n">
        <f aca="false">IFERROR(MIN(Eingaben!$B$18,MAX(0,G154-J154)),0)</f>
        <v>1.5932278</v>
      </c>
      <c r="L154" s="13" t="n">
        <f aca="false">I154+J154</f>
        <v>0.89</v>
      </c>
      <c r="M154" s="13" t="n">
        <f aca="false">MAX(0,E154-L154)</f>
        <v>0</v>
      </c>
      <c r="N154" s="13" t="n">
        <f aca="false">MAX(0,G154-J154-K154)</f>
        <v>0</v>
      </c>
      <c r="O154" s="13" t="n">
        <f aca="false">Q154-I154</f>
        <v>0.0150822</v>
      </c>
      <c r="P154" s="13" t="n">
        <f aca="false">G154+Q154-L154-N154-O154-K154</f>
        <v>0</v>
      </c>
      <c r="Q154" s="13" t="n">
        <f aca="false">IF(A154="",0,K153)</f>
        <v>0.75411</v>
      </c>
    </row>
    <row r="155" customFormat="false" ht="16.4" hidden="false" customHeight="false" outlineLevel="0" collapsed="false">
      <c r="A155" s="23" t="n">
        <f aca="false">Kalender!A155</f>
        <v>46173</v>
      </c>
      <c r="B155" s="13" t="n">
        <f aca="false">Kalender!C155</f>
        <v>0</v>
      </c>
      <c r="C155" s="13" t="n">
        <f aca="false">Kalender!D155</f>
        <v>1</v>
      </c>
      <c r="D155" s="13" t="n">
        <f aca="false">IF(Prüfungen!$B$4=0,(IFERROR(SUMIF(Nutzungsprofile!$B$6:$B$11,"Schulbetrieb",Nutzungsprofile!$G$6:$G$11)*Kalender!C155/SUM(Kalender!$C$5:$C$370),0)+IFERROR(SUMIF(Nutzungsprofile!$B$6:$B$11,"Halle",Nutzungsprofile!$G$6:$G$11)*Kalender!D155/SUM(Kalender!$D$5:$D$370),0)+IFERROR(SUMIF(Nutzungsprofile!$B$6:$B$11,"Individuell",Nutzungsprofile!$G$6:$G$11)*Kalender!E155/SUM(Kalender!$E$5:$E$370),0)),0)</f>
        <v>2.04</v>
      </c>
      <c r="E155" s="13" t="n">
        <f aca="false">IF(Prüfungen!$B$4=0,(IFERROR(SUMIF(Nutzungsprofile!$B$17:$B$22,"Schulbetrieb",Nutzungsprofile!$G$17:$G$22)*Kalender!C155/SUM(Kalender!$C$5:$C$370),0)+IFERROR(SUMIF(Nutzungsprofile!$B$17:$B$22,"Halle",Nutzungsprofile!$G$17:$G$22)*Kalender!D155/SUM(Kalender!$D$5:$D$370),0)+IFERROR(SUMIF(Nutzungsprofile!$B$17:$B$22,"Individuell",Nutzungsprofile!$G$17:$G$22)*Kalender!E155/SUM(Kalender!$E$5:$E$370),0)),0)</f>
        <v>0.89</v>
      </c>
      <c r="F155" s="13" t="n">
        <f aca="false">IFERROR(MIN(D155,Eingaben!$B$17)*Eingaben!$B$16,0)</f>
        <v>1.938</v>
      </c>
      <c r="G155" s="13" t="n">
        <f aca="false">IFERROR(F155*Eingaben!$B$15,0)</f>
        <v>1.7442</v>
      </c>
      <c r="H155" s="13" t="n">
        <f aca="false">IFERROR(Q155*(1-Eingaben!$B$20),0)</f>
        <v>1.561363244</v>
      </c>
      <c r="I155" s="13" t="n">
        <f aca="false">MIN(H155,E155)</f>
        <v>0.89</v>
      </c>
      <c r="J155" s="13" t="n">
        <f aca="false">IFERROR(MIN(G155*Eingaben!$B$19,MAX(0,E155-I155)),0)</f>
        <v>0</v>
      </c>
      <c r="K155" s="13" t="n">
        <f aca="false">IFERROR(MIN(Eingaben!$B$18,MAX(0,G155-J155)),0)</f>
        <v>1.7442</v>
      </c>
      <c r="L155" s="13" t="n">
        <f aca="false">I155+J155</f>
        <v>0.89</v>
      </c>
      <c r="M155" s="13" t="n">
        <f aca="false">MAX(0,E155-L155)</f>
        <v>0</v>
      </c>
      <c r="N155" s="13" t="n">
        <f aca="false">MAX(0,G155-J155-K155)</f>
        <v>0</v>
      </c>
      <c r="O155" s="13" t="n">
        <f aca="false">Q155-I155</f>
        <v>0.7032278</v>
      </c>
      <c r="P155" s="13" t="n">
        <f aca="false">G155+Q155-L155-N155-O155-K155</f>
        <v>0</v>
      </c>
      <c r="Q155" s="13" t="n">
        <f aca="false">IF(A155="",0,K154)</f>
        <v>1.5932278</v>
      </c>
    </row>
    <row r="156" customFormat="false" ht="16.4" hidden="false" customHeight="false" outlineLevel="0" collapsed="false">
      <c r="A156" s="23" t="n">
        <f aca="false">Kalender!A156</f>
        <v>46174</v>
      </c>
      <c r="B156" s="13" t="n">
        <f aca="false">Kalender!C156</f>
        <v>1</v>
      </c>
      <c r="C156" s="13" t="n">
        <f aca="false">Kalender!D156</f>
        <v>1</v>
      </c>
      <c r="D156" s="13" t="n">
        <f aca="false">IF(Prüfungen!$B$4=0,(IFERROR(SUMIF(Nutzungsprofile!$B$6:$B$11,"Schulbetrieb",Nutzungsprofile!$G$6:$G$11)*Kalender!C156/SUM(Kalender!$C$5:$C$370),0)+IFERROR(SUMIF(Nutzungsprofile!$B$6:$B$11,"Halle",Nutzungsprofile!$G$6:$G$11)*Kalender!D156/SUM(Kalender!$D$5:$D$370),0)+IFERROR(SUMIF(Nutzungsprofile!$B$6:$B$11,"Individuell",Nutzungsprofile!$G$6:$G$11)*Kalender!E156/SUM(Kalender!$E$5:$E$370),0)),0)</f>
        <v>2.94</v>
      </c>
      <c r="E156" s="13" t="n">
        <f aca="false">IF(Prüfungen!$B$4=0,(IFERROR(SUMIF(Nutzungsprofile!$B$17:$B$22,"Schulbetrieb",Nutzungsprofile!$G$17:$G$22)*Kalender!C156/SUM(Kalender!$C$5:$C$370),0)+IFERROR(SUMIF(Nutzungsprofile!$B$17:$B$22,"Halle",Nutzungsprofile!$G$17:$G$22)*Kalender!D156/SUM(Kalender!$D$5:$D$370),0)+IFERROR(SUMIF(Nutzungsprofile!$B$17:$B$22,"Individuell",Nutzungsprofile!$G$17:$G$22)*Kalender!E156/SUM(Kalender!$E$5:$E$370),0)),0)</f>
        <v>4.94</v>
      </c>
      <c r="F156" s="13" t="n">
        <f aca="false">IFERROR(MIN(D156,Eingaben!$B$17)*Eingaben!$B$16,0)</f>
        <v>2.793</v>
      </c>
      <c r="G156" s="13" t="n">
        <f aca="false">IFERROR(F156*Eingaben!$B$15,0)</f>
        <v>2.5137</v>
      </c>
      <c r="H156" s="13" t="n">
        <f aca="false">IFERROR(Q156*(1-Eingaben!$B$20),0)</f>
        <v>1.709316</v>
      </c>
      <c r="I156" s="13" t="n">
        <f aca="false">MIN(H156,E156)</f>
        <v>1.709316</v>
      </c>
      <c r="J156" s="13" t="n">
        <f aca="false">IFERROR(MIN(G156*Eingaben!$B$19,MAX(0,E156-I156)),0)</f>
        <v>1.75959</v>
      </c>
      <c r="K156" s="13" t="n">
        <f aca="false">IFERROR(MIN(Eingaben!$B$18,MAX(0,G156-J156)),0)</f>
        <v>0.75411</v>
      </c>
      <c r="L156" s="13" t="n">
        <f aca="false">I156+J156</f>
        <v>3.468906</v>
      </c>
      <c r="M156" s="13" t="n">
        <f aca="false">MAX(0,E156-L156)</f>
        <v>1.471094</v>
      </c>
      <c r="N156" s="13" t="n">
        <f aca="false">MAX(0,G156-J156-K156)</f>
        <v>0</v>
      </c>
      <c r="O156" s="13" t="n">
        <f aca="false">Q156-I156</f>
        <v>0.0348840000000001</v>
      </c>
      <c r="P156" s="13" t="n">
        <f aca="false">G156+Q156-L156-N156-O156-K156</f>
        <v>0</v>
      </c>
      <c r="Q156" s="13" t="n">
        <f aca="false">IF(A156="",0,K155)</f>
        <v>1.7442</v>
      </c>
    </row>
    <row r="157" customFormat="false" ht="16.4" hidden="false" customHeight="false" outlineLevel="0" collapsed="false">
      <c r="A157" s="23" t="n">
        <f aca="false">Kalender!A157</f>
        <v>46175</v>
      </c>
      <c r="B157" s="13" t="n">
        <f aca="false">Kalender!C157</f>
        <v>1</v>
      </c>
      <c r="C157" s="13" t="n">
        <f aca="false">Kalender!D157</f>
        <v>1</v>
      </c>
      <c r="D157" s="13" t="n">
        <f aca="false">IF(Prüfungen!$B$4=0,(IFERROR(SUMIF(Nutzungsprofile!$B$6:$B$11,"Schulbetrieb",Nutzungsprofile!$G$6:$G$11)*Kalender!C157/SUM(Kalender!$C$5:$C$370),0)+IFERROR(SUMIF(Nutzungsprofile!$B$6:$B$11,"Halle",Nutzungsprofile!$G$6:$G$11)*Kalender!D157/SUM(Kalender!$D$5:$D$370),0)+IFERROR(SUMIF(Nutzungsprofile!$B$6:$B$11,"Individuell",Nutzungsprofile!$G$6:$G$11)*Kalender!E157/SUM(Kalender!$E$5:$E$370),0)),0)</f>
        <v>2.94</v>
      </c>
      <c r="E157" s="13" t="n">
        <f aca="false">IF(Prüfungen!$B$4=0,(IFERROR(SUMIF(Nutzungsprofile!$B$17:$B$22,"Schulbetrieb",Nutzungsprofile!$G$17:$G$22)*Kalender!C157/SUM(Kalender!$C$5:$C$370),0)+IFERROR(SUMIF(Nutzungsprofile!$B$17:$B$22,"Halle",Nutzungsprofile!$G$17:$G$22)*Kalender!D157/SUM(Kalender!$D$5:$D$370),0)+IFERROR(SUMIF(Nutzungsprofile!$B$17:$B$22,"Individuell",Nutzungsprofile!$G$17:$G$22)*Kalender!E157/SUM(Kalender!$E$5:$E$370),0)),0)</f>
        <v>4.94</v>
      </c>
      <c r="F157" s="13" t="n">
        <f aca="false">IFERROR(MIN(D157,Eingaben!$B$17)*Eingaben!$B$16,0)</f>
        <v>2.793</v>
      </c>
      <c r="G157" s="13" t="n">
        <f aca="false">IFERROR(F157*Eingaben!$B$15,0)</f>
        <v>2.5137</v>
      </c>
      <c r="H157" s="13" t="n">
        <f aca="false">IFERROR(Q157*(1-Eingaben!$B$20),0)</f>
        <v>0.7390278</v>
      </c>
      <c r="I157" s="13" t="n">
        <f aca="false">MIN(H157,E157)</f>
        <v>0.7390278</v>
      </c>
      <c r="J157" s="13" t="n">
        <f aca="false">IFERROR(MIN(G157*Eingaben!$B$19,MAX(0,E157-I157)),0)</f>
        <v>1.75959</v>
      </c>
      <c r="K157" s="13" t="n">
        <f aca="false">IFERROR(MIN(Eingaben!$B$18,MAX(0,G157-J157)),0)</f>
        <v>0.75411</v>
      </c>
      <c r="L157" s="13" t="n">
        <f aca="false">I157+J157</f>
        <v>2.4986178</v>
      </c>
      <c r="M157" s="13" t="n">
        <f aca="false">MAX(0,E157-L157)</f>
        <v>2.4413822</v>
      </c>
      <c r="N157" s="13" t="n">
        <f aca="false">MAX(0,G157-J157-K157)</f>
        <v>0</v>
      </c>
      <c r="O157" s="13" t="n">
        <f aca="false">Q157-I157</f>
        <v>0.0150822</v>
      </c>
      <c r="P157" s="13" t="n">
        <f aca="false">G157+Q157-L157-N157-O157-K157</f>
        <v>0</v>
      </c>
      <c r="Q157" s="13" t="n">
        <f aca="false">IF(A157="",0,K156)</f>
        <v>0.75411</v>
      </c>
    </row>
    <row r="158" customFormat="false" ht="16.4" hidden="false" customHeight="false" outlineLevel="0" collapsed="false">
      <c r="A158" s="23" t="n">
        <f aca="false">Kalender!A158</f>
        <v>46176</v>
      </c>
      <c r="B158" s="13" t="n">
        <f aca="false">Kalender!C158</f>
        <v>1</v>
      </c>
      <c r="C158" s="13" t="n">
        <f aca="false">Kalender!D158</f>
        <v>1</v>
      </c>
      <c r="D158" s="13" t="n">
        <f aca="false">IF(Prüfungen!$B$4=0,(IFERROR(SUMIF(Nutzungsprofile!$B$6:$B$11,"Schulbetrieb",Nutzungsprofile!$G$6:$G$11)*Kalender!C158/SUM(Kalender!$C$5:$C$370),0)+IFERROR(SUMIF(Nutzungsprofile!$B$6:$B$11,"Halle",Nutzungsprofile!$G$6:$G$11)*Kalender!D158/SUM(Kalender!$D$5:$D$370),0)+IFERROR(SUMIF(Nutzungsprofile!$B$6:$B$11,"Individuell",Nutzungsprofile!$G$6:$G$11)*Kalender!E158/SUM(Kalender!$E$5:$E$370),0)),0)</f>
        <v>2.94</v>
      </c>
      <c r="E158" s="13" t="n">
        <f aca="false">IF(Prüfungen!$B$4=0,(IFERROR(SUMIF(Nutzungsprofile!$B$17:$B$22,"Schulbetrieb",Nutzungsprofile!$G$17:$G$22)*Kalender!C158/SUM(Kalender!$C$5:$C$370),0)+IFERROR(SUMIF(Nutzungsprofile!$B$17:$B$22,"Halle",Nutzungsprofile!$G$17:$G$22)*Kalender!D158/SUM(Kalender!$D$5:$D$370),0)+IFERROR(SUMIF(Nutzungsprofile!$B$17:$B$22,"Individuell",Nutzungsprofile!$G$17:$G$22)*Kalender!E158/SUM(Kalender!$E$5:$E$370),0)),0)</f>
        <v>4.94</v>
      </c>
      <c r="F158" s="13" t="n">
        <f aca="false">IFERROR(MIN(D158,Eingaben!$B$17)*Eingaben!$B$16,0)</f>
        <v>2.793</v>
      </c>
      <c r="G158" s="13" t="n">
        <f aca="false">IFERROR(F158*Eingaben!$B$15,0)</f>
        <v>2.5137</v>
      </c>
      <c r="H158" s="13" t="n">
        <f aca="false">IFERROR(Q158*(1-Eingaben!$B$20),0)</f>
        <v>0.7390278</v>
      </c>
      <c r="I158" s="13" t="n">
        <f aca="false">MIN(H158,E158)</f>
        <v>0.7390278</v>
      </c>
      <c r="J158" s="13" t="n">
        <f aca="false">IFERROR(MIN(G158*Eingaben!$B$19,MAX(0,E158-I158)),0)</f>
        <v>1.75959</v>
      </c>
      <c r="K158" s="13" t="n">
        <f aca="false">IFERROR(MIN(Eingaben!$B$18,MAX(0,G158-J158)),0)</f>
        <v>0.75411</v>
      </c>
      <c r="L158" s="13" t="n">
        <f aca="false">I158+J158</f>
        <v>2.4986178</v>
      </c>
      <c r="M158" s="13" t="n">
        <f aca="false">MAX(0,E158-L158)</f>
        <v>2.4413822</v>
      </c>
      <c r="N158" s="13" t="n">
        <f aca="false">MAX(0,G158-J158-K158)</f>
        <v>0</v>
      </c>
      <c r="O158" s="13" t="n">
        <f aca="false">Q158-I158</f>
        <v>0.0150822</v>
      </c>
      <c r="P158" s="13" t="n">
        <f aca="false">G158+Q158-L158-N158-O158-K158</f>
        <v>0</v>
      </c>
      <c r="Q158" s="13" t="n">
        <f aca="false">IF(A158="",0,K157)</f>
        <v>0.75411</v>
      </c>
    </row>
    <row r="159" customFormat="false" ht="16.4" hidden="false" customHeight="false" outlineLevel="0" collapsed="false">
      <c r="A159" s="23" t="n">
        <f aca="false">Kalender!A159</f>
        <v>46177</v>
      </c>
      <c r="B159" s="13" t="n">
        <f aca="false">Kalender!C159</f>
        <v>1</v>
      </c>
      <c r="C159" s="13" t="n">
        <f aca="false">Kalender!D159</f>
        <v>1</v>
      </c>
      <c r="D159" s="13" t="n">
        <f aca="false">IF(Prüfungen!$B$4=0,(IFERROR(SUMIF(Nutzungsprofile!$B$6:$B$11,"Schulbetrieb",Nutzungsprofile!$G$6:$G$11)*Kalender!C159/SUM(Kalender!$C$5:$C$370),0)+IFERROR(SUMIF(Nutzungsprofile!$B$6:$B$11,"Halle",Nutzungsprofile!$G$6:$G$11)*Kalender!D159/SUM(Kalender!$D$5:$D$370),0)+IFERROR(SUMIF(Nutzungsprofile!$B$6:$B$11,"Individuell",Nutzungsprofile!$G$6:$G$11)*Kalender!E159/SUM(Kalender!$E$5:$E$370),0)),0)</f>
        <v>2.94</v>
      </c>
      <c r="E159" s="13" t="n">
        <f aca="false">IF(Prüfungen!$B$4=0,(IFERROR(SUMIF(Nutzungsprofile!$B$17:$B$22,"Schulbetrieb",Nutzungsprofile!$G$17:$G$22)*Kalender!C159/SUM(Kalender!$C$5:$C$370),0)+IFERROR(SUMIF(Nutzungsprofile!$B$17:$B$22,"Halle",Nutzungsprofile!$G$17:$G$22)*Kalender!D159/SUM(Kalender!$D$5:$D$370),0)+IFERROR(SUMIF(Nutzungsprofile!$B$17:$B$22,"Individuell",Nutzungsprofile!$G$17:$G$22)*Kalender!E159/SUM(Kalender!$E$5:$E$370),0)),0)</f>
        <v>4.94</v>
      </c>
      <c r="F159" s="13" t="n">
        <f aca="false">IFERROR(MIN(D159,Eingaben!$B$17)*Eingaben!$B$16,0)</f>
        <v>2.793</v>
      </c>
      <c r="G159" s="13" t="n">
        <f aca="false">IFERROR(F159*Eingaben!$B$15,0)</f>
        <v>2.5137</v>
      </c>
      <c r="H159" s="13" t="n">
        <f aca="false">IFERROR(Q159*(1-Eingaben!$B$20),0)</f>
        <v>0.7390278</v>
      </c>
      <c r="I159" s="13" t="n">
        <f aca="false">MIN(H159,E159)</f>
        <v>0.7390278</v>
      </c>
      <c r="J159" s="13" t="n">
        <f aca="false">IFERROR(MIN(G159*Eingaben!$B$19,MAX(0,E159-I159)),0)</f>
        <v>1.75959</v>
      </c>
      <c r="K159" s="13" t="n">
        <f aca="false">IFERROR(MIN(Eingaben!$B$18,MAX(0,G159-J159)),0)</f>
        <v>0.75411</v>
      </c>
      <c r="L159" s="13" t="n">
        <f aca="false">I159+J159</f>
        <v>2.4986178</v>
      </c>
      <c r="M159" s="13" t="n">
        <f aca="false">MAX(0,E159-L159)</f>
        <v>2.4413822</v>
      </c>
      <c r="N159" s="13" t="n">
        <f aca="false">MAX(0,G159-J159-K159)</f>
        <v>0</v>
      </c>
      <c r="O159" s="13" t="n">
        <f aca="false">Q159-I159</f>
        <v>0.0150822</v>
      </c>
      <c r="P159" s="13" t="n">
        <f aca="false">G159+Q159-L159-N159-O159-K159</f>
        <v>0</v>
      </c>
      <c r="Q159" s="13" t="n">
        <f aca="false">IF(A159="",0,K158)</f>
        <v>0.75411</v>
      </c>
    </row>
    <row r="160" customFormat="false" ht="16.4" hidden="false" customHeight="false" outlineLevel="0" collapsed="false">
      <c r="A160" s="23" t="n">
        <f aca="false">Kalender!A160</f>
        <v>46178</v>
      </c>
      <c r="B160" s="13" t="n">
        <f aca="false">Kalender!C160</f>
        <v>1</v>
      </c>
      <c r="C160" s="13" t="n">
        <f aca="false">Kalender!D160</f>
        <v>1</v>
      </c>
      <c r="D160" s="13" t="n">
        <f aca="false">IF(Prüfungen!$B$4=0,(IFERROR(SUMIF(Nutzungsprofile!$B$6:$B$11,"Schulbetrieb",Nutzungsprofile!$G$6:$G$11)*Kalender!C160/SUM(Kalender!$C$5:$C$370),0)+IFERROR(SUMIF(Nutzungsprofile!$B$6:$B$11,"Halle",Nutzungsprofile!$G$6:$G$11)*Kalender!D160/SUM(Kalender!$D$5:$D$370),0)+IFERROR(SUMIF(Nutzungsprofile!$B$6:$B$11,"Individuell",Nutzungsprofile!$G$6:$G$11)*Kalender!E160/SUM(Kalender!$E$5:$E$370),0)),0)</f>
        <v>2.94</v>
      </c>
      <c r="E160" s="13" t="n">
        <f aca="false">IF(Prüfungen!$B$4=0,(IFERROR(SUMIF(Nutzungsprofile!$B$17:$B$22,"Schulbetrieb",Nutzungsprofile!$G$17:$G$22)*Kalender!C160/SUM(Kalender!$C$5:$C$370),0)+IFERROR(SUMIF(Nutzungsprofile!$B$17:$B$22,"Halle",Nutzungsprofile!$G$17:$G$22)*Kalender!D160/SUM(Kalender!$D$5:$D$370),0)+IFERROR(SUMIF(Nutzungsprofile!$B$17:$B$22,"Individuell",Nutzungsprofile!$G$17:$G$22)*Kalender!E160/SUM(Kalender!$E$5:$E$370),0)),0)</f>
        <v>4.94</v>
      </c>
      <c r="F160" s="13" t="n">
        <f aca="false">IFERROR(MIN(D160,Eingaben!$B$17)*Eingaben!$B$16,0)</f>
        <v>2.793</v>
      </c>
      <c r="G160" s="13" t="n">
        <f aca="false">IFERROR(F160*Eingaben!$B$15,0)</f>
        <v>2.5137</v>
      </c>
      <c r="H160" s="13" t="n">
        <f aca="false">IFERROR(Q160*(1-Eingaben!$B$20),0)</f>
        <v>0.7390278</v>
      </c>
      <c r="I160" s="13" t="n">
        <f aca="false">MIN(H160,E160)</f>
        <v>0.7390278</v>
      </c>
      <c r="J160" s="13" t="n">
        <f aca="false">IFERROR(MIN(G160*Eingaben!$B$19,MAX(0,E160-I160)),0)</f>
        <v>1.75959</v>
      </c>
      <c r="K160" s="13" t="n">
        <f aca="false">IFERROR(MIN(Eingaben!$B$18,MAX(0,G160-J160)),0)</f>
        <v>0.75411</v>
      </c>
      <c r="L160" s="13" t="n">
        <f aca="false">I160+J160</f>
        <v>2.4986178</v>
      </c>
      <c r="M160" s="13" t="n">
        <f aca="false">MAX(0,E160-L160)</f>
        <v>2.4413822</v>
      </c>
      <c r="N160" s="13" t="n">
        <f aca="false">MAX(0,G160-J160-K160)</f>
        <v>0</v>
      </c>
      <c r="O160" s="13" t="n">
        <f aca="false">Q160-I160</f>
        <v>0.0150822</v>
      </c>
      <c r="P160" s="13" t="n">
        <f aca="false">G160+Q160-L160-N160-O160-K160</f>
        <v>0</v>
      </c>
      <c r="Q160" s="13" t="n">
        <f aca="false">IF(A160="",0,K159)</f>
        <v>0.75411</v>
      </c>
    </row>
    <row r="161" customFormat="false" ht="16.4" hidden="false" customHeight="false" outlineLevel="0" collapsed="false">
      <c r="A161" s="23" t="n">
        <f aca="false">Kalender!A161</f>
        <v>46179</v>
      </c>
      <c r="B161" s="13" t="n">
        <f aca="false">Kalender!C161</f>
        <v>0</v>
      </c>
      <c r="C161" s="13" t="n">
        <f aca="false">Kalender!D161</f>
        <v>1</v>
      </c>
      <c r="D161" s="13" t="n">
        <f aca="false">IF(Prüfungen!$B$4=0,(IFERROR(SUMIF(Nutzungsprofile!$B$6:$B$11,"Schulbetrieb",Nutzungsprofile!$G$6:$G$11)*Kalender!C161/SUM(Kalender!$C$5:$C$370),0)+IFERROR(SUMIF(Nutzungsprofile!$B$6:$B$11,"Halle",Nutzungsprofile!$G$6:$G$11)*Kalender!D161/SUM(Kalender!$D$5:$D$370),0)+IFERROR(SUMIF(Nutzungsprofile!$B$6:$B$11,"Individuell",Nutzungsprofile!$G$6:$G$11)*Kalender!E161/SUM(Kalender!$E$5:$E$370),0)),0)</f>
        <v>2.04</v>
      </c>
      <c r="E161" s="13" t="n">
        <f aca="false">IF(Prüfungen!$B$4=0,(IFERROR(SUMIF(Nutzungsprofile!$B$17:$B$22,"Schulbetrieb",Nutzungsprofile!$G$17:$G$22)*Kalender!C161/SUM(Kalender!$C$5:$C$370),0)+IFERROR(SUMIF(Nutzungsprofile!$B$17:$B$22,"Halle",Nutzungsprofile!$G$17:$G$22)*Kalender!D161/SUM(Kalender!$D$5:$D$370),0)+IFERROR(SUMIF(Nutzungsprofile!$B$17:$B$22,"Individuell",Nutzungsprofile!$G$17:$G$22)*Kalender!E161/SUM(Kalender!$E$5:$E$370),0)),0)</f>
        <v>0.89</v>
      </c>
      <c r="F161" s="13" t="n">
        <f aca="false">IFERROR(MIN(D161,Eingaben!$B$17)*Eingaben!$B$16,0)</f>
        <v>1.938</v>
      </c>
      <c r="G161" s="13" t="n">
        <f aca="false">IFERROR(F161*Eingaben!$B$15,0)</f>
        <v>1.7442</v>
      </c>
      <c r="H161" s="13" t="n">
        <f aca="false">IFERROR(Q161*(1-Eingaben!$B$20),0)</f>
        <v>0.7390278</v>
      </c>
      <c r="I161" s="13" t="n">
        <f aca="false">MIN(H161,E161)</f>
        <v>0.7390278</v>
      </c>
      <c r="J161" s="13" t="n">
        <f aca="false">IFERROR(MIN(G161*Eingaben!$B$19,MAX(0,E161-I161)),0)</f>
        <v>0.1509722</v>
      </c>
      <c r="K161" s="13" t="n">
        <f aca="false">IFERROR(MIN(Eingaben!$B$18,MAX(0,G161-J161)),0)</f>
        <v>1.5932278</v>
      </c>
      <c r="L161" s="13" t="n">
        <f aca="false">I161+J161</f>
        <v>0.89</v>
      </c>
      <c r="M161" s="13" t="n">
        <f aca="false">MAX(0,E161-L161)</f>
        <v>0</v>
      </c>
      <c r="N161" s="13" t="n">
        <f aca="false">MAX(0,G161-J161-K161)</f>
        <v>0</v>
      </c>
      <c r="O161" s="13" t="n">
        <f aca="false">Q161-I161</f>
        <v>0.0150822</v>
      </c>
      <c r="P161" s="13" t="n">
        <f aca="false">G161+Q161-L161-N161-O161-K161</f>
        <v>0</v>
      </c>
      <c r="Q161" s="13" t="n">
        <f aca="false">IF(A161="",0,K160)</f>
        <v>0.75411</v>
      </c>
    </row>
    <row r="162" customFormat="false" ht="16.4" hidden="false" customHeight="false" outlineLevel="0" collapsed="false">
      <c r="A162" s="23" t="n">
        <f aca="false">Kalender!A162</f>
        <v>46180</v>
      </c>
      <c r="B162" s="13" t="n">
        <f aca="false">Kalender!C162</f>
        <v>0</v>
      </c>
      <c r="C162" s="13" t="n">
        <f aca="false">Kalender!D162</f>
        <v>1</v>
      </c>
      <c r="D162" s="13" t="n">
        <f aca="false">IF(Prüfungen!$B$4=0,(IFERROR(SUMIF(Nutzungsprofile!$B$6:$B$11,"Schulbetrieb",Nutzungsprofile!$G$6:$G$11)*Kalender!C162/SUM(Kalender!$C$5:$C$370),0)+IFERROR(SUMIF(Nutzungsprofile!$B$6:$B$11,"Halle",Nutzungsprofile!$G$6:$G$11)*Kalender!D162/SUM(Kalender!$D$5:$D$370),0)+IFERROR(SUMIF(Nutzungsprofile!$B$6:$B$11,"Individuell",Nutzungsprofile!$G$6:$G$11)*Kalender!E162/SUM(Kalender!$E$5:$E$370),0)),0)</f>
        <v>2.04</v>
      </c>
      <c r="E162" s="13" t="n">
        <f aca="false">IF(Prüfungen!$B$4=0,(IFERROR(SUMIF(Nutzungsprofile!$B$17:$B$22,"Schulbetrieb",Nutzungsprofile!$G$17:$G$22)*Kalender!C162/SUM(Kalender!$C$5:$C$370),0)+IFERROR(SUMIF(Nutzungsprofile!$B$17:$B$22,"Halle",Nutzungsprofile!$G$17:$G$22)*Kalender!D162/SUM(Kalender!$D$5:$D$370),0)+IFERROR(SUMIF(Nutzungsprofile!$B$17:$B$22,"Individuell",Nutzungsprofile!$G$17:$G$22)*Kalender!E162/SUM(Kalender!$E$5:$E$370),0)),0)</f>
        <v>0.89</v>
      </c>
      <c r="F162" s="13" t="n">
        <f aca="false">IFERROR(MIN(D162,Eingaben!$B$17)*Eingaben!$B$16,0)</f>
        <v>1.938</v>
      </c>
      <c r="G162" s="13" t="n">
        <f aca="false">IFERROR(F162*Eingaben!$B$15,0)</f>
        <v>1.7442</v>
      </c>
      <c r="H162" s="13" t="n">
        <f aca="false">IFERROR(Q162*(1-Eingaben!$B$20),0)</f>
        <v>1.561363244</v>
      </c>
      <c r="I162" s="13" t="n">
        <f aca="false">MIN(H162,E162)</f>
        <v>0.89</v>
      </c>
      <c r="J162" s="13" t="n">
        <f aca="false">IFERROR(MIN(G162*Eingaben!$B$19,MAX(0,E162-I162)),0)</f>
        <v>0</v>
      </c>
      <c r="K162" s="13" t="n">
        <f aca="false">IFERROR(MIN(Eingaben!$B$18,MAX(0,G162-J162)),0)</f>
        <v>1.7442</v>
      </c>
      <c r="L162" s="13" t="n">
        <f aca="false">I162+J162</f>
        <v>0.89</v>
      </c>
      <c r="M162" s="13" t="n">
        <f aca="false">MAX(0,E162-L162)</f>
        <v>0</v>
      </c>
      <c r="N162" s="13" t="n">
        <f aca="false">MAX(0,G162-J162-K162)</f>
        <v>0</v>
      </c>
      <c r="O162" s="13" t="n">
        <f aca="false">Q162-I162</f>
        <v>0.7032278</v>
      </c>
      <c r="P162" s="13" t="n">
        <f aca="false">G162+Q162-L162-N162-O162-K162</f>
        <v>0</v>
      </c>
      <c r="Q162" s="13" t="n">
        <f aca="false">IF(A162="",0,K161)</f>
        <v>1.5932278</v>
      </c>
    </row>
    <row r="163" customFormat="false" ht="16.4" hidden="false" customHeight="false" outlineLevel="0" collapsed="false">
      <c r="A163" s="23" t="n">
        <f aca="false">Kalender!A163</f>
        <v>46181</v>
      </c>
      <c r="B163" s="13" t="n">
        <f aca="false">Kalender!C163</f>
        <v>1</v>
      </c>
      <c r="C163" s="13" t="n">
        <f aca="false">Kalender!D163</f>
        <v>1</v>
      </c>
      <c r="D163" s="13" t="n">
        <f aca="false">IF(Prüfungen!$B$4=0,(IFERROR(SUMIF(Nutzungsprofile!$B$6:$B$11,"Schulbetrieb",Nutzungsprofile!$G$6:$G$11)*Kalender!C163/SUM(Kalender!$C$5:$C$370),0)+IFERROR(SUMIF(Nutzungsprofile!$B$6:$B$11,"Halle",Nutzungsprofile!$G$6:$G$11)*Kalender!D163/SUM(Kalender!$D$5:$D$370),0)+IFERROR(SUMIF(Nutzungsprofile!$B$6:$B$11,"Individuell",Nutzungsprofile!$G$6:$G$11)*Kalender!E163/SUM(Kalender!$E$5:$E$370),0)),0)</f>
        <v>2.94</v>
      </c>
      <c r="E163" s="13" t="n">
        <f aca="false">IF(Prüfungen!$B$4=0,(IFERROR(SUMIF(Nutzungsprofile!$B$17:$B$22,"Schulbetrieb",Nutzungsprofile!$G$17:$G$22)*Kalender!C163/SUM(Kalender!$C$5:$C$370),0)+IFERROR(SUMIF(Nutzungsprofile!$B$17:$B$22,"Halle",Nutzungsprofile!$G$17:$G$22)*Kalender!D163/SUM(Kalender!$D$5:$D$370),0)+IFERROR(SUMIF(Nutzungsprofile!$B$17:$B$22,"Individuell",Nutzungsprofile!$G$17:$G$22)*Kalender!E163/SUM(Kalender!$E$5:$E$370),0)),0)</f>
        <v>4.94</v>
      </c>
      <c r="F163" s="13" t="n">
        <f aca="false">IFERROR(MIN(D163,Eingaben!$B$17)*Eingaben!$B$16,0)</f>
        <v>2.793</v>
      </c>
      <c r="G163" s="13" t="n">
        <f aca="false">IFERROR(F163*Eingaben!$B$15,0)</f>
        <v>2.5137</v>
      </c>
      <c r="H163" s="13" t="n">
        <f aca="false">IFERROR(Q163*(1-Eingaben!$B$20),0)</f>
        <v>1.709316</v>
      </c>
      <c r="I163" s="13" t="n">
        <f aca="false">MIN(H163,E163)</f>
        <v>1.709316</v>
      </c>
      <c r="J163" s="13" t="n">
        <f aca="false">IFERROR(MIN(G163*Eingaben!$B$19,MAX(0,E163-I163)),0)</f>
        <v>1.75959</v>
      </c>
      <c r="K163" s="13" t="n">
        <f aca="false">IFERROR(MIN(Eingaben!$B$18,MAX(0,G163-J163)),0)</f>
        <v>0.75411</v>
      </c>
      <c r="L163" s="13" t="n">
        <f aca="false">I163+J163</f>
        <v>3.468906</v>
      </c>
      <c r="M163" s="13" t="n">
        <f aca="false">MAX(0,E163-L163)</f>
        <v>1.471094</v>
      </c>
      <c r="N163" s="13" t="n">
        <f aca="false">MAX(0,G163-J163-K163)</f>
        <v>0</v>
      </c>
      <c r="O163" s="13" t="n">
        <f aca="false">Q163-I163</f>
        <v>0.0348840000000001</v>
      </c>
      <c r="P163" s="13" t="n">
        <f aca="false">G163+Q163-L163-N163-O163-K163</f>
        <v>0</v>
      </c>
      <c r="Q163" s="13" t="n">
        <f aca="false">IF(A163="",0,K162)</f>
        <v>1.7442</v>
      </c>
    </row>
    <row r="164" customFormat="false" ht="16.4" hidden="false" customHeight="false" outlineLevel="0" collapsed="false">
      <c r="A164" s="23" t="n">
        <f aca="false">Kalender!A164</f>
        <v>46182</v>
      </c>
      <c r="B164" s="13" t="n">
        <f aca="false">Kalender!C164</f>
        <v>1</v>
      </c>
      <c r="C164" s="13" t="n">
        <f aca="false">Kalender!D164</f>
        <v>1</v>
      </c>
      <c r="D164" s="13" t="n">
        <f aca="false">IF(Prüfungen!$B$4=0,(IFERROR(SUMIF(Nutzungsprofile!$B$6:$B$11,"Schulbetrieb",Nutzungsprofile!$G$6:$G$11)*Kalender!C164/SUM(Kalender!$C$5:$C$370),0)+IFERROR(SUMIF(Nutzungsprofile!$B$6:$B$11,"Halle",Nutzungsprofile!$G$6:$G$11)*Kalender!D164/SUM(Kalender!$D$5:$D$370),0)+IFERROR(SUMIF(Nutzungsprofile!$B$6:$B$11,"Individuell",Nutzungsprofile!$G$6:$G$11)*Kalender!E164/SUM(Kalender!$E$5:$E$370),0)),0)</f>
        <v>2.94</v>
      </c>
      <c r="E164" s="13" t="n">
        <f aca="false">IF(Prüfungen!$B$4=0,(IFERROR(SUMIF(Nutzungsprofile!$B$17:$B$22,"Schulbetrieb",Nutzungsprofile!$G$17:$G$22)*Kalender!C164/SUM(Kalender!$C$5:$C$370),0)+IFERROR(SUMIF(Nutzungsprofile!$B$17:$B$22,"Halle",Nutzungsprofile!$G$17:$G$22)*Kalender!D164/SUM(Kalender!$D$5:$D$370),0)+IFERROR(SUMIF(Nutzungsprofile!$B$17:$B$22,"Individuell",Nutzungsprofile!$G$17:$G$22)*Kalender!E164/SUM(Kalender!$E$5:$E$370),0)),0)</f>
        <v>4.94</v>
      </c>
      <c r="F164" s="13" t="n">
        <f aca="false">IFERROR(MIN(D164,Eingaben!$B$17)*Eingaben!$B$16,0)</f>
        <v>2.793</v>
      </c>
      <c r="G164" s="13" t="n">
        <f aca="false">IFERROR(F164*Eingaben!$B$15,0)</f>
        <v>2.5137</v>
      </c>
      <c r="H164" s="13" t="n">
        <f aca="false">IFERROR(Q164*(1-Eingaben!$B$20),0)</f>
        <v>0.7390278</v>
      </c>
      <c r="I164" s="13" t="n">
        <f aca="false">MIN(H164,E164)</f>
        <v>0.7390278</v>
      </c>
      <c r="J164" s="13" t="n">
        <f aca="false">IFERROR(MIN(G164*Eingaben!$B$19,MAX(0,E164-I164)),0)</f>
        <v>1.75959</v>
      </c>
      <c r="K164" s="13" t="n">
        <f aca="false">IFERROR(MIN(Eingaben!$B$18,MAX(0,G164-J164)),0)</f>
        <v>0.75411</v>
      </c>
      <c r="L164" s="13" t="n">
        <f aca="false">I164+J164</f>
        <v>2.4986178</v>
      </c>
      <c r="M164" s="13" t="n">
        <f aca="false">MAX(0,E164-L164)</f>
        <v>2.4413822</v>
      </c>
      <c r="N164" s="13" t="n">
        <f aca="false">MAX(0,G164-J164-K164)</f>
        <v>0</v>
      </c>
      <c r="O164" s="13" t="n">
        <f aca="false">Q164-I164</f>
        <v>0.0150822</v>
      </c>
      <c r="P164" s="13" t="n">
        <f aca="false">G164+Q164-L164-N164-O164-K164</f>
        <v>0</v>
      </c>
      <c r="Q164" s="13" t="n">
        <f aca="false">IF(A164="",0,K163)</f>
        <v>0.75411</v>
      </c>
    </row>
    <row r="165" customFormat="false" ht="16.4" hidden="false" customHeight="false" outlineLevel="0" collapsed="false">
      <c r="A165" s="23" t="n">
        <f aca="false">Kalender!A165</f>
        <v>46183</v>
      </c>
      <c r="B165" s="13" t="n">
        <f aca="false">Kalender!C165</f>
        <v>1</v>
      </c>
      <c r="C165" s="13" t="n">
        <f aca="false">Kalender!D165</f>
        <v>1</v>
      </c>
      <c r="D165" s="13" t="n">
        <f aca="false">IF(Prüfungen!$B$4=0,(IFERROR(SUMIF(Nutzungsprofile!$B$6:$B$11,"Schulbetrieb",Nutzungsprofile!$G$6:$G$11)*Kalender!C165/SUM(Kalender!$C$5:$C$370),0)+IFERROR(SUMIF(Nutzungsprofile!$B$6:$B$11,"Halle",Nutzungsprofile!$G$6:$G$11)*Kalender!D165/SUM(Kalender!$D$5:$D$370),0)+IFERROR(SUMIF(Nutzungsprofile!$B$6:$B$11,"Individuell",Nutzungsprofile!$G$6:$G$11)*Kalender!E165/SUM(Kalender!$E$5:$E$370),0)),0)</f>
        <v>2.94</v>
      </c>
      <c r="E165" s="13" t="n">
        <f aca="false">IF(Prüfungen!$B$4=0,(IFERROR(SUMIF(Nutzungsprofile!$B$17:$B$22,"Schulbetrieb",Nutzungsprofile!$G$17:$G$22)*Kalender!C165/SUM(Kalender!$C$5:$C$370),0)+IFERROR(SUMIF(Nutzungsprofile!$B$17:$B$22,"Halle",Nutzungsprofile!$G$17:$G$22)*Kalender!D165/SUM(Kalender!$D$5:$D$370),0)+IFERROR(SUMIF(Nutzungsprofile!$B$17:$B$22,"Individuell",Nutzungsprofile!$G$17:$G$22)*Kalender!E165/SUM(Kalender!$E$5:$E$370),0)),0)</f>
        <v>4.94</v>
      </c>
      <c r="F165" s="13" t="n">
        <f aca="false">IFERROR(MIN(D165,Eingaben!$B$17)*Eingaben!$B$16,0)</f>
        <v>2.793</v>
      </c>
      <c r="G165" s="13" t="n">
        <f aca="false">IFERROR(F165*Eingaben!$B$15,0)</f>
        <v>2.5137</v>
      </c>
      <c r="H165" s="13" t="n">
        <f aca="false">IFERROR(Q165*(1-Eingaben!$B$20),0)</f>
        <v>0.7390278</v>
      </c>
      <c r="I165" s="13" t="n">
        <f aca="false">MIN(H165,E165)</f>
        <v>0.7390278</v>
      </c>
      <c r="J165" s="13" t="n">
        <f aca="false">IFERROR(MIN(G165*Eingaben!$B$19,MAX(0,E165-I165)),0)</f>
        <v>1.75959</v>
      </c>
      <c r="K165" s="13" t="n">
        <f aca="false">IFERROR(MIN(Eingaben!$B$18,MAX(0,G165-J165)),0)</f>
        <v>0.75411</v>
      </c>
      <c r="L165" s="13" t="n">
        <f aca="false">I165+J165</f>
        <v>2.4986178</v>
      </c>
      <c r="M165" s="13" t="n">
        <f aca="false">MAX(0,E165-L165)</f>
        <v>2.4413822</v>
      </c>
      <c r="N165" s="13" t="n">
        <f aca="false">MAX(0,G165-J165-K165)</f>
        <v>0</v>
      </c>
      <c r="O165" s="13" t="n">
        <f aca="false">Q165-I165</f>
        <v>0.0150822</v>
      </c>
      <c r="P165" s="13" t="n">
        <f aca="false">G165+Q165-L165-N165-O165-K165</f>
        <v>0</v>
      </c>
      <c r="Q165" s="13" t="n">
        <f aca="false">IF(A165="",0,K164)</f>
        <v>0.75411</v>
      </c>
    </row>
    <row r="166" customFormat="false" ht="16.4" hidden="false" customHeight="false" outlineLevel="0" collapsed="false">
      <c r="A166" s="23" t="n">
        <f aca="false">Kalender!A166</f>
        <v>46184</v>
      </c>
      <c r="B166" s="13" t="n">
        <f aca="false">Kalender!C166</f>
        <v>1</v>
      </c>
      <c r="C166" s="13" t="n">
        <f aca="false">Kalender!D166</f>
        <v>1</v>
      </c>
      <c r="D166" s="13" t="n">
        <f aca="false">IF(Prüfungen!$B$4=0,(IFERROR(SUMIF(Nutzungsprofile!$B$6:$B$11,"Schulbetrieb",Nutzungsprofile!$G$6:$G$11)*Kalender!C166/SUM(Kalender!$C$5:$C$370),0)+IFERROR(SUMIF(Nutzungsprofile!$B$6:$B$11,"Halle",Nutzungsprofile!$G$6:$G$11)*Kalender!D166/SUM(Kalender!$D$5:$D$370),0)+IFERROR(SUMIF(Nutzungsprofile!$B$6:$B$11,"Individuell",Nutzungsprofile!$G$6:$G$11)*Kalender!E166/SUM(Kalender!$E$5:$E$370),0)),0)</f>
        <v>2.94</v>
      </c>
      <c r="E166" s="13" t="n">
        <f aca="false">IF(Prüfungen!$B$4=0,(IFERROR(SUMIF(Nutzungsprofile!$B$17:$B$22,"Schulbetrieb",Nutzungsprofile!$G$17:$G$22)*Kalender!C166/SUM(Kalender!$C$5:$C$370),0)+IFERROR(SUMIF(Nutzungsprofile!$B$17:$B$22,"Halle",Nutzungsprofile!$G$17:$G$22)*Kalender!D166/SUM(Kalender!$D$5:$D$370),0)+IFERROR(SUMIF(Nutzungsprofile!$B$17:$B$22,"Individuell",Nutzungsprofile!$G$17:$G$22)*Kalender!E166/SUM(Kalender!$E$5:$E$370),0)),0)</f>
        <v>4.94</v>
      </c>
      <c r="F166" s="13" t="n">
        <f aca="false">IFERROR(MIN(D166,Eingaben!$B$17)*Eingaben!$B$16,0)</f>
        <v>2.793</v>
      </c>
      <c r="G166" s="13" t="n">
        <f aca="false">IFERROR(F166*Eingaben!$B$15,0)</f>
        <v>2.5137</v>
      </c>
      <c r="H166" s="13" t="n">
        <f aca="false">IFERROR(Q166*(1-Eingaben!$B$20),0)</f>
        <v>0.7390278</v>
      </c>
      <c r="I166" s="13" t="n">
        <f aca="false">MIN(H166,E166)</f>
        <v>0.7390278</v>
      </c>
      <c r="J166" s="13" t="n">
        <f aca="false">IFERROR(MIN(G166*Eingaben!$B$19,MAX(0,E166-I166)),0)</f>
        <v>1.75959</v>
      </c>
      <c r="K166" s="13" t="n">
        <f aca="false">IFERROR(MIN(Eingaben!$B$18,MAX(0,G166-J166)),0)</f>
        <v>0.75411</v>
      </c>
      <c r="L166" s="13" t="n">
        <f aca="false">I166+J166</f>
        <v>2.4986178</v>
      </c>
      <c r="M166" s="13" t="n">
        <f aca="false">MAX(0,E166-L166)</f>
        <v>2.4413822</v>
      </c>
      <c r="N166" s="13" t="n">
        <f aca="false">MAX(0,G166-J166-K166)</f>
        <v>0</v>
      </c>
      <c r="O166" s="13" t="n">
        <f aca="false">Q166-I166</f>
        <v>0.0150822</v>
      </c>
      <c r="P166" s="13" t="n">
        <f aca="false">G166+Q166-L166-N166-O166-K166</f>
        <v>0</v>
      </c>
      <c r="Q166" s="13" t="n">
        <f aca="false">IF(A166="",0,K165)</f>
        <v>0.75411</v>
      </c>
    </row>
    <row r="167" customFormat="false" ht="16.4" hidden="false" customHeight="false" outlineLevel="0" collapsed="false">
      <c r="A167" s="23" t="n">
        <f aca="false">Kalender!A167</f>
        <v>46185</v>
      </c>
      <c r="B167" s="13" t="n">
        <f aca="false">Kalender!C167</f>
        <v>1</v>
      </c>
      <c r="C167" s="13" t="n">
        <f aca="false">Kalender!D167</f>
        <v>1</v>
      </c>
      <c r="D167" s="13" t="n">
        <f aca="false">IF(Prüfungen!$B$4=0,(IFERROR(SUMIF(Nutzungsprofile!$B$6:$B$11,"Schulbetrieb",Nutzungsprofile!$G$6:$G$11)*Kalender!C167/SUM(Kalender!$C$5:$C$370),0)+IFERROR(SUMIF(Nutzungsprofile!$B$6:$B$11,"Halle",Nutzungsprofile!$G$6:$G$11)*Kalender!D167/SUM(Kalender!$D$5:$D$370),0)+IFERROR(SUMIF(Nutzungsprofile!$B$6:$B$11,"Individuell",Nutzungsprofile!$G$6:$G$11)*Kalender!E167/SUM(Kalender!$E$5:$E$370),0)),0)</f>
        <v>2.94</v>
      </c>
      <c r="E167" s="13" t="n">
        <f aca="false">IF(Prüfungen!$B$4=0,(IFERROR(SUMIF(Nutzungsprofile!$B$17:$B$22,"Schulbetrieb",Nutzungsprofile!$G$17:$G$22)*Kalender!C167/SUM(Kalender!$C$5:$C$370),0)+IFERROR(SUMIF(Nutzungsprofile!$B$17:$B$22,"Halle",Nutzungsprofile!$G$17:$G$22)*Kalender!D167/SUM(Kalender!$D$5:$D$370),0)+IFERROR(SUMIF(Nutzungsprofile!$B$17:$B$22,"Individuell",Nutzungsprofile!$G$17:$G$22)*Kalender!E167/SUM(Kalender!$E$5:$E$370),0)),0)</f>
        <v>4.94</v>
      </c>
      <c r="F167" s="13" t="n">
        <f aca="false">IFERROR(MIN(D167,Eingaben!$B$17)*Eingaben!$B$16,0)</f>
        <v>2.793</v>
      </c>
      <c r="G167" s="13" t="n">
        <f aca="false">IFERROR(F167*Eingaben!$B$15,0)</f>
        <v>2.5137</v>
      </c>
      <c r="H167" s="13" t="n">
        <f aca="false">IFERROR(Q167*(1-Eingaben!$B$20),0)</f>
        <v>0.7390278</v>
      </c>
      <c r="I167" s="13" t="n">
        <f aca="false">MIN(H167,E167)</f>
        <v>0.7390278</v>
      </c>
      <c r="J167" s="13" t="n">
        <f aca="false">IFERROR(MIN(G167*Eingaben!$B$19,MAX(0,E167-I167)),0)</f>
        <v>1.75959</v>
      </c>
      <c r="K167" s="13" t="n">
        <f aca="false">IFERROR(MIN(Eingaben!$B$18,MAX(0,G167-J167)),0)</f>
        <v>0.75411</v>
      </c>
      <c r="L167" s="13" t="n">
        <f aca="false">I167+J167</f>
        <v>2.4986178</v>
      </c>
      <c r="M167" s="13" t="n">
        <f aca="false">MAX(0,E167-L167)</f>
        <v>2.4413822</v>
      </c>
      <c r="N167" s="13" t="n">
        <f aca="false">MAX(0,G167-J167-K167)</f>
        <v>0</v>
      </c>
      <c r="O167" s="13" t="n">
        <f aca="false">Q167-I167</f>
        <v>0.0150822</v>
      </c>
      <c r="P167" s="13" t="n">
        <f aca="false">G167+Q167-L167-N167-O167-K167</f>
        <v>0</v>
      </c>
      <c r="Q167" s="13" t="n">
        <f aca="false">IF(A167="",0,K166)</f>
        <v>0.75411</v>
      </c>
    </row>
    <row r="168" customFormat="false" ht="16.4" hidden="false" customHeight="false" outlineLevel="0" collapsed="false">
      <c r="A168" s="23" t="n">
        <f aca="false">Kalender!A168</f>
        <v>46186</v>
      </c>
      <c r="B168" s="13" t="n">
        <f aca="false">Kalender!C168</f>
        <v>0</v>
      </c>
      <c r="C168" s="13" t="n">
        <f aca="false">Kalender!D168</f>
        <v>1</v>
      </c>
      <c r="D168" s="13" t="n">
        <f aca="false">IF(Prüfungen!$B$4=0,(IFERROR(SUMIF(Nutzungsprofile!$B$6:$B$11,"Schulbetrieb",Nutzungsprofile!$G$6:$G$11)*Kalender!C168/SUM(Kalender!$C$5:$C$370),0)+IFERROR(SUMIF(Nutzungsprofile!$B$6:$B$11,"Halle",Nutzungsprofile!$G$6:$G$11)*Kalender!D168/SUM(Kalender!$D$5:$D$370),0)+IFERROR(SUMIF(Nutzungsprofile!$B$6:$B$11,"Individuell",Nutzungsprofile!$G$6:$G$11)*Kalender!E168/SUM(Kalender!$E$5:$E$370),0)),0)</f>
        <v>2.04</v>
      </c>
      <c r="E168" s="13" t="n">
        <f aca="false">IF(Prüfungen!$B$4=0,(IFERROR(SUMIF(Nutzungsprofile!$B$17:$B$22,"Schulbetrieb",Nutzungsprofile!$G$17:$G$22)*Kalender!C168/SUM(Kalender!$C$5:$C$370),0)+IFERROR(SUMIF(Nutzungsprofile!$B$17:$B$22,"Halle",Nutzungsprofile!$G$17:$G$22)*Kalender!D168/SUM(Kalender!$D$5:$D$370),0)+IFERROR(SUMIF(Nutzungsprofile!$B$17:$B$22,"Individuell",Nutzungsprofile!$G$17:$G$22)*Kalender!E168/SUM(Kalender!$E$5:$E$370),0)),0)</f>
        <v>0.89</v>
      </c>
      <c r="F168" s="13" t="n">
        <f aca="false">IFERROR(MIN(D168,Eingaben!$B$17)*Eingaben!$B$16,0)</f>
        <v>1.938</v>
      </c>
      <c r="G168" s="13" t="n">
        <f aca="false">IFERROR(F168*Eingaben!$B$15,0)</f>
        <v>1.7442</v>
      </c>
      <c r="H168" s="13" t="n">
        <f aca="false">IFERROR(Q168*(1-Eingaben!$B$20),0)</f>
        <v>0.7390278</v>
      </c>
      <c r="I168" s="13" t="n">
        <f aca="false">MIN(H168,E168)</f>
        <v>0.7390278</v>
      </c>
      <c r="J168" s="13" t="n">
        <f aca="false">IFERROR(MIN(G168*Eingaben!$B$19,MAX(0,E168-I168)),0)</f>
        <v>0.1509722</v>
      </c>
      <c r="K168" s="13" t="n">
        <f aca="false">IFERROR(MIN(Eingaben!$B$18,MAX(0,G168-J168)),0)</f>
        <v>1.5932278</v>
      </c>
      <c r="L168" s="13" t="n">
        <f aca="false">I168+J168</f>
        <v>0.89</v>
      </c>
      <c r="M168" s="13" t="n">
        <f aca="false">MAX(0,E168-L168)</f>
        <v>0</v>
      </c>
      <c r="N168" s="13" t="n">
        <f aca="false">MAX(0,G168-J168-K168)</f>
        <v>0</v>
      </c>
      <c r="O168" s="13" t="n">
        <f aca="false">Q168-I168</f>
        <v>0.0150822</v>
      </c>
      <c r="P168" s="13" t="n">
        <f aca="false">G168+Q168-L168-N168-O168-K168</f>
        <v>0</v>
      </c>
      <c r="Q168" s="13" t="n">
        <f aca="false">IF(A168="",0,K167)</f>
        <v>0.75411</v>
      </c>
    </row>
    <row r="169" customFormat="false" ht="16.4" hidden="false" customHeight="false" outlineLevel="0" collapsed="false">
      <c r="A169" s="23" t="n">
        <f aca="false">Kalender!A169</f>
        <v>46187</v>
      </c>
      <c r="B169" s="13" t="n">
        <f aca="false">Kalender!C169</f>
        <v>0</v>
      </c>
      <c r="C169" s="13" t="n">
        <f aca="false">Kalender!D169</f>
        <v>1</v>
      </c>
      <c r="D169" s="13" t="n">
        <f aca="false">IF(Prüfungen!$B$4=0,(IFERROR(SUMIF(Nutzungsprofile!$B$6:$B$11,"Schulbetrieb",Nutzungsprofile!$G$6:$G$11)*Kalender!C169/SUM(Kalender!$C$5:$C$370),0)+IFERROR(SUMIF(Nutzungsprofile!$B$6:$B$11,"Halle",Nutzungsprofile!$G$6:$G$11)*Kalender!D169/SUM(Kalender!$D$5:$D$370),0)+IFERROR(SUMIF(Nutzungsprofile!$B$6:$B$11,"Individuell",Nutzungsprofile!$G$6:$G$11)*Kalender!E169/SUM(Kalender!$E$5:$E$370),0)),0)</f>
        <v>2.04</v>
      </c>
      <c r="E169" s="13" t="n">
        <f aca="false">IF(Prüfungen!$B$4=0,(IFERROR(SUMIF(Nutzungsprofile!$B$17:$B$22,"Schulbetrieb",Nutzungsprofile!$G$17:$G$22)*Kalender!C169/SUM(Kalender!$C$5:$C$370),0)+IFERROR(SUMIF(Nutzungsprofile!$B$17:$B$22,"Halle",Nutzungsprofile!$G$17:$G$22)*Kalender!D169/SUM(Kalender!$D$5:$D$370),0)+IFERROR(SUMIF(Nutzungsprofile!$B$17:$B$22,"Individuell",Nutzungsprofile!$G$17:$G$22)*Kalender!E169/SUM(Kalender!$E$5:$E$370),0)),0)</f>
        <v>0.89</v>
      </c>
      <c r="F169" s="13" t="n">
        <f aca="false">IFERROR(MIN(D169,Eingaben!$B$17)*Eingaben!$B$16,0)</f>
        <v>1.938</v>
      </c>
      <c r="G169" s="13" t="n">
        <f aca="false">IFERROR(F169*Eingaben!$B$15,0)</f>
        <v>1.7442</v>
      </c>
      <c r="H169" s="13" t="n">
        <f aca="false">IFERROR(Q169*(1-Eingaben!$B$20),0)</f>
        <v>1.561363244</v>
      </c>
      <c r="I169" s="13" t="n">
        <f aca="false">MIN(H169,E169)</f>
        <v>0.89</v>
      </c>
      <c r="J169" s="13" t="n">
        <f aca="false">IFERROR(MIN(G169*Eingaben!$B$19,MAX(0,E169-I169)),0)</f>
        <v>0</v>
      </c>
      <c r="K169" s="13" t="n">
        <f aca="false">IFERROR(MIN(Eingaben!$B$18,MAX(0,G169-J169)),0)</f>
        <v>1.7442</v>
      </c>
      <c r="L169" s="13" t="n">
        <f aca="false">I169+J169</f>
        <v>0.89</v>
      </c>
      <c r="M169" s="13" t="n">
        <f aca="false">MAX(0,E169-L169)</f>
        <v>0</v>
      </c>
      <c r="N169" s="13" t="n">
        <f aca="false">MAX(0,G169-J169-K169)</f>
        <v>0</v>
      </c>
      <c r="O169" s="13" t="n">
        <f aca="false">Q169-I169</f>
        <v>0.7032278</v>
      </c>
      <c r="P169" s="13" t="n">
        <f aca="false">G169+Q169-L169-N169-O169-K169</f>
        <v>0</v>
      </c>
      <c r="Q169" s="13" t="n">
        <f aca="false">IF(A169="",0,K168)</f>
        <v>1.5932278</v>
      </c>
    </row>
    <row r="170" customFormat="false" ht="16.4" hidden="false" customHeight="false" outlineLevel="0" collapsed="false">
      <c r="A170" s="23" t="n">
        <f aca="false">Kalender!A170</f>
        <v>46188</v>
      </c>
      <c r="B170" s="13" t="n">
        <f aca="false">Kalender!C170</f>
        <v>1</v>
      </c>
      <c r="C170" s="13" t="n">
        <f aca="false">Kalender!D170</f>
        <v>1</v>
      </c>
      <c r="D170" s="13" t="n">
        <f aca="false">IF(Prüfungen!$B$4=0,(IFERROR(SUMIF(Nutzungsprofile!$B$6:$B$11,"Schulbetrieb",Nutzungsprofile!$G$6:$G$11)*Kalender!C170/SUM(Kalender!$C$5:$C$370),0)+IFERROR(SUMIF(Nutzungsprofile!$B$6:$B$11,"Halle",Nutzungsprofile!$G$6:$G$11)*Kalender!D170/SUM(Kalender!$D$5:$D$370),0)+IFERROR(SUMIF(Nutzungsprofile!$B$6:$B$11,"Individuell",Nutzungsprofile!$G$6:$G$11)*Kalender!E170/SUM(Kalender!$E$5:$E$370),0)),0)</f>
        <v>2.94</v>
      </c>
      <c r="E170" s="13" t="n">
        <f aca="false">IF(Prüfungen!$B$4=0,(IFERROR(SUMIF(Nutzungsprofile!$B$17:$B$22,"Schulbetrieb",Nutzungsprofile!$G$17:$G$22)*Kalender!C170/SUM(Kalender!$C$5:$C$370),0)+IFERROR(SUMIF(Nutzungsprofile!$B$17:$B$22,"Halle",Nutzungsprofile!$G$17:$G$22)*Kalender!D170/SUM(Kalender!$D$5:$D$370),0)+IFERROR(SUMIF(Nutzungsprofile!$B$17:$B$22,"Individuell",Nutzungsprofile!$G$17:$G$22)*Kalender!E170/SUM(Kalender!$E$5:$E$370),0)),0)</f>
        <v>4.94</v>
      </c>
      <c r="F170" s="13" t="n">
        <f aca="false">IFERROR(MIN(D170,Eingaben!$B$17)*Eingaben!$B$16,0)</f>
        <v>2.793</v>
      </c>
      <c r="G170" s="13" t="n">
        <f aca="false">IFERROR(F170*Eingaben!$B$15,0)</f>
        <v>2.5137</v>
      </c>
      <c r="H170" s="13" t="n">
        <f aca="false">IFERROR(Q170*(1-Eingaben!$B$20),0)</f>
        <v>1.709316</v>
      </c>
      <c r="I170" s="13" t="n">
        <f aca="false">MIN(H170,E170)</f>
        <v>1.709316</v>
      </c>
      <c r="J170" s="13" t="n">
        <f aca="false">IFERROR(MIN(G170*Eingaben!$B$19,MAX(0,E170-I170)),0)</f>
        <v>1.75959</v>
      </c>
      <c r="K170" s="13" t="n">
        <f aca="false">IFERROR(MIN(Eingaben!$B$18,MAX(0,G170-J170)),0)</f>
        <v>0.75411</v>
      </c>
      <c r="L170" s="13" t="n">
        <f aca="false">I170+J170</f>
        <v>3.468906</v>
      </c>
      <c r="M170" s="13" t="n">
        <f aca="false">MAX(0,E170-L170)</f>
        <v>1.471094</v>
      </c>
      <c r="N170" s="13" t="n">
        <f aca="false">MAX(0,G170-J170-K170)</f>
        <v>0</v>
      </c>
      <c r="O170" s="13" t="n">
        <f aca="false">Q170-I170</f>
        <v>0.0348840000000001</v>
      </c>
      <c r="P170" s="13" t="n">
        <f aca="false">G170+Q170-L170-N170-O170-K170</f>
        <v>0</v>
      </c>
      <c r="Q170" s="13" t="n">
        <f aca="false">IF(A170="",0,K169)</f>
        <v>1.7442</v>
      </c>
    </row>
    <row r="171" customFormat="false" ht="16.4" hidden="false" customHeight="false" outlineLevel="0" collapsed="false">
      <c r="A171" s="23" t="n">
        <f aca="false">Kalender!A171</f>
        <v>46189</v>
      </c>
      <c r="B171" s="13" t="n">
        <f aca="false">Kalender!C171</f>
        <v>1</v>
      </c>
      <c r="C171" s="13" t="n">
        <f aca="false">Kalender!D171</f>
        <v>1</v>
      </c>
      <c r="D171" s="13" t="n">
        <f aca="false">IF(Prüfungen!$B$4=0,(IFERROR(SUMIF(Nutzungsprofile!$B$6:$B$11,"Schulbetrieb",Nutzungsprofile!$G$6:$G$11)*Kalender!C171/SUM(Kalender!$C$5:$C$370),0)+IFERROR(SUMIF(Nutzungsprofile!$B$6:$B$11,"Halle",Nutzungsprofile!$G$6:$G$11)*Kalender!D171/SUM(Kalender!$D$5:$D$370),0)+IFERROR(SUMIF(Nutzungsprofile!$B$6:$B$11,"Individuell",Nutzungsprofile!$G$6:$G$11)*Kalender!E171/SUM(Kalender!$E$5:$E$370),0)),0)</f>
        <v>2.94</v>
      </c>
      <c r="E171" s="13" t="n">
        <f aca="false">IF(Prüfungen!$B$4=0,(IFERROR(SUMIF(Nutzungsprofile!$B$17:$B$22,"Schulbetrieb",Nutzungsprofile!$G$17:$G$22)*Kalender!C171/SUM(Kalender!$C$5:$C$370),0)+IFERROR(SUMIF(Nutzungsprofile!$B$17:$B$22,"Halle",Nutzungsprofile!$G$17:$G$22)*Kalender!D171/SUM(Kalender!$D$5:$D$370),0)+IFERROR(SUMIF(Nutzungsprofile!$B$17:$B$22,"Individuell",Nutzungsprofile!$G$17:$G$22)*Kalender!E171/SUM(Kalender!$E$5:$E$370),0)),0)</f>
        <v>4.94</v>
      </c>
      <c r="F171" s="13" t="n">
        <f aca="false">IFERROR(MIN(D171,Eingaben!$B$17)*Eingaben!$B$16,0)</f>
        <v>2.793</v>
      </c>
      <c r="G171" s="13" t="n">
        <f aca="false">IFERROR(F171*Eingaben!$B$15,0)</f>
        <v>2.5137</v>
      </c>
      <c r="H171" s="13" t="n">
        <f aca="false">IFERROR(Q171*(1-Eingaben!$B$20),0)</f>
        <v>0.7390278</v>
      </c>
      <c r="I171" s="13" t="n">
        <f aca="false">MIN(H171,E171)</f>
        <v>0.7390278</v>
      </c>
      <c r="J171" s="13" t="n">
        <f aca="false">IFERROR(MIN(G171*Eingaben!$B$19,MAX(0,E171-I171)),0)</f>
        <v>1.75959</v>
      </c>
      <c r="K171" s="13" t="n">
        <f aca="false">IFERROR(MIN(Eingaben!$B$18,MAX(0,G171-J171)),0)</f>
        <v>0.75411</v>
      </c>
      <c r="L171" s="13" t="n">
        <f aca="false">I171+J171</f>
        <v>2.4986178</v>
      </c>
      <c r="M171" s="13" t="n">
        <f aca="false">MAX(0,E171-L171)</f>
        <v>2.4413822</v>
      </c>
      <c r="N171" s="13" t="n">
        <f aca="false">MAX(0,G171-J171-K171)</f>
        <v>0</v>
      </c>
      <c r="O171" s="13" t="n">
        <f aca="false">Q171-I171</f>
        <v>0.0150822</v>
      </c>
      <c r="P171" s="13" t="n">
        <f aca="false">G171+Q171-L171-N171-O171-K171</f>
        <v>0</v>
      </c>
      <c r="Q171" s="13" t="n">
        <f aca="false">IF(A171="",0,K170)</f>
        <v>0.75411</v>
      </c>
    </row>
    <row r="172" customFormat="false" ht="16.4" hidden="false" customHeight="false" outlineLevel="0" collapsed="false">
      <c r="A172" s="23" t="n">
        <f aca="false">Kalender!A172</f>
        <v>46190</v>
      </c>
      <c r="B172" s="13" t="n">
        <f aca="false">Kalender!C172</f>
        <v>1</v>
      </c>
      <c r="C172" s="13" t="n">
        <f aca="false">Kalender!D172</f>
        <v>1</v>
      </c>
      <c r="D172" s="13" t="n">
        <f aca="false">IF(Prüfungen!$B$4=0,(IFERROR(SUMIF(Nutzungsprofile!$B$6:$B$11,"Schulbetrieb",Nutzungsprofile!$G$6:$G$11)*Kalender!C172/SUM(Kalender!$C$5:$C$370),0)+IFERROR(SUMIF(Nutzungsprofile!$B$6:$B$11,"Halle",Nutzungsprofile!$G$6:$G$11)*Kalender!D172/SUM(Kalender!$D$5:$D$370),0)+IFERROR(SUMIF(Nutzungsprofile!$B$6:$B$11,"Individuell",Nutzungsprofile!$G$6:$G$11)*Kalender!E172/SUM(Kalender!$E$5:$E$370),0)),0)</f>
        <v>2.94</v>
      </c>
      <c r="E172" s="13" t="n">
        <f aca="false">IF(Prüfungen!$B$4=0,(IFERROR(SUMIF(Nutzungsprofile!$B$17:$B$22,"Schulbetrieb",Nutzungsprofile!$G$17:$G$22)*Kalender!C172/SUM(Kalender!$C$5:$C$370),0)+IFERROR(SUMIF(Nutzungsprofile!$B$17:$B$22,"Halle",Nutzungsprofile!$G$17:$G$22)*Kalender!D172/SUM(Kalender!$D$5:$D$370),0)+IFERROR(SUMIF(Nutzungsprofile!$B$17:$B$22,"Individuell",Nutzungsprofile!$G$17:$G$22)*Kalender!E172/SUM(Kalender!$E$5:$E$370),0)),0)</f>
        <v>4.94</v>
      </c>
      <c r="F172" s="13" t="n">
        <f aca="false">IFERROR(MIN(D172,Eingaben!$B$17)*Eingaben!$B$16,0)</f>
        <v>2.793</v>
      </c>
      <c r="G172" s="13" t="n">
        <f aca="false">IFERROR(F172*Eingaben!$B$15,0)</f>
        <v>2.5137</v>
      </c>
      <c r="H172" s="13" t="n">
        <f aca="false">IFERROR(Q172*(1-Eingaben!$B$20),0)</f>
        <v>0.7390278</v>
      </c>
      <c r="I172" s="13" t="n">
        <f aca="false">MIN(H172,E172)</f>
        <v>0.7390278</v>
      </c>
      <c r="J172" s="13" t="n">
        <f aca="false">IFERROR(MIN(G172*Eingaben!$B$19,MAX(0,E172-I172)),0)</f>
        <v>1.75959</v>
      </c>
      <c r="K172" s="13" t="n">
        <f aca="false">IFERROR(MIN(Eingaben!$B$18,MAX(0,G172-J172)),0)</f>
        <v>0.75411</v>
      </c>
      <c r="L172" s="13" t="n">
        <f aca="false">I172+J172</f>
        <v>2.4986178</v>
      </c>
      <c r="M172" s="13" t="n">
        <f aca="false">MAX(0,E172-L172)</f>
        <v>2.4413822</v>
      </c>
      <c r="N172" s="13" t="n">
        <f aca="false">MAX(0,G172-J172-K172)</f>
        <v>0</v>
      </c>
      <c r="O172" s="13" t="n">
        <f aca="false">Q172-I172</f>
        <v>0.0150822</v>
      </c>
      <c r="P172" s="13" t="n">
        <f aca="false">G172+Q172-L172-N172-O172-K172</f>
        <v>0</v>
      </c>
      <c r="Q172" s="13" t="n">
        <f aca="false">IF(A172="",0,K171)</f>
        <v>0.75411</v>
      </c>
    </row>
    <row r="173" customFormat="false" ht="16.4" hidden="false" customHeight="false" outlineLevel="0" collapsed="false">
      <c r="A173" s="23" t="n">
        <f aca="false">Kalender!A173</f>
        <v>46191</v>
      </c>
      <c r="B173" s="13" t="n">
        <f aca="false">Kalender!C173</f>
        <v>1</v>
      </c>
      <c r="C173" s="13" t="n">
        <f aca="false">Kalender!D173</f>
        <v>1</v>
      </c>
      <c r="D173" s="13" t="n">
        <f aca="false">IF(Prüfungen!$B$4=0,(IFERROR(SUMIF(Nutzungsprofile!$B$6:$B$11,"Schulbetrieb",Nutzungsprofile!$G$6:$G$11)*Kalender!C173/SUM(Kalender!$C$5:$C$370),0)+IFERROR(SUMIF(Nutzungsprofile!$B$6:$B$11,"Halle",Nutzungsprofile!$G$6:$G$11)*Kalender!D173/SUM(Kalender!$D$5:$D$370),0)+IFERROR(SUMIF(Nutzungsprofile!$B$6:$B$11,"Individuell",Nutzungsprofile!$G$6:$G$11)*Kalender!E173/SUM(Kalender!$E$5:$E$370),0)),0)</f>
        <v>2.94</v>
      </c>
      <c r="E173" s="13" t="n">
        <f aca="false">IF(Prüfungen!$B$4=0,(IFERROR(SUMIF(Nutzungsprofile!$B$17:$B$22,"Schulbetrieb",Nutzungsprofile!$G$17:$G$22)*Kalender!C173/SUM(Kalender!$C$5:$C$370),0)+IFERROR(SUMIF(Nutzungsprofile!$B$17:$B$22,"Halle",Nutzungsprofile!$G$17:$G$22)*Kalender!D173/SUM(Kalender!$D$5:$D$370),0)+IFERROR(SUMIF(Nutzungsprofile!$B$17:$B$22,"Individuell",Nutzungsprofile!$G$17:$G$22)*Kalender!E173/SUM(Kalender!$E$5:$E$370),0)),0)</f>
        <v>4.94</v>
      </c>
      <c r="F173" s="13" t="n">
        <f aca="false">IFERROR(MIN(D173,Eingaben!$B$17)*Eingaben!$B$16,0)</f>
        <v>2.793</v>
      </c>
      <c r="G173" s="13" t="n">
        <f aca="false">IFERROR(F173*Eingaben!$B$15,0)</f>
        <v>2.5137</v>
      </c>
      <c r="H173" s="13" t="n">
        <f aca="false">IFERROR(Q173*(1-Eingaben!$B$20),0)</f>
        <v>0.7390278</v>
      </c>
      <c r="I173" s="13" t="n">
        <f aca="false">MIN(H173,E173)</f>
        <v>0.7390278</v>
      </c>
      <c r="J173" s="13" t="n">
        <f aca="false">IFERROR(MIN(G173*Eingaben!$B$19,MAX(0,E173-I173)),0)</f>
        <v>1.75959</v>
      </c>
      <c r="K173" s="13" t="n">
        <f aca="false">IFERROR(MIN(Eingaben!$B$18,MAX(0,G173-J173)),0)</f>
        <v>0.75411</v>
      </c>
      <c r="L173" s="13" t="n">
        <f aca="false">I173+J173</f>
        <v>2.4986178</v>
      </c>
      <c r="M173" s="13" t="n">
        <f aca="false">MAX(0,E173-L173)</f>
        <v>2.4413822</v>
      </c>
      <c r="N173" s="13" t="n">
        <f aca="false">MAX(0,G173-J173-K173)</f>
        <v>0</v>
      </c>
      <c r="O173" s="13" t="n">
        <f aca="false">Q173-I173</f>
        <v>0.0150822</v>
      </c>
      <c r="P173" s="13" t="n">
        <f aca="false">G173+Q173-L173-N173-O173-K173</f>
        <v>0</v>
      </c>
      <c r="Q173" s="13" t="n">
        <f aca="false">IF(A173="",0,K172)</f>
        <v>0.75411</v>
      </c>
    </row>
    <row r="174" customFormat="false" ht="16.4" hidden="false" customHeight="false" outlineLevel="0" collapsed="false">
      <c r="A174" s="23" t="n">
        <f aca="false">Kalender!A174</f>
        <v>46192</v>
      </c>
      <c r="B174" s="13" t="n">
        <f aca="false">Kalender!C174</f>
        <v>1</v>
      </c>
      <c r="C174" s="13" t="n">
        <f aca="false">Kalender!D174</f>
        <v>1</v>
      </c>
      <c r="D174" s="13" t="n">
        <f aca="false">IF(Prüfungen!$B$4=0,(IFERROR(SUMIF(Nutzungsprofile!$B$6:$B$11,"Schulbetrieb",Nutzungsprofile!$G$6:$G$11)*Kalender!C174/SUM(Kalender!$C$5:$C$370),0)+IFERROR(SUMIF(Nutzungsprofile!$B$6:$B$11,"Halle",Nutzungsprofile!$G$6:$G$11)*Kalender!D174/SUM(Kalender!$D$5:$D$370),0)+IFERROR(SUMIF(Nutzungsprofile!$B$6:$B$11,"Individuell",Nutzungsprofile!$G$6:$G$11)*Kalender!E174/SUM(Kalender!$E$5:$E$370),0)),0)</f>
        <v>2.94</v>
      </c>
      <c r="E174" s="13" t="n">
        <f aca="false">IF(Prüfungen!$B$4=0,(IFERROR(SUMIF(Nutzungsprofile!$B$17:$B$22,"Schulbetrieb",Nutzungsprofile!$G$17:$G$22)*Kalender!C174/SUM(Kalender!$C$5:$C$370),0)+IFERROR(SUMIF(Nutzungsprofile!$B$17:$B$22,"Halle",Nutzungsprofile!$G$17:$G$22)*Kalender!D174/SUM(Kalender!$D$5:$D$370),0)+IFERROR(SUMIF(Nutzungsprofile!$B$17:$B$22,"Individuell",Nutzungsprofile!$G$17:$G$22)*Kalender!E174/SUM(Kalender!$E$5:$E$370),0)),0)</f>
        <v>4.94</v>
      </c>
      <c r="F174" s="13" t="n">
        <f aca="false">IFERROR(MIN(D174,Eingaben!$B$17)*Eingaben!$B$16,0)</f>
        <v>2.793</v>
      </c>
      <c r="G174" s="13" t="n">
        <f aca="false">IFERROR(F174*Eingaben!$B$15,0)</f>
        <v>2.5137</v>
      </c>
      <c r="H174" s="13" t="n">
        <f aca="false">IFERROR(Q174*(1-Eingaben!$B$20),0)</f>
        <v>0.7390278</v>
      </c>
      <c r="I174" s="13" t="n">
        <f aca="false">MIN(H174,E174)</f>
        <v>0.7390278</v>
      </c>
      <c r="J174" s="13" t="n">
        <f aca="false">IFERROR(MIN(G174*Eingaben!$B$19,MAX(0,E174-I174)),0)</f>
        <v>1.75959</v>
      </c>
      <c r="K174" s="13" t="n">
        <f aca="false">IFERROR(MIN(Eingaben!$B$18,MAX(0,G174-J174)),0)</f>
        <v>0.75411</v>
      </c>
      <c r="L174" s="13" t="n">
        <f aca="false">I174+J174</f>
        <v>2.4986178</v>
      </c>
      <c r="M174" s="13" t="n">
        <f aca="false">MAX(0,E174-L174)</f>
        <v>2.4413822</v>
      </c>
      <c r="N174" s="13" t="n">
        <f aca="false">MAX(0,G174-J174-K174)</f>
        <v>0</v>
      </c>
      <c r="O174" s="13" t="n">
        <f aca="false">Q174-I174</f>
        <v>0.0150822</v>
      </c>
      <c r="P174" s="13" t="n">
        <f aca="false">G174+Q174-L174-N174-O174-K174</f>
        <v>0</v>
      </c>
      <c r="Q174" s="13" t="n">
        <f aca="false">IF(A174="",0,K173)</f>
        <v>0.75411</v>
      </c>
    </row>
    <row r="175" customFormat="false" ht="16.4" hidden="false" customHeight="false" outlineLevel="0" collapsed="false">
      <c r="A175" s="23" t="n">
        <f aca="false">Kalender!A175</f>
        <v>46193</v>
      </c>
      <c r="B175" s="13" t="n">
        <f aca="false">Kalender!C175</f>
        <v>0</v>
      </c>
      <c r="C175" s="13" t="n">
        <f aca="false">Kalender!D175</f>
        <v>1</v>
      </c>
      <c r="D175" s="13" t="n">
        <f aca="false">IF(Prüfungen!$B$4=0,(IFERROR(SUMIF(Nutzungsprofile!$B$6:$B$11,"Schulbetrieb",Nutzungsprofile!$G$6:$G$11)*Kalender!C175/SUM(Kalender!$C$5:$C$370),0)+IFERROR(SUMIF(Nutzungsprofile!$B$6:$B$11,"Halle",Nutzungsprofile!$G$6:$G$11)*Kalender!D175/SUM(Kalender!$D$5:$D$370),0)+IFERROR(SUMIF(Nutzungsprofile!$B$6:$B$11,"Individuell",Nutzungsprofile!$G$6:$G$11)*Kalender!E175/SUM(Kalender!$E$5:$E$370),0)),0)</f>
        <v>2.04</v>
      </c>
      <c r="E175" s="13" t="n">
        <f aca="false">IF(Prüfungen!$B$4=0,(IFERROR(SUMIF(Nutzungsprofile!$B$17:$B$22,"Schulbetrieb",Nutzungsprofile!$G$17:$G$22)*Kalender!C175/SUM(Kalender!$C$5:$C$370),0)+IFERROR(SUMIF(Nutzungsprofile!$B$17:$B$22,"Halle",Nutzungsprofile!$G$17:$G$22)*Kalender!D175/SUM(Kalender!$D$5:$D$370),0)+IFERROR(SUMIF(Nutzungsprofile!$B$17:$B$22,"Individuell",Nutzungsprofile!$G$17:$G$22)*Kalender!E175/SUM(Kalender!$E$5:$E$370),0)),0)</f>
        <v>0.89</v>
      </c>
      <c r="F175" s="13" t="n">
        <f aca="false">IFERROR(MIN(D175,Eingaben!$B$17)*Eingaben!$B$16,0)</f>
        <v>1.938</v>
      </c>
      <c r="G175" s="13" t="n">
        <f aca="false">IFERROR(F175*Eingaben!$B$15,0)</f>
        <v>1.7442</v>
      </c>
      <c r="H175" s="13" t="n">
        <f aca="false">IFERROR(Q175*(1-Eingaben!$B$20),0)</f>
        <v>0.7390278</v>
      </c>
      <c r="I175" s="13" t="n">
        <f aca="false">MIN(H175,E175)</f>
        <v>0.7390278</v>
      </c>
      <c r="J175" s="13" t="n">
        <f aca="false">IFERROR(MIN(G175*Eingaben!$B$19,MAX(0,E175-I175)),0)</f>
        <v>0.1509722</v>
      </c>
      <c r="K175" s="13" t="n">
        <f aca="false">IFERROR(MIN(Eingaben!$B$18,MAX(0,G175-J175)),0)</f>
        <v>1.5932278</v>
      </c>
      <c r="L175" s="13" t="n">
        <f aca="false">I175+J175</f>
        <v>0.89</v>
      </c>
      <c r="M175" s="13" t="n">
        <f aca="false">MAX(0,E175-L175)</f>
        <v>0</v>
      </c>
      <c r="N175" s="13" t="n">
        <f aca="false">MAX(0,G175-J175-K175)</f>
        <v>0</v>
      </c>
      <c r="O175" s="13" t="n">
        <f aca="false">Q175-I175</f>
        <v>0.0150822</v>
      </c>
      <c r="P175" s="13" t="n">
        <f aca="false">G175+Q175-L175-N175-O175-K175</f>
        <v>0</v>
      </c>
      <c r="Q175" s="13" t="n">
        <f aca="false">IF(A175="",0,K174)</f>
        <v>0.75411</v>
      </c>
    </row>
    <row r="176" customFormat="false" ht="16.4" hidden="false" customHeight="false" outlineLevel="0" collapsed="false">
      <c r="A176" s="23" t="n">
        <f aca="false">Kalender!A176</f>
        <v>46194</v>
      </c>
      <c r="B176" s="13" t="n">
        <f aca="false">Kalender!C176</f>
        <v>0</v>
      </c>
      <c r="C176" s="13" t="n">
        <f aca="false">Kalender!D176</f>
        <v>1</v>
      </c>
      <c r="D176" s="13" t="n">
        <f aca="false">IF(Prüfungen!$B$4=0,(IFERROR(SUMIF(Nutzungsprofile!$B$6:$B$11,"Schulbetrieb",Nutzungsprofile!$G$6:$G$11)*Kalender!C176/SUM(Kalender!$C$5:$C$370),0)+IFERROR(SUMIF(Nutzungsprofile!$B$6:$B$11,"Halle",Nutzungsprofile!$G$6:$G$11)*Kalender!D176/SUM(Kalender!$D$5:$D$370),0)+IFERROR(SUMIF(Nutzungsprofile!$B$6:$B$11,"Individuell",Nutzungsprofile!$G$6:$G$11)*Kalender!E176/SUM(Kalender!$E$5:$E$370),0)),0)</f>
        <v>2.04</v>
      </c>
      <c r="E176" s="13" t="n">
        <f aca="false">IF(Prüfungen!$B$4=0,(IFERROR(SUMIF(Nutzungsprofile!$B$17:$B$22,"Schulbetrieb",Nutzungsprofile!$G$17:$G$22)*Kalender!C176/SUM(Kalender!$C$5:$C$370),0)+IFERROR(SUMIF(Nutzungsprofile!$B$17:$B$22,"Halle",Nutzungsprofile!$G$17:$G$22)*Kalender!D176/SUM(Kalender!$D$5:$D$370),0)+IFERROR(SUMIF(Nutzungsprofile!$B$17:$B$22,"Individuell",Nutzungsprofile!$G$17:$G$22)*Kalender!E176/SUM(Kalender!$E$5:$E$370),0)),0)</f>
        <v>0.89</v>
      </c>
      <c r="F176" s="13" t="n">
        <f aca="false">IFERROR(MIN(D176,Eingaben!$B$17)*Eingaben!$B$16,0)</f>
        <v>1.938</v>
      </c>
      <c r="G176" s="13" t="n">
        <f aca="false">IFERROR(F176*Eingaben!$B$15,0)</f>
        <v>1.7442</v>
      </c>
      <c r="H176" s="13" t="n">
        <f aca="false">IFERROR(Q176*(1-Eingaben!$B$20),0)</f>
        <v>1.561363244</v>
      </c>
      <c r="I176" s="13" t="n">
        <f aca="false">MIN(H176,E176)</f>
        <v>0.89</v>
      </c>
      <c r="J176" s="13" t="n">
        <f aca="false">IFERROR(MIN(G176*Eingaben!$B$19,MAX(0,E176-I176)),0)</f>
        <v>0</v>
      </c>
      <c r="K176" s="13" t="n">
        <f aca="false">IFERROR(MIN(Eingaben!$B$18,MAX(0,G176-J176)),0)</f>
        <v>1.7442</v>
      </c>
      <c r="L176" s="13" t="n">
        <f aca="false">I176+J176</f>
        <v>0.89</v>
      </c>
      <c r="M176" s="13" t="n">
        <f aca="false">MAX(0,E176-L176)</f>
        <v>0</v>
      </c>
      <c r="N176" s="13" t="n">
        <f aca="false">MAX(0,G176-J176-K176)</f>
        <v>0</v>
      </c>
      <c r="O176" s="13" t="n">
        <f aca="false">Q176-I176</f>
        <v>0.7032278</v>
      </c>
      <c r="P176" s="13" t="n">
        <f aca="false">G176+Q176-L176-N176-O176-K176</f>
        <v>0</v>
      </c>
      <c r="Q176" s="13" t="n">
        <f aca="false">IF(A176="",0,K175)</f>
        <v>1.5932278</v>
      </c>
    </row>
    <row r="177" customFormat="false" ht="16.4" hidden="false" customHeight="false" outlineLevel="0" collapsed="false">
      <c r="A177" s="23" t="n">
        <f aca="false">Kalender!A177</f>
        <v>46195</v>
      </c>
      <c r="B177" s="13" t="n">
        <f aca="false">Kalender!C177</f>
        <v>1</v>
      </c>
      <c r="C177" s="13" t="n">
        <f aca="false">Kalender!D177</f>
        <v>1</v>
      </c>
      <c r="D177" s="13" t="n">
        <f aca="false">IF(Prüfungen!$B$4=0,(IFERROR(SUMIF(Nutzungsprofile!$B$6:$B$11,"Schulbetrieb",Nutzungsprofile!$G$6:$G$11)*Kalender!C177/SUM(Kalender!$C$5:$C$370),0)+IFERROR(SUMIF(Nutzungsprofile!$B$6:$B$11,"Halle",Nutzungsprofile!$G$6:$G$11)*Kalender!D177/SUM(Kalender!$D$5:$D$370),0)+IFERROR(SUMIF(Nutzungsprofile!$B$6:$B$11,"Individuell",Nutzungsprofile!$G$6:$G$11)*Kalender!E177/SUM(Kalender!$E$5:$E$370),0)),0)</f>
        <v>2.94</v>
      </c>
      <c r="E177" s="13" t="n">
        <f aca="false">IF(Prüfungen!$B$4=0,(IFERROR(SUMIF(Nutzungsprofile!$B$17:$B$22,"Schulbetrieb",Nutzungsprofile!$G$17:$G$22)*Kalender!C177/SUM(Kalender!$C$5:$C$370),0)+IFERROR(SUMIF(Nutzungsprofile!$B$17:$B$22,"Halle",Nutzungsprofile!$G$17:$G$22)*Kalender!D177/SUM(Kalender!$D$5:$D$370),0)+IFERROR(SUMIF(Nutzungsprofile!$B$17:$B$22,"Individuell",Nutzungsprofile!$G$17:$G$22)*Kalender!E177/SUM(Kalender!$E$5:$E$370),0)),0)</f>
        <v>4.94</v>
      </c>
      <c r="F177" s="13" t="n">
        <f aca="false">IFERROR(MIN(D177,Eingaben!$B$17)*Eingaben!$B$16,0)</f>
        <v>2.793</v>
      </c>
      <c r="G177" s="13" t="n">
        <f aca="false">IFERROR(F177*Eingaben!$B$15,0)</f>
        <v>2.5137</v>
      </c>
      <c r="H177" s="13" t="n">
        <f aca="false">IFERROR(Q177*(1-Eingaben!$B$20),0)</f>
        <v>1.709316</v>
      </c>
      <c r="I177" s="13" t="n">
        <f aca="false">MIN(H177,E177)</f>
        <v>1.709316</v>
      </c>
      <c r="J177" s="13" t="n">
        <f aca="false">IFERROR(MIN(G177*Eingaben!$B$19,MAX(0,E177-I177)),0)</f>
        <v>1.75959</v>
      </c>
      <c r="K177" s="13" t="n">
        <f aca="false">IFERROR(MIN(Eingaben!$B$18,MAX(0,G177-J177)),0)</f>
        <v>0.75411</v>
      </c>
      <c r="L177" s="13" t="n">
        <f aca="false">I177+J177</f>
        <v>3.468906</v>
      </c>
      <c r="M177" s="13" t="n">
        <f aca="false">MAX(0,E177-L177)</f>
        <v>1.471094</v>
      </c>
      <c r="N177" s="13" t="n">
        <f aca="false">MAX(0,G177-J177-K177)</f>
        <v>0</v>
      </c>
      <c r="O177" s="13" t="n">
        <f aca="false">Q177-I177</f>
        <v>0.0348840000000001</v>
      </c>
      <c r="P177" s="13" t="n">
        <f aca="false">G177+Q177-L177-N177-O177-K177</f>
        <v>0</v>
      </c>
      <c r="Q177" s="13" t="n">
        <f aca="false">IF(A177="",0,K176)</f>
        <v>1.7442</v>
      </c>
    </row>
    <row r="178" customFormat="false" ht="16.4" hidden="false" customHeight="false" outlineLevel="0" collapsed="false">
      <c r="A178" s="23" t="n">
        <f aca="false">Kalender!A178</f>
        <v>46196</v>
      </c>
      <c r="B178" s="13" t="n">
        <f aca="false">Kalender!C178</f>
        <v>1</v>
      </c>
      <c r="C178" s="13" t="n">
        <f aca="false">Kalender!D178</f>
        <v>1</v>
      </c>
      <c r="D178" s="13" t="n">
        <f aca="false">IF(Prüfungen!$B$4=0,(IFERROR(SUMIF(Nutzungsprofile!$B$6:$B$11,"Schulbetrieb",Nutzungsprofile!$G$6:$G$11)*Kalender!C178/SUM(Kalender!$C$5:$C$370),0)+IFERROR(SUMIF(Nutzungsprofile!$B$6:$B$11,"Halle",Nutzungsprofile!$G$6:$G$11)*Kalender!D178/SUM(Kalender!$D$5:$D$370),0)+IFERROR(SUMIF(Nutzungsprofile!$B$6:$B$11,"Individuell",Nutzungsprofile!$G$6:$G$11)*Kalender!E178/SUM(Kalender!$E$5:$E$370),0)),0)</f>
        <v>2.94</v>
      </c>
      <c r="E178" s="13" t="n">
        <f aca="false">IF(Prüfungen!$B$4=0,(IFERROR(SUMIF(Nutzungsprofile!$B$17:$B$22,"Schulbetrieb",Nutzungsprofile!$G$17:$G$22)*Kalender!C178/SUM(Kalender!$C$5:$C$370),0)+IFERROR(SUMIF(Nutzungsprofile!$B$17:$B$22,"Halle",Nutzungsprofile!$G$17:$G$22)*Kalender!D178/SUM(Kalender!$D$5:$D$370),0)+IFERROR(SUMIF(Nutzungsprofile!$B$17:$B$22,"Individuell",Nutzungsprofile!$G$17:$G$22)*Kalender!E178/SUM(Kalender!$E$5:$E$370),0)),0)</f>
        <v>4.94</v>
      </c>
      <c r="F178" s="13" t="n">
        <f aca="false">IFERROR(MIN(D178,Eingaben!$B$17)*Eingaben!$B$16,0)</f>
        <v>2.793</v>
      </c>
      <c r="G178" s="13" t="n">
        <f aca="false">IFERROR(F178*Eingaben!$B$15,0)</f>
        <v>2.5137</v>
      </c>
      <c r="H178" s="13" t="n">
        <f aca="false">IFERROR(Q178*(1-Eingaben!$B$20),0)</f>
        <v>0.7390278</v>
      </c>
      <c r="I178" s="13" t="n">
        <f aca="false">MIN(H178,E178)</f>
        <v>0.7390278</v>
      </c>
      <c r="J178" s="13" t="n">
        <f aca="false">IFERROR(MIN(G178*Eingaben!$B$19,MAX(0,E178-I178)),0)</f>
        <v>1.75959</v>
      </c>
      <c r="K178" s="13" t="n">
        <f aca="false">IFERROR(MIN(Eingaben!$B$18,MAX(0,G178-J178)),0)</f>
        <v>0.75411</v>
      </c>
      <c r="L178" s="13" t="n">
        <f aca="false">I178+J178</f>
        <v>2.4986178</v>
      </c>
      <c r="M178" s="13" t="n">
        <f aca="false">MAX(0,E178-L178)</f>
        <v>2.4413822</v>
      </c>
      <c r="N178" s="13" t="n">
        <f aca="false">MAX(0,G178-J178-K178)</f>
        <v>0</v>
      </c>
      <c r="O178" s="13" t="n">
        <f aca="false">Q178-I178</f>
        <v>0.0150822</v>
      </c>
      <c r="P178" s="13" t="n">
        <f aca="false">G178+Q178-L178-N178-O178-K178</f>
        <v>0</v>
      </c>
      <c r="Q178" s="13" t="n">
        <f aca="false">IF(A178="",0,K177)</f>
        <v>0.75411</v>
      </c>
    </row>
    <row r="179" customFormat="false" ht="16.4" hidden="false" customHeight="false" outlineLevel="0" collapsed="false">
      <c r="A179" s="23" t="n">
        <f aca="false">Kalender!A179</f>
        <v>46197</v>
      </c>
      <c r="B179" s="13" t="n">
        <f aca="false">Kalender!C179</f>
        <v>1</v>
      </c>
      <c r="C179" s="13" t="n">
        <f aca="false">Kalender!D179</f>
        <v>1</v>
      </c>
      <c r="D179" s="13" t="n">
        <f aca="false">IF(Prüfungen!$B$4=0,(IFERROR(SUMIF(Nutzungsprofile!$B$6:$B$11,"Schulbetrieb",Nutzungsprofile!$G$6:$G$11)*Kalender!C179/SUM(Kalender!$C$5:$C$370),0)+IFERROR(SUMIF(Nutzungsprofile!$B$6:$B$11,"Halle",Nutzungsprofile!$G$6:$G$11)*Kalender!D179/SUM(Kalender!$D$5:$D$370),0)+IFERROR(SUMIF(Nutzungsprofile!$B$6:$B$11,"Individuell",Nutzungsprofile!$G$6:$G$11)*Kalender!E179/SUM(Kalender!$E$5:$E$370),0)),0)</f>
        <v>2.94</v>
      </c>
      <c r="E179" s="13" t="n">
        <f aca="false">IF(Prüfungen!$B$4=0,(IFERROR(SUMIF(Nutzungsprofile!$B$17:$B$22,"Schulbetrieb",Nutzungsprofile!$G$17:$G$22)*Kalender!C179/SUM(Kalender!$C$5:$C$370),0)+IFERROR(SUMIF(Nutzungsprofile!$B$17:$B$22,"Halle",Nutzungsprofile!$G$17:$G$22)*Kalender!D179/SUM(Kalender!$D$5:$D$370),0)+IFERROR(SUMIF(Nutzungsprofile!$B$17:$B$22,"Individuell",Nutzungsprofile!$G$17:$G$22)*Kalender!E179/SUM(Kalender!$E$5:$E$370),0)),0)</f>
        <v>4.94</v>
      </c>
      <c r="F179" s="13" t="n">
        <f aca="false">IFERROR(MIN(D179,Eingaben!$B$17)*Eingaben!$B$16,0)</f>
        <v>2.793</v>
      </c>
      <c r="G179" s="13" t="n">
        <f aca="false">IFERROR(F179*Eingaben!$B$15,0)</f>
        <v>2.5137</v>
      </c>
      <c r="H179" s="13" t="n">
        <f aca="false">IFERROR(Q179*(1-Eingaben!$B$20),0)</f>
        <v>0.7390278</v>
      </c>
      <c r="I179" s="13" t="n">
        <f aca="false">MIN(H179,E179)</f>
        <v>0.7390278</v>
      </c>
      <c r="J179" s="13" t="n">
        <f aca="false">IFERROR(MIN(G179*Eingaben!$B$19,MAX(0,E179-I179)),0)</f>
        <v>1.75959</v>
      </c>
      <c r="K179" s="13" t="n">
        <f aca="false">IFERROR(MIN(Eingaben!$B$18,MAX(0,G179-J179)),0)</f>
        <v>0.75411</v>
      </c>
      <c r="L179" s="13" t="n">
        <f aca="false">I179+J179</f>
        <v>2.4986178</v>
      </c>
      <c r="M179" s="13" t="n">
        <f aca="false">MAX(0,E179-L179)</f>
        <v>2.4413822</v>
      </c>
      <c r="N179" s="13" t="n">
        <f aca="false">MAX(0,G179-J179-K179)</f>
        <v>0</v>
      </c>
      <c r="O179" s="13" t="n">
        <f aca="false">Q179-I179</f>
        <v>0.0150822</v>
      </c>
      <c r="P179" s="13" t="n">
        <f aca="false">G179+Q179-L179-N179-O179-K179</f>
        <v>0</v>
      </c>
      <c r="Q179" s="13" t="n">
        <f aca="false">IF(A179="",0,K178)</f>
        <v>0.75411</v>
      </c>
    </row>
    <row r="180" customFormat="false" ht="16.4" hidden="false" customHeight="false" outlineLevel="0" collapsed="false">
      <c r="A180" s="23" t="n">
        <f aca="false">Kalender!A180</f>
        <v>46198</v>
      </c>
      <c r="B180" s="13" t="n">
        <f aca="false">Kalender!C180</f>
        <v>1</v>
      </c>
      <c r="C180" s="13" t="n">
        <f aca="false">Kalender!D180</f>
        <v>1</v>
      </c>
      <c r="D180" s="13" t="n">
        <f aca="false">IF(Prüfungen!$B$4=0,(IFERROR(SUMIF(Nutzungsprofile!$B$6:$B$11,"Schulbetrieb",Nutzungsprofile!$G$6:$G$11)*Kalender!C180/SUM(Kalender!$C$5:$C$370),0)+IFERROR(SUMIF(Nutzungsprofile!$B$6:$B$11,"Halle",Nutzungsprofile!$G$6:$G$11)*Kalender!D180/SUM(Kalender!$D$5:$D$370),0)+IFERROR(SUMIF(Nutzungsprofile!$B$6:$B$11,"Individuell",Nutzungsprofile!$G$6:$G$11)*Kalender!E180/SUM(Kalender!$E$5:$E$370),0)),0)</f>
        <v>2.94</v>
      </c>
      <c r="E180" s="13" t="n">
        <f aca="false">IF(Prüfungen!$B$4=0,(IFERROR(SUMIF(Nutzungsprofile!$B$17:$B$22,"Schulbetrieb",Nutzungsprofile!$G$17:$G$22)*Kalender!C180/SUM(Kalender!$C$5:$C$370),0)+IFERROR(SUMIF(Nutzungsprofile!$B$17:$B$22,"Halle",Nutzungsprofile!$G$17:$G$22)*Kalender!D180/SUM(Kalender!$D$5:$D$370),0)+IFERROR(SUMIF(Nutzungsprofile!$B$17:$B$22,"Individuell",Nutzungsprofile!$G$17:$G$22)*Kalender!E180/SUM(Kalender!$E$5:$E$370),0)),0)</f>
        <v>4.94</v>
      </c>
      <c r="F180" s="13" t="n">
        <f aca="false">IFERROR(MIN(D180,Eingaben!$B$17)*Eingaben!$B$16,0)</f>
        <v>2.793</v>
      </c>
      <c r="G180" s="13" t="n">
        <f aca="false">IFERROR(F180*Eingaben!$B$15,0)</f>
        <v>2.5137</v>
      </c>
      <c r="H180" s="13" t="n">
        <f aca="false">IFERROR(Q180*(1-Eingaben!$B$20),0)</f>
        <v>0.7390278</v>
      </c>
      <c r="I180" s="13" t="n">
        <f aca="false">MIN(H180,E180)</f>
        <v>0.7390278</v>
      </c>
      <c r="J180" s="13" t="n">
        <f aca="false">IFERROR(MIN(G180*Eingaben!$B$19,MAX(0,E180-I180)),0)</f>
        <v>1.75959</v>
      </c>
      <c r="K180" s="13" t="n">
        <f aca="false">IFERROR(MIN(Eingaben!$B$18,MAX(0,G180-J180)),0)</f>
        <v>0.75411</v>
      </c>
      <c r="L180" s="13" t="n">
        <f aca="false">I180+J180</f>
        <v>2.4986178</v>
      </c>
      <c r="M180" s="13" t="n">
        <f aca="false">MAX(0,E180-L180)</f>
        <v>2.4413822</v>
      </c>
      <c r="N180" s="13" t="n">
        <f aca="false">MAX(0,G180-J180-K180)</f>
        <v>0</v>
      </c>
      <c r="O180" s="13" t="n">
        <f aca="false">Q180-I180</f>
        <v>0.0150822</v>
      </c>
      <c r="P180" s="13" t="n">
        <f aca="false">G180+Q180-L180-N180-O180-K180</f>
        <v>0</v>
      </c>
      <c r="Q180" s="13" t="n">
        <f aca="false">IF(A180="",0,K179)</f>
        <v>0.75411</v>
      </c>
    </row>
    <row r="181" customFormat="false" ht="16.4" hidden="false" customHeight="false" outlineLevel="0" collapsed="false">
      <c r="A181" s="23" t="n">
        <f aca="false">Kalender!A181</f>
        <v>46199</v>
      </c>
      <c r="B181" s="13" t="n">
        <f aca="false">Kalender!C181</f>
        <v>1</v>
      </c>
      <c r="C181" s="13" t="n">
        <f aca="false">Kalender!D181</f>
        <v>1</v>
      </c>
      <c r="D181" s="13" t="n">
        <f aca="false">IF(Prüfungen!$B$4=0,(IFERROR(SUMIF(Nutzungsprofile!$B$6:$B$11,"Schulbetrieb",Nutzungsprofile!$G$6:$G$11)*Kalender!C181/SUM(Kalender!$C$5:$C$370),0)+IFERROR(SUMIF(Nutzungsprofile!$B$6:$B$11,"Halle",Nutzungsprofile!$G$6:$G$11)*Kalender!D181/SUM(Kalender!$D$5:$D$370),0)+IFERROR(SUMIF(Nutzungsprofile!$B$6:$B$11,"Individuell",Nutzungsprofile!$G$6:$G$11)*Kalender!E181/SUM(Kalender!$E$5:$E$370),0)),0)</f>
        <v>2.94</v>
      </c>
      <c r="E181" s="13" t="n">
        <f aca="false">IF(Prüfungen!$B$4=0,(IFERROR(SUMIF(Nutzungsprofile!$B$17:$B$22,"Schulbetrieb",Nutzungsprofile!$G$17:$G$22)*Kalender!C181/SUM(Kalender!$C$5:$C$370),0)+IFERROR(SUMIF(Nutzungsprofile!$B$17:$B$22,"Halle",Nutzungsprofile!$G$17:$G$22)*Kalender!D181/SUM(Kalender!$D$5:$D$370),0)+IFERROR(SUMIF(Nutzungsprofile!$B$17:$B$22,"Individuell",Nutzungsprofile!$G$17:$G$22)*Kalender!E181/SUM(Kalender!$E$5:$E$370),0)),0)</f>
        <v>4.94</v>
      </c>
      <c r="F181" s="13" t="n">
        <f aca="false">IFERROR(MIN(D181,Eingaben!$B$17)*Eingaben!$B$16,0)</f>
        <v>2.793</v>
      </c>
      <c r="G181" s="13" t="n">
        <f aca="false">IFERROR(F181*Eingaben!$B$15,0)</f>
        <v>2.5137</v>
      </c>
      <c r="H181" s="13" t="n">
        <f aca="false">IFERROR(Q181*(1-Eingaben!$B$20),0)</f>
        <v>0.7390278</v>
      </c>
      <c r="I181" s="13" t="n">
        <f aca="false">MIN(H181,E181)</f>
        <v>0.7390278</v>
      </c>
      <c r="J181" s="13" t="n">
        <f aca="false">IFERROR(MIN(G181*Eingaben!$B$19,MAX(0,E181-I181)),0)</f>
        <v>1.75959</v>
      </c>
      <c r="K181" s="13" t="n">
        <f aca="false">IFERROR(MIN(Eingaben!$B$18,MAX(0,G181-J181)),0)</f>
        <v>0.75411</v>
      </c>
      <c r="L181" s="13" t="n">
        <f aca="false">I181+J181</f>
        <v>2.4986178</v>
      </c>
      <c r="M181" s="13" t="n">
        <f aca="false">MAX(0,E181-L181)</f>
        <v>2.4413822</v>
      </c>
      <c r="N181" s="13" t="n">
        <f aca="false">MAX(0,G181-J181-K181)</f>
        <v>0</v>
      </c>
      <c r="O181" s="13" t="n">
        <f aca="false">Q181-I181</f>
        <v>0.0150822</v>
      </c>
      <c r="P181" s="13" t="n">
        <f aca="false">G181+Q181-L181-N181-O181-K181</f>
        <v>0</v>
      </c>
      <c r="Q181" s="13" t="n">
        <f aca="false">IF(A181="",0,K180)</f>
        <v>0.75411</v>
      </c>
    </row>
    <row r="182" customFormat="false" ht="16.4" hidden="false" customHeight="false" outlineLevel="0" collapsed="false">
      <c r="A182" s="23" t="n">
        <f aca="false">Kalender!A182</f>
        <v>46200</v>
      </c>
      <c r="B182" s="13" t="n">
        <f aca="false">Kalender!C182</f>
        <v>0</v>
      </c>
      <c r="C182" s="13" t="n">
        <f aca="false">Kalender!D182</f>
        <v>1</v>
      </c>
      <c r="D182" s="13" t="n">
        <f aca="false">IF(Prüfungen!$B$4=0,(IFERROR(SUMIF(Nutzungsprofile!$B$6:$B$11,"Schulbetrieb",Nutzungsprofile!$G$6:$G$11)*Kalender!C182/SUM(Kalender!$C$5:$C$370),0)+IFERROR(SUMIF(Nutzungsprofile!$B$6:$B$11,"Halle",Nutzungsprofile!$G$6:$G$11)*Kalender!D182/SUM(Kalender!$D$5:$D$370),0)+IFERROR(SUMIF(Nutzungsprofile!$B$6:$B$11,"Individuell",Nutzungsprofile!$G$6:$G$11)*Kalender!E182/SUM(Kalender!$E$5:$E$370),0)),0)</f>
        <v>2.04</v>
      </c>
      <c r="E182" s="13" t="n">
        <f aca="false">IF(Prüfungen!$B$4=0,(IFERROR(SUMIF(Nutzungsprofile!$B$17:$B$22,"Schulbetrieb",Nutzungsprofile!$G$17:$G$22)*Kalender!C182/SUM(Kalender!$C$5:$C$370),0)+IFERROR(SUMIF(Nutzungsprofile!$B$17:$B$22,"Halle",Nutzungsprofile!$G$17:$G$22)*Kalender!D182/SUM(Kalender!$D$5:$D$370),0)+IFERROR(SUMIF(Nutzungsprofile!$B$17:$B$22,"Individuell",Nutzungsprofile!$G$17:$G$22)*Kalender!E182/SUM(Kalender!$E$5:$E$370),0)),0)</f>
        <v>0.89</v>
      </c>
      <c r="F182" s="13" t="n">
        <f aca="false">IFERROR(MIN(D182,Eingaben!$B$17)*Eingaben!$B$16,0)</f>
        <v>1.938</v>
      </c>
      <c r="G182" s="13" t="n">
        <f aca="false">IFERROR(F182*Eingaben!$B$15,0)</f>
        <v>1.7442</v>
      </c>
      <c r="H182" s="13" t="n">
        <f aca="false">IFERROR(Q182*(1-Eingaben!$B$20),0)</f>
        <v>0.7390278</v>
      </c>
      <c r="I182" s="13" t="n">
        <f aca="false">MIN(H182,E182)</f>
        <v>0.7390278</v>
      </c>
      <c r="J182" s="13" t="n">
        <f aca="false">IFERROR(MIN(G182*Eingaben!$B$19,MAX(0,E182-I182)),0)</f>
        <v>0.1509722</v>
      </c>
      <c r="K182" s="13" t="n">
        <f aca="false">IFERROR(MIN(Eingaben!$B$18,MAX(0,G182-J182)),0)</f>
        <v>1.5932278</v>
      </c>
      <c r="L182" s="13" t="n">
        <f aca="false">I182+J182</f>
        <v>0.89</v>
      </c>
      <c r="M182" s="13" t="n">
        <f aca="false">MAX(0,E182-L182)</f>
        <v>0</v>
      </c>
      <c r="N182" s="13" t="n">
        <f aca="false">MAX(0,G182-J182-K182)</f>
        <v>0</v>
      </c>
      <c r="O182" s="13" t="n">
        <f aca="false">Q182-I182</f>
        <v>0.0150822</v>
      </c>
      <c r="P182" s="13" t="n">
        <f aca="false">G182+Q182-L182-N182-O182-K182</f>
        <v>0</v>
      </c>
      <c r="Q182" s="13" t="n">
        <f aca="false">IF(A182="",0,K181)</f>
        <v>0.75411</v>
      </c>
    </row>
    <row r="183" customFormat="false" ht="16.4" hidden="false" customHeight="false" outlineLevel="0" collapsed="false">
      <c r="A183" s="23" t="n">
        <f aca="false">Kalender!A183</f>
        <v>46201</v>
      </c>
      <c r="B183" s="13" t="n">
        <f aca="false">Kalender!C183</f>
        <v>0</v>
      </c>
      <c r="C183" s="13" t="n">
        <f aca="false">Kalender!D183</f>
        <v>1</v>
      </c>
      <c r="D183" s="13" t="n">
        <f aca="false">IF(Prüfungen!$B$4=0,(IFERROR(SUMIF(Nutzungsprofile!$B$6:$B$11,"Schulbetrieb",Nutzungsprofile!$G$6:$G$11)*Kalender!C183/SUM(Kalender!$C$5:$C$370),0)+IFERROR(SUMIF(Nutzungsprofile!$B$6:$B$11,"Halle",Nutzungsprofile!$G$6:$G$11)*Kalender!D183/SUM(Kalender!$D$5:$D$370),0)+IFERROR(SUMIF(Nutzungsprofile!$B$6:$B$11,"Individuell",Nutzungsprofile!$G$6:$G$11)*Kalender!E183/SUM(Kalender!$E$5:$E$370),0)),0)</f>
        <v>2.04</v>
      </c>
      <c r="E183" s="13" t="n">
        <f aca="false">IF(Prüfungen!$B$4=0,(IFERROR(SUMIF(Nutzungsprofile!$B$17:$B$22,"Schulbetrieb",Nutzungsprofile!$G$17:$G$22)*Kalender!C183/SUM(Kalender!$C$5:$C$370),0)+IFERROR(SUMIF(Nutzungsprofile!$B$17:$B$22,"Halle",Nutzungsprofile!$G$17:$G$22)*Kalender!D183/SUM(Kalender!$D$5:$D$370),0)+IFERROR(SUMIF(Nutzungsprofile!$B$17:$B$22,"Individuell",Nutzungsprofile!$G$17:$G$22)*Kalender!E183/SUM(Kalender!$E$5:$E$370),0)),0)</f>
        <v>0.89</v>
      </c>
      <c r="F183" s="13" t="n">
        <f aca="false">IFERROR(MIN(D183,Eingaben!$B$17)*Eingaben!$B$16,0)</f>
        <v>1.938</v>
      </c>
      <c r="G183" s="13" t="n">
        <f aca="false">IFERROR(F183*Eingaben!$B$15,0)</f>
        <v>1.7442</v>
      </c>
      <c r="H183" s="13" t="n">
        <f aca="false">IFERROR(Q183*(1-Eingaben!$B$20),0)</f>
        <v>1.561363244</v>
      </c>
      <c r="I183" s="13" t="n">
        <f aca="false">MIN(H183,E183)</f>
        <v>0.89</v>
      </c>
      <c r="J183" s="13" t="n">
        <f aca="false">IFERROR(MIN(G183*Eingaben!$B$19,MAX(0,E183-I183)),0)</f>
        <v>0</v>
      </c>
      <c r="K183" s="13" t="n">
        <f aca="false">IFERROR(MIN(Eingaben!$B$18,MAX(0,G183-J183)),0)</f>
        <v>1.7442</v>
      </c>
      <c r="L183" s="13" t="n">
        <f aca="false">I183+J183</f>
        <v>0.89</v>
      </c>
      <c r="M183" s="13" t="n">
        <f aca="false">MAX(0,E183-L183)</f>
        <v>0</v>
      </c>
      <c r="N183" s="13" t="n">
        <f aca="false">MAX(0,G183-J183-K183)</f>
        <v>0</v>
      </c>
      <c r="O183" s="13" t="n">
        <f aca="false">Q183-I183</f>
        <v>0.7032278</v>
      </c>
      <c r="P183" s="13" t="n">
        <f aca="false">G183+Q183-L183-N183-O183-K183</f>
        <v>0</v>
      </c>
      <c r="Q183" s="13" t="n">
        <f aca="false">IF(A183="",0,K182)</f>
        <v>1.5932278</v>
      </c>
    </row>
    <row r="184" customFormat="false" ht="16.4" hidden="false" customHeight="false" outlineLevel="0" collapsed="false">
      <c r="A184" s="23" t="n">
        <f aca="false">Kalender!A184</f>
        <v>46202</v>
      </c>
      <c r="B184" s="13" t="n">
        <f aca="false">Kalender!C184</f>
        <v>1</v>
      </c>
      <c r="C184" s="13" t="n">
        <f aca="false">Kalender!D184</f>
        <v>1</v>
      </c>
      <c r="D184" s="13" t="n">
        <f aca="false">IF(Prüfungen!$B$4=0,(IFERROR(SUMIF(Nutzungsprofile!$B$6:$B$11,"Schulbetrieb",Nutzungsprofile!$G$6:$G$11)*Kalender!C184/SUM(Kalender!$C$5:$C$370),0)+IFERROR(SUMIF(Nutzungsprofile!$B$6:$B$11,"Halle",Nutzungsprofile!$G$6:$G$11)*Kalender!D184/SUM(Kalender!$D$5:$D$370),0)+IFERROR(SUMIF(Nutzungsprofile!$B$6:$B$11,"Individuell",Nutzungsprofile!$G$6:$G$11)*Kalender!E184/SUM(Kalender!$E$5:$E$370),0)),0)</f>
        <v>2.94</v>
      </c>
      <c r="E184" s="13" t="n">
        <f aca="false">IF(Prüfungen!$B$4=0,(IFERROR(SUMIF(Nutzungsprofile!$B$17:$B$22,"Schulbetrieb",Nutzungsprofile!$G$17:$G$22)*Kalender!C184/SUM(Kalender!$C$5:$C$370),0)+IFERROR(SUMIF(Nutzungsprofile!$B$17:$B$22,"Halle",Nutzungsprofile!$G$17:$G$22)*Kalender!D184/SUM(Kalender!$D$5:$D$370),0)+IFERROR(SUMIF(Nutzungsprofile!$B$17:$B$22,"Individuell",Nutzungsprofile!$G$17:$G$22)*Kalender!E184/SUM(Kalender!$E$5:$E$370),0)),0)</f>
        <v>4.94</v>
      </c>
      <c r="F184" s="13" t="n">
        <f aca="false">IFERROR(MIN(D184,Eingaben!$B$17)*Eingaben!$B$16,0)</f>
        <v>2.793</v>
      </c>
      <c r="G184" s="13" t="n">
        <f aca="false">IFERROR(F184*Eingaben!$B$15,0)</f>
        <v>2.5137</v>
      </c>
      <c r="H184" s="13" t="n">
        <f aca="false">IFERROR(Q184*(1-Eingaben!$B$20),0)</f>
        <v>1.709316</v>
      </c>
      <c r="I184" s="13" t="n">
        <f aca="false">MIN(H184,E184)</f>
        <v>1.709316</v>
      </c>
      <c r="J184" s="13" t="n">
        <f aca="false">IFERROR(MIN(G184*Eingaben!$B$19,MAX(0,E184-I184)),0)</f>
        <v>1.75959</v>
      </c>
      <c r="K184" s="13" t="n">
        <f aca="false">IFERROR(MIN(Eingaben!$B$18,MAX(0,G184-J184)),0)</f>
        <v>0.75411</v>
      </c>
      <c r="L184" s="13" t="n">
        <f aca="false">I184+J184</f>
        <v>3.468906</v>
      </c>
      <c r="M184" s="13" t="n">
        <f aca="false">MAX(0,E184-L184)</f>
        <v>1.471094</v>
      </c>
      <c r="N184" s="13" t="n">
        <f aca="false">MAX(0,G184-J184-K184)</f>
        <v>0</v>
      </c>
      <c r="O184" s="13" t="n">
        <f aca="false">Q184-I184</f>
        <v>0.0348840000000001</v>
      </c>
      <c r="P184" s="13" t="n">
        <f aca="false">G184+Q184-L184-N184-O184-K184</f>
        <v>0</v>
      </c>
      <c r="Q184" s="13" t="n">
        <f aca="false">IF(A184="",0,K183)</f>
        <v>1.7442</v>
      </c>
    </row>
    <row r="185" customFormat="false" ht="16.4" hidden="false" customHeight="false" outlineLevel="0" collapsed="false">
      <c r="A185" s="23" t="n">
        <f aca="false">Kalender!A185</f>
        <v>46203</v>
      </c>
      <c r="B185" s="13" t="n">
        <f aca="false">Kalender!C185</f>
        <v>1</v>
      </c>
      <c r="C185" s="13" t="n">
        <f aca="false">Kalender!D185</f>
        <v>1</v>
      </c>
      <c r="D185" s="13" t="n">
        <f aca="false">IF(Prüfungen!$B$4=0,(IFERROR(SUMIF(Nutzungsprofile!$B$6:$B$11,"Schulbetrieb",Nutzungsprofile!$G$6:$G$11)*Kalender!C185/SUM(Kalender!$C$5:$C$370),0)+IFERROR(SUMIF(Nutzungsprofile!$B$6:$B$11,"Halle",Nutzungsprofile!$G$6:$G$11)*Kalender!D185/SUM(Kalender!$D$5:$D$370),0)+IFERROR(SUMIF(Nutzungsprofile!$B$6:$B$11,"Individuell",Nutzungsprofile!$G$6:$G$11)*Kalender!E185/SUM(Kalender!$E$5:$E$370),0)),0)</f>
        <v>2.94</v>
      </c>
      <c r="E185" s="13" t="n">
        <f aca="false">IF(Prüfungen!$B$4=0,(IFERROR(SUMIF(Nutzungsprofile!$B$17:$B$22,"Schulbetrieb",Nutzungsprofile!$G$17:$G$22)*Kalender!C185/SUM(Kalender!$C$5:$C$370),0)+IFERROR(SUMIF(Nutzungsprofile!$B$17:$B$22,"Halle",Nutzungsprofile!$G$17:$G$22)*Kalender!D185/SUM(Kalender!$D$5:$D$370),0)+IFERROR(SUMIF(Nutzungsprofile!$B$17:$B$22,"Individuell",Nutzungsprofile!$G$17:$G$22)*Kalender!E185/SUM(Kalender!$E$5:$E$370),0)),0)</f>
        <v>4.94</v>
      </c>
      <c r="F185" s="13" t="n">
        <f aca="false">IFERROR(MIN(D185,Eingaben!$B$17)*Eingaben!$B$16,0)</f>
        <v>2.793</v>
      </c>
      <c r="G185" s="13" t="n">
        <f aca="false">IFERROR(F185*Eingaben!$B$15,0)</f>
        <v>2.5137</v>
      </c>
      <c r="H185" s="13" t="n">
        <f aca="false">IFERROR(Q185*(1-Eingaben!$B$20),0)</f>
        <v>0.7390278</v>
      </c>
      <c r="I185" s="13" t="n">
        <f aca="false">MIN(H185,E185)</f>
        <v>0.7390278</v>
      </c>
      <c r="J185" s="13" t="n">
        <f aca="false">IFERROR(MIN(G185*Eingaben!$B$19,MAX(0,E185-I185)),0)</f>
        <v>1.75959</v>
      </c>
      <c r="K185" s="13" t="n">
        <f aca="false">IFERROR(MIN(Eingaben!$B$18,MAX(0,G185-J185)),0)</f>
        <v>0.75411</v>
      </c>
      <c r="L185" s="13" t="n">
        <f aca="false">I185+J185</f>
        <v>2.4986178</v>
      </c>
      <c r="M185" s="13" t="n">
        <f aca="false">MAX(0,E185-L185)</f>
        <v>2.4413822</v>
      </c>
      <c r="N185" s="13" t="n">
        <f aca="false">MAX(0,G185-J185-K185)</f>
        <v>0</v>
      </c>
      <c r="O185" s="13" t="n">
        <f aca="false">Q185-I185</f>
        <v>0.0150822</v>
      </c>
      <c r="P185" s="13" t="n">
        <f aca="false">G185+Q185-L185-N185-O185-K185</f>
        <v>0</v>
      </c>
      <c r="Q185" s="13" t="n">
        <f aca="false">IF(A185="",0,K184)</f>
        <v>0.75411</v>
      </c>
    </row>
    <row r="186" customFormat="false" ht="16.4" hidden="false" customHeight="false" outlineLevel="0" collapsed="false">
      <c r="A186" s="23" t="n">
        <f aca="false">Kalender!A186</f>
        <v>46204</v>
      </c>
      <c r="B186" s="13" t="n">
        <f aca="false">Kalender!C186</f>
        <v>0</v>
      </c>
      <c r="C186" s="13" t="n">
        <f aca="false">Kalender!D186</f>
        <v>1</v>
      </c>
      <c r="D186" s="13" t="n">
        <f aca="false">IF(Prüfungen!$B$4=0,(IFERROR(SUMIF(Nutzungsprofile!$B$6:$B$11,"Schulbetrieb",Nutzungsprofile!$G$6:$G$11)*Kalender!C186/SUM(Kalender!$C$5:$C$370),0)+IFERROR(SUMIF(Nutzungsprofile!$B$6:$B$11,"Halle",Nutzungsprofile!$G$6:$G$11)*Kalender!D186/SUM(Kalender!$D$5:$D$370),0)+IFERROR(SUMIF(Nutzungsprofile!$B$6:$B$11,"Individuell",Nutzungsprofile!$G$6:$G$11)*Kalender!E186/SUM(Kalender!$E$5:$E$370),0)),0)</f>
        <v>2.04</v>
      </c>
      <c r="E186" s="13" t="n">
        <f aca="false">IF(Prüfungen!$B$4=0,(IFERROR(SUMIF(Nutzungsprofile!$B$17:$B$22,"Schulbetrieb",Nutzungsprofile!$G$17:$G$22)*Kalender!C186/SUM(Kalender!$C$5:$C$370),0)+IFERROR(SUMIF(Nutzungsprofile!$B$17:$B$22,"Halle",Nutzungsprofile!$G$17:$G$22)*Kalender!D186/SUM(Kalender!$D$5:$D$370),0)+IFERROR(SUMIF(Nutzungsprofile!$B$17:$B$22,"Individuell",Nutzungsprofile!$G$17:$G$22)*Kalender!E186/SUM(Kalender!$E$5:$E$370),0)),0)</f>
        <v>0.89</v>
      </c>
      <c r="F186" s="13" t="n">
        <f aca="false">IFERROR(MIN(D186,Eingaben!$B$17)*Eingaben!$B$16,0)</f>
        <v>1.938</v>
      </c>
      <c r="G186" s="13" t="n">
        <f aca="false">IFERROR(F186*Eingaben!$B$15,0)</f>
        <v>1.7442</v>
      </c>
      <c r="H186" s="13" t="n">
        <f aca="false">IFERROR(Q186*(1-Eingaben!$B$20),0)</f>
        <v>0.7390278</v>
      </c>
      <c r="I186" s="13" t="n">
        <f aca="false">MIN(H186,E186)</f>
        <v>0.7390278</v>
      </c>
      <c r="J186" s="13" t="n">
        <f aca="false">IFERROR(MIN(G186*Eingaben!$B$19,MAX(0,E186-I186)),0)</f>
        <v>0.1509722</v>
      </c>
      <c r="K186" s="13" t="n">
        <f aca="false">IFERROR(MIN(Eingaben!$B$18,MAX(0,G186-J186)),0)</f>
        <v>1.5932278</v>
      </c>
      <c r="L186" s="13" t="n">
        <f aca="false">I186+J186</f>
        <v>0.89</v>
      </c>
      <c r="M186" s="13" t="n">
        <f aca="false">MAX(0,E186-L186)</f>
        <v>0</v>
      </c>
      <c r="N186" s="13" t="n">
        <f aca="false">MAX(0,G186-J186-K186)</f>
        <v>0</v>
      </c>
      <c r="O186" s="13" t="n">
        <f aca="false">Q186-I186</f>
        <v>0.0150822</v>
      </c>
      <c r="P186" s="13" t="n">
        <f aca="false">G186+Q186-L186-N186-O186-K186</f>
        <v>0</v>
      </c>
      <c r="Q186" s="13" t="n">
        <f aca="false">IF(A186="",0,K185)</f>
        <v>0.75411</v>
      </c>
    </row>
    <row r="187" customFormat="false" ht="16.4" hidden="false" customHeight="false" outlineLevel="0" collapsed="false">
      <c r="A187" s="23" t="n">
        <f aca="false">Kalender!A187</f>
        <v>46205</v>
      </c>
      <c r="B187" s="13" t="n">
        <f aca="false">Kalender!C187</f>
        <v>0</v>
      </c>
      <c r="C187" s="13" t="n">
        <f aca="false">Kalender!D187</f>
        <v>1</v>
      </c>
      <c r="D187" s="13" t="n">
        <f aca="false">IF(Prüfungen!$B$4=0,(IFERROR(SUMIF(Nutzungsprofile!$B$6:$B$11,"Schulbetrieb",Nutzungsprofile!$G$6:$G$11)*Kalender!C187/SUM(Kalender!$C$5:$C$370),0)+IFERROR(SUMIF(Nutzungsprofile!$B$6:$B$11,"Halle",Nutzungsprofile!$G$6:$G$11)*Kalender!D187/SUM(Kalender!$D$5:$D$370),0)+IFERROR(SUMIF(Nutzungsprofile!$B$6:$B$11,"Individuell",Nutzungsprofile!$G$6:$G$11)*Kalender!E187/SUM(Kalender!$E$5:$E$370),0)),0)</f>
        <v>2.04</v>
      </c>
      <c r="E187" s="13" t="n">
        <f aca="false">IF(Prüfungen!$B$4=0,(IFERROR(SUMIF(Nutzungsprofile!$B$17:$B$22,"Schulbetrieb",Nutzungsprofile!$G$17:$G$22)*Kalender!C187/SUM(Kalender!$C$5:$C$370),0)+IFERROR(SUMIF(Nutzungsprofile!$B$17:$B$22,"Halle",Nutzungsprofile!$G$17:$G$22)*Kalender!D187/SUM(Kalender!$D$5:$D$370),0)+IFERROR(SUMIF(Nutzungsprofile!$B$17:$B$22,"Individuell",Nutzungsprofile!$G$17:$G$22)*Kalender!E187/SUM(Kalender!$E$5:$E$370),0)),0)</f>
        <v>0.89</v>
      </c>
      <c r="F187" s="13" t="n">
        <f aca="false">IFERROR(MIN(D187,Eingaben!$B$17)*Eingaben!$B$16,0)</f>
        <v>1.938</v>
      </c>
      <c r="G187" s="13" t="n">
        <f aca="false">IFERROR(F187*Eingaben!$B$15,0)</f>
        <v>1.7442</v>
      </c>
      <c r="H187" s="13" t="n">
        <f aca="false">IFERROR(Q187*(1-Eingaben!$B$20),0)</f>
        <v>1.561363244</v>
      </c>
      <c r="I187" s="13" t="n">
        <f aca="false">MIN(H187,E187)</f>
        <v>0.89</v>
      </c>
      <c r="J187" s="13" t="n">
        <f aca="false">IFERROR(MIN(G187*Eingaben!$B$19,MAX(0,E187-I187)),0)</f>
        <v>0</v>
      </c>
      <c r="K187" s="13" t="n">
        <f aca="false">IFERROR(MIN(Eingaben!$B$18,MAX(0,G187-J187)),0)</f>
        <v>1.7442</v>
      </c>
      <c r="L187" s="13" t="n">
        <f aca="false">I187+J187</f>
        <v>0.89</v>
      </c>
      <c r="M187" s="13" t="n">
        <f aca="false">MAX(0,E187-L187)</f>
        <v>0</v>
      </c>
      <c r="N187" s="13" t="n">
        <f aca="false">MAX(0,G187-J187-K187)</f>
        <v>0</v>
      </c>
      <c r="O187" s="13" t="n">
        <f aca="false">Q187-I187</f>
        <v>0.7032278</v>
      </c>
      <c r="P187" s="13" t="n">
        <f aca="false">G187+Q187-L187-N187-O187-K187</f>
        <v>0</v>
      </c>
      <c r="Q187" s="13" t="n">
        <f aca="false">IF(A187="",0,K186)</f>
        <v>1.5932278</v>
      </c>
    </row>
    <row r="188" customFormat="false" ht="16.4" hidden="false" customHeight="false" outlineLevel="0" collapsed="false">
      <c r="A188" s="23" t="n">
        <f aca="false">Kalender!A188</f>
        <v>46206</v>
      </c>
      <c r="B188" s="13" t="n">
        <f aca="false">Kalender!C188</f>
        <v>0</v>
      </c>
      <c r="C188" s="13" t="n">
        <f aca="false">Kalender!D188</f>
        <v>1</v>
      </c>
      <c r="D188" s="13" t="n">
        <f aca="false">IF(Prüfungen!$B$4=0,(IFERROR(SUMIF(Nutzungsprofile!$B$6:$B$11,"Schulbetrieb",Nutzungsprofile!$G$6:$G$11)*Kalender!C188/SUM(Kalender!$C$5:$C$370),0)+IFERROR(SUMIF(Nutzungsprofile!$B$6:$B$11,"Halle",Nutzungsprofile!$G$6:$G$11)*Kalender!D188/SUM(Kalender!$D$5:$D$370),0)+IFERROR(SUMIF(Nutzungsprofile!$B$6:$B$11,"Individuell",Nutzungsprofile!$G$6:$G$11)*Kalender!E188/SUM(Kalender!$E$5:$E$370),0)),0)</f>
        <v>2.04</v>
      </c>
      <c r="E188" s="13" t="n">
        <f aca="false">IF(Prüfungen!$B$4=0,(IFERROR(SUMIF(Nutzungsprofile!$B$17:$B$22,"Schulbetrieb",Nutzungsprofile!$G$17:$G$22)*Kalender!C188/SUM(Kalender!$C$5:$C$370),0)+IFERROR(SUMIF(Nutzungsprofile!$B$17:$B$22,"Halle",Nutzungsprofile!$G$17:$G$22)*Kalender!D188/SUM(Kalender!$D$5:$D$370),0)+IFERROR(SUMIF(Nutzungsprofile!$B$17:$B$22,"Individuell",Nutzungsprofile!$G$17:$G$22)*Kalender!E188/SUM(Kalender!$E$5:$E$370),0)),0)</f>
        <v>0.89</v>
      </c>
      <c r="F188" s="13" t="n">
        <f aca="false">IFERROR(MIN(D188,Eingaben!$B$17)*Eingaben!$B$16,0)</f>
        <v>1.938</v>
      </c>
      <c r="G188" s="13" t="n">
        <f aca="false">IFERROR(F188*Eingaben!$B$15,0)</f>
        <v>1.7442</v>
      </c>
      <c r="H188" s="13" t="n">
        <f aca="false">IFERROR(Q188*(1-Eingaben!$B$20),0)</f>
        <v>1.709316</v>
      </c>
      <c r="I188" s="13" t="n">
        <f aca="false">MIN(H188,E188)</f>
        <v>0.89</v>
      </c>
      <c r="J188" s="13" t="n">
        <f aca="false">IFERROR(MIN(G188*Eingaben!$B$19,MAX(0,E188-I188)),0)</f>
        <v>0</v>
      </c>
      <c r="K188" s="13" t="n">
        <f aca="false">IFERROR(MIN(Eingaben!$B$18,MAX(0,G188-J188)),0)</f>
        <v>1.7442</v>
      </c>
      <c r="L188" s="13" t="n">
        <f aca="false">I188+J188</f>
        <v>0.89</v>
      </c>
      <c r="M188" s="13" t="n">
        <f aca="false">MAX(0,E188-L188)</f>
        <v>0</v>
      </c>
      <c r="N188" s="13" t="n">
        <f aca="false">MAX(0,G188-J188-K188)</f>
        <v>0</v>
      </c>
      <c r="O188" s="13" t="n">
        <f aca="false">Q188-I188</f>
        <v>0.8542</v>
      </c>
      <c r="P188" s="13" t="n">
        <f aca="false">G188+Q188-L188-N188-O188-K188</f>
        <v>0</v>
      </c>
      <c r="Q188" s="13" t="n">
        <f aca="false">IF(A188="",0,K187)</f>
        <v>1.7442</v>
      </c>
    </row>
    <row r="189" customFormat="false" ht="16.4" hidden="false" customHeight="false" outlineLevel="0" collapsed="false">
      <c r="A189" s="23" t="n">
        <f aca="false">Kalender!A189</f>
        <v>46207</v>
      </c>
      <c r="B189" s="13" t="n">
        <f aca="false">Kalender!C189</f>
        <v>0</v>
      </c>
      <c r="C189" s="13" t="n">
        <f aca="false">Kalender!D189</f>
        <v>1</v>
      </c>
      <c r="D189" s="13" t="n">
        <f aca="false">IF(Prüfungen!$B$4=0,(IFERROR(SUMIF(Nutzungsprofile!$B$6:$B$11,"Schulbetrieb",Nutzungsprofile!$G$6:$G$11)*Kalender!C189/SUM(Kalender!$C$5:$C$370),0)+IFERROR(SUMIF(Nutzungsprofile!$B$6:$B$11,"Halle",Nutzungsprofile!$G$6:$G$11)*Kalender!D189/SUM(Kalender!$D$5:$D$370),0)+IFERROR(SUMIF(Nutzungsprofile!$B$6:$B$11,"Individuell",Nutzungsprofile!$G$6:$G$11)*Kalender!E189/SUM(Kalender!$E$5:$E$370),0)),0)</f>
        <v>2.04</v>
      </c>
      <c r="E189" s="13" t="n">
        <f aca="false">IF(Prüfungen!$B$4=0,(IFERROR(SUMIF(Nutzungsprofile!$B$17:$B$22,"Schulbetrieb",Nutzungsprofile!$G$17:$G$22)*Kalender!C189/SUM(Kalender!$C$5:$C$370),0)+IFERROR(SUMIF(Nutzungsprofile!$B$17:$B$22,"Halle",Nutzungsprofile!$G$17:$G$22)*Kalender!D189/SUM(Kalender!$D$5:$D$370),0)+IFERROR(SUMIF(Nutzungsprofile!$B$17:$B$22,"Individuell",Nutzungsprofile!$G$17:$G$22)*Kalender!E189/SUM(Kalender!$E$5:$E$370),0)),0)</f>
        <v>0.89</v>
      </c>
      <c r="F189" s="13" t="n">
        <f aca="false">IFERROR(MIN(D189,Eingaben!$B$17)*Eingaben!$B$16,0)</f>
        <v>1.938</v>
      </c>
      <c r="G189" s="13" t="n">
        <f aca="false">IFERROR(F189*Eingaben!$B$15,0)</f>
        <v>1.7442</v>
      </c>
      <c r="H189" s="13" t="n">
        <f aca="false">IFERROR(Q189*(1-Eingaben!$B$20),0)</f>
        <v>1.709316</v>
      </c>
      <c r="I189" s="13" t="n">
        <f aca="false">MIN(H189,E189)</f>
        <v>0.89</v>
      </c>
      <c r="J189" s="13" t="n">
        <f aca="false">IFERROR(MIN(G189*Eingaben!$B$19,MAX(0,E189-I189)),0)</f>
        <v>0</v>
      </c>
      <c r="K189" s="13" t="n">
        <f aca="false">IFERROR(MIN(Eingaben!$B$18,MAX(0,G189-J189)),0)</f>
        <v>1.7442</v>
      </c>
      <c r="L189" s="13" t="n">
        <f aca="false">I189+J189</f>
        <v>0.89</v>
      </c>
      <c r="M189" s="13" t="n">
        <f aca="false">MAX(0,E189-L189)</f>
        <v>0</v>
      </c>
      <c r="N189" s="13" t="n">
        <f aca="false">MAX(0,G189-J189-K189)</f>
        <v>0</v>
      </c>
      <c r="O189" s="13" t="n">
        <f aca="false">Q189-I189</f>
        <v>0.8542</v>
      </c>
      <c r="P189" s="13" t="n">
        <f aca="false">G189+Q189-L189-N189-O189-K189</f>
        <v>0</v>
      </c>
      <c r="Q189" s="13" t="n">
        <f aca="false">IF(A189="",0,K188)</f>
        <v>1.7442</v>
      </c>
    </row>
    <row r="190" customFormat="false" ht="16.4" hidden="false" customHeight="false" outlineLevel="0" collapsed="false">
      <c r="A190" s="23" t="n">
        <f aca="false">Kalender!A190</f>
        <v>46208</v>
      </c>
      <c r="B190" s="13" t="n">
        <f aca="false">Kalender!C190</f>
        <v>0</v>
      </c>
      <c r="C190" s="13" t="n">
        <f aca="false">Kalender!D190</f>
        <v>1</v>
      </c>
      <c r="D190" s="13" t="n">
        <f aca="false">IF(Prüfungen!$B$4=0,(IFERROR(SUMIF(Nutzungsprofile!$B$6:$B$11,"Schulbetrieb",Nutzungsprofile!$G$6:$G$11)*Kalender!C190/SUM(Kalender!$C$5:$C$370),0)+IFERROR(SUMIF(Nutzungsprofile!$B$6:$B$11,"Halle",Nutzungsprofile!$G$6:$G$11)*Kalender!D190/SUM(Kalender!$D$5:$D$370),0)+IFERROR(SUMIF(Nutzungsprofile!$B$6:$B$11,"Individuell",Nutzungsprofile!$G$6:$G$11)*Kalender!E190/SUM(Kalender!$E$5:$E$370),0)),0)</f>
        <v>2.04</v>
      </c>
      <c r="E190" s="13" t="n">
        <f aca="false">IF(Prüfungen!$B$4=0,(IFERROR(SUMIF(Nutzungsprofile!$B$17:$B$22,"Schulbetrieb",Nutzungsprofile!$G$17:$G$22)*Kalender!C190/SUM(Kalender!$C$5:$C$370),0)+IFERROR(SUMIF(Nutzungsprofile!$B$17:$B$22,"Halle",Nutzungsprofile!$G$17:$G$22)*Kalender!D190/SUM(Kalender!$D$5:$D$370),0)+IFERROR(SUMIF(Nutzungsprofile!$B$17:$B$22,"Individuell",Nutzungsprofile!$G$17:$G$22)*Kalender!E190/SUM(Kalender!$E$5:$E$370),0)),0)</f>
        <v>0.89</v>
      </c>
      <c r="F190" s="13" t="n">
        <f aca="false">IFERROR(MIN(D190,Eingaben!$B$17)*Eingaben!$B$16,0)</f>
        <v>1.938</v>
      </c>
      <c r="G190" s="13" t="n">
        <f aca="false">IFERROR(F190*Eingaben!$B$15,0)</f>
        <v>1.7442</v>
      </c>
      <c r="H190" s="13" t="n">
        <f aca="false">IFERROR(Q190*(1-Eingaben!$B$20),0)</f>
        <v>1.709316</v>
      </c>
      <c r="I190" s="13" t="n">
        <f aca="false">MIN(H190,E190)</f>
        <v>0.89</v>
      </c>
      <c r="J190" s="13" t="n">
        <f aca="false">IFERROR(MIN(G190*Eingaben!$B$19,MAX(0,E190-I190)),0)</f>
        <v>0</v>
      </c>
      <c r="K190" s="13" t="n">
        <f aca="false">IFERROR(MIN(Eingaben!$B$18,MAX(0,G190-J190)),0)</f>
        <v>1.7442</v>
      </c>
      <c r="L190" s="13" t="n">
        <f aca="false">I190+J190</f>
        <v>0.89</v>
      </c>
      <c r="M190" s="13" t="n">
        <f aca="false">MAX(0,E190-L190)</f>
        <v>0</v>
      </c>
      <c r="N190" s="13" t="n">
        <f aca="false">MAX(0,G190-J190-K190)</f>
        <v>0</v>
      </c>
      <c r="O190" s="13" t="n">
        <f aca="false">Q190-I190</f>
        <v>0.8542</v>
      </c>
      <c r="P190" s="13" t="n">
        <f aca="false">G190+Q190-L190-N190-O190-K190</f>
        <v>0</v>
      </c>
      <c r="Q190" s="13" t="n">
        <f aca="false">IF(A190="",0,K189)</f>
        <v>1.7442</v>
      </c>
    </row>
    <row r="191" customFormat="false" ht="16.4" hidden="false" customHeight="false" outlineLevel="0" collapsed="false">
      <c r="A191" s="23" t="n">
        <f aca="false">Kalender!A191</f>
        <v>46209</v>
      </c>
      <c r="B191" s="13" t="n">
        <f aca="false">Kalender!C191</f>
        <v>0</v>
      </c>
      <c r="C191" s="13" t="n">
        <f aca="false">Kalender!D191</f>
        <v>1</v>
      </c>
      <c r="D191" s="13" t="n">
        <f aca="false">IF(Prüfungen!$B$4=0,(IFERROR(SUMIF(Nutzungsprofile!$B$6:$B$11,"Schulbetrieb",Nutzungsprofile!$G$6:$G$11)*Kalender!C191/SUM(Kalender!$C$5:$C$370),0)+IFERROR(SUMIF(Nutzungsprofile!$B$6:$B$11,"Halle",Nutzungsprofile!$G$6:$G$11)*Kalender!D191/SUM(Kalender!$D$5:$D$370),0)+IFERROR(SUMIF(Nutzungsprofile!$B$6:$B$11,"Individuell",Nutzungsprofile!$G$6:$G$11)*Kalender!E191/SUM(Kalender!$E$5:$E$370),0)),0)</f>
        <v>2.04</v>
      </c>
      <c r="E191" s="13" t="n">
        <f aca="false">IF(Prüfungen!$B$4=0,(IFERROR(SUMIF(Nutzungsprofile!$B$17:$B$22,"Schulbetrieb",Nutzungsprofile!$G$17:$G$22)*Kalender!C191/SUM(Kalender!$C$5:$C$370),0)+IFERROR(SUMIF(Nutzungsprofile!$B$17:$B$22,"Halle",Nutzungsprofile!$G$17:$G$22)*Kalender!D191/SUM(Kalender!$D$5:$D$370),0)+IFERROR(SUMIF(Nutzungsprofile!$B$17:$B$22,"Individuell",Nutzungsprofile!$G$17:$G$22)*Kalender!E191/SUM(Kalender!$E$5:$E$370),0)),0)</f>
        <v>0.89</v>
      </c>
      <c r="F191" s="13" t="n">
        <f aca="false">IFERROR(MIN(D191,Eingaben!$B$17)*Eingaben!$B$16,0)</f>
        <v>1.938</v>
      </c>
      <c r="G191" s="13" t="n">
        <f aca="false">IFERROR(F191*Eingaben!$B$15,0)</f>
        <v>1.7442</v>
      </c>
      <c r="H191" s="13" t="n">
        <f aca="false">IFERROR(Q191*(1-Eingaben!$B$20),0)</f>
        <v>1.709316</v>
      </c>
      <c r="I191" s="13" t="n">
        <f aca="false">MIN(H191,E191)</f>
        <v>0.89</v>
      </c>
      <c r="J191" s="13" t="n">
        <f aca="false">IFERROR(MIN(G191*Eingaben!$B$19,MAX(0,E191-I191)),0)</f>
        <v>0</v>
      </c>
      <c r="K191" s="13" t="n">
        <f aca="false">IFERROR(MIN(Eingaben!$B$18,MAX(0,G191-J191)),0)</f>
        <v>1.7442</v>
      </c>
      <c r="L191" s="13" t="n">
        <f aca="false">I191+J191</f>
        <v>0.89</v>
      </c>
      <c r="M191" s="13" t="n">
        <f aca="false">MAX(0,E191-L191)</f>
        <v>0</v>
      </c>
      <c r="N191" s="13" t="n">
        <f aca="false">MAX(0,G191-J191-K191)</f>
        <v>0</v>
      </c>
      <c r="O191" s="13" t="n">
        <f aca="false">Q191-I191</f>
        <v>0.8542</v>
      </c>
      <c r="P191" s="13" t="n">
        <f aca="false">G191+Q191-L191-N191-O191-K191</f>
        <v>0</v>
      </c>
      <c r="Q191" s="13" t="n">
        <f aca="false">IF(A191="",0,K190)</f>
        <v>1.7442</v>
      </c>
    </row>
    <row r="192" customFormat="false" ht="16.4" hidden="false" customHeight="false" outlineLevel="0" collapsed="false">
      <c r="A192" s="23" t="n">
        <f aca="false">Kalender!A192</f>
        <v>46210</v>
      </c>
      <c r="B192" s="13" t="n">
        <f aca="false">Kalender!C192</f>
        <v>0</v>
      </c>
      <c r="C192" s="13" t="n">
        <f aca="false">Kalender!D192</f>
        <v>1</v>
      </c>
      <c r="D192" s="13" t="n">
        <f aca="false">IF(Prüfungen!$B$4=0,(IFERROR(SUMIF(Nutzungsprofile!$B$6:$B$11,"Schulbetrieb",Nutzungsprofile!$G$6:$G$11)*Kalender!C192/SUM(Kalender!$C$5:$C$370),0)+IFERROR(SUMIF(Nutzungsprofile!$B$6:$B$11,"Halle",Nutzungsprofile!$G$6:$G$11)*Kalender!D192/SUM(Kalender!$D$5:$D$370),0)+IFERROR(SUMIF(Nutzungsprofile!$B$6:$B$11,"Individuell",Nutzungsprofile!$G$6:$G$11)*Kalender!E192/SUM(Kalender!$E$5:$E$370),0)),0)</f>
        <v>2.04</v>
      </c>
      <c r="E192" s="13" t="n">
        <f aca="false">IF(Prüfungen!$B$4=0,(IFERROR(SUMIF(Nutzungsprofile!$B$17:$B$22,"Schulbetrieb",Nutzungsprofile!$G$17:$G$22)*Kalender!C192/SUM(Kalender!$C$5:$C$370),0)+IFERROR(SUMIF(Nutzungsprofile!$B$17:$B$22,"Halle",Nutzungsprofile!$G$17:$G$22)*Kalender!D192/SUM(Kalender!$D$5:$D$370),0)+IFERROR(SUMIF(Nutzungsprofile!$B$17:$B$22,"Individuell",Nutzungsprofile!$G$17:$G$22)*Kalender!E192/SUM(Kalender!$E$5:$E$370),0)),0)</f>
        <v>0.89</v>
      </c>
      <c r="F192" s="13" t="n">
        <f aca="false">IFERROR(MIN(D192,Eingaben!$B$17)*Eingaben!$B$16,0)</f>
        <v>1.938</v>
      </c>
      <c r="G192" s="13" t="n">
        <f aca="false">IFERROR(F192*Eingaben!$B$15,0)</f>
        <v>1.7442</v>
      </c>
      <c r="H192" s="13" t="n">
        <f aca="false">IFERROR(Q192*(1-Eingaben!$B$20),0)</f>
        <v>1.709316</v>
      </c>
      <c r="I192" s="13" t="n">
        <f aca="false">MIN(H192,E192)</f>
        <v>0.89</v>
      </c>
      <c r="J192" s="13" t="n">
        <f aca="false">IFERROR(MIN(G192*Eingaben!$B$19,MAX(0,E192-I192)),0)</f>
        <v>0</v>
      </c>
      <c r="K192" s="13" t="n">
        <f aca="false">IFERROR(MIN(Eingaben!$B$18,MAX(0,G192-J192)),0)</f>
        <v>1.7442</v>
      </c>
      <c r="L192" s="13" t="n">
        <f aca="false">I192+J192</f>
        <v>0.89</v>
      </c>
      <c r="M192" s="13" t="n">
        <f aca="false">MAX(0,E192-L192)</f>
        <v>0</v>
      </c>
      <c r="N192" s="13" t="n">
        <f aca="false">MAX(0,G192-J192-K192)</f>
        <v>0</v>
      </c>
      <c r="O192" s="13" t="n">
        <f aca="false">Q192-I192</f>
        <v>0.8542</v>
      </c>
      <c r="P192" s="13" t="n">
        <f aca="false">G192+Q192-L192-N192-O192-K192</f>
        <v>0</v>
      </c>
      <c r="Q192" s="13" t="n">
        <f aca="false">IF(A192="",0,K191)</f>
        <v>1.7442</v>
      </c>
    </row>
    <row r="193" customFormat="false" ht="16.4" hidden="false" customHeight="false" outlineLevel="0" collapsed="false">
      <c r="A193" s="23" t="n">
        <f aca="false">Kalender!A193</f>
        <v>46211</v>
      </c>
      <c r="B193" s="13" t="n">
        <f aca="false">Kalender!C193</f>
        <v>0</v>
      </c>
      <c r="C193" s="13" t="n">
        <f aca="false">Kalender!D193</f>
        <v>1</v>
      </c>
      <c r="D193" s="13" t="n">
        <f aca="false">IF(Prüfungen!$B$4=0,(IFERROR(SUMIF(Nutzungsprofile!$B$6:$B$11,"Schulbetrieb",Nutzungsprofile!$G$6:$G$11)*Kalender!C193/SUM(Kalender!$C$5:$C$370),0)+IFERROR(SUMIF(Nutzungsprofile!$B$6:$B$11,"Halle",Nutzungsprofile!$G$6:$G$11)*Kalender!D193/SUM(Kalender!$D$5:$D$370),0)+IFERROR(SUMIF(Nutzungsprofile!$B$6:$B$11,"Individuell",Nutzungsprofile!$G$6:$G$11)*Kalender!E193/SUM(Kalender!$E$5:$E$370),0)),0)</f>
        <v>2.04</v>
      </c>
      <c r="E193" s="13" t="n">
        <f aca="false">IF(Prüfungen!$B$4=0,(IFERROR(SUMIF(Nutzungsprofile!$B$17:$B$22,"Schulbetrieb",Nutzungsprofile!$G$17:$G$22)*Kalender!C193/SUM(Kalender!$C$5:$C$370),0)+IFERROR(SUMIF(Nutzungsprofile!$B$17:$B$22,"Halle",Nutzungsprofile!$G$17:$G$22)*Kalender!D193/SUM(Kalender!$D$5:$D$370),0)+IFERROR(SUMIF(Nutzungsprofile!$B$17:$B$22,"Individuell",Nutzungsprofile!$G$17:$G$22)*Kalender!E193/SUM(Kalender!$E$5:$E$370),0)),0)</f>
        <v>0.89</v>
      </c>
      <c r="F193" s="13" t="n">
        <f aca="false">IFERROR(MIN(D193,Eingaben!$B$17)*Eingaben!$B$16,0)</f>
        <v>1.938</v>
      </c>
      <c r="G193" s="13" t="n">
        <f aca="false">IFERROR(F193*Eingaben!$B$15,0)</f>
        <v>1.7442</v>
      </c>
      <c r="H193" s="13" t="n">
        <f aca="false">IFERROR(Q193*(1-Eingaben!$B$20),0)</f>
        <v>1.709316</v>
      </c>
      <c r="I193" s="13" t="n">
        <f aca="false">MIN(H193,E193)</f>
        <v>0.89</v>
      </c>
      <c r="J193" s="13" t="n">
        <f aca="false">IFERROR(MIN(G193*Eingaben!$B$19,MAX(0,E193-I193)),0)</f>
        <v>0</v>
      </c>
      <c r="K193" s="13" t="n">
        <f aca="false">IFERROR(MIN(Eingaben!$B$18,MAX(0,G193-J193)),0)</f>
        <v>1.7442</v>
      </c>
      <c r="L193" s="13" t="n">
        <f aca="false">I193+J193</f>
        <v>0.89</v>
      </c>
      <c r="M193" s="13" t="n">
        <f aca="false">MAX(0,E193-L193)</f>
        <v>0</v>
      </c>
      <c r="N193" s="13" t="n">
        <f aca="false">MAX(0,G193-J193-K193)</f>
        <v>0</v>
      </c>
      <c r="O193" s="13" t="n">
        <f aca="false">Q193-I193</f>
        <v>0.8542</v>
      </c>
      <c r="P193" s="13" t="n">
        <f aca="false">G193+Q193-L193-N193-O193-K193</f>
        <v>0</v>
      </c>
      <c r="Q193" s="13" t="n">
        <f aca="false">IF(A193="",0,K192)</f>
        <v>1.7442</v>
      </c>
    </row>
    <row r="194" customFormat="false" ht="16.4" hidden="false" customHeight="false" outlineLevel="0" collapsed="false">
      <c r="A194" s="23" t="n">
        <f aca="false">Kalender!A194</f>
        <v>46212</v>
      </c>
      <c r="B194" s="13" t="n">
        <f aca="false">Kalender!C194</f>
        <v>0</v>
      </c>
      <c r="C194" s="13" t="n">
        <f aca="false">Kalender!D194</f>
        <v>1</v>
      </c>
      <c r="D194" s="13" t="n">
        <f aca="false">IF(Prüfungen!$B$4=0,(IFERROR(SUMIF(Nutzungsprofile!$B$6:$B$11,"Schulbetrieb",Nutzungsprofile!$G$6:$G$11)*Kalender!C194/SUM(Kalender!$C$5:$C$370),0)+IFERROR(SUMIF(Nutzungsprofile!$B$6:$B$11,"Halle",Nutzungsprofile!$G$6:$G$11)*Kalender!D194/SUM(Kalender!$D$5:$D$370),0)+IFERROR(SUMIF(Nutzungsprofile!$B$6:$B$11,"Individuell",Nutzungsprofile!$G$6:$G$11)*Kalender!E194/SUM(Kalender!$E$5:$E$370),0)),0)</f>
        <v>2.04</v>
      </c>
      <c r="E194" s="13" t="n">
        <f aca="false">IF(Prüfungen!$B$4=0,(IFERROR(SUMIF(Nutzungsprofile!$B$17:$B$22,"Schulbetrieb",Nutzungsprofile!$G$17:$G$22)*Kalender!C194/SUM(Kalender!$C$5:$C$370),0)+IFERROR(SUMIF(Nutzungsprofile!$B$17:$B$22,"Halle",Nutzungsprofile!$G$17:$G$22)*Kalender!D194/SUM(Kalender!$D$5:$D$370),0)+IFERROR(SUMIF(Nutzungsprofile!$B$17:$B$22,"Individuell",Nutzungsprofile!$G$17:$G$22)*Kalender!E194/SUM(Kalender!$E$5:$E$370),0)),0)</f>
        <v>0.89</v>
      </c>
      <c r="F194" s="13" t="n">
        <f aca="false">IFERROR(MIN(D194,Eingaben!$B$17)*Eingaben!$B$16,0)</f>
        <v>1.938</v>
      </c>
      <c r="G194" s="13" t="n">
        <f aca="false">IFERROR(F194*Eingaben!$B$15,0)</f>
        <v>1.7442</v>
      </c>
      <c r="H194" s="13" t="n">
        <f aca="false">IFERROR(Q194*(1-Eingaben!$B$20),0)</f>
        <v>1.709316</v>
      </c>
      <c r="I194" s="13" t="n">
        <f aca="false">MIN(H194,E194)</f>
        <v>0.89</v>
      </c>
      <c r="J194" s="13" t="n">
        <f aca="false">IFERROR(MIN(G194*Eingaben!$B$19,MAX(0,E194-I194)),0)</f>
        <v>0</v>
      </c>
      <c r="K194" s="13" t="n">
        <f aca="false">IFERROR(MIN(Eingaben!$B$18,MAX(0,G194-J194)),0)</f>
        <v>1.7442</v>
      </c>
      <c r="L194" s="13" t="n">
        <f aca="false">I194+J194</f>
        <v>0.89</v>
      </c>
      <c r="M194" s="13" t="n">
        <f aca="false">MAX(0,E194-L194)</f>
        <v>0</v>
      </c>
      <c r="N194" s="13" t="n">
        <f aca="false">MAX(0,G194-J194-K194)</f>
        <v>0</v>
      </c>
      <c r="O194" s="13" t="n">
        <f aca="false">Q194-I194</f>
        <v>0.8542</v>
      </c>
      <c r="P194" s="13" t="n">
        <f aca="false">G194+Q194-L194-N194-O194-K194</f>
        <v>0</v>
      </c>
      <c r="Q194" s="13" t="n">
        <f aca="false">IF(A194="",0,K193)</f>
        <v>1.7442</v>
      </c>
    </row>
    <row r="195" customFormat="false" ht="16.4" hidden="false" customHeight="false" outlineLevel="0" collapsed="false">
      <c r="A195" s="23" t="n">
        <f aca="false">Kalender!A195</f>
        <v>46213</v>
      </c>
      <c r="B195" s="13" t="n">
        <f aca="false">Kalender!C195</f>
        <v>0</v>
      </c>
      <c r="C195" s="13" t="n">
        <f aca="false">Kalender!D195</f>
        <v>1</v>
      </c>
      <c r="D195" s="13" t="n">
        <f aca="false">IF(Prüfungen!$B$4=0,(IFERROR(SUMIF(Nutzungsprofile!$B$6:$B$11,"Schulbetrieb",Nutzungsprofile!$G$6:$G$11)*Kalender!C195/SUM(Kalender!$C$5:$C$370),0)+IFERROR(SUMIF(Nutzungsprofile!$B$6:$B$11,"Halle",Nutzungsprofile!$G$6:$G$11)*Kalender!D195/SUM(Kalender!$D$5:$D$370),0)+IFERROR(SUMIF(Nutzungsprofile!$B$6:$B$11,"Individuell",Nutzungsprofile!$G$6:$G$11)*Kalender!E195/SUM(Kalender!$E$5:$E$370),0)),0)</f>
        <v>2.04</v>
      </c>
      <c r="E195" s="13" t="n">
        <f aca="false">IF(Prüfungen!$B$4=0,(IFERROR(SUMIF(Nutzungsprofile!$B$17:$B$22,"Schulbetrieb",Nutzungsprofile!$G$17:$G$22)*Kalender!C195/SUM(Kalender!$C$5:$C$370),0)+IFERROR(SUMIF(Nutzungsprofile!$B$17:$B$22,"Halle",Nutzungsprofile!$G$17:$G$22)*Kalender!D195/SUM(Kalender!$D$5:$D$370),0)+IFERROR(SUMIF(Nutzungsprofile!$B$17:$B$22,"Individuell",Nutzungsprofile!$G$17:$G$22)*Kalender!E195/SUM(Kalender!$E$5:$E$370),0)),0)</f>
        <v>0.89</v>
      </c>
      <c r="F195" s="13" t="n">
        <f aca="false">IFERROR(MIN(D195,Eingaben!$B$17)*Eingaben!$B$16,0)</f>
        <v>1.938</v>
      </c>
      <c r="G195" s="13" t="n">
        <f aca="false">IFERROR(F195*Eingaben!$B$15,0)</f>
        <v>1.7442</v>
      </c>
      <c r="H195" s="13" t="n">
        <f aca="false">IFERROR(Q195*(1-Eingaben!$B$20),0)</f>
        <v>1.709316</v>
      </c>
      <c r="I195" s="13" t="n">
        <f aca="false">MIN(H195,E195)</f>
        <v>0.89</v>
      </c>
      <c r="J195" s="13" t="n">
        <f aca="false">IFERROR(MIN(G195*Eingaben!$B$19,MAX(0,E195-I195)),0)</f>
        <v>0</v>
      </c>
      <c r="K195" s="13" t="n">
        <f aca="false">IFERROR(MIN(Eingaben!$B$18,MAX(0,G195-J195)),0)</f>
        <v>1.7442</v>
      </c>
      <c r="L195" s="13" t="n">
        <f aca="false">I195+J195</f>
        <v>0.89</v>
      </c>
      <c r="M195" s="13" t="n">
        <f aca="false">MAX(0,E195-L195)</f>
        <v>0</v>
      </c>
      <c r="N195" s="13" t="n">
        <f aca="false">MAX(0,G195-J195-K195)</f>
        <v>0</v>
      </c>
      <c r="O195" s="13" t="n">
        <f aca="false">Q195-I195</f>
        <v>0.8542</v>
      </c>
      <c r="P195" s="13" t="n">
        <f aca="false">G195+Q195-L195-N195-O195-K195</f>
        <v>0</v>
      </c>
      <c r="Q195" s="13" t="n">
        <f aca="false">IF(A195="",0,K194)</f>
        <v>1.7442</v>
      </c>
    </row>
    <row r="196" customFormat="false" ht="16.4" hidden="false" customHeight="false" outlineLevel="0" collapsed="false">
      <c r="A196" s="23" t="n">
        <f aca="false">Kalender!A196</f>
        <v>46214</v>
      </c>
      <c r="B196" s="13" t="n">
        <f aca="false">Kalender!C196</f>
        <v>0</v>
      </c>
      <c r="C196" s="13" t="n">
        <f aca="false">Kalender!D196</f>
        <v>1</v>
      </c>
      <c r="D196" s="13" t="n">
        <f aca="false">IF(Prüfungen!$B$4=0,(IFERROR(SUMIF(Nutzungsprofile!$B$6:$B$11,"Schulbetrieb",Nutzungsprofile!$G$6:$G$11)*Kalender!C196/SUM(Kalender!$C$5:$C$370),0)+IFERROR(SUMIF(Nutzungsprofile!$B$6:$B$11,"Halle",Nutzungsprofile!$G$6:$G$11)*Kalender!D196/SUM(Kalender!$D$5:$D$370),0)+IFERROR(SUMIF(Nutzungsprofile!$B$6:$B$11,"Individuell",Nutzungsprofile!$G$6:$G$11)*Kalender!E196/SUM(Kalender!$E$5:$E$370),0)),0)</f>
        <v>2.04</v>
      </c>
      <c r="E196" s="13" t="n">
        <f aca="false">IF(Prüfungen!$B$4=0,(IFERROR(SUMIF(Nutzungsprofile!$B$17:$B$22,"Schulbetrieb",Nutzungsprofile!$G$17:$G$22)*Kalender!C196/SUM(Kalender!$C$5:$C$370),0)+IFERROR(SUMIF(Nutzungsprofile!$B$17:$B$22,"Halle",Nutzungsprofile!$G$17:$G$22)*Kalender!D196/SUM(Kalender!$D$5:$D$370),0)+IFERROR(SUMIF(Nutzungsprofile!$B$17:$B$22,"Individuell",Nutzungsprofile!$G$17:$G$22)*Kalender!E196/SUM(Kalender!$E$5:$E$370),0)),0)</f>
        <v>0.89</v>
      </c>
      <c r="F196" s="13" t="n">
        <f aca="false">IFERROR(MIN(D196,Eingaben!$B$17)*Eingaben!$B$16,0)</f>
        <v>1.938</v>
      </c>
      <c r="G196" s="13" t="n">
        <f aca="false">IFERROR(F196*Eingaben!$B$15,0)</f>
        <v>1.7442</v>
      </c>
      <c r="H196" s="13" t="n">
        <f aca="false">IFERROR(Q196*(1-Eingaben!$B$20),0)</f>
        <v>1.709316</v>
      </c>
      <c r="I196" s="13" t="n">
        <f aca="false">MIN(H196,E196)</f>
        <v>0.89</v>
      </c>
      <c r="J196" s="13" t="n">
        <f aca="false">IFERROR(MIN(G196*Eingaben!$B$19,MAX(0,E196-I196)),0)</f>
        <v>0</v>
      </c>
      <c r="K196" s="13" t="n">
        <f aca="false">IFERROR(MIN(Eingaben!$B$18,MAX(0,G196-J196)),0)</f>
        <v>1.7442</v>
      </c>
      <c r="L196" s="13" t="n">
        <f aca="false">I196+J196</f>
        <v>0.89</v>
      </c>
      <c r="M196" s="13" t="n">
        <f aca="false">MAX(0,E196-L196)</f>
        <v>0</v>
      </c>
      <c r="N196" s="13" t="n">
        <f aca="false">MAX(0,G196-J196-K196)</f>
        <v>0</v>
      </c>
      <c r="O196" s="13" t="n">
        <f aca="false">Q196-I196</f>
        <v>0.8542</v>
      </c>
      <c r="P196" s="13" t="n">
        <f aca="false">G196+Q196-L196-N196-O196-K196</f>
        <v>0</v>
      </c>
      <c r="Q196" s="13" t="n">
        <f aca="false">IF(A196="",0,K195)</f>
        <v>1.7442</v>
      </c>
    </row>
    <row r="197" customFormat="false" ht="16.4" hidden="false" customHeight="false" outlineLevel="0" collapsed="false">
      <c r="A197" s="23" t="n">
        <f aca="false">Kalender!A197</f>
        <v>46215</v>
      </c>
      <c r="B197" s="13" t="n">
        <f aca="false">Kalender!C197</f>
        <v>0</v>
      </c>
      <c r="C197" s="13" t="n">
        <f aca="false">Kalender!D197</f>
        <v>1</v>
      </c>
      <c r="D197" s="13" t="n">
        <f aca="false">IF(Prüfungen!$B$4=0,(IFERROR(SUMIF(Nutzungsprofile!$B$6:$B$11,"Schulbetrieb",Nutzungsprofile!$G$6:$G$11)*Kalender!C197/SUM(Kalender!$C$5:$C$370),0)+IFERROR(SUMIF(Nutzungsprofile!$B$6:$B$11,"Halle",Nutzungsprofile!$G$6:$G$11)*Kalender!D197/SUM(Kalender!$D$5:$D$370),0)+IFERROR(SUMIF(Nutzungsprofile!$B$6:$B$11,"Individuell",Nutzungsprofile!$G$6:$G$11)*Kalender!E197/SUM(Kalender!$E$5:$E$370),0)),0)</f>
        <v>2.04</v>
      </c>
      <c r="E197" s="13" t="n">
        <f aca="false">IF(Prüfungen!$B$4=0,(IFERROR(SUMIF(Nutzungsprofile!$B$17:$B$22,"Schulbetrieb",Nutzungsprofile!$G$17:$G$22)*Kalender!C197/SUM(Kalender!$C$5:$C$370),0)+IFERROR(SUMIF(Nutzungsprofile!$B$17:$B$22,"Halle",Nutzungsprofile!$G$17:$G$22)*Kalender!D197/SUM(Kalender!$D$5:$D$370),0)+IFERROR(SUMIF(Nutzungsprofile!$B$17:$B$22,"Individuell",Nutzungsprofile!$G$17:$G$22)*Kalender!E197/SUM(Kalender!$E$5:$E$370),0)),0)</f>
        <v>0.89</v>
      </c>
      <c r="F197" s="13" t="n">
        <f aca="false">IFERROR(MIN(D197,Eingaben!$B$17)*Eingaben!$B$16,0)</f>
        <v>1.938</v>
      </c>
      <c r="G197" s="13" t="n">
        <f aca="false">IFERROR(F197*Eingaben!$B$15,0)</f>
        <v>1.7442</v>
      </c>
      <c r="H197" s="13" t="n">
        <f aca="false">IFERROR(Q197*(1-Eingaben!$B$20),0)</f>
        <v>1.709316</v>
      </c>
      <c r="I197" s="13" t="n">
        <f aca="false">MIN(H197,E197)</f>
        <v>0.89</v>
      </c>
      <c r="J197" s="13" t="n">
        <f aca="false">IFERROR(MIN(G197*Eingaben!$B$19,MAX(0,E197-I197)),0)</f>
        <v>0</v>
      </c>
      <c r="K197" s="13" t="n">
        <f aca="false">IFERROR(MIN(Eingaben!$B$18,MAX(0,G197-J197)),0)</f>
        <v>1.7442</v>
      </c>
      <c r="L197" s="13" t="n">
        <f aca="false">I197+J197</f>
        <v>0.89</v>
      </c>
      <c r="M197" s="13" t="n">
        <f aca="false">MAX(0,E197-L197)</f>
        <v>0</v>
      </c>
      <c r="N197" s="13" t="n">
        <f aca="false">MAX(0,G197-J197-K197)</f>
        <v>0</v>
      </c>
      <c r="O197" s="13" t="n">
        <f aca="false">Q197-I197</f>
        <v>0.8542</v>
      </c>
      <c r="P197" s="13" t="n">
        <f aca="false">G197+Q197-L197-N197-O197-K197</f>
        <v>0</v>
      </c>
      <c r="Q197" s="13" t="n">
        <f aca="false">IF(A197="",0,K196)</f>
        <v>1.7442</v>
      </c>
    </row>
    <row r="198" customFormat="false" ht="16.4" hidden="false" customHeight="false" outlineLevel="0" collapsed="false">
      <c r="A198" s="23" t="n">
        <f aca="false">Kalender!A198</f>
        <v>46216</v>
      </c>
      <c r="B198" s="13" t="n">
        <f aca="false">Kalender!C198</f>
        <v>0</v>
      </c>
      <c r="C198" s="13" t="n">
        <f aca="false">Kalender!D198</f>
        <v>1</v>
      </c>
      <c r="D198" s="13" t="n">
        <f aca="false">IF(Prüfungen!$B$4=0,(IFERROR(SUMIF(Nutzungsprofile!$B$6:$B$11,"Schulbetrieb",Nutzungsprofile!$G$6:$G$11)*Kalender!C198/SUM(Kalender!$C$5:$C$370),0)+IFERROR(SUMIF(Nutzungsprofile!$B$6:$B$11,"Halle",Nutzungsprofile!$G$6:$G$11)*Kalender!D198/SUM(Kalender!$D$5:$D$370),0)+IFERROR(SUMIF(Nutzungsprofile!$B$6:$B$11,"Individuell",Nutzungsprofile!$G$6:$G$11)*Kalender!E198/SUM(Kalender!$E$5:$E$370),0)),0)</f>
        <v>2.04</v>
      </c>
      <c r="E198" s="13" t="n">
        <f aca="false">IF(Prüfungen!$B$4=0,(IFERROR(SUMIF(Nutzungsprofile!$B$17:$B$22,"Schulbetrieb",Nutzungsprofile!$G$17:$G$22)*Kalender!C198/SUM(Kalender!$C$5:$C$370),0)+IFERROR(SUMIF(Nutzungsprofile!$B$17:$B$22,"Halle",Nutzungsprofile!$G$17:$G$22)*Kalender!D198/SUM(Kalender!$D$5:$D$370),0)+IFERROR(SUMIF(Nutzungsprofile!$B$17:$B$22,"Individuell",Nutzungsprofile!$G$17:$G$22)*Kalender!E198/SUM(Kalender!$E$5:$E$370),0)),0)</f>
        <v>0.89</v>
      </c>
      <c r="F198" s="13" t="n">
        <f aca="false">IFERROR(MIN(D198,Eingaben!$B$17)*Eingaben!$B$16,0)</f>
        <v>1.938</v>
      </c>
      <c r="G198" s="13" t="n">
        <f aca="false">IFERROR(F198*Eingaben!$B$15,0)</f>
        <v>1.7442</v>
      </c>
      <c r="H198" s="13" t="n">
        <f aca="false">IFERROR(Q198*(1-Eingaben!$B$20),0)</f>
        <v>1.709316</v>
      </c>
      <c r="I198" s="13" t="n">
        <f aca="false">MIN(H198,E198)</f>
        <v>0.89</v>
      </c>
      <c r="J198" s="13" t="n">
        <f aca="false">IFERROR(MIN(G198*Eingaben!$B$19,MAX(0,E198-I198)),0)</f>
        <v>0</v>
      </c>
      <c r="K198" s="13" t="n">
        <f aca="false">IFERROR(MIN(Eingaben!$B$18,MAX(0,G198-J198)),0)</f>
        <v>1.7442</v>
      </c>
      <c r="L198" s="13" t="n">
        <f aca="false">I198+J198</f>
        <v>0.89</v>
      </c>
      <c r="M198" s="13" t="n">
        <f aca="false">MAX(0,E198-L198)</f>
        <v>0</v>
      </c>
      <c r="N198" s="13" t="n">
        <f aca="false">MAX(0,G198-J198-K198)</f>
        <v>0</v>
      </c>
      <c r="O198" s="13" t="n">
        <f aca="false">Q198-I198</f>
        <v>0.8542</v>
      </c>
      <c r="P198" s="13" t="n">
        <f aca="false">G198+Q198-L198-N198-O198-K198</f>
        <v>0</v>
      </c>
      <c r="Q198" s="13" t="n">
        <f aca="false">IF(A198="",0,K197)</f>
        <v>1.7442</v>
      </c>
    </row>
    <row r="199" customFormat="false" ht="16.4" hidden="false" customHeight="false" outlineLevel="0" collapsed="false">
      <c r="A199" s="23" t="n">
        <f aca="false">Kalender!A199</f>
        <v>46217</v>
      </c>
      <c r="B199" s="13" t="n">
        <f aca="false">Kalender!C199</f>
        <v>0</v>
      </c>
      <c r="C199" s="13" t="n">
        <f aca="false">Kalender!D199</f>
        <v>1</v>
      </c>
      <c r="D199" s="13" t="n">
        <f aca="false">IF(Prüfungen!$B$4=0,(IFERROR(SUMIF(Nutzungsprofile!$B$6:$B$11,"Schulbetrieb",Nutzungsprofile!$G$6:$G$11)*Kalender!C199/SUM(Kalender!$C$5:$C$370),0)+IFERROR(SUMIF(Nutzungsprofile!$B$6:$B$11,"Halle",Nutzungsprofile!$G$6:$G$11)*Kalender!D199/SUM(Kalender!$D$5:$D$370),0)+IFERROR(SUMIF(Nutzungsprofile!$B$6:$B$11,"Individuell",Nutzungsprofile!$G$6:$G$11)*Kalender!E199/SUM(Kalender!$E$5:$E$370),0)),0)</f>
        <v>2.04</v>
      </c>
      <c r="E199" s="13" t="n">
        <f aca="false">IF(Prüfungen!$B$4=0,(IFERROR(SUMIF(Nutzungsprofile!$B$17:$B$22,"Schulbetrieb",Nutzungsprofile!$G$17:$G$22)*Kalender!C199/SUM(Kalender!$C$5:$C$370),0)+IFERROR(SUMIF(Nutzungsprofile!$B$17:$B$22,"Halle",Nutzungsprofile!$G$17:$G$22)*Kalender!D199/SUM(Kalender!$D$5:$D$370),0)+IFERROR(SUMIF(Nutzungsprofile!$B$17:$B$22,"Individuell",Nutzungsprofile!$G$17:$G$22)*Kalender!E199/SUM(Kalender!$E$5:$E$370),0)),0)</f>
        <v>0.89</v>
      </c>
      <c r="F199" s="13" t="n">
        <f aca="false">IFERROR(MIN(D199,Eingaben!$B$17)*Eingaben!$B$16,0)</f>
        <v>1.938</v>
      </c>
      <c r="G199" s="13" t="n">
        <f aca="false">IFERROR(F199*Eingaben!$B$15,0)</f>
        <v>1.7442</v>
      </c>
      <c r="H199" s="13" t="n">
        <f aca="false">IFERROR(Q199*(1-Eingaben!$B$20),0)</f>
        <v>1.709316</v>
      </c>
      <c r="I199" s="13" t="n">
        <f aca="false">MIN(H199,E199)</f>
        <v>0.89</v>
      </c>
      <c r="J199" s="13" t="n">
        <f aca="false">IFERROR(MIN(G199*Eingaben!$B$19,MAX(0,E199-I199)),0)</f>
        <v>0</v>
      </c>
      <c r="K199" s="13" t="n">
        <f aca="false">IFERROR(MIN(Eingaben!$B$18,MAX(0,G199-J199)),0)</f>
        <v>1.7442</v>
      </c>
      <c r="L199" s="13" t="n">
        <f aca="false">I199+J199</f>
        <v>0.89</v>
      </c>
      <c r="M199" s="13" t="n">
        <f aca="false">MAX(0,E199-L199)</f>
        <v>0</v>
      </c>
      <c r="N199" s="13" t="n">
        <f aca="false">MAX(0,G199-J199-K199)</f>
        <v>0</v>
      </c>
      <c r="O199" s="13" t="n">
        <f aca="false">Q199-I199</f>
        <v>0.8542</v>
      </c>
      <c r="P199" s="13" t="n">
        <f aca="false">G199+Q199-L199-N199-O199-K199</f>
        <v>0</v>
      </c>
      <c r="Q199" s="13" t="n">
        <f aca="false">IF(A199="",0,K198)</f>
        <v>1.7442</v>
      </c>
    </row>
    <row r="200" customFormat="false" ht="16.4" hidden="false" customHeight="false" outlineLevel="0" collapsed="false">
      <c r="A200" s="23" t="n">
        <f aca="false">Kalender!A200</f>
        <v>46218</v>
      </c>
      <c r="B200" s="13" t="n">
        <f aca="false">Kalender!C200</f>
        <v>0</v>
      </c>
      <c r="C200" s="13" t="n">
        <f aca="false">Kalender!D200</f>
        <v>1</v>
      </c>
      <c r="D200" s="13" t="n">
        <f aca="false">IF(Prüfungen!$B$4=0,(IFERROR(SUMIF(Nutzungsprofile!$B$6:$B$11,"Schulbetrieb",Nutzungsprofile!$G$6:$G$11)*Kalender!C200/SUM(Kalender!$C$5:$C$370),0)+IFERROR(SUMIF(Nutzungsprofile!$B$6:$B$11,"Halle",Nutzungsprofile!$G$6:$G$11)*Kalender!D200/SUM(Kalender!$D$5:$D$370),0)+IFERROR(SUMIF(Nutzungsprofile!$B$6:$B$11,"Individuell",Nutzungsprofile!$G$6:$G$11)*Kalender!E200/SUM(Kalender!$E$5:$E$370),0)),0)</f>
        <v>2.04</v>
      </c>
      <c r="E200" s="13" t="n">
        <f aca="false">IF(Prüfungen!$B$4=0,(IFERROR(SUMIF(Nutzungsprofile!$B$17:$B$22,"Schulbetrieb",Nutzungsprofile!$G$17:$G$22)*Kalender!C200/SUM(Kalender!$C$5:$C$370),0)+IFERROR(SUMIF(Nutzungsprofile!$B$17:$B$22,"Halle",Nutzungsprofile!$G$17:$G$22)*Kalender!D200/SUM(Kalender!$D$5:$D$370),0)+IFERROR(SUMIF(Nutzungsprofile!$B$17:$B$22,"Individuell",Nutzungsprofile!$G$17:$G$22)*Kalender!E200/SUM(Kalender!$E$5:$E$370),0)),0)</f>
        <v>0.89</v>
      </c>
      <c r="F200" s="13" t="n">
        <f aca="false">IFERROR(MIN(D200,Eingaben!$B$17)*Eingaben!$B$16,0)</f>
        <v>1.938</v>
      </c>
      <c r="G200" s="13" t="n">
        <f aca="false">IFERROR(F200*Eingaben!$B$15,0)</f>
        <v>1.7442</v>
      </c>
      <c r="H200" s="13" t="n">
        <f aca="false">IFERROR(Q200*(1-Eingaben!$B$20),0)</f>
        <v>1.709316</v>
      </c>
      <c r="I200" s="13" t="n">
        <f aca="false">MIN(H200,E200)</f>
        <v>0.89</v>
      </c>
      <c r="J200" s="13" t="n">
        <f aca="false">IFERROR(MIN(G200*Eingaben!$B$19,MAX(0,E200-I200)),0)</f>
        <v>0</v>
      </c>
      <c r="K200" s="13" t="n">
        <f aca="false">IFERROR(MIN(Eingaben!$B$18,MAX(0,G200-J200)),0)</f>
        <v>1.7442</v>
      </c>
      <c r="L200" s="13" t="n">
        <f aca="false">I200+J200</f>
        <v>0.89</v>
      </c>
      <c r="M200" s="13" t="n">
        <f aca="false">MAX(0,E200-L200)</f>
        <v>0</v>
      </c>
      <c r="N200" s="13" t="n">
        <f aca="false">MAX(0,G200-J200-K200)</f>
        <v>0</v>
      </c>
      <c r="O200" s="13" t="n">
        <f aca="false">Q200-I200</f>
        <v>0.8542</v>
      </c>
      <c r="P200" s="13" t="n">
        <f aca="false">G200+Q200-L200-N200-O200-K200</f>
        <v>0</v>
      </c>
      <c r="Q200" s="13" t="n">
        <f aca="false">IF(A200="",0,K199)</f>
        <v>1.7442</v>
      </c>
    </row>
    <row r="201" customFormat="false" ht="16.4" hidden="false" customHeight="false" outlineLevel="0" collapsed="false">
      <c r="A201" s="23" t="n">
        <f aca="false">Kalender!A201</f>
        <v>46219</v>
      </c>
      <c r="B201" s="13" t="n">
        <f aca="false">Kalender!C201</f>
        <v>0</v>
      </c>
      <c r="C201" s="13" t="n">
        <f aca="false">Kalender!D201</f>
        <v>1</v>
      </c>
      <c r="D201" s="13" t="n">
        <f aca="false">IF(Prüfungen!$B$4=0,(IFERROR(SUMIF(Nutzungsprofile!$B$6:$B$11,"Schulbetrieb",Nutzungsprofile!$G$6:$G$11)*Kalender!C201/SUM(Kalender!$C$5:$C$370),0)+IFERROR(SUMIF(Nutzungsprofile!$B$6:$B$11,"Halle",Nutzungsprofile!$G$6:$G$11)*Kalender!D201/SUM(Kalender!$D$5:$D$370),0)+IFERROR(SUMIF(Nutzungsprofile!$B$6:$B$11,"Individuell",Nutzungsprofile!$G$6:$G$11)*Kalender!E201/SUM(Kalender!$E$5:$E$370),0)),0)</f>
        <v>2.04</v>
      </c>
      <c r="E201" s="13" t="n">
        <f aca="false">IF(Prüfungen!$B$4=0,(IFERROR(SUMIF(Nutzungsprofile!$B$17:$B$22,"Schulbetrieb",Nutzungsprofile!$G$17:$G$22)*Kalender!C201/SUM(Kalender!$C$5:$C$370),0)+IFERROR(SUMIF(Nutzungsprofile!$B$17:$B$22,"Halle",Nutzungsprofile!$G$17:$G$22)*Kalender!D201/SUM(Kalender!$D$5:$D$370),0)+IFERROR(SUMIF(Nutzungsprofile!$B$17:$B$22,"Individuell",Nutzungsprofile!$G$17:$G$22)*Kalender!E201/SUM(Kalender!$E$5:$E$370),0)),0)</f>
        <v>0.89</v>
      </c>
      <c r="F201" s="13" t="n">
        <f aca="false">IFERROR(MIN(D201,Eingaben!$B$17)*Eingaben!$B$16,0)</f>
        <v>1.938</v>
      </c>
      <c r="G201" s="13" t="n">
        <f aca="false">IFERROR(F201*Eingaben!$B$15,0)</f>
        <v>1.7442</v>
      </c>
      <c r="H201" s="13" t="n">
        <f aca="false">IFERROR(Q201*(1-Eingaben!$B$20),0)</f>
        <v>1.709316</v>
      </c>
      <c r="I201" s="13" t="n">
        <f aca="false">MIN(H201,E201)</f>
        <v>0.89</v>
      </c>
      <c r="J201" s="13" t="n">
        <f aca="false">IFERROR(MIN(G201*Eingaben!$B$19,MAX(0,E201-I201)),0)</f>
        <v>0</v>
      </c>
      <c r="K201" s="13" t="n">
        <f aca="false">IFERROR(MIN(Eingaben!$B$18,MAX(0,G201-J201)),0)</f>
        <v>1.7442</v>
      </c>
      <c r="L201" s="13" t="n">
        <f aca="false">I201+J201</f>
        <v>0.89</v>
      </c>
      <c r="M201" s="13" t="n">
        <f aca="false">MAX(0,E201-L201)</f>
        <v>0</v>
      </c>
      <c r="N201" s="13" t="n">
        <f aca="false">MAX(0,G201-J201-K201)</f>
        <v>0</v>
      </c>
      <c r="O201" s="13" t="n">
        <f aca="false">Q201-I201</f>
        <v>0.8542</v>
      </c>
      <c r="P201" s="13" t="n">
        <f aca="false">G201+Q201-L201-N201-O201-K201</f>
        <v>0</v>
      </c>
      <c r="Q201" s="13" t="n">
        <f aca="false">IF(A201="",0,K200)</f>
        <v>1.7442</v>
      </c>
    </row>
    <row r="202" customFormat="false" ht="16.4" hidden="false" customHeight="false" outlineLevel="0" collapsed="false">
      <c r="A202" s="23" t="n">
        <f aca="false">Kalender!A202</f>
        <v>46220</v>
      </c>
      <c r="B202" s="13" t="n">
        <f aca="false">Kalender!C202</f>
        <v>0</v>
      </c>
      <c r="C202" s="13" t="n">
        <f aca="false">Kalender!D202</f>
        <v>1</v>
      </c>
      <c r="D202" s="13" t="n">
        <f aca="false">IF(Prüfungen!$B$4=0,(IFERROR(SUMIF(Nutzungsprofile!$B$6:$B$11,"Schulbetrieb",Nutzungsprofile!$G$6:$G$11)*Kalender!C202/SUM(Kalender!$C$5:$C$370),0)+IFERROR(SUMIF(Nutzungsprofile!$B$6:$B$11,"Halle",Nutzungsprofile!$G$6:$G$11)*Kalender!D202/SUM(Kalender!$D$5:$D$370),0)+IFERROR(SUMIF(Nutzungsprofile!$B$6:$B$11,"Individuell",Nutzungsprofile!$G$6:$G$11)*Kalender!E202/SUM(Kalender!$E$5:$E$370),0)),0)</f>
        <v>2.04</v>
      </c>
      <c r="E202" s="13" t="n">
        <f aca="false">IF(Prüfungen!$B$4=0,(IFERROR(SUMIF(Nutzungsprofile!$B$17:$B$22,"Schulbetrieb",Nutzungsprofile!$G$17:$G$22)*Kalender!C202/SUM(Kalender!$C$5:$C$370),0)+IFERROR(SUMIF(Nutzungsprofile!$B$17:$B$22,"Halle",Nutzungsprofile!$G$17:$G$22)*Kalender!D202/SUM(Kalender!$D$5:$D$370),0)+IFERROR(SUMIF(Nutzungsprofile!$B$17:$B$22,"Individuell",Nutzungsprofile!$G$17:$G$22)*Kalender!E202/SUM(Kalender!$E$5:$E$370),0)),0)</f>
        <v>0.89</v>
      </c>
      <c r="F202" s="13" t="n">
        <f aca="false">IFERROR(MIN(D202,Eingaben!$B$17)*Eingaben!$B$16,0)</f>
        <v>1.938</v>
      </c>
      <c r="G202" s="13" t="n">
        <f aca="false">IFERROR(F202*Eingaben!$B$15,0)</f>
        <v>1.7442</v>
      </c>
      <c r="H202" s="13" t="n">
        <f aca="false">IFERROR(Q202*(1-Eingaben!$B$20),0)</f>
        <v>1.709316</v>
      </c>
      <c r="I202" s="13" t="n">
        <f aca="false">MIN(H202,E202)</f>
        <v>0.89</v>
      </c>
      <c r="J202" s="13" t="n">
        <f aca="false">IFERROR(MIN(G202*Eingaben!$B$19,MAX(0,E202-I202)),0)</f>
        <v>0</v>
      </c>
      <c r="K202" s="13" t="n">
        <f aca="false">IFERROR(MIN(Eingaben!$B$18,MAX(0,G202-J202)),0)</f>
        <v>1.7442</v>
      </c>
      <c r="L202" s="13" t="n">
        <f aca="false">I202+J202</f>
        <v>0.89</v>
      </c>
      <c r="M202" s="13" t="n">
        <f aca="false">MAX(0,E202-L202)</f>
        <v>0</v>
      </c>
      <c r="N202" s="13" t="n">
        <f aca="false">MAX(0,G202-J202-K202)</f>
        <v>0</v>
      </c>
      <c r="O202" s="13" t="n">
        <f aca="false">Q202-I202</f>
        <v>0.8542</v>
      </c>
      <c r="P202" s="13" t="n">
        <f aca="false">G202+Q202-L202-N202-O202-K202</f>
        <v>0</v>
      </c>
      <c r="Q202" s="13" t="n">
        <f aca="false">IF(A202="",0,K201)</f>
        <v>1.7442</v>
      </c>
    </row>
    <row r="203" customFormat="false" ht="16.4" hidden="false" customHeight="false" outlineLevel="0" collapsed="false">
      <c r="A203" s="23" t="n">
        <f aca="false">Kalender!A203</f>
        <v>46221</v>
      </c>
      <c r="B203" s="13" t="n">
        <f aca="false">Kalender!C203</f>
        <v>0</v>
      </c>
      <c r="C203" s="13" t="n">
        <f aca="false">Kalender!D203</f>
        <v>1</v>
      </c>
      <c r="D203" s="13" t="n">
        <f aca="false">IF(Prüfungen!$B$4=0,(IFERROR(SUMIF(Nutzungsprofile!$B$6:$B$11,"Schulbetrieb",Nutzungsprofile!$G$6:$G$11)*Kalender!C203/SUM(Kalender!$C$5:$C$370),0)+IFERROR(SUMIF(Nutzungsprofile!$B$6:$B$11,"Halle",Nutzungsprofile!$G$6:$G$11)*Kalender!D203/SUM(Kalender!$D$5:$D$370),0)+IFERROR(SUMIF(Nutzungsprofile!$B$6:$B$11,"Individuell",Nutzungsprofile!$G$6:$G$11)*Kalender!E203/SUM(Kalender!$E$5:$E$370),0)),0)</f>
        <v>2.04</v>
      </c>
      <c r="E203" s="13" t="n">
        <f aca="false">IF(Prüfungen!$B$4=0,(IFERROR(SUMIF(Nutzungsprofile!$B$17:$B$22,"Schulbetrieb",Nutzungsprofile!$G$17:$G$22)*Kalender!C203/SUM(Kalender!$C$5:$C$370),0)+IFERROR(SUMIF(Nutzungsprofile!$B$17:$B$22,"Halle",Nutzungsprofile!$G$17:$G$22)*Kalender!D203/SUM(Kalender!$D$5:$D$370),0)+IFERROR(SUMIF(Nutzungsprofile!$B$17:$B$22,"Individuell",Nutzungsprofile!$G$17:$G$22)*Kalender!E203/SUM(Kalender!$E$5:$E$370),0)),0)</f>
        <v>0.89</v>
      </c>
      <c r="F203" s="13" t="n">
        <f aca="false">IFERROR(MIN(D203,Eingaben!$B$17)*Eingaben!$B$16,0)</f>
        <v>1.938</v>
      </c>
      <c r="G203" s="13" t="n">
        <f aca="false">IFERROR(F203*Eingaben!$B$15,0)</f>
        <v>1.7442</v>
      </c>
      <c r="H203" s="13" t="n">
        <f aca="false">IFERROR(Q203*(1-Eingaben!$B$20),0)</f>
        <v>1.709316</v>
      </c>
      <c r="I203" s="13" t="n">
        <f aca="false">MIN(H203,E203)</f>
        <v>0.89</v>
      </c>
      <c r="J203" s="13" t="n">
        <f aca="false">IFERROR(MIN(G203*Eingaben!$B$19,MAX(0,E203-I203)),0)</f>
        <v>0</v>
      </c>
      <c r="K203" s="13" t="n">
        <f aca="false">IFERROR(MIN(Eingaben!$B$18,MAX(0,G203-J203)),0)</f>
        <v>1.7442</v>
      </c>
      <c r="L203" s="13" t="n">
        <f aca="false">I203+J203</f>
        <v>0.89</v>
      </c>
      <c r="M203" s="13" t="n">
        <f aca="false">MAX(0,E203-L203)</f>
        <v>0</v>
      </c>
      <c r="N203" s="13" t="n">
        <f aca="false">MAX(0,G203-J203-K203)</f>
        <v>0</v>
      </c>
      <c r="O203" s="13" t="n">
        <f aca="false">Q203-I203</f>
        <v>0.8542</v>
      </c>
      <c r="P203" s="13" t="n">
        <f aca="false">G203+Q203-L203-N203-O203-K203</f>
        <v>0</v>
      </c>
      <c r="Q203" s="13" t="n">
        <f aca="false">IF(A203="",0,K202)</f>
        <v>1.7442</v>
      </c>
    </row>
    <row r="204" customFormat="false" ht="16.4" hidden="false" customHeight="false" outlineLevel="0" collapsed="false">
      <c r="A204" s="23" t="n">
        <f aca="false">Kalender!A204</f>
        <v>46222</v>
      </c>
      <c r="B204" s="13" t="n">
        <f aca="false">Kalender!C204</f>
        <v>0</v>
      </c>
      <c r="C204" s="13" t="n">
        <f aca="false">Kalender!D204</f>
        <v>1</v>
      </c>
      <c r="D204" s="13" t="n">
        <f aca="false">IF(Prüfungen!$B$4=0,(IFERROR(SUMIF(Nutzungsprofile!$B$6:$B$11,"Schulbetrieb",Nutzungsprofile!$G$6:$G$11)*Kalender!C204/SUM(Kalender!$C$5:$C$370),0)+IFERROR(SUMIF(Nutzungsprofile!$B$6:$B$11,"Halle",Nutzungsprofile!$G$6:$G$11)*Kalender!D204/SUM(Kalender!$D$5:$D$370),0)+IFERROR(SUMIF(Nutzungsprofile!$B$6:$B$11,"Individuell",Nutzungsprofile!$G$6:$G$11)*Kalender!E204/SUM(Kalender!$E$5:$E$370),0)),0)</f>
        <v>2.04</v>
      </c>
      <c r="E204" s="13" t="n">
        <f aca="false">IF(Prüfungen!$B$4=0,(IFERROR(SUMIF(Nutzungsprofile!$B$17:$B$22,"Schulbetrieb",Nutzungsprofile!$G$17:$G$22)*Kalender!C204/SUM(Kalender!$C$5:$C$370),0)+IFERROR(SUMIF(Nutzungsprofile!$B$17:$B$22,"Halle",Nutzungsprofile!$G$17:$G$22)*Kalender!D204/SUM(Kalender!$D$5:$D$370),0)+IFERROR(SUMIF(Nutzungsprofile!$B$17:$B$22,"Individuell",Nutzungsprofile!$G$17:$G$22)*Kalender!E204/SUM(Kalender!$E$5:$E$370),0)),0)</f>
        <v>0.89</v>
      </c>
      <c r="F204" s="13" t="n">
        <f aca="false">IFERROR(MIN(D204,Eingaben!$B$17)*Eingaben!$B$16,0)</f>
        <v>1.938</v>
      </c>
      <c r="G204" s="13" t="n">
        <f aca="false">IFERROR(F204*Eingaben!$B$15,0)</f>
        <v>1.7442</v>
      </c>
      <c r="H204" s="13" t="n">
        <f aca="false">IFERROR(Q204*(1-Eingaben!$B$20),0)</f>
        <v>1.709316</v>
      </c>
      <c r="I204" s="13" t="n">
        <f aca="false">MIN(H204,E204)</f>
        <v>0.89</v>
      </c>
      <c r="J204" s="13" t="n">
        <f aca="false">IFERROR(MIN(G204*Eingaben!$B$19,MAX(0,E204-I204)),0)</f>
        <v>0</v>
      </c>
      <c r="K204" s="13" t="n">
        <f aca="false">IFERROR(MIN(Eingaben!$B$18,MAX(0,G204-J204)),0)</f>
        <v>1.7442</v>
      </c>
      <c r="L204" s="13" t="n">
        <f aca="false">I204+J204</f>
        <v>0.89</v>
      </c>
      <c r="M204" s="13" t="n">
        <f aca="false">MAX(0,E204-L204)</f>
        <v>0</v>
      </c>
      <c r="N204" s="13" t="n">
        <f aca="false">MAX(0,G204-J204-K204)</f>
        <v>0</v>
      </c>
      <c r="O204" s="13" t="n">
        <f aca="false">Q204-I204</f>
        <v>0.8542</v>
      </c>
      <c r="P204" s="13" t="n">
        <f aca="false">G204+Q204-L204-N204-O204-K204</f>
        <v>0</v>
      </c>
      <c r="Q204" s="13" t="n">
        <f aca="false">IF(A204="",0,K203)</f>
        <v>1.7442</v>
      </c>
    </row>
    <row r="205" customFormat="false" ht="16.4" hidden="false" customHeight="false" outlineLevel="0" collapsed="false">
      <c r="A205" s="23" t="n">
        <f aca="false">Kalender!A205</f>
        <v>46223</v>
      </c>
      <c r="B205" s="13" t="n">
        <f aca="false">Kalender!C205</f>
        <v>0</v>
      </c>
      <c r="C205" s="13" t="n">
        <f aca="false">Kalender!D205</f>
        <v>1</v>
      </c>
      <c r="D205" s="13" t="n">
        <f aca="false">IF(Prüfungen!$B$4=0,(IFERROR(SUMIF(Nutzungsprofile!$B$6:$B$11,"Schulbetrieb",Nutzungsprofile!$G$6:$G$11)*Kalender!C205/SUM(Kalender!$C$5:$C$370),0)+IFERROR(SUMIF(Nutzungsprofile!$B$6:$B$11,"Halle",Nutzungsprofile!$G$6:$G$11)*Kalender!D205/SUM(Kalender!$D$5:$D$370),0)+IFERROR(SUMIF(Nutzungsprofile!$B$6:$B$11,"Individuell",Nutzungsprofile!$G$6:$G$11)*Kalender!E205/SUM(Kalender!$E$5:$E$370),0)),0)</f>
        <v>2.04</v>
      </c>
      <c r="E205" s="13" t="n">
        <f aca="false">IF(Prüfungen!$B$4=0,(IFERROR(SUMIF(Nutzungsprofile!$B$17:$B$22,"Schulbetrieb",Nutzungsprofile!$G$17:$G$22)*Kalender!C205/SUM(Kalender!$C$5:$C$370),0)+IFERROR(SUMIF(Nutzungsprofile!$B$17:$B$22,"Halle",Nutzungsprofile!$G$17:$G$22)*Kalender!D205/SUM(Kalender!$D$5:$D$370),0)+IFERROR(SUMIF(Nutzungsprofile!$B$17:$B$22,"Individuell",Nutzungsprofile!$G$17:$G$22)*Kalender!E205/SUM(Kalender!$E$5:$E$370),0)),0)</f>
        <v>0.89</v>
      </c>
      <c r="F205" s="13" t="n">
        <f aca="false">IFERROR(MIN(D205,Eingaben!$B$17)*Eingaben!$B$16,0)</f>
        <v>1.938</v>
      </c>
      <c r="G205" s="13" t="n">
        <f aca="false">IFERROR(F205*Eingaben!$B$15,0)</f>
        <v>1.7442</v>
      </c>
      <c r="H205" s="13" t="n">
        <f aca="false">IFERROR(Q205*(1-Eingaben!$B$20),0)</f>
        <v>1.709316</v>
      </c>
      <c r="I205" s="13" t="n">
        <f aca="false">MIN(H205,E205)</f>
        <v>0.89</v>
      </c>
      <c r="J205" s="13" t="n">
        <f aca="false">IFERROR(MIN(G205*Eingaben!$B$19,MAX(0,E205-I205)),0)</f>
        <v>0</v>
      </c>
      <c r="K205" s="13" t="n">
        <f aca="false">IFERROR(MIN(Eingaben!$B$18,MAX(0,G205-J205)),0)</f>
        <v>1.7442</v>
      </c>
      <c r="L205" s="13" t="n">
        <f aca="false">I205+J205</f>
        <v>0.89</v>
      </c>
      <c r="M205" s="13" t="n">
        <f aca="false">MAX(0,E205-L205)</f>
        <v>0</v>
      </c>
      <c r="N205" s="13" t="n">
        <f aca="false">MAX(0,G205-J205-K205)</f>
        <v>0</v>
      </c>
      <c r="O205" s="13" t="n">
        <f aca="false">Q205-I205</f>
        <v>0.8542</v>
      </c>
      <c r="P205" s="13" t="n">
        <f aca="false">G205+Q205-L205-N205-O205-K205</f>
        <v>0</v>
      </c>
      <c r="Q205" s="13" t="n">
        <f aca="false">IF(A205="",0,K204)</f>
        <v>1.7442</v>
      </c>
    </row>
    <row r="206" customFormat="false" ht="16.4" hidden="false" customHeight="false" outlineLevel="0" collapsed="false">
      <c r="A206" s="23" t="n">
        <f aca="false">Kalender!A206</f>
        <v>46224</v>
      </c>
      <c r="B206" s="13" t="n">
        <f aca="false">Kalender!C206</f>
        <v>0</v>
      </c>
      <c r="C206" s="13" t="n">
        <f aca="false">Kalender!D206</f>
        <v>1</v>
      </c>
      <c r="D206" s="13" t="n">
        <f aca="false">IF(Prüfungen!$B$4=0,(IFERROR(SUMIF(Nutzungsprofile!$B$6:$B$11,"Schulbetrieb",Nutzungsprofile!$G$6:$G$11)*Kalender!C206/SUM(Kalender!$C$5:$C$370),0)+IFERROR(SUMIF(Nutzungsprofile!$B$6:$B$11,"Halle",Nutzungsprofile!$G$6:$G$11)*Kalender!D206/SUM(Kalender!$D$5:$D$370),0)+IFERROR(SUMIF(Nutzungsprofile!$B$6:$B$11,"Individuell",Nutzungsprofile!$G$6:$G$11)*Kalender!E206/SUM(Kalender!$E$5:$E$370),0)),0)</f>
        <v>2.04</v>
      </c>
      <c r="E206" s="13" t="n">
        <f aca="false">IF(Prüfungen!$B$4=0,(IFERROR(SUMIF(Nutzungsprofile!$B$17:$B$22,"Schulbetrieb",Nutzungsprofile!$G$17:$G$22)*Kalender!C206/SUM(Kalender!$C$5:$C$370),0)+IFERROR(SUMIF(Nutzungsprofile!$B$17:$B$22,"Halle",Nutzungsprofile!$G$17:$G$22)*Kalender!D206/SUM(Kalender!$D$5:$D$370),0)+IFERROR(SUMIF(Nutzungsprofile!$B$17:$B$22,"Individuell",Nutzungsprofile!$G$17:$G$22)*Kalender!E206/SUM(Kalender!$E$5:$E$370),0)),0)</f>
        <v>0.89</v>
      </c>
      <c r="F206" s="13" t="n">
        <f aca="false">IFERROR(MIN(D206,Eingaben!$B$17)*Eingaben!$B$16,0)</f>
        <v>1.938</v>
      </c>
      <c r="G206" s="13" t="n">
        <f aca="false">IFERROR(F206*Eingaben!$B$15,0)</f>
        <v>1.7442</v>
      </c>
      <c r="H206" s="13" t="n">
        <f aca="false">IFERROR(Q206*(1-Eingaben!$B$20),0)</f>
        <v>1.709316</v>
      </c>
      <c r="I206" s="13" t="n">
        <f aca="false">MIN(H206,E206)</f>
        <v>0.89</v>
      </c>
      <c r="J206" s="13" t="n">
        <f aca="false">IFERROR(MIN(G206*Eingaben!$B$19,MAX(0,E206-I206)),0)</f>
        <v>0</v>
      </c>
      <c r="K206" s="13" t="n">
        <f aca="false">IFERROR(MIN(Eingaben!$B$18,MAX(0,G206-J206)),0)</f>
        <v>1.7442</v>
      </c>
      <c r="L206" s="13" t="n">
        <f aca="false">I206+J206</f>
        <v>0.89</v>
      </c>
      <c r="M206" s="13" t="n">
        <f aca="false">MAX(0,E206-L206)</f>
        <v>0</v>
      </c>
      <c r="N206" s="13" t="n">
        <f aca="false">MAX(0,G206-J206-K206)</f>
        <v>0</v>
      </c>
      <c r="O206" s="13" t="n">
        <f aca="false">Q206-I206</f>
        <v>0.8542</v>
      </c>
      <c r="P206" s="13" t="n">
        <f aca="false">G206+Q206-L206-N206-O206-K206</f>
        <v>0</v>
      </c>
      <c r="Q206" s="13" t="n">
        <f aca="false">IF(A206="",0,K205)</f>
        <v>1.7442</v>
      </c>
    </row>
    <row r="207" customFormat="false" ht="16.4" hidden="false" customHeight="false" outlineLevel="0" collapsed="false">
      <c r="A207" s="23" t="n">
        <f aca="false">Kalender!A207</f>
        <v>46225</v>
      </c>
      <c r="B207" s="13" t="n">
        <f aca="false">Kalender!C207</f>
        <v>0</v>
      </c>
      <c r="C207" s="13" t="n">
        <f aca="false">Kalender!D207</f>
        <v>1</v>
      </c>
      <c r="D207" s="13" t="n">
        <f aca="false">IF(Prüfungen!$B$4=0,(IFERROR(SUMIF(Nutzungsprofile!$B$6:$B$11,"Schulbetrieb",Nutzungsprofile!$G$6:$G$11)*Kalender!C207/SUM(Kalender!$C$5:$C$370),0)+IFERROR(SUMIF(Nutzungsprofile!$B$6:$B$11,"Halle",Nutzungsprofile!$G$6:$G$11)*Kalender!D207/SUM(Kalender!$D$5:$D$370),0)+IFERROR(SUMIF(Nutzungsprofile!$B$6:$B$11,"Individuell",Nutzungsprofile!$G$6:$G$11)*Kalender!E207/SUM(Kalender!$E$5:$E$370),0)),0)</f>
        <v>2.04</v>
      </c>
      <c r="E207" s="13" t="n">
        <f aca="false">IF(Prüfungen!$B$4=0,(IFERROR(SUMIF(Nutzungsprofile!$B$17:$B$22,"Schulbetrieb",Nutzungsprofile!$G$17:$G$22)*Kalender!C207/SUM(Kalender!$C$5:$C$370),0)+IFERROR(SUMIF(Nutzungsprofile!$B$17:$B$22,"Halle",Nutzungsprofile!$G$17:$G$22)*Kalender!D207/SUM(Kalender!$D$5:$D$370),0)+IFERROR(SUMIF(Nutzungsprofile!$B$17:$B$22,"Individuell",Nutzungsprofile!$G$17:$G$22)*Kalender!E207/SUM(Kalender!$E$5:$E$370),0)),0)</f>
        <v>0.89</v>
      </c>
      <c r="F207" s="13" t="n">
        <f aca="false">IFERROR(MIN(D207,Eingaben!$B$17)*Eingaben!$B$16,0)</f>
        <v>1.938</v>
      </c>
      <c r="G207" s="13" t="n">
        <f aca="false">IFERROR(F207*Eingaben!$B$15,0)</f>
        <v>1.7442</v>
      </c>
      <c r="H207" s="13" t="n">
        <f aca="false">IFERROR(Q207*(1-Eingaben!$B$20),0)</f>
        <v>1.709316</v>
      </c>
      <c r="I207" s="13" t="n">
        <f aca="false">MIN(H207,E207)</f>
        <v>0.89</v>
      </c>
      <c r="J207" s="13" t="n">
        <f aca="false">IFERROR(MIN(G207*Eingaben!$B$19,MAX(0,E207-I207)),0)</f>
        <v>0</v>
      </c>
      <c r="K207" s="13" t="n">
        <f aca="false">IFERROR(MIN(Eingaben!$B$18,MAX(0,G207-J207)),0)</f>
        <v>1.7442</v>
      </c>
      <c r="L207" s="13" t="n">
        <f aca="false">I207+J207</f>
        <v>0.89</v>
      </c>
      <c r="M207" s="13" t="n">
        <f aca="false">MAX(0,E207-L207)</f>
        <v>0</v>
      </c>
      <c r="N207" s="13" t="n">
        <f aca="false">MAX(0,G207-J207-K207)</f>
        <v>0</v>
      </c>
      <c r="O207" s="13" t="n">
        <f aca="false">Q207-I207</f>
        <v>0.8542</v>
      </c>
      <c r="P207" s="13" t="n">
        <f aca="false">G207+Q207-L207-N207-O207-K207</f>
        <v>0</v>
      </c>
      <c r="Q207" s="13" t="n">
        <f aca="false">IF(A207="",0,K206)</f>
        <v>1.7442</v>
      </c>
    </row>
    <row r="208" customFormat="false" ht="16.4" hidden="false" customHeight="false" outlineLevel="0" collapsed="false">
      <c r="A208" s="23" t="n">
        <f aca="false">Kalender!A208</f>
        <v>46226</v>
      </c>
      <c r="B208" s="13" t="n">
        <f aca="false">Kalender!C208</f>
        <v>0</v>
      </c>
      <c r="C208" s="13" t="n">
        <f aca="false">Kalender!D208</f>
        <v>1</v>
      </c>
      <c r="D208" s="13" t="n">
        <f aca="false">IF(Prüfungen!$B$4=0,(IFERROR(SUMIF(Nutzungsprofile!$B$6:$B$11,"Schulbetrieb",Nutzungsprofile!$G$6:$G$11)*Kalender!C208/SUM(Kalender!$C$5:$C$370),0)+IFERROR(SUMIF(Nutzungsprofile!$B$6:$B$11,"Halle",Nutzungsprofile!$G$6:$G$11)*Kalender!D208/SUM(Kalender!$D$5:$D$370),0)+IFERROR(SUMIF(Nutzungsprofile!$B$6:$B$11,"Individuell",Nutzungsprofile!$G$6:$G$11)*Kalender!E208/SUM(Kalender!$E$5:$E$370),0)),0)</f>
        <v>2.04</v>
      </c>
      <c r="E208" s="13" t="n">
        <f aca="false">IF(Prüfungen!$B$4=0,(IFERROR(SUMIF(Nutzungsprofile!$B$17:$B$22,"Schulbetrieb",Nutzungsprofile!$G$17:$G$22)*Kalender!C208/SUM(Kalender!$C$5:$C$370),0)+IFERROR(SUMIF(Nutzungsprofile!$B$17:$B$22,"Halle",Nutzungsprofile!$G$17:$G$22)*Kalender!D208/SUM(Kalender!$D$5:$D$370),0)+IFERROR(SUMIF(Nutzungsprofile!$B$17:$B$22,"Individuell",Nutzungsprofile!$G$17:$G$22)*Kalender!E208/SUM(Kalender!$E$5:$E$370),0)),0)</f>
        <v>0.89</v>
      </c>
      <c r="F208" s="13" t="n">
        <f aca="false">IFERROR(MIN(D208,Eingaben!$B$17)*Eingaben!$B$16,0)</f>
        <v>1.938</v>
      </c>
      <c r="G208" s="13" t="n">
        <f aca="false">IFERROR(F208*Eingaben!$B$15,0)</f>
        <v>1.7442</v>
      </c>
      <c r="H208" s="13" t="n">
        <f aca="false">IFERROR(Q208*(1-Eingaben!$B$20),0)</f>
        <v>1.709316</v>
      </c>
      <c r="I208" s="13" t="n">
        <f aca="false">MIN(H208,E208)</f>
        <v>0.89</v>
      </c>
      <c r="J208" s="13" t="n">
        <f aca="false">IFERROR(MIN(G208*Eingaben!$B$19,MAX(0,E208-I208)),0)</f>
        <v>0</v>
      </c>
      <c r="K208" s="13" t="n">
        <f aca="false">IFERROR(MIN(Eingaben!$B$18,MAX(0,G208-J208)),0)</f>
        <v>1.7442</v>
      </c>
      <c r="L208" s="13" t="n">
        <f aca="false">I208+J208</f>
        <v>0.89</v>
      </c>
      <c r="M208" s="13" t="n">
        <f aca="false">MAX(0,E208-L208)</f>
        <v>0</v>
      </c>
      <c r="N208" s="13" t="n">
        <f aca="false">MAX(0,G208-J208-K208)</f>
        <v>0</v>
      </c>
      <c r="O208" s="13" t="n">
        <f aca="false">Q208-I208</f>
        <v>0.8542</v>
      </c>
      <c r="P208" s="13" t="n">
        <f aca="false">G208+Q208-L208-N208-O208-K208</f>
        <v>0</v>
      </c>
      <c r="Q208" s="13" t="n">
        <f aca="false">IF(A208="",0,K207)</f>
        <v>1.7442</v>
      </c>
    </row>
    <row r="209" customFormat="false" ht="16.4" hidden="false" customHeight="false" outlineLevel="0" collapsed="false">
      <c r="A209" s="23" t="n">
        <f aca="false">Kalender!A209</f>
        <v>46227</v>
      </c>
      <c r="B209" s="13" t="n">
        <f aca="false">Kalender!C209</f>
        <v>0</v>
      </c>
      <c r="C209" s="13" t="n">
        <f aca="false">Kalender!D209</f>
        <v>1</v>
      </c>
      <c r="D209" s="13" t="n">
        <f aca="false">IF(Prüfungen!$B$4=0,(IFERROR(SUMIF(Nutzungsprofile!$B$6:$B$11,"Schulbetrieb",Nutzungsprofile!$G$6:$G$11)*Kalender!C209/SUM(Kalender!$C$5:$C$370),0)+IFERROR(SUMIF(Nutzungsprofile!$B$6:$B$11,"Halle",Nutzungsprofile!$G$6:$G$11)*Kalender!D209/SUM(Kalender!$D$5:$D$370),0)+IFERROR(SUMIF(Nutzungsprofile!$B$6:$B$11,"Individuell",Nutzungsprofile!$G$6:$G$11)*Kalender!E209/SUM(Kalender!$E$5:$E$370),0)),0)</f>
        <v>2.04</v>
      </c>
      <c r="E209" s="13" t="n">
        <f aca="false">IF(Prüfungen!$B$4=0,(IFERROR(SUMIF(Nutzungsprofile!$B$17:$B$22,"Schulbetrieb",Nutzungsprofile!$G$17:$G$22)*Kalender!C209/SUM(Kalender!$C$5:$C$370),0)+IFERROR(SUMIF(Nutzungsprofile!$B$17:$B$22,"Halle",Nutzungsprofile!$G$17:$G$22)*Kalender!D209/SUM(Kalender!$D$5:$D$370),0)+IFERROR(SUMIF(Nutzungsprofile!$B$17:$B$22,"Individuell",Nutzungsprofile!$G$17:$G$22)*Kalender!E209/SUM(Kalender!$E$5:$E$370),0)),0)</f>
        <v>0.89</v>
      </c>
      <c r="F209" s="13" t="n">
        <f aca="false">IFERROR(MIN(D209,Eingaben!$B$17)*Eingaben!$B$16,0)</f>
        <v>1.938</v>
      </c>
      <c r="G209" s="13" t="n">
        <f aca="false">IFERROR(F209*Eingaben!$B$15,0)</f>
        <v>1.7442</v>
      </c>
      <c r="H209" s="13" t="n">
        <f aca="false">IFERROR(Q209*(1-Eingaben!$B$20),0)</f>
        <v>1.709316</v>
      </c>
      <c r="I209" s="13" t="n">
        <f aca="false">MIN(H209,E209)</f>
        <v>0.89</v>
      </c>
      <c r="J209" s="13" t="n">
        <f aca="false">IFERROR(MIN(G209*Eingaben!$B$19,MAX(0,E209-I209)),0)</f>
        <v>0</v>
      </c>
      <c r="K209" s="13" t="n">
        <f aca="false">IFERROR(MIN(Eingaben!$B$18,MAX(0,G209-J209)),0)</f>
        <v>1.7442</v>
      </c>
      <c r="L209" s="13" t="n">
        <f aca="false">I209+J209</f>
        <v>0.89</v>
      </c>
      <c r="M209" s="13" t="n">
        <f aca="false">MAX(0,E209-L209)</f>
        <v>0</v>
      </c>
      <c r="N209" s="13" t="n">
        <f aca="false">MAX(0,G209-J209-K209)</f>
        <v>0</v>
      </c>
      <c r="O209" s="13" t="n">
        <f aca="false">Q209-I209</f>
        <v>0.8542</v>
      </c>
      <c r="P209" s="13" t="n">
        <f aca="false">G209+Q209-L209-N209-O209-K209</f>
        <v>0</v>
      </c>
      <c r="Q209" s="13" t="n">
        <f aca="false">IF(A209="",0,K208)</f>
        <v>1.7442</v>
      </c>
    </row>
    <row r="210" customFormat="false" ht="16.4" hidden="false" customHeight="false" outlineLevel="0" collapsed="false">
      <c r="A210" s="23" t="n">
        <f aca="false">Kalender!A210</f>
        <v>46228</v>
      </c>
      <c r="B210" s="13" t="n">
        <f aca="false">Kalender!C210</f>
        <v>0</v>
      </c>
      <c r="C210" s="13" t="n">
        <f aca="false">Kalender!D210</f>
        <v>1</v>
      </c>
      <c r="D210" s="13" t="n">
        <f aca="false">IF(Prüfungen!$B$4=0,(IFERROR(SUMIF(Nutzungsprofile!$B$6:$B$11,"Schulbetrieb",Nutzungsprofile!$G$6:$G$11)*Kalender!C210/SUM(Kalender!$C$5:$C$370),0)+IFERROR(SUMIF(Nutzungsprofile!$B$6:$B$11,"Halle",Nutzungsprofile!$G$6:$G$11)*Kalender!D210/SUM(Kalender!$D$5:$D$370),0)+IFERROR(SUMIF(Nutzungsprofile!$B$6:$B$11,"Individuell",Nutzungsprofile!$G$6:$G$11)*Kalender!E210/SUM(Kalender!$E$5:$E$370),0)),0)</f>
        <v>2.04</v>
      </c>
      <c r="E210" s="13" t="n">
        <f aca="false">IF(Prüfungen!$B$4=0,(IFERROR(SUMIF(Nutzungsprofile!$B$17:$B$22,"Schulbetrieb",Nutzungsprofile!$G$17:$G$22)*Kalender!C210/SUM(Kalender!$C$5:$C$370),0)+IFERROR(SUMIF(Nutzungsprofile!$B$17:$B$22,"Halle",Nutzungsprofile!$G$17:$G$22)*Kalender!D210/SUM(Kalender!$D$5:$D$370),0)+IFERROR(SUMIF(Nutzungsprofile!$B$17:$B$22,"Individuell",Nutzungsprofile!$G$17:$G$22)*Kalender!E210/SUM(Kalender!$E$5:$E$370),0)),0)</f>
        <v>0.89</v>
      </c>
      <c r="F210" s="13" t="n">
        <f aca="false">IFERROR(MIN(D210,Eingaben!$B$17)*Eingaben!$B$16,0)</f>
        <v>1.938</v>
      </c>
      <c r="G210" s="13" t="n">
        <f aca="false">IFERROR(F210*Eingaben!$B$15,0)</f>
        <v>1.7442</v>
      </c>
      <c r="H210" s="13" t="n">
        <f aca="false">IFERROR(Q210*(1-Eingaben!$B$20),0)</f>
        <v>1.709316</v>
      </c>
      <c r="I210" s="13" t="n">
        <f aca="false">MIN(H210,E210)</f>
        <v>0.89</v>
      </c>
      <c r="J210" s="13" t="n">
        <f aca="false">IFERROR(MIN(G210*Eingaben!$B$19,MAX(0,E210-I210)),0)</f>
        <v>0</v>
      </c>
      <c r="K210" s="13" t="n">
        <f aca="false">IFERROR(MIN(Eingaben!$B$18,MAX(0,G210-J210)),0)</f>
        <v>1.7442</v>
      </c>
      <c r="L210" s="13" t="n">
        <f aca="false">I210+J210</f>
        <v>0.89</v>
      </c>
      <c r="M210" s="13" t="n">
        <f aca="false">MAX(0,E210-L210)</f>
        <v>0</v>
      </c>
      <c r="N210" s="13" t="n">
        <f aca="false">MAX(0,G210-J210-K210)</f>
        <v>0</v>
      </c>
      <c r="O210" s="13" t="n">
        <f aca="false">Q210-I210</f>
        <v>0.8542</v>
      </c>
      <c r="P210" s="13" t="n">
        <f aca="false">G210+Q210-L210-N210-O210-K210</f>
        <v>0</v>
      </c>
      <c r="Q210" s="13" t="n">
        <f aca="false">IF(A210="",0,K209)</f>
        <v>1.7442</v>
      </c>
    </row>
    <row r="211" customFormat="false" ht="16.4" hidden="false" customHeight="false" outlineLevel="0" collapsed="false">
      <c r="A211" s="23" t="n">
        <f aca="false">Kalender!A211</f>
        <v>46229</v>
      </c>
      <c r="B211" s="13" t="n">
        <f aca="false">Kalender!C211</f>
        <v>0</v>
      </c>
      <c r="C211" s="13" t="n">
        <f aca="false">Kalender!D211</f>
        <v>1</v>
      </c>
      <c r="D211" s="13" t="n">
        <f aca="false">IF(Prüfungen!$B$4=0,(IFERROR(SUMIF(Nutzungsprofile!$B$6:$B$11,"Schulbetrieb",Nutzungsprofile!$G$6:$G$11)*Kalender!C211/SUM(Kalender!$C$5:$C$370),0)+IFERROR(SUMIF(Nutzungsprofile!$B$6:$B$11,"Halle",Nutzungsprofile!$G$6:$G$11)*Kalender!D211/SUM(Kalender!$D$5:$D$370),0)+IFERROR(SUMIF(Nutzungsprofile!$B$6:$B$11,"Individuell",Nutzungsprofile!$G$6:$G$11)*Kalender!E211/SUM(Kalender!$E$5:$E$370),0)),0)</f>
        <v>2.04</v>
      </c>
      <c r="E211" s="13" t="n">
        <f aca="false">IF(Prüfungen!$B$4=0,(IFERROR(SUMIF(Nutzungsprofile!$B$17:$B$22,"Schulbetrieb",Nutzungsprofile!$G$17:$G$22)*Kalender!C211/SUM(Kalender!$C$5:$C$370),0)+IFERROR(SUMIF(Nutzungsprofile!$B$17:$B$22,"Halle",Nutzungsprofile!$G$17:$G$22)*Kalender!D211/SUM(Kalender!$D$5:$D$370),0)+IFERROR(SUMIF(Nutzungsprofile!$B$17:$B$22,"Individuell",Nutzungsprofile!$G$17:$G$22)*Kalender!E211/SUM(Kalender!$E$5:$E$370),0)),0)</f>
        <v>0.89</v>
      </c>
      <c r="F211" s="13" t="n">
        <f aca="false">IFERROR(MIN(D211,Eingaben!$B$17)*Eingaben!$B$16,0)</f>
        <v>1.938</v>
      </c>
      <c r="G211" s="13" t="n">
        <f aca="false">IFERROR(F211*Eingaben!$B$15,0)</f>
        <v>1.7442</v>
      </c>
      <c r="H211" s="13" t="n">
        <f aca="false">IFERROR(Q211*(1-Eingaben!$B$20),0)</f>
        <v>1.709316</v>
      </c>
      <c r="I211" s="13" t="n">
        <f aca="false">MIN(H211,E211)</f>
        <v>0.89</v>
      </c>
      <c r="J211" s="13" t="n">
        <f aca="false">IFERROR(MIN(G211*Eingaben!$B$19,MAX(0,E211-I211)),0)</f>
        <v>0</v>
      </c>
      <c r="K211" s="13" t="n">
        <f aca="false">IFERROR(MIN(Eingaben!$B$18,MAX(0,G211-J211)),0)</f>
        <v>1.7442</v>
      </c>
      <c r="L211" s="13" t="n">
        <f aca="false">I211+J211</f>
        <v>0.89</v>
      </c>
      <c r="M211" s="13" t="n">
        <f aca="false">MAX(0,E211-L211)</f>
        <v>0</v>
      </c>
      <c r="N211" s="13" t="n">
        <f aca="false">MAX(0,G211-J211-K211)</f>
        <v>0</v>
      </c>
      <c r="O211" s="13" t="n">
        <f aca="false">Q211-I211</f>
        <v>0.8542</v>
      </c>
      <c r="P211" s="13" t="n">
        <f aca="false">G211+Q211-L211-N211-O211-K211</f>
        <v>0</v>
      </c>
      <c r="Q211" s="13" t="n">
        <f aca="false">IF(A211="",0,K210)</f>
        <v>1.7442</v>
      </c>
    </row>
    <row r="212" customFormat="false" ht="16.4" hidden="false" customHeight="false" outlineLevel="0" collapsed="false">
      <c r="A212" s="23" t="n">
        <f aca="false">Kalender!A212</f>
        <v>46230</v>
      </c>
      <c r="B212" s="13" t="n">
        <f aca="false">Kalender!C212</f>
        <v>0</v>
      </c>
      <c r="C212" s="13" t="n">
        <f aca="false">Kalender!D212</f>
        <v>1</v>
      </c>
      <c r="D212" s="13" t="n">
        <f aca="false">IF(Prüfungen!$B$4=0,(IFERROR(SUMIF(Nutzungsprofile!$B$6:$B$11,"Schulbetrieb",Nutzungsprofile!$G$6:$G$11)*Kalender!C212/SUM(Kalender!$C$5:$C$370),0)+IFERROR(SUMIF(Nutzungsprofile!$B$6:$B$11,"Halle",Nutzungsprofile!$G$6:$G$11)*Kalender!D212/SUM(Kalender!$D$5:$D$370),0)+IFERROR(SUMIF(Nutzungsprofile!$B$6:$B$11,"Individuell",Nutzungsprofile!$G$6:$G$11)*Kalender!E212/SUM(Kalender!$E$5:$E$370),0)),0)</f>
        <v>2.04</v>
      </c>
      <c r="E212" s="13" t="n">
        <f aca="false">IF(Prüfungen!$B$4=0,(IFERROR(SUMIF(Nutzungsprofile!$B$17:$B$22,"Schulbetrieb",Nutzungsprofile!$G$17:$G$22)*Kalender!C212/SUM(Kalender!$C$5:$C$370),0)+IFERROR(SUMIF(Nutzungsprofile!$B$17:$B$22,"Halle",Nutzungsprofile!$G$17:$G$22)*Kalender!D212/SUM(Kalender!$D$5:$D$370),0)+IFERROR(SUMIF(Nutzungsprofile!$B$17:$B$22,"Individuell",Nutzungsprofile!$G$17:$G$22)*Kalender!E212/SUM(Kalender!$E$5:$E$370),0)),0)</f>
        <v>0.89</v>
      </c>
      <c r="F212" s="13" t="n">
        <f aca="false">IFERROR(MIN(D212,Eingaben!$B$17)*Eingaben!$B$16,0)</f>
        <v>1.938</v>
      </c>
      <c r="G212" s="13" t="n">
        <f aca="false">IFERROR(F212*Eingaben!$B$15,0)</f>
        <v>1.7442</v>
      </c>
      <c r="H212" s="13" t="n">
        <f aca="false">IFERROR(Q212*(1-Eingaben!$B$20),0)</f>
        <v>1.709316</v>
      </c>
      <c r="I212" s="13" t="n">
        <f aca="false">MIN(H212,E212)</f>
        <v>0.89</v>
      </c>
      <c r="J212" s="13" t="n">
        <f aca="false">IFERROR(MIN(G212*Eingaben!$B$19,MAX(0,E212-I212)),0)</f>
        <v>0</v>
      </c>
      <c r="K212" s="13" t="n">
        <f aca="false">IFERROR(MIN(Eingaben!$B$18,MAX(0,G212-J212)),0)</f>
        <v>1.7442</v>
      </c>
      <c r="L212" s="13" t="n">
        <f aca="false">I212+J212</f>
        <v>0.89</v>
      </c>
      <c r="M212" s="13" t="n">
        <f aca="false">MAX(0,E212-L212)</f>
        <v>0</v>
      </c>
      <c r="N212" s="13" t="n">
        <f aca="false">MAX(0,G212-J212-K212)</f>
        <v>0</v>
      </c>
      <c r="O212" s="13" t="n">
        <f aca="false">Q212-I212</f>
        <v>0.8542</v>
      </c>
      <c r="P212" s="13" t="n">
        <f aca="false">G212+Q212-L212-N212-O212-K212</f>
        <v>0</v>
      </c>
      <c r="Q212" s="13" t="n">
        <f aca="false">IF(A212="",0,K211)</f>
        <v>1.7442</v>
      </c>
    </row>
    <row r="213" customFormat="false" ht="16.4" hidden="false" customHeight="false" outlineLevel="0" collapsed="false">
      <c r="A213" s="23" t="n">
        <f aca="false">Kalender!A213</f>
        <v>46231</v>
      </c>
      <c r="B213" s="13" t="n">
        <f aca="false">Kalender!C213</f>
        <v>0</v>
      </c>
      <c r="C213" s="13" t="n">
        <f aca="false">Kalender!D213</f>
        <v>1</v>
      </c>
      <c r="D213" s="13" t="n">
        <f aca="false">IF(Prüfungen!$B$4=0,(IFERROR(SUMIF(Nutzungsprofile!$B$6:$B$11,"Schulbetrieb",Nutzungsprofile!$G$6:$G$11)*Kalender!C213/SUM(Kalender!$C$5:$C$370),0)+IFERROR(SUMIF(Nutzungsprofile!$B$6:$B$11,"Halle",Nutzungsprofile!$G$6:$G$11)*Kalender!D213/SUM(Kalender!$D$5:$D$370),0)+IFERROR(SUMIF(Nutzungsprofile!$B$6:$B$11,"Individuell",Nutzungsprofile!$G$6:$G$11)*Kalender!E213/SUM(Kalender!$E$5:$E$370),0)),0)</f>
        <v>2.04</v>
      </c>
      <c r="E213" s="13" t="n">
        <f aca="false">IF(Prüfungen!$B$4=0,(IFERROR(SUMIF(Nutzungsprofile!$B$17:$B$22,"Schulbetrieb",Nutzungsprofile!$G$17:$G$22)*Kalender!C213/SUM(Kalender!$C$5:$C$370),0)+IFERROR(SUMIF(Nutzungsprofile!$B$17:$B$22,"Halle",Nutzungsprofile!$G$17:$G$22)*Kalender!D213/SUM(Kalender!$D$5:$D$370),0)+IFERROR(SUMIF(Nutzungsprofile!$B$17:$B$22,"Individuell",Nutzungsprofile!$G$17:$G$22)*Kalender!E213/SUM(Kalender!$E$5:$E$370),0)),0)</f>
        <v>0.89</v>
      </c>
      <c r="F213" s="13" t="n">
        <f aca="false">IFERROR(MIN(D213,Eingaben!$B$17)*Eingaben!$B$16,0)</f>
        <v>1.938</v>
      </c>
      <c r="G213" s="13" t="n">
        <f aca="false">IFERROR(F213*Eingaben!$B$15,0)</f>
        <v>1.7442</v>
      </c>
      <c r="H213" s="13" t="n">
        <f aca="false">IFERROR(Q213*(1-Eingaben!$B$20),0)</f>
        <v>1.709316</v>
      </c>
      <c r="I213" s="13" t="n">
        <f aca="false">MIN(H213,E213)</f>
        <v>0.89</v>
      </c>
      <c r="J213" s="13" t="n">
        <f aca="false">IFERROR(MIN(G213*Eingaben!$B$19,MAX(0,E213-I213)),0)</f>
        <v>0</v>
      </c>
      <c r="K213" s="13" t="n">
        <f aca="false">IFERROR(MIN(Eingaben!$B$18,MAX(0,G213-J213)),0)</f>
        <v>1.7442</v>
      </c>
      <c r="L213" s="13" t="n">
        <f aca="false">I213+J213</f>
        <v>0.89</v>
      </c>
      <c r="M213" s="13" t="n">
        <f aca="false">MAX(0,E213-L213)</f>
        <v>0</v>
      </c>
      <c r="N213" s="13" t="n">
        <f aca="false">MAX(0,G213-J213-K213)</f>
        <v>0</v>
      </c>
      <c r="O213" s="13" t="n">
        <f aca="false">Q213-I213</f>
        <v>0.8542</v>
      </c>
      <c r="P213" s="13" t="n">
        <f aca="false">G213+Q213-L213-N213-O213-K213</f>
        <v>0</v>
      </c>
      <c r="Q213" s="13" t="n">
        <f aca="false">IF(A213="",0,K212)</f>
        <v>1.7442</v>
      </c>
    </row>
    <row r="214" customFormat="false" ht="16.4" hidden="false" customHeight="false" outlineLevel="0" collapsed="false">
      <c r="A214" s="23" t="n">
        <f aca="false">Kalender!A214</f>
        <v>46232</v>
      </c>
      <c r="B214" s="13" t="n">
        <f aca="false">Kalender!C214</f>
        <v>0</v>
      </c>
      <c r="C214" s="13" t="n">
        <f aca="false">Kalender!D214</f>
        <v>1</v>
      </c>
      <c r="D214" s="13" t="n">
        <f aca="false">IF(Prüfungen!$B$4=0,(IFERROR(SUMIF(Nutzungsprofile!$B$6:$B$11,"Schulbetrieb",Nutzungsprofile!$G$6:$G$11)*Kalender!C214/SUM(Kalender!$C$5:$C$370),0)+IFERROR(SUMIF(Nutzungsprofile!$B$6:$B$11,"Halle",Nutzungsprofile!$G$6:$G$11)*Kalender!D214/SUM(Kalender!$D$5:$D$370),0)+IFERROR(SUMIF(Nutzungsprofile!$B$6:$B$11,"Individuell",Nutzungsprofile!$G$6:$G$11)*Kalender!E214/SUM(Kalender!$E$5:$E$370),0)),0)</f>
        <v>2.04</v>
      </c>
      <c r="E214" s="13" t="n">
        <f aca="false">IF(Prüfungen!$B$4=0,(IFERROR(SUMIF(Nutzungsprofile!$B$17:$B$22,"Schulbetrieb",Nutzungsprofile!$G$17:$G$22)*Kalender!C214/SUM(Kalender!$C$5:$C$370),0)+IFERROR(SUMIF(Nutzungsprofile!$B$17:$B$22,"Halle",Nutzungsprofile!$G$17:$G$22)*Kalender!D214/SUM(Kalender!$D$5:$D$370),0)+IFERROR(SUMIF(Nutzungsprofile!$B$17:$B$22,"Individuell",Nutzungsprofile!$G$17:$G$22)*Kalender!E214/SUM(Kalender!$E$5:$E$370),0)),0)</f>
        <v>0.89</v>
      </c>
      <c r="F214" s="13" t="n">
        <f aca="false">IFERROR(MIN(D214,Eingaben!$B$17)*Eingaben!$B$16,0)</f>
        <v>1.938</v>
      </c>
      <c r="G214" s="13" t="n">
        <f aca="false">IFERROR(F214*Eingaben!$B$15,0)</f>
        <v>1.7442</v>
      </c>
      <c r="H214" s="13" t="n">
        <f aca="false">IFERROR(Q214*(1-Eingaben!$B$20),0)</f>
        <v>1.709316</v>
      </c>
      <c r="I214" s="13" t="n">
        <f aca="false">MIN(H214,E214)</f>
        <v>0.89</v>
      </c>
      <c r="J214" s="13" t="n">
        <f aca="false">IFERROR(MIN(G214*Eingaben!$B$19,MAX(0,E214-I214)),0)</f>
        <v>0</v>
      </c>
      <c r="K214" s="13" t="n">
        <f aca="false">IFERROR(MIN(Eingaben!$B$18,MAX(0,G214-J214)),0)</f>
        <v>1.7442</v>
      </c>
      <c r="L214" s="13" t="n">
        <f aca="false">I214+J214</f>
        <v>0.89</v>
      </c>
      <c r="M214" s="13" t="n">
        <f aca="false">MAX(0,E214-L214)</f>
        <v>0</v>
      </c>
      <c r="N214" s="13" t="n">
        <f aca="false">MAX(0,G214-J214-K214)</f>
        <v>0</v>
      </c>
      <c r="O214" s="13" t="n">
        <f aca="false">Q214-I214</f>
        <v>0.8542</v>
      </c>
      <c r="P214" s="13" t="n">
        <f aca="false">G214+Q214-L214-N214-O214-K214</f>
        <v>0</v>
      </c>
      <c r="Q214" s="13" t="n">
        <f aca="false">IF(A214="",0,K213)</f>
        <v>1.7442</v>
      </c>
    </row>
    <row r="215" customFormat="false" ht="16.4" hidden="false" customHeight="false" outlineLevel="0" collapsed="false">
      <c r="A215" s="23" t="n">
        <f aca="false">Kalender!A215</f>
        <v>46233</v>
      </c>
      <c r="B215" s="13" t="n">
        <f aca="false">Kalender!C215</f>
        <v>0</v>
      </c>
      <c r="C215" s="13" t="n">
        <f aca="false">Kalender!D215</f>
        <v>1</v>
      </c>
      <c r="D215" s="13" t="n">
        <f aca="false">IF(Prüfungen!$B$4=0,(IFERROR(SUMIF(Nutzungsprofile!$B$6:$B$11,"Schulbetrieb",Nutzungsprofile!$G$6:$G$11)*Kalender!C215/SUM(Kalender!$C$5:$C$370),0)+IFERROR(SUMIF(Nutzungsprofile!$B$6:$B$11,"Halle",Nutzungsprofile!$G$6:$G$11)*Kalender!D215/SUM(Kalender!$D$5:$D$370),0)+IFERROR(SUMIF(Nutzungsprofile!$B$6:$B$11,"Individuell",Nutzungsprofile!$G$6:$G$11)*Kalender!E215/SUM(Kalender!$E$5:$E$370),0)),0)</f>
        <v>2.04</v>
      </c>
      <c r="E215" s="13" t="n">
        <f aca="false">IF(Prüfungen!$B$4=0,(IFERROR(SUMIF(Nutzungsprofile!$B$17:$B$22,"Schulbetrieb",Nutzungsprofile!$G$17:$G$22)*Kalender!C215/SUM(Kalender!$C$5:$C$370),0)+IFERROR(SUMIF(Nutzungsprofile!$B$17:$B$22,"Halle",Nutzungsprofile!$G$17:$G$22)*Kalender!D215/SUM(Kalender!$D$5:$D$370),0)+IFERROR(SUMIF(Nutzungsprofile!$B$17:$B$22,"Individuell",Nutzungsprofile!$G$17:$G$22)*Kalender!E215/SUM(Kalender!$E$5:$E$370),0)),0)</f>
        <v>0.89</v>
      </c>
      <c r="F215" s="13" t="n">
        <f aca="false">IFERROR(MIN(D215,Eingaben!$B$17)*Eingaben!$B$16,0)</f>
        <v>1.938</v>
      </c>
      <c r="G215" s="13" t="n">
        <f aca="false">IFERROR(F215*Eingaben!$B$15,0)</f>
        <v>1.7442</v>
      </c>
      <c r="H215" s="13" t="n">
        <f aca="false">IFERROR(Q215*(1-Eingaben!$B$20),0)</f>
        <v>1.709316</v>
      </c>
      <c r="I215" s="13" t="n">
        <f aca="false">MIN(H215,E215)</f>
        <v>0.89</v>
      </c>
      <c r="J215" s="13" t="n">
        <f aca="false">IFERROR(MIN(G215*Eingaben!$B$19,MAX(0,E215-I215)),0)</f>
        <v>0</v>
      </c>
      <c r="K215" s="13" t="n">
        <f aca="false">IFERROR(MIN(Eingaben!$B$18,MAX(0,G215-J215)),0)</f>
        <v>1.7442</v>
      </c>
      <c r="L215" s="13" t="n">
        <f aca="false">I215+J215</f>
        <v>0.89</v>
      </c>
      <c r="M215" s="13" t="n">
        <f aca="false">MAX(0,E215-L215)</f>
        <v>0</v>
      </c>
      <c r="N215" s="13" t="n">
        <f aca="false">MAX(0,G215-J215-K215)</f>
        <v>0</v>
      </c>
      <c r="O215" s="13" t="n">
        <f aca="false">Q215-I215</f>
        <v>0.8542</v>
      </c>
      <c r="P215" s="13" t="n">
        <f aca="false">G215+Q215-L215-N215-O215-K215</f>
        <v>0</v>
      </c>
      <c r="Q215" s="13" t="n">
        <f aca="false">IF(A215="",0,K214)</f>
        <v>1.7442</v>
      </c>
    </row>
    <row r="216" customFormat="false" ht="16.4" hidden="false" customHeight="false" outlineLevel="0" collapsed="false">
      <c r="A216" s="23" t="n">
        <f aca="false">Kalender!A216</f>
        <v>46234</v>
      </c>
      <c r="B216" s="13" t="n">
        <f aca="false">Kalender!C216</f>
        <v>0</v>
      </c>
      <c r="C216" s="13" t="n">
        <f aca="false">Kalender!D216</f>
        <v>1</v>
      </c>
      <c r="D216" s="13" t="n">
        <f aca="false">IF(Prüfungen!$B$4=0,(IFERROR(SUMIF(Nutzungsprofile!$B$6:$B$11,"Schulbetrieb",Nutzungsprofile!$G$6:$G$11)*Kalender!C216/SUM(Kalender!$C$5:$C$370),0)+IFERROR(SUMIF(Nutzungsprofile!$B$6:$B$11,"Halle",Nutzungsprofile!$G$6:$G$11)*Kalender!D216/SUM(Kalender!$D$5:$D$370),0)+IFERROR(SUMIF(Nutzungsprofile!$B$6:$B$11,"Individuell",Nutzungsprofile!$G$6:$G$11)*Kalender!E216/SUM(Kalender!$E$5:$E$370),0)),0)</f>
        <v>2.04</v>
      </c>
      <c r="E216" s="13" t="n">
        <f aca="false">IF(Prüfungen!$B$4=0,(IFERROR(SUMIF(Nutzungsprofile!$B$17:$B$22,"Schulbetrieb",Nutzungsprofile!$G$17:$G$22)*Kalender!C216/SUM(Kalender!$C$5:$C$370),0)+IFERROR(SUMIF(Nutzungsprofile!$B$17:$B$22,"Halle",Nutzungsprofile!$G$17:$G$22)*Kalender!D216/SUM(Kalender!$D$5:$D$370),0)+IFERROR(SUMIF(Nutzungsprofile!$B$17:$B$22,"Individuell",Nutzungsprofile!$G$17:$G$22)*Kalender!E216/SUM(Kalender!$E$5:$E$370),0)),0)</f>
        <v>0.89</v>
      </c>
      <c r="F216" s="13" t="n">
        <f aca="false">IFERROR(MIN(D216,Eingaben!$B$17)*Eingaben!$B$16,0)</f>
        <v>1.938</v>
      </c>
      <c r="G216" s="13" t="n">
        <f aca="false">IFERROR(F216*Eingaben!$B$15,0)</f>
        <v>1.7442</v>
      </c>
      <c r="H216" s="13" t="n">
        <f aca="false">IFERROR(Q216*(1-Eingaben!$B$20),0)</f>
        <v>1.709316</v>
      </c>
      <c r="I216" s="13" t="n">
        <f aca="false">MIN(H216,E216)</f>
        <v>0.89</v>
      </c>
      <c r="J216" s="13" t="n">
        <f aca="false">IFERROR(MIN(G216*Eingaben!$B$19,MAX(0,E216-I216)),0)</f>
        <v>0</v>
      </c>
      <c r="K216" s="13" t="n">
        <f aca="false">IFERROR(MIN(Eingaben!$B$18,MAX(0,G216-J216)),0)</f>
        <v>1.7442</v>
      </c>
      <c r="L216" s="13" t="n">
        <f aca="false">I216+J216</f>
        <v>0.89</v>
      </c>
      <c r="M216" s="13" t="n">
        <f aca="false">MAX(0,E216-L216)</f>
        <v>0</v>
      </c>
      <c r="N216" s="13" t="n">
        <f aca="false">MAX(0,G216-J216-K216)</f>
        <v>0</v>
      </c>
      <c r="O216" s="13" t="n">
        <f aca="false">Q216-I216</f>
        <v>0.8542</v>
      </c>
      <c r="P216" s="13" t="n">
        <f aca="false">G216+Q216-L216-N216-O216-K216</f>
        <v>0</v>
      </c>
      <c r="Q216" s="13" t="n">
        <f aca="false">IF(A216="",0,K215)</f>
        <v>1.7442</v>
      </c>
    </row>
    <row r="217" customFormat="false" ht="16.4" hidden="false" customHeight="false" outlineLevel="0" collapsed="false">
      <c r="A217" s="23" t="n">
        <f aca="false">Kalender!A217</f>
        <v>46235</v>
      </c>
      <c r="B217" s="13" t="n">
        <f aca="false">Kalender!C217</f>
        <v>0</v>
      </c>
      <c r="C217" s="13" t="n">
        <f aca="false">Kalender!D217</f>
        <v>1</v>
      </c>
      <c r="D217" s="13" t="n">
        <f aca="false">IF(Prüfungen!$B$4=0,(IFERROR(SUMIF(Nutzungsprofile!$B$6:$B$11,"Schulbetrieb",Nutzungsprofile!$G$6:$G$11)*Kalender!C217/SUM(Kalender!$C$5:$C$370),0)+IFERROR(SUMIF(Nutzungsprofile!$B$6:$B$11,"Halle",Nutzungsprofile!$G$6:$G$11)*Kalender!D217/SUM(Kalender!$D$5:$D$370),0)+IFERROR(SUMIF(Nutzungsprofile!$B$6:$B$11,"Individuell",Nutzungsprofile!$G$6:$G$11)*Kalender!E217/SUM(Kalender!$E$5:$E$370),0)),0)</f>
        <v>2.04</v>
      </c>
      <c r="E217" s="13" t="n">
        <f aca="false">IF(Prüfungen!$B$4=0,(IFERROR(SUMIF(Nutzungsprofile!$B$17:$B$22,"Schulbetrieb",Nutzungsprofile!$G$17:$G$22)*Kalender!C217/SUM(Kalender!$C$5:$C$370),0)+IFERROR(SUMIF(Nutzungsprofile!$B$17:$B$22,"Halle",Nutzungsprofile!$G$17:$G$22)*Kalender!D217/SUM(Kalender!$D$5:$D$370),0)+IFERROR(SUMIF(Nutzungsprofile!$B$17:$B$22,"Individuell",Nutzungsprofile!$G$17:$G$22)*Kalender!E217/SUM(Kalender!$E$5:$E$370),0)),0)</f>
        <v>0.89</v>
      </c>
      <c r="F217" s="13" t="n">
        <f aca="false">IFERROR(MIN(D217,Eingaben!$B$17)*Eingaben!$B$16,0)</f>
        <v>1.938</v>
      </c>
      <c r="G217" s="13" t="n">
        <f aca="false">IFERROR(F217*Eingaben!$B$15,0)</f>
        <v>1.7442</v>
      </c>
      <c r="H217" s="13" t="n">
        <f aca="false">IFERROR(Q217*(1-Eingaben!$B$20),0)</f>
        <v>1.709316</v>
      </c>
      <c r="I217" s="13" t="n">
        <f aca="false">MIN(H217,E217)</f>
        <v>0.89</v>
      </c>
      <c r="J217" s="13" t="n">
        <f aca="false">IFERROR(MIN(G217*Eingaben!$B$19,MAX(0,E217-I217)),0)</f>
        <v>0</v>
      </c>
      <c r="K217" s="13" t="n">
        <f aca="false">IFERROR(MIN(Eingaben!$B$18,MAX(0,G217-J217)),0)</f>
        <v>1.7442</v>
      </c>
      <c r="L217" s="13" t="n">
        <f aca="false">I217+J217</f>
        <v>0.89</v>
      </c>
      <c r="M217" s="13" t="n">
        <f aca="false">MAX(0,E217-L217)</f>
        <v>0</v>
      </c>
      <c r="N217" s="13" t="n">
        <f aca="false">MAX(0,G217-J217-K217)</f>
        <v>0</v>
      </c>
      <c r="O217" s="13" t="n">
        <f aca="false">Q217-I217</f>
        <v>0.8542</v>
      </c>
      <c r="P217" s="13" t="n">
        <f aca="false">G217+Q217-L217-N217-O217-K217</f>
        <v>0</v>
      </c>
      <c r="Q217" s="13" t="n">
        <f aca="false">IF(A217="",0,K216)</f>
        <v>1.7442</v>
      </c>
    </row>
    <row r="218" customFormat="false" ht="16.4" hidden="false" customHeight="false" outlineLevel="0" collapsed="false">
      <c r="A218" s="23" t="n">
        <f aca="false">Kalender!A218</f>
        <v>46236</v>
      </c>
      <c r="B218" s="13" t="n">
        <f aca="false">Kalender!C218</f>
        <v>0</v>
      </c>
      <c r="C218" s="13" t="n">
        <f aca="false">Kalender!D218</f>
        <v>1</v>
      </c>
      <c r="D218" s="13" t="n">
        <f aca="false">IF(Prüfungen!$B$4=0,(IFERROR(SUMIF(Nutzungsprofile!$B$6:$B$11,"Schulbetrieb",Nutzungsprofile!$G$6:$G$11)*Kalender!C218/SUM(Kalender!$C$5:$C$370),0)+IFERROR(SUMIF(Nutzungsprofile!$B$6:$B$11,"Halle",Nutzungsprofile!$G$6:$G$11)*Kalender!D218/SUM(Kalender!$D$5:$D$370),0)+IFERROR(SUMIF(Nutzungsprofile!$B$6:$B$11,"Individuell",Nutzungsprofile!$G$6:$G$11)*Kalender!E218/SUM(Kalender!$E$5:$E$370),0)),0)</f>
        <v>2.04</v>
      </c>
      <c r="E218" s="13" t="n">
        <f aca="false">IF(Prüfungen!$B$4=0,(IFERROR(SUMIF(Nutzungsprofile!$B$17:$B$22,"Schulbetrieb",Nutzungsprofile!$G$17:$G$22)*Kalender!C218/SUM(Kalender!$C$5:$C$370),0)+IFERROR(SUMIF(Nutzungsprofile!$B$17:$B$22,"Halle",Nutzungsprofile!$G$17:$G$22)*Kalender!D218/SUM(Kalender!$D$5:$D$370),0)+IFERROR(SUMIF(Nutzungsprofile!$B$17:$B$22,"Individuell",Nutzungsprofile!$G$17:$G$22)*Kalender!E218/SUM(Kalender!$E$5:$E$370),0)),0)</f>
        <v>0.89</v>
      </c>
      <c r="F218" s="13" t="n">
        <f aca="false">IFERROR(MIN(D218,Eingaben!$B$17)*Eingaben!$B$16,0)</f>
        <v>1.938</v>
      </c>
      <c r="G218" s="13" t="n">
        <f aca="false">IFERROR(F218*Eingaben!$B$15,0)</f>
        <v>1.7442</v>
      </c>
      <c r="H218" s="13" t="n">
        <f aca="false">IFERROR(Q218*(1-Eingaben!$B$20),0)</f>
        <v>1.709316</v>
      </c>
      <c r="I218" s="13" t="n">
        <f aca="false">MIN(H218,E218)</f>
        <v>0.89</v>
      </c>
      <c r="J218" s="13" t="n">
        <f aca="false">IFERROR(MIN(G218*Eingaben!$B$19,MAX(0,E218-I218)),0)</f>
        <v>0</v>
      </c>
      <c r="K218" s="13" t="n">
        <f aca="false">IFERROR(MIN(Eingaben!$B$18,MAX(0,G218-J218)),0)</f>
        <v>1.7442</v>
      </c>
      <c r="L218" s="13" t="n">
        <f aca="false">I218+J218</f>
        <v>0.89</v>
      </c>
      <c r="M218" s="13" t="n">
        <f aca="false">MAX(0,E218-L218)</f>
        <v>0</v>
      </c>
      <c r="N218" s="13" t="n">
        <f aca="false">MAX(0,G218-J218-K218)</f>
        <v>0</v>
      </c>
      <c r="O218" s="13" t="n">
        <f aca="false">Q218-I218</f>
        <v>0.8542</v>
      </c>
      <c r="P218" s="13" t="n">
        <f aca="false">G218+Q218-L218-N218-O218-K218</f>
        <v>0</v>
      </c>
      <c r="Q218" s="13" t="n">
        <f aca="false">IF(A218="",0,K217)</f>
        <v>1.7442</v>
      </c>
    </row>
    <row r="219" customFormat="false" ht="16.4" hidden="false" customHeight="false" outlineLevel="0" collapsed="false">
      <c r="A219" s="23" t="n">
        <f aca="false">Kalender!A219</f>
        <v>46237</v>
      </c>
      <c r="B219" s="13" t="n">
        <f aca="false">Kalender!C219</f>
        <v>0</v>
      </c>
      <c r="C219" s="13" t="n">
        <f aca="false">Kalender!D219</f>
        <v>1</v>
      </c>
      <c r="D219" s="13" t="n">
        <f aca="false">IF(Prüfungen!$B$4=0,(IFERROR(SUMIF(Nutzungsprofile!$B$6:$B$11,"Schulbetrieb",Nutzungsprofile!$G$6:$G$11)*Kalender!C219/SUM(Kalender!$C$5:$C$370),0)+IFERROR(SUMIF(Nutzungsprofile!$B$6:$B$11,"Halle",Nutzungsprofile!$G$6:$G$11)*Kalender!D219/SUM(Kalender!$D$5:$D$370),0)+IFERROR(SUMIF(Nutzungsprofile!$B$6:$B$11,"Individuell",Nutzungsprofile!$G$6:$G$11)*Kalender!E219/SUM(Kalender!$E$5:$E$370),0)),0)</f>
        <v>2.04</v>
      </c>
      <c r="E219" s="13" t="n">
        <f aca="false">IF(Prüfungen!$B$4=0,(IFERROR(SUMIF(Nutzungsprofile!$B$17:$B$22,"Schulbetrieb",Nutzungsprofile!$G$17:$G$22)*Kalender!C219/SUM(Kalender!$C$5:$C$370),0)+IFERROR(SUMIF(Nutzungsprofile!$B$17:$B$22,"Halle",Nutzungsprofile!$G$17:$G$22)*Kalender!D219/SUM(Kalender!$D$5:$D$370),0)+IFERROR(SUMIF(Nutzungsprofile!$B$17:$B$22,"Individuell",Nutzungsprofile!$G$17:$G$22)*Kalender!E219/SUM(Kalender!$E$5:$E$370),0)),0)</f>
        <v>0.89</v>
      </c>
      <c r="F219" s="13" t="n">
        <f aca="false">IFERROR(MIN(D219,Eingaben!$B$17)*Eingaben!$B$16,0)</f>
        <v>1.938</v>
      </c>
      <c r="G219" s="13" t="n">
        <f aca="false">IFERROR(F219*Eingaben!$B$15,0)</f>
        <v>1.7442</v>
      </c>
      <c r="H219" s="13" t="n">
        <f aca="false">IFERROR(Q219*(1-Eingaben!$B$20),0)</f>
        <v>1.709316</v>
      </c>
      <c r="I219" s="13" t="n">
        <f aca="false">MIN(H219,E219)</f>
        <v>0.89</v>
      </c>
      <c r="J219" s="13" t="n">
        <f aca="false">IFERROR(MIN(G219*Eingaben!$B$19,MAX(0,E219-I219)),0)</f>
        <v>0</v>
      </c>
      <c r="K219" s="13" t="n">
        <f aca="false">IFERROR(MIN(Eingaben!$B$18,MAX(0,G219-J219)),0)</f>
        <v>1.7442</v>
      </c>
      <c r="L219" s="13" t="n">
        <f aca="false">I219+J219</f>
        <v>0.89</v>
      </c>
      <c r="M219" s="13" t="n">
        <f aca="false">MAX(0,E219-L219)</f>
        <v>0</v>
      </c>
      <c r="N219" s="13" t="n">
        <f aca="false">MAX(0,G219-J219-K219)</f>
        <v>0</v>
      </c>
      <c r="O219" s="13" t="n">
        <f aca="false">Q219-I219</f>
        <v>0.8542</v>
      </c>
      <c r="P219" s="13" t="n">
        <f aca="false">G219+Q219-L219-N219-O219-K219</f>
        <v>0</v>
      </c>
      <c r="Q219" s="13" t="n">
        <f aca="false">IF(A219="",0,K218)</f>
        <v>1.7442</v>
      </c>
    </row>
    <row r="220" customFormat="false" ht="16.4" hidden="false" customHeight="false" outlineLevel="0" collapsed="false">
      <c r="A220" s="23" t="n">
        <f aca="false">Kalender!A220</f>
        <v>46238</v>
      </c>
      <c r="B220" s="13" t="n">
        <f aca="false">Kalender!C220</f>
        <v>0</v>
      </c>
      <c r="C220" s="13" t="n">
        <f aca="false">Kalender!D220</f>
        <v>1</v>
      </c>
      <c r="D220" s="13" t="n">
        <f aca="false">IF(Prüfungen!$B$4=0,(IFERROR(SUMIF(Nutzungsprofile!$B$6:$B$11,"Schulbetrieb",Nutzungsprofile!$G$6:$G$11)*Kalender!C220/SUM(Kalender!$C$5:$C$370),0)+IFERROR(SUMIF(Nutzungsprofile!$B$6:$B$11,"Halle",Nutzungsprofile!$G$6:$G$11)*Kalender!D220/SUM(Kalender!$D$5:$D$370),0)+IFERROR(SUMIF(Nutzungsprofile!$B$6:$B$11,"Individuell",Nutzungsprofile!$G$6:$G$11)*Kalender!E220/SUM(Kalender!$E$5:$E$370),0)),0)</f>
        <v>2.04</v>
      </c>
      <c r="E220" s="13" t="n">
        <f aca="false">IF(Prüfungen!$B$4=0,(IFERROR(SUMIF(Nutzungsprofile!$B$17:$B$22,"Schulbetrieb",Nutzungsprofile!$G$17:$G$22)*Kalender!C220/SUM(Kalender!$C$5:$C$370),0)+IFERROR(SUMIF(Nutzungsprofile!$B$17:$B$22,"Halle",Nutzungsprofile!$G$17:$G$22)*Kalender!D220/SUM(Kalender!$D$5:$D$370),0)+IFERROR(SUMIF(Nutzungsprofile!$B$17:$B$22,"Individuell",Nutzungsprofile!$G$17:$G$22)*Kalender!E220/SUM(Kalender!$E$5:$E$370),0)),0)</f>
        <v>0.89</v>
      </c>
      <c r="F220" s="13" t="n">
        <f aca="false">IFERROR(MIN(D220,Eingaben!$B$17)*Eingaben!$B$16,0)</f>
        <v>1.938</v>
      </c>
      <c r="G220" s="13" t="n">
        <f aca="false">IFERROR(F220*Eingaben!$B$15,0)</f>
        <v>1.7442</v>
      </c>
      <c r="H220" s="13" t="n">
        <f aca="false">IFERROR(Q220*(1-Eingaben!$B$20),0)</f>
        <v>1.709316</v>
      </c>
      <c r="I220" s="13" t="n">
        <f aca="false">MIN(H220,E220)</f>
        <v>0.89</v>
      </c>
      <c r="J220" s="13" t="n">
        <f aca="false">IFERROR(MIN(G220*Eingaben!$B$19,MAX(0,E220-I220)),0)</f>
        <v>0</v>
      </c>
      <c r="K220" s="13" t="n">
        <f aca="false">IFERROR(MIN(Eingaben!$B$18,MAX(0,G220-J220)),0)</f>
        <v>1.7442</v>
      </c>
      <c r="L220" s="13" t="n">
        <f aca="false">I220+J220</f>
        <v>0.89</v>
      </c>
      <c r="M220" s="13" t="n">
        <f aca="false">MAX(0,E220-L220)</f>
        <v>0</v>
      </c>
      <c r="N220" s="13" t="n">
        <f aca="false">MAX(0,G220-J220-K220)</f>
        <v>0</v>
      </c>
      <c r="O220" s="13" t="n">
        <f aca="false">Q220-I220</f>
        <v>0.8542</v>
      </c>
      <c r="P220" s="13" t="n">
        <f aca="false">G220+Q220-L220-N220-O220-K220</f>
        <v>0</v>
      </c>
      <c r="Q220" s="13" t="n">
        <f aca="false">IF(A220="",0,K219)</f>
        <v>1.7442</v>
      </c>
    </row>
    <row r="221" customFormat="false" ht="16.4" hidden="false" customHeight="false" outlineLevel="0" collapsed="false">
      <c r="A221" s="23" t="n">
        <f aca="false">Kalender!A221</f>
        <v>46239</v>
      </c>
      <c r="B221" s="13" t="n">
        <f aca="false">Kalender!C221</f>
        <v>0</v>
      </c>
      <c r="C221" s="13" t="n">
        <f aca="false">Kalender!D221</f>
        <v>1</v>
      </c>
      <c r="D221" s="13" t="n">
        <f aca="false">IF(Prüfungen!$B$4=0,(IFERROR(SUMIF(Nutzungsprofile!$B$6:$B$11,"Schulbetrieb",Nutzungsprofile!$G$6:$G$11)*Kalender!C221/SUM(Kalender!$C$5:$C$370),0)+IFERROR(SUMIF(Nutzungsprofile!$B$6:$B$11,"Halle",Nutzungsprofile!$G$6:$G$11)*Kalender!D221/SUM(Kalender!$D$5:$D$370),0)+IFERROR(SUMIF(Nutzungsprofile!$B$6:$B$11,"Individuell",Nutzungsprofile!$G$6:$G$11)*Kalender!E221/SUM(Kalender!$E$5:$E$370),0)),0)</f>
        <v>2.04</v>
      </c>
      <c r="E221" s="13" t="n">
        <f aca="false">IF(Prüfungen!$B$4=0,(IFERROR(SUMIF(Nutzungsprofile!$B$17:$B$22,"Schulbetrieb",Nutzungsprofile!$G$17:$G$22)*Kalender!C221/SUM(Kalender!$C$5:$C$370),0)+IFERROR(SUMIF(Nutzungsprofile!$B$17:$B$22,"Halle",Nutzungsprofile!$G$17:$G$22)*Kalender!D221/SUM(Kalender!$D$5:$D$370),0)+IFERROR(SUMIF(Nutzungsprofile!$B$17:$B$22,"Individuell",Nutzungsprofile!$G$17:$G$22)*Kalender!E221/SUM(Kalender!$E$5:$E$370),0)),0)</f>
        <v>0.89</v>
      </c>
      <c r="F221" s="13" t="n">
        <f aca="false">IFERROR(MIN(D221,Eingaben!$B$17)*Eingaben!$B$16,0)</f>
        <v>1.938</v>
      </c>
      <c r="G221" s="13" t="n">
        <f aca="false">IFERROR(F221*Eingaben!$B$15,0)</f>
        <v>1.7442</v>
      </c>
      <c r="H221" s="13" t="n">
        <f aca="false">IFERROR(Q221*(1-Eingaben!$B$20),0)</f>
        <v>1.709316</v>
      </c>
      <c r="I221" s="13" t="n">
        <f aca="false">MIN(H221,E221)</f>
        <v>0.89</v>
      </c>
      <c r="J221" s="13" t="n">
        <f aca="false">IFERROR(MIN(G221*Eingaben!$B$19,MAX(0,E221-I221)),0)</f>
        <v>0</v>
      </c>
      <c r="K221" s="13" t="n">
        <f aca="false">IFERROR(MIN(Eingaben!$B$18,MAX(0,G221-J221)),0)</f>
        <v>1.7442</v>
      </c>
      <c r="L221" s="13" t="n">
        <f aca="false">I221+J221</f>
        <v>0.89</v>
      </c>
      <c r="M221" s="13" t="n">
        <f aca="false">MAX(0,E221-L221)</f>
        <v>0</v>
      </c>
      <c r="N221" s="13" t="n">
        <f aca="false">MAX(0,G221-J221-K221)</f>
        <v>0</v>
      </c>
      <c r="O221" s="13" t="n">
        <f aca="false">Q221-I221</f>
        <v>0.8542</v>
      </c>
      <c r="P221" s="13" t="n">
        <f aca="false">G221+Q221-L221-N221-O221-K221</f>
        <v>0</v>
      </c>
      <c r="Q221" s="13" t="n">
        <f aca="false">IF(A221="",0,K220)</f>
        <v>1.7442</v>
      </c>
    </row>
    <row r="222" customFormat="false" ht="16.4" hidden="false" customHeight="false" outlineLevel="0" collapsed="false">
      <c r="A222" s="23" t="n">
        <f aca="false">Kalender!A222</f>
        <v>46240</v>
      </c>
      <c r="B222" s="13" t="n">
        <f aca="false">Kalender!C222</f>
        <v>0</v>
      </c>
      <c r="C222" s="13" t="n">
        <f aca="false">Kalender!D222</f>
        <v>1</v>
      </c>
      <c r="D222" s="13" t="n">
        <f aca="false">IF(Prüfungen!$B$4=0,(IFERROR(SUMIF(Nutzungsprofile!$B$6:$B$11,"Schulbetrieb",Nutzungsprofile!$G$6:$G$11)*Kalender!C222/SUM(Kalender!$C$5:$C$370),0)+IFERROR(SUMIF(Nutzungsprofile!$B$6:$B$11,"Halle",Nutzungsprofile!$G$6:$G$11)*Kalender!D222/SUM(Kalender!$D$5:$D$370),0)+IFERROR(SUMIF(Nutzungsprofile!$B$6:$B$11,"Individuell",Nutzungsprofile!$G$6:$G$11)*Kalender!E222/SUM(Kalender!$E$5:$E$370),0)),0)</f>
        <v>2.04</v>
      </c>
      <c r="E222" s="13" t="n">
        <f aca="false">IF(Prüfungen!$B$4=0,(IFERROR(SUMIF(Nutzungsprofile!$B$17:$B$22,"Schulbetrieb",Nutzungsprofile!$G$17:$G$22)*Kalender!C222/SUM(Kalender!$C$5:$C$370),0)+IFERROR(SUMIF(Nutzungsprofile!$B$17:$B$22,"Halle",Nutzungsprofile!$G$17:$G$22)*Kalender!D222/SUM(Kalender!$D$5:$D$370),0)+IFERROR(SUMIF(Nutzungsprofile!$B$17:$B$22,"Individuell",Nutzungsprofile!$G$17:$G$22)*Kalender!E222/SUM(Kalender!$E$5:$E$370),0)),0)</f>
        <v>0.89</v>
      </c>
      <c r="F222" s="13" t="n">
        <f aca="false">IFERROR(MIN(D222,Eingaben!$B$17)*Eingaben!$B$16,0)</f>
        <v>1.938</v>
      </c>
      <c r="G222" s="13" t="n">
        <f aca="false">IFERROR(F222*Eingaben!$B$15,0)</f>
        <v>1.7442</v>
      </c>
      <c r="H222" s="13" t="n">
        <f aca="false">IFERROR(Q222*(1-Eingaben!$B$20),0)</f>
        <v>1.709316</v>
      </c>
      <c r="I222" s="13" t="n">
        <f aca="false">MIN(H222,E222)</f>
        <v>0.89</v>
      </c>
      <c r="J222" s="13" t="n">
        <f aca="false">IFERROR(MIN(G222*Eingaben!$B$19,MAX(0,E222-I222)),0)</f>
        <v>0</v>
      </c>
      <c r="K222" s="13" t="n">
        <f aca="false">IFERROR(MIN(Eingaben!$B$18,MAX(0,G222-J222)),0)</f>
        <v>1.7442</v>
      </c>
      <c r="L222" s="13" t="n">
        <f aca="false">I222+J222</f>
        <v>0.89</v>
      </c>
      <c r="M222" s="13" t="n">
        <f aca="false">MAX(0,E222-L222)</f>
        <v>0</v>
      </c>
      <c r="N222" s="13" t="n">
        <f aca="false">MAX(0,G222-J222-K222)</f>
        <v>0</v>
      </c>
      <c r="O222" s="13" t="n">
        <f aca="false">Q222-I222</f>
        <v>0.8542</v>
      </c>
      <c r="P222" s="13" t="n">
        <f aca="false">G222+Q222-L222-N222-O222-K222</f>
        <v>0</v>
      </c>
      <c r="Q222" s="13" t="n">
        <f aca="false">IF(A222="",0,K221)</f>
        <v>1.7442</v>
      </c>
    </row>
    <row r="223" customFormat="false" ht="16.4" hidden="false" customHeight="false" outlineLevel="0" collapsed="false">
      <c r="A223" s="23" t="n">
        <f aca="false">Kalender!A223</f>
        <v>46241</v>
      </c>
      <c r="B223" s="13" t="n">
        <f aca="false">Kalender!C223</f>
        <v>0</v>
      </c>
      <c r="C223" s="13" t="n">
        <f aca="false">Kalender!D223</f>
        <v>1</v>
      </c>
      <c r="D223" s="13" t="n">
        <f aca="false">IF(Prüfungen!$B$4=0,(IFERROR(SUMIF(Nutzungsprofile!$B$6:$B$11,"Schulbetrieb",Nutzungsprofile!$G$6:$G$11)*Kalender!C223/SUM(Kalender!$C$5:$C$370),0)+IFERROR(SUMIF(Nutzungsprofile!$B$6:$B$11,"Halle",Nutzungsprofile!$G$6:$G$11)*Kalender!D223/SUM(Kalender!$D$5:$D$370),0)+IFERROR(SUMIF(Nutzungsprofile!$B$6:$B$11,"Individuell",Nutzungsprofile!$G$6:$G$11)*Kalender!E223/SUM(Kalender!$E$5:$E$370),0)),0)</f>
        <v>2.04</v>
      </c>
      <c r="E223" s="13" t="n">
        <f aca="false">IF(Prüfungen!$B$4=0,(IFERROR(SUMIF(Nutzungsprofile!$B$17:$B$22,"Schulbetrieb",Nutzungsprofile!$G$17:$G$22)*Kalender!C223/SUM(Kalender!$C$5:$C$370),0)+IFERROR(SUMIF(Nutzungsprofile!$B$17:$B$22,"Halle",Nutzungsprofile!$G$17:$G$22)*Kalender!D223/SUM(Kalender!$D$5:$D$370),0)+IFERROR(SUMIF(Nutzungsprofile!$B$17:$B$22,"Individuell",Nutzungsprofile!$G$17:$G$22)*Kalender!E223/SUM(Kalender!$E$5:$E$370),0)),0)</f>
        <v>0.89</v>
      </c>
      <c r="F223" s="13" t="n">
        <f aca="false">IFERROR(MIN(D223,Eingaben!$B$17)*Eingaben!$B$16,0)</f>
        <v>1.938</v>
      </c>
      <c r="G223" s="13" t="n">
        <f aca="false">IFERROR(F223*Eingaben!$B$15,0)</f>
        <v>1.7442</v>
      </c>
      <c r="H223" s="13" t="n">
        <f aca="false">IFERROR(Q223*(1-Eingaben!$B$20),0)</f>
        <v>1.709316</v>
      </c>
      <c r="I223" s="13" t="n">
        <f aca="false">MIN(H223,E223)</f>
        <v>0.89</v>
      </c>
      <c r="J223" s="13" t="n">
        <f aca="false">IFERROR(MIN(G223*Eingaben!$B$19,MAX(0,E223-I223)),0)</f>
        <v>0</v>
      </c>
      <c r="K223" s="13" t="n">
        <f aca="false">IFERROR(MIN(Eingaben!$B$18,MAX(0,G223-J223)),0)</f>
        <v>1.7442</v>
      </c>
      <c r="L223" s="13" t="n">
        <f aca="false">I223+J223</f>
        <v>0.89</v>
      </c>
      <c r="M223" s="13" t="n">
        <f aca="false">MAX(0,E223-L223)</f>
        <v>0</v>
      </c>
      <c r="N223" s="13" t="n">
        <f aca="false">MAX(0,G223-J223-K223)</f>
        <v>0</v>
      </c>
      <c r="O223" s="13" t="n">
        <f aca="false">Q223-I223</f>
        <v>0.8542</v>
      </c>
      <c r="P223" s="13" t="n">
        <f aca="false">G223+Q223-L223-N223-O223-K223</f>
        <v>0</v>
      </c>
      <c r="Q223" s="13" t="n">
        <f aca="false">IF(A223="",0,K222)</f>
        <v>1.7442</v>
      </c>
    </row>
    <row r="224" customFormat="false" ht="16.4" hidden="false" customHeight="false" outlineLevel="0" collapsed="false">
      <c r="A224" s="23" t="n">
        <f aca="false">Kalender!A224</f>
        <v>46242</v>
      </c>
      <c r="B224" s="13" t="n">
        <f aca="false">Kalender!C224</f>
        <v>0</v>
      </c>
      <c r="C224" s="13" t="n">
        <f aca="false">Kalender!D224</f>
        <v>1</v>
      </c>
      <c r="D224" s="13" t="n">
        <f aca="false">IF(Prüfungen!$B$4=0,(IFERROR(SUMIF(Nutzungsprofile!$B$6:$B$11,"Schulbetrieb",Nutzungsprofile!$G$6:$G$11)*Kalender!C224/SUM(Kalender!$C$5:$C$370),0)+IFERROR(SUMIF(Nutzungsprofile!$B$6:$B$11,"Halle",Nutzungsprofile!$G$6:$G$11)*Kalender!D224/SUM(Kalender!$D$5:$D$370),0)+IFERROR(SUMIF(Nutzungsprofile!$B$6:$B$11,"Individuell",Nutzungsprofile!$G$6:$G$11)*Kalender!E224/SUM(Kalender!$E$5:$E$370),0)),0)</f>
        <v>2.04</v>
      </c>
      <c r="E224" s="13" t="n">
        <f aca="false">IF(Prüfungen!$B$4=0,(IFERROR(SUMIF(Nutzungsprofile!$B$17:$B$22,"Schulbetrieb",Nutzungsprofile!$G$17:$G$22)*Kalender!C224/SUM(Kalender!$C$5:$C$370),0)+IFERROR(SUMIF(Nutzungsprofile!$B$17:$B$22,"Halle",Nutzungsprofile!$G$17:$G$22)*Kalender!D224/SUM(Kalender!$D$5:$D$370),0)+IFERROR(SUMIF(Nutzungsprofile!$B$17:$B$22,"Individuell",Nutzungsprofile!$G$17:$G$22)*Kalender!E224/SUM(Kalender!$E$5:$E$370),0)),0)</f>
        <v>0.89</v>
      </c>
      <c r="F224" s="13" t="n">
        <f aca="false">IFERROR(MIN(D224,Eingaben!$B$17)*Eingaben!$B$16,0)</f>
        <v>1.938</v>
      </c>
      <c r="G224" s="13" t="n">
        <f aca="false">IFERROR(F224*Eingaben!$B$15,0)</f>
        <v>1.7442</v>
      </c>
      <c r="H224" s="13" t="n">
        <f aca="false">IFERROR(Q224*(1-Eingaben!$B$20),0)</f>
        <v>1.709316</v>
      </c>
      <c r="I224" s="13" t="n">
        <f aca="false">MIN(H224,E224)</f>
        <v>0.89</v>
      </c>
      <c r="J224" s="13" t="n">
        <f aca="false">IFERROR(MIN(G224*Eingaben!$B$19,MAX(0,E224-I224)),0)</f>
        <v>0</v>
      </c>
      <c r="K224" s="13" t="n">
        <f aca="false">IFERROR(MIN(Eingaben!$B$18,MAX(0,G224-J224)),0)</f>
        <v>1.7442</v>
      </c>
      <c r="L224" s="13" t="n">
        <f aca="false">I224+J224</f>
        <v>0.89</v>
      </c>
      <c r="M224" s="13" t="n">
        <f aca="false">MAX(0,E224-L224)</f>
        <v>0</v>
      </c>
      <c r="N224" s="13" t="n">
        <f aca="false">MAX(0,G224-J224-K224)</f>
        <v>0</v>
      </c>
      <c r="O224" s="13" t="n">
        <f aca="false">Q224-I224</f>
        <v>0.8542</v>
      </c>
      <c r="P224" s="13" t="n">
        <f aca="false">G224+Q224-L224-N224-O224-K224</f>
        <v>0</v>
      </c>
      <c r="Q224" s="13" t="n">
        <f aca="false">IF(A224="",0,K223)</f>
        <v>1.7442</v>
      </c>
    </row>
    <row r="225" customFormat="false" ht="16.4" hidden="false" customHeight="false" outlineLevel="0" collapsed="false">
      <c r="A225" s="23" t="n">
        <f aca="false">Kalender!A225</f>
        <v>46243</v>
      </c>
      <c r="B225" s="13" t="n">
        <f aca="false">Kalender!C225</f>
        <v>0</v>
      </c>
      <c r="C225" s="13" t="n">
        <f aca="false">Kalender!D225</f>
        <v>1</v>
      </c>
      <c r="D225" s="13" t="n">
        <f aca="false">IF(Prüfungen!$B$4=0,(IFERROR(SUMIF(Nutzungsprofile!$B$6:$B$11,"Schulbetrieb",Nutzungsprofile!$G$6:$G$11)*Kalender!C225/SUM(Kalender!$C$5:$C$370),0)+IFERROR(SUMIF(Nutzungsprofile!$B$6:$B$11,"Halle",Nutzungsprofile!$G$6:$G$11)*Kalender!D225/SUM(Kalender!$D$5:$D$370),0)+IFERROR(SUMIF(Nutzungsprofile!$B$6:$B$11,"Individuell",Nutzungsprofile!$G$6:$G$11)*Kalender!E225/SUM(Kalender!$E$5:$E$370),0)),0)</f>
        <v>2.04</v>
      </c>
      <c r="E225" s="13" t="n">
        <f aca="false">IF(Prüfungen!$B$4=0,(IFERROR(SUMIF(Nutzungsprofile!$B$17:$B$22,"Schulbetrieb",Nutzungsprofile!$G$17:$G$22)*Kalender!C225/SUM(Kalender!$C$5:$C$370),0)+IFERROR(SUMIF(Nutzungsprofile!$B$17:$B$22,"Halle",Nutzungsprofile!$G$17:$G$22)*Kalender!D225/SUM(Kalender!$D$5:$D$370),0)+IFERROR(SUMIF(Nutzungsprofile!$B$17:$B$22,"Individuell",Nutzungsprofile!$G$17:$G$22)*Kalender!E225/SUM(Kalender!$E$5:$E$370),0)),0)</f>
        <v>0.89</v>
      </c>
      <c r="F225" s="13" t="n">
        <f aca="false">IFERROR(MIN(D225,Eingaben!$B$17)*Eingaben!$B$16,0)</f>
        <v>1.938</v>
      </c>
      <c r="G225" s="13" t="n">
        <f aca="false">IFERROR(F225*Eingaben!$B$15,0)</f>
        <v>1.7442</v>
      </c>
      <c r="H225" s="13" t="n">
        <f aca="false">IFERROR(Q225*(1-Eingaben!$B$20),0)</f>
        <v>1.709316</v>
      </c>
      <c r="I225" s="13" t="n">
        <f aca="false">MIN(H225,E225)</f>
        <v>0.89</v>
      </c>
      <c r="J225" s="13" t="n">
        <f aca="false">IFERROR(MIN(G225*Eingaben!$B$19,MAX(0,E225-I225)),0)</f>
        <v>0</v>
      </c>
      <c r="K225" s="13" t="n">
        <f aca="false">IFERROR(MIN(Eingaben!$B$18,MAX(0,G225-J225)),0)</f>
        <v>1.7442</v>
      </c>
      <c r="L225" s="13" t="n">
        <f aca="false">I225+J225</f>
        <v>0.89</v>
      </c>
      <c r="M225" s="13" t="n">
        <f aca="false">MAX(0,E225-L225)</f>
        <v>0</v>
      </c>
      <c r="N225" s="13" t="n">
        <f aca="false">MAX(0,G225-J225-K225)</f>
        <v>0</v>
      </c>
      <c r="O225" s="13" t="n">
        <f aca="false">Q225-I225</f>
        <v>0.8542</v>
      </c>
      <c r="P225" s="13" t="n">
        <f aca="false">G225+Q225-L225-N225-O225-K225</f>
        <v>0</v>
      </c>
      <c r="Q225" s="13" t="n">
        <f aca="false">IF(A225="",0,K224)</f>
        <v>1.7442</v>
      </c>
    </row>
    <row r="226" customFormat="false" ht="16.4" hidden="false" customHeight="false" outlineLevel="0" collapsed="false">
      <c r="A226" s="23" t="n">
        <f aca="false">Kalender!A226</f>
        <v>46244</v>
      </c>
      <c r="B226" s="13" t="n">
        <f aca="false">Kalender!C226</f>
        <v>0</v>
      </c>
      <c r="C226" s="13" t="n">
        <f aca="false">Kalender!D226</f>
        <v>1</v>
      </c>
      <c r="D226" s="13" t="n">
        <f aca="false">IF(Prüfungen!$B$4=0,(IFERROR(SUMIF(Nutzungsprofile!$B$6:$B$11,"Schulbetrieb",Nutzungsprofile!$G$6:$G$11)*Kalender!C226/SUM(Kalender!$C$5:$C$370),0)+IFERROR(SUMIF(Nutzungsprofile!$B$6:$B$11,"Halle",Nutzungsprofile!$G$6:$G$11)*Kalender!D226/SUM(Kalender!$D$5:$D$370),0)+IFERROR(SUMIF(Nutzungsprofile!$B$6:$B$11,"Individuell",Nutzungsprofile!$G$6:$G$11)*Kalender!E226/SUM(Kalender!$E$5:$E$370),0)),0)</f>
        <v>2.04</v>
      </c>
      <c r="E226" s="13" t="n">
        <f aca="false">IF(Prüfungen!$B$4=0,(IFERROR(SUMIF(Nutzungsprofile!$B$17:$B$22,"Schulbetrieb",Nutzungsprofile!$G$17:$G$22)*Kalender!C226/SUM(Kalender!$C$5:$C$370),0)+IFERROR(SUMIF(Nutzungsprofile!$B$17:$B$22,"Halle",Nutzungsprofile!$G$17:$G$22)*Kalender!D226/SUM(Kalender!$D$5:$D$370),0)+IFERROR(SUMIF(Nutzungsprofile!$B$17:$B$22,"Individuell",Nutzungsprofile!$G$17:$G$22)*Kalender!E226/SUM(Kalender!$E$5:$E$370),0)),0)</f>
        <v>0.89</v>
      </c>
      <c r="F226" s="13" t="n">
        <f aca="false">IFERROR(MIN(D226,Eingaben!$B$17)*Eingaben!$B$16,0)</f>
        <v>1.938</v>
      </c>
      <c r="G226" s="13" t="n">
        <f aca="false">IFERROR(F226*Eingaben!$B$15,0)</f>
        <v>1.7442</v>
      </c>
      <c r="H226" s="13" t="n">
        <f aca="false">IFERROR(Q226*(1-Eingaben!$B$20),0)</f>
        <v>1.709316</v>
      </c>
      <c r="I226" s="13" t="n">
        <f aca="false">MIN(H226,E226)</f>
        <v>0.89</v>
      </c>
      <c r="J226" s="13" t="n">
        <f aca="false">IFERROR(MIN(G226*Eingaben!$B$19,MAX(0,E226-I226)),0)</f>
        <v>0</v>
      </c>
      <c r="K226" s="13" t="n">
        <f aca="false">IFERROR(MIN(Eingaben!$B$18,MAX(0,G226-J226)),0)</f>
        <v>1.7442</v>
      </c>
      <c r="L226" s="13" t="n">
        <f aca="false">I226+J226</f>
        <v>0.89</v>
      </c>
      <c r="M226" s="13" t="n">
        <f aca="false">MAX(0,E226-L226)</f>
        <v>0</v>
      </c>
      <c r="N226" s="13" t="n">
        <f aca="false">MAX(0,G226-J226-K226)</f>
        <v>0</v>
      </c>
      <c r="O226" s="13" t="n">
        <f aca="false">Q226-I226</f>
        <v>0.8542</v>
      </c>
      <c r="P226" s="13" t="n">
        <f aca="false">G226+Q226-L226-N226-O226-K226</f>
        <v>0</v>
      </c>
      <c r="Q226" s="13" t="n">
        <f aca="false">IF(A226="",0,K225)</f>
        <v>1.7442</v>
      </c>
    </row>
    <row r="227" customFormat="false" ht="16.4" hidden="false" customHeight="false" outlineLevel="0" collapsed="false">
      <c r="A227" s="23" t="n">
        <f aca="false">Kalender!A227</f>
        <v>46245</v>
      </c>
      <c r="B227" s="13" t="n">
        <f aca="false">Kalender!C227</f>
        <v>0</v>
      </c>
      <c r="C227" s="13" t="n">
        <f aca="false">Kalender!D227</f>
        <v>1</v>
      </c>
      <c r="D227" s="13" t="n">
        <f aca="false">IF(Prüfungen!$B$4=0,(IFERROR(SUMIF(Nutzungsprofile!$B$6:$B$11,"Schulbetrieb",Nutzungsprofile!$G$6:$G$11)*Kalender!C227/SUM(Kalender!$C$5:$C$370),0)+IFERROR(SUMIF(Nutzungsprofile!$B$6:$B$11,"Halle",Nutzungsprofile!$G$6:$G$11)*Kalender!D227/SUM(Kalender!$D$5:$D$370),0)+IFERROR(SUMIF(Nutzungsprofile!$B$6:$B$11,"Individuell",Nutzungsprofile!$G$6:$G$11)*Kalender!E227/SUM(Kalender!$E$5:$E$370),0)),0)</f>
        <v>2.04</v>
      </c>
      <c r="E227" s="13" t="n">
        <f aca="false">IF(Prüfungen!$B$4=0,(IFERROR(SUMIF(Nutzungsprofile!$B$17:$B$22,"Schulbetrieb",Nutzungsprofile!$G$17:$G$22)*Kalender!C227/SUM(Kalender!$C$5:$C$370),0)+IFERROR(SUMIF(Nutzungsprofile!$B$17:$B$22,"Halle",Nutzungsprofile!$G$17:$G$22)*Kalender!D227/SUM(Kalender!$D$5:$D$370),0)+IFERROR(SUMIF(Nutzungsprofile!$B$17:$B$22,"Individuell",Nutzungsprofile!$G$17:$G$22)*Kalender!E227/SUM(Kalender!$E$5:$E$370),0)),0)</f>
        <v>0.89</v>
      </c>
      <c r="F227" s="13" t="n">
        <f aca="false">IFERROR(MIN(D227,Eingaben!$B$17)*Eingaben!$B$16,0)</f>
        <v>1.938</v>
      </c>
      <c r="G227" s="13" t="n">
        <f aca="false">IFERROR(F227*Eingaben!$B$15,0)</f>
        <v>1.7442</v>
      </c>
      <c r="H227" s="13" t="n">
        <f aca="false">IFERROR(Q227*(1-Eingaben!$B$20),0)</f>
        <v>1.709316</v>
      </c>
      <c r="I227" s="13" t="n">
        <f aca="false">MIN(H227,E227)</f>
        <v>0.89</v>
      </c>
      <c r="J227" s="13" t="n">
        <f aca="false">IFERROR(MIN(G227*Eingaben!$B$19,MAX(0,E227-I227)),0)</f>
        <v>0</v>
      </c>
      <c r="K227" s="13" t="n">
        <f aca="false">IFERROR(MIN(Eingaben!$B$18,MAX(0,G227-J227)),0)</f>
        <v>1.7442</v>
      </c>
      <c r="L227" s="13" t="n">
        <f aca="false">I227+J227</f>
        <v>0.89</v>
      </c>
      <c r="M227" s="13" t="n">
        <f aca="false">MAX(0,E227-L227)</f>
        <v>0</v>
      </c>
      <c r="N227" s="13" t="n">
        <f aca="false">MAX(0,G227-J227-K227)</f>
        <v>0</v>
      </c>
      <c r="O227" s="13" t="n">
        <f aca="false">Q227-I227</f>
        <v>0.8542</v>
      </c>
      <c r="P227" s="13" t="n">
        <f aca="false">G227+Q227-L227-N227-O227-K227</f>
        <v>0</v>
      </c>
      <c r="Q227" s="13" t="n">
        <f aca="false">IF(A227="",0,K226)</f>
        <v>1.7442</v>
      </c>
    </row>
    <row r="228" customFormat="false" ht="16.4" hidden="false" customHeight="false" outlineLevel="0" collapsed="false">
      <c r="A228" s="23" t="n">
        <f aca="false">Kalender!A228</f>
        <v>46246</v>
      </c>
      <c r="B228" s="13" t="n">
        <f aca="false">Kalender!C228</f>
        <v>0</v>
      </c>
      <c r="C228" s="13" t="n">
        <f aca="false">Kalender!D228</f>
        <v>1</v>
      </c>
      <c r="D228" s="13" t="n">
        <f aca="false">IF(Prüfungen!$B$4=0,(IFERROR(SUMIF(Nutzungsprofile!$B$6:$B$11,"Schulbetrieb",Nutzungsprofile!$G$6:$G$11)*Kalender!C228/SUM(Kalender!$C$5:$C$370),0)+IFERROR(SUMIF(Nutzungsprofile!$B$6:$B$11,"Halle",Nutzungsprofile!$G$6:$G$11)*Kalender!D228/SUM(Kalender!$D$5:$D$370),0)+IFERROR(SUMIF(Nutzungsprofile!$B$6:$B$11,"Individuell",Nutzungsprofile!$G$6:$G$11)*Kalender!E228/SUM(Kalender!$E$5:$E$370),0)),0)</f>
        <v>2.04</v>
      </c>
      <c r="E228" s="13" t="n">
        <f aca="false">IF(Prüfungen!$B$4=0,(IFERROR(SUMIF(Nutzungsprofile!$B$17:$B$22,"Schulbetrieb",Nutzungsprofile!$G$17:$G$22)*Kalender!C228/SUM(Kalender!$C$5:$C$370),0)+IFERROR(SUMIF(Nutzungsprofile!$B$17:$B$22,"Halle",Nutzungsprofile!$G$17:$G$22)*Kalender!D228/SUM(Kalender!$D$5:$D$370),0)+IFERROR(SUMIF(Nutzungsprofile!$B$17:$B$22,"Individuell",Nutzungsprofile!$G$17:$G$22)*Kalender!E228/SUM(Kalender!$E$5:$E$370),0)),0)</f>
        <v>0.89</v>
      </c>
      <c r="F228" s="13" t="n">
        <f aca="false">IFERROR(MIN(D228,Eingaben!$B$17)*Eingaben!$B$16,0)</f>
        <v>1.938</v>
      </c>
      <c r="G228" s="13" t="n">
        <f aca="false">IFERROR(F228*Eingaben!$B$15,0)</f>
        <v>1.7442</v>
      </c>
      <c r="H228" s="13" t="n">
        <f aca="false">IFERROR(Q228*(1-Eingaben!$B$20),0)</f>
        <v>1.709316</v>
      </c>
      <c r="I228" s="13" t="n">
        <f aca="false">MIN(H228,E228)</f>
        <v>0.89</v>
      </c>
      <c r="J228" s="13" t="n">
        <f aca="false">IFERROR(MIN(G228*Eingaben!$B$19,MAX(0,E228-I228)),0)</f>
        <v>0</v>
      </c>
      <c r="K228" s="13" t="n">
        <f aca="false">IFERROR(MIN(Eingaben!$B$18,MAX(0,G228-J228)),0)</f>
        <v>1.7442</v>
      </c>
      <c r="L228" s="13" t="n">
        <f aca="false">I228+J228</f>
        <v>0.89</v>
      </c>
      <c r="M228" s="13" t="n">
        <f aca="false">MAX(0,E228-L228)</f>
        <v>0</v>
      </c>
      <c r="N228" s="13" t="n">
        <f aca="false">MAX(0,G228-J228-K228)</f>
        <v>0</v>
      </c>
      <c r="O228" s="13" t="n">
        <f aca="false">Q228-I228</f>
        <v>0.8542</v>
      </c>
      <c r="P228" s="13" t="n">
        <f aca="false">G228+Q228-L228-N228-O228-K228</f>
        <v>0</v>
      </c>
      <c r="Q228" s="13" t="n">
        <f aca="false">IF(A228="",0,K227)</f>
        <v>1.7442</v>
      </c>
    </row>
    <row r="229" customFormat="false" ht="16.4" hidden="false" customHeight="false" outlineLevel="0" collapsed="false">
      <c r="A229" s="23" t="n">
        <f aca="false">Kalender!A229</f>
        <v>46247</v>
      </c>
      <c r="B229" s="13" t="n">
        <f aca="false">Kalender!C229</f>
        <v>0</v>
      </c>
      <c r="C229" s="13" t="n">
        <f aca="false">Kalender!D229</f>
        <v>1</v>
      </c>
      <c r="D229" s="13" t="n">
        <f aca="false">IF(Prüfungen!$B$4=0,(IFERROR(SUMIF(Nutzungsprofile!$B$6:$B$11,"Schulbetrieb",Nutzungsprofile!$G$6:$G$11)*Kalender!C229/SUM(Kalender!$C$5:$C$370),0)+IFERROR(SUMIF(Nutzungsprofile!$B$6:$B$11,"Halle",Nutzungsprofile!$G$6:$G$11)*Kalender!D229/SUM(Kalender!$D$5:$D$370),0)+IFERROR(SUMIF(Nutzungsprofile!$B$6:$B$11,"Individuell",Nutzungsprofile!$G$6:$G$11)*Kalender!E229/SUM(Kalender!$E$5:$E$370),0)),0)</f>
        <v>2.04</v>
      </c>
      <c r="E229" s="13" t="n">
        <f aca="false">IF(Prüfungen!$B$4=0,(IFERROR(SUMIF(Nutzungsprofile!$B$17:$B$22,"Schulbetrieb",Nutzungsprofile!$G$17:$G$22)*Kalender!C229/SUM(Kalender!$C$5:$C$370),0)+IFERROR(SUMIF(Nutzungsprofile!$B$17:$B$22,"Halle",Nutzungsprofile!$G$17:$G$22)*Kalender!D229/SUM(Kalender!$D$5:$D$370),0)+IFERROR(SUMIF(Nutzungsprofile!$B$17:$B$22,"Individuell",Nutzungsprofile!$G$17:$G$22)*Kalender!E229/SUM(Kalender!$E$5:$E$370),0)),0)</f>
        <v>0.89</v>
      </c>
      <c r="F229" s="13" t="n">
        <f aca="false">IFERROR(MIN(D229,Eingaben!$B$17)*Eingaben!$B$16,0)</f>
        <v>1.938</v>
      </c>
      <c r="G229" s="13" t="n">
        <f aca="false">IFERROR(F229*Eingaben!$B$15,0)</f>
        <v>1.7442</v>
      </c>
      <c r="H229" s="13" t="n">
        <f aca="false">IFERROR(Q229*(1-Eingaben!$B$20),0)</f>
        <v>1.709316</v>
      </c>
      <c r="I229" s="13" t="n">
        <f aca="false">MIN(H229,E229)</f>
        <v>0.89</v>
      </c>
      <c r="J229" s="13" t="n">
        <f aca="false">IFERROR(MIN(G229*Eingaben!$B$19,MAX(0,E229-I229)),0)</f>
        <v>0</v>
      </c>
      <c r="K229" s="13" t="n">
        <f aca="false">IFERROR(MIN(Eingaben!$B$18,MAX(0,G229-J229)),0)</f>
        <v>1.7442</v>
      </c>
      <c r="L229" s="13" t="n">
        <f aca="false">I229+J229</f>
        <v>0.89</v>
      </c>
      <c r="M229" s="13" t="n">
        <f aca="false">MAX(0,E229-L229)</f>
        <v>0</v>
      </c>
      <c r="N229" s="13" t="n">
        <f aca="false">MAX(0,G229-J229-K229)</f>
        <v>0</v>
      </c>
      <c r="O229" s="13" t="n">
        <f aca="false">Q229-I229</f>
        <v>0.8542</v>
      </c>
      <c r="P229" s="13" t="n">
        <f aca="false">G229+Q229-L229-N229-O229-K229</f>
        <v>0</v>
      </c>
      <c r="Q229" s="13" t="n">
        <f aca="false">IF(A229="",0,K228)</f>
        <v>1.7442</v>
      </c>
    </row>
    <row r="230" customFormat="false" ht="16.4" hidden="false" customHeight="false" outlineLevel="0" collapsed="false">
      <c r="A230" s="23" t="n">
        <f aca="false">Kalender!A230</f>
        <v>46248</v>
      </c>
      <c r="B230" s="13" t="n">
        <f aca="false">Kalender!C230</f>
        <v>0</v>
      </c>
      <c r="C230" s="13" t="n">
        <f aca="false">Kalender!D230</f>
        <v>1</v>
      </c>
      <c r="D230" s="13" t="n">
        <f aca="false">IF(Prüfungen!$B$4=0,(IFERROR(SUMIF(Nutzungsprofile!$B$6:$B$11,"Schulbetrieb",Nutzungsprofile!$G$6:$G$11)*Kalender!C230/SUM(Kalender!$C$5:$C$370),0)+IFERROR(SUMIF(Nutzungsprofile!$B$6:$B$11,"Halle",Nutzungsprofile!$G$6:$G$11)*Kalender!D230/SUM(Kalender!$D$5:$D$370),0)+IFERROR(SUMIF(Nutzungsprofile!$B$6:$B$11,"Individuell",Nutzungsprofile!$G$6:$G$11)*Kalender!E230/SUM(Kalender!$E$5:$E$370),0)),0)</f>
        <v>2.04</v>
      </c>
      <c r="E230" s="13" t="n">
        <f aca="false">IF(Prüfungen!$B$4=0,(IFERROR(SUMIF(Nutzungsprofile!$B$17:$B$22,"Schulbetrieb",Nutzungsprofile!$G$17:$G$22)*Kalender!C230/SUM(Kalender!$C$5:$C$370),0)+IFERROR(SUMIF(Nutzungsprofile!$B$17:$B$22,"Halle",Nutzungsprofile!$G$17:$G$22)*Kalender!D230/SUM(Kalender!$D$5:$D$370),0)+IFERROR(SUMIF(Nutzungsprofile!$B$17:$B$22,"Individuell",Nutzungsprofile!$G$17:$G$22)*Kalender!E230/SUM(Kalender!$E$5:$E$370),0)),0)</f>
        <v>0.89</v>
      </c>
      <c r="F230" s="13" t="n">
        <f aca="false">IFERROR(MIN(D230,Eingaben!$B$17)*Eingaben!$B$16,0)</f>
        <v>1.938</v>
      </c>
      <c r="G230" s="13" t="n">
        <f aca="false">IFERROR(F230*Eingaben!$B$15,0)</f>
        <v>1.7442</v>
      </c>
      <c r="H230" s="13" t="n">
        <f aca="false">IFERROR(Q230*(1-Eingaben!$B$20),0)</f>
        <v>1.709316</v>
      </c>
      <c r="I230" s="13" t="n">
        <f aca="false">MIN(H230,E230)</f>
        <v>0.89</v>
      </c>
      <c r="J230" s="13" t="n">
        <f aca="false">IFERROR(MIN(G230*Eingaben!$B$19,MAX(0,E230-I230)),0)</f>
        <v>0</v>
      </c>
      <c r="K230" s="13" t="n">
        <f aca="false">IFERROR(MIN(Eingaben!$B$18,MAX(0,G230-J230)),0)</f>
        <v>1.7442</v>
      </c>
      <c r="L230" s="13" t="n">
        <f aca="false">I230+J230</f>
        <v>0.89</v>
      </c>
      <c r="M230" s="13" t="n">
        <f aca="false">MAX(0,E230-L230)</f>
        <v>0</v>
      </c>
      <c r="N230" s="13" t="n">
        <f aca="false">MAX(0,G230-J230-K230)</f>
        <v>0</v>
      </c>
      <c r="O230" s="13" t="n">
        <f aca="false">Q230-I230</f>
        <v>0.8542</v>
      </c>
      <c r="P230" s="13" t="n">
        <f aca="false">G230+Q230-L230-N230-O230-K230</f>
        <v>0</v>
      </c>
      <c r="Q230" s="13" t="n">
        <f aca="false">IF(A230="",0,K229)</f>
        <v>1.7442</v>
      </c>
    </row>
    <row r="231" customFormat="false" ht="16.4" hidden="false" customHeight="false" outlineLevel="0" collapsed="false">
      <c r="A231" s="23" t="n">
        <f aca="false">Kalender!A231</f>
        <v>46249</v>
      </c>
      <c r="B231" s="13" t="n">
        <f aca="false">Kalender!C231</f>
        <v>0</v>
      </c>
      <c r="C231" s="13" t="n">
        <f aca="false">Kalender!D231</f>
        <v>1</v>
      </c>
      <c r="D231" s="13" t="n">
        <f aca="false">IF(Prüfungen!$B$4=0,(IFERROR(SUMIF(Nutzungsprofile!$B$6:$B$11,"Schulbetrieb",Nutzungsprofile!$G$6:$G$11)*Kalender!C231/SUM(Kalender!$C$5:$C$370),0)+IFERROR(SUMIF(Nutzungsprofile!$B$6:$B$11,"Halle",Nutzungsprofile!$G$6:$G$11)*Kalender!D231/SUM(Kalender!$D$5:$D$370),0)+IFERROR(SUMIF(Nutzungsprofile!$B$6:$B$11,"Individuell",Nutzungsprofile!$G$6:$G$11)*Kalender!E231/SUM(Kalender!$E$5:$E$370),0)),0)</f>
        <v>2.04</v>
      </c>
      <c r="E231" s="13" t="n">
        <f aca="false">IF(Prüfungen!$B$4=0,(IFERROR(SUMIF(Nutzungsprofile!$B$17:$B$22,"Schulbetrieb",Nutzungsprofile!$G$17:$G$22)*Kalender!C231/SUM(Kalender!$C$5:$C$370),0)+IFERROR(SUMIF(Nutzungsprofile!$B$17:$B$22,"Halle",Nutzungsprofile!$G$17:$G$22)*Kalender!D231/SUM(Kalender!$D$5:$D$370),0)+IFERROR(SUMIF(Nutzungsprofile!$B$17:$B$22,"Individuell",Nutzungsprofile!$G$17:$G$22)*Kalender!E231/SUM(Kalender!$E$5:$E$370),0)),0)</f>
        <v>0.89</v>
      </c>
      <c r="F231" s="13" t="n">
        <f aca="false">IFERROR(MIN(D231,Eingaben!$B$17)*Eingaben!$B$16,0)</f>
        <v>1.938</v>
      </c>
      <c r="G231" s="13" t="n">
        <f aca="false">IFERROR(F231*Eingaben!$B$15,0)</f>
        <v>1.7442</v>
      </c>
      <c r="H231" s="13" t="n">
        <f aca="false">IFERROR(Q231*(1-Eingaben!$B$20),0)</f>
        <v>1.709316</v>
      </c>
      <c r="I231" s="13" t="n">
        <f aca="false">MIN(H231,E231)</f>
        <v>0.89</v>
      </c>
      <c r="J231" s="13" t="n">
        <f aca="false">IFERROR(MIN(G231*Eingaben!$B$19,MAX(0,E231-I231)),0)</f>
        <v>0</v>
      </c>
      <c r="K231" s="13" t="n">
        <f aca="false">IFERROR(MIN(Eingaben!$B$18,MAX(0,G231-J231)),0)</f>
        <v>1.7442</v>
      </c>
      <c r="L231" s="13" t="n">
        <f aca="false">I231+J231</f>
        <v>0.89</v>
      </c>
      <c r="M231" s="13" t="n">
        <f aca="false">MAX(0,E231-L231)</f>
        <v>0</v>
      </c>
      <c r="N231" s="13" t="n">
        <f aca="false">MAX(0,G231-J231-K231)</f>
        <v>0</v>
      </c>
      <c r="O231" s="13" t="n">
        <f aca="false">Q231-I231</f>
        <v>0.8542</v>
      </c>
      <c r="P231" s="13" t="n">
        <f aca="false">G231+Q231-L231-N231-O231-K231</f>
        <v>0</v>
      </c>
      <c r="Q231" s="13" t="n">
        <f aca="false">IF(A231="",0,K230)</f>
        <v>1.7442</v>
      </c>
    </row>
    <row r="232" customFormat="false" ht="16.4" hidden="false" customHeight="false" outlineLevel="0" collapsed="false">
      <c r="A232" s="23" t="n">
        <f aca="false">Kalender!A232</f>
        <v>46250</v>
      </c>
      <c r="B232" s="13" t="n">
        <f aca="false">Kalender!C232</f>
        <v>0</v>
      </c>
      <c r="C232" s="13" t="n">
        <f aca="false">Kalender!D232</f>
        <v>1</v>
      </c>
      <c r="D232" s="13" t="n">
        <f aca="false">IF(Prüfungen!$B$4=0,(IFERROR(SUMIF(Nutzungsprofile!$B$6:$B$11,"Schulbetrieb",Nutzungsprofile!$G$6:$G$11)*Kalender!C232/SUM(Kalender!$C$5:$C$370),0)+IFERROR(SUMIF(Nutzungsprofile!$B$6:$B$11,"Halle",Nutzungsprofile!$G$6:$G$11)*Kalender!D232/SUM(Kalender!$D$5:$D$370),0)+IFERROR(SUMIF(Nutzungsprofile!$B$6:$B$11,"Individuell",Nutzungsprofile!$G$6:$G$11)*Kalender!E232/SUM(Kalender!$E$5:$E$370),0)),0)</f>
        <v>2.04</v>
      </c>
      <c r="E232" s="13" t="n">
        <f aca="false">IF(Prüfungen!$B$4=0,(IFERROR(SUMIF(Nutzungsprofile!$B$17:$B$22,"Schulbetrieb",Nutzungsprofile!$G$17:$G$22)*Kalender!C232/SUM(Kalender!$C$5:$C$370),0)+IFERROR(SUMIF(Nutzungsprofile!$B$17:$B$22,"Halle",Nutzungsprofile!$G$17:$G$22)*Kalender!D232/SUM(Kalender!$D$5:$D$370),0)+IFERROR(SUMIF(Nutzungsprofile!$B$17:$B$22,"Individuell",Nutzungsprofile!$G$17:$G$22)*Kalender!E232/SUM(Kalender!$E$5:$E$370),0)),0)</f>
        <v>0.89</v>
      </c>
      <c r="F232" s="13" t="n">
        <f aca="false">IFERROR(MIN(D232,Eingaben!$B$17)*Eingaben!$B$16,0)</f>
        <v>1.938</v>
      </c>
      <c r="G232" s="13" t="n">
        <f aca="false">IFERROR(F232*Eingaben!$B$15,0)</f>
        <v>1.7442</v>
      </c>
      <c r="H232" s="13" t="n">
        <f aca="false">IFERROR(Q232*(1-Eingaben!$B$20),0)</f>
        <v>1.709316</v>
      </c>
      <c r="I232" s="13" t="n">
        <f aca="false">MIN(H232,E232)</f>
        <v>0.89</v>
      </c>
      <c r="J232" s="13" t="n">
        <f aca="false">IFERROR(MIN(G232*Eingaben!$B$19,MAX(0,E232-I232)),0)</f>
        <v>0</v>
      </c>
      <c r="K232" s="13" t="n">
        <f aca="false">IFERROR(MIN(Eingaben!$B$18,MAX(0,G232-J232)),0)</f>
        <v>1.7442</v>
      </c>
      <c r="L232" s="13" t="n">
        <f aca="false">I232+J232</f>
        <v>0.89</v>
      </c>
      <c r="M232" s="13" t="n">
        <f aca="false">MAX(0,E232-L232)</f>
        <v>0</v>
      </c>
      <c r="N232" s="13" t="n">
        <f aca="false">MAX(0,G232-J232-K232)</f>
        <v>0</v>
      </c>
      <c r="O232" s="13" t="n">
        <f aca="false">Q232-I232</f>
        <v>0.8542</v>
      </c>
      <c r="P232" s="13" t="n">
        <f aca="false">G232+Q232-L232-N232-O232-K232</f>
        <v>0</v>
      </c>
      <c r="Q232" s="13" t="n">
        <f aca="false">IF(A232="",0,K231)</f>
        <v>1.7442</v>
      </c>
    </row>
    <row r="233" customFormat="false" ht="16.4" hidden="false" customHeight="false" outlineLevel="0" collapsed="false">
      <c r="A233" s="23" t="n">
        <f aca="false">Kalender!A233</f>
        <v>46251</v>
      </c>
      <c r="B233" s="13" t="n">
        <f aca="false">Kalender!C233</f>
        <v>0</v>
      </c>
      <c r="C233" s="13" t="n">
        <f aca="false">Kalender!D233</f>
        <v>1</v>
      </c>
      <c r="D233" s="13" t="n">
        <f aca="false">IF(Prüfungen!$B$4=0,(IFERROR(SUMIF(Nutzungsprofile!$B$6:$B$11,"Schulbetrieb",Nutzungsprofile!$G$6:$G$11)*Kalender!C233/SUM(Kalender!$C$5:$C$370),0)+IFERROR(SUMIF(Nutzungsprofile!$B$6:$B$11,"Halle",Nutzungsprofile!$G$6:$G$11)*Kalender!D233/SUM(Kalender!$D$5:$D$370),0)+IFERROR(SUMIF(Nutzungsprofile!$B$6:$B$11,"Individuell",Nutzungsprofile!$G$6:$G$11)*Kalender!E233/SUM(Kalender!$E$5:$E$370),0)),0)</f>
        <v>2.04</v>
      </c>
      <c r="E233" s="13" t="n">
        <f aca="false">IF(Prüfungen!$B$4=0,(IFERROR(SUMIF(Nutzungsprofile!$B$17:$B$22,"Schulbetrieb",Nutzungsprofile!$G$17:$G$22)*Kalender!C233/SUM(Kalender!$C$5:$C$370),0)+IFERROR(SUMIF(Nutzungsprofile!$B$17:$B$22,"Halle",Nutzungsprofile!$G$17:$G$22)*Kalender!D233/SUM(Kalender!$D$5:$D$370),0)+IFERROR(SUMIF(Nutzungsprofile!$B$17:$B$22,"Individuell",Nutzungsprofile!$G$17:$G$22)*Kalender!E233/SUM(Kalender!$E$5:$E$370),0)),0)</f>
        <v>0.89</v>
      </c>
      <c r="F233" s="13" t="n">
        <f aca="false">IFERROR(MIN(D233,Eingaben!$B$17)*Eingaben!$B$16,0)</f>
        <v>1.938</v>
      </c>
      <c r="G233" s="13" t="n">
        <f aca="false">IFERROR(F233*Eingaben!$B$15,0)</f>
        <v>1.7442</v>
      </c>
      <c r="H233" s="13" t="n">
        <f aca="false">IFERROR(Q233*(1-Eingaben!$B$20),0)</f>
        <v>1.709316</v>
      </c>
      <c r="I233" s="13" t="n">
        <f aca="false">MIN(H233,E233)</f>
        <v>0.89</v>
      </c>
      <c r="J233" s="13" t="n">
        <f aca="false">IFERROR(MIN(G233*Eingaben!$B$19,MAX(0,E233-I233)),0)</f>
        <v>0</v>
      </c>
      <c r="K233" s="13" t="n">
        <f aca="false">IFERROR(MIN(Eingaben!$B$18,MAX(0,G233-J233)),0)</f>
        <v>1.7442</v>
      </c>
      <c r="L233" s="13" t="n">
        <f aca="false">I233+J233</f>
        <v>0.89</v>
      </c>
      <c r="M233" s="13" t="n">
        <f aca="false">MAX(0,E233-L233)</f>
        <v>0</v>
      </c>
      <c r="N233" s="13" t="n">
        <f aca="false">MAX(0,G233-J233-K233)</f>
        <v>0</v>
      </c>
      <c r="O233" s="13" t="n">
        <f aca="false">Q233-I233</f>
        <v>0.8542</v>
      </c>
      <c r="P233" s="13" t="n">
        <f aca="false">G233+Q233-L233-N233-O233-K233</f>
        <v>0</v>
      </c>
      <c r="Q233" s="13" t="n">
        <f aca="false">IF(A233="",0,K232)</f>
        <v>1.7442</v>
      </c>
    </row>
    <row r="234" customFormat="false" ht="16.4" hidden="false" customHeight="false" outlineLevel="0" collapsed="false">
      <c r="A234" s="23" t="n">
        <f aca="false">Kalender!A234</f>
        <v>46252</v>
      </c>
      <c r="B234" s="13" t="n">
        <f aca="false">Kalender!C234</f>
        <v>0</v>
      </c>
      <c r="C234" s="13" t="n">
        <f aca="false">Kalender!D234</f>
        <v>1</v>
      </c>
      <c r="D234" s="13" t="n">
        <f aca="false">IF(Prüfungen!$B$4=0,(IFERROR(SUMIF(Nutzungsprofile!$B$6:$B$11,"Schulbetrieb",Nutzungsprofile!$G$6:$G$11)*Kalender!C234/SUM(Kalender!$C$5:$C$370),0)+IFERROR(SUMIF(Nutzungsprofile!$B$6:$B$11,"Halle",Nutzungsprofile!$G$6:$G$11)*Kalender!D234/SUM(Kalender!$D$5:$D$370),0)+IFERROR(SUMIF(Nutzungsprofile!$B$6:$B$11,"Individuell",Nutzungsprofile!$G$6:$G$11)*Kalender!E234/SUM(Kalender!$E$5:$E$370),0)),0)</f>
        <v>2.04</v>
      </c>
      <c r="E234" s="13" t="n">
        <f aca="false">IF(Prüfungen!$B$4=0,(IFERROR(SUMIF(Nutzungsprofile!$B$17:$B$22,"Schulbetrieb",Nutzungsprofile!$G$17:$G$22)*Kalender!C234/SUM(Kalender!$C$5:$C$370),0)+IFERROR(SUMIF(Nutzungsprofile!$B$17:$B$22,"Halle",Nutzungsprofile!$G$17:$G$22)*Kalender!D234/SUM(Kalender!$D$5:$D$370),0)+IFERROR(SUMIF(Nutzungsprofile!$B$17:$B$22,"Individuell",Nutzungsprofile!$G$17:$G$22)*Kalender!E234/SUM(Kalender!$E$5:$E$370),0)),0)</f>
        <v>0.89</v>
      </c>
      <c r="F234" s="13" t="n">
        <f aca="false">IFERROR(MIN(D234,Eingaben!$B$17)*Eingaben!$B$16,0)</f>
        <v>1.938</v>
      </c>
      <c r="G234" s="13" t="n">
        <f aca="false">IFERROR(F234*Eingaben!$B$15,0)</f>
        <v>1.7442</v>
      </c>
      <c r="H234" s="13" t="n">
        <f aca="false">IFERROR(Q234*(1-Eingaben!$B$20),0)</f>
        <v>1.709316</v>
      </c>
      <c r="I234" s="13" t="n">
        <f aca="false">MIN(H234,E234)</f>
        <v>0.89</v>
      </c>
      <c r="J234" s="13" t="n">
        <f aca="false">IFERROR(MIN(G234*Eingaben!$B$19,MAX(0,E234-I234)),0)</f>
        <v>0</v>
      </c>
      <c r="K234" s="13" t="n">
        <f aca="false">IFERROR(MIN(Eingaben!$B$18,MAX(0,G234-J234)),0)</f>
        <v>1.7442</v>
      </c>
      <c r="L234" s="13" t="n">
        <f aca="false">I234+J234</f>
        <v>0.89</v>
      </c>
      <c r="M234" s="13" t="n">
        <f aca="false">MAX(0,E234-L234)</f>
        <v>0</v>
      </c>
      <c r="N234" s="13" t="n">
        <f aca="false">MAX(0,G234-J234-K234)</f>
        <v>0</v>
      </c>
      <c r="O234" s="13" t="n">
        <f aca="false">Q234-I234</f>
        <v>0.8542</v>
      </c>
      <c r="P234" s="13" t="n">
        <f aca="false">G234+Q234-L234-N234-O234-K234</f>
        <v>0</v>
      </c>
      <c r="Q234" s="13" t="n">
        <f aca="false">IF(A234="",0,K233)</f>
        <v>1.7442</v>
      </c>
    </row>
    <row r="235" customFormat="false" ht="16.4" hidden="false" customHeight="false" outlineLevel="0" collapsed="false">
      <c r="A235" s="23" t="n">
        <f aca="false">Kalender!A235</f>
        <v>46253</v>
      </c>
      <c r="B235" s="13" t="n">
        <f aca="false">Kalender!C235</f>
        <v>0</v>
      </c>
      <c r="C235" s="13" t="n">
        <f aca="false">Kalender!D235</f>
        <v>1</v>
      </c>
      <c r="D235" s="13" t="n">
        <f aca="false">IF(Prüfungen!$B$4=0,(IFERROR(SUMIF(Nutzungsprofile!$B$6:$B$11,"Schulbetrieb",Nutzungsprofile!$G$6:$G$11)*Kalender!C235/SUM(Kalender!$C$5:$C$370),0)+IFERROR(SUMIF(Nutzungsprofile!$B$6:$B$11,"Halle",Nutzungsprofile!$G$6:$G$11)*Kalender!D235/SUM(Kalender!$D$5:$D$370),0)+IFERROR(SUMIF(Nutzungsprofile!$B$6:$B$11,"Individuell",Nutzungsprofile!$G$6:$G$11)*Kalender!E235/SUM(Kalender!$E$5:$E$370),0)),0)</f>
        <v>2.04</v>
      </c>
      <c r="E235" s="13" t="n">
        <f aca="false">IF(Prüfungen!$B$4=0,(IFERROR(SUMIF(Nutzungsprofile!$B$17:$B$22,"Schulbetrieb",Nutzungsprofile!$G$17:$G$22)*Kalender!C235/SUM(Kalender!$C$5:$C$370),0)+IFERROR(SUMIF(Nutzungsprofile!$B$17:$B$22,"Halle",Nutzungsprofile!$G$17:$G$22)*Kalender!D235/SUM(Kalender!$D$5:$D$370),0)+IFERROR(SUMIF(Nutzungsprofile!$B$17:$B$22,"Individuell",Nutzungsprofile!$G$17:$G$22)*Kalender!E235/SUM(Kalender!$E$5:$E$370),0)),0)</f>
        <v>0.89</v>
      </c>
      <c r="F235" s="13" t="n">
        <f aca="false">IFERROR(MIN(D235,Eingaben!$B$17)*Eingaben!$B$16,0)</f>
        <v>1.938</v>
      </c>
      <c r="G235" s="13" t="n">
        <f aca="false">IFERROR(F235*Eingaben!$B$15,0)</f>
        <v>1.7442</v>
      </c>
      <c r="H235" s="13" t="n">
        <f aca="false">IFERROR(Q235*(1-Eingaben!$B$20),0)</f>
        <v>1.709316</v>
      </c>
      <c r="I235" s="13" t="n">
        <f aca="false">MIN(H235,E235)</f>
        <v>0.89</v>
      </c>
      <c r="J235" s="13" t="n">
        <f aca="false">IFERROR(MIN(G235*Eingaben!$B$19,MAX(0,E235-I235)),0)</f>
        <v>0</v>
      </c>
      <c r="K235" s="13" t="n">
        <f aca="false">IFERROR(MIN(Eingaben!$B$18,MAX(0,G235-J235)),0)</f>
        <v>1.7442</v>
      </c>
      <c r="L235" s="13" t="n">
        <f aca="false">I235+J235</f>
        <v>0.89</v>
      </c>
      <c r="M235" s="13" t="n">
        <f aca="false">MAX(0,E235-L235)</f>
        <v>0</v>
      </c>
      <c r="N235" s="13" t="n">
        <f aca="false">MAX(0,G235-J235-K235)</f>
        <v>0</v>
      </c>
      <c r="O235" s="13" t="n">
        <f aca="false">Q235-I235</f>
        <v>0.8542</v>
      </c>
      <c r="P235" s="13" t="n">
        <f aca="false">G235+Q235-L235-N235-O235-K235</f>
        <v>0</v>
      </c>
      <c r="Q235" s="13" t="n">
        <f aca="false">IF(A235="",0,K234)</f>
        <v>1.7442</v>
      </c>
    </row>
    <row r="236" customFormat="false" ht="16.4" hidden="false" customHeight="false" outlineLevel="0" collapsed="false">
      <c r="A236" s="23" t="n">
        <f aca="false">Kalender!A236</f>
        <v>46254</v>
      </c>
      <c r="B236" s="13" t="n">
        <f aca="false">Kalender!C236</f>
        <v>0</v>
      </c>
      <c r="C236" s="13" t="n">
        <f aca="false">Kalender!D236</f>
        <v>1</v>
      </c>
      <c r="D236" s="13" t="n">
        <f aca="false">IF(Prüfungen!$B$4=0,(IFERROR(SUMIF(Nutzungsprofile!$B$6:$B$11,"Schulbetrieb",Nutzungsprofile!$G$6:$G$11)*Kalender!C236/SUM(Kalender!$C$5:$C$370),0)+IFERROR(SUMIF(Nutzungsprofile!$B$6:$B$11,"Halle",Nutzungsprofile!$G$6:$G$11)*Kalender!D236/SUM(Kalender!$D$5:$D$370),0)+IFERROR(SUMIF(Nutzungsprofile!$B$6:$B$11,"Individuell",Nutzungsprofile!$G$6:$G$11)*Kalender!E236/SUM(Kalender!$E$5:$E$370),0)),0)</f>
        <v>2.04</v>
      </c>
      <c r="E236" s="13" t="n">
        <f aca="false">IF(Prüfungen!$B$4=0,(IFERROR(SUMIF(Nutzungsprofile!$B$17:$B$22,"Schulbetrieb",Nutzungsprofile!$G$17:$G$22)*Kalender!C236/SUM(Kalender!$C$5:$C$370),0)+IFERROR(SUMIF(Nutzungsprofile!$B$17:$B$22,"Halle",Nutzungsprofile!$G$17:$G$22)*Kalender!D236/SUM(Kalender!$D$5:$D$370),0)+IFERROR(SUMIF(Nutzungsprofile!$B$17:$B$22,"Individuell",Nutzungsprofile!$G$17:$G$22)*Kalender!E236/SUM(Kalender!$E$5:$E$370),0)),0)</f>
        <v>0.89</v>
      </c>
      <c r="F236" s="13" t="n">
        <f aca="false">IFERROR(MIN(D236,Eingaben!$B$17)*Eingaben!$B$16,0)</f>
        <v>1.938</v>
      </c>
      <c r="G236" s="13" t="n">
        <f aca="false">IFERROR(F236*Eingaben!$B$15,0)</f>
        <v>1.7442</v>
      </c>
      <c r="H236" s="13" t="n">
        <f aca="false">IFERROR(Q236*(1-Eingaben!$B$20),0)</f>
        <v>1.709316</v>
      </c>
      <c r="I236" s="13" t="n">
        <f aca="false">MIN(H236,E236)</f>
        <v>0.89</v>
      </c>
      <c r="J236" s="13" t="n">
        <f aca="false">IFERROR(MIN(G236*Eingaben!$B$19,MAX(0,E236-I236)),0)</f>
        <v>0</v>
      </c>
      <c r="K236" s="13" t="n">
        <f aca="false">IFERROR(MIN(Eingaben!$B$18,MAX(0,G236-J236)),0)</f>
        <v>1.7442</v>
      </c>
      <c r="L236" s="13" t="n">
        <f aca="false">I236+J236</f>
        <v>0.89</v>
      </c>
      <c r="M236" s="13" t="n">
        <f aca="false">MAX(0,E236-L236)</f>
        <v>0</v>
      </c>
      <c r="N236" s="13" t="n">
        <f aca="false">MAX(0,G236-J236-K236)</f>
        <v>0</v>
      </c>
      <c r="O236" s="13" t="n">
        <f aca="false">Q236-I236</f>
        <v>0.8542</v>
      </c>
      <c r="P236" s="13" t="n">
        <f aca="false">G236+Q236-L236-N236-O236-K236</f>
        <v>0</v>
      </c>
      <c r="Q236" s="13" t="n">
        <f aca="false">IF(A236="",0,K235)</f>
        <v>1.7442</v>
      </c>
    </row>
    <row r="237" customFormat="false" ht="16.4" hidden="false" customHeight="false" outlineLevel="0" collapsed="false">
      <c r="A237" s="23" t="n">
        <f aca="false">Kalender!A237</f>
        <v>46255</v>
      </c>
      <c r="B237" s="13" t="n">
        <f aca="false">Kalender!C237</f>
        <v>0</v>
      </c>
      <c r="C237" s="13" t="n">
        <f aca="false">Kalender!D237</f>
        <v>1</v>
      </c>
      <c r="D237" s="13" t="n">
        <f aca="false">IF(Prüfungen!$B$4=0,(IFERROR(SUMIF(Nutzungsprofile!$B$6:$B$11,"Schulbetrieb",Nutzungsprofile!$G$6:$G$11)*Kalender!C237/SUM(Kalender!$C$5:$C$370),0)+IFERROR(SUMIF(Nutzungsprofile!$B$6:$B$11,"Halle",Nutzungsprofile!$G$6:$G$11)*Kalender!D237/SUM(Kalender!$D$5:$D$370),0)+IFERROR(SUMIF(Nutzungsprofile!$B$6:$B$11,"Individuell",Nutzungsprofile!$G$6:$G$11)*Kalender!E237/SUM(Kalender!$E$5:$E$370),0)),0)</f>
        <v>2.04</v>
      </c>
      <c r="E237" s="13" t="n">
        <f aca="false">IF(Prüfungen!$B$4=0,(IFERROR(SUMIF(Nutzungsprofile!$B$17:$B$22,"Schulbetrieb",Nutzungsprofile!$G$17:$G$22)*Kalender!C237/SUM(Kalender!$C$5:$C$370),0)+IFERROR(SUMIF(Nutzungsprofile!$B$17:$B$22,"Halle",Nutzungsprofile!$G$17:$G$22)*Kalender!D237/SUM(Kalender!$D$5:$D$370),0)+IFERROR(SUMIF(Nutzungsprofile!$B$17:$B$22,"Individuell",Nutzungsprofile!$G$17:$G$22)*Kalender!E237/SUM(Kalender!$E$5:$E$370),0)),0)</f>
        <v>0.89</v>
      </c>
      <c r="F237" s="13" t="n">
        <f aca="false">IFERROR(MIN(D237,Eingaben!$B$17)*Eingaben!$B$16,0)</f>
        <v>1.938</v>
      </c>
      <c r="G237" s="13" t="n">
        <f aca="false">IFERROR(F237*Eingaben!$B$15,0)</f>
        <v>1.7442</v>
      </c>
      <c r="H237" s="13" t="n">
        <f aca="false">IFERROR(Q237*(1-Eingaben!$B$20),0)</f>
        <v>1.709316</v>
      </c>
      <c r="I237" s="13" t="n">
        <f aca="false">MIN(H237,E237)</f>
        <v>0.89</v>
      </c>
      <c r="J237" s="13" t="n">
        <f aca="false">IFERROR(MIN(G237*Eingaben!$B$19,MAX(0,E237-I237)),0)</f>
        <v>0</v>
      </c>
      <c r="K237" s="13" t="n">
        <f aca="false">IFERROR(MIN(Eingaben!$B$18,MAX(0,G237-J237)),0)</f>
        <v>1.7442</v>
      </c>
      <c r="L237" s="13" t="n">
        <f aca="false">I237+J237</f>
        <v>0.89</v>
      </c>
      <c r="M237" s="13" t="n">
        <f aca="false">MAX(0,E237-L237)</f>
        <v>0</v>
      </c>
      <c r="N237" s="13" t="n">
        <f aca="false">MAX(0,G237-J237-K237)</f>
        <v>0</v>
      </c>
      <c r="O237" s="13" t="n">
        <f aca="false">Q237-I237</f>
        <v>0.8542</v>
      </c>
      <c r="P237" s="13" t="n">
        <f aca="false">G237+Q237-L237-N237-O237-K237</f>
        <v>0</v>
      </c>
      <c r="Q237" s="13" t="n">
        <f aca="false">IF(A237="",0,K236)</f>
        <v>1.7442</v>
      </c>
    </row>
    <row r="238" customFormat="false" ht="16.4" hidden="false" customHeight="false" outlineLevel="0" collapsed="false">
      <c r="A238" s="23" t="n">
        <f aca="false">Kalender!A238</f>
        <v>46256</v>
      </c>
      <c r="B238" s="13" t="n">
        <f aca="false">Kalender!C238</f>
        <v>0</v>
      </c>
      <c r="C238" s="13" t="n">
        <f aca="false">Kalender!D238</f>
        <v>1</v>
      </c>
      <c r="D238" s="13" t="n">
        <f aca="false">IF(Prüfungen!$B$4=0,(IFERROR(SUMIF(Nutzungsprofile!$B$6:$B$11,"Schulbetrieb",Nutzungsprofile!$G$6:$G$11)*Kalender!C238/SUM(Kalender!$C$5:$C$370),0)+IFERROR(SUMIF(Nutzungsprofile!$B$6:$B$11,"Halle",Nutzungsprofile!$G$6:$G$11)*Kalender!D238/SUM(Kalender!$D$5:$D$370),0)+IFERROR(SUMIF(Nutzungsprofile!$B$6:$B$11,"Individuell",Nutzungsprofile!$G$6:$G$11)*Kalender!E238/SUM(Kalender!$E$5:$E$370),0)),0)</f>
        <v>2.04</v>
      </c>
      <c r="E238" s="13" t="n">
        <f aca="false">IF(Prüfungen!$B$4=0,(IFERROR(SUMIF(Nutzungsprofile!$B$17:$B$22,"Schulbetrieb",Nutzungsprofile!$G$17:$G$22)*Kalender!C238/SUM(Kalender!$C$5:$C$370),0)+IFERROR(SUMIF(Nutzungsprofile!$B$17:$B$22,"Halle",Nutzungsprofile!$G$17:$G$22)*Kalender!D238/SUM(Kalender!$D$5:$D$370),0)+IFERROR(SUMIF(Nutzungsprofile!$B$17:$B$22,"Individuell",Nutzungsprofile!$G$17:$G$22)*Kalender!E238/SUM(Kalender!$E$5:$E$370),0)),0)</f>
        <v>0.89</v>
      </c>
      <c r="F238" s="13" t="n">
        <f aca="false">IFERROR(MIN(D238,Eingaben!$B$17)*Eingaben!$B$16,0)</f>
        <v>1.938</v>
      </c>
      <c r="G238" s="13" t="n">
        <f aca="false">IFERROR(F238*Eingaben!$B$15,0)</f>
        <v>1.7442</v>
      </c>
      <c r="H238" s="13" t="n">
        <f aca="false">IFERROR(Q238*(1-Eingaben!$B$20),0)</f>
        <v>1.709316</v>
      </c>
      <c r="I238" s="13" t="n">
        <f aca="false">MIN(H238,E238)</f>
        <v>0.89</v>
      </c>
      <c r="J238" s="13" t="n">
        <f aca="false">IFERROR(MIN(G238*Eingaben!$B$19,MAX(0,E238-I238)),0)</f>
        <v>0</v>
      </c>
      <c r="K238" s="13" t="n">
        <f aca="false">IFERROR(MIN(Eingaben!$B$18,MAX(0,G238-J238)),0)</f>
        <v>1.7442</v>
      </c>
      <c r="L238" s="13" t="n">
        <f aca="false">I238+J238</f>
        <v>0.89</v>
      </c>
      <c r="M238" s="13" t="n">
        <f aca="false">MAX(0,E238-L238)</f>
        <v>0</v>
      </c>
      <c r="N238" s="13" t="n">
        <f aca="false">MAX(0,G238-J238-K238)</f>
        <v>0</v>
      </c>
      <c r="O238" s="13" t="n">
        <f aca="false">Q238-I238</f>
        <v>0.8542</v>
      </c>
      <c r="P238" s="13" t="n">
        <f aca="false">G238+Q238-L238-N238-O238-K238</f>
        <v>0</v>
      </c>
      <c r="Q238" s="13" t="n">
        <f aca="false">IF(A238="",0,K237)</f>
        <v>1.7442</v>
      </c>
    </row>
    <row r="239" customFormat="false" ht="16.4" hidden="false" customHeight="false" outlineLevel="0" collapsed="false">
      <c r="A239" s="23" t="n">
        <f aca="false">Kalender!A239</f>
        <v>46257</v>
      </c>
      <c r="B239" s="13" t="n">
        <f aca="false">Kalender!C239</f>
        <v>0</v>
      </c>
      <c r="C239" s="13" t="n">
        <f aca="false">Kalender!D239</f>
        <v>1</v>
      </c>
      <c r="D239" s="13" t="n">
        <f aca="false">IF(Prüfungen!$B$4=0,(IFERROR(SUMIF(Nutzungsprofile!$B$6:$B$11,"Schulbetrieb",Nutzungsprofile!$G$6:$G$11)*Kalender!C239/SUM(Kalender!$C$5:$C$370),0)+IFERROR(SUMIF(Nutzungsprofile!$B$6:$B$11,"Halle",Nutzungsprofile!$G$6:$G$11)*Kalender!D239/SUM(Kalender!$D$5:$D$370),0)+IFERROR(SUMIF(Nutzungsprofile!$B$6:$B$11,"Individuell",Nutzungsprofile!$G$6:$G$11)*Kalender!E239/SUM(Kalender!$E$5:$E$370),0)),0)</f>
        <v>2.04</v>
      </c>
      <c r="E239" s="13" t="n">
        <f aca="false">IF(Prüfungen!$B$4=0,(IFERROR(SUMIF(Nutzungsprofile!$B$17:$B$22,"Schulbetrieb",Nutzungsprofile!$G$17:$G$22)*Kalender!C239/SUM(Kalender!$C$5:$C$370),0)+IFERROR(SUMIF(Nutzungsprofile!$B$17:$B$22,"Halle",Nutzungsprofile!$G$17:$G$22)*Kalender!D239/SUM(Kalender!$D$5:$D$370),0)+IFERROR(SUMIF(Nutzungsprofile!$B$17:$B$22,"Individuell",Nutzungsprofile!$G$17:$G$22)*Kalender!E239/SUM(Kalender!$E$5:$E$370),0)),0)</f>
        <v>0.89</v>
      </c>
      <c r="F239" s="13" t="n">
        <f aca="false">IFERROR(MIN(D239,Eingaben!$B$17)*Eingaben!$B$16,0)</f>
        <v>1.938</v>
      </c>
      <c r="G239" s="13" t="n">
        <f aca="false">IFERROR(F239*Eingaben!$B$15,0)</f>
        <v>1.7442</v>
      </c>
      <c r="H239" s="13" t="n">
        <f aca="false">IFERROR(Q239*(1-Eingaben!$B$20),0)</f>
        <v>1.709316</v>
      </c>
      <c r="I239" s="13" t="n">
        <f aca="false">MIN(H239,E239)</f>
        <v>0.89</v>
      </c>
      <c r="J239" s="13" t="n">
        <f aca="false">IFERROR(MIN(G239*Eingaben!$B$19,MAX(0,E239-I239)),0)</f>
        <v>0</v>
      </c>
      <c r="K239" s="13" t="n">
        <f aca="false">IFERROR(MIN(Eingaben!$B$18,MAX(0,G239-J239)),0)</f>
        <v>1.7442</v>
      </c>
      <c r="L239" s="13" t="n">
        <f aca="false">I239+J239</f>
        <v>0.89</v>
      </c>
      <c r="M239" s="13" t="n">
        <f aca="false">MAX(0,E239-L239)</f>
        <v>0</v>
      </c>
      <c r="N239" s="13" t="n">
        <f aca="false">MAX(0,G239-J239-K239)</f>
        <v>0</v>
      </c>
      <c r="O239" s="13" t="n">
        <f aca="false">Q239-I239</f>
        <v>0.8542</v>
      </c>
      <c r="P239" s="13" t="n">
        <f aca="false">G239+Q239-L239-N239-O239-K239</f>
        <v>0</v>
      </c>
      <c r="Q239" s="13" t="n">
        <f aca="false">IF(A239="",0,K238)</f>
        <v>1.7442</v>
      </c>
    </row>
    <row r="240" customFormat="false" ht="16.4" hidden="false" customHeight="false" outlineLevel="0" collapsed="false">
      <c r="A240" s="23" t="n">
        <f aca="false">Kalender!A240</f>
        <v>46258</v>
      </c>
      <c r="B240" s="13" t="n">
        <f aca="false">Kalender!C240</f>
        <v>0</v>
      </c>
      <c r="C240" s="13" t="n">
        <f aca="false">Kalender!D240</f>
        <v>1</v>
      </c>
      <c r="D240" s="13" t="n">
        <f aca="false">IF(Prüfungen!$B$4=0,(IFERROR(SUMIF(Nutzungsprofile!$B$6:$B$11,"Schulbetrieb",Nutzungsprofile!$G$6:$G$11)*Kalender!C240/SUM(Kalender!$C$5:$C$370),0)+IFERROR(SUMIF(Nutzungsprofile!$B$6:$B$11,"Halle",Nutzungsprofile!$G$6:$G$11)*Kalender!D240/SUM(Kalender!$D$5:$D$370),0)+IFERROR(SUMIF(Nutzungsprofile!$B$6:$B$11,"Individuell",Nutzungsprofile!$G$6:$G$11)*Kalender!E240/SUM(Kalender!$E$5:$E$370),0)),0)</f>
        <v>2.04</v>
      </c>
      <c r="E240" s="13" t="n">
        <f aca="false">IF(Prüfungen!$B$4=0,(IFERROR(SUMIF(Nutzungsprofile!$B$17:$B$22,"Schulbetrieb",Nutzungsprofile!$G$17:$G$22)*Kalender!C240/SUM(Kalender!$C$5:$C$370),0)+IFERROR(SUMIF(Nutzungsprofile!$B$17:$B$22,"Halle",Nutzungsprofile!$G$17:$G$22)*Kalender!D240/SUM(Kalender!$D$5:$D$370),0)+IFERROR(SUMIF(Nutzungsprofile!$B$17:$B$22,"Individuell",Nutzungsprofile!$G$17:$G$22)*Kalender!E240/SUM(Kalender!$E$5:$E$370),0)),0)</f>
        <v>0.89</v>
      </c>
      <c r="F240" s="13" t="n">
        <f aca="false">IFERROR(MIN(D240,Eingaben!$B$17)*Eingaben!$B$16,0)</f>
        <v>1.938</v>
      </c>
      <c r="G240" s="13" t="n">
        <f aca="false">IFERROR(F240*Eingaben!$B$15,0)</f>
        <v>1.7442</v>
      </c>
      <c r="H240" s="13" t="n">
        <f aca="false">IFERROR(Q240*(1-Eingaben!$B$20),0)</f>
        <v>1.709316</v>
      </c>
      <c r="I240" s="13" t="n">
        <f aca="false">MIN(H240,E240)</f>
        <v>0.89</v>
      </c>
      <c r="J240" s="13" t="n">
        <f aca="false">IFERROR(MIN(G240*Eingaben!$B$19,MAX(0,E240-I240)),0)</f>
        <v>0</v>
      </c>
      <c r="K240" s="13" t="n">
        <f aca="false">IFERROR(MIN(Eingaben!$B$18,MAX(0,G240-J240)),0)</f>
        <v>1.7442</v>
      </c>
      <c r="L240" s="13" t="n">
        <f aca="false">I240+J240</f>
        <v>0.89</v>
      </c>
      <c r="M240" s="13" t="n">
        <f aca="false">MAX(0,E240-L240)</f>
        <v>0</v>
      </c>
      <c r="N240" s="13" t="n">
        <f aca="false">MAX(0,G240-J240-K240)</f>
        <v>0</v>
      </c>
      <c r="O240" s="13" t="n">
        <f aca="false">Q240-I240</f>
        <v>0.8542</v>
      </c>
      <c r="P240" s="13" t="n">
        <f aca="false">G240+Q240-L240-N240-O240-K240</f>
        <v>0</v>
      </c>
      <c r="Q240" s="13" t="n">
        <f aca="false">IF(A240="",0,K239)</f>
        <v>1.7442</v>
      </c>
    </row>
    <row r="241" customFormat="false" ht="16.4" hidden="false" customHeight="false" outlineLevel="0" collapsed="false">
      <c r="A241" s="23" t="n">
        <f aca="false">Kalender!A241</f>
        <v>46259</v>
      </c>
      <c r="B241" s="13" t="n">
        <f aca="false">Kalender!C241</f>
        <v>0</v>
      </c>
      <c r="C241" s="13" t="n">
        <f aca="false">Kalender!D241</f>
        <v>1</v>
      </c>
      <c r="D241" s="13" t="n">
        <f aca="false">IF(Prüfungen!$B$4=0,(IFERROR(SUMIF(Nutzungsprofile!$B$6:$B$11,"Schulbetrieb",Nutzungsprofile!$G$6:$G$11)*Kalender!C241/SUM(Kalender!$C$5:$C$370),0)+IFERROR(SUMIF(Nutzungsprofile!$B$6:$B$11,"Halle",Nutzungsprofile!$G$6:$G$11)*Kalender!D241/SUM(Kalender!$D$5:$D$370),0)+IFERROR(SUMIF(Nutzungsprofile!$B$6:$B$11,"Individuell",Nutzungsprofile!$G$6:$G$11)*Kalender!E241/SUM(Kalender!$E$5:$E$370),0)),0)</f>
        <v>2.04</v>
      </c>
      <c r="E241" s="13" t="n">
        <f aca="false">IF(Prüfungen!$B$4=0,(IFERROR(SUMIF(Nutzungsprofile!$B$17:$B$22,"Schulbetrieb",Nutzungsprofile!$G$17:$G$22)*Kalender!C241/SUM(Kalender!$C$5:$C$370),0)+IFERROR(SUMIF(Nutzungsprofile!$B$17:$B$22,"Halle",Nutzungsprofile!$G$17:$G$22)*Kalender!D241/SUM(Kalender!$D$5:$D$370),0)+IFERROR(SUMIF(Nutzungsprofile!$B$17:$B$22,"Individuell",Nutzungsprofile!$G$17:$G$22)*Kalender!E241/SUM(Kalender!$E$5:$E$370),0)),0)</f>
        <v>0.89</v>
      </c>
      <c r="F241" s="13" t="n">
        <f aca="false">IFERROR(MIN(D241,Eingaben!$B$17)*Eingaben!$B$16,0)</f>
        <v>1.938</v>
      </c>
      <c r="G241" s="13" t="n">
        <f aca="false">IFERROR(F241*Eingaben!$B$15,0)</f>
        <v>1.7442</v>
      </c>
      <c r="H241" s="13" t="n">
        <f aca="false">IFERROR(Q241*(1-Eingaben!$B$20),0)</f>
        <v>1.709316</v>
      </c>
      <c r="I241" s="13" t="n">
        <f aca="false">MIN(H241,E241)</f>
        <v>0.89</v>
      </c>
      <c r="J241" s="13" t="n">
        <f aca="false">IFERROR(MIN(G241*Eingaben!$B$19,MAX(0,E241-I241)),0)</f>
        <v>0</v>
      </c>
      <c r="K241" s="13" t="n">
        <f aca="false">IFERROR(MIN(Eingaben!$B$18,MAX(0,G241-J241)),0)</f>
        <v>1.7442</v>
      </c>
      <c r="L241" s="13" t="n">
        <f aca="false">I241+J241</f>
        <v>0.89</v>
      </c>
      <c r="M241" s="13" t="n">
        <f aca="false">MAX(0,E241-L241)</f>
        <v>0</v>
      </c>
      <c r="N241" s="13" t="n">
        <f aca="false">MAX(0,G241-J241-K241)</f>
        <v>0</v>
      </c>
      <c r="O241" s="13" t="n">
        <f aca="false">Q241-I241</f>
        <v>0.8542</v>
      </c>
      <c r="P241" s="13" t="n">
        <f aca="false">G241+Q241-L241-N241-O241-K241</f>
        <v>0</v>
      </c>
      <c r="Q241" s="13" t="n">
        <f aca="false">IF(A241="",0,K240)</f>
        <v>1.7442</v>
      </c>
    </row>
    <row r="242" customFormat="false" ht="16.4" hidden="false" customHeight="false" outlineLevel="0" collapsed="false">
      <c r="A242" s="23" t="n">
        <f aca="false">Kalender!A242</f>
        <v>46260</v>
      </c>
      <c r="B242" s="13" t="n">
        <f aca="false">Kalender!C242</f>
        <v>0</v>
      </c>
      <c r="C242" s="13" t="n">
        <f aca="false">Kalender!D242</f>
        <v>1</v>
      </c>
      <c r="D242" s="13" t="n">
        <f aca="false">IF(Prüfungen!$B$4=0,(IFERROR(SUMIF(Nutzungsprofile!$B$6:$B$11,"Schulbetrieb",Nutzungsprofile!$G$6:$G$11)*Kalender!C242/SUM(Kalender!$C$5:$C$370),0)+IFERROR(SUMIF(Nutzungsprofile!$B$6:$B$11,"Halle",Nutzungsprofile!$G$6:$G$11)*Kalender!D242/SUM(Kalender!$D$5:$D$370),0)+IFERROR(SUMIF(Nutzungsprofile!$B$6:$B$11,"Individuell",Nutzungsprofile!$G$6:$G$11)*Kalender!E242/SUM(Kalender!$E$5:$E$370),0)),0)</f>
        <v>2.04</v>
      </c>
      <c r="E242" s="13" t="n">
        <f aca="false">IF(Prüfungen!$B$4=0,(IFERROR(SUMIF(Nutzungsprofile!$B$17:$B$22,"Schulbetrieb",Nutzungsprofile!$G$17:$G$22)*Kalender!C242/SUM(Kalender!$C$5:$C$370),0)+IFERROR(SUMIF(Nutzungsprofile!$B$17:$B$22,"Halle",Nutzungsprofile!$G$17:$G$22)*Kalender!D242/SUM(Kalender!$D$5:$D$370),0)+IFERROR(SUMIF(Nutzungsprofile!$B$17:$B$22,"Individuell",Nutzungsprofile!$G$17:$G$22)*Kalender!E242/SUM(Kalender!$E$5:$E$370),0)),0)</f>
        <v>0.89</v>
      </c>
      <c r="F242" s="13" t="n">
        <f aca="false">IFERROR(MIN(D242,Eingaben!$B$17)*Eingaben!$B$16,0)</f>
        <v>1.938</v>
      </c>
      <c r="G242" s="13" t="n">
        <f aca="false">IFERROR(F242*Eingaben!$B$15,0)</f>
        <v>1.7442</v>
      </c>
      <c r="H242" s="13" t="n">
        <f aca="false">IFERROR(Q242*(1-Eingaben!$B$20),0)</f>
        <v>1.709316</v>
      </c>
      <c r="I242" s="13" t="n">
        <f aca="false">MIN(H242,E242)</f>
        <v>0.89</v>
      </c>
      <c r="J242" s="13" t="n">
        <f aca="false">IFERROR(MIN(G242*Eingaben!$B$19,MAX(0,E242-I242)),0)</f>
        <v>0</v>
      </c>
      <c r="K242" s="13" t="n">
        <f aca="false">IFERROR(MIN(Eingaben!$B$18,MAX(0,G242-J242)),0)</f>
        <v>1.7442</v>
      </c>
      <c r="L242" s="13" t="n">
        <f aca="false">I242+J242</f>
        <v>0.89</v>
      </c>
      <c r="M242" s="13" t="n">
        <f aca="false">MAX(0,E242-L242)</f>
        <v>0</v>
      </c>
      <c r="N242" s="13" t="n">
        <f aca="false">MAX(0,G242-J242-K242)</f>
        <v>0</v>
      </c>
      <c r="O242" s="13" t="n">
        <f aca="false">Q242-I242</f>
        <v>0.8542</v>
      </c>
      <c r="P242" s="13" t="n">
        <f aca="false">G242+Q242-L242-N242-O242-K242</f>
        <v>0</v>
      </c>
      <c r="Q242" s="13" t="n">
        <f aca="false">IF(A242="",0,K241)</f>
        <v>1.7442</v>
      </c>
    </row>
    <row r="243" customFormat="false" ht="16.4" hidden="false" customHeight="false" outlineLevel="0" collapsed="false">
      <c r="A243" s="23" t="n">
        <f aca="false">Kalender!A243</f>
        <v>46261</v>
      </c>
      <c r="B243" s="13" t="n">
        <f aca="false">Kalender!C243</f>
        <v>0</v>
      </c>
      <c r="C243" s="13" t="n">
        <f aca="false">Kalender!D243</f>
        <v>1</v>
      </c>
      <c r="D243" s="13" t="n">
        <f aca="false">IF(Prüfungen!$B$4=0,(IFERROR(SUMIF(Nutzungsprofile!$B$6:$B$11,"Schulbetrieb",Nutzungsprofile!$G$6:$G$11)*Kalender!C243/SUM(Kalender!$C$5:$C$370),0)+IFERROR(SUMIF(Nutzungsprofile!$B$6:$B$11,"Halle",Nutzungsprofile!$G$6:$G$11)*Kalender!D243/SUM(Kalender!$D$5:$D$370),0)+IFERROR(SUMIF(Nutzungsprofile!$B$6:$B$11,"Individuell",Nutzungsprofile!$G$6:$G$11)*Kalender!E243/SUM(Kalender!$E$5:$E$370),0)),0)</f>
        <v>2.04</v>
      </c>
      <c r="E243" s="13" t="n">
        <f aca="false">IF(Prüfungen!$B$4=0,(IFERROR(SUMIF(Nutzungsprofile!$B$17:$B$22,"Schulbetrieb",Nutzungsprofile!$G$17:$G$22)*Kalender!C243/SUM(Kalender!$C$5:$C$370),0)+IFERROR(SUMIF(Nutzungsprofile!$B$17:$B$22,"Halle",Nutzungsprofile!$G$17:$G$22)*Kalender!D243/SUM(Kalender!$D$5:$D$370),0)+IFERROR(SUMIF(Nutzungsprofile!$B$17:$B$22,"Individuell",Nutzungsprofile!$G$17:$G$22)*Kalender!E243/SUM(Kalender!$E$5:$E$370),0)),0)</f>
        <v>0.89</v>
      </c>
      <c r="F243" s="13" t="n">
        <f aca="false">IFERROR(MIN(D243,Eingaben!$B$17)*Eingaben!$B$16,0)</f>
        <v>1.938</v>
      </c>
      <c r="G243" s="13" t="n">
        <f aca="false">IFERROR(F243*Eingaben!$B$15,0)</f>
        <v>1.7442</v>
      </c>
      <c r="H243" s="13" t="n">
        <f aca="false">IFERROR(Q243*(1-Eingaben!$B$20),0)</f>
        <v>1.709316</v>
      </c>
      <c r="I243" s="13" t="n">
        <f aca="false">MIN(H243,E243)</f>
        <v>0.89</v>
      </c>
      <c r="J243" s="13" t="n">
        <f aca="false">IFERROR(MIN(G243*Eingaben!$B$19,MAX(0,E243-I243)),0)</f>
        <v>0</v>
      </c>
      <c r="K243" s="13" t="n">
        <f aca="false">IFERROR(MIN(Eingaben!$B$18,MAX(0,G243-J243)),0)</f>
        <v>1.7442</v>
      </c>
      <c r="L243" s="13" t="n">
        <f aca="false">I243+J243</f>
        <v>0.89</v>
      </c>
      <c r="M243" s="13" t="n">
        <f aca="false">MAX(0,E243-L243)</f>
        <v>0</v>
      </c>
      <c r="N243" s="13" t="n">
        <f aca="false">MAX(0,G243-J243-K243)</f>
        <v>0</v>
      </c>
      <c r="O243" s="13" t="n">
        <f aca="false">Q243-I243</f>
        <v>0.8542</v>
      </c>
      <c r="P243" s="13" t="n">
        <f aca="false">G243+Q243-L243-N243-O243-K243</f>
        <v>0</v>
      </c>
      <c r="Q243" s="13" t="n">
        <f aca="false">IF(A243="",0,K242)</f>
        <v>1.7442</v>
      </c>
    </row>
    <row r="244" customFormat="false" ht="16.4" hidden="false" customHeight="false" outlineLevel="0" collapsed="false">
      <c r="A244" s="23" t="n">
        <f aca="false">Kalender!A244</f>
        <v>46262</v>
      </c>
      <c r="B244" s="13" t="n">
        <f aca="false">Kalender!C244</f>
        <v>0</v>
      </c>
      <c r="C244" s="13" t="n">
        <f aca="false">Kalender!D244</f>
        <v>1</v>
      </c>
      <c r="D244" s="13" t="n">
        <f aca="false">IF(Prüfungen!$B$4=0,(IFERROR(SUMIF(Nutzungsprofile!$B$6:$B$11,"Schulbetrieb",Nutzungsprofile!$G$6:$G$11)*Kalender!C244/SUM(Kalender!$C$5:$C$370),0)+IFERROR(SUMIF(Nutzungsprofile!$B$6:$B$11,"Halle",Nutzungsprofile!$G$6:$G$11)*Kalender!D244/SUM(Kalender!$D$5:$D$370),0)+IFERROR(SUMIF(Nutzungsprofile!$B$6:$B$11,"Individuell",Nutzungsprofile!$G$6:$G$11)*Kalender!E244/SUM(Kalender!$E$5:$E$370),0)),0)</f>
        <v>2.04</v>
      </c>
      <c r="E244" s="13" t="n">
        <f aca="false">IF(Prüfungen!$B$4=0,(IFERROR(SUMIF(Nutzungsprofile!$B$17:$B$22,"Schulbetrieb",Nutzungsprofile!$G$17:$G$22)*Kalender!C244/SUM(Kalender!$C$5:$C$370),0)+IFERROR(SUMIF(Nutzungsprofile!$B$17:$B$22,"Halle",Nutzungsprofile!$G$17:$G$22)*Kalender!D244/SUM(Kalender!$D$5:$D$370),0)+IFERROR(SUMIF(Nutzungsprofile!$B$17:$B$22,"Individuell",Nutzungsprofile!$G$17:$G$22)*Kalender!E244/SUM(Kalender!$E$5:$E$370),0)),0)</f>
        <v>0.89</v>
      </c>
      <c r="F244" s="13" t="n">
        <f aca="false">IFERROR(MIN(D244,Eingaben!$B$17)*Eingaben!$B$16,0)</f>
        <v>1.938</v>
      </c>
      <c r="G244" s="13" t="n">
        <f aca="false">IFERROR(F244*Eingaben!$B$15,0)</f>
        <v>1.7442</v>
      </c>
      <c r="H244" s="13" t="n">
        <f aca="false">IFERROR(Q244*(1-Eingaben!$B$20),0)</f>
        <v>1.709316</v>
      </c>
      <c r="I244" s="13" t="n">
        <f aca="false">MIN(H244,E244)</f>
        <v>0.89</v>
      </c>
      <c r="J244" s="13" t="n">
        <f aca="false">IFERROR(MIN(G244*Eingaben!$B$19,MAX(0,E244-I244)),0)</f>
        <v>0</v>
      </c>
      <c r="K244" s="13" t="n">
        <f aca="false">IFERROR(MIN(Eingaben!$B$18,MAX(0,G244-J244)),0)</f>
        <v>1.7442</v>
      </c>
      <c r="L244" s="13" t="n">
        <f aca="false">I244+J244</f>
        <v>0.89</v>
      </c>
      <c r="M244" s="13" t="n">
        <f aca="false">MAX(0,E244-L244)</f>
        <v>0</v>
      </c>
      <c r="N244" s="13" t="n">
        <f aca="false">MAX(0,G244-J244-K244)</f>
        <v>0</v>
      </c>
      <c r="O244" s="13" t="n">
        <f aca="false">Q244-I244</f>
        <v>0.8542</v>
      </c>
      <c r="P244" s="13" t="n">
        <f aca="false">G244+Q244-L244-N244-O244-K244</f>
        <v>0</v>
      </c>
      <c r="Q244" s="13" t="n">
        <f aca="false">IF(A244="",0,K243)</f>
        <v>1.7442</v>
      </c>
    </row>
    <row r="245" customFormat="false" ht="16.4" hidden="false" customHeight="false" outlineLevel="0" collapsed="false">
      <c r="A245" s="23" t="n">
        <f aca="false">Kalender!A245</f>
        <v>46263</v>
      </c>
      <c r="B245" s="13" t="n">
        <f aca="false">Kalender!C245</f>
        <v>0</v>
      </c>
      <c r="C245" s="13" t="n">
        <f aca="false">Kalender!D245</f>
        <v>1</v>
      </c>
      <c r="D245" s="13" t="n">
        <f aca="false">IF(Prüfungen!$B$4=0,(IFERROR(SUMIF(Nutzungsprofile!$B$6:$B$11,"Schulbetrieb",Nutzungsprofile!$G$6:$G$11)*Kalender!C245/SUM(Kalender!$C$5:$C$370),0)+IFERROR(SUMIF(Nutzungsprofile!$B$6:$B$11,"Halle",Nutzungsprofile!$G$6:$G$11)*Kalender!D245/SUM(Kalender!$D$5:$D$370),0)+IFERROR(SUMIF(Nutzungsprofile!$B$6:$B$11,"Individuell",Nutzungsprofile!$G$6:$G$11)*Kalender!E245/SUM(Kalender!$E$5:$E$370),0)),0)</f>
        <v>2.04</v>
      </c>
      <c r="E245" s="13" t="n">
        <f aca="false">IF(Prüfungen!$B$4=0,(IFERROR(SUMIF(Nutzungsprofile!$B$17:$B$22,"Schulbetrieb",Nutzungsprofile!$G$17:$G$22)*Kalender!C245/SUM(Kalender!$C$5:$C$370),0)+IFERROR(SUMIF(Nutzungsprofile!$B$17:$B$22,"Halle",Nutzungsprofile!$G$17:$G$22)*Kalender!D245/SUM(Kalender!$D$5:$D$370),0)+IFERROR(SUMIF(Nutzungsprofile!$B$17:$B$22,"Individuell",Nutzungsprofile!$G$17:$G$22)*Kalender!E245/SUM(Kalender!$E$5:$E$370),0)),0)</f>
        <v>0.89</v>
      </c>
      <c r="F245" s="13" t="n">
        <f aca="false">IFERROR(MIN(D245,Eingaben!$B$17)*Eingaben!$B$16,0)</f>
        <v>1.938</v>
      </c>
      <c r="G245" s="13" t="n">
        <f aca="false">IFERROR(F245*Eingaben!$B$15,0)</f>
        <v>1.7442</v>
      </c>
      <c r="H245" s="13" t="n">
        <f aca="false">IFERROR(Q245*(1-Eingaben!$B$20),0)</f>
        <v>1.709316</v>
      </c>
      <c r="I245" s="13" t="n">
        <f aca="false">MIN(H245,E245)</f>
        <v>0.89</v>
      </c>
      <c r="J245" s="13" t="n">
        <f aca="false">IFERROR(MIN(G245*Eingaben!$B$19,MAX(0,E245-I245)),0)</f>
        <v>0</v>
      </c>
      <c r="K245" s="13" t="n">
        <f aca="false">IFERROR(MIN(Eingaben!$B$18,MAX(0,G245-J245)),0)</f>
        <v>1.7442</v>
      </c>
      <c r="L245" s="13" t="n">
        <f aca="false">I245+J245</f>
        <v>0.89</v>
      </c>
      <c r="M245" s="13" t="n">
        <f aca="false">MAX(0,E245-L245)</f>
        <v>0</v>
      </c>
      <c r="N245" s="13" t="n">
        <f aca="false">MAX(0,G245-J245-K245)</f>
        <v>0</v>
      </c>
      <c r="O245" s="13" t="n">
        <f aca="false">Q245-I245</f>
        <v>0.8542</v>
      </c>
      <c r="P245" s="13" t="n">
        <f aca="false">G245+Q245-L245-N245-O245-K245</f>
        <v>0</v>
      </c>
      <c r="Q245" s="13" t="n">
        <f aca="false">IF(A245="",0,K244)</f>
        <v>1.7442</v>
      </c>
    </row>
    <row r="246" customFormat="false" ht="16.4" hidden="false" customHeight="false" outlineLevel="0" collapsed="false">
      <c r="A246" s="23" t="n">
        <f aca="false">Kalender!A246</f>
        <v>46264</v>
      </c>
      <c r="B246" s="13" t="n">
        <f aca="false">Kalender!C246</f>
        <v>0</v>
      </c>
      <c r="C246" s="13" t="n">
        <f aca="false">Kalender!D246</f>
        <v>1</v>
      </c>
      <c r="D246" s="13" t="n">
        <f aca="false">IF(Prüfungen!$B$4=0,(IFERROR(SUMIF(Nutzungsprofile!$B$6:$B$11,"Schulbetrieb",Nutzungsprofile!$G$6:$G$11)*Kalender!C246/SUM(Kalender!$C$5:$C$370),0)+IFERROR(SUMIF(Nutzungsprofile!$B$6:$B$11,"Halle",Nutzungsprofile!$G$6:$G$11)*Kalender!D246/SUM(Kalender!$D$5:$D$370),0)+IFERROR(SUMIF(Nutzungsprofile!$B$6:$B$11,"Individuell",Nutzungsprofile!$G$6:$G$11)*Kalender!E246/SUM(Kalender!$E$5:$E$370),0)),0)</f>
        <v>2.04</v>
      </c>
      <c r="E246" s="13" t="n">
        <f aca="false">IF(Prüfungen!$B$4=0,(IFERROR(SUMIF(Nutzungsprofile!$B$17:$B$22,"Schulbetrieb",Nutzungsprofile!$G$17:$G$22)*Kalender!C246/SUM(Kalender!$C$5:$C$370),0)+IFERROR(SUMIF(Nutzungsprofile!$B$17:$B$22,"Halle",Nutzungsprofile!$G$17:$G$22)*Kalender!D246/SUM(Kalender!$D$5:$D$370),0)+IFERROR(SUMIF(Nutzungsprofile!$B$17:$B$22,"Individuell",Nutzungsprofile!$G$17:$G$22)*Kalender!E246/SUM(Kalender!$E$5:$E$370),0)),0)</f>
        <v>0.89</v>
      </c>
      <c r="F246" s="13" t="n">
        <f aca="false">IFERROR(MIN(D246,Eingaben!$B$17)*Eingaben!$B$16,0)</f>
        <v>1.938</v>
      </c>
      <c r="G246" s="13" t="n">
        <f aca="false">IFERROR(F246*Eingaben!$B$15,0)</f>
        <v>1.7442</v>
      </c>
      <c r="H246" s="13" t="n">
        <f aca="false">IFERROR(Q246*(1-Eingaben!$B$20),0)</f>
        <v>1.709316</v>
      </c>
      <c r="I246" s="13" t="n">
        <f aca="false">MIN(H246,E246)</f>
        <v>0.89</v>
      </c>
      <c r="J246" s="13" t="n">
        <f aca="false">IFERROR(MIN(G246*Eingaben!$B$19,MAX(0,E246-I246)),0)</f>
        <v>0</v>
      </c>
      <c r="K246" s="13" t="n">
        <f aca="false">IFERROR(MIN(Eingaben!$B$18,MAX(0,G246-J246)),0)</f>
        <v>1.7442</v>
      </c>
      <c r="L246" s="13" t="n">
        <f aca="false">I246+J246</f>
        <v>0.89</v>
      </c>
      <c r="M246" s="13" t="n">
        <f aca="false">MAX(0,E246-L246)</f>
        <v>0</v>
      </c>
      <c r="N246" s="13" t="n">
        <f aca="false">MAX(0,G246-J246-K246)</f>
        <v>0</v>
      </c>
      <c r="O246" s="13" t="n">
        <f aca="false">Q246-I246</f>
        <v>0.8542</v>
      </c>
      <c r="P246" s="13" t="n">
        <f aca="false">G246+Q246-L246-N246-O246-K246</f>
        <v>0</v>
      </c>
      <c r="Q246" s="13" t="n">
        <f aca="false">IF(A246="",0,K245)</f>
        <v>1.7442</v>
      </c>
    </row>
    <row r="247" customFormat="false" ht="16.4" hidden="false" customHeight="false" outlineLevel="0" collapsed="false">
      <c r="A247" s="23" t="n">
        <f aca="false">Kalender!A247</f>
        <v>46265</v>
      </c>
      <c r="B247" s="13" t="n">
        <f aca="false">Kalender!C247</f>
        <v>0</v>
      </c>
      <c r="C247" s="13" t="n">
        <f aca="false">Kalender!D247</f>
        <v>1</v>
      </c>
      <c r="D247" s="13" t="n">
        <f aca="false">IF(Prüfungen!$B$4=0,(IFERROR(SUMIF(Nutzungsprofile!$B$6:$B$11,"Schulbetrieb",Nutzungsprofile!$G$6:$G$11)*Kalender!C247/SUM(Kalender!$C$5:$C$370),0)+IFERROR(SUMIF(Nutzungsprofile!$B$6:$B$11,"Halle",Nutzungsprofile!$G$6:$G$11)*Kalender!D247/SUM(Kalender!$D$5:$D$370),0)+IFERROR(SUMIF(Nutzungsprofile!$B$6:$B$11,"Individuell",Nutzungsprofile!$G$6:$G$11)*Kalender!E247/SUM(Kalender!$E$5:$E$370),0)),0)</f>
        <v>2.04</v>
      </c>
      <c r="E247" s="13" t="n">
        <f aca="false">IF(Prüfungen!$B$4=0,(IFERROR(SUMIF(Nutzungsprofile!$B$17:$B$22,"Schulbetrieb",Nutzungsprofile!$G$17:$G$22)*Kalender!C247/SUM(Kalender!$C$5:$C$370),0)+IFERROR(SUMIF(Nutzungsprofile!$B$17:$B$22,"Halle",Nutzungsprofile!$G$17:$G$22)*Kalender!D247/SUM(Kalender!$D$5:$D$370),0)+IFERROR(SUMIF(Nutzungsprofile!$B$17:$B$22,"Individuell",Nutzungsprofile!$G$17:$G$22)*Kalender!E247/SUM(Kalender!$E$5:$E$370),0)),0)</f>
        <v>0.89</v>
      </c>
      <c r="F247" s="13" t="n">
        <f aca="false">IFERROR(MIN(D247,Eingaben!$B$17)*Eingaben!$B$16,0)</f>
        <v>1.938</v>
      </c>
      <c r="G247" s="13" t="n">
        <f aca="false">IFERROR(F247*Eingaben!$B$15,0)</f>
        <v>1.7442</v>
      </c>
      <c r="H247" s="13" t="n">
        <f aca="false">IFERROR(Q247*(1-Eingaben!$B$20),0)</f>
        <v>1.709316</v>
      </c>
      <c r="I247" s="13" t="n">
        <f aca="false">MIN(H247,E247)</f>
        <v>0.89</v>
      </c>
      <c r="J247" s="13" t="n">
        <f aca="false">IFERROR(MIN(G247*Eingaben!$B$19,MAX(0,E247-I247)),0)</f>
        <v>0</v>
      </c>
      <c r="K247" s="13" t="n">
        <f aca="false">IFERROR(MIN(Eingaben!$B$18,MAX(0,G247-J247)),0)</f>
        <v>1.7442</v>
      </c>
      <c r="L247" s="13" t="n">
        <f aca="false">I247+J247</f>
        <v>0.89</v>
      </c>
      <c r="M247" s="13" t="n">
        <f aca="false">MAX(0,E247-L247)</f>
        <v>0</v>
      </c>
      <c r="N247" s="13" t="n">
        <f aca="false">MAX(0,G247-J247-K247)</f>
        <v>0</v>
      </c>
      <c r="O247" s="13" t="n">
        <f aca="false">Q247-I247</f>
        <v>0.8542</v>
      </c>
      <c r="P247" s="13" t="n">
        <f aca="false">G247+Q247-L247-N247-O247-K247</f>
        <v>0</v>
      </c>
      <c r="Q247" s="13" t="n">
        <f aca="false">IF(A247="",0,K246)</f>
        <v>1.7442</v>
      </c>
    </row>
    <row r="248" customFormat="false" ht="16.4" hidden="false" customHeight="false" outlineLevel="0" collapsed="false">
      <c r="A248" s="23" t="n">
        <f aca="false">Kalender!A248</f>
        <v>46266</v>
      </c>
      <c r="B248" s="13" t="n">
        <f aca="false">Kalender!C248</f>
        <v>1</v>
      </c>
      <c r="C248" s="13" t="n">
        <f aca="false">Kalender!D248</f>
        <v>1</v>
      </c>
      <c r="D248" s="13" t="n">
        <f aca="false">IF(Prüfungen!$B$4=0,(IFERROR(SUMIF(Nutzungsprofile!$B$6:$B$11,"Schulbetrieb",Nutzungsprofile!$G$6:$G$11)*Kalender!C248/SUM(Kalender!$C$5:$C$370),0)+IFERROR(SUMIF(Nutzungsprofile!$B$6:$B$11,"Halle",Nutzungsprofile!$G$6:$G$11)*Kalender!D248/SUM(Kalender!$D$5:$D$370),0)+IFERROR(SUMIF(Nutzungsprofile!$B$6:$B$11,"Individuell",Nutzungsprofile!$G$6:$G$11)*Kalender!E248/SUM(Kalender!$E$5:$E$370),0)),0)</f>
        <v>2.94</v>
      </c>
      <c r="E248" s="13" t="n">
        <f aca="false">IF(Prüfungen!$B$4=0,(IFERROR(SUMIF(Nutzungsprofile!$B$17:$B$22,"Schulbetrieb",Nutzungsprofile!$G$17:$G$22)*Kalender!C248/SUM(Kalender!$C$5:$C$370),0)+IFERROR(SUMIF(Nutzungsprofile!$B$17:$B$22,"Halle",Nutzungsprofile!$G$17:$G$22)*Kalender!D248/SUM(Kalender!$D$5:$D$370),0)+IFERROR(SUMIF(Nutzungsprofile!$B$17:$B$22,"Individuell",Nutzungsprofile!$G$17:$G$22)*Kalender!E248/SUM(Kalender!$E$5:$E$370),0)),0)</f>
        <v>4.94</v>
      </c>
      <c r="F248" s="13" t="n">
        <f aca="false">IFERROR(MIN(D248,Eingaben!$B$17)*Eingaben!$B$16,0)</f>
        <v>2.793</v>
      </c>
      <c r="G248" s="13" t="n">
        <f aca="false">IFERROR(F248*Eingaben!$B$15,0)</f>
        <v>2.5137</v>
      </c>
      <c r="H248" s="13" t="n">
        <f aca="false">IFERROR(Q248*(1-Eingaben!$B$20),0)</f>
        <v>1.709316</v>
      </c>
      <c r="I248" s="13" t="n">
        <f aca="false">MIN(H248,E248)</f>
        <v>1.709316</v>
      </c>
      <c r="J248" s="13" t="n">
        <f aca="false">IFERROR(MIN(G248*Eingaben!$B$19,MAX(0,E248-I248)),0)</f>
        <v>1.75959</v>
      </c>
      <c r="K248" s="13" t="n">
        <f aca="false">IFERROR(MIN(Eingaben!$B$18,MAX(0,G248-J248)),0)</f>
        <v>0.75411</v>
      </c>
      <c r="L248" s="13" t="n">
        <f aca="false">I248+J248</f>
        <v>3.468906</v>
      </c>
      <c r="M248" s="13" t="n">
        <f aca="false">MAX(0,E248-L248)</f>
        <v>1.471094</v>
      </c>
      <c r="N248" s="13" t="n">
        <f aca="false">MAX(0,G248-J248-K248)</f>
        <v>0</v>
      </c>
      <c r="O248" s="13" t="n">
        <f aca="false">Q248-I248</f>
        <v>0.0348840000000001</v>
      </c>
      <c r="P248" s="13" t="n">
        <f aca="false">G248+Q248-L248-N248-O248-K248</f>
        <v>0</v>
      </c>
      <c r="Q248" s="13" t="n">
        <f aca="false">IF(A248="",0,K247)</f>
        <v>1.7442</v>
      </c>
    </row>
    <row r="249" customFormat="false" ht="16.4" hidden="false" customHeight="false" outlineLevel="0" collapsed="false">
      <c r="A249" s="23" t="n">
        <f aca="false">Kalender!A249</f>
        <v>46267</v>
      </c>
      <c r="B249" s="13" t="n">
        <f aca="false">Kalender!C249</f>
        <v>1</v>
      </c>
      <c r="C249" s="13" t="n">
        <f aca="false">Kalender!D249</f>
        <v>1</v>
      </c>
      <c r="D249" s="13" t="n">
        <f aca="false">IF(Prüfungen!$B$4=0,(IFERROR(SUMIF(Nutzungsprofile!$B$6:$B$11,"Schulbetrieb",Nutzungsprofile!$G$6:$G$11)*Kalender!C249/SUM(Kalender!$C$5:$C$370),0)+IFERROR(SUMIF(Nutzungsprofile!$B$6:$B$11,"Halle",Nutzungsprofile!$G$6:$G$11)*Kalender!D249/SUM(Kalender!$D$5:$D$370),0)+IFERROR(SUMIF(Nutzungsprofile!$B$6:$B$11,"Individuell",Nutzungsprofile!$G$6:$G$11)*Kalender!E249/SUM(Kalender!$E$5:$E$370),0)),0)</f>
        <v>2.94</v>
      </c>
      <c r="E249" s="13" t="n">
        <f aca="false">IF(Prüfungen!$B$4=0,(IFERROR(SUMIF(Nutzungsprofile!$B$17:$B$22,"Schulbetrieb",Nutzungsprofile!$G$17:$G$22)*Kalender!C249/SUM(Kalender!$C$5:$C$370),0)+IFERROR(SUMIF(Nutzungsprofile!$B$17:$B$22,"Halle",Nutzungsprofile!$G$17:$G$22)*Kalender!D249/SUM(Kalender!$D$5:$D$370),0)+IFERROR(SUMIF(Nutzungsprofile!$B$17:$B$22,"Individuell",Nutzungsprofile!$G$17:$G$22)*Kalender!E249/SUM(Kalender!$E$5:$E$370),0)),0)</f>
        <v>4.94</v>
      </c>
      <c r="F249" s="13" t="n">
        <f aca="false">IFERROR(MIN(D249,Eingaben!$B$17)*Eingaben!$B$16,0)</f>
        <v>2.793</v>
      </c>
      <c r="G249" s="13" t="n">
        <f aca="false">IFERROR(F249*Eingaben!$B$15,0)</f>
        <v>2.5137</v>
      </c>
      <c r="H249" s="13" t="n">
        <f aca="false">IFERROR(Q249*(1-Eingaben!$B$20),0)</f>
        <v>0.7390278</v>
      </c>
      <c r="I249" s="13" t="n">
        <f aca="false">MIN(H249,E249)</f>
        <v>0.7390278</v>
      </c>
      <c r="J249" s="13" t="n">
        <f aca="false">IFERROR(MIN(G249*Eingaben!$B$19,MAX(0,E249-I249)),0)</f>
        <v>1.75959</v>
      </c>
      <c r="K249" s="13" t="n">
        <f aca="false">IFERROR(MIN(Eingaben!$B$18,MAX(0,G249-J249)),0)</f>
        <v>0.75411</v>
      </c>
      <c r="L249" s="13" t="n">
        <f aca="false">I249+J249</f>
        <v>2.4986178</v>
      </c>
      <c r="M249" s="13" t="n">
        <f aca="false">MAX(0,E249-L249)</f>
        <v>2.4413822</v>
      </c>
      <c r="N249" s="13" t="n">
        <f aca="false">MAX(0,G249-J249-K249)</f>
        <v>0</v>
      </c>
      <c r="O249" s="13" t="n">
        <f aca="false">Q249-I249</f>
        <v>0.0150822</v>
      </c>
      <c r="P249" s="13" t="n">
        <f aca="false">G249+Q249-L249-N249-O249-K249</f>
        <v>0</v>
      </c>
      <c r="Q249" s="13" t="n">
        <f aca="false">IF(A249="",0,K248)</f>
        <v>0.75411</v>
      </c>
    </row>
    <row r="250" customFormat="false" ht="16.4" hidden="false" customHeight="false" outlineLevel="0" collapsed="false">
      <c r="A250" s="23" t="n">
        <f aca="false">Kalender!A250</f>
        <v>46268</v>
      </c>
      <c r="B250" s="13" t="n">
        <f aca="false">Kalender!C250</f>
        <v>1</v>
      </c>
      <c r="C250" s="13" t="n">
        <f aca="false">Kalender!D250</f>
        <v>1</v>
      </c>
      <c r="D250" s="13" t="n">
        <f aca="false">IF(Prüfungen!$B$4=0,(IFERROR(SUMIF(Nutzungsprofile!$B$6:$B$11,"Schulbetrieb",Nutzungsprofile!$G$6:$G$11)*Kalender!C250/SUM(Kalender!$C$5:$C$370),0)+IFERROR(SUMIF(Nutzungsprofile!$B$6:$B$11,"Halle",Nutzungsprofile!$G$6:$G$11)*Kalender!D250/SUM(Kalender!$D$5:$D$370),0)+IFERROR(SUMIF(Nutzungsprofile!$B$6:$B$11,"Individuell",Nutzungsprofile!$G$6:$G$11)*Kalender!E250/SUM(Kalender!$E$5:$E$370),0)),0)</f>
        <v>2.94</v>
      </c>
      <c r="E250" s="13" t="n">
        <f aca="false">IF(Prüfungen!$B$4=0,(IFERROR(SUMIF(Nutzungsprofile!$B$17:$B$22,"Schulbetrieb",Nutzungsprofile!$G$17:$G$22)*Kalender!C250/SUM(Kalender!$C$5:$C$370),0)+IFERROR(SUMIF(Nutzungsprofile!$B$17:$B$22,"Halle",Nutzungsprofile!$G$17:$G$22)*Kalender!D250/SUM(Kalender!$D$5:$D$370),0)+IFERROR(SUMIF(Nutzungsprofile!$B$17:$B$22,"Individuell",Nutzungsprofile!$G$17:$G$22)*Kalender!E250/SUM(Kalender!$E$5:$E$370),0)),0)</f>
        <v>4.94</v>
      </c>
      <c r="F250" s="13" t="n">
        <f aca="false">IFERROR(MIN(D250,Eingaben!$B$17)*Eingaben!$B$16,0)</f>
        <v>2.793</v>
      </c>
      <c r="G250" s="13" t="n">
        <f aca="false">IFERROR(F250*Eingaben!$B$15,0)</f>
        <v>2.5137</v>
      </c>
      <c r="H250" s="13" t="n">
        <f aca="false">IFERROR(Q250*(1-Eingaben!$B$20),0)</f>
        <v>0.7390278</v>
      </c>
      <c r="I250" s="13" t="n">
        <f aca="false">MIN(H250,E250)</f>
        <v>0.7390278</v>
      </c>
      <c r="J250" s="13" t="n">
        <f aca="false">IFERROR(MIN(G250*Eingaben!$B$19,MAX(0,E250-I250)),0)</f>
        <v>1.75959</v>
      </c>
      <c r="K250" s="13" t="n">
        <f aca="false">IFERROR(MIN(Eingaben!$B$18,MAX(0,G250-J250)),0)</f>
        <v>0.75411</v>
      </c>
      <c r="L250" s="13" t="n">
        <f aca="false">I250+J250</f>
        <v>2.4986178</v>
      </c>
      <c r="M250" s="13" t="n">
        <f aca="false">MAX(0,E250-L250)</f>
        <v>2.4413822</v>
      </c>
      <c r="N250" s="13" t="n">
        <f aca="false">MAX(0,G250-J250-K250)</f>
        <v>0</v>
      </c>
      <c r="O250" s="13" t="n">
        <f aca="false">Q250-I250</f>
        <v>0.0150822</v>
      </c>
      <c r="P250" s="13" t="n">
        <f aca="false">G250+Q250-L250-N250-O250-K250</f>
        <v>0</v>
      </c>
      <c r="Q250" s="13" t="n">
        <f aca="false">IF(A250="",0,K249)</f>
        <v>0.75411</v>
      </c>
    </row>
    <row r="251" customFormat="false" ht="16.4" hidden="false" customHeight="false" outlineLevel="0" collapsed="false">
      <c r="A251" s="23" t="n">
        <f aca="false">Kalender!A251</f>
        <v>46269</v>
      </c>
      <c r="B251" s="13" t="n">
        <f aca="false">Kalender!C251</f>
        <v>1</v>
      </c>
      <c r="C251" s="13" t="n">
        <f aca="false">Kalender!D251</f>
        <v>1</v>
      </c>
      <c r="D251" s="13" t="n">
        <f aca="false">IF(Prüfungen!$B$4=0,(IFERROR(SUMIF(Nutzungsprofile!$B$6:$B$11,"Schulbetrieb",Nutzungsprofile!$G$6:$G$11)*Kalender!C251/SUM(Kalender!$C$5:$C$370),0)+IFERROR(SUMIF(Nutzungsprofile!$B$6:$B$11,"Halle",Nutzungsprofile!$G$6:$G$11)*Kalender!D251/SUM(Kalender!$D$5:$D$370),0)+IFERROR(SUMIF(Nutzungsprofile!$B$6:$B$11,"Individuell",Nutzungsprofile!$G$6:$G$11)*Kalender!E251/SUM(Kalender!$E$5:$E$370),0)),0)</f>
        <v>2.94</v>
      </c>
      <c r="E251" s="13" t="n">
        <f aca="false">IF(Prüfungen!$B$4=0,(IFERROR(SUMIF(Nutzungsprofile!$B$17:$B$22,"Schulbetrieb",Nutzungsprofile!$G$17:$G$22)*Kalender!C251/SUM(Kalender!$C$5:$C$370),0)+IFERROR(SUMIF(Nutzungsprofile!$B$17:$B$22,"Halle",Nutzungsprofile!$G$17:$G$22)*Kalender!D251/SUM(Kalender!$D$5:$D$370),0)+IFERROR(SUMIF(Nutzungsprofile!$B$17:$B$22,"Individuell",Nutzungsprofile!$G$17:$G$22)*Kalender!E251/SUM(Kalender!$E$5:$E$370),0)),0)</f>
        <v>4.94</v>
      </c>
      <c r="F251" s="13" t="n">
        <f aca="false">IFERROR(MIN(D251,Eingaben!$B$17)*Eingaben!$B$16,0)</f>
        <v>2.793</v>
      </c>
      <c r="G251" s="13" t="n">
        <f aca="false">IFERROR(F251*Eingaben!$B$15,0)</f>
        <v>2.5137</v>
      </c>
      <c r="H251" s="13" t="n">
        <f aca="false">IFERROR(Q251*(1-Eingaben!$B$20),0)</f>
        <v>0.7390278</v>
      </c>
      <c r="I251" s="13" t="n">
        <f aca="false">MIN(H251,E251)</f>
        <v>0.7390278</v>
      </c>
      <c r="J251" s="13" t="n">
        <f aca="false">IFERROR(MIN(G251*Eingaben!$B$19,MAX(0,E251-I251)),0)</f>
        <v>1.75959</v>
      </c>
      <c r="K251" s="13" t="n">
        <f aca="false">IFERROR(MIN(Eingaben!$B$18,MAX(0,G251-J251)),0)</f>
        <v>0.75411</v>
      </c>
      <c r="L251" s="13" t="n">
        <f aca="false">I251+J251</f>
        <v>2.4986178</v>
      </c>
      <c r="M251" s="13" t="n">
        <f aca="false">MAX(0,E251-L251)</f>
        <v>2.4413822</v>
      </c>
      <c r="N251" s="13" t="n">
        <f aca="false">MAX(0,G251-J251-K251)</f>
        <v>0</v>
      </c>
      <c r="O251" s="13" t="n">
        <f aca="false">Q251-I251</f>
        <v>0.0150822</v>
      </c>
      <c r="P251" s="13" t="n">
        <f aca="false">G251+Q251-L251-N251-O251-K251</f>
        <v>0</v>
      </c>
      <c r="Q251" s="13" t="n">
        <f aca="false">IF(A251="",0,K250)</f>
        <v>0.75411</v>
      </c>
    </row>
    <row r="252" customFormat="false" ht="16.4" hidden="false" customHeight="false" outlineLevel="0" collapsed="false">
      <c r="A252" s="23" t="n">
        <f aca="false">Kalender!A252</f>
        <v>46270</v>
      </c>
      <c r="B252" s="13" t="n">
        <f aca="false">Kalender!C252</f>
        <v>0</v>
      </c>
      <c r="C252" s="13" t="n">
        <f aca="false">Kalender!D252</f>
        <v>1</v>
      </c>
      <c r="D252" s="13" t="n">
        <f aca="false">IF(Prüfungen!$B$4=0,(IFERROR(SUMIF(Nutzungsprofile!$B$6:$B$11,"Schulbetrieb",Nutzungsprofile!$G$6:$G$11)*Kalender!C252/SUM(Kalender!$C$5:$C$370),0)+IFERROR(SUMIF(Nutzungsprofile!$B$6:$B$11,"Halle",Nutzungsprofile!$G$6:$G$11)*Kalender!D252/SUM(Kalender!$D$5:$D$370),0)+IFERROR(SUMIF(Nutzungsprofile!$B$6:$B$11,"Individuell",Nutzungsprofile!$G$6:$G$11)*Kalender!E252/SUM(Kalender!$E$5:$E$370),0)),0)</f>
        <v>2.04</v>
      </c>
      <c r="E252" s="13" t="n">
        <f aca="false">IF(Prüfungen!$B$4=0,(IFERROR(SUMIF(Nutzungsprofile!$B$17:$B$22,"Schulbetrieb",Nutzungsprofile!$G$17:$G$22)*Kalender!C252/SUM(Kalender!$C$5:$C$370),0)+IFERROR(SUMIF(Nutzungsprofile!$B$17:$B$22,"Halle",Nutzungsprofile!$G$17:$G$22)*Kalender!D252/SUM(Kalender!$D$5:$D$370),0)+IFERROR(SUMIF(Nutzungsprofile!$B$17:$B$22,"Individuell",Nutzungsprofile!$G$17:$G$22)*Kalender!E252/SUM(Kalender!$E$5:$E$370),0)),0)</f>
        <v>0.89</v>
      </c>
      <c r="F252" s="13" t="n">
        <f aca="false">IFERROR(MIN(D252,Eingaben!$B$17)*Eingaben!$B$16,0)</f>
        <v>1.938</v>
      </c>
      <c r="G252" s="13" t="n">
        <f aca="false">IFERROR(F252*Eingaben!$B$15,0)</f>
        <v>1.7442</v>
      </c>
      <c r="H252" s="13" t="n">
        <f aca="false">IFERROR(Q252*(1-Eingaben!$B$20),0)</f>
        <v>0.7390278</v>
      </c>
      <c r="I252" s="13" t="n">
        <f aca="false">MIN(H252,E252)</f>
        <v>0.7390278</v>
      </c>
      <c r="J252" s="13" t="n">
        <f aca="false">IFERROR(MIN(G252*Eingaben!$B$19,MAX(0,E252-I252)),0)</f>
        <v>0.1509722</v>
      </c>
      <c r="K252" s="13" t="n">
        <f aca="false">IFERROR(MIN(Eingaben!$B$18,MAX(0,G252-J252)),0)</f>
        <v>1.5932278</v>
      </c>
      <c r="L252" s="13" t="n">
        <f aca="false">I252+J252</f>
        <v>0.89</v>
      </c>
      <c r="M252" s="13" t="n">
        <f aca="false">MAX(0,E252-L252)</f>
        <v>0</v>
      </c>
      <c r="N252" s="13" t="n">
        <f aca="false">MAX(0,G252-J252-K252)</f>
        <v>0</v>
      </c>
      <c r="O252" s="13" t="n">
        <f aca="false">Q252-I252</f>
        <v>0.0150822</v>
      </c>
      <c r="P252" s="13" t="n">
        <f aca="false">G252+Q252-L252-N252-O252-K252</f>
        <v>0</v>
      </c>
      <c r="Q252" s="13" t="n">
        <f aca="false">IF(A252="",0,K251)</f>
        <v>0.75411</v>
      </c>
    </row>
    <row r="253" customFormat="false" ht="16.4" hidden="false" customHeight="false" outlineLevel="0" collapsed="false">
      <c r="A253" s="23" t="n">
        <f aca="false">Kalender!A253</f>
        <v>46271</v>
      </c>
      <c r="B253" s="13" t="n">
        <f aca="false">Kalender!C253</f>
        <v>0</v>
      </c>
      <c r="C253" s="13" t="n">
        <f aca="false">Kalender!D253</f>
        <v>1</v>
      </c>
      <c r="D253" s="13" t="n">
        <f aca="false">IF(Prüfungen!$B$4=0,(IFERROR(SUMIF(Nutzungsprofile!$B$6:$B$11,"Schulbetrieb",Nutzungsprofile!$G$6:$G$11)*Kalender!C253/SUM(Kalender!$C$5:$C$370),0)+IFERROR(SUMIF(Nutzungsprofile!$B$6:$B$11,"Halle",Nutzungsprofile!$G$6:$G$11)*Kalender!D253/SUM(Kalender!$D$5:$D$370),0)+IFERROR(SUMIF(Nutzungsprofile!$B$6:$B$11,"Individuell",Nutzungsprofile!$G$6:$G$11)*Kalender!E253/SUM(Kalender!$E$5:$E$370),0)),0)</f>
        <v>2.04</v>
      </c>
      <c r="E253" s="13" t="n">
        <f aca="false">IF(Prüfungen!$B$4=0,(IFERROR(SUMIF(Nutzungsprofile!$B$17:$B$22,"Schulbetrieb",Nutzungsprofile!$G$17:$G$22)*Kalender!C253/SUM(Kalender!$C$5:$C$370),0)+IFERROR(SUMIF(Nutzungsprofile!$B$17:$B$22,"Halle",Nutzungsprofile!$G$17:$G$22)*Kalender!D253/SUM(Kalender!$D$5:$D$370),0)+IFERROR(SUMIF(Nutzungsprofile!$B$17:$B$22,"Individuell",Nutzungsprofile!$G$17:$G$22)*Kalender!E253/SUM(Kalender!$E$5:$E$370),0)),0)</f>
        <v>0.89</v>
      </c>
      <c r="F253" s="13" t="n">
        <f aca="false">IFERROR(MIN(D253,Eingaben!$B$17)*Eingaben!$B$16,0)</f>
        <v>1.938</v>
      </c>
      <c r="G253" s="13" t="n">
        <f aca="false">IFERROR(F253*Eingaben!$B$15,0)</f>
        <v>1.7442</v>
      </c>
      <c r="H253" s="13" t="n">
        <f aca="false">IFERROR(Q253*(1-Eingaben!$B$20),0)</f>
        <v>1.561363244</v>
      </c>
      <c r="I253" s="13" t="n">
        <f aca="false">MIN(H253,E253)</f>
        <v>0.89</v>
      </c>
      <c r="J253" s="13" t="n">
        <f aca="false">IFERROR(MIN(G253*Eingaben!$B$19,MAX(0,E253-I253)),0)</f>
        <v>0</v>
      </c>
      <c r="K253" s="13" t="n">
        <f aca="false">IFERROR(MIN(Eingaben!$B$18,MAX(0,G253-J253)),0)</f>
        <v>1.7442</v>
      </c>
      <c r="L253" s="13" t="n">
        <f aca="false">I253+J253</f>
        <v>0.89</v>
      </c>
      <c r="M253" s="13" t="n">
        <f aca="false">MAX(0,E253-L253)</f>
        <v>0</v>
      </c>
      <c r="N253" s="13" t="n">
        <f aca="false">MAX(0,G253-J253-K253)</f>
        <v>0</v>
      </c>
      <c r="O253" s="13" t="n">
        <f aca="false">Q253-I253</f>
        <v>0.7032278</v>
      </c>
      <c r="P253" s="13" t="n">
        <f aca="false">G253+Q253-L253-N253-O253-K253</f>
        <v>0</v>
      </c>
      <c r="Q253" s="13" t="n">
        <f aca="false">IF(A253="",0,K252)</f>
        <v>1.5932278</v>
      </c>
    </row>
    <row r="254" customFormat="false" ht="16.4" hidden="false" customHeight="false" outlineLevel="0" collapsed="false">
      <c r="A254" s="23" t="n">
        <f aca="false">Kalender!A254</f>
        <v>46272</v>
      </c>
      <c r="B254" s="13" t="n">
        <f aca="false">Kalender!C254</f>
        <v>1</v>
      </c>
      <c r="C254" s="13" t="n">
        <f aca="false">Kalender!D254</f>
        <v>1</v>
      </c>
      <c r="D254" s="13" t="n">
        <f aca="false">IF(Prüfungen!$B$4=0,(IFERROR(SUMIF(Nutzungsprofile!$B$6:$B$11,"Schulbetrieb",Nutzungsprofile!$G$6:$G$11)*Kalender!C254/SUM(Kalender!$C$5:$C$370),0)+IFERROR(SUMIF(Nutzungsprofile!$B$6:$B$11,"Halle",Nutzungsprofile!$G$6:$G$11)*Kalender!D254/SUM(Kalender!$D$5:$D$370),0)+IFERROR(SUMIF(Nutzungsprofile!$B$6:$B$11,"Individuell",Nutzungsprofile!$G$6:$G$11)*Kalender!E254/SUM(Kalender!$E$5:$E$370),0)),0)</f>
        <v>2.94</v>
      </c>
      <c r="E254" s="13" t="n">
        <f aca="false">IF(Prüfungen!$B$4=0,(IFERROR(SUMIF(Nutzungsprofile!$B$17:$B$22,"Schulbetrieb",Nutzungsprofile!$G$17:$G$22)*Kalender!C254/SUM(Kalender!$C$5:$C$370),0)+IFERROR(SUMIF(Nutzungsprofile!$B$17:$B$22,"Halle",Nutzungsprofile!$G$17:$G$22)*Kalender!D254/SUM(Kalender!$D$5:$D$370),0)+IFERROR(SUMIF(Nutzungsprofile!$B$17:$B$22,"Individuell",Nutzungsprofile!$G$17:$G$22)*Kalender!E254/SUM(Kalender!$E$5:$E$370),0)),0)</f>
        <v>4.94</v>
      </c>
      <c r="F254" s="13" t="n">
        <f aca="false">IFERROR(MIN(D254,Eingaben!$B$17)*Eingaben!$B$16,0)</f>
        <v>2.793</v>
      </c>
      <c r="G254" s="13" t="n">
        <f aca="false">IFERROR(F254*Eingaben!$B$15,0)</f>
        <v>2.5137</v>
      </c>
      <c r="H254" s="13" t="n">
        <f aca="false">IFERROR(Q254*(1-Eingaben!$B$20),0)</f>
        <v>1.709316</v>
      </c>
      <c r="I254" s="13" t="n">
        <f aca="false">MIN(H254,E254)</f>
        <v>1.709316</v>
      </c>
      <c r="J254" s="13" t="n">
        <f aca="false">IFERROR(MIN(G254*Eingaben!$B$19,MAX(0,E254-I254)),0)</f>
        <v>1.75959</v>
      </c>
      <c r="K254" s="13" t="n">
        <f aca="false">IFERROR(MIN(Eingaben!$B$18,MAX(0,G254-J254)),0)</f>
        <v>0.75411</v>
      </c>
      <c r="L254" s="13" t="n">
        <f aca="false">I254+J254</f>
        <v>3.468906</v>
      </c>
      <c r="M254" s="13" t="n">
        <f aca="false">MAX(0,E254-L254)</f>
        <v>1.471094</v>
      </c>
      <c r="N254" s="13" t="n">
        <f aca="false">MAX(0,G254-J254-K254)</f>
        <v>0</v>
      </c>
      <c r="O254" s="13" t="n">
        <f aca="false">Q254-I254</f>
        <v>0.0348840000000001</v>
      </c>
      <c r="P254" s="13" t="n">
        <f aca="false">G254+Q254-L254-N254-O254-K254</f>
        <v>0</v>
      </c>
      <c r="Q254" s="13" t="n">
        <f aca="false">IF(A254="",0,K253)</f>
        <v>1.7442</v>
      </c>
    </row>
    <row r="255" customFormat="false" ht="16.4" hidden="false" customHeight="false" outlineLevel="0" collapsed="false">
      <c r="A255" s="23" t="n">
        <f aca="false">Kalender!A255</f>
        <v>46273</v>
      </c>
      <c r="B255" s="13" t="n">
        <f aca="false">Kalender!C255</f>
        <v>1</v>
      </c>
      <c r="C255" s="13" t="n">
        <f aca="false">Kalender!D255</f>
        <v>1</v>
      </c>
      <c r="D255" s="13" t="n">
        <f aca="false">IF(Prüfungen!$B$4=0,(IFERROR(SUMIF(Nutzungsprofile!$B$6:$B$11,"Schulbetrieb",Nutzungsprofile!$G$6:$G$11)*Kalender!C255/SUM(Kalender!$C$5:$C$370),0)+IFERROR(SUMIF(Nutzungsprofile!$B$6:$B$11,"Halle",Nutzungsprofile!$G$6:$G$11)*Kalender!D255/SUM(Kalender!$D$5:$D$370),0)+IFERROR(SUMIF(Nutzungsprofile!$B$6:$B$11,"Individuell",Nutzungsprofile!$G$6:$G$11)*Kalender!E255/SUM(Kalender!$E$5:$E$370),0)),0)</f>
        <v>2.94</v>
      </c>
      <c r="E255" s="13" t="n">
        <f aca="false">IF(Prüfungen!$B$4=0,(IFERROR(SUMIF(Nutzungsprofile!$B$17:$B$22,"Schulbetrieb",Nutzungsprofile!$G$17:$G$22)*Kalender!C255/SUM(Kalender!$C$5:$C$370),0)+IFERROR(SUMIF(Nutzungsprofile!$B$17:$B$22,"Halle",Nutzungsprofile!$G$17:$G$22)*Kalender!D255/SUM(Kalender!$D$5:$D$370),0)+IFERROR(SUMIF(Nutzungsprofile!$B$17:$B$22,"Individuell",Nutzungsprofile!$G$17:$G$22)*Kalender!E255/SUM(Kalender!$E$5:$E$370),0)),0)</f>
        <v>4.94</v>
      </c>
      <c r="F255" s="13" t="n">
        <f aca="false">IFERROR(MIN(D255,Eingaben!$B$17)*Eingaben!$B$16,0)</f>
        <v>2.793</v>
      </c>
      <c r="G255" s="13" t="n">
        <f aca="false">IFERROR(F255*Eingaben!$B$15,0)</f>
        <v>2.5137</v>
      </c>
      <c r="H255" s="13" t="n">
        <f aca="false">IFERROR(Q255*(1-Eingaben!$B$20),0)</f>
        <v>0.7390278</v>
      </c>
      <c r="I255" s="13" t="n">
        <f aca="false">MIN(H255,E255)</f>
        <v>0.7390278</v>
      </c>
      <c r="J255" s="13" t="n">
        <f aca="false">IFERROR(MIN(G255*Eingaben!$B$19,MAX(0,E255-I255)),0)</f>
        <v>1.75959</v>
      </c>
      <c r="K255" s="13" t="n">
        <f aca="false">IFERROR(MIN(Eingaben!$B$18,MAX(0,G255-J255)),0)</f>
        <v>0.75411</v>
      </c>
      <c r="L255" s="13" t="n">
        <f aca="false">I255+J255</f>
        <v>2.4986178</v>
      </c>
      <c r="M255" s="13" t="n">
        <f aca="false">MAX(0,E255-L255)</f>
        <v>2.4413822</v>
      </c>
      <c r="N255" s="13" t="n">
        <f aca="false">MAX(0,G255-J255-K255)</f>
        <v>0</v>
      </c>
      <c r="O255" s="13" t="n">
        <f aca="false">Q255-I255</f>
        <v>0.0150822</v>
      </c>
      <c r="P255" s="13" t="n">
        <f aca="false">G255+Q255-L255-N255-O255-K255</f>
        <v>0</v>
      </c>
      <c r="Q255" s="13" t="n">
        <f aca="false">IF(A255="",0,K254)</f>
        <v>0.75411</v>
      </c>
    </row>
    <row r="256" customFormat="false" ht="16.4" hidden="false" customHeight="false" outlineLevel="0" collapsed="false">
      <c r="A256" s="23" t="n">
        <f aca="false">Kalender!A256</f>
        <v>46274</v>
      </c>
      <c r="B256" s="13" t="n">
        <f aca="false">Kalender!C256</f>
        <v>1</v>
      </c>
      <c r="C256" s="13" t="n">
        <f aca="false">Kalender!D256</f>
        <v>1</v>
      </c>
      <c r="D256" s="13" t="n">
        <f aca="false">IF(Prüfungen!$B$4=0,(IFERROR(SUMIF(Nutzungsprofile!$B$6:$B$11,"Schulbetrieb",Nutzungsprofile!$G$6:$G$11)*Kalender!C256/SUM(Kalender!$C$5:$C$370),0)+IFERROR(SUMIF(Nutzungsprofile!$B$6:$B$11,"Halle",Nutzungsprofile!$G$6:$G$11)*Kalender!D256/SUM(Kalender!$D$5:$D$370),0)+IFERROR(SUMIF(Nutzungsprofile!$B$6:$B$11,"Individuell",Nutzungsprofile!$G$6:$G$11)*Kalender!E256/SUM(Kalender!$E$5:$E$370),0)),0)</f>
        <v>2.94</v>
      </c>
      <c r="E256" s="13" t="n">
        <f aca="false">IF(Prüfungen!$B$4=0,(IFERROR(SUMIF(Nutzungsprofile!$B$17:$B$22,"Schulbetrieb",Nutzungsprofile!$G$17:$G$22)*Kalender!C256/SUM(Kalender!$C$5:$C$370),0)+IFERROR(SUMIF(Nutzungsprofile!$B$17:$B$22,"Halle",Nutzungsprofile!$G$17:$G$22)*Kalender!D256/SUM(Kalender!$D$5:$D$370),0)+IFERROR(SUMIF(Nutzungsprofile!$B$17:$B$22,"Individuell",Nutzungsprofile!$G$17:$G$22)*Kalender!E256/SUM(Kalender!$E$5:$E$370),0)),0)</f>
        <v>4.94</v>
      </c>
      <c r="F256" s="13" t="n">
        <f aca="false">IFERROR(MIN(D256,Eingaben!$B$17)*Eingaben!$B$16,0)</f>
        <v>2.793</v>
      </c>
      <c r="G256" s="13" t="n">
        <f aca="false">IFERROR(F256*Eingaben!$B$15,0)</f>
        <v>2.5137</v>
      </c>
      <c r="H256" s="13" t="n">
        <f aca="false">IFERROR(Q256*(1-Eingaben!$B$20),0)</f>
        <v>0.7390278</v>
      </c>
      <c r="I256" s="13" t="n">
        <f aca="false">MIN(H256,E256)</f>
        <v>0.7390278</v>
      </c>
      <c r="J256" s="13" t="n">
        <f aca="false">IFERROR(MIN(G256*Eingaben!$B$19,MAX(0,E256-I256)),0)</f>
        <v>1.75959</v>
      </c>
      <c r="K256" s="13" t="n">
        <f aca="false">IFERROR(MIN(Eingaben!$B$18,MAX(0,G256-J256)),0)</f>
        <v>0.75411</v>
      </c>
      <c r="L256" s="13" t="n">
        <f aca="false">I256+J256</f>
        <v>2.4986178</v>
      </c>
      <c r="M256" s="13" t="n">
        <f aca="false">MAX(0,E256-L256)</f>
        <v>2.4413822</v>
      </c>
      <c r="N256" s="13" t="n">
        <f aca="false">MAX(0,G256-J256-K256)</f>
        <v>0</v>
      </c>
      <c r="O256" s="13" t="n">
        <f aca="false">Q256-I256</f>
        <v>0.0150822</v>
      </c>
      <c r="P256" s="13" t="n">
        <f aca="false">G256+Q256-L256-N256-O256-K256</f>
        <v>0</v>
      </c>
      <c r="Q256" s="13" t="n">
        <f aca="false">IF(A256="",0,K255)</f>
        <v>0.75411</v>
      </c>
    </row>
    <row r="257" customFormat="false" ht="16.4" hidden="false" customHeight="false" outlineLevel="0" collapsed="false">
      <c r="A257" s="23" t="n">
        <f aca="false">Kalender!A257</f>
        <v>46275</v>
      </c>
      <c r="B257" s="13" t="n">
        <f aca="false">Kalender!C257</f>
        <v>1</v>
      </c>
      <c r="C257" s="13" t="n">
        <f aca="false">Kalender!D257</f>
        <v>1</v>
      </c>
      <c r="D257" s="13" t="n">
        <f aca="false">IF(Prüfungen!$B$4=0,(IFERROR(SUMIF(Nutzungsprofile!$B$6:$B$11,"Schulbetrieb",Nutzungsprofile!$G$6:$G$11)*Kalender!C257/SUM(Kalender!$C$5:$C$370),0)+IFERROR(SUMIF(Nutzungsprofile!$B$6:$B$11,"Halle",Nutzungsprofile!$G$6:$G$11)*Kalender!D257/SUM(Kalender!$D$5:$D$370),0)+IFERROR(SUMIF(Nutzungsprofile!$B$6:$B$11,"Individuell",Nutzungsprofile!$G$6:$G$11)*Kalender!E257/SUM(Kalender!$E$5:$E$370),0)),0)</f>
        <v>2.94</v>
      </c>
      <c r="E257" s="13" t="n">
        <f aca="false">IF(Prüfungen!$B$4=0,(IFERROR(SUMIF(Nutzungsprofile!$B$17:$B$22,"Schulbetrieb",Nutzungsprofile!$G$17:$G$22)*Kalender!C257/SUM(Kalender!$C$5:$C$370),0)+IFERROR(SUMIF(Nutzungsprofile!$B$17:$B$22,"Halle",Nutzungsprofile!$G$17:$G$22)*Kalender!D257/SUM(Kalender!$D$5:$D$370),0)+IFERROR(SUMIF(Nutzungsprofile!$B$17:$B$22,"Individuell",Nutzungsprofile!$G$17:$G$22)*Kalender!E257/SUM(Kalender!$E$5:$E$370),0)),0)</f>
        <v>4.94</v>
      </c>
      <c r="F257" s="13" t="n">
        <f aca="false">IFERROR(MIN(D257,Eingaben!$B$17)*Eingaben!$B$16,0)</f>
        <v>2.793</v>
      </c>
      <c r="G257" s="13" t="n">
        <f aca="false">IFERROR(F257*Eingaben!$B$15,0)</f>
        <v>2.5137</v>
      </c>
      <c r="H257" s="13" t="n">
        <f aca="false">IFERROR(Q257*(1-Eingaben!$B$20),0)</f>
        <v>0.7390278</v>
      </c>
      <c r="I257" s="13" t="n">
        <f aca="false">MIN(H257,E257)</f>
        <v>0.7390278</v>
      </c>
      <c r="J257" s="13" t="n">
        <f aca="false">IFERROR(MIN(G257*Eingaben!$B$19,MAX(0,E257-I257)),0)</f>
        <v>1.75959</v>
      </c>
      <c r="K257" s="13" t="n">
        <f aca="false">IFERROR(MIN(Eingaben!$B$18,MAX(0,G257-J257)),0)</f>
        <v>0.75411</v>
      </c>
      <c r="L257" s="13" t="n">
        <f aca="false">I257+J257</f>
        <v>2.4986178</v>
      </c>
      <c r="M257" s="13" t="n">
        <f aca="false">MAX(0,E257-L257)</f>
        <v>2.4413822</v>
      </c>
      <c r="N257" s="13" t="n">
        <f aca="false">MAX(0,G257-J257-K257)</f>
        <v>0</v>
      </c>
      <c r="O257" s="13" t="n">
        <f aca="false">Q257-I257</f>
        <v>0.0150822</v>
      </c>
      <c r="P257" s="13" t="n">
        <f aca="false">G257+Q257-L257-N257-O257-K257</f>
        <v>0</v>
      </c>
      <c r="Q257" s="13" t="n">
        <f aca="false">IF(A257="",0,K256)</f>
        <v>0.75411</v>
      </c>
    </row>
    <row r="258" customFormat="false" ht="16.4" hidden="false" customHeight="false" outlineLevel="0" collapsed="false">
      <c r="A258" s="23" t="n">
        <f aca="false">Kalender!A258</f>
        <v>46276</v>
      </c>
      <c r="B258" s="13" t="n">
        <f aca="false">Kalender!C258</f>
        <v>1</v>
      </c>
      <c r="C258" s="13" t="n">
        <f aca="false">Kalender!D258</f>
        <v>1</v>
      </c>
      <c r="D258" s="13" t="n">
        <f aca="false">IF(Prüfungen!$B$4=0,(IFERROR(SUMIF(Nutzungsprofile!$B$6:$B$11,"Schulbetrieb",Nutzungsprofile!$G$6:$G$11)*Kalender!C258/SUM(Kalender!$C$5:$C$370),0)+IFERROR(SUMIF(Nutzungsprofile!$B$6:$B$11,"Halle",Nutzungsprofile!$G$6:$G$11)*Kalender!D258/SUM(Kalender!$D$5:$D$370),0)+IFERROR(SUMIF(Nutzungsprofile!$B$6:$B$11,"Individuell",Nutzungsprofile!$G$6:$G$11)*Kalender!E258/SUM(Kalender!$E$5:$E$370),0)),0)</f>
        <v>2.94</v>
      </c>
      <c r="E258" s="13" t="n">
        <f aca="false">IF(Prüfungen!$B$4=0,(IFERROR(SUMIF(Nutzungsprofile!$B$17:$B$22,"Schulbetrieb",Nutzungsprofile!$G$17:$G$22)*Kalender!C258/SUM(Kalender!$C$5:$C$370),0)+IFERROR(SUMIF(Nutzungsprofile!$B$17:$B$22,"Halle",Nutzungsprofile!$G$17:$G$22)*Kalender!D258/SUM(Kalender!$D$5:$D$370),0)+IFERROR(SUMIF(Nutzungsprofile!$B$17:$B$22,"Individuell",Nutzungsprofile!$G$17:$G$22)*Kalender!E258/SUM(Kalender!$E$5:$E$370),0)),0)</f>
        <v>4.94</v>
      </c>
      <c r="F258" s="13" t="n">
        <f aca="false">IFERROR(MIN(D258,Eingaben!$B$17)*Eingaben!$B$16,0)</f>
        <v>2.793</v>
      </c>
      <c r="G258" s="13" t="n">
        <f aca="false">IFERROR(F258*Eingaben!$B$15,0)</f>
        <v>2.5137</v>
      </c>
      <c r="H258" s="13" t="n">
        <f aca="false">IFERROR(Q258*(1-Eingaben!$B$20),0)</f>
        <v>0.7390278</v>
      </c>
      <c r="I258" s="13" t="n">
        <f aca="false">MIN(H258,E258)</f>
        <v>0.7390278</v>
      </c>
      <c r="J258" s="13" t="n">
        <f aca="false">IFERROR(MIN(G258*Eingaben!$B$19,MAX(0,E258-I258)),0)</f>
        <v>1.75959</v>
      </c>
      <c r="K258" s="13" t="n">
        <f aca="false">IFERROR(MIN(Eingaben!$B$18,MAX(0,G258-J258)),0)</f>
        <v>0.75411</v>
      </c>
      <c r="L258" s="13" t="n">
        <f aca="false">I258+J258</f>
        <v>2.4986178</v>
      </c>
      <c r="M258" s="13" t="n">
        <f aca="false">MAX(0,E258-L258)</f>
        <v>2.4413822</v>
      </c>
      <c r="N258" s="13" t="n">
        <f aca="false">MAX(0,G258-J258-K258)</f>
        <v>0</v>
      </c>
      <c r="O258" s="13" t="n">
        <f aca="false">Q258-I258</f>
        <v>0.0150822</v>
      </c>
      <c r="P258" s="13" t="n">
        <f aca="false">G258+Q258-L258-N258-O258-K258</f>
        <v>0</v>
      </c>
      <c r="Q258" s="13" t="n">
        <f aca="false">IF(A258="",0,K257)</f>
        <v>0.75411</v>
      </c>
    </row>
    <row r="259" customFormat="false" ht="16.4" hidden="false" customHeight="false" outlineLevel="0" collapsed="false">
      <c r="A259" s="23" t="n">
        <f aca="false">Kalender!A259</f>
        <v>46277</v>
      </c>
      <c r="B259" s="13" t="n">
        <f aca="false">Kalender!C259</f>
        <v>0</v>
      </c>
      <c r="C259" s="13" t="n">
        <f aca="false">Kalender!D259</f>
        <v>1</v>
      </c>
      <c r="D259" s="13" t="n">
        <f aca="false">IF(Prüfungen!$B$4=0,(IFERROR(SUMIF(Nutzungsprofile!$B$6:$B$11,"Schulbetrieb",Nutzungsprofile!$G$6:$G$11)*Kalender!C259/SUM(Kalender!$C$5:$C$370),0)+IFERROR(SUMIF(Nutzungsprofile!$B$6:$B$11,"Halle",Nutzungsprofile!$G$6:$G$11)*Kalender!D259/SUM(Kalender!$D$5:$D$370),0)+IFERROR(SUMIF(Nutzungsprofile!$B$6:$B$11,"Individuell",Nutzungsprofile!$G$6:$G$11)*Kalender!E259/SUM(Kalender!$E$5:$E$370),0)),0)</f>
        <v>2.04</v>
      </c>
      <c r="E259" s="13" t="n">
        <f aca="false">IF(Prüfungen!$B$4=0,(IFERROR(SUMIF(Nutzungsprofile!$B$17:$B$22,"Schulbetrieb",Nutzungsprofile!$G$17:$G$22)*Kalender!C259/SUM(Kalender!$C$5:$C$370),0)+IFERROR(SUMIF(Nutzungsprofile!$B$17:$B$22,"Halle",Nutzungsprofile!$G$17:$G$22)*Kalender!D259/SUM(Kalender!$D$5:$D$370),0)+IFERROR(SUMIF(Nutzungsprofile!$B$17:$B$22,"Individuell",Nutzungsprofile!$G$17:$G$22)*Kalender!E259/SUM(Kalender!$E$5:$E$370),0)),0)</f>
        <v>0.89</v>
      </c>
      <c r="F259" s="13" t="n">
        <f aca="false">IFERROR(MIN(D259,Eingaben!$B$17)*Eingaben!$B$16,0)</f>
        <v>1.938</v>
      </c>
      <c r="G259" s="13" t="n">
        <f aca="false">IFERROR(F259*Eingaben!$B$15,0)</f>
        <v>1.7442</v>
      </c>
      <c r="H259" s="13" t="n">
        <f aca="false">IFERROR(Q259*(1-Eingaben!$B$20),0)</f>
        <v>0.7390278</v>
      </c>
      <c r="I259" s="13" t="n">
        <f aca="false">MIN(H259,E259)</f>
        <v>0.7390278</v>
      </c>
      <c r="J259" s="13" t="n">
        <f aca="false">IFERROR(MIN(G259*Eingaben!$B$19,MAX(0,E259-I259)),0)</f>
        <v>0.1509722</v>
      </c>
      <c r="K259" s="13" t="n">
        <f aca="false">IFERROR(MIN(Eingaben!$B$18,MAX(0,G259-J259)),0)</f>
        <v>1.5932278</v>
      </c>
      <c r="L259" s="13" t="n">
        <f aca="false">I259+J259</f>
        <v>0.89</v>
      </c>
      <c r="M259" s="13" t="n">
        <f aca="false">MAX(0,E259-L259)</f>
        <v>0</v>
      </c>
      <c r="N259" s="13" t="n">
        <f aca="false">MAX(0,G259-J259-K259)</f>
        <v>0</v>
      </c>
      <c r="O259" s="13" t="n">
        <f aca="false">Q259-I259</f>
        <v>0.0150822</v>
      </c>
      <c r="P259" s="13" t="n">
        <f aca="false">G259+Q259-L259-N259-O259-K259</f>
        <v>0</v>
      </c>
      <c r="Q259" s="13" t="n">
        <f aca="false">IF(A259="",0,K258)</f>
        <v>0.75411</v>
      </c>
    </row>
    <row r="260" customFormat="false" ht="16.4" hidden="false" customHeight="false" outlineLevel="0" collapsed="false">
      <c r="A260" s="23" t="n">
        <f aca="false">Kalender!A260</f>
        <v>46278</v>
      </c>
      <c r="B260" s="13" t="n">
        <f aca="false">Kalender!C260</f>
        <v>0</v>
      </c>
      <c r="C260" s="13" t="n">
        <f aca="false">Kalender!D260</f>
        <v>1</v>
      </c>
      <c r="D260" s="13" t="n">
        <f aca="false">IF(Prüfungen!$B$4=0,(IFERROR(SUMIF(Nutzungsprofile!$B$6:$B$11,"Schulbetrieb",Nutzungsprofile!$G$6:$G$11)*Kalender!C260/SUM(Kalender!$C$5:$C$370),0)+IFERROR(SUMIF(Nutzungsprofile!$B$6:$B$11,"Halle",Nutzungsprofile!$G$6:$G$11)*Kalender!D260/SUM(Kalender!$D$5:$D$370),0)+IFERROR(SUMIF(Nutzungsprofile!$B$6:$B$11,"Individuell",Nutzungsprofile!$G$6:$G$11)*Kalender!E260/SUM(Kalender!$E$5:$E$370),0)),0)</f>
        <v>2.04</v>
      </c>
      <c r="E260" s="13" t="n">
        <f aca="false">IF(Prüfungen!$B$4=0,(IFERROR(SUMIF(Nutzungsprofile!$B$17:$B$22,"Schulbetrieb",Nutzungsprofile!$G$17:$G$22)*Kalender!C260/SUM(Kalender!$C$5:$C$370),0)+IFERROR(SUMIF(Nutzungsprofile!$B$17:$B$22,"Halle",Nutzungsprofile!$G$17:$G$22)*Kalender!D260/SUM(Kalender!$D$5:$D$370),0)+IFERROR(SUMIF(Nutzungsprofile!$B$17:$B$22,"Individuell",Nutzungsprofile!$G$17:$G$22)*Kalender!E260/SUM(Kalender!$E$5:$E$370),0)),0)</f>
        <v>0.89</v>
      </c>
      <c r="F260" s="13" t="n">
        <f aca="false">IFERROR(MIN(D260,Eingaben!$B$17)*Eingaben!$B$16,0)</f>
        <v>1.938</v>
      </c>
      <c r="G260" s="13" t="n">
        <f aca="false">IFERROR(F260*Eingaben!$B$15,0)</f>
        <v>1.7442</v>
      </c>
      <c r="H260" s="13" t="n">
        <f aca="false">IFERROR(Q260*(1-Eingaben!$B$20),0)</f>
        <v>1.561363244</v>
      </c>
      <c r="I260" s="13" t="n">
        <f aca="false">MIN(H260,E260)</f>
        <v>0.89</v>
      </c>
      <c r="J260" s="13" t="n">
        <f aca="false">IFERROR(MIN(G260*Eingaben!$B$19,MAX(0,E260-I260)),0)</f>
        <v>0</v>
      </c>
      <c r="K260" s="13" t="n">
        <f aca="false">IFERROR(MIN(Eingaben!$B$18,MAX(0,G260-J260)),0)</f>
        <v>1.7442</v>
      </c>
      <c r="L260" s="13" t="n">
        <f aca="false">I260+J260</f>
        <v>0.89</v>
      </c>
      <c r="M260" s="13" t="n">
        <f aca="false">MAX(0,E260-L260)</f>
        <v>0</v>
      </c>
      <c r="N260" s="13" t="n">
        <f aca="false">MAX(0,G260-J260-K260)</f>
        <v>0</v>
      </c>
      <c r="O260" s="13" t="n">
        <f aca="false">Q260-I260</f>
        <v>0.7032278</v>
      </c>
      <c r="P260" s="13" t="n">
        <f aca="false">G260+Q260-L260-N260-O260-K260</f>
        <v>0</v>
      </c>
      <c r="Q260" s="13" t="n">
        <f aca="false">IF(A260="",0,K259)</f>
        <v>1.5932278</v>
      </c>
    </row>
    <row r="261" customFormat="false" ht="16.4" hidden="false" customHeight="false" outlineLevel="0" collapsed="false">
      <c r="A261" s="23" t="n">
        <f aca="false">Kalender!A261</f>
        <v>46279</v>
      </c>
      <c r="B261" s="13" t="n">
        <f aca="false">Kalender!C261</f>
        <v>1</v>
      </c>
      <c r="C261" s="13" t="n">
        <f aca="false">Kalender!D261</f>
        <v>1</v>
      </c>
      <c r="D261" s="13" t="n">
        <f aca="false">IF(Prüfungen!$B$4=0,(IFERROR(SUMIF(Nutzungsprofile!$B$6:$B$11,"Schulbetrieb",Nutzungsprofile!$G$6:$G$11)*Kalender!C261/SUM(Kalender!$C$5:$C$370),0)+IFERROR(SUMIF(Nutzungsprofile!$B$6:$B$11,"Halle",Nutzungsprofile!$G$6:$G$11)*Kalender!D261/SUM(Kalender!$D$5:$D$370),0)+IFERROR(SUMIF(Nutzungsprofile!$B$6:$B$11,"Individuell",Nutzungsprofile!$G$6:$G$11)*Kalender!E261/SUM(Kalender!$E$5:$E$370),0)),0)</f>
        <v>2.94</v>
      </c>
      <c r="E261" s="13" t="n">
        <f aca="false">IF(Prüfungen!$B$4=0,(IFERROR(SUMIF(Nutzungsprofile!$B$17:$B$22,"Schulbetrieb",Nutzungsprofile!$G$17:$G$22)*Kalender!C261/SUM(Kalender!$C$5:$C$370),0)+IFERROR(SUMIF(Nutzungsprofile!$B$17:$B$22,"Halle",Nutzungsprofile!$G$17:$G$22)*Kalender!D261/SUM(Kalender!$D$5:$D$370),0)+IFERROR(SUMIF(Nutzungsprofile!$B$17:$B$22,"Individuell",Nutzungsprofile!$G$17:$G$22)*Kalender!E261/SUM(Kalender!$E$5:$E$370),0)),0)</f>
        <v>4.94</v>
      </c>
      <c r="F261" s="13" t="n">
        <f aca="false">IFERROR(MIN(D261,Eingaben!$B$17)*Eingaben!$B$16,0)</f>
        <v>2.793</v>
      </c>
      <c r="G261" s="13" t="n">
        <f aca="false">IFERROR(F261*Eingaben!$B$15,0)</f>
        <v>2.5137</v>
      </c>
      <c r="H261" s="13" t="n">
        <f aca="false">IFERROR(Q261*(1-Eingaben!$B$20),0)</f>
        <v>1.709316</v>
      </c>
      <c r="I261" s="13" t="n">
        <f aca="false">MIN(H261,E261)</f>
        <v>1.709316</v>
      </c>
      <c r="J261" s="13" t="n">
        <f aca="false">IFERROR(MIN(G261*Eingaben!$B$19,MAX(0,E261-I261)),0)</f>
        <v>1.75959</v>
      </c>
      <c r="K261" s="13" t="n">
        <f aca="false">IFERROR(MIN(Eingaben!$B$18,MAX(0,G261-J261)),0)</f>
        <v>0.75411</v>
      </c>
      <c r="L261" s="13" t="n">
        <f aca="false">I261+J261</f>
        <v>3.468906</v>
      </c>
      <c r="M261" s="13" t="n">
        <f aca="false">MAX(0,E261-L261)</f>
        <v>1.471094</v>
      </c>
      <c r="N261" s="13" t="n">
        <f aca="false">MAX(0,G261-J261-K261)</f>
        <v>0</v>
      </c>
      <c r="O261" s="13" t="n">
        <f aca="false">Q261-I261</f>
        <v>0.0348840000000001</v>
      </c>
      <c r="P261" s="13" t="n">
        <f aca="false">G261+Q261-L261-N261-O261-K261</f>
        <v>0</v>
      </c>
      <c r="Q261" s="13" t="n">
        <f aca="false">IF(A261="",0,K260)</f>
        <v>1.7442</v>
      </c>
    </row>
    <row r="262" customFormat="false" ht="16.4" hidden="false" customHeight="false" outlineLevel="0" collapsed="false">
      <c r="A262" s="23" t="n">
        <f aca="false">Kalender!A262</f>
        <v>46280</v>
      </c>
      <c r="B262" s="13" t="n">
        <f aca="false">Kalender!C262</f>
        <v>1</v>
      </c>
      <c r="C262" s="13" t="n">
        <f aca="false">Kalender!D262</f>
        <v>1</v>
      </c>
      <c r="D262" s="13" t="n">
        <f aca="false">IF(Prüfungen!$B$4=0,(IFERROR(SUMIF(Nutzungsprofile!$B$6:$B$11,"Schulbetrieb",Nutzungsprofile!$G$6:$G$11)*Kalender!C262/SUM(Kalender!$C$5:$C$370),0)+IFERROR(SUMIF(Nutzungsprofile!$B$6:$B$11,"Halle",Nutzungsprofile!$G$6:$G$11)*Kalender!D262/SUM(Kalender!$D$5:$D$370),0)+IFERROR(SUMIF(Nutzungsprofile!$B$6:$B$11,"Individuell",Nutzungsprofile!$G$6:$G$11)*Kalender!E262/SUM(Kalender!$E$5:$E$370),0)),0)</f>
        <v>2.94</v>
      </c>
      <c r="E262" s="13" t="n">
        <f aca="false">IF(Prüfungen!$B$4=0,(IFERROR(SUMIF(Nutzungsprofile!$B$17:$B$22,"Schulbetrieb",Nutzungsprofile!$G$17:$G$22)*Kalender!C262/SUM(Kalender!$C$5:$C$370),0)+IFERROR(SUMIF(Nutzungsprofile!$B$17:$B$22,"Halle",Nutzungsprofile!$G$17:$G$22)*Kalender!D262/SUM(Kalender!$D$5:$D$370),0)+IFERROR(SUMIF(Nutzungsprofile!$B$17:$B$22,"Individuell",Nutzungsprofile!$G$17:$G$22)*Kalender!E262/SUM(Kalender!$E$5:$E$370),0)),0)</f>
        <v>4.94</v>
      </c>
      <c r="F262" s="13" t="n">
        <f aca="false">IFERROR(MIN(D262,Eingaben!$B$17)*Eingaben!$B$16,0)</f>
        <v>2.793</v>
      </c>
      <c r="G262" s="13" t="n">
        <f aca="false">IFERROR(F262*Eingaben!$B$15,0)</f>
        <v>2.5137</v>
      </c>
      <c r="H262" s="13" t="n">
        <f aca="false">IFERROR(Q262*(1-Eingaben!$B$20),0)</f>
        <v>0.7390278</v>
      </c>
      <c r="I262" s="13" t="n">
        <f aca="false">MIN(H262,E262)</f>
        <v>0.7390278</v>
      </c>
      <c r="J262" s="13" t="n">
        <f aca="false">IFERROR(MIN(G262*Eingaben!$B$19,MAX(0,E262-I262)),0)</f>
        <v>1.75959</v>
      </c>
      <c r="K262" s="13" t="n">
        <f aca="false">IFERROR(MIN(Eingaben!$B$18,MAX(0,G262-J262)),0)</f>
        <v>0.75411</v>
      </c>
      <c r="L262" s="13" t="n">
        <f aca="false">I262+J262</f>
        <v>2.4986178</v>
      </c>
      <c r="M262" s="13" t="n">
        <f aca="false">MAX(0,E262-L262)</f>
        <v>2.4413822</v>
      </c>
      <c r="N262" s="13" t="n">
        <f aca="false">MAX(0,G262-J262-K262)</f>
        <v>0</v>
      </c>
      <c r="O262" s="13" t="n">
        <f aca="false">Q262-I262</f>
        <v>0.0150822</v>
      </c>
      <c r="P262" s="13" t="n">
        <f aca="false">G262+Q262-L262-N262-O262-K262</f>
        <v>0</v>
      </c>
      <c r="Q262" s="13" t="n">
        <f aca="false">IF(A262="",0,K261)</f>
        <v>0.75411</v>
      </c>
    </row>
    <row r="263" customFormat="false" ht="16.4" hidden="false" customHeight="false" outlineLevel="0" collapsed="false">
      <c r="A263" s="23" t="n">
        <f aca="false">Kalender!A263</f>
        <v>46281</v>
      </c>
      <c r="B263" s="13" t="n">
        <f aca="false">Kalender!C263</f>
        <v>1</v>
      </c>
      <c r="C263" s="13" t="n">
        <f aca="false">Kalender!D263</f>
        <v>1</v>
      </c>
      <c r="D263" s="13" t="n">
        <f aca="false">IF(Prüfungen!$B$4=0,(IFERROR(SUMIF(Nutzungsprofile!$B$6:$B$11,"Schulbetrieb",Nutzungsprofile!$G$6:$G$11)*Kalender!C263/SUM(Kalender!$C$5:$C$370),0)+IFERROR(SUMIF(Nutzungsprofile!$B$6:$B$11,"Halle",Nutzungsprofile!$G$6:$G$11)*Kalender!D263/SUM(Kalender!$D$5:$D$370),0)+IFERROR(SUMIF(Nutzungsprofile!$B$6:$B$11,"Individuell",Nutzungsprofile!$G$6:$G$11)*Kalender!E263/SUM(Kalender!$E$5:$E$370),0)),0)</f>
        <v>2.94</v>
      </c>
      <c r="E263" s="13" t="n">
        <f aca="false">IF(Prüfungen!$B$4=0,(IFERROR(SUMIF(Nutzungsprofile!$B$17:$B$22,"Schulbetrieb",Nutzungsprofile!$G$17:$G$22)*Kalender!C263/SUM(Kalender!$C$5:$C$370),0)+IFERROR(SUMIF(Nutzungsprofile!$B$17:$B$22,"Halle",Nutzungsprofile!$G$17:$G$22)*Kalender!D263/SUM(Kalender!$D$5:$D$370),0)+IFERROR(SUMIF(Nutzungsprofile!$B$17:$B$22,"Individuell",Nutzungsprofile!$G$17:$G$22)*Kalender!E263/SUM(Kalender!$E$5:$E$370),0)),0)</f>
        <v>4.94</v>
      </c>
      <c r="F263" s="13" t="n">
        <f aca="false">IFERROR(MIN(D263,Eingaben!$B$17)*Eingaben!$B$16,0)</f>
        <v>2.793</v>
      </c>
      <c r="G263" s="13" t="n">
        <f aca="false">IFERROR(F263*Eingaben!$B$15,0)</f>
        <v>2.5137</v>
      </c>
      <c r="H263" s="13" t="n">
        <f aca="false">IFERROR(Q263*(1-Eingaben!$B$20),0)</f>
        <v>0.7390278</v>
      </c>
      <c r="I263" s="13" t="n">
        <f aca="false">MIN(H263,E263)</f>
        <v>0.7390278</v>
      </c>
      <c r="J263" s="13" t="n">
        <f aca="false">IFERROR(MIN(G263*Eingaben!$B$19,MAX(0,E263-I263)),0)</f>
        <v>1.75959</v>
      </c>
      <c r="K263" s="13" t="n">
        <f aca="false">IFERROR(MIN(Eingaben!$B$18,MAX(0,G263-J263)),0)</f>
        <v>0.75411</v>
      </c>
      <c r="L263" s="13" t="n">
        <f aca="false">I263+J263</f>
        <v>2.4986178</v>
      </c>
      <c r="M263" s="13" t="n">
        <f aca="false">MAX(0,E263-L263)</f>
        <v>2.4413822</v>
      </c>
      <c r="N263" s="13" t="n">
        <f aca="false">MAX(0,G263-J263-K263)</f>
        <v>0</v>
      </c>
      <c r="O263" s="13" t="n">
        <f aca="false">Q263-I263</f>
        <v>0.0150822</v>
      </c>
      <c r="P263" s="13" t="n">
        <f aca="false">G263+Q263-L263-N263-O263-K263</f>
        <v>0</v>
      </c>
      <c r="Q263" s="13" t="n">
        <f aca="false">IF(A263="",0,K262)</f>
        <v>0.75411</v>
      </c>
    </row>
    <row r="264" customFormat="false" ht="16.4" hidden="false" customHeight="false" outlineLevel="0" collapsed="false">
      <c r="A264" s="23" t="n">
        <f aca="false">Kalender!A264</f>
        <v>46282</v>
      </c>
      <c r="B264" s="13" t="n">
        <f aca="false">Kalender!C264</f>
        <v>1</v>
      </c>
      <c r="C264" s="13" t="n">
        <f aca="false">Kalender!D264</f>
        <v>1</v>
      </c>
      <c r="D264" s="13" t="n">
        <f aca="false">IF(Prüfungen!$B$4=0,(IFERROR(SUMIF(Nutzungsprofile!$B$6:$B$11,"Schulbetrieb",Nutzungsprofile!$G$6:$G$11)*Kalender!C264/SUM(Kalender!$C$5:$C$370),0)+IFERROR(SUMIF(Nutzungsprofile!$B$6:$B$11,"Halle",Nutzungsprofile!$G$6:$G$11)*Kalender!D264/SUM(Kalender!$D$5:$D$370),0)+IFERROR(SUMIF(Nutzungsprofile!$B$6:$B$11,"Individuell",Nutzungsprofile!$G$6:$G$11)*Kalender!E264/SUM(Kalender!$E$5:$E$370),0)),0)</f>
        <v>2.94</v>
      </c>
      <c r="E264" s="13" t="n">
        <f aca="false">IF(Prüfungen!$B$4=0,(IFERROR(SUMIF(Nutzungsprofile!$B$17:$B$22,"Schulbetrieb",Nutzungsprofile!$G$17:$G$22)*Kalender!C264/SUM(Kalender!$C$5:$C$370),0)+IFERROR(SUMIF(Nutzungsprofile!$B$17:$B$22,"Halle",Nutzungsprofile!$G$17:$G$22)*Kalender!D264/SUM(Kalender!$D$5:$D$370),0)+IFERROR(SUMIF(Nutzungsprofile!$B$17:$B$22,"Individuell",Nutzungsprofile!$G$17:$G$22)*Kalender!E264/SUM(Kalender!$E$5:$E$370),0)),0)</f>
        <v>4.94</v>
      </c>
      <c r="F264" s="13" t="n">
        <f aca="false">IFERROR(MIN(D264,Eingaben!$B$17)*Eingaben!$B$16,0)</f>
        <v>2.793</v>
      </c>
      <c r="G264" s="13" t="n">
        <f aca="false">IFERROR(F264*Eingaben!$B$15,0)</f>
        <v>2.5137</v>
      </c>
      <c r="H264" s="13" t="n">
        <f aca="false">IFERROR(Q264*(1-Eingaben!$B$20),0)</f>
        <v>0.7390278</v>
      </c>
      <c r="I264" s="13" t="n">
        <f aca="false">MIN(H264,E264)</f>
        <v>0.7390278</v>
      </c>
      <c r="J264" s="13" t="n">
        <f aca="false">IFERROR(MIN(G264*Eingaben!$B$19,MAX(0,E264-I264)),0)</f>
        <v>1.75959</v>
      </c>
      <c r="K264" s="13" t="n">
        <f aca="false">IFERROR(MIN(Eingaben!$B$18,MAX(0,G264-J264)),0)</f>
        <v>0.75411</v>
      </c>
      <c r="L264" s="13" t="n">
        <f aca="false">I264+J264</f>
        <v>2.4986178</v>
      </c>
      <c r="M264" s="13" t="n">
        <f aca="false">MAX(0,E264-L264)</f>
        <v>2.4413822</v>
      </c>
      <c r="N264" s="13" t="n">
        <f aca="false">MAX(0,G264-J264-K264)</f>
        <v>0</v>
      </c>
      <c r="O264" s="13" t="n">
        <f aca="false">Q264-I264</f>
        <v>0.0150822</v>
      </c>
      <c r="P264" s="13" t="n">
        <f aca="false">G264+Q264-L264-N264-O264-K264</f>
        <v>0</v>
      </c>
      <c r="Q264" s="13" t="n">
        <f aca="false">IF(A264="",0,K263)</f>
        <v>0.75411</v>
      </c>
    </row>
    <row r="265" customFormat="false" ht="16.4" hidden="false" customHeight="false" outlineLevel="0" collapsed="false">
      <c r="A265" s="23" t="n">
        <f aca="false">Kalender!A265</f>
        <v>46283</v>
      </c>
      <c r="B265" s="13" t="n">
        <f aca="false">Kalender!C265</f>
        <v>1</v>
      </c>
      <c r="C265" s="13" t="n">
        <f aca="false">Kalender!D265</f>
        <v>1</v>
      </c>
      <c r="D265" s="13" t="n">
        <f aca="false">IF(Prüfungen!$B$4=0,(IFERROR(SUMIF(Nutzungsprofile!$B$6:$B$11,"Schulbetrieb",Nutzungsprofile!$G$6:$G$11)*Kalender!C265/SUM(Kalender!$C$5:$C$370),0)+IFERROR(SUMIF(Nutzungsprofile!$B$6:$B$11,"Halle",Nutzungsprofile!$G$6:$G$11)*Kalender!D265/SUM(Kalender!$D$5:$D$370),0)+IFERROR(SUMIF(Nutzungsprofile!$B$6:$B$11,"Individuell",Nutzungsprofile!$G$6:$G$11)*Kalender!E265/SUM(Kalender!$E$5:$E$370),0)),0)</f>
        <v>2.94</v>
      </c>
      <c r="E265" s="13" t="n">
        <f aca="false">IF(Prüfungen!$B$4=0,(IFERROR(SUMIF(Nutzungsprofile!$B$17:$B$22,"Schulbetrieb",Nutzungsprofile!$G$17:$G$22)*Kalender!C265/SUM(Kalender!$C$5:$C$370),0)+IFERROR(SUMIF(Nutzungsprofile!$B$17:$B$22,"Halle",Nutzungsprofile!$G$17:$G$22)*Kalender!D265/SUM(Kalender!$D$5:$D$370),0)+IFERROR(SUMIF(Nutzungsprofile!$B$17:$B$22,"Individuell",Nutzungsprofile!$G$17:$G$22)*Kalender!E265/SUM(Kalender!$E$5:$E$370),0)),0)</f>
        <v>4.94</v>
      </c>
      <c r="F265" s="13" t="n">
        <f aca="false">IFERROR(MIN(D265,Eingaben!$B$17)*Eingaben!$B$16,0)</f>
        <v>2.793</v>
      </c>
      <c r="G265" s="13" t="n">
        <f aca="false">IFERROR(F265*Eingaben!$B$15,0)</f>
        <v>2.5137</v>
      </c>
      <c r="H265" s="13" t="n">
        <f aca="false">IFERROR(Q265*(1-Eingaben!$B$20),0)</f>
        <v>0.7390278</v>
      </c>
      <c r="I265" s="13" t="n">
        <f aca="false">MIN(H265,E265)</f>
        <v>0.7390278</v>
      </c>
      <c r="J265" s="13" t="n">
        <f aca="false">IFERROR(MIN(G265*Eingaben!$B$19,MAX(0,E265-I265)),0)</f>
        <v>1.75959</v>
      </c>
      <c r="K265" s="13" t="n">
        <f aca="false">IFERROR(MIN(Eingaben!$B$18,MAX(0,G265-J265)),0)</f>
        <v>0.75411</v>
      </c>
      <c r="L265" s="13" t="n">
        <f aca="false">I265+J265</f>
        <v>2.4986178</v>
      </c>
      <c r="M265" s="13" t="n">
        <f aca="false">MAX(0,E265-L265)</f>
        <v>2.4413822</v>
      </c>
      <c r="N265" s="13" t="n">
        <f aca="false">MAX(0,G265-J265-K265)</f>
        <v>0</v>
      </c>
      <c r="O265" s="13" t="n">
        <f aca="false">Q265-I265</f>
        <v>0.0150822</v>
      </c>
      <c r="P265" s="13" t="n">
        <f aca="false">G265+Q265-L265-N265-O265-K265</f>
        <v>0</v>
      </c>
      <c r="Q265" s="13" t="n">
        <f aca="false">IF(A265="",0,K264)</f>
        <v>0.75411</v>
      </c>
    </row>
    <row r="266" customFormat="false" ht="16.4" hidden="false" customHeight="false" outlineLevel="0" collapsed="false">
      <c r="A266" s="23" t="n">
        <f aca="false">Kalender!A266</f>
        <v>46284</v>
      </c>
      <c r="B266" s="13" t="n">
        <f aca="false">Kalender!C266</f>
        <v>0</v>
      </c>
      <c r="C266" s="13" t="n">
        <f aca="false">Kalender!D266</f>
        <v>1</v>
      </c>
      <c r="D266" s="13" t="n">
        <f aca="false">IF(Prüfungen!$B$4=0,(IFERROR(SUMIF(Nutzungsprofile!$B$6:$B$11,"Schulbetrieb",Nutzungsprofile!$G$6:$G$11)*Kalender!C266/SUM(Kalender!$C$5:$C$370),0)+IFERROR(SUMIF(Nutzungsprofile!$B$6:$B$11,"Halle",Nutzungsprofile!$G$6:$G$11)*Kalender!D266/SUM(Kalender!$D$5:$D$370),0)+IFERROR(SUMIF(Nutzungsprofile!$B$6:$B$11,"Individuell",Nutzungsprofile!$G$6:$G$11)*Kalender!E266/SUM(Kalender!$E$5:$E$370),0)),0)</f>
        <v>2.04</v>
      </c>
      <c r="E266" s="13" t="n">
        <f aca="false">IF(Prüfungen!$B$4=0,(IFERROR(SUMIF(Nutzungsprofile!$B$17:$B$22,"Schulbetrieb",Nutzungsprofile!$G$17:$G$22)*Kalender!C266/SUM(Kalender!$C$5:$C$370),0)+IFERROR(SUMIF(Nutzungsprofile!$B$17:$B$22,"Halle",Nutzungsprofile!$G$17:$G$22)*Kalender!D266/SUM(Kalender!$D$5:$D$370),0)+IFERROR(SUMIF(Nutzungsprofile!$B$17:$B$22,"Individuell",Nutzungsprofile!$G$17:$G$22)*Kalender!E266/SUM(Kalender!$E$5:$E$370),0)),0)</f>
        <v>0.89</v>
      </c>
      <c r="F266" s="13" t="n">
        <f aca="false">IFERROR(MIN(D266,Eingaben!$B$17)*Eingaben!$B$16,0)</f>
        <v>1.938</v>
      </c>
      <c r="G266" s="13" t="n">
        <f aca="false">IFERROR(F266*Eingaben!$B$15,0)</f>
        <v>1.7442</v>
      </c>
      <c r="H266" s="13" t="n">
        <f aca="false">IFERROR(Q266*(1-Eingaben!$B$20),0)</f>
        <v>0.7390278</v>
      </c>
      <c r="I266" s="13" t="n">
        <f aca="false">MIN(H266,E266)</f>
        <v>0.7390278</v>
      </c>
      <c r="J266" s="13" t="n">
        <f aca="false">IFERROR(MIN(G266*Eingaben!$B$19,MAX(0,E266-I266)),0)</f>
        <v>0.1509722</v>
      </c>
      <c r="K266" s="13" t="n">
        <f aca="false">IFERROR(MIN(Eingaben!$B$18,MAX(0,G266-J266)),0)</f>
        <v>1.5932278</v>
      </c>
      <c r="L266" s="13" t="n">
        <f aca="false">I266+J266</f>
        <v>0.89</v>
      </c>
      <c r="M266" s="13" t="n">
        <f aca="false">MAX(0,E266-L266)</f>
        <v>0</v>
      </c>
      <c r="N266" s="13" t="n">
        <f aca="false">MAX(0,G266-J266-K266)</f>
        <v>0</v>
      </c>
      <c r="O266" s="13" t="n">
        <f aca="false">Q266-I266</f>
        <v>0.0150822</v>
      </c>
      <c r="P266" s="13" t="n">
        <f aca="false">G266+Q266-L266-N266-O266-K266</f>
        <v>0</v>
      </c>
      <c r="Q266" s="13" t="n">
        <f aca="false">IF(A266="",0,K265)</f>
        <v>0.75411</v>
      </c>
    </row>
    <row r="267" customFormat="false" ht="16.4" hidden="false" customHeight="false" outlineLevel="0" collapsed="false">
      <c r="A267" s="23" t="n">
        <f aca="false">Kalender!A267</f>
        <v>46285</v>
      </c>
      <c r="B267" s="13" t="n">
        <f aca="false">Kalender!C267</f>
        <v>0</v>
      </c>
      <c r="C267" s="13" t="n">
        <f aca="false">Kalender!D267</f>
        <v>1</v>
      </c>
      <c r="D267" s="13" t="n">
        <f aca="false">IF(Prüfungen!$B$4=0,(IFERROR(SUMIF(Nutzungsprofile!$B$6:$B$11,"Schulbetrieb",Nutzungsprofile!$G$6:$G$11)*Kalender!C267/SUM(Kalender!$C$5:$C$370),0)+IFERROR(SUMIF(Nutzungsprofile!$B$6:$B$11,"Halle",Nutzungsprofile!$G$6:$G$11)*Kalender!D267/SUM(Kalender!$D$5:$D$370),0)+IFERROR(SUMIF(Nutzungsprofile!$B$6:$B$11,"Individuell",Nutzungsprofile!$G$6:$G$11)*Kalender!E267/SUM(Kalender!$E$5:$E$370),0)),0)</f>
        <v>2.04</v>
      </c>
      <c r="E267" s="13" t="n">
        <f aca="false">IF(Prüfungen!$B$4=0,(IFERROR(SUMIF(Nutzungsprofile!$B$17:$B$22,"Schulbetrieb",Nutzungsprofile!$G$17:$G$22)*Kalender!C267/SUM(Kalender!$C$5:$C$370),0)+IFERROR(SUMIF(Nutzungsprofile!$B$17:$B$22,"Halle",Nutzungsprofile!$G$17:$G$22)*Kalender!D267/SUM(Kalender!$D$5:$D$370),0)+IFERROR(SUMIF(Nutzungsprofile!$B$17:$B$22,"Individuell",Nutzungsprofile!$G$17:$G$22)*Kalender!E267/SUM(Kalender!$E$5:$E$370),0)),0)</f>
        <v>0.89</v>
      </c>
      <c r="F267" s="13" t="n">
        <f aca="false">IFERROR(MIN(D267,Eingaben!$B$17)*Eingaben!$B$16,0)</f>
        <v>1.938</v>
      </c>
      <c r="G267" s="13" t="n">
        <f aca="false">IFERROR(F267*Eingaben!$B$15,0)</f>
        <v>1.7442</v>
      </c>
      <c r="H267" s="13" t="n">
        <f aca="false">IFERROR(Q267*(1-Eingaben!$B$20),0)</f>
        <v>1.561363244</v>
      </c>
      <c r="I267" s="13" t="n">
        <f aca="false">MIN(H267,E267)</f>
        <v>0.89</v>
      </c>
      <c r="J267" s="13" t="n">
        <f aca="false">IFERROR(MIN(G267*Eingaben!$B$19,MAX(0,E267-I267)),0)</f>
        <v>0</v>
      </c>
      <c r="K267" s="13" t="n">
        <f aca="false">IFERROR(MIN(Eingaben!$B$18,MAX(0,G267-J267)),0)</f>
        <v>1.7442</v>
      </c>
      <c r="L267" s="13" t="n">
        <f aca="false">I267+J267</f>
        <v>0.89</v>
      </c>
      <c r="M267" s="13" t="n">
        <f aca="false">MAX(0,E267-L267)</f>
        <v>0</v>
      </c>
      <c r="N267" s="13" t="n">
        <f aca="false">MAX(0,G267-J267-K267)</f>
        <v>0</v>
      </c>
      <c r="O267" s="13" t="n">
        <f aca="false">Q267-I267</f>
        <v>0.7032278</v>
      </c>
      <c r="P267" s="13" t="n">
        <f aca="false">G267+Q267-L267-N267-O267-K267</f>
        <v>0</v>
      </c>
      <c r="Q267" s="13" t="n">
        <f aca="false">IF(A267="",0,K266)</f>
        <v>1.5932278</v>
      </c>
    </row>
    <row r="268" customFormat="false" ht="16.4" hidden="false" customHeight="false" outlineLevel="0" collapsed="false">
      <c r="A268" s="23" t="n">
        <f aca="false">Kalender!A268</f>
        <v>46286</v>
      </c>
      <c r="B268" s="13" t="n">
        <f aca="false">Kalender!C268</f>
        <v>1</v>
      </c>
      <c r="C268" s="13" t="n">
        <f aca="false">Kalender!D268</f>
        <v>1</v>
      </c>
      <c r="D268" s="13" t="n">
        <f aca="false">IF(Prüfungen!$B$4=0,(IFERROR(SUMIF(Nutzungsprofile!$B$6:$B$11,"Schulbetrieb",Nutzungsprofile!$G$6:$G$11)*Kalender!C268/SUM(Kalender!$C$5:$C$370),0)+IFERROR(SUMIF(Nutzungsprofile!$B$6:$B$11,"Halle",Nutzungsprofile!$G$6:$G$11)*Kalender!D268/SUM(Kalender!$D$5:$D$370),0)+IFERROR(SUMIF(Nutzungsprofile!$B$6:$B$11,"Individuell",Nutzungsprofile!$G$6:$G$11)*Kalender!E268/SUM(Kalender!$E$5:$E$370),0)),0)</f>
        <v>2.94</v>
      </c>
      <c r="E268" s="13" t="n">
        <f aca="false">IF(Prüfungen!$B$4=0,(IFERROR(SUMIF(Nutzungsprofile!$B$17:$B$22,"Schulbetrieb",Nutzungsprofile!$G$17:$G$22)*Kalender!C268/SUM(Kalender!$C$5:$C$370),0)+IFERROR(SUMIF(Nutzungsprofile!$B$17:$B$22,"Halle",Nutzungsprofile!$G$17:$G$22)*Kalender!D268/SUM(Kalender!$D$5:$D$370),0)+IFERROR(SUMIF(Nutzungsprofile!$B$17:$B$22,"Individuell",Nutzungsprofile!$G$17:$G$22)*Kalender!E268/SUM(Kalender!$E$5:$E$370),0)),0)</f>
        <v>4.94</v>
      </c>
      <c r="F268" s="13" t="n">
        <f aca="false">IFERROR(MIN(D268,Eingaben!$B$17)*Eingaben!$B$16,0)</f>
        <v>2.793</v>
      </c>
      <c r="G268" s="13" t="n">
        <f aca="false">IFERROR(F268*Eingaben!$B$15,0)</f>
        <v>2.5137</v>
      </c>
      <c r="H268" s="13" t="n">
        <f aca="false">IFERROR(Q268*(1-Eingaben!$B$20),0)</f>
        <v>1.709316</v>
      </c>
      <c r="I268" s="13" t="n">
        <f aca="false">MIN(H268,E268)</f>
        <v>1.709316</v>
      </c>
      <c r="J268" s="13" t="n">
        <f aca="false">IFERROR(MIN(G268*Eingaben!$B$19,MAX(0,E268-I268)),0)</f>
        <v>1.75959</v>
      </c>
      <c r="K268" s="13" t="n">
        <f aca="false">IFERROR(MIN(Eingaben!$B$18,MAX(0,G268-J268)),0)</f>
        <v>0.75411</v>
      </c>
      <c r="L268" s="13" t="n">
        <f aca="false">I268+J268</f>
        <v>3.468906</v>
      </c>
      <c r="M268" s="13" t="n">
        <f aca="false">MAX(0,E268-L268)</f>
        <v>1.471094</v>
      </c>
      <c r="N268" s="13" t="n">
        <f aca="false">MAX(0,G268-J268-K268)</f>
        <v>0</v>
      </c>
      <c r="O268" s="13" t="n">
        <f aca="false">Q268-I268</f>
        <v>0.0348840000000001</v>
      </c>
      <c r="P268" s="13" t="n">
        <f aca="false">G268+Q268-L268-N268-O268-K268</f>
        <v>0</v>
      </c>
      <c r="Q268" s="13" t="n">
        <f aca="false">IF(A268="",0,K267)</f>
        <v>1.7442</v>
      </c>
    </row>
    <row r="269" customFormat="false" ht="16.4" hidden="false" customHeight="false" outlineLevel="0" collapsed="false">
      <c r="A269" s="23" t="n">
        <f aca="false">Kalender!A269</f>
        <v>46287</v>
      </c>
      <c r="B269" s="13" t="n">
        <f aca="false">Kalender!C269</f>
        <v>1</v>
      </c>
      <c r="C269" s="13" t="n">
        <f aca="false">Kalender!D269</f>
        <v>1</v>
      </c>
      <c r="D269" s="13" t="n">
        <f aca="false">IF(Prüfungen!$B$4=0,(IFERROR(SUMIF(Nutzungsprofile!$B$6:$B$11,"Schulbetrieb",Nutzungsprofile!$G$6:$G$11)*Kalender!C269/SUM(Kalender!$C$5:$C$370),0)+IFERROR(SUMIF(Nutzungsprofile!$B$6:$B$11,"Halle",Nutzungsprofile!$G$6:$G$11)*Kalender!D269/SUM(Kalender!$D$5:$D$370),0)+IFERROR(SUMIF(Nutzungsprofile!$B$6:$B$11,"Individuell",Nutzungsprofile!$G$6:$G$11)*Kalender!E269/SUM(Kalender!$E$5:$E$370),0)),0)</f>
        <v>2.94</v>
      </c>
      <c r="E269" s="13" t="n">
        <f aca="false">IF(Prüfungen!$B$4=0,(IFERROR(SUMIF(Nutzungsprofile!$B$17:$B$22,"Schulbetrieb",Nutzungsprofile!$G$17:$G$22)*Kalender!C269/SUM(Kalender!$C$5:$C$370),0)+IFERROR(SUMIF(Nutzungsprofile!$B$17:$B$22,"Halle",Nutzungsprofile!$G$17:$G$22)*Kalender!D269/SUM(Kalender!$D$5:$D$370),0)+IFERROR(SUMIF(Nutzungsprofile!$B$17:$B$22,"Individuell",Nutzungsprofile!$G$17:$G$22)*Kalender!E269/SUM(Kalender!$E$5:$E$370),0)),0)</f>
        <v>4.94</v>
      </c>
      <c r="F269" s="13" t="n">
        <f aca="false">IFERROR(MIN(D269,Eingaben!$B$17)*Eingaben!$B$16,0)</f>
        <v>2.793</v>
      </c>
      <c r="G269" s="13" t="n">
        <f aca="false">IFERROR(F269*Eingaben!$B$15,0)</f>
        <v>2.5137</v>
      </c>
      <c r="H269" s="13" t="n">
        <f aca="false">IFERROR(Q269*(1-Eingaben!$B$20),0)</f>
        <v>0.7390278</v>
      </c>
      <c r="I269" s="13" t="n">
        <f aca="false">MIN(H269,E269)</f>
        <v>0.7390278</v>
      </c>
      <c r="J269" s="13" t="n">
        <f aca="false">IFERROR(MIN(G269*Eingaben!$B$19,MAX(0,E269-I269)),0)</f>
        <v>1.75959</v>
      </c>
      <c r="K269" s="13" t="n">
        <f aca="false">IFERROR(MIN(Eingaben!$B$18,MAX(0,G269-J269)),0)</f>
        <v>0.75411</v>
      </c>
      <c r="L269" s="13" t="n">
        <f aca="false">I269+J269</f>
        <v>2.4986178</v>
      </c>
      <c r="M269" s="13" t="n">
        <f aca="false">MAX(0,E269-L269)</f>
        <v>2.4413822</v>
      </c>
      <c r="N269" s="13" t="n">
        <f aca="false">MAX(0,G269-J269-K269)</f>
        <v>0</v>
      </c>
      <c r="O269" s="13" t="n">
        <f aca="false">Q269-I269</f>
        <v>0.0150822</v>
      </c>
      <c r="P269" s="13" t="n">
        <f aca="false">G269+Q269-L269-N269-O269-K269</f>
        <v>0</v>
      </c>
      <c r="Q269" s="13" t="n">
        <f aca="false">IF(A269="",0,K268)</f>
        <v>0.75411</v>
      </c>
    </row>
    <row r="270" customFormat="false" ht="16.4" hidden="false" customHeight="false" outlineLevel="0" collapsed="false">
      <c r="A270" s="23" t="n">
        <f aca="false">Kalender!A270</f>
        <v>46288</v>
      </c>
      <c r="B270" s="13" t="n">
        <f aca="false">Kalender!C270</f>
        <v>1</v>
      </c>
      <c r="C270" s="13" t="n">
        <f aca="false">Kalender!D270</f>
        <v>1</v>
      </c>
      <c r="D270" s="13" t="n">
        <f aca="false">IF(Prüfungen!$B$4=0,(IFERROR(SUMIF(Nutzungsprofile!$B$6:$B$11,"Schulbetrieb",Nutzungsprofile!$G$6:$G$11)*Kalender!C270/SUM(Kalender!$C$5:$C$370),0)+IFERROR(SUMIF(Nutzungsprofile!$B$6:$B$11,"Halle",Nutzungsprofile!$G$6:$G$11)*Kalender!D270/SUM(Kalender!$D$5:$D$370),0)+IFERROR(SUMIF(Nutzungsprofile!$B$6:$B$11,"Individuell",Nutzungsprofile!$G$6:$G$11)*Kalender!E270/SUM(Kalender!$E$5:$E$370),0)),0)</f>
        <v>2.94</v>
      </c>
      <c r="E270" s="13" t="n">
        <f aca="false">IF(Prüfungen!$B$4=0,(IFERROR(SUMIF(Nutzungsprofile!$B$17:$B$22,"Schulbetrieb",Nutzungsprofile!$G$17:$G$22)*Kalender!C270/SUM(Kalender!$C$5:$C$370),0)+IFERROR(SUMIF(Nutzungsprofile!$B$17:$B$22,"Halle",Nutzungsprofile!$G$17:$G$22)*Kalender!D270/SUM(Kalender!$D$5:$D$370),0)+IFERROR(SUMIF(Nutzungsprofile!$B$17:$B$22,"Individuell",Nutzungsprofile!$G$17:$G$22)*Kalender!E270/SUM(Kalender!$E$5:$E$370),0)),0)</f>
        <v>4.94</v>
      </c>
      <c r="F270" s="13" t="n">
        <f aca="false">IFERROR(MIN(D270,Eingaben!$B$17)*Eingaben!$B$16,0)</f>
        <v>2.793</v>
      </c>
      <c r="G270" s="13" t="n">
        <f aca="false">IFERROR(F270*Eingaben!$B$15,0)</f>
        <v>2.5137</v>
      </c>
      <c r="H270" s="13" t="n">
        <f aca="false">IFERROR(Q270*(1-Eingaben!$B$20),0)</f>
        <v>0.7390278</v>
      </c>
      <c r="I270" s="13" t="n">
        <f aca="false">MIN(H270,E270)</f>
        <v>0.7390278</v>
      </c>
      <c r="J270" s="13" t="n">
        <f aca="false">IFERROR(MIN(G270*Eingaben!$B$19,MAX(0,E270-I270)),0)</f>
        <v>1.75959</v>
      </c>
      <c r="K270" s="13" t="n">
        <f aca="false">IFERROR(MIN(Eingaben!$B$18,MAX(0,G270-J270)),0)</f>
        <v>0.75411</v>
      </c>
      <c r="L270" s="13" t="n">
        <f aca="false">I270+J270</f>
        <v>2.4986178</v>
      </c>
      <c r="M270" s="13" t="n">
        <f aca="false">MAX(0,E270-L270)</f>
        <v>2.4413822</v>
      </c>
      <c r="N270" s="13" t="n">
        <f aca="false">MAX(0,G270-J270-K270)</f>
        <v>0</v>
      </c>
      <c r="O270" s="13" t="n">
        <f aca="false">Q270-I270</f>
        <v>0.0150822</v>
      </c>
      <c r="P270" s="13" t="n">
        <f aca="false">G270+Q270-L270-N270-O270-K270</f>
        <v>0</v>
      </c>
      <c r="Q270" s="13" t="n">
        <f aca="false">IF(A270="",0,K269)</f>
        <v>0.75411</v>
      </c>
    </row>
    <row r="271" customFormat="false" ht="16.4" hidden="false" customHeight="false" outlineLevel="0" collapsed="false">
      <c r="A271" s="23" t="n">
        <f aca="false">Kalender!A271</f>
        <v>46289</v>
      </c>
      <c r="B271" s="13" t="n">
        <f aca="false">Kalender!C271</f>
        <v>1</v>
      </c>
      <c r="C271" s="13" t="n">
        <f aca="false">Kalender!D271</f>
        <v>1</v>
      </c>
      <c r="D271" s="13" t="n">
        <f aca="false">IF(Prüfungen!$B$4=0,(IFERROR(SUMIF(Nutzungsprofile!$B$6:$B$11,"Schulbetrieb",Nutzungsprofile!$G$6:$G$11)*Kalender!C271/SUM(Kalender!$C$5:$C$370),0)+IFERROR(SUMIF(Nutzungsprofile!$B$6:$B$11,"Halle",Nutzungsprofile!$G$6:$G$11)*Kalender!D271/SUM(Kalender!$D$5:$D$370),0)+IFERROR(SUMIF(Nutzungsprofile!$B$6:$B$11,"Individuell",Nutzungsprofile!$G$6:$G$11)*Kalender!E271/SUM(Kalender!$E$5:$E$370),0)),0)</f>
        <v>2.94</v>
      </c>
      <c r="E271" s="13" t="n">
        <f aca="false">IF(Prüfungen!$B$4=0,(IFERROR(SUMIF(Nutzungsprofile!$B$17:$B$22,"Schulbetrieb",Nutzungsprofile!$G$17:$G$22)*Kalender!C271/SUM(Kalender!$C$5:$C$370),0)+IFERROR(SUMIF(Nutzungsprofile!$B$17:$B$22,"Halle",Nutzungsprofile!$G$17:$G$22)*Kalender!D271/SUM(Kalender!$D$5:$D$370),0)+IFERROR(SUMIF(Nutzungsprofile!$B$17:$B$22,"Individuell",Nutzungsprofile!$G$17:$G$22)*Kalender!E271/SUM(Kalender!$E$5:$E$370),0)),0)</f>
        <v>4.94</v>
      </c>
      <c r="F271" s="13" t="n">
        <f aca="false">IFERROR(MIN(D271,Eingaben!$B$17)*Eingaben!$B$16,0)</f>
        <v>2.793</v>
      </c>
      <c r="G271" s="13" t="n">
        <f aca="false">IFERROR(F271*Eingaben!$B$15,0)</f>
        <v>2.5137</v>
      </c>
      <c r="H271" s="13" t="n">
        <f aca="false">IFERROR(Q271*(1-Eingaben!$B$20),0)</f>
        <v>0.7390278</v>
      </c>
      <c r="I271" s="13" t="n">
        <f aca="false">MIN(H271,E271)</f>
        <v>0.7390278</v>
      </c>
      <c r="J271" s="13" t="n">
        <f aca="false">IFERROR(MIN(G271*Eingaben!$B$19,MAX(0,E271-I271)),0)</f>
        <v>1.75959</v>
      </c>
      <c r="K271" s="13" t="n">
        <f aca="false">IFERROR(MIN(Eingaben!$B$18,MAX(0,G271-J271)),0)</f>
        <v>0.75411</v>
      </c>
      <c r="L271" s="13" t="n">
        <f aca="false">I271+J271</f>
        <v>2.4986178</v>
      </c>
      <c r="M271" s="13" t="n">
        <f aca="false">MAX(0,E271-L271)</f>
        <v>2.4413822</v>
      </c>
      <c r="N271" s="13" t="n">
        <f aca="false">MAX(0,G271-J271-K271)</f>
        <v>0</v>
      </c>
      <c r="O271" s="13" t="n">
        <f aca="false">Q271-I271</f>
        <v>0.0150822</v>
      </c>
      <c r="P271" s="13" t="n">
        <f aca="false">G271+Q271-L271-N271-O271-K271</f>
        <v>0</v>
      </c>
      <c r="Q271" s="13" t="n">
        <f aca="false">IF(A271="",0,K270)</f>
        <v>0.75411</v>
      </c>
    </row>
    <row r="272" customFormat="false" ht="16.4" hidden="false" customHeight="false" outlineLevel="0" collapsed="false">
      <c r="A272" s="23" t="n">
        <f aca="false">Kalender!A272</f>
        <v>46290</v>
      </c>
      <c r="B272" s="13" t="n">
        <f aca="false">Kalender!C272</f>
        <v>1</v>
      </c>
      <c r="C272" s="13" t="n">
        <f aca="false">Kalender!D272</f>
        <v>1</v>
      </c>
      <c r="D272" s="13" t="n">
        <f aca="false">IF(Prüfungen!$B$4=0,(IFERROR(SUMIF(Nutzungsprofile!$B$6:$B$11,"Schulbetrieb",Nutzungsprofile!$G$6:$G$11)*Kalender!C272/SUM(Kalender!$C$5:$C$370),0)+IFERROR(SUMIF(Nutzungsprofile!$B$6:$B$11,"Halle",Nutzungsprofile!$G$6:$G$11)*Kalender!D272/SUM(Kalender!$D$5:$D$370),0)+IFERROR(SUMIF(Nutzungsprofile!$B$6:$B$11,"Individuell",Nutzungsprofile!$G$6:$G$11)*Kalender!E272/SUM(Kalender!$E$5:$E$370),0)),0)</f>
        <v>2.94</v>
      </c>
      <c r="E272" s="13" t="n">
        <f aca="false">IF(Prüfungen!$B$4=0,(IFERROR(SUMIF(Nutzungsprofile!$B$17:$B$22,"Schulbetrieb",Nutzungsprofile!$G$17:$G$22)*Kalender!C272/SUM(Kalender!$C$5:$C$370),0)+IFERROR(SUMIF(Nutzungsprofile!$B$17:$B$22,"Halle",Nutzungsprofile!$G$17:$G$22)*Kalender!D272/SUM(Kalender!$D$5:$D$370),0)+IFERROR(SUMIF(Nutzungsprofile!$B$17:$B$22,"Individuell",Nutzungsprofile!$G$17:$G$22)*Kalender!E272/SUM(Kalender!$E$5:$E$370),0)),0)</f>
        <v>4.94</v>
      </c>
      <c r="F272" s="13" t="n">
        <f aca="false">IFERROR(MIN(D272,Eingaben!$B$17)*Eingaben!$B$16,0)</f>
        <v>2.793</v>
      </c>
      <c r="G272" s="13" t="n">
        <f aca="false">IFERROR(F272*Eingaben!$B$15,0)</f>
        <v>2.5137</v>
      </c>
      <c r="H272" s="13" t="n">
        <f aca="false">IFERROR(Q272*(1-Eingaben!$B$20),0)</f>
        <v>0.7390278</v>
      </c>
      <c r="I272" s="13" t="n">
        <f aca="false">MIN(H272,E272)</f>
        <v>0.7390278</v>
      </c>
      <c r="J272" s="13" t="n">
        <f aca="false">IFERROR(MIN(G272*Eingaben!$B$19,MAX(0,E272-I272)),0)</f>
        <v>1.75959</v>
      </c>
      <c r="K272" s="13" t="n">
        <f aca="false">IFERROR(MIN(Eingaben!$B$18,MAX(0,G272-J272)),0)</f>
        <v>0.75411</v>
      </c>
      <c r="L272" s="13" t="n">
        <f aca="false">I272+J272</f>
        <v>2.4986178</v>
      </c>
      <c r="M272" s="13" t="n">
        <f aca="false">MAX(0,E272-L272)</f>
        <v>2.4413822</v>
      </c>
      <c r="N272" s="13" t="n">
        <f aca="false">MAX(0,G272-J272-K272)</f>
        <v>0</v>
      </c>
      <c r="O272" s="13" t="n">
        <f aca="false">Q272-I272</f>
        <v>0.0150822</v>
      </c>
      <c r="P272" s="13" t="n">
        <f aca="false">G272+Q272-L272-N272-O272-K272</f>
        <v>0</v>
      </c>
      <c r="Q272" s="13" t="n">
        <f aca="false">IF(A272="",0,K271)</f>
        <v>0.75411</v>
      </c>
    </row>
    <row r="273" customFormat="false" ht="16.4" hidden="false" customHeight="false" outlineLevel="0" collapsed="false">
      <c r="A273" s="23" t="n">
        <f aca="false">Kalender!A273</f>
        <v>46291</v>
      </c>
      <c r="B273" s="13" t="n">
        <f aca="false">Kalender!C273</f>
        <v>0</v>
      </c>
      <c r="C273" s="13" t="n">
        <f aca="false">Kalender!D273</f>
        <v>1</v>
      </c>
      <c r="D273" s="13" t="n">
        <f aca="false">IF(Prüfungen!$B$4=0,(IFERROR(SUMIF(Nutzungsprofile!$B$6:$B$11,"Schulbetrieb",Nutzungsprofile!$G$6:$G$11)*Kalender!C273/SUM(Kalender!$C$5:$C$370),0)+IFERROR(SUMIF(Nutzungsprofile!$B$6:$B$11,"Halle",Nutzungsprofile!$G$6:$G$11)*Kalender!D273/SUM(Kalender!$D$5:$D$370),0)+IFERROR(SUMIF(Nutzungsprofile!$B$6:$B$11,"Individuell",Nutzungsprofile!$G$6:$G$11)*Kalender!E273/SUM(Kalender!$E$5:$E$370),0)),0)</f>
        <v>2.04</v>
      </c>
      <c r="E273" s="13" t="n">
        <f aca="false">IF(Prüfungen!$B$4=0,(IFERROR(SUMIF(Nutzungsprofile!$B$17:$B$22,"Schulbetrieb",Nutzungsprofile!$G$17:$G$22)*Kalender!C273/SUM(Kalender!$C$5:$C$370),0)+IFERROR(SUMIF(Nutzungsprofile!$B$17:$B$22,"Halle",Nutzungsprofile!$G$17:$G$22)*Kalender!D273/SUM(Kalender!$D$5:$D$370),0)+IFERROR(SUMIF(Nutzungsprofile!$B$17:$B$22,"Individuell",Nutzungsprofile!$G$17:$G$22)*Kalender!E273/SUM(Kalender!$E$5:$E$370),0)),0)</f>
        <v>0.89</v>
      </c>
      <c r="F273" s="13" t="n">
        <f aca="false">IFERROR(MIN(D273,Eingaben!$B$17)*Eingaben!$B$16,0)</f>
        <v>1.938</v>
      </c>
      <c r="G273" s="13" t="n">
        <f aca="false">IFERROR(F273*Eingaben!$B$15,0)</f>
        <v>1.7442</v>
      </c>
      <c r="H273" s="13" t="n">
        <f aca="false">IFERROR(Q273*(1-Eingaben!$B$20),0)</f>
        <v>0.7390278</v>
      </c>
      <c r="I273" s="13" t="n">
        <f aca="false">MIN(H273,E273)</f>
        <v>0.7390278</v>
      </c>
      <c r="J273" s="13" t="n">
        <f aca="false">IFERROR(MIN(G273*Eingaben!$B$19,MAX(0,E273-I273)),0)</f>
        <v>0.1509722</v>
      </c>
      <c r="K273" s="13" t="n">
        <f aca="false">IFERROR(MIN(Eingaben!$B$18,MAX(0,G273-J273)),0)</f>
        <v>1.5932278</v>
      </c>
      <c r="L273" s="13" t="n">
        <f aca="false">I273+J273</f>
        <v>0.89</v>
      </c>
      <c r="M273" s="13" t="n">
        <f aca="false">MAX(0,E273-L273)</f>
        <v>0</v>
      </c>
      <c r="N273" s="13" t="n">
        <f aca="false">MAX(0,G273-J273-K273)</f>
        <v>0</v>
      </c>
      <c r="O273" s="13" t="n">
        <f aca="false">Q273-I273</f>
        <v>0.0150822</v>
      </c>
      <c r="P273" s="13" t="n">
        <f aca="false">G273+Q273-L273-N273-O273-K273</f>
        <v>0</v>
      </c>
      <c r="Q273" s="13" t="n">
        <f aca="false">IF(A273="",0,K272)</f>
        <v>0.75411</v>
      </c>
    </row>
    <row r="274" customFormat="false" ht="16.4" hidden="false" customHeight="false" outlineLevel="0" collapsed="false">
      <c r="A274" s="23" t="n">
        <f aca="false">Kalender!A274</f>
        <v>46292</v>
      </c>
      <c r="B274" s="13" t="n">
        <f aca="false">Kalender!C274</f>
        <v>0</v>
      </c>
      <c r="C274" s="13" t="n">
        <f aca="false">Kalender!D274</f>
        <v>1</v>
      </c>
      <c r="D274" s="13" t="n">
        <f aca="false">IF(Prüfungen!$B$4=0,(IFERROR(SUMIF(Nutzungsprofile!$B$6:$B$11,"Schulbetrieb",Nutzungsprofile!$G$6:$G$11)*Kalender!C274/SUM(Kalender!$C$5:$C$370),0)+IFERROR(SUMIF(Nutzungsprofile!$B$6:$B$11,"Halle",Nutzungsprofile!$G$6:$G$11)*Kalender!D274/SUM(Kalender!$D$5:$D$370),0)+IFERROR(SUMIF(Nutzungsprofile!$B$6:$B$11,"Individuell",Nutzungsprofile!$G$6:$G$11)*Kalender!E274/SUM(Kalender!$E$5:$E$370),0)),0)</f>
        <v>2.04</v>
      </c>
      <c r="E274" s="13" t="n">
        <f aca="false">IF(Prüfungen!$B$4=0,(IFERROR(SUMIF(Nutzungsprofile!$B$17:$B$22,"Schulbetrieb",Nutzungsprofile!$G$17:$G$22)*Kalender!C274/SUM(Kalender!$C$5:$C$370),0)+IFERROR(SUMIF(Nutzungsprofile!$B$17:$B$22,"Halle",Nutzungsprofile!$G$17:$G$22)*Kalender!D274/SUM(Kalender!$D$5:$D$370),0)+IFERROR(SUMIF(Nutzungsprofile!$B$17:$B$22,"Individuell",Nutzungsprofile!$G$17:$G$22)*Kalender!E274/SUM(Kalender!$E$5:$E$370),0)),0)</f>
        <v>0.89</v>
      </c>
      <c r="F274" s="13" t="n">
        <f aca="false">IFERROR(MIN(D274,Eingaben!$B$17)*Eingaben!$B$16,0)</f>
        <v>1.938</v>
      </c>
      <c r="G274" s="13" t="n">
        <f aca="false">IFERROR(F274*Eingaben!$B$15,0)</f>
        <v>1.7442</v>
      </c>
      <c r="H274" s="13" t="n">
        <f aca="false">IFERROR(Q274*(1-Eingaben!$B$20),0)</f>
        <v>1.561363244</v>
      </c>
      <c r="I274" s="13" t="n">
        <f aca="false">MIN(H274,E274)</f>
        <v>0.89</v>
      </c>
      <c r="J274" s="13" t="n">
        <f aca="false">IFERROR(MIN(G274*Eingaben!$B$19,MAX(0,E274-I274)),0)</f>
        <v>0</v>
      </c>
      <c r="K274" s="13" t="n">
        <f aca="false">IFERROR(MIN(Eingaben!$B$18,MAX(0,G274-J274)),0)</f>
        <v>1.7442</v>
      </c>
      <c r="L274" s="13" t="n">
        <f aca="false">I274+J274</f>
        <v>0.89</v>
      </c>
      <c r="M274" s="13" t="n">
        <f aca="false">MAX(0,E274-L274)</f>
        <v>0</v>
      </c>
      <c r="N274" s="13" t="n">
        <f aca="false">MAX(0,G274-J274-K274)</f>
        <v>0</v>
      </c>
      <c r="O274" s="13" t="n">
        <f aca="false">Q274-I274</f>
        <v>0.7032278</v>
      </c>
      <c r="P274" s="13" t="n">
        <f aca="false">G274+Q274-L274-N274-O274-K274</f>
        <v>0</v>
      </c>
      <c r="Q274" s="13" t="n">
        <f aca="false">IF(A274="",0,K273)</f>
        <v>1.5932278</v>
      </c>
    </row>
    <row r="275" customFormat="false" ht="16.4" hidden="false" customHeight="false" outlineLevel="0" collapsed="false">
      <c r="A275" s="23" t="n">
        <f aca="false">Kalender!A275</f>
        <v>46293</v>
      </c>
      <c r="B275" s="13" t="n">
        <f aca="false">Kalender!C275</f>
        <v>1</v>
      </c>
      <c r="C275" s="13" t="n">
        <f aca="false">Kalender!D275</f>
        <v>1</v>
      </c>
      <c r="D275" s="13" t="n">
        <f aca="false">IF(Prüfungen!$B$4=0,(IFERROR(SUMIF(Nutzungsprofile!$B$6:$B$11,"Schulbetrieb",Nutzungsprofile!$G$6:$G$11)*Kalender!C275/SUM(Kalender!$C$5:$C$370),0)+IFERROR(SUMIF(Nutzungsprofile!$B$6:$B$11,"Halle",Nutzungsprofile!$G$6:$G$11)*Kalender!D275/SUM(Kalender!$D$5:$D$370),0)+IFERROR(SUMIF(Nutzungsprofile!$B$6:$B$11,"Individuell",Nutzungsprofile!$G$6:$G$11)*Kalender!E275/SUM(Kalender!$E$5:$E$370),0)),0)</f>
        <v>2.94</v>
      </c>
      <c r="E275" s="13" t="n">
        <f aca="false">IF(Prüfungen!$B$4=0,(IFERROR(SUMIF(Nutzungsprofile!$B$17:$B$22,"Schulbetrieb",Nutzungsprofile!$G$17:$G$22)*Kalender!C275/SUM(Kalender!$C$5:$C$370),0)+IFERROR(SUMIF(Nutzungsprofile!$B$17:$B$22,"Halle",Nutzungsprofile!$G$17:$G$22)*Kalender!D275/SUM(Kalender!$D$5:$D$370),0)+IFERROR(SUMIF(Nutzungsprofile!$B$17:$B$22,"Individuell",Nutzungsprofile!$G$17:$G$22)*Kalender!E275/SUM(Kalender!$E$5:$E$370),0)),0)</f>
        <v>4.94</v>
      </c>
      <c r="F275" s="13" t="n">
        <f aca="false">IFERROR(MIN(D275,Eingaben!$B$17)*Eingaben!$B$16,0)</f>
        <v>2.793</v>
      </c>
      <c r="G275" s="13" t="n">
        <f aca="false">IFERROR(F275*Eingaben!$B$15,0)</f>
        <v>2.5137</v>
      </c>
      <c r="H275" s="13" t="n">
        <f aca="false">IFERROR(Q275*(1-Eingaben!$B$20),0)</f>
        <v>1.709316</v>
      </c>
      <c r="I275" s="13" t="n">
        <f aca="false">MIN(H275,E275)</f>
        <v>1.709316</v>
      </c>
      <c r="J275" s="13" t="n">
        <f aca="false">IFERROR(MIN(G275*Eingaben!$B$19,MAX(0,E275-I275)),0)</f>
        <v>1.75959</v>
      </c>
      <c r="K275" s="13" t="n">
        <f aca="false">IFERROR(MIN(Eingaben!$B$18,MAX(0,G275-J275)),0)</f>
        <v>0.75411</v>
      </c>
      <c r="L275" s="13" t="n">
        <f aca="false">I275+J275</f>
        <v>3.468906</v>
      </c>
      <c r="M275" s="13" t="n">
        <f aca="false">MAX(0,E275-L275)</f>
        <v>1.471094</v>
      </c>
      <c r="N275" s="13" t="n">
        <f aca="false">MAX(0,G275-J275-K275)</f>
        <v>0</v>
      </c>
      <c r="O275" s="13" t="n">
        <f aca="false">Q275-I275</f>
        <v>0.0348840000000001</v>
      </c>
      <c r="P275" s="13" t="n">
        <f aca="false">G275+Q275-L275-N275-O275-K275</f>
        <v>0</v>
      </c>
      <c r="Q275" s="13" t="n">
        <f aca="false">IF(A275="",0,K274)</f>
        <v>1.7442</v>
      </c>
    </row>
    <row r="276" customFormat="false" ht="16.4" hidden="false" customHeight="false" outlineLevel="0" collapsed="false">
      <c r="A276" s="23" t="n">
        <f aca="false">Kalender!A276</f>
        <v>46294</v>
      </c>
      <c r="B276" s="13" t="n">
        <f aca="false">Kalender!C276</f>
        <v>1</v>
      </c>
      <c r="C276" s="13" t="n">
        <f aca="false">Kalender!D276</f>
        <v>1</v>
      </c>
      <c r="D276" s="13" t="n">
        <f aca="false">IF(Prüfungen!$B$4=0,(IFERROR(SUMIF(Nutzungsprofile!$B$6:$B$11,"Schulbetrieb",Nutzungsprofile!$G$6:$G$11)*Kalender!C276/SUM(Kalender!$C$5:$C$370),0)+IFERROR(SUMIF(Nutzungsprofile!$B$6:$B$11,"Halle",Nutzungsprofile!$G$6:$G$11)*Kalender!D276/SUM(Kalender!$D$5:$D$370),0)+IFERROR(SUMIF(Nutzungsprofile!$B$6:$B$11,"Individuell",Nutzungsprofile!$G$6:$G$11)*Kalender!E276/SUM(Kalender!$E$5:$E$370),0)),0)</f>
        <v>2.94</v>
      </c>
      <c r="E276" s="13" t="n">
        <f aca="false">IF(Prüfungen!$B$4=0,(IFERROR(SUMIF(Nutzungsprofile!$B$17:$B$22,"Schulbetrieb",Nutzungsprofile!$G$17:$G$22)*Kalender!C276/SUM(Kalender!$C$5:$C$370),0)+IFERROR(SUMIF(Nutzungsprofile!$B$17:$B$22,"Halle",Nutzungsprofile!$G$17:$G$22)*Kalender!D276/SUM(Kalender!$D$5:$D$370),0)+IFERROR(SUMIF(Nutzungsprofile!$B$17:$B$22,"Individuell",Nutzungsprofile!$G$17:$G$22)*Kalender!E276/SUM(Kalender!$E$5:$E$370),0)),0)</f>
        <v>4.94</v>
      </c>
      <c r="F276" s="13" t="n">
        <f aca="false">IFERROR(MIN(D276,Eingaben!$B$17)*Eingaben!$B$16,0)</f>
        <v>2.793</v>
      </c>
      <c r="G276" s="13" t="n">
        <f aca="false">IFERROR(F276*Eingaben!$B$15,0)</f>
        <v>2.5137</v>
      </c>
      <c r="H276" s="13" t="n">
        <f aca="false">IFERROR(Q276*(1-Eingaben!$B$20),0)</f>
        <v>0.7390278</v>
      </c>
      <c r="I276" s="13" t="n">
        <f aca="false">MIN(H276,E276)</f>
        <v>0.7390278</v>
      </c>
      <c r="J276" s="13" t="n">
        <f aca="false">IFERROR(MIN(G276*Eingaben!$B$19,MAX(0,E276-I276)),0)</f>
        <v>1.75959</v>
      </c>
      <c r="K276" s="13" t="n">
        <f aca="false">IFERROR(MIN(Eingaben!$B$18,MAX(0,G276-J276)),0)</f>
        <v>0.75411</v>
      </c>
      <c r="L276" s="13" t="n">
        <f aca="false">I276+J276</f>
        <v>2.4986178</v>
      </c>
      <c r="M276" s="13" t="n">
        <f aca="false">MAX(0,E276-L276)</f>
        <v>2.4413822</v>
      </c>
      <c r="N276" s="13" t="n">
        <f aca="false">MAX(0,G276-J276-K276)</f>
        <v>0</v>
      </c>
      <c r="O276" s="13" t="n">
        <f aca="false">Q276-I276</f>
        <v>0.0150822</v>
      </c>
      <c r="P276" s="13" t="n">
        <f aca="false">G276+Q276-L276-N276-O276-K276</f>
        <v>0</v>
      </c>
      <c r="Q276" s="13" t="n">
        <f aca="false">IF(A276="",0,K275)</f>
        <v>0.75411</v>
      </c>
    </row>
    <row r="277" customFormat="false" ht="16.4" hidden="false" customHeight="false" outlineLevel="0" collapsed="false">
      <c r="A277" s="23" t="n">
        <f aca="false">Kalender!A277</f>
        <v>46295</v>
      </c>
      <c r="B277" s="13" t="n">
        <f aca="false">Kalender!C277</f>
        <v>1</v>
      </c>
      <c r="C277" s="13" t="n">
        <f aca="false">Kalender!D277</f>
        <v>1</v>
      </c>
      <c r="D277" s="13" t="n">
        <f aca="false">IF(Prüfungen!$B$4=0,(IFERROR(SUMIF(Nutzungsprofile!$B$6:$B$11,"Schulbetrieb",Nutzungsprofile!$G$6:$G$11)*Kalender!C277/SUM(Kalender!$C$5:$C$370),0)+IFERROR(SUMIF(Nutzungsprofile!$B$6:$B$11,"Halle",Nutzungsprofile!$G$6:$G$11)*Kalender!D277/SUM(Kalender!$D$5:$D$370),0)+IFERROR(SUMIF(Nutzungsprofile!$B$6:$B$11,"Individuell",Nutzungsprofile!$G$6:$G$11)*Kalender!E277/SUM(Kalender!$E$5:$E$370),0)),0)</f>
        <v>2.94</v>
      </c>
      <c r="E277" s="13" t="n">
        <f aca="false">IF(Prüfungen!$B$4=0,(IFERROR(SUMIF(Nutzungsprofile!$B$17:$B$22,"Schulbetrieb",Nutzungsprofile!$G$17:$G$22)*Kalender!C277/SUM(Kalender!$C$5:$C$370),0)+IFERROR(SUMIF(Nutzungsprofile!$B$17:$B$22,"Halle",Nutzungsprofile!$G$17:$G$22)*Kalender!D277/SUM(Kalender!$D$5:$D$370),0)+IFERROR(SUMIF(Nutzungsprofile!$B$17:$B$22,"Individuell",Nutzungsprofile!$G$17:$G$22)*Kalender!E277/SUM(Kalender!$E$5:$E$370),0)),0)</f>
        <v>4.94</v>
      </c>
      <c r="F277" s="13" t="n">
        <f aca="false">IFERROR(MIN(D277,Eingaben!$B$17)*Eingaben!$B$16,0)</f>
        <v>2.793</v>
      </c>
      <c r="G277" s="13" t="n">
        <f aca="false">IFERROR(F277*Eingaben!$B$15,0)</f>
        <v>2.5137</v>
      </c>
      <c r="H277" s="13" t="n">
        <f aca="false">IFERROR(Q277*(1-Eingaben!$B$20),0)</f>
        <v>0.7390278</v>
      </c>
      <c r="I277" s="13" t="n">
        <f aca="false">MIN(H277,E277)</f>
        <v>0.7390278</v>
      </c>
      <c r="J277" s="13" t="n">
        <f aca="false">IFERROR(MIN(G277*Eingaben!$B$19,MAX(0,E277-I277)),0)</f>
        <v>1.75959</v>
      </c>
      <c r="K277" s="13" t="n">
        <f aca="false">IFERROR(MIN(Eingaben!$B$18,MAX(0,G277-J277)),0)</f>
        <v>0.75411</v>
      </c>
      <c r="L277" s="13" t="n">
        <f aca="false">I277+J277</f>
        <v>2.4986178</v>
      </c>
      <c r="M277" s="13" t="n">
        <f aca="false">MAX(0,E277-L277)</f>
        <v>2.4413822</v>
      </c>
      <c r="N277" s="13" t="n">
        <f aca="false">MAX(0,G277-J277-K277)</f>
        <v>0</v>
      </c>
      <c r="O277" s="13" t="n">
        <f aca="false">Q277-I277</f>
        <v>0.0150822</v>
      </c>
      <c r="P277" s="13" t="n">
        <f aca="false">G277+Q277-L277-N277-O277-K277</f>
        <v>0</v>
      </c>
      <c r="Q277" s="13" t="n">
        <f aca="false">IF(A277="",0,K276)</f>
        <v>0.75411</v>
      </c>
    </row>
    <row r="278" customFormat="false" ht="16.4" hidden="false" customHeight="false" outlineLevel="0" collapsed="false">
      <c r="A278" s="23" t="n">
        <f aca="false">Kalender!A278</f>
        <v>46296</v>
      </c>
      <c r="B278" s="13" t="n">
        <f aca="false">Kalender!C278</f>
        <v>1</v>
      </c>
      <c r="C278" s="13" t="n">
        <f aca="false">Kalender!D278</f>
        <v>1</v>
      </c>
      <c r="D278" s="13" t="n">
        <f aca="false">IF(Prüfungen!$B$4=0,(IFERROR(SUMIF(Nutzungsprofile!$B$6:$B$11,"Schulbetrieb",Nutzungsprofile!$G$6:$G$11)*Kalender!C278/SUM(Kalender!$C$5:$C$370),0)+IFERROR(SUMIF(Nutzungsprofile!$B$6:$B$11,"Halle",Nutzungsprofile!$G$6:$G$11)*Kalender!D278/SUM(Kalender!$D$5:$D$370),0)+IFERROR(SUMIF(Nutzungsprofile!$B$6:$B$11,"Individuell",Nutzungsprofile!$G$6:$G$11)*Kalender!E278/SUM(Kalender!$E$5:$E$370),0)),0)</f>
        <v>2.94</v>
      </c>
      <c r="E278" s="13" t="n">
        <f aca="false">IF(Prüfungen!$B$4=0,(IFERROR(SUMIF(Nutzungsprofile!$B$17:$B$22,"Schulbetrieb",Nutzungsprofile!$G$17:$G$22)*Kalender!C278/SUM(Kalender!$C$5:$C$370),0)+IFERROR(SUMIF(Nutzungsprofile!$B$17:$B$22,"Halle",Nutzungsprofile!$G$17:$G$22)*Kalender!D278/SUM(Kalender!$D$5:$D$370),0)+IFERROR(SUMIF(Nutzungsprofile!$B$17:$B$22,"Individuell",Nutzungsprofile!$G$17:$G$22)*Kalender!E278/SUM(Kalender!$E$5:$E$370),0)),0)</f>
        <v>4.94</v>
      </c>
      <c r="F278" s="13" t="n">
        <f aca="false">IFERROR(MIN(D278,Eingaben!$B$17)*Eingaben!$B$16,0)</f>
        <v>2.793</v>
      </c>
      <c r="G278" s="13" t="n">
        <f aca="false">IFERROR(F278*Eingaben!$B$15,0)</f>
        <v>2.5137</v>
      </c>
      <c r="H278" s="13" t="n">
        <f aca="false">IFERROR(Q278*(1-Eingaben!$B$20),0)</f>
        <v>0.7390278</v>
      </c>
      <c r="I278" s="13" t="n">
        <f aca="false">MIN(H278,E278)</f>
        <v>0.7390278</v>
      </c>
      <c r="J278" s="13" t="n">
        <f aca="false">IFERROR(MIN(G278*Eingaben!$B$19,MAX(0,E278-I278)),0)</f>
        <v>1.75959</v>
      </c>
      <c r="K278" s="13" t="n">
        <f aca="false">IFERROR(MIN(Eingaben!$B$18,MAX(0,G278-J278)),0)</f>
        <v>0.75411</v>
      </c>
      <c r="L278" s="13" t="n">
        <f aca="false">I278+J278</f>
        <v>2.4986178</v>
      </c>
      <c r="M278" s="13" t="n">
        <f aca="false">MAX(0,E278-L278)</f>
        <v>2.4413822</v>
      </c>
      <c r="N278" s="13" t="n">
        <f aca="false">MAX(0,G278-J278-K278)</f>
        <v>0</v>
      </c>
      <c r="O278" s="13" t="n">
        <f aca="false">Q278-I278</f>
        <v>0.0150822</v>
      </c>
      <c r="P278" s="13" t="n">
        <f aca="false">G278+Q278-L278-N278-O278-K278</f>
        <v>0</v>
      </c>
      <c r="Q278" s="13" t="n">
        <f aca="false">IF(A278="",0,K277)</f>
        <v>0.75411</v>
      </c>
    </row>
    <row r="279" customFormat="false" ht="16.4" hidden="false" customHeight="false" outlineLevel="0" collapsed="false">
      <c r="A279" s="23" t="n">
        <f aca="false">Kalender!A279</f>
        <v>46297</v>
      </c>
      <c r="B279" s="13" t="n">
        <f aca="false">Kalender!C279</f>
        <v>1</v>
      </c>
      <c r="C279" s="13" t="n">
        <f aca="false">Kalender!D279</f>
        <v>1</v>
      </c>
      <c r="D279" s="13" t="n">
        <f aca="false">IF(Prüfungen!$B$4=0,(IFERROR(SUMIF(Nutzungsprofile!$B$6:$B$11,"Schulbetrieb",Nutzungsprofile!$G$6:$G$11)*Kalender!C279/SUM(Kalender!$C$5:$C$370),0)+IFERROR(SUMIF(Nutzungsprofile!$B$6:$B$11,"Halle",Nutzungsprofile!$G$6:$G$11)*Kalender!D279/SUM(Kalender!$D$5:$D$370),0)+IFERROR(SUMIF(Nutzungsprofile!$B$6:$B$11,"Individuell",Nutzungsprofile!$G$6:$G$11)*Kalender!E279/SUM(Kalender!$E$5:$E$370),0)),0)</f>
        <v>2.94</v>
      </c>
      <c r="E279" s="13" t="n">
        <f aca="false">IF(Prüfungen!$B$4=0,(IFERROR(SUMIF(Nutzungsprofile!$B$17:$B$22,"Schulbetrieb",Nutzungsprofile!$G$17:$G$22)*Kalender!C279/SUM(Kalender!$C$5:$C$370),0)+IFERROR(SUMIF(Nutzungsprofile!$B$17:$B$22,"Halle",Nutzungsprofile!$G$17:$G$22)*Kalender!D279/SUM(Kalender!$D$5:$D$370),0)+IFERROR(SUMIF(Nutzungsprofile!$B$17:$B$22,"Individuell",Nutzungsprofile!$G$17:$G$22)*Kalender!E279/SUM(Kalender!$E$5:$E$370),0)),0)</f>
        <v>4.94</v>
      </c>
      <c r="F279" s="13" t="n">
        <f aca="false">IFERROR(MIN(D279,Eingaben!$B$17)*Eingaben!$B$16,0)</f>
        <v>2.793</v>
      </c>
      <c r="G279" s="13" t="n">
        <f aca="false">IFERROR(F279*Eingaben!$B$15,0)</f>
        <v>2.5137</v>
      </c>
      <c r="H279" s="13" t="n">
        <f aca="false">IFERROR(Q279*(1-Eingaben!$B$20),0)</f>
        <v>0.7390278</v>
      </c>
      <c r="I279" s="13" t="n">
        <f aca="false">MIN(H279,E279)</f>
        <v>0.7390278</v>
      </c>
      <c r="J279" s="13" t="n">
        <f aca="false">IFERROR(MIN(G279*Eingaben!$B$19,MAX(0,E279-I279)),0)</f>
        <v>1.75959</v>
      </c>
      <c r="K279" s="13" t="n">
        <f aca="false">IFERROR(MIN(Eingaben!$B$18,MAX(0,G279-J279)),0)</f>
        <v>0.75411</v>
      </c>
      <c r="L279" s="13" t="n">
        <f aca="false">I279+J279</f>
        <v>2.4986178</v>
      </c>
      <c r="M279" s="13" t="n">
        <f aca="false">MAX(0,E279-L279)</f>
        <v>2.4413822</v>
      </c>
      <c r="N279" s="13" t="n">
        <f aca="false">MAX(0,G279-J279-K279)</f>
        <v>0</v>
      </c>
      <c r="O279" s="13" t="n">
        <f aca="false">Q279-I279</f>
        <v>0.0150822</v>
      </c>
      <c r="P279" s="13" t="n">
        <f aca="false">G279+Q279-L279-N279-O279-K279</f>
        <v>0</v>
      </c>
      <c r="Q279" s="13" t="n">
        <f aca="false">IF(A279="",0,K278)</f>
        <v>0.75411</v>
      </c>
    </row>
    <row r="280" customFormat="false" ht="16.4" hidden="false" customHeight="false" outlineLevel="0" collapsed="false">
      <c r="A280" s="23" t="n">
        <f aca="false">Kalender!A280</f>
        <v>46298</v>
      </c>
      <c r="B280" s="13" t="n">
        <f aca="false">Kalender!C280</f>
        <v>0</v>
      </c>
      <c r="C280" s="13" t="n">
        <f aca="false">Kalender!D280</f>
        <v>1</v>
      </c>
      <c r="D280" s="13" t="n">
        <f aca="false">IF(Prüfungen!$B$4=0,(IFERROR(SUMIF(Nutzungsprofile!$B$6:$B$11,"Schulbetrieb",Nutzungsprofile!$G$6:$G$11)*Kalender!C280/SUM(Kalender!$C$5:$C$370),0)+IFERROR(SUMIF(Nutzungsprofile!$B$6:$B$11,"Halle",Nutzungsprofile!$G$6:$G$11)*Kalender!D280/SUM(Kalender!$D$5:$D$370),0)+IFERROR(SUMIF(Nutzungsprofile!$B$6:$B$11,"Individuell",Nutzungsprofile!$G$6:$G$11)*Kalender!E280/SUM(Kalender!$E$5:$E$370),0)),0)</f>
        <v>2.04</v>
      </c>
      <c r="E280" s="13" t="n">
        <f aca="false">IF(Prüfungen!$B$4=0,(IFERROR(SUMIF(Nutzungsprofile!$B$17:$B$22,"Schulbetrieb",Nutzungsprofile!$G$17:$G$22)*Kalender!C280/SUM(Kalender!$C$5:$C$370),0)+IFERROR(SUMIF(Nutzungsprofile!$B$17:$B$22,"Halle",Nutzungsprofile!$G$17:$G$22)*Kalender!D280/SUM(Kalender!$D$5:$D$370),0)+IFERROR(SUMIF(Nutzungsprofile!$B$17:$B$22,"Individuell",Nutzungsprofile!$G$17:$G$22)*Kalender!E280/SUM(Kalender!$E$5:$E$370),0)),0)</f>
        <v>0.89</v>
      </c>
      <c r="F280" s="13" t="n">
        <f aca="false">IFERROR(MIN(D280,Eingaben!$B$17)*Eingaben!$B$16,0)</f>
        <v>1.938</v>
      </c>
      <c r="G280" s="13" t="n">
        <f aca="false">IFERROR(F280*Eingaben!$B$15,0)</f>
        <v>1.7442</v>
      </c>
      <c r="H280" s="13" t="n">
        <f aca="false">IFERROR(Q280*(1-Eingaben!$B$20),0)</f>
        <v>0.7390278</v>
      </c>
      <c r="I280" s="13" t="n">
        <f aca="false">MIN(H280,E280)</f>
        <v>0.7390278</v>
      </c>
      <c r="J280" s="13" t="n">
        <f aca="false">IFERROR(MIN(G280*Eingaben!$B$19,MAX(0,E280-I280)),0)</f>
        <v>0.1509722</v>
      </c>
      <c r="K280" s="13" t="n">
        <f aca="false">IFERROR(MIN(Eingaben!$B$18,MAX(0,G280-J280)),0)</f>
        <v>1.5932278</v>
      </c>
      <c r="L280" s="13" t="n">
        <f aca="false">I280+J280</f>
        <v>0.89</v>
      </c>
      <c r="M280" s="13" t="n">
        <f aca="false">MAX(0,E280-L280)</f>
        <v>0</v>
      </c>
      <c r="N280" s="13" t="n">
        <f aca="false">MAX(0,G280-J280-K280)</f>
        <v>0</v>
      </c>
      <c r="O280" s="13" t="n">
        <f aca="false">Q280-I280</f>
        <v>0.0150822</v>
      </c>
      <c r="P280" s="13" t="n">
        <f aca="false">G280+Q280-L280-N280-O280-K280</f>
        <v>0</v>
      </c>
      <c r="Q280" s="13" t="n">
        <f aca="false">IF(A280="",0,K279)</f>
        <v>0.75411</v>
      </c>
    </row>
    <row r="281" customFormat="false" ht="16.4" hidden="false" customHeight="false" outlineLevel="0" collapsed="false">
      <c r="A281" s="23" t="n">
        <f aca="false">Kalender!A281</f>
        <v>46299</v>
      </c>
      <c r="B281" s="13" t="n">
        <f aca="false">Kalender!C281</f>
        <v>0</v>
      </c>
      <c r="C281" s="13" t="n">
        <f aca="false">Kalender!D281</f>
        <v>1</v>
      </c>
      <c r="D281" s="13" t="n">
        <f aca="false">IF(Prüfungen!$B$4=0,(IFERROR(SUMIF(Nutzungsprofile!$B$6:$B$11,"Schulbetrieb",Nutzungsprofile!$G$6:$G$11)*Kalender!C281/SUM(Kalender!$C$5:$C$370),0)+IFERROR(SUMIF(Nutzungsprofile!$B$6:$B$11,"Halle",Nutzungsprofile!$G$6:$G$11)*Kalender!D281/SUM(Kalender!$D$5:$D$370),0)+IFERROR(SUMIF(Nutzungsprofile!$B$6:$B$11,"Individuell",Nutzungsprofile!$G$6:$G$11)*Kalender!E281/SUM(Kalender!$E$5:$E$370),0)),0)</f>
        <v>2.04</v>
      </c>
      <c r="E281" s="13" t="n">
        <f aca="false">IF(Prüfungen!$B$4=0,(IFERROR(SUMIF(Nutzungsprofile!$B$17:$B$22,"Schulbetrieb",Nutzungsprofile!$G$17:$G$22)*Kalender!C281/SUM(Kalender!$C$5:$C$370),0)+IFERROR(SUMIF(Nutzungsprofile!$B$17:$B$22,"Halle",Nutzungsprofile!$G$17:$G$22)*Kalender!D281/SUM(Kalender!$D$5:$D$370),0)+IFERROR(SUMIF(Nutzungsprofile!$B$17:$B$22,"Individuell",Nutzungsprofile!$G$17:$G$22)*Kalender!E281/SUM(Kalender!$E$5:$E$370),0)),0)</f>
        <v>0.89</v>
      </c>
      <c r="F281" s="13" t="n">
        <f aca="false">IFERROR(MIN(D281,Eingaben!$B$17)*Eingaben!$B$16,0)</f>
        <v>1.938</v>
      </c>
      <c r="G281" s="13" t="n">
        <f aca="false">IFERROR(F281*Eingaben!$B$15,0)</f>
        <v>1.7442</v>
      </c>
      <c r="H281" s="13" t="n">
        <f aca="false">IFERROR(Q281*(1-Eingaben!$B$20),0)</f>
        <v>1.561363244</v>
      </c>
      <c r="I281" s="13" t="n">
        <f aca="false">MIN(H281,E281)</f>
        <v>0.89</v>
      </c>
      <c r="J281" s="13" t="n">
        <f aca="false">IFERROR(MIN(G281*Eingaben!$B$19,MAX(0,E281-I281)),0)</f>
        <v>0</v>
      </c>
      <c r="K281" s="13" t="n">
        <f aca="false">IFERROR(MIN(Eingaben!$B$18,MAX(0,G281-J281)),0)</f>
        <v>1.7442</v>
      </c>
      <c r="L281" s="13" t="n">
        <f aca="false">I281+J281</f>
        <v>0.89</v>
      </c>
      <c r="M281" s="13" t="n">
        <f aca="false">MAX(0,E281-L281)</f>
        <v>0</v>
      </c>
      <c r="N281" s="13" t="n">
        <f aca="false">MAX(0,G281-J281-K281)</f>
        <v>0</v>
      </c>
      <c r="O281" s="13" t="n">
        <f aca="false">Q281-I281</f>
        <v>0.7032278</v>
      </c>
      <c r="P281" s="13" t="n">
        <f aca="false">G281+Q281-L281-N281-O281-K281</f>
        <v>0</v>
      </c>
      <c r="Q281" s="13" t="n">
        <f aca="false">IF(A281="",0,K280)</f>
        <v>1.5932278</v>
      </c>
    </row>
    <row r="282" customFormat="false" ht="16.4" hidden="false" customHeight="false" outlineLevel="0" collapsed="false">
      <c r="A282" s="23" t="n">
        <f aca="false">Kalender!A282</f>
        <v>46300</v>
      </c>
      <c r="B282" s="13" t="n">
        <f aca="false">Kalender!C282</f>
        <v>1</v>
      </c>
      <c r="C282" s="13" t="n">
        <f aca="false">Kalender!D282</f>
        <v>1</v>
      </c>
      <c r="D282" s="13" t="n">
        <f aca="false">IF(Prüfungen!$B$4=0,(IFERROR(SUMIF(Nutzungsprofile!$B$6:$B$11,"Schulbetrieb",Nutzungsprofile!$G$6:$G$11)*Kalender!C282/SUM(Kalender!$C$5:$C$370),0)+IFERROR(SUMIF(Nutzungsprofile!$B$6:$B$11,"Halle",Nutzungsprofile!$G$6:$G$11)*Kalender!D282/SUM(Kalender!$D$5:$D$370),0)+IFERROR(SUMIF(Nutzungsprofile!$B$6:$B$11,"Individuell",Nutzungsprofile!$G$6:$G$11)*Kalender!E282/SUM(Kalender!$E$5:$E$370),0)),0)</f>
        <v>2.94</v>
      </c>
      <c r="E282" s="13" t="n">
        <f aca="false">IF(Prüfungen!$B$4=0,(IFERROR(SUMIF(Nutzungsprofile!$B$17:$B$22,"Schulbetrieb",Nutzungsprofile!$G$17:$G$22)*Kalender!C282/SUM(Kalender!$C$5:$C$370),0)+IFERROR(SUMIF(Nutzungsprofile!$B$17:$B$22,"Halle",Nutzungsprofile!$G$17:$G$22)*Kalender!D282/SUM(Kalender!$D$5:$D$370),0)+IFERROR(SUMIF(Nutzungsprofile!$B$17:$B$22,"Individuell",Nutzungsprofile!$G$17:$G$22)*Kalender!E282/SUM(Kalender!$E$5:$E$370),0)),0)</f>
        <v>4.94</v>
      </c>
      <c r="F282" s="13" t="n">
        <f aca="false">IFERROR(MIN(D282,Eingaben!$B$17)*Eingaben!$B$16,0)</f>
        <v>2.793</v>
      </c>
      <c r="G282" s="13" t="n">
        <f aca="false">IFERROR(F282*Eingaben!$B$15,0)</f>
        <v>2.5137</v>
      </c>
      <c r="H282" s="13" t="n">
        <f aca="false">IFERROR(Q282*(1-Eingaben!$B$20),0)</f>
        <v>1.709316</v>
      </c>
      <c r="I282" s="13" t="n">
        <f aca="false">MIN(H282,E282)</f>
        <v>1.709316</v>
      </c>
      <c r="J282" s="13" t="n">
        <f aca="false">IFERROR(MIN(G282*Eingaben!$B$19,MAX(0,E282-I282)),0)</f>
        <v>1.75959</v>
      </c>
      <c r="K282" s="13" t="n">
        <f aca="false">IFERROR(MIN(Eingaben!$B$18,MAX(0,G282-J282)),0)</f>
        <v>0.75411</v>
      </c>
      <c r="L282" s="13" t="n">
        <f aca="false">I282+J282</f>
        <v>3.468906</v>
      </c>
      <c r="M282" s="13" t="n">
        <f aca="false">MAX(0,E282-L282)</f>
        <v>1.471094</v>
      </c>
      <c r="N282" s="13" t="n">
        <f aca="false">MAX(0,G282-J282-K282)</f>
        <v>0</v>
      </c>
      <c r="O282" s="13" t="n">
        <f aca="false">Q282-I282</f>
        <v>0.0348840000000001</v>
      </c>
      <c r="P282" s="13" t="n">
        <f aca="false">G282+Q282-L282-N282-O282-K282</f>
        <v>0</v>
      </c>
      <c r="Q282" s="13" t="n">
        <f aca="false">IF(A282="",0,K281)</f>
        <v>1.7442</v>
      </c>
    </row>
    <row r="283" customFormat="false" ht="16.4" hidden="false" customHeight="false" outlineLevel="0" collapsed="false">
      <c r="A283" s="23" t="n">
        <f aca="false">Kalender!A283</f>
        <v>46301</v>
      </c>
      <c r="B283" s="13" t="n">
        <f aca="false">Kalender!C283</f>
        <v>1</v>
      </c>
      <c r="C283" s="13" t="n">
        <f aca="false">Kalender!D283</f>
        <v>1</v>
      </c>
      <c r="D283" s="13" t="n">
        <f aca="false">IF(Prüfungen!$B$4=0,(IFERROR(SUMIF(Nutzungsprofile!$B$6:$B$11,"Schulbetrieb",Nutzungsprofile!$G$6:$G$11)*Kalender!C283/SUM(Kalender!$C$5:$C$370),0)+IFERROR(SUMIF(Nutzungsprofile!$B$6:$B$11,"Halle",Nutzungsprofile!$G$6:$G$11)*Kalender!D283/SUM(Kalender!$D$5:$D$370),0)+IFERROR(SUMIF(Nutzungsprofile!$B$6:$B$11,"Individuell",Nutzungsprofile!$G$6:$G$11)*Kalender!E283/SUM(Kalender!$E$5:$E$370),0)),0)</f>
        <v>2.94</v>
      </c>
      <c r="E283" s="13" t="n">
        <f aca="false">IF(Prüfungen!$B$4=0,(IFERROR(SUMIF(Nutzungsprofile!$B$17:$B$22,"Schulbetrieb",Nutzungsprofile!$G$17:$G$22)*Kalender!C283/SUM(Kalender!$C$5:$C$370),0)+IFERROR(SUMIF(Nutzungsprofile!$B$17:$B$22,"Halle",Nutzungsprofile!$G$17:$G$22)*Kalender!D283/SUM(Kalender!$D$5:$D$370),0)+IFERROR(SUMIF(Nutzungsprofile!$B$17:$B$22,"Individuell",Nutzungsprofile!$G$17:$G$22)*Kalender!E283/SUM(Kalender!$E$5:$E$370),0)),0)</f>
        <v>4.94</v>
      </c>
      <c r="F283" s="13" t="n">
        <f aca="false">IFERROR(MIN(D283,Eingaben!$B$17)*Eingaben!$B$16,0)</f>
        <v>2.793</v>
      </c>
      <c r="G283" s="13" t="n">
        <f aca="false">IFERROR(F283*Eingaben!$B$15,0)</f>
        <v>2.5137</v>
      </c>
      <c r="H283" s="13" t="n">
        <f aca="false">IFERROR(Q283*(1-Eingaben!$B$20),0)</f>
        <v>0.7390278</v>
      </c>
      <c r="I283" s="13" t="n">
        <f aca="false">MIN(H283,E283)</f>
        <v>0.7390278</v>
      </c>
      <c r="J283" s="13" t="n">
        <f aca="false">IFERROR(MIN(G283*Eingaben!$B$19,MAX(0,E283-I283)),0)</f>
        <v>1.75959</v>
      </c>
      <c r="K283" s="13" t="n">
        <f aca="false">IFERROR(MIN(Eingaben!$B$18,MAX(0,G283-J283)),0)</f>
        <v>0.75411</v>
      </c>
      <c r="L283" s="13" t="n">
        <f aca="false">I283+J283</f>
        <v>2.4986178</v>
      </c>
      <c r="M283" s="13" t="n">
        <f aca="false">MAX(0,E283-L283)</f>
        <v>2.4413822</v>
      </c>
      <c r="N283" s="13" t="n">
        <f aca="false">MAX(0,G283-J283-K283)</f>
        <v>0</v>
      </c>
      <c r="O283" s="13" t="n">
        <f aca="false">Q283-I283</f>
        <v>0.0150822</v>
      </c>
      <c r="P283" s="13" t="n">
        <f aca="false">G283+Q283-L283-N283-O283-K283</f>
        <v>0</v>
      </c>
      <c r="Q283" s="13" t="n">
        <f aca="false">IF(A283="",0,K282)</f>
        <v>0.75411</v>
      </c>
    </row>
    <row r="284" customFormat="false" ht="16.4" hidden="false" customHeight="false" outlineLevel="0" collapsed="false">
      <c r="A284" s="23" t="n">
        <f aca="false">Kalender!A284</f>
        <v>46302</v>
      </c>
      <c r="B284" s="13" t="n">
        <f aca="false">Kalender!C284</f>
        <v>1</v>
      </c>
      <c r="C284" s="13" t="n">
        <f aca="false">Kalender!D284</f>
        <v>1</v>
      </c>
      <c r="D284" s="13" t="n">
        <f aca="false">IF(Prüfungen!$B$4=0,(IFERROR(SUMIF(Nutzungsprofile!$B$6:$B$11,"Schulbetrieb",Nutzungsprofile!$G$6:$G$11)*Kalender!C284/SUM(Kalender!$C$5:$C$370),0)+IFERROR(SUMIF(Nutzungsprofile!$B$6:$B$11,"Halle",Nutzungsprofile!$G$6:$G$11)*Kalender!D284/SUM(Kalender!$D$5:$D$370),0)+IFERROR(SUMIF(Nutzungsprofile!$B$6:$B$11,"Individuell",Nutzungsprofile!$G$6:$G$11)*Kalender!E284/SUM(Kalender!$E$5:$E$370),0)),0)</f>
        <v>2.94</v>
      </c>
      <c r="E284" s="13" t="n">
        <f aca="false">IF(Prüfungen!$B$4=0,(IFERROR(SUMIF(Nutzungsprofile!$B$17:$B$22,"Schulbetrieb",Nutzungsprofile!$G$17:$G$22)*Kalender!C284/SUM(Kalender!$C$5:$C$370),0)+IFERROR(SUMIF(Nutzungsprofile!$B$17:$B$22,"Halle",Nutzungsprofile!$G$17:$G$22)*Kalender!D284/SUM(Kalender!$D$5:$D$370),0)+IFERROR(SUMIF(Nutzungsprofile!$B$17:$B$22,"Individuell",Nutzungsprofile!$G$17:$G$22)*Kalender!E284/SUM(Kalender!$E$5:$E$370),0)),0)</f>
        <v>4.94</v>
      </c>
      <c r="F284" s="13" t="n">
        <f aca="false">IFERROR(MIN(D284,Eingaben!$B$17)*Eingaben!$B$16,0)</f>
        <v>2.793</v>
      </c>
      <c r="G284" s="13" t="n">
        <f aca="false">IFERROR(F284*Eingaben!$B$15,0)</f>
        <v>2.5137</v>
      </c>
      <c r="H284" s="13" t="n">
        <f aca="false">IFERROR(Q284*(1-Eingaben!$B$20),0)</f>
        <v>0.7390278</v>
      </c>
      <c r="I284" s="13" t="n">
        <f aca="false">MIN(H284,E284)</f>
        <v>0.7390278</v>
      </c>
      <c r="J284" s="13" t="n">
        <f aca="false">IFERROR(MIN(G284*Eingaben!$B$19,MAX(0,E284-I284)),0)</f>
        <v>1.75959</v>
      </c>
      <c r="K284" s="13" t="n">
        <f aca="false">IFERROR(MIN(Eingaben!$B$18,MAX(0,G284-J284)),0)</f>
        <v>0.75411</v>
      </c>
      <c r="L284" s="13" t="n">
        <f aca="false">I284+J284</f>
        <v>2.4986178</v>
      </c>
      <c r="M284" s="13" t="n">
        <f aca="false">MAX(0,E284-L284)</f>
        <v>2.4413822</v>
      </c>
      <c r="N284" s="13" t="n">
        <f aca="false">MAX(0,G284-J284-K284)</f>
        <v>0</v>
      </c>
      <c r="O284" s="13" t="n">
        <f aca="false">Q284-I284</f>
        <v>0.0150822</v>
      </c>
      <c r="P284" s="13" t="n">
        <f aca="false">G284+Q284-L284-N284-O284-K284</f>
        <v>0</v>
      </c>
      <c r="Q284" s="13" t="n">
        <f aca="false">IF(A284="",0,K283)</f>
        <v>0.75411</v>
      </c>
    </row>
    <row r="285" customFormat="false" ht="16.4" hidden="false" customHeight="false" outlineLevel="0" collapsed="false">
      <c r="A285" s="23" t="n">
        <f aca="false">Kalender!A285</f>
        <v>46303</v>
      </c>
      <c r="B285" s="13" t="n">
        <f aca="false">Kalender!C285</f>
        <v>1</v>
      </c>
      <c r="C285" s="13" t="n">
        <f aca="false">Kalender!D285</f>
        <v>0</v>
      </c>
      <c r="D285" s="13" t="n">
        <f aca="false">IF(Prüfungen!$B$4=0,(IFERROR(SUMIF(Nutzungsprofile!$B$6:$B$11,"Schulbetrieb",Nutzungsprofile!$G$6:$G$11)*Kalender!C285/SUM(Kalender!$C$5:$C$370),0)+IFERROR(SUMIF(Nutzungsprofile!$B$6:$B$11,"Halle",Nutzungsprofile!$G$6:$G$11)*Kalender!D285/SUM(Kalender!$D$5:$D$370),0)+IFERROR(SUMIF(Nutzungsprofile!$B$6:$B$11,"Individuell",Nutzungsprofile!$G$6:$G$11)*Kalender!E285/SUM(Kalender!$E$5:$E$370),0)),0)</f>
        <v>0.9</v>
      </c>
      <c r="E285" s="13" t="n">
        <f aca="false">IF(Prüfungen!$B$4=0,(IFERROR(SUMIF(Nutzungsprofile!$B$17:$B$22,"Schulbetrieb",Nutzungsprofile!$G$17:$G$22)*Kalender!C285/SUM(Kalender!$C$5:$C$370),0)+IFERROR(SUMIF(Nutzungsprofile!$B$17:$B$22,"Halle",Nutzungsprofile!$G$17:$G$22)*Kalender!D285/SUM(Kalender!$D$5:$D$370),0)+IFERROR(SUMIF(Nutzungsprofile!$B$17:$B$22,"Individuell",Nutzungsprofile!$G$17:$G$22)*Kalender!E285/SUM(Kalender!$E$5:$E$370),0)),0)</f>
        <v>4.05</v>
      </c>
      <c r="F285" s="13" t="n">
        <f aca="false">IFERROR(MIN(D285,Eingaben!$B$17)*Eingaben!$B$16,0)</f>
        <v>0.855</v>
      </c>
      <c r="G285" s="13" t="n">
        <f aca="false">IFERROR(F285*Eingaben!$B$15,0)</f>
        <v>0.7695</v>
      </c>
      <c r="H285" s="13" t="n">
        <f aca="false">IFERROR(Q285*(1-Eingaben!$B$20),0)</f>
        <v>0.7390278</v>
      </c>
      <c r="I285" s="13" t="n">
        <f aca="false">MIN(H285,E285)</f>
        <v>0.7390278</v>
      </c>
      <c r="J285" s="13" t="n">
        <f aca="false">IFERROR(MIN(G285*Eingaben!$B$19,MAX(0,E285-I285)),0)</f>
        <v>0.53865</v>
      </c>
      <c r="K285" s="13" t="n">
        <f aca="false">IFERROR(MIN(Eingaben!$B$18,MAX(0,G285-J285)),0)</f>
        <v>0.23085</v>
      </c>
      <c r="L285" s="13" t="n">
        <f aca="false">I285+J285</f>
        <v>1.2776778</v>
      </c>
      <c r="M285" s="13" t="n">
        <f aca="false">MAX(0,E285-L285)</f>
        <v>2.7723222</v>
      </c>
      <c r="N285" s="13" t="n">
        <f aca="false">MAX(0,G285-J285-K285)</f>
        <v>0</v>
      </c>
      <c r="O285" s="13" t="n">
        <f aca="false">Q285-I285</f>
        <v>0.0150822</v>
      </c>
      <c r="P285" s="13" t="n">
        <f aca="false">G285+Q285-L285-N285-O285-K285</f>
        <v>0</v>
      </c>
      <c r="Q285" s="13" t="n">
        <f aca="false">IF(A285="",0,K284)</f>
        <v>0.75411</v>
      </c>
    </row>
    <row r="286" customFormat="false" ht="16.4" hidden="false" customHeight="false" outlineLevel="0" collapsed="false">
      <c r="A286" s="23" t="n">
        <f aca="false">Kalender!A286</f>
        <v>46304</v>
      </c>
      <c r="B286" s="13" t="n">
        <f aca="false">Kalender!C286</f>
        <v>1</v>
      </c>
      <c r="C286" s="13" t="n">
        <f aca="false">Kalender!D286</f>
        <v>0</v>
      </c>
      <c r="D286" s="13" t="n">
        <f aca="false">IF(Prüfungen!$B$4=0,(IFERROR(SUMIF(Nutzungsprofile!$B$6:$B$11,"Schulbetrieb",Nutzungsprofile!$G$6:$G$11)*Kalender!C286/SUM(Kalender!$C$5:$C$370),0)+IFERROR(SUMIF(Nutzungsprofile!$B$6:$B$11,"Halle",Nutzungsprofile!$G$6:$G$11)*Kalender!D286/SUM(Kalender!$D$5:$D$370),0)+IFERROR(SUMIF(Nutzungsprofile!$B$6:$B$11,"Individuell",Nutzungsprofile!$G$6:$G$11)*Kalender!E286/SUM(Kalender!$E$5:$E$370),0)),0)</f>
        <v>0.9</v>
      </c>
      <c r="E286" s="13" t="n">
        <f aca="false">IF(Prüfungen!$B$4=0,(IFERROR(SUMIF(Nutzungsprofile!$B$17:$B$22,"Schulbetrieb",Nutzungsprofile!$G$17:$G$22)*Kalender!C286/SUM(Kalender!$C$5:$C$370),0)+IFERROR(SUMIF(Nutzungsprofile!$B$17:$B$22,"Halle",Nutzungsprofile!$G$17:$G$22)*Kalender!D286/SUM(Kalender!$D$5:$D$370),0)+IFERROR(SUMIF(Nutzungsprofile!$B$17:$B$22,"Individuell",Nutzungsprofile!$G$17:$G$22)*Kalender!E286/SUM(Kalender!$E$5:$E$370),0)),0)</f>
        <v>4.05</v>
      </c>
      <c r="F286" s="13" t="n">
        <f aca="false">IFERROR(MIN(D286,Eingaben!$B$17)*Eingaben!$B$16,0)</f>
        <v>0.855</v>
      </c>
      <c r="G286" s="13" t="n">
        <f aca="false">IFERROR(F286*Eingaben!$B$15,0)</f>
        <v>0.7695</v>
      </c>
      <c r="H286" s="13" t="n">
        <f aca="false">IFERROR(Q286*(1-Eingaben!$B$20),0)</f>
        <v>0.226233</v>
      </c>
      <c r="I286" s="13" t="n">
        <f aca="false">MIN(H286,E286)</f>
        <v>0.226233</v>
      </c>
      <c r="J286" s="13" t="n">
        <f aca="false">IFERROR(MIN(G286*Eingaben!$B$19,MAX(0,E286-I286)),0)</f>
        <v>0.53865</v>
      </c>
      <c r="K286" s="13" t="n">
        <f aca="false">IFERROR(MIN(Eingaben!$B$18,MAX(0,G286-J286)),0)</f>
        <v>0.23085</v>
      </c>
      <c r="L286" s="13" t="n">
        <f aca="false">I286+J286</f>
        <v>0.764883</v>
      </c>
      <c r="M286" s="13" t="n">
        <f aca="false">MAX(0,E286-L286)</f>
        <v>3.285117</v>
      </c>
      <c r="N286" s="13" t="n">
        <f aca="false">MAX(0,G286-J286-K286)</f>
        <v>0</v>
      </c>
      <c r="O286" s="13" t="n">
        <f aca="false">Q286-I286</f>
        <v>0.00461700000000001</v>
      </c>
      <c r="P286" s="13" t="n">
        <f aca="false">G286+Q286-L286-N286-O286-K286</f>
        <v>0</v>
      </c>
      <c r="Q286" s="13" t="n">
        <f aca="false">IF(A286="",0,K285)</f>
        <v>0.23085</v>
      </c>
    </row>
    <row r="287" customFormat="false" ht="16.4" hidden="false" customHeight="false" outlineLevel="0" collapsed="false">
      <c r="A287" s="23" t="n">
        <f aca="false">Kalender!A287</f>
        <v>46305</v>
      </c>
      <c r="B287" s="13" t="n">
        <f aca="false">Kalender!C287</f>
        <v>0</v>
      </c>
      <c r="C287" s="13" t="n">
        <f aca="false">Kalender!D287</f>
        <v>0</v>
      </c>
      <c r="D287" s="13" t="n">
        <f aca="false">IF(Prüfungen!$B$4=0,(IFERROR(SUMIF(Nutzungsprofile!$B$6:$B$11,"Schulbetrieb",Nutzungsprofile!$G$6:$G$11)*Kalender!C287/SUM(Kalender!$C$5:$C$370),0)+IFERROR(SUMIF(Nutzungsprofile!$B$6:$B$11,"Halle",Nutzungsprofile!$G$6:$G$11)*Kalender!D287/SUM(Kalender!$D$5:$D$370),0)+IFERROR(SUMIF(Nutzungsprofile!$B$6:$B$11,"Individuell",Nutzungsprofile!$G$6:$G$11)*Kalender!E287/SUM(Kalender!$E$5:$E$370),0)),0)</f>
        <v>0</v>
      </c>
      <c r="E287" s="13" t="n">
        <f aca="false">IF(Prüfungen!$B$4=0,(IFERROR(SUMIF(Nutzungsprofile!$B$17:$B$22,"Schulbetrieb",Nutzungsprofile!$G$17:$G$22)*Kalender!C287/SUM(Kalender!$C$5:$C$370),0)+IFERROR(SUMIF(Nutzungsprofile!$B$17:$B$22,"Halle",Nutzungsprofile!$G$17:$G$22)*Kalender!D287/SUM(Kalender!$D$5:$D$370),0)+IFERROR(SUMIF(Nutzungsprofile!$B$17:$B$22,"Individuell",Nutzungsprofile!$G$17:$G$22)*Kalender!E287/SUM(Kalender!$E$5:$E$370),0)),0)</f>
        <v>0</v>
      </c>
      <c r="F287" s="13" t="n">
        <f aca="false">IFERROR(MIN(D287,Eingaben!$B$17)*Eingaben!$B$16,0)</f>
        <v>0</v>
      </c>
      <c r="G287" s="13" t="n">
        <f aca="false">IFERROR(F287*Eingaben!$B$15,0)</f>
        <v>0</v>
      </c>
      <c r="H287" s="13" t="n">
        <f aca="false">IFERROR(Q287*(1-Eingaben!$B$20),0)</f>
        <v>0.226233</v>
      </c>
      <c r="I287" s="13" t="n">
        <f aca="false">MIN(H287,E287)</f>
        <v>0</v>
      </c>
      <c r="J287" s="13" t="n">
        <f aca="false">IFERROR(MIN(G287*Eingaben!$B$19,MAX(0,E287-I287)),0)</f>
        <v>0</v>
      </c>
      <c r="K287" s="13" t="n">
        <f aca="false">IFERROR(MIN(Eingaben!$B$18,MAX(0,G287-J287)),0)</f>
        <v>0</v>
      </c>
      <c r="L287" s="13" t="n">
        <f aca="false">I287+J287</f>
        <v>0</v>
      </c>
      <c r="M287" s="13" t="n">
        <f aca="false">MAX(0,E287-L287)</f>
        <v>0</v>
      </c>
      <c r="N287" s="13" t="n">
        <f aca="false">MAX(0,G287-J287-K287)</f>
        <v>0</v>
      </c>
      <c r="O287" s="13" t="n">
        <f aca="false">Q287-I287</f>
        <v>0.23085</v>
      </c>
      <c r="P287" s="13" t="n">
        <f aca="false">G287+Q287-L287-N287-O287-K287</f>
        <v>0</v>
      </c>
      <c r="Q287" s="13" t="n">
        <f aca="false">IF(A287="",0,K286)</f>
        <v>0.23085</v>
      </c>
    </row>
    <row r="288" customFormat="false" ht="16.4" hidden="false" customHeight="false" outlineLevel="0" collapsed="false">
      <c r="A288" s="23" t="n">
        <f aca="false">Kalender!A288</f>
        <v>46306</v>
      </c>
      <c r="B288" s="13" t="n">
        <f aca="false">Kalender!C288</f>
        <v>0</v>
      </c>
      <c r="C288" s="13" t="n">
        <f aca="false">Kalender!D288</f>
        <v>0</v>
      </c>
      <c r="D288" s="13" t="n">
        <f aca="false">IF(Prüfungen!$B$4=0,(IFERROR(SUMIF(Nutzungsprofile!$B$6:$B$11,"Schulbetrieb",Nutzungsprofile!$G$6:$G$11)*Kalender!C288/SUM(Kalender!$C$5:$C$370),0)+IFERROR(SUMIF(Nutzungsprofile!$B$6:$B$11,"Halle",Nutzungsprofile!$G$6:$G$11)*Kalender!D288/SUM(Kalender!$D$5:$D$370),0)+IFERROR(SUMIF(Nutzungsprofile!$B$6:$B$11,"Individuell",Nutzungsprofile!$G$6:$G$11)*Kalender!E288/SUM(Kalender!$E$5:$E$370),0)),0)</f>
        <v>0</v>
      </c>
      <c r="E288" s="13" t="n">
        <f aca="false">IF(Prüfungen!$B$4=0,(IFERROR(SUMIF(Nutzungsprofile!$B$17:$B$22,"Schulbetrieb",Nutzungsprofile!$G$17:$G$22)*Kalender!C288/SUM(Kalender!$C$5:$C$370),0)+IFERROR(SUMIF(Nutzungsprofile!$B$17:$B$22,"Halle",Nutzungsprofile!$G$17:$G$22)*Kalender!D288/SUM(Kalender!$D$5:$D$370),0)+IFERROR(SUMIF(Nutzungsprofile!$B$17:$B$22,"Individuell",Nutzungsprofile!$G$17:$G$22)*Kalender!E288/SUM(Kalender!$E$5:$E$370),0)),0)</f>
        <v>0</v>
      </c>
      <c r="F288" s="13" t="n">
        <f aca="false">IFERROR(MIN(D288,Eingaben!$B$17)*Eingaben!$B$16,0)</f>
        <v>0</v>
      </c>
      <c r="G288" s="13" t="n">
        <f aca="false">IFERROR(F288*Eingaben!$B$15,0)</f>
        <v>0</v>
      </c>
      <c r="H288" s="13" t="n">
        <f aca="false">IFERROR(Q288*(1-Eingaben!$B$20),0)</f>
        <v>0</v>
      </c>
      <c r="I288" s="13" t="n">
        <f aca="false">MIN(H288,E288)</f>
        <v>0</v>
      </c>
      <c r="J288" s="13" t="n">
        <f aca="false">IFERROR(MIN(G288*Eingaben!$B$19,MAX(0,E288-I288)),0)</f>
        <v>0</v>
      </c>
      <c r="K288" s="13" t="n">
        <f aca="false">IFERROR(MIN(Eingaben!$B$18,MAX(0,G288-J288)),0)</f>
        <v>0</v>
      </c>
      <c r="L288" s="13" t="n">
        <f aca="false">I288+J288</f>
        <v>0</v>
      </c>
      <c r="M288" s="13" t="n">
        <f aca="false">MAX(0,E288-L288)</f>
        <v>0</v>
      </c>
      <c r="N288" s="13" t="n">
        <f aca="false">MAX(0,G288-J288-K288)</f>
        <v>0</v>
      </c>
      <c r="O288" s="13" t="n">
        <f aca="false">Q288-I288</f>
        <v>0</v>
      </c>
      <c r="P288" s="13" t="n">
        <f aca="false">G288+Q288-L288-N288-O288-K288</f>
        <v>0</v>
      </c>
      <c r="Q288" s="13" t="n">
        <f aca="false">IF(A288="",0,K287)</f>
        <v>0</v>
      </c>
    </row>
    <row r="289" customFormat="false" ht="16.4" hidden="false" customHeight="false" outlineLevel="0" collapsed="false">
      <c r="A289" s="23" t="n">
        <f aca="false">Kalender!A289</f>
        <v>46307</v>
      </c>
      <c r="B289" s="13" t="n">
        <f aca="false">Kalender!C289</f>
        <v>1</v>
      </c>
      <c r="C289" s="13" t="n">
        <f aca="false">Kalender!D289</f>
        <v>0</v>
      </c>
      <c r="D289" s="13" t="n">
        <f aca="false">IF(Prüfungen!$B$4=0,(IFERROR(SUMIF(Nutzungsprofile!$B$6:$B$11,"Schulbetrieb",Nutzungsprofile!$G$6:$G$11)*Kalender!C289/SUM(Kalender!$C$5:$C$370),0)+IFERROR(SUMIF(Nutzungsprofile!$B$6:$B$11,"Halle",Nutzungsprofile!$G$6:$G$11)*Kalender!D289/SUM(Kalender!$D$5:$D$370),0)+IFERROR(SUMIF(Nutzungsprofile!$B$6:$B$11,"Individuell",Nutzungsprofile!$G$6:$G$11)*Kalender!E289/SUM(Kalender!$E$5:$E$370),0)),0)</f>
        <v>0.9</v>
      </c>
      <c r="E289" s="13" t="n">
        <f aca="false">IF(Prüfungen!$B$4=0,(IFERROR(SUMIF(Nutzungsprofile!$B$17:$B$22,"Schulbetrieb",Nutzungsprofile!$G$17:$G$22)*Kalender!C289/SUM(Kalender!$C$5:$C$370),0)+IFERROR(SUMIF(Nutzungsprofile!$B$17:$B$22,"Halle",Nutzungsprofile!$G$17:$G$22)*Kalender!D289/SUM(Kalender!$D$5:$D$370),0)+IFERROR(SUMIF(Nutzungsprofile!$B$17:$B$22,"Individuell",Nutzungsprofile!$G$17:$G$22)*Kalender!E289/SUM(Kalender!$E$5:$E$370),0)),0)</f>
        <v>4.05</v>
      </c>
      <c r="F289" s="13" t="n">
        <f aca="false">IFERROR(MIN(D289,Eingaben!$B$17)*Eingaben!$B$16,0)</f>
        <v>0.855</v>
      </c>
      <c r="G289" s="13" t="n">
        <f aca="false">IFERROR(F289*Eingaben!$B$15,0)</f>
        <v>0.7695</v>
      </c>
      <c r="H289" s="13" t="n">
        <f aca="false">IFERROR(Q289*(1-Eingaben!$B$20),0)</f>
        <v>0</v>
      </c>
      <c r="I289" s="13" t="n">
        <f aca="false">MIN(H289,E289)</f>
        <v>0</v>
      </c>
      <c r="J289" s="13" t="n">
        <f aca="false">IFERROR(MIN(G289*Eingaben!$B$19,MAX(0,E289-I289)),0)</f>
        <v>0.53865</v>
      </c>
      <c r="K289" s="13" t="n">
        <f aca="false">IFERROR(MIN(Eingaben!$B$18,MAX(0,G289-J289)),0)</f>
        <v>0.23085</v>
      </c>
      <c r="L289" s="13" t="n">
        <f aca="false">I289+J289</f>
        <v>0.53865</v>
      </c>
      <c r="M289" s="13" t="n">
        <f aca="false">MAX(0,E289-L289)</f>
        <v>3.51135</v>
      </c>
      <c r="N289" s="13" t="n">
        <f aca="false">MAX(0,G289-J289-K289)</f>
        <v>0</v>
      </c>
      <c r="O289" s="13" t="n">
        <f aca="false">Q289-I289</f>
        <v>0</v>
      </c>
      <c r="P289" s="13" t="n">
        <f aca="false">G289+Q289-L289-N289-O289-K289</f>
        <v>0</v>
      </c>
      <c r="Q289" s="13" t="n">
        <f aca="false">IF(A289="",0,K288)</f>
        <v>0</v>
      </c>
    </row>
    <row r="290" customFormat="false" ht="16.4" hidden="false" customHeight="false" outlineLevel="0" collapsed="false">
      <c r="A290" s="23" t="n">
        <f aca="false">Kalender!A290</f>
        <v>46308</v>
      </c>
      <c r="B290" s="13" t="n">
        <f aca="false">Kalender!C290</f>
        <v>1</v>
      </c>
      <c r="C290" s="13" t="n">
        <f aca="false">Kalender!D290</f>
        <v>0</v>
      </c>
      <c r="D290" s="13" t="n">
        <f aca="false">IF(Prüfungen!$B$4=0,(IFERROR(SUMIF(Nutzungsprofile!$B$6:$B$11,"Schulbetrieb",Nutzungsprofile!$G$6:$G$11)*Kalender!C290/SUM(Kalender!$C$5:$C$370),0)+IFERROR(SUMIF(Nutzungsprofile!$B$6:$B$11,"Halle",Nutzungsprofile!$G$6:$G$11)*Kalender!D290/SUM(Kalender!$D$5:$D$370),0)+IFERROR(SUMIF(Nutzungsprofile!$B$6:$B$11,"Individuell",Nutzungsprofile!$G$6:$G$11)*Kalender!E290/SUM(Kalender!$E$5:$E$370),0)),0)</f>
        <v>0.9</v>
      </c>
      <c r="E290" s="13" t="n">
        <f aca="false">IF(Prüfungen!$B$4=0,(IFERROR(SUMIF(Nutzungsprofile!$B$17:$B$22,"Schulbetrieb",Nutzungsprofile!$G$17:$G$22)*Kalender!C290/SUM(Kalender!$C$5:$C$370),0)+IFERROR(SUMIF(Nutzungsprofile!$B$17:$B$22,"Halle",Nutzungsprofile!$G$17:$G$22)*Kalender!D290/SUM(Kalender!$D$5:$D$370),0)+IFERROR(SUMIF(Nutzungsprofile!$B$17:$B$22,"Individuell",Nutzungsprofile!$G$17:$G$22)*Kalender!E290/SUM(Kalender!$E$5:$E$370),0)),0)</f>
        <v>4.05</v>
      </c>
      <c r="F290" s="13" t="n">
        <f aca="false">IFERROR(MIN(D290,Eingaben!$B$17)*Eingaben!$B$16,0)</f>
        <v>0.855</v>
      </c>
      <c r="G290" s="13" t="n">
        <f aca="false">IFERROR(F290*Eingaben!$B$15,0)</f>
        <v>0.7695</v>
      </c>
      <c r="H290" s="13" t="n">
        <f aca="false">IFERROR(Q290*(1-Eingaben!$B$20),0)</f>
        <v>0.226233</v>
      </c>
      <c r="I290" s="13" t="n">
        <f aca="false">MIN(H290,E290)</f>
        <v>0.226233</v>
      </c>
      <c r="J290" s="13" t="n">
        <f aca="false">IFERROR(MIN(G290*Eingaben!$B$19,MAX(0,E290-I290)),0)</f>
        <v>0.53865</v>
      </c>
      <c r="K290" s="13" t="n">
        <f aca="false">IFERROR(MIN(Eingaben!$B$18,MAX(0,G290-J290)),0)</f>
        <v>0.23085</v>
      </c>
      <c r="L290" s="13" t="n">
        <f aca="false">I290+J290</f>
        <v>0.764883</v>
      </c>
      <c r="M290" s="13" t="n">
        <f aca="false">MAX(0,E290-L290)</f>
        <v>3.285117</v>
      </c>
      <c r="N290" s="13" t="n">
        <f aca="false">MAX(0,G290-J290-K290)</f>
        <v>0</v>
      </c>
      <c r="O290" s="13" t="n">
        <f aca="false">Q290-I290</f>
        <v>0.00461700000000001</v>
      </c>
      <c r="P290" s="13" t="n">
        <f aca="false">G290+Q290-L290-N290-O290-K290</f>
        <v>0</v>
      </c>
      <c r="Q290" s="13" t="n">
        <f aca="false">IF(A290="",0,K289)</f>
        <v>0.23085</v>
      </c>
    </row>
    <row r="291" customFormat="false" ht="16.4" hidden="false" customHeight="false" outlineLevel="0" collapsed="false">
      <c r="A291" s="23" t="n">
        <f aca="false">Kalender!A291</f>
        <v>46309</v>
      </c>
      <c r="B291" s="13" t="n">
        <f aca="false">Kalender!C291</f>
        <v>1</v>
      </c>
      <c r="C291" s="13" t="n">
        <f aca="false">Kalender!D291</f>
        <v>0</v>
      </c>
      <c r="D291" s="13" t="n">
        <f aca="false">IF(Prüfungen!$B$4=0,(IFERROR(SUMIF(Nutzungsprofile!$B$6:$B$11,"Schulbetrieb",Nutzungsprofile!$G$6:$G$11)*Kalender!C291/SUM(Kalender!$C$5:$C$370),0)+IFERROR(SUMIF(Nutzungsprofile!$B$6:$B$11,"Halle",Nutzungsprofile!$G$6:$G$11)*Kalender!D291/SUM(Kalender!$D$5:$D$370),0)+IFERROR(SUMIF(Nutzungsprofile!$B$6:$B$11,"Individuell",Nutzungsprofile!$G$6:$G$11)*Kalender!E291/SUM(Kalender!$E$5:$E$370),0)),0)</f>
        <v>0.9</v>
      </c>
      <c r="E291" s="13" t="n">
        <f aca="false">IF(Prüfungen!$B$4=0,(IFERROR(SUMIF(Nutzungsprofile!$B$17:$B$22,"Schulbetrieb",Nutzungsprofile!$G$17:$G$22)*Kalender!C291/SUM(Kalender!$C$5:$C$370),0)+IFERROR(SUMIF(Nutzungsprofile!$B$17:$B$22,"Halle",Nutzungsprofile!$G$17:$G$22)*Kalender!D291/SUM(Kalender!$D$5:$D$370),0)+IFERROR(SUMIF(Nutzungsprofile!$B$17:$B$22,"Individuell",Nutzungsprofile!$G$17:$G$22)*Kalender!E291/SUM(Kalender!$E$5:$E$370),0)),0)</f>
        <v>4.05</v>
      </c>
      <c r="F291" s="13" t="n">
        <f aca="false">IFERROR(MIN(D291,Eingaben!$B$17)*Eingaben!$B$16,0)</f>
        <v>0.855</v>
      </c>
      <c r="G291" s="13" t="n">
        <f aca="false">IFERROR(F291*Eingaben!$B$15,0)</f>
        <v>0.7695</v>
      </c>
      <c r="H291" s="13" t="n">
        <f aca="false">IFERROR(Q291*(1-Eingaben!$B$20),0)</f>
        <v>0.226233</v>
      </c>
      <c r="I291" s="13" t="n">
        <f aca="false">MIN(H291,E291)</f>
        <v>0.226233</v>
      </c>
      <c r="J291" s="13" t="n">
        <f aca="false">IFERROR(MIN(G291*Eingaben!$B$19,MAX(0,E291-I291)),0)</f>
        <v>0.53865</v>
      </c>
      <c r="K291" s="13" t="n">
        <f aca="false">IFERROR(MIN(Eingaben!$B$18,MAX(0,G291-J291)),0)</f>
        <v>0.23085</v>
      </c>
      <c r="L291" s="13" t="n">
        <f aca="false">I291+J291</f>
        <v>0.764883</v>
      </c>
      <c r="M291" s="13" t="n">
        <f aca="false">MAX(0,E291-L291)</f>
        <v>3.285117</v>
      </c>
      <c r="N291" s="13" t="n">
        <f aca="false">MAX(0,G291-J291-K291)</f>
        <v>0</v>
      </c>
      <c r="O291" s="13" t="n">
        <f aca="false">Q291-I291</f>
        <v>0.00461700000000001</v>
      </c>
      <c r="P291" s="13" t="n">
        <f aca="false">G291+Q291-L291-N291-O291-K291</f>
        <v>0</v>
      </c>
      <c r="Q291" s="13" t="n">
        <f aca="false">IF(A291="",0,K290)</f>
        <v>0.23085</v>
      </c>
    </row>
    <row r="292" customFormat="false" ht="16.4" hidden="false" customHeight="false" outlineLevel="0" collapsed="false">
      <c r="A292" s="23" t="n">
        <f aca="false">Kalender!A292</f>
        <v>46310</v>
      </c>
      <c r="B292" s="13" t="n">
        <f aca="false">Kalender!C292</f>
        <v>1</v>
      </c>
      <c r="C292" s="13" t="n">
        <f aca="false">Kalender!D292</f>
        <v>0</v>
      </c>
      <c r="D292" s="13" t="n">
        <f aca="false">IF(Prüfungen!$B$4=0,(IFERROR(SUMIF(Nutzungsprofile!$B$6:$B$11,"Schulbetrieb",Nutzungsprofile!$G$6:$G$11)*Kalender!C292/SUM(Kalender!$C$5:$C$370),0)+IFERROR(SUMIF(Nutzungsprofile!$B$6:$B$11,"Halle",Nutzungsprofile!$G$6:$G$11)*Kalender!D292/SUM(Kalender!$D$5:$D$370),0)+IFERROR(SUMIF(Nutzungsprofile!$B$6:$B$11,"Individuell",Nutzungsprofile!$G$6:$G$11)*Kalender!E292/SUM(Kalender!$E$5:$E$370),0)),0)</f>
        <v>0.9</v>
      </c>
      <c r="E292" s="13" t="n">
        <f aca="false">IF(Prüfungen!$B$4=0,(IFERROR(SUMIF(Nutzungsprofile!$B$17:$B$22,"Schulbetrieb",Nutzungsprofile!$G$17:$G$22)*Kalender!C292/SUM(Kalender!$C$5:$C$370),0)+IFERROR(SUMIF(Nutzungsprofile!$B$17:$B$22,"Halle",Nutzungsprofile!$G$17:$G$22)*Kalender!D292/SUM(Kalender!$D$5:$D$370),0)+IFERROR(SUMIF(Nutzungsprofile!$B$17:$B$22,"Individuell",Nutzungsprofile!$G$17:$G$22)*Kalender!E292/SUM(Kalender!$E$5:$E$370),0)),0)</f>
        <v>4.05</v>
      </c>
      <c r="F292" s="13" t="n">
        <f aca="false">IFERROR(MIN(D292,Eingaben!$B$17)*Eingaben!$B$16,0)</f>
        <v>0.855</v>
      </c>
      <c r="G292" s="13" t="n">
        <f aca="false">IFERROR(F292*Eingaben!$B$15,0)</f>
        <v>0.7695</v>
      </c>
      <c r="H292" s="13" t="n">
        <f aca="false">IFERROR(Q292*(1-Eingaben!$B$20),0)</f>
        <v>0.226233</v>
      </c>
      <c r="I292" s="13" t="n">
        <f aca="false">MIN(H292,E292)</f>
        <v>0.226233</v>
      </c>
      <c r="J292" s="13" t="n">
        <f aca="false">IFERROR(MIN(G292*Eingaben!$B$19,MAX(0,E292-I292)),0)</f>
        <v>0.53865</v>
      </c>
      <c r="K292" s="13" t="n">
        <f aca="false">IFERROR(MIN(Eingaben!$B$18,MAX(0,G292-J292)),0)</f>
        <v>0.23085</v>
      </c>
      <c r="L292" s="13" t="n">
        <f aca="false">I292+J292</f>
        <v>0.764883</v>
      </c>
      <c r="M292" s="13" t="n">
        <f aca="false">MAX(0,E292-L292)</f>
        <v>3.285117</v>
      </c>
      <c r="N292" s="13" t="n">
        <f aca="false">MAX(0,G292-J292-K292)</f>
        <v>0</v>
      </c>
      <c r="O292" s="13" t="n">
        <f aca="false">Q292-I292</f>
        <v>0.00461700000000001</v>
      </c>
      <c r="P292" s="13" t="n">
        <f aca="false">G292+Q292-L292-N292-O292-K292</f>
        <v>0</v>
      </c>
      <c r="Q292" s="13" t="n">
        <f aca="false">IF(A292="",0,K291)</f>
        <v>0.23085</v>
      </c>
    </row>
    <row r="293" customFormat="false" ht="16.4" hidden="false" customHeight="false" outlineLevel="0" collapsed="false">
      <c r="A293" s="23" t="n">
        <f aca="false">Kalender!A293</f>
        <v>46311</v>
      </c>
      <c r="B293" s="13" t="n">
        <f aca="false">Kalender!C293</f>
        <v>1</v>
      </c>
      <c r="C293" s="13" t="n">
        <f aca="false">Kalender!D293</f>
        <v>0</v>
      </c>
      <c r="D293" s="13" t="n">
        <f aca="false">IF(Prüfungen!$B$4=0,(IFERROR(SUMIF(Nutzungsprofile!$B$6:$B$11,"Schulbetrieb",Nutzungsprofile!$G$6:$G$11)*Kalender!C293/SUM(Kalender!$C$5:$C$370),0)+IFERROR(SUMIF(Nutzungsprofile!$B$6:$B$11,"Halle",Nutzungsprofile!$G$6:$G$11)*Kalender!D293/SUM(Kalender!$D$5:$D$370),0)+IFERROR(SUMIF(Nutzungsprofile!$B$6:$B$11,"Individuell",Nutzungsprofile!$G$6:$G$11)*Kalender!E293/SUM(Kalender!$E$5:$E$370),0)),0)</f>
        <v>0.9</v>
      </c>
      <c r="E293" s="13" t="n">
        <f aca="false">IF(Prüfungen!$B$4=0,(IFERROR(SUMIF(Nutzungsprofile!$B$17:$B$22,"Schulbetrieb",Nutzungsprofile!$G$17:$G$22)*Kalender!C293/SUM(Kalender!$C$5:$C$370),0)+IFERROR(SUMIF(Nutzungsprofile!$B$17:$B$22,"Halle",Nutzungsprofile!$G$17:$G$22)*Kalender!D293/SUM(Kalender!$D$5:$D$370),0)+IFERROR(SUMIF(Nutzungsprofile!$B$17:$B$22,"Individuell",Nutzungsprofile!$G$17:$G$22)*Kalender!E293/SUM(Kalender!$E$5:$E$370),0)),0)</f>
        <v>4.05</v>
      </c>
      <c r="F293" s="13" t="n">
        <f aca="false">IFERROR(MIN(D293,Eingaben!$B$17)*Eingaben!$B$16,0)</f>
        <v>0.855</v>
      </c>
      <c r="G293" s="13" t="n">
        <f aca="false">IFERROR(F293*Eingaben!$B$15,0)</f>
        <v>0.7695</v>
      </c>
      <c r="H293" s="13" t="n">
        <f aca="false">IFERROR(Q293*(1-Eingaben!$B$20),0)</f>
        <v>0.226233</v>
      </c>
      <c r="I293" s="13" t="n">
        <f aca="false">MIN(H293,E293)</f>
        <v>0.226233</v>
      </c>
      <c r="J293" s="13" t="n">
        <f aca="false">IFERROR(MIN(G293*Eingaben!$B$19,MAX(0,E293-I293)),0)</f>
        <v>0.53865</v>
      </c>
      <c r="K293" s="13" t="n">
        <f aca="false">IFERROR(MIN(Eingaben!$B$18,MAX(0,G293-J293)),0)</f>
        <v>0.23085</v>
      </c>
      <c r="L293" s="13" t="n">
        <f aca="false">I293+J293</f>
        <v>0.764883</v>
      </c>
      <c r="M293" s="13" t="n">
        <f aca="false">MAX(0,E293-L293)</f>
        <v>3.285117</v>
      </c>
      <c r="N293" s="13" t="n">
        <f aca="false">MAX(0,G293-J293-K293)</f>
        <v>0</v>
      </c>
      <c r="O293" s="13" t="n">
        <f aca="false">Q293-I293</f>
        <v>0.00461700000000001</v>
      </c>
      <c r="P293" s="13" t="n">
        <f aca="false">G293+Q293-L293-N293-O293-K293</f>
        <v>0</v>
      </c>
      <c r="Q293" s="13" t="n">
        <f aca="false">IF(A293="",0,K292)</f>
        <v>0.23085</v>
      </c>
    </row>
    <row r="294" customFormat="false" ht="16.4" hidden="false" customHeight="false" outlineLevel="0" collapsed="false">
      <c r="A294" s="23" t="n">
        <f aca="false">Kalender!A294</f>
        <v>46312</v>
      </c>
      <c r="B294" s="13" t="n">
        <f aca="false">Kalender!C294</f>
        <v>0</v>
      </c>
      <c r="C294" s="13" t="n">
        <f aca="false">Kalender!D294</f>
        <v>0</v>
      </c>
      <c r="D294" s="13" t="n">
        <f aca="false">IF(Prüfungen!$B$4=0,(IFERROR(SUMIF(Nutzungsprofile!$B$6:$B$11,"Schulbetrieb",Nutzungsprofile!$G$6:$G$11)*Kalender!C294/SUM(Kalender!$C$5:$C$370),0)+IFERROR(SUMIF(Nutzungsprofile!$B$6:$B$11,"Halle",Nutzungsprofile!$G$6:$G$11)*Kalender!D294/SUM(Kalender!$D$5:$D$370),0)+IFERROR(SUMIF(Nutzungsprofile!$B$6:$B$11,"Individuell",Nutzungsprofile!$G$6:$G$11)*Kalender!E294/SUM(Kalender!$E$5:$E$370),0)),0)</f>
        <v>0</v>
      </c>
      <c r="E294" s="13" t="n">
        <f aca="false">IF(Prüfungen!$B$4=0,(IFERROR(SUMIF(Nutzungsprofile!$B$17:$B$22,"Schulbetrieb",Nutzungsprofile!$G$17:$G$22)*Kalender!C294/SUM(Kalender!$C$5:$C$370),0)+IFERROR(SUMIF(Nutzungsprofile!$B$17:$B$22,"Halle",Nutzungsprofile!$G$17:$G$22)*Kalender!D294/SUM(Kalender!$D$5:$D$370),0)+IFERROR(SUMIF(Nutzungsprofile!$B$17:$B$22,"Individuell",Nutzungsprofile!$G$17:$G$22)*Kalender!E294/SUM(Kalender!$E$5:$E$370),0)),0)</f>
        <v>0</v>
      </c>
      <c r="F294" s="13" t="n">
        <f aca="false">IFERROR(MIN(D294,Eingaben!$B$17)*Eingaben!$B$16,0)</f>
        <v>0</v>
      </c>
      <c r="G294" s="13" t="n">
        <f aca="false">IFERROR(F294*Eingaben!$B$15,0)</f>
        <v>0</v>
      </c>
      <c r="H294" s="13" t="n">
        <f aca="false">IFERROR(Q294*(1-Eingaben!$B$20),0)</f>
        <v>0.226233</v>
      </c>
      <c r="I294" s="13" t="n">
        <f aca="false">MIN(H294,E294)</f>
        <v>0</v>
      </c>
      <c r="J294" s="13" t="n">
        <f aca="false">IFERROR(MIN(G294*Eingaben!$B$19,MAX(0,E294-I294)),0)</f>
        <v>0</v>
      </c>
      <c r="K294" s="13" t="n">
        <f aca="false">IFERROR(MIN(Eingaben!$B$18,MAX(0,G294-J294)),0)</f>
        <v>0</v>
      </c>
      <c r="L294" s="13" t="n">
        <f aca="false">I294+J294</f>
        <v>0</v>
      </c>
      <c r="M294" s="13" t="n">
        <f aca="false">MAX(0,E294-L294)</f>
        <v>0</v>
      </c>
      <c r="N294" s="13" t="n">
        <f aca="false">MAX(0,G294-J294-K294)</f>
        <v>0</v>
      </c>
      <c r="O294" s="13" t="n">
        <f aca="false">Q294-I294</f>
        <v>0.23085</v>
      </c>
      <c r="P294" s="13" t="n">
        <f aca="false">G294+Q294-L294-N294-O294-K294</f>
        <v>0</v>
      </c>
      <c r="Q294" s="13" t="n">
        <f aca="false">IF(A294="",0,K293)</f>
        <v>0.23085</v>
      </c>
    </row>
    <row r="295" customFormat="false" ht="16.4" hidden="false" customHeight="false" outlineLevel="0" collapsed="false">
      <c r="A295" s="23" t="n">
        <f aca="false">Kalender!A295</f>
        <v>46313</v>
      </c>
      <c r="B295" s="13" t="n">
        <f aca="false">Kalender!C295</f>
        <v>0</v>
      </c>
      <c r="C295" s="13" t="n">
        <f aca="false">Kalender!D295</f>
        <v>0</v>
      </c>
      <c r="D295" s="13" t="n">
        <f aca="false">IF(Prüfungen!$B$4=0,(IFERROR(SUMIF(Nutzungsprofile!$B$6:$B$11,"Schulbetrieb",Nutzungsprofile!$G$6:$G$11)*Kalender!C295/SUM(Kalender!$C$5:$C$370),0)+IFERROR(SUMIF(Nutzungsprofile!$B$6:$B$11,"Halle",Nutzungsprofile!$G$6:$G$11)*Kalender!D295/SUM(Kalender!$D$5:$D$370),0)+IFERROR(SUMIF(Nutzungsprofile!$B$6:$B$11,"Individuell",Nutzungsprofile!$G$6:$G$11)*Kalender!E295/SUM(Kalender!$E$5:$E$370),0)),0)</f>
        <v>0</v>
      </c>
      <c r="E295" s="13" t="n">
        <f aca="false">IF(Prüfungen!$B$4=0,(IFERROR(SUMIF(Nutzungsprofile!$B$17:$B$22,"Schulbetrieb",Nutzungsprofile!$G$17:$G$22)*Kalender!C295/SUM(Kalender!$C$5:$C$370),0)+IFERROR(SUMIF(Nutzungsprofile!$B$17:$B$22,"Halle",Nutzungsprofile!$G$17:$G$22)*Kalender!D295/SUM(Kalender!$D$5:$D$370),0)+IFERROR(SUMIF(Nutzungsprofile!$B$17:$B$22,"Individuell",Nutzungsprofile!$G$17:$G$22)*Kalender!E295/SUM(Kalender!$E$5:$E$370),0)),0)</f>
        <v>0</v>
      </c>
      <c r="F295" s="13" t="n">
        <f aca="false">IFERROR(MIN(D295,Eingaben!$B$17)*Eingaben!$B$16,0)</f>
        <v>0</v>
      </c>
      <c r="G295" s="13" t="n">
        <f aca="false">IFERROR(F295*Eingaben!$B$15,0)</f>
        <v>0</v>
      </c>
      <c r="H295" s="13" t="n">
        <f aca="false">IFERROR(Q295*(1-Eingaben!$B$20),0)</f>
        <v>0</v>
      </c>
      <c r="I295" s="13" t="n">
        <f aca="false">MIN(H295,E295)</f>
        <v>0</v>
      </c>
      <c r="J295" s="13" t="n">
        <f aca="false">IFERROR(MIN(G295*Eingaben!$B$19,MAX(0,E295-I295)),0)</f>
        <v>0</v>
      </c>
      <c r="K295" s="13" t="n">
        <f aca="false">IFERROR(MIN(Eingaben!$B$18,MAX(0,G295-J295)),0)</f>
        <v>0</v>
      </c>
      <c r="L295" s="13" t="n">
        <f aca="false">I295+J295</f>
        <v>0</v>
      </c>
      <c r="M295" s="13" t="n">
        <f aca="false">MAX(0,E295-L295)</f>
        <v>0</v>
      </c>
      <c r="N295" s="13" t="n">
        <f aca="false">MAX(0,G295-J295-K295)</f>
        <v>0</v>
      </c>
      <c r="O295" s="13" t="n">
        <f aca="false">Q295-I295</f>
        <v>0</v>
      </c>
      <c r="P295" s="13" t="n">
        <f aca="false">G295+Q295-L295-N295-O295-K295</f>
        <v>0</v>
      </c>
      <c r="Q295" s="13" t="n">
        <f aca="false">IF(A295="",0,K294)</f>
        <v>0</v>
      </c>
    </row>
    <row r="296" customFormat="false" ht="16.4" hidden="false" customHeight="false" outlineLevel="0" collapsed="false">
      <c r="A296" s="23" t="n">
        <f aca="false">Kalender!A296</f>
        <v>46314</v>
      </c>
      <c r="B296" s="13" t="n">
        <f aca="false">Kalender!C296</f>
        <v>1</v>
      </c>
      <c r="C296" s="13" t="n">
        <f aca="false">Kalender!D296</f>
        <v>0</v>
      </c>
      <c r="D296" s="13" t="n">
        <f aca="false">IF(Prüfungen!$B$4=0,(IFERROR(SUMIF(Nutzungsprofile!$B$6:$B$11,"Schulbetrieb",Nutzungsprofile!$G$6:$G$11)*Kalender!C296/SUM(Kalender!$C$5:$C$370),0)+IFERROR(SUMIF(Nutzungsprofile!$B$6:$B$11,"Halle",Nutzungsprofile!$G$6:$G$11)*Kalender!D296/SUM(Kalender!$D$5:$D$370),0)+IFERROR(SUMIF(Nutzungsprofile!$B$6:$B$11,"Individuell",Nutzungsprofile!$G$6:$G$11)*Kalender!E296/SUM(Kalender!$E$5:$E$370),0)),0)</f>
        <v>0.9</v>
      </c>
      <c r="E296" s="13" t="n">
        <f aca="false">IF(Prüfungen!$B$4=0,(IFERROR(SUMIF(Nutzungsprofile!$B$17:$B$22,"Schulbetrieb",Nutzungsprofile!$G$17:$G$22)*Kalender!C296/SUM(Kalender!$C$5:$C$370),0)+IFERROR(SUMIF(Nutzungsprofile!$B$17:$B$22,"Halle",Nutzungsprofile!$G$17:$G$22)*Kalender!D296/SUM(Kalender!$D$5:$D$370),0)+IFERROR(SUMIF(Nutzungsprofile!$B$17:$B$22,"Individuell",Nutzungsprofile!$G$17:$G$22)*Kalender!E296/SUM(Kalender!$E$5:$E$370),0)),0)</f>
        <v>4.05</v>
      </c>
      <c r="F296" s="13" t="n">
        <f aca="false">IFERROR(MIN(D296,Eingaben!$B$17)*Eingaben!$B$16,0)</f>
        <v>0.855</v>
      </c>
      <c r="G296" s="13" t="n">
        <f aca="false">IFERROR(F296*Eingaben!$B$15,0)</f>
        <v>0.7695</v>
      </c>
      <c r="H296" s="13" t="n">
        <f aca="false">IFERROR(Q296*(1-Eingaben!$B$20),0)</f>
        <v>0</v>
      </c>
      <c r="I296" s="13" t="n">
        <f aca="false">MIN(H296,E296)</f>
        <v>0</v>
      </c>
      <c r="J296" s="13" t="n">
        <f aca="false">IFERROR(MIN(G296*Eingaben!$B$19,MAX(0,E296-I296)),0)</f>
        <v>0.53865</v>
      </c>
      <c r="K296" s="13" t="n">
        <f aca="false">IFERROR(MIN(Eingaben!$B$18,MAX(0,G296-J296)),0)</f>
        <v>0.23085</v>
      </c>
      <c r="L296" s="13" t="n">
        <f aca="false">I296+J296</f>
        <v>0.53865</v>
      </c>
      <c r="M296" s="13" t="n">
        <f aca="false">MAX(0,E296-L296)</f>
        <v>3.51135</v>
      </c>
      <c r="N296" s="13" t="n">
        <f aca="false">MAX(0,G296-J296-K296)</f>
        <v>0</v>
      </c>
      <c r="O296" s="13" t="n">
        <f aca="false">Q296-I296</f>
        <v>0</v>
      </c>
      <c r="P296" s="13" t="n">
        <f aca="false">G296+Q296-L296-N296-O296-K296</f>
        <v>0</v>
      </c>
      <c r="Q296" s="13" t="n">
        <f aca="false">IF(A296="",0,K295)</f>
        <v>0</v>
      </c>
    </row>
    <row r="297" customFormat="false" ht="16.4" hidden="false" customHeight="false" outlineLevel="0" collapsed="false">
      <c r="A297" s="23" t="n">
        <f aca="false">Kalender!A297</f>
        <v>46315</v>
      </c>
      <c r="B297" s="13" t="n">
        <f aca="false">Kalender!C297</f>
        <v>1</v>
      </c>
      <c r="C297" s="13" t="n">
        <f aca="false">Kalender!D297</f>
        <v>0</v>
      </c>
      <c r="D297" s="13" t="n">
        <f aca="false">IF(Prüfungen!$B$4=0,(IFERROR(SUMIF(Nutzungsprofile!$B$6:$B$11,"Schulbetrieb",Nutzungsprofile!$G$6:$G$11)*Kalender!C297/SUM(Kalender!$C$5:$C$370),0)+IFERROR(SUMIF(Nutzungsprofile!$B$6:$B$11,"Halle",Nutzungsprofile!$G$6:$G$11)*Kalender!D297/SUM(Kalender!$D$5:$D$370),0)+IFERROR(SUMIF(Nutzungsprofile!$B$6:$B$11,"Individuell",Nutzungsprofile!$G$6:$G$11)*Kalender!E297/SUM(Kalender!$E$5:$E$370),0)),0)</f>
        <v>0.9</v>
      </c>
      <c r="E297" s="13" t="n">
        <f aca="false">IF(Prüfungen!$B$4=0,(IFERROR(SUMIF(Nutzungsprofile!$B$17:$B$22,"Schulbetrieb",Nutzungsprofile!$G$17:$G$22)*Kalender!C297/SUM(Kalender!$C$5:$C$370),0)+IFERROR(SUMIF(Nutzungsprofile!$B$17:$B$22,"Halle",Nutzungsprofile!$G$17:$G$22)*Kalender!D297/SUM(Kalender!$D$5:$D$370),0)+IFERROR(SUMIF(Nutzungsprofile!$B$17:$B$22,"Individuell",Nutzungsprofile!$G$17:$G$22)*Kalender!E297/SUM(Kalender!$E$5:$E$370),0)),0)</f>
        <v>4.05</v>
      </c>
      <c r="F297" s="13" t="n">
        <f aca="false">IFERROR(MIN(D297,Eingaben!$B$17)*Eingaben!$B$16,0)</f>
        <v>0.855</v>
      </c>
      <c r="G297" s="13" t="n">
        <f aca="false">IFERROR(F297*Eingaben!$B$15,0)</f>
        <v>0.7695</v>
      </c>
      <c r="H297" s="13" t="n">
        <f aca="false">IFERROR(Q297*(1-Eingaben!$B$20),0)</f>
        <v>0.226233</v>
      </c>
      <c r="I297" s="13" t="n">
        <f aca="false">MIN(H297,E297)</f>
        <v>0.226233</v>
      </c>
      <c r="J297" s="13" t="n">
        <f aca="false">IFERROR(MIN(G297*Eingaben!$B$19,MAX(0,E297-I297)),0)</f>
        <v>0.53865</v>
      </c>
      <c r="K297" s="13" t="n">
        <f aca="false">IFERROR(MIN(Eingaben!$B$18,MAX(0,G297-J297)),0)</f>
        <v>0.23085</v>
      </c>
      <c r="L297" s="13" t="n">
        <f aca="false">I297+J297</f>
        <v>0.764883</v>
      </c>
      <c r="M297" s="13" t="n">
        <f aca="false">MAX(0,E297-L297)</f>
        <v>3.285117</v>
      </c>
      <c r="N297" s="13" t="n">
        <f aca="false">MAX(0,G297-J297-K297)</f>
        <v>0</v>
      </c>
      <c r="O297" s="13" t="n">
        <f aca="false">Q297-I297</f>
        <v>0.00461700000000001</v>
      </c>
      <c r="P297" s="13" t="n">
        <f aca="false">G297+Q297-L297-N297-O297-K297</f>
        <v>0</v>
      </c>
      <c r="Q297" s="13" t="n">
        <f aca="false">IF(A297="",0,K296)</f>
        <v>0.23085</v>
      </c>
    </row>
    <row r="298" customFormat="false" ht="16.4" hidden="false" customHeight="false" outlineLevel="0" collapsed="false">
      <c r="A298" s="23" t="n">
        <f aca="false">Kalender!A298</f>
        <v>46316</v>
      </c>
      <c r="B298" s="13" t="n">
        <f aca="false">Kalender!C298</f>
        <v>1</v>
      </c>
      <c r="C298" s="13" t="n">
        <f aca="false">Kalender!D298</f>
        <v>0</v>
      </c>
      <c r="D298" s="13" t="n">
        <f aca="false">IF(Prüfungen!$B$4=0,(IFERROR(SUMIF(Nutzungsprofile!$B$6:$B$11,"Schulbetrieb",Nutzungsprofile!$G$6:$G$11)*Kalender!C298/SUM(Kalender!$C$5:$C$370),0)+IFERROR(SUMIF(Nutzungsprofile!$B$6:$B$11,"Halle",Nutzungsprofile!$G$6:$G$11)*Kalender!D298/SUM(Kalender!$D$5:$D$370),0)+IFERROR(SUMIF(Nutzungsprofile!$B$6:$B$11,"Individuell",Nutzungsprofile!$G$6:$G$11)*Kalender!E298/SUM(Kalender!$E$5:$E$370),0)),0)</f>
        <v>0.9</v>
      </c>
      <c r="E298" s="13" t="n">
        <f aca="false">IF(Prüfungen!$B$4=0,(IFERROR(SUMIF(Nutzungsprofile!$B$17:$B$22,"Schulbetrieb",Nutzungsprofile!$G$17:$G$22)*Kalender!C298/SUM(Kalender!$C$5:$C$370),0)+IFERROR(SUMIF(Nutzungsprofile!$B$17:$B$22,"Halle",Nutzungsprofile!$G$17:$G$22)*Kalender!D298/SUM(Kalender!$D$5:$D$370),0)+IFERROR(SUMIF(Nutzungsprofile!$B$17:$B$22,"Individuell",Nutzungsprofile!$G$17:$G$22)*Kalender!E298/SUM(Kalender!$E$5:$E$370),0)),0)</f>
        <v>4.05</v>
      </c>
      <c r="F298" s="13" t="n">
        <f aca="false">IFERROR(MIN(D298,Eingaben!$B$17)*Eingaben!$B$16,0)</f>
        <v>0.855</v>
      </c>
      <c r="G298" s="13" t="n">
        <f aca="false">IFERROR(F298*Eingaben!$B$15,0)</f>
        <v>0.7695</v>
      </c>
      <c r="H298" s="13" t="n">
        <f aca="false">IFERROR(Q298*(1-Eingaben!$B$20),0)</f>
        <v>0.226233</v>
      </c>
      <c r="I298" s="13" t="n">
        <f aca="false">MIN(H298,E298)</f>
        <v>0.226233</v>
      </c>
      <c r="J298" s="13" t="n">
        <f aca="false">IFERROR(MIN(G298*Eingaben!$B$19,MAX(0,E298-I298)),0)</f>
        <v>0.53865</v>
      </c>
      <c r="K298" s="13" t="n">
        <f aca="false">IFERROR(MIN(Eingaben!$B$18,MAX(0,G298-J298)),0)</f>
        <v>0.23085</v>
      </c>
      <c r="L298" s="13" t="n">
        <f aca="false">I298+J298</f>
        <v>0.764883</v>
      </c>
      <c r="M298" s="13" t="n">
        <f aca="false">MAX(0,E298-L298)</f>
        <v>3.285117</v>
      </c>
      <c r="N298" s="13" t="n">
        <f aca="false">MAX(0,G298-J298-K298)</f>
        <v>0</v>
      </c>
      <c r="O298" s="13" t="n">
        <f aca="false">Q298-I298</f>
        <v>0.00461700000000001</v>
      </c>
      <c r="P298" s="13" t="n">
        <f aca="false">G298+Q298-L298-N298-O298-K298</f>
        <v>0</v>
      </c>
      <c r="Q298" s="13" t="n">
        <f aca="false">IF(A298="",0,K297)</f>
        <v>0.23085</v>
      </c>
    </row>
    <row r="299" customFormat="false" ht="16.4" hidden="false" customHeight="false" outlineLevel="0" collapsed="false">
      <c r="A299" s="23" t="n">
        <f aca="false">Kalender!A299</f>
        <v>46317</v>
      </c>
      <c r="B299" s="13" t="n">
        <f aca="false">Kalender!C299</f>
        <v>1</v>
      </c>
      <c r="C299" s="13" t="n">
        <f aca="false">Kalender!D299</f>
        <v>0</v>
      </c>
      <c r="D299" s="13" t="n">
        <f aca="false">IF(Prüfungen!$B$4=0,(IFERROR(SUMIF(Nutzungsprofile!$B$6:$B$11,"Schulbetrieb",Nutzungsprofile!$G$6:$G$11)*Kalender!C299/SUM(Kalender!$C$5:$C$370),0)+IFERROR(SUMIF(Nutzungsprofile!$B$6:$B$11,"Halle",Nutzungsprofile!$G$6:$G$11)*Kalender!D299/SUM(Kalender!$D$5:$D$370),0)+IFERROR(SUMIF(Nutzungsprofile!$B$6:$B$11,"Individuell",Nutzungsprofile!$G$6:$G$11)*Kalender!E299/SUM(Kalender!$E$5:$E$370),0)),0)</f>
        <v>0.9</v>
      </c>
      <c r="E299" s="13" t="n">
        <f aca="false">IF(Prüfungen!$B$4=0,(IFERROR(SUMIF(Nutzungsprofile!$B$17:$B$22,"Schulbetrieb",Nutzungsprofile!$G$17:$G$22)*Kalender!C299/SUM(Kalender!$C$5:$C$370),0)+IFERROR(SUMIF(Nutzungsprofile!$B$17:$B$22,"Halle",Nutzungsprofile!$G$17:$G$22)*Kalender!D299/SUM(Kalender!$D$5:$D$370),0)+IFERROR(SUMIF(Nutzungsprofile!$B$17:$B$22,"Individuell",Nutzungsprofile!$G$17:$G$22)*Kalender!E299/SUM(Kalender!$E$5:$E$370),0)),0)</f>
        <v>4.05</v>
      </c>
      <c r="F299" s="13" t="n">
        <f aca="false">IFERROR(MIN(D299,Eingaben!$B$17)*Eingaben!$B$16,0)</f>
        <v>0.855</v>
      </c>
      <c r="G299" s="13" t="n">
        <f aca="false">IFERROR(F299*Eingaben!$B$15,0)</f>
        <v>0.7695</v>
      </c>
      <c r="H299" s="13" t="n">
        <f aca="false">IFERROR(Q299*(1-Eingaben!$B$20),0)</f>
        <v>0.226233</v>
      </c>
      <c r="I299" s="13" t="n">
        <f aca="false">MIN(H299,E299)</f>
        <v>0.226233</v>
      </c>
      <c r="J299" s="13" t="n">
        <f aca="false">IFERROR(MIN(G299*Eingaben!$B$19,MAX(0,E299-I299)),0)</f>
        <v>0.53865</v>
      </c>
      <c r="K299" s="13" t="n">
        <f aca="false">IFERROR(MIN(Eingaben!$B$18,MAX(0,G299-J299)),0)</f>
        <v>0.23085</v>
      </c>
      <c r="L299" s="13" t="n">
        <f aca="false">I299+J299</f>
        <v>0.764883</v>
      </c>
      <c r="M299" s="13" t="n">
        <f aca="false">MAX(0,E299-L299)</f>
        <v>3.285117</v>
      </c>
      <c r="N299" s="13" t="n">
        <f aca="false">MAX(0,G299-J299-K299)</f>
        <v>0</v>
      </c>
      <c r="O299" s="13" t="n">
        <f aca="false">Q299-I299</f>
        <v>0.00461700000000001</v>
      </c>
      <c r="P299" s="13" t="n">
        <f aca="false">G299+Q299-L299-N299-O299-K299</f>
        <v>0</v>
      </c>
      <c r="Q299" s="13" t="n">
        <f aca="false">IF(A299="",0,K298)</f>
        <v>0.23085</v>
      </c>
    </row>
    <row r="300" customFormat="false" ht="16.4" hidden="false" customHeight="false" outlineLevel="0" collapsed="false">
      <c r="A300" s="23" t="n">
        <f aca="false">Kalender!A300</f>
        <v>46318</v>
      </c>
      <c r="B300" s="13" t="n">
        <f aca="false">Kalender!C300</f>
        <v>1</v>
      </c>
      <c r="C300" s="13" t="n">
        <f aca="false">Kalender!D300</f>
        <v>0</v>
      </c>
      <c r="D300" s="13" t="n">
        <f aca="false">IF(Prüfungen!$B$4=0,(IFERROR(SUMIF(Nutzungsprofile!$B$6:$B$11,"Schulbetrieb",Nutzungsprofile!$G$6:$G$11)*Kalender!C300/SUM(Kalender!$C$5:$C$370),0)+IFERROR(SUMIF(Nutzungsprofile!$B$6:$B$11,"Halle",Nutzungsprofile!$G$6:$G$11)*Kalender!D300/SUM(Kalender!$D$5:$D$370),0)+IFERROR(SUMIF(Nutzungsprofile!$B$6:$B$11,"Individuell",Nutzungsprofile!$G$6:$G$11)*Kalender!E300/SUM(Kalender!$E$5:$E$370),0)),0)</f>
        <v>0.9</v>
      </c>
      <c r="E300" s="13" t="n">
        <f aca="false">IF(Prüfungen!$B$4=0,(IFERROR(SUMIF(Nutzungsprofile!$B$17:$B$22,"Schulbetrieb",Nutzungsprofile!$G$17:$G$22)*Kalender!C300/SUM(Kalender!$C$5:$C$370),0)+IFERROR(SUMIF(Nutzungsprofile!$B$17:$B$22,"Halle",Nutzungsprofile!$G$17:$G$22)*Kalender!D300/SUM(Kalender!$D$5:$D$370),0)+IFERROR(SUMIF(Nutzungsprofile!$B$17:$B$22,"Individuell",Nutzungsprofile!$G$17:$G$22)*Kalender!E300/SUM(Kalender!$E$5:$E$370),0)),0)</f>
        <v>4.05</v>
      </c>
      <c r="F300" s="13" t="n">
        <f aca="false">IFERROR(MIN(D300,Eingaben!$B$17)*Eingaben!$B$16,0)</f>
        <v>0.855</v>
      </c>
      <c r="G300" s="13" t="n">
        <f aca="false">IFERROR(F300*Eingaben!$B$15,0)</f>
        <v>0.7695</v>
      </c>
      <c r="H300" s="13" t="n">
        <f aca="false">IFERROR(Q300*(1-Eingaben!$B$20),0)</f>
        <v>0.226233</v>
      </c>
      <c r="I300" s="13" t="n">
        <f aca="false">MIN(H300,E300)</f>
        <v>0.226233</v>
      </c>
      <c r="J300" s="13" t="n">
        <f aca="false">IFERROR(MIN(G300*Eingaben!$B$19,MAX(0,E300-I300)),0)</f>
        <v>0.53865</v>
      </c>
      <c r="K300" s="13" t="n">
        <f aca="false">IFERROR(MIN(Eingaben!$B$18,MAX(0,G300-J300)),0)</f>
        <v>0.23085</v>
      </c>
      <c r="L300" s="13" t="n">
        <f aca="false">I300+J300</f>
        <v>0.764883</v>
      </c>
      <c r="M300" s="13" t="n">
        <f aca="false">MAX(0,E300-L300)</f>
        <v>3.285117</v>
      </c>
      <c r="N300" s="13" t="n">
        <f aca="false">MAX(0,G300-J300-K300)</f>
        <v>0</v>
      </c>
      <c r="O300" s="13" t="n">
        <f aca="false">Q300-I300</f>
        <v>0.00461700000000001</v>
      </c>
      <c r="P300" s="13" t="n">
        <f aca="false">G300+Q300-L300-N300-O300-K300</f>
        <v>0</v>
      </c>
      <c r="Q300" s="13" t="n">
        <f aca="false">IF(A300="",0,K299)</f>
        <v>0.23085</v>
      </c>
    </row>
    <row r="301" customFormat="false" ht="16.4" hidden="false" customHeight="false" outlineLevel="0" collapsed="false">
      <c r="A301" s="23" t="n">
        <f aca="false">Kalender!A301</f>
        <v>46319</v>
      </c>
      <c r="B301" s="13" t="n">
        <f aca="false">Kalender!C301</f>
        <v>0</v>
      </c>
      <c r="C301" s="13" t="n">
        <f aca="false">Kalender!D301</f>
        <v>0</v>
      </c>
      <c r="D301" s="13" t="n">
        <f aca="false">IF(Prüfungen!$B$4=0,(IFERROR(SUMIF(Nutzungsprofile!$B$6:$B$11,"Schulbetrieb",Nutzungsprofile!$G$6:$G$11)*Kalender!C301/SUM(Kalender!$C$5:$C$370),0)+IFERROR(SUMIF(Nutzungsprofile!$B$6:$B$11,"Halle",Nutzungsprofile!$G$6:$G$11)*Kalender!D301/SUM(Kalender!$D$5:$D$370),0)+IFERROR(SUMIF(Nutzungsprofile!$B$6:$B$11,"Individuell",Nutzungsprofile!$G$6:$G$11)*Kalender!E301/SUM(Kalender!$E$5:$E$370),0)),0)</f>
        <v>0</v>
      </c>
      <c r="E301" s="13" t="n">
        <f aca="false">IF(Prüfungen!$B$4=0,(IFERROR(SUMIF(Nutzungsprofile!$B$17:$B$22,"Schulbetrieb",Nutzungsprofile!$G$17:$G$22)*Kalender!C301/SUM(Kalender!$C$5:$C$370),0)+IFERROR(SUMIF(Nutzungsprofile!$B$17:$B$22,"Halle",Nutzungsprofile!$G$17:$G$22)*Kalender!D301/SUM(Kalender!$D$5:$D$370),0)+IFERROR(SUMIF(Nutzungsprofile!$B$17:$B$22,"Individuell",Nutzungsprofile!$G$17:$G$22)*Kalender!E301/SUM(Kalender!$E$5:$E$370),0)),0)</f>
        <v>0</v>
      </c>
      <c r="F301" s="13" t="n">
        <f aca="false">IFERROR(MIN(D301,Eingaben!$B$17)*Eingaben!$B$16,0)</f>
        <v>0</v>
      </c>
      <c r="G301" s="13" t="n">
        <f aca="false">IFERROR(F301*Eingaben!$B$15,0)</f>
        <v>0</v>
      </c>
      <c r="H301" s="13" t="n">
        <f aca="false">IFERROR(Q301*(1-Eingaben!$B$20),0)</f>
        <v>0.226233</v>
      </c>
      <c r="I301" s="13" t="n">
        <f aca="false">MIN(H301,E301)</f>
        <v>0</v>
      </c>
      <c r="J301" s="13" t="n">
        <f aca="false">IFERROR(MIN(G301*Eingaben!$B$19,MAX(0,E301-I301)),0)</f>
        <v>0</v>
      </c>
      <c r="K301" s="13" t="n">
        <f aca="false">IFERROR(MIN(Eingaben!$B$18,MAX(0,G301-J301)),0)</f>
        <v>0</v>
      </c>
      <c r="L301" s="13" t="n">
        <f aca="false">I301+J301</f>
        <v>0</v>
      </c>
      <c r="M301" s="13" t="n">
        <f aca="false">MAX(0,E301-L301)</f>
        <v>0</v>
      </c>
      <c r="N301" s="13" t="n">
        <f aca="false">MAX(0,G301-J301-K301)</f>
        <v>0</v>
      </c>
      <c r="O301" s="13" t="n">
        <f aca="false">Q301-I301</f>
        <v>0.23085</v>
      </c>
      <c r="P301" s="13" t="n">
        <f aca="false">G301+Q301-L301-N301-O301-K301</f>
        <v>0</v>
      </c>
      <c r="Q301" s="13" t="n">
        <f aca="false">IF(A301="",0,K300)</f>
        <v>0.23085</v>
      </c>
    </row>
    <row r="302" customFormat="false" ht="16.4" hidden="false" customHeight="false" outlineLevel="0" collapsed="false">
      <c r="A302" s="23" t="n">
        <f aca="false">Kalender!A302</f>
        <v>46320</v>
      </c>
      <c r="B302" s="13" t="n">
        <f aca="false">Kalender!C302</f>
        <v>0</v>
      </c>
      <c r="C302" s="13" t="n">
        <f aca="false">Kalender!D302</f>
        <v>0</v>
      </c>
      <c r="D302" s="13" t="n">
        <f aca="false">IF(Prüfungen!$B$4=0,(IFERROR(SUMIF(Nutzungsprofile!$B$6:$B$11,"Schulbetrieb",Nutzungsprofile!$G$6:$G$11)*Kalender!C302/SUM(Kalender!$C$5:$C$370),0)+IFERROR(SUMIF(Nutzungsprofile!$B$6:$B$11,"Halle",Nutzungsprofile!$G$6:$G$11)*Kalender!D302/SUM(Kalender!$D$5:$D$370),0)+IFERROR(SUMIF(Nutzungsprofile!$B$6:$B$11,"Individuell",Nutzungsprofile!$G$6:$G$11)*Kalender!E302/SUM(Kalender!$E$5:$E$370),0)),0)</f>
        <v>0</v>
      </c>
      <c r="E302" s="13" t="n">
        <f aca="false">IF(Prüfungen!$B$4=0,(IFERROR(SUMIF(Nutzungsprofile!$B$17:$B$22,"Schulbetrieb",Nutzungsprofile!$G$17:$G$22)*Kalender!C302/SUM(Kalender!$C$5:$C$370),0)+IFERROR(SUMIF(Nutzungsprofile!$B$17:$B$22,"Halle",Nutzungsprofile!$G$17:$G$22)*Kalender!D302/SUM(Kalender!$D$5:$D$370),0)+IFERROR(SUMIF(Nutzungsprofile!$B$17:$B$22,"Individuell",Nutzungsprofile!$G$17:$G$22)*Kalender!E302/SUM(Kalender!$E$5:$E$370),0)),0)</f>
        <v>0</v>
      </c>
      <c r="F302" s="13" t="n">
        <f aca="false">IFERROR(MIN(D302,Eingaben!$B$17)*Eingaben!$B$16,0)</f>
        <v>0</v>
      </c>
      <c r="G302" s="13" t="n">
        <f aca="false">IFERROR(F302*Eingaben!$B$15,0)</f>
        <v>0</v>
      </c>
      <c r="H302" s="13" t="n">
        <f aca="false">IFERROR(Q302*(1-Eingaben!$B$20),0)</f>
        <v>0</v>
      </c>
      <c r="I302" s="13" t="n">
        <f aca="false">MIN(H302,E302)</f>
        <v>0</v>
      </c>
      <c r="J302" s="13" t="n">
        <f aca="false">IFERROR(MIN(G302*Eingaben!$B$19,MAX(0,E302-I302)),0)</f>
        <v>0</v>
      </c>
      <c r="K302" s="13" t="n">
        <f aca="false">IFERROR(MIN(Eingaben!$B$18,MAX(0,G302-J302)),0)</f>
        <v>0</v>
      </c>
      <c r="L302" s="13" t="n">
        <f aca="false">I302+J302</f>
        <v>0</v>
      </c>
      <c r="M302" s="13" t="n">
        <f aca="false">MAX(0,E302-L302)</f>
        <v>0</v>
      </c>
      <c r="N302" s="13" t="n">
        <f aca="false">MAX(0,G302-J302-K302)</f>
        <v>0</v>
      </c>
      <c r="O302" s="13" t="n">
        <f aca="false">Q302-I302</f>
        <v>0</v>
      </c>
      <c r="P302" s="13" t="n">
        <f aca="false">G302+Q302-L302-N302-O302-K302</f>
        <v>0</v>
      </c>
      <c r="Q302" s="13" t="n">
        <f aca="false">IF(A302="",0,K301)</f>
        <v>0</v>
      </c>
    </row>
    <row r="303" customFormat="false" ht="16.4" hidden="false" customHeight="false" outlineLevel="0" collapsed="false">
      <c r="A303" s="23" t="n">
        <f aca="false">Kalender!A303</f>
        <v>46321</v>
      </c>
      <c r="B303" s="13" t="n">
        <f aca="false">Kalender!C303</f>
        <v>1</v>
      </c>
      <c r="C303" s="13" t="n">
        <f aca="false">Kalender!D303</f>
        <v>0</v>
      </c>
      <c r="D303" s="13" t="n">
        <f aca="false">IF(Prüfungen!$B$4=0,(IFERROR(SUMIF(Nutzungsprofile!$B$6:$B$11,"Schulbetrieb",Nutzungsprofile!$G$6:$G$11)*Kalender!C303/SUM(Kalender!$C$5:$C$370),0)+IFERROR(SUMIF(Nutzungsprofile!$B$6:$B$11,"Halle",Nutzungsprofile!$G$6:$G$11)*Kalender!D303/SUM(Kalender!$D$5:$D$370),0)+IFERROR(SUMIF(Nutzungsprofile!$B$6:$B$11,"Individuell",Nutzungsprofile!$G$6:$G$11)*Kalender!E303/SUM(Kalender!$E$5:$E$370),0)),0)</f>
        <v>0.9</v>
      </c>
      <c r="E303" s="13" t="n">
        <f aca="false">IF(Prüfungen!$B$4=0,(IFERROR(SUMIF(Nutzungsprofile!$B$17:$B$22,"Schulbetrieb",Nutzungsprofile!$G$17:$G$22)*Kalender!C303/SUM(Kalender!$C$5:$C$370),0)+IFERROR(SUMIF(Nutzungsprofile!$B$17:$B$22,"Halle",Nutzungsprofile!$G$17:$G$22)*Kalender!D303/SUM(Kalender!$D$5:$D$370),0)+IFERROR(SUMIF(Nutzungsprofile!$B$17:$B$22,"Individuell",Nutzungsprofile!$G$17:$G$22)*Kalender!E303/SUM(Kalender!$E$5:$E$370),0)),0)</f>
        <v>4.05</v>
      </c>
      <c r="F303" s="13" t="n">
        <f aca="false">IFERROR(MIN(D303,Eingaben!$B$17)*Eingaben!$B$16,0)</f>
        <v>0.855</v>
      </c>
      <c r="G303" s="13" t="n">
        <f aca="false">IFERROR(F303*Eingaben!$B$15,0)</f>
        <v>0.7695</v>
      </c>
      <c r="H303" s="13" t="n">
        <f aca="false">IFERROR(Q303*(1-Eingaben!$B$20),0)</f>
        <v>0</v>
      </c>
      <c r="I303" s="13" t="n">
        <f aca="false">MIN(H303,E303)</f>
        <v>0</v>
      </c>
      <c r="J303" s="13" t="n">
        <f aca="false">IFERROR(MIN(G303*Eingaben!$B$19,MAX(0,E303-I303)),0)</f>
        <v>0.53865</v>
      </c>
      <c r="K303" s="13" t="n">
        <f aca="false">IFERROR(MIN(Eingaben!$B$18,MAX(0,G303-J303)),0)</f>
        <v>0.23085</v>
      </c>
      <c r="L303" s="13" t="n">
        <f aca="false">I303+J303</f>
        <v>0.53865</v>
      </c>
      <c r="M303" s="13" t="n">
        <f aca="false">MAX(0,E303-L303)</f>
        <v>3.51135</v>
      </c>
      <c r="N303" s="13" t="n">
        <f aca="false">MAX(0,G303-J303-K303)</f>
        <v>0</v>
      </c>
      <c r="O303" s="13" t="n">
        <f aca="false">Q303-I303</f>
        <v>0</v>
      </c>
      <c r="P303" s="13" t="n">
        <f aca="false">G303+Q303-L303-N303-O303-K303</f>
        <v>0</v>
      </c>
      <c r="Q303" s="13" t="n">
        <f aca="false">IF(A303="",0,K302)</f>
        <v>0</v>
      </c>
    </row>
    <row r="304" customFormat="false" ht="16.4" hidden="false" customHeight="false" outlineLevel="0" collapsed="false">
      <c r="A304" s="23" t="n">
        <f aca="false">Kalender!A304</f>
        <v>46322</v>
      </c>
      <c r="B304" s="13" t="n">
        <f aca="false">Kalender!C304</f>
        <v>1</v>
      </c>
      <c r="C304" s="13" t="n">
        <f aca="false">Kalender!D304</f>
        <v>0</v>
      </c>
      <c r="D304" s="13" t="n">
        <f aca="false">IF(Prüfungen!$B$4=0,(IFERROR(SUMIF(Nutzungsprofile!$B$6:$B$11,"Schulbetrieb",Nutzungsprofile!$G$6:$G$11)*Kalender!C304/SUM(Kalender!$C$5:$C$370),0)+IFERROR(SUMIF(Nutzungsprofile!$B$6:$B$11,"Halle",Nutzungsprofile!$G$6:$G$11)*Kalender!D304/SUM(Kalender!$D$5:$D$370),0)+IFERROR(SUMIF(Nutzungsprofile!$B$6:$B$11,"Individuell",Nutzungsprofile!$G$6:$G$11)*Kalender!E304/SUM(Kalender!$E$5:$E$370),0)),0)</f>
        <v>0.9</v>
      </c>
      <c r="E304" s="13" t="n">
        <f aca="false">IF(Prüfungen!$B$4=0,(IFERROR(SUMIF(Nutzungsprofile!$B$17:$B$22,"Schulbetrieb",Nutzungsprofile!$G$17:$G$22)*Kalender!C304/SUM(Kalender!$C$5:$C$370),0)+IFERROR(SUMIF(Nutzungsprofile!$B$17:$B$22,"Halle",Nutzungsprofile!$G$17:$G$22)*Kalender!D304/SUM(Kalender!$D$5:$D$370),0)+IFERROR(SUMIF(Nutzungsprofile!$B$17:$B$22,"Individuell",Nutzungsprofile!$G$17:$G$22)*Kalender!E304/SUM(Kalender!$E$5:$E$370),0)),0)</f>
        <v>4.05</v>
      </c>
      <c r="F304" s="13" t="n">
        <f aca="false">IFERROR(MIN(D304,Eingaben!$B$17)*Eingaben!$B$16,0)</f>
        <v>0.855</v>
      </c>
      <c r="G304" s="13" t="n">
        <f aca="false">IFERROR(F304*Eingaben!$B$15,0)</f>
        <v>0.7695</v>
      </c>
      <c r="H304" s="13" t="n">
        <f aca="false">IFERROR(Q304*(1-Eingaben!$B$20),0)</f>
        <v>0.226233</v>
      </c>
      <c r="I304" s="13" t="n">
        <f aca="false">MIN(H304,E304)</f>
        <v>0.226233</v>
      </c>
      <c r="J304" s="13" t="n">
        <f aca="false">IFERROR(MIN(G304*Eingaben!$B$19,MAX(0,E304-I304)),0)</f>
        <v>0.53865</v>
      </c>
      <c r="K304" s="13" t="n">
        <f aca="false">IFERROR(MIN(Eingaben!$B$18,MAX(0,G304-J304)),0)</f>
        <v>0.23085</v>
      </c>
      <c r="L304" s="13" t="n">
        <f aca="false">I304+J304</f>
        <v>0.764883</v>
      </c>
      <c r="M304" s="13" t="n">
        <f aca="false">MAX(0,E304-L304)</f>
        <v>3.285117</v>
      </c>
      <c r="N304" s="13" t="n">
        <f aca="false">MAX(0,G304-J304-K304)</f>
        <v>0</v>
      </c>
      <c r="O304" s="13" t="n">
        <f aca="false">Q304-I304</f>
        <v>0.00461700000000001</v>
      </c>
      <c r="P304" s="13" t="n">
        <f aca="false">G304+Q304-L304-N304-O304-K304</f>
        <v>0</v>
      </c>
      <c r="Q304" s="13" t="n">
        <f aca="false">IF(A304="",0,K303)</f>
        <v>0.23085</v>
      </c>
    </row>
    <row r="305" customFormat="false" ht="16.4" hidden="false" customHeight="false" outlineLevel="0" collapsed="false">
      <c r="A305" s="23" t="n">
        <f aca="false">Kalender!A305</f>
        <v>46323</v>
      </c>
      <c r="B305" s="13" t="n">
        <f aca="false">Kalender!C305</f>
        <v>1</v>
      </c>
      <c r="C305" s="13" t="n">
        <f aca="false">Kalender!D305</f>
        <v>0</v>
      </c>
      <c r="D305" s="13" t="n">
        <f aca="false">IF(Prüfungen!$B$4=0,(IFERROR(SUMIF(Nutzungsprofile!$B$6:$B$11,"Schulbetrieb",Nutzungsprofile!$G$6:$G$11)*Kalender!C305/SUM(Kalender!$C$5:$C$370),0)+IFERROR(SUMIF(Nutzungsprofile!$B$6:$B$11,"Halle",Nutzungsprofile!$G$6:$G$11)*Kalender!D305/SUM(Kalender!$D$5:$D$370),0)+IFERROR(SUMIF(Nutzungsprofile!$B$6:$B$11,"Individuell",Nutzungsprofile!$G$6:$G$11)*Kalender!E305/SUM(Kalender!$E$5:$E$370),0)),0)</f>
        <v>0.9</v>
      </c>
      <c r="E305" s="13" t="n">
        <f aca="false">IF(Prüfungen!$B$4=0,(IFERROR(SUMIF(Nutzungsprofile!$B$17:$B$22,"Schulbetrieb",Nutzungsprofile!$G$17:$G$22)*Kalender!C305/SUM(Kalender!$C$5:$C$370),0)+IFERROR(SUMIF(Nutzungsprofile!$B$17:$B$22,"Halle",Nutzungsprofile!$G$17:$G$22)*Kalender!D305/SUM(Kalender!$D$5:$D$370),0)+IFERROR(SUMIF(Nutzungsprofile!$B$17:$B$22,"Individuell",Nutzungsprofile!$G$17:$G$22)*Kalender!E305/SUM(Kalender!$E$5:$E$370),0)),0)</f>
        <v>4.05</v>
      </c>
      <c r="F305" s="13" t="n">
        <f aca="false">IFERROR(MIN(D305,Eingaben!$B$17)*Eingaben!$B$16,0)</f>
        <v>0.855</v>
      </c>
      <c r="G305" s="13" t="n">
        <f aca="false">IFERROR(F305*Eingaben!$B$15,0)</f>
        <v>0.7695</v>
      </c>
      <c r="H305" s="13" t="n">
        <f aca="false">IFERROR(Q305*(1-Eingaben!$B$20),0)</f>
        <v>0.226233</v>
      </c>
      <c r="I305" s="13" t="n">
        <f aca="false">MIN(H305,E305)</f>
        <v>0.226233</v>
      </c>
      <c r="J305" s="13" t="n">
        <f aca="false">IFERROR(MIN(G305*Eingaben!$B$19,MAX(0,E305-I305)),0)</f>
        <v>0.53865</v>
      </c>
      <c r="K305" s="13" t="n">
        <f aca="false">IFERROR(MIN(Eingaben!$B$18,MAX(0,G305-J305)),0)</f>
        <v>0.23085</v>
      </c>
      <c r="L305" s="13" t="n">
        <f aca="false">I305+J305</f>
        <v>0.764883</v>
      </c>
      <c r="M305" s="13" t="n">
        <f aca="false">MAX(0,E305-L305)</f>
        <v>3.285117</v>
      </c>
      <c r="N305" s="13" t="n">
        <f aca="false">MAX(0,G305-J305-K305)</f>
        <v>0</v>
      </c>
      <c r="O305" s="13" t="n">
        <f aca="false">Q305-I305</f>
        <v>0.00461700000000001</v>
      </c>
      <c r="P305" s="13" t="n">
        <f aca="false">G305+Q305-L305-N305-O305-K305</f>
        <v>0</v>
      </c>
      <c r="Q305" s="13" t="n">
        <f aca="false">IF(A305="",0,K304)</f>
        <v>0.23085</v>
      </c>
    </row>
    <row r="306" customFormat="false" ht="16.4" hidden="false" customHeight="false" outlineLevel="0" collapsed="false">
      <c r="A306" s="23" t="n">
        <f aca="false">Kalender!A306</f>
        <v>46324</v>
      </c>
      <c r="B306" s="13" t="n">
        <f aca="false">Kalender!C306</f>
        <v>1</v>
      </c>
      <c r="C306" s="13" t="n">
        <f aca="false">Kalender!D306</f>
        <v>0</v>
      </c>
      <c r="D306" s="13" t="n">
        <f aca="false">IF(Prüfungen!$B$4=0,(IFERROR(SUMIF(Nutzungsprofile!$B$6:$B$11,"Schulbetrieb",Nutzungsprofile!$G$6:$G$11)*Kalender!C306/SUM(Kalender!$C$5:$C$370),0)+IFERROR(SUMIF(Nutzungsprofile!$B$6:$B$11,"Halle",Nutzungsprofile!$G$6:$G$11)*Kalender!D306/SUM(Kalender!$D$5:$D$370),0)+IFERROR(SUMIF(Nutzungsprofile!$B$6:$B$11,"Individuell",Nutzungsprofile!$G$6:$G$11)*Kalender!E306/SUM(Kalender!$E$5:$E$370),0)),0)</f>
        <v>0.9</v>
      </c>
      <c r="E306" s="13" t="n">
        <f aca="false">IF(Prüfungen!$B$4=0,(IFERROR(SUMIF(Nutzungsprofile!$B$17:$B$22,"Schulbetrieb",Nutzungsprofile!$G$17:$G$22)*Kalender!C306/SUM(Kalender!$C$5:$C$370),0)+IFERROR(SUMIF(Nutzungsprofile!$B$17:$B$22,"Halle",Nutzungsprofile!$G$17:$G$22)*Kalender!D306/SUM(Kalender!$D$5:$D$370),0)+IFERROR(SUMIF(Nutzungsprofile!$B$17:$B$22,"Individuell",Nutzungsprofile!$G$17:$G$22)*Kalender!E306/SUM(Kalender!$E$5:$E$370),0)),0)</f>
        <v>4.05</v>
      </c>
      <c r="F306" s="13" t="n">
        <f aca="false">IFERROR(MIN(D306,Eingaben!$B$17)*Eingaben!$B$16,0)</f>
        <v>0.855</v>
      </c>
      <c r="G306" s="13" t="n">
        <f aca="false">IFERROR(F306*Eingaben!$B$15,0)</f>
        <v>0.7695</v>
      </c>
      <c r="H306" s="13" t="n">
        <f aca="false">IFERROR(Q306*(1-Eingaben!$B$20),0)</f>
        <v>0.226233</v>
      </c>
      <c r="I306" s="13" t="n">
        <f aca="false">MIN(H306,E306)</f>
        <v>0.226233</v>
      </c>
      <c r="J306" s="13" t="n">
        <f aca="false">IFERROR(MIN(G306*Eingaben!$B$19,MAX(0,E306-I306)),0)</f>
        <v>0.53865</v>
      </c>
      <c r="K306" s="13" t="n">
        <f aca="false">IFERROR(MIN(Eingaben!$B$18,MAX(0,G306-J306)),0)</f>
        <v>0.23085</v>
      </c>
      <c r="L306" s="13" t="n">
        <f aca="false">I306+J306</f>
        <v>0.764883</v>
      </c>
      <c r="M306" s="13" t="n">
        <f aca="false">MAX(0,E306-L306)</f>
        <v>3.285117</v>
      </c>
      <c r="N306" s="13" t="n">
        <f aca="false">MAX(0,G306-J306-K306)</f>
        <v>0</v>
      </c>
      <c r="O306" s="13" t="n">
        <f aca="false">Q306-I306</f>
        <v>0.00461700000000001</v>
      </c>
      <c r="P306" s="13" t="n">
        <f aca="false">G306+Q306-L306-N306-O306-K306</f>
        <v>0</v>
      </c>
      <c r="Q306" s="13" t="n">
        <f aca="false">IF(A306="",0,K305)</f>
        <v>0.23085</v>
      </c>
    </row>
    <row r="307" customFormat="false" ht="16.4" hidden="false" customHeight="false" outlineLevel="0" collapsed="false">
      <c r="A307" s="23" t="n">
        <f aca="false">Kalender!A307</f>
        <v>46325</v>
      </c>
      <c r="B307" s="13" t="n">
        <f aca="false">Kalender!C307</f>
        <v>1</v>
      </c>
      <c r="C307" s="13" t="n">
        <f aca="false">Kalender!D307</f>
        <v>0</v>
      </c>
      <c r="D307" s="13" t="n">
        <f aca="false">IF(Prüfungen!$B$4=0,(IFERROR(SUMIF(Nutzungsprofile!$B$6:$B$11,"Schulbetrieb",Nutzungsprofile!$G$6:$G$11)*Kalender!C307/SUM(Kalender!$C$5:$C$370),0)+IFERROR(SUMIF(Nutzungsprofile!$B$6:$B$11,"Halle",Nutzungsprofile!$G$6:$G$11)*Kalender!D307/SUM(Kalender!$D$5:$D$370),0)+IFERROR(SUMIF(Nutzungsprofile!$B$6:$B$11,"Individuell",Nutzungsprofile!$G$6:$G$11)*Kalender!E307/SUM(Kalender!$E$5:$E$370),0)),0)</f>
        <v>0.9</v>
      </c>
      <c r="E307" s="13" t="n">
        <f aca="false">IF(Prüfungen!$B$4=0,(IFERROR(SUMIF(Nutzungsprofile!$B$17:$B$22,"Schulbetrieb",Nutzungsprofile!$G$17:$G$22)*Kalender!C307/SUM(Kalender!$C$5:$C$370),0)+IFERROR(SUMIF(Nutzungsprofile!$B$17:$B$22,"Halle",Nutzungsprofile!$G$17:$G$22)*Kalender!D307/SUM(Kalender!$D$5:$D$370),0)+IFERROR(SUMIF(Nutzungsprofile!$B$17:$B$22,"Individuell",Nutzungsprofile!$G$17:$G$22)*Kalender!E307/SUM(Kalender!$E$5:$E$370),0)),0)</f>
        <v>4.05</v>
      </c>
      <c r="F307" s="13" t="n">
        <f aca="false">IFERROR(MIN(D307,Eingaben!$B$17)*Eingaben!$B$16,0)</f>
        <v>0.855</v>
      </c>
      <c r="G307" s="13" t="n">
        <f aca="false">IFERROR(F307*Eingaben!$B$15,0)</f>
        <v>0.7695</v>
      </c>
      <c r="H307" s="13" t="n">
        <f aca="false">IFERROR(Q307*(1-Eingaben!$B$20),0)</f>
        <v>0.226233</v>
      </c>
      <c r="I307" s="13" t="n">
        <f aca="false">MIN(H307,E307)</f>
        <v>0.226233</v>
      </c>
      <c r="J307" s="13" t="n">
        <f aca="false">IFERROR(MIN(G307*Eingaben!$B$19,MAX(0,E307-I307)),0)</f>
        <v>0.53865</v>
      </c>
      <c r="K307" s="13" t="n">
        <f aca="false">IFERROR(MIN(Eingaben!$B$18,MAX(0,G307-J307)),0)</f>
        <v>0.23085</v>
      </c>
      <c r="L307" s="13" t="n">
        <f aca="false">I307+J307</f>
        <v>0.764883</v>
      </c>
      <c r="M307" s="13" t="n">
        <f aca="false">MAX(0,E307-L307)</f>
        <v>3.285117</v>
      </c>
      <c r="N307" s="13" t="n">
        <f aca="false">MAX(0,G307-J307-K307)</f>
        <v>0</v>
      </c>
      <c r="O307" s="13" t="n">
        <f aca="false">Q307-I307</f>
        <v>0.00461700000000001</v>
      </c>
      <c r="P307" s="13" t="n">
        <f aca="false">G307+Q307-L307-N307-O307-K307</f>
        <v>0</v>
      </c>
      <c r="Q307" s="13" t="n">
        <f aca="false">IF(A307="",0,K306)</f>
        <v>0.23085</v>
      </c>
    </row>
    <row r="308" customFormat="false" ht="16.4" hidden="false" customHeight="false" outlineLevel="0" collapsed="false">
      <c r="A308" s="23" t="n">
        <f aca="false">Kalender!A308</f>
        <v>46326</v>
      </c>
      <c r="B308" s="13" t="n">
        <f aca="false">Kalender!C308</f>
        <v>0</v>
      </c>
      <c r="C308" s="13" t="n">
        <f aca="false">Kalender!D308</f>
        <v>0</v>
      </c>
      <c r="D308" s="13" t="n">
        <f aca="false">IF(Prüfungen!$B$4=0,(IFERROR(SUMIF(Nutzungsprofile!$B$6:$B$11,"Schulbetrieb",Nutzungsprofile!$G$6:$G$11)*Kalender!C308/SUM(Kalender!$C$5:$C$370),0)+IFERROR(SUMIF(Nutzungsprofile!$B$6:$B$11,"Halle",Nutzungsprofile!$G$6:$G$11)*Kalender!D308/SUM(Kalender!$D$5:$D$370),0)+IFERROR(SUMIF(Nutzungsprofile!$B$6:$B$11,"Individuell",Nutzungsprofile!$G$6:$G$11)*Kalender!E308/SUM(Kalender!$E$5:$E$370),0)),0)</f>
        <v>0</v>
      </c>
      <c r="E308" s="13" t="n">
        <f aca="false">IF(Prüfungen!$B$4=0,(IFERROR(SUMIF(Nutzungsprofile!$B$17:$B$22,"Schulbetrieb",Nutzungsprofile!$G$17:$G$22)*Kalender!C308/SUM(Kalender!$C$5:$C$370),0)+IFERROR(SUMIF(Nutzungsprofile!$B$17:$B$22,"Halle",Nutzungsprofile!$G$17:$G$22)*Kalender!D308/SUM(Kalender!$D$5:$D$370),0)+IFERROR(SUMIF(Nutzungsprofile!$B$17:$B$22,"Individuell",Nutzungsprofile!$G$17:$G$22)*Kalender!E308/SUM(Kalender!$E$5:$E$370),0)),0)</f>
        <v>0</v>
      </c>
      <c r="F308" s="13" t="n">
        <f aca="false">IFERROR(MIN(D308,Eingaben!$B$17)*Eingaben!$B$16,0)</f>
        <v>0</v>
      </c>
      <c r="G308" s="13" t="n">
        <f aca="false">IFERROR(F308*Eingaben!$B$15,0)</f>
        <v>0</v>
      </c>
      <c r="H308" s="13" t="n">
        <f aca="false">IFERROR(Q308*(1-Eingaben!$B$20),0)</f>
        <v>0.226233</v>
      </c>
      <c r="I308" s="13" t="n">
        <f aca="false">MIN(H308,E308)</f>
        <v>0</v>
      </c>
      <c r="J308" s="13" t="n">
        <f aca="false">IFERROR(MIN(G308*Eingaben!$B$19,MAX(0,E308-I308)),0)</f>
        <v>0</v>
      </c>
      <c r="K308" s="13" t="n">
        <f aca="false">IFERROR(MIN(Eingaben!$B$18,MAX(0,G308-J308)),0)</f>
        <v>0</v>
      </c>
      <c r="L308" s="13" t="n">
        <f aca="false">I308+J308</f>
        <v>0</v>
      </c>
      <c r="M308" s="13" t="n">
        <f aca="false">MAX(0,E308-L308)</f>
        <v>0</v>
      </c>
      <c r="N308" s="13" t="n">
        <f aca="false">MAX(0,G308-J308-K308)</f>
        <v>0</v>
      </c>
      <c r="O308" s="13" t="n">
        <f aca="false">Q308-I308</f>
        <v>0.23085</v>
      </c>
      <c r="P308" s="13" t="n">
        <f aca="false">G308+Q308-L308-N308-O308-K308</f>
        <v>0</v>
      </c>
      <c r="Q308" s="13" t="n">
        <f aca="false">IF(A308="",0,K307)</f>
        <v>0.23085</v>
      </c>
    </row>
    <row r="309" customFormat="false" ht="16.4" hidden="false" customHeight="false" outlineLevel="0" collapsed="false">
      <c r="A309" s="23" t="n">
        <f aca="false">Kalender!A309</f>
        <v>46327</v>
      </c>
      <c r="B309" s="13" t="n">
        <f aca="false">Kalender!C309</f>
        <v>0</v>
      </c>
      <c r="C309" s="13" t="n">
        <f aca="false">Kalender!D309</f>
        <v>0</v>
      </c>
      <c r="D309" s="13" t="n">
        <f aca="false">IF(Prüfungen!$B$4=0,(IFERROR(SUMIF(Nutzungsprofile!$B$6:$B$11,"Schulbetrieb",Nutzungsprofile!$G$6:$G$11)*Kalender!C309/SUM(Kalender!$C$5:$C$370),0)+IFERROR(SUMIF(Nutzungsprofile!$B$6:$B$11,"Halle",Nutzungsprofile!$G$6:$G$11)*Kalender!D309/SUM(Kalender!$D$5:$D$370),0)+IFERROR(SUMIF(Nutzungsprofile!$B$6:$B$11,"Individuell",Nutzungsprofile!$G$6:$G$11)*Kalender!E309/SUM(Kalender!$E$5:$E$370),0)),0)</f>
        <v>0</v>
      </c>
      <c r="E309" s="13" t="n">
        <f aca="false">IF(Prüfungen!$B$4=0,(IFERROR(SUMIF(Nutzungsprofile!$B$17:$B$22,"Schulbetrieb",Nutzungsprofile!$G$17:$G$22)*Kalender!C309/SUM(Kalender!$C$5:$C$370),0)+IFERROR(SUMIF(Nutzungsprofile!$B$17:$B$22,"Halle",Nutzungsprofile!$G$17:$G$22)*Kalender!D309/SUM(Kalender!$D$5:$D$370),0)+IFERROR(SUMIF(Nutzungsprofile!$B$17:$B$22,"Individuell",Nutzungsprofile!$G$17:$G$22)*Kalender!E309/SUM(Kalender!$E$5:$E$370),0)),0)</f>
        <v>0</v>
      </c>
      <c r="F309" s="13" t="n">
        <f aca="false">IFERROR(MIN(D309,Eingaben!$B$17)*Eingaben!$B$16,0)</f>
        <v>0</v>
      </c>
      <c r="G309" s="13" t="n">
        <f aca="false">IFERROR(F309*Eingaben!$B$15,0)</f>
        <v>0</v>
      </c>
      <c r="H309" s="13" t="n">
        <f aca="false">IFERROR(Q309*(1-Eingaben!$B$20),0)</f>
        <v>0</v>
      </c>
      <c r="I309" s="13" t="n">
        <f aca="false">MIN(H309,E309)</f>
        <v>0</v>
      </c>
      <c r="J309" s="13" t="n">
        <f aca="false">IFERROR(MIN(G309*Eingaben!$B$19,MAX(0,E309-I309)),0)</f>
        <v>0</v>
      </c>
      <c r="K309" s="13" t="n">
        <f aca="false">IFERROR(MIN(Eingaben!$B$18,MAX(0,G309-J309)),0)</f>
        <v>0</v>
      </c>
      <c r="L309" s="13" t="n">
        <f aca="false">I309+J309</f>
        <v>0</v>
      </c>
      <c r="M309" s="13" t="n">
        <f aca="false">MAX(0,E309-L309)</f>
        <v>0</v>
      </c>
      <c r="N309" s="13" t="n">
        <f aca="false">MAX(0,G309-J309-K309)</f>
        <v>0</v>
      </c>
      <c r="O309" s="13" t="n">
        <f aca="false">Q309-I309</f>
        <v>0</v>
      </c>
      <c r="P309" s="13" t="n">
        <f aca="false">G309+Q309-L309-N309-O309-K309</f>
        <v>0</v>
      </c>
      <c r="Q309" s="13" t="n">
        <f aca="false">IF(A309="",0,K308)</f>
        <v>0</v>
      </c>
    </row>
    <row r="310" customFormat="false" ht="16.4" hidden="false" customHeight="false" outlineLevel="0" collapsed="false">
      <c r="A310" s="23" t="n">
        <f aca="false">Kalender!A310</f>
        <v>46328</v>
      </c>
      <c r="B310" s="13" t="n">
        <f aca="false">Kalender!C310</f>
        <v>1</v>
      </c>
      <c r="C310" s="13" t="n">
        <f aca="false">Kalender!D310</f>
        <v>0</v>
      </c>
      <c r="D310" s="13" t="n">
        <f aca="false">IF(Prüfungen!$B$4=0,(IFERROR(SUMIF(Nutzungsprofile!$B$6:$B$11,"Schulbetrieb",Nutzungsprofile!$G$6:$G$11)*Kalender!C310/SUM(Kalender!$C$5:$C$370),0)+IFERROR(SUMIF(Nutzungsprofile!$B$6:$B$11,"Halle",Nutzungsprofile!$G$6:$G$11)*Kalender!D310/SUM(Kalender!$D$5:$D$370),0)+IFERROR(SUMIF(Nutzungsprofile!$B$6:$B$11,"Individuell",Nutzungsprofile!$G$6:$G$11)*Kalender!E310/SUM(Kalender!$E$5:$E$370),0)),0)</f>
        <v>0.9</v>
      </c>
      <c r="E310" s="13" t="n">
        <f aca="false">IF(Prüfungen!$B$4=0,(IFERROR(SUMIF(Nutzungsprofile!$B$17:$B$22,"Schulbetrieb",Nutzungsprofile!$G$17:$G$22)*Kalender!C310/SUM(Kalender!$C$5:$C$370),0)+IFERROR(SUMIF(Nutzungsprofile!$B$17:$B$22,"Halle",Nutzungsprofile!$G$17:$G$22)*Kalender!D310/SUM(Kalender!$D$5:$D$370),0)+IFERROR(SUMIF(Nutzungsprofile!$B$17:$B$22,"Individuell",Nutzungsprofile!$G$17:$G$22)*Kalender!E310/SUM(Kalender!$E$5:$E$370),0)),0)</f>
        <v>4.05</v>
      </c>
      <c r="F310" s="13" t="n">
        <f aca="false">IFERROR(MIN(D310,Eingaben!$B$17)*Eingaben!$B$16,0)</f>
        <v>0.855</v>
      </c>
      <c r="G310" s="13" t="n">
        <f aca="false">IFERROR(F310*Eingaben!$B$15,0)</f>
        <v>0.7695</v>
      </c>
      <c r="H310" s="13" t="n">
        <f aca="false">IFERROR(Q310*(1-Eingaben!$B$20),0)</f>
        <v>0</v>
      </c>
      <c r="I310" s="13" t="n">
        <f aca="false">MIN(H310,E310)</f>
        <v>0</v>
      </c>
      <c r="J310" s="13" t="n">
        <f aca="false">IFERROR(MIN(G310*Eingaben!$B$19,MAX(0,E310-I310)),0)</f>
        <v>0.53865</v>
      </c>
      <c r="K310" s="13" t="n">
        <f aca="false">IFERROR(MIN(Eingaben!$B$18,MAX(0,G310-J310)),0)</f>
        <v>0.23085</v>
      </c>
      <c r="L310" s="13" t="n">
        <f aca="false">I310+J310</f>
        <v>0.53865</v>
      </c>
      <c r="M310" s="13" t="n">
        <f aca="false">MAX(0,E310-L310)</f>
        <v>3.51135</v>
      </c>
      <c r="N310" s="13" t="n">
        <f aca="false">MAX(0,G310-J310-K310)</f>
        <v>0</v>
      </c>
      <c r="O310" s="13" t="n">
        <f aca="false">Q310-I310</f>
        <v>0</v>
      </c>
      <c r="P310" s="13" t="n">
        <f aca="false">G310+Q310-L310-N310-O310-K310</f>
        <v>0</v>
      </c>
      <c r="Q310" s="13" t="n">
        <f aca="false">IF(A310="",0,K309)</f>
        <v>0</v>
      </c>
    </row>
    <row r="311" customFormat="false" ht="16.4" hidden="false" customHeight="false" outlineLevel="0" collapsed="false">
      <c r="A311" s="23" t="n">
        <f aca="false">Kalender!A311</f>
        <v>46329</v>
      </c>
      <c r="B311" s="13" t="n">
        <f aca="false">Kalender!C311</f>
        <v>1</v>
      </c>
      <c r="C311" s="13" t="n">
        <f aca="false">Kalender!D311</f>
        <v>0</v>
      </c>
      <c r="D311" s="13" t="n">
        <f aca="false">IF(Prüfungen!$B$4=0,(IFERROR(SUMIF(Nutzungsprofile!$B$6:$B$11,"Schulbetrieb",Nutzungsprofile!$G$6:$G$11)*Kalender!C311/SUM(Kalender!$C$5:$C$370),0)+IFERROR(SUMIF(Nutzungsprofile!$B$6:$B$11,"Halle",Nutzungsprofile!$G$6:$G$11)*Kalender!D311/SUM(Kalender!$D$5:$D$370),0)+IFERROR(SUMIF(Nutzungsprofile!$B$6:$B$11,"Individuell",Nutzungsprofile!$G$6:$G$11)*Kalender!E311/SUM(Kalender!$E$5:$E$370),0)),0)</f>
        <v>0.9</v>
      </c>
      <c r="E311" s="13" t="n">
        <f aca="false">IF(Prüfungen!$B$4=0,(IFERROR(SUMIF(Nutzungsprofile!$B$17:$B$22,"Schulbetrieb",Nutzungsprofile!$G$17:$G$22)*Kalender!C311/SUM(Kalender!$C$5:$C$370),0)+IFERROR(SUMIF(Nutzungsprofile!$B$17:$B$22,"Halle",Nutzungsprofile!$G$17:$G$22)*Kalender!D311/SUM(Kalender!$D$5:$D$370),0)+IFERROR(SUMIF(Nutzungsprofile!$B$17:$B$22,"Individuell",Nutzungsprofile!$G$17:$G$22)*Kalender!E311/SUM(Kalender!$E$5:$E$370),0)),0)</f>
        <v>4.05</v>
      </c>
      <c r="F311" s="13" t="n">
        <f aca="false">IFERROR(MIN(D311,Eingaben!$B$17)*Eingaben!$B$16,0)</f>
        <v>0.855</v>
      </c>
      <c r="G311" s="13" t="n">
        <f aca="false">IFERROR(F311*Eingaben!$B$15,0)</f>
        <v>0.7695</v>
      </c>
      <c r="H311" s="13" t="n">
        <f aca="false">IFERROR(Q311*(1-Eingaben!$B$20),0)</f>
        <v>0.226233</v>
      </c>
      <c r="I311" s="13" t="n">
        <f aca="false">MIN(H311,E311)</f>
        <v>0.226233</v>
      </c>
      <c r="J311" s="13" t="n">
        <f aca="false">IFERROR(MIN(G311*Eingaben!$B$19,MAX(0,E311-I311)),0)</f>
        <v>0.53865</v>
      </c>
      <c r="K311" s="13" t="n">
        <f aca="false">IFERROR(MIN(Eingaben!$B$18,MAX(0,G311-J311)),0)</f>
        <v>0.23085</v>
      </c>
      <c r="L311" s="13" t="n">
        <f aca="false">I311+J311</f>
        <v>0.764883</v>
      </c>
      <c r="M311" s="13" t="n">
        <f aca="false">MAX(0,E311-L311)</f>
        <v>3.285117</v>
      </c>
      <c r="N311" s="13" t="n">
        <f aca="false">MAX(0,G311-J311-K311)</f>
        <v>0</v>
      </c>
      <c r="O311" s="13" t="n">
        <f aca="false">Q311-I311</f>
        <v>0.00461700000000001</v>
      </c>
      <c r="P311" s="13" t="n">
        <f aca="false">G311+Q311-L311-N311-O311-K311</f>
        <v>0</v>
      </c>
      <c r="Q311" s="13" t="n">
        <f aca="false">IF(A311="",0,K310)</f>
        <v>0.23085</v>
      </c>
    </row>
    <row r="312" customFormat="false" ht="16.4" hidden="false" customHeight="false" outlineLevel="0" collapsed="false">
      <c r="A312" s="23" t="n">
        <f aca="false">Kalender!A312</f>
        <v>46330</v>
      </c>
      <c r="B312" s="13" t="n">
        <f aca="false">Kalender!C312</f>
        <v>1</v>
      </c>
      <c r="C312" s="13" t="n">
        <f aca="false">Kalender!D312</f>
        <v>0</v>
      </c>
      <c r="D312" s="13" t="n">
        <f aca="false">IF(Prüfungen!$B$4=0,(IFERROR(SUMIF(Nutzungsprofile!$B$6:$B$11,"Schulbetrieb",Nutzungsprofile!$G$6:$G$11)*Kalender!C312/SUM(Kalender!$C$5:$C$370),0)+IFERROR(SUMIF(Nutzungsprofile!$B$6:$B$11,"Halle",Nutzungsprofile!$G$6:$G$11)*Kalender!D312/SUM(Kalender!$D$5:$D$370),0)+IFERROR(SUMIF(Nutzungsprofile!$B$6:$B$11,"Individuell",Nutzungsprofile!$G$6:$G$11)*Kalender!E312/SUM(Kalender!$E$5:$E$370),0)),0)</f>
        <v>0.9</v>
      </c>
      <c r="E312" s="13" t="n">
        <f aca="false">IF(Prüfungen!$B$4=0,(IFERROR(SUMIF(Nutzungsprofile!$B$17:$B$22,"Schulbetrieb",Nutzungsprofile!$G$17:$G$22)*Kalender!C312/SUM(Kalender!$C$5:$C$370),0)+IFERROR(SUMIF(Nutzungsprofile!$B$17:$B$22,"Halle",Nutzungsprofile!$G$17:$G$22)*Kalender!D312/SUM(Kalender!$D$5:$D$370),0)+IFERROR(SUMIF(Nutzungsprofile!$B$17:$B$22,"Individuell",Nutzungsprofile!$G$17:$G$22)*Kalender!E312/SUM(Kalender!$E$5:$E$370),0)),0)</f>
        <v>4.05</v>
      </c>
      <c r="F312" s="13" t="n">
        <f aca="false">IFERROR(MIN(D312,Eingaben!$B$17)*Eingaben!$B$16,0)</f>
        <v>0.855</v>
      </c>
      <c r="G312" s="13" t="n">
        <f aca="false">IFERROR(F312*Eingaben!$B$15,0)</f>
        <v>0.7695</v>
      </c>
      <c r="H312" s="13" t="n">
        <f aca="false">IFERROR(Q312*(1-Eingaben!$B$20),0)</f>
        <v>0.226233</v>
      </c>
      <c r="I312" s="13" t="n">
        <f aca="false">MIN(H312,E312)</f>
        <v>0.226233</v>
      </c>
      <c r="J312" s="13" t="n">
        <f aca="false">IFERROR(MIN(G312*Eingaben!$B$19,MAX(0,E312-I312)),0)</f>
        <v>0.53865</v>
      </c>
      <c r="K312" s="13" t="n">
        <f aca="false">IFERROR(MIN(Eingaben!$B$18,MAX(0,G312-J312)),0)</f>
        <v>0.23085</v>
      </c>
      <c r="L312" s="13" t="n">
        <f aca="false">I312+J312</f>
        <v>0.764883</v>
      </c>
      <c r="M312" s="13" t="n">
        <f aca="false">MAX(0,E312-L312)</f>
        <v>3.285117</v>
      </c>
      <c r="N312" s="13" t="n">
        <f aca="false">MAX(0,G312-J312-K312)</f>
        <v>0</v>
      </c>
      <c r="O312" s="13" t="n">
        <f aca="false">Q312-I312</f>
        <v>0.00461700000000001</v>
      </c>
      <c r="P312" s="13" t="n">
        <f aca="false">G312+Q312-L312-N312-O312-K312</f>
        <v>0</v>
      </c>
      <c r="Q312" s="13" t="n">
        <f aca="false">IF(A312="",0,K311)</f>
        <v>0.23085</v>
      </c>
    </row>
    <row r="313" customFormat="false" ht="16.4" hidden="false" customHeight="false" outlineLevel="0" collapsed="false">
      <c r="A313" s="23" t="n">
        <f aca="false">Kalender!A313</f>
        <v>46331</v>
      </c>
      <c r="B313" s="13" t="n">
        <f aca="false">Kalender!C313</f>
        <v>1</v>
      </c>
      <c r="C313" s="13" t="n">
        <f aca="false">Kalender!D313</f>
        <v>0</v>
      </c>
      <c r="D313" s="13" t="n">
        <f aca="false">IF(Prüfungen!$B$4=0,(IFERROR(SUMIF(Nutzungsprofile!$B$6:$B$11,"Schulbetrieb",Nutzungsprofile!$G$6:$G$11)*Kalender!C313/SUM(Kalender!$C$5:$C$370),0)+IFERROR(SUMIF(Nutzungsprofile!$B$6:$B$11,"Halle",Nutzungsprofile!$G$6:$G$11)*Kalender!D313/SUM(Kalender!$D$5:$D$370),0)+IFERROR(SUMIF(Nutzungsprofile!$B$6:$B$11,"Individuell",Nutzungsprofile!$G$6:$G$11)*Kalender!E313/SUM(Kalender!$E$5:$E$370),0)),0)</f>
        <v>0.9</v>
      </c>
      <c r="E313" s="13" t="n">
        <f aca="false">IF(Prüfungen!$B$4=0,(IFERROR(SUMIF(Nutzungsprofile!$B$17:$B$22,"Schulbetrieb",Nutzungsprofile!$G$17:$G$22)*Kalender!C313/SUM(Kalender!$C$5:$C$370),0)+IFERROR(SUMIF(Nutzungsprofile!$B$17:$B$22,"Halle",Nutzungsprofile!$G$17:$G$22)*Kalender!D313/SUM(Kalender!$D$5:$D$370),0)+IFERROR(SUMIF(Nutzungsprofile!$B$17:$B$22,"Individuell",Nutzungsprofile!$G$17:$G$22)*Kalender!E313/SUM(Kalender!$E$5:$E$370),0)),0)</f>
        <v>4.05</v>
      </c>
      <c r="F313" s="13" t="n">
        <f aca="false">IFERROR(MIN(D313,Eingaben!$B$17)*Eingaben!$B$16,0)</f>
        <v>0.855</v>
      </c>
      <c r="G313" s="13" t="n">
        <f aca="false">IFERROR(F313*Eingaben!$B$15,0)</f>
        <v>0.7695</v>
      </c>
      <c r="H313" s="13" t="n">
        <f aca="false">IFERROR(Q313*(1-Eingaben!$B$20),0)</f>
        <v>0.226233</v>
      </c>
      <c r="I313" s="13" t="n">
        <f aca="false">MIN(H313,E313)</f>
        <v>0.226233</v>
      </c>
      <c r="J313" s="13" t="n">
        <f aca="false">IFERROR(MIN(G313*Eingaben!$B$19,MAX(0,E313-I313)),0)</f>
        <v>0.53865</v>
      </c>
      <c r="K313" s="13" t="n">
        <f aca="false">IFERROR(MIN(Eingaben!$B$18,MAX(0,G313-J313)),0)</f>
        <v>0.23085</v>
      </c>
      <c r="L313" s="13" t="n">
        <f aca="false">I313+J313</f>
        <v>0.764883</v>
      </c>
      <c r="M313" s="13" t="n">
        <f aca="false">MAX(0,E313-L313)</f>
        <v>3.285117</v>
      </c>
      <c r="N313" s="13" t="n">
        <f aca="false">MAX(0,G313-J313-K313)</f>
        <v>0</v>
      </c>
      <c r="O313" s="13" t="n">
        <f aca="false">Q313-I313</f>
        <v>0.00461700000000001</v>
      </c>
      <c r="P313" s="13" t="n">
        <f aca="false">G313+Q313-L313-N313-O313-K313</f>
        <v>0</v>
      </c>
      <c r="Q313" s="13" t="n">
        <f aca="false">IF(A313="",0,K312)</f>
        <v>0.23085</v>
      </c>
    </row>
    <row r="314" customFormat="false" ht="16.4" hidden="false" customHeight="false" outlineLevel="0" collapsed="false">
      <c r="A314" s="23" t="n">
        <f aca="false">Kalender!A314</f>
        <v>46332</v>
      </c>
      <c r="B314" s="13" t="n">
        <f aca="false">Kalender!C314</f>
        <v>1</v>
      </c>
      <c r="C314" s="13" t="n">
        <f aca="false">Kalender!D314</f>
        <v>0</v>
      </c>
      <c r="D314" s="13" t="n">
        <f aca="false">IF(Prüfungen!$B$4=0,(IFERROR(SUMIF(Nutzungsprofile!$B$6:$B$11,"Schulbetrieb",Nutzungsprofile!$G$6:$G$11)*Kalender!C314/SUM(Kalender!$C$5:$C$370),0)+IFERROR(SUMIF(Nutzungsprofile!$B$6:$B$11,"Halle",Nutzungsprofile!$G$6:$G$11)*Kalender!D314/SUM(Kalender!$D$5:$D$370),0)+IFERROR(SUMIF(Nutzungsprofile!$B$6:$B$11,"Individuell",Nutzungsprofile!$G$6:$G$11)*Kalender!E314/SUM(Kalender!$E$5:$E$370),0)),0)</f>
        <v>0.9</v>
      </c>
      <c r="E314" s="13" t="n">
        <f aca="false">IF(Prüfungen!$B$4=0,(IFERROR(SUMIF(Nutzungsprofile!$B$17:$B$22,"Schulbetrieb",Nutzungsprofile!$G$17:$G$22)*Kalender!C314/SUM(Kalender!$C$5:$C$370),0)+IFERROR(SUMIF(Nutzungsprofile!$B$17:$B$22,"Halle",Nutzungsprofile!$G$17:$G$22)*Kalender!D314/SUM(Kalender!$D$5:$D$370),0)+IFERROR(SUMIF(Nutzungsprofile!$B$17:$B$22,"Individuell",Nutzungsprofile!$G$17:$G$22)*Kalender!E314/SUM(Kalender!$E$5:$E$370),0)),0)</f>
        <v>4.05</v>
      </c>
      <c r="F314" s="13" t="n">
        <f aca="false">IFERROR(MIN(D314,Eingaben!$B$17)*Eingaben!$B$16,0)</f>
        <v>0.855</v>
      </c>
      <c r="G314" s="13" t="n">
        <f aca="false">IFERROR(F314*Eingaben!$B$15,0)</f>
        <v>0.7695</v>
      </c>
      <c r="H314" s="13" t="n">
        <f aca="false">IFERROR(Q314*(1-Eingaben!$B$20),0)</f>
        <v>0.226233</v>
      </c>
      <c r="I314" s="13" t="n">
        <f aca="false">MIN(H314,E314)</f>
        <v>0.226233</v>
      </c>
      <c r="J314" s="13" t="n">
        <f aca="false">IFERROR(MIN(G314*Eingaben!$B$19,MAX(0,E314-I314)),0)</f>
        <v>0.53865</v>
      </c>
      <c r="K314" s="13" t="n">
        <f aca="false">IFERROR(MIN(Eingaben!$B$18,MAX(0,G314-J314)),0)</f>
        <v>0.23085</v>
      </c>
      <c r="L314" s="13" t="n">
        <f aca="false">I314+J314</f>
        <v>0.764883</v>
      </c>
      <c r="M314" s="13" t="n">
        <f aca="false">MAX(0,E314-L314)</f>
        <v>3.285117</v>
      </c>
      <c r="N314" s="13" t="n">
        <f aca="false">MAX(0,G314-J314-K314)</f>
        <v>0</v>
      </c>
      <c r="O314" s="13" t="n">
        <f aca="false">Q314-I314</f>
        <v>0.00461700000000001</v>
      </c>
      <c r="P314" s="13" t="n">
        <f aca="false">G314+Q314-L314-N314-O314-K314</f>
        <v>0</v>
      </c>
      <c r="Q314" s="13" t="n">
        <f aca="false">IF(A314="",0,K313)</f>
        <v>0.23085</v>
      </c>
    </row>
    <row r="315" customFormat="false" ht="16.4" hidden="false" customHeight="false" outlineLevel="0" collapsed="false">
      <c r="A315" s="23" t="n">
        <f aca="false">Kalender!A315</f>
        <v>46333</v>
      </c>
      <c r="B315" s="13" t="n">
        <f aca="false">Kalender!C315</f>
        <v>0</v>
      </c>
      <c r="C315" s="13" t="n">
        <f aca="false">Kalender!D315</f>
        <v>0</v>
      </c>
      <c r="D315" s="13" t="n">
        <f aca="false">IF(Prüfungen!$B$4=0,(IFERROR(SUMIF(Nutzungsprofile!$B$6:$B$11,"Schulbetrieb",Nutzungsprofile!$G$6:$G$11)*Kalender!C315/SUM(Kalender!$C$5:$C$370),0)+IFERROR(SUMIF(Nutzungsprofile!$B$6:$B$11,"Halle",Nutzungsprofile!$G$6:$G$11)*Kalender!D315/SUM(Kalender!$D$5:$D$370),0)+IFERROR(SUMIF(Nutzungsprofile!$B$6:$B$11,"Individuell",Nutzungsprofile!$G$6:$G$11)*Kalender!E315/SUM(Kalender!$E$5:$E$370),0)),0)</f>
        <v>0</v>
      </c>
      <c r="E315" s="13" t="n">
        <f aca="false">IF(Prüfungen!$B$4=0,(IFERROR(SUMIF(Nutzungsprofile!$B$17:$B$22,"Schulbetrieb",Nutzungsprofile!$G$17:$G$22)*Kalender!C315/SUM(Kalender!$C$5:$C$370),0)+IFERROR(SUMIF(Nutzungsprofile!$B$17:$B$22,"Halle",Nutzungsprofile!$G$17:$G$22)*Kalender!D315/SUM(Kalender!$D$5:$D$370),0)+IFERROR(SUMIF(Nutzungsprofile!$B$17:$B$22,"Individuell",Nutzungsprofile!$G$17:$G$22)*Kalender!E315/SUM(Kalender!$E$5:$E$370),0)),0)</f>
        <v>0</v>
      </c>
      <c r="F315" s="13" t="n">
        <f aca="false">IFERROR(MIN(D315,Eingaben!$B$17)*Eingaben!$B$16,0)</f>
        <v>0</v>
      </c>
      <c r="G315" s="13" t="n">
        <f aca="false">IFERROR(F315*Eingaben!$B$15,0)</f>
        <v>0</v>
      </c>
      <c r="H315" s="13" t="n">
        <f aca="false">IFERROR(Q315*(1-Eingaben!$B$20),0)</f>
        <v>0.226233</v>
      </c>
      <c r="I315" s="13" t="n">
        <f aca="false">MIN(H315,E315)</f>
        <v>0</v>
      </c>
      <c r="J315" s="13" t="n">
        <f aca="false">IFERROR(MIN(G315*Eingaben!$B$19,MAX(0,E315-I315)),0)</f>
        <v>0</v>
      </c>
      <c r="K315" s="13" t="n">
        <f aca="false">IFERROR(MIN(Eingaben!$B$18,MAX(0,G315-J315)),0)</f>
        <v>0</v>
      </c>
      <c r="L315" s="13" t="n">
        <f aca="false">I315+J315</f>
        <v>0</v>
      </c>
      <c r="M315" s="13" t="n">
        <f aca="false">MAX(0,E315-L315)</f>
        <v>0</v>
      </c>
      <c r="N315" s="13" t="n">
        <f aca="false">MAX(0,G315-J315-K315)</f>
        <v>0</v>
      </c>
      <c r="O315" s="13" t="n">
        <f aca="false">Q315-I315</f>
        <v>0.23085</v>
      </c>
      <c r="P315" s="13" t="n">
        <f aca="false">G315+Q315-L315-N315-O315-K315</f>
        <v>0</v>
      </c>
      <c r="Q315" s="13" t="n">
        <f aca="false">IF(A315="",0,K314)</f>
        <v>0.23085</v>
      </c>
    </row>
    <row r="316" customFormat="false" ht="16.4" hidden="false" customHeight="false" outlineLevel="0" collapsed="false">
      <c r="A316" s="23" t="n">
        <f aca="false">Kalender!A316</f>
        <v>46334</v>
      </c>
      <c r="B316" s="13" t="n">
        <f aca="false">Kalender!C316</f>
        <v>0</v>
      </c>
      <c r="C316" s="13" t="n">
        <f aca="false">Kalender!D316</f>
        <v>0</v>
      </c>
      <c r="D316" s="13" t="n">
        <f aca="false">IF(Prüfungen!$B$4=0,(IFERROR(SUMIF(Nutzungsprofile!$B$6:$B$11,"Schulbetrieb",Nutzungsprofile!$G$6:$G$11)*Kalender!C316/SUM(Kalender!$C$5:$C$370),0)+IFERROR(SUMIF(Nutzungsprofile!$B$6:$B$11,"Halle",Nutzungsprofile!$G$6:$G$11)*Kalender!D316/SUM(Kalender!$D$5:$D$370),0)+IFERROR(SUMIF(Nutzungsprofile!$B$6:$B$11,"Individuell",Nutzungsprofile!$G$6:$G$11)*Kalender!E316/SUM(Kalender!$E$5:$E$370),0)),0)</f>
        <v>0</v>
      </c>
      <c r="E316" s="13" t="n">
        <f aca="false">IF(Prüfungen!$B$4=0,(IFERROR(SUMIF(Nutzungsprofile!$B$17:$B$22,"Schulbetrieb",Nutzungsprofile!$G$17:$G$22)*Kalender!C316/SUM(Kalender!$C$5:$C$370),0)+IFERROR(SUMIF(Nutzungsprofile!$B$17:$B$22,"Halle",Nutzungsprofile!$G$17:$G$22)*Kalender!D316/SUM(Kalender!$D$5:$D$370),0)+IFERROR(SUMIF(Nutzungsprofile!$B$17:$B$22,"Individuell",Nutzungsprofile!$G$17:$G$22)*Kalender!E316/SUM(Kalender!$E$5:$E$370),0)),0)</f>
        <v>0</v>
      </c>
      <c r="F316" s="13" t="n">
        <f aca="false">IFERROR(MIN(D316,Eingaben!$B$17)*Eingaben!$B$16,0)</f>
        <v>0</v>
      </c>
      <c r="G316" s="13" t="n">
        <f aca="false">IFERROR(F316*Eingaben!$B$15,0)</f>
        <v>0</v>
      </c>
      <c r="H316" s="13" t="n">
        <f aca="false">IFERROR(Q316*(1-Eingaben!$B$20),0)</f>
        <v>0</v>
      </c>
      <c r="I316" s="13" t="n">
        <f aca="false">MIN(H316,E316)</f>
        <v>0</v>
      </c>
      <c r="J316" s="13" t="n">
        <f aca="false">IFERROR(MIN(G316*Eingaben!$B$19,MAX(0,E316-I316)),0)</f>
        <v>0</v>
      </c>
      <c r="K316" s="13" t="n">
        <f aca="false">IFERROR(MIN(Eingaben!$B$18,MAX(0,G316-J316)),0)</f>
        <v>0</v>
      </c>
      <c r="L316" s="13" t="n">
        <f aca="false">I316+J316</f>
        <v>0</v>
      </c>
      <c r="M316" s="13" t="n">
        <f aca="false">MAX(0,E316-L316)</f>
        <v>0</v>
      </c>
      <c r="N316" s="13" t="n">
        <f aca="false">MAX(0,G316-J316-K316)</f>
        <v>0</v>
      </c>
      <c r="O316" s="13" t="n">
        <f aca="false">Q316-I316</f>
        <v>0</v>
      </c>
      <c r="P316" s="13" t="n">
        <f aca="false">G316+Q316-L316-N316-O316-K316</f>
        <v>0</v>
      </c>
      <c r="Q316" s="13" t="n">
        <f aca="false">IF(A316="",0,K315)</f>
        <v>0</v>
      </c>
    </row>
    <row r="317" customFormat="false" ht="16.4" hidden="false" customHeight="false" outlineLevel="0" collapsed="false">
      <c r="A317" s="23" t="n">
        <f aca="false">Kalender!A317</f>
        <v>46335</v>
      </c>
      <c r="B317" s="13" t="n">
        <f aca="false">Kalender!C317</f>
        <v>1</v>
      </c>
      <c r="C317" s="13" t="n">
        <f aca="false">Kalender!D317</f>
        <v>0</v>
      </c>
      <c r="D317" s="13" t="n">
        <f aca="false">IF(Prüfungen!$B$4=0,(IFERROR(SUMIF(Nutzungsprofile!$B$6:$B$11,"Schulbetrieb",Nutzungsprofile!$G$6:$G$11)*Kalender!C317/SUM(Kalender!$C$5:$C$370),0)+IFERROR(SUMIF(Nutzungsprofile!$B$6:$B$11,"Halle",Nutzungsprofile!$G$6:$G$11)*Kalender!D317/SUM(Kalender!$D$5:$D$370),0)+IFERROR(SUMIF(Nutzungsprofile!$B$6:$B$11,"Individuell",Nutzungsprofile!$G$6:$G$11)*Kalender!E317/SUM(Kalender!$E$5:$E$370),0)),0)</f>
        <v>0.9</v>
      </c>
      <c r="E317" s="13" t="n">
        <f aca="false">IF(Prüfungen!$B$4=0,(IFERROR(SUMIF(Nutzungsprofile!$B$17:$B$22,"Schulbetrieb",Nutzungsprofile!$G$17:$G$22)*Kalender!C317/SUM(Kalender!$C$5:$C$370),0)+IFERROR(SUMIF(Nutzungsprofile!$B$17:$B$22,"Halle",Nutzungsprofile!$G$17:$G$22)*Kalender!D317/SUM(Kalender!$D$5:$D$370),0)+IFERROR(SUMIF(Nutzungsprofile!$B$17:$B$22,"Individuell",Nutzungsprofile!$G$17:$G$22)*Kalender!E317/SUM(Kalender!$E$5:$E$370),0)),0)</f>
        <v>4.05</v>
      </c>
      <c r="F317" s="13" t="n">
        <f aca="false">IFERROR(MIN(D317,Eingaben!$B$17)*Eingaben!$B$16,0)</f>
        <v>0.855</v>
      </c>
      <c r="G317" s="13" t="n">
        <f aca="false">IFERROR(F317*Eingaben!$B$15,0)</f>
        <v>0.7695</v>
      </c>
      <c r="H317" s="13" t="n">
        <f aca="false">IFERROR(Q317*(1-Eingaben!$B$20),0)</f>
        <v>0</v>
      </c>
      <c r="I317" s="13" t="n">
        <f aca="false">MIN(H317,E317)</f>
        <v>0</v>
      </c>
      <c r="J317" s="13" t="n">
        <f aca="false">IFERROR(MIN(G317*Eingaben!$B$19,MAX(0,E317-I317)),0)</f>
        <v>0.53865</v>
      </c>
      <c r="K317" s="13" t="n">
        <f aca="false">IFERROR(MIN(Eingaben!$B$18,MAX(0,G317-J317)),0)</f>
        <v>0.23085</v>
      </c>
      <c r="L317" s="13" t="n">
        <f aca="false">I317+J317</f>
        <v>0.53865</v>
      </c>
      <c r="M317" s="13" t="n">
        <f aca="false">MAX(0,E317-L317)</f>
        <v>3.51135</v>
      </c>
      <c r="N317" s="13" t="n">
        <f aca="false">MAX(0,G317-J317-K317)</f>
        <v>0</v>
      </c>
      <c r="O317" s="13" t="n">
        <f aca="false">Q317-I317</f>
        <v>0</v>
      </c>
      <c r="P317" s="13" t="n">
        <f aca="false">G317+Q317-L317-N317-O317-K317</f>
        <v>0</v>
      </c>
      <c r="Q317" s="13" t="n">
        <f aca="false">IF(A317="",0,K316)</f>
        <v>0</v>
      </c>
    </row>
    <row r="318" customFormat="false" ht="16.4" hidden="false" customHeight="false" outlineLevel="0" collapsed="false">
      <c r="A318" s="23" t="n">
        <f aca="false">Kalender!A318</f>
        <v>46336</v>
      </c>
      <c r="B318" s="13" t="n">
        <f aca="false">Kalender!C318</f>
        <v>1</v>
      </c>
      <c r="C318" s="13" t="n">
        <f aca="false">Kalender!D318</f>
        <v>0</v>
      </c>
      <c r="D318" s="13" t="n">
        <f aca="false">IF(Prüfungen!$B$4=0,(IFERROR(SUMIF(Nutzungsprofile!$B$6:$B$11,"Schulbetrieb",Nutzungsprofile!$G$6:$G$11)*Kalender!C318/SUM(Kalender!$C$5:$C$370),0)+IFERROR(SUMIF(Nutzungsprofile!$B$6:$B$11,"Halle",Nutzungsprofile!$G$6:$G$11)*Kalender!D318/SUM(Kalender!$D$5:$D$370),0)+IFERROR(SUMIF(Nutzungsprofile!$B$6:$B$11,"Individuell",Nutzungsprofile!$G$6:$G$11)*Kalender!E318/SUM(Kalender!$E$5:$E$370),0)),0)</f>
        <v>0.9</v>
      </c>
      <c r="E318" s="13" t="n">
        <f aca="false">IF(Prüfungen!$B$4=0,(IFERROR(SUMIF(Nutzungsprofile!$B$17:$B$22,"Schulbetrieb",Nutzungsprofile!$G$17:$G$22)*Kalender!C318/SUM(Kalender!$C$5:$C$370),0)+IFERROR(SUMIF(Nutzungsprofile!$B$17:$B$22,"Halle",Nutzungsprofile!$G$17:$G$22)*Kalender!D318/SUM(Kalender!$D$5:$D$370),0)+IFERROR(SUMIF(Nutzungsprofile!$B$17:$B$22,"Individuell",Nutzungsprofile!$G$17:$G$22)*Kalender!E318/SUM(Kalender!$E$5:$E$370),0)),0)</f>
        <v>4.05</v>
      </c>
      <c r="F318" s="13" t="n">
        <f aca="false">IFERROR(MIN(D318,Eingaben!$B$17)*Eingaben!$B$16,0)</f>
        <v>0.855</v>
      </c>
      <c r="G318" s="13" t="n">
        <f aca="false">IFERROR(F318*Eingaben!$B$15,0)</f>
        <v>0.7695</v>
      </c>
      <c r="H318" s="13" t="n">
        <f aca="false">IFERROR(Q318*(1-Eingaben!$B$20),0)</f>
        <v>0.226233</v>
      </c>
      <c r="I318" s="13" t="n">
        <f aca="false">MIN(H318,E318)</f>
        <v>0.226233</v>
      </c>
      <c r="J318" s="13" t="n">
        <f aca="false">IFERROR(MIN(G318*Eingaben!$B$19,MAX(0,E318-I318)),0)</f>
        <v>0.53865</v>
      </c>
      <c r="K318" s="13" t="n">
        <f aca="false">IFERROR(MIN(Eingaben!$B$18,MAX(0,G318-J318)),0)</f>
        <v>0.23085</v>
      </c>
      <c r="L318" s="13" t="n">
        <f aca="false">I318+J318</f>
        <v>0.764883</v>
      </c>
      <c r="M318" s="13" t="n">
        <f aca="false">MAX(0,E318-L318)</f>
        <v>3.285117</v>
      </c>
      <c r="N318" s="13" t="n">
        <f aca="false">MAX(0,G318-J318-K318)</f>
        <v>0</v>
      </c>
      <c r="O318" s="13" t="n">
        <f aca="false">Q318-I318</f>
        <v>0.00461700000000001</v>
      </c>
      <c r="P318" s="13" t="n">
        <f aca="false">G318+Q318-L318-N318-O318-K318</f>
        <v>0</v>
      </c>
      <c r="Q318" s="13" t="n">
        <f aca="false">IF(A318="",0,K317)</f>
        <v>0.23085</v>
      </c>
    </row>
    <row r="319" customFormat="false" ht="16.4" hidden="false" customHeight="false" outlineLevel="0" collapsed="false">
      <c r="A319" s="23" t="n">
        <f aca="false">Kalender!A319</f>
        <v>46337</v>
      </c>
      <c r="B319" s="13" t="n">
        <f aca="false">Kalender!C319</f>
        <v>1</v>
      </c>
      <c r="C319" s="13" t="n">
        <f aca="false">Kalender!D319</f>
        <v>0</v>
      </c>
      <c r="D319" s="13" t="n">
        <f aca="false">IF(Prüfungen!$B$4=0,(IFERROR(SUMIF(Nutzungsprofile!$B$6:$B$11,"Schulbetrieb",Nutzungsprofile!$G$6:$G$11)*Kalender!C319/SUM(Kalender!$C$5:$C$370),0)+IFERROR(SUMIF(Nutzungsprofile!$B$6:$B$11,"Halle",Nutzungsprofile!$G$6:$G$11)*Kalender!D319/SUM(Kalender!$D$5:$D$370),0)+IFERROR(SUMIF(Nutzungsprofile!$B$6:$B$11,"Individuell",Nutzungsprofile!$G$6:$G$11)*Kalender!E319/SUM(Kalender!$E$5:$E$370),0)),0)</f>
        <v>0.9</v>
      </c>
      <c r="E319" s="13" t="n">
        <f aca="false">IF(Prüfungen!$B$4=0,(IFERROR(SUMIF(Nutzungsprofile!$B$17:$B$22,"Schulbetrieb",Nutzungsprofile!$G$17:$G$22)*Kalender!C319/SUM(Kalender!$C$5:$C$370),0)+IFERROR(SUMIF(Nutzungsprofile!$B$17:$B$22,"Halle",Nutzungsprofile!$G$17:$G$22)*Kalender!D319/SUM(Kalender!$D$5:$D$370),0)+IFERROR(SUMIF(Nutzungsprofile!$B$17:$B$22,"Individuell",Nutzungsprofile!$G$17:$G$22)*Kalender!E319/SUM(Kalender!$E$5:$E$370),0)),0)</f>
        <v>4.05</v>
      </c>
      <c r="F319" s="13" t="n">
        <f aca="false">IFERROR(MIN(D319,Eingaben!$B$17)*Eingaben!$B$16,0)</f>
        <v>0.855</v>
      </c>
      <c r="G319" s="13" t="n">
        <f aca="false">IFERROR(F319*Eingaben!$B$15,0)</f>
        <v>0.7695</v>
      </c>
      <c r="H319" s="13" t="n">
        <f aca="false">IFERROR(Q319*(1-Eingaben!$B$20),0)</f>
        <v>0.226233</v>
      </c>
      <c r="I319" s="13" t="n">
        <f aca="false">MIN(H319,E319)</f>
        <v>0.226233</v>
      </c>
      <c r="J319" s="13" t="n">
        <f aca="false">IFERROR(MIN(G319*Eingaben!$B$19,MAX(0,E319-I319)),0)</f>
        <v>0.53865</v>
      </c>
      <c r="K319" s="13" t="n">
        <f aca="false">IFERROR(MIN(Eingaben!$B$18,MAX(0,G319-J319)),0)</f>
        <v>0.23085</v>
      </c>
      <c r="L319" s="13" t="n">
        <f aca="false">I319+J319</f>
        <v>0.764883</v>
      </c>
      <c r="M319" s="13" t="n">
        <f aca="false">MAX(0,E319-L319)</f>
        <v>3.285117</v>
      </c>
      <c r="N319" s="13" t="n">
        <f aca="false">MAX(0,G319-J319-K319)</f>
        <v>0</v>
      </c>
      <c r="O319" s="13" t="n">
        <f aca="false">Q319-I319</f>
        <v>0.00461700000000001</v>
      </c>
      <c r="P319" s="13" t="n">
        <f aca="false">G319+Q319-L319-N319-O319-K319</f>
        <v>0</v>
      </c>
      <c r="Q319" s="13" t="n">
        <f aca="false">IF(A319="",0,K318)</f>
        <v>0.23085</v>
      </c>
    </row>
    <row r="320" customFormat="false" ht="16.4" hidden="false" customHeight="false" outlineLevel="0" collapsed="false">
      <c r="A320" s="23" t="n">
        <f aca="false">Kalender!A320</f>
        <v>46338</v>
      </c>
      <c r="B320" s="13" t="n">
        <f aca="false">Kalender!C320</f>
        <v>1</v>
      </c>
      <c r="C320" s="13" t="n">
        <f aca="false">Kalender!D320</f>
        <v>0</v>
      </c>
      <c r="D320" s="13" t="n">
        <f aca="false">IF(Prüfungen!$B$4=0,(IFERROR(SUMIF(Nutzungsprofile!$B$6:$B$11,"Schulbetrieb",Nutzungsprofile!$G$6:$G$11)*Kalender!C320/SUM(Kalender!$C$5:$C$370),0)+IFERROR(SUMIF(Nutzungsprofile!$B$6:$B$11,"Halle",Nutzungsprofile!$G$6:$G$11)*Kalender!D320/SUM(Kalender!$D$5:$D$370),0)+IFERROR(SUMIF(Nutzungsprofile!$B$6:$B$11,"Individuell",Nutzungsprofile!$G$6:$G$11)*Kalender!E320/SUM(Kalender!$E$5:$E$370),0)),0)</f>
        <v>0.9</v>
      </c>
      <c r="E320" s="13" t="n">
        <f aca="false">IF(Prüfungen!$B$4=0,(IFERROR(SUMIF(Nutzungsprofile!$B$17:$B$22,"Schulbetrieb",Nutzungsprofile!$G$17:$G$22)*Kalender!C320/SUM(Kalender!$C$5:$C$370),0)+IFERROR(SUMIF(Nutzungsprofile!$B$17:$B$22,"Halle",Nutzungsprofile!$G$17:$G$22)*Kalender!D320/SUM(Kalender!$D$5:$D$370),0)+IFERROR(SUMIF(Nutzungsprofile!$B$17:$B$22,"Individuell",Nutzungsprofile!$G$17:$G$22)*Kalender!E320/SUM(Kalender!$E$5:$E$370),0)),0)</f>
        <v>4.05</v>
      </c>
      <c r="F320" s="13" t="n">
        <f aca="false">IFERROR(MIN(D320,Eingaben!$B$17)*Eingaben!$B$16,0)</f>
        <v>0.855</v>
      </c>
      <c r="G320" s="13" t="n">
        <f aca="false">IFERROR(F320*Eingaben!$B$15,0)</f>
        <v>0.7695</v>
      </c>
      <c r="H320" s="13" t="n">
        <f aca="false">IFERROR(Q320*(1-Eingaben!$B$20),0)</f>
        <v>0.226233</v>
      </c>
      <c r="I320" s="13" t="n">
        <f aca="false">MIN(H320,E320)</f>
        <v>0.226233</v>
      </c>
      <c r="J320" s="13" t="n">
        <f aca="false">IFERROR(MIN(G320*Eingaben!$B$19,MAX(0,E320-I320)),0)</f>
        <v>0.53865</v>
      </c>
      <c r="K320" s="13" t="n">
        <f aca="false">IFERROR(MIN(Eingaben!$B$18,MAX(0,G320-J320)),0)</f>
        <v>0.23085</v>
      </c>
      <c r="L320" s="13" t="n">
        <f aca="false">I320+J320</f>
        <v>0.764883</v>
      </c>
      <c r="M320" s="13" t="n">
        <f aca="false">MAX(0,E320-L320)</f>
        <v>3.285117</v>
      </c>
      <c r="N320" s="13" t="n">
        <f aca="false">MAX(0,G320-J320-K320)</f>
        <v>0</v>
      </c>
      <c r="O320" s="13" t="n">
        <f aca="false">Q320-I320</f>
        <v>0.00461700000000001</v>
      </c>
      <c r="P320" s="13" t="n">
        <f aca="false">G320+Q320-L320-N320-O320-K320</f>
        <v>0</v>
      </c>
      <c r="Q320" s="13" t="n">
        <f aca="false">IF(A320="",0,K319)</f>
        <v>0.23085</v>
      </c>
    </row>
    <row r="321" customFormat="false" ht="16.4" hidden="false" customHeight="false" outlineLevel="0" collapsed="false">
      <c r="A321" s="23" t="n">
        <f aca="false">Kalender!A321</f>
        <v>46339</v>
      </c>
      <c r="B321" s="13" t="n">
        <f aca="false">Kalender!C321</f>
        <v>1</v>
      </c>
      <c r="C321" s="13" t="n">
        <f aca="false">Kalender!D321</f>
        <v>0</v>
      </c>
      <c r="D321" s="13" t="n">
        <f aca="false">IF(Prüfungen!$B$4=0,(IFERROR(SUMIF(Nutzungsprofile!$B$6:$B$11,"Schulbetrieb",Nutzungsprofile!$G$6:$G$11)*Kalender!C321/SUM(Kalender!$C$5:$C$370),0)+IFERROR(SUMIF(Nutzungsprofile!$B$6:$B$11,"Halle",Nutzungsprofile!$G$6:$G$11)*Kalender!D321/SUM(Kalender!$D$5:$D$370),0)+IFERROR(SUMIF(Nutzungsprofile!$B$6:$B$11,"Individuell",Nutzungsprofile!$G$6:$G$11)*Kalender!E321/SUM(Kalender!$E$5:$E$370),0)),0)</f>
        <v>0.9</v>
      </c>
      <c r="E321" s="13" t="n">
        <f aca="false">IF(Prüfungen!$B$4=0,(IFERROR(SUMIF(Nutzungsprofile!$B$17:$B$22,"Schulbetrieb",Nutzungsprofile!$G$17:$G$22)*Kalender!C321/SUM(Kalender!$C$5:$C$370),0)+IFERROR(SUMIF(Nutzungsprofile!$B$17:$B$22,"Halle",Nutzungsprofile!$G$17:$G$22)*Kalender!D321/SUM(Kalender!$D$5:$D$370),0)+IFERROR(SUMIF(Nutzungsprofile!$B$17:$B$22,"Individuell",Nutzungsprofile!$G$17:$G$22)*Kalender!E321/SUM(Kalender!$E$5:$E$370),0)),0)</f>
        <v>4.05</v>
      </c>
      <c r="F321" s="13" t="n">
        <f aca="false">IFERROR(MIN(D321,Eingaben!$B$17)*Eingaben!$B$16,0)</f>
        <v>0.855</v>
      </c>
      <c r="G321" s="13" t="n">
        <f aca="false">IFERROR(F321*Eingaben!$B$15,0)</f>
        <v>0.7695</v>
      </c>
      <c r="H321" s="13" t="n">
        <f aca="false">IFERROR(Q321*(1-Eingaben!$B$20),0)</f>
        <v>0.226233</v>
      </c>
      <c r="I321" s="13" t="n">
        <f aca="false">MIN(H321,E321)</f>
        <v>0.226233</v>
      </c>
      <c r="J321" s="13" t="n">
        <f aca="false">IFERROR(MIN(G321*Eingaben!$B$19,MAX(0,E321-I321)),0)</f>
        <v>0.53865</v>
      </c>
      <c r="K321" s="13" t="n">
        <f aca="false">IFERROR(MIN(Eingaben!$B$18,MAX(0,G321-J321)),0)</f>
        <v>0.23085</v>
      </c>
      <c r="L321" s="13" t="n">
        <f aca="false">I321+J321</f>
        <v>0.764883</v>
      </c>
      <c r="M321" s="13" t="n">
        <f aca="false">MAX(0,E321-L321)</f>
        <v>3.285117</v>
      </c>
      <c r="N321" s="13" t="n">
        <f aca="false">MAX(0,G321-J321-K321)</f>
        <v>0</v>
      </c>
      <c r="O321" s="13" t="n">
        <f aca="false">Q321-I321</f>
        <v>0.00461700000000001</v>
      </c>
      <c r="P321" s="13" t="n">
        <f aca="false">G321+Q321-L321-N321-O321-K321</f>
        <v>0</v>
      </c>
      <c r="Q321" s="13" t="n">
        <f aca="false">IF(A321="",0,K320)</f>
        <v>0.23085</v>
      </c>
    </row>
    <row r="322" customFormat="false" ht="16.4" hidden="false" customHeight="false" outlineLevel="0" collapsed="false">
      <c r="A322" s="23" t="n">
        <f aca="false">Kalender!A322</f>
        <v>46340</v>
      </c>
      <c r="B322" s="13" t="n">
        <f aca="false">Kalender!C322</f>
        <v>0</v>
      </c>
      <c r="C322" s="13" t="n">
        <f aca="false">Kalender!D322</f>
        <v>0</v>
      </c>
      <c r="D322" s="13" t="n">
        <f aca="false">IF(Prüfungen!$B$4=0,(IFERROR(SUMIF(Nutzungsprofile!$B$6:$B$11,"Schulbetrieb",Nutzungsprofile!$G$6:$G$11)*Kalender!C322/SUM(Kalender!$C$5:$C$370),0)+IFERROR(SUMIF(Nutzungsprofile!$B$6:$B$11,"Halle",Nutzungsprofile!$G$6:$G$11)*Kalender!D322/SUM(Kalender!$D$5:$D$370),0)+IFERROR(SUMIF(Nutzungsprofile!$B$6:$B$11,"Individuell",Nutzungsprofile!$G$6:$G$11)*Kalender!E322/SUM(Kalender!$E$5:$E$370),0)),0)</f>
        <v>0</v>
      </c>
      <c r="E322" s="13" t="n">
        <f aca="false">IF(Prüfungen!$B$4=0,(IFERROR(SUMIF(Nutzungsprofile!$B$17:$B$22,"Schulbetrieb",Nutzungsprofile!$G$17:$G$22)*Kalender!C322/SUM(Kalender!$C$5:$C$370),0)+IFERROR(SUMIF(Nutzungsprofile!$B$17:$B$22,"Halle",Nutzungsprofile!$G$17:$G$22)*Kalender!D322/SUM(Kalender!$D$5:$D$370),0)+IFERROR(SUMIF(Nutzungsprofile!$B$17:$B$22,"Individuell",Nutzungsprofile!$G$17:$G$22)*Kalender!E322/SUM(Kalender!$E$5:$E$370),0)),0)</f>
        <v>0</v>
      </c>
      <c r="F322" s="13" t="n">
        <f aca="false">IFERROR(MIN(D322,Eingaben!$B$17)*Eingaben!$B$16,0)</f>
        <v>0</v>
      </c>
      <c r="G322" s="13" t="n">
        <f aca="false">IFERROR(F322*Eingaben!$B$15,0)</f>
        <v>0</v>
      </c>
      <c r="H322" s="13" t="n">
        <f aca="false">IFERROR(Q322*(1-Eingaben!$B$20),0)</f>
        <v>0.226233</v>
      </c>
      <c r="I322" s="13" t="n">
        <f aca="false">MIN(H322,E322)</f>
        <v>0</v>
      </c>
      <c r="J322" s="13" t="n">
        <f aca="false">IFERROR(MIN(G322*Eingaben!$B$19,MAX(0,E322-I322)),0)</f>
        <v>0</v>
      </c>
      <c r="K322" s="13" t="n">
        <f aca="false">IFERROR(MIN(Eingaben!$B$18,MAX(0,G322-J322)),0)</f>
        <v>0</v>
      </c>
      <c r="L322" s="13" t="n">
        <f aca="false">I322+J322</f>
        <v>0</v>
      </c>
      <c r="M322" s="13" t="n">
        <f aca="false">MAX(0,E322-L322)</f>
        <v>0</v>
      </c>
      <c r="N322" s="13" t="n">
        <f aca="false">MAX(0,G322-J322-K322)</f>
        <v>0</v>
      </c>
      <c r="O322" s="13" t="n">
        <f aca="false">Q322-I322</f>
        <v>0.23085</v>
      </c>
      <c r="P322" s="13" t="n">
        <f aca="false">G322+Q322-L322-N322-O322-K322</f>
        <v>0</v>
      </c>
      <c r="Q322" s="13" t="n">
        <f aca="false">IF(A322="",0,K321)</f>
        <v>0.23085</v>
      </c>
    </row>
    <row r="323" customFormat="false" ht="16.4" hidden="false" customHeight="false" outlineLevel="0" collapsed="false">
      <c r="A323" s="23" t="n">
        <f aca="false">Kalender!A323</f>
        <v>46341</v>
      </c>
      <c r="B323" s="13" t="n">
        <f aca="false">Kalender!C323</f>
        <v>0</v>
      </c>
      <c r="C323" s="13" t="n">
        <f aca="false">Kalender!D323</f>
        <v>0</v>
      </c>
      <c r="D323" s="13" t="n">
        <f aca="false">IF(Prüfungen!$B$4=0,(IFERROR(SUMIF(Nutzungsprofile!$B$6:$B$11,"Schulbetrieb",Nutzungsprofile!$G$6:$G$11)*Kalender!C323/SUM(Kalender!$C$5:$C$370),0)+IFERROR(SUMIF(Nutzungsprofile!$B$6:$B$11,"Halle",Nutzungsprofile!$G$6:$G$11)*Kalender!D323/SUM(Kalender!$D$5:$D$370),0)+IFERROR(SUMIF(Nutzungsprofile!$B$6:$B$11,"Individuell",Nutzungsprofile!$G$6:$G$11)*Kalender!E323/SUM(Kalender!$E$5:$E$370),0)),0)</f>
        <v>0</v>
      </c>
      <c r="E323" s="13" t="n">
        <f aca="false">IF(Prüfungen!$B$4=0,(IFERROR(SUMIF(Nutzungsprofile!$B$17:$B$22,"Schulbetrieb",Nutzungsprofile!$G$17:$G$22)*Kalender!C323/SUM(Kalender!$C$5:$C$370),0)+IFERROR(SUMIF(Nutzungsprofile!$B$17:$B$22,"Halle",Nutzungsprofile!$G$17:$G$22)*Kalender!D323/SUM(Kalender!$D$5:$D$370),0)+IFERROR(SUMIF(Nutzungsprofile!$B$17:$B$22,"Individuell",Nutzungsprofile!$G$17:$G$22)*Kalender!E323/SUM(Kalender!$E$5:$E$370),0)),0)</f>
        <v>0</v>
      </c>
      <c r="F323" s="13" t="n">
        <f aca="false">IFERROR(MIN(D323,Eingaben!$B$17)*Eingaben!$B$16,0)</f>
        <v>0</v>
      </c>
      <c r="G323" s="13" t="n">
        <f aca="false">IFERROR(F323*Eingaben!$B$15,0)</f>
        <v>0</v>
      </c>
      <c r="H323" s="13" t="n">
        <f aca="false">IFERROR(Q323*(1-Eingaben!$B$20),0)</f>
        <v>0</v>
      </c>
      <c r="I323" s="13" t="n">
        <f aca="false">MIN(H323,E323)</f>
        <v>0</v>
      </c>
      <c r="J323" s="13" t="n">
        <f aca="false">IFERROR(MIN(G323*Eingaben!$B$19,MAX(0,E323-I323)),0)</f>
        <v>0</v>
      </c>
      <c r="K323" s="13" t="n">
        <f aca="false">IFERROR(MIN(Eingaben!$B$18,MAX(0,G323-J323)),0)</f>
        <v>0</v>
      </c>
      <c r="L323" s="13" t="n">
        <f aca="false">I323+J323</f>
        <v>0</v>
      </c>
      <c r="M323" s="13" t="n">
        <f aca="false">MAX(0,E323-L323)</f>
        <v>0</v>
      </c>
      <c r="N323" s="13" t="n">
        <f aca="false">MAX(0,G323-J323-K323)</f>
        <v>0</v>
      </c>
      <c r="O323" s="13" t="n">
        <f aca="false">Q323-I323</f>
        <v>0</v>
      </c>
      <c r="P323" s="13" t="n">
        <f aca="false">G323+Q323-L323-N323-O323-K323</f>
        <v>0</v>
      </c>
      <c r="Q323" s="13" t="n">
        <f aca="false">IF(A323="",0,K322)</f>
        <v>0</v>
      </c>
    </row>
    <row r="324" customFormat="false" ht="16.4" hidden="false" customHeight="false" outlineLevel="0" collapsed="false">
      <c r="A324" s="23" t="n">
        <f aca="false">Kalender!A324</f>
        <v>46342</v>
      </c>
      <c r="B324" s="13" t="n">
        <f aca="false">Kalender!C324</f>
        <v>1</v>
      </c>
      <c r="C324" s="13" t="n">
        <f aca="false">Kalender!D324</f>
        <v>0</v>
      </c>
      <c r="D324" s="13" t="n">
        <f aca="false">IF(Prüfungen!$B$4=0,(IFERROR(SUMIF(Nutzungsprofile!$B$6:$B$11,"Schulbetrieb",Nutzungsprofile!$G$6:$G$11)*Kalender!C324/SUM(Kalender!$C$5:$C$370),0)+IFERROR(SUMIF(Nutzungsprofile!$B$6:$B$11,"Halle",Nutzungsprofile!$G$6:$G$11)*Kalender!D324/SUM(Kalender!$D$5:$D$370),0)+IFERROR(SUMIF(Nutzungsprofile!$B$6:$B$11,"Individuell",Nutzungsprofile!$G$6:$G$11)*Kalender!E324/SUM(Kalender!$E$5:$E$370),0)),0)</f>
        <v>0.9</v>
      </c>
      <c r="E324" s="13" t="n">
        <f aca="false">IF(Prüfungen!$B$4=0,(IFERROR(SUMIF(Nutzungsprofile!$B$17:$B$22,"Schulbetrieb",Nutzungsprofile!$G$17:$G$22)*Kalender!C324/SUM(Kalender!$C$5:$C$370),0)+IFERROR(SUMIF(Nutzungsprofile!$B$17:$B$22,"Halle",Nutzungsprofile!$G$17:$G$22)*Kalender!D324/SUM(Kalender!$D$5:$D$370),0)+IFERROR(SUMIF(Nutzungsprofile!$B$17:$B$22,"Individuell",Nutzungsprofile!$G$17:$G$22)*Kalender!E324/SUM(Kalender!$E$5:$E$370),0)),0)</f>
        <v>4.05</v>
      </c>
      <c r="F324" s="13" t="n">
        <f aca="false">IFERROR(MIN(D324,Eingaben!$B$17)*Eingaben!$B$16,0)</f>
        <v>0.855</v>
      </c>
      <c r="G324" s="13" t="n">
        <f aca="false">IFERROR(F324*Eingaben!$B$15,0)</f>
        <v>0.7695</v>
      </c>
      <c r="H324" s="13" t="n">
        <f aca="false">IFERROR(Q324*(1-Eingaben!$B$20),0)</f>
        <v>0</v>
      </c>
      <c r="I324" s="13" t="n">
        <f aca="false">MIN(H324,E324)</f>
        <v>0</v>
      </c>
      <c r="J324" s="13" t="n">
        <f aca="false">IFERROR(MIN(G324*Eingaben!$B$19,MAX(0,E324-I324)),0)</f>
        <v>0.53865</v>
      </c>
      <c r="K324" s="13" t="n">
        <f aca="false">IFERROR(MIN(Eingaben!$B$18,MAX(0,G324-J324)),0)</f>
        <v>0.23085</v>
      </c>
      <c r="L324" s="13" t="n">
        <f aca="false">I324+J324</f>
        <v>0.53865</v>
      </c>
      <c r="M324" s="13" t="n">
        <f aca="false">MAX(0,E324-L324)</f>
        <v>3.51135</v>
      </c>
      <c r="N324" s="13" t="n">
        <f aca="false">MAX(0,G324-J324-K324)</f>
        <v>0</v>
      </c>
      <c r="O324" s="13" t="n">
        <f aca="false">Q324-I324</f>
        <v>0</v>
      </c>
      <c r="P324" s="13" t="n">
        <f aca="false">G324+Q324-L324-N324-O324-K324</f>
        <v>0</v>
      </c>
      <c r="Q324" s="13" t="n">
        <f aca="false">IF(A324="",0,K323)</f>
        <v>0</v>
      </c>
    </row>
    <row r="325" customFormat="false" ht="16.4" hidden="false" customHeight="false" outlineLevel="0" collapsed="false">
      <c r="A325" s="23" t="n">
        <f aca="false">Kalender!A325</f>
        <v>46343</v>
      </c>
      <c r="B325" s="13" t="n">
        <f aca="false">Kalender!C325</f>
        <v>1</v>
      </c>
      <c r="C325" s="13" t="n">
        <f aca="false">Kalender!D325</f>
        <v>0</v>
      </c>
      <c r="D325" s="13" t="n">
        <f aca="false">IF(Prüfungen!$B$4=0,(IFERROR(SUMIF(Nutzungsprofile!$B$6:$B$11,"Schulbetrieb",Nutzungsprofile!$G$6:$G$11)*Kalender!C325/SUM(Kalender!$C$5:$C$370),0)+IFERROR(SUMIF(Nutzungsprofile!$B$6:$B$11,"Halle",Nutzungsprofile!$G$6:$G$11)*Kalender!D325/SUM(Kalender!$D$5:$D$370),0)+IFERROR(SUMIF(Nutzungsprofile!$B$6:$B$11,"Individuell",Nutzungsprofile!$G$6:$G$11)*Kalender!E325/SUM(Kalender!$E$5:$E$370),0)),0)</f>
        <v>0.9</v>
      </c>
      <c r="E325" s="13" t="n">
        <f aca="false">IF(Prüfungen!$B$4=0,(IFERROR(SUMIF(Nutzungsprofile!$B$17:$B$22,"Schulbetrieb",Nutzungsprofile!$G$17:$G$22)*Kalender!C325/SUM(Kalender!$C$5:$C$370),0)+IFERROR(SUMIF(Nutzungsprofile!$B$17:$B$22,"Halle",Nutzungsprofile!$G$17:$G$22)*Kalender!D325/SUM(Kalender!$D$5:$D$370),0)+IFERROR(SUMIF(Nutzungsprofile!$B$17:$B$22,"Individuell",Nutzungsprofile!$G$17:$G$22)*Kalender!E325/SUM(Kalender!$E$5:$E$370),0)),0)</f>
        <v>4.05</v>
      </c>
      <c r="F325" s="13" t="n">
        <f aca="false">IFERROR(MIN(D325,Eingaben!$B$17)*Eingaben!$B$16,0)</f>
        <v>0.855</v>
      </c>
      <c r="G325" s="13" t="n">
        <f aca="false">IFERROR(F325*Eingaben!$B$15,0)</f>
        <v>0.7695</v>
      </c>
      <c r="H325" s="13" t="n">
        <f aca="false">IFERROR(Q325*(1-Eingaben!$B$20),0)</f>
        <v>0.226233</v>
      </c>
      <c r="I325" s="13" t="n">
        <f aca="false">MIN(H325,E325)</f>
        <v>0.226233</v>
      </c>
      <c r="J325" s="13" t="n">
        <f aca="false">IFERROR(MIN(G325*Eingaben!$B$19,MAX(0,E325-I325)),0)</f>
        <v>0.53865</v>
      </c>
      <c r="K325" s="13" t="n">
        <f aca="false">IFERROR(MIN(Eingaben!$B$18,MAX(0,G325-J325)),0)</f>
        <v>0.23085</v>
      </c>
      <c r="L325" s="13" t="n">
        <f aca="false">I325+J325</f>
        <v>0.764883</v>
      </c>
      <c r="M325" s="13" t="n">
        <f aca="false">MAX(0,E325-L325)</f>
        <v>3.285117</v>
      </c>
      <c r="N325" s="13" t="n">
        <f aca="false">MAX(0,G325-J325-K325)</f>
        <v>0</v>
      </c>
      <c r="O325" s="13" t="n">
        <f aca="false">Q325-I325</f>
        <v>0.00461700000000001</v>
      </c>
      <c r="P325" s="13" t="n">
        <f aca="false">G325+Q325-L325-N325-O325-K325</f>
        <v>0</v>
      </c>
      <c r="Q325" s="13" t="n">
        <f aca="false">IF(A325="",0,K324)</f>
        <v>0.23085</v>
      </c>
    </row>
    <row r="326" customFormat="false" ht="16.4" hidden="false" customHeight="false" outlineLevel="0" collapsed="false">
      <c r="A326" s="23" t="n">
        <f aca="false">Kalender!A326</f>
        <v>46344</v>
      </c>
      <c r="B326" s="13" t="n">
        <f aca="false">Kalender!C326</f>
        <v>1</v>
      </c>
      <c r="C326" s="13" t="n">
        <f aca="false">Kalender!D326</f>
        <v>0</v>
      </c>
      <c r="D326" s="13" t="n">
        <f aca="false">IF(Prüfungen!$B$4=0,(IFERROR(SUMIF(Nutzungsprofile!$B$6:$B$11,"Schulbetrieb",Nutzungsprofile!$G$6:$G$11)*Kalender!C326/SUM(Kalender!$C$5:$C$370),0)+IFERROR(SUMIF(Nutzungsprofile!$B$6:$B$11,"Halle",Nutzungsprofile!$G$6:$G$11)*Kalender!D326/SUM(Kalender!$D$5:$D$370),0)+IFERROR(SUMIF(Nutzungsprofile!$B$6:$B$11,"Individuell",Nutzungsprofile!$G$6:$G$11)*Kalender!E326/SUM(Kalender!$E$5:$E$370),0)),0)</f>
        <v>0.9</v>
      </c>
      <c r="E326" s="13" t="n">
        <f aca="false">IF(Prüfungen!$B$4=0,(IFERROR(SUMIF(Nutzungsprofile!$B$17:$B$22,"Schulbetrieb",Nutzungsprofile!$G$17:$G$22)*Kalender!C326/SUM(Kalender!$C$5:$C$370),0)+IFERROR(SUMIF(Nutzungsprofile!$B$17:$B$22,"Halle",Nutzungsprofile!$G$17:$G$22)*Kalender!D326/SUM(Kalender!$D$5:$D$370),0)+IFERROR(SUMIF(Nutzungsprofile!$B$17:$B$22,"Individuell",Nutzungsprofile!$G$17:$G$22)*Kalender!E326/SUM(Kalender!$E$5:$E$370),0)),0)</f>
        <v>4.05</v>
      </c>
      <c r="F326" s="13" t="n">
        <f aca="false">IFERROR(MIN(D326,Eingaben!$B$17)*Eingaben!$B$16,0)</f>
        <v>0.855</v>
      </c>
      <c r="G326" s="13" t="n">
        <f aca="false">IFERROR(F326*Eingaben!$B$15,0)</f>
        <v>0.7695</v>
      </c>
      <c r="H326" s="13" t="n">
        <f aca="false">IFERROR(Q326*(1-Eingaben!$B$20),0)</f>
        <v>0.226233</v>
      </c>
      <c r="I326" s="13" t="n">
        <f aca="false">MIN(H326,E326)</f>
        <v>0.226233</v>
      </c>
      <c r="J326" s="13" t="n">
        <f aca="false">IFERROR(MIN(G326*Eingaben!$B$19,MAX(0,E326-I326)),0)</f>
        <v>0.53865</v>
      </c>
      <c r="K326" s="13" t="n">
        <f aca="false">IFERROR(MIN(Eingaben!$B$18,MAX(0,G326-J326)),0)</f>
        <v>0.23085</v>
      </c>
      <c r="L326" s="13" t="n">
        <f aca="false">I326+J326</f>
        <v>0.764883</v>
      </c>
      <c r="M326" s="13" t="n">
        <f aca="false">MAX(0,E326-L326)</f>
        <v>3.285117</v>
      </c>
      <c r="N326" s="13" t="n">
        <f aca="false">MAX(0,G326-J326-K326)</f>
        <v>0</v>
      </c>
      <c r="O326" s="13" t="n">
        <f aca="false">Q326-I326</f>
        <v>0.00461700000000001</v>
      </c>
      <c r="P326" s="13" t="n">
        <f aca="false">G326+Q326-L326-N326-O326-K326</f>
        <v>0</v>
      </c>
      <c r="Q326" s="13" t="n">
        <f aca="false">IF(A326="",0,K325)</f>
        <v>0.23085</v>
      </c>
    </row>
    <row r="327" customFormat="false" ht="16.4" hidden="false" customHeight="false" outlineLevel="0" collapsed="false">
      <c r="A327" s="23" t="n">
        <f aca="false">Kalender!A327</f>
        <v>46345</v>
      </c>
      <c r="B327" s="13" t="n">
        <f aca="false">Kalender!C327</f>
        <v>1</v>
      </c>
      <c r="C327" s="13" t="n">
        <f aca="false">Kalender!D327</f>
        <v>0</v>
      </c>
      <c r="D327" s="13" t="n">
        <f aca="false">IF(Prüfungen!$B$4=0,(IFERROR(SUMIF(Nutzungsprofile!$B$6:$B$11,"Schulbetrieb",Nutzungsprofile!$G$6:$G$11)*Kalender!C327/SUM(Kalender!$C$5:$C$370),0)+IFERROR(SUMIF(Nutzungsprofile!$B$6:$B$11,"Halle",Nutzungsprofile!$G$6:$G$11)*Kalender!D327/SUM(Kalender!$D$5:$D$370),0)+IFERROR(SUMIF(Nutzungsprofile!$B$6:$B$11,"Individuell",Nutzungsprofile!$G$6:$G$11)*Kalender!E327/SUM(Kalender!$E$5:$E$370),0)),0)</f>
        <v>0.9</v>
      </c>
      <c r="E327" s="13" t="n">
        <f aca="false">IF(Prüfungen!$B$4=0,(IFERROR(SUMIF(Nutzungsprofile!$B$17:$B$22,"Schulbetrieb",Nutzungsprofile!$G$17:$G$22)*Kalender!C327/SUM(Kalender!$C$5:$C$370),0)+IFERROR(SUMIF(Nutzungsprofile!$B$17:$B$22,"Halle",Nutzungsprofile!$G$17:$G$22)*Kalender!D327/SUM(Kalender!$D$5:$D$370),0)+IFERROR(SUMIF(Nutzungsprofile!$B$17:$B$22,"Individuell",Nutzungsprofile!$G$17:$G$22)*Kalender!E327/SUM(Kalender!$E$5:$E$370),0)),0)</f>
        <v>4.05</v>
      </c>
      <c r="F327" s="13" t="n">
        <f aca="false">IFERROR(MIN(D327,Eingaben!$B$17)*Eingaben!$B$16,0)</f>
        <v>0.855</v>
      </c>
      <c r="G327" s="13" t="n">
        <f aca="false">IFERROR(F327*Eingaben!$B$15,0)</f>
        <v>0.7695</v>
      </c>
      <c r="H327" s="13" t="n">
        <f aca="false">IFERROR(Q327*(1-Eingaben!$B$20),0)</f>
        <v>0.226233</v>
      </c>
      <c r="I327" s="13" t="n">
        <f aca="false">MIN(H327,E327)</f>
        <v>0.226233</v>
      </c>
      <c r="J327" s="13" t="n">
        <f aca="false">IFERROR(MIN(G327*Eingaben!$B$19,MAX(0,E327-I327)),0)</f>
        <v>0.53865</v>
      </c>
      <c r="K327" s="13" t="n">
        <f aca="false">IFERROR(MIN(Eingaben!$B$18,MAX(0,G327-J327)),0)</f>
        <v>0.23085</v>
      </c>
      <c r="L327" s="13" t="n">
        <f aca="false">I327+J327</f>
        <v>0.764883</v>
      </c>
      <c r="M327" s="13" t="n">
        <f aca="false">MAX(0,E327-L327)</f>
        <v>3.285117</v>
      </c>
      <c r="N327" s="13" t="n">
        <f aca="false">MAX(0,G327-J327-K327)</f>
        <v>0</v>
      </c>
      <c r="O327" s="13" t="n">
        <f aca="false">Q327-I327</f>
        <v>0.00461700000000001</v>
      </c>
      <c r="P327" s="13" t="n">
        <f aca="false">G327+Q327-L327-N327-O327-K327</f>
        <v>0</v>
      </c>
      <c r="Q327" s="13" t="n">
        <f aca="false">IF(A327="",0,K326)</f>
        <v>0.23085</v>
      </c>
    </row>
    <row r="328" customFormat="false" ht="16.4" hidden="false" customHeight="false" outlineLevel="0" collapsed="false">
      <c r="A328" s="23" t="n">
        <f aca="false">Kalender!A328</f>
        <v>46346</v>
      </c>
      <c r="B328" s="13" t="n">
        <f aca="false">Kalender!C328</f>
        <v>1</v>
      </c>
      <c r="C328" s="13" t="n">
        <f aca="false">Kalender!D328</f>
        <v>0</v>
      </c>
      <c r="D328" s="13" t="n">
        <f aca="false">IF(Prüfungen!$B$4=0,(IFERROR(SUMIF(Nutzungsprofile!$B$6:$B$11,"Schulbetrieb",Nutzungsprofile!$G$6:$G$11)*Kalender!C328/SUM(Kalender!$C$5:$C$370),0)+IFERROR(SUMIF(Nutzungsprofile!$B$6:$B$11,"Halle",Nutzungsprofile!$G$6:$G$11)*Kalender!D328/SUM(Kalender!$D$5:$D$370),0)+IFERROR(SUMIF(Nutzungsprofile!$B$6:$B$11,"Individuell",Nutzungsprofile!$G$6:$G$11)*Kalender!E328/SUM(Kalender!$E$5:$E$370),0)),0)</f>
        <v>0.9</v>
      </c>
      <c r="E328" s="13" t="n">
        <f aca="false">IF(Prüfungen!$B$4=0,(IFERROR(SUMIF(Nutzungsprofile!$B$17:$B$22,"Schulbetrieb",Nutzungsprofile!$G$17:$G$22)*Kalender!C328/SUM(Kalender!$C$5:$C$370),0)+IFERROR(SUMIF(Nutzungsprofile!$B$17:$B$22,"Halle",Nutzungsprofile!$G$17:$G$22)*Kalender!D328/SUM(Kalender!$D$5:$D$370),0)+IFERROR(SUMIF(Nutzungsprofile!$B$17:$B$22,"Individuell",Nutzungsprofile!$G$17:$G$22)*Kalender!E328/SUM(Kalender!$E$5:$E$370),0)),0)</f>
        <v>4.05</v>
      </c>
      <c r="F328" s="13" t="n">
        <f aca="false">IFERROR(MIN(D328,Eingaben!$B$17)*Eingaben!$B$16,0)</f>
        <v>0.855</v>
      </c>
      <c r="G328" s="13" t="n">
        <f aca="false">IFERROR(F328*Eingaben!$B$15,0)</f>
        <v>0.7695</v>
      </c>
      <c r="H328" s="13" t="n">
        <f aca="false">IFERROR(Q328*(1-Eingaben!$B$20),0)</f>
        <v>0.226233</v>
      </c>
      <c r="I328" s="13" t="n">
        <f aca="false">MIN(H328,E328)</f>
        <v>0.226233</v>
      </c>
      <c r="J328" s="13" t="n">
        <f aca="false">IFERROR(MIN(G328*Eingaben!$B$19,MAX(0,E328-I328)),0)</f>
        <v>0.53865</v>
      </c>
      <c r="K328" s="13" t="n">
        <f aca="false">IFERROR(MIN(Eingaben!$B$18,MAX(0,G328-J328)),0)</f>
        <v>0.23085</v>
      </c>
      <c r="L328" s="13" t="n">
        <f aca="false">I328+J328</f>
        <v>0.764883</v>
      </c>
      <c r="M328" s="13" t="n">
        <f aca="false">MAX(0,E328-L328)</f>
        <v>3.285117</v>
      </c>
      <c r="N328" s="13" t="n">
        <f aca="false">MAX(0,G328-J328-K328)</f>
        <v>0</v>
      </c>
      <c r="O328" s="13" t="n">
        <f aca="false">Q328-I328</f>
        <v>0.00461700000000001</v>
      </c>
      <c r="P328" s="13" t="n">
        <f aca="false">G328+Q328-L328-N328-O328-K328</f>
        <v>0</v>
      </c>
      <c r="Q328" s="13" t="n">
        <f aca="false">IF(A328="",0,K327)</f>
        <v>0.23085</v>
      </c>
    </row>
    <row r="329" customFormat="false" ht="16.4" hidden="false" customHeight="false" outlineLevel="0" collapsed="false">
      <c r="A329" s="23" t="n">
        <f aca="false">Kalender!A329</f>
        <v>46347</v>
      </c>
      <c r="B329" s="13" t="n">
        <f aca="false">Kalender!C329</f>
        <v>0</v>
      </c>
      <c r="C329" s="13" t="n">
        <f aca="false">Kalender!D329</f>
        <v>0</v>
      </c>
      <c r="D329" s="13" t="n">
        <f aca="false">IF(Prüfungen!$B$4=0,(IFERROR(SUMIF(Nutzungsprofile!$B$6:$B$11,"Schulbetrieb",Nutzungsprofile!$G$6:$G$11)*Kalender!C329/SUM(Kalender!$C$5:$C$370),0)+IFERROR(SUMIF(Nutzungsprofile!$B$6:$B$11,"Halle",Nutzungsprofile!$G$6:$G$11)*Kalender!D329/SUM(Kalender!$D$5:$D$370),0)+IFERROR(SUMIF(Nutzungsprofile!$B$6:$B$11,"Individuell",Nutzungsprofile!$G$6:$G$11)*Kalender!E329/SUM(Kalender!$E$5:$E$370),0)),0)</f>
        <v>0</v>
      </c>
      <c r="E329" s="13" t="n">
        <f aca="false">IF(Prüfungen!$B$4=0,(IFERROR(SUMIF(Nutzungsprofile!$B$17:$B$22,"Schulbetrieb",Nutzungsprofile!$G$17:$G$22)*Kalender!C329/SUM(Kalender!$C$5:$C$370),0)+IFERROR(SUMIF(Nutzungsprofile!$B$17:$B$22,"Halle",Nutzungsprofile!$G$17:$G$22)*Kalender!D329/SUM(Kalender!$D$5:$D$370),0)+IFERROR(SUMIF(Nutzungsprofile!$B$17:$B$22,"Individuell",Nutzungsprofile!$G$17:$G$22)*Kalender!E329/SUM(Kalender!$E$5:$E$370),0)),0)</f>
        <v>0</v>
      </c>
      <c r="F329" s="13" t="n">
        <f aca="false">IFERROR(MIN(D329,Eingaben!$B$17)*Eingaben!$B$16,0)</f>
        <v>0</v>
      </c>
      <c r="G329" s="13" t="n">
        <f aca="false">IFERROR(F329*Eingaben!$B$15,0)</f>
        <v>0</v>
      </c>
      <c r="H329" s="13" t="n">
        <f aca="false">IFERROR(Q329*(1-Eingaben!$B$20),0)</f>
        <v>0.226233</v>
      </c>
      <c r="I329" s="13" t="n">
        <f aca="false">MIN(H329,E329)</f>
        <v>0</v>
      </c>
      <c r="J329" s="13" t="n">
        <f aca="false">IFERROR(MIN(G329*Eingaben!$B$19,MAX(0,E329-I329)),0)</f>
        <v>0</v>
      </c>
      <c r="K329" s="13" t="n">
        <f aca="false">IFERROR(MIN(Eingaben!$B$18,MAX(0,G329-J329)),0)</f>
        <v>0</v>
      </c>
      <c r="L329" s="13" t="n">
        <f aca="false">I329+J329</f>
        <v>0</v>
      </c>
      <c r="M329" s="13" t="n">
        <f aca="false">MAX(0,E329-L329)</f>
        <v>0</v>
      </c>
      <c r="N329" s="13" t="n">
        <f aca="false">MAX(0,G329-J329-K329)</f>
        <v>0</v>
      </c>
      <c r="O329" s="13" t="n">
        <f aca="false">Q329-I329</f>
        <v>0.23085</v>
      </c>
      <c r="P329" s="13" t="n">
        <f aca="false">G329+Q329-L329-N329-O329-K329</f>
        <v>0</v>
      </c>
      <c r="Q329" s="13" t="n">
        <f aca="false">IF(A329="",0,K328)</f>
        <v>0.23085</v>
      </c>
    </row>
    <row r="330" customFormat="false" ht="16.4" hidden="false" customHeight="false" outlineLevel="0" collapsed="false">
      <c r="A330" s="23" t="n">
        <f aca="false">Kalender!A330</f>
        <v>46348</v>
      </c>
      <c r="B330" s="13" t="n">
        <f aca="false">Kalender!C330</f>
        <v>0</v>
      </c>
      <c r="C330" s="13" t="n">
        <f aca="false">Kalender!D330</f>
        <v>0</v>
      </c>
      <c r="D330" s="13" t="n">
        <f aca="false">IF(Prüfungen!$B$4=0,(IFERROR(SUMIF(Nutzungsprofile!$B$6:$B$11,"Schulbetrieb",Nutzungsprofile!$G$6:$G$11)*Kalender!C330/SUM(Kalender!$C$5:$C$370),0)+IFERROR(SUMIF(Nutzungsprofile!$B$6:$B$11,"Halle",Nutzungsprofile!$G$6:$G$11)*Kalender!D330/SUM(Kalender!$D$5:$D$370),0)+IFERROR(SUMIF(Nutzungsprofile!$B$6:$B$11,"Individuell",Nutzungsprofile!$G$6:$G$11)*Kalender!E330/SUM(Kalender!$E$5:$E$370),0)),0)</f>
        <v>0</v>
      </c>
      <c r="E330" s="13" t="n">
        <f aca="false">IF(Prüfungen!$B$4=0,(IFERROR(SUMIF(Nutzungsprofile!$B$17:$B$22,"Schulbetrieb",Nutzungsprofile!$G$17:$G$22)*Kalender!C330/SUM(Kalender!$C$5:$C$370),0)+IFERROR(SUMIF(Nutzungsprofile!$B$17:$B$22,"Halle",Nutzungsprofile!$G$17:$G$22)*Kalender!D330/SUM(Kalender!$D$5:$D$370),0)+IFERROR(SUMIF(Nutzungsprofile!$B$17:$B$22,"Individuell",Nutzungsprofile!$G$17:$G$22)*Kalender!E330/SUM(Kalender!$E$5:$E$370),0)),0)</f>
        <v>0</v>
      </c>
      <c r="F330" s="13" t="n">
        <f aca="false">IFERROR(MIN(D330,Eingaben!$B$17)*Eingaben!$B$16,0)</f>
        <v>0</v>
      </c>
      <c r="G330" s="13" t="n">
        <f aca="false">IFERROR(F330*Eingaben!$B$15,0)</f>
        <v>0</v>
      </c>
      <c r="H330" s="13" t="n">
        <f aca="false">IFERROR(Q330*(1-Eingaben!$B$20),0)</f>
        <v>0</v>
      </c>
      <c r="I330" s="13" t="n">
        <f aca="false">MIN(H330,E330)</f>
        <v>0</v>
      </c>
      <c r="J330" s="13" t="n">
        <f aca="false">IFERROR(MIN(G330*Eingaben!$B$19,MAX(0,E330-I330)),0)</f>
        <v>0</v>
      </c>
      <c r="K330" s="13" t="n">
        <f aca="false">IFERROR(MIN(Eingaben!$B$18,MAX(0,G330-J330)),0)</f>
        <v>0</v>
      </c>
      <c r="L330" s="13" t="n">
        <f aca="false">I330+J330</f>
        <v>0</v>
      </c>
      <c r="M330" s="13" t="n">
        <f aca="false">MAX(0,E330-L330)</f>
        <v>0</v>
      </c>
      <c r="N330" s="13" t="n">
        <f aca="false">MAX(0,G330-J330-K330)</f>
        <v>0</v>
      </c>
      <c r="O330" s="13" t="n">
        <f aca="false">Q330-I330</f>
        <v>0</v>
      </c>
      <c r="P330" s="13" t="n">
        <f aca="false">G330+Q330-L330-N330-O330-K330</f>
        <v>0</v>
      </c>
      <c r="Q330" s="13" t="n">
        <f aca="false">IF(A330="",0,K329)</f>
        <v>0</v>
      </c>
    </row>
    <row r="331" customFormat="false" ht="16.4" hidden="false" customHeight="false" outlineLevel="0" collapsed="false">
      <c r="A331" s="23" t="n">
        <f aca="false">Kalender!A331</f>
        <v>46349</v>
      </c>
      <c r="B331" s="13" t="n">
        <f aca="false">Kalender!C331</f>
        <v>1</v>
      </c>
      <c r="C331" s="13" t="n">
        <f aca="false">Kalender!D331</f>
        <v>0</v>
      </c>
      <c r="D331" s="13" t="n">
        <f aca="false">IF(Prüfungen!$B$4=0,(IFERROR(SUMIF(Nutzungsprofile!$B$6:$B$11,"Schulbetrieb",Nutzungsprofile!$G$6:$G$11)*Kalender!C331/SUM(Kalender!$C$5:$C$370),0)+IFERROR(SUMIF(Nutzungsprofile!$B$6:$B$11,"Halle",Nutzungsprofile!$G$6:$G$11)*Kalender!D331/SUM(Kalender!$D$5:$D$370),0)+IFERROR(SUMIF(Nutzungsprofile!$B$6:$B$11,"Individuell",Nutzungsprofile!$G$6:$G$11)*Kalender!E331/SUM(Kalender!$E$5:$E$370),0)),0)</f>
        <v>0.9</v>
      </c>
      <c r="E331" s="13" t="n">
        <f aca="false">IF(Prüfungen!$B$4=0,(IFERROR(SUMIF(Nutzungsprofile!$B$17:$B$22,"Schulbetrieb",Nutzungsprofile!$G$17:$G$22)*Kalender!C331/SUM(Kalender!$C$5:$C$370),0)+IFERROR(SUMIF(Nutzungsprofile!$B$17:$B$22,"Halle",Nutzungsprofile!$G$17:$G$22)*Kalender!D331/SUM(Kalender!$D$5:$D$370),0)+IFERROR(SUMIF(Nutzungsprofile!$B$17:$B$22,"Individuell",Nutzungsprofile!$G$17:$G$22)*Kalender!E331/SUM(Kalender!$E$5:$E$370),0)),0)</f>
        <v>4.05</v>
      </c>
      <c r="F331" s="13" t="n">
        <f aca="false">IFERROR(MIN(D331,Eingaben!$B$17)*Eingaben!$B$16,0)</f>
        <v>0.855</v>
      </c>
      <c r="G331" s="13" t="n">
        <f aca="false">IFERROR(F331*Eingaben!$B$15,0)</f>
        <v>0.7695</v>
      </c>
      <c r="H331" s="13" t="n">
        <f aca="false">IFERROR(Q331*(1-Eingaben!$B$20),0)</f>
        <v>0</v>
      </c>
      <c r="I331" s="13" t="n">
        <f aca="false">MIN(H331,E331)</f>
        <v>0</v>
      </c>
      <c r="J331" s="13" t="n">
        <f aca="false">IFERROR(MIN(G331*Eingaben!$B$19,MAX(0,E331-I331)),0)</f>
        <v>0.53865</v>
      </c>
      <c r="K331" s="13" t="n">
        <f aca="false">IFERROR(MIN(Eingaben!$B$18,MAX(0,G331-J331)),0)</f>
        <v>0.23085</v>
      </c>
      <c r="L331" s="13" t="n">
        <f aca="false">I331+J331</f>
        <v>0.53865</v>
      </c>
      <c r="M331" s="13" t="n">
        <f aca="false">MAX(0,E331-L331)</f>
        <v>3.51135</v>
      </c>
      <c r="N331" s="13" t="n">
        <f aca="false">MAX(0,G331-J331-K331)</f>
        <v>0</v>
      </c>
      <c r="O331" s="13" t="n">
        <f aca="false">Q331-I331</f>
        <v>0</v>
      </c>
      <c r="P331" s="13" t="n">
        <f aca="false">G331+Q331-L331-N331-O331-K331</f>
        <v>0</v>
      </c>
      <c r="Q331" s="13" t="n">
        <f aca="false">IF(A331="",0,K330)</f>
        <v>0</v>
      </c>
    </row>
    <row r="332" customFormat="false" ht="16.4" hidden="false" customHeight="false" outlineLevel="0" collapsed="false">
      <c r="A332" s="23" t="n">
        <f aca="false">Kalender!A332</f>
        <v>46350</v>
      </c>
      <c r="B332" s="13" t="n">
        <f aca="false">Kalender!C332</f>
        <v>1</v>
      </c>
      <c r="C332" s="13" t="n">
        <f aca="false">Kalender!D332</f>
        <v>0</v>
      </c>
      <c r="D332" s="13" t="n">
        <f aca="false">IF(Prüfungen!$B$4=0,(IFERROR(SUMIF(Nutzungsprofile!$B$6:$B$11,"Schulbetrieb",Nutzungsprofile!$G$6:$G$11)*Kalender!C332/SUM(Kalender!$C$5:$C$370),0)+IFERROR(SUMIF(Nutzungsprofile!$B$6:$B$11,"Halle",Nutzungsprofile!$G$6:$G$11)*Kalender!D332/SUM(Kalender!$D$5:$D$370),0)+IFERROR(SUMIF(Nutzungsprofile!$B$6:$B$11,"Individuell",Nutzungsprofile!$G$6:$G$11)*Kalender!E332/SUM(Kalender!$E$5:$E$370),0)),0)</f>
        <v>0.9</v>
      </c>
      <c r="E332" s="13" t="n">
        <f aca="false">IF(Prüfungen!$B$4=0,(IFERROR(SUMIF(Nutzungsprofile!$B$17:$B$22,"Schulbetrieb",Nutzungsprofile!$G$17:$G$22)*Kalender!C332/SUM(Kalender!$C$5:$C$370),0)+IFERROR(SUMIF(Nutzungsprofile!$B$17:$B$22,"Halle",Nutzungsprofile!$G$17:$G$22)*Kalender!D332/SUM(Kalender!$D$5:$D$370),0)+IFERROR(SUMIF(Nutzungsprofile!$B$17:$B$22,"Individuell",Nutzungsprofile!$G$17:$G$22)*Kalender!E332/SUM(Kalender!$E$5:$E$370),0)),0)</f>
        <v>4.05</v>
      </c>
      <c r="F332" s="13" t="n">
        <f aca="false">IFERROR(MIN(D332,Eingaben!$B$17)*Eingaben!$B$16,0)</f>
        <v>0.855</v>
      </c>
      <c r="G332" s="13" t="n">
        <f aca="false">IFERROR(F332*Eingaben!$B$15,0)</f>
        <v>0.7695</v>
      </c>
      <c r="H332" s="13" t="n">
        <f aca="false">IFERROR(Q332*(1-Eingaben!$B$20),0)</f>
        <v>0.226233</v>
      </c>
      <c r="I332" s="13" t="n">
        <f aca="false">MIN(H332,E332)</f>
        <v>0.226233</v>
      </c>
      <c r="J332" s="13" t="n">
        <f aca="false">IFERROR(MIN(G332*Eingaben!$B$19,MAX(0,E332-I332)),0)</f>
        <v>0.53865</v>
      </c>
      <c r="K332" s="13" t="n">
        <f aca="false">IFERROR(MIN(Eingaben!$B$18,MAX(0,G332-J332)),0)</f>
        <v>0.23085</v>
      </c>
      <c r="L332" s="13" t="n">
        <f aca="false">I332+J332</f>
        <v>0.764883</v>
      </c>
      <c r="M332" s="13" t="n">
        <f aca="false">MAX(0,E332-L332)</f>
        <v>3.285117</v>
      </c>
      <c r="N332" s="13" t="n">
        <f aca="false">MAX(0,G332-J332-K332)</f>
        <v>0</v>
      </c>
      <c r="O332" s="13" t="n">
        <f aca="false">Q332-I332</f>
        <v>0.00461700000000001</v>
      </c>
      <c r="P332" s="13" t="n">
        <f aca="false">G332+Q332-L332-N332-O332-K332</f>
        <v>0</v>
      </c>
      <c r="Q332" s="13" t="n">
        <f aca="false">IF(A332="",0,K331)</f>
        <v>0.23085</v>
      </c>
    </row>
    <row r="333" customFormat="false" ht="16.4" hidden="false" customHeight="false" outlineLevel="0" collapsed="false">
      <c r="A333" s="23" t="n">
        <f aca="false">Kalender!A333</f>
        <v>46351</v>
      </c>
      <c r="B333" s="13" t="n">
        <f aca="false">Kalender!C333</f>
        <v>0</v>
      </c>
      <c r="C333" s="13" t="n">
        <f aca="false">Kalender!D333</f>
        <v>0</v>
      </c>
      <c r="D333" s="13" t="n">
        <f aca="false">IF(Prüfungen!$B$4=0,(IFERROR(SUMIF(Nutzungsprofile!$B$6:$B$11,"Schulbetrieb",Nutzungsprofile!$G$6:$G$11)*Kalender!C333/SUM(Kalender!$C$5:$C$370),0)+IFERROR(SUMIF(Nutzungsprofile!$B$6:$B$11,"Halle",Nutzungsprofile!$G$6:$G$11)*Kalender!D333/SUM(Kalender!$D$5:$D$370),0)+IFERROR(SUMIF(Nutzungsprofile!$B$6:$B$11,"Individuell",Nutzungsprofile!$G$6:$G$11)*Kalender!E333/SUM(Kalender!$E$5:$E$370),0)),0)</f>
        <v>0</v>
      </c>
      <c r="E333" s="13" t="n">
        <f aca="false">IF(Prüfungen!$B$4=0,(IFERROR(SUMIF(Nutzungsprofile!$B$17:$B$22,"Schulbetrieb",Nutzungsprofile!$G$17:$G$22)*Kalender!C333/SUM(Kalender!$C$5:$C$370),0)+IFERROR(SUMIF(Nutzungsprofile!$B$17:$B$22,"Halle",Nutzungsprofile!$G$17:$G$22)*Kalender!D333/SUM(Kalender!$D$5:$D$370),0)+IFERROR(SUMIF(Nutzungsprofile!$B$17:$B$22,"Individuell",Nutzungsprofile!$G$17:$G$22)*Kalender!E333/SUM(Kalender!$E$5:$E$370),0)),0)</f>
        <v>0</v>
      </c>
      <c r="F333" s="13" t="n">
        <f aca="false">IFERROR(MIN(D333,Eingaben!$B$17)*Eingaben!$B$16,0)</f>
        <v>0</v>
      </c>
      <c r="G333" s="13" t="n">
        <f aca="false">IFERROR(F333*Eingaben!$B$15,0)</f>
        <v>0</v>
      </c>
      <c r="H333" s="13" t="n">
        <f aca="false">IFERROR(Q333*(1-Eingaben!$B$20),0)</f>
        <v>0.226233</v>
      </c>
      <c r="I333" s="13" t="n">
        <f aca="false">MIN(H333,E333)</f>
        <v>0</v>
      </c>
      <c r="J333" s="13" t="n">
        <f aca="false">IFERROR(MIN(G333*Eingaben!$B$19,MAX(0,E333-I333)),0)</f>
        <v>0</v>
      </c>
      <c r="K333" s="13" t="n">
        <f aca="false">IFERROR(MIN(Eingaben!$B$18,MAX(0,G333-J333)),0)</f>
        <v>0</v>
      </c>
      <c r="L333" s="13" t="n">
        <f aca="false">I333+J333</f>
        <v>0</v>
      </c>
      <c r="M333" s="13" t="n">
        <f aca="false">MAX(0,E333-L333)</f>
        <v>0</v>
      </c>
      <c r="N333" s="13" t="n">
        <f aca="false">MAX(0,G333-J333-K333)</f>
        <v>0</v>
      </c>
      <c r="O333" s="13" t="n">
        <f aca="false">Q333-I333</f>
        <v>0.23085</v>
      </c>
      <c r="P333" s="13" t="n">
        <f aca="false">G333+Q333-L333-N333-O333-K333</f>
        <v>0</v>
      </c>
      <c r="Q333" s="13" t="n">
        <f aca="false">IF(A333="",0,K332)</f>
        <v>0.23085</v>
      </c>
    </row>
    <row r="334" customFormat="false" ht="16.4" hidden="false" customHeight="false" outlineLevel="0" collapsed="false">
      <c r="A334" s="23" t="n">
        <f aca="false">Kalender!A334</f>
        <v>46352</v>
      </c>
      <c r="B334" s="13" t="n">
        <f aca="false">Kalender!C334</f>
        <v>0</v>
      </c>
      <c r="C334" s="13" t="n">
        <f aca="false">Kalender!D334</f>
        <v>0</v>
      </c>
      <c r="D334" s="13" t="n">
        <f aca="false">IF(Prüfungen!$B$4=0,(IFERROR(SUMIF(Nutzungsprofile!$B$6:$B$11,"Schulbetrieb",Nutzungsprofile!$G$6:$G$11)*Kalender!C334/SUM(Kalender!$C$5:$C$370),0)+IFERROR(SUMIF(Nutzungsprofile!$B$6:$B$11,"Halle",Nutzungsprofile!$G$6:$G$11)*Kalender!D334/SUM(Kalender!$D$5:$D$370),0)+IFERROR(SUMIF(Nutzungsprofile!$B$6:$B$11,"Individuell",Nutzungsprofile!$G$6:$G$11)*Kalender!E334/SUM(Kalender!$E$5:$E$370),0)),0)</f>
        <v>0</v>
      </c>
      <c r="E334" s="13" t="n">
        <f aca="false">IF(Prüfungen!$B$4=0,(IFERROR(SUMIF(Nutzungsprofile!$B$17:$B$22,"Schulbetrieb",Nutzungsprofile!$G$17:$G$22)*Kalender!C334/SUM(Kalender!$C$5:$C$370),0)+IFERROR(SUMIF(Nutzungsprofile!$B$17:$B$22,"Halle",Nutzungsprofile!$G$17:$G$22)*Kalender!D334/SUM(Kalender!$D$5:$D$370),0)+IFERROR(SUMIF(Nutzungsprofile!$B$17:$B$22,"Individuell",Nutzungsprofile!$G$17:$G$22)*Kalender!E334/SUM(Kalender!$E$5:$E$370),0)),0)</f>
        <v>0</v>
      </c>
      <c r="F334" s="13" t="n">
        <f aca="false">IFERROR(MIN(D334,Eingaben!$B$17)*Eingaben!$B$16,0)</f>
        <v>0</v>
      </c>
      <c r="G334" s="13" t="n">
        <f aca="false">IFERROR(F334*Eingaben!$B$15,0)</f>
        <v>0</v>
      </c>
      <c r="H334" s="13" t="n">
        <f aca="false">IFERROR(Q334*(1-Eingaben!$B$20),0)</f>
        <v>0</v>
      </c>
      <c r="I334" s="13" t="n">
        <f aca="false">MIN(H334,E334)</f>
        <v>0</v>
      </c>
      <c r="J334" s="13" t="n">
        <f aca="false">IFERROR(MIN(G334*Eingaben!$B$19,MAX(0,E334-I334)),0)</f>
        <v>0</v>
      </c>
      <c r="K334" s="13" t="n">
        <f aca="false">IFERROR(MIN(Eingaben!$B$18,MAX(0,G334-J334)),0)</f>
        <v>0</v>
      </c>
      <c r="L334" s="13" t="n">
        <f aca="false">I334+J334</f>
        <v>0</v>
      </c>
      <c r="M334" s="13" t="n">
        <f aca="false">MAX(0,E334-L334)</f>
        <v>0</v>
      </c>
      <c r="N334" s="13" t="n">
        <f aca="false">MAX(0,G334-J334-K334)</f>
        <v>0</v>
      </c>
      <c r="O334" s="13" t="n">
        <f aca="false">Q334-I334</f>
        <v>0</v>
      </c>
      <c r="P334" s="13" t="n">
        <f aca="false">G334+Q334-L334-N334-O334-K334</f>
        <v>0</v>
      </c>
      <c r="Q334" s="13" t="n">
        <f aca="false">IF(A334="",0,K333)</f>
        <v>0</v>
      </c>
    </row>
    <row r="335" customFormat="false" ht="16.4" hidden="false" customHeight="false" outlineLevel="0" collapsed="false">
      <c r="A335" s="23" t="n">
        <f aca="false">Kalender!A335</f>
        <v>46353</v>
      </c>
      <c r="B335" s="13" t="n">
        <f aca="false">Kalender!C335</f>
        <v>0</v>
      </c>
      <c r="C335" s="13" t="n">
        <f aca="false">Kalender!D335</f>
        <v>0</v>
      </c>
      <c r="D335" s="13" t="n">
        <f aca="false">IF(Prüfungen!$B$4=0,(IFERROR(SUMIF(Nutzungsprofile!$B$6:$B$11,"Schulbetrieb",Nutzungsprofile!$G$6:$G$11)*Kalender!C335/SUM(Kalender!$C$5:$C$370),0)+IFERROR(SUMIF(Nutzungsprofile!$B$6:$B$11,"Halle",Nutzungsprofile!$G$6:$G$11)*Kalender!D335/SUM(Kalender!$D$5:$D$370),0)+IFERROR(SUMIF(Nutzungsprofile!$B$6:$B$11,"Individuell",Nutzungsprofile!$G$6:$G$11)*Kalender!E335/SUM(Kalender!$E$5:$E$370),0)),0)</f>
        <v>0</v>
      </c>
      <c r="E335" s="13" t="n">
        <f aca="false">IF(Prüfungen!$B$4=0,(IFERROR(SUMIF(Nutzungsprofile!$B$17:$B$22,"Schulbetrieb",Nutzungsprofile!$G$17:$G$22)*Kalender!C335/SUM(Kalender!$C$5:$C$370),0)+IFERROR(SUMIF(Nutzungsprofile!$B$17:$B$22,"Halle",Nutzungsprofile!$G$17:$G$22)*Kalender!D335/SUM(Kalender!$D$5:$D$370),0)+IFERROR(SUMIF(Nutzungsprofile!$B$17:$B$22,"Individuell",Nutzungsprofile!$G$17:$G$22)*Kalender!E335/SUM(Kalender!$E$5:$E$370),0)),0)</f>
        <v>0</v>
      </c>
      <c r="F335" s="13" t="n">
        <f aca="false">IFERROR(MIN(D335,Eingaben!$B$17)*Eingaben!$B$16,0)</f>
        <v>0</v>
      </c>
      <c r="G335" s="13" t="n">
        <f aca="false">IFERROR(F335*Eingaben!$B$15,0)</f>
        <v>0</v>
      </c>
      <c r="H335" s="13" t="n">
        <f aca="false">IFERROR(Q335*(1-Eingaben!$B$20),0)</f>
        <v>0</v>
      </c>
      <c r="I335" s="13" t="n">
        <f aca="false">MIN(H335,E335)</f>
        <v>0</v>
      </c>
      <c r="J335" s="13" t="n">
        <f aca="false">IFERROR(MIN(G335*Eingaben!$B$19,MAX(0,E335-I335)),0)</f>
        <v>0</v>
      </c>
      <c r="K335" s="13" t="n">
        <f aca="false">IFERROR(MIN(Eingaben!$B$18,MAX(0,G335-J335)),0)</f>
        <v>0</v>
      </c>
      <c r="L335" s="13" t="n">
        <f aca="false">I335+J335</f>
        <v>0</v>
      </c>
      <c r="M335" s="13" t="n">
        <f aca="false">MAX(0,E335-L335)</f>
        <v>0</v>
      </c>
      <c r="N335" s="13" t="n">
        <f aca="false">MAX(0,G335-J335-K335)</f>
        <v>0</v>
      </c>
      <c r="O335" s="13" t="n">
        <f aca="false">Q335-I335</f>
        <v>0</v>
      </c>
      <c r="P335" s="13" t="n">
        <f aca="false">G335+Q335-L335-N335-O335-K335</f>
        <v>0</v>
      </c>
      <c r="Q335" s="13" t="n">
        <f aca="false">IF(A335="",0,K334)</f>
        <v>0</v>
      </c>
    </row>
    <row r="336" customFormat="false" ht="16.4" hidden="false" customHeight="false" outlineLevel="0" collapsed="false">
      <c r="A336" s="23" t="n">
        <f aca="false">Kalender!A336</f>
        <v>46354</v>
      </c>
      <c r="B336" s="13" t="n">
        <f aca="false">Kalender!C336</f>
        <v>0</v>
      </c>
      <c r="C336" s="13" t="n">
        <f aca="false">Kalender!D336</f>
        <v>0</v>
      </c>
      <c r="D336" s="13" t="n">
        <f aca="false">IF(Prüfungen!$B$4=0,(IFERROR(SUMIF(Nutzungsprofile!$B$6:$B$11,"Schulbetrieb",Nutzungsprofile!$G$6:$G$11)*Kalender!C336/SUM(Kalender!$C$5:$C$370),0)+IFERROR(SUMIF(Nutzungsprofile!$B$6:$B$11,"Halle",Nutzungsprofile!$G$6:$G$11)*Kalender!D336/SUM(Kalender!$D$5:$D$370),0)+IFERROR(SUMIF(Nutzungsprofile!$B$6:$B$11,"Individuell",Nutzungsprofile!$G$6:$G$11)*Kalender!E336/SUM(Kalender!$E$5:$E$370),0)),0)</f>
        <v>0</v>
      </c>
      <c r="E336" s="13" t="n">
        <f aca="false">IF(Prüfungen!$B$4=0,(IFERROR(SUMIF(Nutzungsprofile!$B$17:$B$22,"Schulbetrieb",Nutzungsprofile!$G$17:$G$22)*Kalender!C336/SUM(Kalender!$C$5:$C$370),0)+IFERROR(SUMIF(Nutzungsprofile!$B$17:$B$22,"Halle",Nutzungsprofile!$G$17:$G$22)*Kalender!D336/SUM(Kalender!$D$5:$D$370),0)+IFERROR(SUMIF(Nutzungsprofile!$B$17:$B$22,"Individuell",Nutzungsprofile!$G$17:$G$22)*Kalender!E336/SUM(Kalender!$E$5:$E$370),0)),0)</f>
        <v>0</v>
      </c>
      <c r="F336" s="13" t="n">
        <f aca="false">IFERROR(MIN(D336,Eingaben!$B$17)*Eingaben!$B$16,0)</f>
        <v>0</v>
      </c>
      <c r="G336" s="13" t="n">
        <f aca="false">IFERROR(F336*Eingaben!$B$15,0)</f>
        <v>0</v>
      </c>
      <c r="H336" s="13" t="n">
        <f aca="false">IFERROR(Q336*(1-Eingaben!$B$20),0)</f>
        <v>0</v>
      </c>
      <c r="I336" s="13" t="n">
        <f aca="false">MIN(H336,E336)</f>
        <v>0</v>
      </c>
      <c r="J336" s="13" t="n">
        <f aca="false">IFERROR(MIN(G336*Eingaben!$B$19,MAX(0,E336-I336)),0)</f>
        <v>0</v>
      </c>
      <c r="K336" s="13" t="n">
        <f aca="false">IFERROR(MIN(Eingaben!$B$18,MAX(0,G336-J336)),0)</f>
        <v>0</v>
      </c>
      <c r="L336" s="13" t="n">
        <f aca="false">I336+J336</f>
        <v>0</v>
      </c>
      <c r="M336" s="13" t="n">
        <f aca="false">MAX(0,E336-L336)</f>
        <v>0</v>
      </c>
      <c r="N336" s="13" t="n">
        <f aca="false">MAX(0,G336-J336-K336)</f>
        <v>0</v>
      </c>
      <c r="O336" s="13" t="n">
        <f aca="false">Q336-I336</f>
        <v>0</v>
      </c>
      <c r="P336" s="13" t="n">
        <f aca="false">G336+Q336-L336-N336-O336-K336</f>
        <v>0</v>
      </c>
      <c r="Q336" s="13" t="n">
        <f aca="false">IF(A336="",0,K335)</f>
        <v>0</v>
      </c>
    </row>
    <row r="337" customFormat="false" ht="16.4" hidden="false" customHeight="false" outlineLevel="0" collapsed="false">
      <c r="A337" s="23" t="n">
        <f aca="false">Kalender!A337</f>
        <v>46355</v>
      </c>
      <c r="B337" s="13" t="n">
        <f aca="false">Kalender!C337</f>
        <v>0</v>
      </c>
      <c r="C337" s="13" t="n">
        <f aca="false">Kalender!D337</f>
        <v>0</v>
      </c>
      <c r="D337" s="13" t="n">
        <f aca="false">IF(Prüfungen!$B$4=0,(IFERROR(SUMIF(Nutzungsprofile!$B$6:$B$11,"Schulbetrieb",Nutzungsprofile!$G$6:$G$11)*Kalender!C337/SUM(Kalender!$C$5:$C$370),0)+IFERROR(SUMIF(Nutzungsprofile!$B$6:$B$11,"Halle",Nutzungsprofile!$G$6:$G$11)*Kalender!D337/SUM(Kalender!$D$5:$D$370),0)+IFERROR(SUMIF(Nutzungsprofile!$B$6:$B$11,"Individuell",Nutzungsprofile!$G$6:$G$11)*Kalender!E337/SUM(Kalender!$E$5:$E$370),0)),0)</f>
        <v>0</v>
      </c>
      <c r="E337" s="13" t="n">
        <f aca="false">IF(Prüfungen!$B$4=0,(IFERROR(SUMIF(Nutzungsprofile!$B$17:$B$22,"Schulbetrieb",Nutzungsprofile!$G$17:$G$22)*Kalender!C337/SUM(Kalender!$C$5:$C$370),0)+IFERROR(SUMIF(Nutzungsprofile!$B$17:$B$22,"Halle",Nutzungsprofile!$G$17:$G$22)*Kalender!D337/SUM(Kalender!$D$5:$D$370),0)+IFERROR(SUMIF(Nutzungsprofile!$B$17:$B$22,"Individuell",Nutzungsprofile!$G$17:$G$22)*Kalender!E337/SUM(Kalender!$E$5:$E$370),0)),0)</f>
        <v>0</v>
      </c>
      <c r="F337" s="13" t="n">
        <f aca="false">IFERROR(MIN(D337,Eingaben!$B$17)*Eingaben!$B$16,0)</f>
        <v>0</v>
      </c>
      <c r="G337" s="13" t="n">
        <f aca="false">IFERROR(F337*Eingaben!$B$15,0)</f>
        <v>0</v>
      </c>
      <c r="H337" s="13" t="n">
        <f aca="false">IFERROR(Q337*(1-Eingaben!$B$20),0)</f>
        <v>0</v>
      </c>
      <c r="I337" s="13" t="n">
        <f aca="false">MIN(H337,E337)</f>
        <v>0</v>
      </c>
      <c r="J337" s="13" t="n">
        <f aca="false">IFERROR(MIN(G337*Eingaben!$B$19,MAX(0,E337-I337)),0)</f>
        <v>0</v>
      </c>
      <c r="K337" s="13" t="n">
        <f aca="false">IFERROR(MIN(Eingaben!$B$18,MAX(0,G337-J337)),0)</f>
        <v>0</v>
      </c>
      <c r="L337" s="13" t="n">
        <f aca="false">I337+J337</f>
        <v>0</v>
      </c>
      <c r="M337" s="13" t="n">
        <f aca="false">MAX(0,E337-L337)</f>
        <v>0</v>
      </c>
      <c r="N337" s="13" t="n">
        <f aca="false">MAX(0,G337-J337-K337)</f>
        <v>0</v>
      </c>
      <c r="O337" s="13" t="n">
        <f aca="false">Q337-I337</f>
        <v>0</v>
      </c>
      <c r="P337" s="13" t="n">
        <f aca="false">G337+Q337-L337-N337-O337-K337</f>
        <v>0</v>
      </c>
      <c r="Q337" s="13" t="n">
        <f aca="false">IF(A337="",0,K336)</f>
        <v>0</v>
      </c>
    </row>
    <row r="338" customFormat="false" ht="16.4" hidden="false" customHeight="false" outlineLevel="0" collapsed="false">
      <c r="A338" s="23" t="n">
        <f aca="false">Kalender!A338</f>
        <v>46356</v>
      </c>
      <c r="B338" s="13" t="n">
        <f aca="false">Kalender!C338</f>
        <v>0</v>
      </c>
      <c r="C338" s="13" t="n">
        <f aca="false">Kalender!D338</f>
        <v>0</v>
      </c>
      <c r="D338" s="13" t="n">
        <f aca="false">IF(Prüfungen!$B$4=0,(IFERROR(SUMIF(Nutzungsprofile!$B$6:$B$11,"Schulbetrieb",Nutzungsprofile!$G$6:$G$11)*Kalender!C338/SUM(Kalender!$C$5:$C$370),0)+IFERROR(SUMIF(Nutzungsprofile!$B$6:$B$11,"Halle",Nutzungsprofile!$G$6:$G$11)*Kalender!D338/SUM(Kalender!$D$5:$D$370),0)+IFERROR(SUMIF(Nutzungsprofile!$B$6:$B$11,"Individuell",Nutzungsprofile!$G$6:$G$11)*Kalender!E338/SUM(Kalender!$E$5:$E$370),0)),0)</f>
        <v>0</v>
      </c>
      <c r="E338" s="13" t="n">
        <f aca="false">IF(Prüfungen!$B$4=0,(IFERROR(SUMIF(Nutzungsprofile!$B$17:$B$22,"Schulbetrieb",Nutzungsprofile!$G$17:$G$22)*Kalender!C338/SUM(Kalender!$C$5:$C$370),0)+IFERROR(SUMIF(Nutzungsprofile!$B$17:$B$22,"Halle",Nutzungsprofile!$G$17:$G$22)*Kalender!D338/SUM(Kalender!$D$5:$D$370),0)+IFERROR(SUMIF(Nutzungsprofile!$B$17:$B$22,"Individuell",Nutzungsprofile!$G$17:$G$22)*Kalender!E338/SUM(Kalender!$E$5:$E$370),0)),0)</f>
        <v>0</v>
      </c>
      <c r="F338" s="13" t="n">
        <f aca="false">IFERROR(MIN(D338,Eingaben!$B$17)*Eingaben!$B$16,0)</f>
        <v>0</v>
      </c>
      <c r="G338" s="13" t="n">
        <f aca="false">IFERROR(F338*Eingaben!$B$15,0)</f>
        <v>0</v>
      </c>
      <c r="H338" s="13" t="n">
        <f aca="false">IFERROR(Q338*(1-Eingaben!$B$20),0)</f>
        <v>0</v>
      </c>
      <c r="I338" s="13" t="n">
        <f aca="false">MIN(H338,E338)</f>
        <v>0</v>
      </c>
      <c r="J338" s="13" t="n">
        <f aca="false">IFERROR(MIN(G338*Eingaben!$B$19,MAX(0,E338-I338)),0)</f>
        <v>0</v>
      </c>
      <c r="K338" s="13" t="n">
        <f aca="false">IFERROR(MIN(Eingaben!$B$18,MAX(0,G338-J338)),0)</f>
        <v>0</v>
      </c>
      <c r="L338" s="13" t="n">
        <f aca="false">I338+J338</f>
        <v>0</v>
      </c>
      <c r="M338" s="13" t="n">
        <f aca="false">MAX(0,E338-L338)</f>
        <v>0</v>
      </c>
      <c r="N338" s="13" t="n">
        <f aca="false">MAX(0,G338-J338-K338)</f>
        <v>0</v>
      </c>
      <c r="O338" s="13" t="n">
        <f aca="false">Q338-I338</f>
        <v>0</v>
      </c>
      <c r="P338" s="13" t="n">
        <f aca="false">G338+Q338-L338-N338-O338-K338</f>
        <v>0</v>
      </c>
      <c r="Q338" s="13" t="n">
        <f aca="false">IF(A338="",0,K337)</f>
        <v>0</v>
      </c>
    </row>
    <row r="339" customFormat="false" ht="16.4" hidden="false" customHeight="false" outlineLevel="0" collapsed="false">
      <c r="A339" s="23" t="n">
        <f aca="false">Kalender!A339</f>
        <v>46357</v>
      </c>
      <c r="B339" s="13" t="n">
        <f aca="false">Kalender!C339</f>
        <v>0</v>
      </c>
      <c r="C339" s="13" t="n">
        <f aca="false">Kalender!D339</f>
        <v>0</v>
      </c>
      <c r="D339" s="13" t="n">
        <f aca="false">IF(Prüfungen!$B$4=0,(IFERROR(SUMIF(Nutzungsprofile!$B$6:$B$11,"Schulbetrieb",Nutzungsprofile!$G$6:$G$11)*Kalender!C339/SUM(Kalender!$C$5:$C$370),0)+IFERROR(SUMIF(Nutzungsprofile!$B$6:$B$11,"Halle",Nutzungsprofile!$G$6:$G$11)*Kalender!D339/SUM(Kalender!$D$5:$D$370),0)+IFERROR(SUMIF(Nutzungsprofile!$B$6:$B$11,"Individuell",Nutzungsprofile!$G$6:$G$11)*Kalender!E339/SUM(Kalender!$E$5:$E$370),0)),0)</f>
        <v>0</v>
      </c>
      <c r="E339" s="13" t="n">
        <f aca="false">IF(Prüfungen!$B$4=0,(IFERROR(SUMIF(Nutzungsprofile!$B$17:$B$22,"Schulbetrieb",Nutzungsprofile!$G$17:$G$22)*Kalender!C339/SUM(Kalender!$C$5:$C$370),0)+IFERROR(SUMIF(Nutzungsprofile!$B$17:$B$22,"Halle",Nutzungsprofile!$G$17:$G$22)*Kalender!D339/SUM(Kalender!$D$5:$D$370),0)+IFERROR(SUMIF(Nutzungsprofile!$B$17:$B$22,"Individuell",Nutzungsprofile!$G$17:$G$22)*Kalender!E339/SUM(Kalender!$E$5:$E$370),0)),0)</f>
        <v>0</v>
      </c>
      <c r="F339" s="13" t="n">
        <f aca="false">IFERROR(MIN(D339,Eingaben!$B$17)*Eingaben!$B$16,0)</f>
        <v>0</v>
      </c>
      <c r="G339" s="13" t="n">
        <f aca="false">IFERROR(F339*Eingaben!$B$15,0)</f>
        <v>0</v>
      </c>
      <c r="H339" s="13" t="n">
        <f aca="false">IFERROR(Q339*(1-Eingaben!$B$20),0)</f>
        <v>0</v>
      </c>
      <c r="I339" s="13" t="n">
        <f aca="false">MIN(H339,E339)</f>
        <v>0</v>
      </c>
      <c r="J339" s="13" t="n">
        <f aca="false">IFERROR(MIN(G339*Eingaben!$B$19,MAX(0,E339-I339)),0)</f>
        <v>0</v>
      </c>
      <c r="K339" s="13" t="n">
        <f aca="false">IFERROR(MIN(Eingaben!$B$18,MAX(0,G339-J339)),0)</f>
        <v>0</v>
      </c>
      <c r="L339" s="13" t="n">
        <f aca="false">I339+J339</f>
        <v>0</v>
      </c>
      <c r="M339" s="13" t="n">
        <f aca="false">MAX(0,E339-L339)</f>
        <v>0</v>
      </c>
      <c r="N339" s="13" t="n">
        <f aca="false">MAX(0,G339-J339-K339)</f>
        <v>0</v>
      </c>
      <c r="O339" s="13" t="n">
        <f aca="false">Q339-I339</f>
        <v>0</v>
      </c>
      <c r="P339" s="13" t="n">
        <f aca="false">G339+Q339-L339-N339-O339-K339</f>
        <v>0</v>
      </c>
      <c r="Q339" s="13" t="n">
        <f aca="false">IF(A339="",0,K338)</f>
        <v>0</v>
      </c>
    </row>
    <row r="340" customFormat="false" ht="16.4" hidden="false" customHeight="false" outlineLevel="0" collapsed="false">
      <c r="A340" s="23" t="n">
        <f aca="false">Kalender!A340</f>
        <v>46358</v>
      </c>
      <c r="B340" s="13" t="n">
        <f aca="false">Kalender!C340</f>
        <v>0</v>
      </c>
      <c r="C340" s="13" t="n">
        <f aca="false">Kalender!D340</f>
        <v>0</v>
      </c>
      <c r="D340" s="13" t="n">
        <f aca="false">IF(Prüfungen!$B$4=0,(IFERROR(SUMIF(Nutzungsprofile!$B$6:$B$11,"Schulbetrieb",Nutzungsprofile!$G$6:$G$11)*Kalender!C340/SUM(Kalender!$C$5:$C$370),0)+IFERROR(SUMIF(Nutzungsprofile!$B$6:$B$11,"Halle",Nutzungsprofile!$G$6:$G$11)*Kalender!D340/SUM(Kalender!$D$5:$D$370),0)+IFERROR(SUMIF(Nutzungsprofile!$B$6:$B$11,"Individuell",Nutzungsprofile!$G$6:$G$11)*Kalender!E340/SUM(Kalender!$E$5:$E$370),0)),0)</f>
        <v>0</v>
      </c>
      <c r="E340" s="13" t="n">
        <f aca="false">IF(Prüfungen!$B$4=0,(IFERROR(SUMIF(Nutzungsprofile!$B$17:$B$22,"Schulbetrieb",Nutzungsprofile!$G$17:$G$22)*Kalender!C340/SUM(Kalender!$C$5:$C$370),0)+IFERROR(SUMIF(Nutzungsprofile!$B$17:$B$22,"Halle",Nutzungsprofile!$G$17:$G$22)*Kalender!D340/SUM(Kalender!$D$5:$D$370),0)+IFERROR(SUMIF(Nutzungsprofile!$B$17:$B$22,"Individuell",Nutzungsprofile!$G$17:$G$22)*Kalender!E340/SUM(Kalender!$E$5:$E$370),0)),0)</f>
        <v>0</v>
      </c>
      <c r="F340" s="13" t="n">
        <f aca="false">IFERROR(MIN(D340,Eingaben!$B$17)*Eingaben!$B$16,0)</f>
        <v>0</v>
      </c>
      <c r="G340" s="13" t="n">
        <f aca="false">IFERROR(F340*Eingaben!$B$15,0)</f>
        <v>0</v>
      </c>
      <c r="H340" s="13" t="n">
        <f aca="false">IFERROR(Q340*(1-Eingaben!$B$20),0)</f>
        <v>0</v>
      </c>
      <c r="I340" s="13" t="n">
        <f aca="false">MIN(H340,E340)</f>
        <v>0</v>
      </c>
      <c r="J340" s="13" t="n">
        <f aca="false">IFERROR(MIN(G340*Eingaben!$B$19,MAX(0,E340-I340)),0)</f>
        <v>0</v>
      </c>
      <c r="K340" s="13" t="n">
        <f aca="false">IFERROR(MIN(Eingaben!$B$18,MAX(0,G340-J340)),0)</f>
        <v>0</v>
      </c>
      <c r="L340" s="13" t="n">
        <f aca="false">I340+J340</f>
        <v>0</v>
      </c>
      <c r="M340" s="13" t="n">
        <f aca="false">MAX(0,E340-L340)</f>
        <v>0</v>
      </c>
      <c r="N340" s="13" t="n">
        <f aca="false">MAX(0,G340-J340-K340)</f>
        <v>0</v>
      </c>
      <c r="O340" s="13" t="n">
        <f aca="false">Q340-I340</f>
        <v>0</v>
      </c>
      <c r="P340" s="13" t="n">
        <f aca="false">G340+Q340-L340-N340-O340-K340</f>
        <v>0</v>
      </c>
      <c r="Q340" s="13" t="n">
        <f aca="false">IF(A340="",0,K339)</f>
        <v>0</v>
      </c>
    </row>
    <row r="341" customFormat="false" ht="16.4" hidden="false" customHeight="false" outlineLevel="0" collapsed="false">
      <c r="A341" s="23" t="n">
        <f aca="false">Kalender!A341</f>
        <v>46359</v>
      </c>
      <c r="B341" s="13" t="n">
        <f aca="false">Kalender!C341</f>
        <v>0</v>
      </c>
      <c r="C341" s="13" t="n">
        <f aca="false">Kalender!D341</f>
        <v>0</v>
      </c>
      <c r="D341" s="13" t="n">
        <f aca="false">IF(Prüfungen!$B$4=0,(IFERROR(SUMIF(Nutzungsprofile!$B$6:$B$11,"Schulbetrieb",Nutzungsprofile!$G$6:$G$11)*Kalender!C341/SUM(Kalender!$C$5:$C$370),0)+IFERROR(SUMIF(Nutzungsprofile!$B$6:$B$11,"Halle",Nutzungsprofile!$G$6:$G$11)*Kalender!D341/SUM(Kalender!$D$5:$D$370),0)+IFERROR(SUMIF(Nutzungsprofile!$B$6:$B$11,"Individuell",Nutzungsprofile!$G$6:$G$11)*Kalender!E341/SUM(Kalender!$E$5:$E$370),0)),0)</f>
        <v>0</v>
      </c>
      <c r="E341" s="13" t="n">
        <f aca="false">IF(Prüfungen!$B$4=0,(IFERROR(SUMIF(Nutzungsprofile!$B$17:$B$22,"Schulbetrieb",Nutzungsprofile!$G$17:$G$22)*Kalender!C341/SUM(Kalender!$C$5:$C$370),0)+IFERROR(SUMIF(Nutzungsprofile!$B$17:$B$22,"Halle",Nutzungsprofile!$G$17:$G$22)*Kalender!D341/SUM(Kalender!$D$5:$D$370),0)+IFERROR(SUMIF(Nutzungsprofile!$B$17:$B$22,"Individuell",Nutzungsprofile!$G$17:$G$22)*Kalender!E341/SUM(Kalender!$E$5:$E$370),0)),0)</f>
        <v>0</v>
      </c>
      <c r="F341" s="13" t="n">
        <f aca="false">IFERROR(MIN(D341,Eingaben!$B$17)*Eingaben!$B$16,0)</f>
        <v>0</v>
      </c>
      <c r="G341" s="13" t="n">
        <f aca="false">IFERROR(F341*Eingaben!$B$15,0)</f>
        <v>0</v>
      </c>
      <c r="H341" s="13" t="n">
        <f aca="false">IFERROR(Q341*(1-Eingaben!$B$20),0)</f>
        <v>0</v>
      </c>
      <c r="I341" s="13" t="n">
        <f aca="false">MIN(H341,E341)</f>
        <v>0</v>
      </c>
      <c r="J341" s="13" t="n">
        <f aca="false">IFERROR(MIN(G341*Eingaben!$B$19,MAX(0,E341-I341)),0)</f>
        <v>0</v>
      </c>
      <c r="K341" s="13" t="n">
        <f aca="false">IFERROR(MIN(Eingaben!$B$18,MAX(0,G341-J341)),0)</f>
        <v>0</v>
      </c>
      <c r="L341" s="13" t="n">
        <f aca="false">I341+J341</f>
        <v>0</v>
      </c>
      <c r="M341" s="13" t="n">
        <f aca="false">MAX(0,E341-L341)</f>
        <v>0</v>
      </c>
      <c r="N341" s="13" t="n">
        <f aca="false">MAX(0,G341-J341-K341)</f>
        <v>0</v>
      </c>
      <c r="O341" s="13" t="n">
        <f aca="false">Q341-I341</f>
        <v>0</v>
      </c>
      <c r="P341" s="13" t="n">
        <f aca="false">G341+Q341-L341-N341-O341-K341</f>
        <v>0</v>
      </c>
      <c r="Q341" s="13" t="n">
        <f aca="false">IF(A341="",0,K340)</f>
        <v>0</v>
      </c>
    </row>
    <row r="342" customFormat="false" ht="16.4" hidden="false" customHeight="false" outlineLevel="0" collapsed="false">
      <c r="A342" s="23" t="n">
        <f aca="false">Kalender!A342</f>
        <v>46360</v>
      </c>
      <c r="B342" s="13" t="n">
        <f aca="false">Kalender!C342</f>
        <v>0</v>
      </c>
      <c r="C342" s="13" t="n">
        <f aca="false">Kalender!D342</f>
        <v>0</v>
      </c>
      <c r="D342" s="13" t="n">
        <f aca="false">IF(Prüfungen!$B$4=0,(IFERROR(SUMIF(Nutzungsprofile!$B$6:$B$11,"Schulbetrieb",Nutzungsprofile!$G$6:$G$11)*Kalender!C342/SUM(Kalender!$C$5:$C$370),0)+IFERROR(SUMIF(Nutzungsprofile!$B$6:$B$11,"Halle",Nutzungsprofile!$G$6:$G$11)*Kalender!D342/SUM(Kalender!$D$5:$D$370),0)+IFERROR(SUMIF(Nutzungsprofile!$B$6:$B$11,"Individuell",Nutzungsprofile!$G$6:$G$11)*Kalender!E342/SUM(Kalender!$E$5:$E$370),0)),0)</f>
        <v>0</v>
      </c>
      <c r="E342" s="13" t="n">
        <f aca="false">IF(Prüfungen!$B$4=0,(IFERROR(SUMIF(Nutzungsprofile!$B$17:$B$22,"Schulbetrieb",Nutzungsprofile!$G$17:$G$22)*Kalender!C342/SUM(Kalender!$C$5:$C$370),0)+IFERROR(SUMIF(Nutzungsprofile!$B$17:$B$22,"Halle",Nutzungsprofile!$G$17:$G$22)*Kalender!D342/SUM(Kalender!$D$5:$D$370),0)+IFERROR(SUMIF(Nutzungsprofile!$B$17:$B$22,"Individuell",Nutzungsprofile!$G$17:$G$22)*Kalender!E342/SUM(Kalender!$E$5:$E$370),0)),0)</f>
        <v>0</v>
      </c>
      <c r="F342" s="13" t="n">
        <f aca="false">IFERROR(MIN(D342,Eingaben!$B$17)*Eingaben!$B$16,0)</f>
        <v>0</v>
      </c>
      <c r="G342" s="13" t="n">
        <f aca="false">IFERROR(F342*Eingaben!$B$15,0)</f>
        <v>0</v>
      </c>
      <c r="H342" s="13" t="n">
        <f aca="false">IFERROR(Q342*(1-Eingaben!$B$20),0)</f>
        <v>0</v>
      </c>
      <c r="I342" s="13" t="n">
        <f aca="false">MIN(H342,E342)</f>
        <v>0</v>
      </c>
      <c r="J342" s="13" t="n">
        <f aca="false">IFERROR(MIN(G342*Eingaben!$B$19,MAX(0,E342-I342)),0)</f>
        <v>0</v>
      </c>
      <c r="K342" s="13" t="n">
        <f aca="false">IFERROR(MIN(Eingaben!$B$18,MAX(0,G342-J342)),0)</f>
        <v>0</v>
      </c>
      <c r="L342" s="13" t="n">
        <f aca="false">I342+J342</f>
        <v>0</v>
      </c>
      <c r="M342" s="13" t="n">
        <f aca="false">MAX(0,E342-L342)</f>
        <v>0</v>
      </c>
      <c r="N342" s="13" t="n">
        <f aca="false">MAX(0,G342-J342-K342)</f>
        <v>0</v>
      </c>
      <c r="O342" s="13" t="n">
        <f aca="false">Q342-I342</f>
        <v>0</v>
      </c>
      <c r="P342" s="13" t="n">
        <f aca="false">G342+Q342-L342-N342-O342-K342</f>
        <v>0</v>
      </c>
      <c r="Q342" s="13" t="n">
        <f aca="false">IF(A342="",0,K341)</f>
        <v>0</v>
      </c>
    </row>
    <row r="343" customFormat="false" ht="16.4" hidden="false" customHeight="false" outlineLevel="0" collapsed="false">
      <c r="A343" s="23" t="n">
        <f aca="false">Kalender!A343</f>
        <v>46361</v>
      </c>
      <c r="B343" s="13" t="n">
        <f aca="false">Kalender!C343</f>
        <v>0</v>
      </c>
      <c r="C343" s="13" t="n">
        <f aca="false">Kalender!D343</f>
        <v>0</v>
      </c>
      <c r="D343" s="13" t="n">
        <f aca="false">IF(Prüfungen!$B$4=0,(IFERROR(SUMIF(Nutzungsprofile!$B$6:$B$11,"Schulbetrieb",Nutzungsprofile!$G$6:$G$11)*Kalender!C343/SUM(Kalender!$C$5:$C$370),0)+IFERROR(SUMIF(Nutzungsprofile!$B$6:$B$11,"Halle",Nutzungsprofile!$G$6:$G$11)*Kalender!D343/SUM(Kalender!$D$5:$D$370),0)+IFERROR(SUMIF(Nutzungsprofile!$B$6:$B$11,"Individuell",Nutzungsprofile!$G$6:$G$11)*Kalender!E343/SUM(Kalender!$E$5:$E$370),0)),0)</f>
        <v>0</v>
      </c>
      <c r="E343" s="13" t="n">
        <f aca="false">IF(Prüfungen!$B$4=0,(IFERROR(SUMIF(Nutzungsprofile!$B$17:$B$22,"Schulbetrieb",Nutzungsprofile!$G$17:$G$22)*Kalender!C343/SUM(Kalender!$C$5:$C$370),0)+IFERROR(SUMIF(Nutzungsprofile!$B$17:$B$22,"Halle",Nutzungsprofile!$G$17:$G$22)*Kalender!D343/SUM(Kalender!$D$5:$D$370),0)+IFERROR(SUMIF(Nutzungsprofile!$B$17:$B$22,"Individuell",Nutzungsprofile!$G$17:$G$22)*Kalender!E343/SUM(Kalender!$E$5:$E$370),0)),0)</f>
        <v>0</v>
      </c>
      <c r="F343" s="13" t="n">
        <f aca="false">IFERROR(MIN(D343,Eingaben!$B$17)*Eingaben!$B$16,0)</f>
        <v>0</v>
      </c>
      <c r="G343" s="13" t="n">
        <f aca="false">IFERROR(F343*Eingaben!$B$15,0)</f>
        <v>0</v>
      </c>
      <c r="H343" s="13" t="n">
        <f aca="false">IFERROR(Q343*(1-Eingaben!$B$20),0)</f>
        <v>0</v>
      </c>
      <c r="I343" s="13" t="n">
        <f aca="false">MIN(H343,E343)</f>
        <v>0</v>
      </c>
      <c r="J343" s="13" t="n">
        <f aca="false">IFERROR(MIN(G343*Eingaben!$B$19,MAX(0,E343-I343)),0)</f>
        <v>0</v>
      </c>
      <c r="K343" s="13" t="n">
        <f aca="false">IFERROR(MIN(Eingaben!$B$18,MAX(0,G343-J343)),0)</f>
        <v>0</v>
      </c>
      <c r="L343" s="13" t="n">
        <f aca="false">I343+J343</f>
        <v>0</v>
      </c>
      <c r="M343" s="13" t="n">
        <f aca="false">MAX(0,E343-L343)</f>
        <v>0</v>
      </c>
      <c r="N343" s="13" t="n">
        <f aca="false">MAX(0,G343-J343-K343)</f>
        <v>0</v>
      </c>
      <c r="O343" s="13" t="n">
        <f aca="false">Q343-I343</f>
        <v>0</v>
      </c>
      <c r="P343" s="13" t="n">
        <f aca="false">G343+Q343-L343-N343-O343-K343</f>
        <v>0</v>
      </c>
      <c r="Q343" s="13" t="n">
        <f aca="false">IF(A343="",0,K342)</f>
        <v>0</v>
      </c>
    </row>
    <row r="344" customFormat="false" ht="16.4" hidden="false" customHeight="false" outlineLevel="0" collapsed="false">
      <c r="A344" s="23" t="n">
        <f aca="false">Kalender!A344</f>
        <v>46362</v>
      </c>
      <c r="B344" s="13" t="n">
        <f aca="false">Kalender!C344</f>
        <v>0</v>
      </c>
      <c r="C344" s="13" t="n">
        <f aca="false">Kalender!D344</f>
        <v>0</v>
      </c>
      <c r="D344" s="13" t="n">
        <f aca="false">IF(Prüfungen!$B$4=0,(IFERROR(SUMIF(Nutzungsprofile!$B$6:$B$11,"Schulbetrieb",Nutzungsprofile!$G$6:$G$11)*Kalender!C344/SUM(Kalender!$C$5:$C$370),0)+IFERROR(SUMIF(Nutzungsprofile!$B$6:$B$11,"Halle",Nutzungsprofile!$G$6:$G$11)*Kalender!D344/SUM(Kalender!$D$5:$D$370),0)+IFERROR(SUMIF(Nutzungsprofile!$B$6:$B$11,"Individuell",Nutzungsprofile!$G$6:$G$11)*Kalender!E344/SUM(Kalender!$E$5:$E$370),0)),0)</f>
        <v>0</v>
      </c>
      <c r="E344" s="13" t="n">
        <f aca="false">IF(Prüfungen!$B$4=0,(IFERROR(SUMIF(Nutzungsprofile!$B$17:$B$22,"Schulbetrieb",Nutzungsprofile!$G$17:$G$22)*Kalender!C344/SUM(Kalender!$C$5:$C$370),0)+IFERROR(SUMIF(Nutzungsprofile!$B$17:$B$22,"Halle",Nutzungsprofile!$G$17:$G$22)*Kalender!D344/SUM(Kalender!$D$5:$D$370),0)+IFERROR(SUMIF(Nutzungsprofile!$B$17:$B$22,"Individuell",Nutzungsprofile!$G$17:$G$22)*Kalender!E344/SUM(Kalender!$E$5:$E$370),0)),0)</f>
        <v>0</v>
      </c>
      <c r="F344" s="13" t="n">
        <f aca="false">IFERROR(MIN(D344,Eingaben!$B$17)*Eingaben!$B$16,0)</f>
        <v>0</v>
      </c>
      <c r="G344" s="13" t="n">
        <f aca="false">IFERROR(F344*Eingaben!$B$15,0)</f>
        <v>0</v>
      </c>
      <c r="H344" s="13" t="n">
        <f aca="false">IFERROR(Q344*(1-Eingaben!$B$20),0)</f>
        <v>0</v>
      </c>
      <c r="I344" s="13" t="n">
        <f aca="false">MIN(H344,E344)</f>
        <v>0</v>
      </c>
      <c r="J344" s="13" t="n">
        <f aca="false">IFERROR(MIN(G344*Eingaben!$B$19,MAX(0,E344-I344)),0)</f>
        <v>0</v>
      </c>
      <c r="K344" s="13" t="n">
        <f aca="false">IFERROR(MIN(Eingaben!$B$18,MAX(0,G344-J344)),0)</f>
        <v>0</v>
      </c>
      <c r="L344" s="13" t="n">
        <f aca="false">I344+J344</f>
        <v>0</v>
      </c>
      <c r="M344" s="13" t="n">
        <f aca="false">MAX(0,E344-L344)</f>
        <v>0</v>
      </c>
      <c r="N344" s="13" t="n">
        <f aca="false">MAX(0,G344-J344-K344)</f>
        <v>0</v>
      </c>
      <c r="O344" s="13" t="n">
        <f aca="false">Q344-I344</f>
        <v>0</v>
      </c>
      <c r="P344" s="13" t="n">
        <f aca="false">G344+Q344-L344-N344-O344-K344</f>
        <v>0</v>
      </c>
      <c r="Q344" s="13" t="n">
        <f aca="false">IF(A344="",0,K343)</f>
        <v>0</v>
      </c>
    </row>
    <row r="345" customFormat="false" ht="16.4" hidden="false" customHeight="false" outlineLevel="0" collapsed="false">
      <c r="A345" s="23" t="n">
        <f aca="false">Kalender!A345</f>
        <v>46363</v>
      </c>
      <c r="B345" s="13" t="n">
        <f aca="false">Kalender!C345</f>
        <v>0</v>
      </c>
      <c r="C345" s="13" t="n">
        <f aca="false">Kalender!D345</f>
        <v>0</v>
      </c>
      <c r="D345" s="13" t="n">
        <f aca="false">IF(Prüfungen!$B$4=0,(IFERROR(SUMIF(Nutzungsprofile!$B$6:$B$11,"Schulbetrieb",Nutzungsprofile!$G$6:$G$11)*Kalender!C345/SUM(Kalender!$C$5:$C$370),0)+IFERROR(SUMIF(Nutzungsprofile!$B$6:$B$11,"Halle",Nutzungsprofile!$G$6:$G$11)*Kalender!D345/SUM(Kalender!$D$5:$D$370),0)+IFERROR(SUMIF(Nutzungsprofile!$B$6:$B$11,"Individuell",Nutzungsprofile!$G$6:$G$11)*Kalender!E345/SUM(Kalender!$E$5:$E$370),0)),0)</f>
        <v>0</v>
      </c>
      <c r="E345" s="13" t="n">
        <f aca="false">IF(Prüfungen!$B$4=0,(IFERROR(SUMIF(Nutzungsprofile!$B$17:$B$22,"Schulbetrieb",Nutzungsprofile!$G$17:$G$22)*Kalender!C345/SUM(Kalender!$C$5:$C$370),0)+IFERROR(SUMIF(Nutzungsprofile!$B$17:$B$22,"Halle",Nutzungsprofile!$G$17:$G$22)*Kalender!D345/SUM(Kalender!$D$5:$D$370),0)+IFERROR(SUMIF(Nutzungsprofile!$B$17:$B$22,"Individuell",Nutzungsprofile!$G$17:$G$22)*Kalender!E345/SUM(Kalender!$E$5:$E$370),0)),0)</f>
        <v>0</v>
      </c>
      <c r="F345" s="13" t="n">
        <f aca="false">IFERROR(MIN(D345,Eingaben!$B$17)*Eingaben!$B$16,0)</f>
        <v>0</v>
      </c>
      <c r="G345" s="13" t="n">
        <f aca="false">IFERROR(F345*Eingaben!$B$15,0)</f>
        <v>0</v>
      </c>
      <c r="H345" s="13" t="n">
        <f aca="false">IFERROR(Q345*(1-Eingaben!$B$20),0)</f>
        <v>0</v>
      </c>
      <c r="I345" s="13" t="n">
        <f aca="false">MIN(H345,E345)</f>
        <v>0</v>
      </c>
      <c r="J345" s="13" t="n">
        <f aca="false">IFERROR(MIN(G345*Eingaben!$B$19,MAX(0,E345-I345)),0)</f>
        <v>0</v>
      </c>
      <c r="K345" s="13" t="n">
        <f aca="false">IFERROR(MIN(Eingaben!$B$18,MAX(0,G345-J345)),0)</f>
        <v>0</v>
      </c>
      <c r="L345" s="13" t="n">
        <f aca="false">I345+J345</f>
        <v>0</v>
      </c>
      <c r="M345" s="13" t="n">
        <f aca="false">MAX(0,E345-L345)</f>
        <v>0</v>
      </c>
      <c r="N345" s="13" t="n">
        <f aca="false">MAX(0,G345-J345-K345)</f>
        <v>0</v>
      </c>
      <c r="O345" s="13" t="n">
        <f aca="false">Q345-I345</f>
        <v>0</v>
      </c>
      <c r="P345" s="13" t="n">
        <f aca="false">G345+Q345-L345-N345-O345-K345</f>
        <v>0</v>
      </c>
      <c r="Q345" s="13" t="n">
        <f aca="false">IF(A345="",0,K344)</f>
        <v>0</v>
      </c>
    </row>
    <row r="346" customFormat="false" ht="16.4" hidden="false" customHeight="false" outlineLevel="0" collapsed="false">
      <c r="A346" s="23" t="n">
        <f aca="false">Kalender!A346</f>
        <v>46364</v>
      </c>
      <c r="B346" s="13" t="n">
        <f aca="false">Kalender!C346</f>
        <v>0</v>
      </c>
      <c r="C346" s="13" t="n">
        <f aca="false">Kalender!D346</f>
        <v>0</v>
      </c>
      <c r="D346" s="13" t="n">
        <f aca="false">IF(Prüfungen!$B$4=0,(IFERROR(SUMIF(Nutzungsprofile!$B$6:$B$11,"Schulbetrieb",Nutzungsprofile!$G$6:$G$11)*Kalender!C346/SUM(Kalender!$C$5:$C$370),0)+IFERROR(SUMIF(Nutzungsprofile!$B$6:$B$11,"Halle",Nutzungsprofile!$G$6:$G$11)*Kalender!D346/SUM(Kalender!$D$5:$D$370),0)+IFERROR(SUMIF(Nutzungsprofile!$B$6:$B$11,"Individuell",Nutzungsprofile!$G$6:$G$11)*Kalender!E346/SUM(Kalender!$E$5:$E$370),0)),0)</f>
        <v>0</v>
      </c>
      <c r="E346" s="13" t="n">
        <f aca="false">IF(Prüfungen!$B$4=0,(IFERROR(SUMIF(Nutzungsprofile!$B$17:$B$22,"Schulbetrieb",Nutzungsprofile!$G$17:$G$22)*Kalender!C346/SUM(Kalender!$C$5:$C$370),0)+IFERROR(SUMIF(Nutzungsprofile!$B$17:$B$22,"Halle",Nutzungsprofile!$G$17:$G$22)*Kalender!D346/SUM(Kalender!$D$5:$D$370),0)+IFERROR(SUMIF(Nutzungsprofile!$B$17:$B$22,"Individuell",Nutzungsprofile!$G$17:$G$22)*Kalender!E346/SUM(Kalender!$E$5:$E$370),0)),0)</f>
        <v>0</v>
      </c>
      <c r="F346" s="13" t="n">
        <f aca="false">IFERROR(MIN(D346,Eingaben!$B$17)*Eingaben!$B$16,0)</f>
        <v>0</v>
      </c>
      <c r="G346" s="13" t="n">
        <f aca="false">IFERROR(F346*Eingaben!$B$15,0)</f>
        <v>0</v>
      </c>
      <c r="H346" s="13" t="n">
        <f aca="false">IFERROR(Q346*(1-Eingaben!$B$20),0)</f>
        <v>0</v>
      </c>
      <c r="I346" s="13" t="n">
        <f aca="false">MIN(H346,E346)</f>
        <v>0</v>
      </c>
      <c r="J346" s="13" t="n">
        <f aca="false">IFERROR(MIN(G346*Eingaben!$B$19,MAX(0,E346-I346)),0)</f>
        <v>0</v>
      </c>
      <c r="K346" s="13" t="n">
        <f aca="false">IFERROR(MIN(Eingaben!$B$18,MAX(0,G346-J346)),0)</f>
        <v>0</v>
      </c>
      <c r="L346" s="13" t="n">
        <f aca="false">I346+J346</f>
        <v>0</v>
      </c>
      <c r="M346" s="13" t="n">
        <f aca="false">MAX(0,E346-L346)</f>
        <v>0</v>
      </c>
      <c r="N346" s="13" t="n">
        <f aca="false">MAX(0,G346-J346-K346)</f>
        <v>0</v>
      </c>
      <c r="O346" s="13" t="n">
        <f aca="false">Q346-I346</f>
        <v>0</v>
      </c>
      <c r="P346" s="13" t="n">
        <f aca="false">G346+Q346-L346-N346-O346-K346</f>
        <v>0</v>
      </c>
      <c r="Q346" s="13" t="n">
        <f aca="false">IF(A346="",0,K345)</f>
        <v>0</v>
      </c>
    </row>
    <row r="347" customFormat="false" ht="16.4" hidden="false" customHeight="false" outlineLevel="0" collapsed="false">
      <c r="A347" s="23" t="n">
        <f aca="false">Kalender!A347</f>
        <v>46365</v>
      </c>
      <c r="B347" s="13" t="n">
        <f aca="false">Kalender!C347</f>
        <v>0</v>
      </c>
      <c r="C347" s="13" t="n">
        <f aca="false">Kalender!D347</f>
        <v>0</v>
      </c>
      <c r="D347" s="13" t="n">
        <f aca="false">IF(Prüfungen!$B$4=0,(IFERROR(SUMIF(Nutzungsprofile!$B$6:$B$11,"Schulbetrieb",Nutzungsprofile!$G$6:$G$11)*Kalender!C347/SUM(Kalender!$C$5:$C$370),0)+IFERROR(SUMIF(Nutzungsprofile!$B$6:$B$11,"Halle",Nutzungsprofile!$G$6:$G$11)*Kalender!D347/SUM(Kalender!$D$5:$D$370),0)+IFERROR(SUMIF(Nutzungsprofile!$B$6:$B$11,"Individuell",Nutzungsprofile!$G$6:$G$11)*Kalender!E347/SUM(Kalender!$E$5:$E$370),0)),0)</f>
        <v>0</v>
      </c>
      <c r="E347" s="13" t="n">
        <f aca="false">IF(Prüfungen!$B$4=0,(IFERROR(SUMIF(Nutzungsprofile!$B$17:$B$22,"Schulbetrieb",Nutzungsprofile!$G$17:$G$22)*Kalender!C347/SUM(Kalender!$C$5:$C$370),0)+IFERROR(SUMIF(Nutzungsprofile!$B$17:$B$22,"Halle",Nutzungsprofile!$G$17:$G$22)*Kalender!D347/SUM(Kalender!$D$5:$D$370),0)+IFERROR(SUMIF(Nutzungsprofile!$B$17:$B$22,"Individuell",Nutzungsprofile!$G$17:$G$22)*Kalender!E347/SUM(Kalender!$E$5:$E$370),0)),0)</f>
        <v>0</v>
      </c>
      <c r="F347" s="13" t="n">
        <f aca="false">IFERROR(MIN(D347,Eingaben!$B$17)*Eingaben!$B$16,0)</f>
        <v>0</v>
      </c>
      <c r="G347" s="13" t="n">
        <f aca="false">IFERROR(F347*Eingaben!$B$15,0)</f>
        <v>0</v>
      </c>
      <c r="H347" s="13" t="n">
        <f aca="false">IFERROR(Q347*(1-Eingaben!$B$20),0)</f>
        <v>0</v>
      </c>
      <c r="I347" s="13" t="n">
        <f aca="false">MIN(H347,E347)</f>
        <v>0</v>
      </c>
      <c r="J347" s="13" t="n">
        <f aca="false">IFERROR(MIN(G347*Eingaben!$B$19,MAX(0,E347-I347)),0)</f>
        <v>0</v>
      </c>
      <c r="K347" s="13" t="n">
        <f aca="false">IFERROR(MIN(Eingaben!$B$18,MAX(0,G347-J347)),0)</f>
        <v>0</v>
      </c>
      <c r="L347" s="13" t="n">
        <f aca="false">I347+J347</f>
        <v>0</v>
      </c>
      <c r="M347" s="13" t="n">
        <f aca="false">MAX(0,E347-L347)</f>
        <v>0</v>
      </c>
      <c r="N347" s="13" t="n">
        <f aca="false">MAX(0,G347-J347-K347)</f>
        <v>0</v>
      </c>
      <c r="O347" s="13" t="n">
        <f aca="false">Q347-I347</f>
        <v>0</v>
      </c>
      <c r="P347" s="13" t="n">
        <f aca="false">G347+Q347-L347-N347-O347-K347</f>
        <v>0</v>
      </c>
      <c r="Q347" s="13" t="n">
        <f aca="false">IF(A347="",0,K346)</f>
        <v>0</v>
      </c>
    </row>
    <row r="348" customFormat="false" ht="16.4" hidden="false" customHeight="false" outlineLevel="0" collapsed="false">
      <c r="A348" s="23" t="n">
        <f aca="false">Kalender!A348</f>
        <v>46366</v>
      </c>
      <c r="B348" s="13" t="n">
        <f aca="false">Kalender!C348</f>
        <v>0</v>
      </c>
      <c r="C348" s="13" t="n">
        <f aca="false">Kalender!D348</f>
        <v>0</v>
      </c>
      <c r="D348" s="13" t="n">
        <f aca="false">IF(Prüfungen!$B$4=0,(IFERROR(SUMIF(Nutzungsprofile!$B$6:$B$11,"Schulbetrieb",Nutzungsprofile!$G$6:$G$11)*Kalender!C348/SUM(Kalender!$C$5:$C$370),0)+IFERROR(SUMIF(Nutzungsprofile!$B$6:$B$11,"Halle",Nutzungsprofile!$G$6:$G$11)*Kalender!D348/SUM(Kalender!$D$5:$D$370),0)+IFERROR(SUMIF(Nutzungsprofile!$B$6:$B$11,"Individuell",Nutzungsprofile!$G$6:$G$11)*Kalender!E348/SUM(Kalender!$E$5:$E$370),0)),0)</f>
        <v>0</v>
      </c>
      <c r="E348" s="13" t="n">
        <f aca="false">IF(Prüfungen!$B$4=0,(IFERROR(SUMIF(Nutzungsprofile!$B$17:$B$22,"Schulbetrieb",Nutzungsprofile!$G$17:$G$22)*Kalender!C348/SUM(Kalender!$C$5:$C$370),0)+IFERROR(SUMIF(Nutzungsprofile!$B$17:$B$22,"Halle",Nutzungsprofile!$G$17:$G$22)*Kalender!D348/SUM(Kalender!$D$5:$D$370),0)+IFERROR(SUMIF(Nutzungsprofile!$B$17:$B$22,"Individuell",Nutzungsprofile!$G$17:$G$22)*Kalender!E348/SUM(Kalender!$E$5:$E$370),0)),0)</f>
        <v>0</v>
      </c>
      <c r="F348" s="13" t="n">
        <f aca="false">IFERROR(MIN(D348,Eingaben!$B$17)*Eingaben!$B$16,0)</f>
        <v>0</v>
      </c>
      <c r="G348" s="13" t="n">
        <f aca="false">IFERROR(F348*Eingaben!$B$15,0)</f>
        <v>0</v>
      </c>
      <c r="H348" s="13" t="n">
        <f aca="false">IFERROR(Q348*(1-Eingaben!$B$20),0)</f>
        <v>0</v>
      </c>
      <c r="I348" s="13" t="n">
        <f aca="false">MIN(H348,E348)</f>
        <v>0</v>
      </c>
      <c r="J348" s="13" t="n">
        <f aca="false">IFERROR(MIN(G348*Eingaben!$B$19,MAX(0,E348-I348)),0)</f>
        <v>0</v>
      </c>
      <c r="K348" s="13" t="n">
        <f aca="false">IFERROR(MIN(Eingaben!$B$18,MAX(0,G348-J348)),0)</f>
        <v>0</v>
      </c>
      <c r="L348" s="13" t="n">
        <f aca="false">I348+J348</f>
        <v>0</v>
      </c>
      <c r="M348" s="13" t="n">
        <f aca="false">MAX(0,E348-L348)</f>
        <v>0</v>
      </c>
      <c r="N348" s="13" t="n">
        <f aca="false">MAX(0,G348-J348-K348)</f>
        <v>0</v>
      </c>
      <c r="O348" s="13" t="n">
        <f aca="false">Q348-I348</f>
        <v>0</v>
      </c>
      <c r="P348" s="13" t="n">
        <f aca="false">G348+Q348-L348-N348-O348-K348</f>
        <v>0</v>
      </c>
      <c r="Q348" s="13" t="n">
        <f aca="false">IF(A348="",0,K347)</f>
        <v>0</v>
      </c>
    </row>
    <row r="349" customFormat="false" ht="16.4" hidden="false" customHeight="false" outlineLevel="0" collapsed="false">
      <c r="A349" s="23" t="n">
        <f aca="false">Kalender!A349</f>
        <v>46367</v>
      </c>
      <c r="B349" s="13" t="n">
        <f aca="false">Kalender!C349</f>
        <v>0</v>
      </c>
      <c r="C349" s="13" t="n">
        <f aca="false">Kalender!D349</f>
        <v>0</v>
      </c>
      <c r="D349" s="13" t="n">
        <f aca="false">IF(Prüfungen!$B$4=0,(IFERROR(SUMIF(Nutzungsprofile!$B$6:$B$11,"Schulbetrieb",Nutzungsprofile!$G$6:$G$11)*Kalender!C349/SUM(Kalender!$C$5:$C$370),0)+IFERROR(SUMIF(Nutzungsprofile!$B$6:$B$11,"Halle",Nutzungsprofile!$G$6:$G$11)*Kalender!D349/SUM(Kalender!$D$5:$D$370),0)+IFERROR(SUMIF(Nutzungsprofile!$B$6:$B$11,"Individuell",Nutzungsprofile!$G$6:$G$11)*Kalender!E349/SUM(Kalender!$E$5:$E$370),0)),0)</f>
        <v>0</v>
      </c>
      <c r="E349" s="13" t="n">
        <f aca="false">IF(Prüfungen!$B$4=0,(IFERROR(SUMIF(Nutzungsprofile!$B$17:$B$22,"Schulbetrieb",Nutzungsprofile!$G$17:$G$22)*Kalender!C349/SUM(Kalender!$C$5:$C$370),0)+IFERROR(SUMIF(Nutzungsprofile!$B$17:$B$22,"Halle",Nutzungsprofile!$G$17:$G$22)*Kalender!D349/SUM(Kalender!$D$5:$D$370),0)+IFERROR(SUMIF(Nutzungsprofile!$B$17:$B$22,"Individuell",Nutzungsprofile!$G$17:$G$22)*Kalender!E349/SUM(Kalender!$E$5:$E$370),0)),0)</f>
        <v>0</v>
      </c>
      <c r="F349" s="13" t="n">
        <f aca="false">IFERROR(MIN(D349,Eingaben!$B$17)*Eingaben!$B$16,0)</f>
        <v>0</v>
      </c>
      <c r="G349" s="13" t="n">
        <f aca="false">IFERROR(F349*Eingaben!$B$15,0)</f>
        <v>0</v>
      </c>
      <c r="H349" s="13" t="n">
        <f aca="false">IFERROR(Q349*(1-Eingaben!$B$20),0)</f>
        <v>0</v>
      </c>
      <c r="I349" s="13" t="n">
        <f aca="false">MIN(H349,E349)</f>
        <v>0</v>
      </c>
      <c r="J349" s="13" t="n">
        <f aca="false">IFERROR(MIN(G349*Eingaben!$B$19,MAX(0,E349-I349)),0)</f>
        <v>0</v>
      </c>
      <c r="K349" s="13" t="n">
        <f aca="false">IFERROR(MIN(Eingaben!$B$18,MAX(0,G349-J349)),0)</f>
        <v>0</v>
      </c>
      <c r="L349" s="13" t="n">
        <f aca="false">I349+J349</f>
        <v>0</v>
      </c>
      <c r="M349" s="13" t="n">
        <f aca="false">MAX(0,E349-L349)</f>
        <v>0</v>
      </c>
      <c r="N349" s="13" t="n">
        <f aca="false">MAX(0,G349-J349-K349)</f>
        <v>0</v>
      </c>
      <c r="O349" s="13" t="n">
        <f aca="false">Q349-I349</f>
        <v>0</v>
      </c>
      <c r="P349" s="13" t="n">
        <f aca="false">G349+Q349-L349-N349-O349-K349</f>
        <v>0</v>
      </c>
      <c r="Q349" s="13" t="n">
        <f aca="false">IF(A349="",0,K348)</f>
        <v>0</v>
      </c>
    </row>
    <row r="350" customFormat="false" ht="16.4" hidden="false" customHeight="false" outlineLevel="0" collapsed="false">
      <c r="A350" s="23" t="n">
        <f aca="false">Kalender!A350</f>
        <v>46368</v>
      </c>
      <c r="B350" s="13" t="n">
        <f aca="false">Kalender!C350</f>
        <v>0</v>
      </c>
      <c r="C350" s="13" t="n">
        <f aca="false">Kalender!D350</f>
        <v>0</v>
      </c>
      <c r="D350" s="13" t="n">
        <f aca="false">IF(Prüfungen!$B$4=0,(IFERROR(SUMIF(Nutzungsprofile!$B$6:$B$11,"Schulbetrieb",Nutzungsprofile!$G$6:$G$11)*Kalender!C350/SUM(Kalender!$C$5:$C$370),0)+IFERROR(SUMIF(Nutzungsprofile!$B$6:$B$11,"Halle",Nutzungsprofile!$G$6:$G$11)*Kalender!D350/SUM(Kalender!$D$5:$D$370),0)+IFERROR(SUMIF(Nutzungsprofile!$B$6:$B$11,"Individuell",Nutzungsprofile!$G$6:$G$11)*Kalender!E350/SUM(Kalender!$E$5:$E$370),0)),0)</f>
        <v>0</v>
      </c>
      <c r="E350" s="13" t="n">
        <f aca="false">IF(Prüfungen!$B$4=0,(IFERROR(SUMIF(Nutzungsprofile!$B$17:$B$22,"Schulbetrieb",Nutzungsprofile!$G$17:$G$22)*Kalender!C350/SUM(Kalender!$C$5:$C$370),0)+IFERROR(SUMIF(Nutzungsprofile!$B$17:$B$22,"Halle",Nutzungsprofile!$G$17:$G$22)*Kalender!D350/SUM(Kalender!$D$5:$D$370),0)+IFERROR(SUMIF(Nutzungsprofile!$B$17:$B$22,"Individuell",Nutzungsprofile!$G$17:$G$22)*Kalender!E350/SUM(Kalender!$E$5:$E$370),0)),0)</f>
        <v>0</v>
      </c>
      <c r="F350" s="13" t="n">
        <f aca="false">IFERROR(MIN(D350,Eingaben!$B$17)*Eingaben!$B$16,0)</f>
        <v>0</v>
      </c>
      <c r="G350" s="13" t="n">
        <f aca="false">IFERROR(F350*Eingaben!$B$15,0)</f>
        <v>0</v>
      </c>
      <c r="H350" s="13" t="n">
        <f aca="false">IFERROR(Q350*(1-Eingaben!$B$20),0)</f>
        <v>0</v>
      </c>
      <c r="I350" s="13" t="n">
        <f aca="false">MIN(H350,E350)</f>
        <v>0</v>
      </c>
      <c r="J350" s="13" t="n">
        <f aca="false">IFERROR(MIN(G350*Eingaben!$B$19,MAX(0,E350-I350)),0)</f>
        <v>0</v>
      </c>
      <c r="K350" s="13" t="n">
        <f aca="false">IFERROR(MIN(Eingaben!$B$18,MAX(0,G350-J350)),0)</f>
        <v>0</v>
      </c>
      <c r="L350" s="13" t="n">
        <f aca="false">I350+J350</f>
        <v>0</v>
      </c>
      <c r="M350" s="13" t="n">
        <f aca="false">MAX(0,E350-L350)</f>
        <v>0</v>
      </c>
      <c r="N350" s="13" t="n">
        <f aca="false">MAX(0,G350-J350-K350)</f>
        <v>0</v>
      </c>
      <c r="O350" s="13" t="n">
        <f aca="false">Q350-I350</f>
        <v>0</v>
      </c>
      <c r="P350" s="13" t="n">
        <f aca="false">G350+Q350-L350-N350-O350-K350</f>
        <v>0</v>
      </c>
      <c r="Q350" s="13" t="n">
        <f aca="false">IF(A350="",0,K349)</f>
        <v>0</v>
      </c>
    </row>
    <row r="351" customFormat="false" ht="16.4" hidden="false" customHeight="false" outlineLevel="0" collapsed="false">
      <c r="A351" s="23" t="n">
        <f aca="false">Kalender!A351</f>
        <v>46369</v>
      </c>
      <c r="B351" s="13" t="n">
        <f aca="false">Kalender!C351</f>
        <v>0</v>
      </c>
      <c r="C351" s="13" t="n">
        <f aca="false">Kalender!D351</f>
        <v>0</v>
      </c>
      <c r="D351" s="13" t="n">
        <f aca="false">IF(Prüfungen!$B$4=0,(IFERROR(SUMIF(Nutzungsprofile!$B$6:$B$11,"Schulbetrieb",Nutzungsprofile!$G$6:$G$11)*Kalender!C351/SUM(Kalender!$C$5:$C$370),0)+IFERROR(SUMIF(Nutzungsprofile!$B$6:$B$11,"Halle",Nutzungsprofile!$G$6:$G$11)*Kalender!D351/SUM(Kalender!$D$5:$D$370),0)+IFERROR(SUMIF(Nutzungsprofile!$B$6:$B$11,"Individuell",Nutzungsprofile!$G$6:$G$11)*Kalender!E351/SUM(Kalender!$E$5:$E$370),0)),0)</f>
        <v>0</v>
      </c>
      <c r="E351" s="13" t="n">
        <f aca="false">IF(Prüfungen!$B$4=0,(IFERROR(SUMIF(Nutzungsprofile!$B$17:$B$22,"Schulbetrieb",Nutzungsprofile!$G$17:$G$22)*Kalender!C351/SUM(Kalender!$C$5:$C$370),0)+IFERROR(SUMIF(Nutzungsprofile!$B$17:$B$22,"Halle",Nutzungsprofile!$G$17:$G$22)*Kalender!D351/SUM(Kalender!$D$5:$D$370),0)+IFERROR(SUMIF(Nutzungsprofile!$B$17:$B$22,"Individuell",Nutzungsprofile!$G$17:$G$22)*Kalender!E351/SUM(Kalender!$E$5:$E$370),0)),0)</f>
        <v>0</v>
      </c>
      <c r="F351" s="13" t="n">
        <f aca="false">IFERROR(MIN(D351,Eingaben!$B$17)*Eingaben!$B$16,0)</f>
        <v>0</v>
      </c>
      <c r="G351" s="13" t="n">
        <f aca="false">IFERROR(F351*Eingaben!$B$15,0)</f>
        <v>0</v>
      </c>
      <c r="H351" s="13" t="n">
        <f aca="false">IFERROR(Q351*(1-Eingaben!$B$20),0)</f>
        <v>0</v>
      </c>
      <c r="I351" s="13" t="n">
        <f aca="false">MIN(H351,E351)</f>
        <v>0</v>
      </c>
      <c r="J351" s="13" t="n">
        <f aca="false">IFERROR(MIN(G351*Eingaben!$B$19,MAX(0,E351-I351)),0)</f>
        <v>0</v>
      </c>
      <c r="K351" s="13" t="n">
        <f aca="false">IFERROR(MIN(Eingaben!$B$18,MAX(0,G351-J351)),0)</f>
        <v>0</v>
      </c>
      <c r="L351" s="13" t="n">
        <f aca="false">I351+J351</f>
        <v>0</v>
      </c>
      <c r="M351" s="13" t="n">
        <f aca="false">MAX(0,E351-L351)</f>
        <v>0</v>
      </c>
      <c r="N351" s="13" t="n">
        <f aca="false">MAX(0,G351-J351-K351)</f>
        <v>0</v>
      </c>
      <c r="O351" s="13" t="n">
        <f aca="false">Q351-I351</f>
        <v>0</v>
      </c>
      <c r="P351" s="13" t="n">
        <f aca="false">G351+Q351-L351-N351-O351-K351</f>
        <v>0</v>
      </c>
      <c r="Q351" s="13" t="n">
        <f aca="false">IF(A351="",0,K350)</f>
        <v>0</v>
      </c>
    </row>
    <row r="352" customFormat="false" ht="16.4" hidden="false" customHeight="false" outlineLevel="0" collapsed="false">
      <c r="A352" s="23" t="n">
        <f aca="false">Kalender!A352</f>
        <v>46370</v>
      </c>
      <c r="B352" s="13" t="n">
        <f aca="false">Kalender!C352</f>
        <v>0</v>
      </c>
      <c r="C352" s="13" t="n">
        <f aca="false">Kalender!D352</f>
        <v>0</v>
      </c>
      <c r="D352" s="13" t="n">
        <f aca="false">IF(Prüfungen!$B$4=0,(IFERROR(SUMIF(Nutzungsprofile!$B$6:$B$11,"Schulbetrieb",Nutzungsprofile!$G$6:$G$11)*Kalender!C352/SUM(Kalender!$C$5:$C$370),0)+IFERROR(SUMIF(Nutzungsprofile!$B$6:$B$11,"Halle",Nutzungsprofile!$G$6:$G$11)*Kalender!D352/SUM(Kalender!$D$5:$D$370),0)+IFERROR(SUMIF(Nutzungsprofile!$B$6:$B$11,"Individuell",Nutzungsprofile!$G$6:$G$11)*Kalender!E352/SUM(Kalender!$E$5:$E$370),0)),0)</f>
        <v>0</v>
      </c>
      <c r="E352" s="13" t="n">
        <f aca="false">IF(Prüfungen!$B$4=0,(IFERROR(SUMIF(Nutzungsprofile!$B$17:$B$22,"Schulbetrieb",Nutzungsprofile!$G$17:$G$22)*Kalender!C352/SUM(Kalender!$C$5:$C$370),0)+IFERROR(SUMIF(Nutzungsprofile!$B$17:$B$22,"Halle",Nutzungsprofile!$G$17:$G$22)*Kalender!D352/SUM(Kalender!$D$5:$D$370),0)+IFERROR(SUMIF(Nutzungsprofile!$B$17:$B$22,"Individuell",Nutzungsprofile!$G$17:$G$22)*Kalender!E352/SUM(Kalender!$E$5:$E$370),0)),0)</f>
        <v>0</v>
      </c>
      <c r="F352" s="13" t="n">
        <f aca="false">IFERROR(MIN(D352,Eingaben!$B$17)*Eingaben!$B$16,0)</f>
        <v>0</v>
      </c>
      <c r="G352" s="13" t="n">
        <f aca="false">IFERROR(F352*Eingaben!$B$15,0)</f>
        <v>0</v>
      </c>
      <c r="H352" s="13" t="n">
        <f aca="false">IFERROR(Q352*(1-Eingaben!$B$20),0)</f>
        <v>0</v>
      </c>
      <c r="I352" s="13" t="n">
        <f aca="false">MIN(H352,E352)</f>
        <v>0</v>
      </c>
      <c r="J352" s="13" t="n">
        <f aca="false">IFERROR(MIN(G352*Eingaben!$B$19,MAX(0,E352-I352)),0)</f>
        <v>0</v>
      </c>
      <c r="K352" s="13" t="n">
        <f aca="false">IFERROR(MIN(Eingaben!$B$18,MAX(0,G352-J352)),0)</f>
        <v>0</v>
      </c>
      <c r="L352" s="13" t="n">
        <f aca="false">I352+J352</f>
        <v>0</v>
      </c>
      <c r="M352" s="13" t="n">
        <f aca="false">MAX(0,E352-L352)</f>
        <v>0</v>
      </c>
      <c r="N352" s="13" t="n">
        <f aca="false">MAX(0,G352-J352-K352)</f>
        <v>0</v>
      </c>
      <c r="O352" s="13" t="n">
        <f aca="false">Q352-I352</f>
        <v>0</v>
      </c>
      <c r="P352" s="13" t="n">
        <f aca="false">G352+Q352-L352-N352-O352-K352</f>
        <v>0</v>
      </c>
      <c r="Q352" s="13" t="n">
        <f aca="false">IF(A352="",0,K351)</f>
        <v>0</v>
      </c>
    </row>
    <row r="353" customFormat="false" ht="16.4" hidden="false" customHeight="false" outlineLevel="0" collapsed="false">
      <c r="A353" s="23" t="n">
        <f aca="false">Kalender!A353</f>
        <v>46371</v>
      </c>
      <c r="B353" s="13" t="n">
        <f aca="false">Kalender!C353</f>
        <v>0</v>
      </c>
      <c r="C353" s="13" t="n">
        <f aca="false">Kalender!D353</f>
        <v>0</v>
      </c>
      <c r="D353" s="13" t="n">
        <f aca="false">IF(Prüfungen!$B$4=0,(IFERROR(SUMIF(Nutzungsprofile!$B$6:$B$11,"Schulbetrieb",Nutzungsprofile!$G$6:$G$11)*Kalender!C353/SUM(Kalender!$C$5:$C$370),0)+IFERROR(SUMIF(Nutzungsprofile!$B$6:$B$11,"Halle",Nutzungsprofile!$G$6:$G$11)*Kalender!D353/SUM(Kalender!$D$5:$D$370),0)+IFERROR(SUMIF(Nutzungsprofile!$B$6:$B$11,"Individuell",Nutzungsprofile!$G$6:$G$11)*Kalender!E353/SUM(Kalender!$E$5:$E$370),0)),0)</f>
        <v>0</v>
      </c>
      <c r="E353" s="13" t="n">
        <f aca="false">IF(Prüfungen!$B$4=0,(IFERROR(SUMIF(Nutzungsprofile!$B$17:$B$22,"Schulbetrieb",Nutzungsprofile!$G$17:$G$22)*Kalender!C353/SUM(Kalender!$C$5:$C$370),0)+IFERROR(SUMIF(Nutzungsprofile!$B$17:$B$22,"Halle",Nutzungsprofile!$G$17:$G$22)*Kalender!D353/SUM(Kalender!$D$5:$D$370),0)+IFERROR(SUMIF(Nutzungsprofile!$B$17:$B$22,"Individuell",Nutzungsprofile!$G$17:$G$22)*Kalender!E353/SUM(Kalender!$E$5:$E$370),0)),0)</f>
        <v>0</v>
      </c>
      <c r="F353" s="13" t="n">
        <f aca="false">IFERROR(MIN(D353,Eingaben!$B$17)*Eingaben!$B$16,0)</f>
        <v>0</v>
      </c>
      <c r="G353" s="13" t="n">
        <f aca="false">IFERROR(F353*Eingaben!$B$15,0)</f>
        <v>0</v>
      </c>
      <c r="H353" s="13" t="n">
        <f aca="false">IFERROR(Q353*(1-Eingaben!$B$20),0)</f>
        <v>0</v>
      </c>
      <c r="I353" s="13" t="n">
        <f aca="false">MIN(H353,E353)</f>
        <v>0</v>
      </c>
      <c r="J353" s="13" t="n">
        <f aca="false">IFERROR(MIN(G353*Eingaben!$B$19,MAX(0,E353-I353)),0)</f>
        <v>0</v>
      </c>
      <c r="K353" s="13" t="n">
        <f aca="false">IFERROR(MIN(Eingaben!$B$18,MAX(0,G353-J353)),0)</f>
        <v>0</v>
      </c>
      <c r="L353" s="13" t="n">
        <f aca="false">I353+J353</f>
        <v>0</v>
      </c>
      <c r="M353" s="13" t="n">
        <f aca="false">MAX(0,E353-L353)</f>
        <v>0</v>
      </c>
      <c r="N353" s="13" t="n">
        <f aca="false">MAX(0,G353-J353-K353)</f>
        <v>0</v>
      </c>
      <c r="O353" s="13" t="n">
        <f aca="false">Q353-I353</f>
        <v>0</v>
      </c>
      <c r="P353" s="13" t="n">
        <f aca="false">G353+Q353-L353-N353-O353-K353</f>
        <v>0</v>
      </c>
      <c r="Q353" s="13" t="n">
        <f aca="false">IF(A353="",0,K352)</f>
        <v>0</v>
      </c>
    </row>
    <row r="354" customFormat="false" ht="16.4" hidden="false" customHeight="false" outlineLevel="0" collapsed="false">
      <c r="A354" s="23" t="n">
        <f aca="false">Kalender!A354</f>
        <v>46372</v>
      </c>
      <c r="B354" s="13" t="n">
        <f aca="false">Kalender!C354</f>
        <v>0</v>
      </c>
      <c r="C354" s="13" t="n">
        <f aca="false">Kalender!D354</f>
        <v>0</v>
      </c>
      <c r="D354" s="13" t="n">
        <f aca="false">IF(Prüfungen!$B$4=0,(IFERROR(SUMIF(Nutzungsprofile!$B$6:$B$11,"Schulbetrieb",Nutzungsprofile!$G$6:$G$11)*Kalender!C354/SUM(Kalender!$C$5:$C$370),0)+IFERROR(SUMIF(Nutzungsprofile!$B$6:$B$11,"Halle",Nutzungsprofile!$G$6:$G$11)*Kalender!D354/SUM(Kalender!$D$5:$D$370),0)+IFERROR(SUMIF(Nutzungsprofile!$B$6:$B$11,"Individuell",Nutzungsprofile!$G$6:$G$11)*Kalender!E354/SUM(Kalender!$E$5:$E$370),0)),0)</f>
        <v>0</v>
      </c>
      <c r="E354" s="13" t="n">
        <f aca="false">IF(Prüfungen!$B$4=0,(IFERROR(SUMIF(Nutzungsprofile!$B$17:$B$22,"Schulbetrieb",Nutzungsprofile!$G$17:$G$22)*Kalender!C354/SUM(Kalender!$C$5:$C$370),0)+IFERROR(SUMIF(Nutzungsprofile!$B$17:$B$22,"Halle",Nutzungsprofile!$G$17:$G$22)*Kalender!D354/SUM(Kalender!$D$5:$D$370),0)+IFERROR(SUMIF(Nutzungsprofile!$B$17:$B$22,"Individuell",Nutzungsprofile!$G$17:$G$22)*Kalender!E354/SUM(Kalender!$E$5:$E$370),0)),0)</f>
        <v>0</v>
      </c>
      <c r="F354" s="13" t="n">
        <f aca="false">IFERROR(MIN(D354,Eingaben!$B$17)*Eingaben!$B$16,0)</f>
        <v>0</v>
      </c>
      <c r="G354" s="13" t="n">
        <f aca="false">IFERROR(F354*Eingaben!$B$15,0)</f>
        <v>0</v>
      </c>
      <c r="H354" s="13" t="n">
        <f aca="false">IFERROR(Q354*(1-Eingaben!$B$20),0)</f>
        <v>0</v>
      </c>
      <c r="I354" s="13" t="n">
        <f aca="false">MIN(H354,E354)</f>
        <v>0</v>
      </c>
      <c r="J354" s="13" t="n">
        <f aca="false">IFERROR(MIN(G354*Eingaben!$B$19,MAX(0,E354-I354)),0)</f>
        <v>0</v>
      </c>
      <c r="K354" s="13" t="n">
        <f aca="false">IFERROR(MIN(Eingaben!$B$18,MAX(0,G354-J354)),0)</f>
        <v>0</v>
      </c>
      <c r="L354" s="13" t="n">
        <f aca="false">I354+J354</f>
        <v>0</v>
      </c>
      <c r="M354" s="13" t="n">
        <f aca="false">MAX(0,E354-L354)</f>
        <v>0</v>
      </c>
      <c r="N354" s="13" t="n">
        <f aca="false">MAX(0,G354-J354-K354)</f>
        <v>0</v>
      </c>
      <c r="O354" s="13" t="n">
        <f aca="false">Q354-I354</f>
        <v>0</v>
      </c>
      <c r="P354" s="13" t="n">
        <f aca="false">G354+Q354-L354-N354-O354-K354</f>
        <v>0</v>
      </c>
      <c r="Q354" s="13" t="n">
        <f aca="false">IF(A354="",0,K353)</f>
        <v>0</v>
      </c>
    </row>
    <row r="355" customFormat="false" ht="16.4" hidden="false" customHeight="false" outlineLevel="0" collapsed="false">
      <c r="A355" s="23" t="n">
        <f aca="false">Kalender!A355</f>
        <v>46373</v>
      </c>
      <c r="B355" s="13" t="n">
        <f aca="false">Kalender!C355</f>
        <v>0</v>
      </c>
      <c r="C355" s="13" t="n">
        <f aca="false">Kalender!D355</f>
        <v>0</v>
      </c>
      <c r="D355" s="13" t="n">
        <f aca="false">IF(Prüfungen!$B$4=0,(IFERROR(SUMIF(Nutzungsprofile!$B$6:$B$11,"Schulbetrieb",Nutzungsprofile!$G$6:$G$11)*Kalender!C355/SUM(Kalender!$C$5:$C$370),0)+IFERROR(SUMIF(Nutzungsprofile!$B$6:$B$11,"Halle",Nutzungsprofile!$G$6:$G$11)*Kalender!D355/SUM(Kalender!$D$5:$D$370),0)+IFERROR(SUMIF(Nutzungsprofile!$B$6:$B$11,"Individuell",Nutzungsprofile!$G$6:$G$11)*Kalender!E355/SUM(Kalender!$E$5:$E$370),0)),0)</f>
        <v>0</v>
      </c>
      <c r="E355" s="13" t="n">
        <f aca="false">IF(Prüfungen!$B$4=0,(IFERROR(SUMIF(Nutzungsprofile!$B$17:$B$22,"Schulbetrieb",Nutzungsprofile!$G$17:$G$22)*Kalender!C355/SUM(Kalender!$C$5:$C$370),0)+IFERROR(SUMIF(Nutzungsprofile!$B$17:$B$22,"Halle",Nutzungsprofile!$G$17:$G$22)*Kalender!D355/SUM(Kalender!$D$5:$D$370),0)+IFERROR(SUMIF(Nutzungsprofile!$B$17:$B$22,"Individuell",Nutzungsprofile!$G$17:$G$22)*Kalender!E355/SUM(Kalender!$E$5:$E$370),0)),0)</f>
        <v>0</v>
      </c>
      <c r="F355" s="13" t="n">
        <f aca="false">IFERROR(MIN(D355,Eingaben!$B$17)*Eingaben!$B$16,0)</f>
        <v>0</v>
      </c>
      <c r="G355" s="13" t="n">
        <f aca="false">IFERROR(F355*Eingaben!$B$15,0)</f>
        <v>0</v>
      </c>
      <c r="H355" s="13" t="n">
        <f aca="false">IFERROR(Q355*(1-Eingaben!$B$20),0)</f>
        <v>0</v>
      </c>
      <c r="I355" s="13" t="n">
        <f aca="false">MIN(H355,E355)</f>
        <v>0</v>
      </c>
      <c r="J355" s="13" t="n">
        <f aca="false">IFERROR(MIN(G355*Eingaben!$B$19,MAX(0,E355-I355)),0)</f>
        <v>0</v>
      </c>
      <c r="K355" s="13" t="n">
        <f aca="false">IFERROR(MIN(Eingaben!$B$18,MAX(0,G355-J355)),0)</f>
        <v>0</v>
      </c>
      <c r="L355" s="13" t="n">
        <f aca="false">I355+J355</f>
        <v>0</v>
      </c>
      <c r="M355" s="13" t="n">
        <f aca="false">MAX(0,E355-L355)</f>
        <v>0</v>
      </c>
      <c r="N355" s="13" t="n">
        <f aca="false">MAX(0,G355-J355-K355)</f>
        <v>0</v>
      </c>
      <c r="O355" s="13" t="n">
        <f aca="false">Q355-I355</f>
        <v>0</v>
      </c>
      <c r="P355" s="13" t="n">
        <f aca="false">G355+Q355-L355-N355-O355-K355</f>
        <v>0</v>
      </c>
      <c r="Q355" s="13" t="n">
        <f aca="false">IF(A355="",0,K354)</f>
        <v>0</v>
      </c>
    </row>
    <row r="356" customFormat="false" ht="16.4" hidden="false" customHeight="false" outlineLevel="0" collapsed="false">
      <c r="A356" s="23" t="n">
        <f aca="false">Kalender!A356</f>
        <v>46374</v>
      </c>
      <c r="B356" s="13" t="n">
        <f aca="false">Kalender!C356</f>
        <v>0</v>
      </c>
      <c r="C356" s="13" t="n">
        <f aca="false">Kalender!D356</f>
        <v>0</v>
      </c>
      <c r="D356" s="13" t="n">
        <f aca="false">IF(Prüfungen!$B$4=0,(IFERROR(SUMIF(Nutzungsprofile!$B$6:$B$11,"Schulbetrieb",Nutzungsprofile!$G$6:$G$11)*Kalender!C356/SUM(Kalender!$C$5:$C$370),0)+IFERROR(SUMIF(Nutzungsprofile!$B$6:$B$11,"Halle",Nutzungsprofile!$G$6:$G$11)*Kalender!D356/SUM(Kalender!$D$5:$D$370),0)+IFERROR(SUMIF(Nutzungsprofile!$B$6:$B$11,"Individuell",Nutzungsprofile!$G$6:$G$11)*Kalender!E356/SUM(Kalender!$E$5:$E$370),0)),0)</f>
        <v>0</v>
      </c>
      <c r="E356" s="13" t="n">
        <f aca="false">IF(Prüfungen!$B$4=0,(IFERROR(SUMIF(Nutzungsprofile!$B$17:$B$22,"Schulbetrieb",Nutzungsprofile!$G$17:$G$22)*Kalender!C356/SUM(Kalender!$C$5:$C$370),0)+IFERROR(SUMIF(Nutzungsprofile!$B$17:$B$22,"Halle",Nutzungsprofile!$G$17:$G$22)*Kalender!D356/SUM(Kalender!$D$5:$D$370),0)+IFERROR(SUMIF(Nutzungsprofile!$B$17:$B$22,"Individuell",Nutzungsprofile!$G$17:$G$22)*Kalender!E356/SUM(Kalender!$E$5:$E$370),0)),0)</f>
        <v>0</v>
      </c>
      <c r="F356" s="13" t="n">
        <f aca="false">IFERROR(MIN(D356,Eingaben!$B$17)*Eingaben!$B$16,0)</f>
        <v>0</v>
      </c>
      <c r="G356" s="13" t="n">
        <f aca="false">IFERROR(F356*Eingaben!$B$15,0)</f>
        <v>0</v>
      </c>
      <c r="H356" s="13" t="n">
        <f aca="false">IFERROR(Q356*(1-Eingaben!$B$20),0)</f>
        <v>0</v>
      </c>
      <c r="I356" s="13" t="n">
        <f aca="false">MIN(H356,E356)</f>
        <v>0</v>
      </c>
      <c r="J356" s="13" t="n">
        <f aca="false">IFERROR(MIN(G356*Eingaben!$B$19,MAX(0,E356-I356)),0)</f>
        <v>0</v>
      </c>
      <c r="K356" s="13" t="n">
        <f aca="false">IFERROR(MIN(Eingaben!$B$18,MAX(0,G356-J356)),0)</f>
        <v>0</v>
      </c>
      <c r="L356" s="13" t="n">
        <f aca="false">I356+J356</f>
        <v>0</v>
      </c>
      <c r="M356" s="13" t="n">
        <f aca="false">MAX(0,E356-L356)</f>
        <v>0</v>
      </c>
      <c r="N356" s="13" t="n">
        <f aca="false">MAX(0,G356-J356-K356)</f>
        <v>0</v>
      </c>
      <c r="O356" s="13" t="n">
        <f aca="false">Q356-I356</f>
        <v>0</v>
      </c>
      <c r="P356" s="13" t="n">
        <f aca="false">G356+Q356-L356-N356-O356-K356</f>
        <v>0</v>
      </c>
      <c r="Q356" s="13" t="n">
        <f aca="false">IF(A356="",0,K355)</f>
        <v>0</v>
      </c>
    </row>
    <row r="357" customFormat="false" ht="16.4" hidden="false" customHeight="false" outlineLevel="0" collapsed="false">
      <c r="A357" s="23" t="n">
        <f aca="false">Kalender!A357</f>
        <v>46375</v>
      </c>
      <c r="B357" s="13" t="n">
        <f aca="false">Kalender!C357</f>
        <v>0</v>
      </c>
      <c r="C357" s="13" t="n">
        <f aca="false">Kalender!D357</f>
        <v>0</v>
      </c>
      <c r="D357" s="13" t="n">
        <f aca="false">IF(Prüfungen!$B$4=0,(IFERROR(SUMIF(Nutzungsprofile!$B$6:$B$11,"Schulbetrieb",Nutzungsprofile!$G$6:$G$11)*Kalender!C357/SUM(Kalender!$C$5:$C$370),0)+IFERROR(SUMIF(Nutzungsprofile!$B$6:$B$11,"Halle",Nutzungsprofile!$G$6:$G$11)*Kalender!D357/SUM(Kalender!$D$5:$D$370),0)+IFERROR(SUMIF(Nutzungsprofile!$B$6:$B$11,"Individuell",Nutzungsprofile!$G$6:$G$11)*Kalender!E357/SUM(Kalender!$E$5:$E$370),0)),0)</f>
        <v>0</v>
      </c>
      <c r="E357" s="13" t="n">
        <f aca="false">IF(Prüfungen!$B$4=0,(IFERROR(SUMIF(Nutzungsprofile!$B$17:$B$22,"Schulbetrieb",Nutzungsprofile!$G$17:$G$22)*Kalender!C357/SUM(Kalender!$C$5:$C$370),0)+IFERROR(SUMIF(Nutzungsprofile!$B$17:$B$22,"Halle",Nutzungsprofile!$G$17:$G$22)*Kalender!D357/SUM(Kalender!$D$5:$D$370),0)+IFERROR(SUMIF(Nutzungsprofile!$B$17:$B$22,"Individuell",Nutzungsprofile!$G$17:$G$22)*Kalender!E357/SUM(Kalender!$E$5:$E$370),0)),0)</f>
        <v>0</v>
      </c>
      <c r="F357" s="13" t="n">
        <f aca="false">IFERROR(MIN(D357,Eingaben!$B$17)*Eingaben!$B$16,0)</f>
        <v>0</v>
      </c>
      <c r="G357" s="13" t="n">
        <f aca="false">IFERROR(F357*Eingaben!$B$15,0)</f>
        <v>0</v>
      </c>
      <c r="H357" s="13" t="n">
        <f aca="false">IFERROR(Q357*(1-Eingaben!$B$20),0)</f>
        <v>0</v>
      </c>
      <c r="I357" s="13" t="n">
        <f aca="false">MIN(H357,E357)</f>
        <v>0</v>
      </c>
      <c r="J357" s="13" t="n">
        <f aca="false">IFERROR(MIN(G357*Eingaben!$B$19,MAX(0,E357-I357)),0)</f>
        <v>0</v>
      </c>
      <c r="K357" s="13" t="n">
        <f aca="false">IFERROR(MIN(Eingaben!$B$18,MAX(0,G357-J357)),0)</f>
        <v>0</v>
      </c>
      <c r="L357" s="13" t="n">
        <f aca="false">I357+J357</f>
        <v>0</v>
      </c>
      <c r="M357" s="13" t="n">
        <f aca="false">MAX(0,E357-L357)</f>
        <v>0</v>
      </c>
      <c r="N357" s="13" t="n">
        <f aca="false">MAX(0,G357-J357-K357)</f>
        <v>0</v>
      </c>
      <c r="O357" s="13" t="n">
        <f aca="false">Q357-I357</f>
        <v>0</v>
      </c>
      <c r="P357" s="13" t="n">
        <f aca="false">G357+Q357-L357-N357-O357-K357</f>
        <v>0</v>
      </c>
      <c r="Q357" s="13" t="n">
        <f aca="false">IF(A357="",0,K356)</f>
        <v>0</v>
      </c>
    </row>
    <row r="358" customFormat="false" ht="16.4" hidden="false" customHeight="false" outlineLevel="0" collapsed="false">
      <c r="A358" s="23" t="n">
        <f aca="false">Kalender!A358</f>
        <v>46376</v>
      </c>
      <c r="B358" s="13" t="n">
        <f aca="false">Kalender!C358</f>
        <v>0</v>
      </c>
      <c r="C358" s="13" t="n">
        <f aca="false">Kalender!D358</f>
        <v>0</v>
      </c>
      <c r="D358" s="13" t="n">
        <f aca="false">IF(Prüfungen!$B$4=0,(IFERROR(SUMIF(Nutzungsprofile!$B$6:$B$11,"Schulbetrieb",Nutzungsprofile!$G$6:$G$11)*Kalender!C358/SUM(Kalender!$C$5:$C$370),0)+IFERROR(SUMIF(Nutzungsprofile!$B$6:$B$11,"Halle",Nutzungsprofile!$G$6:$G$11)*Kalender!D358/SUM(Kalender!$D$5:$D$370),0)+IFERROR(SUMIF(Nutzungsprofile!$B$6:$B$11,"Individuell",Nutzungsprofile!$G$6:$G$11)*Kalender!E358/SUM(Kalender!$E$5:$E$370),0)),0)</f>
        <v>0</v>
      </c>
      <c r="E358" s="13" t="n">
        <f aca="false">IF(Prüfungen!$B$4=0,(IFERROR(SUMIF(Nutzungsprofile!$B$17:$B$22,"Schulbetrieb",Nutzungsprofile!$G$17:$G$22)*Kalender!C358/SUM(Kalender!$C$5:$C$370),0)+IFERROR(SUMIF(Nutzungsprofile!$B$17:$B$22,"Halle",Nutzungsprofile!$G$17:$G$22)*Kalender!D358/SUM(Kalender!$D$5:$D$370),0)+IFERROR(SUMIF(Nutzungsprofile!$B$17:$B$22,"Individuell",Nutzungsprofile!$G$17:$G$22)*Kalender!E358/SUM(Kalender!$E$5:$E$370),0)),0)</f>
        <v>0</v>
      </c>
      <c r="F358" s="13" t="n">
        <f aca="false">IFERROR(MIN(D358,Eingaben!$B$17)*Eingaben!$B$16,0)</f>
        <v>0</v>
      </c>
      <c r="G358" s="13" t="n">
        <f aca="false">IFERROR(F358*Eingaben!$B$15,0)</f>
        <v>0</v>
      </c>
      <c r="H358" s="13" t="n">
        <f aca="false">IFERROR(Q358*(1-Eingaben!$B$20),0)</f>
        <v>0</v>
      </c>
      <c r="I358" s="13" t="n">
        <f aca="false">MIN(H358,E358)</f>
        <v>0</v>
      </c>
      <c r="J358" s="13" t="n">
        <f aca="false">IFERROR(MIN(G358*Eingaben!$B$19,MAX(0,E358-I358)),0)</f>
        <v>0</v>
      </c>
      <c r="K358" s="13" t="n">
        <f aca="false">IFERROR(MIN(Eingaben!$B$18,MAX(0,G358-J358)),0)</f>
        <v>0</v>
      </c>
      <c r="L358" s="13" t="n">
        <f aca="false">I358+J358</f>
        <v>0</v>
      </c>
      <c r="M358" s="13" t="n">
        <f aca="false">MAX(0,E358-L358)</f>
        <v>0</v>
      </c>
      <c r="N358" s="13" t="n">
        <f aca="false">MAX(0,G358-J358-K358)</f>
        <v>0</v>
      </c>
      <c r="O358" s="13" t="n">
        <f aca="false">Q358-I358</f>
        <v>0</v>
      </c>
      <c r="P358" s="13" t="n">
        <f aca="false">G358+Q358-L358-N358-O358-K358</f>
        <v>0</v>
      </c>
      <c r="Q358" s="13" t="n">
        <f aca="false">IF(A358="",0,K357)</f>
        <v>0</v>
      </c>
    </row>
    <row r="359" customFormat="false" ht="16.4" hidden="false" customHeight="false" outlineLevel="0" collapsed="false">
      <c r="A359" s="23" t="n">
        <f aca="false">Kalender!A359</f>
        <v>46377</v>
      </c>
      <c r="B359" s="13" t="n">
        <f aca="false">Kalender!C359</f>
        <v>0</v>
      </c>
      <c r="C359" s="13" t="n">
        <f aca="false">Kalender!D359</f>
        <v>0</v>
      </c>
      <c r="D359" s="13" t="n">
        <f aca="false">IF(Prüfungen!$B$4=0,(IFERROR(SUMIF(Nutzungsprofile!$B$6:$B$11,"Schulbetrieb",Nutzungsprofile!$G$6:$G$11)*Kalender!C359/SUM(Kalender!$C$5:$C$370),0)+IFERROR(SUMIF(Nutzungsprofile!$B$6:$B$11,"Halle",Nutzungsprofile!$G$6:$G$11)*Kalender!D359/SUM(Kalender!$D$5:$D$370),0)+IFERROR(SUMIF(Nutzungsprofile!$B$6:$B$11,"Individuell",Nutzungsprofile!$G$6:$G$11)*Kalender!E359/SUM(Kalender!$E$5:$E$370),0)),0)</f>
        <v>0</v>
      </c>
      <c r="E359" s="13" t="n">
        <f aca="false">IF(Prüfungen!$B$4=0,(IFERROR(SUMIF(Nutzungsprofile!$B$17:$B$22,"Schulbetrieb",Nutzungsprofile!$G$17:$G$22)*Kalender!C359/SUM(Kalender!$C$5:$C$370),0)+IFERROR(SUMIF(Nutzungsprofile!$B$17:$B$22,"Halle",Nutzungsprofile!$G$17:$G$22)*Kalender!D359/SUM(Kalender!$D$5:$D$370),0)+IFERROR(SUMIF(Nutzungsprofile!$B$17:$B$22,"Individuell",Nutzungsprofile!$G$17:$G$22)*Kalender!E359/SUM(Kalender!$E$5:$E$370),0)),0)</f>
        <v>0</v>
      </c>
      <c r="F359" s="13" t="n">
        <f aca="false">IFERROR(MIN(D359,Eingaben!$B$17)*Eingaben!$B$16,0)</f>
        <v>0</v>
      </c>
      <c r="G359" s="13" t="n">
        <f aca="false">IFERROR(F359*Eingaben!$B$15,0)</f>
        <v>0</v>
      </c>
      <c r="H359" s="13" t="n">
        <f aca="false">IFERROR(Q359*(1-Eingaben!$B$20),0)</f>
        <v>0</v>
      </c>
      <c r="I359" s="13" t="n">
        <f aca="false">MIN(H359,E359)</f>
        <v>0</v>
      </c>
      <c r="J359" s="13" t="n">
        <f aca="false">IFERROR(MIN(G359*Eingaben!$B$19,MAX(0,E359-I359)),0)</f>
        <v>0</v>
      </c>
      <c r="K359" s="13" t="n">
        <f aca="false">IFERROR(MIN(Eingaben!$B$18,MAX(0,G359-J359)),0)</f>
        <v>0</v>
      </c>
      <c r="L359" s="13" t="n">
        <f aca="false">I359+J359</f>
        <v>0</v>
      </c>
      <c r="M359" s="13" t="n">
        <f aca="false">MAX(0,E359-L359)</f>
        <v>0</v>
      </c>
      <c r="N359" s="13" t="n">
        <f aca="false">MAX(0,G359-J359-K359)</f>
        <v>0</v>
      </c>
      <c r="O359" s="13" t="n">
        <f aca="false">Q359-I359</f>
        <v>0</v>
      </c>
      <c r="P359" s="13" t="n">
        <f aca="false">G359+Q359-L359-N359-O359-K359</f>
        <v>0</v>
      </c>
      <c r="Q359" s="13" t="n">
        <f aca="false">IF(A359="",0,K358)</f>
        <v>0</v>
      </c>
    </row>
    <row r="360" customFormat="false" ht="16.4" hidden="false" customHeight="false" outlineLevel="0" collapsed="false">
      <c r="A360" s="23" t="n">
        <f aca="false">Kalender!A360</f>
        <v>46378</v>
      </c>
      <c r="B360" s="13" t="n">
        <f aca="false">Kalender!C360</f>
        <v>0</v>
      </c>
      <c r="C360" s="13" t="n">
        <f aca="false">Kalender!D360</f>
        <v>0</v>
      </c>
      <c r="D360" s="13" t="n">
        <f aca="false">IF(Prüfungen!$B$4=0,(IFERROR(SUMIF(Nutzungsprofile!$B$6:$B$11,"Schulbetrieb",Nutzungsprofile!$G$6:$G$11)*Kalender!C360/SUM(Kalender!$C$5:$C$370),0)+IFERROR(SUMIF(Nutzungsprofile!$B$6:$B$11,"Halle",Nutzungsprofile!$G$6:$G$11)*Kalender!D360/SUM(Kalender!$D$5:$D$370),0)+IFERROR(SUMIF(Nutzungsprofile!$B$6:$B$11,"Individuell",Nutzungsprofile!$G$6:$G$11)*Kalender!E360/SUM(Kalender!$E$5:$E$370),0)),0)</f>
        <v>0</v>
      </c>
      <c r="E360" s="13" t="n">
        <f aca="false">IF(Prüfungen!$B$4=0,(IFERROR(SUMIF(Nutzungsprofile!$B$17:$B$22,"Schulbetrieb",Nutzungsprofile!$G$17:$G$22)*Kalender!C360/SUM(Kalender!$C$5:$C$370),0)+IFERROR(SUMIF(Nutzungsprofile!$B$17:$B$22,"Halle",Nutzungsprofile!$G$17:$G$22)*Kalender!D360/SUM(Kalender!$D$5:$D$370),0)+IFERROR(SUMIF(Nutzungsprofile!$B$17:$B$22,"Individuell",Nutzungsprofile!$G$17:$G$22)*Kalender!E360/SUM(Kalender!$E$5:$E$370),0)),0)</f>
        <v>0</v>
      </c>
      <c r="F360" s="13" t="n">
        <f aca="false">IFERROR(MIN(D360,Eingaben!$B$17)*Eingaben!$B$16,0)</f>
        <v>0</v>
      </c>
      <c r="G360" s="13" t="n">
        <f aca="false">IFERROR(F360*Eingaben!$B$15,0)</f>
        <v>0</v>
      </c>
      <c r="H360" s="13" t="n">
        <f aca="false">IFERROR(Q360*(1-Eingaben!$B$20),0)</f>
        <v>0</v>
      </c>
      <c r="I360" s="13" t="n">
        <f aca="false">MIN(H360,E360)</f>
        <v>0</v>
      </c>
      <c r="J360" s="13" t="n">
        <f aca="false">IFERROR(MIN(G360*Eingaben!$B$19,MAX(0,E360-I360)),0)</f>
        <v>0</v>
      </c>
      <c r="K360" s="13" t="n">
        <f aca="false">IFERROR(MIN(Eingaben!$B$18,MAX(0,G360-J360)),0)</f>
        <v>0</v>
      </c>
      <c r="L360" s="13" t="n">
        <f aca="false">I360+J360</f>
        <v>0</v>
      </c>
      <c r="M360" s="13" t="n">
        <f aca="false">MAX(0,E360-L360)</f>
        <v>0</v>
      </c>
      <c r="N360" s="13" t="n">
        <f aca="false">MAX(0,G360-J360-K360)</f>
        <v>0</v>
      </c>
      <c r="O360" s="13" t="n">
        <f aca="false">Q360-I360</f>
        <v>0</v>
      </c>
      <c r="P360" s="13" t="n">
        <f aca="false">G360+Q360-L360-N360-O360-K360</f>
        <v>0</v>
      </c>
      <c r="Q360" s="13" t="n">
        <f aca="false">IF(A360="",0,K359)</f>
        <v>0</v>
      </c>
    </row>
    <row r="361" customFormat="false" ht="16.4" hidden="false" customHeight="false" outlineLevel="0" collapsed="false">
      <c r="A361" s="23" t="n">
        <f aca="false">Kalender!A361</f>
        <v>46379</v>
      </c>
      <c r="B361" s="13" t="n">
        <f aca="false">Kalender!C361</f>
        <v>0</v>
      </c>
      <c r="C361" s="13" t="n">
        <f aca="false">Kalender!D361</f>
        <v>0</v>
      </c>
      <c r="D361" s="13" t="n">
        <f aca="false">IF(Prüfungen!$B$4=0,(IFERROR(SUMIF(Nutzungsprofile!$B$6:$B$11,"Schulbetrieb",Nutzungsprofile!$G$6:$G$11)*Kalender!C361/SUM(Kalender!$C$5:$C$370),0)+IFERROR(SUMIF(Nutzungsprofile!$B$6:$B$11,"Halle",Nutzungsprofile!$G$6:$G$11)*Kalender!D361/SUM(Kalender!$D$5:$D$370),0)+IFERROR(SUMIF(Nutzungsprofile!$B$6:$B$11,"Individuell",Nutzungsprofile!$G$6:$G$11)*Kalender!E361/SUM(Kalender!$E$5:$E$370),0)),0)</f>
        <v>0</v>
      </c>
      <c r="E361" s="13" t="n">
        <f aca="false">IF(Prüfungen!$B$4=0,(IFERROR(SUMIF(Nutzungsprofile!$B$17:$B$22,"Schulbetrieb",Nutzungsprofile!$G$17:$G$22)*Kalender!C361/SUM(Kalender!$C$5:$C$370),0)+IFERROR(SUMIF(Nutzungsprofile!$B$17:$B$22,"Halle",Nutzungsprofile!$G$17:$G$22)*Kalender!D361/SUM(Kalender!$D$5:$D$370),0)+IFERROR(SUMIF(Nutzungsprofile!$B$17:$B$22,"Individuell",Nutzungsprofile!$G$17:$G$22)*Kalender!E361/SUM(Kalender!$E$5:$E$370),0)),0)</f>
        <v>0</v>
      </c>
      <c r="F361" s="13" t="n">
        <f aca="false">IFERROR(MIN(D361,Eingaben!$B$17)*Eingaben!$B$16,0)</f>
        <v>0</v>
      </c>
      <c r="G361" s="13" t="n">
        <f aca="false">IFERROR(F361*Eingaben!$B$15,0)</f>
        <v>0</v>
      </c>
      <c r="H361" s="13" t="n">
        <f aca="false">IFERROR(Q361*(1-Eingaben!$B$20),0)</f>
        <v>0</v>
      </c>
      <c r="I361" s="13" t="n">
        <f aca="false">MIN(H361,E361)</f>
        <v>0</v>
      </c>
      <c r="J361" s="13" t="n">
        <f aca="false">IFERROR(MIN(G361*Eingaben!$B$19,MAX(0,E361-I361)),0)</f>
        <v>0</v>
      </c>
      <c r="K361" s="13" t="n">
        <f aca="false">IFERROR(MIN(Eingaben!$B$18,MAX(0,G361-J361)),0)</f>
        <v>0</v>
      </c>
      <c r="L361" s="13" t="n">
        <f aca="false">I361+J361</f>
        <v>0</v>
      </c>
      <c r="M361" s="13" t="n">
        <f aca="false">MAX(0,E361-L361)</f>
        <v>0</v>
      </c>
      <c r="N361" s="13" t="n">
        <f aca="false">MAX(0,G361-J361-K361)</f>
        <v>0</v>
      </c>
      <c r="O361" s="13" t="n">
        <f aca="false">Q361-I361</f>
        <v>0</v>
      </c>
      <c r="P361" s="13" t="n">
        <f aca="false">G361+Q361-L361-N361-O361-K361</f>
        <v>0</v>
      </c>
      <c r="Q361" s="13" t="n">
        <f aca="false">IF(A361="",0,K360)</f>
        <v>0</v>
      </c>
    </row>
    <row r="362" customFormat="false" ht="16.4" hidden="false" customHeight="false" outlineLevel="0" collapsed="false">
      <c r="A362" s="23" t="n">
        <f aca="false">Kalender!A362</f>
        <v>46380</v>
      </c>
      <c r="B362" s="13" t="n">
        <f aca="false">Kalender!C362</f>
        <v>0</v>
      </c>
      <c r="C362" s="13" t="n">
        <f aca="false">Kalender!D362</f>
        <v>0</v>
      </c>
      <c r="D362" s="13" t="n">
        <f aca="false">IF(Prüfungen!$B$4=0,(IFERROR(SUMIF(Nutzungsprofile!$B$6:$B$11,"Schulbetrieb",Nutzungsprofile!$G$6:$G$11)*Kalender!C362/SUM(Kalender!$C$5:$C$370),0)+IFERROR(SUMIF(Nutzungsprofile!$B$6:$B$11,"Halle",Nutzungsprofile!$G$6:$G$11)*Kalender!D362/SUM(Kalender!$D$5:$D$370),0)+IFERROR(SUMIF(Nutzungsprofile!$B$6:$B$11,"Individuell",Nutzungsprofile!$G$6:$G$11)*Kalender!E362/SUM(Kalender!$E$5:$E$370),0)),0)</f>
        <v>0</v>
      </c>
      <c r="E362" s="13" t="n">
        <f aca="false">IF(Prüfungen!$B$4=0,(IFERROR(SUMIF(Nutzungsprofile!$B$17:$B$22,"Schulbetrieb",Nutzungsprofile!$G$17:$G$22)*Kalender!C362/SUM(Kalender!$C$5:$C$370),0)+IFERROR(SUMIF(Nutzungsprofile!$B$17:$B$22,"Halle",Nutzungsprofile!$G$17:$G$22)*Kalender!D362/SUM(Kalender!$D$5:$D$370),0)+IFERROR(SUMIF(Nutzungsprofile!$B$17:$B$22,"Individuell",Nutzungsprofile!$G$17:$G$22)*Kalender!E362/SUM(Kalender!$E$5:$E$370),0)),0)</f>
        <v>0</v>
      </c>
      <c r="F362" s="13" t="n">
        <f aca="false">IFERROR(MIN(D362,Eingaben!$B$17)*Eingaben!$B$16,0)</f>
        <v>0</v>
      </c>
      <c r="G362" s="13" t="n">
        <f aca="false">IFERROR(F362*Eingaben!$B$15,0)</f>
        <v>0</v>
      </c>
      <c r="H362" s="13" t="n">
        <f aca="false">IFERROR(Q362*(1-Eingaben!$B$20),0)</f>
        <v>0</v>
      </c>
      <c r="I362" s="13" t="n">
        <f aca="false">MIN(H362,E362)</f>
        <v>0</v>
      </c>
      <c r="J362" s="13" t="n">
        <f aca="false">IFERROR(MIN(G362*Eingaben!$B$19,MAX(0,E362-I362)),0)</f>
        <v>0</v>
      </c>
      <c r="K362" s="13" t="n">
        <f aca="false">IFERROR(MIN(Eingaben!$B$18,MAX(0,G362-J362)),0)</f>
        <v>0</v>
      </c>
      <c r="L362" s="13" t="n">
        <f aca="false">I362+J362</f>
        <v>0</v>
      </c>
      <c r="M362" s="13" t="n">
        <f aca="false">MAX(0,E362-L362)</f>
        <v>0</v>
      </c>
      <c r="N362" s="13" t="n">
        <f aca="false">MAX(0,G362-J362-K362)</f>
        <v>0</v>
      </c>
      <c r="O362" s="13" t="n">
        <f aca="false">Q362-I362</f>
        <v>0</v>
      </c>
      <c r="P362" s="13" t="n">
        <f aca="false">G362+Q362-L362-N362-O362-K362</f>
        <v>0</v>
      </c>
      <c r="Q362" s="13" t="n">
        <f aca="false">IF(A362="",0,K361)</f>
        <v>0</v>
      </c>
    </row>
    <row r="363" customFormat="false" ht="16.4" hidden="false" customHeight="false" outlineLevel="0" collapsed="false">
      <c r="A363" s="23" t="n">
        <f aca="false">Kalender!A363</f>
        <v>46381</v>
      </c>
      <c r="B363" s="13" t="n">
        <f aca="false">Kalender!C363</f>
        <v>0</v>
      </c>
      <c r="C363" s="13" t="n">
        <f aca="false">Kalender!D363</f>
        <v>0</v>
      </c>
      <c r="D363" s="13" t="n">
        <f aca="false">IF(Prüfungen!$B$4=0,(IFERROR(SUMIF(Nutzungsprofile!$B$6:$B$11,"Schulbetrieb",Nutzungsprofile!$G$6:$G$11)*Kalender!C363/SUM(Kalender!$C$5:$C$370),0)+IFERROR(SUMIF(Nutzungsprofile!$B$6:$B$11,"Halle",Nutzungsprofile!$G$6:$G$11)*Kalender!D363/SUM(Kalender!$D$5:$D$370),0)+IFERROR(SUMIF(Nutzungsprofile!$B$6:$B$11,"Individuell",Nutzungsprofile!$G$6:$G$11)*Kalender!E363/SUM(Kalender!$E$5:$E$370),0)),0)</f>
        <v>0</v>
      </c>
      <c r="E363" s="13" t="n">
        <f aca="false">IF(Prüfungen!$B$4=0,(IFERROR(SUMIF(Nutzungsprofile!$B$17:$B$22,"Schulbetrieb",Nutzungsprofile!$G$17:$G$22)*Kalender!C363/SUM(Kalender!$C$5:$C$370),0)+IFERROR(SUMIF(Nutzungsprofile!$B$17:$B$22,"Halle",Nutzungsprofile!$G$17:$G$22)*Kalender!D363/SUM(Kalender!$D$5:$D$370),0)+IFERROR(SUMIF(Nutzungsprofile!$B$17:$B$22,"Individuell",Nutzungsprofile!$G$17:$G$22)*Kalender!E363/SUM(Kalender!$E$5:$E$370),0)),0)</f>
        <v>0</v>
      </c>
      <c r="F363" s="13" t="n">
        <f aca="false">IFERROR(MIN(D363,Eingaben!$B$17)*Eingaben!$B$16,0)</f>
        <v>0</v>
      </c>
      <c r="G363" s="13" t="n">
        <f aca="false">IFERROR(F363*Eingaben!$B$15,0)</f>
        <v>0</v>
      </c>
      <c r="H363" s="13" t="n">
        <f aca="false">IFERROR(Q363*(1-Eingaben!$B$20),0)</f>
        <v>0</v>
      </c>
      <c r="I363" s="13" t="n">
        <f aca="false">MIN(H363,E363)</f>
        <v>0</v>
      </c>
      <c r="J363" s="13" t="n">
        <f aca="false">IFERROR(MIN(G363*Eingaben!$B$19,MAX(0,E363-I363)),0)</f>
        <v>0</v>
      </c>
      <c r="K363" s="13" t="n">
        <f aca="false">IFERROR(MIN(Eingaben!$B$18,MAX(0,G363-J363)),0)</f>
        <v>0</v>
      </c>
      <c r="L363" s="13" t="n">
        <f aca="false">I363+J363</f>
        <v>0</v>
      </c>
      <c r="M363" s="13" t="n">
        <f aca="false">MAX(0,E363-L363)</f>
        <v>0</v>
      </c>
      <c r="N363" s="13" t="n">
        <f aca="false">MAX(0,G363-J363-K363)</f>
        <v>0</v>
      </c>
      <c r="O363" s="13" t="n">
        <f aca="false">Q363-I363</f>
        <v>0</v>
      </c>
      <c r="P363" s="13" t="n">
        <f aca="false">G363+Q363-L363-N363-O363-K363</f>
        <v>0</v>
      </c>
      <c r="Q363" s="13" t="n">
        <f aca="false">IF(A363="",0,K362)</f>
        <v>0</v>
      </c>
    </row>
    <row r="364" customFormat="false" ht="16.4" hidden="false" customHeight="false" outlineLevel="0" collapsed="false">
      <c r="A364" s="23" t="n">
        <f aca="false">Kalender!A364</f>
        <v>46382</v>
      </c>
      <c r="B364" s="13" t="n">
        <f aca="false">Kalender!C364</f>
        <v>0</v>
      </c>
      <c r="C364" s="13" t="n">
        <f aca="false">Kalender!D364</f>
        <v>0</v>
      </c>
      <c r="D364" s="13" t="n">
        <f aca="false">IF(Prüfungen!$B$4=0,(IFERROR(SUMIF(Nutzungsprofile!$B$6:$B$11,"Schulbetrieb",Nutzungsprofile!$G$6:$G$11)*Kalender!C364/SUM(Kalender!$C$5:$C$370),0)+IFERROR(SUMIF(Nutzungsprofile!$B$6:$B$11,"Halle",Nutzungsprofile!$G$6:$G$11)*Kalender!D364/SUM(Kalender!$D$5:$D$370),0)+IFERROR(SUMIF(Nutzungsprofile!$B$6:$B$11,"Individuell",Nutzungsprofile!$G$6:$G$11)*Kalender!E364/SUM(Kalender!$E$5:$E$370),0)),0)</f>
        <v>0</v>
      </c>
      <c r="E364" s="13" t="n">
        <f aca="false">IF(Prüfungen!$B$4=0,(IFERROR(SUMIF(Nutzungsprofile!$B$17:$B$22,"Schulbetrieb",Nutzungsprofile!$G$17:$G$22)*Kalender!C364/SUM(Kalender!$C$5:$C$370),0)+IFERROR(SUMIF(Nutzungsprofile!$B$17:$B$22,"Halle",Nutzungsprofile!$G$17:$G$22)*Kalender!D364/SUM(Kalender!$D$5:$D$370),0)+IFERROR(SUMIF(Nutzungsprofile!$B$17:$B$22,"Individuell",Nutzungsprofile!$G$17:$G$22)*Kalender!E364/SUM(Kalender!$E$5:$E$370),0)),0)</f>
        <v>0</v>
      </c>
      <c r="F364" s="13" t="n">
        <f aca="false">IFERROR(MIN(D364,Eingaben!$B$17)*Eingaben!$B$16,0)</f>
        <v>0</v>
      </c>
      <c r="G364" s="13" t="n">
        <f aca="false">IFERROR(F364*Eingaben!$B$15,0)</f>
        <v>0</v>
      </c>
      <c r="H364" s="13" t="n">
        <f aca="false">IFERROR(Q364*(1-Eingaben!$B$20),0)</f>
        <v>0</v>
      </c>
      <c r="I364" s="13" t="n">
        <f aca="false">MIN(H364,E364)</f>
        <v>0</v>
      </c>
      <c r="J364" s="13" t="n">
        <f aca="false">IFERROR(MIN(G364*Eingaben!$B$19,MAX(0,E364-I364)),0)</f>
        <v>0</v>
      </c>
      <c r="K364" s="13" t="n">
        <f aca="false">IFERROR(MIN(Eingaben!$B$18,MAX(0,G364-J364)),0)</f>
        <v>0</v>
      </c>
      <c r="L364" s="13" t="n">
        <f aca="false">I364+J364</f>
        <v>0</v>
      </c>
      <c r="M364" s="13" t="n">
        <f aca="false">MAX(0,E364-L364)</f>
        <v>0</v>
      </c>
      <c r="N364" s="13" t="n">
        <f aca="false">MAX(0,G364-J364-K364)</f>
        <v>0</v>
      </c>
      <c r="O364" s="13" t="n">
        <f aca="false">Q364-I364</f>
        <v>0</v>
      </c>
      <c r="P364" s="13" t="n">
        <f aca="false">G364+Q364-L364-N364-O364-K364</f>
        <v>0</v>
      </c>
      <c r="Q364" s="13" t="n">
        <f aca="false">IF(A364="",0,K363)</f>
        <v>0</v>
      </c>
    </row>
    <row r="365" customFormat="false" ht="16.4" hidden="false" customHeight="false" outlineLevel="0" collapsed="false">
      <c r="A365" s="23" t="n">
        <f aca="false">Kalender!A365</f>
        <v>46383</v>
      </c>
      <c r="B365" s="13" t="n">
        <f aca="false">Kalender!C365</f>
        <v>0</v>
      </c>
      <c r="C365" s="13" t="n">
        <f aca="false">Kalender!D365</f>
        <v>0</v>
      </c>
      <c r="D365" s="13" t="n">
        <f aca="false">IF(Prüfungen!$B$4=0,(IFERROR(SUMIF(Nutzungsprofile!$B$6:$B$11,"Schulbetrieb",Nutzungsprofile!$G$6:$G$11)*Kalender!C365/SUM(Kalender!$C$5:$C$370),0)+IFERROR(SUMIF(Nutzungsprofile!$B$6:$B$11,"Halle",Nutzungsprofile!$G$6:$G$11)*Kalender!D365/SUM(Kalender!$D$5:$D$370),0)+IFERROR(SUMIF(Nutzungsprofile!$B$6:$B$11,"Individuell",Nutzungsprofile!$G$6:$G$11)*Kalender!E365/SUM(Kalender!$E$5:$E$370),0)),0)</f>
        <v>0</v>
      </c>
      <c r="E365" s="13" t="n">
        <f aca="false">IF(Prüfungen!$B$4=0,(IFERROR(SUMIF(Nutzungsprofile!$B$17:$B$22,"Schulbetrieb",Nutzungsprofile!$G$17:$G$22)*Kalender!C365/SUM(Kalender!$C$5:$C$370),0)+IFERROR(SUMIF(Nutzungsprofile!$B$17:$B$22,"Halle",Nutzungsprofile!$G$17:$G$22)*Kalender!D365/SUM(Kalender!$D$5:$D$370),0)+IFERROR(SUMIF(Nutzungsprofile!$B$17:$B$22,"Individuell",Nutzungsprofile!$G$17:$G$22)*Kalender!E365/SUM(Kalender!$E$5:$E$370),0)),0)</f>
        <v>0</v>
      </c>
      <c r="F365" s="13" t="n">
        <f aca="false">IFERROR(MIN(D365,Eingaben!$B$17)*Eingaben!$B$16,0)</f>
        <v>0</v>
      </c>
      <c r="G365" s="13" t="n">
        <f aca="false">IFERROR(F365*Eingaben!$B$15,0)</f>
        <v>0</v>
      </c>
      <c r="H365" s="13" t="n">
        <f aca="false">IFERROR(Q365*(1-Eingaben!$B$20),0)</f>
        <v>0</v>
      </c>
      <c r="I365" s="13" t="n">
        <f aca="false">MIN(H365,E365)</f>
        <v>0</v>
      </c>
      <c r="J365" s="13" t="n">
        <f aca="false">IFERROR(MIN(G365*Eingaben!$B$19,MAX(0,E365-I365)),0)</f>
        <v>0</v>
      </c>
      <c r="K365" s="13" t="n">
        <f aca="false">IFERROR(MIN(Eingaben!$B$18,MAX(0,G365-J365)),0)</f>
        <v>0</v>
      </c>
      <c r="L365" s="13" t="n">
        <f aca="false">I365+J365</f>
        <v>0</v>
      </c>
      <c r="M365" s="13" t="n">
        <f aca="false">MAX(0,E365-L365)</f>
        <v>0</v>
      </c>
      <c r="N365" s="13" t="n">
        <f aca="false">MAX(0,G365-J365-K365)</f>
        <v>0</v>
      </c>
      <c r="O365" s="13" t="n">
        <f aca="false">Q365-I365</f>
        <v>0</v>
      </c>
      <c r="P365" s="13" t="n">
        <f aca="false">G365+Q365-L365-N365-O365-K365</f>
        <v>0</v>
      </c>
      <c r="Q365" s="13" t="n">
        <f aca="false">IF(A365="",0,K364)</f>
        <v>0</v>
      </c>
    </row>
    <row r="366" customFormat="false" ht="16.4" hidden="false" customHeight="false" outlineLevel="0" collapsed="false">
      <c r="A366" s="23" t="n">
        <f aca="false">Kalender!A366</f>
        <v>46384</v>
      </c>
      <c r="B366" s="13" t="n">
        <f aca="false">Kalender!C366</f>
        <v>0</v>
      </c>
      <c r="C366" s="13" t="n">
        <f aca="false">Kalender!D366</f>
        <v>0</v>
      </c>
      <c r="D366" s="13" t="n">
        <f aca="false">IF(Prüfungen!$B$4=0,(IFERROR(SUMIF(Nutzungsprofile!$B$6:$B$11,"Schulbetrieb",Nutzungsprofile!$G$6:$G$11)*Kalender!C366/SUM(Kalender!$C$5:$C$370),0)+IFERROR(SUMIF(Nutzungsprofile!$B$6:$B$11,"Halle",Nutzungsprofile!$G$6:$G$11)*Kalender!D366/SUM(Kalender!$D$5:$D$370),0)+IFERROR(SUMIF(Nutzungsprofile!$B$6:$B$11,"Individuell",Nutzungsprofile!$G$6:$G$11)*Kalender!E366/SUM(Kalender!$E$5:$E$370),0)),0)</f>
        <v>0</v>
      </c>
      <c r="E366" s="13" t="n">
        <f aca="false">IF(Prüfungen!$B$4=0,(IFERROR(SUMIF(Nutzungsprofile!$B$17:$B$22,"Schulbetrieb",Nutzungsprofile!$G$17:$G$22)*Kalender!C366/SUM(Kalender!$C$5:$C$370),0)+IFERROR(SUMIF(Nutzungsprofile!$B$17:$B$22,"Halle",Nutzungsprofile!$G$17:$G$22)*Kalender!D366/SUM(Kalender!$D$5:$D$370),0)+IFERROR(SUMIF(Nutzungsprofile!$B$17:$B$22,"Individuell",Nutzungsprofile!$G$17:$G$22)*Kalender!E366/SUM(Kalender!$E$5:$E$370),0)),0)</f>
        <v>0</v>
      </c>
      <c r="F366" s="13" t="n">
        <f aca="false">IFERROR(MIN(D366,Eingaben!$B$17)*Eingaben!$B$16,0)</f>
        <v>0</v>
      </c>
      <c r="G366" s="13" t="n">
        <f aca="false">IFERROR(F366*Eingaben!$B$15,0)</f>
        <v>0</v>
      </c>
      <c r="H366" s="13" t="n">
        <f aca="false">IFERROR(Q366*(1-Eingaben!$B$20),0)</f>
        <v>0</v>
      </c>
      <c r="I366" s="13" t="n">
        <f aca="false">MIN(H366,E366)</f>
        <v>0</v>
      </c>
      <c r="J366" s="13" t="n">
        <f aca="false">IFERROR(MIN(G366*Eingaben!$B$19,MAX(0,E366-I366)),0)</f>
        <v>0</v>
      </c>
      <c r="K366" s="13" t="n">
        <f aca="false">IFERROR(MIN(Eingaben!$B$18,MAX(0,G366-J366)),0)</f>
        <v>0</v>
      </c>
      <c r="L366" s="13" t="n">
        <f aca="false">I366+J366</f>
        <v>0</v>
      </c>
      <c r="M366" s="13" t="n">
        <f aca="false">MAX(0,E366-L366)</f>
        <v>0</v>
      </c>
      <c r="N366" s="13" t="n">
        <f aca="false">MAX(0,G366-J366-K366)</f>
        <v>0</v>
      </c>
      <c r="O366" s="13" t="n">
        <f aca="false">Q366-I366</f>
        <v>0</v>
      </c>
      <c r="P366" s="13" t="n">
        <f aca="false">G366+Q366-L366-N366-O366-K366</f>
        <v>0</v>
      </c>
      <c r="Q366" s="13" t="n">
        <f aca="false">IF(A366="",0,K365)</f>
        <v>0</v>
      </c>
    </row>
    <row r="367" customFormat="false" ht="16.4" hidden="false" customHeight="false" outlineLevel="0" collapsed="false">
      <c r="A367" s="23" t="n">
        <f aca="false">Kalender!A367</f>
        <v>46385</v>
      </c>
      <c r="B367" s="13" t="n">
        <f aca="false">Kalender!C367</f>
        <v>0</v>
      </c>
      <c r="C367" s="13" t="n">
        <f aca="false">Kalender!D367</f>
        <v>0</v>
      </c>
      <c r="D367" s="13" t="n">
        <f aca="false">IF(Prüfungen!$B$4=0,(IFERROR(SUMIF(Nutzungsprofile!$B$6:$B$11,"Schulbetrieb",Nutzungsprofile!$G$6:$G$11)*Kalender!C367/SUM(Kalender!$C$5:$C$370),0)+IFERROR(SUMIF(Nutzungsprofile!$B$6:$B$11,"Halle",Nutzungsprofile!$G$6:$G$11)*Kalender!D367/SUM(Kalender!$D$5:$D$370),0)+IFERROR(SUMIF(Nutzungsprofile!$B$6:$B$11,"Individuell",Nutzungsprofile!$G$6:$G$11)*Kalender!E367/SUM(Kalender!$E$5:$E$370),0)),0)</f>
        <v>0</v>
      </c>
      <c r="E367" s="13" t="n">
        <f aca="false">IF(Prüfungen!$B$4=0,(IFERROR(SUMIF(Nutzungsprofile!$B$17:$B$22,"Schulbetrieb",Nutzungsprofile!$G$17:$G$22)*Kalender!C367/SUM(Kalender!$C$5:$C$370),0)+IFERROR(SUMIF(Nutzungsprofile!$B$17:$B$22,"Halle",Nutzungsprofile!$G$17:$G$22)*Kalender!D367/SUM(Kalender!$D$5:$D$370),0)+IFERROR(SUMIF(Nutzungsprofile!$B$17:$B$22,"Individuell",Nutzungsprofile!$G$17:$G$22)*Kalender!E367/SUM(Kalender!$E$5:$E$370),0)),0)</f>
        <v>0</v>
      </c>
      <c r="F367" s="13" t="n">
        <f aca="false">IFERROR(MIN(D367,Eingaben!$B$17)*Eingaben!$B$16,0)</f>
        <v>0</v>
      </c>
      <c r="G367" s="13" t="n">
        <f aca="false">IFERROR(F367*Eingaben!$B$15,0)</f>
        <v>0</v>
      </c>
      <c r="H367" s="13" t="n">
        <f aca="false">IFERROR(Q367*(1-Eingaben!$B$20),0)</f>
        <v>0</v>
      </c>
      <c r="I367" s="13" t="n">
        <f aca="false">MIN(H367,E367)</f>
        <v>0</v>
      </c>
      <c r="J367" s="13" t="n">
        <f aca="false">IFERROR(MIN(G367*Eingaben!$B$19,MAX(0,E367-I367)),0)</f>
        <v>0</v>
      </c>
      <c r="K367" s="13" t="n">
        <f aca="false">IFERROR(MIN(Eingaben!$B$18,MAX(0,G367-J367)),0)</f>
        <v>0</v>
      </c>
      <c r="L367" s="13" t="n">
        <f aca="false">I367+J367</f>
        <v>0</v>
      </c>
      <c r="M367" s="13" t="n">
        <f aca="false">MAX(0,E367-L367)</f>
        <v>0</v>
      </c>
      <c r="N367" s="13" t="n">
        <f aca="false">MAX(0,G367-J367-K367)</f>
        <v>0</v>
      </c>
      <c r="O367" s="13" t="n">
        <f aca="false">Q367-I367</f>
        <v>0</v>
      </c>
      <c r="P367" s="13" t="n">
        <f aca="false">G367+Q367-L367-N367-O367-K367</f>
        <v>0</v>
      </c>
      <c r="Q367" s="13" t="n">
        <f aca="false">IF(A367="",0,K366)</f>
        <v>0</v>
      </c>
    </row>
    <row r="368" customFormat="false" ht="16.4" hidden="false" customHeight="false" outlineLevel="0" collapsed="false">
      <c r="A368" s="23" t="n">
        <f aca="false">Kalender!A368</f>
        <v>46386</v>
      </c>
      <c r="B368" s="13" t="n">
        <f aca="false">Kalender!C368</f>
        <v>0</v>
      </c>
      <c r="C368" s="13" t="n">
        <f aca="false">Kalender!D368</f>
        <v>0</v>
      </c>
      <c r="D368" s="13" t="n">
        <f aca="false">IF(Prüfungen!$B$4=0,(IFERROR(SUMIF(Nutzungsprofile!$B$6:$B$11,"Schulbetrieb",Nutzungsprofile!$G$6:$G$11)*Kalender!C368/SUM(Kalender!$C$5:$C$370),0)+IFERROR(SUMIF(Nutzungsprofile!$B$6:$B$11,"Halle",Nutzungsprofile!$G$6:$G$11)*Kalender!D368/SUM(Kalender!$D$5:$D$370),0)+IFERROR(SUMIF(Nutzungsprofile!$B$6:$B$11,"Individuell",Nutzungsprofile!$G$6:$G$11)*Kalender!E368/SUM(Kalender!$E$5:$E$370),0)),0)</f>
        <v>0</v>
      </c>
      <c r="E368" s="13" t="n">
        <f aca="false">IF(Prüfungen!$B$4=0,(IFERROR(SUMIF(Nutzungsprofile!$B$17:$B$22,"Schulbetrieb",Nutzungsprofile!$G$17:$G$22)*Kalender!C368/SUM(Kalender!$C$5:$C$370),0)+IFERROR(SUMIF(Nutzungsprofile!$B$17:$B$22,"Halle",Nutzungsprofile!$G$17:$G$22)*Kalender!D368/SUM(Kalender!$D$5:$D$370),0)+IFERROR(SUMIF(Nutzungsprofile!$B$17:$B$22,"Individuell",Nutzungsprofile!$G$17:$G$22)*Kalender!E368/SUM(Kalender!$E$5:$E$370),0)),0)</f>
        <v>0</v>
      </c>
      <c r="F368" s="13" t="n">
        <f aca="false">IFERROR(MIN(D368,Eingaben!$B$17)*Eingaben!$B$16,0)</f>
        <v>0</v>
      </c>
      <c r="G368" s="13" t="n">
        <f aca="false">IFERROR(F368*Eingaben!$B$15,0)</f>
        <v>0</v>
      </c>
      <c r="H368" s="13" t="n">
        <f aca="false">IFERROR(Q368*(1-Eingaben!$B$20),0)</f>
        <v>0</v>
      </c>
      <c r="I368" s="13" t="n">
        <f aca="false">MIN(H368,E368)</f>
        <v>0</v>
      </c>
      <c r="J368" s="13" t="n">
        <f aca="false">IFERROR(MIN(G368*Eingaben!$B$19,MAX(0,E368-I368)),0)</f>
        <v>0</v>
      </c>
      <c r="K368" s="13" t="n">
        <f aca="false">IFERROR(MIN(Eingaben!$B$18,MAX(0,G368-J368)),0)</f>
        <v>0</v>
      </c>
      <c r="L368" s="13" t="n">
        <f aca="false">I368+J368</f>
        <v>0</v>
      </c>
      <c r="M368" s="13" t="n">
        <f aca="false">MAX(0,E368-L368)</f>
        <v>0</v>
      </c>
      <c r="N368" s="13" t="n">
        <f aca="false">MAX(0,G368-J368-K368)</f>
        <v>0</v>
      </c>
      <c r="O368" s="13" t="n">
        <f aca="false">Q368-I368</f>
        <v>0</v>
      </c>
      <c r="P368" s="13" t="n">
        <f aca="false">G368+Q368-L368-N368-O368-K368</f>
        <v>0</v>
      </c>
      <c r="Q368" s="13" t="n">
        <f aca="false">IF(A368="",0,K367)</f>
        <v>0</v>
      </c>
    </row>
    <row r="369" customFormat="false" ht="16.4" hidden="false" customHeight="false" outlineLevel="0" collapsed="false">
      <c r="A369" s="23" t="n">
        <f aca="false">Kalender!A369</f>
        <v>46387</v>
      </c>
      <c r="B369" s="13" t="n">
        <f aca="false">Kalender!C369</f>
        <v>0</v>
      </c>
      <c r="C369" s="13" t="n">
        <f aca="false">Kalender!D369</f>
        <v>0</v>
      </c>
      <c r="D369" s="13" t="n">
        <f aca="false">IF(Prüfungen!$B$4=0,(IFERROR(SUMIF(Nutzungsprofile!$B$6:$B$11,"Schulbetrieb",Nutzungsprofile!$G$6:$G$11)*Kalender!C369/SUM(Kalender!$C$5:$C$370),0)+IFERROR(SUMIF(Nutzungsprofile!$B$6:$B$11,"Halle",Nutzungsprofile!$G$6:$G$11)*Kalender!D369/SUM(Kalender!$D$5:$D$370),0)+IFERROR(SUMIF(Nutzungsprofile!$B$6:$B$11,"Individuell",Nutzungsprofile!$G$6:$G$11)*Kalender!E369/SUM(Kalender!$E$5:$E$370),0)),0)</f>
        <v>0</v>
      </c>
      <c r="E369" s="13" t="n">
        <f aca="false">IF(Prüfungen!$B$4=0,(IFERROR(SUMIF(Nutzungsprofile!$B$17:$B$22,"Schulbetrieb",Nutzungsprofile!$G$17:$G$22)*Kalender!C369/SUM(Kalender!$C$5:$C$370),0)+IFERROR(SUMIF(Nutzungsprofile!$B$17:$B$22,"Halle",Nutzungsprofile!$G$17:$G$22)*Kalender!D369/SUM(Kalender!$D$5:$D$370),0)+IFERROR(SUMIF(Nutzungsprofile!$B$17:$B$22,"Individuell",Nutzungsprofile!$G$17:$G$22)*Kalender!E369/SUM(Kalender!$E$5:$E$370),0)),0)</f>
        <v>0</v>
      </c>
      <c r="F369" s="13" t="n">
        <f aca="false">IFERROR(MIN(D369,Eingaben!$B$17)*Eingaben!$B$16,0)</f>
        <v>0</v>
      </c>
      <c r="G369" s="13" t="n">
        <f aca="false">IFERROR(F369*Eingaben!$B$15,0)</f>
        <v>0</v>
      </c>
      <c r="H369" s="13" t="n">
        <f aca="false">IFERROR(Q369*(1-Eingaben!$B$20),0)</f>
        <v>0</v>
      </c>
      <c r="I369" s="13" t="n">
        <f aca="false">MIN(H369,E369)</f>
        <v>0</v>
      </c>
      <c r="J369" s="13" t="n">
        <f aca="false">IFERROR(MIN(G369*Eingaben!$B$19,MAX(0,E369-I369)),0)</f>
        <v>0</v>
      </c>
      <c r="K369" s="13" t="n">
        <f aca="false">IFERROR(MIN(Eingaben!$B$18,MAX(0,G369-J369)),0)</f>
        <v>0</v>
      </c>
      <c r="L369" s="13" t="n">
        <f aca="false">I369+J369</f>
        <v>0</v>
      </c>
      <c r="M369" s="13" t="n">
        <f aca="false">MAX(0,E369-L369)</f>
        <v>0</v>
      </c>
      <c r="N369" s="13" t="n">
        <f aca="false">MAX(0,G369-J369-K369)</f>
        <v>0</v>
      </c>
      <c r="O369" s="13" t="n">
        <f aca="false">Q369-I369</f>
        <v>0</v>
      </c>
      <c r="P369" s="13" t="n">
        <f aca="false">G369+Q369-L369-N369-O369-K369</f>
        <v>0</v>
      </c>
      <c r="Q369" s="13" t="n">
        <f aca="false">IF(A369="",0,K368)</f>
        <v>0</v>
      </c>
    </row>
    <row r="370" customFormat="false" ht="16.4" hidden="false" customHeight="false" outlineLevel="0" collapsed="false">
      <c r="A370" s="23" t="str">
        <f aca="false">Kalender!A370</f>
        <v/>
      </c>
      <c r="B370" s="13" t="n">
        <f aca="false">Kalender!C370</f>
        <v>0</v>
      </c>
      <c r="C370" s="13" t="n">
        <f aca="false">Kalender!D370</f>
        <v>0</v>
      </c>
      <c r="D370" s="13" t="n">
        <f aca="false">IF(Prüfungen!$B$4=0,(IFERROR(SUMIF(Nutzungsprofile!$B$6:$B$11,"Schulbetrieb",Nutzungsprofile!$G$6:$G$11)*Kalender!C370/SUM(Kalender!$C$5:$C$370),0)+IFERROR(SUMIF(Nutzungsprofile!$B$6:$B$11,"Halle",Nutzungsprofile!$G$6:$G$11)*Kalender!D370/SUM(Kalender!$D$5:$D$370),0)+IFERROR(SUMIF(Nutzungsprofile!$B$6:$B$11,"Individuell",Nutzungsprofile!$G$6:$G$11)*Kalender!E370/SUM(Kalender!$E$5:$E$370),0)),0)</f>
        <v>0</v>
      </c>
      <c r="E370" s="13" t="n">
        <f aca="false">IF(Prüfungen!$B$4=0,(IFERROR(SUMIF(Nutzungsprofile!$B$17:$B$22,"Schulbetrieb",Nutzungsprofile!$G$17:$G$22)*Kalender!C370/SUM(Kalender!$C$5:$C$370),0)+IFERROR(SUMIF(Nutzungsprofile!$B$17:$B$22,"Halle",Nutzungsprofile!$G$17:$G$22)*Kalender!D370/SUM(Kalender!$D$5:$D$370),0)+IFERROR(SUMIF(Nutzungsprofile!$B$17:$B$22,"Individuell",Nutzungsprofile!$G$17:$G$22)*Kalender!E370/SUM(Kalender!$E$5:$E$370),0)),0)</f>
        <v>0</v>
      </c>
      <c r="F370" s="13" t="n">
        <f aca="false">IFERROR(MIN(D370,Eingaben!$B$17)*Eingaben!$B$16,0)</f>
        <v>0</v>
      </c>
      <c r="G370" s="13" t="n">
        <f aca="false">IFERROR(F370*Eingaben!$B$15,0)</f>
        <v>0</v>
      </c>
      <c r="H370" s="13" t="n">
        <f aca="false">IFERROR(Q370*(1-Eingaben!$B$20),0)</f>
        <v>0</v>
      </c>
      <c r="I370" s="13" t="n">
        <f aca="false">MIN(H370,E370)</f>
        <v>0</v>
      </c>
      <c r="J370" s="13" t="n">
        <f aca="false">IFERROR(MIN(G370*Eingaben!$B$19,MAX(0,E370-I370)),0)</f>
        <v>0</v>
      </c>
      <c r="K370" s="13" t="n">
        <f aca="false">IFERROR(MIN(Eingaben!$B$18,MAX(0,G370-J370)),0)</f>
        <v>0</v>
      </c>
      <c r="L370" s="13" t="n">
        <f aca="false">I370+J370</f>
        <v>0</v>
      </c>
      <c r="M370" s="13" t="n">
        <f aca="false">MAX(0,E370-L370)</f>
        <v>0</v>
      </c>
      <c r="N370" s="13" t="n">
        <f aca="false">MAX(0,G370-J370-K370)</f>
        <v>0</v>
      </c>
      <c r="O370" s="13" t="n">
        <f aca="false">Q370-I370</f>
        <v>0</v>
      </c>
      <c r="P370" s="13" t="n">
        <f aca="false">G370+Q370-L370-N370-O370-K370</f>
        <v>0</v>
      </c>
      <c r="Q370" s="13" t="n">
        <f aca="false">IF(A370="",0,K369)</f>
        <v>0</v>
      </c>
    </row>
  </sheetData>
  <sheetProtection sheet="true" objects="true" sort="false" autoFilter="false"/>
  <autoFilter ref="A4:Q370"/>
  <mergeCells count="2">
    <mergeCell ref="A1:Q1"/>
    <mergeCell ref="A3:Q3"/>
  </mergeCells>
  <hyperlinks>
    <hyperlink ref="A2" r:id="rId1" location="'Dashboard'!A1" display="Dashboard"/>
    <hyperlink ref="B2" r:id="rId2" location="'Eingaben'!A1" display="Eingaben"/>
    <hyperlink ref="C2" r:id="rId3" location="'Nutzungsprofile'!A1" display="Profile"/>
    <hyperlink ref="D2" r:id="rId4" location="'Kalender'!A1" display="Kalender"/>
    <hyperlink ref="E2" r:id="rId5" location="'Anleitung'!A1" display="Methodik"/>
  </hyperlinks>
  <printOptions headings="false" gridLines="false" gridLinesSet="true" horizontalCentered="true" verticalCentered="false"/>
  <pageMargins left="0.25" right="0.2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Grauwasserbewertung | wissenschaftlicher Prototyp | &amp;P / &amp;N</oddFooter>
  </headerFooter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7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3" min="1" style="0" width="16"/>
  </cols>
  <sheetData>
    <row r="1" customFormat="false" ht="37.5" hidden="false" customHeight="true" outlineLevel="0" collapsed="false">
      <c r="A1" s="1" t="s">
        <v>221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3.75" hidden="false" customHeight="true" outlineLevel="0" collapsed="false">
      <c r="A3" s="3" t="s">
        <v>222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6" customFormat="false" ht="31.5" hidden="false" customHeight="true" outlineLevel="0" collapsed="false">
      <c r="A6" s="11" t="s">
        <v>31</v>
      </c>
      <c r="B6" s="11" t="s">
        <v>223</v>
      </c>
      <c r="C6" s="11" t="s">
        <v>224</v>
      </c>
      <c r="D6" s="11" t="s">
        <v>225</v>
      </c>
      <c r="E6" s="11" t="s">
        <v>226</v>
      </c>
      <c r="F6" s="11" t="s">
        <v>227</v>
      </c>
      <c r="G6" s="11" t="s">
        <v>32</v>
      </c>
      <c r="H6" s="11" t="s">
        <v>228</v>
      </c>
      <c r="I6" s="11" t="s">
        <v>229</v>
      </c>
      <c r="J6" s="11" t="s">
        <v>33</v>
      </c>
      <c r="K6" s="11" t="s">
        <v>230</v>
      </c>
      <c r="L6" s="11" t="s">
        <v>231</v>
      </c>
      <c r="M6" s="11" t="s">
        <v>232</v>
      </c>
    </row>
    <row r="7" customFormat="false" ht="16.4" hidden="false" customHeight="false" outlineLevel="0" collapsed="false">
      <c r="A7" s="15" t="n">
        <v>0</v>
      </c>
      <c r="B7" s="13" t="n">
        <f aca="false">0</f>
        <v>0</v>
      </c>
      <c r="C7" s="13" t="n">
        <f aca="false">0</f>
        <v>0</v>
      </c>
      <c r="D7" s="13" t="n">
        <f aca="false">0</f>
        <v>0</v>
      </c>
      <c r="E7" s="13" t="n">
        <f aca="false">Berechnung!$B$14</f>
        <v>25000</v>
      </c>
      <c r="F7" s="13" t="n">
        <f aca="false">0</f>
        <v>0</v>
      </c>
      <c r="G7" s="13" t="n">
        <f aca="false">-E7</f>
        <v>-25000</v>
      </c>
      <c r="H7" s="13" t="n">
        <f aca="false">1</f>
        <v>1</v>
      </c>
      <c r="I7" s="13" t="n">
        <f aca="false">G7</f>
        <v>-25000</v>
      </c>
      <c r="J7" s="13" t="n">
        <f aca="false">I7</f>
        <v>-25000</v>
      </c>
      <c r="K7" s="13" t="n">
        <f aca="false">E7</f>
        <v>25000</v>
      </c>
      <c r="L7" s="13" t="n">
        <f aca="false">0</f>
        <v>0</v>
      </c>
      <c r="M7" s="13" t="str">
        <f aca="false">""</f>
        <v/>
      </c>
    </row>
    <row r="8" customFormat="false" ht="16.4" hidden="false" customHeight="false" outlineLevel="0" collapsed="false">
      <c r="A8" s="15" t="n">
        <v>1</v>
      </c>
      <c r="B8" s="13" t="n">
        <f aca="false">IF(AND(A8&lt;=Eingaben!$B$11,Prüfungen!$B$4=0),Berechnung!$B$10,0)</f>
        <v>555.3897572</v>
      </c>
      <c r="C8" s="13" t="n">
        <f aca="false">IFERROR(IF(AND(A8&lt;=Eingaben!$B$11,Prüfungen!$B$4=0),B8*(Eingaben!$B$36*(1+Eingaben!$B$40)^(A8-1)+Eingaben!$B$37*Eingaben!$B$38*(1+Eingaben!$B$46)^(A8-1)),0),0)</f>
        <v>1388.474393</v>
      </c>
      <c r="D8" s="13" t="n">
        <f aca="false">IFERROR(IF(AND(A8&lt;=Eingaben!$B$11,Prüfungen!$B$4=0),(Eingaben!$B$32+Eingaben!$B$35)*(1+Eingaben!$B$41)^(A8-1)+Berechnung!$B$15*Eingaben!$B$34*(1+Eingaben!$B$42)^(A8-1),0),0)</f>
        <v>781.527</v>
      </c>
      <c r="E8" s="13" t="n">
        <f aca="false">IFERROR(IF(AND(AND(A8&lt;=Eingaben!$B$11,Prüfungen!$B$4=0),A8=Eingaben!$B$43),Eingaben!$B$44*(1+Eingaben!$B$41)^(A8-1),0),0)</f>
        <v>0</v>
      </c>
      <c r="F8" s="13" t="n">
        <f aca="false">IFERROR(IF(AND(AND(A8&lt;=Eingaben!$B$11,Prüfungen!$B$4=0),A8=Eingaben!$B$11),Eingaben!$B$45,0),0)</f>
        <v>0</v>
      </c>
      <c r="G8" s="13" t="n">
        <f aca="false">C8-D8-E8+F8</f>
        <v>606.947393</v>
      </c>
      <c r="H8" s="13" t="n">
        <f aca="false">IFERROR(IF(AND(A8&lt;=Eingaben!$B$11,Prüfungen!$B$4=0),1/(1+Eingaben!$B$39)^A8,0),0)</f>
        <v>0.970873786407767</v>
      </c>
      <c r="I8" s="13" t="n">
        <f aca="false">G8*H8</f>
        <v>589.269313592233</v>
      </c>
      <c r="J8" s="13" t="n">
        <f aca="false">J7+I8</f>
        <v>-24410.7306864078</v>
      </c>
      <c r="K8" s="13" t="n">
        <f aca="false">(D8+E8-F8)*H8</f>
        <v>758.764077669903</v>
      </c>
      <c r="L8" s="13" t="n">
        <f aca="false">B8*H8</f>
        <v>539.213356504854</v>
      </c>
      <c r="M8" s="13" t="str">
        <f aca="false">IF(AND(AND(A8&lt;=Eingaben!$B$11,Prüfungen!$B$4=0),Berechnung!$B$14&gt;0,J7&lt;0,J8&gt;=0,I8&gt;0),A8-1-J7/I8,"")</f>
        <v/>
      </c>
    </row>
    <row r="9" customFormat="false" ht="16.4" hidden="false" customHeight="false" outlineLevel="0" collapsed="false">
      <c r="A9" s="15" t="n">
        <v>2</v>
      </c>
      <c r="B9" s="13" t="n">
        <f aca="false">IF(AND(A9&lt;=Eingaben!$B$11,Prüfungen!$B$4=0),Berechnung!$B$10,0)</f>
        <v>555.3897572</v>
      </c>
      <c r="C9" s="13" t="n">
        <f aca="false">IFERROR(IF(AND(A9&lt;=Eingaben!$B$11,Prüfungen!$B$4=0),B9*(Eingaben!$B$36*(1+Eingaben!$B$40)^(A9-1)+Eingaben!$B$37*Eingaben!$B$38*(1+Eingaben!$B$46)^(A9-1)),0),0)</f>
        <v>1416.24388086</v>
      </c>
      <c r="D9" s="13" t="n">
        <f aca="false">IFERROR(IF(AND(A9&lt;=Eingaben!$B$11,Prüfungen!$B$4=0),(Eingaben!$B$32+Eingaben!$B$35)*(1+Eingaben!$B$41)^(A9-1)+Berechnung!$B$15*Eingaben!$B$34*(1+Eingaben!$B$42)^(A9-1),0),0)</f>
        <v>797.15754</v>
      </c>
      <c r="E9" s="13" t="n">
        <f aca="false">IFERROR(IF(AND(AND(A9&lt;=Eingaben!$B$11,Prüfungen!$B$4=0),A9=Eingaben!$B$43),Eingaben!$B$44*(1+Eingaben!$B$41)^(A9-1),0),0)</f>
        <v>0</v>
      </c>
      <c r="F9" s="13" t="n">
        <f aca="false">IFERROR(IF(AND(AND(A9&lt;=Eingaben!$B$11,Prüfungen!$B$4=0),A9=Eingaben!$B$11),Eingaben!$B$45,0),0)</f>
        <v>0</v>
      </c>
      <c r="G9" s="13" t="n">
        <f aca="false">C9-D9-E9+F9</f>
        <v>619.08634086</v>
      </c>
      <c r="H9" s="13" t="n">
        <f aca="false">IFERROR(IF(AND(A9&lt;=Eingaben!$B$11,Prüfungen!$B$4=0),1/(1+Eingaben!$B$39)^A9,0),0)</f>
        <v>0.942595909133754</v>
      </c>
      <c r="I9" s="13" t="n">
        <f aca="false">G9*H9</f>
        <v>583.548252295221</v>
      </c>
      <c r="J9" s="13" t="n">
        <f aca="false">J8+I9</f>
        <v>-23827.1824341125</v>
      </c>
      <c r="K9" s="13" t="n">
        <f aca="false">(D9+E9-F9)*H9</f>
        <v>751.397436139127</v>
      </c>
      <c r="L9" s="13" t="n">
        <f aca="false">B9*H9</f>
        <v>523.508113111509</v>
      </c>
      <c r="M9" s="13" t="str">
        <f aca="false">IF(AND(AND(A9&lt;=Eingaben!$B$11,Prüfungen!$B$4=0),Berechnung!$B$14&gt;0,J8&lt;0,J9&gt;=0,I9&gt;0),A9-1-J8/I9,"")</f>
        <v/>
      </c>
    </row>
    <row r="10" customFormat="false" ht="16.4" hidden="false" customHeight="false" outlineLevel="0" collapsed="false">
      <c r="A10" s="15" t="n">
        <v>3</v>
      </c>
      <c r="B10" s="13" t="n">
        <f aca="false">IF(AND(A10&lt;=Eingaben!$B$11,Prüfungen!$B$4=0),Berechnung!$B$10,0)</f>
        <v>555.3897572</v>
      </c>
      <c r="C10" s="13" t="n">
        <f aca="false">IFERROR(IF(AND(A10&lt;=Eingaben!$B$11,Prüfungen!$B$4=0),B10*(Eingaben!$B$36*(1+Eingaben!$B$40)^(A10-1)+Eingaben!$B$37*Eingaben!$B$38*(1+Eingaben!$B$46)^(A10-1)),0),0)</f>
        <v>1444.5687584772</v>
      </c>
      <c r="D10" s="13" t="n">
        <f aca="false">IFERROR(IF(AND(A10&lt;=Eingaben!$B$11,Prüfungen!$B$4=0),(Eingaben!$B$32+Eingaben!$B$35)*(1+Eingaben!$B$41)^(A10-1)+Berechnung!$B$15*Eingaben!$B$34*(1+Eingaben!$B$42)^(A10-1),0),0)</f>
        <v>813.1006908</v>
      </c>
      <c r="E10" s="13" t="n">
        <f aca="false">IFERROR(IF(AND(AND(A10&lt;=Eingaben!$B$11,Prüfungen!$B$4=0),A10=Eingaben!$B$43),Eingaben!$B$44*(1+Eingaben!$B$41)^(A10-1),0),0)</f>
        <v>0</v>
      </c>
      <c r="F10" s="13" t="n">
        <f aca="false">IFERROR(IF(AND(AND(A10&lt;=Eingaben!$B$11,Prüfungen!$B$4=0),A10=Eingaben!$B$11),Eingaben!$B$45,0),0)</f>
        <v>0</v>
      </c>
      <c r="G10" s="13" t="n">
        <f aca="false">C10-D10-E10+F10</f>
        <v>631.4680676772</v>
      </c>
      <c r="H10" s="13" t="n">
        <f aca="false">IFERROR(IF(AND(A10&lt;=Eingaben!$B$11,Prüfungen!$B$4=0),1/(1+Eingaben!$B$39)^A10,0),0)</f>
        <v>0.91514165935316</v>
      </c>
      <c r="I10" s="13" t="n">
        <f aca="false">G10*H10</f>
        <v>577.882735282646</v>
      </c>
      <c r="J10" s="13" t="n">
        <f aca="false">J9+I10</f>
        <v>-23249.2996988299</v>
      </c>
      <c r="K10" s="13" t="n">
        <f aca="false">(D10+E10-F10)*H10</f>
        <v>744.102315399912</v>
      </c>
      <c r="L10" s="13" t="n">
        <f aca="false">B10*H10</f>
        <v>508.260303991756</v>
      </c>
      <c r="M10" s="13" t="str">
        <f aca="false">IF(AND(AND(A10&lt;=Eingaben!$B$11,Prüfungen!$B$4=0),Berechnung!$B$14&gt;0,J9&lt;0,J10&gt;=0,I10&gt;0),A10-1-J9/I10,"")</f>
        <v/>
      </c>
    </row>
    <row r="11" customFormat="false" ht="16.4" hidden="false" customHeight="false" outlineLevel="0" collapsed="false">
      <c r="A11" s="15" t="n">
        <v>4</v>
      </c>
      <c r="B11" s="13" t="n">
        <f aca="false">IF(AND(A11&lt;=Eingaben!$B$11,Prüfungen!$B$4=0),Berechnung!$B$10,0)</f>
        <v>555.3897572</v>
      </c>
      <c r="C11" s="13" t="n">
        <f aca="false">IFERROR(IF(AND(A11&lt;=Eingaben!$B$11,Prüfungen!$B$4=0),B11*(Eingaben!$B$36*(1+Eingaben!$B$40)^(A11-1)+Eingaben!$B$37*Eingaben!$B$38*(1+Eingaben!$B$46)^(A11-1)),0),0)</f>
        <v>1473.46013364674</v>
      </c>
      <c r="D11" s="13" t="n">
        <f aca="false">IFERROR(IF(AND(A11&lt;=Eingaben!$B$11,Prüfungen!$B$4=0),(Eingaben!$B$32+Eingaben!$B$35)*(1+Eingaben!$B$41)^(A11-1)+Berechnung!$B$15*Eingaben!$B$34*(1+Eingaben!$B$42)^(A11-1),0),0)</f>
        <v>829.362704616</v>
      </c>
      <c r="E11" s="13" t="n">
        <f aca="false">IFERROR(IF(AND(AND(A11&lt;=Eingaben!$B$11,Prüfungen!$B$4=0),A11=Eingaben!$B$43),Eingaben!$B$44*(1+Eingaben!$B$41)^(A11-1),0),0)</f>
        <v>0</v>
      </c>
      <c r="F11" s="13" t="n">
        <f aca="false">IFERROR(IF(AND(AND(A11&lt;=Eingaben!$B$11,Prüfungen!$B$4=0),A11=Eingaben!$B$11),Eingaben!$B$45,0),0)</f>
        <v>0</v>
      </c>
      <c r="G11" s="13" t="n">
        <f aca="false">C11-D11-E11+F11</f>
        <v>644.097429030744</v>
      </c>
      <c r="H11" s="13" t="n">
        <f aca="false">IFERROR(IF(AND(A11&lt;=Eingaben!$B$11,Prüfungen!$B$4=0),1/(1+Eingaben!$B$39)^A11,0),0)</f>
        <v>0.888487047915689</v>
      </c>
      <c r="I11" s="13" t="n">
        <f aca="false">G11*H11</f>
        <v>572.272223289611</v>
      </c>
      <c r="J11" s="13" t="n">
        <f aca="false">J10+I11</f>
        <v>-22677.0274755403</v>
      </c>
      <c r="K11" s="13" t="n">
        <f aca="false">(D11+E11-F11)*H11</f>
        <v>736.878021075641</v>
      </c>
      <c r="L11" s="13" t="n">
        <f aca="false">B11*H11</f>
        <v>493.456605817239</v>
      </c>
      <c r="M11" s="13" t="str">
        <f aca="false">IF(AND(AND(A11&lt;=Eingaben!$B$11,Prüfungen!$B$4=0),Berechnung!$B$14&gt;0,J10&lt;0,J11&gt;=0,I11&gt;0),A11-1-J10/I11,"")</f>
        <v/>
      </c>
    </row>
    <row r="12" customFormat="false" ht="16.4" hidden="false" customHeight="false" outlineLevel="0" collapsed="false">
      <c r="A12" s="15" t="n">
        <v>5</v>
      </c>
      <c r="B12" s="13" t="n">
        <f aca="false">IF(AND(A12&lt;=Eingaben!$B$11,Prüfungen!$B$4=0),Berechnung!$B$10,0)</f>
        <v>555.3897572</v>
      </c>
      <c r="C12" s="13" t="n">
        <f aca="false">IFERROR(IF(AND(A12&lt;=Eingaben!$B$11,Prüfungen!$B$4=0),B12*(Eingaben!$B$36*(1+Eingaben!$B$40)^(A12-1)+Eingaben!$B$37*Eingaben!$B$38*(1+Eingaben!$B$46)^(A12-1)),0),0)</f>
        <v>1502.92933631968</v>
      </c>
      <c r="D12" s="13" t="n">
        <f aca="false">IFERROR(IF(AND(A12&lt;=Eingaben!$B$11,Prüfungen!$B$4=0),(Eingaben!$B$32+Eingaben!$B$35)*(1+Eingaben!$B$41)^(A12-1)+Berechnung!$B$15*Eingaben!$B$34*(1+Eingaben!$B$42)^(A12-1),0),0)</f>
        <v>845.94995870832</v>
      </c>
      <c r="E12" s="13" t="n">
        <f aca="false">IFERROR(IF(AND(AND(A12&lt;=Eingaben!$B$11,Prüfungen!$B$4=0),A12=Eingaben!$B$43),Eingaben!$B$44*(1+Eingaben!$B$41)^(A12-1),0),0)</f>
        <v>0</v>
      </c>
      <c r="F12" s="13" t="n">
        <f aca="false">IFERROR(IF(AND(AND(A12&lt;=Eingaben!$B$11,Prüfungen!$B$4=0),A12=Eingaben!$B$11),Eingaben!$B$45,0),0)</f>
        <v>0</v>
      </c>
      <c r="G12" s="13" t="n">
        <f aca="false">C12-D12-E12+F12</f>
        <v>656.979377611359</v>
      </c>
      <c r="H12" s="13" t="n">
        <f aca="false">IFERROR(IF(AND(A12&lt;=Eingaben!$B$11,Prüfungen!$B$4=0),1/(1+Eingaben!$B$39)^A12,0),0)</f>
        <v>0.862608784384164</v>
      </c>
      <c r="I12" s="13" t="n">
        <f aca="false">G12*H12</f>
        <v>566.716182286799</v>
      </c>
      <c r="J12" s="13" t="n">
        <f aca="false">J11+I12</f>
        <v>-22110.3112932535</v>
      </c>
      <c r="K12" s="13" t="n">
        <f aca="false">(D12+E12-F12)*H12</f>
        <v>729.723865531218</v>
      </c>
      <c r="L12" s="13" t="n">
        <f aca="false">B12*H12</f>
        <v>479.084083317708</v>
      </c>
      <c r="M12" s="13" t="str">
        <f aca="false">IF(AND(AND(A12&lt;=Eingaben!$B$11,Prüfungen!$B$4=0),Berechnung!$B$14&gt;0,J11&lt;0,J12&gt;=0,I12&gt;0),A12-1-J11/I12,"")</f>
        <v/>
      </c>
    </row>
    <row r="13" customFormat="false" ht="16.4" hidden="false" customHeight="false" outlineLevel="0" collapsed="false">
      <c r="A13" s="15" t="n">
        <v>6</v>
      </c>
      <c r="B13" s="13" t="n">
        <f aca="false">IF(AND(A13&lt;=Eingaben!$B$11,Prüfungen!$B$4=0),Berechnung!$B$10,0)</f>
        <v>555.3897572</v>
      </c>
      <c r="C13" s="13" t="n">
        <f aca="false">IFERROR(IF(AND(A13&lt;=Eingaben!$B$11,Prüfungen!$B$4=0),B13*(Eingaben!$B$36*(1+Eingaben!$B$40)^(A13-1)+Eingaben!$B$37*Eingaben!$B$38*(1+Eingaben!$B$46)^(A13-1)),0),0)</f>
        <v>1532.98792304607</v>
      </c>
      <c r="D13" s="13" t="n">
        <f aca="false">IFERROR(IF(AND(A13&lt;=Eingaben!$B$11,Prüfungen!$B$4=0),(Eingaben!$B$32+Eingaben!$B$35)*(1+Eingaben!$B$41)^(A13-1)+Berechnung!$B$15*Eingaben!$B$34*(1+Eingaben!$B$42)^(A13-1),0),0)</f>
        <v>862.868957882486</v>
      </c>
      <c r="E13" s="13" t="n">
        <f aca="false">IFERROR(IF(AND(AND(A13&lt;=Eingaben!$B$11,Prüfungen!$B$4=0),A13=Eingaben!$B$43),Eingaben!$B$44*(1+Eingaben!$B$41)^(A13-1),0),0)</f>
        <v>0</v>
      </c>
      <c r="F13" s="13" t="n">
        <f aca="false">IFERROR(IF(AND(AND(A13&lt;=Eingaben!$B$11,Prüfungen!$B$4=0),A13=Eingaben!$B$11),Eingaben!$B$45,0),0)</f>
        <v>0</v>
      </c>
      <c r="G13" s="13" t="n">
        <f aca="false">C13-D13-E13+F13</f>
        <v>670.118965163586</v>
      </c>
      <c r="H13" s="13" t="n">
        <f aca="false">IFERROR(IF(AND(A13&lt;=Eingaben!$B$11,Prüfungen!$B$4=0),1/(1+Eingaben!$B$39)^A13,0),0)</f>
        <v>0.837484256683654</v>
      </c>
      <c r="I13" s="13" t="n">
        <f aca="false">G13*H13</f>
        <v>561.214083429646</v>
      </c>
      <c r="J13" s="13" t="n">
        <f aca="false">J12+I13</f>
        <v>-21549.0972098238</v>
      </c>
      <c r="K13" s="13" t="n">
        <f aca="false">(D13+E13-F13)*H13</f>
        <v>722.639167807614</v>
      </c>
      <c r="L13" s="13" t="n">
        <f aca="false">B13*H13</f>
        <v>465.130177978357</v>
      </c>
      <c r="M13" s="13" t="str">
        <f aca="false">IF(AND(AND(A13&lt;=Eingaben!$B$11,Prüfungen!$B$4=0),Berechnung!$B$14&gt;0,J12&lt;0,J13&gt;=0,I13&gt;0),A13-1-J12/I13,"")</f>
        <v/>
      </c>
    </row>
    <row r="14" customFormat="false" ht="16.4" hidden="false" customHeight="false" outlineLevel="0" collapsed="false">
      <c r="A14" s="15" t="n">
        <v>7</v>
      </c>
      <c r="B14" s="13" t="n">
        <f aca="false">IF(AND(A14&lt;=Eingaben!$B$11,Prüfungen!$B$4=0),Berechnung!$B$10,0)</f>
        <v>555.3897572</v>
      </c>
      <c r="C14" s="13" t="n">
        <f aca="false">IFERROR(IF(AND(A14&lt;=Eingaben!$B$11,Prüfungen!$B$4=0),B14*(Eingaben!$B$36*(1+Eingaben!$B$40)^(A14-1)+Eingaben!$B$37*Eingaben!$B$38*(1+Eingaben!$B$46)^(A14-1)),0),0)</f>
        <v>1563.64768150699</v>
      </c>
      <c r="D14" s="13" t="n">
        <f aca="false">IFERROR(IF(AND(A14&lt;=Eingaben!$B$11,Prüfungen!$B$4=0),(Eingaben!$B$32+Eingaben!$B$35)*(1+Eingaben!$B$41)^(A14-1)+Berechnung!$B$15*Eingaben!$B$34*(1+Eingaben!$B$42)^(A14-1),0),0)</f>
        <v>880.126337040136</v>
      </c>
      <c r="E14" s="13" t="n">
        <f aca="false">IFERROR(IF(AND(AND(A14&lt;=Eingaben!$B$11,Prüfungen!$B$4=0),A14=Eingaben!$B$43),Eingaben!$B$44*(1+Eingaben!$B$41)^(A14-1),0),0)</f>
        <v>0</v>
      </c>
      <c r="F14" s="13" t="n">
        <f aca="false">IFERROR(IF(AND(AND(A14&lt;=Eingaben!$B$11,Prüfungen!$B$4=0),A14=Eingaben!$B$11),Eingaben!$B$45,0),0)</f>
        <v>0</v>
      </c>
      <c r="G14" s="13" t="n">
        <f aca="false">C14-D14-E14+F14</f>
        <v>683.521344466858</v>
      </c>
      <c r="H14" s="13" t="n">
        <f aca="false">IFERROR(IF(AND(A14&lt;=Eingaben!$B$11,Prüfungen!$B$4=0),1/(1+Eingaben!$B$39)^A14,0),0)</f>
        <v>0.813091511343354</v>
      </c>
      <c r="I14" s="13" t="n">
        <f aca="false">G14*H14</f>
        <v>555.765403007998</v>
      </c>
      <c r="J14" s="13" t="n">
        <f aca="false">J13+I14</f>
        <v>-20993.3318068158</v>
      </c>
      <c r="K14" s="13" t="n">
        <f aca="false">(D14+E14-F14)*H14</f>
        <v>715.623253557054</v>
      </c>
      <c r="L14" s="13" t="n">
        <f aca="false">B14*H14</f>
        <v>451.582697066366</v>
      </c>
      <c r="M14" s="13" t="str">
        <f aca="false">IF(AND(AND(A14&lt;=Eingaben!$B$11,Prüfungen!$B$4=0),Berechnung!$B$14&gt;0,J13&lt;0,J14&gt;=0,I14&gt;0),A14-1-J13/I14,"")</f>
        <v/>
      </c>
    </row>
    <row r="15" customFormat="false" ht="16.4" hidden="false" customHeight="false" outlineLevel="0" collapsed="false">
      <c r="A15" s="15" t="n">
        <v>8</v>
      </c>
      <c r="B15" s="13" t="n">
        <f aca="false">IF(AND(A15&lt;=Eingaben!$B$11,Prüfungen!$B$4=0),Berechnung!$B$10,0)</f>
        <v>555.3897572</v>
      </c>
      <c r="C15" s="13" t="n">
        <f aca="false">IFERROR(IF(AND(A15&lt;=Eingaben!$B$11,Prüfungen!$B$4=0),B15*(Eingaben!$B$36*(1+Eingaben!$B$40)^(A15-1)+Eingaben!$B$37*Eingaben!$B$38*(1+Eingaben!$B$46)^(A15-1)),0),0)</f>
        <v>1594.92063513713</v>
      </c>
      <c r="D15" s="13" t="n">
        <f aca="false">IFERROR(IF(AND(A15&lt;=Eingaben!$B$11,Prüfungen!$B$4=0),(Eingaben!$B$32+Eingaben!$B$35)*(1+Eingaben!$B$41)^(A15-1)+Berechnung!$B$15*Eingaben!$B$34*(1+Eingaben!$B$42)^(A15-1),0),0)</f>
        <v>897.728863780939</v>
      </c>
      <c r="E15" s="13" t="n">
        <f aca="false">IFERROR(IF(AND(AND(A15&lt;=Eingaben!$B$11,Prüfungen!$B$4=0),A15=Eingaben!$B$43),Eingaben!$B$44*(1+Eingaben!$B$41)^(A15-1),0),0)</f>
        <v>0</v>
      </c>
      <c r="F15" s="13" t="n">
        <f aca="false">IFERROR(IF(AND(AND(A15&lt;=Eingaben!$B$11,Prüfungen!$B$4=0),A15=Eingaben!$B$11),Eingaben!$B$45,0),0)</f>
        <v>0</v>
      </c>
      <c r="G15" s="13" t="n">
        <f aca="false">C15-D15-E15+F15</f>
        <v>697.191771356195</v>
      </c>
      <c r="H15" s="13" t="n">
        <f aca="false">IFERROR(IF(AND(A15&lt;=Eingaben!$B$11,Prüfungen!$B$4=0),1/(1+Eingaben!$B$39)^A15,0),0)</f>
        <v>0.789409234313936</v>
      </c>
      <c r="I15" s="13" t="n">
        <f aca="false">G15*H15</f>
        <v>550.36962239627</v>
      </c>
      <c r="J15" s="13" t="n">
        <f aca="false">J14+I15</f>
        <v>-20442.9621844196</v>
      </c>
      <c r="K15" s="13" t="n">
        <f aca="false">(D15+E15-F15)*H15</f>
        <v>708.67545497883</v>
      </c>
      <c r="L15" s="13" t="n">
        <f aca="false">B15*H15</f>
        <v>438.429802977055</v>
      </c>
      <c r="M15" s="13" t="str">
        <f aca="false">IF(AND(AND(A15&lt;=Eingaben!$B$11,Prüfungen!$B$4=0),Berechnung!$B$14&gt;0,J14&lt;0,J15&gt;=0,I15&gt;0),A15-1-J14/I15,"")</f>
        <v/>
      </c>
    </row>
    <row r="16" customFormat="false" ht="16.4" hidden="false" customHeight="false" outlineLevel="0" collapsed="false">
      <c r="A16" s="15" t="n">
        <v>9</v>
      </c>
      <c r="B16" s="13" t="n">
        <f aca="false">IF(AND(A16&lt;=Eingaben!$B$11,Prüfungen!$B$4=0),Berechnung!$B$10,0)</f>
        <v>555.3897572</v>
      </c>
      <c r="C16" s="13" t="n">
        <f aca="false">IFERROR(IF(AND(A16&lt;=Eingaben!$B$11,Prüfungen!$B$4=0),B16*(Eingaben!$B$36*(1+Eingaben!$B$40)^(A16-1)+Eingaben!$B$37*Eingaben!$B$38*(1+Eingaben!$B$46)^(A16-1)),0),0)</f>
        <v>1626.81904783988</v>
      </c>
      <c r="D16" s="13" t="n">
        <f aca="false">IFERROR(IF(AND(A16&lt;=Eingaben!$B$11,Prüfungen!$B$4=0),(Eingaben!$B$32+Eingaben!$B$35)*(1+Eingaben!$B$41)^(A16-1)+Berechnung!$B$15*Eingaben!$B$34*(1+Eingaben!$B$42)^(A16-1),0),0)</f>
        <v>915.683441056558</v>
      </c>
      <c r="E16" s="13" t="n">
        <f aca="false">IFERROR(IF(AND(AND(A16&lt;=Eingaben!$B$11,Prüfungen!$B$4=0),A16=Eingaben!$B$43),Eingaben!$B$44*(1+Eingaben!$B$41)^(A16-1),0),0)</f>
        <v>0</v>
      </c>
      <c r="F16" s="13" t="n">
        <f aca="false">IFERROR(IF(AND(AND(A16&lt;=Eingaben!$B$11,Prüfungen!$B$4=0),A16=Eingaben!$B$11),Eingaben!$B$45,0),0)</f>
        <v>0</v>
      </c>
      <c r="G16" s="13" t="n">
        <f aca="false">C16-D16-E16+F16</f>
        <v>711.135606783319</v>
      </c>
      <c r="H16" s="13" t="n">
        <f aca="false">IFERROR(IF(AND(A16&lt;=Eingaben!$B$11,Prüfungen!$B$4=0),1/(1+Eingaben!$B$39)^A16,0),0)</f>
        <v>0.766416732343627</v>
      </c>
      <c r="I16" s="13" t="n">
        <f aca="false">G16*H16</f>
        <v>545.026228004074</v>
      </c>
      <c r="J16" s="13" t="n">
        <f aca="false">J15+I16</f>
        <v>-19897.9359564155</v>
      </c>
      <c r="K16" s="13" t="n">
        <f aca="false">(D16+E16-F16)*H16</f>
        <v>701.795110755735</v>
      </c>
      <c r="L16" s="13" t="n">
        <f aca="false">B16*H16</f>
        <v>425.660002890344</v>
      </c>
      <c r="M16" s="13" t="str">
        <f aca="false">IF(AND(AND(A16&lt;=Eingaben!$B$11,Prüfungen!$B$4=0),Berechnung!$B$14&gt;0,J15&lt;0,J16&gt;=0,I16&gt;0),A16-1-J15/I16,"")</f>
        <v/>
      </c>
    </row>
    <row r="17" customFormat="false" ht="16.4" hidden="false" customHeight="false" outlineLevel="0" collapsed="false">
      <c r="A17" s="15" t="n">
        <v>10</v>
      </c>
      <c r="B17" s="13" t="n">
        <f aca="false">IF(AND(A17&lt;=Eingaben!$B$11,Prüfungen!$B$4=0),Berechnung!$B$10,0)</f>
        <v>555.3897572</v>
      </c>
      <c r="C17" s="13" t="n">
        <f aca="false">IFERROR(IF(AND(A17&lt;=Eingaben!$B$11,Prüfungen!$B$4=0),B17*(Eingaben!$B$36*(1+Eingaben!$B$40)^(A17-1)+Eingaben!$B$37*Eingaben!$B$38*(1+Eingaben!$B$46)^(A17-1)),0),0)</f>
        <v>1659.35542879667</v>
      </c>
      <c r="D17" s="13" t="n">
        <f aca="false">IFERROR(IF(AND(A17&lt;=Eingaben!$B$11,Prüfungen!$B$4=0),(Eingaben!$B$32+Eingaben!$B$35)*(1+Eingaben!$B$41)^(A17-1)+Berechnung!$B$15*Eingaben!$B$34*(1+Eingaben!$B$42)^(A17-1),0),0)</f>
        <v>933.997109877689</v>
      </c>
      <c r="E17" s="13" t="n">
        <f aca="false">IFERROR(IF(AND(AND(A17&lt;=Eingaben!$B$11,Prüfungen!$B$4=0),A17=Eingaben!$B$43),Eingaben!$B$44*(1+Eingaben!$B$41)^(A17-1),0),0)</f>
        <v>4780.37027448924</v>
      </c>
      <c r="F17" s="13" t="n">
        <f aca="false">IFERROR(IF(AND(AND(A17&lt;=Eingaben!$B$11,Prüfungen!$B$4=0),A17=Eingaben!$B$11),Eingaben!$B$45,0),0)</f>
        <v>0</v>
      </c>
      <c r="G17" s="13" t="n">
        <f aca="false">C17-D17-E17+F17</f>
        <v>-4055.01195557026</v>
      </c>
      <c r="H17" s="13" t="n">
        <f aca="false">IFERROR(IF(AND(A17&lt;=Eingaben!$B$11,Prüfungen!$B$4=0),1/(1+Eingaben!$B$39)^A17,0),0)</f>
        <v>0.744093914896725</v>
      </c>
      <c r="I17" s="13" t="n">
        <f aca="false">G17*H17</f>
        <v>-3017.3097209733</v>
      </c>
      <c r="J17" s="13" t="n">
        <f aca="false">J16+I17</f>
        <v>-22915.2456773888</v>
      </c>
      <c r="K17" s="13" t="n">
        <f aca="false">(D17+E17-F17)*H17</f>
        <v>4252.02599819175</v>
      </c>
      <c r="L17" s="13" t="n">
        <f aca="false">B17*H17</f>
        <v>413.26213872849</v>
      </c>
      <c r="M17" s="13" t="str">
        <f aca="false">IF(AND(AND(A17&lt;=Eingaben!$B$11,Prüfungen!$B$4=0),Berechnung!$B$14&gt;0,J16&lt;0,J17&gt;=0,I17&gt;0),A17-1-J16/I17,"")</f>
        <v/>
      </c>
    </row>
    <row r="18" customFormat="false" ht="16.4" hidden="false" customHeight="false" outlineLevel="0" collapsed="false">
      <c r="A18" s="15" t="n">
        <v>11</v>
      </c>
      <c r="B18" s="13" t="n">
        <f aca="false">IF(AND(A18&lt;=Eingaben!$B$11,Prüfungen!$B$4=0),Berechnung!$B$10,0)</f>
        <v>555.3897572</v>
      </c>
      <c r="C18" s="13" t="n">
        <f aca="false">IFERROR(IF(AND(A18&lt;=Eingaben!$B$11,Prüfungen!$B$4=0),B18*(Eingaben!$B$36*(1+Eingaben!$B$40)^(A18-1)+Eingaben!$B$37*Eingaben!$B$38*(1+Eingaben!$B$46)^(A18-1)),0),0)</f>
        <v>1692.54253737261</v>
      </c>
      <c r="D18" s="13" t="n">
        <f aca="false">IFERROR(IF(AND(A18&lt;=Eingaben!$B$11,Prüfungen!$B$4=0),(Eingaben!$B$32+Eingaben!$B$35)*(1+Eingaben!$B$41)^(A18-1)+Berechnung!$B$15*Eingaben!$B$34*(1+Eingaben!$B$42)^(A18-1),0),0)</f>
        <v>952.677052075243</v>
      </c>
      <c r="E18" s="13" t="n">
        <f aca="false">IFERROR(IF(AND(AND(A18&lt;=Eingaben!$B$11,Prüfungen!$B$4=0),A18=Eingaben!$B$43),Eingaben!$B$44*(1+Eingaben!$B$41)^(A18-1),0),0)</f>
        <v>0</v>
      </c>
      <c r="F18" s="13" t="n">
        <f aca="false">IFERROR(IF(AND(AND(A18&lt;=Eingaben!$B$11,Prüfungen!$B$4=0),A18=Eingaben!$B$11),Eingaben!$B$45,0),0)</f>
        <v>0</v>
      </c>
      <c r="G18" s="13" t="n">
        <f aca="false">C18-D18-E18+F18</f>
        <v>739.865485297365</v>
      </c>
      <c r="H18" s="13" t="n">
        <f aca="false">IFERROR(IF(AND(A18&lt;=Eingaben!$B$11,Prüfungen!$B$4=0),1/(1+Eingaben!$B$39)^A18,0),0)</f>
        <v>0.722421276598762</v>
      </c>
      <c r="I18" s="13" t="n">
        <f aca="false">G18*H18</f>
        <v>534.494568399885</v>
      </c>
      <c r="J18" s="13" t="n">
        <f aca="false">J17+I18</f>
        <v>-22380.7511089889</v>
      </c>
      <c r="K18" s="13" t="n">
        <f aca="false">(D18+E18-F18)*H18</f>
        <v>688.234172146542</v>
      </c>
      <c r="L18" s="13" t="n">
        <f aca="false">B18*H18</f>
        <v>401.225377406301</v>
      </c>
      <c r="M18" s="13" t="str">
        <f aca="false">IF(AND(AND(A18&lt;=Eingaben!$B$11,Prüfungen!$B$4=0),Berechnung!$B$14&gt;0,J17&lt;0,J18&gt;=0,I18&gt;0),A18-1-J17/I18,"")</f>
        <v/>
      </c>
    </row>
    <row r="19" customFormat="false" ht="16.4" hidden="false" customHeight="false" outlineLevel="0" collapsed="false">
      <c r="A19" s="15" t="n">
        <v>12</v>
      </c>
      <c r="B19" s="13" t="n">
        <f aca="false">IF(AND(A19&lt;=Eingaben!$B$11,Prüfungen!$B$4=0),Berechnung!$B$10,0)</f>
        <v>555.3897572</v>
      </c>
      <c r="C19" s="13" t="n">
        <f aca="false">IFERROR(IF(AND(A19&lt;=Eingaben!$B$11,Prüfungen!$B$4=0),B19*(Eingaben!$B$36*(1+Eingaben!$B$40)^(A19-1)+Eingaben!$B$37*Eingaben!$B$38*(1+Eingaben!$B$46)^(A19-1)),0),0)</f>
        <v>1726.39338812006</v>
      </c>
      <c r="D19" s="13" t="n">
        <f aca="false">IFERROR(IF(AND(A19&lt;=Eingaben!$B$11,Prüfungen!$B$4=0),(Eingaben!$B$32+Eingaben!$B$35)*(1+Eingaben!$B$41)^(A19-1)+Berechnung!$B$15*Eingaben!$B$34*(1+Eingaben!$B$42)^(A19-1),0),0)</f>
        <v>971.730593116748</v>
      </c>
      <c r="E19" s="13" t="n">
        <f aca="false">IFERROR(IF(AND(AND(A19&lt;=Eingaben!$B$11,Prüfungen!$B$4=0),A19=Eingaben!$B$43),Eingaben!$B$44*(1+Eingaben!$B$41)^(A19-1),0),0)</f>
        <v>0</v>
      </c>
      <c r="F19" s="13" t="n">
        <f aca="false">IFERROR(IF(AND(AND(A19&lt;=Eingaben!$B$11,Prüfungen!$B$4=0),A19=Eingaben!$B$11),Eingaben!$B$45,0),0)</f>
        <v>0</v>
      </c>
      <c r="G19" s="13" t="n">
        <f aca="false">C19-D19-E19+F19</f>
        <v>754.662795003312</v>
      </c>
      <c r="H19" s="13" t="n">
        <f aca="false">IFERROR(IF(AND(A19&lt;=Eingaben!$B$11,Prüfungen!$B$4=0),1/(1+Eingaben!$B$39)^A19,0),0)</f>
        <v>0.701379880192973</v>
      </c>
      <c r="I19" s="13" t="n">
        <f aca="false">G19*H19</f>
        <v>529.305300745517</v>
      </c>
      <c r="J19" s="13" t="n">
        <f aca="false">J18+I19</f>
        <v>-21851.4458082434</v>
      </c>
      <c r="K19" s="13" t="n">
        <f aca="false">(D19+E19-F19)*H19</f>
        <v>681.552286980071</v>
      </c>
      <c r="L19" s="13" t="n">
        <f aca="false">B19*H19</f>
        <v>389.53920136534</v>
      </c>
      <c r="M19" s="13" t="str">
        <f aca="false">IF(AND(AND(A19&lt;=Eingaben!$B$11,Prüfungen!$B$4=0),Berechnung!$B$14&gt;0,J18&lt;0,J19&gt;=0,I19&gt;0),A19-1-J18/I19,"")</f>
        <v/>
      </c>
    </row>
    <row r="20" customFormat="false" ht="16.4" hidden="false" customHeight="false" outlineLevel="0" collapsed="false">
      <c r="A20" s="15" t="n">
        <v>13</v>
      </c>
      <c r="B20" s="13" t="n">
        <f aca="false">IF(AND(A20&lt;=Eingaben!$B$11,Prüfungen!$B$4=0),Berechnung!$B$10,0)</f>
        <v>555.3897572</v>
      </c>
      <c r="C20" s="13" t="n">
        <f aca="false">IFERROR(IF(AND(A20&lt;=Eingaben!$B$11,Prüfungen!$B$4=0),B20*(Eingaben!$B$36*(1+Eingaben!$B$40)^(A20-1)+Eingaben!$B$37*Eingaben!$B$38*(1+Eingaben!$B$46)^(A20-1)),0),0)</f>
        <v>1760.92125588246</v>
      </c>
      <c r="D20" s="13" t="n">
        <f aca="false">IFERROR(IF(AND(A20&lt;=Eingaben!$B$11,Prüfungen!$B$4=0),(Eingaben!$B$32+Eingaben!$B$35)*(1+Eingaben!$B$41)^(A20-1)+Berechnung!$B$15*Eingaben!$B$34*(1+Eingaben!$B$42)^(A20-1),0),0)</f>
        <v>991.165204979082</v>
      </c>
      <c r="E20" s="13" t="n">
        <f aca="false">IFERROR(IF(AND(AND(A20&lt;=Eingaben!$B$11,Prüfungen!$B$4=0),A20=Eingaben!$B$43),Eingaben!$B$44*(1+Eingaben!$B$41)^(A20-1),0),0)</f>
        <v>0</v>
      </c>
      <c r="F20" s="13" t="n">
        <f aca="false">IFERROR(IF(AND(AND(A20&lt;=Eingaben!$B$11,Prüfungen!$B$4=0),A20=Eingaben!$B$11),Eingaben!$B$45,0),0)</f>
        <v>0</v>
      </c>
      <c r="G20" s="13" t="n">
        <f aca="false">C20-D20-E20+F20</f>
        <v>769.756050903378</v>
      </c>
      <c r="H20" s="13" t="n">
        <f aca="false">IFERROR(IF(AND(A20&lt;=Eingaben!$B$11,Prüfungen!$B$4=0),1/(1+Eingaben!$B$39)^A20,0),0)</f>
        <v>0.680951339993178</v>
      </c>
      <c r="I20" s="13" t="n">
        <f aca="false">G20*H20</f>
        <v>524.166414330512</v>
      </c>
      <c r="J20" s="13" t="n">
        <f aca="false">J19+I20</f>
        <v>-21327.2793939129</v>
      </c>
      <c r="K20" s="13" t="n">
        <f aca="false">(D20+E20-F20)*H20</f>
        <v>674.935274485119</v>
      </c>
      <c r="L20" s="13" t="n">
        <f aca="false">B20*H20</f>
        <v>378.193399383825</v>
      </c>
      <c r="M20" s="13" t="str">
        <f aca="false">IF(AND(AND(A20&lt;=Eingaben!$B$11,Prüfungen!$B$4=0),Berechnung!$B$14&gt;0,J19&lt;0,J20&gt;=0,I20&gt;0),A20-1-J19/I20,"")</f>
        <v/>
      </c>
    </row>
    <row r="21" customFormat="false" ht="16.4" hidden="false" customHeight="false" outlineLevel="0" collapsed="false">
      <c r="A21" s="15" t="n">
        <v>14</v>
      </c>
      <c r="B21" s="13" t="n">
        <f aca="false">IF(AND(A21&lt;=Eingaben!$B$11,Prüfungen!$B$4=0),Berechnung!$B$10,0)</f>
        <v>555.3897572</v>
      </c>
      <c r="C21" s="13" t="n">
        <f aca="false">IFERROR(IF(AND(A21&lt;=Eingaben!$B$11,Prüfungen!$B$4=0),B21*(Eingaben!$B$36*(1+Eingaben!$B$40)^(A21-1)+Eingaben!$B$37*Eingaben!$B$38*(1+Eingaben!$B$46)^(A21-1)),0),0)</f>
        <v>1796.13968100011</v>
      </c>
      <c r="D21" s="13" t="n">
        <f aca="false">IFERROR(IF(AND(A21&lt;=Eingaben!$B$11,Prüfungen!$B$4=0),(Eingaben!$B$32+Eingaben!$B$35)*(1+Eingaben!$B$41)^(A21-1)+Berechnung!$B$15*Eingaben!$B$34*(1+Eingaben!$B$42)^(A21-1),0),0)</f>
        <v>1010.98850907866</v>
      </c>
      <c r="E21" s="13" t="n">
        <f aca="false">IFERROR(IF(AND(AND(A21&lt;=Eingaben!$B$11,Prüfungen!$B$4=0),A21=Eingaben!$B$43),Eingaben!$B$44*(1+Eingaben!$B$41)^(A21-1),0),0)</f>
        <v>0</v>
      </c>
      <c r="F21" s="13" t="n">
        <f aca="false">IFERROR(IF(AND(AND(A21&lt;=Eingaben!$B$11,Prüfungen!$B$4=0),A21=Eingaben!$B$11),Eingaben!$B$45,0),0)</f>
        <v>0</v>
      </c>
      <c r="G21" s="13" t="n">
        <f aca="false">C21-D21-E21+F21</f>
        <v>785.151171921446</v>
      </c>
      <c r="H21" s="13" t="n">
        <f aca="false">IFERROR(IF(AND(A21&lt;=Eingaben!$B$11,Prüfungen!$B$4=0),1/(1+Eingaben!$B$39)^A21,0),0)</f>
        <v>0.661117805818619</v>
      </c>
      <c r="I21" s="13" t="n">
        <f aca="false">G21*H21</f>
        <v>519.077420016624</v>
      </c>
      <c r="J21" s="13" t="n">
        <f aca="false">J20+I21</f>
        <v>-20808.2019738963</v>
      </c>
      <c r="K21" s="13" t="n">
        <f aca="false">(D21+E21-F21)*H21</f>
        <v>668.382504829923</v>
      </c>
      <c r="L21" s="13" t="n">
        <f aca="false">B21*H21</f>
        <v>367.178057654199</v>
      </c>
      <c r="M21" s="13" t="str">
        <f aca="false">IF(AND(AND(A21&lt;=Eingaben!$B$11,Prüfungen!$B$4=0),Berechnung!$B$14&gt;0,J20&lt;0,J21&gt;=0,I21&gt;0),A21-1-J20/I21,"")</f>
        <v/>
      </c>
    </row>
    <row r="22" customFormat="false" ht="16.4" hidden="false" customHeight="false" outlineLevel="0" collapsed="false">
      <c r="A22" s="15" t="n">
        <v>15</v>
      </c>
      <c r="B22" s="13" t="n">
        <f aca="false">IF(AND(A22&lt;=Eingaben!$B$11,Prüfungen!$B$4=0),Berechnung!$B$10,0)</f>
        <v>555.3897572</v>
      </c>
      <c r="C22" s="13" t="n">
        <f aca="false">IFERROR(IF(AND(A22&lt;=Eingaben!$B$11,Prüfungen!$B$4=0),B22*(Eingaben!$B$36*(1+Eingaben!$B$40)^(A22-1)+Eingaben!$B$37*Eingaben!$B$38*(1+Eingaben!$B$46)^(A22-1)),0),0)</f>
        <v>1832.06247462011</v>
      </c>
      <c r="D22" s="13" t="n">
        <f aca="false">IFERROR(IF(AND(A22&lt;=Eingaben!$B$11,Prüfungen!$B$4=0),(Eingaben!$B$32+Eingaben!$B$35)*(1+Eingaben!$B$41)^(A22-1)+Berechnung!$B$15*Eingaben!$B$34*(1+Eingaben!$B$42)^(A22-1),0),0)</f>
        <v>1031.20827926024</v>
      </c>
      <c r="E22" s="13" t="n">
        <f aca="false">IFERROR(IF(AND(AND(A22&lt;=Eingaben!$B$11,Prüfungen!$B$4=0),A22=Eingaben!$B$43),Eingaben!$B$44*(1+Eingaben!$B$41)^(A22-1),0),0)</f>
        <v>0</v>
      </c>
      <c r="F22" s="13" t="n">
        <f aca="false">IFERROR(IF(AND(AND(A22&lt;=Eingaben!$B$11,Prüfungen!$B$4=0),A22=Eingaben!$B$11),Eingaben!$B$45,0),0)</f>
        <v>0</v>
      </c>
      <c r="G22" s="13" t="n">
        <f aca="false">C22-D22-E22+F22</f>
        <v>800.854195359875</v>
      </c>
      <c r="H22" s="13" t="n">
        <f aca="false">IFERROR(IF(AND(A22&lt;=Eingaben!$B$11,Prüfungen!$B$4=0),1/(1+Eingaben!$B$39)^A22,0),0)</f>
        <v>0.641861947396717</v>
      </c>
      <c r="I22" s="13" t="n">
        <f aca="false">G22*H22</f>
        <v>514.037833414521</v>
      </c>
      <c r="J22" s="13" t="n">
        <f aca="false">J21+I22</f>
        <v>-20294.1641404817</v>
      </c>
      <c r="K22" s="13" t="n">
        <f aca="false">(D22+E22-F22)*H22</f>
        <v>661.893354297594</v>
      </c>
      <c r="L22" s="13" t="n">
        <f aca="false">B22*H22</f>
        <v>356.483551120582</v>
      </c>
      <c r="M22" s="13" t="str">
        <f aca="false">IF(AND(AND(A22&lt;=Eingaben!$B$11,Prüfungen!$B$4=0),Berechnung!$B$14&gt;0,J21&lt;0,J22&gt;=0,I22&gt;0),A22-1-J21/I22,"")</f>
        <v/>
      </c>
    </row>
    <row r="23" customFormat="false" ht="16.4" hidden="false" customHeight="false" outlineLevel="0" collapsed="false">
      <c r="A23" s="15" t="n">
        <v>16</v>
      </c>
      <c r="B23" s="13" t="n">
        <f aca="false">IF(AND(A23&lt;=Eingaben!$B$11,Prüfungen!$B$4=0),Berechnung!$B$10,0)</f>
        <v>555.3897572</v>
      </c>
      <c r="C23" s="13" t="n">
        <f aca="false">IFERROR(IF(AND(A23&lt;=Eingaben!$B$11,Prüfungen!$B$4=0),B23*(Eingaben!$B$36*(1+Eingaben!$B$40)^(A23-1)+Eingaben!$B$37*Eingaben!$B$38*(1+Eingaben!$B$46)^(A23-1)),0),0)</f>
        <v>1868.70372411251</v>
      </c>
      <c r="D23" s="13" t="n">
        <f aca="false">IFERROR(IF(AND(A23&lt;=Eingaben!$B$11,Prüfungen!$B$4=0),(Eingaben!$B$32+Eingaben!$B$35)*(1+Eingaben!$B$41)^(A23-1)+Berechnung!$B$15*Eingaben!$B$34*(1+Eingaben!$B$42)^(A23-1),0),0)</f>
        <v>1051.83244484544</v>
      </c>
      <c r="E23" s="13" t="n">
        <f aca="false">IFERROR(IF(AND(AND(A23&lt;=Eingaben!$B$11,Prüfungen!$B$4=0),A23=Eingaben!$B$43),Eingaben!$B$44*(1+Eingaben!$B$41)^(A23-1),0),0)</f>
        <v>0</v>
      </c>
      <c r="F23" s="13" t="n">
        <f aca="false">IFERROR(IF(AND(AND(A23&lt;=Eingaben!$B$11,Prüfungen!$B$4=0),A23=Eingaben!$B$11),Eingaben!$B$45,0),0)</f>
        <v>0</v>
      </c>
      <c r="G23" s="13" t="n">
        <f aca="false">C23-D23-E23+F23</f>
        <v>816.871279267072</v>
      </c>
      <c r="H23" s="13" t="n">
        <f aca="false">IFERROR(IF(AND(A23&lt;=Eingaben!$B$11,Prüfungen!$B$4=0),1/(1+Eingaben!$B$39)^A23,0),0)</f>
        <v>0.623166939220114</v>
      </c>
      <c r="I23" s="13" t="n">
        <f aca="false">G23*H23</f>
        <v>509.04717483768</v>
      </c>
      <c r="J23" s="13" t="n">
        <f aca="false">J22+I23</f>
        <v>-19785.1169656441</v>
      </c>
      <c r="K23" s="13" t="n">
        <f aca="false">(D23+E23-F23)*H23</f>
        <v>655.467205226744</v>
      </c>
      <c r="L23" s="13" t="n">
        <f aca="false">B23*H23</f>
        <v>346.100535068526</v>
      </c>
      <c r="M23" s="13" t="str">
        <f aca="false">IF(AND(AND(A23&lt;=Eingaben!$B$11,Prüfungen!$B$4=0),Berechnung!$B$14&gt;0,J22&lt;0,J23&gt;=0,I23&gt;0),A23-1-J22/I23,"")</f>
        <v/>
      </c>
    </row>
    <row r="24" customFormat="false" ht="16.4" hidden="false" customHeight="false" outlineLevel="0" collapsed="false">
      <c r="A24" s="15" t="n">
        <v>17</v>
      </c>
      <c r="B24" s="13" t="n">
        <f aca="false">IF(AND(A24&lt;=Eingaben!$B$11,Prüfungen!$B$4=0),Berechnung!$B$10,0)</f>
        <v>555.3897572</v>
      </c>
      <c r="C24" s="13" t="n">
        <f aca="false">IFERROR(IF(AND(A24&lt;=Eingaben!$B$11,Prüfungen!$B$4=0),B24*(Eingaben!$B$36*(1+Eingaben!$B$40)^(A24-1)+Eingaben!$B$37*Eingaben!$B$38*(1+Eingaben!$B$46)^(A24-1)),0),0)</f>
        <v>1906.07779859477</v>
      </c>
      <c r="D24" s="13" t="n">
        <f aca="false">IFERROR(IF(AND(A24&lt;=Eingaben!$B$11,Prüfungen!$B$4=0),(Eingaben!$B$32+Eingaben!$B$35)*(1+Eingaben!$B$41)^(A24-1)+Berechnung!$B$15*Eingaben!$B$34*(1+Eingaben!$B$42)^(A24-1),0),0)</f>
        <v>1072.86909374235</v>
      </c>
      <c r="E24" s="13" t="n">
        <f aca="false">IFERROR(IF(AND(AND(A24&lt;=Eingaben!$B$11,Prüfungen!$B$4=0),A24=Eingaben!$B$43),Eingaben!$B$44*(1+Eingaben!$B$41)^(A24-1),0),0)</f>
        <v>0</v>
      </c>
      <c r="F24" s="13" t="n">
        <f aca="false">IFERROR(IF(AND(AND(A24&lt;=Eingaben!$B$11,Prüfungen!$B$4=0),A24=Eingaben!$B$11),Eingaben!$B$45,0),0)</f>
        <v>0</v>
      </c>
      <c r="G24" s="13" t="n">
        <f aca="false">C24-D24-E24+F24</f>
        <v>833.208704852414</v>
      </c>
      <c r="H24" s="13" t="n">
        <f aca="false">IFERROR(IF(AND(A24&lt;=Eingaben!$B$11,Prüfungen!$B$4=0),1/(1+Eingaben!$B$39)^A24,0),0)</f>
        <v>0.605016445844771</v>
      </c>
      <c r="I24" s="13" t="n">
        <f aca="false">G24*H24</f>
        <v>504.104969256732</v>
      </c>
      <c r="J24" s="13" t="n">
        <f aca="false">J23+I24</f>
        <v>-19281.0119963873</v>
      </c>
      <c r="K24" s="13" t="n">
        <f aca="false">(D24+E24-F24)*H24</f>
        <v>649.103445952698</v>
      </c>
      <c r="L24" s="13" t="n">
        <f aca="false">B24*H24</f>
        <v>336.019936959734</v>
      </c>
      <c r="M24" s="13" t="str">
        <f aca="false">IF(AND(AND(A24&lt;=Eingaben!$B$11,Prüfungen!$B$4=0),Berechnung!$B$14&gt;0,J23&lt;0,J24&gt;=0,I24&gt;0),A24-1-J23/I24,"")</f>
        <v/>
      </c>
    </row>
    <row r="25" customFormat="false" ht="16.4" hidden="false" customHeight="false" outlineLevel="0" collapsed="false">
      <c r="A25" s="15" t="n">
        <v>18</v>
      </c>
      <c r="B25" s="13" t="n">
        <f aca="false">IF(AND(A25&lt;=Eingaben!$B$11,Prüfungen!$B$4=0),Berechnung!$B$10,0)</f>
        <v>555.3897572</v>
      </c>
      <c r="C25" s="13" t="n">
        <f aca="false">IFERROR(IF(AND(A25&lt;=Eingaben!$B$11,Prüfungen!$B$4=0),B25*(Eingaben!$B$36*(1+Eingaben!$B$40)^(A25-1)+Eingaben!$B$37*Eingaben!$B$38*(1+Eingaben!$B$46)^(A25-1)),0),0)</f>
        <v>1944.19935456666</v>
      </c>
      <c r="D25" s="13" t="n">
        <f aca="false">IFERROR(IF(AND(A25&lt;=Eingaben!$B$11,Prüfungen!$B$4=0),(Eingaben!$B$32+Eingaben!$B$35)*(1+Eingaben!$B$41)^(A25-1)+Berechnung!$B$15*Eingaben!$B$34*(1+Eingaben!$B$42)^(A25-1),0),0)</f>
        <v>1094.3264756172</v>
      </c>
      <c r="E25" s="13" t="n">
        <f aca="false">IFERROR(IF(AND(AND(A25&lt;=Eingaben!$B$11,Prüfungen!$B$4=0),A25=Eingaben!$B$43),Eingaben!$B$44*(1+Eingaben!$B$41)^(A25-1),0),0)</f>
        <v>0</v>
      </c>
      <c r="F25" s="13" t="n">
        <f aca="false">IFERROR(IF(AND(AND(A25&lt;=Eingaben!$B$11,Prüfungen!$B$4=0),A25=Eingaben!$B$11),Eingaben!$B$45,0),0)</f>
        <v>0</v>
      </c>
      <c r="G25" s="13" t="n">
        <f aca="false">C25-D25-E25+F25</f>
        <v>849.872878949462</v>
      </c>
      <c r="H25" s="13" t="n">
        <f aca="false">IFERROR(IF(AND(A25&lt;=Eingaben!$B$11,Prüfungen!$B$4=0),1/(1+Eingaben!$B$39)^A25,0),0)</f>
        <v>0.587394607616282</v>
      </c>
      <c r="I25" s="13" t="n">
        <f aca="false">G25*H25</f>
        <v>499.21074625424</v>
      </c>
      <c r="J25" s="13" t="n">
        <f aca="false">J24+I25</f>
        <v>-18781.8012501331</v>
      </c>
      <c r="K25" s="13" t="n">
        <f aca="false">(D25+E25-F25)*H25</f>
        <v>642.801470749273</v>
      </c>
      <c r="L25" s="13" t="n">
        <f aca="false">B25*H25</f>
        <v>326.232948504596</v>
      </c>
      <c r="M25" s="13" t="str">
        <f aca="false">IF(AND(AND(A25&lt;=Eingaben!$B$11,Prüfungen!$B$4=0),Berechnung!$B$14&gt;0,J24&lt;0,J25&gt;=0,I25&gt;0),A25-1-J24/I25,"")</f>
        <v/>
      </c>
    </row>
    <row r="26" customFormat="false" ht="16.4" hidden="false" customHeight="false" outlineLevel="0" collapsed="false">
      <c r="A26" s="15" t="n">
        <v>19</v>
      </c>
      <c r="B26" s="13" t="n">
        <f aca="false">IF(AND(A26&lt;=Eingaben!$B$11,Prüfungen!$B$4=0),Berechnung!$B$10,0)</f>
        <v>555.3897572</v>
      </c>
      <c r="C26" s="13" t="n">
        <f aca="false">IFERROR(IF(AND(A26&lt;=Eingaben!$B$11,Prüfungen!$B$4=0),B26*(Eingaben!$B$36*(1+Eingaben!$B$40)^(A26-1)+Eingaben!$B$37*Eingaben!$B$38*(1+Eingaben!$B$46)^(A26-1)),0),0)</f>
        <v>1983.08334165799</v>
      </c>
      <c r="D26" s="13" t="n">
        <f aca="false">IFERROR(IF(AND(A26&lt;=Eingaben!$B$11,Prüfungen!$B$4=0),(Eingaben!$B$32+Eingaben!$B$35)*(1+Eingaben!$B$41)^(A26-1)+Berechnung!$B$15*Eingaben!$B$34*(1+Eingaben!$B$42)^(A26-1),0),0)</f>
        <v>1116.21300512954</v>
      </c>
      <c r="E26" s="13" t="n">
        <f aca="false">IFERROR(IF(AND(AND(A26&lt;=Eingaben!$B$11,Prüfungen!$B$4=0),A26=Eingaben!$B$43),Eingaben!$B$44*(1+Eingaben!$B$41)^(A26-1),0),0)</f>
        <v>0</v>
      </c>
      <c r="F26" s="13" t="n">
        <f aca="false">IFERROR(IF(AND(AND(A26&lt;=Eingaben!$B$11,Prüfungen!$B$4=0),A26=Eingaben!$B$11),Eingaben!$B$45,0),0)</f>
        <v>0</v>
      </c>
      <c r="G26" s="13" t="n">
        <f aca="false">C26-D26-E26+F26</f>
        <v>866.870336528452</v>
      </c>
      <c r="H26" s="13" t="n">
        <f aca="false">IFERROR(IF(AND(A26&lt;=Eingaben!$B$11,Prüfungen!$B$4=0),1/(1+Eingaben!$B$39)^A26,0),0)</f>
        <v>0.570286026811925</v>
      </c>
      <c r="I26" s="13" t="n">
        <f aca="false">G26*H26</f>
        <v>494.364039979927</v>
      </c>
      <c r="J26" s="13" t="n">
        <f aca="false">J25+I26</f>
        <v>-18287.4372101532</v>
      </c>
      <c r="K26" s="13" t="n">
        <f aca="false">(D26+E26-F26)*H26</f>
        <v>636.560679771125</v>
      </c>
      <c r="L26" s="13" t="n">
        <f aca="false">B26*H26</f>
        <v>316.731017965627</v>
      </c>
      <c r="M26" s="13" t="str">
        <f aca="false">IF(AND(AND(A26&lt;=Eingaben!$B$11,Prüfungen!$B$4=0),Berechnung!$B$14&gt;0,J25&lt;0,J26&gt;=0,I26&gt;0),A26-1-J25/I26,"")</f>
        <v/>
      </c>
    </row>
    <row r="27" customFormat="false" ht="16.4" hidden="false" customHeight="false" outlineLevel="0" collapsed="false">
      <c r="A27" s="15" t="n">
        <v>20</v>
      </c>
      <c r="B27" s="13" t="n">
        <f aca="false">IF(AND(A27&lt;=Eingaben!$B$11,Prüfungen!$B$4=0),Berechnung!$B$10,0)</f>
        <v>555.3897572</v>
      </c>
      <c r="C27" s="13" t="n">
        <f aca="false">IFERROR(IF(AND(A27&lt;=Eingaben!$B$11,Prüfungen!$B$4=0),B27*(Eingaben!$B$36*(1+Eingaben!$B$40)^(A27-1)+Eingaben!$B$37*Eingaben!$B$38*(1+Eingaben!$B$46)^(A27-1)),0),0)</f>
        <v>2022.74500849115</v>
      </c>
      <c r="D27" s="13" t="n">
        <f aca="false">IFERROR(IF(AND(A27&lt;=Eingaben!$B$11,Prüfungen!$B$4=0),(Eingaben!$B$32+Eingaben!$B$35)*(1+Eingaben!$B$41)^(A27-1)+Berechnung!$B$15*Eingaben!$B$34*(1+Eingaben!$B$42)^(A27-1),0),0)</f>
        <v>1138.53726523213</v>
      </c>
      <c r="E27" s="13" t="n">
        <f aca="false">IFERROR(IF(AND(AND(A27&lt;=Eingaben!$B$11,Prüfungen!$B$4=0),A27=Eingaben!$B$43),Eingaben!$B$44*(1+Eingaben!$B$41)^(A27-1),0),0)</f>
        <v>0</v>
      </c>
      <c r="F27" s="13" t="n">
        <f aca="false">IFERROR(IF(AND(AND(A27&lt;=Eingaben!$B$11,Prüfungen!$B$4=0),A27=Eingaben!$B$11),Eingaben!$B$45,0),0)</f>
        <v>0</v>
      </c>
      <c r="G27" s="13" t="n">
        <f aca="false">C27-D27-E27+F27</f>
        <v>884.20774325902</v>
      </c>
      <c r="H27" s="13" t="n">
        <f aca="false">IFERROR(IF(AND(A27&lt;=Eingaben!$B$11,Prüfungen!$B$4=0),1/(1+Eingaben!$B$39)^A27,0),0)</f>
        <v>0.553675754186335</v>
      </c>
      <c r="I27" s="13" t="n">
        <f aca="false">G27*H27</f>
        <v>489.564389106335</v>
      </c>
      <c r="J27" s="13" t="n">
        <f aca="false">J26+I27</f>
        <v>-17797.8728210468</v>
      </c>
      <c r="K27" s="13" t="n">
        <f aca="false">(D27+E27-F27)*H27</f>
        <v>630.380478996648</v>
      </c>
      <c r="L27" s="13" t="n">
        <f aca="false">B27*H27</f>
        <v>307.505842685075</v>
      </c>
      <c r="M27" s="13" t="str">
        <f aca="false">IF(AND(AND(A27&lt;=Eingaben!$B$11,Prüfungen!$B$4=0),Berechnung!$B$14&gt;0,J26&lt;0,J27&gt;=0,I27&gt;0),A27-1-J26/I27,"")</f>
        <v/>
      </c>
    </row>
    <row r="28" customFormat="false" ht="16.4" hidden="false" customHeight="false" outlineLevel="0" collapsed="false">
      <c r="A28" s="15" t="n">
        <v>21</v>
      </c>
      <c r="B28" s="13" t="n">
        <f aca="false">IF(AND(A28&lt;=Eingaben!$B$11,Prüfungen!$B$4=0),Berechnung!$B$10,0)</f>
        <v>0</v>
      </c>
      <c r="C28" s="13" t="n">
        <f aca="false">IFERROR(IF(AND(A28&lt;=Eingaben!$B$11,Prüfungen!$B$4=0),B28*(Eingaben!$B$36*(1+Eingaben!$B$40)^(A28-1)+Eingaben!$B$37*Eingaben!$B$38*(1+Eingaben!$B$46)^(A28-1)),0),0)</f>
        <v>0</v>
      </c>
      <c r="D28" s="13" t="n">
        <f aca="false">IFERROR(IF(AND(A28&lt;=Eingaben!$B$11,Prüfungen!$B$4=0),(Eingaben!$B$32+Eingaben!$B$35)*(1+Eingaben!$B$41)^(A28-1)+Berechnung!$B$15*Eingaben!$B$34*(1+Eingaben!$B$42)^(A28-1),0),0)</f>
        <v>0</v>
      </c>
      <c r="E28" s="13" t="n">
        <f aca="false">IFERROR(IF(AND(AND(A28&lt;=Eingaben!$B$11,Prüfungen!$B$4=0),A28=Eingaben!$B$43),Eingaben!$B$44*(1+Eingaben!$B$41)^(A28-1),0),0)</f>
        <v>0</v>
      </c>
      <c r="F28" s="13" t="n">
        <f aca="false">IFERROR(IF(AND(AND(A28&lt;=Eingaben!$B$11,Prüfungen!$B$4=0),A28=Eingaben!$B$11),Eingaben!$B$45,0),0)</f>
        <v>0</v>
      </c>
      <c r="G28" s="13" t="n">
        <f aca="false">C28-D28-E28+F28</f>
        <v>0</v>
      </c>
      <c r="H28" s="13" t="n">
        <f aca="false">IFERROR(IF(AND(A28&lt;=Eingaben!$B$11,Prüfungen!$B$4=0),1/(1+Eingaben!$B$39)^A28,0),0)</f>
        <v>0</v>
      </c>
      <c r="I28" s="13" t="n">
        <f aca="false">G28*H28</f>
        <v>0</v>
      </c>
      <c r="J28" s="13" t="n">
        <f aca="false">J27+I28</f>
        <v>-17797.8728210468</v>
      </c>
      <c r="K28" s="13" t="n">
        <f aca="false">(D28+E28-F28)*H28</f>
        <v>0</v>
      </c>
      <c r="L28" s="13" t="n">
        <f aca="false">B28*H28</f>
        <v>0</v>
      </c>
      <c r="M28" s="13" t="str">
        <f aca="false">IF(AND(AND(A28&lt;=Eingaben!$B$11,Prüfungen!$B$4=0),Berechnung!$B$14&gt;0,J27&lt;0,J28&gt;=0,I28&gt;0),A28-1-J27/I28,"")</f>
        <v/>
      </c>
    </row>
    <row r="29" customFormat="false" ht="16.4" hidden="false" customHeight="false" outlineLevel="0" collapsed="false">
      <c r="A29" s="15" t="n">
        <v>22</v>
      </c>
      <c r="B29" s="13" t="n">
        <f aca="false">IF(AND(A29&lt;=Eingaben!$B$11,Prüfungen!$B$4=0),Berechnung!$B$10,0)</f>
        <v>0</v>
      </c>
      <c r="C29" s="13" t="n">
        <f aca="false">IFERROR(IF(AND(A29&lt;=Eingaben!$B$11,Prüfungen!$B$4=0),B29*(Eingaben!$B$36*(1+Eingaben!$B$40)^(A29-1)+Eingaben!$B$37*Eingaben!$B$38*(1+Eingaben!$B$46)^(A29-1)),0),0)</f>
        <v>0</v>
      </c>
      <c r="D29" s="13" t="n">
        <f aca="false">IFERROR(IF(AND(A29&lt;=Eingaben!$B$11,Prüfungen!$B$4=0),(Eingaben!$B$32+Eingaben!$B$35)*(1+Eingaben!$B$41)^(A29-1)+Berechnung!$B$15*Eingaben!$B$34*(1+Eingaben!$B$42)^(A29-1),0),0)</f>
        <v>0</v>
      </c>
      <c r="E29" s="13" t="n">
        <f aca="false">IFERROR(IF(AND(AND(A29&lt;=Eingaben!$B$11,Prüfungen!$B$4=0),A29=Eingaben!$B$43),Eingaben!$B$44*(1+Eingaben!$B$41)^(A29-1),0),0)</f>
        <v>0</v>
      </c>
      <c r="F29" s="13" t="n">
        <f aca="false">IFERROR(IF(AND(AND(A29&lt;=Eingaben!$B$11,Prüfungen!$B$4=0),A29=Eingaben!$B$11),Eingaben!$B$45,0),0)</f>
        <v>0</v>
      </c>
      <c r="G29" s="13" t="n">
        <f aca="false">C29-D29-E29+F29</f>
        <v>0</v>
      </c>
      <c r="H29" s="13" t="n">
        <f aca="false">IFERROR(IF(AND(A29&lt;=Eingaben!$B$11,Prüfungen!$B$4=0),1/(1+Eingaben!$B$39)^A29,0),0)</f>
        <v>0</v>
      </c>
      <c r="I29" s="13" t="n">
        <f aca="false">G29*H29</f>
        <v>0</v>
      </c>
      <c r="J29" s="13" t="n">
        <f aca="false">J28+I29</f>
        <v>-17797.8728210468</v>
      </c>
      <c r="K29" s="13" t="n">
        <f aca="false">(D29+E29-F29)*H29</f>
        <v>0</v>
      </c>
      <c r="L29" s="13" t="n">
        <f aca="false">B29*H29</f>
        <v>0</v>
      </c>
      <c r="M29" s="13" t="str">
        <f aca="false">IF(AND(AND(A29&lt;=Eingaben!$B$11,Prüfungen!$B$4=0),Berechnung!$B$14&gt;0,J28&lt;0,J29&gt;=0,I29&gt;0),A29-1-J28/I29,"")</f>
        <v/>
      </c>
    </row>
    <row r="30" customFormat="false" ht="16.4" hidden="false" customHeight="false" outlineLevel="0" collapsed="false">
      <c r="A30" s="15" t="n">
        <v>23</v>
      </c>
      <c r="B30" s="13" t="n">
        <f aca="false">IF(AND(A30&lt;=Eingaben!$B$11,Prüfungen!$B$4=0),Berechnung!$B$10,0)</f>
        <v>0</v>
      </c>
      <c r="C30" s="13" t="n">
        <f aca="false">IFERROR(IF(AND(A30&lt;=Eingaben!$B$11,Prüfungen!$B$4=0),B30*(Eingaben!$B$36*(1+Eingaben!$B$40)^(A30-1)+Eingaben!$B$37*Eingaben!$B$38*(1+Eingaben!$B$46)^(A30-1)),0),0)</f>
        <v>0</v>
      </c>
      <c r="D30" s="13" t="n">
        <f aca="false">IFERROR(IF(AND(A30&lt;=Eingaben!$B$11,Prüfungen!$B$4=0),(Eingaben!$B$32+Eingaben!$B$35)*(1+Eingaben!$B$41)^(A30-1)+Berechnung!$B$15*Eingaben!$B$34*(1+Eingaben!$B$42)^(A30-1),0),0)</f>
        <v>0</v>
      </c>
      <c r="E30" s="13" t="n">
        <f aca="false">IFERROR(IF(AND(AND(A30&lt;=Eingaben!$B$11,Prüfungen!$B$4=0),A30=Eingaben!$B$43),Eingaben!$B$44*(1+Eingaben!$B$41)^(A30-1),0),0)</f>
        <v>0</v>
      </c>
      <c r="F30" s="13" t="n">
        <f aca="false">IFERROR(IF(AND(AND(A30&lt;=Eingaben!$B$11,Prüfungen!$B$4=0),A30=Eingaben!$B$11),Eingaben!$B$45,0),0)</f>
        <v>0</v>
      </c>
      <c r="G30" s="13" t="n">
        <f aca="false">C30-D30-E30+F30</f>
        <v>0</v>
      </c>
      <c r="H30" s="13" t="n">
        <f aca="false">IFERROR(IF(AND(A30&lt;=Eingaben!$B$11,Prüfungen!$B$4=0),1/(1+Eingaben!$B$39)^A30,0),0)</f>
        <v>0</v>
      </c>
      <c r="I30" s="13" t="n">
        <f aca="false">G30*H30</f>
        <v>0</v>
      </c>
      <c r="J30" s="13" t="n">
        <f aca="false">J29+I30</f>
        <v>-17797.8728210468</v>
      </c>
      <c r="K30" s="13" t="n">
        <f aca="false">(D30+E30-F30)*H30</f>
        <v>0</v>
      </c>
      <c r="L30" s="13" t="n">
        <f aca="false">B30*H30</f>
        <v>0</v>
      </c>
      <c r="M30" s="13" t="str">
        <f aca="false">IF(AND(AND(A30&lt;=Eingaben!$B$11,Prüfungen!$B$4=0),Berechnung!$B$14&gt;0,J29&lt;0,J30&gt;=0,I30&gt;0),A30-1-J29/I30,"")</f>
        <v/>
      </c>
    </row>
    <row r="31" customFormat="false" ht="16.4" hidden="false" customHeight="false" outlineLevel="0" collapsed="false">
      <c r="A31" s="15" t="n">
        <v>24</v>
      </c>
      <c r="B31" s="13" t="n">
        <f aca="false">IF(AND(A31&lt;=Eingaben!$B$11,Prüfungen!$B$4=0),Berechnung!$B$10,0)</f>
        <v>0</v>
      </c>
      <c r="C31" s="13" t="n">
        <f aca="false">IFERROR(IF(AND(A31&lt;=Eingaben!$B$11,Prüfungen!$B$4=0),B31*(Eingaben!$B$36*(1+Eingaben!$B$40)^(A31-1)+Eingaben!$B$37*Eingaben!$B$38*(1+Eingaben!$B$46)^(A31-1)),0),0)</f>
        <v>0</v>
      </c>
      <c r="D31" s="13" t="n">
        <f aca="false">IFERROR(IF(AND(A31&lt;=Eingaben!$B$11,Prüfungen!$B$4=0),(Eingaben!$B$32+Eingaben!$B$35)*(1+Eingaben!$B$41)^(A31-1)+Berechnung!$B$15*Eingaben!$B$34*(1+Eingaben!$B$42)^(A31-1),0),0)</f>
        <v>0</v>
      </c>
      <c r="E31" s="13" t="n">
        <f aca="false">IFERROR(IF(AND(AND(A31&lt;=Eingaben!$B$11,Prüfungen!$B$4=0),A31=Eingaben!$B$43),Eingaben!$B$44*(1+Eingaben!$B$41)^(A31-1),0),0)</f>
        <v>0</v>
      </c>
      <c r="F31" s="13" t="n">
        <f aca="false">IFERROR(IF(AND(AND(A31&lt;=Eingaben!$B$11,Prüfungen!$B$4=0),A31=Eingaben!$B$11),Eingaben!$B$45,0),0)</f>
        <v>0</v>
      </c>
      <c r="G31" s="13" t="n">
        <f aca="false">C31-D31-E31+F31</f>
        <v>0</v>
      </c>
      <c r="H31" s="13" t="n">
        <f aca="false">IFERROR(IF(AND(A31&lt;=Eingaben!$B$11,Prüfungen!$B$4=0),1/(1+Eingaben!$B$39)^A31,0),0)</f>
        <v>0</v>
      </c>
      <c r="I31" s="13" t="n">
        <f aca="false">G31*H31</f>
        <v>0</v>
      </c>
      <c r="J31" s="13" t="n">
        <f aca="false">J30+I31</f>
        <v>-17797.8728210468</v>
      </c>
      <c r="K31" s="13" t="n">
        <f aca="false">(D31+E31-F31)*H31</f>
        <v>0</v>
      </c>
      <c r="L31" s="13" t="n">
        <f aca="false">B31*H31</f>
        <v>0</v>
      </c>
      <c r="M31" s="13" t="str">
        <f aca="false">IF(AND(AND(A31&lt;=Eingaben!$B$11,Prüfungen!$B$4=0),Berechnung!$B$14&gt;0,J30&lt;0,J31&gt;=0,I31&gt;0),A31-1-J30/I31,"")</f>
        <v/>
      </c>
    </row>
    <row r="32" customFormat="false" ht="16.4" hidden="false" customHeight="false" outlineLevel="0" collapsed="false">
      <c r="A32" s="15" t="n">
        <v>25</v>
      </c>
      <c r="B32" s="13" t="n">
        <f aca="false">IF(AND(A32&lt;=Eingaben!$B$11,Prüfungen!$B$4=0),Berechnung!$B$10,0)</f>
        <v>0</v>
      </c>
      <c r="C32" s="13" t="n">
        <f aca="false">IFERROR(IF(AND(A32&lt;=Eingaben!$B$11,Prüfungen!$B$4=0),B32*(Eingaben!$B$36*(1+Eingaben!$B$40)^(A32-1)+Eingaben!$B$37*Eingaben!$B$38*(1+Eingaben!$B$46)^(A32-1)),0),0)</f>
        <v>0</v>
      </c>
      <c r="D32" s="13" t="n">
        <f aca="false">IFERROR(IF(AND(A32&lt;=Eingaben!$B$11,Prüfungen!$B$4=0),(Eingaben!$B$32+Eingaben!$B$35)*(1+Eingaben!$B$41)^(A32-1)+Berechnung!$B$15*Eingaben!$B$34*(1+Eingaben!$B$42)^(A32-1),0),0)</f>
        <v>0</v>
      </c>
      <c r="E32" s="13" t="n">
        <f aca="false">IFERROR(IF(AND(AND(A32&lt;=Eingaben!$B$11,Prüfungen!$B$4=0),A32=Eingaben!$B$43),Eingaben!$B$44*(1+Eingaben!$B$41)^(A32-1),0),0)</f>
        <v>0</v>
      </c>
      <c r="F32" s="13" t="n">
        <f aca="false">IFERROR(IF(AND(AND(A32&lt;=Eingaben!$B$11,Prüfungen!$B$4=0),A32=Eingaben!$B$11),Eingaben!$B$45,0),0)</f>
        <v>0</v>
      </c>
      <c r="G32" s="13" t="n">
        <f aca="false">C32-D32-E32+F32</f>
        <v>0</v>
      </c>
      <c r="H32" s="13" t="n">
        <f aca="false">IFERROR(IF(AND(A32&lt;=Eingaben!$B$11,Prüfungen!$B$4=0),1/(1+Eingaben!$B$39)^A32,0),0)</f>
        <v>0</v>
      </c>
      <c r="I32" s="13" t="n">
        <f aca="false">G32*H32</f>
        <v>0</v>
      </c>
      <c r="J32" s="13" t="n">
        <f aca="false">J31+I32</f>
        <v>-17797.8728210468</v>
      </c>
      <c r="K32" s="13" t="n">
        <f aca="false">(D32+E32-F32)*H32</f>
        <v>0</v>
      </c>
      <c r="L32" s="13" t="n">
        <f aca="false">B32*H32</f>
        <v>0</v>
      </c>
      <c r="M32" s="13" t="str">
        <f aca="false">IF(AND(AND(A32&lt;=Eingaben!$B$11,Prüfungen!$B$4=0),Berechnung!$B$14&gt;0,J31&lt;0,J32&gt;=0,I32&gt;0),A32-1-J31/I32,"")</f>
        <v/>
      </c>
    </row>
    <row r="33" customFormat="false" ht="16.4" hidden="false" customHeight="false" outlineLevel="0" collapsed="false">
      <c r="A33" s="15" t="n">
        <v>26</v>
      </c>
      <c r="B33" s="13" t="n">
        <f aca="false">IF(AND(A33&lt;=Eingaben!$B$11,Prüfungen!$B$4=0),Berechnung!$B$10,0)</f>
        <v>0</v>
      </c>
      <c r="C33" s="13" t="n">
        <f aca="false">IFERROR(IF(AND(A33&lt;=Eingaben!$B$11,Prüfungen!$B$4=0),B33*(Eingaben!$B$36*(1+Eingaben!$B$40)^(A33-1)+Eingaben!$B$37*Eingaben!$B$38*(1+Eingaben!$B$46)^(A33-1)),0),0)</f>
        <v>0</v>
      </c>
      <c r="D33" s="13" t="n">
        <f aca="false">IFERROR(IF(AND(A33&lt;=Eingaben!$B$11,Prüfungen!$B$4=0),(Eingaben!$B$32+Eingaben!$B$35)*(1+Eingaben!$B$41)^(A33-1)+Berechnung!$B$15*Eingaben!$B$34*(1+Eingaben!$B$42)^(A33-1),0),0)</f>
        <v>0</v>
      </c>
      <c r="E33" s="13" t="n">
        <f aca="false">IFERROR(IF(AND(AND(A33&lt;=Eingaben!$B$11,Prüfungen!$B$4=0),A33=Eingaben!$B$43),Eingaben!$B$44*(1+Eingaben!$B$41)^(A33-1),0),0)</f>
        <v>0</v>
      </c>
      <c r="F33" s="13" t="n">
        <f aca="false">IFERROR(IF(AND(AND(A33&lt;=Eingaben!$B$11,Prüfungen!$B$4=0),A33=Eingaben!$B$11),Eingaben!$B$45,0),0)</f>
        <v>0</v>
      </c>
      <c r="G33" s="13" t="n">
        <f aca="false">C33-D33-E33+F33</f>
        <v>0</v>
      </c>
      <c r="H33" s="13" t="n">
        <f aca="false">IFERROR(IF(AND(A33&lt;=Eingaben!$B$11,Prüfungen!$B$4=0),1/(1+Eingaben!$B$39)^A33,0),0)</f>
        <v>0</v>
      </c>
      <c r="I33" s="13" t="n">
        <f aca="false">G33*H33</f>
        <v>0</v>
      </c>
      <c r="J33" s="13" t="n">
        <f aca="false">J32+I33</f>
        <v>-17797.8728210468</v>
      </c>
      <c r="K33" s="13" t="n">
        <f aca="false">(D33+E33-F33)*H33</f>
        <v>0</v>
      </c>
      <c r="L33" s="13" t="n">
        <f aca="false">B33*H33</f>
        <v>0</v>
      </c>
      <c r="M33" s="13" t="str">
        <f aca="false">IF(AND(AND(A33&lt;=Eingaben!$B$11,Prüfungen!$B$4=0),Berechnung!$B$14&gt;0,J32&lt;0,J33&gt;=0,I33&gt;0),A33-1-J32/I33,"")</f>
        <v/>
      </c>
    </row>
    <row r="34" customFormat="false" ht="16.4" hidden="false" customHeight="false" outlineLevel="0" collapsed="false">
      <c r="A34" s="15" t="n">
        <v>27</v>
      </c>
      <c r="B34" s="13" t="n">
        <f aca="false">IF(AND(A34&lt;=Eingaben!$B$11,Prüfungen!$B$4=0),Berechnung!$B$10,0)</f>
        <v>0</v>
      </c>
      <c r="C34" s="13" t="n">
        <f aca="false">IFERROR(IF(AND(A34&lt;=Eingaben!$B$11,Prüfungen!$B$4=0),B34*(Eingaben!$B$36*(1+Eingaben!$B$40)^(A34-1)+Eingaben!$B$37*Eingaben!$B$38*(1+Eingaben!$B$46)^(A34-1)),0),0)</f>
        <v>0</v>
      </c>
      <c r="D34" s="13" t="n">
        <f aca="false">IFERROR(IF(AND(A34&lt;=Eingaben!$B$11,Prüfungen!$B$4=0),(Eingaben!$B$32+Eingaben!$B$35)*(1+Eingaben!$B$41)^(A34-1)+Berechnung!$B$15*Eingaben!$B$34*(1+Eingaben!$B$42)^(A34-1),0),0)</f>
        <v>0</v>
      </c>
      <c r="E34" s="13" t="n">
        <f aca="false">IFERROR(IF(AND(AND(A34&lt;=Eingaben!$B$11,Prüfungen!$B$4=0),A34=Eingaben!$B$43),Eingaben!$B$44*(1+Eingaben!$B$41)^(A34-1),0),0)</f>
        <v>0</v>
      </c>
      <c r="F34" s="13" t="n">
        <f aca="false">IFERROR(IF(AND(AND(A34&lt;=Eingaben!$B$11,Prüfungen!$B$4=0),A34=Eingaben!$B$11),Eingaben!$B$45,0),0)</f>
        <v>0</v>
      </c>
      <c r="G34" s="13" t="n">
        <f aca="false">C34-D34-E34+F34</f>
        <v>0</v>
      </c>
      <c r="H34" s="13" t="n">
        <f aca="false">IFERROR(IF(AND(A34&lt;=Eingaben!$B$11,Prüfungen!$B$4=0),1/(1+Eingaben!$B$39)^A34,0),0)</f>
        <v>0</v>
      </c>
      <c r="I34" s="13" t="n">
        <f aca="false">G34*H34</f>
        <v>0</v>
      </c>
      <c r="J34" s="13" t="n">
        <f aca="false">J33+I34</f>
        <v>-17797.8728210468</v>
      </c>
      <c r="K34" s="13" t="n">
        <f aca="false">(D34+E34-F34)*H34</f>
        <v>0</v>
      </c>
      <c r="L34" s="13" t="n">
        <f aca="false">B34*H34</f>
        <v>0</v>
      </c>
      <c r="M34" s="13" t="str">
        <f aca="false">IF(AND(AND(A34&lt;=Eingaben!$B$11,Prüfungen!$B$4=0),Berechnung!$B$14&gt;0,J33&lt;0,J34&gt;=0,I34&gt;0),A34-1-J33/I34,"")</f>
        <v/>
      </c>
    </row>
    <row r="35" customFormat="false" ht="16.4" hidden="false" customHeight="false" outlineLevel="0" collapsed="false">
      <c r="A35" s="15" t="n">
        <v>28</v>
      </c>
      <c r="B35" s="13" t="n">
        <f aca="false">IF(AND(A35&lt;=Eingaben!$B$11,Prüfungen!$B$4=0),Berechnung!$B$10,0)</f>
        <v>0</v>
      </c>
      <c r="C35" s="13" t="n">
        <f aca="false">IFERROR(IF(AND(A35&lt;=Eingaben!$B$11,Prüfungen!$B$4=0),B35*(Eingaben!$B$36*(1+Eingaben!$B$40)^(A35-1)+Eingaben!$B$37*Eingaben!$B$38*(1+Eingaben!$B$46)^(A35-1)),0),0)</f>
        <v>0</v>
      </c>
      <c r="D35" s="13" t="n">
        <f aca="false">IFERROR(IF(AND(A35&lt;=Eingaben!$B$11,Prüfungen!$B$4=0),(Eingaben!$B$32+Eingaben!$B$35)*(1+Eingaben!$B$41)^(A35-1)+Berechnung!$B$15*Eingaben!$B$34*(1+Eingaben!$B$42)^(A35-1),0),0)</f>
        <v>0</v>
      </c>
      <c r="E35" s="13" t="n">
        <f aca="false">IFERROR(IF(AND(AND(A35&lt;=Eingaben!$B$11,Prüfungen!$B$4=0),A35=Eingaben!$B$43),Eingaben!$B$44*(1+Eingaben!$B$41)^(A35-1),0),0)</f>
        <v>0</v>
      </c>
      <c r="F35" s="13" t="n">
        <f aca="false">IFERROR(IF(AND(AND(A35&lt;=Eingaben!$B$11,Prüfungen!$B$4=0),A35=Eingaben!$B$11),Eingaben!$B$45,0),0)</f>
        <v>0</v>
      </c>
      <c r="G35" s="13" t="n">
        <f aca="false">C35-D35-E35+F35</f>
        <v>0</v>
      </c>
      <c r="H35" s="13" t="n">
        <f aca="false">IFERROR(IF(AND(A35&lt;=Eingaben!$B$11,Prüfungen!$B$4=0),1/(1+Eingaben!$B$39)^A35,0),0)</f>
        <v>0</v>
      </c>
      <c r="I35" s="13" t="n">
        <f aca="false">G35*H35</f>
        <v>0</v>
      </c>
      <c r="J35" s="13" t="n">
        <f aca="false">J34+I35</f>
        <v>-17797.8728210468</v>
      </c>
      <c r="K35" s="13" t="n">
        <f aca="false">(D35+E35-F35)*H35</f>
        <v>0</v>
      </c>
      <c r="L35" s="13" t="n">
        <f aca="false">B35*H35</f>
        <v>0</v>
      </c>
      <c r="M35" s="13" t="str">
        <f aca="false">IF(AND(AND(A35&lt;=Eingaben!$B$11,Prüfungen!$B$4=0),Berechnung!$B$14&gt;0,J34&lt;0,J35&gt;=0,I35&gt;0),A35-1-J34/I35,"")</f>
        <v/>
      </c>
    </row>
    <row r="36" customFormat="false" ht="16.4" hidden="false" customHeight="false" outlineLevel="0" collapsed="false">
      <c r="A36" s="15" t="n">
        <v>29</v>
      </c>
      <c r="B36" s="13" t="n">
        <f aca="false">IF(AND(A36&lt;=Eingaben!$B$11,Prüfungen!$B$4=0),Berechnung!$B$10,0)</f>
        <v>0</v>
      </c>
      <c r="C36" s="13" t="n">
        <f aca="false">IFERROR(IF(AND(A36&lt;=Eingaben!$B$11,Prüfungen!$B$4=0),B36*(Eingaben!$B$36*(1+Eingaben!$B$40)^(A36-1)+Eingaben!$B$37*Eingaben!$B$38*(1+Eingaben!$B$46)^(A36-1)),0),0)</f>
        <v>0</v>
      </c>
      <c r="D36" s="13" t="n">
        <f aca="false">IFERROR(IF(AND(A36&lt;=Eingaben!$B$11,Prüfungen!$B$4=0),(Eingaben!$B$32+Eingaben!$B$35)*(1+Eingaben!$B$41)^(A36-1)+Berechnung!$B$15*Eingaben!$B$34*(1+Eingaben!$B$42)^(A36-1),0),0)</f>
        <v>0</v>
      </c>
      <c r="E36" s="13" t="n">
        <f aca="false">IFERROR(IF(AND(AND(A36&lt;=Eingaben!$B$11,Prüfungen!$B$4=0),A36=Eingaben!$B$43),Eingaben!$B$44*(1+Eingaben!$B$41)^(A36-1),0),0)</f>
        <v>0</v>
      </c>
      <c r="F36" s="13" t="n">
        <f aca="false">IFERROR(IF(AND(AND(A36&lt;=Eingaben!$B$11,Prüfungen!$B$4=0),A36=Eingaben!$B$11),Eingaben!$B$45,0),0)</f>
        <v>0</v>
      </c>
      <c r="G36" s="13" t="n">
        <f aca="false">C36-D36-E36+F36</f>
        <v>0</v>
      </c>
      <c r="H36" s="13" t="n">
        <f aca="false">IFERROR(IF(AND(A36&lt;=Eingaben!$B$11,Prüfungen!$B$4=0),1/(1+Eingaben!$B$39)^A36,0),0)</f>
        <v>0</v>
      </c>
      <c r="I36" s="13" t="n">
        <f aca="false">G36*H36</f>
        <v>0</v>
      </c>
      <c r="J36" s="13" t="n">
        <f aca="false">J35+I36</f>
        <v>-17797.8728210468</v>
      </c>
      <c r="K36" s="13" t="n">
        <f aca="false">(D36+E36-F36)*H36</f>
        <v>0</v>
      </c>
      <c r="L36" s="13" t="n">
        <f aca="false">B36*H36</f>
        <v>0</v>
      </c>
      <c r="M36" s="13" t="str">
        <f aca="false">IF(AND(AND(A36&lt;=Eingaben!$B$11,Prüfungen!$B$4=0),Berechnung!$B$14&gt;0,J35&lt;0,J36&gt;=0,I36&gt;0),A36-1-J35/I36,"")</f>
        <v/>
      </c>
    </row>
    <row r="37" customFormat="false" ht="16.4" hidden="false" customHeight="false" outlineLevel="0" collapsed="false">
      <c r="A37" s="15" t="n">
        <v>30</v>
      </c>
      <c r="B37" s="13" t="n">
        <f aca="false">IF(AND(A37&lt;=Eingaben!$B$11,Prüfungen!$B$4=0),Berechnung!$B$10,0)</f>
        <v>0</v>
      </c>
      <c r="C37" s="13" t="n">
        <f aca="false">IFERROR(IF(AND(A37&lt;=Eingaben!$B$11,Prüfungen!$B$4=0),B37*(Eingaben!$B$36*(1+Eingaben!$B$40)^(A37-1)+Eingaben!$B$37*Eingaben!$B$38*(1+Eingaben!$B$46)^(A37-1)),0),0)</f>
        <v>0</v>
      </c>
      <c r="D37" s="13" t="n">
        <f aca="false">IFERROR(IF(AND(A37&lt;=Eingaben!$B$11,Prüfungen!$B$4=0),(Eingaben!$B$32+Eingaben!$B$35)*(1+Eingaben!$B$41)^(A37-1)+Berechnung!$B$15*Eingaben!$B$34*(1+Eingaben!$B$42)^(A37-1),0),0)</f>
        <v>0</v>
      </c>
      <c r="E37" s="13" t="n">
        <f aca="false">IFERROR(IF(AND(AND(A37&lt;=Eingaben!$B$11,Prüfungen!$B$4=0),A37=Eingaben!$B$43),Eingaben!$B$44*(1+Eingaben!$B$41)^(A37-1),0),0)</f>
        <v>0</v>
      </c>
      <c r="F37" s="13" t="n">
        <f aca="false">IFERROR(IF(AND(AND(A37&lt;=Eingaben!$B$11,Prüfungen!$B$4=0),A37=Eingaben!$B$11),Eingaben!$B$45,0),0)</f>
        <v>0</v>
      </c>
      <c r="G37" s="13" t="n">
        <f aca="false">C37-D37-E37+F37</f>
        <v>0</v>
      </c>
      <c r="H37" s="13" t="n">
        <f aca="false">IFERROR(IF(AND(A37&lt;=Eingaben!$B$11,Prüfungen!$B$4=0),1/(1+Eingaben!$B$39)^A37,0),0)</f>
        <v>0</v>
      </c>
      <c r="I37" s="13" t="n">
        <f aca="false">G37*H37</f>
        <v>0</v>
      </c>
      <c r="J37" s="13" t="n">
        <f aca="false">J36+I37</f>
        <v>-17797.8728210468</v>
      </c>
      <c r="K37" s="13" t="n">
        <f aca="false">(D37+E37-F37)*H37</f>
        <v>0</v>
      </c>
      <c r="L37" s="13" t="n">
        <f aca="false">B37*H37</f>
        <v>0</v>
      </c>
      <c r="M37" s="13" t="str">
        <f aca="false">IF(AND(AND(A37&lt;=Eingaben!$B$11,Prüfungen!$B$4=0),Berechnung!$B$14&gt;0,J36&lt;0,J37&gt;=0,I37&gt;0),A37-1-J36/I37,"")</f>
        <v/>
      </c>
    </row>
    <row r="38" customFormat="false" ht="16.4" hidden="false" customHeight="false" outlineLevel="0" collapsed="false">
      <c r="A38" s="15" t="n">
        <v>31</v>
      </c>
      <c r="B38" s="13" t="n">
        <f aca="false">IF(AND(A38&lt;=Eingaben!$B$11,Prüfungen!$B$4=0),Berechnung!$B$10,0)</f>
        <v>0</v>
      </c>
      <c r="C38" s="13" t="n">
        <f aca="false">IFERROR(IF(AND(A38&lt;=Eingaben!$B$11,Prüfungen!$B$4=0),B38*(Eingaben!$B$36*(1+Eingaben!$B$40)^(A38-1)+Eingaben!$B$37*Eingaben!$B$38*(1+Eingaben!$B$46)^(A38-1)),0),0)</f>
        <v>0</v>
      </c>
      <c r="D38" s="13" t="n">
        <f aca="false">IFERROR(IF(AND(A38&lt;=Eingaben!$B$11,Prüfungen!$B$4=0),(Eingaben!$B$32+Eingaben!$B$35)*(1+Eingaben!$B$41)^(A38-1)+Berechnung!$B$15*Eingaben!$B$34*(1+Eingaben!$B$42)^(A38-1),0),0)</f>
        <v>0</v>
      </c>
      <c r="E38" s="13" t="n">
        <f aca="false">IFERROR(IF(AND(AND(A38&lt;=Eingaben!$B$11,Prüfungen!$B$4=0),A38=Eingaben!$B$43),Eingaben!$B$44*(1+Eingaben!$B$41)^(A38-1),0),0)</f>
        <v>0</v>
      </c>
      <c r="F38" s="13" t="n">
        <f aca="false">IFERROR(IF(AND(AND(A38&lt;=Eingaben!$B$11,Prüfungen!$B$4=0),A38=Eingaben!$B$11),Eingaben!$B$45,0),0)</f>
        <v>0</v>
      </c>
      <c r="G38" s="13" t="n">
        <f aca="false">C38-D38-E38+F38</f>
        <v>0</v>
      </c>
      <c r="H38" s="13" t="n">
        <f aca="false">IFERROR(IF(AND(A38&lt;=Eingaben!$B$11,Prüfungen!$B$4=0),1/(1+Eingaben!$B$39)^A38,0),0)</f>
        <v>0</v>
      </c>
      <c r="I38" s="13" t="n">
        <f aca="false">G38*H38</f>
        <v>0</v>
      </c>
      <c r="J38" s="13" t="n">
        <f aca="false">J37+I38</f>
        <v>-17797.8728210468</v>
      </c>
      <c r="K38" s="13" t="n">
        <f aca="false">(D38+E38-F38)*H38</f>
        <v>0</v>
      </c>
      <c r="L38" s="13" t="n">
        <f aca="false">B38*H38</f>
        <v>0</v>
      </c>
      <c r="M38" s="13" t="str">
        <f aca="false">IF(AND(AND(A38&lt;=Eingaben!$B$11,Prüfungen!$B$4=0),Berechnung!$B$14&gt;0,J37&lt;0,J38&gt;=0,I38&gt;0),A38-1-J37/I38,"")</f>
        <v/>
      </c>
    </row>
    <row r="39" customFormat="false" ht="16.4" hidden="false" customHeight="false" outlineLevel="0" collapsed="false">
      <c r="A39" s="15" t="n">
        <v>32</v>
      </c>
      <c r="B39" s="13" t="n">
        <f aca="false">IF(AND(A39&lt;=Eingaben!$B$11,Prüfungen!$B$4=0),Berechnung!$B$10,0)</f>
        <v>0</v>
      </c>
      <c r="C39" s="13" t="n">
        <f aca="false">IFERROR(IF(AND(A39&lt;=Eingaben!$B$11,Prüfungen!$B$4=0),B39*(Eingaben!$B$36*(1+Eingaben!$B$40)^(A39-1)+Eingaben!$B$37*Eingaben!$B$38*(1+Eingaben!$B$46)^(A39-1)),0),0)</f>
        <v>0</v>
      </c>
      <c r="D39" s="13" t="n">
        <f aca="false">IFERROR(IF(AND(A39&lt;=Eingaben!$B$11,Prüfungen!$B$4=0),(Eingaben!$B$32+Eingaben!$B$35)*(1+Eingaben!$B$41)^(A39-1)+Berechnung!$B$15*Eingaben!$B$34*(1+Eingaben!$B$42)^(A39-1),0),0)</f>
        <v>0</v>
      </c>
      <c r="E39" s="13" t="n">
        <f aca="false">IFERROR(IF(AND(AND(A39&lt;=Eingaben!$B$11,Prüfungen!$B$4=0),A39=Eingaben!$B$43),Eingaben!$B$44*(1+Eingaben!$B$41)^(A39-1),0),0)</f>
        <v>0</v>
      </c>
      <c r="F39" s="13" t="n">
        <f aca="false">IFERROR(IF(AND(AND(A39&lt;=Eingaben!$B$11,Prüfungen!$B$4=0),A39=Eingaben!$B$11),Eingaben!$B$45,0),0)</f>
        <v>0</v>
      </c>
      <c r="G39" s="13" t="n">
        <f aca="false">C39-D39-E39+F39</f>
        <v>0</v>
      </c>
      <c r="H39" s="13" t="n">
        <f aca="false">IFERROR(IF(AND(A39&lt;=Eingaben!$B$11,Prüfungen!$B$4=0),1/(1+Eingaben!$B$39)^A39,0),0)</f>
        <v>0</v>
      </c>
      <c r="I39" s="13" t="n">
        <f aca="false">G39*H39</f>
        <v>0</v>
      </c>
      <c r="J39" s="13" t="n">
        <f aca="false">J38+I39</f>
        <v>-17797.8728210468</v>
      </c>
      <c r="K39" s="13" t="n">
        <f aca="false">(D39+E39-F39)*H39</f>
        <v>0</v>
      </c>
      <c r="L39" s="13" t="n">
        <f aca="false">B39*H39</f>
        <v>0</v>
      </c>
      <c r="M39" s="13" t="str">
        <f aca="false">IF(AND(AND(A39&lt;=Eingaben!$B$11,Prüfungen!$B$4=0),Berechnung!$B$14&gt;0,J38&lt;0,J39&gt;=0,I39&gt;0),A39-1-J38/I39,"")</f>
        <v/>
      </c>
    </row>
    <row r="40" customFormat="false" ht="16.4" hidden="false" customHeight="false" outlineLevel="0" collapsed="false">
      <c r="A40" s="15" t="n">
        <v>33</v>
      </c>
      <c r="B40" s="13" t="n">
        <f aca="false">IF(AND(A40&lt;=Eingaben!$B$11,Prüfungen!$B$4=0),Berechnung!$B$10,0)</f>
        <v>0</v>
      </c>
      <c r="C40" s="13" t="n">
        <f aca="false">IFERROR(IF(AND(A40&lt;=Eingaben!$B$11,Prüfungen!$B$4=0),B40*(Eingaben!$B$36*(1+Eingaben!$B$40)^(A40-1)+Eingaben!$B$37*Eingaben!$B$38*(1+Eingaben!$B$46)^(A40-1)),0),0)</f>
        <v>0</v>
      </c>
      <c r="D40" s="13" t="n">
        <f aca="false">IFERROR(IF(AND(A40&lt;=Eingaben!$B$11,Prüfungen!$B$4=0),(Eingaben!$B$32+Eingaben!$B$35)*(1+Eingaben!$B$41)^(A40-1)+Berechnung!$B$15*Eingaben!$B$34*(1+Eingaben!$B$42)^(A40-1),0),0)</f>
        <v>0</v>
      </c>
      <c r="E40" s="13" t="n">
        <f aca="false">IFERROR(IF(AND(AND(A40&lt;=Eingaben!$B$11,Prüfungen!$B$4=0),A40=Eingaben!$B$43),Eingaben!$B$44*(1+Eingaben!$B$41)^(A40-1),0),0)</f>
        <v>0</v>
      </c>
      <c r="F40" s="13" t="n">
        <f aca="false">IFERROR(IF(AND(AND(A40&lt;=Eingaben!$B$11,Prüfungen!$B$4=0),A40=Eingaben!$B$11),Eingaben!$B$45,0),0)</f>
        <v>0</v>
      </c>
      <c r="G40" s="13" t="n">
        <f aca="false">C40-D40-E40+F40</f>
        <v>0</v>
      </c>
      <c r="H40" s="13" t="n">
        <f aca="false">IFERROR(IF(AND(A40&lt;=Eingaben!$B$11,Prüfungen!$B$4=0),1/(1+Eingaben!$B$39)^A40,0),0)</f>
        <v>0</v>
      </c>
      <c r="I40" s="13" t="n">
        <f aca="false">G40*H40</f>
        <v>0</v>
      </c>
      <c r="J40" s="13" t="n">
        <f aca="false">J39+I40</f>
        <v>-17797.8728210468</v>
      </c>
      <c r="K40" s="13" t="n">
        <f aca="false">(D40+E40-F40)*H40</f>
        <v>0</v>
      </c>
      <c r="L40" s="13" t="n">
        <f aca="false">B40*H40</f>
        <v>0</v>
      </c>
      <c r="M40" s="13" t="str">
        <f aca="false">IF(AND(AND(A40&lt;=Eingaben!$B$11,Prüfungen!$B$4=0),Berechnung!$B$14&gt;0,J39&lt;0,J40&gt;=0,I40&gt;0),A40-1-J39/I40,"")</f>
        <v/>
      </c>
    </row>
    <row r="41" customFormat="false" ht="16.4" hidden="false" customHeight="false" outlineLevel="0" collapsed="false">
      <c r="A41" s="15" t="n">
        <v>34</v>
      </c>
      <c r="B41" s="13" t="n">
        <f aca="false">IF(AND(A41&lt;=Eingaben!$B$11,Prüfungen!$B$4=0),Berechnung!$B$10,0)</f>
        <v>0</v>
      </c>
      <c r="C41" s="13" t="n">
        <f aca="false">IFERROR(IF(AND(A41&lt;=Eingaben!$B$11,Prüfungen!$B$4=0),B41*(Eingaben!$B$36*(1+Eingaben!$B$40)^(A41-1)+Eingaben!$B$37*Eingaben!$B$38*(1+Eingaben!$B$46)^(A41-1)),0),0)</f>
        <v>0</v>
      </c>
      <c r="D41" s="13" t="n">
        <f aca="false">IFERROR(IF(AND(A41&lt;=Eingaben!$B$11,Prüfungen!$B$4=0),(Eingaben!$B$32+Eingaben!$B$35)*(1+Eingaben!$B$41)^(A41-1)+Berechnung!$B$15*Eingaben!$B$34*(1+Eingaben!$B$42)^(A41-1),0),0)</f>
        <v>0</v>
      </c>
      <c r="E41" s="13" t="n">
        <f aca="false">IFERROR(IF(AND(AND(A41&lt;=Eingaben!$B$11,Prüfungen!$B$4=0),A41=Eingaben!$B$43),Eingaben!$B$44*(1+Eingaben!$B$41)^(A41-1),0),0)</f>
        <v>0</v>
      </c>
      <c r="F41" s="13" t="n">
        <f aca="false">IFERROR(IF(AND(AND(A41&lt;=Eingaben!$B$11,Prüfungen!$B$4=0),A41=Eingaben!$B$11),Eingaben!$B$45,0),0)</f>
        <v>0</v>
      </c>
      <c r="G41" s="13" t="n">
        <f aca="false">C41-D41-E41+F41</f>
        <v>0</v>
      </c>
      <c r="H41" s="13" t="n">
        <f aca="false">IFERROR(IF(AND(A41&lt;=Eingaben!$B$11,Prüfungen!$B$4=0),1/(1+Eingaben!$B$39)^A41,0),0)</f>
        <v>0</v>
      </c>
      <c r="I41" s="13" t="n">
        <f aca="false">G41*H41</f>
        <v>0</v>
      </c>
      <c r="J41" s="13" t="n">
        <f aca="false">J40+I41</f>
        <v>-17797.8728210468</v>
      </c>
      <c r="K41" s="13" t="n">
        <f aca="false">(D41+E41-F41)*H41</f>
        <v>0</v>
      </c>
      <c r="L41" s="13" t="n">
        <f aca="false">B41*H41</f>
        <v>0</v>
      </c>
      <c r="M41" s="13" t="str">
        <f aca="false">IF(AND(AND(A41&lt;=Eingaben!$B$11,Prüfungen!$B$4=0),Berechnung!$B$14&gt;0,J40&lt;0,J41&gt;=0,I41&gt;0),A41-1-J40/I41,"")</f>
        <v/>
      </c>
    </row>
    <row r="42" customFormat="false" ht="16.4" hidden="false" customHeight="false" outlineLevel="0" collapsed="false">
      <c r="A42" s="15" t="n">
        <v>35</v>
      </c>
      <c r="B42" s="13" t="n">
        <f aca="false">IF(AND(A42&lt;=Eingaben!$B$11,Prüfungen!$B$4=0),Berechnung!$B$10,0)</f>
        <v>0</v>
      </c>
      <c r="C42" s="13" t="n">
        <f aca="false">IFERROR(IF(AND(A42&lt;=Eingaben!$B$11,Prüfungen!$B$4=0),B42*(Eingaben!$B$36*(1+Eingaben!$B$40)^(A42-1)+Eingaben!$B$37*Eingaben!$B$38*(1+Eingaben!$B$46)^(A42-1)),0),0)</f>
        <v>0</v>
      </c>
      <c r="D42" s="13" t="n">
        <f aca="false">IFERROR(IF(AND(A42&lt;=Eingaben!$B$11,Prüfungen!$B$4=0),(Eingaben!$B$32+Eingaben!$B$35)*(1+Eingaben!$B$41)^(A42-1)+Berechnung!$B$15*Eingaben!$B$34*(1+Eingaben!$B$42)^(A42-1),0),0)</f>
        <v>0</v>
      </c>
      <c r="E42" s="13" t="n">
        <f aca="false">IFERROR(IF(AND(AND(A42&lt;=Eingaben!$B$11,Prüfungen!$B$4=0),A42=Eingaben!$B$43),Eingaben!$B$44*(1+Eingaben!$B$41)^(A42-1),0),0)</f>
        <v>0</v>
      </c>
      <c r="F42" s="13" t="n">
        <f aca="false">IFERROR(IF(AND(AND(A42&lt;=Eingaben!$B$11,Prüfungen!$B$4=0),A42=Eingaben!$B$11),Eingaben!$B$45,0),0)</f>
        <v>0</v>
      </c>
      <c r="G42" s="13" t="n">
        <f aca="false">C42-D42-E42+F42</f>
        <v>0</v>
      </c>
      <c r="H42" s="13" t="n">
        <f aca="false">IFERROR(IF(AND(A42&lt;=Eingaben!$B$11,Prüfungen!$B$4=0),1/(1+Eingaben!$B$39)^A42,0),0)</f>
        <v>0</v>
      </c>
      <c r="I42" s="13" t="n">
        <f aca="false">G42*H42</f>
        <v>0</v>
      </c>
      <c r="J42" s="13" t="n">
        <f aca="false">J41+I42</f>
        <v>-17797.8728210468</v>
      </c>
      <c r="K42" s="13" t="n">
        <f aca="false">(D42+E42-F42)*H42</f>
        <v>0</v>
      </c>
      <c r="L42" s="13" t="n">
        <f aca="false">B42*H42</f>
        <v>0</v>
      </c>
      <c r="M42" s="13" t="str">
        <f aca="false">IF(AND(AND(A42&lt;=Eingaben!$B$11,Prüfungen!$B$4=0),Berechnung!$B$14&gt;0,J41&lt;0,J42&gt;=0,I42&gt;0),A42-1-J41/I42,"")</f>
        <v/>
      </c>
    </row>
    <row r="43" customFormat="false" ht="16.4" hidden="false" customHeight="false" outlineLevel="0" collapsed="false">
      <c r="A43" s="15" t="n">
        <v>36</v>
      </c>
      <c r="B43" s="13" t="n">
        <f aca="false">IF(AND(A43&lt;=Eingaben!$B$11,Prüfungen!$B$4=0),Berechnung!$B$10,0)</f>
        <v>0</v>
      </c>
      <c r="C43" s="13" t="n">
        <f aca="false">IFERROR(IF(AND(A43&lt;=Eingaben!$B$11,Prüfungen!$B$4=0),B43*(Eingaben!$B$36*(1+Eingaben!$B$40)^(A43-1)+Eingaben!$B$37*Eingaben!$B$38*(1+Eingaben!$B$46)^(A43-1)),0),0)</f>
        <v>0</v>
      </c>
      <c r="D43" s="13" t="n">
        <f aca="false">IFERROR(IF(AND(A43&lt;=Eingaben!$B$11,Prüfungen!$B$4=0),(Eingaben!$B$32+Eingaben!$B$35)*(1+Eingaben!$B$41)^(A43-1)+Berechnung!$B$15*Eingaben!$B$34*(1+Eingaben!$B$42)^(A43-1),0),0)</f>
        <v>0</v>
      </c>
      <c r="E43" s="13" t="n">
        <f aca="false">IFERROR(IF(AND(AND(A43&lt;=Eingaben!$B$11,Prüfungen!$B$4=0),A43=Eingaben!$B$43),Eingaben!$B$44*(1+Eingaben!$B$41)^(A43-1),0),0)</f>
        <v>0</v>
      </c>
      <c r="F43" s="13" t="n">
        <f aca="false">IFERROR(IF(AND(AND(A43&lt;=Eingaben!$B$11,Prüfungen!$B$4=0),A43=Eingaben!$B$11),Eingaben!$B$45,0),0)</f>
        <v>0</v>
      </c>
      <c r="G43" s="13" t="n">
        <f aca="false">C43-D43-E43+F43</f>
        <v>0</v>
      </c>
      <c r="H43" s="13" t="n">
        <f aca="false">IFERROR(IF(AND(A43&lt;=Eingaben!$B$11,Prüfungen!$B$4=0),1/(1+Eingaben!$B$39)^A43,0),0)</f>
        <v>0</v>
      </c>
      <c r="I43" s="13" t="n">
        <f aca="false">G43*H43</f>
        <v>0</v>
      </c>
      <c r="J43" s="13" t="n">
        <f aca="false">J42+I43</f>
        <v>-17797.8728210468</v>
      </c>
      <c r="K43" s="13" t="n">
        <f aca="false">(D43+E43-F43)*H43</f>
        <v>0</v>
      </c>
      <c r="L43" s="13" t="n">
        <f aca="false">B43*H43</f>
        <v>0</v>
      </c>
      <c r="M43" s="13" t="str">
        <f aca="false">IF(AND(AND(A43&lt;=Eingaben!$B$11,Prüfungen!$B$4=0),Berechnung!$B$14&gt;0,J42&lt;0,J43&gt;=0,I43&gt;0),A43-1-J42/I43,"")</f>
        <v/>
      </c>
    </row>
    <row r="44" customFormat="false" ht="16.4" hidden="false" customHeight="false" outlineLevel="0" collapsed="false">
      <c r="A44" s="15" t="n">
        <v>37</v>
      </c>
      <c r="B44" s="13" t="n">
        <f aca="false">IF(AND(A44&lt;=Eingaben!$B$11,Prüfungen!$B$4=0),Berechnung!$B$10,0)</f>
        <v>0</v>
      </c>
      <c r="C44" s="13" t="n">
        <f aca="false">IFERROR(IF(AND(A44&lt;=Eingaben!$B$11,Prüfungen!$B$4=0),B44*(Eingaben!$B$36*(1+Eingaben!$B$40)^(A44-1)+Eingaben!$B$37*Eingaben!$B$38*(1+Eingaben!$B$46)^(A44-1)),0),0)</f>
        <v>0</v>
      </c>
      <c r="D44" s="13" t="n">
        <f aca="false">IFERROR(IF(AND(A44&lt;=Eingaben!$B$11,Prüfungen!$B$4=0),(Eingaben!$B$32+Eingaben!$B$35)*(1+Eingaben!$B$41)^(A44-1)+Berechnung!$B$15*Eingaben!$B$34*(1+Eingaben!$B$42)^(A44-1),0),0)</f>
        <v>0</v>
      </c>
      <c r="E44" s="13" t="n">
        <f aca="false">IFERROR(IF(AND(AND(A44&lt;=Eingaben!$B$11,Prüfungen!$B$4=0),A44=Eingaben!$B$43),Eingaben!$B$44*(1+Eingaben!$B$41)^(A44-1),0),0)</f>
        <v>0</v>
      </c>
      <c r="F44" s="13" t="n">
        <f aca="false">IFERROR(IF(AND(AND(A44&lt;=Eingaben!$B$11,Prüfungen!$B$4=0),A44=Eingaben!$B$11),Eingaben!$B$45,0),0)</f>
        <v>0</v>
      </c>
      <c r="G44" s="13" t="n">
        <f aca="false">C44-D44-E44+F44</f>
        <v>0</v>
      </c>
      <c r="H44" s="13" t="n">
        <f aca="false">IFERROR(IF(AND(A44&lt;=Eingaben!$B$11,Prüfungen!$B$4=0),1/(1+Eingaben!$B$39)^A44,0),0)</f>
        <v>0</v>
      </c>
      <c r="I44" s="13" t="n">
        <f aca="false">G44*H44</f>
        <v>0</v>
      </c>
      <c r="J44" s="13" t="n">
        <f aca="false">J43+I44</f>
        <v>-17797.8728210468</v>
      </c>
      <c r="K44" s="13" t="n">
        <f aca="false">(D44+E44-F44)*H44</f>
        <v>0</v>
      </c>
      <c r="L44" s="13" t="n">
        <f aca="false">B44*H44</f>
        <v>0</v>
      </c>
      <c r="M44" s="13" t="str">
        <f aca="false">IF(AND(AND(A44&lt;=Eingaben!$B$11,Prüfungen!$B$4=0),Berechnung!$B$14&gt;0,J43&lt;0,J44&gt;=0,I44&gt;0),A44-1-J43/I44,"")</f>
        <v/>
      </c>
    </row>
    <row r="45" customFormat="false" ht="16.4" hidden="false" customHeight="false" outlineLevel="0" collapsed="false">
      <c r="A45" s="15" t="n">
        <v>38</v>
      </c>
      <c r="B45" s="13" t="n">
        <f aca="false">IF(AND(A45&lt;=Eingaben!$B$11,Prüfungen!$B$4=0),Berechnung!$B$10,0)</f>
        <v>0</v>
      </c>
      <c r="C45" s="13" t="n">
        <f aca="false">IFERROR(IF(AND(A45&lt;=Eingaben!$B$11,Prüfungen!$B$4=0),B45*(Eingaben!$B$36*(1+Eingaben!$B$40)^(A45-1)+Eingaben!$B$37*Eingaben!$B$38*(1+Eingaben!$B$46)^(A45-1)),0),0)</f>
        <v>0</v>
      </c>
      <c r="D45" s="13" t="n">
        <f aca="false">IFERROR(IF(AND(A45&lt;=Eingaben!$B$11,Prüfungen!$B$4=0),(Eingaben!$B$32+Eingaben!$B$35)*(1+Eingaben!$B$41)^(A45-1)+Berechnung!$B$15*Eingaben!$B$34*(1+Eingaben!$B$42)^(A45-1),0),0)</f>
        <v>0</v>
      </c>
      <c r="E45" s="13" t="n">
        <f aca="false">IFERROR(IF(AND(AND(A45&lt;=Eingaben!$B$11,Prüfungen!$B$4=0),A45=Eingaben!$B$43),Eingaben!$B$44*(1+Eingaben!$B$41)^(A45-1),0),0)</f>
        <v>0</v>
      </c>
      <c r="F45" s="13" t="n">
        <f aca="false">IFERROR(IF(AND(AND(A45&lt;=Eingaben!$B$11,Prüfungen!$B$4=0),A45=Eingaben!$B$11),Eingaben!$B$45,0),0)</f>
        <v>0</v>
      </c>
      <c r="G45" s="13" t="n">
        <f aca="false">C45-D45-E45+F45</f>
        <v>0</v>
      </c>
      <c r="H45" s="13" t="n">
        <f aca="false">IFERROR(IF(AND(A45&lt;=Eingaben!$B$11,Prüfungen!$B$4=0),1/(1+Eingaben!$B$39)^A45,0),0)</f>
        <v>0</v>
      </c>
      <c r="I45" s="13" t="n">
        <f aca="false">G45*H45</f>
        <v>0</v>
      </c>
      <c r="J45" s="13" t="n">
        <f aca="false">J44+I45</f>
        <v>-17797.8728210468</v>
      </c>
      <c r="K45" s="13" t="n">
        <f aca="false">(D45+E45-F45)*H45</f>
        <v>0</v>
      </c>
      <c r="L45" s="13" t="n">
        <f aca="false">B45*H45</f>
        <v>0</v>
      </c>
      <c r="M45" s="13" t="str">
        <f aca="false">IF(AND(AND(A45&lt;=Eingaben!$B$11,Prüfungen!$B$4=0),Berechnung!$B$14&gt;0,J44&lt;0,J45&gt;=0,I45&gt;0),A45-1-J44/I45,"")</f>
        <v/>
      </c>
    </row>
    <row r="46" customFormat="false" ht="16.4" hidden="false" customHeight="false" outlineLevel="0" collapsed="false">
      <c r="A46" s="15" t="n">
        <v>39</v>
      </c>
      <c r="B46" s="13" t="n">
        <f aca="false">IF(AND(A46&lt;=Eingaben!$B$11,Prüfungen!$B$4=0),Berechnung!$B$10,0)</f>
        <v>0</v>
      </c>
      <c r="C46" s="13" t="n">
        <f aca="false">IFERROR(IF(AND(A46&lt;=Eingaben!$B$11,Prüfungen!$B$4=0),B46*(Eingaben!$B$36*(1+Eingaben!$B$40)^(A46-1)+Eingaben!$B$37*Eingaben!$B$38*(1+Eingaben!$B$46)^(A46-1)),0),0)</f>
        <v>0</v>
      </c>
      <c r="D46" s="13" t="n">
        <f aca="false">IFERROR(IF(AND(A46&lt;=Eingaben!$B$11,Prüfungen!$B$4=0),(Eingaben!$B$32+Eingaben!$B$35)*(1+Eingaben!$B$41)^(A46-1)+Berechnung!$B$15*Eingaben!$B$34*(1+Eingaben!$B$42)^(A46-1),0),0)</f>
        <v>0</v>
      </c>
      <c r="E46" s="13" t="n">
        <f aca="false">IFERROR(IF(AND(AND(A46&lt;=Eingaben!$B$11,Prüfungen!$B$4=0),A46=Eingaben!$B$43),Eingaben!$B$44*(1+Eingaben!$B$41)^(A46-1),0),0)</f>
        <v>0</v>
      </c>
      <c r="F46" s="13" t="n">
        <f aca="false">IFERROR(IF(AND(AND(A46&lt;=Eingaben!$B$11,Prüfungen!$B$4=0),A46=Eingaben!$B$11),Eingaben!$B$45,0),0)</f>
        <v>0</v>
      </c>
      <c r="G46" s="13" t="n">
        <f aca="false">C46-D46-E46+F46</f>
        <v>0</v>
      </c>
      <c r="H46" s="13" t="n">
        <f aca="false">IFERROR(IF(AND(A46&lt;=Eingaben!$B$11,Prüfungen!$B$4=0),1/(1+Eingaben!$B$39)^A46,0),0)</f>
        <v>0</v>
      </c>
      <c r="I46" s="13" t="n">
        <f aca="false">G46*H46</f>
        <v>0</v>
      </c>
      <c r="J46" s="13" t="n">
        <f aca="false">J45+I46</f>
        <v>-17797.8728210468</v>
      </c>
      <c r="K46" s="13" t="n">
        <f aca="false">(D46+E46-F46)*H46</f>
        <v>0</v>
      </c>
      <c r="L46" s="13" t="n">
        <f aca="false">B46*H46</f>
        <v>0</v>
      </c>
      <c r="M46" s="13" t="str">
        <f aca="false">IF(AND(AND(A46&lt;=Eingaben!$B$11,Prüfungen!$B$4=0),Berechnung!$B$14&gt;0,J45&lt;0,J46&gt;=0,I46&gt;0),A46-1-J45/I46,"")</f>
        <v/>
      </c>
    </row>
    <row r="47" customFormat="false" ht="16.4" hidden="false" customHeight="false" outlineLevel="0" collapsed="false">
      <c r="A47" s="15" t="n">
        <v>40</v>
      </c>
      <c r="B47" s="13" t="n">
        <f aca="false">IF(AND(A47&lt;=Eingaben!$B$11,Prüfungen!$B$4=0),Berechnung!$B$10,0)</f>
        <v>0</v>
      </c>
      <c r="C47" s="13" t="n">
        <f aca="false">IFERROR(IF(AND(A47&lt;=Eingaben!$B$11,Prüfungen!$B$4=0),B47*(Eingaben!$B$36*(1+Eingaben!$B$40)^(A47-1)+Eingaben!$B$37*Eingaben!$B$38*(1+Eingaben!$B$46)^(A47-1)),0),0)</f>
        <v>0</v>
      </c>
      <c r="D47" s="13" t="n">
        <f aca="false">IFERROR(IF(AND(A47&lt;=Eingaben!$B$11,Prüfungen!$B$4=0),(Eingaben!$B$32+Eingaben!$B$35)*(1+Eingaben!$B$41)^(A47-1)+Berechnung!$B$15*Eingaben!$B$34*(1+Eingaben!$B$42)^(A47-1),0),0)</f>
        <v>0</v>
      </c>
      <c r="E47" s="13" t="n">
        <f aca="false">IFERROR(IF(AND(AND(A47&lt;=Eingaben!$B$11,Prüfungen!$B$4=0),A47=Eingaben!$B$43),Eingaben!$B$44*(1+Eingaben!$B$41)^(A47-1),0),0)</f>
        <v>0</v>
      </c>
      <c r="F47" s="13" t="n">
        <f aca="false">IFERROR(IF(AND(AND(A47&lt;=Eingaben!$B$11,Prüfungen!$B$4=0),A47=Eingaben!$B$11),Eingaben!$B$45,0),0)</f>
        <v>0</v>
      </c>
      <c r="G47" s="13" t="n">
        <f aca="false">C47-D47-E47+F47</f>
        <v>0</v>
      </c>
      <c r="H47" s="13" t="n">
        <f aca="false">IFERROR(IF(AND(A47&lt;=Eingaben!$B$11,Prüfungen!$B$4=0),1/(1+Eingaben!$B$39)^A47,0),0)</f>
        <v>0</v>
      </c>
      <c r="I47" s="13" t="n">
        <f aca="false">G47*H47</f>
        <v>0</v>
      </c>
      <c r="J47" s="13" t="n">
        <f aca="false">J46+I47</f>
        <v>-17797.8728210468</v>
      </c>
      <c r="K47" s="13" t="n">
        <f aca="false">(D47+E47-F47)*H47</f>
        <v>0</v>
      </c>
      <c r="L47" s="13" t="n">
        <f aca="false">B47*H47</f>
        <v>0</v>
      </c>
      <c r="M47" s="13" t="str">
        <f aca="false">IF(AND(AND(A47&lt;=Eingaben!$B$11,Prüfungen!$B$4=0),Berechnung!$B$14&gt;0,J46&lt;0,J47&gt;=0,I47&gt;0),A47-1-J46/I47,"")</f>
        <v/>
      </c>
    </row>
    <row r="48" customFormat="false" ht="16.4" hidden="false" customHeight="false" outlineLevel="0" collapsed="false">
      <c r="A48" s="15" t="n">
        <v>41</v>
      </c>
      <c r="B48" s="13" t="n">
        <f aca="false">IF(AND(A48&lt;=Eingaben!$B$11,Prüfungen!$B$4=0),Berechnung!$B$10,0)</f>
        <v>0</v>
      </c>
      <c r="C48" s="13" t="n">
        <f aca="false">IFERROR(IF(AND(A48&lt;=Eingaben!$B$11,Prüfungen!$B$4=0),B48*(Eingaben!$B$36*(1+Eingaben!$B$40)^(A48-1)+Eingaben!$B$37*Eingaben!$B$38*(1+Eingaben!$B$46)^(A48-1)),0),0)</f>
        <v>0</v>
      </c>
      <c r="D48" s="13" t="n">
        <f aca="false">IFERROR(IF(AND(A48&lt;=Eingaben!$B$11,Prüfungen!$B$4=0),(Eingaben!$B$32+Eingaben!$B$35)*(1+Eingaben!$B$41)^(A48-1)+Berechnung!$B$15*Eingaben!$B$34*(1+Eingaben!$B$42)^(A48-1),0),0)</f>
        <v>0</v>
      </c>
      <c r="E48" s="13" t="n">
        <f aca="false">IFERROR(IF(AND(AND(A48&lt;=Eingaben!$B$11,Prüfungen!$B$4=0),A48=Eingaben!$B$43),Eingaben!$B$44*(1+Eingaben!$B$41)^(A48-1),0),0)</f>
        <v>0</v>
      </c>
      <c r="F48" s="13" t="n">
        <f aca="false">IFERROR(IF(AND(AND(A48&lt;=Eingaben!$B$11,Prüfungen!$B$4=0),A48=Eingaben!$B$11),Eingaben!$B$45,0),0)</f>
        <v>0</v>
      </c>
      <c r="G48" s="13" t="n">
        <f aca="false">C48-D48-E48+F48</f>
        <v>0</v>
      </c>
      <c r="H48" s="13" t="n">
        <f aca="false">IFERROR(IF(AND(A48&lt;=Eingaben!$B$11,Prüfungen!$B$4=0),1/(1+Eingaben!$B$39)^A48,0),0)</f>
        <v>0</v>
      </c>
      <c r="I48" s="13" t="n">
        <f aca="false">G48*H48</f>
        <v>0</v>
      </c>
      <c r="J48" s="13" t="n">
        <f aca="false">J47+I48</f>
        <v>-17797.8728210468</v>
      </c>
      <c r="K48" s="13" t="n">
        <f aca="false">(D48+E48-F48)*H48</f>
        <v>0</v>
      </c>
      <c r="L48" s="13" t="n">
        <f aca="false">B48*H48</f>
        <v>0</v>
      </c>
      <c r="M48" s="13" t="str">
        <f aca="false">IF(AND(AND(A48&lt;=Eingaben!$B$11,Prüfungen!$B$4=0),Berechnung!$B$14&gt;0,J47&lt;0,J48&gt;=0,I48&gt;0),A48-1-J47/I48,"")</f>
        <v/>
      </c>
    </row>
    <row r="49" customFormat="false" ht="16.4" hidden="false" customHeight="false" outlineLevel="0" collapsed="false">
      <c r="A49" s="15" t="n">
        <v>42</v>
      </c>
      <c r="B49" s="13" t="n">
        <f aca="false">IF(AND(A49&lt;=Eingaben!$B$11,Prüfungen!$B$4=0),Berechnung!$B$10,0)</f>
        <v>0</v>
      </c>
      <c r="C49" s="13" t="n">
        <f aca="false">IFERROR(IF(AND(A49&lt;=Eingaben!$B$11,Prüfungen!$B$4=0),B49*(Eingaben!$B$36*(1+Eingaben!$B$40)^(A49-1)+Eingaben!$B$37*Eingaben!$B$38*(1+Eingaben!$B$46)^(A49-1)),0),0)</f>
        <v>0</v>
      </c>
      <c r="D49" s="13" t="n">
        <f aca="false">IFERROR(IF(AND(A49&lt;=Eingaben!$B$11,Prüfungen!$B$4=0),(Eingaben!$B$32+Eingaben!$B$35)*(1+Eingaben!$B$41)^(A49-1)+Berechnung!$B$15*Eingaben!$B$34*(1+Eingaben!$B$42)^(A49-1),0),0)</f>
        <v>0</v>
      </c>
      <c r="E49" s="13" t="n">
        <f aca="false">IFERROR(IF(AND(AND(A49&lt;=Eingaben!$B$11,Prüfungen!$B$4=0),A49=Eingaben!$B$43),Eingaben!$B$44*(1+Eingaben!$B$41)^(A49-1),0),0)</f>
        <v>0</v>
      </c>
      <c r="F49" s="13" t="n">
        <f aca="false">IFERROR(IF(AND(AND(A49&lt;=Eingaben!$B$11,Prüfungen!$B$4=0),A49=Eingaben!$B$11),Eingaben!$B$45,0),0)</f>
        <v>0</v>
      </c>
      <c r="G49" s="13" t="n">
        <f aca="false">C49-D49-E49+F49</f>
        <v>0</v>
      </c>
      <c r="H49" s="13" t="n">
        <f aca="false">IFERROR(IF(AND(A49&lt;=Eingaben!$B$11,Prüfungen!$B$4=0),1/(1+Eingaben!$B$39)^A49,0),0)</f>
        <v>0</v>
      </c>
      <c r="I49" s="13" t="n">
        <f aca="false">G49*H49</f>
        <v>0</v>
      </c>
      <c r="J49" s="13" t="n">
        <f aca="false">J48+I49</f>
        <v>-17797.8728210468</v>
      </c>
      <c r="K49" s="13" t="n">
        <f aca="false">(D49+E49-F49)*H49</f>
        <v>0</v>
      </c>
      <c r="L49" s="13" t="n">
        <f aca="false">B49*H49</f>
        <v>0</v>
      </c>
      <c r="M49" s="13" t="str">
        <f aca="false">IF(AND(AND(A49&lt;=Eingaben!$B$11,Prüfungen!$B$4=0),Berechnung!$B$14&gt;0,J48&lt;0,J49&gt;=0,I49&gt;0),A49-1-J48/I49,"")</f>
        <v/>
      </c>
    </row>
    <row r="50" customFormat="false" ht="16.4" hidden="false" customHeight="false" outlineLevel="0" collapsed="false">
      <c r="A50" s="15" t="n">
        <v>43</v>
      </c>
      <c r="B50" s="13" t="n">
        <f aca="false">IF(AND(A50&lt;=Eingaben!$B$11,Prüfungen!$B$4=0),Berechnung!$B$10,0)</f>
        <v>0</v>
      </c>
      <c r="C50" s="13" t="n">
        <f aca="false">IFERROR(IF(AND(A50&lt;=Eingaben!$B$11,Prüfungen!$B$4=0),B50*(Eingaben!$B$36*(1+Eingaben!$B$40)^(A50-1)+Eingaben!$B$37*Eingaben!$B$38*(1+Eingaben!$B$46)^(A50-1)),0),0)</f>
        <v>0</v>
      </c>
      <c r="D50" s="13" t="n">
        <f aca="false">IFERROR(IF(AND(A50&lt;=Eingaben!$B$11,Prüfungen!$B$4=0),(Eingaben!$B$32+Eingaben!$B$35)*(1+Eingaben!$B$41)^(A50-1)+Berechnung!$B$15*Eingaben!$B$34*(1+Eingaben!$B$42)^(A50-1),0),0)</f>
        <v>0</v>
      </c>
      <c r="E50" s="13" t="n">
        <f aca="false">IFERROR(IF(AND(AND(A50&lt;=Eingaben!$B$11,Prüfungen!$B$4=0),A50=Eingaben!$B$43),Eingaben!$B$44*(1+Eingaben!$B$41)^(A50-1),0),0)</f>
        <v>0</v>
      </c>
      <c r="F50" s="13" t="n">
        <f aca="false">IFERROR(IF(AND(AND(A50&lt;=Eingaben!$B$11,Prüfungen!$B$4=0),A50=Eingaben!$B$11),Eingaben!$B$45,0),0)</f>
        <v>0</v>
      </c>
      <c r="G50" s="13" t="n">
        <f aca="false">C50-D50-E50+F50</f>
        <v>0</v>
      </c>
      <c r="H50" s="13" t="n">
        <f aca="false">IFERROR(IF(AND(A50&lt;=Eingaben!$B$11,Prüfungen!$B$4=0),1/(1+Eingaben!$B$39)^A50,0),0)</f>
        <v>0</v>
      </c>
      <c r="I50" s="13" t="n">
        <f aca="false">G50*H50</f>
        <v>0</v>
      </c>
      <c r="J50" s="13" t="n">
        <f aca="false">J49+I50</f>
        <v>-17797.8728210468</v>
      </c>
      <c r="K50" s="13" t="n">
        <f aca="false">(D50+E50-F50)*H50</f>
        <v>0</v>
      </c>
      <c r="L50" s="13" t="n">
        <f aca="false">B50*H50</f>
        <v>0</v>
      </c>
      <c r="M50" s="13" t="str">
        <f aca="false">IF(AND(AND(A50&lt;=Eingaben!$B$11,Prüfungen!$B$4=0),Berechnung!$B$14&gt;0,J49&lt;0,J50&gt;=0,I50&gt;0),A50-1-J49/I50,"")</f>
        <v/>
      </c>
    </row>
    <row r="51" customFormat="false" ht="16.4" hidden="false" customHeight="false" outlineLevel="0" collapsed="false">
      <c r="A51" s="15" t="n">
        <v>44</v>
      </c>
      <c r="B51" s="13" t="n">
        <f aca="false">IF(AND(A51&lt;=Eingaben!$B$11,Prüfungen!$B$4=0),Berechnung!$B$10,0)</f>
        <v>0</v>
      </c>
      <c r="C51" s="13" t="n">
        <f aca="false">IFERROR(IF(AND(A51&lt;=Eingaben!$B$11,Prüfungen!$B$4=0),B51*(Eingaben!$B$36*(1+Eingaben!$B$40)^(A51-1)+Eingaben!$B$37*Eingaben!$B$38*(1+Eingaben!$B$46)^(A51-1)),0),0)</f>
        <v>0</v>
      </c>
      <c r="D51" s="13" t="n">
        <f aca="false">IFERROR(IF(AND(A51&lt;=Eingaben!$B$11,Prüfungen!$B$4=0),(Eingaben!$B$32+Eingaben!$B$35)*(1+Eingaben!$B$41)^(A51-1)+Berechnung!$B$15*Eingaben!$B$34*(1+Eingaben!$B$42)^(A51-1),0),0)</f>
        <v>0</v>
      </c>
      <c r="E51" s="13" t="n">
        <f aca="false">IFERROR(IF(AND(AND(A51&lt;=Eingaben!$B$11,Prüfungen!$B$4=0),A51=Eingaben!$B$43),Eingaben!$B$44*(1+Eingaben!$B$41)^(A51-1),0),0)</f>
        <v>0</v>
      </c>
      <c r="F51" s="13" t="n">
        <f aca="false">IFERROR(IF(AND(AND(A51&lt;=Eingaben!$B$11,Prüfungen!$B$4=0),A51=Eingaben!$B$11),Eingaben!$B$45,0),0)</f>
        <v>0</v>
      </c>
      <c r="G51" s="13" t="n">
        <f aca="false">C51-D51-E51+F51</f>
        <v>0</v>
      </c>
      <c r="H51" s="13" t="n">
        <f aca="false">IFERROR(IF(AND(A51&lt;=Eingaben!$B$11,Prüfungen!$B$4=0),1/(1+Eingaben!$B$39)^A51,0),0)</f>
        <v>0</v>
      </c>
      <c r="I51" s="13" t="n">
        <f aca="false">G51*H51</f>
        <v>0</v>
      </c>
      <c r="J51" s="13" t="n">
        <f aca="false">J50+I51</f>
        <v>-17797.8728210468</v>
      </c>
      <c r="K51" s="13" t="n">
        <f aca="false">(D51+E51-F51)*H51</f>
        <v>0</v>
      </c>
      <c r="L51" s="13" t="n">
        <f aca="false">B51*H51</f>
        <v>0</v>
      </c>
      <c r="M51" s="13" t="str">
        <f aca="false">IF(AND(AND(A51&lt;=Eingaben!$B$11,Prüfungen!$B$4=0),Berechnung!$B$14&gt;0,J50&lt;0,J51&gt;=0,I51&gt;0),A51-1-J50/I51,"")</f>
        <v/>
      </c>
    </row>
    <row r="52" customFormat="false" ht="16.4" hidden="false" customHeight="false" outlineLevel="0" collapsed="false">
      <c r="A52" s="15" t="n">
        <v>45</v>
      </c>
      <c r="B52" s="13" t="n">
        <f aca="false">IF(AND(A52&lt;=Eingaben!$B$11,Prüfungen!$B$4=0),Berechnung!$B$10,0)</f>
        <v>0</v>
      </c>
      <c r="C52" s="13" t="n">
        <f aca="false">IFERROR(IF(AND(A52&lt;=Eingaben!$B$11,Prüfungen!$B$4=0),B52*(Eingaben!$B$36*(1+Eingaben!$B$40)^(A52-1)+Eingaben!$B$37*Eingaben!$B$38*(1+Eingaben!$B$46)^(A52-1)),0),0)</f>
        <v>0</v>
      </c>
      <c r="D52" s="13" t="n">
        <f aca="false">IFERROR(IF(AND(A52&lt;=Eingaben!$B$11,Prüfungen!$B$4=0),(Eingaben!$B$32+Eingaben!$B$35)*(1+Eingaben!$B$41)^(A52-1)+Berechnung!$B$15*Eingaben!$B$34*(1+Eingaben!$B$42)^(A52-1),0),0)</f>
        <v>0</v>
      </c>
      <c r="E52" s="13" t="n">
        <f aca="false">IFERROR(IF(AND(AND(A52&lt;=Eingaben!$B$11,Prüfungen!$B$4=0),A52=Eingaben!$B$43),Eingaben!$B$44*(1+Eingaben!$B$41)^(A52-1),0),0)</f>
        <v>0</v>
      </c>
      <c r="F52" s="13" t="n">
        <f aca="false">IFERROR(IF(AND(AND(A52&lt;=Eingaben!$B$11,Prüfungen!$B$4=0),A52=Eingaben!$B$11),Eingaben!$B$45,0),0)</f>
        <v>0</v>
      </c>
      <c r="G52" s="13" t="n">
        <f aca="false">C52-D52-E52+F52</f>
        <v>0</v>
      </c>
      <c r="H52" s="13" t="n">
        <f aca="false">IFERROR(IF(AND(A52&lt;=Eingaben!$B$11,Prüfungen!$B$4=0),1/(1+Eingaben!$B$39)^A52,0),0)</f>
        <v>0</v>
      </c>
      <c r="I52" s="13" t="n">
        <f aca="false">G52*H52</f>
        <v>0</v>
      </c>
      <c r="J52" s="13" t="n">
        <f aca="false">J51+I52</f>
        <v>-17797.8728210468</v>
      </c>
      <c r="K52" s="13" t="n">
        <f aca="false">(D52+E52-F52)*H52</f>
        <v>0</v>
      </c>
      <c r="L52" s="13" t="n">
        <f aca="false">B52*H52</f>
        <v>0</v>
      </c>
      <c r="M52" s="13" t="str">
        <f aca="false">IF(AND(AND(A52&lt;=Eingaben!$B$11,Prüfungen!$B$4=0),Berechnung!$B$14&gt;0,J51&lt;0,J52&gt;=0,I52&gt;0),A52-1-J51/I52,"")</f>
        <v/>
      </c>
    </row>
    <row r="53" customFormat="false" ht="16.4" hidden="false" customHeight="false" outlineLevel="0" collapsed="false">
      <c r="A53" s="15" t="n">
        <v>46</v>
      </c>
      <c r="B53" s="13" t="n">
        <f aca="false">IF(AND(A53&lt;=Eingaben!$B$11,Prüfungen!$B$4=0),Berechnung!$B$10,0)</f>
        <v>0</v>
      </c>
      <c r="C53" s="13" t="n">
        <f aca="false">IFERROR(IF(AND(A53&lt;=Eingaben!$B$11,Prüfungen!$B$4=0),B53*(Eingaben!$B$36*(1+Eingaben!$B$40)^(A53-1)+Eingaben!$B$37*Eingaben!$B$38*(1+Eingaben!$B$46)^(A53-1)),0),0)</f>
        <v>0</v>
      </c>
      <c r="D53" s="13" t="n">
        <f aca="false">IFERROR(IF(AND(A53&lt;=Eingaben!$B$11,Prüfungen!$B$4=0),(Eingaben!$B$32+Eingaben!$B$35)*(1+Eingaben!$B$41)^(A53-1)+Berechnung!$B$15*Eingaben!$B$34*(1+Eingaben!$B$42)^(A53-1),0),0)</f>
        <v>0</v>
      </c>
      <c r="E53" s="13" t="n">
        <f aca="false">IFERROR(IF(AND(AND(A53&lt;=Eingaben!$B$11,Prüfungen!$B$4=0),A53=Eingaben!$B$43),Eingaben!$B$44*(1+Eingaben!$B$41)^(A53-1),0),0)</f>
        <v>0</v>
      </c>
      <c r="F53" s="13" t="n">
        <f aca="false">IFERROR(IF(AND(AND(A53&lt;=Eingaben!$B$11,Prüfungen!$B$4=0),A53=Eingaben!$B$11),Eingaben!$B$45,0),0)</f>
        <v>0</v>
      </c>
      <c r="G53" s="13" t="n">
        <f aca="false">C53-D53-E53+F53</f>
        <v>0</v>
      </c>
      <c r="H53" s="13" t="n">
        <f aca="false">IFERROR(IF(AND(A53&lt;=Eingaben!$B$11,Prüfungen!$B$4=0),1/(1+Eingaben!$B$39)^A53,0),0)</f>
        <v>0</v>
      </c>
      <c r="I53" s="13" t="n">
        <f aca="false">G53*H53</f>
        <v>0</v>
      </c>
      <c r="J53" s="13" t="n">
        <f aca="false">J52+I53</f>
        <v>-17797.8728210468</v>
      </c>
      <c r="K53" s="13" t="n">
        <f aca="false">(D53+E53-F53)*H53</f>
        <v>0</v>
      </c>
      <c r="L53" s="13" t="n">
        <f aca="false">B53*H53</f>
        <v>0</v>
      </c>
      <c r="M53" s="13" t="str">
        <f aca="false">IF(AND(AND(A53&lt;=Eingaben!$B$11,Prüfungen!$B$4=0),Berechnung!$B$14&gt;0,J52&lt;0,J53&gt;=0,I53&gt;0),A53-1-J52/I53,"")</f>
        <v/>
      </c>
    </row>
    <row r="54" customFormat="false" ht="16.4" hidden="false" customHeight="false" outlineLevel="0" collapsed="false">
      <c r="A54" s="15" t="n">
        <v>47</v>
      </c>
      <c r="B54" s="13" t="n">
        <f aca="false">IF(AND(A54&lt;=Eingaben!$B$11,Prüfungen!$B$4=0),Berechnung!$B$10,0)</f>
        <v>0</v>
      </c>
      <c r="C54" s="13" t="n">
        <f aca="false">IFERROR(IF(AND(A54&lt;=Eingaben!$B$11,Prüfungen!$B$4=0),B54*(Eingaben!$B$36*(1+Eingaben!$B$40)^(A54-1)+Eingaben!$B$37*Eingaben!$B$38*(1+Eingaben!$B$46)^(A54-1)),0),0)</f>
        <v>0</v>
      </c>
      <c r="D54" s="13" t="n">
        <f aca="false">IFERROR(IF(AND(A54&lt;=Eingaben!$B$11,Prüfungen!$B$4=0),(Eingaben!$B$32+Eingaben!$B$35)*(1+Eingaben!$B$41)^(A54-1)+Berechnung!$B$15*Eingaben!$B$34*(1+Eingaben!$B$42)^(A54-1),0),0)</f>
        <v>0</v>
      </c>
      <c r="E54" s="13" t="n">
        <f aca="false">IFERROR(IF(AND(AND(A54&lt;=Eingaben!$B$11,Prüfungen!$B$4=0),A54=Eingaben!$B$43),Eingaben!$B$44*(1+Eingaben!$B$41)^(A54-1),0),0)</f>
        <v>0</v>
      </c>
      <c r="F54" s="13" t="n">
        <f aca="false">IFERROR(IF(AND(AND(A54&lt;=Eingaben!$B$11,Prüfungen!$B$4=0),A54=Eingaben!$B$11),Eingaben!$B$45,0),0)</f>
        <v>0</v>
      </c>
      <c r="G54" s="13" t="n">
        <f aca="false">C54-D54-E54+F54</f>
        <v>0</v>
      </c>
      <c r="H54" s="13" t="n">
        <f aca="false">IFERROR(IF(AND(A54&lt;=Eingaben!$B$11,Prüfungen!$B$4=0),1/(1+Eingaben!$B$39)^A54,0),0)</f>
        <v>0</v>
      </c>
      <c r="I54" s="13" t="n">
        <f aca="false">G54*H54</f>
        <v>0</v>
      </c>
      <c r="J54" s="13" t="n">
        <f aca="false">J53+I54</f>
        <v>-17797.8728210468</v>
      </c>
      <c r="K54" s="13" t="n">
        <f aca="false">(D54+E54-F54)*H54</f>
        <v>0</v>
      </c>
      <c r="L54" s="13" t="n">
        <f aca="false">B54*H54</f>
        <v>0</v>
      </c>
      <c r="M54" s="13" t="str">
        <f aca="false">IF(AND(AND(A54&lt;=Eingaben!$B$11,Prüfungen!$B$4=0),Berechnung!$B$14&gt;0,J53&lt;0,J54&gt;=0,I54&gt;0),A54-1-J53/I54,"")</f>
        <v/>
      </c>
    </row>
    <row r="55" customFormat="false" ht="16.4" hidden="false" customHeight="false" outlineLevel="0" collapsed="false">
      <c r="A55" s="15" t="n">
        <v>48</v>
      </c>
      <c r="B55" s="13" t="n">
        <f aca="false">IF(AND(A55&lt;=Eingaben!$B$11,Prüfungen!$B$4=0),Berechnung!$B$10,0)</f>
        <v>0</v>
      </c>
      <c r="C55" s="13" t="n">
        <f aca="false">IFERROR(IF(AND(A55&lt;=Eingaben!$B$11,Prüfungen!$B$4=0),B55*(Eingaben!$B$36*(1+Eingaben!$B$40)^(A55-1)+Eingaben!$B$37*Eingaben!$B$38*(1+Eingaben!$B$46)^(A55-1)),0),0)</f>
        <v>0</v>
      </c>
      <c r="D55" s="13" t="n">
        <f aca="false">IFERROR(IF(AND(A55&lt;=Eingaben!$B$11,Prüfungen!$B$4=0),(Eingaben!$B$32+Eingaben!$B$35)*(1+Eingaben!$B$41)^(A55-1)+Berechnung!$B$15*Eingaben!$B$34*(1+Eingaben!$B$42)^(A55-1),0),0)</f>
        <v>0</v>
      </c>
      <c r="E55" s="13" t="n">
        <f aca="false">IFERROR(IF(AND(AND(A55&lt;=Eingaben!$B$11,Prüfungen!$B$4=0),A55=Eingaben!$B$43),Eingaben!$B$44*(1+Eingaben!$B$41)^(A55-1),0),0)</f>
        <v>0</v>
      </c>
      <c r="F55" s="13" t="n">
        <f aca="false">IFERROR(IF(AND(AND(A55&lt;=Eingaben!$B$11,Prüfungen!$B$4=0),A55=Eingaben!$B$11),Eingaben!$B$45,0),0)</f>
        <v>0</v>
      </c>
      <c r="G55" s="13" t="n">
        <f aca="false">C55-D55-E55+F55</f>
        <v>0</v>
      </c>
      <c r="H55" s="13" t="n">
        <f aca="false">IFERROR(IF(AND(A55&lt;=Eingaben!$B$11,Prüfungen!$B$4=0),1/(1+Eingaben!$B$39)^A55,0),0)</f>
        <v>0</v>
      </c>
      <c r="I55" s="13" t="n">
        <f aca="false">G55*H55</f>
        <v>0</v>
      </c>
      <c r="J55" s="13" t="n">
        <f aca="false">J54+I55</f>
        <v>-17797.8728210468</v>
      </c>
      <c r="K55" s="13" t="n">
        <f aca="false">(D55+E55-F55)*H55</f>
        <v>0</v>
      </c>
      <c r="L55" s="13" t="n">
        <f aca="false">B55*H55</f>
        <v>0</v>
      </c>
      <c r="M55" s="13" t="str">
        <f aca="false">IF(AND(AND(A55&lt;=Eingaben!$B$11,Prüfungen!$B$4=0),Berechnung!$B$14&gt;0,J54&lt;0,J55&gt;=0,I55&gt;0),A55-1-J54/I55,"")</f>
        <v/>
      </c>
    </row>
    <row r="56" customFormat="false" ht="16.4" hidden="false" customHeight="false" outlineLevel="0" collapsed="false">
      <c r="A56" s="15" t="n">
        <v>49</v>
      </c>
      <c r="B56" s="13" t="n">
        <f aca="false">IF(AND(A56&lt;=Eingaben!$B$11,Prüfungen!$B$4=0),Berechnung!$B$10,0)</f>
        <v>0</v>
      </c>
      <c r="C56" s="13" t="n">
        <f aca="false">IFERROR(IF(AND(A56&lt;=Eingaben!$B$11,Prüfungen!$B$4=0),B56*(Eingaben!$B$36*(1+Eingaben!$B$40)^(A56-1)+Eingaben!$B$37*Eingaben!$B$38*(1+Eingaben!$B$46)^(A56-1)),0),0)</f>
        <v>0</v>
      </c>
      <c r="D56" s="13" t="n">
        <f aca="false">IFERROR(IF(AND(A56&lt;=Eingaben!$B$11,Prüfungen!$B$4=0),(Eingaben!$B$32+Eingaben!$B$35)*(1+Eingaben!$B$41)^(A56-1)+Berechnung!$B$15*Eingaben!$B$34*(1+Eingaben!$B$42)^(A56-1),0),0)</f>
        <v>0</v>
      </c>
      <c r="E56" s="13" t="n">
        <f aca="false">IFERROR(IF(AND(AND(A56&lt;=Eingaben!$B$11,Prüfungen!$B$4=0),A56=Eingaben!$B$43),Eingaben!$B$44*(1+Eingaben!$B$41)^(A56-1),0),0)</f>
        <v>0</v>
      </c>
      <c r="F56" s="13" t="n">
        <f aca="false">IFERROR(IF(AND(AND(A56&lt;=Eingaben!$B$11,Prüfungen!$B$4=0),A56=Eingaben!$B$11),Eingaben!$B$45,0),0)</f>
        <v>0</v>
      </c>
      <c r="G56" s="13" t="n">
        <f aca="false">C56-D56-E56+F56</f>
        <v>0</v>
      </c>
      <c r="H56" s="13" t="n">
        <f aca="false">IFERROR(IF(AND(A56&lt;=Eingaben!$B$11,Prüfungen!$B$4=0),1/(1+Eingaben!$B$39)^A56,0),0)</f>
        <v>0</v>
      </c>
      <c r="I56" s="13" t="n">
        <f aca="false">G56*H56</f>
        <v>0</v>
      </c>
      <c r="J56" s="13" t="n">
        <f aca="false">J55+I56</f>
        <v>-17797.8728210468</v>
      </c>
      <c r="K56" s="13" t="n">
        <f aca="false">(D56+E56-F56)*H56</f>
        <v>0</v>
      </c>
      <c r="L56" s="13" t="n">
        <f aca="false">B56*H56</f>
        <v>0</v>
      </c>
      <c r="M56" s="13" t="str">
        <f aca="false">IF(AND(AND(A56&lt;=Eingaben!$B$11,Prüfungen!$B$4=0),Berechnung!$B$14&gt;0,J55&lt;0,J56&gt;=0,I56&gt;0),A56-1-J55/I56,"")</f>
        <v/>
      </c>
    </row>
    <row r="57" customFormat="false" ht="16.4" hidden="false" customHeight="false" outlineLevel="0" collapsed="false">
      <c r="A57" s="15" t="n">
        <v>50</v>
      </c>
      <c r="B57" s="13" t="n">
        <f aca="false">IF(AND(A57&lt;=Eingaben!$B$11,Prüfungen!$B$4=0),Berechnung!$B$10,0)</f>
        <v>0</v>
      </c>
      <c r="C57" s="13" t="n">
        <f aca="false">IFERROR(IF(AND(A57&lt;=Eingaben!$B$11,Prüfungen!$B$4=0),B57*(Eingaben!$B$36*(1+Eingaben!$B$40)^(A57-1)+Eingaben!$B$37*Eingaben!$B$38*(1+Eingaben!$B$46)^(A57-1)),0),0)</f>
        <v>0</v>
      </c>
      <c r="D57" s="13" t="n">
        <f aca="false">IFERROR(IF(AND(A57&lt;=Eingaben!$B$11,Prüfungen!$B$4=0),(Eingaben!$B$32+Eingaben!$B$35)*(1+Eingaben!$B$41)^(A57-1)+Berechnung!$B$15*Eingaben!$B$34*(1+Eingaben!$B$42)^(A57-1),0),0)</f>
        <v>0</v>
      </c>
      <c r="E57" s="13" t="n">
        <f aca="false">IFERROR(IF(AND(AND(A57&lt;=Eingaben!$B$11,Prüfungen!$B$4=0),A57=Eingaben!$B$43),Eingaben!$B$44*(1+Eingaben!$B$41)^(A57-1),0),0)</f>
        <v>0</v>
      </c>
      <c r="F57" s="13" t="n">
        <f aca="false">IFERROR(IF(AND(AND(A57&lt;=Eingaben!$B$11,Prüfungen!$B$4=0),A57=Eingaben!$B$11),Eingaben!$B$45,0),0)</f>
        <v>0</v>
      </c>
      <c r="G57" s="13" t="n">
        <f aca="false">C57-D57-E57+F57</f>
        <v>0</v>
      </c>
      <c r="H57" s="13" t="n">
        <f aca="false">IFERROR(IF(AND(A57&lt;=Eingaben!$B$11,Prüfungen!$B$4=0),1/(1+Eingaben!$B$39)^A57,0),0)</f>
        <v>0</v>
      </c>
      <c r="I57" s="13" t="n">
        <f aca="false">G57*H57</f>
        <v>0</v>
      </c>
      <c r="J57" s="13" t="n">
        <f aca="false">J56+I57</f>
        <v>-17797.8728210468</v>
      </c>
      <c r="K57" s="13" t="n">
        <f aca="false">(D57+E57-F57)*H57</f>
        <v>0</v>
      </c>
      <c r="L57" s="13" t="n">
        <f aca="false">B57*H57</f>
        <v>0</v>
      </c>
      <c r="M57" s="13" t="str">
        <f aca="false">IF(AND(AND(A57&lt;=Eingaben!$B$11,Prüfungen!$B$4=0),Berechnung!$B$14&gt;0,J56&lt;0,J57&gt;=0,I57&gt;0),A57-1-J56/I57,"")</f>
        <v/>
      </c>
    </row>
  </sheetData>
  <sheetProtection sheet="true" objects="true" sort="false" autoFilter="false"/>
  <mergeCells count="2">
    <mergeCell ref="A1:M1"/>
    <mergeCell ref="A3:M3"/>
  </mergeCells>
  <hyperlinks>
    <hyperlink ref="A2" r:id="rId1" location="'Dashboard'!A1" display="Dashboard"/>
    <hyperlink ref="B2" r:id="rId2" location="'Eingaben'!A1" display="Eingaben"/>
    <hyperlink ref="C2" r:id="rId3" location="'Nutzungsprofile'!A1" display="Profile"/>
    <hyperlink ref="D2" r:id="rId4" location="'Kalender'!A1" display="Kalender"/>
    <hyperlink ref="E2" r:id="rId5" location="'Anleitung'!A1" display="Methodik"/>
  </hyperlinks>
  <printOptions headings="false" gridLines="false" gridLinesSet="true" horizontalCentered="true" verticalCentered="false"/>
  <pageMargins left="0.25" right="0.2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Grauwasserbewertung | wissenschaftlicher Prototyp |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53"/>
    <col collapsed="false" customWidth="true" hidden="false" outlineLevel="0" max="3" min="3" style="0" width="14"/>
    <col collapsed="false" customWidth="true" hidden="false" outlineLevel="0" max="4" min="4" style="0" width="72"/>
  </cols>
  <sheetData>
    <row r="1" customFormat="false" ht="37.5" hidden="false" customHeight="true" outlineLevel="0" collapsed="false">
      <c r="A1" s="1" t="s">
        <v>233</v>
      </c>
      <c r="B1" s="1"/>
      <c r="C1" s="1"/>
      <c r="D1" s="1"/>
    </row>
    <row r="2" customFormat="false" ht="14.9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3.75" hidden="false" customHeight="true" outlineLevel="0" collapsed="false">
      <c r="A3" s="3" t="s">
        <v>234</v>
      </c>
      <c r="B3" s="3"/>
      <c r="C3" s="3"/>
      <c r="D3" s="3"/>
    </row>
    <row r="4" customFormat="false" ht="31.5" hidden="false" customHeight="true" outlineLevel="0" collapsed="false">
      <c r="A4" s="11" t="s">
        <v>235</v>
      </c>
      <c r="B4" s="11" t="s">
        <v>236</v>
      </c>
      <c r="C4" s="11" t="s">
        <v>185</v>
      </c>
      <c r="D4" s="11" t="s">
        <v>237</v>
      </c>
    </row>
    <row r="5" customFormat="false" ht="33.75" hidden="false" customHeight="true" outlineLevel="0" collapsed="false">
      <c r="A5" s="12" t="s">
        <v>238</v>
      </c>
      <c r="B5" s="13" t="n">
        <f aca="false">Prüfungen!B4</f>
        <v>0</v>
      </c>
      <c r="C5" s="12" t="s">
        <v>239</v>
      </c>
      <c r="D5" s="12" t="s">
        <v>240</v>
      </c>
    </row>
    <row r="6" customFormat="false" ht="33.75" hidden="false" customHeight="true" outlineLevel="0" collapsed="false">
      <c r="A6" s="12" t="s">
        <v>241</v>
      </c>
      <c r="B6" s="13" t="n">
        <f aca="false">SUM(Wasserbilanz!D5:D370)</f>
        <v>742.2</v>
      </c>
      <c r="C6" s="12" t="s">
        <v>25</v>
      </c>
      <c r="D6" s="12" t="s">
        <v>242</v>
      </c>
    </row>
    <row r="7" customFormat="false" ht="33.75" hidden="false" customHeight="true" outlineLevel="0" collapsed="false">
      <c r="A7" s="12" t="s">
        <v>243</v>
      </c>
      <c r="B7" s="13" t="n">
        <f aca="false">SUM(Wasserbilanz!F5:F370)</f>
        <v>705.09</v>
      </c>
      <c r="C7" s="12" t="s">
        <v>25</v>
      </c>
      <c r="D7" s="12" t="s">
        <v>244</v>
      </c>
    </row>
    <row r="8" customFormat="false" ht="33.75" hidden="false" customHeight="true" outlineLevel="0" collapsed="false">
      <c r="A8" s="12" t="s">
        <v>245</v>
      </c>
      <c r="B8" s="13" t="n">
        <f aca="false">SUM(Wasserbilanz!G5:G370)</f>
        <v>634.581</v>
      </c>
      <c r="C8" s="12" t="s">
        <v>25</v>
      </c>
      <c r="D8" s="12" t="s">
        <v>246</v>
      </c>
    </row>
    <row r="9" customFormat="false" ht="33.75" hidden="false" customHeight="true" outlineLevel="0" collapsed="false">
      <c r="A9" s="12" t="s">
        <v>10</v>
      </c>
      <c r="B9" s="13" t="n">
        <f aca="false">SUM(Wasserbilanz!E5:E370)</f>
        <v>1018.7</v>
      </c>
      <c r="C9" s="12" t="s">
        <v>25</v>
      </c>
      <c r="D9" s="12" t="s">
        <v>247</v>
      </c>
    </row>
    <row r="10" customFormat="false" ht="33.75" hidden="false" customHeight="true" outlineLevel="0" collapsed="false">
      <c r="A10" s="12" t="s">
        <v>248</v>
      </c>
      <c r="B10" s="13" t="n">
        <f aca="false">SUM(Wasserbilanz!L5:L370)</f>
        <v>555.3897572</v>
      </c>
      <c r="C10" s="12" t="s">
        <v>25</v>
      </c>
      <c r="D10" s="12" t="s">
        <v>249</v>
      </c>
    </row>
    <row r="11" customFormat="false" ht="33.75" hidden="false" customHeight="true" outlineLevel="0" collapsed="false">
      <c r="A11" s="12" t="s">
        <v>250</v>
      </c>
      <c r="B11" s="13" t="n">
        <f aca="false">SUM(Wasserbilanz!M5:M370)</f>
        <v>463.3102428</v>
      </c>
      <c r="C11" s="12" t="s">
        <v>25</v>
      </c>
      <c r="D11" s="12" t="s">
        <v>251</v>
      </c>
    </row>
    <row r="12" customFormat="false" ht="33.75" hidden="false" customHeight="true" outlineLevel="0" collapsed="false">
      <c r="A12" s="12" t="s">
        <v>252</v>
      </c>
      <c r="B12" s="13" t="n">
        <f aca="false">B8-B10</f>
        <v>79.1912427999999</v>
      </c>
      <c r="C12" s="12" t="s">
        <v>25</v>
      </c>
      <c r="D12" s="12" t="s">
        <v>253</v>
      </c>
    </row>
    <row r="13" customFormat="false" ht="33.75" hidden="false" customHeight="true" outlineLevel="0" collapsed="false">
      <c r="A13" s="12" t="s">
        <v>13</v>
      </c>
      <c r="B13" s="13" t="n">
        <f aca="false">IFERROR(SUM(Eingaben!B27:B30),0)</f>
        <v>25000</v>
      </c>
      <c r="C13" s="12" t="s">
        <v>89</v>
      </c>
      <c r="D13" s="12" t="s">
        <v>254</v>
      </c>
    </row>
    <row r="14" customFormat="false" ht="33.75" hidden="false" customHeight="true" outlineLevel="0" collapsed="false">
      <c r="A14" s="12" t="s">
        <v>255</v>
      </c>
      <c r="B14" s="13" t="n">
        <f aca="false">IFERROR(MAX(0,B13-Eingaben!$B$31),0)</f>
        <v>25000</v>
      </c>
      <c r="C14" s="12" t="s">
        <v>89</v>
      </c>
      <c r="D14" s="12" t="s">
        <v>256</v>
      </c>
    </row>
    <row r="15" customFormat="false" ht="33.75" hidden="false" customHeight="true" outlineLevel="0" collapsed="false">
      <c r="A15" s="12" t="s">
        <v>257</v>
      </c>
      <c r="B15" s="13" t="n">
        <f aca="false">IFERROR(B7*Eingaben!$B$33,0)</f>
        <v>705.09</v>
      </c>
      <c r="C15" s="12" t="s">
        <v>258</v>
      </c>
      <c r="D15" s="12" t="s">
        <v>259</v>
      </c>
    </row>
    <row r="16" customFormat="false" ht="33.75" hidden="false" customHeight="true" outlineLevel="0" collapsed="false">
      <c r="A16" s="12" t="s">
        <v>14</v>
      </c>
      <c r="B16" s="13" t="n">
        <f aca="false">IFERROR(Eingaben!$B$32+Eingaben!$B$35+B15*Eingaben!$B$34,0)</f>
        <v>781.527</v>
      </c>
      <c r="C16" s="12" t="s">
        <v>100</v>
      </c>
      <c r="D16" s="12" t="s">
        <v>260</v>
      </c>
    </row>
    <row r="17" customFormat="false" ht="33.75" hidden="false" customHeight="true" outlineLevel="0" collapsed="false">
      <c r="A17" s="12" t="s">
        <v>15</v>
      </c>
      <c r="B17" s="13" t="n">
        <f aca="false">IFERROR(B10*(Eingaben!$B$36+Eingaben!$B$37*Eingaben!$B$38),0)</f>
        <v>1388.474393</v>
      </c>
      <c r="C17" s="12" t="s">
        <v>100</v>
      </c>
      <c r="D17" s="12" t="s">
        <v>261</v>
      </c>
    </row>
    <row r="18" customFormat="false" ht="33.75" hidden="false" customHeight="true" outlineLevel="0" collapsed="false">
      <c r="A18" s="12" t="s">
        <v>16</v>
      </c>
      <c r="B18" s="13" t="n">
        <f aca="false">B17-B16</f>
        <v>606.947393</v>
      </c>
      <c r="C18" s="12" t="s">
        <v>100</v>
      </c>
      <c r="D18" s="12" t="s">
        <v>262</v>
      </c>
    </row>
    <row r="19" customFormat="false" ht="33.75" hidden="false" customHeight="true" outlineLevel="0" collapsed="false">
      <c r="A19" s="12" t="s">
        <v>17</v>
      </c>
      <c r="B19" s="13" t="n">
        <f aca="false">IF(B14=0,"Keine Nettoinvestition",IF(B18&lt;=0,"Nicht erreichbar",B14/B18))</f>
        <v>41.1897312490804</v>
      </c>
      <c r="C19" s="12" t="s">
        <v>56</v>
      </c>
      <c r="D19" s="12" t="s">
        <v>263</v>
      </c>
    </row>
    <row r="20" customFormat="false" ht="33.75" hidden="false" customHeight="true" outlineLevel="0" collapsed="false">
      <c r="A20" s="12" t="s">
        <v>19</v>
      </c>
      <c r="B20" s="13" t="n">
        <f aca="false">SUM(Zahlungen!I7:I57)</f>
        <v>-17797.8728210468</v>
      </c>
      <c r="C20" s="12" t="s">
        <v>89</v>
      </c>
      <c r="D20" s="12" t="s">
        <v>264</v>
      </c>
    </row>
    <row r="21" customFormat="false" ht="33.75" hidden="false" customHeight="true" outlineLevel="0" collapsed="false">
      <c r="A21" s="12" t="s">
        <v>265</v>
      </c>
      <c r="B21" s="13" t="str">
        <f aca="false">IF(B14=0,"Keine Nettoinvestition",IF(COUNT(Zahlungen!M8:M57)=0,"Im Zeitraum nicht erreicht",MIN(Zahlungen!M8:M57)))</f>
        <v>Im Zeitraum nicht erreicht</v>
      </c>
      <c r="C21" s="12" t="s">
        <v>56</v>
      </c>
      <c r="D21" s="12" t="s">
        <v>266</v>
      </c>
    </row>
    <row r="22" customFormat="false" ht="33.75" hidden="false" customHeight="true" outlineLevel="0" collapsed="false">
      <c r="A22" s="12" t="s">
        <v>12</v>
      </c>
      <c r="B22" s="24" t="n">
        <f aca="false">IFERROR(B10/(B9+Eingaben!$B$12),0)</f>
        <v>0.220506514154127</v>
      </c>
      <c r="C22" s="12" t="s">
        <v>62</v>
      </c>
      <c r="D22" s="12" t="s">
        <v>267</v>
      </c>
    </row>
    <row r="23" customFormat="false" ht="33.75" hidden="false" customHeight="true" outlineLevel="0" collapsed="false">
      <c r="A23" s="12" t="s">
        <v>20</v>
      </c>
      <c r="B23" s="24" t="n">
        <f aca="false">IFERROR(B10/B9,0)</f>
        <v>0.545194617846275</v>
      </c>
      <c r="C23" s="12" t="s">
        <v>62</v>
      </c>
      <c r="D23" s="12" t="s">
        <v>268</v>
      </c>
    </row>
    <row r="24" customFormat="false" ht="33.75" hidden="false" customHeight="true" outlineLevel="0" collapsed="false">
      <c r="A24" s="12" t="s">
        <v>269</v>
      </c>
      <c r="B24" s="24" t="n">
        <f aca="false">IFERROR(B10/B6,0)</f>
        <v>0.748302017246025</v>
      </c>
      <c r="C24" s="12" t="s">
        <v>62</v>
      </c>
      <c r="D24" s="12" t="s">
        <v>270</v>
      </c>
    </row>
    <row r="25" customFormat="false" ht="33.75" hidden="false" customHeight="true" outlineLevel="0" collapsed="false">
      <c r="A25" s="12" t="s">
        <v>271</v>
      </c>
      <c r="B25" s="13" t="n">
        <f aca="false">IF(SUM(Zahlungen!L7:L57)&gt;0,SUM(Zahlungen!K7:K57)/SUM(Zahlungen!L7:L57),"Keine Einsparmenge")</f>
        <v>5.1327576850884</v>
      </c>
      <c r="C25" s="12" t="s">
        <v>111</v>
      </c>
      <c r="D25" s="12" t="s">
        <v>272</v>
      </c>
    </row>
    <row r="26" customFormat="false" ht="33.75" hidden="false" customHeight="true" outlineLevel="0" collapsed="false">
      <c r="A26" s="12" t="s">
        <v>273</v>
      </c>
      <c r="B26" s="13" t="n">
        <f aca="false">SUM(Wasserbilanz!N5:N370)</f>
        <v>0</v>
      </c>
      <c r="C26" s="12" t="s">
        <v>25</v>
      </c>
      <c r="D26" s="12" t="s">
        <v>274</v>
      </c>
    </row>
    <row r="27" customFormat="false" ht="33.75" hidden="false" customHeight="true" outlineLevel="0" collapsed="false">
      <c r="A27" s="12" t="s">
        <v>275</v>
      </c>
      <c r="B27" s="13" t="n">
        <f aca="false">IF(OR(Eingaben!$B$21="Nicht erfüllt",Eingaben!$B$22="Nicht erfüllt",Eingaben!$B$23="Nicht erfüllt"),3,IF(OR(Eingaben!$B$21="Ungeklärt",Eingaben!$B$22="Ungeklärt",Eingaben!$B$23="Ungeklärt"),2,1))</f>
        <v>2</v>
      </c>
      <c r="C27" s="12" t="s">
        <v>276</v>
      </c>
      <c r="D27" s="12" t="s">
        <v>277</v>
      </c>
    </row>
    <row r="28" customFormat="false" ht="33.75" hidden="false" customHeight="true" outlineLevel="0" collapsed="false">
      <c r="A28" s="12" t="s">
        <v>278</v>
      </c>
      <c r="B28" s="13" t="n">
        <f aca="false">IFERROR(IF(B14=0,IF(B20&gt;=0,1,3),IF(B20/B14&gt;=Schwellenwerte!B5,1,IF(B20/B14&gt;=Schwellenwerte!B6,2,3))),"Nicht bewertbar")</f>
        <v>3</v>
      </c>
      <c r="C28" s="12" t="s">
        <v>276</v>
      </c>
      <c r="D28" s="12" t="s">
        <v>279</v>
      </c>
    </row>
    <row r="29" customFormat="false" ht="33.75" hidden="false" customHeight="true" outlineLevel="0" collapsed="false">
      <c r="A29" s="12" t="s">
        <v>280</v>
      </c>
      <c r="B29" s="13" t="n">
        <f aca="false">IFERROR(IF(B10&lt;=0,3,IF(B22&gt;=Schwellenwerte!B9,1,IF(B22&gt;=Schwellenwerte!B10,2,3))),"Nicht bewertbar")</f>
        <v>1</v>
      </c>
      <c r="C29" s="12" t="s">
        <v>276</v>
      </c>
      <c r="D29" s="12" t="s">
        <v>281</v>
      </c>
    </row>
    <row r="30" customFormat="false" ht="33.75" hidden="false" customHeight="true" outlineLevel="0" collapsed="false">
      <c r="A30" s="12" t="s">
        <v>282</v>
      </c>
      <c r="B30" s="13" t="n">
        <f aca="false">IFERROR(MAX(B27:B29),"Nicht bewertbar")</f>
        <v>3</v>
      </c>
      <c r="C30" s="12" t="s">
        <v>276</v>
      </c>
      <c r="D30" s="12" t="s">
        <v>283</v>
      </c>
    </row>
    <row r="31" customFormat="false" ht="33.75" hidden="false" customHeight="true" outlineLevel="0" collapsed="false">
      <c r="A31" s="12" t="s">
        <v>284</v>
      </c>
      <c r="B31" s="13" t="str">
        <f aca="false">IF(B5&gt;0,"Nicht bewertbar",IF(B28=1,"Grün",IF(B28=2,"Gelb","Rot")))</f>
        <v>Rot</v>
      </c>
      <c r="C31" s="12" t="s">
        <v>78</v>
      </c>
      <c r="D31" s="12" t="s">
        <v>285</v>
      </c>
    </row>
    <row r="32" customFormat="false" ht="33.75" hidden="false" customHeight="true" outlineLevel="0" collapsed="false">
      <c r="A32" s="12" t="s">
        <v>286</v>
      </c>
      <c r="B32" s="13" t="str">
        <f aca="false">IF(B5&gt;0,"Nicht bewertbar",IF(B29=1,"Grün",IF(B29=2,"Gelb","Rot")))</f>
        <v>Grün</v>
      </c>
      <c r="C32" s="12" t="s">
        <v>78</v>
      </c>
      <c r="D32" s="12" t="s">
        <v>287</v>
      </c>
    </row>
    <row r="33" customFormat="false" ht="33.75" hidden="false" customHeight="true" outlineLevel="0" collapsed="false">
      <c r="A33" s="12" t="s">
        <v>23</v>
      </c>
      <c r="B33" s="13" t="str">
        <f aca="false">IF(B5&gt;0,"Nicht bewertbar",IF(B30=1,"Grün",IF(B30=2,"Gelb","Rot")))</f>
        <v>Rot</v>
      </c>
      <c r="C33" s="12" t="s">
        <v>78</v>
      </c>
      <c r="D33" s="12" t="s">
        <v>288</v>
      </c>
    </row>
    <row r="34" customFormat="false" ht="33.75" hidden="false" customHeight="true" outlineLevel="0" collapsed="false">
      <c r="A34" s="12" t="s">
        <v>289</v>
      </c>
      <c r="B34" s="13" t="str">
        <f aca="false">IF(B27=3,"Mindestens ein Nachweis nicht erfüllt",IF(B27=2,"PRÜFBEDARF: Nachweise ungeklärt","Alle Nachweise als erbracht eingetragen"))</f>
        <v>PRÜFBEDARF: Nachweise ungeklärt</v>
      </c>
      <c r="C34" s="12" t="s">
        <v>78</v>
      </c>
      <c r="D34" s="12" t="s">
        <v>290</v>
      </c>
    </row>
    <row r="35" customFormat="false" ht="33.75" hidden="false" customHeight="true" outlineLevel="0" collapsed="false">
      <c r="A35" s="12" t="s">
        <v>291</v>
      </c>
      <c r="B35" s="13" t="n">
        <f aca="false">B8-B10-B26-B38-B39</f>
        <v>0</v>
      </c>
      <c r="C35" s="12" t="s">
        <v>25</v>
      </c>
      <c r="D35" s="12" t="s">
        <v>292</v>
      </c>
    </row>
    <row r="36" customFormat="false" ht="33.75" hidden="false" customHeight="true" outlineLevel="0" collapsed="false">
      <c r="A36" s="12" t="s">
        <v>293</v>
      </c>
      <c r="B36" s="13" t="n">
        <f aca="false">SUM(Nutzungsprofile!G6:G11)-B6</f>
        <v>0</v>
      </c>
      <c r="C36" s="12" t="s">
        <v>25</v>
      </c>
      <c r="D36" s="12" t="s">
        <v>294</v>
      </c>
    </row>
    <row r="37" customFormat="false" ht="33.75" hidden="false" customHeight="true" outlineLevel="0" collapsed="false">
      <c r="A37" s="12" t="s">
        <v>295</v>
      </c>
      <c r="B37" s="13" t="str">
        <f aca="false">IF(ISNUMBER(B21),IF(SUMPRODUCT((Zahlungen!A8:A57&gt;=ROUNDUP(B21,0))*(Zahlungen!A8:A57&lt;=Eingaben!$B$11 )*(Zahlungen!J8:J57&lt;0))=0,"Stabil bis Horizont","Spätere Unterdeckung"),"Keine positive Rückgewinnung")</f>
        <v>Keine positive Rückgewinnung</v>
      </c>
      <c r="C37" s="12" t="s">
        <v>78</v>
      </c>
      <c r="D37" s="12" t="s">
        <v>296</v>
      </c>
    </row>
    <row r="38" customFormat="false" ht="33.75" hidden="false" customHeight="true" outlineLevel="0" collapsed="false">
      <c r="A38" s="12" t="s">
        <v>297</v>
      </c>
      <c r="B38" s="13" t="n">
        <f aca="false">SUM(Wasserbilanz!O5:O370)</f>
        <v>79.1912428</v>
      </c>
      <c r="C38" s="12" t="s">
        <v>25</v>
      </c>
      <c r="D38" s="12" t="s">
        <v>298</v>
      </c>
    </row>
    <row r="39" customFormat="false" ht="33.75" hidden="false" customHeight="true" outlineLevel="0" collapsed="false">
      <c r="A39" s="12" t="s">
        <v>299</v>
      </c>
      <c r="B39" s="13" t="n">
        <f aca="false">IFERROR(INDEX(Wasserbilanz!K5:K370,DATE(Eingaben!$B$10+1,1,1)-DATE(Eingaben!$B$10,1,1)),0)</f>
        <v>0</v>
      </c>
      <c r="C39" s="12" t="s">
        <v>70</v>
      </c>
      <c r="D39" s="12" t="s">
        <v>300</v>
      </c>
    </row>
    <row r="40" customFormat="false" ht="33.75" hidden="false" customHeight="true" outlineLevel="0" collapsed="false">
      <c r="A40" s="12" t="s">
        <v>301</v>
      </c>
      <c r="B40" s="13" t="str">
        <f aca="false">IF(Eingaben!$B$48="Beispieldaten","BEISPIELDATEN · ","")&amp;IF(B5&gt;0,"Eingaben korrigieren (Prüfungen). · ","")&amp;IF(B27&gt;1,B34&amp;" · ","")&amp;IF(B10=0,"Keine Wassereinsparung. · ","")&amp;IF(B18&lt;=0,"Keine positive Nettoeinsparung in Jahr 1. · ","")&amp;IF(AND(ISNUMBER(B19),B19&gt;Eingaben!$B$11),"Statische Amortisation außerhalb Horizont. · ","")&amp;"Schwellen vorläufig; Tagesprofil und Quellen projektbezogen validieren."</f>
        <v>BEISPIELDATEN · PRÜFBEDARF: Nachweise ungeklärt · Statische Amortisation außerhalb Horizont. · Schwellen vorläufig; Tagesprofil und Quellen projektbezogen validieren.</v>
      </c>
      <c r="C40" s="12" t="s">
        <v>302</v>
      </c>
      <c r="D40" s="12" t="s">
        <v>303</v>
      </c>
    </row>
    <row r="41" customFormat="false" ht="33.75" hidden="false" customHeight="true" outlineLevel="0" collapsed="false">
      <c r="A41" s="12" t="s">
        <v>304</v>
      </c>
      <c r="B41" s="13" t="str">
        <f aca="false">IF(B5&gt;0,"Nicht bewertbar",IF(Eingaben!$B$48="Beispieldaten","Modellergebnis mit Beispieldaten",IF(B27&gt;1,"Modellergebnis mit Prüfbedarf","Modellergebnis – Nachweise eingetragen")))</f>
        <v>Modellergebnis mit Beispieldaten</v>
      </c>
      <c r="C41" s="12" t="s">
        <v>78</v>
      </c>
      <c r="D41" s="12" t="s">
        <v>305</v>
      </c>
    </row>
    <row r="42" customFormat="false" ht="33.75" hidden="false" customHeight="true" outlineLevel="0" collapsed="false">
      <c r="A42" s="12" t="s">
        <v>306</v>
      </c>
      <c r="B42" s="13" t="n">
        <f aca="false">B7-B8</f>
        <v>70.509</v>
      </c>
      <c r="C42" s="12" t="s">
        <v>25</v>
      </c>
      <c r="D42" s="12" t="s">
        <v>307</v>
      </c>
    </row>
    <row r="43" customFormat="false" ht="33.75" hidden="false" customHeight="true" outlineLevel="0" collapsed="false">
      <c r="A43" s="12" t="s">
        <v>308</v>
      </c>
      <c r="B43" s="13" t="n">
        <f aca="false">B6-B7</f>
        <v>37.11</v>
      </c>
      <c r="C43" s="12" t="s">
        <v>25</v>
      </c>
      <c r="D43" s="12" t="s">
        <v>309</v>
      </c>
    </row>
  </sheetData>
  <sheetProtection sheet="true" objects="true" sort="false" autoFilter="false"/>
  <mergeCells count="2">
    <mergeCell ref="A1:D1"/>
    <mergeCell ref="A3:D3"/>
  </mergeCells>
  <conditionalFormatting sqref="B31:B33">
    <cfRule type="cellIs" priority="2" operator="equal" aboveAverage="0" equalAverage="0" bottom="0" percent="0" rank="0" text="" dxfId="0">
      <formula>"Grün"</formula>
    </cfRule>
    <cfRule type="cellIs" priority="3" operator="equal" aboveAverage="0" equalAverage="0" bottom="0" percent="0" rank="0" text="" dxfId="1">
      <formula>"Gelb"</formula>
    </cfRule>
    <cfRule type="cellIs" priority="4" operator="equal" aboveAverage="0" equalAverage="0" bottom="0" percent="0" rank="0" text="" dxfId="2">
      <formula>"Rot"</formula>
    </cfRule>
    <cfRule type="cellIs" priority="5" operator="equal" aboveAverage="0" equalAverage="0" bottom="0" percent="0" rank="0" text="" dxfId="3">
      <formula>"Nicht bewertbar"</formula>
    </cfRule>
  </conditionalFormatting>
  <hyperlinks>
    <hyperlink ref="A2" r:id="rId1" location="'Dashboard'!A1" display="Dashboard"/>
    <hyperlink ref="B2" r:id="rId2" location="'Eingaben'!A1" display="Eingaben"/>
    <hyperlink ref="C2" r:id="rId3" location="'Nutzungsprofile'!A1" display="Profile"/>
    <hyperlink ref="D2" r:id="rId4" location="'Kalender'!A1" display="Kalender"/>
    <hyperlink ref="E2" r:id="rId5" location="'Anleitung'!A1" display="Methodik"/>
  </hyperlinks>
  <printOptions headings="false" gridLines="false" gridLinesSet="true" horizontalCentered="true" verticalCentered="false"/>
  <pageMargins left="0.25" right="0.2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Grauwasserbewertung | wissenschaftlicher Prototyp |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16" min="2" style="0" width="16"/>
  </cols>
  <sheetData>
    <row r="1" customFormat="false" ht="37.5" hidden="false" customHeight="true" outlineLevel="0" collapsed="false">
      <c r="A1" s="1" t="s">
        <v>310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3.75" hidden="false" customHeight="true" outlineLevel="0" collapsed="false">
      <c r="A3" s="3" t="s">
        <v>311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5" customFormat="false" ht="30" hidden="false" customHeight="true" outlineLevel="0" collapsed="false">
      <c r="A5" s="3" t="s">
        <v>312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7" customFormat="false" ht="31.5" hidden="false" customHeight="true" outlineLevel="0" collapsed="false">
      <c r="A7" s="11" t="s">
        <v>313</v>
      </c>
      <c r="B7" s="11" t="s">
        <v>314</v>
      </c>
      <c r="C7" s="11" t="s">
        <v>315</v>
      </c>
      <c r="D7" s="11" t="s">
        <v>316</v>
      </c>
      <c r="E7" s="11" t="s">
        <v>317</v>
      </c>
      <c r="F7" s="11" t="s">
        <v>318</v>
      </c>
      <c r="G7" s="11" t="s">
        <v>319</v>
      </c>
      <c r="H7" s="11" t="s">
        <v>150</v>
      </c>
      <c r="I7" s="11" t="s">
        <v>320</v>
      </c>
      <c r="J7" s="11" t="s">
        <v>321</v>
      </c>
      <c r="K7" s="11" t="s">
        <v>322</v>
      </c>
      <c r="L7" s="11" t="s">
        <v>323</v>
      </c>
      <c r="M7" s="11" t="s">
        <v>324</v>
      </c>
      <c r="N7" s="11" t="s">
        <v>21</v>
      </c>
      <c r="O7" s="11" t="s">
        <v>22</v>
      </c>
      <c r="P7" s="11" t="s">
        <v>325</v>
      </c>
    </row>
    <row r="8" customFormat="false" ht="36" hidden="false" customHeight="true" outlineLevel="0" collapsed="false">
      <c r="A8" s="12" t="s">
        <v>326</v>
      </c>
      <c r="B8" s="25" t="n">
        <v>1.2</v>
      </c>
      <c r="C8" s="25" t="n">
        <v>0.9</v>
      </c>
      <c r="D8" s="25" t="n">
        <v>0.9</v>
      </c>
      <c r="E8" s="25" t="n">
        <v>0.8</v>
      </c>
      <c r="F8" s="25" t="n">
        <v>1.2</v>
      </c>
      <c r="G8" s="22" t="n">
        <v>0.01</v>
      </c>
      <c r="H8" s="12" t="str">
        <f aca="false">IFERROR(IF(AND(Prüfungen!$B$4=0,COUNT(B8:G8)=6,MIN(B8:F8)&gt;=0,MAX(B8:F8)&lt;=10,Eingaben!$B$39+G8&gt;=0,Eingaben!$B$39+G8&lt;=1),"OK","FEHLER"),"FEHLER")</f>
        <v>OK</v>
      </c>
      <c r="I8" s="13" t="n">
        <f aca="false">IF(H8="OK",SUM(Variantenbilanz!K5:K370),"Nicht bewertbar")</f>
        <v>455.34780576</v>
      </c>
      <c r="J8" s="24" t="n">
        <f aca="false">IF(H8="OK",IFERROR(I8/(SUM(Variantenbilanz!D5:D370)+Eingaben!$B$12),0),"Nicht bewertbar")</f>
        <v>0.188407047976068</v>
      </c>
      <c r="K8" s="13" t="n">
        <f aca="false">IF(H8="OK",IFERROR(I8*(Eingaben!$B$36*C8+Eingaben!$B$37*Eingaben!$B$38)-(Eingaben!$B$32+Eingaben!$B$35+SUM(Variantenbilanz!E5:E370)*Eingaben!$B$33*Eingaben!$B$34 )*F8,0),"Nicht bewertbar")</f>
        <v>137.46664296</v>
      </c>
      <c r="L8" s="13" t="n">
        <f aca="false">IF(H8="OK",SUM(VariantenCF!I5:I55),"Nicht bewertbar")</f>
        <v>-31663.2711008011</v>
      </c>
      <c r="M8" s="13" t="n">
        <f aca="false">IF(H8="OK",IF(MAX(0,Berechnung!$B$13*Szenarien!$B$8-MIN(Eingaben!$B$31,Berechnung!$B$13*Szenarien!$B$8))=0,"Keine Nettoinvestition",IF(K8&lt;=0,"Nicht erreichbar",MAX(0,Berechnung!$B$13*Szenarien!$B$8-MIN(Eingaben!$B$31,Berechnung!$B$13*Szenarien!$B$8))/K8)),"Nicht bewertbar")</f>
        <v>218.234761204792</v>
      </c>
      <c r="N8" s="13" t="str">
        <f aca="false">IF(H8="OK",IF(IF(MAX(0,Berechnung!$B$13*Szenarien!$B$8-MIN(Eingaben!$B$31,Berechnung!$B$13*Szenarien!$B$8))=0,IF(L8&gt;=0,1,3),IF(L8/MAX(0,Berechnung!$B$13*Szenarien!$B$8-MIN(Eingaben!$B$31,Berechnung!$B$13*Szenarien!$B$8))&gt;=Schwellenwerte!B5,1,IF(L8/MAX(0,Berechnung!$B$13*Szenarien!$B$8-MIN(Eingaben!$B$31,Berechnung!$B$13*Szenarien!$B$8))&gt;=Schwellenwerte!B6,2,3)))=1,"Grün",IF(IF(MAX(0,Berechnung!$B$13*Szenarien!$B$8-MIN(Eingaben!$B$31,Berechnung!$B$13*Szenarien!$B$8))=0,IF(L8&gt;=0,1,3),IF(L8/MAX(0,Berechnung!$B$13*Szenarien!$B$8-MIN(Eingaben!$B$31,Berechnung!$B$13*Szenarien!$B$8))&gt;=Schwellenwerte!B5,1,IF(L8/MAX(0,Berechnung!$B$13*Szenarien!$B$8-MIN(Eingaben!$B$31,Berechnung!$B$13*Szenarien!$B$8))&gt;=Schwellenwerte!B6,2,3)))=2,"Gelb","Rot")),"Nicht bewertbar")</f>
        <v>Rot</v>
      </c>
      <c r="O8" s="13" t="str">
        <f aca="false">IF(H8="OK",IF(IF(I8&lt;=0,3,IF(J8&gt;=Schwellenwerte!B9,1,IF(J8&gt;=Schwellenwerte!B10,2,3)))=1,"Grün",IF(IF(I8&lt;=0,3,IF(J8&gt;=Schwellenwerte!B9,1,IF(J8&gt;=Schwellenwerte!B10,2,3)))=2,"Gelb","Rot")),"Nicht bewertbar")</f>
        <v>Grün</v>
      </c>
      <c r="P8" s="13" t="str">
        <f aca="false">IF(H8="OK",IF(OR(N8="Rot",O8="Rot",Berechnung!$B$27=3),"Rot",IF(OR(N8="Gelb",O8="Gelb",Berechnung!$B$27=2),"Gelb","Grün")),"Nicht bewertbar")</f>
        <v>Rot</v>
      </c>
    </row>
    <row r="9" customFormat="false" ht="36" hidden="false" customHeight="true" outlineLevel="0" collapsed="false">
      <c r="A9" s="12" t="s">
        <v>327</v>
      </c>
      <c r="B9" s="25" t="n">
        <v>1</v>
      </c>
      <c r="C9" s="25" t="n">
        <v>1</v>
      </c>
      <c r="D9" s="25" t="n">
        <v>1</v>
      </c>
      <c r="E9" s="25" t="n">
        <v>1</v>
      </c>
      <c r="F9" s="25" t="n">
        <v>1</v>
      </c>
      <c r="G9" s="22" t="n">
        <v>0</v>
      </c>
      <c r="H9" s="12" t="str">
        <f aca="false">IFERROR(IF(AND(Prüfungen!$B$4=0,COUNT(B9:G9)=6,MIN(B9:F9)&gt;=0,MAX(B9:F9)&lt;=10,Eingaben!$B$39+G9&gt;=0,Eingaben!$B$39+G9&lt;=1),"OK","FEHLER"),"FEHLER")</f>
        <v>OK</v>
      </c>
      <c r="I9" s="13" t="n">
        <f aca="false">IF(H9="OK",SUM(Variantenbilanz!K371:K736),"Nicht bewertbar")</f>
        <v>555.3897572</v>
      </c>
      <c r="J9" s="24" t="n">
        <f aca="false">IF(H9="OK",IFERROR(I9/(SUM(Variantenbilanz!D371:D736)+Eingaben!$B$12),0),"Nicht bewertbar")</f>
        <v>0.220506514154127</v>
      </c>
      <c r="K9" s="13" t="n">
        <f aca="false">IF(H9="OK",IFERROR(I9*(Eingaben!$B$36*C9+Eingaben!$B$37*Eingaben!$B$38)-(Eingaben!$B$32+Eingaben!$B$35+SUM(Variantenbilanz!E371:E736)*Eingaben!$B$33*Eingaben!$B$34 )*F9,0),"Nicht bewertbar")</f>
        <v>606.947393</v>
      </c>
      <c r="L9" s="13" t="n">
        <f aca="false">IF(H9="OK",SUM(VariantenCF!I56:I106),"Nicht bewertbar")</f>
        <v>-17797.8728210468</v>
      </c>
      <c r="M9" s="13" t="n">
        <f aca="false">IF(H9="OK",IF(MAX(0,Berechnung!$B$13*Szenarien!$B$9-MIN(Eingaben!$B$31,Berechnung!$B$13*Szenarien!$B$9))=0,"Keine Nettoinvestition",IF(K9&lt;=0,"Nicht erreichbar",MAX(0,Berechnung!$B$13*Szenarien!$B$9-MIN(Eingaben!$B$31,Berechnung!$B$13*Szenarien!$B$9))/K9)),"Nicht bewertbar")</f>
        <v>41.1897312490804</v>
      </c>
      <c r="N9" s="13" t="str">
        <f aca="false">IF(H9="OK",IF(IF(MAX(0,Berechnung!$B$13*Szenarien!$B$9-MIN(Eingaben!$B$31,Berechnung!$B$13*Szenarien!$B$9))=0,IF(L9&gt;=0,1,3),IF(L9/MAX(0,Berechnung!$B$13*Szenarien!$B$9-MIN(Eingaben!$B$31,Berechnung!$B$13*Szenarien!$B$9))&gt;=Schwellenwerte!B5,1,IF(L9/MAX(0,Berechnung!$B$13*Szenarien!$B$9-MIN(Eingaben!$B$31,Berechnung!$B$13*Szenarien!$B$9))&gt;=Schwellenwerte!B6,2,3)))=1,"Grün",IF(IF(MAX(0,Berechnung!$B$13*Szenarien!$B$9-MIN(Eingaben!$B$31,Berechnung!$B$13*Szenarien!$B$9))=0,IF(L9&gt;=0,1,3),IF(L9/MAX(0,Berechnung!$B$13*Szenarien!$B$9-MIN(Eingaben!$B$31,Berechnung!$B$13*Szenarien!$B$9))&gt;=Schwellenwerte!B5,1,IF(L9/MAX(0,Berechnung!$B$13*Szenarien!$B$9-MIN(Eingaben!$B$31,Berechnung!$B$13*Szenarien!$B$9))&gt;=Schwellenwerte!B6,2,3)))=2,"Gelb","Rot")),"Nicht bewertbar")</f>
        <v>Rot</v>
      </c>
      <c r="O9" s="13" t="str">
        <f aca="false">IF(H9="OK",IF(IF(I9&lt;=0,3,IF(J9&gt;=Schwellenwerte!B9,1,IF(J9&gt;=Schwellenwerte!B10,2,3)))=1,"Grün",IF(IF(I9&lt;=0,3,IF(J9&gt;=Schwellenwerte!B9,1,IF(J9&gt;=Schwellenwerte!B10,2,3)))=2,"Gelb","Rot")),"Nicht bewertbar")</f>
        <v>Grün</v>
      </c>
      <c r="P9" s="13" t="str">
        <f aca="false">IF(H9="OK",IF(OR(N9="Rot",O9="Rot",Berechnung!$B$27=3),"Rot",IF(OR(N9="Gelb",O9="Gelb",Berechnung!$B$27=2),"Gelb","Grün")),"Nicht bewertbar")</f>
        <v>Rot</v>
      </c>
    </row>
    <row r="10" customFormat="false" ht="36" hidden="false" customHeight="true" outlineLevel="0" collapsed="false">
      <c r="A10" s="12" t="s">
        <v>328</v>
      </c>
      <c r="B10" s="25" t="n">
        <v>0.8</v>
      </c>
      <c r="C10" s="25" t="n">
        <v>1.1</v>
      </c>
      <c r="D10" s="25" t="n">
        <v>1.1</v>
      </c>
      <c r="E10" s="25" t="n">
        <v>1.2</v>
      </c>
      <c r="F10" s="25" t="n">
        <v>0.8</v>
      </c>
      <c r="G10" s="22" t="n">
        <v>-0.01</v>
      </c>
      <c r="H10" s="12" t="str">
        <f aca="false">IFERROR(IF(AND(Prüfungen!$B$4=0,COUNT(B10:G10)=6,MIN(B10:F10)&gt;=0,MAX(B10:F10)&lt;=10,Eingaben!$B$39+G10&gt;=0,Eingaben!$B$39+G10&lt;=1),"OK","FEHLER"),"FEHLER")</f>
        <v>OK</v>
      </c>
      <c r="I10" s="13" t="n">
        <f aca="false">IF(H10="OK",SUM(Variantenbilanz!K737:K1102),"Nicht bewertbar")</f>
        <v>652.51397424</v>
      </c>
      <c r="J10" s="24" t="n">
        <f aca="false">IF(H10="OK",IFERROR(I10/(SUM(Variantenbilanz!D737:D1102)+Eingaben!$B$12),0),"Nicht bewertbar")</f>
        <v>0.248996964110861</v>
      </c>
      <c r="K10" s="13" t="n">
        <f aca="false">IF(H10="OK",IFERROR(I10*(Eingaben!$B$36*C10+Eingaben!$B$37*Eingaben!$B$38)-(Eingaben!$B$32+Eingaben!$B$35+SUM(Variantenbilanz!E737:E1102)*Eingaben!$B$33*Eingaben!$B$34 )*F10,0),"Nicht bewertbar")</f>
        <v>1135.34750916</v>
      </c>
      <c r="L10" s="13" t="n">
        <f aca="false">IF(H10="OK",SUM(VariantenCF!I107:I157),"Nicht bewertbar")</f>
        <v>-875.539036078431</v>
      </c>
      <c r="M10" s="13" t="n">
        <f aca="false">IF(H10="OK",IF(MAX(0,Berechnung!$B$13*Szenarien!$B$10-MIN(Eingaben!$B$31,Berechnung!$B$13*Szenarien!$B$10))=0,"Keine Nettoinvestition",IF(K10&lt;=0,"Nicht erreichbar",MAX(0,Berechnung!$B$13*Szenarien!$B$10-MIN(Eingaben!$B$31,Berechnung!$B$13*Szenarien!$B$10))/K10)),"Nicht bewertbar")</f>
        <v>17.6157518633191</v>
      </c>
      <c r="N10" s="13" t="str">
        <f aca="false">IF(H10="OK",IF(IF(MAX(0,Berechnung!$B$13*Szenarien!$B$10-MIN(Eingaben!$B$31,Berechnung!$B$13*Szenarien!$B$10))=0,IF(L10&gt;=0,1,3),IF(L10/MAX(0,Berechnung!$B$13*Szenarien!$B$10-MIN(Eingaben!$B$31,Berechnung!$B$13*Szenarien!$B$10))&gt;=Schwellenwerte!B5,1,IF(L10/MAX(0,Berechnung!$B$13*Szenarien!$B$10-MIN(Eingaben!$B$31,Berechnung!$B$13*Szenarien!$B$10))&gt;=Schwellenwerte!B6,2,3)))=1,"Grün",IF(IF(MAX(0,Berechnung!$B$13*Szenarien!$B$10-MIN(Eingaben!$B$31,Berechnung!$B$13*Szenarien!$B$10))=0,IF(L10&gt;=0,1,3),IF(L10/MAX(0,Berechnung!$B$13*Szenarien!$B$10-MIN(Eingaben!$B$31,Berechnung!$B$13*Szenarien!$B$10))&gt;=Schwellenwerte!B5,1,IF(L10/MAX(0,Berechnung!$B$13*Szenarien!$B$10-MIN(Eingaben!$B$31,Berechnung!$B$13*Szenarien!$B$10))&gt;=Schwellenwerte!B6,2,3)))=2,"Gelb","Rot")),"Nicht bewertbar")</f>
        <v>Gelb</v>
      </c>
      <c r="O10" s="13" t="str">
        <f aca="false">IF(H10="OK",IF(IF(I10&lt;=0,3,IF(J10&gt;=Schwellenwerte!B9,1,IF(J10&gt;=Schwellenwerte!B10,2,3)))=1,"Grün",IF(IF(I10&lt;=0,3,IF(J10&gt;=Schwellenwerte!B9,1,IF(J10&gt;=Schwellenwerte!B10,2,3)))=2,"Gelb","Rot")),"Nicht bewertbar")</f>
        <v>Grün</v>
      </c>
      <c r="P10" s="13" t="str">
        <f aca="false">IF(H10="OK",IF(OR(N10="Rot",O10="Rot",Berechnung!$B$27=3),"Rot",IF(OR(N10="Gelb",O10="Gelb",Berechnung!$B$27=2),"Gelb","Grün")),"Nicht bewertbar")</f>
        <v>Gelb</v>
      </c>
    </row>
    <row r="12" customFormat="false" ht="30" hidden="false" customHeight="true" outlineLevel="0" collapsed="false">
      <c r="A12" s="3" t="s">
        <v>329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5" hidden="false" customHeight="false" outlineLevel="0" collapsed="false">
      <c r="L13" s="0" t="s">
        <v>323</v>
      </c>
    </row>
    <row r="14" customFormat="false" ht="36" hidden="false" customHeight="true" outlineLevel="0" collapsed="false">
      <c r="A14" s="12" t="s">
        <v>330</v>
      </c>
      <c r="B14" s="25" t="n">
        <v>0.8</v>
      </c>
      <c r="C14" s="25" t="n">
        <v>1</v>
      </c>
      <c r="D14" s="25" t="n">
        <v>1</v>
      </c>
      <c r="E14" s="25" t="n">
        <v>1</v>
      </c>
      <c r="F14" s="25" t="n">
        <v>1</v>
      </c>
      <c r="G14" s="22" t="n">
        <v>0</v>
      </c>
      <c r="H14" s="12" t="str">
        <f aca="false">IFERROR(IF(AND(Prüfungen!$B$4=0,COUNT(B14:G14)=6,MIN(B14:F14)&gt;=0,MAX(B14:F14)&lt;=10,Eingaben!$B$39+G14&gt;=0,Eingaben!$B$39+G14&lt;=1),"OK","FEHLER"),"FEHLER")</f>
        <v>OK</v>
      </c>
      <c r="I14" s="13" t="n">
        <f aca="false">IF(H14="OK",SUM(Variantenbilanz!K1103:K1468),"Nicht bewertbar")</f>
        <v>555.3897572</v>
      </c>
      <c r="J14" s="24" t="n">
        <f aca="false">IF(H14="OK",IFERROR(I14/(SUM(Variantenbilanz!D1103:D1468)+Eingaben!$B$12),0),"Nicht bewertbar")</f>
        <v>0.220506514154127</v>
      </c>
      <c r="K14" s="13" t="n">
        <f aca="false">IF(H14="OK",IFERROR(I14*(Eingaben!$B$36*C14+Eingaben!$B$37*Eingaben!$B$38)-(Eingaben!$B$32+Eingaben!$B$35+SUM(Variantenbilanz!E1103:E1468)*Eingaben!$B$33*Eingaben!$B$34 )*F14,0),"Nicht bewertbar")</f>
        <v>606.947393</v>
      </c>
      <c r="L14" s="13" t="n">
        <f aca="false">IF(H14="OK",SUM(VariantenCF!I158:I208),"Nicht bewertbar")</f>
        <v>-12086.4639346067</v>
      </c>
      <c r="M14" s="13" t="n">
        <f aca="false">IF(H14="OK",IF(MAX(0,Berechnung!$B$13*Szenarien!$B$14-MIN(Eingaben!$B$31,Berechnung!$B$13*Szenarien!$B$14))=0,"Keine Nettoinvestition",IF(K14&lt;=0,"Nicht erreichbar",MAX(0,Berechnung!$B$13*Szenarien!$B$14-MIN(Eingaben!$B$31,Berechnung!$B$13*Szenarien!$B$14))/K14)),"Nicht bewertbar")</f>
        <v>32.9517849992643</v>
      </c>
      <c r="N14" s="13" t="str">
        <f aca="false">IF(H14="OK",IF(IF(MAX(0,Berechnung!$B$13*Szenarien!$B$14-MIN(Eingaben!$B$31,Berechnung!$B$13*Szenarien!$B$14))=0,IF(L14&gt;=0,1,3),IF(L14/MAX(0,Berechnung!$B$13*Szenarien!$B$14-MIN(Eingaben!$B$31,Berechnung!$B$13*Szenarien!$B$14))&gt;=Schwellenwerte!B5,1,IF(L14/MAX(0,Berechnung!$B$13*Szenarien!$B$14-MIN(Eingaben!$B$31,Berechnung!$B$13*Szenarien!$B$14))&gt;=Schwellenwerte!B6,2,3)))=1,"Grün",IF(IF(MAX(0,Berechnung!$B$13*Szenarien!$B$14-MIN(Eingaben!$B$31,Berechnung!$B$13*Szenarien!$B$14))=0,IF(L14&gt;=0,1,3),IF(L14/MAX(0,Berechnung!$B$13*Szenarien!$B$14-MIN(Eingaben!$B$31,Berechnung!$B$13*Szenarien!$B$14))&gt;=Schwellenwerte!B5,1,IF(L14/MAX(0,Berechnung!$B$13*Szenarien!$B$14-MIN(Eingaben!$B$31,Berechnung!$B$13*Szenarien!$B$14))&gt;=Schwellenwerte!B6,2,3)))=2,"Gelb","Rot")),"Nicht bewertbar")</f>
        <v>Rot</v>
      </c>
      <c r="O14" s="13" t="str">
        <f aca="false">IF(H14="OK",IF(IF(I14&lt;=0,3,IF(J14&gt;=Schwellenwerte!B9,1,IF(J14&gt;=Schwellenwerte!B10,2,3)))=1,"Grün",IF(IF(I14&lt;=0,3,IF(J14&gt;=Schwellenwerte!B9,1,IF(J14&gt;=Schwellenwerte!B10,2,3)))=2,"Gelb","Rot")),"Nicht bewertbar")</f>
        <v>Grün</v>
      </c>
      <c r="P14" s="13" t="str">
        <f aca="false">IF(H14="OK",IF(OR(N14="Rot",O14="Rot",Berechnung!$B$27=3),"Rot",IF(OR(N14="Gelb",O14="Gelb",Berechnung!$B$27=2),"Gelb","Grün")),"Nicht bewertbar")</f>
        <v>Rot</v>
      </c>
    </row>
    <row r="15" customFormat="false" ht="36" hidden="false" customHeight="true" outlineLevel="0" collapsed="false">
      <c r="A15" s="12" t="s">
        <v>331</v>
      </c>
      <c r="B15" s="25" t="n">
        <v>1.2</v>
      </c>
      <c r="C15" s="25" t="n">
        <v>1</v>
      </c>
      <c r="D15" s="25" t="n">
        <v>1</v>
      </c>
      <c r="E15" s="25" t="n">
        <v>1</v>
      </c>
      <c r="F15" s="25" t="n">
        <v>1</v>
      </c>
      <c r="G15" s="22" t="n">
        <v>0</v>
      </c>
      <c r="H15" s="12" t="str">
        <f aca="false">IFERROR(IF(AND(Prüfungen!$B$4=0,COUNT(B15:G15)=6,MIN(B15:F15)&gt;=0,MAX(B15:F15)&lt;=10,Eingaben!$B$39+G15&gt;=0,Eingaben!$B$39+G15&lt;=1),"OK","FEHLER"),"FEHLER")</f>
        <v>OK</v>
      </c>
      <c r="I15" s="13" t="n">
        <f aca="false">IF(H15="OK",SUM(Variantenbilanz!K1469:K1834),"Nicht bewertbar")</f>
        <v>555.3897572</v>
      </c>
      <c r="J15" s="24" t="n">
        <f aca="false">IF(H15="OK",IFERROR(I15/(SUM(Variantenbilanz!D1469:D1834)+Eingaben!$B$12),0),"Nicht bewertbar")</f>
        <v>0.220506514154127</v>
      </c>
      <c r="K15" s="13" t="n">
        <f aca="false">IF(H15="OK",IFERROR(I15*(Eingaben!$B$36*C15+Eingaben!$B$37*Eingaben!$B$38)-(Eingaben!$B$32+Eingaben!$B$35+SUM(Variantenbilanz!E1469:E1834)*Eingaben!$B$33*Eingaben!$B$34 )*F15,0),"Nicht bewertbar")</f>
        <v>606.947393</v>
      </c>
      <c r="L15" s="13" t="n">
        <f aca="false">IF(H15="OK",SUM(VariantenCF!I209:I259),"Nicht bewertbar")</f>
        <v>-23509.281707487</v>
      </c>
      <c r="M15" s="13" t="n">
        <f aca="false">IF(H15="OK",IF(MAX(0,Berechnung!$B$13*Szenarien!$B$15-MIN(Eingaben!$B$31,Berechnung!$B$13*Szenarien!$B$15))=0,"Keine Nettoinvestition",IF(K15&lt;=0,"Nicht erreichbar",MAX(0,Berechnung!$B$13*Szenarien!$B$15-MIN(Eingaben!$B$31,Berechnung!$B$13*Szenarien!$B$15))/K15)),"Nicht bewertbar")</f>
        <v>49.4276774988965</v>
      </c>
      <c r="N15" s="13" t="str">
        <f aca="false">IF(H15="OK",IF(IF(MAX(0,Berechnung!$B$13*Szenarien!$B$15-MIN(Eingaben!$B$31,Berechnung!$B$13*Szenarien!$B$15))=0,IF(L15&gt;=0,1,3),IF(L15/MAX(0,Berechnung!$B$13*Szenarien!$B$15-MIN(Eingaben!$B$31,Berechnung!$B$13*Szenarien!$B$15))&gt;=Schwellenwerte!B5,1,IF(L15/MAX(0,Berechnung!$B$13*Szenarien!$B$15-MIN(Eingaben!$B$31,Berechnung!$B$13*Szenarien!$B$15))&gt;=Schwellenwerte!B6,2,3)))=1,"Grün",IF(IF(MAX(0,Berechnung!$B$13*Szenarien!$B$15-MIN(Eingaben!$B$31,Berechnung!$B$13*Szenarien!$B$15))=0,IF(L15&gt;=0,1,3),IF(L15/MAX(0,Berechnung!$B$13*Szenarien!$B$15-MIN(Eingaben!$B$31,Berechnung!$B$13*Szenarien!$B$15))&gt;=Schwellenwerte!B5,1,IF(L15/MAX(0,Berechnung!$B$13*Szenarien!$B$15-MIN(Eingaben!$B$31,Berechnung!$B$13*Szenarien!$B$15))&gt;=Schwellenwerte!B6,2,3)))=2,"Gelb","Rot")),"Nicht bewertbar")</f>
        <v>Rot</v>
      </c>
      <c r="O15" s="13" t="str">
        <f aca="false">IF(H15="OK",IF(IF(I15&lt;=0,3,IF(J15&gt;=Schwellenwerte!B9,1,IF(J15&gt;=Schwellenwerte!B10,2,3)))=1,"Grün",IF(IF(I15&lt;=0,3,IF(J15&gt;=Schwellenwerte!B9,1,IF(J15&gt;=Schwellenwerte!B10,2,3)))=2,"Gelb","Rot")),"Nicht bewertbar")</f>
        <v>Grün</v>
      </c>
      <c r="P15" s="13" t="str">
        <f aca="false">IF(H15="OK",IF(OR(N15="Rot",O15="Rot",Berechnung!$B$27=3),"Rot",IF(OR(N15="Gelb",O15="Gelb",Berechnung!$B$27=2),"Gelb","Grün")),"Nicht bewertbar")</f>
        <v>Rot</v>
      </c>
    </row>
    <row r="16" customFormat="false" ht="36" hidden="false" customHeight="true" outlineLevel="0" collapsed="false">
      <c r="A16" s="12" t="s">
        <v>332</v>
      </c>
      <c r="B16" s="25" t="n">
        <v>1</v>
      </c>
      <c r="C16" s="25" t="n">
        <v>0.8</v>
      </c>
      <c r="D16" s="25" t="n">
        <v>1</v>
      </c>
      <c r="E16" s="25" t="n">
        <v>1</v>
      </c>
      <c r="F16" s="25" t="n">
        <v>1</v>
      </c>
      <c r="G16" s="22" t="n">
        <v>0</v>
      </c>
      <c r="H16" s="12" t="str">
        <f aca="false">IFERROR(IF(AND(Prüfungen!$B$4=0,COUNT(B16:G16)=6,MIN(B16:F16)&gt;=0,MAX(B16:F16)&lt;=10,Eingaben!$B$39+G16&gt;=0,Eingaben!$B$39+G16&lt;=1),"OK","FEHLER"),"FEHLER")</f>
        <v>OK</v>
      </c>
      <c r="I16" s="13" t="n">
        <f aca="false">IF(H16="OK",SUM(Variantenbilanz!K1835:K2200),"Nicht bewertbar")</f>
        <v>555.3897572</v>
      </c>
      <c r="J16" s="24" t="n">
        <f aca="false">IF(H16="OK",IFERROR(I16/(SUM(Variantenbilanz!D1835:D2200)+Eingaben!$B$12),0),"Nicht bewertbar")</f>
        <v>0.220506514154127</v>
      </c>
      <c r="K16" s="13" t="n">
        <f aca="false">IF(H16="OK",IFERROR(I16*(Eingaben!$B$36*C16+Eingaben!$B$37*Eingaben!$B$38)-(Eingaben!$B$32+Eingaben!$B$35+SUM(Variantenbilanz!E1835:E2200)*Eingaben!$B$33*Eingaben!$B$34 )*F16,0),"Nicht bewertbar")</f>
        <v>329.2525144</v>
      </c>
      <c r="L16" s="13" t="n">
        <f aca="false">IF(H16="OK",SUM(VariantenCF!I260:I310),"Nicht bewertbar")</f>
        <v>-22720.485371746</v>
      </c>
      <c r="M16" s="13" t="n">
        <f aca="false">IF(H16="OK",IF(MAX(0,Berechnung!$B$13*Szenarien!$B$16-MIN(Eingaben!$B$31,Berechnung!$B$13*Szenarien!$B$16))=0,"Keine Nettoinvestition",IF(K16&lt;=0,"Nicht erreichbar",MAX(0,Berechnung!$B$13*Szenarien!$B$16-MIN(Eingaben!$B$31,Berechnung!$B$13*Szenarien!$B$16))/K16)),"Nicht bewertbar")</f>
        <v>75.9295644121587</v>
      </c>
      <c r="N16" s="13" t="str">
        <f aca="false">IF(H16="OK",IF(IF(MAX(0,Berechnung!$B$13*Szenarien!$B$16-MIN(Eingaben!$B$31,Berechnung!$B$13*Szenarien!$B$16))=0,IF(L16&gt;=0,1,3),IF(L16/MAX(0,Berechnung!$B$13*Szenarien!$B$16-MIN(Eingaben!$B$31,Berechnung!$B$13*Szenarien!$B$16))&gt;=Schwellenwerte!B5,1,IF(L16/MAX(0,Berechnung!$B$13*Szenarien!$B$16-MIN(Eingaben!$B$31,Berechnung!$B$13*Szenarien!$B$16))&gt;=Schwellenwerte!B6,2,3)))=1,"Grün",IF(IF(MAX(0,Berechnung!$B$13*Szenarien!$B$16-MIN(Eingaben!$B$31,Berechnung!$B$13*Szenarien!$B$16))=0,IF(L16&gt;=0,1,3),IF(L16/MAX(0,Berechnung!$B$13*Szenarien!$B$16-MIN(Eingaben!$B$31,Berechnung!$B$13*Szenarien!$B$16))&gt;=Schwellenwerte!B5,1,IF(L16/MAX(0,Berechnung!$B$13*Szenarien!$B$16-MIN(Eingaben!$B$31,Berechnung!$B$13*Szenarien!$B$16))&gt;=Schwellenwerte!B6,2,3)))=2,"Gelb","Rot")),"Nicht bewertbar")</f>
        <v>Rot</v>
      </c>
      <c r="O16" s="13" t="str">
        <f aca="false">IF(H16="OK",IF(IF(I16&lt;=0,3,IF(J16&gt;=Schwellenwerte!B9,1,IF(J16&gt;=Schwellenwerte!B10,2,3)))=1,"Grün",IF(IF(I16&lt;=0,3,IF(J16&gt;=Schwellenwerte!B9,1,IF(J16&gt;=Schwellenwerte!B10,2,3)))=2,"Gelb","Rot")),"Nicht bewertbar")</f>
        <v>Grün</v>
      </c>
      <c r="P16" s="13" t="str">
        <f aca="false">IF(H16="OK",IF(OR(N16="Rot",O16="Rot",Berechnung!$B$27=3),"Rot",IF(OR(N16="Gelb",O16="Gelb",Berechnung!$B$27=2),"Gelb","Grün")),"Nicht bewertbar")</f>
        <v>Rot</v>
      </c>
    </row>
    <row r="17" customFormat="false" ht="36" hidden="false" customHeight="true" outlineLevel="0" collapsed="false">
      <c r="A17" s="12" t="s">
        <v>333</v>
      </c>
      <c r="B17" s="25" t="n">
        <v>1</v>
      </c>
      <c r="C17" s="25" t="n">
        <v>1.2</v>
      </c>
      <c r="D17" s="25" t="n">
        <v>1</v>
      </c>
      <c r="E17" s="25" t="n">
        <v>1</v>
      </c>
      <c r="F17" s="25" t="n">
        <v>1</v>
      </c>
      <c r="G17" s="22" t="n">
        <v>0</v>
      </c>
      <c r="H17" s="12" t="str">
        <f aca="false">IFERROR(IF(AND(Prüfungen!$B$4=0,COUNT(B17:G17)=6,MIN(B17:F17)&gt;=0,MAX(B17:F17)&lt;=10,Eingaben!$B$39+G17&gt;=0,Eingaben!$B$39+G17&lt;=1),"OK","FEHLER"),"FEHLER")</f>
        <v>OK</v>
      </c>
      <c r="I17" s="13" t="n">
        <f aca="false">IF(H17="OK",SUM(Variantenbilanz!K2201:K2566),"Nicht bewertbar")</f>
        <v>555.3897572</v>
      </c>
      <c r="J17" s="24" t="n">
        <f aca="false">IF(H17="OK",IFERROR(I17/(SUM(Variantenbilanz!D2201:D2566)+Eingaben!$B$12),0),"Nicht bewertbar")</f>
        <v>0.220506514154127</v>
      </c>
      <c r="K17" s="13" t="n">
        <f aca="false">IF(H17="OK",IFERROR(I17*(Eingaben!$B$36*C17+Eingaben!$B$37*Eingaben!$B$38)-(Eingaben!$B$32+Eingaben!$B$35+SUM(Variantenbilanz!E2201:E2566)*Eingaben!$B$33*Eingaben!$B$34 )*F17,0),"Nicht bewertbar")</f>
        <v>884.6422716</v>
      </c>
      <c r="L17" s="13" t="n">
        <f aca="false">IF(H17="OK",SUM(VariantenCF!I311:I361),"Nicht bewertbar")</f>
        <v>-12875.2602703477</v>
      </c>
      <c r="M17" s="13" t="n">
        <f aca="false">IF(H17="OK",IF(MAX(0,Berechnung!$B$13*Szenarien!$B$17-MIN(Eingaben!$B$31,Berechnung!$B$13*Szenarien!$B$17))=0,"Keine Nettoinvestition",IF(K17&lt;=0,"Nicht erreichbar",MAX(0,Berechnung!$B$13*Szenarien!$B$17-MIN(Eingaben!$B$31,Berechnung!$B$13*Szenarien!$B$17))/K17)),"Nicht bewertbar")</f>
        <v>28.2600106309458</v>
      </c>
      <c r="N17" s="13" t="str">
        <f aca="false">IF(H17="OK",IF(IF(MAX(0,Berechnung!$B$13*Szenarien!$B$17-MIN(Eingaben!$B$31,Berechnung!$B$13*Szenarien!$B$17))=0,IF(L17&gt;=0,1,3),IF(L17/MAX(0,Berechnung!$B$13*Szenarien!$B$17-MIN(Eingaben!$B$31,Berechnung!$B$13*Szenarien!$B$17))&gt;=Schwellenwerte!B5,1,IF(L17/MAX(0,Berechnung!$B$13*Szenarien!$B$17-MIN(Eingaben!$B$31,Berechnung!$B$13*Szenarien!$B$17))&gt;=Schwellenwerte!B6,2,3)))=1,"Grün",IF(IF(MAX(0,Berechnung!$B$13*Szenarien!$B$17-MIN(Eingaben!$B$31,Berechnung!$B$13*Szenarien!$B$17))=0,IF(L17&gt;=0,1,3),IF(L17/MAX(0,Berechnung!$B$13*Szenarien!$B$17-MIN(Eingaben!$B$31,Berechnung!$B$13*Szenarien!$B$17))&gt;=Schwellenwerte!B5,1,IF(L17/MAX(0,Berechnung!$B$13*Szenarien!$B$17-MIN(Eingaben!$B$31,Berechnung!$B$13*Szenarien!$B$17))&gt;=Schwellenwerte!B6,2,3)))=2,"Gelb","Rot")),"Nicht bewertbar")</f>
        <v>Rot</v>
      </c>
      <c r="O17" s="13" t="str">
        <f aca="false">IF(H17="OK",IF(IF(I17&lt;=0,3,IF(J17&gt;=Schwellenwerte!B9,1,IF(J17&gt;=Schwellenwerte!B10,2,3)))=1,"Grün",IF(IF(I17&lt;=0,3,IF(J17&gt;=Schwellenwerte!B9,1,IF(J17&gt;=Schwellenwerte!B10,2,3)))=2,"Gelb","Rot")),"Nicht bewertbar")</f>
        <v>Grün</v>
      </c>
      <c r="P17" s="13" t="str">
        <f aca="false">IF(H17="OK",IF(OR(N17="Rot",O17="Rot",Berechnung!$B$27=3),"Rot",IF(OR(N17="Gelb",O17="Gelb",Berechnung!$B$27=2),"Gelb","Grün")),"Nicht bewertbar")</f>
        <v>Rot</v>
      </c>
    </row>
    <row r="18" customFormat="false" ht="36" hidden="false" customHeight="true" outlineLevel="0" collapsed="false">
      <c r="A18" s="12" t="s">
        <v>334</v>
      </c>
      <c r="B18" s="25" t="n">
        <v>1</v>
      </c>
      <c r="C18" s="25" t="n">
        <v>1</v>
      </c>
      <c r="D18" s="25" t="n">
        <v>0.8</v>
      </c>
      <c r="E18" s="25" t="n">
        <v>1</v>
      </c>
      <c r="F18" s="25" t="n">
        <v>1</v>
      </c>
      <c r="G18" s="22" t="n">
        <v>0</v>
      </c>
      <c r="H18" s="12" t="str">
        <f aca="false">IFERROR(IF(AND(Prüfungen!$B$4=0,COUNT(B18:G18)=6,MIN(B18:F18)&gt;=0,MAX(B18:F18)&lt;=10,Eingaben!$B$39+G18&gt;=0,Eingaben!$B$39+G18&lt;=1),"OK","FEHLER"),"FEHLER")</f>
        <v>OK</v>
      </c>
      <c r="I18" s="13" t="n">
        <f aca="false">IF(H18="OK",SUM(Variantenbilanz!K2567:K2932),"Nicht bewertbar")</f>
        <v>533.3177572</v>
      </c>
      <c r="J18" s="24" t="n">
        <f aca="false">IF(H18="OK",IFERROR(I18/(SUM(Variantenbilanz!D2567:D2932)+Eingaben!$B$12),0),"Nicht bewertbar")</f>
        <v>0.2303788217507</v>
      </c>
      <c r="K18" s="13" t="n">
        <f aca="false">IF(H18="OK",IFERROR(I18*(Eingaben!$B$36*C18+Eingaben!$B$37*Eingaben!$B$38)-(Eingaben!$B$32+Eingaben!$B$35+SUM(Variantenbilanz!E2567:E2932)*Eingaben!$B$33*Eingaben!$B$34 )*F18,0),"Nicht bewertbar")</f>
        <v>551.767393</v>
      </c>
      <c r="L18" s="13" t="n">
        <f aca="false">IF(H18="OK",SUM(VariantenCF!I362:I412),"Nicht bewertbar")</f>
        <v>-18776.0318779117</v>
      </c>
      <c r="M18" s="13" t="n">
        <f aca="false">IF(H18="OK",IF(MAX(0,Berechnung!$B$13*Szenarien!$B$18-MIN(Eingaben!$B$31,Berechnung!$B$13*Szenarien!$B$18))=0,"Keine Nettoinvestition",IF(K18&lt;=0,"Nicht erreichbar",MAX(0,Berechnung!$B$13*Szenarien!$B$18-MIN(Eingaben!$B$31,Berechnung!$B$13*Szenarien!$B$18))/K18)),"Nicht bewertbar")</f>
        <v>45.3089477869889</v>
      </c>
      <c r="N18" s="13" t="str">
        <f aca="false">IF(H18="OK",IF(IF(MAX(0,Berechnung!$B$13*Szenarien!$B$18-MIN(Eingaben!$B$31,Berechnung!$B$13*Szenarien!$B$18))=0,IF(L18&gt;=0,1,3),IF(L18/MAX(0,Berechnung!$B$13*Szenarien!$B$18-MIN(Eingaben!$B$31,Berechnung!$B$13*Szenarien!$B$18))&gt;=Schwellenwerte!B5,1,IF(L18/MAX(0,Berechnung!$B$13*Szenarien!$B$18-MIN(Eingaben!$B$31,Berechnung!$B$13*Szenarien!$B$18))&gt;=Schwellenwerte!B6,2,3)))=1,"Grün",IF(IF(MAX(0,Berechnung!$B$13*Szenarien!$B$18-MIN(Eingaben!$B$31,Berechnung!$B$13*Szenarien!$B$18))=0,IF(L18&gt;=0,1,3),IF(L18/MAX(0,Berechnung!$B$13*Szenarien!$B$18-MIN(Eingaben!$B$31,Berechnung!$B$13*Szenarien!$B$18))&gt;=Schwellenwerte!B5,1,IF(L18/MAX(0,Berechnung!$B$13*Szenarien!$B$18-MIN(Eingaben!$B$31,Berechnung!$B$13*Szenarien!$B$18))&gt;=Schwellenwerte!B6,2,3)))=2,"Gelb","Rot")),"Nicht bewertbar")</f>
        <v>Rot</v>
      </c>
      <c r="O18" s="13" t="str">
        <f aca="false">IF(H18="OK",IF(IF(I18&lt;=0,3,IF(J18&gt;=Schwellenwerte!B9,1,IF(J18&gt;=Schwellenwerte!B10,2,3)))=1,"Grün",IF(IF(I18&lt;=0,3,IF(J18&gt;=Schwellenwerte!B9,1,IF(J18&gt;=Schwellenwerte!B10,2,3)))=2,"Gelb","Rot")),"Nicht bewertbar")</f>
        <v>Grün</v>
      </c>
      <c r="P18" s="13" t="str">
        <f aca="false">IF(H18="OK",IF(OR(N18="Rot",O18="Rot",Berechnung!$B$27=3),"Rot",IF(OR(N18="Gelb",O18="Gelb",Berechnung!$B$27=2),"Gelb","Grün")),"Nicht bewertbar")</f>
        <v>Rot</v>
      </c>
    </row>
    <row r="19" customFormat="false" ht="36" hidden="false" customHeight="true" outlineLevel="0" collapsed="false">
      <c r="A19" s="12" t="s">
        <v>335</v>
      </c>
      <c r="B19" s="25" t="n">
        <v>1</v>
      </c>
      <c r="C19" s="25" t="n">
        <v>1</v>
      </c>
      <c r="D19" s="25" t="n">
        <v>1.2</v>
      </c>
      <c r="E19" s="25" t="n">
        <v>1</v>
      </c>
      <c r="F19" s="25" t="n">
        <v>1</v>
      </c>
      <c r="G19" s="22" t="n">
        <v>0</v>
      </c>
      <c r="H19" s="12" t="str">
        <f aca="false">IFERROR(IF(AND(Prüfungen!$B$4=0,COUNT(B19:G19)=6,MIN(B19:F19)&gt;=0,MAX(B19:F19)&lt;=10,Eingaben!$B$39+G19&gt;=0,Eingaben!$B$39+G19&lt;=1),"OK","FEHLER"),"FEHLER")</f>
        <v>OK</v>
      </c>
      <c r="I19" s="13" t="n">
        <f aca="false">IF(H19="OK",SUM(Variantenbilanz!K2933:K3298),"Nicht bewertbar")</f>
        <v>577.4617572</v>
      </c>
      <c r="J19" s="24" t="n">
        <f aca="false">IF(H19="OK",IFERROR(I19/(SUM(Variantenbilanz!D2933:D3298)+Eingaben!$B$12),0),"Nicht bewertbar")</f>
        <v>0.212111839820161</v>
      </c>
      <c r="K19" s="13" t="n">
        <f aca="false">IF(H19="OK",IFERROR(I19*(Eingaben!$B$36*C19+Eingaben!$B$37*Eingaben!$B$38)-(Eingaben!$B$32+Eingaben!$B$35+SUM(Variantenbilanz!E2933:E3298)*Eingaben!$B$33*Eingaben!$B$34 )*F19,0),"Nicht bewertbar")</f>
        <v>662.127393</v>
      </c>
      <c r="L19" s="13" t="n">
        <f aca="false">IF(H19="OK",SUM(VariantenCF!I413:I463),"Nicht bewertbar")</f>
        <v>-16819.713764182</v>
      </c>
      <c r="M19" s="13" t="n">
        <f aca="false">IF(H19="OK",IF(MAX(0,Berechnung!$B$13*Szenarien!$B$19-MIN(Eingaben!$B$31,Berechnung!$B$13*Szenarien!$B$19))=0,"Keine Nettoinvestition",IF(K19&lt;=0,"Nicht erreichbar",MAX(0,Berechnung!$B$13*Szenarien!$B$19-MIN(Eingaben!$B$31,Berechnung!$B$13*Szenarien!$B$19))/K19)),"Nicht bewertbar")</f>
        <v>37.7570846098494</v>
      </c>
      <c r="N19" s="13" t="str">
        <f aca="false">IF(H19="OK",IF(IF(MAX(0,Berechnung!$B$13*Szenarien!$B$19-MIN(Eingaben!$B$31,Berechnung!$B$13*Szenarien!$B$19))=0,IF(L19&gt;=0,1,3),IF(L19/MAX(0,Berechnung!$B$13*Szenarien!$B$19-MIN(Eingaben!$B$31,Berechnung!$B$13*Szenarien!$B$19))&gt;=Schwellenwerte!B5,1,IF(L19/MAX(0,Berechnung!$B$13*Szenarien!$B$19-MIN(Eingaben!$B$31,Berechnung!$B$13*Szenarien!$B$19))&gt;=Schwellenwerte!B6,2,3)))=1,"Grün",IF(IF(MAX(0,Berechnung!$B$13*Szenarien!$B$19-MIN(Eingaben!$B$31,Berechnung!$B$13*Szenarien!$B$19))=0,IF(L19&gt;=0,1,3),IF(L19/MAX(0,Berechnung!$B$13*Szenarien!$B$19-MIN(Eingaben!$B$31,Berechnung!$B$13*Szenarien!$B$19))&gt;=Schwellenwerte!B5,1,IF(L19/MAX(0,Berechnung!$B$13*Szenarien!$B$19-MIN(Eingaben!$B$31,Berechnung!$B$13*Szenarien!$B$19))&gt;=Schwellenwerte!B6,2,3)))=2,"Gelb","Rot")),"Nicht bewertbar")</f>
        <v>Rot</v>
      </c>
      <c r="O19" s="13" t="str">
        <f aca="false">IF(H19="OK",IF(IF(I19&lt;=0,3,IF(J19&gt;=Schwellenwerte!B9,1,IF(J19&gt;=Schwellenwerte!B10,2,3)))=1,"Grün",IF(IF(I19&lt;=0,3,IF(J19&gt;=Schwellenwerte!B9,1,IF(J19&gt;=Schwellenwerte!B10,2,3)))=2,"Gelb","Rot")),"Nicht bewertbar")</f>
        <v>Grün</v>
      </c>
      <c r="P19" s="13" t="str">
        <f aca="false">IF(H19="OK",IF(OR(N19="Rot",O19="Rot",Berechnung!$B$27=3),"Rot",IF(OR(N19="Gelb",O19="Gelb",Berechnung!$B$27=2),"Gelb","Grün")),"Nicht bewertbar")</f>
        <v>Rot</v>
      </c>
    </row>
    <row r="20" customFormat="false" ht="36" hidden="false" customHeight="true" outlineLevel="0" collapsed="false">
      <c r="A20" s="12" t="s">
        <v>336</v>
      </c>
      <c r="B20" s="25" t="n">
        <v>1</v>
      </c>
      <c r="C20" s="25" t="n">
        <v>1</v>
      </c>
      <c r="D20" s="25" t="n">
        <v>1</v>
      </c>
      <c r="E20" s="25" t="n">
        <v>0.8</v>
      </c>
      <c r="F20" s="25" t="n">
        <v>1</v>
      </c>
      <c r="G20" s="22" t="n">
        <v>0</v>
      </c>
      <c r="H20" s="12" t="str">
        <f aca="false">IFERROR(IF(AND(Prüfungen!$B$4=0,COUNT(B20:G20)=6,MIN(B20:F20)&gt;=0,MAX(B20:F20)&lt;=10,Eingaben!$B$39+G20&gt;=0,Eingaben!$B$39+G20&lt;=1),"OK","FEHLER"),"FEHLER")</f>
        <v>OK</v>
      </c>
      <c r="I20" s="13" t="n">
        <f aca="false">IF(H20="OK",SUM(Variantenbilanz!K3299:K3664),"Nicht bewertbar")</f>
        <v>466.38380576</v>
      </c>
      <c r="J20" s="24" t="n">
        <f aca="false">IF(H20="OK",IFERROR(I20/(SUM(Variantenbilanz!D3299:D3664)+Eingaben!$B$12),0),"Nicht bewertbar")</f>
        <v>0.185168462206694</v>
      </c>
      <c r="K20" s="13" t="n">
        <f aca="false">IF(H20="OK",IFERROR(I20*(Eingaben!$B$36*C20+Eingaben!$B$37*Eingaben!$B$38)-(Eingaben!$B$32+Eingaben!$B$35+SUM(Variantenbilanz!E3299:E3664)*Eingaben!$B$33*Eingaben!$B$34 )*F20,0),"Nicht bewertbar")</f>
        <v>426.7379144</v>
      </c>
      <c r="L20" s="13" t="n">
        <f aca="false">IF(H20="OK",SUM(VariantenCF!I464:I514),"Nicht bewertbar")</f>
        <v>-20992.391371708</v>
      </c>
      <c r="M20" s="13" t="n">
        <f aca="false">IF(H20="OK",IF(MAX(0,Berechnung!$B$13*Szenarien!$B$20-MIN(Eingaben!$B$31,Berechnung!$B$13*Szenarien!$B$20))=0,"Keine Nettoinvestition",IF(K20&lt;=0,"Nicht erreichbar",MAX(0,Berechnung!$B$13*Szenarien!$B$20-MIN(Eingaben!$B$31,Berechnung!$B$13*Szenarien!$B$20))/K20)),"Nicht bewertbar")</f>
        <v>58.5839672463844</v>
      </c>
      <c r="N20" s="13" t="str">
        <f aca="false">IF(H20="OK",IF(IF(MAX(0,Berechnung!$B$13*Szenarien!$B$20-MIN(Eingaben!$B$31,Berechnung!$B$13*Szenarien!$B$20))=0,IF(L20&gt;=0,1,3),IF(L20/MAX(0,Berechnung!$B$13*Szenarien!$B$20-MIN(Eingaben!$B$31,Berechnung!$B$13*Szenarien!$B$20))&gt;=Schwellenwerte!B5,1,IF(L20/MAX(0,Berechnung!$B$13*Szenarien!$B$20-MIN(Eingaben!$B$31,Berechnung!$B$13*Szenarien!$B$20))&gt;=Schwellenwerte!B6,2,3)))=1,"Grün",IF(IF(MAX(0,Berechnung!$B$13*Szenarien!$B$20-MIN(Eingaben!$B$31,Berechnung!$B$13*Szenarien!$B$20))=0,IF(L20&gt;=0,1,3),IF(L20/MAX(0,Berechnung!$B$13*Szenarien!$B$20-MIN(Eingaben!$B$31,Berechnung!$B$13*Szenarien!$B$20))&gt;=Schwellenwerte!B5,1,IF(L20/MAX(0,Berechnung!$B$13*Szenarien!$B$20-MIN(Eingaben!$B$31,Berechnung!$B$13*Szenarien!$B$20))&gt;=Schwellenwerte!B6,2,3)))=2,"Gelb","Rot")),"Nicht bewertbar")</f>
        <v>Rot</v>
      </c>
      <c r="O20" s="13" t="str">
        <f aca="false">IF(H20="OK",IF(IF(I20&lt;=0,3,IF(J20&gt;=Schwellenwerte!B9,1,IF(J20&gt;=Schwellenwerte!B10,2,3)))=1,"Grün",IF(IF(I20&lt;=0,3,IF(J20&gt;=Schwellenwerte!B9,1,IF(J20&gt;=Schwellenwerte!B10,2,3)))=2,"Gelb","Rot")),"Nicht bewertbar")</f>
        <v>Grün</v>
      </c>
      <c r="P20" s="13" t="str">
        <f aca="false">IF(H20="OK",IF(OR(N20="Rot",O20="Rot",Berechnung!$B$27=3),"Rot",IF(OR(N20="Gelb",O20="Gelb",Berechnung!$B$27=2),"Gelb","Grün")),"Nicht bewertbar")</f>
        <v>Rot</v>
      </c>
    </row>
    <row r="21" customFormat="false" ht="36" hidden="false" customHeight="true" outlineLevel="0" collapsed="false">
      <c r="A21" s="12" t="s">
        <v>337</v>
      </c>
      <c r="B21" s="25" t="n">
        <v>1</v>
      </c>
      <c r="C21" s="25" t="n">
        <v>1</v>
      </c>
      <c r="D21" s="25" t="n">
        <v>1</v>
      </c>
      <c r="E21" s="25" t="n">
        <v>1.2</v>
      </c>
      <c r="F21" s="25" t="n">
        <v>1</v>
      </c>
      <c r="G21" s="22" t="n">
        <v>0</v>
      </c>
      <c r="H21" s="12" t="str">
        <f aca="false">IFERROR(IF(AND(Prüfungen!$B$4=0,COUNT(B21:G21)=6,MIN(B21:F21)&gt;=0,MAX(B21:F21)&lt;=10,Eingaben!$B$39+G21&gt;=0,Eingaben!$B$39+G21&lt;=1),"OK","FEHLER"),"FEHLER")</f>
        <v>OK</v>
      </c>
      <c r="I21" s="13" t="n">
        <f aca="false">IF(H21="OK",SUM(Variantenbilanz!K3665:K4030),"Nicht bewertbar")</f>
        <v>641.47797424</v>
      </c>
      <c r="J21" s="24" t="n">
        <f aca="false">IF(H21="OK",IFERROR(I21/(SUM(Variantenbilanz!D3665:D4030)+Eingaben!$B$12),0),"Nicht bewertbar")</f>
        <v>0.254686137388335</v>
      </c>
      <c r="K21" s="13" t="n">
        <f aca="false">IF(H21="OK",IFERROR(I21*(Eingaben!$B$36*C21+Eingaben!$B$37*Eingaben!$B$38)-(Eingaben!$B$32+Eingaben!$B$35+SUM(Variantenbilanz!E3665:E4030)*Eingaben!$B$33*Eingaben!$B$34 )*F21,0),"Nicht bewertbar")</f>
        <v>779.8625356</v>
      </c>
      <c r="L21" s="13" t="n">
        <f aca="false">IF(H21="OK",SUM(VariantenCF!I515:I565),"Nicht bewertbar")</f>
        <v>-14732.6587434232</v>
      </c>
      <c r="M21" s="13" t="n">
        <f aca="false">IF(H21="OK",IF(MAX(0,Berechnung!$B$13*Szenarien!$B$21-MIN(Eingaben!$B$31,Berechnung!$B$13*Szenarien!$B$21))=0,"Keine Nettoinvestition",IF(K21&lt;=0,"Nicht erreichbar",MAX(0,Berechnung!$B$13*Szenarien!$B$21-MIN(Eingaben!$B$31,Berechnung!$B$13*Szenarien!$B$21))/K21)),"Nicht bewertbar")</f>
        <v>32.0569316498399</v>
      </c>
      <c r="N21" s="13" t="str">
        <f aca="false">IF(H21="OK",IF(IF(MAX(0,Berechnung!$B$13*Szenarien!$B$21-MIN(Eingaben!$B$31,Berechnung!$B$13*Szenarien!$B$21))=0,IF(L21&gt;=0,1,3),IF(L21/MAX(0,Berechnung!$B$13*Szenarien!$B$21-MIN(Eingaben!$B$31,Berechnung!$B$13*Szenarien!$B$21))&gt;=Schwellenwerte!B5,1,IF(L21/MAX(0,Berechnung!$B$13*Szenarien!$B$21-MIN(Eingaben!$B$31,Berechnung!$B$13*Szenarien!$B$21))&gt;=Schwellenwerte!B6,2,3)))=1,"Grün",IF(IF(MAX(0,Berechnung!$B$13*Szenarien!$B$21-MIN(Eingaben!$B$31,Berechnung!$B$13*Szenarien!$B$21))=0,IF(L21&gt;=0,1,3),IF(L21/MAX(0,Berechnung!$B$13*Szenarien!$B$21-MIN(Eingaben!$B$31,Berechnung!$B$13*Szenarien!$B$21))&gt;=Schwellenwerte!B5,1,IF(L21/MAX(0,Berechnung!$B$13*Szenarien!$B$21-MIN(Eingaben!$B$31,Berechnung!$B$13*Szenarien!$B$21))&gt;=Schwellenwerte!B6,2,3)))=2,"Gelb","Rot")),"Nicht bewertbar")</f>
        <v>Rot</v>
      </c>
      <c r="O21" s="13" t="str">
        <f aca="false">IF(H21="OK",IF(IF(I21&lt;=0,3,IF(J21&gt;=Schwellenwerte!B9,1,IF(J21&gt;=Schwellenwerte!B10,2,3)))=1,"Grün",IF(IF(I21&lt;=0,3,IF(J21&gt;=Schwellenwerte!B9,1,IF(J21&gt;=Schwellenwerte!B10,2,3)))=2,"Gelb","Rot")),"Nicht bewertbar")</f>
        <v>Grün</v>
      </c>
      <c r="P21" s="13" t="str">
        <f aca="false">IF(H21="OK",IF(OR(N21="Rot",O21="Rot",Berechnung!$B$27=3),"Rot",IF(OR(N21="Gelb",O21="Gelb",Berechnung!$B$27=2),"Gelb","Grün")),"Nicht bewertbar")</f>
        <v>Rot</v>
      </c>
    </row>
    <row r="22" customFormat="false" ht="36" hidden="false" customHeight="true" outlineLevel="0" collapsed="false">
      <c r="A22" s="12" t="s">
        <v>338</v>
      </c>
      <c r="B22" s="25" t="n">
        <v>1</v>
      </c>
      <c r="C22" s="25" t="n">
        <v>1</v>
      </c>
      <c r="D22" s="25" t="n">
        <v>1</v>
      </c>
      <c r="E22" s="25" t="n">
        <v>1</v>
      </c>
      <c r="F22" s="25" t="n">
        <v>0.8</v>
      </c>
      <c r="G22" s="22" t="n">
        <v>0</v>
      </c>
      <c r="H22" s="12" t="str">
        <f aca="false">IFERROR(IF(AND(Prüfungen!$B$4=0,COUNT(B22:G22)=6,MIN(B22:F22)&gt;=0,MAX(B22:F22)&lt;=10,Eingaben!$B$39+G22&gt;=0,Eingaben!$B$39+G22&lt;=1),"OK","FEHLER"),"FEHLER")</f>
        <v>OK</v>
      </c>
      <c r="I22" s="13" t="n">
        <f aca="false">IF(H22="OK",SUM(Variantenbilanz!K4031:K4396),"Nicht bewertbar")</f>
        <v>555.3897572</v>
      </c>
      <c r="J22" s="24" t="n">
        <f aca="false">IF(H22="OK",IFERROR(I22/(SUM(Variantenbilanz!D4031:D4396)+Eingaben!$B$12),0),"Nicht bewertbar")</f>
        <v>0.220506514154127</v>
      </c>
      <c r="K22" s="13" t="n">
        <f aca="false">IF(H22="OK",IFERROR(I22*(Eingaben!$B$36*C22+Eingaben!$B$37*Eingaben!$B$38)-(Eingaben!$B$32+Eingaben!$B$35+SUM(Variantenbilanz!E4031:E4396)*Eingaben!$B$33*Eingaben!$B$34 )*F22,0),"Nicht bewertbar")</f>
        <v>763.252793</v>
      </c>
      <c r="L22" s="13" t="n">
        <f aca="false">IF(H22="OK",SUM(VariantenCF!I566:I616),"Nicht bewertbar")</f>
        <v>-15027.0945925785</v>
      </c>
      <c r="M22" s="13" t="n">
        <f aca="false">IF(H22="OK",IF(MAX(0,Berechnung!$B$13*Szenarien!$B$22-MIN(Eingaben!$B$31,Berechnung!$B$13*Szenarien!$B$22))=0,"Keine Nettoinvestition",IF(K22&lt;=0,"Nicht erreichbar",MAX(0,Berechnung!$B$13*Szenarien!$B$22-MIN(Eingaben!$B$31,Berechnung!$B$13*Szenarien!$B$22))/K22)),"Nicht bewertbar")</f>
        <v>32.7545476797227</v>
      </c>
      <c r="N22" s="13" t="str">
        <f aca="false">IF(H22="OK",IF(IF(MAX(0,Berechnung!$B$13*Szenarien!$B$22-MIN(Eingaben!$B$31,Berechnung!$B$13*Szenarien!$B$22))=0,IF(L22&gt;=0,1,3),IF(L22/MAX(0,Berechnung!$B$13*Szenarien!$B$22-MIN(Eingaben!$B$31,Berechnung!$B$13*Szenarien!$B$22))&gt;=Schwellenwerte!B5,1,IF(L22/MAX(0,Berechnung!$B$13*Szenarien!$B$22-MIN(Eingaben!$B$31,Berechnung!$B$13*Szenarien!$B$22))&gt;=Schwellenwerte!B6,2,3)))=1,"Grün",IF(IF(MAX(0,Berechnung!$B$13*Szenarien!$B$22-MIN(Eingaben!$B$31,Berechnung!$B$13*Szenarien!$B$22))=0,IF(L22&gt;=0,1,3),IF(L22/MAX(0,Berechnung!$B$13*Szenarien!$B$22-MIN(Eingaben!$B$31,Berechnung!$B$13*Szenarien!$B$22))&gt;=Schwellenwerte!B5,1,IF(L22/MAX(0,Berechnung!$B$13*Szenarien!$B$22-MIN(Eingaben!$B$31,Berechnung!$B$13*Szenarien!$B$22))&gt;=Schwellenwerte!B6,2,3)))=2,"Gelb","Rot")),"Nicht bewertbar")</f>
        <v>Rot</v>
      </c>
      <c r="O22" s="13" t="str">
        <f aca="false">IF(H22="OK",IF(IF(I22&lt;=0,3,IF(J22&gt;=Schwellenwerte!B9,1,IF(J22&gt;=Schwellenwerte!B10,2,3)))=1,"Grün",IF(IF(I22&lt;=0,3,IF(J22&gt;=Schwellenwerte!B9,1,IF(J22&gt;=Schwellenwerte!B10,2,3)))=2,"Gelb","Rot")),"Nicht bewertbar")</f>
        <v>Grün</v>
      </c>
      <c r="P22" s="13" t="str">
        <f aca="false">IF(H22="OK",IF(OR(N22="Rot",O22="Rot",Berechnung!$B$27=3),"Rot",IF(OR(N22="Gelb",O22="Gelb",Berechnung!$B$27=2),"Gelb","Grün")),"Nicht bewertbar")</f>
        <v>Rot</v>
      </c>
    </row>
    <row r="23" customFormat="false" ht="36" hidden="false" customHeight="true" outlineLevel="0" collapsed="false">
      <c r="A23" s="12" t="s">
        <v>339</v>
      </c>
      <c r="B23" s="25" t="n">
        <v>1</v>
      </c>
      <c r="C23" s="25" t="n">
        <v>1</v>
      </c>
      <c r="D23" s="25" t="n">
        <v>1</v>
      </c>
      <c r="E23" s="25" t="n">
        <v>1</v>
      </c>
      <c r="F23" s="25" t="n">
        <v>1.2</v>
      </c>
      <c r="G23" s="22" t="n">
        <v>0</v>
      </c>
      <c r="H23" s="12" t="str">
        <f aca="false">IFERROR(IF(AND(Prüfungen!$B$4=0,COUNT(B23:G23)=6,MIN(B23:F23)&gt;=0,MAX(B23:F23)&lt;=10,Eingaben!$B$39+G23&gt;=0,Eingaben!$B$39+G23&lt;=1),"OK","FEHLER"),"FEHLER")</f>
        <v>OK</v>
      </c>
      <c r="I23" s="13" t="n">
        <f aca="false">IF(H23="OK",SUM(Variantenbilanz!K4397:K4762),"Nicht bewertbar")</f>
        <v>555.3897572</v>
      </c>
      <c r="J23" s="24" t="n">
        <f aca="false">IF(H23="OK",IFERROR(I23/(SUM(Variantenbilanz!D4397:D4762)+Eingaben!$B$12),0),"Nicht bewertbar")</f>
        <v>0.220506514154127</v>
      </c>
      <c r="K23" s="13" t="n">
        <f aca="false">IF(H23="OK",IFERROR(I23*(Eingaben!$B$36*C23+Eingaben!$B$37*Eingaben!$B$38)-(Eingaben!$B$32+Eingaben!$B$35+SUM(Variantenbilanz!E4397:E4762)*Eingaben!$B$33*Eingaben!$B$34 )*F23,0),"Nicht bewertbar")</f>
        <v>450.641993</v>
      </c>
      <c r="L23" s="13" t="n">
        <f aca="false">IF(H23="OK",SUM(VariantenCF!I617:I667),"Nicht bewertbar")</f>
        <v>-20568.6510495152</v>
      </c>
      <c r="M23" s="13" t="n">
        <f aca="false">IF(H23="OK",IF(MAX(0,Berechnung!$B$13*Szenarien!$B$23-MIN(Eingaben!$B$31,Berechnung!$B$13*Szenarien!$B$23))=0,"Keine Nettoinvestition",IF(K23&lt;=0,"Nicht erreichbar",MAX(0,Berechnung!$B$13*Szenarien!$B$23-MIN(Eingaben!$B$31,Berechnung!$B$13*Szenarien!$B$23))/K23)),"Nicht bewertbar")</f>
        <v>55.4764100734838</v>
      </c>
      <c r="N23" s="13" t="str">
        <f aca="false">IF(H23="OK",IF(IF(MAX(0,Berechnung!$B$13*Szenarien!$B$23-MIN(Eingaben!$B$31,Berechnung!$B$13*Szenarien!$B$23))=0,IF(L23&gt;=0,1,3),IF(L23/MAX(0,Berechnung!$B$13*Szenarien!$B$23-MIN(Eingaben!$B$31,Berechnung!$B$13*Szenarien!$B$23))&gt;=Schwellenwerte!B5,1,IF(L23/MAX(0,Berechnung!$B$13*Szenarien!$B$23-MIN(Eingaben!$B$31,Berechnung!$B$13*Szenarien!$B$23))&gt;=Schwellenwerte!B6,2,3)))=1,"Grün",IF(IF(MAX(0,Berechnung!$B$13*Szenarien!$B$23-MIN(Eingaben!$B$31,Berechnung!$B$13*Szenarien!$B$23))=0,IF(L23&gt;=0,1,3),IF(L23/MAX(0,Berechnung!$B$13*Szenarien!$B$23-MIN(Eingaben!$B$31,Berechnung!$B$13*Szenarien!$B$23))&gt;=Schwellenwerte!B5,1,IF(L23/MAX(0,Berechnung!$B$13*Szenarien!$B$23-MIN(Eingaben!$B$31,Berechnung!$B$13*Szenarien!$B$23))&gt;=Schwellenwerte!B6,2,3)))=2,"Gelb","Rot")),"Nicht bewertbar")</f>
        <v>Rot</v>
      </c>
      <c r="O23" s="13" t="str">
        <f aca="false">IF(H23="OK",IF(IF(I23&lt;=0,3,IF(J23&gt;=Schwellenwerte!B9,1,IF(J23&gt;=Schwellenwerte!B10,2,3)))=1,"Grün",IF(IF(I23&lt;=0,3,IF(J23&gt;=Schwellenwerte!B9,1,IF(J23&gt;=Schwellenwerte!B10,2,3)))=2,"Gelb","Rot")),"Nicht bewertbar")</f>
        <v>Grün</v>
      </c>
      <c r="P23" s="13" t="str">
        <f aca="false">IF(H23="OK",IF(OR(N23="Rot",O23="Rot",Berechnung!$B$27=3),"Rot",IF(OR(N23="Gelb",O23="Gelb",Berechnung!$B$27=2),"Gelb","Grün")),"Nicht bewertbar")</f>
        <v>Rot</v>
      </c>
    </row>
    <row r="24" customFormat="false" ht="36" hidden="false" customHeight="true" outlineLevel="0" collapsed="false">
      <c r="A24" s="12" t="s">
        <v>340</v>
      </c>
      <c r="B24" s="25" t="n">
        <v>1</v>
      </c>
      <c r="C24" s="25" t="n">
        <v>1</v>
      </c>
      <c r="D24" s="25" t="n">
        <v>1</v>
      </c>
      <c r="E24" s="25" t="n">
        <v>1</v>
      </c>
      <c r="F24" s="25" t="n">
        <v>1</v>
      </c>
      <c r="G24" s="22" t="n">
        <v>-0.01</v>
      </c>
      <c r="H24" s="12" t="str">
        <f aca="false">IFERROR(IF(AND(Prüfungen!$B$4=0,COUNT(B24:G24)=6,MIN(B24:F24)&gt;=0,MAX(B24:F24)&lt;=10,Eingaben!$B$39+G24&gt;=0,Eingaben!$B$39+G24&lt;=1),"OK","FEHLER"),"FEHLER")</f>
        <v>OK</v>
      </c>
      <c r="I24" s="13" t="n">
        <f aca="false">IF(H24="OK",SUM(Variantenbilanz!K4763:K5128),"Nicht bewertbar")</f>
        <v>555.3897572</v>
      </c>
      <c r="J24" s="24" t="n">
        <f aca="false">IF(H24="OK",IFERROR(I24/(SUM(Variantenbilanz!D4763:D5128)+Eingaben!$B$12),0),"Nicht bewertbar")</f>
        <v>0.220506514154127</v>
      </c>
      <c r="K24" s="13" t="n">
        <f aca="false">IF(H24="OK",IFERROR(I24*(Eingaben!$B$36*C24+Eingaben!$B$37*Eingaben!$B$38)-(Eingaben!$B$32+Eingaben!$B$35+SUM(Variantenbilanz!E4763:E5128)*Eingaben!$B$33*Eingaben!$B$34 )*F24,0),"Nicht bewertbar")</f>
        <v>606.947393</v>
      </c>
      <c r="L24" s="13" t="n">
        <f aca="false">IF(H24="OK",SUM(VariantenCF!I668:I718),"Nicht bewertbar")</f>
        <v>-17020.6393529412</v>
      </c>
      <c r="M24" s="13" t="n">
        <f aca="false">IF(H24="OK",IF(MAX(0,Berechnung!$B$13*Szenarien!$B$24-MIN(Eingaben!$B$31,Berechnung!$B$13*Szenarien!$B$24))=0,"Keine Nettoinvestition",IF(K24&lt;=0,"Nicht erreichbar",MAX(0,Berechnung!$B$13*Szenarien!$B$24-MIN(Eingaben!$B$31,Berechnung!$B$13*Szenarien!$B$24))/K24)),"Nicht bewertbar")</f>
        <v>41.1897312490804</v>
      </c>
      <c r="N24" s="13" t="str">
        <f aca="false">IF(H24="OK",IF(IF(MAX(0,Berechnung!$B$13*Szenarien!$B$24-MIN(Eingaben!$B$31,Berechnung!$B$13*Szenarien!$B$24))=0,IF(L24&gt;=0,1,3),IF(L24/MAX(0,Berechnung!$B$13*Szenarien!$B$24-MIN(Eingaben!$B$31,Berechnung!$B$13*Szenarien!$B$24))&gt;=Schwellenwerte!B5,1,IF(L24/MAX(0,Berechnung!$B$13*Szenarien!$B$24-MIN(Eingaben!$B$31,Berechnung!$B$13*Szenarien!$B$24))&gt;=Schwellenwerte!B6,2,3)))=1,"Grün",IF(IF(MAX(0,Berechnung!$B$13*Szenarien!$B$24-MIN(Eingaben!$B$31,Berechnung!$B$13*Szenarien!$B$24))=0,IF(L24&gt;=0,1,3),IF(L24/MAX(0,Berechnung!$B$13*Szenarien!$B$24-MIN(Eingaben!$B$31,Berechnung!$B$13*Szenarien!$B$24))&gt;=Schwellenwerte!B5,1,IF(L24/MAX(0,Berechnung!$B$13*Szenarien!$B$24-MIN(Eingaben!$B$31,Berechnung!$B$13*Szenarien!$B$24))&gt;=Schwellenwerte!B6,2,3)))=2,"Gelb","Rot")),"Nicht bewertbar")</f>
        <v>Rot</v>
      </c>
      <c r="O24" s="13" t="str">
        <f aca="false">IF(H24="OK",IF(IF(I24&lt;=0,3,IF(J24&gt;=Schwellenwerte!B9,1,IF(J24&gt;=Schwellenwerte!B10,2,3)))=1,"Grün",IF(IF(I24&lt;=0,3,IF(J24&gt;=Schwellenwerte!B9,1,IF(J24&gt;=Schwellenwerte!B10,2,3)))=2,"Gelb","Rot")),"Nicht bewertbar")</f>
        <v>Grün</v>
      </c>
      <c r="P24" s="13" t="str">
        <f aca="false">IF(H24="OK",IF(OR(N24="Rot",O24="Rot",Berechnung!$B$27=3),"Rot",IF(OR(N24="Gelb",O24="Gelb",Berechnung!$B$27=2),"Gelb","Grün")),"Nicht bewertbar")</f>
        <v>Rot</v>
      </c>
    </row>
    <row r="25" customFormat="false" ht="36" hidden="false" customHeight="true" outlineLevel="0" collapsed="false">
      <c r="A25" s="12" t="s">
        <v>341</v>
      </c>
      <c r="B25" s="25" t="n">
        <v>1</v>
      </c>
      <c r="C25" s="25" t="n">
        <v>1</v>
      </c>
      <c r="D25" s="25" t="n">
        <v>1</v>
      </c>
      <c r="E25" s="25" t="n">
        <v>1</v>
      </c>
      <c r="F25" s="25" t="n">
        <v>1</v>
      </c>
      <c r="G25" s="22" t="n">
        <v>0.01</v>
      </c>
      <c r="H25" s="12" t="str">
        <f aca="false">IFERROR(IF(AND(Prüfungen!$B$4=0,COUNT(B25:G25)=6,MIN(B25:F25)&gt;=0,MAX(B25:F25)&lt;=10,Eingaben!$B$39+G25&gt;=0,Eingaben!$B$39+G25&lt;=1),"OK","FEHLER"),"FEHLER")</f>
        <v>OK</v>
      </c>
      <c r="I25" s="13" t="n">
        <f aca="false">IF(H25="OK",SUM(Variantenbilanz!K5129:K5494),"Nicht bewertbar")</f>
        <v>555.3897572</v>
      </c>
      <c r="J25" s="24" t="n">
        <f aca="false">IF(H25="OK",IFERROR(I25/(SUM(Variantenbilanz!D5129:D5494)+Eingaben!$B$12),0),"Nicht bewertbar")</f>
        <v>0.220506514154127</v>
      </c>
      <c r="K25" s="13" t="n">
        <f aca="false">IF(H25="OK",IFERROR(I25*(Eingaben!$B$36*C25+Eingaben!$B$37*Eingaben!$B$38)-(Eingaben!$B$32+Eingaben!$B$35+SUM(Variantenbilanz!E5129:E5494)*Eingaben!$B$33*Eingaben!$B$34 )*F25,0),"Nicht bewertbar")</f>
        <v>606.947393</v>
      </c>
      <c r="L25" s="13" t="n">
        <f aca="false">IF(H25="OK",SUM(VariantenCF!I719:I769),"Nicht bewertbar")</f>
        <v>-18462.6616805944</v>
      </c>
      <c r="M25" s="13" t="n">
        <f aca="false">IF(H25="OK",IF(MAX(0,Berechnung!$B$13*Szenarien!$B$25-MIN(Eingaben!$B$31,Berechnung!$B$13*Szenarien!$B$25))=0,"Keine Nettoinvestition",IF(K25&lt;=0,"Nicht erreichbar",MAX(0,Berechnung!$B$13*Szenarien!$B$25-MIN(Eingaben!$B$31,Berechnung!$B$13*Szenarien!$B$25))/K25)),"Nicht bewertbar")</f>
        <v>41.1897312490804</v>
      </c>
      <c r="N25" s="13" t="str">
        <f aca="false">IF(H25="OK",IF(IF(MAX(0,Berechnung!$B$13*Szenarien!$B$25-MIN(Eingaben!$B$31,Berechnung!$B$13*Szenarien!$B$25))=0,IF(L25&gt;=0,1,3),IF(L25/MAX(0,Berechnung!$B$13*Szenarien!$B$25-MIN(Eingaben!$B$31,Berechnung!$B$13*Szenarien!$B$25))&gt;=Schwellenwerte!B5,1,IF(L25/MAX(0,Berechnung!$B$13*Szenarien!$B$25-MIN(Eingaben!$B$31,Berechnung!$B$13*Szenarien!$B$25))&gt;=Schwellenwerte!B6,2,3)))=1,"Grün",IF(IF(MAX(0,Berechnung!$B$13*Szenarien!$B$25-MIN(Eingaben!$B$31,Berechnung!$B$13*Szenarien!$B$25))=0,IF(L25&gt;=0,1,3),IF(L25/MAX(0,Berechnung!$B$13*Szenarien!$B$25-MIN(Eingaben!$B$31,Berechnung!$B$13*Szenarien!$B$25))&gt;=Schwellenwerte!B5,1,IF(L25/MAX(0,Berechnung!$B$13*Szenarien!$B$25-MIN(Eingaben!$B$31,Berechnung!$B$13*Szenarien!$B$25))&gt;=Schwellenwerte!B6,2,3)))=2,"Gelb","Rot")),"Nicht bewertbar")</f>
        <v>Rot</v>
      </c>
      <c r="O25" s="13" t="str">
        <f aca="false">IF(H25="OK",IF(IF(I25&lt;=0,3,IF(J25&gt;=Schwellenwerte!B9,1,IF(J25&gt;=Schwellenwerte!B10,2,3)))=1,"Grün",IF(IF(I25&lt;=0,3,IF(J25&gt;=Schwellenwerte!B9,1,IF(J25&gt;=Schwellenwerte!B10,2,3)))=2,"Gelb","Rot")),"Nicht bewertbar")</f>
        <v>Grün</v>
      </c>
      <c r="P25" s="13" t="str">
        <f aca="false">IF(H25="OK",IF(OR(N25="Rot",O25="Rot",Berechnung!$B$27=3),"Rot",IF(OR(N25="Gelb",O25="Gelb",Berechnung!$B$27=2),"Gelb","Grün")),"Nicht bewertbar")</f>
        <v>Rot</v>
      </c>
    </row>
    <row r="27" customFormat="false" ht="30" hidden="false" customHeight="true" outlineLevel="0" collapsed="false">
      <c r="A27" s="3" t="s">
        <v>342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30" hidden="false" customHeight="true" outlineLevel="0" collapsed="false">
      <c r="A28" s="3" t="s">
        <v>343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</sheetData>
  <sheetProtection sheet="true" objects="true" sort="false" autoFilter="false"/>
  <mergeCells count="6">
    <mergeCell ref="A1:P1"/>
    <mergeCell ref="A3:P3"/>
    <mergeCell ref="A5:P5"/>
    <mergeCell ref="A12:P12"/>
    <mergeCell ref="A27:P27"/>
    <mergeCell ref="A28:P28"/>
  </mergeCells>
  <conditionalFormatting sqref="N8:P25">
    <cfRule type="cellIs" priority="2" operator="equal" aboveAverage="0" equalAverage="0" bottom="0" percent="0" rank="0" text="" dxfId="0">
      <formula>"Grün"</formula>
    </cfRule>
    <cfRule type="cellIs" priority="3" operator="equal" aboveAverage="0" equalAverage="0" bottom="0" percent="0" rank="0" text="" dxfId="1">
      <formula>"Gelb"</formula>
    </cfRule>
    <cfRule type="cellIs" priority="4" operator="equal" aboveAverage="0" equalAverage="0" bottom="0" percent="0" rank="0" text="" dxfId="2">
      <formula>"Rot"</formula>
    </cfRule>
    <cfRule type="cellIs" priority="5" operator="equal" aboveAverage="0" equalAverage="0" bottom="0" percent="0" rank="0" text="" dxfId="3">
      <formula>"Nicht bewertbar"</formula>
    </cfRule>
  </conditionalFormatting>
  <dataValidations count="90"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8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8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8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8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8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8" type="decimal">
      <formula1>-1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9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9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9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9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9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9" type="decimal">
      <formula1>-1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0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0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0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0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0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10" type="decimal">
      <formula1>-1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4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4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4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4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4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14" type="decimal">
      <formula1>-1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5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5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5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5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5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15" type="decimal">
      <formula1>-1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6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6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6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6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6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16" type="decimal">
      <formula1>-1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7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7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7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7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7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17" type="decimal">
      <formula1>-1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8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8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8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8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8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18" type="decimal">
      <formula1>-1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9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9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9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9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9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19" type="decimal">
      <formula1>-1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0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0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0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0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20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20" type="decimal">
      <formula1>-1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1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1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1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1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21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21" type="decimal">
      <formula1>-1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2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2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2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2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22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22" type="decimal">
      <formula1>-1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3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3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3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3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23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23" type="decimal">
      <formula1>-1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4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4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4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4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24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24" type="decimal">
      <formula1>-1</formula1>
      <formula2>1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5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5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5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5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25" type="decimal">
      <formula1>0</formula1>
      <formula2>10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25" type="decimal">
      <formula1>-1</formula1>
      <formula2>1</formula2>
    </dataValidation>
  </dataValidations>
  <hyperlinks>
    <hyperlink ref="A2" r:id="rId1" location="'Dashboard'!A1" display="Dashboard"/>
    <hyperlink ref="B2" r:id="rId2" location="'Eingaben'!A1" display="Eingaben"/>
    <hyperlink ref="C2" r:id="rId3" location="'Nutzungsprofile'!A1" display="Profile"/>
    <hyperlink ref="D2" r:id="rId4" location="'Kalender'!A1" display="Kalender"/>
    <hyperlink ref="E2" r:id="rId5" location="'Anleitung'!A1" display="Methodik"/>
  </hyperlinks>
  <printOptions headings="false" gridLines="false" gridLinesSet="true" horizontalCentered="true" verticalCentered="false"/>
  <pageMargins left="0.25" right="0.2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Grauwasserbewertung | wissenschaftlicher Prototyp | &amp;P / &amp;N</oddFooter>
  </headerFooter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49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4" min="1" style="0" width="16"/>
  </cols>
  <sheetData>
    <row r="1" customFormat="false" ht="37.5" hidden="false" customHeight="true" outlineLevel="0" collapsed="false">
      <c r="A1" s="1" t="s">
        <v>344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3.75" hidden="false" customHeight="true" outlineLevel="0" collapsed="false">
      <c r="A3" s="3" t="s">
        <v>345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31.5" hidden="false" customHeight="true" outlineLevel="0" collapsed="false">
      <c r="A4" s="11" t="s">
        <v>313</v>
      </c>
      <c r="B4" s="11" t="s">
        <v>346</v>
      </c>
      <c r="C4" s="11" t="s">
        <v>347</v>
      </c>
      <c r="D4" s="11" t="s">
        <v>348</v>
      </c>
      <c r="E4" s="11" t="s">
        <v>212</v>
      </c>
      <c r="F4" s="11" t="s">
        <v>27</v>
      </c>
      <c r="G4" s="11" t="s">
        <v>349</v>
      </c>
      <c r="H4" s="11" t="s">
        <v>350</v>
      </c>
      <c r="I4" s="11" t="s">
        <v>215</v>
      </c>
      <c r="J4" s="11" t="s">
        <v>351</v>
      </c>
      <c r="K4" s="11" t="s">
        <v>352</v>
      </c>
      <c r="L4" s="11" t="s">
        <v>30</v>
      </c>
      <c r="M4" s="11" t="s">
        <v>353</v>
      </c>
      <c r="N4" s="11" t="s">
        <v>354</v>
      </c>
    </row>
    <row r="5" customFormat="false" ht="16.4" hidden="false" customHeight="false" outlineLevel="0" collapsed="false">
      <c r="A5" s="13" t="str">
        <f aca="false">"Konservativ"</f>
        <v>Konservativ</v>
      </c>
      <c r="B5" s="13" t="n">
        <f aca="false">1</f>
        <v>1</v>
      </c>
      <c r="C5" s="13" t="n">
        <f aca="false">IF(Szenarien!$H$8="OK",(IFERROR(SUMIF(Nutzungsprofile!$B$6:$B$11,"Schulbetrieb",Nutzungsprofile!$G$6:$G$11)*Kalender!C5/SUM(Kalender!$C$5:$C$370),0)+IFERROR(SUMIF(Nutzungsprofile!$B$6:$B$11,"Halle",Nutzungsprofile!$G$6:$G$11)*Kalender!D5/SUM(Kalender!$D$5:$D$370),0)+IFERROR(SUMIF(Nutzungsprofile!$B$6:$B$11,"Individuell",Nutzungsprofile!$G$6:$G$11)*Kalender!E5/SUM(Kalender!$E$5:$E$370),0))*Szenarien!$E$8,0)</f>
        <v>2.352</v>
      </c>
      <c r="D5" s="13" t="n">
        <f aca="false">IF(Szenarien!$H$8="OK",(IFERROR(SUMIF(Nutzungsprofile!$B$17:$B$22,"Schulbetrieb",Nutzungsprofile!$G$17:$G$22)*Kalender!C5/SUM(Kalender!$C$5:$C$370),0)+IFERROR(SUMIF(Nutzungsprofile!$B$17:$B$22,"Halle",Nutzungsprofile!$G$17:$G$22)*Kalender!D5/SUM(Kalender!$D$5:$D$370),0)+IFERROR(SUMIF(Nutzungsprofile!$B$17:$B$22,"Individuell",Nutzungsprofile!$G$17:$G$22)*Kalender!E5/SUM(Kalender!$E$5:$E$370),0))*Szenarien!$D$8,0)</f>
        <v>4.446</v>
      </c>
      <c r="E5" s="13" t="n">
        <f aca="false">IFERROR(MIN(C5,Eingaben!$B$17)*Eingaben!$B$16,0)</f>
        <v>2.2344</v>
      </c>
      <c r="F5" s="13" t="n">
        <f aca="false">IFERROR(E5*Eingaben!$B$15,0)</f>
        <v>2.01096</v>
      </c>
      <c r="G5" s="13" t="n">
        <f aca="false">0</f>
        <v>0</v>
      </c>
      <c r="H5" s="13" t="n">
        <f aca="false">MIN(G5,D5)</f>
        <v>0</v>
      </c>
      <c r="I5" s="13" t="n">
        <f aca="false">IFERROR(MIN(F5*Eingaben!$B$19,MAX(0,D5-H5)),0)</f>
        <v>1.407672</v>
      </c>
      <c r="J5" s="13" t="n">
        <f aca="false">IFERROR(MIN(Eingaben!$B$18,MAX(0,F5-I5)),0)</f>
        <v>0.603288</v>
      </c>
      <c r="K5" s="13" t="n">
        <f aca="false">H5+I5</f>
        <v>1.407672</v>
      </c>
      <c r="L5" s="13" t="n">
        <f aca="false">MAX(0,D5-K5)</f>
        <v>3.038328</v>
      </c>
      <c r="M5" s="13" t="n">
        <f aca="false">MAX(0,F5-I5-J5)</f>
        <v>0</v>
      </c>
      <c r="N5" s="13" t="n">
        <f aca="false">0</f>
        <v>0</v>
      </c>
    </row>
    <row r="6" customFormat="false" ht="16.4" hidden="false" customHeight="false" outlineLevel="0" collapsed="false">
      <c r="A6" s="13" t="str">
        <f aca="false">""</f>
        <v/>
      </c>
      <c r="B6" s="13" t="n">
        <f aca="false">2</f>
        <v>2</v>
      </c>
      <c r="C6" s="13" t="n">
        <f aca="false">IF(Szenarien!$H$8="OK",(IFERROR(SUMIF(Nutzungsprofile!$B$6:$B$11,"Schulbetrieb",Nutzungsprofile!$G$6:$G$11)*Kalender!C6/SUM(Kalender!$C$5:$C$370),0)+IFERROR(SUMIF(Nutzungsprofile!$B$6:$B$11,"Halle",Nutzungsprofile!$G$6:$G$11)*Kalender!D6/SUM(Kalender!$D$5:$D$370),0)+IFERROR(SUMIF(Nutzungsprofile!$B$6:$B$11,"Individuell",Nutzungsprofile!$G$6:$G$11)*Kalender!E6/SUM(Kalender!$E$5:$E$370),0))*Szenarien!$E$8,0)</f>
        <v>2.352</v>
      </c>
      <c r="D6" s="13" t="n">
        <f aca="false">IF(Szenarien!$H$8="OK",(IFERROR(SUMIF(Nutzungsprofile!$B$17:$B$22,"Schulbetrieb",Nutzungsprofile!$G$17:$G$22)*Kalender!C6/SUM(Kalender!$C$5:$C$370),0)+IFERROR(SUMIF(Nutzungsprofile!$B$17:$B$22,"Halle",Nutzungsprofile!$G$17:$G$22)*Kalender!D6/SUM(Kalender!$D$5:$D$370),0)+IFERROR(SUMIF(Nutzungsprofile!$B$17:$B$22,"Individuell",Nutzungsprofile!$G$17:$G$22)*Kalender!E6/SUM(Kalender!$E$5:$E$370),0))*Szenarien!$D$8,0)</f>
        <v>4.446</v>
      </c>
      <c r="E6" s="13" t="n">
        <f aca="false">IFERROR(MIN(C6,Eingaben!$B$17)*Eingaben!$B$16,0)</f>
        <v>2.2344</v>
      </c>
      <c r="F6" s="13" t="n">
        <f aca="false">IFERROR(E6*Eingaben!$B$15,0)</f>
        <v>2.01096</v>
      </c>
      <c r="G6" s="13" t="n">
        <f aca="false">IFERROR(IF(Kalender!A6="",0,J5*(1-Eingaben!$B$20)),0)</f>
        <v>0.59122224</v>
      </c>
      <c r="H6" s="13" t="n">
        <f aca="false">MIN(G6,D6)</f>
        <v>0.59122224</v>
      </c>
      <c r="I6" s="13" t="n">
        <f aca="false">IFERROR(MIN(F6*Eingaben!$B$19,MAX(0,D6-H6)),0)</f>
        <v>1.407672</v>
      </c>
      <c r="J6" s="13" t="n">
        <f aca="false">IFERROR(MIN(Eingaben!$B$18,MAX(0,F6-I6)),0)</f>
        <v>0.603288</v>
      </c>
      <c r="K6" s="13" t="n">
        <f aca="false">H6+I6</f>
        <v>1.99889424</v>
      </c>
      <c r="L6" s="13" t="n">
        <f aca="false">MAX(0,D6-K6)</f>
        <v>2.44710576</v>
      </c>
      <c r="M6" s="13" t="n">
        <f aca="false">MAX(0,F6-I6-J6)</f>
        <v>0</v>
      </c>
      <c r="N6" s="13" t="n">
        <f aca="false">IF(Kalender!A6="",0,J5-H6)</f>
        <v>0.01206576</v>
      </c>
    </row>
    <row r="7" customFormat="false" ht="16.4" hidden="false" customHeight="false" outlineLevel="0" collapsed="false">
      <c r="A7" s="13" t="str">
        <f aca="false">""</f>
        <v/>
      </c>
      <c r="B7" s="13" t="n">
        <f aca="false">3</f>
        <v>3</v>
      </c>
      <c r="C7" s="13" t="n">
        <f aca="false">IF(Szenarien!$H$8="OK",(IFERROR(SUMIF(Nutzungsprofile!$B$6:$B$11,"Schulbetrieb",Nutzungsprofile!$G$6:$G$11)*Kalender!C7/SUM(Kalender!$C$5:$C$370),0)+IFERROR(SUMIF(Nutzungsprofile!$B$6:$B$11,"Halle",Nutzungsprofile!$G$6:$G$11)*Kalender!D7/SUM(Kalender!$D$5:$D$370),0)+IFERROR(SUMIF(Nutzungsprofile!$B$6:$B$11,"Individuell",Nutzungsprofile!$G$6:$G$11)*Kalender!E7/SUM(Kalender!$E$5:$E$370),0))*Szenarien!$E$8,0)</f>
        <v>1.632</v>
      </c>
      <c r="D7" s="13" t="n">
        <f aca="false">IF(Szenarien!$H$8="OK",(IFERROR(SUMIF(Nutzungsprofile!$B$17:$B$22,"Schulbetrieb",Nutzungsprofile!$G$17:$G$22)*Kalender!C7/SUM(Kalender!$C$5:$C$370),0)+IFERROR(SUMIF(Nutzungsprofile!$B$17:$B$22,"Halle",Nutzungsprofile!$G$17:$G$22)*Kalender!D7/SUM(Kalender!$D$5:$D$370),0)+IFERROR(SUMIF(Nutzungsprofile!$B$17:$B$22,"Individuell",Nutzungsprofile!$G$17:$G$22)*Kalender!E7/SUM(Kalender!$E$5:$E$370),0))*Szenarien!$D$8,0)</f>
        <v>0.801</v>
      </c>
      <c r="E7" s="13" t="n">
        <f aca="false">IFERROR(MIN(C7,Eingaben!$B$17)*Eingaben!$B$16,0)</f>
        <v>1.5504</v>
      </c>
      <c r="F7" s="13" t="n">
        <f aca="false">IFERROR(E7*Eingaben!$B$15,0)</f>
        <v>1.39536</v>
      </c>
      <c r="G7" s="13" t="n">
        <f aca="false">IFERROR(IF(Kalender!A7="",0,J6*(1-Eingaben!$B$20)),0)</f>
        <v>0.59122224</v>
      </c>
      <c r="H7" s="13" t="n">
        <f aca="false">MIN(G7,D7)</f>
        <v>0.59122224</v>
      </c>
      <c r="I7" s="13" t="n">
        <f aca="false">IFERROR(MIN(F7*Eingaben!$B$19,MAX(0,D7-H7)),0)</f>
        <v>0.20977776</v>
      </c>
      <c r="J7" s="13" t="n">
        <f aca="false">IFERROR(MIN(Eingaben!$B$18,MAX(0,F7-I7)),0)</f>
        <v>1.18558224</v>
      </c>
      <c r="K7" s="13" t="n">
        <f aca="false">H7+I7</f>
        <v>0.801</v>
      </c>
      <c r="L7" s="13" t="n">
        <f aca="false">MAX(0,D7-K7)</f>
        <v>0</v>
      </c>
      <c r="M7" s="13" t="n">
        <f aca="false">MAX(0,F7-I7-J7)</f>
        <v>0</v>
      </c>
      <c r="N7" s="13" t="n">
        <f aca="false">IF(Kalender!A7="",0,J6-H7)</f>
        <v>0.01206576</v>
      </c>
    </row>
    <row r="8" customFormat="false" ht="16.4" hidden="false" customHeight="false" outlineLevel="0" collapsed="false">
      <c r="A8" s="13" t="str">
        <f aca="false">""</f>
        <v/>
      </c>
      <c r="B8" s="13" t="n">
        <f aca="false">4</f>
        <v>4</v>
      </c>
      <c r="C8" s="13" t="n">
        <f aca="false">IF(Szenarien!$H$8="OK",(IFERROR(SUMIF(Nutzungsprofile!$B$6:$B$11,"Schulbetrieb",Nutzungsprofile!$G$6:$G$11)*Kalender!C8/SUM(Kalender!$C$5:$C$370),0)+IFERROR(SUMIF(Nutzungsprofile!$B$6:$B$11,"Halle",Nutzungsprofile!$G$6:$G$11)*Kalender!D8/SUM(Kalender!$D$5:$D$370),0)+IFERROR(SUMIF(Nutzungsprofile!$B$6:$B$11,"Individuell",Nutzungsprofile!$G$6:$G$11)*Kalender!E8/SUM(Kalender!$E$5:$E$370),0))*Szenarien!$E$8,0)</f>
        <v>1.632</v>
      </c>
      <c r="D8" s="13" t="n">
        <f aca="false">IF(Szenarien!$H$8="OK",(IFERROR(SUMIF(Nutzungsprofile!$B$17:$B$22,"Schulbetrieb",Nutzungsprofile!$G$17:$G$22)*Kalender!C8/SUM(Kalender!$C$5:$C$370),0)+IFERROR(SUMIF(Nutzungsprofile!$B$17:$B$22,"Halle",Nutzungsprofile!$G$17:$G$22)*Kalender!D8/SUM(Kalender!$D$5:$D$370),0)+IFERROR(SUMIF(Nutzungsprofile!$B$17:$B$22,"Individuell",Nutzungsprofile!$G$17:$G$22)*Kalender!E8/SUM(Kalender!$E$5:$E$370),0))*Szenarien!$D$8,0)</f>
        <v>0.801</v>
      </c>
      <c r="E8" s="13" t="n">
        <f aca="false">IFERROR(MIN(C8,Eingaben!$B$17)*Eingaben!$B$16,0)</f>
        <v>1.5504</v>
      </c>
      <c r="F8" s="13" t="n">
        <f aca="false">IFERROR(E8*Eingaben!$B$15,0)</f>
        <v>1.39536</v>
      </c>
      <c r="G8" s="13" t="n">
        <f aca="false">IFERROR(IF(Kalender!A8="",0,J7*(1-Eingaben!$B$20)),0)</f>
        <v>1.1618705952</v>
      </c>
      <c r="H8" s="13" t="n">
        <f aca="false">MIN(G8,D8)</f>
        <v>0.801</v>
      </c>
      <c r="I8" s="13" t="n">
        <f aca="false">IFERROR(MIN(F8*Eingaben!$B$19,MAX(0,D8-H8)),0)</f>
        <v>0</v>
      </c>
      <c r="J8" s="13" t="n">
        <f aca="false">IFERROR(MIN(Eingaben!$B$18,MAX(0,F8-I8)),0)</f>
        <v>1.39536</v>
      </c>
      <c r="K8" s="13" t="n">
        <f aca="false">H8+I8</f>
        <v>0.801</v>
      </c>
      <c r="L8" s="13" t="n">
        <f aca="false">MAX(0,D8-K8)</f>
        <v>0</v>
      </c>
      <c r="M8" s="13" t="n">
        <f aca="false">MAX(0,F8-I8-J8)</f>
        <v>0</v>
      </c>
      <c r="N8" s="13" t="n">
        <f aca="false">IF(Kalender!A8="",0,J7-H8)</f>
        <v>0.38458224</v>
      </c>
    </row>
    <row r="9" customFormat="false" ht="16.4" hidden="false" customHeight="false" outlineLevel="0" collapsed="false">
      <c r="A9" s="13" t="str">
        <f aca="false">""</f>
        <v/>
      </c>
      <c r="B9" s="13" t="n">
        <f aca="false">5</f>
        <v>5</v>
      </c>
      <c r="C9" s="13" t="n">
        <f aca="false">IF(Szenarien!$H$8="OK",(IFERROR(SUMIF(Nutzungsprofile!$B$6:$B$11,"Schulbetrieb",Nutzungsprofile!$G$6:$G$11)*Kalender!C9/SUM(Kalender!$C$5:$C$370),0)+IFERROR(SUMIF(Nutzungsprofile!$B$6:$B$11,"Halle",Nutzungsprofile!$G$6:$G$11)*Kalender!D9/SUM(Kalender!$D$5:$D$370),0)+IFERROR(SUMIF(Nutzungsprofile!$B$6:$B$11,"Individuell",Nutzungsprofile!$G$6:$G$11)*Kalender!E9/SUM(Kalender!$E$5:$E$370),0))*Szenarien!$E$8,0)</f>
        <v>2.352</v>
      </c>
      <c r="D9" s="13" t="n">
        <f aca="false">IF(Szenarien!$H$8="OK",(IFERROR(SUMIF(Nutzungsprofile!$B$17:$B$22,"Schulbetrieb",Nutzungsprofile!$G$17:$G$22)*Kalender!C9/SUM(Kalender!$C$5:$C$370),0)+IFERROR(SUMIF(Nutzungsprofile!$B$17:$B$22,"Halle",Nutzungsprofile!$G$17:$G$22)*Kalender!D9/SUM(Kalender!$D$5:$D$370),0)+IFERROR(SUMIF(Nutzungsprofile!$B$17:$B$22,"Individuell",Nutzungsprofile!$G$17:$G$22)*Kalender!E9/SUM(Kalender!$E$5:$E$370),0))*Szenarien!$D$8,0)</f>
        <v>4.446</v>
      </c>
      <c r="E9" s="13" t="n">
        <f aca="false">IFERROR(MIN(C9,Eingaben!$B$17)*Eingaben!$B$16,0)</f>
        <v>2.2344</v>
      </c>
      <c r="F9" s="13" t="n">
        <f aca="false">IFERROR(E9*Eingaben!$B$15,0)</f>
        <v>2.01096</v>
      </c>
      <c r="G9" s="13" t="n">
        <f aca="false">IFERROR(IF(Kalender!A9="",0,J8*(1-Eingaben!$B$20)),0)</f>
        <v>1.3674528</v>
      </c>
      <c r="H9" s="13" t="n">
        <f aca="false">MIN(G9,D9)</f>
        <v>1.3674528</v>
      </c>
      <c r="I9" s="13" t="n">
        <f aca="false">IFERROR(MIN(F9*Eingaben!$B$19,MAX(0,D9-H9)),0)</f>
        <v>1.407672</v>
      </c>
      <c r="J9" s="13" t="n">
        <f aca="false">IFERROR(MIN(Eingaben!$B$18,MAX(0,F9-I9)),0)</f>
        <v>0.603288</v>
      </c>
      <c r="K9" s="13" t="n">
        <f aca="false">H9+I9</f>
        <v>2.7751248</v>
      </c>
      <c r="L9" s="13" t="n">
        <f aca="false">MAX(0,D9-K9)</f>
        <v>1.6708752</v>
      </c>
      <c r="M9" s="13" t="n">
        <f aca="false">MAX(0,F9-I9-J9)</f>
        <v>0</v>
      </c>
      <c r="N9" s="13" t="n">
        <f aca="false">IF(Kalender!A9="",0,J8-H9)</f>
        <v>0.0279072</v>
      </c>
    </row>
    <row r="10" customFormat="false" ht="16.4" hidden="false" customHeight="false" outlineLevel="0" collapsed="false">
      <c r="A10" s="13" t="str">
        <f aca="false">""</f>
        <v/>
      </c>
      <c r="B10" s="13" t="n">
        <f aca="false">6</f>
        <v>6</v>
      </c>
      <c r="C10" s="13" t="n">
        <f aca="false">IF(Szenarien!$H$8="OK",(IFERROR(SUMIF(Nutzungsprofile!$B$6:$B$11,"Schulbetrieb",Nutzungsprofile!$G$6:$G$11)*Kalender!C10/SUM(Kalender!$C$5:$C$370),0)+IFERROR(SUMIF(Nutzungsprofile!$B$6:$B$11,"Halle",Nutzungsprofile!$G$6:$G$11)*Kalender!D10/SUM(Kalender!$D$5:$D$370),0)+IFERROR(SUMIF(Nutzungsprofile!$B$6:$B$11,"Individuell",Nutzungsprofile!$G$6:$G$11)*Kalender!E10/SUM(Kalender!$E$5:$E$370),0))*Szenarien!$E$8,0)</f>
        <v>2.352</v>
      </c>
      <c r="D10" s="13" t="n">
        <f aca="false">IF(Szenarien!$H$8="OK",(IFERROR(SUMIF(Nutzungsprofile!$B$17:$B$22,"Schulbetrieb",Nutzungsprofile!$G$17:$G$22)*Kalender!C10/SUM(Kalender!$C$5:$C$370),0)+IFERROR(SUMIF(Nutzungsprofile!$B$17:$B$22,"Halle",Nutzungsprofile!$G$17:$G$22)*Kalender!D10/SUM(Kalender!$D$5:$D$370),0)+IFERROR(SUMIF(Nutzungsprofile!$B$17:$B$22,"Individuell",Nutzungsprofile!$G$17:$G$22)*Kalender!E10/SUM(Kalender!$E$5:$E$370),0))*Szenarien!$D$8,0)</f>
        <v>4.446</v>
      </c>
      <c r="E10" s="13" t="n">
        <f aca="false">IFERROR(MIN(C10,Eingaben!$B$17)*Eingaben!$B$16,0)</f>
        <v>2.2344</v>
      </c>
      <c r="F10" s="13" t="n">
        <f aca="false">IFERROR(E10*Eingaben!$B$15,0)</f>
        <v>2.01096</v>
      </c>
      <c r="G10" s="13" t="n">
        <f aca="false">IFERROR(IF(Kalender!A10="",0,J9*(1-Eingaben!$B$20)),0)</f>
        <v>0.59122224</v>
      </c>
      <c r="H10" s="13" t="n">
        <f aca="false">MIN(G10,D10)</f>
        <v>0.59122224</v>
      </c>
      <c r="I10" s="13" t="n">
        <f aca="false">IFERROR(MIN(F10*Eingaben!$B$19,MAX(0,D10-H10)),0)</f>
        <v>1.407672</v>
      </c>
      <c r="J10" s="13" t="n">
        <f aca="false">IFERROR(MIN(Eingaben!$B$18,MAX(0,F10-I10)),0)</f>
        <v>0.603288</v>
      </c>
      <c r="K10" s="13" t="n">
        <f aca="false">H10+I10</f>
        <v>1.99889424</v>
      </c>
      <c r="L10" s="13" t="n">
        <f aca="false">MAX(0,D10-K10)</f>
        <v>2.44710576</v>
      </c>
      <c r="M10" s="13" t="n">
        <f aca="false">MAX(0,F10-I10-J10)</f>
        <v>0</v>
      </c>
      <c r="N10" s="13" t="n">
        <f aca="false">IF(Kalender!A10="",0,J9-H10)</f>
        <v>0.01206576</v>
      </c>
    </row>
    <row r="11" customFormat="false" ht="16.4" hidden="false" customHeight="false" outlineLevel="0" collapsed="false">
      <c r="A11" s="13" t="str">
        <f aca="false">""</f>
        <v/>
      </c>
      <c r="B11" s="13" t="n">
        <f aca="false">7</f>
        <v>7</v>
      </c>
      <c r="C11" s="13" t="n">
        <f aca="false">IF(Szenarien!$H$8="OK",(IFERROR(SUMIF(Nutzungsprofile!$B$6:$B$11,"Schulbetrieb",Nutzungsprofile!$G$6:$G$11)*Kalender!C11/SUM(Kalender!$C$5:$C$370),0)+IFERROR(SUMIF(Nutzungsprofile!$B$6:$B$11,"Halle",Nutzungsprofile!$G$6:$G$11)*Kalender!D11/SUM(Kalender!$D$5:$D$370),0)+IFERROR(SUMIF(Nutzungsprofile!$B$6:$B$11,"Individuell",Nutzungsprofile!$G$6:$G$11)*Kalender!E11/SUM(Kalender!$E$5:$E$370),0))*Szenarien!$E$8,0)</f>
        <v>2.352</v>
      </c>
      <c r="D11" s="13" t="n">
        <f aca="false">IF(Szenarien!$H$8="OK",(IFERROR(SUMIF(Nutzungsprofile!$B$17:$B$22,"Schulbetrieb",Nutzungsprofile!$G$17:$G$22)*Kalender!C11/SUM(Kalender!$C$5:$C$370),0)+IFERROR(SUMIF(Nutzungsprofile!$B$17:$B$22,"Halle",Nutzungsprofile!$G$17:$G$22)*Kalender!D11/SUM(Kalender!$D$5:$D$370),0)+IFERROR(SUMIF(Nutzungsprofile!$B$17:$B$22,"Individuell",Nutzungsprofile!$G$17:$G$22)*Kalender!E11/SUM(Kalender!$E$5:$E$370),0))*Szenarien!$D$8,0)</f>
        <v>4.446</v>
      </c>
      <c r="E11" s="13" t="n">
        <f aca="false">IFERROR(MIN(C11,Eingaben!$B$17)*Eingaben!$B$16,0)</f>
        <v>2.2344</v>
      </c>
      <c r="F11" s="13" t="n">
        <f aca="false">IFERROR(E11*Eingaben!$B$15,0)</f>
        <v>2.01096</v>
      </c>
      <c r="G11" s="13" t="n">
        <f aca="false">IFERROR(IF(Kalender!A11="",0,J10*(1-Eingaben!$B$20)),0)</f>
        <v>0.59122224</v>
      </c>
      <c r="H11" s="13" t="n">
        <f aca="false">MIN(G11,D11)</f>
        <v>0.59122224</v>
      </c>
      <c r="I11" s="13" t="n">
        <f aca="false">IFERROR(MIN(F11*Eingaben!$B$19,MAX(0,D11-H11)),0)</f>
        <v>1.407672</v>
      </c>
      <c r="J11" s="13" t="n">
        <f aca="false">IFERROR(MIN(Eingaben!$B$18,MAX(0,F11-I11)),0)</f>
        <v>0.603288</v>
      </c>
      <c r="K11" s="13" t="n">
        <f aca="false">H11+I11</f>
        <v>1.99889424</v>
      </c>
      <c r="L11" s="13" t="n">
        <f aca="false">MAX(0,D11-K11)</f>
        <v>2.44710576</v>
      </c>
      <c r="M11" s="13" t="n">
        <f aca="false">MAX(0,F11-I11-J11)</f>
        <v>0</v>
      </c>
      <c r="N11" s="13" t="n">
        <f aca="false">IF(Kalender!A11="",0,J10-H11)</f>
        <v>0.01206576</v>
      </c>
    </row>
    <row r="12" customFormat="false" ht="16.4" hidden="false" customHeight="false" outlineLevel="0" collapsed="false">
      <c r="A12" s="13" t="str">
        <f aca="false">""</f>
        <v/>
      </c>
      <c r="B12" s="13" t="n">
        <f aca="false">8</f>
        <v>8</v>
      </c>
      <c r="C12" s="13" t="n">
        <f aca="false">IF(Szenarien!$H$8="OK",(IFERROR(SUMIF(Nutzungsprofile!$B$6:$B$11,"Schulbetrieb",Nutzungsprofile!$G$6:$G$11)*Kalender!C12/SUM(Kalender!$C$5:$C$370),0)+IFERROR(SUMIF(Nutzungsprofile!$B$6:$B$11,"Halle",Nutzungsprofile!$G$6:$G$11)*Kalender!D12/SUM(Kalender!$D$5:$D$370),0)+IFERROR(SUMIF(Nutzungsprofile!$B$6:$B$11,"Individuell",Nutzungsprofile!$G$6:$G$11)*Kalender!E12/SUM(Kalender!$E$5:$E$370),0))*Szenarien!$E$8,0)</f>
        <v>2.352</v>
      </c>
      <c r="D12" s="13" t="n">
        <f aca="false">IF(Szenarien!$H$8="OK",(IFERROR(SUMIF(Nutzungsprofile!$B$17:$B$22,"Schulbetrieb",Nutzungsprofile!$G$17:$G$22)*Kalender!C12/SUM(Kalender!$C$5:$C$370),0)+IFERROR(SUMIF(Nutzungsprofile!$B$17:$B$22,"Halle",Nutzungsprofile!$G$17:$G$22)*Kalender!D12/SUM(Kalender!$D$5:$D$370),0)+IFERROR(SUMIF(Nutzungsprofile!$B$17:$B$22,"Individuell",Nutzungsprofile!$G$17:$G$22)*Kalender!E12/SUM(Kalender!$E$5:$E$370),0))*Szenarien!$D$8,0)</f>
        <v>4.446</v>
      </c>
      <c r="E12" s="13" t="n">
        <f aca="false">IFERROR(MIN(C12,Eingaben!$B$17)*Eingaben!$B$16,0)</f>
        <v>2.2344</v>
      </c>
      <c r="F12" s="13" t="n">
        <f aca="false">IFERROR(E12*Eingaben!$B$15,0)</f>
        <v>2.01096</v>
      </c>
      <c r="G12" s="13" t="n">
        <f aca="false">IFERROR(IF(Kalender!A12="",0,J11*(1-Eingaben!$B$20)),0)</f>
        <v>0.59122224</v>
      </c>
      <c r="H12" s="13" t="n">
        <f aca="false">MIN(G12,D12)</f>
        <v>0.59122224</v>
      </c>
      <c r="I12" s="13" t="n">
        <f aca="false">IFERROR(MIN(F12*Eingaben!$B$19,MAX(0,D12-H12)),0)</f>
        <v>1.407672</v>
      </c>
      <c r="J12" s="13" t="n">
        <f aca="false">IFERROR(MIN(Eingaben!$B$18,MAX(0,F12-I12)),0)</f>
        <v>0.603288</v>
      </c>
      <c r="K12" s="13" t="n">
        <f aca="false">H12+I12</f>
        <v>1.99889424</v>
      </c>
      <c r="L12" s="13" t="n">
        <f aca="false">MAX(0,D12-K12)</f>
        <v>2.44710576</v>
      </c>
      <c r="M12" s="13" t="n">
        <f aca="false">MAX(0,F12-I12-J12)</f>
        <v>0</v>
      </c>
      <c r="N12" s="13" t="n">
        <f aca="false">IF(Kalender!A12="",0,J11-H12)</f>
        <v>0.01206576</v>
      </c>
    </row>
    <row r="13" customFormat="false" ht="16.4" hidden="false" customHeight="false" outlineLevel="0" collapsed="false">
      <c r="A13" s="13" t="str">
        <f aca="false">""</f>
        <v/>
      </c>
      <c r="B13" s="13" t="n">
        <f aca="false">9</f>
        <v>9</v>
      </c>
      <c r="C13" s="13" t="n">
        <f aca="false">IF(Szenarien!$H$8="OK",(IFERROR(SUMIF(Nutzungsprofile!$B$6:$B$11,"Schulbetrieb",Nutzungsprofile!$G$6:$G$11)*Kalender!C13/SUM(Kalender!$C$5:$C$370),0)+IFERROR(SUMIF(Nutzungsprofile!$B$6:$B$11,"Halle",Nutzungsprofile!$G$6:$G$11)*Kalender!D13/SUM(Kalender!$D$5:$D$370),0)+IFERROR(SUMIF(Nutzungsprofile!$B$6:$B$11,"Individuell",Nutzungsprofile!$G$6:$G$11)*Kalender!E13/SUM(Kalender!$E$5:$E$370),0))*Szenarien!$E$8,0)</f>
        <v>2.352</v>
      </c>
      <c r="D13" s="13" t="n">
        <f aca="false">IF(Szenarien!$H$8="OK",(IFERROR(SUMIF(Nutzungsprofile!$B$17:$B$22,"Schulbetrieb",Nutzungsprofile!$G$17:$G$22)*Kalender!C13/SUM(Kalender!$C$5:$C$370),0)+IFERROR(SUMIF(Nutzungsprofile!$B$17:$B$22,"Halle",Nutzungsprofile!$G$17:$G$22)*Kalender!D13/SUM(Kalender!$D$5:$D$370),0)+IFERROR(SUMIF(Nutzungsprofile!$B$17:$B$22,"Individuell",Nutzungsprofile!$G$17:$G$22)*Kalender!E13/SUM(Kalender!$E$5:$E$370),0))*Szenarien!$D$8,0)</f>
        <v>4.446</v>
      </c>
      <c r="E13" s="13" t="n">
        <f aca="false">IFERROR(MIN(C13,Eingaben!$B$17)*Eingaben!$B$16,0)</f>
        <v>2.2344</v>
      </c>
      <c r="F13" s="13" t="n">
        <f aca="false">IFERROR(E13*Eingaben!$B$15,0)</f>
        <v>2.01096</v>
      </c>
      <c r="G13" s="13" t="n">
        <f aca="false">IFERROR(IF(Kalender!A13="",0,J12*(1-Eingaben!$B$20)),0)</f>
        <v>0.59122224</v>
      </c>
      <c r="H13" s="13" t="n">
        <f aca="false">MIN(G13,D13)</f>
        <v>0.59122224</v>
      </c>
      <c r="I13" s="13" t="n">
        <f aca="false">IFERROR(MIN(F13*Eingaben!$B$19,MAX(0,D13-H13)),0)</f>
        <v>1.407672</v>
      </c>
      <c r="J13" s="13" t="n">
        <f aca="false">IFERROR(MIN(Eingaben!$B$18,MAX(0,F13-I13)),0)</f>
        <v>0.603288</v>
      </c>
      <c r="K13" s="13" t="n">
        <f aca="false">H13+I13</f>
        <v>1.99889424</v>
      </c>
      <c r="L13" s="13" t="n">
        <f aca="false">MAX(0,D13-K13)</f>
        <v>2.44710576</v>
      </c>
      <c r="M13" s="13" t="n">
        <f aca="false">MAX(0,F13-I13-J13)</f>
        <v>0</v>
      </c>
      <c r="N13" s="13" t="n">
        <f aca="false">IF(Kalender!A13="",0,J12-H13)</f>
        <v>0.01206576</v>
      </c>
    </row>
    <row r="14" customFormat="false" ht="16.4" hidden="false" customHeight="false" outlineLevel="0" collapsed="false">
      <c r="A14" s="13" t="str">
        <f aca="false">""</f>
        <v/>
      </c>
      <c r="B14" s="13" t="n">
        <f aca="false">10</f>
        <v>10</v>
      </c>
      <c r="C14" s="13" t="n">
        <f aca="false">IF(Szenarien!$H$8="OK",(IFERROR(SUMIF(Nutzungsprofile!$B$6:$B$11,"Schulbetrieb",Nutzungsprofile!$G$6:$G$11)*Kalender!C14/SUM(Kalender!$C$5:$C$370),0)+IFERROR(SUMIF(Nutzungsprofile!$B$6:$B$11,"Halle",Nutzungsprofile!$G$6:$G$11)*Kalender!D14/SUM(Kalender!$D$5:$D$370),0)+IFERROR(SUMIF(Nutzungsprofile!$B$6:$B$11,"Individuell",Nutzungsprofile!$G$6:$G$11)*Kalender!E14/SUM(Kalender!$E$5:$E$370),0))*Szenarien!$E$8,0)</f>
        <v>1.632</v>
      </c>
      <c r="D14" s="13" t="n">
        <f aca="false">IF(Szenarien!$H$8="OK",(IFERROR(SUMIF(Nutzungsprofile!$B$17:$B$22,"Schulbetrieb",Nutzungsprofile!$G$17:$G$22)*Kalender!C14/SUM(Kalender!$C$5:$C$370),0)+IFERROR(SUMIF(Nutzungsprofile!$B$17:$B$22,"Halle",Nutzungsprofile!$G$17:$G$22)*Kalender!D14/SUM(Kalender!$D$5:$D$370),0)+IFERROR(SUMIF(Nutzungsprofile!$B$17:$B$22,"Individuell",Nutzungsprofile!$G$17:$G$22)*Kalender!E14/SUM(Kalender!$E$5:$E$370),0))*Szenarien!$D$8,0)</f>
        <v>0.801</v>
      </c>
      <c r="E14" s="13" t="n">
        <f aca="false">IFERROR(MIN(C14,Eingaben!$B$17)*Eingaben!$B$16,0)</f>
        <v>1.5504</v>
      </c>
      <c r="F14" s="13" t="n">
        <f aca="false">IFERROR(E14*Eingaben!$B$15,0)</f>
        <v>1.39536</v>
      </c>
      <c r="G14" s="13" t="n">
        <f aca="false">IFERROR(IF(Kalender!A14="",0,J13*(1-Eingaben!$B$20)),0)</f>
        <v>0.59122224</v>
      </c>
      <c r="H14" s="13" t="n">
        <f aca="false">MIN(G14,D14)</f>
        <v>0.59122224</v>
      </c>
      <c r="I14" s="13" t="n">
        <f aca="false">IFERROR(MIN(F14*Eingaben!$B$19,MAX(0,D14-H14)),0)</f>
        <v>0.20977776</v>
      </c>
      <c r="J14" s="13" t="n">
        <f aca="false">IFERROR(MIN(Eingaben!$B$18,MAX(0,F14-I14)),0)</f>
        <v>1.18558224</v>
      </c>
      <c r="K14" s="13" t="n">
        <f aca="false">H14+I14</f>
        <v>0.801</v>
      </c>
      <c r="L14" s="13" t="n">
        <f aca="false">MAX(0,D14-K14)</f>
        <v>0</v>
      </c>
      <c r="M14" s="13" t="n">
        <f aca="false">MAX(0,F14-I14-J14)</f>
        <v>0</v>
      </c>
      <c r="N14" s="13" t="n">
        <f aca="false">IF(Kalender!A14="",0,J13-H14)</f>
        <v>0.01206576</v>
      </c>
    </row>
    <row r="15" customFormat="false" ht="16.4" hidden="false" customHeight="false" outlineLevel="0" collapsed="false">
      <c r="A15" s="13" t="str">
        <f aca="false">""</f>
        <v/>
      </c>
      <c r="B15" s="13" t="n">
        <f aca="false">11</f>
        <v>11</v>
      </c>
      <c r="C15" s="13" t="n">
        <f aca="false">IF(Szenarien!$H$8="OK",(IFERROR(SUMIF(Nutzungsprofile!$B$6:$B$11,"Schulbetrieb",Nutzungsprofile!$G$6:$G$11)*Kalender!C15/SUM(Kalender!$C$5:$C$370),0)+IFERROR(SUMIF(Nutzungsprofile!$B$6:$B$11,"Halle",Nutzungsprofile!$G$6:$G$11)*Kalender!D15/SUM(Kalender!$D$5:$D$370),0)+IFERROR(SUMIF(Nutzungsprofile!$B$6:$B$11,"Individuell",Nutzungsprofile!$G$6:$G$11)*Kalender!E15/SUM(Kalender!$E$5:$E$370),0))*Szenarien!$E$8,0)</f>
        <v>1.632</v>
      </c>
      <c r="D15" s="13" t="n">
        <f aca="false">IF(Szenarien!$H$8="OK",(IFERROR(SUMIF(Nutzungsprofile!$B$17:$B$22,"Schulbetrieb",Nutzungsprofile!$G$17:$G$22)*Kalender!C15/SUM(Kalender!$C$5:$C$370),0)+IFERROR(SUMIF(Nutzungsprofile!$B$17:$B$22,"Halle",Nutzungsprofile!$G$17:$G$22)*Kalender!D15/SUM(Kalender!$D$5:$D$370),0)+IFERROR(SUMIF(Nutzungsprofile!$B$17:$B$22,"Individuell",Nutzungsprofile!$G$17:$G$22)*Kalender!E15/SUM(Kalender!$E$5:$E$370),0))*Szenarien!$D$8,0)</f>
        <v>0.801</v>
      </c>
      <c r="E15" s="13" t="n">
        <f aca="false">IFERROR(MIN(C15,Eingaben!$B$17)*Eingaben!$B$16,0)</f>
        <v>1.5504</v>
      </c>
      <c r="F15" s="13" t="n">
        <f aca="false">IFERROR(E15*Eingaben!$B$15,0)</f>
        <v>1.39536</v>
      </c>
      <c r="G15" s="13" t="n">
        <f aca="false">IFERROR(IF(Kalender!A15="",0,J14*(1-Eingaben!$B$20)),0)</f>
        <v>1.1618705952</v>
      </c>
      <c r="H15" s="13" t="n">
        <f aca="false">MIN(G15,D15)</f>
        <v>0.801</v>
      </c>
      <c r="I15" s="13" t="n">
        <f aca="false">IFERROR(MIN(F15*Eingaben!$B$19,MAX(0,D15-H15)),0)</f>
        <v>0</v>
      </c>
      <c r="J15" s="13" t="n">
        <f aca="false">IFERROR(MIN(Eingaben!$B$18,MAX(0,F15-I15)),0)</f>
        <v>1.39536</v>
      </c>
      <c r="K15" s="13" t="n">
        <f aca="false">H15+I15</f>
        <v>0.801</v>
      </c>
      <c r="L15" s="13" t="n">
        <f aca="false">MAX(0,D15-K15)</f>
        <v>0</v>
      </c>
      <c r="M15" s="13" t="n">
        <f aca="false">MAX(0,F15-I15-J15)</f>
        <v>0</v>
      </c>
      <c r="N15" s="13" t="n">
        <f aca="false">IF(Kalender!A15="",0,J14-H15)</f>
        <v>0.38458224</v>
      </c>
    </row>
    <row r="16" customFormat="false" ht="16.4" hidden="false" customHeight="false" outlineLevel="0" collapsed="false">
      <c r="A16" s="13" t="str">
        <f aca="false">""</f>
        <v/>
      </c>
      <c r="B16" s="13" t="n">
        <f aca="false">12</f>
        <v>12</v>
      </c>
      <c r="C16" s="13" t="n">
        <f aca="false">IF(Szenarien!$H$8="OK",(IFERROR(SUMIF(Nutzungsprofile!$B$6:$B$11,"Schulbetrieb",Nutzungsprofile!$G$6:$G$11)*Kalender!C16/SUM(Kalender!$C$5:$C$370),0)+IFERROR(SUMIF(Nutzungsprofile!$B$6:$B$11,"Halle",Nutzungsprofile!$G$6:$G$11)*Kalender!D16/SUM(Kalender!$D$5:$D$370),0)+IFERROR(SUMIF(Nutzungsprofile!$B$6:$B$11,"Individuell",Nutzungsprofile!$G$6:$G$11)*Kalender!E16/SUM(Kalender!$E$5:$E$370),0))*Szenarien!$E$8,0)</f>
        <v>2.352</v>
      </c>
      <c r="D16" s="13" t="n">
        <f aca="false">IF(Szenarien!$H$8="OK",(IFERROR(SUMIF(Nutzungsprofile!$B$17:$B$22,"Schulbetrieb",Nutzungsprofile!$G$17:$G$22)*Kalender!C16/SUM(Kalender!$C$5:$C$370),0)+IFERROR(SUMIF(Nutzungsprofile!$B$17:$B$22,"Halle",Nutzungsprofile!$G$17:$G$22)*Kalender!D16/SUM(Kalender!$D$5:$D$370),0)+IFERROR(SUMIF(Nutzungsprofile!$B$17:$B$22,"Individuell",Nutzungsprofile!$G$17:$G$22)*Kalender!E16/SUM(Kalender!$E$5:$E$370),0))*Szenarien!$D$8,0)</f>
        <v>4.446</v>
      </c>
      <c r="E16" s="13" t="n">
        <f aca="false">IFERROR(MIN(C16,Eingaben!$B$17)*Eingaben!$B$16,0)</f>
        <v>2.2344</v>
      </c>
      <c r="F16" s="13" t="n">
        <f aca="false">IFERROR(E16*Eingaben!$B$15,0)</f>
        <v>2.01096</v>
      </c>
      <c r="G16" s="13" t="n">
        <f aca="false">IFERROR(IF(Kalender!A16="",0,J15*(1-Eingaben!$B$20)),0)</f>
        <v>1.3674528</v>
      </c>
      <c r="H16" s="13" t="n">
        <f aca="false">MIN(G16,D16)</f>
        <v>1.3674528</v>
      </c>
      <c r="I16" s="13" t="n">
        <f aca="false">IFERROR(MIN(F16*Eingaben!$B$19,MAX(0,D16-H16)),0)</f>
        <v>1.407672</v>
      </c>
      <c r="J16" s="13" t="n">
        <f aca="false">IFERROR(MIN(Eingaben!$B$18,MAX(0,F16-I16)),0)</f>
        <v>0.603288</v>
      </c>
      <c r="K16" s="13" t="n">
        <f aca="false">H16+I16</f>
        <v>2.7751248</v>
      </c>
      <c r="L16" s="13" t="n">
        <f aca="false">MAX(0,D16-K16)</f>
        <v>1.6708752</v>
      </c>
      <c r="M16" s="13" t="n">
        <f aca="false">MAX(0,F16-I16-J16)</f>
        <v>0</v>
      </c>
      <c r="N16" s="13" t="n">
        <f aca="false">IF(Kalender!A16="",0,J15-H16)</f>
        <v>0.0279072</v>
      </c>
    </row>
    <row r="17" customFormat="false" ht="16.4" hidden="false" customHeight="false" outlineLevel="0" collapsed="false">
      <c r="A17" s="13" t="str">
        <f aca="false">""</f>
        <v/>
      </c>
      <c r="B17" s="13" t="n">
        <f aca="false">13</f>
        <v>13</v>
      </c>
      <c r="C17" s="13" t="n">
        <f aca="false">IF(Szenarien!$H$8="OK",(IFERROR(SUMIF(Nutzungsprofile!$B$6:$B$11,"Schulbetrieb",Nutzungsprofile!$G$6:$G$11)*Kalender!C17/SUM(Kalender!$C$5:$C$370),0)+IFERROR(SUMIF(Nutzungsprofile!$B$6:$B$11,"Halle",Nutzungsprofile!$G$6:$G$11)*Kalender!D17/SUM(Kalender!$D$5:$D$370),0)+IFERROR(SUMIF(Nutzungsprofile!$B$6:$B$11,"Individuell",Nutzungsprofile!$G$6:$G$11)*Kalender!E17/SUM(Kalender!$E$5:$E$370),0))*Szenarien!$E$8,0)</f>
        <v>2.352</v>
      </c>
      <c r="D17" s="13" t="n">
        <f aca="false">IF(Szenarien!$H$8="OK",(IFERROR(SUMIF(Nutzungsprofile!$B$17:$B$22,"Schulbetrieb",Nutzungsprofile!$G$17:$G$22)*Kalender!C17/SUM(Kalender!$C$5:$C$370),0)+IFERROR(SUMIF(Nutzungsprofile!$B$17:$B$22,"Halle",Nutzungsprofile!$G$17:$G$22)*Kalender!D17/SUM(Kalender!$D$5:$D$370),0)+IFERROR(SUMIF(Nutzungsprofile!$B$17:$B$22,"Individuell",Nutzungsprofile!$G$17:$G$22)*Kalender!E17/SUM(Kalender!$E$5:$E$370),0))*Szenarien!$D$8,0)</f>
        <v>4.446</v>
      </c>
      <c r="E17" s="13" t="n">
        <f aca="false">IFERROR(MIN(C17,Eingaben!$B$17)*Eingaben!$B$16,0)</f>
        <v>2.2344</v>
      </c>
      <c r="F17" s="13" t="n">
        <f aca="false">IFERROR(E17*Eingaben!$B$15,0)</f>
        <v>2.01096</v>
      </c>
      <c r="G17" s="13" t="n">
        <f aca="false">IFERROR(IF(Kalender!A17="",0,J16*(1-Eingaben!$B$20)),0)</f>
        <v>0.59122224</v>
      </c>
      <c r="H17" s="13" t="n">
        <f aca="false">MIN(G17,D17)</f>
        <v>0.59122224</v>
      </c>
      <c r="I17" s="13" t="n">
        <f aca="false">IFERROR(MIN(F17*Eingaben!$B$19,MAX(0,D17-H17)),0)</f>
        <v>1.407672</v>
      </c>
      <c r="J17" s="13" t="n">
        <f aca="false">IFERROR(MIN(Eingaben!$B$18,MAX(0,F17-I17)),0)</f>
        <v>0.603288</v>
      </c>
      <c r="K17" s="13" t="n">
        <f aca="false">H17+I17</f>
        <v>1.99889424</v>
      </c>
      <c r="L17" s="13" t="n">
        <f aca="false">MAX(0,D17-K17)</f>
        <v>2.44710576</v>
      </c>
      <c r="M17" s="13" t="n">
        <f aca="false">MAX(0,F17-I17-J17)</f>
        <v>0</v>
      </c>
      <c r="N17" s="13" t="n">
        <f aca="false">IF(Kalender!A17="",0,J16-H17)</f>
        <v>0.01206576</v>
      </c>
    </row>
    <row r="18" customFormat="false" ht="16.4" hidden="false" customHeight="false" outlineLevel="0" collapsed="false">
      <c r="A18" s="13" t="str">
        <f aca="false">""</f>
        <v/>
      </c>
      <c r="B18" s="13" t="n">
        <f aca="false">14</f>
        <v>14</v>
      </c>
      <c r="C18" s="13" t="n">
        <f aca="false">IF(Szenarien!$H$8="OK",(IFERROR(SUMIF(Nutzungsprofile!$B$6:$B$11,"Schulbetrieb",Nutzungsprofile!$G$6:$G$11)*Kalender!C18/SUM(Kalender!$C$5:$C$370),0)+IFERROR(SUMIF(Nutzungsprofile!$B$6:$B$11,"Halle",Nutzungsprofile!$G$6:$G$11)*Kalender!D18/SUM(Kalender!$D$5:$D$370),0)+IFERROR(SUMIF(Nutzungsprofile!$B$6:$B$11,"Individuell",Nutzungsprofile!$G$6:$G$11)*Kalender!E18/SUM(Kalender!$E$5:$E$370),0))*Szenarien!$E$8,0)</f>
        <v>2.352</v>
      </c>
      <c r="D18" s="13" t="n">
        <f aca="false">IF(Szenarien!$H$8="OK",(IFERROR(SUMIF(Nutzungsprofile!$B$17:$B$22,"Schulbetrieb",Nutzungsprofile!$G$17:$G$22)*Kalender!C18/SUM(Kalender!$C$5:$C$370),0)+IFERROR(SUMIF(Nutzungsprofile!$B$17:$B$22,"Halle",Nutzungsprofile!$G$17:$G$22)*Kalender!D18/SUM(Kalender!$D$5:$D$370),0)+IFERROR(SUMIF(Nutzungsprofile!$B$17:$B$22,"Individuell",Nutzungsprofile!$G$17:$G$22)*Kalender!E18/SUM(Kalender!$E$5:$E$370),0))*Szenarien!$D$8,0)</f>
        <v>4.446</v>
      </c>
      <c r="E18" s="13" t="n">
        <f aca="false">IFERROR(MIN(C18,Eingaben!$B$17)*Eingaben!$B$16,0)</f>
        <v>2.2344</v>
      </c>
      <c r="F18" s="13" t="n">
        <f aca="false">IFERROR(E18*Eingaben!$B$15,0)</f>
        <v>2.01096</v>
      </c>
      <c r="G18" s="13" t="n">
        <f aca="false">IFERROR(IF(Kalender!A18="",0,J17*(1-Eingaben!$B$20)),0)</f>
        <v>0.59122224</v>
      </c>
      <c r="H18" s="13" t="n">
        <f aca="false">MIN(G18,D18)</f>
        <v>0.59122224</v>
      </c>
      <c r="I18" s="13" t="n">
        <f aca="false">IFERROR(MIN(F18*Eingaben!$B$19,MAX(0,D18-H18)),0)</f>
        <v>1.407672</v>
      </c>
      <c r="J18" s="13" t="n">
        <f aca="false">IFERROR(MIN(Eingaben!$B$18,MAX(0,F18-I18)),0)</f>
        <v>0.603288</v>
      </c>
      <c r="K18" s="13" t="n">
        <f aca="false">H18+I18</f>
        <v>1.99889424</v>
      </c>
      <c r="L18" s="13" t="n">
        <f aca="false">MAX(0,D18-K18)</f>
        <v>2.44710576</v>
      </c>
      <c r="M18" s="13" t="n">
        <f aca="false">MAX(0,F18-I18-J18)</f>
        <v>0</v>
      </c>
      <c r="N18" s="13" t="n">
        <f aca="false">IF(Kalender!A18="",0,J17-H18)</f>
        <v>0.01206576</v>
      </c>
    </row>
    <row r="19" customFormat="false" ht="16.4" hidden="false" customHeight="false" outlineLevel="0" collapsed="false">
      <c r="A19" s="13" t="str">
        <f aca="false">""</f>
        <v/>
      </c>
      <c r="B19" s="13" t="n">
        <f aca="false">15</f>
        <v>15</v>
      </c>
      <c r="C19" s="13" t="n">
        <f aca="false">IF(Szenarien!$H$8="OK",(IFERROR(SUMIF(Nutzungsprofile!$B$6:$B$11,"Schulbetrieb",Nutzungsprofile!$G$6:$G$11)*Kalender!C19/SUM(Kalender!$C$5:$C$370),0)+IFERROR(SUMIF(Nutzungsprofile!$B$6:$B$11,"Halle",Nutzungsprofile!$G$6:$G$11)*Kalender!D19/SUM(Kalender!$D$5:$D$370),0)+IFERROR(SUMIF(Nutzungsprofile!$B$6:$B$11,"Individuell",Nutzungsprofile!$G$6:$G$11)*Kalender!E19/SUM(Kalender!$E$5:$E$370),0))*Szenarien!$E$8,0)</f>
        <v>2.352</v>
      </c>
      <c r="D19" s="13" t="n">
        <f aca="false">IF(Szenarien!$H$8="OK",(IFERROR(SUMIF(Nutzungsprofile!$B$17:$B$22,"Schulbetrieb",Nutzungsprofile!$G$17:$G$22)*Kalender!C19/SUM(Kalender!$C$5:$C$370),0)+IFERROR(SUMIF(Nutzungsprofile!$B$17:$B$22,"Halle",Nutzungsprofile!$G$17:$G$22)*Kalender!D19/SUM(Kalender!$D$5:$D$370),0)+IFERROR(SUMIF(Nutzungsprofile!$B$17:$B$22,"Individuell",Nutzungsprofile!$G$17:$G$22)*Kalender!E19/SUM(Kalender!$E$5:$E$370),0))*Szenarien!$D$8,0)</f>
        <v>4.446</v>
      </c>
      <c r="E19" s="13" t="n">
        <f aca="false">IFERROR(MIN(C19,Eingaben!$B$17)*Eingaben!$B$16,0)</f>
        <v>2.2344</v>
      </c>
      <c r="F19" s="13" t="n">
        <f aca="false">IFERROR(E19*Eingaben!$B$15,0)</f>
        <v>2.01096</v>
      </c>
      <c r="G19" s="13" t="n">
        <f aca="false">IFERROR(IF(Kalender!A19="",0,J18*(1-Eingaben!$B$20)),0)</f>
        <v>0.59122224</v>
      </c>
      <c r="H19" s="13" t="n">
        <f aca="false">MIN(G19,D19)</f>
        <v>0.59122224</v>
      </c>
      <c r="I19" s="13" t="n">
        <f aca="false">IFERROR(MIN(F19*Eingaben!$B$19,MAX(0,D19-H19)),0)</f>
        <v>1.407672</v>
      </c>
      <c r="J19" s="13" t="n">
        <f aca="false">IFERROR(MIN(Eingaben!$B$18,MAX(0,F19-I19)),0)</f>
        <v>0.603288</v>
      </c>
      <c r="K19" s="13" t="n">
        <f aca="false">H19+I19</f>
        <v>1.99889424</v>
      </c>
      <c r="L19" s="13" t="n">
        <f aca="false">MAX(0,D19-K19)</f>
        <v>2.44710576</v>
      </c>
      <c r="M19" s="13" t="n">
        <f aca="false">MAX(0,F19-I19-J19)</f>
        <v>0</v>
      </c>
      <c r="N19" s="13" t="n">
        <f aca="false">IF(Kalender!A19="",0,J18-H19)</f>
        <v>0.01206576</v>
      </c>
    </row>
    <row r="20" customFormat="false" ht="16.4" hidden="false" customHeight="false" outlineLevel="0" collapsed="false">
      <c r="A20" s="13" t="str">
        <f aca="false">""</f>
        <v/>
      </c>
      <c r="B20" s="13" t="n">
        <f aca="false">16</f>
        <v>16</v>
      </c>
      <c r="C20" s="13" t="n">
        <f aca="false">IF(Szenarien!$H$8="OK",(IFERROR(SUMIF(Nutzungsprofile!$B$6:$B$11,"Schulbetrieb",Nutzungsprofile!$G$6:$G$11)*Kalender!C20/SUM(Kalender!$C$5:$C$370),0)+IFERROR(SUMIF(Nutzungsprofile!$B$6:$B$11,"Halle",Nutzungsprofile!$G$6:$G$11)*Kalender!D20/SUM(Kalender!$D$5:$D$370),0)+IFERROR(SUMIF(Nutzungsprofile!$B$6:$B$11,"Individuell",Nutzungsprofile!$G$6:$G$11)*Kalender!E20/SUM(Kalender!$E$5:$E$370),0))*Szenarien!$E$8,0)</f>
        <v>2.352</v>
      </c>
      <c r="D20" s="13" t="n">
        <f aca="false">IF(Szenarien!$H$8="OK",(IFERROR(SUMIF(Nutzungsprofile!$B$17:$B$22,"Schulbetrieb",Nutzungsprofile!$G$17:$G$22)*Kalender!C20/SUM(Kalender!$C$5:$C$370),0)+IFERROR(SUMIF(Nutzungsprofile!$B$17:$B$22,"Halle",Nutzungsprofile!$G$17:$G$22)*Kalender!D20/SUM(Kalender!$D$5:$D$370),0)+IFERROR(SUMIF(Nutzungsprofile!$B$17:$B$22,"Individuell",Nutzungsprofile!$G$17:$G$22)*Kalender!E20/SUM(Kalender!$E$5:$E$370),0))*Szenarien!$D$8,0)</f>
        <v>4.446</v>
      </c>
      <c r="E20" s="13" t="n">
        <f aca="false">IFERROR(MIN(C20,Eingaben!$B$17)*Eingaben!$B$16,0)</f>
        <v>2.2344</v>
      </c>
      <c r="F20" s="13" t="n">
        <f aca="false">IFERROR(E20*Eingaben!$B$15,0)</f>
        <v>2.01096</v>
      </c>
      <c r="G20" s="13" t="n">
        <f aca="false">IFERROR(IF(Kalender!A20="",0,J19*(1-Eingaben!$B$20)),0)</f>
        <v>0.59122224</v>
      </c>
      <c r="H20" s="13" t="n">
        <f aca="false">MIN(G20,D20)</f>
        <v>0.59122224</v>
      </c>
      <c r="I20" s="13" t="n">
        <f aca="false">IFERROR(MIN(F20*Eingaben!$B$19,MAX(0,D20-H20)),0)</f>
        <v>1.407672</v>
      </c>
      <c r="J20" s="13" t="n">
        <f aca="false">IFERROR(MIN(Eingaben!$B$18,MAX(0,F20-I20)),0)</f>
        <v>0.603288</v>
      </c>
      <c r="K20" s="13" t="n">
        <f aca="false">H20+I20</f>
        <v>1.99889424</v>
      </c>
      <c r="L20" s="13" t="n">
        <f aca="false">MAX(0,D20-K20)</f>
        <v>2.44710576</v>
      </c>
      <c r="M20" s="13" t="n">
        <f aca="false">MAX(0,F20-I20-J20)</f>
        <v>0</v>
      </c>
      <c r="N20" s="13" t="n">
        <f aca="false">IF(Kalender!A20="",0,J19-H20)</f>
        <v>0.01206576</v>
      </c>
    </row>
    <row r="21" customFormat="false" ht="16.4" hidden="false" customHeight="false" outlineLevel="0" collapsed="false">
      <c r="A21" s="13" t="str">
        <f aca="false">""</f>
        <v/>
      </c>
      <c r="B21" s="13" t="n">
        <f aca="false">17</f>
        <v>17</v>
      </c>
      <c r="C21" s="13" t="n">
        <f aca="false">IF(Szenarien!$H$8="OK",(IFERROR(SUMIF(Nutzungsprofile!$B$6:$B$11,"Schulbetrieb",Nutzungsprofile!$G$6:$G$11)*Kalender!C21/SUM(Kalender!$C$5:$C$370),0)+IFERROR(SUMIF(Nutzungsprofile!$B$6:$B$11,"Halle",Nutzungsprofile!$G$6:$G$11)*Kalender!D21/SUM(Kalender!$D$5:$D$370),0)+IFERROR(SUMIF(Nutzungsprofile!$B$6:$B$11,"Individuell",Nutzungsprofile!$G$6:$G$11)*Kalender!E21/SUM(Kalender!$E$5:$E$370),0))*Szenarien!$E$8,0)</f>
        <v>1.632</v>
      </c>
      <c r="D21" s="13" t="n">
        <f aca="false">IF(Szenarien!$H$8="OK",(IFERROR(SUMIF(Nutzungsprofile!$B$17:$B$22,"Schulbetrieb",Nutzungsprofile!$G$17:$G$22)*Kalender!C21/SUM(Kalender!$C$5:$C$370),0)+IFERROR(SUMIF(Nutzungsprofile!$B$17:$B$22,"Halle",Nutzungsprofile!$G$17:$G$22)*Kalender!D21/SUM(Kalender!$D$5:$D$370),0)+IFERROR(SUMIF(Nutzungsprofile!$B$17:$B$22,"Individuell",Nutzungsprofile!$G$17:$G$22)*Kalender!E21/SUM(Kalender!$E$5:$E$370),0))*Szenarien!$D$8,0)</f>
        <v>0.801</v>
      </c>
      <c r="E21" s="13" t="n">
        <f aca="false">IFERROR(MIN(C21,Eingaben!$B$17)*Eingaben!$B$16,0)</f>
        <v>1.5504</v>
      </c>
      <c r="F21" s="13" t="n">
        <f aca="false">IFERROR(E21*Eingaben!$B$15,0)</f>
        <v>1.39536</v>
      </c>
      <c r="G21" s="13" t="n">
        <f aca="false">IFERROR(IF(Kalender!A21="",0,J20*(1-Eingaben!$B$20)),0)</f>
        <v>0.59122224</v>
      </c>
      <c r="H21" s="13" t="n">
        <f aca="false">MIN(G21,D21)</f>
        <v>0.59122224</v>
      </c>
      <c r="I21" s="13" t="n">
        <f aca="false">IFERROR(MIN(F21*Eingaben!$B$19,MAX(0,D21-H21)),0)</f>
        <v>0.20977776</v>
      </c>
      <c r="J21" s="13" t="n">
        <f aca="false">IFERROR(MIN(Eingaben!$B$18,MAX(0,F21-I21)),0)</f>
        <v>1.18558224</v>
      </c>
      <c r="K21" s="13" t="n">
        <f aca="false">H21+I21</f>
        <v>0.801</v>
      </c>
      <c r="L21" s="13" t="n">
        <f aca="false">MAX(0,D21-K21)</f>
        <v>0</v>
      </c>
      <c r="M21" s="13" t="n">
        <f aca="false">MAX(0,F21-I21-J21)</f>
        <v>0</v>
      </c>
      <c r="N21" s="13" t="n">
        <f aca="false">IF(Kalender!A21="",0,J20-H21)</f>
        <v>0.01206576</v>
      </c>
    </row>
    <row r="22" customFormat="false" ht="16.4" hidden="false" customHeight="false" outlineLevel="0" collapsed="false">
      <c r="A22" s="13" t="str">
        <f aca="false">""</f>
        <v/>
      </c>
      <c r="B22" s="13" t="n">
        <f aca="false">18</f>
        <v>18</v>
      </c>
      <c r="C22" s="13" t="n">
        <f aca="false">IF(Szenarien!$H$8="OK",(IFERROR(SUMIF(Nutzungsprofile!$B$6:$B$11,"Schulbetrieb",Nutzungsprofile!$G$6:$G$11)*Kalender!C22/SUM(Kalender!$C$5:$C$370),0)+IFERROR(SUMIF(Nutzungsprofile!$B$6:$B$11,"Halle",Nutzungsprofile!$G$6:$G$11)*Kalender!D22/SUM(Kalender!$D$5:$D$370),0)+IFERROR(SUMIF(Nutzungsprofile!$B$6:$B$11,"Individuell",Nutzungsprofile!$G$6:$G$11)*Kalender!E22/SUM(Kalender!$E$5:$E$370),0))*Szenarien!$E$8,0)</f>
        <v>1.632</v>
      </c>
      <c r="D22" s="13" t="n">
        <f aca="false">IF(Szenarien!$H$8="OK",(IFERROR(SUMIF(Nutzungsprofile!$B$17:$B$22,"Schulbetrieb",Nutzungsprofile!$G$17:$G$22)*Kalender!C22/SUM(Kalender!$C$5:$C$370),0)+IFERROR(SUMIF(Nutzungsprofile!$B$17:$B$22,"Halle",Nutzungsprofile!$G$17:$G$22)*Kalender!D22/SUM(Kalender!$D$5:$D$370),0)+IFERROR(SUMIF(Nutzungsprofile!$B$17:$B$22,"Individuell",Nutzungsprofile!$G$17:$G$22)*Kalender!E22/SUM(Kalender!$E$5:$E$370),0))*Szenarien!$D$8,0)</f>
        <v>0.801</v>
      </c>
      <c r="E22" s="13" t="n">
        <f aca="false">IFERROR(MIN(C22,Eingaben!$B$17)*Eingaben!$B$16,0)</f>
        <v>1.5504</v>
      </c>
      <c r="F22" s="13" t="n">
        <f aca="false">IFERROR(E22*Eingaben!$B$15,0)</f>
        <v>1.39536</v>
      </c>
      <c r="G22" s="13" t="n">
        <f aca="false">IFERROR(IF(Kalender!A22="",0,J21*(1-Eingaben!$B$20)),0)</f>
        <v>1.1618705952</v>
      </c>
      <c r="H22" s="13" t="n">
        <f aca="false">MIN(G22,D22)</f>
        <v>0.801</v>
      </c>
      <c r="I22" s="13" t="n">
        <f aca="false">IFERROR(MIN(F22*Eingaben!$B$19,MAX(0,D22-H22)),0)</f>
        <v>0</v>
      </c>
      <c r="J22" s="13" t="n">
        <f aca="false">IFERROR(MIN(Eingaben!$B$18,MAX(0,F22-I22)),0)</f>
        <v>1.39536</v>
      </c>
      <c r="K22" s="13" t="n">
        <f aca="false">H22+I22</f>
        <v>0.801</v>
      </c>
      <c r="L22" s="13" t="n">
        <f aca="false">MAX(0,D22-K22)</f>
        <v>0</v>
      </c>
      <c r="M22" s="13" t="n">
        <f aca="false">MAX(0,F22-I22-J22)</f>
        <v>0</v>
      </c>
      <c r="N22" s="13" t="n">
        <f aca="false">IF(Kalender!A22="",0,J21-H22)</f>
        <v>0.38458224</v>
      </c>
    </row>
    <row r="23" customFormat="false" ht="16.4" hidden="false" customHeight="false" outlineLevel="0" collapsed="false">
      <c r="A23" s="13" t="str">
        <f aca="false">""</f>
        <v/>
      </c>
      <c r="B23" s="13" t="n">
        <f aca="false">19</f>
        <v>19</v>
      </c>
      <c r="C23" s="13" t="n">
        <f aca="false">IF(Szenarien!$H$8="OK",(IFERROR(SUMIF(Nutzungsprofile!$B$6:$B$11,"Schulbetrieb",Nutzungsprofile!$G$6:$G$11)*Kalender!C23/SUM(Kalender!$C$5:$C$370),0)+IFERROR(SUMIF(Nutzungsprofile!$B$6:$B$11,"Halle",Nutzungsprofile!$G$6:$G$11)*Kalender!D23/SUM(Kalender!$D$5:$D$370),0)+IFERROR(SUMIF(Nutzungsprofile!$B$6:$B$11,"Individuell",Nutzungsprofile!$G$6:$G$11)*Kalender!E23/SUM(Kalender!$E$5:$E$370),0))*Szenarien!$E$8,0)</f>
        <v>2.352</v>
      </c>
      <c r="D23" s="13" t="n">
        <f aca="false">IF(Szenarien!$H$8="OK",(IFERROR(SUMIF(Nutzungsprofile!$B$17:$B$22,"Schulbetrieb",Nutzungsprofile!$G$17:$G$22)*Kalender!C23/SUM(Kalender!$C$5:$C$370),0)+IFERROR(SUMIF(Nutzungsprofile!$B$17:$B$22,"Halle",Nutzungsprofile!$G$17:$G$22)*Kalender!D23/SUM(Kalender!$D$5:$D$370),0)+IFERROR(SUMIF(Nutzungsprofile!$B$17:$B$22,"Individuell",Nutzungsprofile!$G$17:$G$22)*Kalender!E23/SUM(Kalender!$E$5:$E$370),0))*Szenarien!$D$8,0)</f>
        <v>4.446</v>
      </c>
      <c r="E23" s="13" t="n">
        <f aca="false">IFERROR(MIN(C23,Eingaben!$B$17)*Eingaben!$B$16,0)</f>
        <v>2.2344</v>
      </c>
      <c r="F23" s="13" t="n">
        <f aca="false">IFERROR(E23*Eingaben!$B$15,0)</f>
        <v>2.01096</v>
      </c>
      <c r="G23" s="13" t="n">
        <f aca="false">IFERROR(IF(Kalender!A23="",0,J22*(1-Eingaben!$B$20)),0)</f>
        <v>1.3674528</v>
      </c>
      <c r="H23" s="13" t="n">
        <f aca="false">MIN(G23,D23)</f>
        <v>1.3674528</v>
      </c>
      <c r="I23" s="13" t="n">
        <f aca="false">IFERROR(MIN(F23*Eingaben!$B$19,MAX(0,D23-H23)),0)</f>
        <v>1.407672</v>
      </c>
      <c r="J23" s="13" t="n">
        <f aca="false">IFERROR(MIN(Eingaben!$B$18,MAX(0,F23-I23)),0)</f>
        <v>0.603288</v>
      </c>
      <c r="K23" s="13" t="n">
        <f aca="false">H23+I23</f>
        <v>2.7751248</v>
      </c>
      <c r="L23" s="13" t="n">
        <f aca="false">MAX(0,D23-K23)</f>
        <v>1.6708752</v>
      </c>
      <c r="M23" s="13" t="n">
        <f aca="false">MAX(0,F23-I23-J23)</f>
        <v>0</v>
      </c>
      <c r="N23" s="13" t="n">
        <f aca="false">IF(Kalender!A23="",0,J22-H23)</f>
        <v>0.0279072</v>
      </c>
    </row>
    <row r="24" customFormat="false" ht="16.4" hidden="false" customHeight="false" outlineLevel="0" collapsed="false">
      <c r="A24" s="13" t="str">
        <f aca="false">""</f>
        <v/>
      </c>
      <c r="B24" s="13" t="n">
        <f aca="false">20</f>
        <v>20</v>
      </c>
      <c r="C24" s="13" t="n">
        <f aca="false">IF(Szenarien!$H$8="OK",(IFERROR(SUMIF(Nutzungsprofile!$B$6:$B$11,"Schulbetrieb",Nutzungsprofile!$G$6:$G$11)*Kalender!C24/SUM(Kalender!$C$5:$C$370),0)+IFERROR(SUMIF(Nutzungsprofile!$B$6:$B$11,"Halle",Nutzungsprofile!$G$6:$G$11)*Kalender!D24/SUM(Kalender!$D$5:$D$370),0)+IFERROR(SUMIF(Nutzungsprofile!$B$6:$B$11,"Individuell",Nutzungsprofile!$G$6:$G$11)*Kalender!E24/SUM(Kalender!$E$5:$E$370),0))*Szenarien!$E$8,0)</f>
        <v>2.352</v>
      </c>
      <c r="D24" s="13" t="n">
        <f aca="false">IF(Szenarien!$H$8="OK",(IFERROR(SUMIF(Nutzungsprofile!$B$17:$B$22,"Schulbetrieb",Nutzungsprofile!$G$17:$G$22)*Kalender!C24/SUM(Kalender!$C$5:$C$370),0)+IFERROR(SUMIF(Nutzungsprofile!$B$17:$B$22,"Halle",Nutzungsprofile!$G$17:$G$22)*Kalender!D24/SUM(Kalender!$D$5:$D$370),0)+IFERROR(SUMIF(Nutzungsprofile!$B$17:$B$22,"Individuell",Nutzungsprofile!$G$17:$G$22)*Kalender!E24/SUM(Kalender!$E$5:$E$370),0))*Szenarien!$D$8,0)</f>
        <v>4.446</v>
      </c>
      <c r="E24" s="13" t="n">
        <f aca="false">IFERROR(MIN(C24,Eingaben!$B$17)*Eingaben!$B$16,0)</f>
        <v>2.2344</v>
      </c>
      <c r="F24" s="13" t="n">
        <f aca="false">IFERROR(E24*Eingaben!$B$15,0)</f>
        <v>2.01096</v>
      </c>
      <c r="G24" s="13" t="n">
        <f aca="false">IFERROR(IF(Kalender!A24="",0,J23*(1-Eingaben!$B$20)),0)</f>
        <v>0.59122224</v>
      </c>
      <c r="H24" s="13" t="n">
        <f aca="false">MIN(G24,D24)</f>
        <v>0.59122224</v>
      </c>
      <c r="I24" s="13" t="n">
        <f aca="false">IFERROR(MIN(F24*Eingaben!$B$19,MAX(0,D24-H24)),0)</f>
        <v>1.407672</v>
      </c>
      <c r="J24" s="13" t="n">
        <f aca="false">IFERROR(MIN(Eingaben!$B$18,MAX(0,F24-I24)),0)</f>
        <v>0.603288</v>
      </c>
      <c r="K24" s="13" t="n">
        <f aca="false">H24+I24</f>
        <v>1.99889424</v>
      </c>
      <c r="L24" s="13" t="n">
        <f aca="false">MAX(0,D24-K24)</f>
        <v>2.44710576</v>
      </c>
      <c r="M24" s="13" t="n">
        <f aca="false">MAX(0,F24-I24-J24)</f>
        <v>0</v>
      </c>
      <c r="N24" s="13" t="n">
        <f aca="false">IF(Kalender!A24="",0,J23-H24)</f>
        <v>0.01206576</v>
      </c>
    </row>
    <row r="25" customFormat="false" ht="16.4" hidden="false" customHeight="false" outlineLevel="0" collapsed="false">
      <c r="A25" s="13" t="str">
        <f aca="false">""</f>
        <v/>
      </c>
      <c r="B25" s="13" t="n">
        <f aca="false">21</f>
        <v>21</v>
      </c>
      <c r="C25" s="13" t="n">
        <f aca="false">IF(Szenarien!$H$8="OK",(IFERROR(SUMIF(Nutzungsprofile!$B$6:$B$11,"Schulbetrieb",Nutzungsprofile!$G$6:$G$11)*Kalender!C25/SUM(Kalender!$C$5:$C$370),0)+IFERROR(SUMIF(Nutzungsprofile!$B$6:$B$11,"Halle",Nutzungsprofile!$G$6:$G$11)*Kalender!D25/SUM(Kalender!$D$5:$D$370),0)+IFERROR(SUMIF(Nutzungsprofile!$B$6:$B$11,"Individuell",Nutzungsprofile!$G$6:$G$11)*Kalender!E25/SUM(Kalender!$E$5:$E$370),0))*Szenarien!$E$8,0)</f>
        <v>2.352</v>
      </c>
      <c r="D25" s="13" t="n">
        <f aca="false">IF(Szenarien!$H$8="OK",(IFERROR(SUMIF(Nutzungsprofile!$B$17:$B$22,"Schulbetrieb",Nutzungsprofile!$G$17:$G$22)*Kalender!C25/SUM(Kalender!$C$5:$C$370),0)+IFERROR(SUMIF(Nutzungsprofile!$B$17:$B$22,"Halle",Nutzungsprofile!$G$17:$G$22)*Kalender!D25/SUM(Kalender!$D$5:$D$370),0)+IFERROR(SUMIF(Nutzungsprofile!$B$17:$B$22,"Individuell",Nutzungsprofile!$G$17:$G$22)*Kalender!E25/SUM(Kalender!$E$5:$E$370),0))*Szenarien!$D$8,0)</f>
        <v>4.446</v>
      </c>
      <c r="E25" s="13" t="n">
        <f aca="false">IFERROR(MIN(C25,Eingaben!$B$17)*Eingaben!$B$16,0)</f>
        <v>2.2344</v>
      </c>
      <c r="F25" s="13" t="n">
        <f aca="false">IFERROR(E25*Eingaben!$B$15,0)</f>
        <v>2.01096</v>
      </c>
      <c r="G25" s="13" t="n">
        <f aca="false">IFERROR(IF(Kalender!A25="",0,J24*(1-Eingaben!$B$20)),0)</f>
        <v>0.59122224</v>
      </c>
      <c r="H25" s="13" t="n">
        <f aca="false">MIN(G25,D25)</f>
        <v>0.59122224</v>
      </c>
      <c r="I25" s="13" t="n">
        <f aca="false">IFERROR(MIN(F25*Eingaben!$B$19,MAX(0,D25-H25)),0)</f>
        <v>1.407672</v>
      </c>
      <c r="J25" s="13" t="n">
        <f aca="false">IFERROR(MIN(Eingaben!$B$18,MAX(0,F25-I25)),0)</f>
        <v>0.603288</v>
      </c>
      <c r="K25" s="13" t="n">
        <f aca="false">H25+I25</f>
        <v>1.99889424</v>
      </c>
      <c r="L25" s="13" t="n">
        <f aca="false">MAX(0,D25-K25)</f>
        <v>2.44710576</v>
      </c>
      <c r="M25" s="13" t="n">
        <f aca="false">MAX(0,F25-I25-J25)</f>
        <v>0</v>
      </c>
      <c r="N25" s="13" t="n">
        <f aca="false">IF(Kalender!A25="",0,J24-H25)</f>
        <v>0.01206576</v>
      </c>
    </row>
    <row r="26" customFormat="false" ht="16.4" hidden="false" customHeight="false" outlineLevel="0" collapsed="false">
      <c r="A26" s="13" t="str">
        <f aca="false">""</f>
        <v/>
      </c>
      <c r="B26" s="13" t="n">
        <f aca="false">22</f>
        <v>22</v>
      </c>
      <c r="C26" s="13" t="n">
        <f aca="false">IF(Szenarien!$H$8="OK",(IFERROR(SUMIF(Nutzungsprofile!$B$6:$B$11,"Schulbetrieb",Nutzungsprofile!$G$6:$G$11)*Kalender!C26/SUM(Kalender!$C$5:$C$370),0)+IFERROR(SUMIF(Nutzungsprofile!$B$6:$B$11,"Halle",Nutzungsprofile!$G$6:$G$11)*Kalender!D26/SUM(Kalender!$D$5:$D$370),0)+IFERROR(SUMIF(Nutzungsprofile!$B$6:$B$11,"Individuell",Nutzungsprofile!$G$6:$G$11)*Kalender!E26/SUM(Kalender!$E$5:$E$370),0))*Szenarien!$E$8,0)</f>
        <v>2.352</v>
      </c>
      <c r="D26" s="13" t="n">
        <f aca="false">IF(Szenarien!$H$8="OK",(IFERROR(SUMIF(Nutzungsprofile!$B$17:$B$22,"Schulbetrieb",Nutzungsprofile!$G$17:$G$22)*Kalender!C26/SUM(Kalender!$C$5:$C$370),0)+IFERROR(SUMIF(Nutzungsprofile!$B$17:$B$22,"Halle",Nutzungsprofile!$G$17:$G$22)*Kalender!D26/SUM(Kalender!$D$5:$D$370),0)+IFERROR(SUMIF(Nutzungsprofile!$B$17:$B$22,"Individuell",Nutzungsprofile!$G$17:$G$22)*Kalender!E26/SUM(Kalender!$E$5:$E$370),0))*Szenarien!$D$8,0)</f>
        <v>4.446</v>
      </c>
      <c r="E26" s="13" t="n">
        <f aca="false">IFERROR(MIN(C26,Eingaben!$B$17)*Eingaben!$B$16,0)</f>
        <v>2.2344</v>
      </c>
      <c r="F26" s="13" t="n">
        <f aca="false">IFERROR(E26*Eingaben!$B$15,0)</f>
        <v>2.01096</v>
      </c>
      <c r="G26" s="13" t="n">
        <f aca="false">IFERROR(IF(Kalender!A26="",0,J25*(1-Eingaben!$B$20)),0)</f>
        <v>0.59122224</v>
      </c>
      <c r="H26" s="13" t="n">
        <f aca="false">MIN(G26,D26)</f>
        <v>0.59122224</v>
      </c>
      <c r="I26" s="13" t="n">
        <f aca="false">IFERROR(MIN(F26*Eingaben!$B$19,MAX(0,D26-H26)),0)</f>
        <v>1.407672</v>
      </c>
      <c r="J26" s="13" t="n">
        <f aca="false">IFERROR(MIN(Eingaben!$B$18,MAX(0,F26-I26)),0)</f>
        <v>0.603288</v>
      </c>
      <c r="K26" s="13" t="n">
        <f aca="false">H26+I26</f>
        <v>1.99889424</v>
      </c>
      <c r="L26" s="13" t="n">
        <f aca="false">MAX(0,D26-K26)</f>
        <v>2.44710576</v>
      </c>
      <c r="M26" s="13" t="n">
        <f aca="false">MAX(0,F26-I26-J26)</f>
        <v>0</v>
      </c>
      <c r="N26" s="13" t="n">
        <f aca="false">IF(Kalender!A26="",0,J25-H26)</f>
        <v>0.01206576</v>
      </c>
    </row>
    <row r="27" customFormat="false" ht="16.4" hidden="false" customHeight="false" outlineLevel="0" collapsed="false">
      <c r="A27" s="13" t="str">
        <f aca="false">""</f>
        <v/>
      </c>
      <c r="B27" s="13" t="n">
        <f aca="false">23</f>
        <v>23</v>
      </c>
      <c r="C27" s="13" t="n">
        <f aca="false">IF(Szenarien!$H$8="OK",(IFERROR(SUMIF(Nutzungsprofile!$B$6:$B$11,"Schulbetrieb",Nutzungsprofile!$G$6:$G$11)*Kalender!C27/SUM(Kalender!$C$5:$C$370),0)+IFERROR(SUMIF(Nutzungsprofile!$B$6:$B$11,"Halle",Nutzungsprofile!$G$6:$G$11)*Kalender!D27/SUM(Kalender!$D$5:$D$370),0)+IFERROR(SUMIF(Nutzungsprofile!$B$6:$B$11,"Individuell",Nutzungsprofile!$G$6:$G$11)*Kalender!E27/SUM(Kalender!$E$5:$E$370),0))*Szenarien!$E$8,0)</f>
        <v>2.352</v>
      </c>
      <c r="D27" s="13" t="n">
        <f aca="false">IF(Szenarien!$H$8="OK",(IFERROR(SUMIF(Nutzungsprofile!$B$17:$B$22,"Schulbetrieb",Nutzungsprofile!$G$17:$G$22)*Kalender!C27/SUM(Kalender!$C$5:$C$370),0)+IFERROR(SUMIF(Nutzungsprofile!$B$17:$B$22,"Halle",Nutzungsprofile!$G$17:$G$22)*Kalender!D27/SUM(Kalender!$D$5:$D$370),0)+IFERROR(SUMIF(Nutzungsprofile!$B$17:$B$22,"Individuell",Nutzungsprofile!$G$17:$G$22)*Kalender!E27/SUM(Kalender!$E$5:$E$370),0))*Szenarien!$D$8,0)</f>
        <v>4.446</v>
      </c>
      <c r="E27" s="13" t="n">
        <f aca="false">IFERROR(MIN(C27,Eingaben!$B$17)*Eingaben!$B$16,0)</f>
        <v>2.2344</v>
      </c>
      <c r="F27" s="13" t="n">
        <f aca="false">IFERROR(E27*Eingaben!$B$15,0)</f>
        <v>2.01096</v>
      </c>
      <c r="G27" s="13" t="n">
        <f aca="false">IFERROR(IF(Kalender!A27="",0,J26*(1-Eingaben!$B$20)),0)</f>
        <v>0.59122224</v>
      </c>
      <c r="H27" s="13" t="n">
        <f aca="false">MIN(G27,D27)</f>
        <v>0.59122224</v>
      </c>
      <c r="I27" s="13" t="n">
        <f aca="false">IFERROR(MIN(F27*Eingaben!$B$19,MAX(0,D27-H27)),0)</f>
        <v>1.407672</v>
      </c>
      <c r="J27" s="13" t="n">
        <f aca="false">IFERROR(MIN(Eingaben!$B$18,MAX(0,F27-I27)),0)</f>
        <v>0.603288</v>
      </c>
      <c r="K27" s="13" t="n">
        <f aca="false">H27+I27</f>
        <v>1.99889424</v>
      </c>
      <c r="L27" s="13" t="n">
        <f aca="false">MAX(0,D27-K27)</f>
        <v>2.44710576</v>
      </c>
      <c r="M27" s="13" t="n">
        <f aca="false">MAX(0,F27-I27-J27)</f>
        <v>0</v>
      </c>
      <c r="N27" s="13" t="n">
        <f aca="false">IF(Kalender!A27="",0,J26-H27)</f>
        <v>0.01206576</v>
      </c>
    </row>
    <row r="28" customFormat="false" ht="16.4" hidden="false" customHeight="false" outlineLevel="0" collapsed="false">
      <c r="A28" s="13" t="str">
        <f aca="false">""</f>
        <v/>
      </c>
      <c r="B28" s="13" t="n">
        <f aca="false">24</f>
        <v>24</v>
      </c>
      <c r="C28" s="13" t="n">
        <f aca="false">IF(Szenarien!$H$8="OK",(IFERROR(SUMIF(Nutzungsprofile!$B$6:$B$11,"Schulbetrieb",Nutzungsprofile!$G$6:$G$11)*Kalender!C28/SUM(Kalender!$C$5:$C$370),0)+IFERROR(SUMIF(Nutzungsprofile!$B$6:$B$11,"Halle",Nutzungsprofile!$G$6:$G$11)*Kalender!D28/SUM(Kalender!$D$5:$D$370),0)+IFERROR(SUMIF(Nutzungsprofile!$B$6:$B$11,"Individuell",Nutzungsprofile!$G$6:$G$11)*Kalender!E28/SUM(Kalender!$E$5:$E$370),0))*Szenarien!$E$8,0)</f>
        <v>1.632</v>
      </c>
      <c r="D28" s="13" t="n">
        <f aca="false">IF(Szenarien!$H$8="OK",(IFERROR(SUMIF(Nutzungsprofile!$B$17:$B$22,"Schulbetrieb",Nutzungsprofile!$G$17:$G$22)*Kalender!C28/SUM(Kalender!$C$5:$C$370),0)+IFERROR(SUMIF(Nutzungsprofile!$B$17:$B$22,"Halle",Nutzungsprofile!$G$17:$G$22)*Kalender!D28/SUM(Kalender!$D$5:$D$370),0)+IFERROR(SUMIF(Nutzungsprofile!$B$17:$B$22,"Individuell",Nutzungsprofile!$G$17:$G$22)*Kalender!E28/SUM(Kalender!$E$5:$E$370),0))*Szenarien!$D$8,0)</f>
        <v>0.801</v>
      </c>
      <c r="E28" s="13" t="n">
        <f aca="false">IFERROR(MIN(C28,Eingaben!$B$17)*Eingaben!$B$16,0)</f>
        <v>1.5504</v>
      </c>
      <c r="F28" s="13" t="n">
        <f aca="false">IFERROR(E28*Eingaben!$B$15,0)</f>
        <v>1.39536</v>
      </c>
      <c r="G28" s="13" t="n">
        <f aca="false">IFERROR(IF(Kalender!A28="",0,J27*(1-Eingaben!$B$20)),0)</f>
        <v>0.59122224</v>
      </c>
      <c r="H28" s="13" t="n">
        <f aca="false">MIN(G28,D28)</f>
        <v>0.59122224</v>
      </c>
      <c r="I28" s="13" t="n">
        <f aca="false">IFERROR(MIN(F28*Eingaben!$B$19,MAX(0,D28-H28)),0)</f>
        <v>0.20977776</v>
      </c>
      <c r="J28" s="13" t="n">
        <f aca="false">IFERROR(MIN(Eingaben!$B$18,MAX(0,F28-I28)),0)</f>
        <v>1.18558224</v>
      </c>
      <c r="K28" s="13" t="n">
        <f aca="false">H28+I28</f>
        <v>0.801</v>
      </c>
      <c r="L28" s="13" t="n">
        <f aca="false">MAX(0,D28-K28)</f>
        <v>0</v>
      </c>
      <c r="M28" s="13" t="n">
        <f aca="false">MAX(0,F28-I28-J28)</f>
        <v>0</v>
      </c>
      <c r="N28" s="13" t="n">
        <f aca="false">IF(Kalender!A28="",0,J27-H28)</f>
        <v>0.01206576</v>
      </c>
    </row>
    <row r="29" customFormat="false" ht="16.4" hidden="false" customHeight="false" outlineLevel="0" collapsed="false">
      <c r="A29" s="13" t="str">
        <f aca="false">""</f>
        <v/>
      </c>
      <c r="B29" s="13" t="n">
        <f aca="false">25</f>
        <v>25</v>
      </c>
      <c r="C29" s="13" t="n">
        <f aca="false">IF(Szenarien!$H$8="OK",(IFERROR(SUMIF(Nutzungsprofile!$B$6:$B$11,"Schulbetrieb",Nutzungsprofile!$G$6:$G$11)*Kalender!C29/SUM(Kalender!$C$5:$C$370),0)+IFERROR(SUMIF(Nutzungsprofile!$B$6:$B$11,"Halle",Nutzungsprofile!$G$6:$G$11)*Kalender!D29/SUM(Kalender!$D$5:$D$370),0)+IFERROR(SUMIF(Nutzungsprofile!$B$6:$B$11,"Individuell",Nutzungsprofile!$G$6:$G$11)*Kalender!E29/SUM(Kalender!$E$5:$E$370),0))*Szenarien!$E$8,0)</f>
        <v>1.632</v>
      </c>
      <c r="D29" s="13" t="n">
        <f aca="false">IF(Szenarien!$H$8="OK",(IFERROR(SUMIF(Nutzungsprofile!$B$17:$B$22,"Schulbetrieb",Nutzungsprofile!$G$17:$G$22)*Kalender!C29/SUM(Kalender!$C$5:$C$370),0)+IFERROR(SUMIF(Nutzungsprofile!$B$17:$B$22,"Halle",Nutzungsprofile!$G$17:$G$22)*Kalender!D29/SUM(Kalender!$D$5:$D$370),0)+IFERROR(SUMIF(Nutzungsprofile!$B$17:$B$22,"Individuell",Nutzungsprofile!$G$17:$G$22)*Kalender!E29/SUM(Kalender!$E$5:$E$370),0))*Szenarien!$D$8,0)</f>
        <v>0.801</v>
      </c>
      <c r="E29" s="13" t="n">
        <f aca="false">IFERROR(MIN(C29,Eingaben!$B$17)*Eingaben!$B$16,0)</f>
        <v>1.5504</v>
      </c>
      <c r="F29" s="13" t="n">
        <f aca="false">IFERROR(E29*Eingaben!$B$15,0)</f>
        <v>1.39536</v>
      </c>
      <c r="G29" s="13" t="n">
        <f aca="false">IFERROR(IF(Kalender!A29="",0,J28*(1-Eingaben!$B$20)),0)</f>
        <v>1.1618705952</v>
      </c>
      <c r="H29" s="13" t="n">
        <f aca="false">MIN(G29,D29)</f>
        <v>0.801</v>
      </c>
      <c r="I29" s="13" t="n">
        <f aca="false">IFERROR(MIN(F29*Eingaben!$B$19,MAX(0,D29-H29)),0)</f>
        <v>0</v>
      </c>
      <c r="J29" s="13" t="n">
        <f aca="false">IFERROR(MIN(Eingaben!$B$18,MAX(0,F29-I29)),0)</f>
        <v>1.39536</v>
      </c>
      <c r="K29" s="13" t="n">
        <f aca="false">H29+I29</f>
        <v>0.801</v>
      </c>
      <c r="L29" s="13" t="n">
        <f aca="false">MAX(0,D29-K29)</f>
        <v>0</v>
      </c>
      <c r="M29" s="13" t="n">
        <f aca="false">MAX(0,F29-I29-J29)</f>
        <v>0</v>
      </c>
      <c r="N29" s="13" t="n">
        <f aca="false">IF(Kalender!A29="",0,J28-H29)</f>
        <v>0.38458224</v>
      </c>
    </row>
    <row r="30" customFormat="false" ht="16.4" hidden="false" customHeight="false" outlineLevel="0" collapsed="false">
      <c r="A30" s="13" t="str">
        <f aca="false">""</f>
        <v/>
      </c>
      <c r="B30" s="13" t="n">
        <f aca="false">26</f>
        <v>26</v>
      </c>
      <c r="C30" s="13" t="n">
        <f aca="false">IF(Szenarien!$H$8="OK",(IFERROR(SUMIF(Nutzungsprofile!$B$6:$B$11,"Schulbetrieb",Nutzungsprofile!$G$6:$G$11)*Kalender!C30/SUM(Kalender!$C$5:$C$370),0)+IFERROR(SUMIF(Nutzungsprofile!$B$6:$B$11,"Halle",Nutzungsprofile!$G$6:$G$11)*Kalender!D30/SUM(Kalender!$D$5:$D$370),0)+IFERROR(SUMIF(Nutzungsprofile!$B$6:$B$11,"Individuell",Nutzungsprofile!$G$6:$G$11)*Kalender!E30/SUM(Kalender!$E$5:$E$370),0))*Szenarien!$E$8,0)</f>
        <v>2.352</v>
      </c>
      <c r="D30" s="13" t="n">
        <f aca="false">IF(Szenarien!$H$8="OK",(IFERROR(SUMIF(Nutzungsprofile!$B$17:$B$22,"Schulbetrieb",Nutzungsprofile!$G$17:$G$22)*Kalender!C30/SUM(Kalender!$C$5:$C$370),0)+IFERROR(SUMIF(Nutzungsprofile!$B$17:$B$22,"Halle",Nutzungsprofile!$G$17:$G$22)*Kalender!D30/SUM(Kalender!$D$5:$D$370),0)+IFERROR(SUMIF(Nutzungsprofile!$B$17:$B$22,"Individuell",Nutzungsprofile!$G$17:$G$22)*Kalender!E30/SUM(Kalender!$E$5:$E$370),0))*Szenarien!$D$8,0)</f>
        <v>4.446</v>
      </c>
      <c r="E30" s="13" t="n">
        <f aca="false">IFERROR(MIN(C30,Eingaben!$B$17)*Eingaben!$B$16,0)</f>
        <v>2.2344</v>
      </c>
      <c r="F30" s="13" t="n">
        <f aca="false">IFERROR(E30*Eingaben!$B$15,0)</f>
        <v>2.01096</v>
      </c>
      <c r="G30" s="13" t="n">
        <f aca="false">IFERROR(IF(Kalender!A30="",0,J29*(1-Eingaben!$B$20)),0)</f>
        <v>1.3674528</v>
      </c>
      <c r="H30" s="13" t="n">
        <f aca="false">MIN(G30,D30)</f>
        <v>1.3674528</v>
      </c>
      <c r="I30" s="13" t="n">
        <f aca="false">IFERROR(MIN(F30*Eingaben!$B$19,MAX(0,D30-H30)),0)</f>
        <v>1.407672</v>
      </c>
      <c r="J30" s="13" t="n">
        <f aca="false">IFERROR(MIN(Eingaben!$B$18,MAX(0,F30-I30)),0)</f>
        <v>0.603288</v>
      </c>
      <c r="K30" s="13" t="n">
        <f aca="false">H30+I30</f>
        <v>2.7751248</v>
      </c>
      <c r="L30" s="13" t="n">
        <f aca="false">MAX(0,D30-K30)</f>
        <v>1.6708752</v>
      </c>
      <c r="M30" s="13" t="n">
        <f aca="false">MAX(0,F30-I30-J30)</f>
        <v>0</v>
      </c>
      <c r="N30" s="13" t="n">
        <f aca="false">IF(Kalender!A30="",0,J29-H30)</f>
        <v>0.0279072</v>
      </c>
    </row>
    <row r="31" customFormat="false" ht="16.4" hidden="false" customHeight="false" outlineLevel="0" collapsed="false">
      <c r="A31" s="13" t="str">
        <f aca="false">""</f>
        <v/>
      </c>
      <c r="B31" s="13" t="n">
        <f aca="false">27</f>
        <v>27</v>
      </c>
      <c r="C31" s="13" t="n">
        <f aca="false">IF(Szenarien!$H$8="OK",(IFERROR(SUMIF(Nutzungsprofile!$B$6:$B$11,"Schulbetrieb",Nutzungsprofile!$G$6:$G$11)*Kalender!C31/SUM(Kalender!$C$5:$C$370),0)+IFERROR(SUMIF(Nutzungsprofile!$B$6:$B$11,"Halle",Nutzungsprofile!$G$6:$G$11)*Kalender!D31/SUM(Kalender!$D$5:$D$370),0)+IFERROR(SUMIF(Nutzungsprofile!$B$6:$B$11,"Individuell",Nutzungsprofile!$G$6:$G$11)*Kalender!E31/SUM(Kalender!$E$5:$E$370),0))*Szenarien!$E$8,0)</f>
        <v>2.352</v>
      </c>
      <c r="D31" s="13" t="n">
        <f aca="false">IF(Szenarien!$H$8="OK",(IFERROR(SUMIF(Nutzungsprofile!$B$17:$B$22,"Schulbetrieb",Nutzungsprofile!$G$17:$G$22)*Kalender!C31/SUM(Kalender!$C$5:$C$370),0)+IFERROR(SUMIF(Nutzungsprofile!$B$17:$B$22,"Halle",Nutzungsprofile!$G$17:$G$22)*Kalender!D31/SUM(Kalender!$D$5:$D$370),0)+IFERROR(SUMIF(Nutzungsprofile!$B$17:$B$22,"Individuell",Nutzungsprofile!$G$17:$G$22)*Kalender!E31/SUM(Kalender!$E$5:$E$370),0))*Szenarien!$D$8,0)</f>
        <v>4.446</v>
      </c>
      <c r="E31" s="13" t="n">
        <f aca="false">IFERROR(MIN(C31,Eingaben!$B$17)*Eingaben!$B$16,0)</f>
        <v>2.2344</v>
      </c>
      <c r="F31" s="13" t="n">
        <f aca="false">IFERROR(E31*Eingaben!$B$15,0)</f>
        <v>2.01096</v>
      </c>
      <c r="G31" s="13" t="n">
        <f aca="false">IFERROR(IF(Kalender!A31="",0,J30*(1-Eingaben!$B$20)),0)</f>
        <v>0.59122224</v>
      </c>
      <c r="H31" s="13" t="n">
        <f aca="false">MIN(G31,D31)</f>
        <v>0.59122224</v>
      </c>
      <c r="I31" s="13" t="n">
        <f aca="false">IFERROR(MIN(F31*Eingaben!$B$19,MAX(0,D31-H31)),0)</f>
        <v>1.407672</v>
      </c>
      <c r="J31" s="13" t="n">
        <f aca="false">IFERROR(MIN(Eingaben!$B$18,MAX(0,F31-I31)),0)</f>
        <v>0.603288</v>
      </c>
      <c r="K31" s="13" t="n">
        <f aca="false">H31+I31</f>
        <v>1.99889424</v>
      </c>
      <c r="L31" s="13" t="n">
        <f aca="false">MAX(0,D31-K31)</f>
        <v>2.44710576</v>
      </c>
      <c r="M31" s="13" t="n">
        <f aca="false">MAX(0,F31-I31-J31)</f>
        <v>0</v>
      </c>
      <c r="N31" s="13" t="n">
        <f aca="false">IF(Kalender!A31="",0,J30-H31)</f>
        <v>0.01206576</v>
      </c>
    </row>
    <row r="32" customFormat="false" ht="16.4" hidden="false" customHeight="false" outlineLevel="0" collapsed="false">
      <c r="A32" s="13" t="str">
        <f aca="false">""</f>
        <v/>
      </c>
      <c r="B32" s="13" t="n">
        <f aca="false">28</f>
        <v>28</v>
      </c>
      <c r="C32" s="13" t="n">
        <f aca="false">IF(Szenarien!$H$8="OK",(IFERROR(SUMIF(Nutzungsprofile!$B$6:$B$11,"Schulbetrieb",Nutzungsprofile!$G$6:$G$11)*Kalender!C32/SUM(Kalender!$C$5:$C$370),0)+IFERROR(SUMIF(Nutzungsprofile!$B$6:$B$11,"Halle",Nutzungsprofile!$G$6:$G$11)*Kalender!D32/SUM(Kalender!$D$5:$D$370),0)+IFERROR(SUMIF(Nutzungsprofile!$B$6:$B$11,"Individuell",Nutzungsprofile!$G$6:$G$11)*Kalender!E32/SUM(Kalender!$E$5:$E$370),0))*Szenarien!$E$8,0)</f>
        <v>2.352</v>
      </c>
      <c r="D32" s="13" t="n">
        <f aca="false">IF(Szenarien!$H$8="OK",(IFERROR(SUMIF(Nutzungsprofile!$B$17:$B$22,"Schulbetrieb",Nutzungsprofile!$G$17:$G$22)*Kalender!C32/SUM(Kalender!$C$5:$C$370),0)+IFERROR(SUMIF(Nutzungsprofile!$B$17:$B$22,"Halle",Nutzungsprofile!$G$17:$G$22)*Kalender!D32/SUM(Kalender!$D$5:$D$370),0)+IFERROR(SUMIF(Nutzungsprofile!$B$17:$B$22,"Individuell",Nutzungsprofile!$G$17:$G$22)*Kalender!E32/SUM(Kalender!$E$5:$E$370),0))*Szenarien!$D$8,0)</f>
        <v>4.446</v>
      </c>
      <c r="E32" s="13" t="n">
        <f aca="false">IFERROR(MIN(C32,Eingaben!$B$17)*Eingaben!$B$16,0)</f>
        <v>2.2344</v>
      </c>
      <c r="F32" s="13" t="n">
        <f aca="false">IFERROR(E32*Eingaben!$B$15,0)</f>
        <v>2.01096</v>
      </c>
      <c r="G32" s="13" t="n">
        <f aca="false">IFERROR(IF(Kalender!A32="",0,J31*(1-Eingaben!$B$20)),0)</f>
        <v>0.59122224</v>
      </c>
      <c r="H32" s="13" t="n">
        <f aca="false">MIN(G32,D32)</f>
        <v>0.59122224</v>
      </c>
      <c r="I32" s="13" t="n">
        <f aca="false">IFERROR(MIN(F32*Eingaben!$B$19,MAX(0,D32-H32)),0)</f>
        <v>1.407672</v>
      </c>
      <c r="J32" s="13" t="n">
        <f aca="false">IFERROR(MIN(Eingaben!$B$18,MAX(0,F32-I32)),0)</f>
        <v>0.603288</v>
      </c>
      <c r="K32" s="13" t="n">
        <f aca="false">H32+I32</f>
        <v>1.99889424</v>
      </c>
      <c r="L32" s="13" t="n">
        <f aca="false">MAX(0,D32-K32)</f>
        <v>2.44710576</v>
      </c>
      <c r="M32" s="13" t="n">
        <f aca="false">MAX(0,F32-I32-J32)</f>
        <v>0</v>
      </c>
      <c r="N32" s="13" t="n">
        <f aca="false">IF(Kalender!A32="",0,J31-H32)</f>
        <v>0.01206576</v>
      </c>
    </row>
    <row r="33" customFormat="false" ht="16.4" hidden="false" customHeight="false" outlineLevel="0" collapsed="false">
      <c r="A33" s="13" t="str">
        <f aca="false">""</f>
        <v/>
      </c>
      <c r="B33" s="13" t="n">
        <f aca="false">29</f>
        <v>29</v>
      </c>
      <c r="C33" s="13" t="n">
        <f aca="false">IF(Szenarien!$H$8="OK",(IFERROR(SUMIF(Nutzungsprofile!$B$6:$B$11,"Schulbetrieb",Nutzungsprofile!$G$6:$G$11)*Kalender!C33/SUM(Kalender!$C$5:$C$370),0)+IFERROR(SUMIF(Nutzungsprofile!$B$6:$B$11,"Halle",Nutzungsprofile!$G$6:$G$11)*Kalender!D33/SUM(Kalender!$D$5:$D$370),0)+IFERROR(SUMIF(Nutzungsprofile!$B$6:$B$11,"Individuell",Nutzungsprofile!$G$6:$G$11)*Kalender!E33/SUM(Kalender!$E$5:$E$370),0))*Szenarien!$E$8,0)</f>
        <v>2.352</v>
      </c>
      <c r="D33" s="13" t="n">
        <f aca="false">IF(Szenarien!$H$8="OK",(IFERROR(SUMIF(Nutzungsprofile!$B$17:$B$22,"Schulbetrieb",Nutzungsprofile!$G$17:$G$22)*Kalender!C33/SUM(Kalender!$C$5:$C$370),0)+IFERROR(SUMIF(Nutzungsprofile!$B$17:$B$22,"Halle",Nutzungsprofile!$G$17:$G$22)*Kalender!D33/SUM(Kalender!$D$5:$D$370),0)+IFERROR(SUMIF(Nutzungsprofile!$B$17:$B$22,"Individuell",Nutzungsprofile!$G$17:$G$22)*Kalender!E33/SUM(Kalender!$E$5:$E$370),0))*Szenarien!$D$8,0)</f>
        <v>4.446</v>
      </c>
      <c r="E33" s="13" t="n">
        <f aca="false">IFERROR(MIN(C33,Eingaben!$B$17)*Eingaben!$B$16,0)</f>
        <v>2.2344</v>
      </c>
      <c r="F33" s="13" t="n">
        <f aca="false">IFERROR(E33*Eingaben!$B$15,0)</f>
        <v>2.01096</v>
      </c>
      <c r="G33" s="13" t="n">
        <f aca="false">IFERROR(IF(Kalender!A33="",0,J32*(1-Eingaben!$B$20)),0)</f>
        <v>0.59122224</v>
      </c>
      <c r="H33" s="13" t="n">
        <f aca="false">MIN(G33,D33)</f>
        <v>0.59122224</v>
      </c>
      <c r="I33" s="13" t="n">
        <f aca="false">IFERROR(MIN(F33*Eingaben!$B$19,MAX(0,D33-H33)),0)</f>
        <v>1.407672</v>
      </c>
      <c r="J33" s="13" t="n">
        <f aca="false">IFERROR(MIN(Eingaben!$B$18,MAX(0,F33-I33)),0)</f>
        <v>0.603288</v>
      </c>
      <c r="K33" s="13" t="n">
        <f aca="false">H33+I33</f>
        <v>1.99889424</v>
      </c>
      <c r="L33" s="13" t="n">
        <f aca="false">MAX(0,D33-K33)</f>
        <v>2.44710576</v>
      </c>
      <c r="M33" s="13" t="n">
        <f aca="false">MAX(0,F33-I33-J33)</f>
        <v>0</v>
      </c>
      <c r="N33" s="13" t="n">
        <f aca="false">IF(Kalender!A33="",0,J32-H33)</f>
        <v>0.01206576</v>
      </c>
    </row>
    <row r="34" customFormat="false" ht="16.4" hidden="false" customHeight="false" outlineLevel="0" collapsed="false">
      <c r="A34" s="13" t="str">
        <f aca="false">""</f>
        <v/>
      </c>
      <c r="B34" s="13" t="n">
        <f aca="false">30</f>
        <v>30</v>
      </c>
      <c r="C34" s="13" t="n">
        <f aca="false">IF(Szenarien!$H$8="OK",(IFERROR(SUMIF(Nutzungsprofile!$B$6:$B$11,"Schulbetrieb",Nutzungsprofile!$G$6:$G$11)*Kalender!C34/SUM(Kalender!$C$5:$C$370),0)+IFERROR(SUMIF(Nutzungsprofile!$B$6:$B$11,"Halle",Nutzungsprofile!$G$6:$G$11)*Kalender!D34/SUM(Kalender!$D$5:$D$370),0)+IFERROR(SUMIF(Nutzungsprofile!$B$6:$B$11,"Individuell",Nutzungsprofile!$G$6:$G$11)*Kalender!E34/SUM(Kalender!$E$5:$E$370),0))*Szenarien!$E$8,0)</f>
        <v>2.352</v>
      </c>
      <c r="D34" s="13" t="n">
        <f aca="false">IF(Szenarien!$H$8="OK",(IFERROR(SUMIF(Nutzungsprofile!$B$17:$B$22,"Schulbetrieb",Nutzungsprofile!$G$17:$G$22)*Kalender!C34/SUM(Kalender!$C$5:$C$370),0)+IFERROR(SUMIF(Nutzungsprofile!$B$17:$B$22,"Halle",Nutzungsprofile!$G$17:$G$22)*Kalender!D34/SUM(Kalender!$D$5:$D$370),0)+IFERROR(SUMIF(Nutzungsprofile!$B$17:$B$22,"Individuell",Nutzungsprofile!$G$17:$G$22)*Kalender!E34/SUM(Kalender!$E$5:$E$370),0))*Szenarien!$D$8,0)</f>
        <v>4.446</v>
      </c>
      <c r="E34" s="13" t="n">
        <f aca="false">IFERROR(MIN(C34,Eingaben!$B$17)*Eingaben!$B$16,0)</f>
        <v>2.2344</v>
      </c>
      <c r="F34" s="13" t="n">
        <f aca="false">IFERROR(E34*Eingaben!$B$15,0)</f>
        <v>2.01096</v>
      </c>
      <c r="G34" s="13" t="n">
        <f aca="false">IFERROR(IF(Kalender!A34="",0,J33*(1-Eingaben!$B$20)),0)</f>
        <v>0.59122224</v>
      </c>
      <c r="H34" s="13" t="n">
        <f aca="false">MIN(G34,D34)</f>
        <v>0.59122224</v>
      </c>
      <c r="I34" s="13" t="n">
        <f aca="false">IFERROR(MIN(F34*Eingaben!$B$19,MAX(0,D34-H34)),0)</f>
        <v>1.407672</v>
      </c>
      <c r="J34" s="13" t="n">
        <f aca="false">IFERROR(MIN(Eingaben!$B$18,MAX(0,F34-I34)),0)</f>
        <v>0.603288</v>
      </c>
      <c r="K34" s="13" t="n">
        <f aca="false">H34+I34</f>
        <v>1.99889424</v>
      </c>
      <c r="L34" s="13" t="n">
        <f aca="false">MAX(0,D34-K34)</f>
        <v>2.44710576</v>
      </c>
      <c r="M34" s="13" t="n">
        <f aca="false">MAX(0,F34-I34-J34)</f>
        <v>0</v>
      </c>
      <c r="N34" s="13" t="n">
        <f aca="false">IF(Kalender!A34="",0,J33-H34)</f>
        <v>0.01206576</v>
      </c>
    </row>
    <row r="35" customFormat="false" ht="16.4" hidden="false" customHeight="false" outlineLevel="0" collapsed="false">
      <c r="A35" s="13" t="str">
        <f aca="false">""</f>
        <v/>
      </c>
      <c r="B35" s="13" t="n">
        <f aca="false">31</f>
        <v>31</v>
      </c>
      <c r="C35" s="13" t="n">
        <f aca="false">IF(Szenarien!$H$8="OK",(IFERROR(SUMIF(Nutzungsprofile!$B$6:$B$11,"Schulbetrieb",Nutzungsprofile!$G$6:$G$11)*Kalender!C35/SUM(Kalender!$C$5:$C$370),0)+IFERROR(SUMIF(Nutzungsprofile!$B$6:$B$11,"Halle",Nutzungsprofile!$G$6:$G$11)*Kalender!D35/SUM(Kalender!$D$5:$D$370),0)+IFERROR(SUMIF(Nutzungsprofile!$B$6:$B$11,"Individuell",Nutzungsprofile!$G$6:$G$11)*Kalender!E35/SUM(Kalender!$E$5:$E$370),0))*Szenarien!$E$8,0)</f>
        <v>1.632</v>
      </c>
      <c r="D35" s="13" t="n">
        <f aca="false">IF(Szenarien!$H$8="OK",(IFERROR(SUMIF(Nutzungsprofile!$B$17:$B$22,"Schulbetrieb",Nutzungsprofile!$G$17:$G$22)*Kalender!C35/SUM(Kalender!$C$5:$C$370),0)+IFERROR(SUMIF(Nutzungsprofile!$B$17:$B$22,"Halle",Nutzungsprofile!$G$17:$G$22)*Kalender!D35/SUM(Kalender!$D$5:$D$370),0)+IFERROR(SUMIF(Nutzungsprofile!$B$17:$B$22,"Individuell",Nutzungsprofile!$G$17:$G$22)*Kalender!E35/SUM(Kalender!$E$5:$E$370),0))*Szenarien!$D$8,0)</f>
        <v>0.801</v>
      </c>
      <c r="E35" s="13" t="n">
        <f aca="false">IFERROR(MIN(C35,Eingaben!$B$17)*Eingaben!$B$16,0)</f>
        <v>1.5504</v>
      </c>
      <c r="F35" s="13" t="n">
        <f aca="false">IFERROR(E35*Eingaben!$B$15,0)</f>
        <v>1.39536</v>
      </c>
      <c r="G35" s="13" t="n">
        <f aca="false">IFERROR(IF(Kalender!A35="",0,J34*(1-Eingaben!$B$20)),0)</f>
        <v>0.59122224</v>
      </c>
      <c r="H35" s="13" t="n">
        <f aca="false">MIN(G35,D35)</f>
        <v>0.59122224</v>
      </c>
      <c r="I35" s="13" t="n">
        <f aca="false">IFERROR(MIN(F35*Eingaben!$B$19,MAX(0,D35-H35)),0)</f>
        <v>0.20977776</v>
      </c>
      <c r="J35" s="13" t="n">
        <f aca="false">IFERROR(MIN(Eingaben!$B$18,MAX(0,F35-I35)),0)</f>
        <v>1.18558224</v>
      </c>
      <c r="K35" s="13" t="n">
        <f aca="false">H35+I35</f>
        <v>0.801</v>
      </c>
      <c r="L35" s="13" t="n">
        <f aca="false">MAX(0,D35-K35)</f>
        <v>0</v>
      </c>
      <c r="M35" s="13" t="n">
        <f aca="false">MAX(0,F35-I35-J35)</f>
        <v>0</v>
      </c>
      <c r="N35" s="13" t="n">
        <f aca="false">IF(Kalender!A35="",0,J34-H35)</f>
        <v>0.01206576</v>
      </c>
    </row>
    <row r="36" customFormat="false" ht="16.4" hidden="false" customHeight="false" outlineLevel="0" collapsed="false">
      <c r="A36" s="13" t="str">
        <f aca="false">""</f>
        <v/>
      </c>
      <c r="B36" s="13" t="n">
        <f aca="false">32</f>
        <v>32</v>
      </c>
      <c r="C36" s="13" t="n">
        <f aca="false">IF(Szenarien!$H$8="OK",(IFERROR(SUMIF(Nutzungsprofile!$B$6:$B$11,"Schulbetrieb",Nutzungsprofile!$G$6:$G$11)*Kalender!C36/SUM(Kalender!$C$5:$C$370),0)+IFERROR(SUMIF(Nutzungsprofile!$B$6:$B$11,"Halle",Nutzungsprofile!$G$6:$G$11)*Kalender!D36/SUM(Kalender!$D$5:$D$370),0)+IFERROR(SUMIF(Nutzungsprofile!$B$6:$B$11,"Individuell",Nutzungsprofile!$G$6:$G$11)*Kalender!E36/SUM(Kalender!$E$5:$E$370),0))*Szenarien!$E$8,0)</f>
        <v>1.632</v>
      </c>
      <c r="D36" s="13" t="n">
        <f aca="false">IF(Szenarien!$H$8="OK",(IFERROR(SUMIF(Nutzungsprofile!$B$17:$B$22,"Schulbetrieb",Nutzungsprofile!$G$17:$G$22)*Kalender!C36/SUM(Kalender!$C$5:$C$370),0)+IFERROR(SUMIF(Nutzungsprofile!$B$17:$B$22,"Halle",Nutzungsprofile!$G$17:$G$22)*Kalender!D36/SUM(Kalender!$D$5:$D$370),0)+IFERROR(SUMIF(Nutzungsprofile!$B$17:$B$22,"Individuell",Nutzungsprofile!$G$17:$G$22)*Kalender!E36/SUM(Kalender!$E$5:$E$370),0))*Szenarien!$D$8,0)</f>
        <v>0.801</v>
      </c>
      <c r="E36" s="13" t="n">
        <f aca="false">IFERROR(MIN(C36,Eingaben!$B$17)*Eingaben!$B$16,0)</f>
        <v>1.5504</v>
      </c>
      <c r="F36" s="13" t="n">
        <f aca="false">IFERROR(E36*Eingaben!$B$15,0)</f>
        <v>1.39536</v>
      </c>
      <c r="G36" s="13" t="n">
        <f aca="false">IFERROR(IF(Kalender!A36="",0,J35*(1-Eingaben!$B$20)),0)</f>
        <v>1.1618705952</v>
      </c>
      <c r="H36" s="13" t="n">
        <f aca="false">MIN(G36,D36)</f>
        <v>0.801</v>
      </c>
      <c r="I36" s="13" t="n">
        <f aca="false">IFERROR(MIN(F36*Eingaben!$B$19,MAX(0,D36-H36)),0)</f>
        <v>0</v>
      </c>
      <c r="J36" s="13" t="n">
        <f aca="false">IFERROR(MIN(Eingaben!$B$18,MAX(0,F36-I36)),0)</f>
        <v>1.39536</v>
      </c>
      <c r="K36" s="13" t="n">
        <f aca="false">H36+I36</f>
        <v>0.801</v>
      </c>
      <c r="L36" s="13" t="n">
        <f aca="false">MAX(0,D36-K36)</f>
        <v>0</v>
      </c>
      <c r="M36" s="13" t="n">
        <f aca="false">MAX(0,F36-I36-J36)</f>
        <v>0</v>
      </c>
      <c r="N36" s="13" t="n">
        <f aca="false">IF(Kalender!A36="",0,J35-H36)</f>
        <v>0.38458224</v>
      </c>
    </row>
    <row r="37" customFormat="false" ht="16.4" hidden="false" customHeight="false" outlineLevel="0" collapsed="false">
      <c r="A37" s="13" t="str">
        <f aca="false">""</f>
        <v/>
      </c>
      <c r="B37" s="13" t="n">
        <f aca="false">33</f>
        <v>33</v>
      </c>
      <c r="C37" s="13" t="n">
        <f aca="false">IF(Szenarien!$H$8="OK",(IFERROR(SUMIF(Nutzungsprofile!$B$6:$B$11,"Schulbetrieb",Nutzungsprofile!$G$6:$G$11)*Kalender!C37/SUM(Kalender!$C$5:$C$370),0)+IFERROR(SUMIF(Nutzungsprofile!$B$6:$B$11,"Halle",Nutzungsprofile!$G$6:$G$11)*Kalender!D37/SUM(Kalender!$D$5:$D$370),0)+IFERROR(SUMIF(Nutzungsprofile!$B$6:$B$11,"Individuell",Nutzungsprofile!$G$6:$G$11)*Kalender!E37/SUM(Kalender!$E$5:$E$370),0))*Szenarien!$E$8,0)</f>
        <v>2.352</v>
      </c>
      <c r="D37" s="13" t="n">
        <f aca="false">IF(Szenarien!$H$8="OK",(IFERROR(SUMIF(Nutzungsprofile!$B$17:$B$22,"Schulbetrieb",Nutzungsprofile!$G$17:$G$22)*Kalender!C37/SUM(Kalender!$C$5:$C$370),0)+IFERROR(SUMIF(Nutzungsprofile!$B$17:$B$22,"Halle",Nutzungsprofile!$G$17:$G$22)*Kalender!D37/SUM(Kalender!$D$5:$D$370),0)+IFERROR(SUMIF(Nutzungsprofile!$B$17:$B$22,"Individuell",Nutzungsprofile!$G$17:$G$22)*Kalender!E37/SUM(Kalender!$E$5:$E$370),0))*Szenarien!$D$8,0)</f>
        <v>4.446</v>
      </c>
      <c r="E37" s="13" t="n">
        <f aca="false">IFERROR(MIN(C37,Eingaben!$B$17)*Eingaben!$B$16,0)</f>
        <v>2.2344</v>
      </c>
      <c r="F37" s="13" t="n">
        <f aca="false">IFERROR(E37*Eingaben!$B$15,0)</f>
        <v>2.01096</v>
      </c>
      <c r="G37" s="13" t="n">
        <f aca="false">IFERROR(IF(Kalender!A37="",0,J36*(1-Eingaben!$B$20)),0)</f>
        <v>1.3674528</v>
      </c>
      <c r="H37" s="13" t="n">
        <f aca="false">MIN(G37,D37)</f>
        <v>1.3674528</v>
      </c>
      <c r="I37" s="13" t="n">
        <f aca="false">IFERROR(MIN(F37*Eingaben!$B$19,MAX(0,D37-H37)),0)</f>
        <v>1.407672</v>
      </c>
      <c r="J37" s="13" t="n">
        <f aca="false">IFERROR(MIN(Eingaben!$B$18,MAX(0,F37-I37)),0)</f>
        <v>0.603288</v>
      </c>
      <c r="K37" s="13" t="n">
        <f aca="false">H37+I37</f>
        <v>2.7751248</v>
      </c>
      <c r="L37" s="13" t="n">
        <f aca="false">MAX(0,D37-K37)</f>
        <v>1.6708752</v>
      </c>
      <c r="M37" s="13" t="n">
        <f aca="false">MAX(0,F37-I37-J37)</f>
        <v>0</v>
      </c>
      <c r="N37" s="13" t="n">
        <f aca="false">IF(Kalender!A37="",0,J36-H37)</f>
        <v>0.0279072</v>
      </c>
    </row>
    <row r="38" customFormat="false" ht="16.4" hidden="false" customHeight="false" outlineLevel="0" collapsed="false">
      <c r="A38" s="13" t="str">
        <f aca="false">""</f>
        <v/>
      </c>
      <c r="B38" s="13" t="n">
        <f aca="false">34</f>
        <v>34</v>
      </c>
      <c r="C38" s="13" t="n">
        <f aca="false">IF(Szenarien!$H$8="OK",(IFERROR(SUMIF(Nutzungsprofile!$B$6:$B$11,"Schulbetrieb",Nutzungsprofile!$G$6:$G$11)*Kalender!C38/SUM(Kalender!$C$5:$C$370),0)+IFERROR(SUMIF(Nutzungsprofile!$B$6:$B$11,"Halle",Nutzungsprofile!$G$6:$G$11)*Kalender!D38/SUM(Kalender!$D$5:$D$370),0)+IFERROR(SUMIF(Nutzungsprofile!$B$6:$B$11,"Individuell",Nutzungsprofile!$G$6:$G$11)*Kalender!E38/SUM(Kalender!$E$5:$E$370),0))*Szenarien!$E$8,0)</f>
        <v>2.352</v>
      </c>
      <c r="D38" s="13" t="n">
        <f aca="false">IF(Szenarien!$H$8="OK",(IFERROR(SUMIF(Nutzungsprofile!$B$17:$B$22,"Schulbetrieb",Nutzungsprofile!$G$17:$G$22)*Kalender!C38/SUM(Kalender!$C$5:$C$370),0)+IFERROR(SUMIF(Nutzungsprofile!$B$17:$B$22,"Halle",Nutzungsprofile!$G$17:$G$22)*Kalender!D38/SUM(Kalender!$D$5:$D$370),0)+IFERROR(SUMIF(Nutzungsprofile!$B$17:$B$22,"Individuell",Nutzungsprofile!$G$17:$G$22)*Kalender!E38/SUM(Kalender!$E$5:$E$370),0))*Szenarien!$D$8,0)</f>
        <v>4.446</v>
      </c>
      <c r="E38" s="13" t="n">
        <f aca="false">IFERROR(MIN(C38,Eingaben!$B$17)*Eingaben!$B$16,0)</f>
        <v>2.2344</v>
      </c>
      <c r="F38" s="13" t="n">
        <f aca="false">IFERROR(E38*Eingaben!$B$15,0)</f>
        <v>2.01096</v>
      </c>
      <c r="G38" s="13" t="n">
        <f aca="false">IFERROR(IF(Kalender!A38="",0,J37*(1-Eingaben!$B$20)),0)</f>
        <v>0.59122224</v>
      </c>
      <c r="H38" s="13" t="n">
        <f aca="false">MIN(G38,D38)</f>
        <v>0.59122224</v>
      </c>
      <c r="I38" s="13" t="n">
        <f aca="false">IFERROR(MIN(F38*Eingaben!$B$19,MAX(0,D38-H38)),0)</f>
        <v>1.407672</v>
      </c>
      <c r="J38" s="13" t="n">
        <f aca="false">IFERROR(MIN(Eingaben!$B$18,MAX(0,F38-I38)),0)</f>
        <v>0.603288</v>
      </c>
      <c r="K38" s="13" t="n">
        <f aca="false">H38+I38</f>
        <v>1.99889424</v>
      </c>
      <c r="L38" s="13" t="n">
        <f aca="false">MAX(0,D38-K38)</f>
        <v>2.44710576</v>
      </c>
      <c r="M38" s="13" t="n">
        <f aca="false">MAX(0,F38-I38-J38)</f>
        <v>0</v>
      </c>
      <c r="N38" s="13" t="n">
        <f aca="false">IF(Kalender!A38="",0,J37-H38)</f>
        <v>0.01206576</v>
      </c>
    </row>
    <row r="39" customFormat="false" ht="16.4" hidden="false" customHeight="false" outlineLevel="0" collapsed="false">
      <c r="A39" s="13" t="str">
        <f aca="false">""</f>
        <v/>
      </c>
      <c r="B39" s="13" t="n">
        <f aca="false">35</f>
        <v>35</v>
      </c>
      <c r="C39" s="13" t="n">
        <f aca="false">IF(Szenarien!$H$8="OK",(IFERROR(SUMIF(Nutzungsprofile!$B$6:$B$11,"Schulbetrieb",Nutzungsprofile!$G$6:$G$11)*Kalender!C39/SUM(Kalender!$C$5:$C$370),0)+IFERROR(SUMIF(Nutzungsprofile!$B$6:$B$11,"Halle",Nutzungsprofile!$G$6:$G$11)*Kalender!D39/SUM(Kalender!$D$5:$D$370),0)+IFERROR(SUMIF(Nutzungsprofile!$B$6:$B$11,"Individuell",Nutzungsprofile!$G$6:$G$11)*Kalender!E39/SUM(Kalender!$E$5:$E$370),0))*Szenarien!$E$8,0)</f>
        <v>2.352</v>
      </c>
      <c r="D39" s="13" t="n">
        <f aca="false">IF(Szenarien!$H$8="OK",(IFERROR(SUMIF(Nutzungsprofile!$B$17:$B$22,"Schulbetrieb",Nutzungsprofile!$G$17:$G$22)*Kalender!C39/SUM(Kalender!$C$5:$C$370),0)+IFERROR(SUMIF(Nutzungsprofile!$B$17:$B$22,"Halle",Nutzungsprofile!$G$17:$G$22)*Kalender!D39/SUM(Kalender!$D$5:$D$370),0)+IFERROR(SUMIF(Nutzungsprofile!$B$17:$B$22,"Individuell",Nutzungsprofile!$G$17:$G$22)*Kalender!E39/SUM(Kalender!$E$5:$E$370),0))*Szenarien!$D$8,0)</f>
        <v>4.446</v>
      </c>
      <c r="E39" s="13" t="n">
        <f aca="false">IFERROR(MIN(C39,Eingaben!$B$17)*Eingaben!$B$16,0)</f>
        <v>2.2344</v>
      </c>
      <c r="F39" s="13" t="n">
        <f aca="false">IFERROR(E39*Eingaben!$B$15,0)</f>
        <v>2.01096</v>
      </c>
      <c r="G39" s="13" t="n">
        <f aca="false">IFERROR(IF(Kalender!A39="",0,J38*(1-Eingaben!$B$20)),0)</f>
        <v>0.59122224</v>
      </c>
      <c r="H39" s="13" t="n">
        <f aca="false">MIN(G39,D39)</f>
        <v>0.59122224</v>
      </c>
      <c r="I39" s="13" t="n">
        <f aca="false">IFERROR(MIN(F39*Eingaben!$B$19,MAX(0,D39-H39)),0)</f>
        <v>1.407672</v>
      </c>
      <c r="J39" s="13" t="n">
        <f aca="false">IFERROR(MIN(Eingaben!$B$18,MAX(0,F39-I39)),0)</f>
        <v>0.603288</v>
      </c>
      <c r="K39" s="13" t="n">
        <f aca="false">H39+I39</f>
        <v>1.99889424</v>
      </c>
      <c r="L39" s="13" t="n">
        <f aca="false">MAX(0,D39-K39)</f>
        <v>2.44710576</v>
      </c>
      <c r="M39" s="13" t="n">
        <f aca="false">MAX(0,F39-I39-J39)</f>
        <v>0</v>
      </c>
      <c r="N39" s="13" t="n">
        <f aca="false">IF(Kalender!A39="",0,J38-H39)</f>
        <v>0.01206576</v>
      </c>
    </row>
    <row r="40" customFormat="false" ht="16.4" hidden="false" customHeight="false" outlineLevel="0" collapsed="false">
      <c r="A40" s="13" t="str">
        <f aca="false">""</f>
        <v/>
      </c>
      <c r="B40" s="13" t="n">
        <f aca="false">36</f>
        <v>36</v>
      </c>
      <c r="C40" s="13" t="n">
        <f aca="false">IF(Szenarien!$H$8="OK",(IFERROR(SUMIF(Nutzungsprofile!$B$6:$B$11,"Schulbetrieb",Nutzungsprofile!$G$6:$G$11)*Kalender!C40/SUM(Kalender!$C$5:$C$370),0)+IFERROR(SUMIF(Nutzungsprofile!$B$6:$B$11,"Halle",Nutzungsprofile!$G$6:$G$11)*Kalender!D40/SUM(Kalender!$D$5:$D$370),0)+IFERROR(SUMIF(Nutzungsprofile!$B$6:$B$11,"Individuell",Nutzungsprofile!$G$6:$G$11)*Kalender!E40/SUM(Kalender!$E$5:$E$370),0))*Szenarien!$E$8,0)</f>
        <v>2.352</v>
      </c>
      <c r="D40" s="13" t="n">
        <f aca="false">IF(Szenarien!$H$8="OK",(IFERROR(SUMIF(Nutzungsprofile!$B$17:$B$22,"Schulbetrieb",Nutzungsprofile!$G$17:$G$22)*Kalender!C40/SUM(Kalender!$C$5:$C$370),0)+IFERROR(SUMIF(Nutzungsprofile!$B$17:$B$22,"Halle",Nutzungsprofile!$G$17:$G$22)*Kalender!D40/SUM(Kalender!$D$5:$D$370),0)+IFERROR(SUMIF(Nutzungsprofile!$B$17:$B$22,"Individuell",Nutzungsprofile!$G$17:$G$22)*Kalender!E40/SUM(Kalender!$E$5:$E$370),0))*Szenarien!$D$8,0)</f>
        <v>4.446</v>
      </c>
      <c r="E40" s="13" t="n">
        <f aca="false">IFERROR(MIN(C40,Eingaben!$B$17)*Eingaben!$B$16,0)</f>
        <v>2.2344</v>
      </c>
      <c r="F40" s="13" t="n">
        <f aca="false">IFERROR(E40*Eingaben!$B$15,0)</f>
        <v>2.01096</v>
      </c>
      <c r="G40" s="13" t="n">
        <f aca="false">IFERROR(IF(Kalender!A40="",0,J39*(1-Eingaben!$B$20)),0)</f>
        <v>0.59122224</v>
      </c>
      <c r="H40" s="13" t="n">
        <f aca="false">MIN(G40,D40)</f>
        <v>0.59122224</v>
      </c>
      <c r="I40" s="13" t="n">
        <f aca="false">IFERROR(MIN(F40*Eingaben!$B$19,MAX(0,D40-H40)),0)</f>
        <v>1.407672</v>
      </c>
      <c r="J40" s="13" t="n">
        <f aca="false">IFERROR(MIN(Eingaben!$B$18,MAX(0,F40-I40)),0)</f>
        <v>0.603288</v>
      </c>
      <c r="K40" s="13" t="n">
        <f aca="false">H40+I40</f>
        <v>1.99889424</v>
      </c>
      <c r="L40" s="13" t="n">
        <f aca="false">MAX(0,D40-K40)</f>
        <v>2.44710576</v>
      </c>
      <c r="M40" s="13" t="n">
        <f aca="false">MAX(0,F40-I40-J40)</f>
        <v>0</v>
      </c>
      <c r="N40" s="13" t="n">
        <f aca="false">IF(Kalender!A40="",0,J39-H40)</f>
        <v>0.01206576</v>
      </c>
    </row>
    <row r="41" customFormat="false" ht="16.4" hidden="false" customHeight="false" outlineLevel="0" collapsed="false">
      <c r="A41" s="13" t="str">
        <f aca="false">""</f>
        <v/>
      </c>
      <c r="B41" s="13" t="n">
        <f aca="false">37</f>
        <v>37</v>
      </c>
      <c r="C41" s="13" t="n">
        <f aca="false">IF(Szenarien!$H$8="OK",(IFERROR(SUMIF(Nutzungsprofile!$B$6:$B$11,"Schulbetrieb",Nutzungsprofile!$G$6:$G$11)*Kalender!C41/SUM(Kalender!$C$5:$C$370),0)+IFERROR(SUMIF(Nutzungsprofile!$B$6:$B$11,"Halle",Nutzungsprofile!$G$6:$G$11)*Kalender!D41/SUM(Kalender!$D$5:$D$370),0)+IFERROR(SUMIF(Nutzungsprofile!$B$6:$B$11,"Individuell",Nutzungsprofile!$G$6:$G$11)*Kalender!E41/SUM(Kalender!$E$5:$E$370),0))*Szenarien!$E$8,0)</f>
        <v>2.352</v>
      </c>
      <c r="D41" s="13" t="n">
        <f aca="false">IF(Szenarien!$H$8="OK",(IFERROR(SUMIF(Nutzungsprofile!$B$17:$B$22,"Schulbetrieb",Nutzungsprofile!$G$17:$G$22)*Kalender!C41/SUM(Kalender!$C$5:$C$370),0)+IFERROR(SUMIF(Nutzungsprofile!$B$17:$B$22,"Halle",Nutzungsprofile!$G$17:$G$22)*Kalender!D41/SUM(Kalender!$D$5:$D$370),0)+IFERROR(SUMIF(Nutzungsprofile!$B$17:$B$22,"Individuell",Nutzungsprofile!$G$17:$G$22)*Kalender!E41/SUM(Kalender!$E$5:$E$370),0))*Szenarien!$D$8,0)</f>
        <v>4.446</v>
      </c>
      <c r="E41" s="13" t="n">
        <f aca="false">IFERROR(MIN(C41,Eingaben!$B$17)*Eingaben!$B$16,0)</f>
        <v>2.2344</v>
      </c>
      <c r="F41" s="13" t="n">
        <f aca="false">IFERROR(E41*Eingaben!$B$15,0)</f>
        <v>2.01096</v>
      </c>
      <c r="G41" s="13" t="n">
        <f aca="false">IFERROR(IF(Kalender!A41="",0,J40*(1-Eingaben!$B$20)),0)</f>
        <v>0.59122224</v>
      </c>
      <c r="H41" s="13" t="n">
        <f aca="false">MIN(G41,D41)</f>
        <v>0.59122224</v>
      </c>
      <c r="I41" s="13" t="n">
        <f aca="false">IFERROR(MIN(F41*Eingaben!$B$19,MAX(0,D41-H41)),0)</f>
        <v>1.407672</v>
      </c>
      <c r="J41" s="13" t="n">
        <f aca="false">IFERROR(MIN(Eingaben!$B$18,MAX(0,F41-I41)),0)</f>
        <v>0.603288</v>
      </c>
      <c r="K41" s="13" t="n">
        <f aca="false">H41+I41</f>
        <v>1.99889424</v>
      </c>
      <c r="L41" s="13" t="n">
        <f aca="false">MAX(0,D41-K41)</f>
        <v>2.44710576</v>
      </c>
      <c r="M41" s="13" t="n">
        <f aca="false">MAX(0,F41-I41-J41)</f>
        <v>0</v>
      </c>
      <c r="N41" s="13" t="n">
        <f aca="false">IF(Kalender!A41="",0,J40-H41)</f>
        <v>0.01206576</v>
      </c>
    </row>
    <row r="42" customFormat="false" ht="16.4" hidden="false" customHeight="false" outlineLevel="0" collapsed="false">
      <c r="A42" s="13" t="str">
        <f aca="false">""</f>
        <v/>
      </c>
      <c r="B42" s="13" t="n">
        <f aca="false">38</f>
        <v>38</v>
      </c>
      <c r="C42" s="13" t="n">
        <f aca="false">IF(Szenarien!$H$8="OK",(IFERROR(SUMIF(Nutzungsprofile!$B$6:$B$11,"Schulbetrieb",Nutzungsprofile!$G$6:$G$11)*Kalender!C42/SUM(Kalender!$C$5:$C$370),0)+IFERROR(SUMIF(Nutzungsprofile!$B$6:$B$11,"Halle",Nutzungsprofile!$G$6:$G$11)*Kalender!D42/SUM(Kalender!$D$5:$D$370),0)+IFERROR(SUMIF(Nutzungsprofile!$B$6:$B$11,"Individuell",Nutzungsprofile!$G$6:$G$11)*Kalender!E42/SUM(Kalender!$E$5:$E$370),0))*Szenarien!$E$8,0)</f>
        <v>1.632</v>
      </c>
      <c r="D42" s="13" t="n">
        <f aca="false">IF(Szenarien!$H$8="OK",(IFERROR(SUMIF(Nutzungsprofile!$B$17:$B$22,"Schulbetrieb",Nutzungsprofile!$G$17:$G$22)*Kalender!C42/SUM(Kalender!$C$5:$C$370),0)+IFERROR(SUMIF(Nutzungsprofile!$B$17:$B$22,"Halle",Nutzungsprofile!$G$17:$G$22)*Kalender!D42/SUM(Kalender!$D$5:$D$370),0)+IFERROR(SUMIF(Nutzungsprofile!$B$17:$B$22,"Individuell",Nutzungsprofile!$G$17:$G$22)*Kalender!E42/SUM(Kalender!$E$5:$E$370),0))*Szenarien!$D$8,0)</f>
        <v>0.801</v>
      </c>
      <c r="E42" s="13" t="n">
        <f aca="false">IFERROR(MIN(C42,Eingaben!$B$17)*Eingaben!$B$16,0)</f>
        <v>1.5504</v>
      </c>
      <c r="F42" s="13" t="n">
        <f aca="false">IFERROR(E42*Eingaben!$B$15,0)</f>
        <v>1.39536</v>
      </c>
      <c r="G42" s="13" t="n">
        <f aca="false">IFERROR(IF(Kalender!A42="",0,J41*(1-Eingaben!$B$20)),0)</f>
        <v>0.59122224</v>
      </c>
      <c r="H42" s="13" t="n">
        <f aca="false">MIN(G42,D42)</f>
        <v>0.59122224</v>
      </c>
      <c r="I42" s="13" t="n">
        <f aca="false">IFERROR(MIN(F42*Eingaben!$B$19,MAX(0,D42-H42)),0)</f>
        <v>0.20977776</v>
      </c>
      <c r="J42" s="13" t="n">
        <f aca="false">IFERROR(MIN(Eingaben!$B$18,MAX(0,F42-I42)),0)</f>
        <v>1.18558224</v>
      </c>
      <c r="K42" s="13" t="n">
        <f aca="false">H42+I42</f>
        <v>0.801</v>
      </c>
      <c r="L42" s="13" t="n">
        <f aca="false">MAX(0,D42-K42)</f>
        <v>0</v>
      </c>
      <c r="M42" s="13" t="n">
        <f aca="false">MAX(0,F42-I42-J42)</f>
        <v>0</v>
      </c>
      <c r="N42" s="13" t="n">
        <f aca="false">IF(Kalender!A42="",0,J41-H42)</f>
        <v>0.01206576</v>
      </c>
    </row>
    <row r="43" customFormat="false" ht="16.4" hidden="false" customHeight="false" outlineLevel="0" collapsed="false">
      <c r="A43" s="13" t="str">
        <f aca="false">""</f>
        <v/>
      </c>
      <c r="B43" s="13" t="n">
        <f aca="false">39</f>
        <v>39</v>
      </c>
      <c r="C43" s="13" t="n">
        <f aca="false">IF(Szenarien!$H$8="OK",(IFERROR(SUMIF(Nutzungsprofile!$B$6:$B$11,"Schulbetrieb",Nutzungsprofile!$G$6:$G$11)*Kalender!C43/SUM(Kalender!$C$5:$C$370),0)+IFERROR(SUMIF(Nutzungsprofile!$B$6:$B$11,"Halle",Nutzungsprofile!$G$6:$G$11)*Kalender!D43/SUM(Kalender!$D$5:$D$370),0)+IFERROR(SUMIF(Nutzungsprofile!$B$6:$B$11,"Individuell",Nutzungsprofile!$G$6:$G$11)*Kalender!E43/SUM(Kalender!$E$5:$E$370),0))*Szenarien!$E$8,0)</f>
        <v>1.632</v>
      </c>
      <c r="D43" s="13" t="n">
        <f aca="false">IF(Szenarien!$H$8="OK",(IFERROR(SUMIF(Nutzungsprofile!$B$17:$B$22,"Schulbetrieb",Nutzungsprofile!$G$17:$G$22)*Kalender!C43/SUM(Kalender!$C$5:$C$370),0)+IFERROR(SUMIF(Nutzungsprofile!$B$17:$B$22,"Halle",Nutzungsprofile!$G$17:$G$22)*Kalender!D43/SUM(Kalender!$D$5:$D$370),0)+IFERROR(SUMIF(Nutzungsprofile!$B$17:$B$22,"Individuell",Nutzungsprofile!$G$17:$G$22)*Kalender!E43/SUM(Kalender!$E$5:$E$370),0))*Szenarien!$D$8,0)</f>
        <v>0.801</v>
      </c>
      <c r="E43" s="13" t="n">
        <f aca="false">IFERROR(MIN(C43,Eingaben!$B$17)*Eingaben!$B$16,0)</f>
        <v>1.5504</v>
      </c>
      <c r="F43" s="13" t="n">
        <f aca="false">IFERROR(E43*Eingaben!$B$15,0)</f>
        <v>1.39536</v>
      </c>
      <c r="G43" s="13" t="n">
        <f aca="false">IFERROR(IF(Kalender!A43="",0,J42*(1-Eingaben!$B$20)),0)</f>
        <v>1.1618705952</v>
      </c>
      <c r="H43" s="13" t="n">
        <f aca="false">MIN(G43,D43)</f>
        <v>0.801</v>
      </c>
      <c r="I43" s="13" t="n">
        <f aca="false">IFERROR(MIN(F43*Eingaben!$B$19,MAX(0,D43-H43)),0)</f>
        <v>0</v>
      </c>
      <c r="J43" s="13" t="n">
        <f aca="false">IFERROR(MIN(Eingaben!$B$18,MAX(0,F43-I43)),0)</f>
        <v>1.39536</v>
      </c>
      <c r="K43" s="13" t="n">
        <f aca="false">H43+I43</f>
        <v>0.801</v>
      </c>
      <c r="L43" s="13" t="n">
        <f aca="false">MAX(0,D43-K43)</f>
        <v>0</v>
      </c>
      <c r="M43" s="13" t="n">
        <f aca="false">MAX(0,F43-I43-J43)</f>
        <v>0</v>
      </c>
      <c r="N43" s="13" t="n">
        <f aca="false">IF(Kalender!A43="",0,J42-H43)</f>
        <v>0.38458224</v>
      </c>
    </row>
    <row r="44" customFormat="false" ht="16.4" hidden="false" customHeight="false" outlineLevel="0" collapsed="false">
      <c r="A44" s="13" t="str">
        <f aca="false">""</f>
        <v/>
      </c>
      <c r="B44" s="13" t="n">
        <f aca="false">40</f>
        <v>40</v>
      </c>
      <c r="C44" s="13" t="n">
        <f aca="false">IF(Szenarien!$H$8="OK",(IFERROR(SUMIF(Nutzungsprofile!$B$6:$B$11,"Schulbetrieb",Nutzungsprofile!$G$6:$G$11)*Kalender!C44/SUM(Kalender!$C$5:$C$370),0)+IFERROR(SUMIF(Nutzungsprofile!$B$6:$B$11,"Halle",Nutzungsprofile!$G$6:$G$11)*Kalender!D44/SUM(Kalender!$D$5:$D$370),0)+IFERROR(SUMIF(Nutzungsprofile!$B$6:$B$11,"Individuell",Nutzungsprofile!$G$6:$G$11)*Kalender!E44/SUM(Kalender!$E$5:$E$370),0))*Szenarien!$E$8,0)</f>
        <v>2.352</v>
      </c>
      <c r="D44" s="13" t="n">
        <f aca="false">IF(Szenarien!$H$8="OK",(IFERROR(SUMIF(Nutzungsprofile!$B$17:$B$22,"Schulbetrieb",Nutzungsprofile!$G$17:$G$22)*Kalender!C44/SUM(Kalender!$C$5:$C$370),0)+IFERROR(SUMIF(Nutzungsprofile!$B$17:$B$22,"Halle",Nutzungsprofile!$G$17:$G$22)*Kalender!D44/SUM(Kalender!$D$5:$D$370),0)+IFERROR(SUMIF(Nutzungsprofile!$B$17:$B$22,"Individuell",Nutzungsprofile!$G$17:$G$22)*Kalender!E44/SUM(Kalender!$E$5:$E$370),0))*Szenarien!$D$8,0)</f>
        <v>4.446</v>
      </c>
      <c r="E44" s="13" t="n">
        <f aca="false">IFERROR(MIN(C44,Eingaben!$B$17)*Eingaben!$B$16,0)</f>
        <v>2.2344</v>
      </c>
      <c r="F44" s="13" t="n">
        <f aca="false">IFERROR(E44*Eingaben!$B$15,0)</f>
        <v>2.01096</v>
      </c>
      <c r="G44" s="13" t="n">
        <f aca="false">IFERROR(IF(Kalender!A44="",0,J43*(1-Eingaben!$B$20)),0)</f>
        <v>1.3674528</v>
      </c>
      <c r="H44" s="13" t="n">
        <f aca="false">MIN(G44,D44)</f>
        <v>1.3674528</v>
      </c>
      <c r="I44" s="13" t="n">
        <f aca="false">IFERROR(MIN(F44*Eingaben!$B$19,MAX(0,D44-H44)),0)</f>
        <v>1.407672</v>
      </c>
      <c r="J44" s="13" t="n">
        <f aca="false">IFERROR(MIN(Eingaben!$B$18,MAX(0,F44-I44)),0)</f>
        <v>0.603288</v>
      </c>
      <c r="K44" s="13" t="n">
        <f aca="false">H44+I44</f>
        <v>2.7751248</v>
      </c>
      <c r="L44" s="13" t="n">
        <f aca="false">MAX(0,D44-K44)</f>
        <v>1.6708752</v>
      </c>
      <c r="M44" s="13" t="n">
        <f aca="false">MAX(0,F44-I44-J44)</f>
        <v>0</v>
      </c>
      <c r="N44" s="13" t="n">
        <f aca="false">IF(Kalender!A44="",0,J43-H44)</f>
        <v>0.0279072</v>
      </c>
    </row>
    <row r="45" customFormat="false" ht="16.4" hidden="false" customHeight="false" outlineLevel="0" collapsed="false">
      <c r="A45" s="13" t="str">
        <f aca="false">""</f>
        <v/>
      </c>
      <c r="B45" s="13" t="n">
        <f aca="false">41</f>
        <v>41</v>
      </c>
      <c r="C45" s="13" t="n">
        <f aca="false">IF(Szenarien!$H$8="OK",(IFERROR(SUMIF(Nutzungsprofile!$B$6:$B$11,"Schulbetrieb",Nutzungsprofile!$G$6:$G$11)*Kalender!C45/SUM(Kalender!$C$5:$C$370),0)+IFERROR(SUMIF(Nutzungsprofile!$B$6:$B$11,"Halle",Nutzungsprofile!$G$6:$G$11)*Kalender!D45/SUM(Kalender!$D$5:$D$370),0)+IFERROR(SUMIF(Nutzungsprofile!$B$6:$B$11,"Individuell",Nutzungsprofile!$G$6:$G$11)*Kalender!E45/SUM(Kalender!$E$5:$E$370),0))*Szenarien!$E$8,0)</f>
        <v>2.352</v>
      </c>
      <c r="D45" s="13" t="n">
        <f aca="false">IF(Szenarien!$H$8="OK",(IFERROR(SUMIF(Nutzungsprofile!$B$17:$B$22,"Schulbetrieb",Nutzungsprofile!$G$17:$G$22)*Kalender!C45/SUM(Kalender!$C$5:$C$370),0)+IFERROR(SUMIF(Nutzungsprofile!$B$17:$B$22,"Halle",Nutzungsprofile!$G$17:$G$22)*Kalender!D45/SUM(Kalender!$D$5:$D$370),0)+IFERROR(SUMIF(Nutzungsprofile!$B$17:$B$22,"Individuell",Nutzungsprofile!$G$17:$G$22)*Kalender!E45/SUM(Kalender!$E$5:$E$370),0))*Szenarien!$D$8,0)</f>
        <v>4.446</v>
      </c>
      <c r="E45" s="13" t="n">
        <f aca="false">IFERROR(MIN(C45,Eingaben!$B$17)*Eingaben!$B$16,0)</f>
        <v>2.2344</v>
      </c>
      <c r="F45" s="13" t="n">
        <f aca="false">IFERROR(E45*Eingaben!$B$15,0)</f>
        <v>2.01096</v>
      </c>
      <c r="G45" s="13" t="n">
        <f aca="false">IFERROR(IF(Kalender!A45="",0,J44*(1-Eingaben!$B$20)),0)</f>
        <v>0.59122224</v>
      </c>
      <c r="H45" s="13" t="n">
        <f aca="false">MIN(G45,D45)</f>
        <v>0.59122224</v>
      </c>
      <c r="I45" s="13" t="n">
        <f aca="false">IFERROR(MIN(F45*Eingaben!$B$19,MAX(0,D45-H45)),0)</f>
        <v>1.407672</v>
      </c>
      <c r="J45" s="13" t="n">
        <f aca="false">IFERROR(MIN(Eingaben!$B$18,MAX(0,F45-I45)),0)</f>
        <v>0.603288</v>
      </c>
      <c r="K45" s="13" t="n">
        <f aca="false">H45+I45</f>
        <v>1.99889424</v>
      </c>
      <c r="L45" s="13" t="n">
        <f aca="false">MAX(0,D45-K45)</f>
        <v>2.44710576</v>
      </c>
      <c r="M45" s="13" t="n">
        <f aca="false">MAX(0,F45-I45-J45)</f>
        <v>0</v>
      </c>
      <c r="N45" s="13" t="n">
        <f aca="false">IF(Kalender!A45="",0,J44-H45)</f>
        <v>0.01206576</v>
      </c>
    </row>
    <row r="46" customFormat="false" ht="16.4" hidden="false" customHeight="false" outlineLevel="0" collapsed="false">
      <c r="A46" s="13" t="str">
        <f aca="false">""</f>
        <v/>
      </c>
      <c r="B46" s="13" t="n">
        <f aca="false">42</f>
        <v>42</v>
      </c>
      <c r="C46" s="13" t="n">
        <f aca="false">IF(Szenarien!$H$8="OK",(IFERROR(SUMIF(Nutzungsprofile!$B$6:$B$11,"Schulbetrieb",Nutzungsprofile!$G$6:$G$11)*Kalender!C46/SUM(Kalender!$C$5:$C$370),0)+IFERROR(SUMIF(Nutzungsprofile!$B$6:$B$11,"Halle",Nutzungsprofile!$G$6:$G$11)*Kalender!D46/SUM(Kalender!$D$5:$D$370),0)+IFERROR(SUMIF(Nutzungsprofile!$B$6:$B$11,"Individuell",Nutzungsprofile!$G$6:$G$11)*Kalender!E46/SUM(Kalender!$E$5:$E$370),0))*Szenarien!$E$8,0)</f>
        <v>2.352</v>
      </c>
      <c r="D46" s="13" t="n">
        <f aca="false">IF(Szenarien!$H$8="OK",(IFERROR(SUMIF(Nutzungsprofile!$B$17:$B$22,"Schulbetrieb",Nutzungsprofile!$G$17:$G$22)*Kalender!C46/SUM(Kalender!$C$5:$C$370),0)+IFERROR(SUMIF(Nutzungsprofile!$B$17:$B$22,"Halle",Nutzungsprofile!$G$17:$G$22)*Kalender!D46/SUM(Kalender!$D$5:$D$370),0)+IFERROR(SUMIF(Nutzungsprofile!$B$17:$B$22,"Individuell",Nutzungsprofile!$G$17:$G$22)*Kalender!E46/SUM(Kalender!$E$5:$E$370),0))*Szenarien!$D$8,0)</f>
        <v>4.446</v>
      </c>
      <c r="E46" s="13" t="n">
        <f aca="false">IFERROR(MIN(C46,Eingaben!$B$17)*Eingaben!$B$16,0)</f>
        <v>2.2344</v>
      </c>
      <c r="F46" s="13" t="n">
        <f aca="false">IFERROR(E46*Eingaben!$B$15,0)</f>
        <v>2.01096</v>
      </c>
      <c r="G46" s="13" t="n">
        <f aca="false">IFERROR(IF(Kalender!A46="",0,J45*(1-Eingaben!$B$20)),0)</f>
        <v>0.59122224</v>
      </c>
      <c r="H46" s="13" t="n">
        <f aca="false">MIN(G46,D46)</f>
        <v>0.59122224</v>
      </c>
      <c r="I46" s="13" t="n">
        <f aca="false">IFERROR(MIN(F46*Eingaben!$B$19,MAX(0,D46-H46)),0)</f>
        <v>1.407672</v>
      </c>
      <c r="J46" s="13" t="n">
        <f aca="false">IFERROR(MIN(Eingaben!$B$18,MAX(0,F46-I46)),0)</f>
        <v>0.603288</v>
      </c>
      <c r="K46" s="13" t="n">
        <f aca="false">H46+I46</f>
        <v>1.99889424</v>
      </c>
      <c r="L46" s="13" t="n">
        <f aca="false">MAX(0,D46-K46)</f>
        <v>2.44710576</v>
      </c>
      <c r="M46" s="13" t="n">
        <f aca="false">MAX(0,F46-I46-J46)</f>
        <v>0</v>
      </c>
      <c r="N46" s="13" t="n">
        <f aca="false">IF(Kalender!A46="",0,J45-H46)</f>
        <v>0.01206576</v>
      </c>
    </row>
    <row r="47" customFormat="false" ht="16.4" hidden="false" customHeight="false" outlineLevel="0" collapsed="false">
      <c r="A47" s="13" t="str">
        <f aca="false">""</f>
        <v/>
      </c>
      <c r="B47" s="13" t="n">
        <f aca="false">43</f>
        <v>43</v>
      </c>
      <c r="C47" s="13" t="n">
        <f aca="false">IF(Szenarien!$H$8="OK",(IFERROR(SUMIF(Nutzungsprofile!$B$6:$B$11,"Schulbetrieb",Nutzungsprofile!$G$6:$G$11)*Kalender!C47/SUM(Kalender!$C$5:$C$370),0)+IFERROR(SUMIF(Nutzungsprofile!$B$6:$B$11,"Halle",Nutzungsprofile!$G$6:$G$11)*Kalender!D47/SUM(Kalender!$D$5:$D$370),0)+IFERROR(SUMIF(Nutzungsprofile!$B$6:$B$11,"Individuell",Nutzungsprofile!$G$6:$G$11)*Kalender!E47/SUM(Kalender!$E$5:$E$370),0))*Szenarien!$E$8,0)</f>
        <v>2.352</v>
      </c>
      <c r="D47" s="13" t="n">
        <f aca="false">IF(Szenarien!$H$8="OK",(IFERROR(SUMIF(Nutzungsprofile!$B$17:$B$22,"Schulbetrieb",Nutzungsprofile!$G$17:$G$22)*Kalender!C47/SUM(Kalender!$C$5:$C$370),0)+IFERROR(SUMIF(Nutzungsprofile!$B$17:$B$22,"Halle",Nutzungsprofile!$G$17:$G$22)*Kalender!D47/SUM(Kalender!$D$5:$D$370),0)+IFERROR(SUMIF(Nutzungsprofile!$B$17:$B$22,"Individuell",Nutzungsprofile!$G$17:$G$22)*Kalender!E47/SUM(Kalender!$E$5:$E$370),0))*Szenarien!$D$8,0)</f>
        <v>4.446</v>
      </c>
      <c r="E47" s="13" t="n">
        <f aca="false">IFERROR(MIN(C47,Eingaben!$B$17)*Eingaben!$B$16,0)</f>
        <v>2.2344</v>
      </c>
      <c r="F47" s="13" t="n">
        <f aca="false">IFERROR(E47*Eingaben!$B$15,0)</f>
        <v>2.01096</v>
      </c>
      <c r="G47" s="13" t="n">
        <f aca="false">IFERROR(IF(Kalender!A47="",0,J46*(1-Eingaben!$B$20)),0)</f>
        <v>0.59122224</v>
      </c>
      <c r="H47" s="13" t="n">
        <f aca="false">MIN(G47,D47)</f>
        <v>0.59122224</v>
      </c>
      <c r="I47" s="13" t="n">
        <f aca="false">IFERROR(MIN(F47*Eingaben!$B$19,MAX(0,D47-H47)),0)</f>
        <v>1.407672</v>
      </c>
      <c r="J47" s="13" t="n">
        <f aca="false">IFERROR(MIN(Eingaben!$B$18,MAX(0,F47-I47)),0)</f>
        <v>0.603288</v>
      </c>
      <c r="K47" s="13" t="n">
        <f aca="false">H47+I47</f>
        <v>1.99889424</v>
      </c>
      <c r="L47" s="13" t="n">
        <f aca="false">MAX(0,D47-K47)</f>
        <v>2.44710576</v>
      </c>
      <c r="M47" s="13" t="n">
        <f aca="false">MAX(0,F47-I47-J47)</f>
        <v>0</v>
      </c>
      <c r="N47" s="13" t="n">
        <f aca="false">IF(Kalender!A47="",0,J46-H47)</f>
        <v>0.01206576</v>
      </c>
    </row>
    <row r="48" customFormat="false" ht="16.4" hidden="false" customHeight="false" outlineLevel="0" collapsed="false">
      <c r="A48" s="13" t="str">
        <f aca="false">""</f>
        <v/>
      </c>
      <c r="B48" s="13" t="n">
        <f aca="false">44</f>
        <v>44</v>
      </c>
      <c r="C48" s="13" t="n">
        <f aca="false">IF(Szenarien!$H$8="OK",(IFERROR(SUMIF(Nutzungsprofile!$B$6:$B$11,"Schulbetrieb",Nutzungsprofile!$G$6:$G$11)*Kalender!C48/SUM(Kalender!$C$5:$C$370),0)+IFERROR(SUMIF(Nutzungsprofile!$B$6:$B$11,"Halle",Nutzungsprofile!$G$6:$G$11)*Kalender!D48/SUM(Kalender!$D$5:$D$370),0)+IFERROR(SUMIF(Nutzungsprofile!$B$6:$B$11,"Individuell",Nutzungsprofile!$G$6:$G$11)*Kalender!E48/SUM(Kalender!$E$5:$E$370),0))*Szenarien!$E$8,0)</f>
        <v>2.352</v>
      </c>
      <c r="D48" s="13" t="n">
        <f aca="false">IF(Szenarien!$H$8="OK",(IFERROR(SUMIF(Nutzungsprofile!$B$17:$B$22,"Schulbetrieb",Nutzungsprofile!$G$17:$G$22)*Kalender!C48/SUM(Kalender!$C$5:$C$370),0)+IFERROR(SUMIF(Nutzungsprofile!$B$17:$B$22,"Halle",Nutzungsprofile!$G$17:$G$22)*Kalender!D48/SUM(Kalender!$D$5:$D$370),0)+IFERROR(SUMIF(Nutzungsprofile!$B$17:$B$22,"Individuell",Nutzungsprofile!$G$17:$G$22)*Kalender!E48/SUM(Kalender!$E$5:$E$370),0))*Szenarien!$D$8,0)</f>
        <v>4.446</v>
      </c>
      <c r="E48" s="13" t="n">
        <f aca="false">IFERROR(MIN(C48,Eingaben!$B$17)*Eingaben!$B$16,0)</f>
        <v>2.2344</v>
      </c>
      <c r="F48" s="13" t="n">
        <f aca="false">IFERROR(E48*Eingaben!$B$15,0)</f>
        <v>2.01096</v>
      </c>
      <c r="G48" s="13" t="n">
        <f aca="false">IFERROR(IF(Kalender!A48="",0,J47*(1-Eingaben!$B$20)),0)</f>
        <v>0.59122224</v>
      </c>
      <c r="H48" s="13" t="n">
        <f aca="false">MIN(G48,D48)</f>
        <v>0.59122224</v>
      </c>
      <c r="I48" s="13" t="n">
        <f aca="false">IFERROR(MIN(F48*Eingaben!$B$19,MAX(0,D48-H48)),0)</f>
        <v>1.407672</v>
      </c>
      <c r="J48" s="13" t="n">
        <f aca="false">IFERROR(MIN(Eingaben!$B$18,MAX(0,F48-I48)),0)</f>
        <v>0.603288</v>
      </c>
      <c r="K48" s="13" t="n">
        <f aca="false">H48+I48</f>
        <v>1.99889424</v>
      </c>
      <c r="L48" s="13" t="n">
        <f aca="false">MAX(0,D48-K48)</f>
        <v>2.44710576</v>
      </c>
      <c r="M48" s="13" t="n">
        <f aca="false">MAX(0,F48-I48-J48)</f>
        <v>0</v>
      </c>
      <c r="N48" s="13" t="n">
        <f aca="false">IF(Kalender!A48="",0,J47-H48)</f>
        <v>0.01206576</v>
      </c>
    </row>
    <row r="49" customFormat="false" ht="16.4" hidden="false" customHeight="false" outlineLevel="0" collapsed="false">
      <c r="A49" s="13" t="str">
        <f aca="false">""</f>
        <v/>
      </c>
      <c r="B49" s="13" t="n">
        <f aca="false">45</f>
        <v>45</v>
      </c>
      <c r="C49" s="13" t="n">
        <f aca="false">IF(Szenarien!$H$8="OK",(IFERROR(SUMIF(Nutzungsprofile!$B$6:$B$11,"Schulbetrieb",Nutzungsprofile!$G$6:$G$11)*Kalender!C49/SUM(Kalender!$C$5:$C$370),0)+IFERROR(SUMIF(Nutzungsprofile!$B$6:$B$11,"Halle",Nutzungsprofile!$G$6:$G$11)*Kalender!D49/SUM(Kalender!$D$5:$D$370),0)+IFERROR(SUMIF(Nutzungsprofile!$B$6:$B$11,"Individuell",Nutzungsprofile!$G$6:$G$11)*Kalender!E49/SUM(Kalender!$E$5:$E$370),0))*Szenarien!$E$8,0)</f>
        <v>1.632</v>
      </c>
      <c r="D49" s="13" t="n">
        <f aca="false">IF(Szenarien!$H$8="OK",(IFERROR(SUMIF(Nutzungsprofile!$B$17:$B$22,"Schulbetrieb",Nutzungsprofile!$G$17:$G$22)*Kalender!C49/SUM(Kalender!$C$5:$C$370),0)+IFERROR(SUMIF(Nutzungsprofile!$B$17:$B$22,"Halle",Nutzungsprofile!$G$17:$G$22)*Kalender!D49/SUM(Kalender!$D$5:$D$370),0)+IFERROR(SUMIF(Nutzungsprofile!$B$17:$B$22,"Individuell",Nutzungsprofile!$G$17:$G$22)*Kalender!E49/SUM(Kalender!$E$5:$E$370),0))*Szenarien!$D$8,0)</f>
        <v>0.801</v>
      </c>
      <c r="E49" s="13" t="n">
        <f aca="false">IFERROR(MIN(C49,Eingaben!$B$17)*Eingaben!$B$16,0)</f>
        <v>1.5504</v>
      </c>
      <c r="F49" s="13" t="n">
        <f aca="false">IFERROR(E49*Eingaben!$B$15,0)</f>
        <v>1.39536</v>
      </c>
      <c r="G49" s="13" t="n">
        <f aca="false">IFERROR(IF(Kalender!A49="",0,J48*(1-Eingaben!$B$20)),0)</f>
        <v>0.59122224</v>
      </c>
      <c r="H49" s="13" t="n">
        <f aca="false">MIN(G49,D49)</f>
        <v>0.59122224</v>
      </c>
      <c r="I49" s="13" t="n">
        <f aca="false">IFERROR(MIN(F49*Eingaben!$B$19,MAX(0,D49-H49)),0)</f>
        <v>0.20977776</v>
      </c>
      <c r="J49" s="13" t="n">
        <f aca="false">IFERROR(MIN(Eingaben!$B$18,MAX(0,F49-I49)),0)</f>
        <v>1.18558224</v>
      </c>
      <c r="K49" s="13" t="n">
        <f aca="false">H49+I49</f>
        <v>0.801</v>
      </c>
      <c r="L49" s="13" t="n">
        <f aca="false">MAX(0,D49-K49)</f>
        <v>0</v>
      </c>
      <c r="M49" s="13" t="n">
        <f aca="false">MAX(0,F49-I49-J49)</f>
        <v>0</v>
      </c>
      <c r="N49" s="13" t="n">
        <f aca="false">IF(Kalender!A49="",0,J48-H49)</f>
        <v>0.01206576</v>
      </c>
    </row>
    <row r="50" customFormat="false" ht="16.4" hidden="false" customHeight="false" outlineLevel="0" collapsed="false">
      <c r="A50" s="13" t="str">
        <f aca="false">""</f>
        <v/>
      </c>
      <c r="B50" s="13" t="n">
        <f aca="false">46</f>
        <v>46</v>
      </c>
      <c r="C50" s="13" t="n">
        <f aca="false">IF(Szenarien!$H$8="OK",(IFERROR(SUMIF(Nutzungsprofile!$B$6:$B$11,"Schulbetrieb",Nutzungsprofile!$G$6:$G$11)*Kalender!C50/SUM(Kalender!$C$5:$C$370),0)+IFERROR(SUMIF(Nutzungsprofile!$B$6:$B$11,"Halle",Nutzungsprofile!$G$6:$G$11)*Kalender!D50/SUM(Kalender!$D$5:$D$370),0)+IFERROR(SUMIF(Nutzungsprofile!$B$6:$B$11,"Individuell",Nutzungsprofile!$G$6:$G$11)*Kalender!E50/SUM(Kalender!$E$5:$E$370),0))*Szenarien!$E$8,0)</f>
        <v>1.632</v>
      </c>
      <c r="D50" s="13" t="n">
        <f aca="false">IF(Szenarien!$H$8="OK",(IFERROR(SUMIF(Nutzungsprofile!$B$17:$B$22,"Schulbetrieb",Nutzungsprofile!$G$17:$G$22)*Kalender!C50/SUM(Kalender!$C$5:$C$370),0)+IFERROR(SUMIF(Nutzungsprofile!$B$17:$B$22,"Halle",Nutzungsprofile!$G$17:$G$22)*Kalender!D50/SUM(Kalender!$D$5:$D$370),0)+IFERROR(SUMIF(Nutzungsprofile!$B$17:$B$22,"Individuell",Nutzungsprofile!$G$17:$G$22)*Kalender!E50/SUM(Kalender!$E$5:$E$370),0))*Szenarien!$D$8,0)</f>
        <v>0.801</v>
      </c>
      <c r="E50" s="13" t="n">
        <f aca="false">IFERROR(MIN(C50,Eingaben!$B$17)*Eingaben!$B$16,0)</f>
        <v>1.5504</v>
      </c>
      <c r="F50" s="13" t="n">
        <f aca="false">IFERROR(E50*Eingaben!$B$15,0)</f>
        <v>1.39536</v>
      </c>
      <c r="G50" s="13" t="n">
        <f aca="false">IFERROR(IF(Kalender!A50="",0,J49*(1-Eingaben!$B$20)),0)</f>
        <v>1.1618705952</v>
      </c>
      <c r="H50" s="13" t="n">
        <f aca="false">MIN(G50,D50)</f>
        <v>0.801</v>
      </c>
      <c r="I50" s="13" t="n">
        <f aca="false">IFERROR(MIN(F50*Eingaben!$B$19,MAX(0,D50-H50)),0)</f>
        <v>0</v>
      </c>
      <c r="J50" s="13" t="n">
        <f aca="false">IFERROR(MIN(Eingaben!$B$18,MAX(0,F50-I50)),0)</f>
        <v>1.39536</v>
      </c>
      <c r="K50" s="13" t="n">
        <f aca="false">H50+I50</f>
        <v>0.801</v>
      </c>
      <c r="L50" s="13" t="n">
        <f aca="false">MAX(0,D50-K50)</f>
        <v>0</v>
      </c>
      <c r="M50" s="13" t="n">
        <f aca="false">MAX(0,F50-I50-J50)</f>
        <v>0</v>
      </c>
      <c r="N50" s="13" t="n">
        <f aca="false">IF(Kalender!A50="",0,J49-H50)</f>
        <v>0.38458224</v>
      </c>
    </row>
    <row r="51" customFormat="false" ht="16.4" hidden="false" customHeight="false" outlineLevel="0" collapsed="false">
      <c r="A51" s="13" t="str">
        <f aca="false">""</f>
        <v/>
      </c>
      <c r="B51" s="13" t="n">
        <f aca="false">47</f>
        <v>47</v>
      </c>
      <c r="C51" s="13" t="n">
        <f aca="false">IF(Szenarien!$H$8="OK",(IFERROR(SUMIF(Nutzungsprofile!$B$6:$B$11,"Schulbetrieb",Nutzungsprofile!$G$6:$G$11)*Kalender!C51/SUM(Kalender!$C$5:$C$370),0)+IFERROR(SUMIF(Nutzungsprofile!$B$6:$B$11,"Halle",Nutzungsprofile!$G$6:$G$11)*Kalender!D51/SUM(Kalender!$D$5:$D$370),0)+IFERROR(SUMIF(Nutzungsprofile!$B$6:$B$11,"Individuell",Nutzungsprofile!$G$6:$G$11)*Kalender!E51/SUM(Kalender!$E$5:$E$370),0))*Szenarien!$E$8,0)</f>
        <v>2.352</v>
      </c>
      <c r="D51" s="13" t="n">
        <f aca="false">IF(Szenarien!$H$8="OK",(IFERROR(SUMIF(Nutzungsprofile!$B$17:$B$22,"Schulbetrieb",Nutzungsprofile!$G$17:$G$22)*Kalender!C51/SUM(Kalender!$C$5:$C$370),0)+IFERROR(SUMIF(Nutzungsprofile!$B$17:$B$22,"Halle",Nutzungsprofile!$G$17:$G$22)*Kalender!D51/SUM(Kalender!$D$5:$D$370),0)+IFERROR(SUMIF(Nutzungsprofile!$B$17:$B$22,"Individuell",Nutzungsprofile!$G$17:$G$22)*Kalender!E51/SUM(Kalender!$E$5:$E$370),0))*Szenarien!$D$8,0)</f>
        <v>4.446</v>
      </c>
      <c r="E51" s="13" t="n">
        <f aca="false">IFERROR(MIN(C51,Eingaben!$B$17)*Eingaben!$B$16,0)</f>
        <v>2.2344</v>
      </c>
      <c r="F51" s="13" t="n">
        <f aca="false">IFERROR(E51*Eingaben!$B$15,0)</f>
        <v>2.01096</v>
      </c>
      <c r="G51" s="13" t="n">
        <f aca="false">IFERROR(IF(Kalender!A51="",0,J50*(1-Eingaben!$B$20)),0)</f>
        <v>1.3674528</v>
      </c>
      <c r="H51" s="13" t="n">
        <f aca="false">MIN(G51,D51)</f>
        <v>1.3674528</v>
      </c>
      <c r="I51" s="13" t="n">
        <f aca="false">IFERROR(MIN(F51*Eingaben!$B$19,MAX(0,D51-H51)),0)</f>
        <v>1.407672</v>
      </c>
      <c r="J51" s="13" t="n">
        <f aca="false">IFERROR(MIN(Eingaben!$B$18,MAX(0,F51-I51)),0)</f>
        <v>0.603288</v>
      </c>
      <c r="K51" s="13" t="n">
        <f aca="false">H51+I51</f>
        <v>2.7751248</v>
      </c>
      <c r="L51" s="13" t="n">
        <f aca="false">MAX(0,D51-K51)</f>
        <v>1.6708752</v>
      </c>
      <c r="M51" s="13" t="n">
        <f aca="false">MAX(0,F51-I51-J51)</f>
        <v>0</v>
      </c>
      <c r="N51" s="13" t="n">
        <f aca="false">IF(Kalender!A51="",0,J50-H51)</f>
        <v>0.0279072</v>
      </c>
    </row>
    <row r="52" customFormat="false" ht="16.4" hidden="false" customHeight="false" outlineLevel="0" collapsed="false">
      <c r="A52" s="13" t="str">
        <f aca="false">""</f>
        <v/>
      </c>
      <c r="B52" s="13" t="n">
        <f aca="false">48</f>
        <v>48</v>
      </c>
      <c r="C52" s="13" t="n">
        <f aca="false">IF(Szenarien!$H$8="OK",(IFERROR(SUMIF(Nutzungsprofile!$B$6:$B$11,"Schulbetrieb",Nutzungsprofile!$G$6:$G$11)*Kalender!C52/SUM(Kalender!$C$5:$C$370),0)+IFERROR(SUMIF(Nutzungsprofile!$B$6:$B$11,"Halle",Nutzungsprofile!$G$6:$G$11)*Kalender!D52/SUM(Kalender!$D$5:$D$370),0)+IFERROR(SUMIF(Nutzungsprofile!$B$6:$B$11,"Individuell",Nutzungsprofile!$G$6:$G$11)*Kalender!E52/SUM(Kalender!$E$5:$E$370),0))*Szenarien!$E$8,0)</f>
        <v>2.352</v>
      </c>
      <c r="D52" s="13" t="n">
        <f aca="false">IF(Szenarien!$H$8="OK",(IFERROR(SUMIF(Nutzungsprofile!$B$17:$B$22,"Schulbetrieb",Nutzungsprofile!$G$17:$G$22)*Kalender!C52/SUM(Kalender!$C$5:$C$370),0)+IFERROR(SUMIF(Nutzungsprofile!$B$17:$B$22,"Halle",Nutzungsprofile!$G$17:$G$22)*Kalender!D52/SUM(Kalender!$D$5:$D$370),0)+IFERROR(SUMIF(Nutzungsprofile!$B$17:$B$22,"Individuell",Nutzungsprofile!$G$17:$G$22)*Kalender!E52/SUM(Kalender!$E$5:$E$370),0))*Szenarien!$D$8,0)</f>
        <v>4.446</v>
      </c>
      <c r="E52" s="13" t="n">
        <f aca="false">IFERROR(MIN(C52,Eingaben!$B$17)*Eingaben!$B$16,0)</f>
        <v>2.2344</v>
      </c>
      <c r="F52" s="13" t="n">
        <f aca="false">IFERROR(E52*Eingaben!$B$15,0)</f>
        <v>2.01096</v>
      </c>
      <c r="G52" s="13" t="n">
        <f aca="false">IFERROR(IF(Kalender!A52="",0,J51*(1-Eingaben!$B$20)),0)</f>
        <v>0.59122224</v>
      </c>
      <c r="H52" s="13" t="n">
        <f aca="false">MIN(G52,D52)</f>
        <v>0.59122224</v>
      </c>
      <c r="I52" s="13" t="n">
        <f aca="false">IFERROR(MIN(F52*Eingaben!$B$19,MAX(0,D52-H52)),0)</f>
        <v>1.407672</v>
      </c>
      <c r="J52" s="13" t="n">
        <f aca="false">IFERROR(MIN(Eingaben!$B$18,MAX(0,F52-I52)),0)</f>
        <v>0.603288</v>
      </c>
      <c r="K52" s="13" t="n">
        <f aca="false">H52+I52</f>
        <v>1.99889424</v>
      </c>
      <c r="L52" s="13" t="n">
        <f aca="false">MAX(0,D52-K52)</f>
        <v>2.44710576</v>
      </c>
      <c r="M52" s="13" t="n">
        <f aca="false">MAX(0,F52-I52-J52)</f>
        <v>0</v>
      </c>
      <c r="N52" s="13" t="n">
        <f aca="false">IF(Kalender!A52="",0,J51-H52)</f>
        <v>0.01206576</v>
      </c>
    </row>
    <row r="53" customFormat="false" ht="16.4" hidden="false" customHeight="false" outlineLevel="0" collapsed="false">
      <c r="A53" s="13" t="str">
        <f aca="false">""</f>
        <v/>
      </c>
      <c r="B53" s="13" t="n">
        <f aca="false">49</f>
        <v>49</v>
      </c>
      <c r="C53" s="13" t="n">
        <f aca="false">IF(Szenarien!$H$8="OK",(IFERROR(SUMIF(Nutzungsprofile!$B$6:$B$11,"Schulbetrieb",Nutzungsprofile!$G$6:$G$11)*Kalender!C53/SUM(Kalender!$C$5:$C$370),0)+IFERROR(SUMIF(Nutzungsprofile!$B$6:$B$11,"Halle",Nutzungsprofile!$G$6:$G$11)*Kalender!D53/SUM(Kalender!$D$5:$D$370),0)+IFERROR(SUMIF(Nutzungsprofile!$B$6:$B$11,"Individuell",Nutzungsprofile!$G$6:$G$11)*Kalender!E53/SUM(Kalender!$E$5:$E$370),0))*Szenarien!$E$8,0)</f>
        <v>2.352</v>
      </c>
      <c r="D53" s="13" t="n">
        <f aca="false">IF(Szenarien!$H$8="OK",(IFERROR(SUMIF(Nutzungsprofile!$B$17:$B$22,"Schulbetrieb",Nutzungsprofile!$G$17:$G$22)*Kalender!C53/SUM(Kalender!$C$5:$C$370),0)+IFERROR(SUMIF(Nutzungsprofile!$B$17:$B$22,"Halle",Nutzungsprofile!$G$17:$G$22)*Kalender!D53/SUM(Kalender!$D$5:$D$370),0)+IFERROR(SUMIF(Nutzungsprofile!$B$17:$B$22,"Individuell",Nutzungsprofile!$G$17:$G$22)*Kalender!E53/SUM(Kalender!$E$5:$E$370),0))*Szenarien!$D$8,0)</f>
        <v>4.446</v>
      </c>
      <c r="E53" s="13" t="n">
        <f aca="false">IFERROR(MIN(C53,Eingaben!$B$17)*Eingaben!$B$16,0)</f>
        <v>2.2344</v>
      </c>
      <c r="F53" s="13" t="n">
        <f aca="false">IFERROR(E53*Eingaben!$B$15,0)</f>
        <v>2.01096</v>
      </c>
      <c r="G53" s="13" t="n">
        <f aca="false">IFERROR(IF(Kalender!A53="",0,J52*(1-Eingaben!$B$20)),0)</f>
        <v>0.59122224</v>
      </c>
      <c r="H53" s="13" t="n">
        <f aca="false">MIN(G53,D53)</f>
        <v>0.59122224</v>
      </c>
      <c r="I53" s="13" t="n">
        <f aca="false">IFERROR(MIN(F53*Eingaben!$B$19,MAX(0,D53-H53)),0)</f>
        <v>1.407672</v>
      </c>
      <c r="J53" s="13" t="n">
        <f aca="false">IFERROR(MIN(Eingaben!$B$18,MAX(0,F53-I53)),0)</f>
        <v>0.603288</v>
      </c>
      <c r="K53" s="13" t="n">
        <f aca="false">H53+I53</f>
        <v>1.99889424</v>
      </c>
      <c r="L53" s="13" t="n">
        <f aca="false">MAX(0,D53-K53)</f>
        <v>2.44710576</v>
      </c>
      <c r="M53" s="13" t="n">
        <f aca="false">MAX(0,F53-I53-J53)</f>
        <v>0</v>
      </c>
      <c r="N53" s="13" t="n">
        <f aca="false">IF(Kalender!A53="",0,J52-H53)</f>
        <v>0.01206576</v>
      </c>
    </row>
    <row r="54" customFormat="false" ht="16.4" hidden="false" customHeight="false" outlineLevel="0" collapsed="false">
      <c r="A54" s="13" t="str">
        <f aca="false">""</f>
        <v/>
      </c>
      <c r="B54" s="13" t="n">
        <f aca="false">50</f>
        <v>50</v>
      </c>
      <c r="C54" s="13" t="n">
        <f aca="false">IF(Szenarien!$H$8="OK",(IFERROR(SUMIF(Nutzungsprofile!$B$6:$B$11,"Schulbetrieb",Nutzungsprofile!$G$6:$G$11)*Kalender!C54/SUM(Kalender!$C$5:$C$370),0)+IFERROR(SUMIF(Nutzungsprofile!$B$6:$B$11,"Halle",Nutzungsprofile!$G$6:$G$11)*Kalender!D54/SUM(Kalender!$D$5:$D$370),0)+IFERROR(SUMIF(Nutzungsprofile!$B$6:$B$11,"Individuell",Nutzungsprofile!$G$6:$G$11)*Kalender!E54/SUM(Kalender!$E$5:$E$370),0))*Szenarien!$E$8,0)</f>
        <v>2.352</v>
      </c>
      <c r="D54" s="13" t="n">
        <f aca="false">IF(Szenarien!$H$8="OK",(IFERROR(SUMIF(Nutzungsprofile!$B$17:$B$22,"Schulbetrieb",Nutzungsprofile!$G$17:$G$22)*Kalender!C54/SUM(Kalender!$C$5:$C$370),0)+IFERROR(SUMIF(Nutzungsprofile!$B$17:$B$22,"Halle",Nutzungsprofile!$G$17:$G$22)*Kalender!D54/SUM(Kalender!$D$5:$D$370),0)+IFERROR(SUMIF(Nutzungsprofile!$B$17:$B$22,"Individuell",Nutzungsprofile!$G$17:$G$22)*Kalender!E54/SUM(Kalender!$E$5:$E$370),0))*Szenarien!$D$8,0)</f>
        <v>4.446</v>
      </c>
      <c r="E54" s="13" t="n">
        <f aca="false">IFERROR(MIN(C54,Eingaben!$B$17)*Eingaben!$B$16,0)</f>
        <v>2.2344</v>
      </c>
      <c r="F54" s="13" t="n">
        <f aca="false">IFERROR(E54*Eingaben!$B$15,0)</f>
        <v>2.01096</v>
      </c>
      <c r="G54" s="13" t="n">
        <f aca="false">IFERROR(IF(Kalender!A54="",0,J53*(1-Eingaben!$B$20)),0)</f>
        <v>0.59122224</v>
      </c>
      <c r="H54" s="13" t="n">
        <f aca="false">MIN(G54,D54)</f>
        <v>0.59122224</v>
      </c>
      <c r="I54" s="13" t="n">
        <f aca="false">IFERROR(MIN(F54*Eingaben!$B$19,MAX(0,D54-H54)),0)</f>
        <v>1.407672</v>
      </c>
      <c r="J54" s="13" t="n">
        <f aca="false">IFERROR(MIN(Eingaben!$B$18,MAX(0,F54-I54)),0)</f>
        <v>0.603288</v>
      </c>
      <c r="K54" s="13" t="n">
        <f aca="false">H54+I54</f>
        <v>1.99889424</v>
      </c>
      <c r="L54" s="13" t="n">
        <f aca="false">MAX(0,D54-K54)</f>
        <v>2.44710576</v>
      </c>
      <c r="M54" s="13" t="n">
        <f aca="false">MAX(0,F54-I54-J54)</f>
        <v>0</v>
      </c>
      <c r="N54" s="13" t="n">
        <f aca="false">IF(Kalender!A54="",0,J53-H54)</f>
        <v>0.01206576</v>
      </c>
    </row>
    <row r="55" customFormat="false" ht="16.4" hidden="false" customHeight="false" outlineLevel="0" collapsed="false">
      <c r="A55" s="13" t="str">
        <f aca="false">""</f>
        <v/>
      </c>
      <c r="B55" s="13" t="n">
        <f aca="false">51</f>
        <v>51</v>
      </c>
      <c r="C55" s="13" t="n">
        <f aca="false">IF(Szenarien!$H$8="OK",(IFERROR(SUMIF(Nutzungsprofile!$B$6:$B$11,"Schulbetrieb",Nutzungsprofile!$G$6:$G$11)*Kalender!C55/SUM(Kalender!$C$5:$C$370),0)+IFERROR(SUMIF(Nutzungsprofile!$B$6:$B$11,"Halle",Nutzungsprofile!$G$6:$G$11)*Kalender!D55/SUM(Kalender!$D$5:$D$370),0)+IFERROR(SUMIF(Nutzungsprofile!$B$6:$B$11,"Individuell",Nutzungsprofile!$G$6:$G$11)*Kalender!E55/SUM(Kalender!$E$5:$E$370),0))*Szenarien!$E$8,0)</f>
        <v>2.352</v>
      </c>
      <c r="D55" s="13" t="n">
        <f aca="false">IF(Szenarien!$H$8="OK",(IFERROR(SUMIF(Nutzungsprofile!$B$17:$B$22,"Schulbetrieb",Nutzungsprofile!$G$17:$G$22)*Kalender!C55/SUM(Kalender!$C$5:$C$370),0)+IFERROR(SUMIF(Nutzungsprofile!$B$17:$B$22,"Halle",Nutzungsprofile!$G$17:$G$22)*Kalender!D55/SUM(Kalender!$D$5:$D$370),0)+IFERROR(SUMIF(Nutzungsprofile!$B$17:$B$22,"Individuell",Nutzungsprofile!$G$17:$G$22)*Kalender!E55/SUM(Kalender!$E$5:$E$370),0))*Szenarien!$D$8,0)</f>
        <v>4.446</v>
      </c>
      <c r="E55" s="13" t="n">
        <f aca="false">IFERROR(MIN(C55,Eingaben!$B$17)*Eingaben!$B$16,0)</f>
        <v>2.2344</v>
      </c>
      <c r="F55" s="13" t="n">
        <f aca="false">IFERROR(E55*Eingaben!$B$15,0)</f>
        <v>2.01096</v>
      </c>
      <c r="G55" s="13" t="n">
        <f aca="false">IFERROR(IF(Kalender!A55="",0,J54*(1-Eingaben!$B$20)),0)</f>
        <v>0.59122224</v>
      </c>
      <c r="H55" s="13" t="n">
        <f aca="false">MIN(G55,D55)</f>
        <v>0.59122224</v>
      </c>
      <c r="I55" s="13" t="n">
        <f aca="false">IFERROR(MIN(F55*Eingaben!$B$19,MAX(0,D55-H55)),0)</f>
        <v>1.407672</v>
      </c>
      <c r="J55" s="13" t="n">
        <f aca="false">IFERROR(MIN(Eingaben!$B$18,MAX(0,F55-I55)),0)</f>
        <v>0.603288</v>
      </c>
      <c r="K55" s="13" t="n">
        <f aca="false">H55+I55</f>
        <v>1.99889424</v>
      </c>
      <c r="L55" s="13" t="n">
        <f aca="false">MAX(0,D55-K55)</f>
        <v>2.44710576</v>
      </c>
      <c r="M55" s="13" t="n">
        <f aca="false">MAX(0,F55-I55-J55)</f>
        <v>0</v>
      </c>
      <c r="N55" s="13" t="n">
        <f aca="false">IF(Kalender!A55="",0,J54-H55)</f>
        <v>0.01206576</v>
      </c>
    </row>
    <row r="56" customFormat="false" ht="16.4" hidden="false" customHeight="false" outlineLevel="0" collapsed="false">
      <c r="A56" s="13" t="str">
        <f aca="false">""</f>
        <v/>
      </c>
      <c r="B56" s="13" t="n">
        <f aca="false">52</f>
        <v>52</v>
      </c>
      <c r="C56" s="13" t="n">
        <f aca="false">IF(Szenarien!$H$8="OK",(IFERROR(SUMIF(Nutzungsprofile!$B$6:$B$11,"Schulbetrieb",Nutzungsprofile!$G$6:$G$11)*Kalender!C56/SUM(Kalender!$C$5:$C$370),0)+IFERROR(SUMIF(Nutzungsprofile!$B$6:$B$11,"Halle",Nutzungsprofile!$G$6:$G$11)*Kalender!D56/SUM(Kalender!$D$5:$D$370),0)+IFERROR(SUMIF(Nutzungsprofile!$B$6:$B$11,"Individuell",Nutzungsprofile!$G$6:$G$11)*Kalender!E56/SUM(Kalender!$E$5:$E$370),0))*Szenarien!$E$8,0)</f>
        <v>1.632</v>
      </c>
      <c r="D56" s="13" t="n">
        <f aca="false">IF(Szenarien!$H$8="OK",(IFERROR(SUMIF(Nutzungsprofile!$B$17:$B$22,"Schulbetrieb",Nutzungsprofile!$G$17:$G$22)*Kalender!C56/SUM(Kalender!$C$5:$C$370),0)+IFERROR(SUMIF(Nutzungsprofile!$B$17:$B$22,"Halle",Nutzungsprofile!$G$17:$G$22)*Kalender!D56/SUM(Kalender!$D$5:$D$370),0)+IFERROR(SUMIF(Nutzungsprofile!$B$17:$B$22,"Individuell",Nutzungsprofile!$G$17:$G$22)*Kalender!E56/SUM(Kalender!$E$5:$E$370),0))*Szenarien!$D$8,0)</f>
        <v>0.801</v>
      </c>
      <c r="E56" s="13" t="n">
        <f aca="false">IFERROR(MIN(C56,Eingaben!$B$17)*Eingaben!$B$16,0)</f>
        <v>1.5504</v>
      </c>
      <c r="F56" s="13" t="n">
        <f aca="false">IFERROR(E56*Eingaben!$B$15,0)</f>
        <v>1.39536</v>
      </c>
      <c r="G56" s="13" t="n">
        <f aca="false">IFERROR(IF(Kalender!A56="",0,J55*(1-Eingaben!$B$20)),0)</f>
        <v>0.59122224</v>
      </c>
      <c r="H56" s="13" t="n">
        <f aca="false">MIN(G56,D56)</f>
        <v>0.59122224</v>
      </c>
      <c r="I56" s="13" t="n">
        <f aca="false">IFERROR(MIN(F56*Eingaben!$B$19,MAX(0,D56-H56)),0)</f>
        <v>0.20977776</v>
      </c>
      <c r="J56" s="13" t="n">
        <f aca="false">IFERROR(MIN(Eingaben!$B$18,MAX(0,F56-I56)),0)</f>
        <v>1.18558224</v>
      </c>
      <c r="K56" s="13" t="n">
        <f aca="false">H56+I56</f>
        <v>0.801</v>
      </c>
      <c r="L56" s="13" t="n">
        <f aca="false">MAX(0,D56-K56)</f>
        <v>0</v>
      </c>
      <c r="M56" s="13" t="n">
        <f aca="false">MAX(0,F56-I56-J56)</f>
        <v>0</v>
      </c>
      <c r="N56" s="13" t="n">
        <f aca="false">IF(Kalender!A56="",0,J55-H56)</f>
        <v>0.01206576</v>
      </c>
    </row>
    <row r="57" customFormat="false" ht="16.4" hidden="false" customHeight="false" outlineLevel="0" collapsed="false">
      <c r="A57" s="13" t="str">
        <f aca="false">""</f>
        <v/>
      </c>
      <c r="B57" s="13" t="n">
        <f aca="false">53</f>
        <v>53</v>
      </c>
      <c r="C57" s="13" t="n">
        <f aca="false">IF(Szenarien!$H$8="OK",(IFERROR(SUMIF(Nutzungsprofile!$B$6:$B$11,"Schulbetrieb",Nutzungsprofile!$G$6:$G$11)*Kalender!C57/SUM(Kalender!$C$5:$C$370),0)+IFERROR(SUMIF(Nutzungsprofile!$B$6:$B$11,"Halle",Nutzungsprofile!$G$6:$G$11)*Kalender!D57/SUM(Kalender!$D$5:$D$370),0)+IFERROR(SUMIF(Nutzungsprofile!$B$6:$B$11,"Individuell",Nutzungsprofile!$G$6:$G$11)*Kalender!E57/SUM(Kalender!$E$5:$E$370),0))*Szenarien!$E$8,0)</f>
        <v>1.632</v>
      </c>
      <c r="D57" s="13" t="n">
        <f aca="false">IF(Szenarien!$H$8="OK",(IFERROR(SUMIF(Nutzungsprofile!$B$17:$B$22,"Schulbetrieb",Nutzungsprofile!$G$17:$G$22)*Kalender!C57/SUM(Kalender!$C$5:$C$370),0)+IFERROR(SUMIF(Nutzungsprofile!$B$17:$B$22,"Halle",Nutzungsprofile!$G$17:$G$22)*Kalender!D57/SUM(Kalender!$D$5:$D$370),0)+IFERROR(SUMIF(Nutzungsprofile!$B$17:$B$22,"Individuell",Nutzungsprofile!$G$17:$G$22)*Kalender!E57/SUM(Kalender!$E$5:$E$370),0))*Szenarien!$D$8,0)</f>
        <v>0.801</v>
      </c>
      <c r="E57" s="13" t="n">
        <f aca="false">IFERROR(MIN(C57,Eingaben!$B$17)*Eingaben!$B$16,0)</f>
        <v>1.5504</v>
      </c>
      <c r="F57" s="13" t="n">
        <f aca="false">IFERROR(E57*Eingaben!$B$15,0)</f>
        <v>1.39536</v>
      </c>
      <c r="G57" s="13" t="n">
        <f aca="false">IFERROR(IF(Kalender!A57="",0,J56*(1-Eingaben!$B$20)),0)</f>
        <v>1.1618705952</v>
      </c>
      <c r="H57" s="13" t="n">
        <f aca="false">MIN(G57,D57)</f>
        <v>0.801</v>
      </c>
      <c r="I57" s="13" t="n">
        <f aca="false">IFERROR(MIN(F57*Eingaben!$B$19,MAX(0,D57-H57)),0)</f>
        <v>0</v>
      </c>
      <c r="J57" s="13" t="n">
        <f aca="false">IFERROR(MIN(Eingaben!$B$18,MAX(0,F57-I57)),0)</f>
        <v>1.39536</v>
      </c>
      <c r="K57" s="13" t="n">
        <f aca="false">H57+I57</f>
        <v>0.801</v>
      </c>
      <c r="L57" s="13" t="n">
        <f aca="false">MAX(0,D57-K57)</f>
        <v>0</v>
      </c>
      <c r="M57" s="13" t="n">
        <f aca="false">MAX(0,F57-I57-J57)</f>
        <v>0</v>
      </c>
      <c r="N57" s="13" t="n">
        <f aca="false">IF(Kalender!A57="",0,J56-H57)</f>
        <v>0.38458224</v>
      </c>
    </row>
    <row r="58" customFormat="false" ht="16.4" hidden="false" customHeight="false" outlineLevel="0" collapsed="false">
      <c r="A58" s="13" t="str">
        <f aca="false">""</f>
        <v/>
      </c>
      <c r="B58" s="13" t="n">
        <f aca="false">54</f>
        <v>54</v>
      </c>
      <c r="C58" s="13" t="n">
        <f aca="false">IF(Szenarien!$H$8="OK",(IFERROR(SUMIF(Nutzungsprofile!$B$6:$B$11,"Schulbetrieb",Nutzungsprofile!$G$6:$G$11)*Kalender!C58/SUM(Kalender!$C$5:$C$370),0)+IFERROR(SUMIF(Nutzungsprofile!$B$6:$B$11,"Halle",Nutzungsprofile!$G$6:$G$11)*Kalender!D58/SUM(Kalender!$D$5:$D$370),0)+IFERROR(SUMIF(Nutzungsprofile!$B$6:$B$11,"Individuell",Nutzungsprofile!$G$6:$G$11)*Kalender!E58/SUM(Kalender!$E$5:$E$370),0))*Szenarien!$E$8,0)</f>
        <v>2.352</v>
      </c>
      <c r="D58" s="13" t="n">
        <f aca="false">IF(Szenarien!$H$8="OK",(IFERROR(SUMIF(Nutzungsprofile!$B$17:$B$22,"Schulbetrieb",Nutzungsprofile!$G$17:$G$22)*Kalender!C58/SUM(Kalender!$C$5:$C$370),0)+IFERROR(SUMIF(Nutzungsprofile!$B$17:$B$22,"Halle",Nutzungsprofile!$G$17:$G$22)*Kalender!D58/SUM(Kalender!$D$5:$D$370),0)+IFERROR(SUMIF(Nutzungsprofile!$B$17:$B$22,"Individuell",Nutzungsprofile!$G$17:$G$22)*Kalender!E58/SUM(Kalender!$E$5:$E$370),0))*Szenarien!$D$8,0)</f>
        <v>4.446</v>
      </c>
      <c r="E58" s="13" t="n">
        <f aca="false">IFERROR(MIN(C58,Eingaben!$B$17)*Eingaben!$B$16,0)</f>
        <v>2.2344</v>
      </c>
      <c r="F58" s="13" t="n">
        <f aca="false">IFERROR(E58*Eingaben!$B$15,0)</f>
        <v>2.01096</v>
      </c>
      <c r="G58" s="13" t="n">
        <f aca="false">IFERROR(IF(Kalender!A58="",0,J57*(1-Eingaben!$B$20)),0)</f>
        <v>1.3674528</v>
      </c>
      <c r="H58" s="13" t="n">
        <f aca="false">MIN(G58,D58)</f>
        <v>1.3674528</v>
      </c>
      <c r="I58" s="13" t="n">
        <f aca="false">IFERROR(MIN(F58*Eingaben!$B$19,MAX(0,D58-H58)),0)</f>
        <v>1.407672</v>
      </c>
      <c r="J58" s="13" t="n">
        <f aca="false">IFERROR(MIN(Eingaben!$B$18,MAX(0,F58-I58)),0)</f>
        <v>0.603288</v>
      </c>
      <c r="K58" s="13" t="n">
        <f aca="false">H58+I58</f>
        <v>2.7751248</v>
      </c>
      <c r="L58" s="13" t="n">
        <f aca="false">MAX(0,D58-K58)</f>
        <v>1.6708752</v>
      </c>
      <c r="M58" s="13" t="n">
        <f aca="false">MAX(0,F58-I58-J58)</f>
        <v>0</v>
      </c>
      <c r="N58" s="13" t="n">
        <f aca="false">IF(Kalender!A58="",0,J57-H58)</f>
        <v>0.0279072</v>
      </c>
    </row>
    <row r="59" customFormat="false" ht="16.4" hidden="false" customHeight="false" outlineLevel="0" collapsed="false">
      <c r="A59" s="13" t="str">
        <f aca="false">""</f>
        <v/>
      </c>
      <c r="B59" s="13" t="n">
        <f aca="false">55</f>
        <v>55</v>
      </c>
      <c r="C59" s="13" t="n">
        <f aca="false">IF(Szenarien!$H$8="OK",(IFERROR(SUMIF(Nutzungsprofile!$B$6:$B$11,"Schulbetrieb",Nutzungsprofile!$G$6:$G$11)*Kalender!C59/SUM(Kalender!$C$5:$C$370),0)+IFERROR(SUMIF(Nutzungsprofile!$B$6:$B$11,"Halle",Nutzungsprofile!$G$6:$G$11)*Kalender!D59/SUM(Kalender!$D$5:$D$370),0)+IFERROR(SUMIF(Nutzungsprofile!$B$6:$B$11,"Individuell",Nutzungsprofile!$G$6:$G$11)*Kalender!E59/SUM(Kalender!$E$5:$E$370),0))*Szenarien!$E$8,0)</f>
        <v>2.352</v>
      </c>
      <c r="D59" s="13" t="n">
        <f aca="false">IF(Szenarien!$H$8="OK",(IFERROR(SUMIF(Nutzungsprofile!$B$17:$B$22,"Schulbetrieb",Nutzungsprofile!$G$17:$G$22)*Kalender!C59/SUM(Kalender!$C$5:$C$370),0)+IFERROR(SUMIF(Nutzungsprofile!$B$17:$B$22,"Halle",Nutzungsprofile!$G$17:$G$22)*Kalender!D59/SUM(Kalender!$D$5:$D$370),0)+IFERROR(SUMIF(Nutzungsprofile!$B$17:$B$22,"Individuell",Nutzungsprofile!$G$17:$G$22)*Kalender!E59/SUM(Kalender!$E$5:$E$370),0))*Szenarien!$D$8,0)</f>
        <v>4.446</v>
      </c>
      <c r="E59" s="13" t="n">
        <f aca="false">IFERROR(MIN(C59,Eingaben!$B$17)*Eingaben!$B$16,0)</f>
        <v>2.2344</v>
      </c>
      <c r="F59" s="13" t="n">
        <f aca="false">IFERROR(E59*Eingaben!$B$15,0)</f>
        <v>2.01096</v>
      </c>
      <c r="G59" s="13" t="n">
        <f aca="false">IFERROR(IF(Kalender!A59="",0,J58*(1-Eingaben!$B$20)),0)</f>
        <v>0.59122224</v>
      </c>
      <c r="H59" s="13" t="n">
        <f aca="false">MIN(G59,D59)</f>
        <v>0.59122224</v>
      </c>
      <c r="I59" s="13" t="n">
        <f aca="false">IFERROR(MIN(F59*Eingaben!$B$19,MAX(0,D59-H59)),0)</f>
        <v>1.407672</v>
      </c>
      <c r="J59" s="13" t="n">
        <f aca="false">IFERROR(MIN(Eingaben!$B$18,MAX(0,F59-I59)),0)</f>
        <v>0.603288</v>
      </c>
      <c r="K59" s="13" t="n">
        <f aca="false">H59+I59</f>
        <v>1.99889424</v>
      </c>
      <c r="L59" s="13" t="n">
        <f aca="false">MAX(0,D59-K59)</f>
        <v>2.44710576</v>
      </c>
      <c r="M59" s="13" t="n">
        <f aca="false">MAX(0,F59-I59-J59)</f>
        <v>0</v>
      </c>
      <c r="N59" s="13" t="n">
        <f aca="false">IF(Kalender!A59="",0,J58-H59)</f>
        <v>0.01206576</v>
      </c>
    </row>
    <row r="60" customFormat="false" ht="16.4" hidden="false" customHeight="false" outlineLevel="0" collapsed="false">
      <c r="A60" s="13" t="str">
        <f aca="false">""</f>
        <v/>
      </c>
      <c r="B60" s="13" t="n">
        <f aca="false">56</f>
        <v>56</v>
      </c>
      <c r="C60" s="13" t="n">
        <f aca="false">IF(Szenarien!$H$8="OK",(IFERROR(SUMIF(Nutzungsprofile!$B$6:$B$11,"Schulbetrieb",Nutzungsprofile!$G$6:$G$11)*Kalender!C60/SUM(Kalender!$C$5:$C$370),0)+IFERROR(SUMIF(Nutzungsprofile!$B$6:$B$11,"Halle",Nutzungsprofile!$G$6:$G$11)*Kalender!D60/SUM(Kalender!$D$5:$D$370),0)+IFERROR(SUMIF(Nutzungsprofile!$B$6:$B$11,"Individuell",Nutzungsprofile!$G$6:$G$11)*Kalender!E60/SUM(Kalender!$E$5:$E$370),0))*Szenarien!$E$8,0)</f>
        <v>2.352</v>
      </c>
      <c r="D60" s="13" t="n">
        <f aca="false">IF(Szenarien!$H$8="OK",(IFERROR(SUMIF(Nutzungsprofile!$B$17:$B$22,"Schulbetrieb",Nutzungsprofile!$G$17:$G$22)*Kalender!C60/SUM(Kalender!$C$5:$C$370),0)+IFERROR(SUMIF(Nutzungsprofile!$B$17:$B$22,"Halle",Nutzungsprofile!$G$17:$G$22)*Kalender!D60/SUM(Kalender!$D$5:$D$370),0)+IFERROR(SUMIF(Nutzungsprofile!$B$17:$B$22,"Individuell",Nutzungsprofile!$G$17:$G$22)*Kalender!E60/SUM(Kalender!$E$5:$E$370),0))*Szenarien!$D$8,0)</f>
        <v>4.446</v>
      </c>
      <c r="E60" s="13" t="n">
        <f aca="false">IFERROR(MIN(C60,Eingaben!$B$17)*Eingaben!$B$16,0)</f>
        <v>2.2344</v>
      </c>
      <c r="F60" s="13" t="n">
        <f aca="false">IFERROR(E60*Eingaben!$B$15,0)</f>
        <v>2.01096</v>
      </c>
      <c r="G60" s="13" t="n">
        <f aca="false">IFERROR(IF(Kalender!A60="",0,J59*(1-Eingaben!$B$20)),0)</f>
        <v>0.59122224</v>
      </c>
      <c r="H60" s="13" t="n">
        <f aca="false">MIN(G60,D60)</f>
        <v>0.59122224</v>
      </c>
      <c r="I60" s="13" t="n">
        <f aca="false">IFERROR(MIN(F60*Eingaben!$B$19,MAX(0,D60-H60)),0)</f>
        <v>1.407672</v>
      </c>
      <c r="J60" s="13" t="n">
        <f aca="false">IFERROR(MIN(Eingaben!$B$18,MAX(0,F60-I60)),0)</f>
        <v>0.603288</v>
      </c>
      <c r="K60" s="13" t="n">
        <f aca="false">H60+I60</f>
        <v>1.99889424</v>
      </c>
      <c r="L60" s="13" t="n">
        <f aca="false">MAX(0,D60-K60)</f>
        <v>2.44710576</v>
      </c>
      <c r="M60" s="13" t="n">
        <f aca="false">MAX(0,F60-I60-J60)</f>
        <v>0</v>
      </c>
      <c r="N60" s="13" t="n">
        <f aca="false">IF(Kalender!A60="",0,J59-H60)</f>
        <v>0.01206576</v>
      </c>
    </row>
    <row r="61" customFormat="false" ht="16.4" hidden="false" customHeight="false" outlineLevel="0" collapsed="false">
      <c r="A61" s="13" t="str">
        <f aca="false">""</f>
        <v/>
      </c>
      <c r="B61" s="13" t="n">
        <f aca="false">57</f>
        <v>57</v>
      </c>
      <c r="C61" s="13" t="n">
        <f aca="false">IF(Szenarien!$H$8="OK",(IFERROR(SUMIF(Nutzungsprofile!$B$6:$B$11,"Schulbetrieb",Nutzungsprofile!$G$6:$G$11)*Kalender!C61/SUM(Kalender!$C$5:$C$370),0)+IFERROR(SUMIF(Nutzungsprofile!$B$6:$B$11,"Halle",Nutzungsprofile!$G$6:$G$11)*Kalender!D61/SUM(Kalender!$D$5:$D$370),0)+IFERROR(SUMIF(Nutzungsprofile!$B$6:$B$11,"Individuell",Nutzungsprofile!$G$6:$G$11)*Kalender!E61/SUM(Kalender!$E$5:$E$370),0))*Szenarien!$E$8,0)</f>
        <v>2.352</v>
      </c>
      <c r="D61" s="13" t="n">
        <f aca="false">IF(Szenarien!$H$8="OK",(IFERROR(SUMIF(Nutzungsprofile!$B$17:$B$22,"Schulbetrieb",Nutzungsprofile!$G$17:$G$22)*Kalender!C61/SUM(Kalender!$C$5:$C$370),0)+IFERROR(SUMIF(Nutzungsprofile!$B$17:$B$22,"Halle",Nutzungsprofile!$G$17:$G$22)*Kalender!D61/SUM(Kalender!$D$5:$D$370),0)+IFERROR(SUMIF(Nutzungsprofile!$B$17:$B$22,"Individuell",Nutzungsprofile!$G$17:$G$22)*Kalender!E61/SUM(Kalender!$E$5:$E$370),0))*Szenarien!$D$8,0)</f>
        <v>4.446</v>
      </c>
      <c r="E61" s="13" t="n">
        <f aca="false">IFERROR(MIN(C61,Eingaben!$B$17)*Eingaben!$B$16,0)</f>
        <v>2.2344</v>
      </c>
      <c r="F61" s="13" t="n">
        <f aca="false">IFERROR(E61*Eingaben!$B$15,0)</f>
        <v>2.01096</v>
      </c>
      <c r="G61" s="13" t="n">
        <f aca="false">IFERROR(IF(Kalender!A61="",0,J60*(1-Eingaben!$B$20)),0)</f>
        <v>0.59122224</v>
      </c>
      <c r="H61" s="13" t="n">
        <f aca="false">MIN(G61,D61)</f>
        <v>0.59122224</v>
      </c>
      <c r="I61" s="13" t="n">
        <f aca="false">IFERROR(MIN(F61*Eingaben!$B$19,MAX(0,D61-H61)),0)</f>
        <v>1.407672</v>
      </c>
      <c r="J61" s="13" t="n">
        <f aca="false">IFERROR(MIN(Eingaben!$B$18,MAX(0,F61-I61)),0)</f>
        <v>0.603288</v>
      </c>
      <c r="K61" s="13" t="n">
        <f aca="false">H61+I61</f>
        <v>1.99889424</v>
      </c>
      <c r="L61" s="13" t="n">
        <f aca="false">MAX(0,D61-K61)</f>
        <v>2.44710576</v>
      </c>
      <c r="M61" s="13" t="n">
        <f aca="false">MAX(0,F61-I61-J61)</f>
        <v>0</v>
      </c>
      <c r="N61" s="13" t="n">
        <f aca="false">IF(Kalender!A61="",0,J60-H61)</f>
        <v>0.01206576</v>
      </c>
    </row>
    <row r="62" customFormat="false" ht="16.4" hidden="false" customHeight="false" outlineLevel="0" collapsed="false">
      <c r="A62" s="13" t="str">
        <f aca="false">""</f>
        <v/>
      </c>
      <c r="B62" s="13" t="n">
        <f aca="false">58</f>
        <v>58</v>
      </c>
      <c r="C62" s="13" t="n">
        <f aca="false">IF(Szenarien!$H$8="OK",(IFERROR(SUMIF(Nutzungsprofile!$B$6:$B$11,"Schulbetrieb",Nutzungsprofile!$G$6:$G$11)*Kalender!C62/SUM(Kalender!$C$5:$C$370),0)+IFERROR(SUMIF(Nutzungsprofile!$B$6:$B$11,"Halle",Nutzungsprofile!$G$6:$G$11)*Kalender!D62/SUM(Kalender!$D$5:$D$370),0)+IFERROR(SUMIF(Nutzungsprofile!$B$6:$B$11,"Individuell",Nutzungsprofile!$G$6:$G$11)*Kalender!E62/SUM(Kalender!$E$5:$E$370),0))*Szenarien!$E$8,0)</f>
        <v>2.352</v>
      </c>
      <c r="D62" s="13" t="n">
        <f aca="false">IF(Szenarien!$H$8="OK",(IFERROR(SUMIF(Nutzungsprofile!$B$17:$B$22,"Schulbetrieb",Nutzungsprofile!$G$17:$G$22)*Kalender!C62/SUM(Kalender!$C$5:$C$370),0)+IFERROR(SUMIF(Nutzungsprofile!$B$17:$B$22,"Halle",Nutzungsprofile!$G$17:$G$22)*Kalender!D62/SUM(Kalender!$D$5:$D$370),0)+IFERROR(SUMIF(Nutzungsprofile!$B$17:$B$22,"Individuell",Nutzungsprofile!$G$17:$G$22)*Kalender!E62/SUM(Kalender!$E$5:$E$370),0))*Szenarien!$D$8,0)</f>
        <v>4.446</v>
      </c>
      <c r="E62" s="13" t="n">
        <f aca="false">IFERROR(MIN(C62,Eingaben!$B$17)*Eingaben!$B$16,0)</f>
        <v>2.2344</v>
      </c>
      <c r="F62" s="13" t="n">
        <f aca="false">IFERROR(E62*Eingaben!$B$15,0)</f>
        <v>2.01096</v>
      </c>
      <c r="G62" s="13" t="n">
        <f aca="false">IFERROR(IF(Kalender!A62="",0,J61*(1-Eingaben!$B$20)),0)</f>
        <v>0.59122224</v>
      </c>
      <c r="H62" s="13" t="n">
        <f aca="false">MIN(G62,D62)</f>
        <v>0.59122224</v>
      </c>
      <c r="I62" s="13" t="n">
        <f aca="false">IFERROR(MIN(F62*Eingaben!$B$19,MAX(0,D62-H62)),0)</f>
        <v>1.407672</v>
      </c>
      <c r="J62" s="13" t="n">
        <f aca="false">IFERROR(MIN(Eingaben!$B$18,MAX(0,F62-I62)),0)</f>
        <v>0.603288</v>
      </c>
      <c r="K62" s="13" t="n">
        <f aca="false">H62+I62</f>
        <v>1.99889424</v>
      </c>
      <c r="L62" s="13" t="n">
        <f aca="false">MAX(0,D62-K62)</f>
        <v>2.44710576</v>
      </c>
      <c r="M62" s="13" t="n">
        <f aca="false">MAX(0,F62-I62-J62)</f>
        <v>0</v>
      </c>
      <c r="N62" s="13" t="n">
        <f aca="false">IF(Kalender!A62="",0,J61-H62)</f>
        <v>0.01206576</v>
      </c>
    </row>
    <row r="63" customFormat="false" ht="16.4" hidden="false" customHeight="false" outlineLevel="0" collapsed="false">
      <c r="A63" s="13" t="str">
        <f aca="false">""</f>
        <v/>
      </c>
      <c r="B63" s="13" t="n">
        <f aca="false">59</f>
        <v>59</v>
      </c>
      <c r="C63" s="13" t="n">
        <f aca="false">IF(Szenarien!$H$8="OK",(IFERROR(SUMIF(Nutzungsprofile!$B$6:$B$11,"Schulbetrieb",Nutzungsprofile!$G$6:$G$11)*Kalender!C63/SUM(Kalender!$C$5:$C$370),0)+IFERROR(SUMIF(Nutzungsprofile!$B$6:$B$11,"Halle",Nutzungsprofile!$G$6:$G$11)*Kalender!D63/SUM(Kalender!$D$5:$D$370),0)+IFERROR(SUMIF(Nutzungsprofile!$B$6:$B$11,"Individuell",Nutzungsprofile!$G$6:$G$11)*Kalender!E63/SUM(Kalender!$E$5:$E$370),0))*Szenarien!$E$8,0)</f>
        <v>1.632</v>
      </c>
      <c r="D63" s="13" t="n">
        <f aca="false">IF(Szenarien!$H$8="OK",(IFERROR(SUMIF(Nutzungsprofile!$B$17:$B$22,"Schulbetrieb",Nutzungsprofile!$G$17:$G$22)*Kalender!C63/SUM(Kalender!$C$5:$C$370),0)+IFERROR(SUMIF(Nutzungsprofile!$B$17:$B$22,"Halle",Nutzungsprofile!$G$17:$G$22)*Kalender!D63/SUM(Kalender!$D$5:$D$370),0)+IFERROR(SUMIF(Nutzungsprofile!$B$17:$B$22,"Individuell",Nutzungsprofile!$G$17:$G$22)*Kalender!E63/SUM(Kalender!$E$5:$E$370),0))*Szenarien!$D$8,0)</f>
        <v>0.801</v>
      </c>
      <c r="E63" s="13" t="n">
        <f aca="false">IFERROR(MIN(C63,Eingaben!$B$17)*Eingaben!$B$16,0)</f>
        <v>1.5504</v>
      </c>
      <c r="F63" s="13" t="n">
        <f aca="false">IFERROR(E63*Eingaben!$B$15,0)</f>
        <v>1.39536</v>
      </c>
      <c r="G63" s="13" t="n">
        <f aca="false">IFERROR(IF(Kalender!A63="",0,J62*(1-Eingaben!$B$20)),0)</f>
        <v>0.59122224</v>
      </c>
      <c r="H63" s="13" t="n">
        <f aca="false">MIN(G63,D63)</f>
        <v>0.59122224</v>
      </c>
      <c r="I63" s="13" t="n">
        <f aca="false">IFERROR(MIN(F63*Eingaben!$B$19,MAX(0,D63-H63)),0)</f>
        <v>0.20977776</v>
      </c>
      <c r="J63" s="13" t="n">
        <f aca="false">IFERROR(MIN(Eingaben!$B$18,MAX(0,F63-I63)),0)</f>
        <v>1.18558224</v>
      </c>
      <c r="K63" s="13" t="n">
        <f aca="false">H63+I63</f>
        <v>0.801</v>
      </c>
      <c r="L63" s="13" t="n">
        <f aca="false">MAX(0,D63-K63)</f>
        <v>0</v>
      </c>
      <c r="M63" s="13" t="n">
        <f aca="false">MAX(0,F63-I63-J63)</f>
        <v>0</v>
      </c>
      <c r="N63" s="13" t="n">
        <f aca="false">IF(Kalender!A63="",0,J62-H63)</f>
        <v>0.01206576</v>
      </c>
    </row>
    <row r="64" customFormat="false" ht="16.4" hidden="false" customHeight="false" outlineLevel="0" collapsed="false">
      <c r="A64" s="13" t="str">
        <f aca="false">""</f>
        <v/>
      </c>
      <c r="B64" s="13" t="n">
        <f aca="false">60</f>
        <v>60</v>
      </c>
      <c r="C64" s="13" t="n">
        <f aca="false">IF(Szenarien!$H$8="OK",(IFERROR(SUMIF(Nutzungsprofile!$B$6:$B$11,"Schulbetrieb",Nutzungsprofile!$G$6:$G$11)*Kalender!C64/SUM(Kalender!$C$5:$C$370),0)+IFERROR(SUMIF(Nutzungsprofile!$B$6:$B$11,"Halle",Nutzungsprofile!$G$6:$G$11)*Kalender!D64/SUM(Kalender!$D$5:$D$370),0)+IFERROR(SUMIF(Nutzungsprofile!$B$6:$B$11,"Individuell",Nutzungsprofile!$G$6:$G$11)*Kalender!E64/SUM(Kalender!$E$5:$E$370),0))*Szenarien!$E$8,0)</f>
        <v>1.632</v>
      </c>
      <c r="D64" s="13" t="n">
        <f aca="false">IF(Szenarien!$H$8="OK",(IFERROR(SUMIF(Nutzungsprofile!$B$17:$B$22,"Schulbetrieb",Nutzungsprofile!$G$17:$G$22)*Kalender!C64/SUM(Kalender!$C$5:$C$370),0)+IFERROR(SUMIF(Nutzungsprofile!$B$17:$B$22,"Halle",Nutzungsprofile!$G$17:$G$22)*Kalender!D64/SUM(Kalender!$D$5:$D$370),0)+IFERROR(SUMIF(Nutzungsprofile!$B$17:$B$22,"Individuell",Nutzungsprofile!$G$17:$G$22)*Kalender!E64/SUM(Kalender!$E$5:$E$370),0))*Szenarien!$D$8,0)</f>
        <v>0.801</v>
      </c>
      <c r="E64" s="13" t="n">
        <f aca="false">IFERROR(MIN(C64,Eingaben!$B$17)*Eingaben!$B$16,0)</f>
        <v>1.5504</v>
      </c>
      <c r="F64" s="13" t="n">
        <f aca="false">IFERROR(E64*Eingaben!$B$15,0)</f>
        <v>1.39536</v>
      </c>
      <c r="G64" s="13" t="n">
        <f aca="false">IFERROR(IF(Kalender!A64="",0,J63*(1-Eingaben!$B$20)),0)</f>
        <v>1.1618705952</v>
      </c>
      <c r="H64" s="13" t="n">
        <f aca="false">MIN(G64,D64)</f>
        <v>0.801</v>
      </c>
      <c r="I64" s="13" t="n">
        <f aca="false">IFERROR(MIN(F64*Eingaben!$B$19,MAX(0,D64-H64)),0)</f>
        <v>0</v>
      </c>
      <c r="J64" s="13" t="n">
        <f aca="false">IFERROR(MIN(Eingaben!$B$18,MAX(0,F64-I64)),0)</f>
        <v>1.39536</v>
      </c>
      <c r="K64" s="13" t="n">
        <f aca="false">H64+I64</f>
        <v>0.801</v>
      </c>
      <c r="L64" s="13" t="n">
        <f aca="false">MAX(0,D64-K64)</f>
        <v>0</v>
      </c>
      <c r="M64" s="13" t="n">
        <f aca="false">MAX(0,F64-I64-J64)</f>
        <v>0</v>
      </c>
      <c r="N64" s="13" t="n">
        <f aca="false">IF(Kalender!A64="",0,J63-H64)</f>
        <v>0.38458224</v>
      </c>
    </row>
    <row r="65" customFormat="false" ht="16.4" hidden="false" customHeight="false" outlineLevel="0" collapsed="false">
      <c r="A65" s="13" t="str">
        <f aca="false">""</f>
        <v/>
      </c>
      <c r="B65" s="13" t="n">
        <f aca="false">61</f>
        <v>61</v>
      </c>
      <c r="C65" s="13" t="n">
        <f aca="false">IF(Szenarien!$H$8="OK",(IFERROR(SUMIF(Nutzungsprofile!$B$6:$B$11,"Schulbetrieb",Nutzungsprofile!$G$6:$G$11)*Kalender!C65/SUM(Kalender!$C$5:$C$370),0)+IFERROR(SUMIF(Nutzungsprofile!$B$6:$B$11,"Halle",Nutzungsprofile!$G$6:$G$11)*Kalender!D65/SUM(Kalender!$D$5:$D$370),0)+IFERROR(SUMIF(Nutzungsprofile!$B$6:$B$11,"Individuell",Nutzungsprofile!$G$6:$G$11)*Kalender!E65/SUM(Kalender!$E$5:$E$370),0))*Szenarien!$E$8,0)</f>
        <v>2.352</v>
      </c>
      <c r="D65" s="13" t="n">
        <f aca="false">IF(Szenarien!$H$8="OK",(IFERROR(SUMIF(Nutzungsprofile!$B$17:$B$22,"Schulbetrieb",Nutzungsprofile!$G$17:$G$22)*Kalender!C65/SUM(Kalender!$C$5:$C$370),0)+IFERROR(SUMIF(Nutzungsprofile!$B$17:$B$22,"Halle",Nutzungsprofile!$G$17:$G$22)*Kalender!D65/SUM(Kalender!$D$5:$D$370),0)+IFERROR(SUMIF(Nutzungsprofile!$B$17:$B$22,"Individuell",Nutzungsprofile!$G$17:$G$22)*Kalender!E65/SUM(Kalender!$E$5:$E$370),0))*Szenarien!$D$8,0)</f>
        <v>4.446</v>
      </c>
      <c r="E65" s="13" t="n">
        <f aca="false">IFERROR(MIN(C65,Eingaben!$B$17)*Eingaben!$B$16,0)</f>
        <v>2.2344</v>
      </c>
      <c r="F65" s="13" t="n">
        <f aca="false">IFERROR(E65*Eingaben!$B$15,0)</f>
        <v>2.01096</v>
      </c>
      <c r="G65" s="13" t="n">
        <f aca="false">IFERROR(IF(Kalender!A65="",0,J64*(1-Eingaben!$B$20)),0)</f>
        <v>1.3674528</v>
      </c>
      <c r="H65" s="13" t="n">
        <f aca="false">MIN(G65,D65)</f>
        <v>1.3674528</v>
      </c>
      <c r="I65" s="13" t="n">
        <f aca="false">IFERROR(MIN(F65*Eingaben!$B$19,MAX(0,D65-H65)),0)</f>
        <v>1.407672</v>
      </c>
      <c r="J65" s="13" t="n">
        <f aca="false">IFERROR(MIN(Eingaben!$B$18,MAX(0,F65-I65)),0)</f>
        <v>0.603288</v>
      </c>
      <c r="K65" s="13" t="n">
        <f aca="false">H65+I65</f>
        <v>2.7751248</v>
      </c>
      <c r="L65" s="13" t="n">
        <f aca="false">MAX(0,D65-K65)</f>
        <v>1.6708752</v>
      </c>
      <c r="M65" s="13" t="n">
        <f aca="false">MAX(0,F65-I65-J65)</f>
        <v>0</v>
      </c>
      <c r="N65" s="13" t="n">
        <f aca="false">IF(Kalender!A65="",0,J64-H65)</f>
        <v>0.0279072</v>
      </c>
    </row>
    <row r="66" customFormat="false" ht="16.4" hidden="false" customHeight="false" outlineLevel="0" collapsed="false">
      <c r="A66" s="13" t="str">
        <f aca="false">""</f>
        <v/>
      </c>
      <c r="B66" s="13" t="n">
        <f aca="false">62</f>
        <v>62</v>
      </c>
      <c r="C66" s="13" t="n">
        <f aca="false">IF(Szenarien!$H$8="OK",(IFERROR(SUMIF(Nutzungsprofile!$B$6:$B$11,"Schulbetrieb",Nutzungsprofile!$G$6:$G$11)*Kalender!C66/SUM(Kalender!$C$5:$C$370),0)+IFERROR(SUMIF(Nutzungsprofile!$B$6:$B$11,"Halle",Nutzungsprofile!$G$6:$G$11)*Kalender!D66/SUM(Kalender!$D$5:$D$370),0)+IFERROR(SUMIF(Nutzungsprofile!$B$6:$B$11,"Individuell",Nutzungsprofile!$G$6:$G$11)*Kalender!E66/SUM(Kalender!$E$5:$E$370),0))*Szenarien!$E$8,0)</f>
        <v>2.352</v>
      </c>
      <c r="D66" s="13" t="n">
        <f aca="false">IF(Szenarien!$H$8="OK",(IFERROR(SUMIF(Nutzungsprofile!$B$17:$B$22,"Schulbetrieb",Nutzungsprofile!$G$17:$G$22)*Kalender!C66/SUM(Kalender!$C$5:$C$370),0)+IFERROR(SUMIF(Nutzungsprofile!$B$17:$B$22,"Halle",Nutzungsprofile!$G$17:$G$22)*Kalender!D66/SUM(Kalender!$D$5:$D$370),0)+IFERROR(SUMIF(Nutzungsprofile!$B$17:$B$22,"Individuell",Nutzungsprofile!$G$17:$G$22)*Kalender!E66/SUM(Kalender!$E$5:$E$370),0))*Szenarien!$D$8,0)</f>
        <v>4.446</v>
      </c>
      <c r="E66" s="13" t="n">
        <f aca="false">IFERROR(MIN(C66,Eingaben!$B$17)*Eingaben!$B$16,0)</f>
        <v>2.2344</v>
      </c>
      <c r="F66" s="13" t="n">
        <f aca="false">IFERROR(E66*Eingaben!$B$15,0)</f>
        <v>2.01096</v>
      </c>
      <c r="G66" s="13" t="n">
        <f aca="false">IFERROR(IF(Kalender!A66="",0,J65*(1-Eingaben!$B$20)),0)</f>
        <v>0.59122224</v>
      </c>
      <c r="H66" s="13" t="n">
        <f aca="false">MIN(G66,D66)</f>
        <v>0.59122224</v>
      </c>
      <c r="I66" s="13" t="n">
        <f aca="false">IFERROR(MIN(F66*Eingaben!$B$19,MAX(0,D66-H66)),0)</f>
        <v>1.407672</v>
      </c>
      <c r="J66" s="13" t="n">
        <f aca="false">IFERROR(MIN(Eingaben!$B$18,MAX(0,F66-I66)),0)</f>
        <v>0.603288</v>
      </c>
      <c r="K66" s="13" t="n">
        <f aca="false">H66+I66</f>
        <v>1.99889424</v>
      </c>
      <c r="L66" s="13" t="n">
        <f aca="false">MAX(0,D66-K66)</f>
        <v>2.44710576</v>
      </c>
      <c r="M66" s="13" t="n">
        <f aca="false">MAX(0,F66-I66-J66)</f>
        <v>0</v>
      </c>
      <c r="N66" s="13" t="n">
        <f aca="false">IF(Kalender!A66="",0,J65-H66)</f>
        <v>0.01206576</v>
      </c>
    </row>
    <row r="67" customFormat="false" ht="16.4" hidden="false" customHeight="false" outlineLevel="0" collapsed="false">
      <c r="A67" s="13" t="str">
        <f aca="false">""</f>
        <v/>
      </c>
      <c r="B67" s="13" t="n">
        <f aca="false">63</f>
        <v>63</v>
      </c>
      <c r="C67" s="13" t="n">
        <f aca="false">IF(Szenarien!$H$8="OK",(IFERROR(SUMIF(Nutzungsprofile!$B$6:$B$11,"Schulbetrieb",Nutzungsprofile!$G$6:$G$11)*Kalender!C67/SUM(Kalender!$C$5:$C$370),0)+IFERROR(SUMIF(Nutzungsprofile!$B$6:$B$11,"Halle",Nutzungsprofile!$G$6:$G$11)*Kalender!D67/SUM(Kalender!$D$5:$D$370),0)+IFERROR(SUMIF(Nutzungsprofile!$B$6:$B$11,"Individuell",Nutzungsprofile!$G$6:$G$11)*Kalender!E67/SUM(Kalender!$E$5:$E$370),0))*Szenarien!$E$8,0)</f>
        <v>2.352</v>
      </c>
      <c r="D67" s="13" t="n">
        <f aca="false">IF(Szenarien!$H$8="OK",(IFERROR(SUMIF(Nutzungsprofile!$B$17:$B$22,"Schulbetrieb",Nutzungsprofile!$G$17:$G$22)*Kalender!C67/SUM(Kalender!$C$5:$C$370),0)+IFERROR(SUMIF(Nutzungsprofile!$B$17:$B$22,"Halle",Nutzungsprofile!$G$17:$G$22)*Kalender!D67/SUM(Kalender!$D$5:$D$370),0)+IFERROR(SUMIF(Nutzungsprofile!$B$17:$B$22,"Individuell",Nutzungsprofile!$G$17:$G$22)*Kalender!E67/SUM(Kalender!$E$5:$E$370),0))*Szenarien!$D$8,0)</f>
        <v>4.446</v>
      </c>
      <c r="E67" s="13" t="n">
        <f aca="false">IFERROR(MIN(C67,Eingaben!$B$17)*Eingaben!$B$16,0)</f>
        <v>2.2344</v>
      </c>
      <c r="F67" s="13" t="n">
        <f aca="false">IFERROR(E67*Eingaben!$B$15,0)</f>
        <v>2.01096</v>
      </c>
      <c r="G67" s="13" t="n">
        <f aca="false">IFERROR(IF(Kalender!A67="",0,J66*(1-Eingaben!$B$20)),0)</f>
        <v>0.59122224</v>
      </c>
      <c r="H67" s="13" t="n">
        <f aca="false">MIN(G67,D67)</f>
        <v>0.59122224</v>
      </c>
      <c r="I67" s="13" t="n">
        <f aca="false">IFERROR(MIN(F67*Eingaben!$B$19,MAX(0,D67-H67)),0)</f>
        <v>1.407672</v>
      </c>
      <c r="J67" s="13" t="n">
        <f aca="false">IFERROR(MIN(Eingaben!$B$18,MAX(0,F67-I67)),0)</f>
        <v>0.603288</v>
      </c>
      <c r="K67" s="13" t="n">
        <f aca="false">H67+I67</f>
        <v>1.99889424</v>
      </c>
      <c r="L67" s="13" t="n">
        <f aca="false">MAX(0,D67-K67)</f>
        <v>2.44710576</v>
      </c>
      <c r="M67" s="13" t="n">
        <f aca="false">MAX(0,F67-I67-J67)</f>
        <v>0</v>
      </c>
      <c r="N67" s="13" t="n">
        <f aca="false">IF(Kalender!A67="",0,J66-H67)</f>
        <v>0.01206576</v>
      </c>
    </row>
    <row r="68" customFormat="false" ht="16.4" hidden="false" customHeight="false" outlineLevel="0" collapsed="false">
      <c r="A68" s="13" t="str">
        <f aca="false">""</f>
        <v/>
      </c>
      <c r="B68" s="13" t="n">
        <f aca="false">64</f>
        <v>64</v>
      </c>
      <c r="C68" s="13" t="n">
        <f aca="false">IF(Szenarien!$H$8="OK",(IFERROR(SUMIF(Nutzungsprofile!$B$6:$B$11,"Schulbetrieb",Nutzungsprofile!$G$6:$G$11)*Kalender!C68/SUM(Kalender!$C$5:$C$370),0)+IFERROR(SUMIF(Nutzungsprofile!$B$6:$B$11,"Halle",Nutzungsprofile!$G$6:$G$11)*Kalender!D68/SUM(Kalender!$D$5:$D$370),0)+IFERROR(SUMIF(Nutzungsprofile!$B$6:$B$11,"Individuell",Nutzungsprofile!$G$6:$G$11)*Kalender!E68/SUM(Kalender!$E$5:$E$370),0))*Szenarien!$E$8,0)</f>
        <v>2.352</v>
      </c>
      <c r="D68" s="13" t="n">
        <f aca="false">IF(Szenarien!$H$8="OK",(IFERROR(SUMIF(Nutzungsprofile!$B$17:$B$22,"Schulbetrieb",Nutzungsprofile!$G$17:$G$22)*Kalender!C68/SUM(Kalender!$C$5:$C$370),0)+IFERROR(SUMIF(Nutzungsprofile!$B$17:$B$22,"Halle",Nutzungsprofile!$G$17:$G$22)*Kalender!D68/SUM(Kalender!$D$5:$D$370),0)+IFERROR(SUMIF(Nutzungsprofile!$B$17:$B$22,"Individuell",Nutzungsprofile!$G$17:$G$22)*Kalender!E68/SUM(Kalender!$E$5:$E$370),0))*Szenarien!$D$8,0)</f>
        <v>4.446</v>
      </c>
      <c r="E68" s="13" t="n">
        <f aca="false">IFERROR(MIN(C68,Eingaben!$B$17)*Eingaben!$B$16,0)</f>
        <v>2.2344</v>
      </c>
      <c r="F68" s="13" t="n">
        <f aca="false">IFERROR(E68*Eingaben!$B$15,0)</f>
        <v>2.01096</v>
      </c>
      <c r="G68" s="13" t="n">
        <f aca="false">IFERROR(IF(Kalender!A68="",0,J67*(1-Eingaben!$B$20)),0)</f>
        <v>0.59122224</v>
      </c>
      <c r="H68" s="13" t="n">
        <f aca="false">MIN(G68,D68)</f>
        <v>0.59122224</v>
      </c>
      <c r="I68" s="13" t="n">
        <f aca="false">IFERROR(MIN(F68*Eingaben!$B$19,MAX(0,D68-H68)),0)</f>
        <v>1.407672</v>
      </c>
      <c r="J68" s="13" t="n">
        <f aca="false">IFERROR(MIN(Eingaben!$B$18,MAX(0,F68-I68)),0)</f>
        <v>0.603288</v>
      </c>
      <c r="K68" s="13" t="n">
        <f aca="false">H68+I68</f>
        <v>1.99889424</v>
      </c>
      <c r="L68" s="13" t="n">
        <f aca="false">MAX(0,D68-K68)</f>
        <v>2.44710576</v>
      </c>
      <c r="M68" s="13" t="n">
        <f aca="false">MAX(0,F68-I68-J68)</f>
        <v>0</v>
      </c>
      <c r="N68" s="13" t="n">
        <f aca="false">IF(Kalender!A68="",0,J67-H68)</f>
        <v>0.01206576</v>
      </c>
    </row>
    <row r="69" customFormat="false" ht="16.4" hidden="false" customHeight="false" outlineLevel="0" collapsed="false">
      <c r="A69" s="13" t="str">
        <f aca="false">""</f>
        <v/>
      </c>
      <c r="B69" s="13" t="n">
        <f aca="false">65</f>
        <v>65</v>
      </c>
      <c r="C69" s="13" t="n">
        <f aca="false">IF(Szenarien!$H$8="OK",(IFERROR(SUMIF(Nutzungsprofile!$B$6:$B$11,"Schulbetrieb",Nutzungsprofile!$G$6:$G$11)*Kalender!C69/SUM(Kalender!$C$5:$C$370),0)+IFERROR(SUMIF(Nutzungsprofile!$B$6:$B$11,"Halle",Nutzungsprofile!$G$6:$G$11)*Kalender!D69/SUM(Kalender!$D$5:$D$370),0)+IFERROR(SUMIF(Nutzungsprofile!$B$6:$B$11,"Individuell",Nutzungsprofile!$G$6:$G$11)*Kalender!E69/SUM(Kalender!$E$5:$E$370),0))*Szenarien!$E$8,0)</f>
        <v>2.352</v>
      </c>
      <c r="D69" s="13" t="n">
        <f aca="false">IF(Szenarien!$H$8="OK",(IFERROR(SUMIF(Nutzungsprofile!$B$17:$B$22,"Schulbetrieb",Nutzungsprofile!$G$17:$G$22)*Kalender!C69/SUM(Kalender!$C$5:$C$370),0)+IFERROR(SUMIF(Nutzungsprofile!$B$17:$B$22,"Halle",Nutzungsprofile!$G$17:$G$22)*Kalender!D69/SUM(Kalender!$D$5:$D$370),0)+IFERROR(SUMIF(Nutzungsprofile!$B$17:$B$22,"Individuell",Nutzungsprofile!$G$17:$G$22)*Kalender!E69/SUM(Kalender!$E$5:$E$370),0))*Szenarien!$D$8,0)</f>
        <v>4.446</v>
      </c>
      <c r="E69" s="13" t="n">
        <f aca="false">IFERROR(MIN(C69,Eingaben!$B$17)*Eingaben!$B$16,0)</f>
        <v>2.2344</v>
      </c>
      <c r="F69" s="13" t="n">
        <f aca="false">IFERROR(E69*Eingaben!$B$15,0)</f>
        <v>2.01096</v>
      </c>
      <c r="G69" s="13" t="n">
        <f aca="false">IFERROR(IF(Kalender!A69="",0,J68*(1-Eingaben!$B$20)),0)</f>
        <v>0.59122224</v>
      </c>
      <c r="H69" s="13" t="n">
        <f aca="false">MIN(G69,D69)</f>
        <v>0.59122224</v>
      </c>
      <c r="I69" s="13" t="n">
        <f aca="false">IFERROR(MIN(F69*Eingaben!$B$19,MAX(0,D69-H69)),0)</f>
        <v>1.407672</v>
      </c>
      <c r="J69" s="13" t="n">
        <f aca="false">IFERROR(MIN(Eingaben!$B$18,MAX(0,F69-I69)),0)</f>
        <v>0.603288</v>
      </c>
      <c r="K69" s="13" t="n">
        <f aca="false">H69+I69</f>
        <v>1.99889424</v>
      </c>
      <c r="L69" s="13" t="n">
        <f aca="false">MAX(0,D69-K69)</f>
        <v>2.44710576</v>
      </c>
      <c r="M69" s="13" t="n">
        <f aca="false">MAX(0,F69-I69-J69)</f>
        <v>0</v>
      </c>
      <c r="N69" s="13" t="n">
        <f aca="false">IF(Kalender!A69="",0,J68-H69)</f>
        <v>0.01206576</v>
      </c>
    </row>
    <row r="70" customFormat="false" ht="16.4" hidden="false" customHeight="false" outlineLevel="0" collapsed="false">
      <c r="A70" s="13" t="str">
        <f aca="false">""</f>
        <v/>
      </c>
      <c r="B70" s="13" t="n">
        <f aca="false">66</f>
        <v>66</v>
      </c>
      <c r="C70" s="13" t="n">
        <f aca="false">IF(Szenarien!$H$8="OK",(IFERROR(SUMIF(Nutzungsprofile!$B$6:$B$11,"Schulbetrieb",Nutzungsprofile!$G$6:$G$11)*Kalender!C70/SUM(Kalender!$C$5:$C$370),0)+IFERROR(SUMIF(Nutzungsprofile!$B$6:$B$11,"Halle",Nutzungsprofile!$G$6:$G$11)*Kalender!D70/SUM(Kalender!$D$5:$D$370),0)+IFERROR(SUMIF(Nutzungsprofile!$B$6:$B$11,"Individuell",Nutzungsprofile!$G$6:$G$11)*Kalender!E70/SUM(Kalender!$E$5:$E$370),0))*Szenarien!$E$8,0)</f>
        <v>1.632</v>
      </c>
      <c r="D70" s="13" t="n">
        <f aca="false">IF(Szenarien!$H$8="OK",(IFERROR(SUMIF(Nutzungsprofile!$B$17:$B$22,"Schulbetrieb",Nutzungsprofile!$G$17:$G$22)*Kalender!C70/SUM(Kalender!$C$5:$C$370),0)+IFERROR(SUMIF(Nutzungsprofile!$B$17:$B$22,"Halle",Nutzungsprofile!$G$17:$G$22)*Kalender!D70/SUM(Kalender!$D$5:$D$370),0)+IFERROR(SUMIF(Nutzungsprofile!$B$17:$B$22,"Individuell",Nutzungsprofile!$G$17:$G$22)*Kalender!E70/SUM(Kalender!$E$5:$E$370),0))*Szenarien!$D$8,0)</f>
        <v>0.801</v>
      </c>
      <c r="E70" s="13" t="n">
        <f aca="false">IFERROR(MIN(C70,Eingaben!$B$17)*Eingaben!$B$16,0)</f>
        <v>1.5504</v>
      </c>
      <c r="F70" s="13" t="n">
        <f aca="false">IFERROR(E70*Eingaben!$B$15,0)</f>
        <v>1.39536</v>
      </c>
      <c r="G70" s="13" t="n">
        <f aca="false">IFERROR(IF(Kalender!A70="",0,J69*(1-Eingaben!$B$20)),0)</f>
        <v>0.59122224</v>
      </c>
      <c r="H70" s="13" t="n">
        <f aca="false">MIN(G70,D70)</f>
        <v>0.59122224</v>
      </c>
      <c r="I70" s="13" t="n">
        <f aca="false">IFERROR(MIN(F70*Eingaben!$B$19,MAX(0,D70-H70)),0)</f>
        <v>0.20977776</v>
      </c>
      <c r="J70" s="13" t="n">
        <f aca="false">IFERROR(MIN(Eingaben!$B$18,MAX(0,F70-I70)),0)</f>
        <v>1.18558224</v>
      </c>
      <c r="K70" s="13" t="n">
        <f aca="false">H70+I70</f>
        <v>0.801</v>
      </c>
      <c r="L70" s="13" t="n">
        <f aca="false">MAX(0,D70-K70)</f>
        <v>0</v>
      </c>
      <c r="M70" s="13" t="n">
        <f aca="false">MAX(0,F70-I70-J70)</f>
        <v>0</v>
      </c>
      <c r="N70" s="13" t="n">
        <f aca="false">IF(Kalender!A70="",0,J69-H70)</f>
        <v>0.01206576</v>
      </c>
    </row>
    <row r="71" customFormat="false" ht="16.4" hidden="false" customHeight="false" outlineLevel="0" collapsed="false">
      <c r="A71" s="13" t="str">
        <f aca="false">""</f>
        <v/>
      </c>
      <c r="B71" s="13" t="n">
        <f aca="false">67</f>
        <v>67</v>
      </c>
      <c r="C71" s="13" t="n">
        <f aca="false">IF(Szenarien!$H$8="OK",(IFERROR(SUMIF(Nutzungsprofile!$B$6:$B$11,"Schulbetrieb",Nutzungsprofile!$G$6:$G$11)*Kalender!C71/SUM(Kalender!$C$5:$C$370),0)+IFERROR(SUMIF(Nutzungsprofile!$B$6:$B$11,"Halle",Nutzungsprofile!$G$6:$G$11)*Kalender!D71/SUM(Kalender!$D$5:$D$370),0)+IFERROR(SUMIF(Nutzungsprofile!$B$6:$B$11,"Individuell",Nutzungsprofile!$G$6:$G$11)*Kalender!E71/SUM(Kalender!$E$5:$E$370),0))*Szenarien!$E$8,0)</f>
        <v>1.632</v>
      </c>
      <c r="D71" s="13" t="n">
        <f aca="false">IF(Szenarien!$H$8="OK",(IFERROR(SUMIF(Nutzungsprofile!$B$17:$B$22,"Schulbetrieb",Nutzungsprofile!$G$17:$G$22)*Kalender!C71/SUM(Kalender!$C$5:$C$370),0)+IFERROR(SUMIF(Nutzungsprofile!$B$17:$B$22,"Halle",Nutzungsprofile!$G$17:$G$22)*Kalender!D71/SUM(Kalender!$D$5:$D$370),0)+IFERROR(SUMIF(Nutzungsprofile!$B$17:$B$22,"Individuell",Nutzungsprofile!$G$17:$G$22)*Kalender!E71/SUM(Kalender!$E$5:$E$370),0))*Szenarien!$D$8,0)</f>
        <v>0.801</v>
      </c>
      <c r="E71" s="13" t="n">
        <f aca="false">IFERROR(MIN(C71,Eingaben!$B$17)*Eingaben!$B$16,0)</f>
        <v>1.5504</v>
      </c>
      <c r="F71" s="13" t="n">
        <f aca="false">IFERROR(E71*Eingaben!$B$15,0)</f>
        <v>1.39536</v>
      </c>
      <c r="G71" s="13" t="n">
        <f aca="false">IFERROR(IF(Kalender!A71="",0,J70*(1-Eingaben!$B$20)),0)</f>
        <v>1.1618705952</v>
      </c>
      <c r="H71" s="13" t="n">
        <f aca="false">MIN(G71,D71)</f>
        <v>0.801</v>
      </c>
      <c r="I71" s="13" t="n">
        <f aca="false">IFERROR(MIN(F71*Eingaben!$B$19,MAX(0,D71-H71)),0)</f>
        <v>0</v>
      </c>
      <c r="J71" s="13" t="n">
        <f aca="false">IFERROR(MIN(Eingaben!$B$18,MAX(0,F71-I71)),0)</f>
        <v>1.39536</v>
      </c>
      <c r="K71" s="13" t="n">
        <f aca="false">H71+I71</f>
        <v>0.801</v>
      </c>
      <c r="L71" s="13" t="n">
        <f aca="false">MAX(0,D71-K71)</f>
        <v>0</v>
      </c>
      <c r="M71" s="13" t="n">
        <f aca="false">MAX(0,F71-I71-J71)</f>
        <v>0</v>
      </c>
      <c r="N71" s="13" t="n">
        <f aca="false">IF(Kalender!A71="",0,J70-H71)</f>
        <v>0.38458224</v>
      </c>
    </row>
    <row r="72" customFormat="false" ht="16.4" hidden="false" customHeight="false" outlineLevel="0" collapsed="false">
      <c r="A72" s="13" t="str">
        <f aca="false">""</f>
        <v/>
      </c>
      <c r="B72" s="13" t="n">
        <f aca="false">68</f>
        <v>68</v>
      </c>
      <c r="C72" s="13" t="n">
        <f aca="false">IF(Szenarien!$H$8="OK",(IFERROR(SUMIF(Nutzungsprofile!$B$6:$B$11,"Schulbetrieb",Nutzungsprofile!$G$6:$G$11)*Kalender!C72/SUM(Kalender!$C$5:$C$370),0)+IFERROR(SUMIF(Nutzungsprofile!$B$6:$B$11,"Halle",Nutzungsprofile!$G$6:$G$11)*Kalender!D72/SUM(Kalender!$D$5:$D$370),0)+IFERROR(SUMIF(Nutzungsprofile!$B$6:$B$11,"Individuell",Nutzungsprofile!$G$6:$G$11)*Kalender!E72/SUM(Kalender!$E$5:$E$370),0))*Szenarien!$E$8,0)</f>
        <v>2.352</v>
      </c>
      <c r="D72" s="13" t="n">
        <f aca="false">IF(Szenarien!$H$8="OK",(IFERROR(SUMIF(Nutzungsprofile!$B$17:$B$22,"Schulbetrieb",Nutzungsprofile!$G$17:$G$22)*Kalender!C72/SUM(Kalender!$C$5:$C$370),0)+IFERROR(SUMIF(Nutzungsprofile!$B$17:$B$22,"Halle",Nutzungsprofile!$G$17:$G$22)*Kalender!D72/SUM(Kalender!$D$5:$D$370),0)+IFERROR(SUMIF(Nutzungsprofile!$B$17:$B$22,"Individuell",Nutzungsprofile!$G$17:$G$22)*Kalender!E72/SUM(Kalender!$E$5:$E$370),0))*Szenarien!$D$8,0)</f>
        <v>4.446</v>
      </c>
      <c r="E72" s="13" t="n">
        <f aca="false">IFERROR(MIN(C72,Eingaben!$B$17)*Eingaben!$B$16,0)</f>
        <v>2.2344</v>
      </c>
      <c r="F72" s="13" t="n">
        <f aca="false">IFERROR(E72*Eingaben!$B$15,0)</f>
        <v>2.01096</v>
      </c>
      <c r="G72" s="13" t="n">
        <f aca="false">IFERROR(IF(Kalender!A72="",0,J71*(1-Eingaben!$B$20)),0)</f>
        <v>1.3674528</v>
      </c>
      <c r="H72" s="13" t="n">
        <f aca="false">MIN(G72,D72)</f>
        <v>1.3674528</v>
      </c>
      <c r="I72" s="13" t="n">
        <f aca="false">IFERROR(MIN(F72*Eingaben!$B$19,MAX(0,D72-H72)),0)</f>
        <v>1.407672</v>
      </c>
      <c r="J72" s="13" t="n">
        <f aca="false">IFERROR(MIN(Eingaben!$B$18,MAX(0,F72-I72)),0)</f>
        <v>0.603288</v>
      </c>
      <c r="K72" s="13" t="n">
        <f aca="false">H72+I72</f>
        <v>2.7751248</v>
      </c>
      <c r="L72" s="13" t="n">
        <f aca="false">MAX(0,D72-K72)</f>
        <v>1.6708752</v>
      </c>
      <c r="M72" s="13" t="n">
        <f aca="false">MAX(0,F72-I72-J72)</f>
        <v>0</v>
      </c>
      <c r="N72" s="13" t="n">
        <f aca="false">IF(Kalender!A72="",0,J71-H72)</f>
        <v>0.0279072</v>
      </c>
    </row>
    <row r="73" customFormat="false" ht="16.4" hidden="false" customHeight="false" outlineLevel="0" collapsed="false">
      <c r="A73" s="13" t="str">
        <f aca="false">""</f>
        <v/>
      </c>
      <c r="B73" s="13" t="n">
        <f aca="false">69</f>
        <v>69</v>
      </c>
      <c r="C73" s="13" t="n">
        <f aca="false">IF(Szenarien!$H$8="OK",(IFERROR(SUMIF(Nutzungsprofile!$B$6:$B$11,"Schulbetrieb",Nutzungsprofile!$G$6:$G$11)*Kalender!C73/SUM(Kalender!$C$5:$C$370),0)+IFERROR(SUMIF(Nutzungsprofile!$B$6:$B$11,"Halle",Nutzungsprofile!$G$6:$G$11)*Kalender!D73/SUM(Kalender!$D$5:$D$370),0)+IFERROR(SUMIF(Nutzungsprofile!$B$6:$B$11,"Individuell",Nutzungsprofile!$G$6:$G$11)*Kalender!E73/SUM(Kalender!$E$5:$E$370),0))*Szenarien!$E$8,0)</f>
        <v>2.352</v>
      </c>
      <c r="D73" s="13" t="n">
        <f aca="false">IF(Szenarien!$H$8="OK",(IFERROR(SUMIF(Nutzungsprofile!$B$17:$B$22,"Schulbetrieb",Nutzungsprofile!$G$17:$G$22)*Kalender!C73/SUM(Kalender!$C$5:$C$370),0)+IFERROR(SUMIF(Nutzungsprofile!$B$17:$B$22,"Halle",Nutzungsprofile!$G$17:$G$22)*Kalender!D73/SUM(Kalender!$D$5:$D$370),0)+IFERROR(SUMIF(Nutzungsprofile!$B$17:$B$22,"Individuell",Nutzungsprofile!$G$17:$G$22)*Kalender!E73/SUM(Kalender!$E$5:$E$370),0))*Szenarien!$D$8,0)</f>
        <v>4.446</v>
      </c>
      <c r="E73" s="13" t="n">
        <f aca="false">IFERROR(MIN(C73,Eingaben!$B$17)*Eingaben!$B$16,0)</f>
        <v>2.2344</v>
      </c>
      <c r="F73" s="13" t="n">
        <f aca="false">IFERROR(E73*Eingaben!$B$15,0)</f>
        <v>2.01096</v>
      </c>
      <c r="G73" s="13" t="n">
        <f aca="false">IFERROR(IF(Kalender!A73="",0,J72*(1-Eingaben!$B$20)),0)</f>
        <v>0.59122224</v>
      </c>
      <c r="H73" s="13" t="n">
        <f aca="false">MIN(G73,D73)</f>
        <v>0.59122224</v>
      </c>
      <c r="I73" s="13" t="n">
        <f aca="false">IFERROR(MIN(F73*Eingaben!$B$19,MAX(0,D73-H73)),0)</f>
        <v>1.407672</v>
      </c>
      <c r="J73" s="13" t="n">
        <f aca="false">IFERROR(MIN(Eingaben!$B$18,MAX(0,F73-I73)),0)</f>
        <v>0.603288</v>
      </c>
      <c r="K73" s="13" t="n">
        <f aca="false">H73+I73</f>
        <v>1.99889424</v>
      </c>
      <c r="L73" s="13" t="n">
        <f aca="false">MAX(0,D73-K73)</f>
        <v>2.44710576</v>
      </c>
      <c r="M73" s="13" t="n">
        <f aca="false">MAX(0,F73-I73-J73)</f>
        <v>0</v>
      </c>
      <c r="N73" s="13" t="n">
        <f aca="false">IF(Kalender!A73="",0,J72-H73)</f>
        <v>0.01206576</v>
      </c>
    </row>
    <row r="74" customFormat="false" ht="16.4" hidden="false" customHeight="false" outlineLevel="0" collapsed="false">
      <c r="A74" s="13" t="str">
        <f aca="false">""</f>
        <v/>
      </c>
      <c r="B74" s="13" t="n">
        <f aca="false">70</f>
        <v>70</v>
      </c>
      <c r="C74" s="13" t="n">
        <f aca="false">IF(Szenarien!$H$8="OK",(IFERROR(SUMIF(Nutzungsprofile!$B$6:$B$11,"Schulbetrieb",Nutzungsprofile!$G$6:$G$11)*Kalender!C74/SUM(Kalender!$C$5:$C$370),0)+IFERROR(SUMIF(Nutzungsprofile!$B$6:$B$11,"Halle",Nutzungsprofile!$G$6:$G$11)*Kalender!D74/SUM(Kalender!$D$5:$D$370),0)+IFERROR(SUMIF(Nutzungsprofile!$B$6:$B$11,"Individuell",Nutzungsprofile!$G$6:$G$11)*Kalender!E74/SUM(Kalender!$E$5:$E$370),0))*Szenarien!$E$8,0)</f>
        <v>2.352</v>
      </c>
      <c r="D74" s="13" t="n">
        <f aca="false">IF(Szenarien!$H$8="OK",(IFERROR(SUMIF(Nutzungsprofile!$B$17:$B$22,"Schulbetrieb",Nutzungsprofile!$G$17:$G$22)*Kalender!C74/SUM(Kalender!$C$5:$C$370),0)+IFERROR(SUMIF(Nutzungsprofile!$B$17:$B$22,"Halle",Nutzungsprofile!$G$17:$G$22)*Kalender!D74/SUM(Kalender!$D$5:$D$370),0)+IFERROR(SUMIF(Nutzungsprofile!$B$17:$B$22,"Individuell",Nutzungsprofile!$G$17:$G$22)*Kalender!E74/SUM(Kalender!$E$5:$E$370),0))*Szenarien!$D$8,0)</f>
        <v>4.446</v>
      </c>
      <c r="E74" s="13" t="n">
        <f aca="false">IFERROR(MIN(C74,Eingaben!$B$17)*Eingaben!$B$16,0)</f>
        <v>2.2344</v>
      </c>
      <c r="F74" s="13" t="n">
        <f aca="false">IFERROR(E74*Eingaben!$B$15,0)</f>
        <v>2.01096</v>
      </c>
      <c r="G74" s="13" t="n">
        <f aca="false">IFERROR(IF(Kalender!A74="",0,J73*(1-Eingaben!$B$20)),0)</f>
        <v>0.59122224</v>
      </c>
      <c r="H74" s="13" t="n">
        <f aca="false">MIN(G74,D74)</f>
        <v>0.59122224</v>
      </c>
      <c r="I74" s="13" t="n">
        <f aca="false">IFERROR(MIN(F74*Eingaben!$B$19,MAX(0,D74-H74)),0)</f>
        <v>1.407672</v>
      </c>
      <c r="J74" s="13" t="n">
        <f aca="false">IFERROR(MIN(Eingaben!$B$18,MAX(0,F74-I74)),0)</f>
        <v>0.603288</v>
      </c>
      <c r="K74" s="13" t="n">
        <f aca="false">H74+I74</f>
        <v>1.99889424</v>
      </c>
      <c r="L74" s="13" t="n">
        <f aca="false">MAX(0,D74-K74)</f>
        <v>2.44710576</v>
      </c>
      <c r="M74" s="13" t="n">
        <f aca="false">MAX(0,F74-I74-J74)</f>
        <v>0</v>
      </c>
      <c r="N74" s="13" t="n">
        <f aca="false">IF(Kalender!A74="",0,J73-H74)</f>
        <v>0.01206576</v>
      </c>
    </row>
    <row r="75" customFormat="false" ht="16.4" hidden="false" customHeight="false" outlineLevel="0" collapsed="false">
      <c r="A75" s="13" t="str">
        <f aca="false">""</f>
        <v/>
      </c>
      <c r="B75" s="13" t="n">
        <f aca="false">71</f>
        <v>71</v>
      </c>
      <c r="C75" s="13" t="n">
        <f aca="false">IF(Szenarien!$H$8="OK",(IFERROR(SUMIF(Nutzungsprofile!$B$6:$B$11,"Schulbetrieb",Nutzungsprofile!$G$6:$G$11)*Kalender!C75/SUM(Kalender!$C$5:$C$370),0)+IFERROR(SUMIF(Nutzungsprofile!$B$6:$B$11,"Halle",Nutzungsprofile!$G$6:$G$11)*Kalender!D75/SUM(Kalender!$D$5:$D$370),0)+IFERROR(SUMIF(Nutzungsprofile!$B$6:$B$11,"Individuell",Nutzungsprofile!$G$6:$G$11)*Kalender!E75/SUM(Kalender!$E$5:$E$370),0))*Szenarien!$E$8,0)</f>
        <v>2.352</v>
      </c>
      <c r="D75" s="13" t="n">
        <f aca="false">IF(Szenarien!$H$8="OK",(IFERROR(SUMIF(Nutzungsprofile!$B$17:$B$22,"Schulbetrieb",Nutzungsprofile!$G$17:$G$22)*Kalender!C75/SUM(Kalender!$C$5:$C$370),0)+IFERROR(SUMIF(Nutzungsprofile!$B$17:$B$22,"Halle",Nutzungsprofile!$G$17:$G$22)*Kalender!D75/SUM(Kalender!$D$5:$D$370),0)+IFERROR(SUMIF(Nutzungsprofile!$B$17:$B$22,"Individuell",Nutzungsprofile!$G$17:$G$22)*Kalender!E75/SUM(Kalender!$E$5:$E$370),0))*Szenarien!$D$8,0)</f>
        <v>4.446</v>
      </c>
      <c r="E75" s="13" t="n">
        <f aca="false">IFERROR(MIN(C75,Eingaben!$B$17)*Eingaben!$B$16,0)</f>
        <v>2.2344</v>
      </c>
      <c r="F75" s="13" t="n">
        <f aca="false">IFERROR(E75*Eingaben!$B$15,0)</f>
        <v>2.01096</v>
      </c>
      <c r="G75" s="13" t="n">
        <f aca="false">IFERROR(IF(Kalender!A75="",0,J74*(1-Eingaben!$B$20)),0)</f>
        <v>0.59122224</v>
      </c>
      <c r="H75" s="13" t="n">
        <f aca="false">MIN(G75,D75)</f>
        <v>0.59122224</v>
      </c>
      <c r="I75" s="13" t="n">
        <f aca="false">IFERROR(MIN(F75*Eingaben!$B$19,MAX(0,D75-H75)),0)</f>
        <v>1.407672</v>
      </c>
      <c r="J75" s="13" t="n">
        <f aca="false">IFERROR(MIN(Eingaben!$B$18,MAX(0,F75-I75)),0)</f>
        <v>0.603288</v>
      </c>
      <c r="K75" s="13" t="n">
        <f aca="false">H75+I75</f>
        <v>1.99889424</v>
      </c>
      <c r="L75" s="13" t="n">
        <f aca="false">MAX(0,D75-K75)</f>
        <v>2.44710576</v>
      </c>
      <c r="M75" s="13" t="n">
        <f aca="false">MAX(0,F75-I75-J75)</f>
        <v>0</v>
      </c>
      <c r="N75" s="13" t="n">
        <f aca="false">IF(Kalender!A75="",0,J74-H75)</f>
        <v>0.01206576</v>
      </c>
    </row>
    <row r="76" customFormat="false" ht="16.4" hidden="false" customHeight="false" outlineLevel="0" collapsed="false">
      <c r="A76" s="13" t="str">
        <f aca="false">""</f>
        <v/>
      </c>
      <c r="B76" s="13" t="n">
        <f aca="false">72</f>
        <v>72</v>
      </c>
      <c r="C76" s="13" t="n">
        <f aca="false">IF(Szenarien!$H$8="OK",(IFERROR(SUMIF(Nutzungsprofile!$B$6:$B$11,"Schulbetrieb",Nutzungsprofile!$G$6:$G$11)*Kalender!C76/SUM(Kalender!$C$5:$C$370),0)+IFERROR(SUMIF(Nutzungsprofile!$B$6:$B$11,"Halle",Nutzungsprofile!$G$6:$G$11)*Kalender!D76/SUM(Kalender!$D$5:$D$370),0)+IFERROR(SUMIF(Nutzungsprofile!$B$6:$B$11,"Individuell",Nutzungsprofile!$G$6:$G$11)*Kalender!E76/SUM(Kalender!$E$5:$E$370),0))*Szenarien!$E$8,0)</f>
        <v>2.352</v>
      </c>
      <c r="D76" s="13" t="n">
        <f aca="false">IF(Szenarien!$H$8="OK",(IFERROR(SUMIF(Nutzungsprofile!$B$17:$B$22,"Schulbetrieb",Nutzungsprofile!$G$17:$G$22)*Kalender!C76/SUM(Kalender!$C$5:$C$370),0)+IFERROR(SUMIF(Nutzungsprofile!$B$17:$B$22,"Halle",Nutzungsprofile!$G$17:$G$22)*Kalender!D76/SUM(Kalender!$D$5:$D$370),0)+IFERROR(SUMIF(Nutzungsprofile!$B$17:$B$22,"Individuell",Nutzungsprofile!$G$17:$G$22)*Kalender!E76/SUM(Kalender!$E$5:$E$370),0))*Szenarien!$D$8,0)</f>
        <v>4.446</v>
      </c>
      <c r="E76" s="13" t="n">
        <f aca="false">IFERROR(MIN(C76,Eingaben!$B$17)*Eingaben!$B$16,0)</f>
        <v>2.2344</v>
      </c>
      <c r="F76" s="13" t="n">
        <f aca="false">IFERROR(E76*Eingaben!$B$15,0)</f>
        <v>2.01096</v>
      </c>
      <c r="G76" s="13" t="n">
        <f aca="false">IFERROR(IF(Kalender!A76="",0,J75*(1-Eingaben!$B$20)),0)</f>
        <v>0.59122224</v>
      </c>
      <c r="H76" s="13" t="n">
        <f aca="false">MIN(G76,D76)</f>
        <v>0.59122224</v>
      </c>
      <c r="I76" s="13" t="n">
        <f aca="false">IFERROR(MIN(F76*Eingaben!$B$19,MAX(0,D76-H76)),0)</f>
        <v>1.407672</v>
      </c>
      <c r="J76" s="13" t="n">
        <f aca="false">IFERROR(MIN(Eingaben!$B$18,MAX(0,F76-I76)),0)</f>
        <v>0.603288</v>
      </c>
      <c r="K76" s="13" t="n">
        <f aca="false">H76+I76</f>
        <v>1.99889424</v>
      </c>
      <c r="L76" s="13" t="n">
        <f aca="false">MAX(0,D76-K76)</f>
        <v>2.44710576</v>
      </c>
      <c r="M76" s="13" t="n">
        <f aca="false">MAX(0,F76-I76-J76)</f>
        <v>0</v>
      </c>
      <c r="N76" s="13" t="n">
        <f aca="false">IF(Kalender!A76="",0,J75-H76)</f>
        <v>0.01206576</v>
      </c>
    </row>
    <row r="77" customFormat="false" ht="16.4" hidden="false" customHeight="false" outlineLevel="0" collapsed="false">
      <c r="A77" s="13" t="str">
        <f aca="false">""</f>
        <v/>
      </c>
      <c r="B77" s="13" t="n">
        <f aca="false">73</f>
        <v>73</v>
      </c>
      <c r="C77" s="13" t="n">
        <f aca="false">IF(Szenarien!$H$8="OK",(IFERROR(SUMIF(Nutzungsprofile!$B$6:$B$11,"Schulbetrieb",Nutzungsprofile!$G$6:$G$11)*Kalender!C77/SUM(Kalender!$C$5:$C$370),0)+IFERROR(SUMIF(Nutzungsprofile!$B$6:$B$11,"Halle",Nutzungsprofile!$G$6:$G$11)*Kalender!D77/SUM(Kalender!$D$5:$D$370),0)+IFERROR(SUMIF(Nutzungsprofile!$B$6:$B$11,"Individuell",Nutzungsprofile!$G$6:$G$11)*Kalender!E77/SUM(Kalender!$E$5:$E$370),0))*Szenarien!$E$8,0)</f>
        <v>1.632</v>
      </c>
      <c r="D77" s="13" t="n">
        <f aca="false">IF(Szenarien!$H$8="OK",(IFERROR(SUMIF(Nutzungsprofile!$B$17:$B$22,"Schulbetrieb",Nutzungsprofile!$G$17:$G$22)*Kalender!C77/SUM(Kalender!$C$5:$C$370),0)+IFERROR(SUMIF(Nutzungsprofile!$B$17:$B$22,"Halle",Nutzungsprofile!$G$17:$G$22)*Kalender!D77/SUM(Kalender!$D$5:$D$370),0)+IFERROR(SUMIF(Nutzungsprofile!$B$17:$B$22,"Individuell",Nutzungsprofile!$G$17:$G$22)*Kalender!E77/SUM(Kalender!$E$5:$E$370),0))*Szenarien!$D$8,0)</f>
        <v>0.801</v>
      </c>
      <c r="E77" s="13" t="n">
        <f aca="false">IFERROR(MIN(C77,Eingaben!$B$17)*Eingaben!$B$16,0)</f>
        <v>1.5504</v>
      </c>
      <c r="F77" s="13" t="n">
        <f aca="false">IFERROR(E77*Eingaben!$B$15,0)</f>
        <v>1.39536</v>
      </c>
      <c r="G77" s="13" t="n">
        <f aca="false">IFERROR(IF(Kalender!A77="",0,J76*(1-Eingaben!$B$20)),0)</f>
        <v>0.59122224</v>
      </c>
      <c r="H77" s="13" t="n">
        <f aca="false">MIN(G77,D77)</f>
        <v>0.59122224</v>
      </c>
      <c r="I77" s="13" t="n">
        <f aca="false">IFERROR(MIN(F77*Eingaben!$B$19,MAX(0,D77-H77)),0)</f>
        <v>0.20977776</v>
      </c>
      <c r="J77" s="13" t="n">
        <f aca="false">IFERROR(MIN(Eingaben!$B$18,MAX(0,F77-I77)),0)</f>
        <v>1.18558224</v>
      </c>
      <c r="K77" s="13" t="n">
        <f aca="false">H77+I77</f>
        <v>0.801</v>
      </c>
      <c r="L77" s="13" t="n">
        <f aca="false">MAX(0,D77-K77)</f>
        <v>0</v>
      </c>
      <c r="M77" s="13" t="n">
        <f aca="false">MAX(0,F77-I77-J77)</f>
        <v>0</v>
      </c>
      <c r="N77" s="13" t="n">
        <f aca="false">IF(Kalender!A77="",0,J76-H77)</f>
        <v>0.01206576</v>
      </c>
    </row>
    <row r="78" customFormat="false" ht="16.4" hidden="false" customHeight="false" outlineLevel="0" collapsed="false">
      <c r="A78" s="13" t="str">
        <f aca="false">""</f>
        <v/>
      </c>
      <c r="B78" s="13" t="n">
        <f aca="false">74</f>
        <v>74</v>
      </c>
      <c r="C78" s="13" t="n">
        <f aca="false">IF(Szenarien!$H$8="OK",(IFERROR(SUMIF(Nutzungsprofile!$B$6:$B$11,"Schulbetrieb",Nutzungsprofile!$G$6:$G$11)*Kalender!C78/SUM(Kalender!$C$5:$C$370),0)+IFERROR(SUMIF(Nutzungsprofile!$B$6:$B$11,"Halle",Nutzungsprofile!$G$6:$G$11)*Kalender!D78/SUM(Kalender!$D$5:$D$370),0)+IFERROR(SUMIF(Nutzungsprofile!$B$6:$B$11,"Individuell",Nutzungsprofile!$G$6:$G$11)*Kalender!E78/SUM(Kalender!$E$5:$E$370),0))*Szenarien!$E$8,0)</f>
        <v>1.632</v>
      </c>
      <c r="D78" s="13" t="n">
        <f aca="false">IF(Szenarien!$H$8="OK",(IFERROR(SUMIF(Nutzungsprofile!$B$17:$B$22,"Schulbetrieb",Nutzungsprofile!$G$17:$G$22)*Kalender!C78/SUM(Kalender!$C$5:$C$370),0)+IFERROR(SUMIF(Nutzungsprofile!$B$17:$B$22,"Halle",Nutzungsprofile!$G$17:$G$22)*Kalender!D78/SUM(Kalender!$D$5:$D$370),0)+IFERROR(SUMIF(Nutzungsprofile!$B$17:$B$22,"Individuell",Nutzungsprofile!$G$17:$G$22)*Kalender!E78/SUM(Kalender!$E$5:$E$370),0))*Szenarien!$D$8,0)</f>
        <v>0.801</v>
      </c>
      <c r="E78" s="13" t="n">
        <f aca="false">IFERROR(MIN(C78,Eingaben!$B$17)*Eingaben!$B$16,0)</f>
        <v>1.5504</v>
      </c>
      <c r="F78" s="13" t="n">
        <f aca="false">IFERROR(E78*Eingaben!$B$15,0)</f>
        <v>1.39536</v>
      </c>
      <c r="G78" s="13" t="n">
        <f aca="false">IFERROR(IF(Kalender!A78="",0,J77*(1-Eingaben!$B$20)),0)</f>
        <v>1.1618705952</v>
      </c>
      <c r="H78" s="13" t="n">
        <f aca="false">MIN(G78,D78)</f>
        <v>0.801</v>
      </c>
      <c r="I78" s="13" t="n">
        <f aca="false">IFERROR(MIN(F78*Eingaben!$B$19,MAX(0,D78-H78)),0)</f>
        <v>0</v>
      </c>
      <c r="J78" s="13" t="n">
        <f aca="false">IFERROR(MIN(Eingaben!$B$18,MAX(0,F78-I78)),0)</f>
        <v>1.39536</v>
      </c>
      <c r="K78" s="13" t="n">
        <f aca="false">H78+I78</f>
        <v>0.801</v>
      </c>
      <c r="L78" s="13" t="n">
        <f aca="false">MAX(0,D78-K78)</f>
        <v>0</v>
      </c>
      <c r="M78" s="13" t="n">
        <f aca="false">MAX(0,F78-I78-J78)</f>
        <v>0</v>
      </c>
      <c r="N78" s="13" t="n">
        <f aca="false">IF(Kalender!A78="",0,J77-H78)</f>
        <v>0.38458224</v>
      </c>
    </row>
    <row r="79" customFormat="false" ht="16.4" hidden="false" customHeight="false" outlineLevel="0" collapsed="false">
      <c r="A79" s="13" t="str">
        <f aca="false">""</f>
        <v/>
      </c>
      <c r="B79" s="13" t="n">
        <f aca="false">75</f>
        <v>75</v>
      </c>
      <c r="C79" s="13" t="n">
        <f aca="false">IF(Szenarien!$H$8="OK",(IFERROR(SUMIF(Nutzungsprofile!$B$6:$B$11,"Schulbetrieb",Nutzungsprofile!$G$6:$G$11)*Kalender!C79/SUM(Kalender!$C$5:$C$370),0)+IFERROR(SUMIF(Nutzungsprofile!$B$6:$B$11,"Halle",Nutzungsprofile!$G$6:$G$11)*Kalender!D79/SUM(Kalender!$D$5:$D$370),0)+IFERROR(SUMIF(Nutzungsprofile!$B$6:$B$11,"Individuell",Nutzungsprofile!$G$6:$G$11)*Kalender!E79/SUM(Kalender!$E$5:$E$370),0))*Szenarien!$E$8,0)</f>
        <v>2.352</v>
      </c>
      <c r="D79" s="13" t="n">
        <f aca="false">IF(Szenarien!$H$8="OK",(IFERROR(SUMIF(Nutzungsprofile!$B$17:$B$22,"Schulbetrieb",Nutzungsprofile!$G$17:$G$22)*Kalender!C79/SUM(Kalender!$C$5:$C$370),0)+IFERROR(SUMIF(Nutzungsprofile!$B$17:$B$22,"Halle",Nutzungsprofile!$G$17:$G$22)*Kalender!D79/SUM(Kalender!$D$5:$D$370),0)+IFERROR(SUMIF(Nutzungsprofile!$B$17:$B$22,"Individuell",Nutzungsprofile!$G$17:$G$22)*Kalender!E79/SUM(Kalender!$E$5:$E$370),0))*Szenarien!$D$8,0)</f>
        <v>4.446</v>
      </c>
      <c r="E79" s="13" t="n">
        <f aca="false">IFERROR(MIN(C79,Eingaben!$B$17)*Eingaben!$B$16,0)</f>
        <v>2.2344</v>
      </c>
      <c r="F79" s="13" t="n">
        <f aca="false">IFERROR(E79*Eingaben!$B$15,0)</f>
        <v>2.01096</v>
      </c>
      <c r="G79" s="13" t="n">
        <f aca="false">IFERROR(IF(Kalender!A79="",0,J78*(1-Eingaben!$B$20)),0)</f>
        <v>1.3674528</v>
      </c>
      <c r="H79" s="13" t="n">
        <f aca="false">MIN(G79,D79)</f>
        <v>1.3674528</v>
      </c>
      <c r="I79" s="13" t="n">
        <f aca="false">IFERROR(MIN(F79*Eingaben!$B$19,MAX(0,D79-H79)),0)</f>
        <v>1.407672</v>
      </c>
      <c r="J79" s="13" t="n">
        <f aca="false">IFERROR(MIN(Eingaben!$B$18,MAX(0,F79-I79)),0)</f>
        <v>0.603288</v>
      </c>
      <c r="K79" s="13" t="n">
        <f aca="false">H79+I79</f>
        <v>2.7751248</v>
      </c>
      <c r="L79" s="13" t="n">
        <f aca="false">MAX(0,D79-K79)</f>
        <v>1.6708752</v>
      </c>
      <c r="M79" s="13" t="n">
        <f aca="false">MAX(0,F79-I79-J79)</f>
        <v>0</v>
      </c>
      <c r="N79" s="13" t="n">
        <f aca="false">IF(Kalender!A79="",0,J78-H79)</f>
        <v>0.0279072</v>
      </c>
    </row>
    <row r="80" customFormat="false" ht="16.4" hidden="false" customHeight="false" outlineLevel="0" collapsed="false">
      <c r="A80" s="13" t="str">
        <f aca="false">""</f>
        <v/>
      </c>
      <c r="B80" s="13" t="n">
        <f aca="false">76</f>
        <v>76</v>
      </c>
      <c r="C80" s="13" t="n">
        <f aca="false">IF(Szenarien!$H$8="OK",(IFERROR(SUMIF(Nutzungsprofile!$B$6:$B$11,"Schulbetrieb",Nutzungsprofile!$G$6:$G$11)*Kalender!C80/SUM(Kalender!$C$5:$C$370),0)+IFERROR(SUMIF(Nutzungsprofile!$B$6:$B$11,"Halle",Nutzungsprofile!$G$6:$G$11)*Kalender!D80/SUM(Kalender!$D$5:$D$370),0)+IFERROR(SUMIF(Nutzungsprofile!$B$6:$B$11,"Individuell",Nutzungsprofile!$G$6:$G$11)*Kalender!E80/SUM(Kalender!$E$5:$E$370),0))*Szenarien!$E$8,0)</f>
        <v>2.352</v>
      </c>
      <c r="D80" s="13" t="n">
        <f aca="false">IF(Szenarien!$H$8="OK",(IFERROR(SUMIF(Nutzungsprofile!$B$17:$B$22,"Schulbetrieb",Nutzungsprofile!$G$17:$G$22)*Kalender!C80/SUM(Kalender!$C$5:$C$370),0)+IFERROR(SUMIF(Nutzungsprofile!$B$17:$B$22,"Halle",Nutzungsprofile!$G$17:$G$22)*Kalender!D80/SUM(Kalender!$D$5:$D$370),0)+IFERROR(SUMIF(Nutzungsprofile!$B$17:$B$22,"Individuell",Nutzungsprofile!$G$17:$G$22)*Kalender!E80/SUM(Kalender!$E$5:$E$370),0))*Szenarien!$D$8,0)</f>
        <v>4.446</v>
      </c>
      <c r="E80" s="13" t="n">
        <f aca="false">IFERROR(MIN(C80,Eingaben!$B$17)*Eingaben!$B$16,0)</f>
        <v>2.2344</v>
      </c>
      <c r="F80" s="13" t="n">
        <f aca="false">IFERROR(E80*Eingaben!$B$15,0)</f>
        <v>2.01096</v>
      </c>
      <c r="G80" s="13" t="n">
        <f aca="false">IFERROR(IF(Kalender!A80="",0,J79*(1-Eingaben!$B$20)),0)</f>
        <v>0.59122224</v>
      </c>
      <c r="H80" s="13" t="n">
        <f aca="false">MIN(G80,D80)</f>
        <v>0.59122224</v>
      </c>
      <c r="I80" s="13" t="n">
        <f aca="false">IFERROR(MIN(F80*Eingaben!$B$19,MAX(0,D80-H80)),0)</f>
        <v>1.407672</v>
      </c>
      <c r="J80" s="13" t="n">
        <f aca="false">IFERROR(MIN(Eingaben!$B$18,MAX(0,F80-I80)),0)</f>
        <v>0.603288</v>
      </c>
      <c r="K80" s="13" t="n">
        <f aca="false">H80+I80</f>
        <v>1.99889424</v>
      </c>
      <c r="L80" s="13" t="n">
        <f aca="false">MAX(0,D80-K80)</f>
        <v>2.44710576</v>
      </c>
      <c r="M80" s="13" t="n">
        <f aca="false">MAX(0,F80-I80-J80)</f>
        <v>0</v>
      </c>
      <c r="N80" s="13" t="n">
        <f aca="false">IF(Kalender!A80="",0,J79-H80)</f>
        <v>0.01206576</v>
      </c>
    </row>
    <row r="81" customFormat="false" ht="16.4" hidden="false" customHeight="false" outlineLevel="0" collapsed="false">
      <c r="A81" s="13" t="str">
        <f aca="false">""</f>
        <v/>
      </c>
      <c r="B81" s="13" t="n">
        <f aca="false">77</f>
        <v>77</v>
      </c>
      <c r="C81" s="13" t="n">
        <f aca="false">IF(Szenarien!$H$8="OK",(IFERROR(SUMIF(Nutzungsprofile!$B$6:$B$11,"Schulbetrieb",Nutzungsprofile!$G$6:$G$11)*Kalender!C81/SUM(Kalender!$C$5:$C$370),0)+IFERROR(SUMIF(Nutzungsprofile!$B$6:$B$11,"Halle",Nutzungsprofile!$G$6:$G$11)*Kalender!D81/SUM(Kalender!$D$5:$D$370),0)+IFERROR(SUMIF(Nutzungsprofile!$B$6:$B$11,"Individuell",Nutzungsprofile!$G$6:$G$11)*Kalender!E81/SUM(Kalender!$E$5:$E$370),0))*Szenarien!$E$8,0)</f>
        <v>2.352</v>
      </c>
      <c r="D81" s="13" t="n">
        <f aca="false">IF(Szenarien!$H$8="OK",(IFERROR(SUMIF(Nutzungsprofile!$B$17:$B$22,"Schulbetrieb",Nutzungsprofile!$G$17:$G$22)*Kalender!C81/SUM(Kalender!$C$5:$C$370),0)+IFERROR(SUMIF(Nutzungsprofile!$B$17:$B$22,"Halle",Nutzungsprofile!$G$17:$G$22)*Kalender!D81/SUM(Kalender!$D$5:$D$370),0)+IFERROR(SUMIF(Nutzungsprofile!$B$17:$B$22,"Individuell",Nutzungsprofile!$G$17:$G$22)*Kalender!E81/SUM(Kalender!$E$5:$E$370),0))*Szenarien!$D$8,0)</f>
        <v>4.446</v>
      </c>
      <c r="E81" s="13" t="n">
        <f aca="false">IFERROR(MIN(C81,Eingaben!$B$17)*Eingaben!$B$16,0)</f>
        <v>2.2344</v>
      </c>
      <c r="F81" s="13" t="n">
        <f aca="false">IFERROR(E81*Eingaben!$B$15,0)</f>
        <v>2.01096</v>
      </c>
      <c r="G81" s="13" t="n">
        <f aca="false">IFERROR(IF(Kalender!A81="",0,J80*(1-Eingaben!$B$20)),0)</f>
        <v>0.59122224</v>
      </c>
      <c r="H81" s="13" t="n">
        <f aca="false">MIN(G81,D81)</f>
        <v>0.59122224</v>
      </c>
      <c r="I81" s="13" t="n">
        <f aca="false">IFERROR(MIN(F81*Eingaben!$B$19,MAX(0,D81-H81)),0)</f>
        <v>1.407672</v>
      </c>
      <c r="J81" s="13" t="n">
        <f aca="false">IFERROR(MIN(Eingaben!$B$18,MAX(0,F81-I81)),0)</f>
        <v>0.603288</v>
      </c>
      <c r="K81" s="13" t="n">
        <f aca="false">H81+I81</f>
        <v>1.99889424</v>
      </c>
      <c r="L81" s="13" t="n">
        <f aca="false">MAX(0,D81-K81)</f>
        <v>2.44710576</v>
      </c>
      <c r="M81" s="13" t="n">
        <f aca="false">MAX(0,F81-I81-J81)</f>
        <v>0</v>
      </c>
      <c r="N81" s="13" t="n">
        <f aca="false">IF(Kalender!A81="",0,J80-H81)</f>
        <v>0.01206576</v>
      </c>
    </row>
    <row r="82" customFormat="false" ht="16.4" hidden="false" customHeight="false" outlineLevel="0" collapsed="false">
      <c r="A82" s="13" t="str">
        <f aca="false">""</f>
        <v/>
      </c>
      <c r="B82" s="13" t="n">
        <f aca="false">78</f>
        <v>78</v>
      </c>
      <c r="C82" s="13" t="n">
        <f aca="false">IF(Szenarien!$H$8="OK",(IFERROR(SUMIF(Nutzungsprofile!$B$6:$B$11,"Schulbetrieb",Nutzungsprofile!$G$6:$G$11)*Kalender!C82/SUM(Kalender!$C$5:$C$370),0)+IFERROR(SUMIF(Nutzungsprofile!$B$6:$B$11,"Halle",Nutzungsprofile!$G$6:$G$11)*Kalender!D82/SUM(Kalender!$D$5:$D$370),0)+IFERROR(SUMIF(Nutzungsprofile!$B$6:$B$11,"Individuell",Nutzungsprofile!$G$6:$G$11)*Kalender!E82/SUM(Kalender!$E$5:$E$370),0))*Szenarien!$E$8,0)</f>
        <v>2.352</v>
      </c>
      <c r="D82" s="13" t="n">
        <f aca="false">IF(Szenarien!$H$8="OK",(IFERROR(SUMIF(Nutzungsprofile!$B$17:$B$22,"Schulbetrieb",Nutzungsprofile!$G$17:$G$22)*Kalender!C82/SUM(Kalender!$C$5:$C$370),0)+IFERROR(SUMIF(Nutzungsprofile!$B$17:$B$22,"Halle",Nutzungsprofile!$G$17:$G$22)*Kalender!D82/SUM(Kalender!$D$5:$D$370),0)+IFERROR(SUMIF(Nutzungsprofile!$B$17:$B$22,"Individuell",Nutzungsprofile!$G$17:$G$22)*Kalender!E82/SUM(Kalender!$E$5:$E$370),0))*Szenarien!$D$8,0)</f>
        <v>4.446</v>
      </c>
      <c r="E82" s="13" t="n">
        <f aca="false">IFERROR(MIN(C82,Eingaben!$B$17)*Eingaben!$B$16,0)</f>
        <v>2.2344</v>
      </c>
      <c r="F82" s="13" t="n">
        <f aca="false">IFERROR(E82*Eingaben!$B$15,0)</f>
        <v>2.01096</v>
      </c>
      <c r="G82" s="13" t="n">
        <f aca="false">IFERROR(IF(Kalender!A82="",0,J81*(1-Eingaben!$B$20)),0)</f>
        <v>0.59122224</v>
      </c>
      <c r="H82" s="13" t="n">
        <f aca="false">MIN(G82,D82)</f>
        <v>0.59122224</v>
      </c>
      <c r="I82" s="13" t="n">
        <f aca="false">IFERROR(MIN(F82*Eingaben!$B$19,MAX(0,D82-H82)),0)</f>
        <v>1.407672</v>
      </c>
      <c r="J82" s="13" t="n">
        <f aca="false">IFERROR(MIN(Eingaben!$B$18,MAX(0,F82-I82)),0)</f>
        <v>0.603288</v>
      </c>
      <c r="K82" s="13" t="n">
        <f aca="false">H82+I82</f>
        <v>1.99889424</v>
      </c>
      <c r="L82" s="13" t="n">
        <f aca="false">MAX(0,D82-K82)</f>
        <v>2.44710576</v>
      </c>
      <c r="M82" s="13" t="n">
        <f aca="false">MAX(0,F82-I82-J82)</f>
        <v>0</v>
      </c>
      <c r="N82" s="13" t="n">
        <f aca="false">IF(Kalender!A82="",0,J81-H82)</f>
        <v>0.01206576</v>
      </c>
    </row>
    <row r="83" customFormat="false" ht="16.4" hidden="false" customHeight="false" outlineLevel="0" collapsed="false">
      <c r="A83" s="13" t="str">
        <f aca="false">""</f>
        <v/>
      </c>
      <c r="B83" s="13" t="n">
        <f aca="false">79</f>
        <v>79</v>
      </c>
      <c r="C83" s="13" t="n">
        <f aca="false">IF(Szenarien!$H$8="OK",(IFERROR(SUMIF(Nutzungsprofile!$B$6:$B$11,"Schulbetrieb",Nutzungsprofile!$G$6:$G$11)*Kalender!C83/SUM(Kalender!$C$5:$C$370),0)+IFERROR(SUMIF(Nutzungsprofile!$B$6:$B$11,"Halle",Nutzungsprofile!$G$6:$G$11)*Kalender!D83/SUM(Kalender!$D$5:$D$370),0)+IFERROR(SUMIF(Nutzungsprofile!$B$6:$B$11,"Individuell",Nutzungsprofile!$G$6:$G$11)*Kalender!E83/SUM(Kalender!$E$5:$E$370),0))*Szenarien!$E$8,0)</f>
        <v>2.352</v>
      </c>
      <c r="D83" s="13" t="n">
        <f aca="false">IF(Szenarien!$H$8="OK",(IFERROR(SUMIF(Nutzungsprofile!$B$17:$B$22,"Schulbetrieb",Nutzungsprofile!$G$17:$G$22)*Kalender!C83/SUM(Kalender!$C$5:$C$370),0)+IFERROR(SUMIF(Nutzungsprofile!$B$17:$B$22,"Halle",Nutzungsprofile!$G$17:$G$22)*Kalender!D83/SUM(Kalender!$D$5:$D$370),0)+IFERROR(SUMIF(Nutzungsprofile!$B$17:$B$22,"Individuell",Nutzungsprofile!$G$17:$G$22)*Kalender!E83/SUM(Kalender!$E$5:$E$370),0))*Szenarien!$D$8,0)</f>
        <v>4.446</v>
      </c>
      <c r="E83" s="13" t="n">
        <f aca="false">IFERROR(MIN(C83,Eingaben!$B$17)*Eingaben!$B$16,0)</f>
        <v>2.2344</v>
      </c>
      <c r="F83" s="13" t="n">
        <f aca="false">IFERROR(E83*Eingaben!$B$15,0)</f>
        <v>2.01096</v>
      </c>
      <c r="G83" s="13" t="n">
        <f aca="false">IFERROR(IF(Kalender!A83="",0,J82*(1-Eingaben!$B$20)),0)</f>
        <v>0.59122224</v>
      </c>
      <c r="H83" s="13" t="n">
        <f aca="false">MIN(G83,D83)</f>
        <v>0.59122224</v>
      </c>
      <c r="I83" s="13" t="n">
        <f aca="false">IFERROR(MIN(F83*Eingaben!$B$19,MAX(0,D83-H83)),0)</f>
        <v>1.407672</v>
      </c>
      <c r="J83" s="13" t="n">
        <f aca="false">IFERROR(MIN(Eingaben!$B$18,MAX(0,F83-I83)),0)</f>
        <v>0.603288</v>
      </c>
      <c r="K83" s="13" t="n">
        <f aca="false">H83+I83</f>
        <v>1.99889424</v>
      </c>
      <c r="L83" s="13" t="n">
        <f aca="false">MAX(0,D83-K83)</f>
        <v>2.44710576</v>
      </c>
      <c r="M83" s="13" t="n">
        <f aca="false">MAX(0,F83-I83-J83)</f>
        <v>0</v>
      </c>
      <c r="N83" s="13" t="n">
        <f aca="false">IF(Kalender!A83="",0,J82-H83)</f>
        <v>0.01206576</v>
      </c>
    </row>
    <row r="84" customFormat="false" ht="16.4" hidden="false" customHeight="false" outlineLevel="0" collapsed="false">
      <c r="A84" s="13" t="str">
        <f aca="false">""</f>
        <v/>
      </c>
      <c r="B84" s="13" t="n">
        <f aca="false">80</f>
        <v>80</v>
      </c>
      <c r="C84" s="13" t="n">
        <f aca="false">IF(Szenarien!$H$8="OK",(IFERROR(SUMIF(Nutzungsprofile!$B$6:$B$11,"Schulbetrieb",Nutzungsprofile!$G$6:$G$11)*Kalender!C84/SUM(Kalender!$C$5:$C$370),0)+IFERROR(SUMIF(Nutzungsprofile!$B$6:$B$11,"Halle",Nutzungsprofile!$G$6:$G$11)*Kalender!D84/SUM(Kalender!$D$5:$D$370),0)+IFERROR(SUMIF(Nutzungsprofile!$B$6:$B$11,"Individuell",Nutzungsprofile!$G$6:$G$11)*Kalender!E84/SUM(Kalender!$E$5:$E$370),0))*Szenarien!$E$8,0)</f>
        <v>1.632</v>
      </c>
      <c r="D84" s="13" t="n">
        <f aca="false">IF(Szenarien!$H$8="OK",(IFERROR(SUMIF(Nutzungsprofile!$B$17:$B$22,"Schulbetrieb",Nutzungsprofile!$G$17:$G$22)*Kalender!C84/SUM(Kalender!$C$5:$C$370),0)+IFERROR(SUMIF(Nutzungsprofile!$B$17:$B$22,"Halle",Nutzungsprofile!$G$17:$G$22)*Kalender!D84/SUM(Kalender!$D$5:$D$370),0)+IFERROR(SUMIF(Nutzungsprofile!$B$17:$B$22,"Individuell",Nutzungsprofile!$G$17:$G$22)*Kalender!E84/SUM(Kalender!$E$5:$E$370),0))*Szenarien!$D$8,0)</f>
        <v>0.801</v>
      </c>
      <c r="E84" s="13" t="n">
        <f aca="false">IFERROR(MIN(C84,Eingaben!$B$17)*Eingaben!$B$16,0)</f>
        <v>1.5504</v>
      </c>
      <c r="F84" s="13" t="n">
        <f aca="false">IFERROR(E84*Eingaben!$B$15,0)</f>
        <v>1.39536</v>
      </c>
      <c r="G84" s="13" t="n">
        <f aca="false">IFERROR(IF(Kalender!A84="",0,J83*(1-Eingaben!$B$20)),0)</f>
        <v>0.59122224</v>
      </c>
      <c r="H84" s="13" t="n">
        <f aca="false">MIN(G84,D84)</f>
        <v>0.59122224</v>
      </c>
      <c r="I84" s="13" t="n">
        <f aca="false">IFERROR(MIN(F84*Eingaben!$B$19,MAX(0,D84-H84)),0)</f>
        <v>0.20977776</v>
      </c>
      <c r="J84" s="13" t="n">
        <f aca="false">IFERROR(MIN(Eingaben!$B$18,MAX(0,F84-I84)),0)</f>
        <v>1.18558224</v>
      </c>
      <c r="K84" s="13" t="n">
        <f aca="false">H84+I84</f>
        <v>0.801</v>
      </c>
      <c r="L84" s="13" t="n">
        <f aca="false">MAX(0,D84-K84)</f>
        <v>0</v>
      </c>
      <c r="M84" s="13" t="n">
        <f aca="false">MAX(0,F84-I84-J84)</f>
        <v>0</v>
      </c>
      <c r="N84" s="13" t="n">
        <f aca="false">IF(Kalender!A84="",0,J83-H84)</f>
        <v>0.01206576</v>
      </c>
    </row>
    <row r="85" customFormat="false" ht="16.4" hidden="false" customHeight="false" outlineLevel="0" collapsed="false">
      <c r="A85" s="13" t="str">
        <f aca="false">""</f>
        <v/>
      </c>
      <c r="B85" s="13" t="n">
        <f aca="false">81</f>
        <v>81</v>
      </c>
      <c r="C85" s="13" t="n">
        <f aca="false">IF(Szenarien!$H$8="OK",(IFERROR(SUMIF(Nutzungsprofile!$B$6:$B$11,"Schulbetrieb",Nutzungsprofile!$G$6:$G$11)*Kalender!C85/SUM(Kalender!$C$5:$C$370),0)+IFERROR(SUMIF(Nutzungsprofile!$B$6:$B$11,"Halle",Nutzungsprofile!$G$6:$G$11)*Kalender!D85/SUM(Kalender!$D$5:$D$370),0)+IFERROR(SUMIF(Nutzungsprofile!$B$6:$B$11,"Individuell",Nutzungsprofile!$G$6:$G$11)*Kalender!E85/SUM(Kalender!$E$5:$E$370),0))*Szenarien!$E$8,0)</f>
        <v>1.632</v>
      </c>
      <c r="D85" s="13" t="n">
        <f aca="false">IF(Szenarien!$H$8="OK",(IFERROR(SUMIF(Nutzungsprofile!$B$17:$B$22,"Schulbetrieb",Nutzungsprofile!$G$17:$G$22)*Kalender!C85/SUM(Kalender!$C$5:$C$370),0)+IFERROR(SUMIF(Nutzungsprofile!$B$17:$B$22,"Halle",Nutzungsprofile!$G$17:$G$22)*Kalender!D85/SUM(Kalender!$D$5:$D$370),0)+IFERROR(SUMIF(Nutzungsprofile!$B$17:$B$22,"Individuell",Nutzungsprofile!$G$17:$G$22)*Kalender!E85/SUM(Kalender!$E$5:$E$370),0))*Szenarien!$D$8,0)</f>
        <v>0.801</v>
      </c>
      <c r="E85" s="13" t="n">
        <f aca="false">IFERROR(MIN(C85,Eingaben!$B$17)*Eingaben!$B$16,0)</f>
        <v>1.5504</v>
      </c>
      <c r="F85" s="13" t="n">
        <f aca="false">IFERROR(E85*Eingaben!$B$15,0)</f>
        <v>1.39536</v>
      </c>
      <c r="G85" s="13" t="n">
        <f aca="false">IFERROR(IF(Kalender!A85="",0,J84*(1-Eingaben!$B$20)),0)</f>
        <v>1.1618705952</v>
      </c>
      <c r="H85" s="13" t="n">
        <f aca="false">MIN(G85,D85)</f>
        <v>0.801</v>
      </c>
      <c r="I85" s="13" t="n">
        <f aca="false">IFERROR(MIN(F85*Eingaben!$B$19,MAX(0,D85-H85)),0)</f>
        <v>0</v>
      </c>
      <c r="J85" s="13" t="n">
        <f aca="false">IFERROR(MIN(Eingaben!$B$18,MAX(0,F85-I85)),0)</f>
        <v>1.39536</v>
      </c>
      <c r="K85" s="13" t="n">
        <f aca="false">H85+I85</f>
        <v>0.801</v>
      </c>
      <c r="L85" s="13" t="n">
        <f aca="false">MAX(0,D85-K85)</f>
        <v>0</v>
      </c>
      <c r="M85" s="13" t="n">
        <f aca="false">MAX(0,F85-I85-J85)</f>
        <v>0</v>
      </c>
      <c r="N85" s="13" t="n">
        <f aca="false">IF(Kalender!A85="",0,J84-H85)</f>
        <v>0.38458224</v>
      </c>
    </row>
    <row r="86" customFormat="false" ht="16.4" hidden="false" customHeight="false" outlineLevel="0" collapsed="false">
      <c r="A86" s="13" t="str">
        <f aca="false">""</f>
        <v/>
      </c>
      <c r="B86" s="13" t="n">
        <f aca="false">82</f>
        <v>82</v>
      </c>
      <c r="C86" s="13" t="n">
        <f aca="false">IF(Szenarien!$H$8="OK",(IFERROR(SUMIF(Nutzungsprofile!$B$6:$B$11,"Schulbetrieb",Nutzungsprofile!$G$6:$G$11)*Kalender!C86/SUM(Kalender!$C$5:$C$370),0)+IFERROR(SUMIF(Nutzungsprofile!$B$6:$B$11,"Halle",Nutzungsprofile!$G$6:$G$11)*Kalender!D86/SUM(Kalender!$D$5:$D$370),0)+IFERROR(SUMIF(Nutzungsprofile!$B$6:$B$11,"Individuell",Nutzungsprofile!$G$6:$G$11)*Kalender!E86/SUM(Kalender!$E$5:$E$370),0))*Szenarien!$E$8,0)</f>
        <v>2.352</v>
      </c>
      <c r="D86" s="13" t="n">
        <f aca="false">IF(Szenarien!$H$8="OK",(IFERROR(SUMIF(Nutzungsprofile!$B$17:$B$22,"Schulbetrieb",Nutzungsprofile!$G$17:$G$22)*Kalender!C86/SUM(Kalender!$C$5:$C$370),0)+IFERROR(SUMIF(Nutzungsprofile!$B$17:$B$22,"Halle",Nutzungsprofile!$G$17:$G$22)*Kalender!D86/SUM(Kalender!$D$5:$D$370),0)+IFERROR(SUMIF(Nutzungsprofile!$B$17:$B$22,"Individuell",Nutzungsprofile!$G$17:$G$22)*Kalender!E86/SUM(Kalender!$E$5:$E$370),0))*Szenarien!$D$8,0)</f>
        <v>4.446</v>
      </c>
      <c r="E86" s="13" t="n">
        <f aca="false">IFERROR(MIN(C86,Eingaben!$B$17)*Eingaben!$B$16,0)</f>
        <v>2.2344</v>
      </c>
      <c r="F86" s="13" t="n">
        <f aca="false">IFERROR(E86*Eingaben!$B$15,0)</f>
        <v>2.01096</v>
      </c>
      <c r="G86" s="13" t="n">
        <f aca="false">IFERROR(IF(Kalender!A86="",0,J85*(1-Eingaben!$B$20)),0)</f>
        <v>1.3674528</v>
      </c>
      <c r="H86" s="13" t="n">
        <f aca="false">MIN(G86,D86)</f>
        <v>1.3674528</v>
      </c>
      <c r="I86" s="13" t="n">
        <f aca="false">IFERROR(MIN(F86*Eingaben!$B$19,MAX(0,D86-H86)),0)</f>
        <v>1.407672</v>
      </c>
      <c r="J86" s="13" t="n">
        <f aca="false">IFERROR(MIN(Eingaben!$B$18,MAX(0,F86-I86)),0)</f>
        <v>0.603288</v>
      </c>
      <c r="K86" s="13" t="n">
        <f aca="false">H86+I86</f>
        <v>2.7751248</v>
      </c>
      <c r="L86" s="13" t="n">
        <f aca="false">MAX(0,D86-K86)</f>
        <v>1.6708752</v>
      </c>
      <c r="M86" s="13" t="n">
        <f aca="false">MAX(0,F86-I86-J86)</f>
        <v>0</v>
      </c>
      <c r="N86" s="13" t="n">
        <f aca="false">IF(Kalender!A86="",0,J85-H86)</f>
        <v>0.0279072</v>
      </c>
    </row>
    <row r="87" customFormat="false" ht="16.4" hidden="false" customHeight="false" outlineLevel="0" collapsed="false">
      <c r="A87" s="13" t="str">
        <f aca="false">""</f>
        <v/>
      </c>
      <c r="B87" s="13" t="n">
        <f aca="false">83</f>
        <v>83</v>
      </c>
      <c r="C87" s="13" t="n">
        <f aca="false">IF(Szenarien!$H$8="OK",(IFERROR(SUMIF(Nutzungsprofile!$B$6:$B$11,"Schulbetrieb",Nutzungsprofile!$G$6:$G$11)*Kalender!C87/SUM(Kalender!$C$5:$C$370),0)+IFERROR(SUMIF(Nutzungsprofile!$B$6:$B$11,"Halle",Nutzungsprofile!$G$6:$G$11)*Kalender!D87/SUM(Kalender!$D$5:$D$370),0)+IFERROR(SUMIF(Nutzungsprofile!$B$6:$B$11,"Individuell",Nutzungsprofile!$G$6:$G$11)*Kalender!E87/SUM(Kalender!$E$5:$E$370),0))*Szenarien!$E$8,0)</f>
        <v>2.352</v>
      </c>
      <c r="D87" s="13" t="n">
        <f aca="false">IF(Szenarien!$H$8="OK",(IFERROR(SUMIF(Nutzungsprofile!$B$17:$B$22,"Schulbetrieb",Nutzungsprofile!$G$17:$G$22)*Kalender!C87/SUM(Kalender!$C$5:$C$370),0)+IFERROR(SUMIF(Nutzungsprofile!$B$17:$B$22,"Halle",Nutzungsprofile!$G$17:$G$22)*Kalender!D87/SUM(Kalender!$D$5:$D$370),0)+IFERROR(SUMIF(Nutzungsprofile!$B$17:$B$22,"Individuell",Nutzungsprofile!$G$17:$G$22)*Kalender!E87/SUM(Kalender!$E$5:$E$370),0))*Szenarien!$D$8,0)</f>
        <v>4.446</v>
      </c>
      <c r="E87" s="13" t="n">
        <f aca="false">IFERROR(MIN(C87,Eingaben!$B$17)*Eingaben!$B$16,0)</f>
        <v>2.2344</v>
      </c>
      <c r="F87" s="13" t="n">
        <f aca="false">IFERROR(E87*Eingaben!$B$15,0)</f>
        <v>2.01096</v>
      </c>
      <c r="G87" s="13" t="n">
        <f aca="false">IFERROR(IF(Kalender!A87="",0,J86*(1-Eingaben!$B$20)),0)</f>
        <v>0.59122224</v>
      </c>
      <c r="H87" s="13" t="n">
        <f aca="false">MIN(G87,D87)</f>
        <v>0.59122224</v>
      </c>
      <c r="I87" s="13" t="n">
        <f aca="false">IFERROR(MIN(F87*Eingaben!$B$19,MAX(0,D87-H87)),0)</f>
        <v>1.407672</v>
      </c>
      <c r="J87" s="13" t="n">
        <f aca="false">IFERROR(MIN(Eingaben!$B$18,MAX(0,F87-I87)),0)</f>
        <v>0.603288</v>
      </c>
      <c r="K87" s="13" t="n">
        <f aca="false">H87+I87</f>
        <v>1.99889424</v>
      </c>
      <c r="L87" s="13" t="n">
        <f aca="false">MAX(0,D87-K87)</f>
        <v>2.44710576</v>
      </c>
      <c r="M87" s="13" t="n">
        <f aca="false">MAX(0,F87-I87-J87)</f>
        <v>0</v>
      </c>
      <c r="N87" s="13" t="n">
        <f aca="false">IF(Kalender!A87="",0,J86-H87)</f>
        <v>0.01206576</v>
      </c>
    </row>
    <row r="88" customFormat="false" ht="16.4" hidden="false" customHeight="false" outlineLevel="0" collapsed="false">
      <c r="A88" s="13" t="str">
        <f aca="false">""</f>
        <v/>
      </c>
      <c r="B88" s="13" t="n">
        <f aca="false">84</f>
        <v>84</v>
      </c>
      <c r="C88" s="13" t="n">
        <f aca="false">IF(Szenarien!$H$8="OK",(IFERROR(SUMIF(Nutzungsprofile!$B$6:$B$11,"Schulbetrieb",Nutzungsprofile!$G$6:$G$11)*Kalender!C88/SUM(Kalender!$C$5:$C$370),0)+IFERROR(SUMIF(Nutzungsprofile!$B$6:$B$11,"Halle",Nutzungsprofile!$G$6:$G$11)*Kalender!D88/SUM(Kalender!$D$5:$D$370),0)+IFERROR(SUMIF(Nutzungsprofile!$B$6:$B$11,"Individuell",Nutzungsprofile!$G$6:$G$11)*Kalender!E88/SUM(Kalender!$E$5:$E$370),0))*Szenarien!$E$8,0)</f>
        <v>2.352</v>
      </c>
      <c r="D88" s="13" t="n">
        <f aca="false">IF(Szenarien!$H$8="OK",(IFERROR(SUMIF(Nutzungsprofile!$B$17:$B$22,"Schulbetrieb",Nutzungsprofile!$G$17:$G$22)*Kalender!C88/SUM(Kalender!$C$5:$C$370),0)+IFERROR(SUMIF(Nutzungsprofile!$B$17:$B$22,"Halle",Nutzungsprofile!$G$17:$G$22)*Kalender!D88/SUM(Kalender!$D$5:$D$370),0)+IFERROR(SUMIF(Nutzungsprofile!$B$17:$B$22,"Individuell",Nutzungsprofile!$G$17:$G$22)*Kalender!E88/SUM(Kalender!$E$5:$E$370),0))*Szenarien!$D$8,0)</f>
        <v>4.446</v>
      </c>
      <c r="E88" s="13" t="n">
        <f aca="false">IFERROR(MIN(C88,Eingaben!$B$17)*Eingaben!$B$16,0)</f>
        <v>2.2344</v>
      </c>
      <c r="F88" s="13" t="n">
        <f aca="false">IFERROR(E88*Eingaben!$B$15,0)</f>
        <v>2.01096</v>
      </c>
      <c r="G88" s="13" t="n">
        <f aca="false">IFERROR(IF(Kalender!A88="",0,J87*(1-Eingaben!$B$20)),0)</f>
        <v>0.59122224</v>
      </c>
      <c r="H88" s="13" t="n">
        <f aca="false">MIN(G88,D88)</f>
        <v>0.59122224</v>
      </c>
      <c r="I88" s="13" t="n">
        <f aca="false">IFERROR(MIN(F88*Eingaben!$B$19,MAX(0,D88-H88)),0)</f>
        <v>1.407672</v>
      </c>
      <c r="J88" s="13" t="n">
        <f aca="false">IFERROR(MIN(Eingaben!$B$18,MAX(0,F88-I88)),0)</f>
        <v>0.603288</v>
      </c>
      <c r="K88" s="13" t="n">
        <f aca="false">H88+I88</f>
        <v>1.99889424</v>
      </c>
      <c r="L88" s="13" t="n">
        <f aca="false">MAX(0,D88-K88)</f>
        <v>2.44710576</v>
      </c>
      <c r="M88" s="13" t="n">
        <f aca="false">MAX(0,F88-I88-J88)</f>
        <v>0</v>
      </c>
      <c r="N88" s="13" t="n">
        <f aca="false">IF(Kalender!A88="",0,J87-H88)</f>
        <v>0.01206576</v>
      </c>
    </row>
    <row r="89" customFormat="false" ht="16.4" hidden="false" customHeight="false" outlineLevel="0" collapsed="false">
      <c r="A89" s="13" t="str">
        <f aca="false">""</f>
        <v/>
      </c>
      <c r="B89" s="13" t="n">
        <f aca="false">85</f>
        <v>85</v>
      </c>
      <c r="C89" s="13" t="n">
        <f aca="false">IF(Szenarien!$H$8="OK",(IFERROR(SUMIF(Nutzungsprofile!$B$6:$B$11,"Schulbetrieb",Nutzungsprofile!$G$6:$G$11)*Kalender!C89/SUM(Kalender!$C$5:$C$370),0)+IFERROR(SUMIF(Nutzungsprofile!$B$6:$B$11,"Halle",Nutzungsprofile!$G$6:$G$11)*Kalender!D89/SUM(Kalender!$D$5:$D$370),0)+IFERROR(SUMIF(Nutzungsprofile!$B$6:$B$11,"Individuell",Nutzungsprofile!$G$6:$G$11)*Kalender!E89/SUM(Kalender!$E$5:$E$370),0))*Szenarien!$E$8,0)</f>
        <v>2.352</v>
      </c>
      <c r="D89" s="13" t="n">
        <f aca="false">IF(Szenarien!$H$8="OK",(IFERROR(SUMIF(Nutzungsprofile!$B$17:$B$22,"Schulbetrieb",Nutzungsprofile!$G$17:$G$22)*Kalender!C89/SUM(Kalender!$C$5:$C$370),0)+IFERROR(SUMIF(Nutzungsprofile!$B$17:$B$22,"Halle",Nutzungsprofile!$G$17:$G$22)*Kalender!D89/SUM(Kalender!$D$5:$D$370),0)+IFERROR(SUMIF(Nutzungsprofile!$B$17:$B$22,"Individuell",Nutzungsprofile!$G$17:$G$22)*Kalender!E89/SUM(Kalender!$E$5:$E$370),0))*Szenarien!$D$8,0)</f>
        <v>4.446</v>
      </c>
      <c r="E89" s="13" t="n">
        <f aca="false">IFERROR(MIN(C89,Eingaben!$B$17)*Eingaben!$B$16,0)</f>
        <v>2.2344</v>
      </c>
      <c r="F89" s="13" t="n">
        <f aca="false">IFERROR(E89*Eingaben!$B$15,0)</f>
        <v>2.01096</v>
      </c>
      <c r="G89" s="13" t="n">
        <f aca="false">IFERROR(IF(Kalender!A89="",0,J88*(1-Eingaben!$B$20)),0)</f>
        <v>0.59122224</v>
      </c>
      <c r="H89" s="13" t="n">
        <f aca="false">MIN(G89,D89)</f>
        <v>0.59122224</v>
      </c>
      <c r="I89" s="13" t="n">
        <f aca="false">IFERROR(MIN(F89*Eingaben!$B$19,MAX(0,D89-H89)),0)</f>
        <v>1.407672</v>
      </c>
      <c r="J89" s="13" t="n">
        <f aca="false">IFERROR(MIN(Eingaben!$B$18,MAX(0,F89-I89)),0)</f>
        <v>0.603288</v>
      </c>
      <c r="K89" s="13" t="n">
        <f aca="false">H89+I89</f>
        <v>1.99889424</v>
      </c>
      <c r="L89" s="13" t="n">
        <f aca="false">MAX(0,D89-K89)</f>
        <v>2.44710576</v>
      </c>
      <c r="M89" s="13" t="n">
        <f aca="false">MAX(0,F89-I89-J89)</f>
        <v>0</v>
      </c>
      <c r="N89" s="13" t="n">
        <f aca="false">IF(Kalender!A89="",0,J88-H89)</f>
        <v>0.01206576</v>
      </c>
    </row>
    <row r="90" customFormat="false" ht="16.4" hidden="false" customHeight="false" outlineLevel="0" collapsed="false">
      <c r="A90" s="13" t="str">
        <f aca="false">""</f>
        <v/>
      </c>
      <c r="B90" s="13" t="n">
        <f aca="false">86</f>
        <v>86</v>
      </c>
      <c r="C90" s="13" t="n">
        <f aca="false">IF(Szenarien!$H$8="OK",(IFERROR(SUMIF(Nutzungsprofile!$B$6:$B$11,"Schulbetrieb",Nutzungsprofile!$G$6:$G$11)*Kalender!C90/SUM(Kalender!$C$5:$C$370),0)+IFERROR(SUMIF(Nutzungsprofile!$B$6:$B$11,"Halle",Nutzungsprofile!$G$6:$G$11)*Kalender!D90/SUM(Kalender!$D$5:$D$370),0)+IFERROR(SUMIF(Nutzungsprofile!$B$6:$B$11,"Individuell",Nutzungsprofile!$G$6:$G$11)*Kalender!E90/SUM(Kalender!$E$5:$E$370),0))*Szenarien!$E$8,0)</f>
        <v>2.352</v>
      </c>
      <c r="D90" s="13" t="n">
        <f aca="false">IF(Szenarien!$H$8="OK",(IFERROR(SUMIF(Nutzungsprofile!$B$17:$B$22,"Schulbetrieb",Nutzungsprofile!$G$17:$G$22)*Kalender!C90/SUM(Kalender!$C$5:$C$370),0)+IFERROR(SUMIF(Nutzungsprofile!$B$17:$B$22,"Halle",Nutzungsprofile!$G$17:$G$22)*Kalender!D90/SUM(Kalender!$D$5:$D$370),0)+IFERROR(SUMIF(Nutzungsprofile!$B$17:$B$22,"Individuell",Nutzungsprofile!$G$17:$G$22)*Kalender!E90/SUM(Kalender!$E$5:$E$370),0))*Szenarien!$D$8,0)</f>
        <v>4.446</v>
      </c>
      <c r="E90" s="13" t="n">
        <f aca="false">IFERROR(MIN(C90,Eingaben!$B$17)*Eingaben!$B$16,0)</f>
        <v>2.2344</v>
      </c>
      <c r="F90" s="13" t="n">
        <f aca="false">IFERROR(E90*Eingaben!$B$15,0)</f>
        <v>2.01096</v>
      </c>
      <c r="G90" s="13" t="n">
        <f aca="false">IFERROR(IF(Kalender!A90="",0,J89*(1-Eingaben!$B$20)),0)</f>
        <v>0.59122224</v>
      </c>
      <c r="H90" s="13" t="n">
        <f aca="false">MIN(G90,D90)</f>
        <v>0.59122224</v>
      </c>
      <c r="I90" s="13" t="n">
        <f aca="false">IFERROR(MIN(F90*Eingaben!$B$19,MAX(0,D90-H90)),0)</f>
        <v>1.407672</v>
      </c>
      <c r="J90" s="13" t="n">
        <f aca="false">IFERROR(MIN(Eingaben!$B$18,MAX(0,F90-I90)),0)</f>
        <v>0.603288</v>
      </c>
      <c r="K90" s="13" t="n">
        <f aca="false">H90+I90</f>
        <v>1.99889424</v>
      </c>
      <c r="L90" s="13" t="n">
        <f aca="false">MAX(0,D90-K90)</f>
        <v>2.44710576</v>
      </c>
      <c r="M90" s="13" t="n">
        <f aca="false">MAX(0,F90-I90-J90)</f>
        <v>0</v>
      </c>
      <c r="N90" s="13" t="n">
        <f aca="false">IF(Kalender!A90="",0,J89-H90)</f>
        <v>0.01206576</v>
      </c>
    </row>
    <row r="91" customFormat="false" ht="16.4" hidden="false" customHeight="false" outlineLevel="0" collapsed="false">
      <c r="A91" s="13" t="str">
        <f aca="false">""</f>
        <v/>
      </c>
      <c r="B91" s="13" t="n">
        <f aca="false">87</f>
        <v>87</v>
      </c>
      <c r="C91" s="13" t="n">
        <f aca="false">IF(Szenarien!$H$8="OK",(IFERROR(SUMIF(Nutzungsprofile!$B$6:$B$11,"Schulbetrieb",Nutzungsprofile!$G$6:$G$11)*Kalender!C91/SUM(Kalender!$C$5:$C$370),0)+IFERROR(SUMIF(Nutzungsprofile!$B$6:$B$11,"Halle",Nutzungsprofile!$G$6:$G$11)*Kalender!D91/SUM(Kalender!$D$5:$D$370),0)+IFERROR(SUMIF(Nutzungsprofile!$B$6:$B$11,"Individuell",Nutzungsprofile!$G$6:$G$11)*Kalender!E91/SUM(Kalender!$E$5:$E$370),0))*Szenarien!$E$8,0)</f>
        <v>1.632</v>
      </c>
      <c r="D91" s="13" t="n">
        <f aca="false">IF(Szenarien!$H$8="OK",(IFERROR(SUMIF(Nutzungsprofile!$B$17:$B$22,"Schulbetrieb",Nutzungsprofile!$G$17:$G$22)*Kalender!C91/SUM(Kalender!$C$5:$C$370),0)+IFERROR(SUMIF(Nutzungsprofile!$B$17:$B$22,"Halle",Nutzungsprofile!$G$17:$G$22)*Kalender!D91/SUM(Kalender!$D$5:$D$370),0)+IFERROR(SUMIF(Nutzungsprofile!$B$17:$B$22,"Individuell",Nutzungsprofile!$G$17:$G$22)*Kalender!E91/SUM(Kalender!$E$5:$E$370),0))*Szenarien!$D$8,0)</f>
        <v>0.801</v>
      </c>
      <c r="E91" s="13" t="n">
        <f aca="false">IFERROR(MIN(C91,Eingaben!$B$17)*Eingaben!$B$16,0)</f>
        <v>1.5504</v>
      </c>
      <c r="F91" s="13" t="n">
        <f aca="false">IFERROR(E91*Eingaben!$B$15,0)</f>
        <v>1.39536</v>
      </c>
      <c r="G91" s="13" t="n">
        <f aca="false">IFERROR(IF(Kalender!A91="",0,J90*(1-Eingaben!$B$20)),0)</f>
        <v>0.59122224</v>
      </c>
      <c r="H91" s="13" t="n">
        <f aca="false">MIN(G91,D91)</f>
        <v>0.59122224</v>
      </c>
      <c r="I91" s="13" t="n">
        <f aca="false">IFERROR(MIN(F91*Eingaben!$B$19,MAX(0,D91-H91)),0)</f>
        <v>0.20977776</v>
      </c>
      <c r="J91" s="13" t="n">
        <f aca="false">IFERROR(MIN(Eingaben!$B$18,MAX(0,F91-I91)),0)</f>
        <v>1.18558224</v>
      </c>
      <c r="K91" s="13" t="n">
        <f aca="false">H91+I91</f>
        <v>0.801</v>
      </c>
      <c r="L91" s="13" t="n">
        <f aca="false">MAX(0,D91-K91)</f>
        <v>0</v>
      </c>
      <c r="M91" s="13" t="n">
        <f aca="false">MAX(0,F91-I91-J91)</f>
        <v>0</v>
      </c>
      <c r="N91" s="13" t="n">
        <f aca="false">IF(Kalender!A91="",0,J90-H91)</f>
        <v>0.01206576</v>
      </c>
    </row>
    <row r="92" customFormat="false" ht="16.4" hidden="false" customHeight="false" outlineLevel="0" collapsed="false">
      <c r="A92" s="13" t="str">
        <f aca="false">""</f>
        <v/>
      </c>
      <c r="B92" s="13" t="n">
        <f aca="false">88</f>
        <v>88</v>
      </c>
      <c r="C92" s="13" t="n">
        <f aca="false">IF(Szenarien!$H$8="OK",(IFERROR(SUMIF(Nutzungsprofile!$B$6:$B$11,"Schulbetrieb",Nutzungsprofile!$G$6:$G$11)*Kalender!C92/SUM(Kalender!$C$5:$C$370),0)+IFERROR(SUMIF(Nutzungsprofile!$B$6:$B$11,"Halle",Nutzungsprofile!$G$6:$G$11)*Kalender!D92/SUM(Kalender!$D$5:$D$370),0)+IFERROR(SUMIF(Nutzungsprofile!$B$6:$B$11,"Individuell",Nutzungsprofile!$G$6:$G$11)*Kalender!E92/SUM(Kalender!$E$5:$E$370),0))*Szenarien!$E$8,0)</f>
        <v>1.632</v>
      </c>
      <c r="D92" s="13" t="n">
        <f aca="false">IF(Szenarien!$H$8="OK",(IFERROR(SUMIF(Nutzungsprofile!$B$17:$B$22,"Schulbetrieb",Nutzungsprofile!$G$17:$G$22)*Kalender!C92/SUM(Kalender!$C$5:$C$370),0)+IFERROR(SUMIF(Nutzungsprofile!$B$17:$B$22,"Halle",Nutzungsprofile!$G$17:$G$22)*Kalender!D92/SUM(Kalender!$D$5:$D$370),0)+IFERROR(SUMIF(Nutzungsprofile!$B$17:$B$22,"Individuell",Nutzungsprofile!$G$17:$G$22)*Kalender!E92/SUM(Kalender!$E$5:$E$370),0))*Szenarien!$D$8,0)</f>
        <v>0.801</v>
      </c>
      <c r="E92" s="13" t="n">
        <f aca="false">IFERROR(MIN(C92,Eingaben!$B$17)*Eingaben!$B$16,0)</f>
        <v>1.5504</v>
      </c>
      <c r="F92" s="13" t="n">
        <f aca="false">IFERROR(E92*Eingaben!$B$15,0)</f>
        <v>1.39536</v>
      </c>
      <c r="G92" s="13" t="n">
        <f aca="false">IFERROR(IF(Kalender!A92="",0,J91*(1-Eingaben!$B$20)),0)</f>
        <v>1.1618705952</v>
      </c>
      <c r="H92" s="13" t="n">
        <f aca="false">MIN(G92,D92)</f>
        <v>0.801</v>
      </c>
      <c r="I92" s="13" t="n">
        <f aca="false">IFERROR(MIN(F92*Eingaben!$B$19,MAX(0,D92-H92)),0)</f>
        <v>0</v>
      </c>
      <c r="J92" s="13" t="n">
        <f aca="false">IFERROR(MIN(Eingaben!$B$18,MAX(0,F92-I92)),0)</f>
        <v>1.39536</v>
      </c>
      <c r="K92" s="13" t="n">
        <f aca="false">H92+I92</f>
        <v>0.801</v>
      </c>
      <c r="L92" s="13" t="n">
        <f aca="false">MAX(0,D92-K92)</f>
        <v>0</v>
      </c>
      <c r="M92" s="13" t="n">
        <f aca="false">MAX(0,F92-I92-J92)</f>
        <v>0</v>
      </c>
      <c r="N92" s="13" t="n">
        <f aca="false">IF(Kalender!A92="",0,J91-H92)</f>
        <v>0.38458224</v>
      </c>
    </row>
    <row r="93" customFormat="false" ht="16.4" hidden="false" customHeight="false" outlineLevel="0" collapsed="false">
      <c r="A93" s="13" t="str">
        <f aca="false">""</f>
        <v/>
      </c>
      <c r="B93" s="13" t="n">
        <f aca="false">89</f>
        <v>89</v>
      </c>
      <c r="C93" s="13" t="n">
        <f aca="false">IF(Szenarien!$H$8="OK",(IFERROR(SUMIF(Nutzungsprofile!$B$6:$B$11,"Schulbetrieb",Nutzungsprofile!$G$6:$G$11)*Kalender!C93/SUM(Kalender!$C$5:$C$370),0)+IFERROR(SUMIF(Nutzungsprofile!$B$6:$B$11,"Halle",Nutzungsprofile!$G$6:$G$11)*Kalender!D93/SUM(Kalender!$D$5:$D$370),0)+IFERROR(SUMIF(Nutzungsprofile!$B$6:$B$11,"Individuell",Nutzungsprofile!$G$6:$G$11)*Kalender!E93/SUM(Kalender!$E$5:$E$370),0))*Szenarien!$E$8,0)</f>
        <v>2.352</v>
      </c>
      <c r="D93" s="13" t="n">
        <f aca="false">IF(Szenarien!$H$8="OK",(IFERROR(SUMIF(Nutzungsprofile!$B$17:$B$22,"Schulbetrieb",Nutzungsprofile!$G$17:$G$22)*Kalender!C93/SUM(Kalender!$C$5:$C$370),0)+IFERROR(SUMIF(Nutzungsprofile!$B$17:$B$22,"Halle",Nutzungsprofile!$G$17:$G$22)*Kalender!D93/SUM(Kalender!$D$5:$D$370),0)+IFERROR(SUMIF(Nutzungsprofile!$B$17:$B$22,"Individuell",Nutzungsprofile!$G$17:$G$22)*Kalender!E93/SUM(Kalender!$E$5:$E$370),0))*Szenarien!$D$8,0)</f>
        <v>4.446</v>
      </c>
      <c r="E93" s="13" t="n">
        <f aca="false">IFERROR(MIN(C93,Eingaben!$B$17)*Eingaben!$B$16,0)</f>
        <v>2.2344</v>
      </c>
      <c r="F93" s="13" t="n">
        <f aca="false">IFERROR(E93*Eingaben!$B$15,0)</f>
        <v>2.01096</v>
      </c>
      <c r="G93" s="13" t="n">
        <f aca="false">IFERROR(IF(Kalender!A93="",0,J92*(1-Eingaben!$B$20)),0)</f>
        <v>1.3674528</v>
      </c>
      <c r="H93" s="13" t="n">
        <f aca="false">MIN(G93,D93)</f>
        <v>1.3674528</v>
      </c>
      <c r="I93" s="13" t="n">
        <f aca="false">IFERROR(MIN(F93*Eingaben!$B$19,MAX(0,D93-H93)),0)</f>
        <v>1.407672</v>
      </c>
      <c r="J93" s="13" t="n">
        <f aca="false">IFERROR(MIN(Eingaben!$B$18,MAX(0,F93-I93)),0)</f>
        <v>0.603288</v>
      </c>
      <c r="K93" s="13" t="n">
        <f aca="false">H93+I93</f>
        <v>2.7751248</v>
      </c>
      <c r="L93" s="13" t="n">
        <f aca="false">MAX(0,D93-K93)</f>
        <v>1.6708752</v>
      </c>
      <c r="M93" s="13" t="n">
        <f aca="false">MAX(0,F93-I93-J93)</f>
        <v>0</v>
      </c>
      <c r="N93" s="13" t="n">
        <f aca="false">IF(Kalender!A93="",0,J92-H93)</f>
        <v>0.0279072</v>
      </c>
    </row>
    <row r="94" customFormat="false" ht="16.4" hidden="false" customHeight="false" outlineLevel="0" collapsed="false">
      <c r="A94" s="13" t="str">
        <f aca="false">""</f>
        <v/>
      </c>
      <c r="B94" s="13" t="n">
        <f aca="false">90</f>
        <v>90</v>
      </c>
      <c r="C94" s="13" t="n">
        <f aca="false">IF(Szenarien!$H$8="OK",(IFERROR(SUMIF(Nutzungsprofile!$B$6:$B$11,"Schulbetrieb",Nutzungsprofile!$G$6:$G$11)*Kalender!C94/SUM(Kalender!$C$5:$C$370),0)+IFERROR(SUMIF(Nutzungsprofile!$B$6:$B$11,"Halle",Nutzungsprofile!$G$6:$G$11)*Kalender!D94/SUM(Kalender!$D$5:$D$370),0)+IFERROR(SUMIF(Nutzungsprofile!$B$6:$B$11,"Individuell",Nutzungsprofile!$G$6:$G$11)*Kalender!E94/SUM(Kalender!$E$5:$E$370),0))*Szenarien!$E$8,0)</f>
        <v>2.352</v>
      </c>
      <c r="D94" s="13" t="n">
        <f aca="false">IF(Szenarien!$H$8="OK",(IFERROR(SUMIF(Nutzungsprofile!$B$17:$B$22,"Schulbetrieb",Nutzungsprofile!$G$17:$G$22)*Kalender!C94/SUM(Kalender!$C$5:$C$370),0)+IFERROR(SUMIF(Nutzungsprofile!$B$17:$B$22,"Halle",Nutzungsprofile!$G$17:$G$22)*Kalender!D94/SUM(Kalender!$D$5:$D$370),0)+IFERROR(SUMIF(Nutzungsprofile!$B$17:$B$22,"Individuell",Nutzungsprofile!$G$17:$G$22)*Kalender!E94/SUM(Kalender!$E$5:$E$370),0))*Szenarien!$D$8,0)</f>
        <v>4.446</v>
      </c>
      <c r="E94" s="13" t="n">
        <f aca="false">IFERROR(MIN(C94,Eingaben!$B$17)*Eingaben!$B$16,0)</f>
        <v>2.2344</v>
      </c>
      <c r="F94" s="13" t="n">
        <f aca="false">IFERROR(E94*Eingaben!$B$15,0)</f>
        <v>2.01096</v>
      </c>
      <c r="G94" s="13" t="n">
        <f aca="false">IFERROR(IF(Kalender!A94="",0,J93*(1-Eingaben!$B$20)),0)</f>
        <v>0.59122224</v>
      </c>
      <c r="H94" s="13" t="n">
        <f aca="false">MIN(G94,D94)</f>
        <v>0.59122224</v>
      </c>
      <c r="I94" s="13" t="n">
        <f aca="false">IFERROR(MIN(F94*Eingaben!$B$19,MAX(0,D94-H94)),0)</f>
        <v>1.407672</v>
      </c>
      <c r="J94" s="13" t="n">
        <f aca="false">IFERROR(MIN(Eingaben!$B$18,MAX(0,F94-I94)),0)</f>
        <v>0.603288</v>
      </c>
      <c r="K94" s="13" t="n">
        <f aca="false">H94+I94</f>
        <v>1.99889424</v>
      </c>
      <c r="L94" s="13" t="n">
        <f aca="false">MAX(0,D94-K94)</f>
        <v>2.44710576</v>
      </c>
      <c r="M94" s="13" t="n">
        <f aca="false">MAX(0,F94-I94-J94)</f>
        <v>0</v>
      </c>
      <c r="N94" s="13" t="n">
        <f aca="false">IF(Kalender!A94="",0,J93-H94)</f>
        <v>0.01206576</v>
      </c>
    </row>
    <row r="95" customFormat="false" ht="16.4" hidden="false" customHeight="false" outlineLevel="0" collapsed="false">
      <c r="A95" s="13" t="str">
        <f aca="false">""</f>
        <v/>
      </c>
      <c r="B95" s="13" t="n">
        <f aca="false">91</f>
        <v>91</v>
      </c>
      <c r="C95" s="13" t="n">
        <f aca="false">IF(Szenarien!$H$8="OK",(IFERROR(SUMIF(Nutzungsprofile!$B$6:$B$11,"Schulbetrieb",Nutzungsprofile!$G$6:$G$11)*Kalender!C95/SUM(Kalender!$C$5:$C$370),0)+IFERROR(SUMIF(Nutzungsprofile!$B$6:$B$11,"Halle",Nutzungsprofile!$G$6:$G$11)*Kalender!D95/SUM(Kalender!$D$5:$D$370),0)+IFERROR(SUMIF(Nutzungsprofile!$B$6:$B$11,"Individuell",Nutzungsprofile!$G$6:$G$11)*Kalender!E95/SUM(Kalender!$E$5:$E$370),0))*Szenarien!$E$8,0)</f>
        <v>2.352</v>
      </c>
      <c r="D95" s="13" t="n">
        <f aca="false">IF(Szenarien!$H$8="OK",(IFERROR(SUMIF(Nutzungsprofile!$B$17:$B$22,"Schulbetrieb",Nutzungsprofile!$G$17:$G$22)*Kalender!C95/SUM(Kalender!$C$5:$C$370),0)+IFERROR(SUMIF(Nutzungsprofile!$B$17:$B$22,"Halle",Nutzungsprofile!$G$17:$G$22)*Kalender!D95/SUM(Kalender!$D$5:$D$370),0)+IFERROR(SUMIF(Nutzungsprofile!$B$17:$B$22,"Individuell",Nutzungsprofile!$G$17:$G$22)*Kalender!E95/SUM(Kalender!$E$5:$E$370),0))*Szenarien!$D$8,0)</f>
        <v>4.446</v>
      </c>
      <c r="E95" s="13" t="n">
        <f aca="false">IFERROR(MIN(C95,Eingaben!$B$17)*Eingaben!$B$16,0)</f>
        <v>2.2344</v>
      </c>
      <c r="F95" s="13" t="n">
        <f aca="false">IFERROR(E95*Eingaben!$B$15,0)</f>
        <v>2.01096</v>
      </c>
      <c r="G95" s="13" t="n">
        <f aca="false">IFERROR(IF(Kalender!A95="",0,J94*(1-Eingaben!$B$20)),0)</f>
        <v>0.59122224</v>
      </c>
      <c r="H95" s="13" t="n">
        <f aca="false">MIN(G95,D95)</f>
        <v>0.59122224</v>
      </c>
      <c r="I95" s="13" t="n">
        <f aca="false">IFERROR(MIN(F95*Eingaben!$B$19,MAX(0,D95-H95)),0)</f>
        <v>1.407672</v>
      </c>
      <c r="J95" s="13" t="n">
        <f aca="false">IFERROR(MIN(Eingaben!$B$18,MAX(0,F95-I95)),0)</f>
        <v>0.603288</v>
      </c>
      <c r="K95" s="13" t="n">
        <f aca="false">H95+I95</f>
        <v>1.99889424</v>
      </c>
      <c r="L95" s="13" t="n">
        <f aca="false">MAX(0,D95-K95)</f>
        <v>2.44710576</v>
      </c>
      <c r="M95" s="13" t="n">
        <f aca="false">MAX(0,F95-I95-J95)</f>
        <v>0</v>
      </c>
      <c r="N95" s="13" t="n">
        <f aca="false">IF(Kalender!A95="",0,J94-H95)</f>
        <v>0.01206576</v>
      </c>
    </row>
    <row r="96" customFormat="false" ht="16.4" hidden="false" customHeight="false" outlineLevel="0" collapsed="false">
      <c r="A96" s="13" t="str">
        <f aca="false">""</f>
        <v/>
      </c>
      <c r="B96" s="13" t="n">
        <f aca="false">92</f>
        <v>92</v>
      </c>
      <c r="C96" s="13" t="n">
        <f aca="false">IF(Szenarien!$H$8="OK",(IFERROR(SUMIF(Nutzungsprofile!$B$6:$B$11,"Schulbetrieb",Nutzungsprofile!$G$6:$G$11)*Kalender!C96/SUM(Kalender!$C$5:$C$370),0)+IFERROR(SUMIF(Nutzungsprofile!$B$6:$B$11,"Halle",Nutzungsprofile!$G$6:$G$11)*Kalender!D96/SUM(Kalender!$D$5:$D$370),0)+IFERROR(SUMIF(Nutzungsprofile!$B$6:$B$11,"Individuell",Nutzungsprofile!$G$6:$G$11)*Kalender!E96/SUM(Kalender!$E$5:$E$370),0))*Szenarien!$E$8,0)</f>
        <v>2.352</v>
      </c>
      <c r="D96" s="13" t="n">
        <f aca="false">IF(Szenarien!$H$8="OK",(IFERROR(SUMIF(Nutzungsprofile!$B$17:$B$22,"Schulbetrieb",Nutzungsprofile!$G$17:$G$22)*Kalender!C96/SUM(Kalender!$C$5:$C$370),0)+IFERROR(SUMIF(Nutzungsprofile!$B$17:$B$22,"Halle",Nutzungsprofile!$G$17:$G$22)*Kalender!D96/SUM(Kalender!$D$5:$D$370),0)+IFERROR(SUMIF(Nutzungsprofile!$B$17:$B$22,"Individuell",Nutzungsprofile!$G$17:$G$22)*Kalender!E96/SUM(Kalender!$E$5:$E$370),0))*Szenarien!$D$8,0)</f>
        <v>4.446</v>
      </c>
      <c r="E96" s="13" t="n">
        <f aca="false">IFERROR(MIN(C96,Eingaben!$B$17)*Eingaben!$B$16,0)</f>
        <v>2.2344</v>
      </c>
      <c r="F96" s="13" t="n">
        <f aca="false">IFERROR(E96*Eingaben!$B$15,0)</f>
        <v>2.01096</v>
      </c>
      <c r="G96" s="13" t="n">
        <f aca="false">IFERROR(IF(Kalender!A96="",0,J95*(1-Eingaben!$B$20)),0)</f>
        <v>0.59122224</v>
      </c>
      <c r="H96" s="13" t="n">
        <f aca="false">MIN(G96,D96)</f>
        <v>0.59122224</v>
      </c>
      <c r="I96" s="13" t="n">
        <f aca="false">IFERROR(MIN(F96*Eingaben!$B$19,MAX(0,D96-H96)),0)</f>
        <v>1.407672</v>
      </c>
      <c r="J96" s="13" t="n">
        <f aca="false">IFERROR(MIN(Eingaben!$B$18,MAX(0,F96-I96)),0)</f>
        <v>0.603288</v>
      </c>
      <c r="K96" s="13" t="n">
        <f aca="false">H96+I96</f>
        <v>1.99889424</v>
      </c>
      <c r="L96" s="13" t="n">
        <f aca="false">MAX(0,D96-K96)</f>
        <v>2.44710576</v>
      </c>
      <c r="M96" s="13" t="n">
        <f aca="false">MAX(0,F96-I96-J96)</f>
        <v>0</v>
      </c>
      <c r="N96" s="13" t="n">
        <f aca="false">IF(Kalender!A96="",0,J95-H96)</f>
        <v>0.01206576</v>
      </c>
    </row>
    <row r="97" customFormat="false" ht="16.4" hidden="false" customHeight="false" outlineLevel="0" collapsed="false">
      <c r="A97" s="13" t="str">
        <f aca="false">""</f>
        <v/>
      </c>
      <c r="B97" s="13" t="n">
        <f aca="false">93</f>
        <v>93</v>
      </c>
      <c r="C97" s="13" t="n">
        <f aca="false">IF(Szenarien!$H$8="OK",(IFERROR(SUMIF(Nutzungsprofile!$B$6:$B$11,"Schulbetrieb",Nutzungsprofile!$G$6:$G$11)*Kalender!C97/SUM(Kalender!$C$5:$C$370),0)+IFERROR(SUMIF(Nutzungsprofile!$B$6:$B$11,"Halle",Nutzungsprofile!$G$6:$G$11)*Kalender!D97/SUM(Kalender!$D$5:$D$370),0)+IFERROR(SUMIF(Nutzungsprofile!$B$6:$B$11,"Individuell",Nutzungsprofile!$G$6:$G$11)*Kalender!E97/SUM(Kalender!$E$5:$E$370),0))*Szenarien!$E$8,0)</f>
        <v>2.352</v>
      </c>
      <c r="D97" s="13" t="n">
        <f aca="false">IF(Szenarien!$H$8="OK",(IFERROR(SUMIF(Nutzungsprofile!$B$17:$B$22,"Schulbetrieb",Nutzungsprofile!$G$17:$G$22)*Kalender!C97/SUM(Kalender!$C$5:$C$370),0)+IFERROR(SUMIF(Nutzungsprofile!$B$17:$B$22,"Halle",Nutzungsprofile!$G$17:$G$22)*Kalender!D97/SUM(Kalender!$D$5:$D$370),0)+IFERROR(SUMIF(Nutzungsprofile!$B$17:$B$22,"Individuell",Nutzungsprofile!$G$17:$G$22)*Kalender!E97/SUM(Kalender!$E$5:$E$370),0))*Szenarien!$D$8,0)</f>
        <v>4.446</v>
      </c>
      <c r="E97" s="13" t="n">
        <f aca="false">IFERROR(MIN(C97,Eingaben!$B$17)*Eingaben!$B$16,0)</f>
        <v>2.2344</v>
      </c>
      <c r="F97" s="13" t="n">
        <f aca="false">IFERROR(E97*Eingaben!$B$15,0)</f>
        <v>2.01096</v>
      </c>
      <c r="G97" s="13" t="n">
        <f aca="false">IFERROR(IF(Kalender!A97="",0,J96*(1-Eingaben!$B$20)),0)</f>
        <v>0.59122224</v>
      </c>
      <c r="H97" s="13" t="n">
        <f aca="false">MIN(G97,D97)</f>
        <v>0.59122224</v>
      </c>
      <c r="I97" s="13" t="n">
        <f aca="false">IFERROR(MIN(F97*Eingaben!$B$19,MAX(0,D97-H97)),0)</f>
        <v>1.407672</v>
      </c>
      <c r="J97" s="13" t="n">
        <f aca="false">IFERROR(MIN(Eingaben!$B$18,MAX(0,F97-I97)),0)</f>
        <v>0.603288</v>
      </c>
      <c r="K97" s="13" t="n">
        <f aca="false">H97+I97</f>
        <v>1.99889424</v>
      </c>
      <c r="L97" s="13" t="n">
        <f aca="false">MAX(0,D97-K97)</f>
        <v>2.44710576</v>
      </c>
      <c r="M97" s="13" t="n">
        <f aca="false">MAX(0,F97-I97-J97)</f>
        <v>0</v>
      </c>
      <c r="N97" s="13" t="n">
        <f aca="false">IF(Kalender!A97="",0,J96-H97)</f>
        <v>0.01206576</v>
      </c>
    </row>
    <row r="98" customFormat="false" ht="16.4" hidden="false" customHeight="false" outlineLevel="0" collapsed="false">
      <c r="A98" s="13" t="str">
        <f aca="false">""</f>
        <v/>
      </c>
      <c r="B98" s="13" t="n">
        <f aca="false">94</f>
        <v>94</v>
      </c>
      <c r="C98" s="13" t="n">
        <f aca="false">IF(Szenarien!$H$8="OK",(IFERROR(SUMIF(Nutzungsprofile!$B$6:$B$11,"Schulbetrieb",Nutzungsprofile!$G$6:$G$11)*Kalender!C98/SUM(Kalender!$C$5:$C$370),0)+IFERROR(SUMIF(Nutzungsprofile!$B$6:$B$11,"Halle",Nutzungsprofile!$G$6:$G$11)*Kalender!D98/SUM(Kalender!$D$5:$D$370),0)+IFERROR(SUMIF(Nutzungsprofile!$B$6:$B$11,"Individuell",Nutzungsprofile!$G$6:$G$11)*Kalender!E98/SUM(Kalender!$E$5:$E$370),0))*Szenarien!$E$8,0)</f>
        <v>1.632</v>
      </c>
      <c r="D98" s="13" t="n">
        <f aca="false">IF(Szenarien!$H$8="OK",(IFERROR(SUMIF(Nutzungsprofile!$B$17:$B$22,"Schulbetrieb",Nutzungsprofile!$G$17:$G$22)*Kalender!C98/SUM(Kalender!$C$5:$C$370),0)+IFERROR(SUMIF(Nutzungsprofile!$B$17:$B$22,"Halle",Nutzungsprofile!$G$17:$G$22)*Kalender!D98/SUM(Kalender!$D$5:$D$370),0)+IFERROR(SUMIF(Nutzungsprofile!$B$17:$B$22,"Individuell",Nutzungsprofile!$G$17:$G$22)*Kalender!E98/SUM(Kalender!$E$5:$E$370),0))*Szenarien!$D$8,0)</f>
        <v>0.801</v>
      </c>
      <c r="E98" s="13" t="n">
        <f aca="false">IFERROR(MIN(C98,Eingaben!$B$17)*Eingaben!$B$16,0)</f>
        <v>1.5504</v>
      </c>
      <c r="F98" s="13" t="n">
        <f aca="false">IFERROR(E98*Eingaben!$B$15,0)</f>
        <v>1.39536</v>
      </c>
      <c r="G98" s="13" t="n">
        <f aca="false">IFERROR(IF(Kalender!A98="",0,J97*(1-Eingaben!$B$20)),0)</f>
        <v>0.59122224</v>
      </c>
      <c r="H98" s="13" t="n">
        <f aca="false">MIN(G98,D98)</f>
        <v>0.59122224</v>
      </c>
      <c r="I98" s="13" t="n">
        <f aca="false">IFERROR(MIN(F98*Eingaben!$B$19,MAX(0,D98-H98)),0)</f>
        <v>0.20977776</v>
      </c>
      <c r="J98" s="13" t="n">
        <f aca="false">IFERROR(MIN(Eingaben!$B$18,MAX(0,F98-I98)),0)</f>
        <v>1.18558224</v>
      </c>
      <c r="K98" s="13" t="n">
        <f aca="false">H98+I98</f>
        <v>0.801</v>
      </c>
      <c r="L98" s="13" t="n">
        <f aca="false">MAX(0,D98-K98)</f>
        <v>0</v>
      </c>
      <c r="M98" s="13" t="n">
        <f aca="false">MAX(0,F98-I98-J98)</f>
        <v>0</v>
      </c>
      <c r="N98" s="13" t="n">
        <f aca="false">IF(Kalender!A98="",0,J97-H98)</f>
        <v>0.01206576</v>
      </c>
    </row>
    <row r="99" customFormat="false" ht="16.4" hidden="false" customHeight="false" outlineLevel="0" collapsed="false">
      <c r="A99" s="13" t="str">
        <f aca="false">""</f>
        <v/>
      </c>
      <c r="B99" s="13" t="n">
        <f aca="false">95</f>
        <v>95</v>
      </c>
      <c r="C99" s="13" t="n">
        <f aca="false">IF(Szenarien!$H$8="OK",(IFERROR(SUMIF(Nutzungsprofile!$B$6:$B$11,"Schulbetrieb",Nutzungsprofile!$G$6:$G$11)*Kalender!C99/SUM(Kalender!$C$5:$C$370),0)+IFERROR(SUMIF(Nutzungsprofile!$B$6:$B$11,"Halle",Nutzungsprofile!$G$6:$G$11)*Kalender!D99/SUM(Kalender!$D$5:$D$370),0)+IFERROR(SUMIF(Nutzungsprofile!$B$6:$B$11,"Individuell",Nutzungsprofile!$G$6:$G$11)*Kalender!E99/SUM(Kalender!$E$5:$E$370),0))*Szenarien!$E$8,0)</f>
        <v>1.632</v>
      </c>
      <c r="D99" s="13" t="n">
        <f aca="false">IF(Szenarien!$H$8="OK",(IFERROR(SUMIF(Nutzungsprofile!$B$17:$B$22,"Schulbetrieb",Nutzungsprofile!$G$17:$G$22)*Kalender!C99/SUM(Kalender!$C$5:$C$370),0)+IFERROR(SUMIF(Nutzungsprofile!$B$17:$B$22,"Halle",Nutzungsprofile!$G$17:$G$22)*Kalender!D99/SUM(Kalender!$D$5:$D$370),0)+IFERROR(SUMIF(Nutzungsprofile!$B$17:$B$22,"Individuell",Nutzungsprofile!$G$17:$G$22)*Kalender!E99/SUM(Kalender!$E$5:$E$370),0))*Szenarien!$D$8,0)</f>
        <v>0.801</v>
      </c>
      <c r="E99" s="13" t="n">
        <f aca="false">IFERROR(MIN(C99,Eingaben!$B$17)*Eingaben!$B$16,0)</f>
        <v>1.5504</v>
      </c>
      <c r="F99" s="13" t="n">
        <f aca="false">IFERROR(E99*Eingaben!$B$15,0)</f>
        <v>1.39536</v>
      </c>
      <c r="G99" s="13" t="n">
        <f aca="false">IFERROR(IF(Kalender!A99="",0,J98*(1-Eingaben!$B$20)),0)</f>
        <v>1.1618705952</v>
      </c>
      <c r="H99" s="13" t="n">
        <f aca="false">MIN(G99,D99)</f>
        <v>0.801</v>
      </c>
      <c r="I99" s="13" t="n">
        <f aca="false">IFERROR(MIN(F99*Eingaben!$B$19,MAX(0,D99-H99)),0)</f>
        <v>0</v>
      </c>
      <c r="J99" s="13" t="n">
        <f aca="false">IFERROR(MIN(Eingaben!$B$18,MAX(0,F99-I99)),0)</f>
        <v>1.39536</v>
      </c>
      <c r="K99" s="13" t="n">
        <f aca="false">H99+I99</f>
        <v>0.801</v>
      </c>
      <c r="L99" s="13" t="n">
        <f aca="false">MAX(0,D99-K99)</f>
        <v>0</v>
      </c>
      <c r="M99" s="13" t="n">
        <f aca="false">MAX(0,F99-I99-J99)</f>
        <v>0</v>
      </c>
      <c r="N99" s="13" t="n">
        <f aca="false">IF(Kalender!A99="",0,J98-H99)</f>
        <v>0.38458224</v>
      </c>
    </row>
    <row r="100" customFormat="false" ht="16.4" hidden="false" customHeight="false" outlineLevel="0" collapsed="false">
      <c r="A100" s="13" t="str">
        <f aca="false">""</f>
        <v/>
      </c>
      <c r="B100" s="13" t="n">
        <f aca="false">96</f>
        <v>96</v>
      </c>
      <c r="C100" s="13" t="n">
        <f aca="false">IF(Szenarien!$H$8="OK",(IFERROR(SUMIF(Nutzungsprofile!$B$6:$B$11,"Schulbetrieb",Nutzungsprofile!$G$6:$G$11)*Kalender!C100/SUM(Kalender!$C$5:$C$370),0)+IFERROR(SUMIF(Nutzungsprofile!$B$6:$B$11,"Halle",Nutzungsprofile!$G$6:$G$11)*Kalender!D100/SUM(Kalender!$D$5:$D$370),0)+IFERROR(SUMIF(Nutzungsprofile!$B$6:$B$11,"Individuell",Nutzungsprofile!$G$6:$G$11)*Kalender!E100/SUM(Kalender!$E$5:$E$370),0))*Szenarien!$E$8,0)</f>
        <v>2.352</v>
      </c>
      <c r="D100" s="13" t="n">
        <f aca="false">IF(Szenarien!$H$8="OK",(IFERROR(SUMIF(Nutzungsprofile!$B$17:$B$22,"Schulbetrieb",Nutzungsprofile!$G$17:$G$22)*Kalender!C100/SUM(Kalender!$C$5:$C$370),0)+IFERROR(SUMIF(Nutzungsprofile!$B$17:$B$22,"Halle",Nutzungsprofile!$G$17:$G$22)*Kalender!D100/SUM(Kalender!$D$5:$D$370),0)+IFERROR(SUMIF(Nutzungsprofile!$B$17:$B$22,"Individuell",Nutzungsprofile!$G$17:$G$22)*Kalender!E100/SUM(Kalender!$E$5:$E$370),0))*Szenarien!$D$8,0)</f>
        <v>4.446</v>
      </c>
      <c r="E100" s="13" t="n">
        <f aca="false">IFERROR(MIN(C100,Eingaben!$B$17)*Eingaben!$B$16,0)</f>
        <v>2.2344</v>
      </c>
      <c r="F100" s="13" t="n">
        <f aca="false">IFERROR(E100*Eingaben!$B$15,0)</f>
        <v>2.01096</v>
      </c>
      <c r="G100" s="13" t="n">
        <f aca="false">IFERROR(IF(Kalender!A100="",0,J99*(1-Eingaben!$B$20)),0)</f>
        <v>1.3674528</v>
      </c>
      <c r="H100" s="13" t="n">
        <f aca="false">MIN(G100,D100)</f>
        <v>1.3674528</v>
      </c>
      <c r="I100" s="13" t="n">
        <f aca="false">IFERROR(MIN(F100*Eingaben!$B$19,MAX(0,D100-H100)),0)</f>
        <v>1.407672</v>
      </c>
      <c r="J100" s="13" t="n">
        <f aca="false">IFERROR(MIN(Eingaben!$B$18,MAX(0,F100-I100)),0)</f>
        <v>0.603288</v>
      </c>
      <c r="K100" s="13" t="n">
        <f aca="false">H100+I100</f>
        <v>2.7751248</v>
      </c>
      <c r="L100" s="13" t="n">
        <f aca="false">MAX(0,D100-K100)</f>
        <v>1.6708752</v>
      </c>
      <c r="M100" s="13" t="n">
        <f aca="false">MAX(0,F100-I100-J100)</f>
        <v>0</v>
      </c>
      <c r="N100" s="13" t="n">
        <f aca="false">IF(Kalender!A100="",0,J99-H100)</f>
        <v>0.0279072</v>
      </c>
    </row>
    <row r="101" customFormat="false" ht="16.4" hidden="false" customHeight="false" outlineLevel="0" collapsed="false">
      <c r="A101" s="13" t="str">
        <f aca="false">""</f>
        <v/>
      </c>
      <c r="B101" s="13" t="n">
        <f aca="false">97</f>
        <v>97</v>
      </c>
      <c r="C101" s="13" t="n">
        <f aca="false">IF(Szenarien!$H$8="OK",(IFERROR(SUMIF(Nutzungsprofile!$B$6:$B$11,"Schulbetrieb",Nutzungsprofile!$G$6:$G$11)*Kalender!C101/SUM(Kalender!$C$5:$C$370),0)+IFERROR(SUMIF(Nutzungsprofile!$B$6:$B$11,"Halle",Nutzungsprofile!$G$6:$G$11)*Kalender!D101/SUM(Kalender!$D$5:$D$370),0)+IFERROR(SUMIF(Nutzungsprofile!$B$6:$B$11,"Individuell",Nutzungsprofile!$G$6:$G$11)*Kalender!E101/SUM(Kalender!$E$5:$E$370),0))*Szenarien!$E$8,0)</f>
        <v>2.352</v>
      </c>
      <c r="D101" s="13" t="n">
        <f aca="false">IF(Szenarien!$H$8="OK",(IFERROR(SUMIF(Nutzungsprofile!$B$17:$B$22,"Schulbetrieb",Nutzungsprofile!$G$17:$G$22)*Kalender!C101/SUM(Kalender!$C$5:$C$370),0)+IFERROR(SUMIF(Nutzungsprofile!$B$17:$B$22,"Halle",Nutzungsprofile!$G$17:$G$22)*Kalender!D101/SUM(Kalender!$D$5:$D$370),0)+IFERROR(SUMIF(Nutzungsprofile!$B$17:$B$22,"Individuell",Nutzungsprofile!$G$17:$G$22)*Kalender!E101/SUM(Kalender!$E$5:$E$370),0))*Szenarien!$D$8,0)</f>
        <v>4.446</v>
      </c>
      <c r="E101" s="13" t="n">
        <f aca="false">IFERROR(MIN(C101,Eingaben!$B$17)*Eingaben!$B$16,0)</f>
        <v>2.2344</v>
      </c>
      <c r="F101" s="13" t="n">
        <f aca="false">IFERROR(E101*Eingaben!$B$15,0)</f>
        <v>2.01096</v>
      </c>
      <c r="G101" s="13" t="n">
        <f aca="false">IFERROR(IF(Kalender!A101="",0,J100*(1-Eingaben!$B$20)),0)</f>
        <v>0.59122224</v>
      </c>
      <c r="H101" s="13" t="n">
        <f aca="false">MIN(G101,D101)</f>
        <v>0.59122224</v>
      </c>
      <c r="I101" s="13" t="n">
        <f aca="false">IFERROR(MIN(F101*Eingaben!$B$19,MAX(0,D101-H101)),0)</f>
        <v>1.407672</v>
      </c>
      <c r="J101" s="13" t="n">
        <f aca="false">IFERROR(MIN(Eingaben!$B$18,MAX(0,F101-I101)),0)</f>
        <v>0.603288</v>
      </c>
      <c r="K101" s="13" t="n">
        <f aca="false">H101+I101</f>
        <v>1.99889424</v>
      </c>
      <c r="L101" s="13" t="n">
        <f aca="false">MAX(0,D101-K101)</f>
        <v>2.44710576</v>
      </c>
      <c r="M101" s="13" t="n">
        <f aca="false">MAX(0,F101-I101-J101)</f>
        <v>0</v>
      </c>
      <c r="N101" s="13" t="n">
        <f aca="false">IF(Kalender!A101="",0,J100-H101)</f>
        <v>0.01206576</v>
      </c>
    </row>
    <row r="102" customFormat="false" ht="16.4" hidden="false" customHeight="false" outlineLevel="0" collapsed="false">
      <c r="A102" s="13" t="str">
        <f aca="false">""</f>
        <v/>
      </c>
      <c r="B102" s="13" t="n">
        <f aca="false">98</f>
        <v>98</v>
      </c>
      <c r="C102" s="13" t="n">
        <f aca="false">IF(Szenarien!$H$8="OK",(IFERROR(SUMIF(Nutzungsprofile!$B$6:$B$11,"Schulbetrieb",Nutzungsprofile!$G$6:$G$11)*Kalender!C102/SUM(Kalender!$C$5:$C$370),0)+IFERROR(SUMIF(Nutzungsprofile!$B$6:$B$11,"Halle",Nutzungsprofile!$G$6:$G$11)*Kalender!D102/SUM(Kalender!$D$5:$D$370),0)+IFERROR(SUMIF(Nutzungsprofile!$B$6:$B$11,"Individuell",Nutzungsprofile!$G$6:$G$11)*Kalender!E102/SUM(Kalender!$E$5:$E$370),0))*Szenarien!$E$8,0)</f>
        <v>2.352</v>
      </c>
      <c r="D102" s="13" t="n">
        <f aca="false">IF(Szenarien!$H$8="OK",(IFERROR(SUMIF(Nutzungsprofile!$B$17:$B$22,"Schulbetrieb",Nutzungsprofile!$G$17:$G$22)*Kalender!C102/SUM(Kalender!$C$5:$C$370),0)+IFERROR(SUMIF(Nutzungsprofile!$B$17:$B$22,"Halle",Nutzungsprofile!$G$17:$G$22)*Kalender!D102/SUM(Kalender!$D$5:$D$370),0)+IFERROR(SUMIF(Nutzungsprofile!$B$17:$B$22,"Individuell",Nutzungsprofile!$G$17:$G$22)*Kalender!E102/SUM(Kalender!$E$5:$E$370),0))*Szenarien!$D$8,0)</f>
        <v>4.446</v>
      </c>
      <c r="E102" s="13" t="n">
        <f aca="false">IFERROR(MIN(C102,Eingaben!$B$17)*Eingaben!$B$16,0)</f>
        <v>2.2344</v>
      </c>
      <c r="F102" s="13" t="n">
        <f aca="false">IFERROR(E102*Eingaben!$B$15,0)</f>
        <v>2.01096</v>
      </c>
      <c r="G102" s="13" t="n">
        <f aca="false">IFERROR(IF(Kalender!A102="",0,J101*(1-Eingaben!$B$20)),0)</f>
        <v>0.59122224</v>
      </c>
      <c r="H102" s="13" t="n">
        <f aca="false">MIN(G102,D102)</f>
        <v>0.59122224</v>
      </c>
      <c r="I102" s="13" t="n">
        <f aca="false">IFERROR(MIN(F102*Eingaben!$B$19,MAX(0,D102-H102)),0)</f>
        <v>1.407672</v>
      </c>
      <c r="J102" s="13" t="n">
        <f aca="false">IFERROR(MIN(Eingaben!$B$18,MAX(0,F102-I102)),0)</f>
        <v>0.603288</v>
      </c>
      <c r="K102" s="13" t="n">
        <f aca="false">H102+I102</f>
        <v>1.99889424</v>
      </c>
      <c r="L102" s="13" t="n">
        <f aca="false">MAX(0,D102-K102)</f>
        <v>2.44710576</v>
      </c>
      <c r="M102" s="13" t="n">
        <f aca="false">MAX(0,F102-I102-J102)</f>
        <v>0</v>
      </c>
      <c r="N102" s="13" t="n">
        <f aca="false">IF(Kalender!A102="",0,J101-H102)</f>
        <v>0.01206576</v>
      </c>
    </row>
    <row r="103" customFormat="false" ht="16.4" hidden="false" customHeight="false" outlineLevel="0" collapsed="false">
      <c r="A103" s="13" t="str">
        <f aca="false">""</f>
        <v/>
      </c>
      <c r="B103" s="13" t="n">
        <f aca="false">99</f>
        <v>99</v>
      </c>
      <c r="C103" s="13" t="n">
        <f aca="false">IF(Szenarien!$H$8="OK",(IFERROR(SUMIF(Nutzungsprofile!$B$6:$B$11,"Schulbetrieb",Nutzungsprofile!$G$6:$G$11)*Kalender!C103/SUM(Kalender!$C$5:$C$370),0)+IFERROR(SUMIF(Nutzungsprofile!$B$6:$B$11,"Halle",Nutzungsprofile!$G$6:$G$11)*Kalender!D103/SUM(Kalender!$D$5:$D$370),0)+IFERROR(SUMIF(Nutzungsprofile!$B$6:$B$11,"Individuell",Nutzungsprofile!$G$6:$G$11)*Kalender!E103/SUM(Kalender!$E$5:$E$370),0))*Szenarien!$E$8,0)</f>
        <v>2.352</v>
      </c>
      <c r="D103" s="13" t="n">
        <f aca="false">IF(Szenarien!$H$8="OK",(IFERROR(SUMIF(Nutzungsprofile!$B$17:$B$22,"Schulbetrieb",Nutzungsprofile!$G$17:$G$22)*Kalender!C103/SUM(Kalender!$C$5:$C$370),0)+IFERROR(SUMIF(Nutzungsprofile!$B$17:$B$22,"Halle",Nutzungsprofile!$G$17:$G$22)*Kalender!D103/SUM(Kalender!$D$5:$D$370),0)+IFERROR(SUMIF(Nutzungsprofile!$B$17:$B$22,"Individuell",Nutzungsprofile!$G$17:$G$22)*Kalender!E103/SUM(Kalender!$E$5:$E$370),0))*Szenarien!$D$8,0)</f>
        <v>4.446</v>
      </c>
      <c r="E103" s="13" t="n">
        <f aca="false">IFERROR(MIN(C103,Eingaben!$B$17)*Eingaben!$B$16,0)</f>
        <v>2.2344</v>
      </c>
      <c r="F103" s="13" t="n">
        <f aca="false">IFERROR(E103*Eingaben!$B$15,0)</f>
        <v>2.01096</v>
      </c>
      <c r="G103" s="13" t="n">
        <f aca="false">IFERROR(IF(Kalender!A103="",0,J102*(1-Eingaben!$B$20)),0)</f>
        <v>0.59122224</v>
      </c>
      <c r="H103" s="13" t="n">
        <f aca="false">MIN(G103,D103)</f>
        <v>0.59122224</v>
      </c>
      <c r="I103" s="13" t="n">
        <f aca="false">IFERROR(MIN(F103*Eingaben!$B$19,MAX(0,D103-H103)),0)</f>
        <v>1.407672</v>
      </c>
      <c r="J103" s="13" t="n">
        <f aca="false">IFERROR(MIN(Eingaben!$B$18,MAX(0,F103-I103)),0)</f>
        <v>0.603288</v>
      </c>
      <c r="K103" s="13" t="n">
        <f aca="false">H103+I103</f>
        <v>1.99889424</v>
      </c>
      <c r="L103" s="13" t="n">
        <f aca="false">MAX(0,D103-K103)</f>
        <v>2.44710576</v>
      </c>
      <c r="M103" s="13" t="n">
        <f aca="false">MAX(0,F103-I103-J103)</f>
        <v>0</v>
      </c>
      <c r="N103" s="13" t="n">
        <f aca="false">IF(Kalender!A103="",0,J102-H103)</f>
        <v>0.01206576</v>
      </c>
    </row>
    <row r="104" customFormat="false" ht="16.4" hidden="false" customHeight="false" outlineLevel="0" collapsed="false">
      <c r="A104" s="13" t="str">
        <f aca="false">""</f>
        <v/>
      </c>
      <c r="B104" s="13" t="n">
        <f aca="false">100</f>
        <v>100</v>
      </c>
      <c r="C104" s="13" t="n">
        <f aca="false">IF(Szenarien!$H$8="OK",(IFERROR(SUMIF(Nutzungsprofile!$B$6:$B$11,"Schulbetrieb",Nutzungsprofile!$G$6:$G$11)*Kalender!C104/SUM(Kalender!$C$5:$C$370),0)+IFERROR(SUMIF(Nutzungsprofile!$B$6:$B$11,"Halle",Nutzungsprofile!$G$6:$G$11)*Kalender!D104/SUM(Kalender!$D$5:$D$370),0)+IFERROR(SUMIF(Nutzungsprofile!$B$6:$B$11,"Individuell",Nutzungsprofile!$G$6:$G$11)*Kalender!E104/SUM(Kalender!$E$5:$E$370),0))*Szenarien!$E$8,0)</f>
        <v>2.352</v>
      </c>
      <c r="D104" s="13" t="n">
        <f aca="false">IF(Szenarien!$H$8="OK",(IFERROR(SUMIF(Nutzungsprofile!$B$17:$B$22,"Schulbetrieb",Nutzungsprofile!$G$17:$G$22)*Kalender!C104/SUM(Kalender!$C$5:$C$370),0)+IFERROR(SUMIF(Nutzungsprofile!$B$17:$B$22,"Halle",Nutzungsprofile!$G$17:$G$22)*Kalender!D104/SUM(Kalender!$D$5:$D$370),0)+IFERROR(SUMIF(Nutzungsprofile!$B$17:$B$22,"Individuell",Nutzungsprofile!$G$17:$G$22)*Kalender!E104/SUM(Kalender!$E$5:$E$370),0))*Szenarien!$D$8,0)</f>
        <v>4.446</v>
      </c>
      <c r="E104" s="13" t="n">
        <f aca="false">IFERROR(MIN(C104,Eingaben!$B$17)*Eingaben!$B$16,0)</f>
        <v>2.2344</v>
      </c>
      <c r="F104" s="13" t="n">
        <f aca="false">IFERROR(E104*Eingaben!$B$15,0)</f>
        <v>2.01096</v>
      </c>
      <c r="G104" s="13" t="n">
        <f aca="false">IFERROR(IF(Kalender!A104="",0,J103*(1-Eingaben!$B$20)),0)</f>
        <v>0.59122224</v>
      </c>
      <c r="H104" s="13" t="n">
        <f aca="false">MIN(G104,D104)</f>
        <v>0.59122224</v>
      </c>
      <c r="I104" s="13" t="n">
        <f aca="false">IFERROR(MIN(F104*Eingaben!$B$19,MAX(0,D104-H104)),0)</f>
        <v>1.407672</v>
      </c>
      <c r="J104" s="13" t="n">
        <f aca="false">IFERROR(MIN(Eingaben!$B$18,MAX(0,F104-I104)),0)</f>
        <v>0.603288</v>
      </c>
      <c r="K104" s="13" t="n">
        <f aca="false">H104+I104</f>
        <v>1.99889424</v>
      </c>
      <c r="L104" s="13" t="n">
        <f aca="false">MAX(0,D104-K104)</f>
        <v>2.44710576</v>
      </c>
      <c r="M104" s="13" t="n">
        <f aca="false">MAX(0,F104-I104-J104)</f>
        <v>0</v>
      </c>
      <c r="N104" s="13" t="n">
        <f aca="false">IF(Kalender!A104="",0,J103-H104)</f>
        <v>0.01206576</v>
      </c>
    </row>
    <row r="105" customFormat="false" ht="16.4" hidden="false" customHeight="false" outlineLevel="0" collapsed="false">
      <c r="A105" s="13" t="str">
        <f aca="false">""</f>
        <v/>
      </c>
      <c r="B105" s="13" t="n">
        <f aca="false">101</f>
        <v>101</v>
      </c>
      <c r="C105" s="13" t="n">
        <f aca="false">IF(Szenarien!$H$8="OK",(IFERROR(SUMIF(Nutzungsprofile!$B$6:$B$11,"Schulbetrieb",Nutzungsprofile!$G$6:$G$11)*Kalender!C105/SUM(Kalender!$C$5:$C$370),0)+IFERROR(SUMIF(Nutzungsprofile!$B$6:$B$11,"Halle",Nutzungsprofile!$G$6:$G$11)*Kalender!D105/SUM(Kalender!$D$5:$D$370),0)+IFERROR(SUMIF(Nutzungsprofile!$B$6:$B$11,"Individuell",Nutzungsprofile!$G$6:$G$11)*Kalender!E105/SUM(Kalender!$E$5:$E$370),0))*Szenarien!$E$8,0)</f>
        <v>1.632</v>
      </c>
      <c r="D105" s="13" t="n">
        <f aca="false">IF(Szenarien!$H$8="OK",(IFERROR(SUMIF(Nutzungsprofile!$B$17:$B$22,"Schulbetrieb",Nutzungsprofile!$G$17:$G$22)*Kalender!C105/SUM(Kalender!$C$5:$C$370),0)+IFERROR(SUMIF(Nutzungsprofile!$B$17:$B$22,"Halle",Nutzungsprofile!$G$17:$G$22)*Kalender!D105/SUM(Kalender!$D$5:$D$370),0)+IFERROR(SUMIF(Nutzungsprofile!$B$17:$B$22,"Individuell",Nutzungsprofile!$G$17:$G$22)*Kalender!E105/SUM(Kalender!$E$5:$E$370),0))*Szenarien!$D$8,0)</f>
        <v>0.801</v>
      </c>
      <c r="E105" s="13" t="n">
        <f aca="false">IFERROR(MIN(C105,Eingaben!$B$17)*Eingaben!$B$16,0)</f>
        <v>1.5504</v>
      </c>
      <c r="F105" s="13" t="n">
        <f aca="false">IFERROR(E105*Eingaben!$B$15,0)</f>
        <v>1.39536</v>
      </c>
      <c r="G105" s="13" t="n">
        <f aca="false">IFERROR(IF(Kalender!A105="",0,J104*(1-Eingaben!$B$20)),0)</f>
        <v>0.59122224</v>
      </c>
      <c r="H105" s="13" t="n">
        <f aca="false">MIN(G105,D105)</f>
        <v>0.59122224</v>
      </c>
      <c r="I105" s="13" t="n">
        <f aca="false">IFERROR(MIN(F105*Eingaben!$B$19,MAX(0,D105-H105)),0)</f>
        <v>0.20977776</v>
      </c>
      <c r="J105" s="13" t="n">
        <f aca="false">IFERROR(MIN(Eingaben!$B$18,MAX(0,F105-I105)),0)</f>
        <v>1.18558224</v>
      </c>
      <c r="K105" s="13" t="n">
        <f aca="false">H105+I105</f>
        <v>0.801</v>
      </c>
      <c r="L105" s="13" t="n">
        <f aca="false">MAX(0,D105-K105)</f>
        <v>0</v>
      </c>
      <c r="M105" s="13" t="n">
        <f aca="false">MAX(0,F105-I105-J105)</f>
        <v>0</v>
      </c>
      <c r="N105" s="13" t="n">
        <f aca="false">IF(Kalender!A105="",0,J104-H105)</f>
        <v>0.01206576</v>
      </c>
    </row>
    <row r="106" customFormat="false" ht="16.4" hidden="false" customHeight="false" outlineLevel="0" collapsed="false">
      <c r="A106" s="13" t="str">
        <f aca="false">""</f>
        <v/>
      </c>
      <c r="B106" s="13" t="n">
        <f aca="false">102</f>
        <v>102</v>
      </c>
      <c r="C106" s="13" t="n">
        <f aca="false">IF(Szenarien!$H$8="OK",(IFERROR(SUMIF(Nutzungsprofile!$B$6:$B$11,"Schulbetrieb",Nutzungsprofile!$G$6:$G$11)*Kalender!C106/SUM(Kalender!$C$5:$C$370),0)+IFERROR(SUMIF(Nutzungsprofile!$B$6:$B$11,"Halle",Nutzungsprofile!$G$6:$G$11)*Kalender!D106/SUM(Kalender!$D$5:$D$370),0)+IFERROR(SUMIF(Nutzungsprofile!$B$6:$B$11,"Individuell",Nutzungsprofile!$G$6:$G$11)*Kalender!E106/SUM(Kalender!$E$5:$E$370),0))*Szenarien!$E$8,0)</f>
        <v>1.632</v>
      </c>
      <c r="D106" s="13" t="n">
        <f aca="false">IF(Szenarien!$H$8="OK",(IFERROR(SUMIF(Nutzungsprofile!$B$17:$B$22,"Schulbetrieb",Nutzungsprofile!$G$17:$G$22)*Kalender!C106/SUM(Kalender!$C$5:$C$370),0)+IFERROR(SUMIF(Nutzungsprofile!$B$17:$B$22,"Halle",Nutzungsprofile!$G$17:$G$22)*Kalender!D106/SUM(Kalender!$D$5:$D$370),0)+IFERROR(SUMIF(Nutzungsprofile!$B$17:$B$22,"Individuell",Nutzungsprofile!$G$17:$G$22)*Kalender!E106/SUM(Kalender!$E$5:$E$370),0))*Szenarien!$D$8,0)</f>
        <v>0.801</v>
      </c>
      <c r="E106" s="13" t="n">
        <f aca="false">IFERROR(MIN(C106,Eingaben!$B$17)*Eingaben!$B$16,0)</f>
        <v>1.5504</v>
      </c>
      <c r="F106" s="13" t="n">
        <f aca="false">IFERROR(E106*Eingaben!$B$15,0)</f>
        <v>1.39536</v>
      </c>
      <c r="G106" s="13" t="n">
        <f aca="false">IFERROR(IF(Kalender!A106="",0,J105*(1-Eingaben!$B$20)),0)</f>
        <v>1.1618705952</v>
      </c>
      <c r="H106" s="13" t="n">
        <f aca="false">MIN(G106,D106)</f>
        <v>0.801</v>
      </c>
      <c r="I106" s="13" t="n">
        <f aca="false">IFERROR(MIN(F106*Eingaben!$B$19,MAX(0,D106-H106)),0)</f>
        <v>0</v>
      </c>
      <c r="J106" s="13" t="n">
        <f aca="false">IFERROR(MIN(Eingaben!$B$18,MAX(0,F106-I106)),0)</f>
        <v>1.39536</v>
      </c>
      <c r="K106" s="13" t="n">
        <f aca="false">H106+I106</f>
        <v>0.801</v>
      </c>
      <c r="L106" s="13" t="n">
        <f aca="false">MAX(0,D106-K106)</f>
        <v>0</v>
      </c>
      <c r="M106" s="13" t="n">
        <f aca="false">MAX(0,F106-I106-J106)</f>
        <v>0</v>
      </c>
      <c r="N106" s="13" t="n">
        <f aca="false">IF(Kalender!A106="",0,J105-H106)</f>
        <v>0.38458224</v>
      </c>
    </row>
    <row r="107" customFormat="false" ht="16.4" hidden="false" customHeight="false" outlineLevel="0" collapsed="false">
      <c r="A107" s="13" t="str">
        <f aca="false">""</f>
        <v/>
      </c>
      <c r="B107" s="13" t="n">
        <f aca="false">103</f>
        <v>103</v>
      </c>
      <c r="C107" s="13" t="n">
        <f aca="false">IF(Szenarien!$H$8="OK",(IFERROR(SUMIF(Nutzungsprofile!$B$6:$B$11,"Schulbetrieb",Nutzungsprofile!$G$6:$G$11)*Kalender!C107/SUM(Kalender!$C$5:$C$370),0)+IFERROR(SUMIF(Nutzungsprofile!$B$6:$B$11,"Halle",Nutzungsprofile!$G$6:$G$11)*Kalender!D107/SUM(Kalender!$D$5:$D$370),0)+IFERROR(SUMIF(Nutzungsprofile!$B$6:$B$11,"Individuell",Nutzungsprofile!$G$6:$G$11)*Kalender!E107/SUM(Kalender!$E$5:$E$370),0))*Szenarien!$E$8,0)</f>
        <v>2.352</v>
      </c>
      <c r="D107" s="13" t="n">
        <f aca="false">IF(Szenarien!$H$8="OK",(IFERROR(SUMIF(Nutzungsprofile!$B$17:$B$22,"Schulbetrieb",Nutzungsprofile!$G$17:$G$22)*Kalender!C107/SUM(Kalender!$C$5:$C$370),0)+IFERROR(SUMIF(Nutzungsprofile!$B$17:$B$22,"Halle",Nutzungsprofile!$G$17:$G$22)*Kalender!D107/SUM(Kalender!$D$5:$D$370),0)+IFERROR(SUMIF(Nutzungsprofile!$B$17:$B$22,"Individuell",Nutzungsprofile!$G$17:$G$22)*Kalender!E107/SUM(Kalender!$E$5:$E$370),0))*Szenarien!$D$8,0)</f>
        <v>4.446</v>
      </c>
      <c r="E107" s="13" t="n">
        <f aca="false">IFERROR(MIN(C107,Eingaben!$B$17)*Eingaben!$B$16,0)</f>
        <v>2.2344</v>
      </c>
      <c r="F107" s="13" t="n">
        <f aca="false">IFERROR(E107*Eingaben!$B$15,0)</f>
        <v>2.01096</v>
      </c>
      <c r="G107" s="13" t="n">
        <f aca="false">IFERROR(IF(Kalender!A107="",0,J106*(1-Eingaben!$B$20)),0)</f>
        <v>1.3674528</v>
      </c>
      <c r="H107" s="13" t="n">
        <f aca="false">MIN(G107,D107)</f>
        <v>1.3674528</v>
      </c>
      <c r="I107" s="13" t="n">
        <f aca="false">IFERROR(MIN(F107*Eingaben!$B$19,MAX(0,D107-H107)),0)</f>
        <v>1.407672</v>
      </c>
      <c r="J107" s="13" t="n">
        <f aca="false">IFERROR(MIN(Eingaben!$B$18,MAX(0,F107-I107)),0)</f>
        <v>0.603288</v>
      </c>
      <c r="K107" s="13" t="n">
        <f aca="false">H107+I107</f>
        <v>2.7751248</v>
      </c>
      <c r="L107" s="13" t="n">
        <f aca="false">MAX(0,D107-K107)</f>
        <v>1.6708752</v>
      </c>
      <c r="M107" s="13" t="n">
        <f aca="false">MAX(0,F107-I107-J107)</f>
        <v>0</v>
      </c>
      <c r="N107" s="13" t="n">
        <f aca="false">IF(Kalender!A107="",0,J106-H107)</f>
        <v>0.0279072</v>
      </c>
    </row>
    <row r="108" customFormat="false" ht="16.4" hidden="false" customHeight="false" outlineLevel="0" collapsed="false">
      <c r="A108" s="13" t="str">
        <f aca="false">""</f>
        <v/>
      </c>
      <c r="B108" s="13" t="n">
        <f aca="false">104</f>
        <v>104</v>
      </c>
      <c r="C108" s="13" t="n">
        <f aca="false">IF(Szenarien!$H$8="OK",(IFERROR(SUMIF(Nutzungsprofile!$B$6:$B$11,"Schulbetrieb",Nutzungsprofile!$G$6:$G$11)*Kalender!C108/SUM(Kalender!$C$5:$C$370),0)+IFERROR(SUMIF(Nutzungsprofile!$B$6:$B$11,"Halle",Nutzungsprofile!$G$6:$G$11)*Kalender!D108/SUM(Kalender!$D$5:$D$370),0)+IFERROR(SUMIF(Nutzungsprofile!$B$6:$B$11,"Individuell",Nutzungsprofile!$G$6:$G$11)*Kalender!E108/SUM(Kalender!$E$5:$E$370),0))*Szenarien!$E$8,0)</f>
        <v>2.352</v>
      </c>
      <c r="D108" s="13" t="n">
        <f aca="false">IF(Szenarien!$H$8="OK",(IFERROR(SUMIF(Nutzungsprofile!$B$17:$B$22,"Schulbetrieb",Nutzungsprofile!$G$17:$G$22)*Kalender!C108/SUM(Kalender!$C$5:$C$370),0)+IFERROR(SUMIF(Nutzungsprofile!$B$17:$B$22,"Halle",Nutzungsprofile!$G$17:$G$22)*Kalender!D108/SUM(Kalender!$D$5:$D$370),0)+IFERROR(SUMIF(Nutzungsprofile!$B$17:$B$22,"Individuell",Nutzungsprofile!$G$17:$G$22)*Kalender!E108/SUM(Kalender!$E$5:$E$370),0))*Szenarien!$D$8,0)</f>
        <v>4.446</v>
      </c>
      <c r="E108" s="13" t="n">
        <f aca="false">IFERROR(MIN(C108,Eingaben!$B$17)*Eingaben!$B$16,0)</f>
        <v>2.2344</v>
      </c>
      <c r="F108" s="13" t="n">
        <f aca="false">IFERROR(E108*Eingaben!$B$15,0)</f>
        <v>2.01096</v>
      </c>
      <c r="G108" s="13" t="n">
        <f aca="false">IFERROR(IF(Kalender!A108="",0,J107*(1-Eingaben!$B$20)),0)</f>
        <v>0.59122224</v>
      </c>
      <c r="H108" s="13" t="n">
        <f aca="false">MIN(G108,D108)</f>
        <v>0.59122224</v>
      </c>
      <c r="I108" s="13" t="n">
        <f aca="false">IFERROR(MIN(F108*Eingaben!$B$19,MAX(0,D108-H108)),0)</f>
        <v>1.407672</v>
      </c>
      <c r="J108" s="13" t="n">
        <f aca="false">IFERROR(MIN(Eingaben!$B$18,MAX(0,F108-I108)),0)</f>
        <v>0.603288</v>
      </c>
      <c r="K108" s="13" t="n">
        <f aca="false">H108+I108</f>
        <v>1.99889424</v>
      </c>
      <c r="L108" s="13" t="n">
        <f aca="false">MAX(0,D108-K108)</f>
        <v>2.44710576</v>
      </c>
      <c r="M108" s="13" t="n">
        <f aca="false">MAX(0,F108-I108-J108)</f>
        <v>0</v>
      </c>
      <c r="N108" s="13" t="n">
        <f aca="false">IF(Kalender!A108="",0,J107-H108)</f>
        <v>0.01206576</v>
      </c>
    </row>
    <row r="109" customFormat="false" ht="16.4" hidden="false" customHeight="false" outlineLevel="0" collapsed="false">
      <c r="A109" s="13" t="str">
        <f aca="false">""</f>
        <v/>
      </c>
      <c r="B109" s="13" t="n">
        <f aca="false">105</f>
        <v>105</v>
      </c>
      <c r="C109" s="13" t="n">
        <f aca="false">IF(Szenarien!$H$8="OK",(IFERROR(SUMIF(Nutzungsprofile!$B$6:$B$11,"Schulbetrieb",Nutzungsprofile!$G$6:$G$11)*Kalender!C109/SUM(Kalender!$C$5:$C$370),0)+IFERROR(SUMIF(Nutzungsprofile!$B$6:$B$11,"Halle",Nutzungsprofile!$G$6:$G$11)*Kalender!D109/SUM(Kalender!$D$5:$D$370),0)+IFERROR(SUMIF(Nutzungsprofile!$B$6:$B$11,"Individuell",Nutzungsprofile!$G$6:$G$11)*Kalender!E109/SUM(Kalender!$E$5:$E$370),0))*Szenarien!$E$8,0)</f>
        <v>2.352</v>
      </c>
      <c r="D109" s="13" t="n">
        <f aca="false">IF(Szenarien!$H$8="OK",(IFERROR(SUMIF(Nutzungsprofile!$B$17:$B$22,"Schulbetrieb",Nutzungsprofile!$G$17:$G$22)*Kalender!C109/SUM(Kalender!$C$5:$C$370),0)+IFERROR(SUMIF(Nutzungsprofile!$B$17:$B$22,"Halle",Nutzungsprofile!$G$17:$G$22)*Kalender!D109/SUM(Kalender!$D$5:$D$370),0)+IFERROR(SUMIF(Nutzungsprofile!$B$17:$B$22,"Individuell",Nutzungsprofile!$G$17:$G$22)*Kalender!E109/SUM(Kalender!$E$5:$E$370),0))*Szenarien!$D$8,0)</f>
        <v>4.446</v>
      </c>
      <c r="E109" s="13" t="n">
        <f aca="false">IFERROR(MIN(C109,Eingaben!$B$17)*Eingaben!$B$16,0)</f>
        <v>2.2344</v>
      </c>
      <c r="F109" s="13" t="n">
        <f aca="false">IFERROR(E109*Eingaben!$B$15,0)</f>
        <v>2.01096</v>
      </c>
      <c r="G109" s="13" t="n">
        <f aca="false">IFERROR(IF(Kalender!A109="",0,J108*(1-Eingaben!$B$20)),0)</f>
        <v>0.59122224</v>
      </c>
      <c r="H109" s="13" t="n">
        <f aca="false">MIN(G109,D109)</f>
        <v>0.59122224</v>
      </c>
      <c r="I109" s="13" t="n">
        <f aca="false">IFERROR(MIN(F109*Eingaben!$B$19,MAX(0,D109-H109)),0)</f>
        <v>1.407672</v>
      </c>
      <c r="J109" s="13" t="n">
        <f aca="false">IFERROR(MIN(Eingaben!$B$18,MAX(0,F109-I109)),0)</f>
        <v>0.603288</v>
      </c>
      <c r="K109" s="13" t="n">
        <f aca="false">H109+I109</f>
        <v>1.99889424</v>
      </c>
      <c r="L109" s="13" t="n">
        <f aca="false">MAX(0,D109-K109)</f>
        <v>2.44710576</v>
      </c>
      <c r="M109" s="13" t="n">
        <f aca="false">MAX(0,F109-I109-J109)</f>
        <v>0</v>
      </c>
      <c r="N109" s="13" t="n">
        <f aca="false">IF(Kalender!A109="",0,J108-H109)</f>
        <v>0.01206576</v>
      </c>
    </row>
    <row r="110" customFormat="false" ht="16.4" hidden="false" customHeight="false" outlineLevel="0" collapsed="false">
      <c r="A110" s="13" t="str">
        <f aca="false">""</f>
        <v/>
      </c>
      <c r="B110" s="13" t="n">
        <f aca="false">106</f>
        <v>106</v>
      </c>
      <c r="C110" s="13" t="n">
        <f aca="false">IF(Szenarien!$H$8="OK",(IFERROR(SUMIF(Nutzungsprofile!$B$6:$B$11,"Schulbetrieb",Nutzungsprofile!$G$6:$G$11)*Kalender!C110/SUM(Kalender!$C$5:$C$370),0)+IFERROR(SUMIF(Nutzungsprofile!$B$6:$B$11,"Halle",Nutzungsprofile!$G$6:$G$11)*Kalender!D110/SUM(Kalender!$D$5:$D$370),0)+IFERROR(SUMIF(Nutzungsprofile!$B$6:$B$11,"Individuell",Nutzungsprofile!$G$6:$G$11)*Kalender!E110/SUM(Kalender!$E$5:$E$370),0))*Szenarien!$E$8,0)</f>
        <v>2.352</v>
      </c>
      <c r="D110" s="13" t="n">
        <f aca="false">IF(Szenarien!$H$8="OK",(IFERROR(SUMIF(Nutzungsprofile!$B$17:$B$22,"Schulbetrieb",Nutzungsprofile!$G$17:$G$22)*Kalender!C110/SUM(Kalender!$C$5:$C$370),0)+IFERROR(SUMIF(Nutzungsprofile!$B$17:$B$22,"Halle",Nutzungsprofile!$G$17:$G$22)*Kalender!D110/SUM(Kalender!$D$5:$D$370),0)+IFERROR(SUMIF(Nutzungsprofile!$B$17:$B$22,"Individuell",Nutzungsprofile!$G$17:$G$22)*Kalender!E110/SUM(Kalender!$E$5:$E$370),0))*Szenarien!$D$8,0)</f>
        <v>4.446</v>
      </c>
      <c r="E110" s="13" t="n">
        <f aca="false">IFERROR(MIN(C110,Eingaben!$B$17)*Eingaben!$B$16,0)</f>
        <v>2.2344</v>
      </c>
      <c r="F110" s="13" t="n">
        <f aca="false">IFERROR(E110*Eingaben!$B$15,0)</f>
        <v>2.01096</v>
      </c>
      <c r="G110" s="13" t="n">
        <f aca="false">IFERROR(IF(Kalender!A110="",0,J109*(1-Eingaben!$B$20)),0)</f>
        <v>0.59122224</v>
      </c>
      <c r="H110" s="13" t="n">
        <f aca="false">MIN(G110,D110)</f>
        <v>0.59122224</v>
      </c>
      <c r="I110" s="13" t="n">
        <f aca="false">IFERROR(MIN(F110*Eingaben!$B$19,MAX(0,D110-H110)),0)</f>
        <v>1.407672</v>
      </c>
      <c r="J110" s="13" t="n">
        <f aca="false">IFERROR(MIN(Eingaben!$B$18,MAX(0,F110-I110)),0)</f>
        <v>0.603288</v>
      </c>
      <c r="K110" s="13" t="n">
        <f aca="false">H110+I110</f>
        <v>1.99889424</v>
      </c>
      <c r="L110" s="13" t="n">
        <f aca="false">MAX(0,D110-K110)</f>
        <v>2.44710576</v>
      </c>
      <c r="M110" s="13" t="n">
        <f aca="false">MAX(0,F110-I110-J110)</f>
        <v>0</v>
      </c>
      <c r="N110" s="13" t="n">
        <f aca="false">IF(Kalender!A110="",0,J109-H110)</f>
        <v>0.01206576</v>
      </c>
    </row>
    <row r="111" customFormat="false" ht="16.4" hidden="false" customHeight="false" outlineLevel="0" collapsed="false">
      <c r="A111" s="13" t="str">
        <f aca="false">""</f>
        <v/>
      </c>
      <c r="B111" s="13" t="n">
        <f aca="false">107</f>
        <v>107</v>
      </c>
      <c r="C111" s="13" t="n">
        <f aca="false">IF(Szenarien!$H$8="OK",(IFERROR(SUMIF(Nutzungsprofile!$B$6:$B$11,"Schulbetrieb",Nutzungsprofile!$G$6:$G$11)*Kalender!C111/SUM(Kalender!$C$5:$C$370),0)+IFERROR(SUMIF(Nutzungsprofile!$B$6:$B$11,"Halle",Nutzungsprofile!$G$6:$G$11)*Kalender!D111/SUM(Kalender!$D$5:$D$370),0)+IFERROR(SUMIF(Nutzungsprofile!$B$6:$B$11,"Individuell",Nutzungsprofile!$G$6:$G$11)*Kalender!E111/SUM(Kalender!$E$5:$E$370),0))*Szenarien!$E$8,0)</f>
        <v>2.352</v>
      </c>
      <c r="D111" s="13" t="n">
        <f aca="false">IF(Szenarien!$H$8="OK",(IFERROR(SUMIF(Nutzungsprofile!$B$17:$B$22,"Schulbetrieb",Nutzungsprofile!$G$17:$G$22)*Kalender!C111/SUM(Kalender!$C$5:$C$370),0)+IFERROR(SUMIF(Nutzungsprofile!$B$17:$B$22,"Halle",Nutzungsprofile!$G$17:$G$22)*Kalender!D111/SUM(Kalender!$D$5:$D$370),0)+IFERROR(SUMIF(Nutzungsprofile!$B$17:$B$22,"Individuell",Nutzungsprofile!$G$17:$G$22)*Kalender!E111/SUM(Kalender!$E$5:$E$370),0))*Szenarien!$D$8,0)</f>
        <v>4.446</v>
      </c>
      <c r="E111" s="13" t="n">
        <f aca="false">IFERROR(MIN(C111,Eingaben!$B$17)*Eingaben!$B$16,0)</f>
        <v>2.2344</v>
      </c>
      <c r="F111" s="13" t="n">
        <f aca="false">IFERROR(E111*Eingaben!$B$15,0)</f>
        <v>2.01096</v>
      </c>
      <c r="G111" s="13" t="n">
        <f aca="false">IFERROR(IF(Kalender!A111="",0,J110*(1-Eingaben!$B$20)),0)</f>
        <v>0.59122224</v>
      </c>
      <c r="H111" s="13" t="n">
        <f aca="false">MIN(G111,D111)</f>
        <v>0.59122224</v>
      </c>
      <c r="I111" s="13" t="n">
        <f aca="false">IFERROR(MIN(F111*Eingaben!$B$19,MAX(0,D111-H111)),0)</f>
        <v>1.407672</v>
      </c>
      <c r="J111" s="13" t="n">
        <f aca="false">IFERROR(MIN(Eingaben!$B$18,MAX(0,F111-I111)),0)</f>
        <v>0.603288</v>
      </c>
      <c r="K111" s="13" t="n">
        <f aca="false">H111+I111</f>
        <v>1.99889424</v>
      </c>
      <c r="L111" s="13" t="n">
        <f aca="false">MAX(0,D111-K111)</f>
        <v>2.44710576</v>
      </c>
      <c r="M111" s="13" t="n">
        <f aca="false">MAX(0,F111-I111-J111)</f>
        <v>0</v>
      </c>
      <c r="N111" s="13" t="n">
        <f aca="false">IF(Kalender!A111="",0,J110-H111)</f>
        <v>0.01206576</v>
      </c>
    </row>
    <row r="112" customFormat="false" ht="16.4" hidden="false" customHeight="false" outlineLevel="0" collapsed="false">
      <c r="A112" s="13" t="str">
        <f aca="false">""</f>
        <v/>
      </c>
      <c r="B112" s="13" t="n">
        <f aca="false">108</f>
        <v>108</v>
      </c>
      <c r="C112" s="13" t="n">
        <f aca="false">IF(Szenarien!$H$8="OK",(IFERROR(SUMIF(Nutzungsprofile!$B$6:$B$11,"Schulbetrieb",Nutzungsprofile!$G$6:$G$11)*Kalender!C112/SUM(Kalender!$C$5:$C$370),0)+IFERROR(SUMIF(Nutzungsprofile!$B$6:$B$11,"Halle",Nutzungsprofile!$G$6:$G$11)*Kalender!D112/SUM(Kalender!$D$5:$D$370),0)+IFERROR(SUMIF(Nutzungsprofile!$B$6:$B$11,"Individuell",Nutzungsprofile!$G$6:$G$11)*Kalender!E112/SUM(Kalender!$E$5:$E$370),0))*Szenarien!$E$8,0)</f>
        <v>1.632</v>
      </c>
      <c r="D112" s="13" t="n">
        <f aca="false">IF(Szenarien!$H$8="OK",(IFERROR(SUMIF(Nutzungsprofile!$B$17:$B$22,"Schulbetrieb",Nutzungsprofile!$G$17:$G$22)*Kalender!C112/SUM(Kalender!$C$5:$C$370),0)+IFERROR(SUMIF(Nutzungsprofile!$B$17:$B$22,"Halle",Nutzungsprofile!$G$17:$G$22)*Kalender!D112/SUM(Kalender!$D$5:$D$370),0)+IFERROR(SUMIF(Nutzungsprofile!$B$17:$B$22,"Individuell",Nutzungsprofile!$G$17:$G$22)*Kalender!E112/SUM(Kalender!$E$5:$E$370),0))*Szenarien!$D$8,0)</f>
        <v>0.801</v>
      </c>
      <c r="E112" s="13" t="n">
        <f aca="false">IFERROR(MIN(C112,Eingaben!$B$17)*Eingaben!$B$16,0)</f>
        <v>1.5504</v>
      </c>
      <c r="F112" s="13" t="n">
        <f aca="false">IFERROR(E112*Eingaben!$B$15,0)</f>
        <v>1.39536</v>
      </c>
      <c r="G112" s="13" t="n">
        <f aca="false">IFERROR(IF(Kalender!A112="",0,J111*(1-Eingaben!$B$20)),0)</f>
        <v>0.59122224</v>
      </c>
      <c r="H112" s="13" t="n">
        <f aca="false">MIN(G112,D112)</f>
        <v>0.59122224</v>
      </c>
      <c r="I112" s="13" t="n">
        <f aca="false">IFERROR(MIN(F112*Eingaben!$B$19,MAX(0,D112-H112)),0)</f>
        <v>0.20977776</v>
      </c>
      <c r="J112" s="13" t="n">
        <f aca="false">IFERROR(MIN(Eingaben!$B$18,MAX(0,F112-I112)),0)</f>
        <v>1.18558224</v>
      </c>
      <c r="K112" s="13" t="n">
        <f aca="false">H112+I112</f>
        <v>0.801</v>
      </c>
      <c r="L112" s="13" t="n">
        <f aca="false">MAX(0,D112-K112)</f>
        <v>0</v>
      </c>
      <c r="M112" s="13" t="n">
        <f aca="false">MAX(0,F112-I112-J112)</f>
        <v>0</v>
      </c>
      <c r="N112" s="13" t="n">
        <f aca="false">IF(Kalender!A112="",0,J111-H112)</f>
        <v>0.01206576</v>
      </c>
    </row>
    <row r="113" customFormat="false" ht="16.4" hidden="false" customHeight="false" outlineLevel="0" collapsed="false">
      <c r="A113" s="13" t="str">
        <f aca="false">""</f>
        <v/>
      </c>
      <c r="B113" s="13" t="n">
        <f aca="false">109</f>
        <v>109</v>
      </c>
      <c r="C113" s="13" t="n">
        <f aca="false">IF(Szenarien!$H$8="OK",(IFERROR(SUMIF(Nutzungsprofile!$B$6:$B$11,"Schulbetrieb",Nutzungsprofile!$G$6:$G$11)*Kalender!C113/SUM(Kalender!$C$5:$C$370),0)+IFERROR(SUMIF(Nutzungsprofile!$B$6:$B$11,"Halle",Nutzungsprofile!$G$6:$G$11)*Kalender!D113/SUM(Kalender!$D$5:$D$370),0)+IFERROR(SUMIF(Nutzungsprofile!$B$6:$B$11,"Individuell",Nutzungsprofile!$G$6:$G$11)*Kalender!E113/SUM(Kalender!$E$5:$E$370),0))*Szenarien!$E$8,0)</f>
        <v>1.632</v>
      </c>
      <c r="D113" s="13" t="n">
        <f aca="false">IF(Szenarien!$H$8="OK",(IFERROR(SUMIF(Nutzungsprofile!$B$17:$B$22,"Schulbetrieb",Nutzungsprofile!$G$17:$G$22)*Kalender!C113/SUM(Kalender!$C$5:$C$370),0)+IFERROR(SUMIF(Nutzungsprofile!$B$17:$B$22,"Halle",Nutzungsprofile!$G$17:$G$22)*Kalender!D113/SUM(Kalender!$D$5:$D$370),0)+IFERROR(SUMIF(Nutzungsprofile!$B$17:$B$22,"Individuell",Nutzungsprofile!$G$17:$G$22)*Kalender!E113/SUM(Kalender!$E$5:$E$370),0))*Szenarien!$D$8,0)</f>
        <v>0.801</v>
      </c>
      <c r="E113" s="13" t="n">
        <f aca="false">IFERROR(MIN(C113,Eingaben!$B$17)*Eingaben!$B$16,0)</f>
        <v>1.5504</v>
      </c>
      <c r="F113" s="13" t="n">
        <f aca="false">IFERROR(E113*Eingaben!$B$15,0)</f>
        <v>1.39536</v>
      </c>
      <c r="G113" s="13" t="n">
        <f aca="false">IFERROR(IF(Kalender!A113="",0,J112*(1-Eingaben!$B$20)),0)</f>
        <v>1.1618705952</v>
      </c>
      <c r="H113" s="13" t="n">
        <f aca="false">MIN(G113,D113)</f>
        <v>0.801</v>
      </c>
      <c r="I113" s="13" t="n">
        <f aca="false">IFERROR(MIN(F113*Eingaben!$B$19,MAX(0,D113-H113)),0)</f>
        <v>0</v>
      </c>
      <c r="J113" s="13" t="n">
        <f aca="false">IFERROR(MIN(Eingaben!$B$18,MAX(0,F113-I113)),0)</f>
        <v>1.39536</v>
      </c>
      <c r="K113" s="13" t="n">
        <f aca="false">H113+I113</f>
        <v>0.801</v>
      </c>
      <c r="L113" s="13" t="n">
        <f aca="false">MAX(0,D113-K113)</f>
        <v>0</v>
      </c>
      <c r="M113" s="13" t="n">
        <f aca="false">MAX(0,F113-I113-J113)</f>
        <v>0</v>
      </c>
      <c r="N113" s="13" t="n">
        <f aca="false">IF(Kalender!A113="",0,J112-H113)</f>
        <v>0.38458224</v>
      </c>
    </row>
    <row r="114" customFormat="false" ht="16.4" hidden="false" customHeight="false" outlineLevel="0" collapsed="false">
      <c r="A114" s="13" t="str">
        <f aca="false">""</f>
        <v/>
      </c>
      <c r="B114" s="13" t="n">
        <f aca="false">110</f>
        <v>110</v>
      </c>
      <c r="C114" s="13" t="n">
        <f aca="false">IF(Szenarien!$H$8="OK",(IFERROR(SUMIF(Nutzungsprofile!$B$6:$B$11,"Schulbetrieb",Nutzungsprofile!$G$6:$G$11)*Kalender!C114/SUM(Kalender!$C$5:$C$370),0)+IFERROR(SUMIF(Nutzungsprofile!$B$6:$B$11,"Halle",Nutzungsprofile!$G$6:$G$11)*Kalender!D114/SUM(Kalender!$D$5:$D$370),0)+IFERROR(SUMIF(Nutzungsprofile!$B$6:$B$11,"Individuell",Nutzungsprofile!$G$6:$G$11)*Kalender!E114/SUM(Kalender!$E$5:$E$370),0))*Szenarien!$E$8,0)</f>
        <v>2.352</v>
      </c>
      <c r="D114" s="13" t="n">
        <f aca="false">IF(Szenarien!$H$8="OK",(IFERROR(SUMIF(Nutzungsprofile!$B$17:$B$22,"Schulbetrieb",Nutzungsprofile!$G$17:$G$22)*Kalender!C114/SUM(Kalender!$C$5:$C$370),0)+IFERROR(SUMIF(Nutzungsprofile!$B$17:$B$22,"Halle",Nutzungsprofile!$G$17:$G$22)*Kalender!D114/SUM(Kalender!$D$5:$D$370),0)+IFERROR(SUMIF(Nutzungsprofile!$B$17:$B$22,"Individuell",Nutzungsprofile!$G$17:$G$22)*Kalender!E114/SUM(Kalender!$E$5:$E$370),0))*Szenarien!$D$8,0)</f>
        <v>4.446</v>
      </c>
      <c r="E114" s="13" t="n">
        <f aca="false">IFERROR(MIN(C114,Eingaben!$B$17)*Eingaben!$B$16,0)</f>
        <v>2.2344</v>
      </c>
      <c r="F114" s="13" t="n">
        <f aca="false">IFERROR(E114*Eingaben!$B$15,0)</f>
        <v>2.01096</v>
      </c>
      <c r="G114" s="13" t="n">
        <f aca="false">IFERROR(IF(Kalender!A114="",0,J113*(1-Eingaben!$B$20)),0)</f>
        <v>1.3674528</v>
      </c>
      <c r="H114" s="13" t="n">
        <f aca="false">MIN(G114,D114)</f>
        <v>1.3674528</v>
      </c>
      <c r="I114" s="13" t="n">
        <f aca="false">IFERROR(MIN(F114*Eingaben!$B$19,MAX(0,D114-H114)),0)</f>
        <v>1.407672</v>
      </c>
      <c r="J114" s="13" t="n">
        <f aca="false">IFERROR(MIN(Eingaben!$B$18,MAX(0,F114-I114)),0)</f>
        <v>0.603288</v>
      </c>
      <c r="K114" s="13" t="n">
        <f aca="false">H114+I114</f>
        <v>2.7751248</v>
      </c>
      <c r="L114" s="13" t="n">
        <f aca="false">MAX(0,D114-K114)</f>
        <v>1.6708752</v>
      </c>
      <c r="M114" s="13" t="n">
        <f aca="false">MAX(0,F114-I114-J114)</f>
        <v>0</v>
      </c>
      <c r="N114" s="13" t="n">
        <f aca="false">IF(Kalender!A114="",0,J113-H114)</f>
        <v>0.0279072</v>
      </c>
    </row>
    <row r="115" customFormat="false" ht="16.4" hidden="false" customHeight="false" outlineLevel="0" collapsed="false">
      <c r="A115" s="13" t="str">
        <f aca="false">""</f>
        <v/>
      </c>
      <c r="B115" s="13" t="n">
        <f aca="false">111</f>
        <v>111</v>
      </c>
      <c r="C115" s="13" t="n">
        <f aca="false">IF(Szenarien!$H$8="OK",(IFERROR(SUMIF(Nutzungsprofile!$B$6:$B$11,"Schulbetrieb",Nutzungsprofile!$G$6:$G$11)*Kalender!C115/SUM(Kalender!$C$5:$C$370),0)+IFERROR(SUMIF(Nutzungsprofile!$B$6:$B$11,"Halle",Nutzungsprofile!$G$6:$G$11)*Kalender!D115/SUM(Kalender!$D$5:$D$370),0)+IFERROR(SUMIF(Nutzungsprofile!$B$6:$B$11,"Individuell",Nutzungsprofile!$G$6:$G$11)*Kalender!E115/SUM(Kalender!$E$5:$E$370),0))*Szenarien!$E$8,0)</f>
        <v>2.352</v>
      </c>
      <c r="D115" s="13" t="n">
        <f aca="false">IF(Szenarien!$H$8="OK",(IFERROR(SUMIF(Nutzungsprofile!$B$17:$B$22,"Schulbetrieb",Nutzungsprofile!$G$17:$G$22)*Kalender!C115/SUM(Kalender!$C$5:$C$370),0)+IFERROR(SUMIF(Nutzungsprofile!$B$17:$B$22,"Halle",Nutzungsprofile!$G$17:$G$22)*Kalender!D115/SUM(Kalender!$D$5:$D$370),0)+IFERROR(SUMIF(Nutzungsprofile!$B$17:$B$22,"Individuell",Nutzungsprofile!$G$17:$G$22)*Kalender!E115/SUM(Kalender!$E$5:$E$370),0))*Szenarien!$D$8,0)</f>
        <v>4.446</v>
      </c>
      <c r="E115" s="13" t="n">
        <f aca="false">IFERROR(MIN(C115,Eingaben!$B$17)*Eingaben!$B$16,0)</f>
        <v>2.2344</v>
      </c>
      <c r="F115" s="13" t="n">
        <f aca="false">IFERROR(E115*Eingaben!$B$15,0)</f>
        <v>2.01096</v>
      </c>
      <c r="G115" s="13" t="n">
        <f aca="false">IFERROR(IF(Kalender!A115="",0,J114*(1-Eingaben!$B$20)),0)</f>
        <v>0.59122224</v>
      </c>
      <c r="H115" s="13" t="n">
        <f aca="false">MIN(G115,D115)</f>
        <v>0.59122224</v>
      </c>
      <c r="I115" s="13" t="n">
        <f aca="false">IFERROR(MIN(F115*Eingaben!$B$19,MAX(0,D115-H115)),0)</f>
        <v>1.407672</v>
      </c>
      <c r="J115" s="13" t="n">
        <f aca="false">IFERROR(MIN(Eingaben!$B$18,MAX(0,F115-I115)),0)</f>
        <v>0.603288</v>
      </c>
      <c r="K115" s="13" t="n">
        <f aca="false">H115+I115</f>
        <v>1.99889424</v>
      </c>
      <c r="L115" s="13" t="n">
        <f aca="false">MAX(0,D115-K115)</f>
        <v>2.44710576</v>
      </c>
      <c r="M115" s="13" t="n">
        <f aca="false">MAX(0,F115-I115-J115)</f>
        <v>0</v>
      </c>
      <c r="N115" s="13" t="n">
        <f aca="false">IF(Kalender!A115="",0,J114-H115)</f>
        <v>0.01206576</v>
      </c>
    </row>
    <row r="116" customFormat="false" ht="16.4" hidden="false" customHeight="false" outlineLevel="0" collapsed="false">
      <c r="A116" s="13" t="str">
        <f aca="false">""</f>
        <v/>
      </c>
      <c r="B116" s="13" t="n">
        <f aca="false">112</f>
        <v>112</v>
      </c>
      <c r="C116" s="13" t="n">
        <f aca="false">IF(Szenarien!$H$8="OK",(IFERROR(SUMIF(Nutzungsprofile!$B$6:$B$11,"Schulbetrieb",Nutzungsprofile!$G$6:$G$11)*Kalender!C116/SUM(Kalender!$C$5:$C$370),0)+IFERROR(SUMIF(Nutzungsprofile!$B$6:$B$11,"Halle",Nutzungsprofile!$G$6:$G$11)*Kalender!D116/SUM(Kalender!$D$5:$D$370),0)+IFERROR(SUMIF(Nutzungsprofile!$B$6:$B$11,"Individuell",Nutzungsprofile!$G$6:$G$11)*Kalender!E116/SUM(Kalender!$E$5:$E$370),0))*Szenarien!$E$8,0)</f>
        <v>2.352</v>
      </c>
      <c r="D116" s="13" t="n">
        <f aca="false">IF(Szenarien!$H$8="OK",(IFERROR(SUMIF(Nutzungsprofile!$B$17:$B$22,"Schulbetrieb",Nutzungsprofile!$G$17:$G$22)*Kalender!C116/SUM(Kalender!$C$5:$C$370),0)+IFERROR(SUMIF(Nutzungsprofile!$B$17:$B$22,"Halle",Nutzungsprofile!$G$17:$G$22)*Kalender!D116/SUM(Kalender!$D$5:$D$370),0)+IFERROR(SUMIF(Nutzungsprofile!$B$17:$B$22,"Individuell",Nutzungsprofile!$G$17:$G$22)*Kalender!E116/SUM(Kalender!$E$5:$E$370),0))*Szenarien!$D$8,0)</f>
        <v>4.446</v>
      </c>
      <c r="E116" s="13" t="n">
        <f aca="false">IFERROR(MIN(C116,Eingaben!$B$17)*Eingaben!$B$16,0)</f>
        <v>2.2344</v>
      </c>
      <c r="F116" s="13" t="n">
        <f aca="false">IFERROR(E116*Eingaben!$B$15,0)</f>
        <v>2.01096</v>
      </c>
      <c r="G116" s="13" t="n">
        <f aca="false">IFERROR(IF(Kalender!A116="",0,J115*(1-Eingaben!$B$20)),0)</f>
        <v>0.59122224</v>
      </c>
      <c r="H116" s="13" t="n">
        <f aca="false">MIN(G116,D116)</f>
        <v>0.59122224</v>
      </c>
      <c r="I116" s="13" t="n">
        <f aca="false">IFERROR(MIN(F116*Eingaben!$B$19,MAX(0,D116-H116)),0)</f>
        <v>1.407672</v>
      </c>
      <c r="J116" s="13" t="n">
        <f aca="false">IFERROR(MIN(Eingaben!$B$18,MAX(0,F116-I116)),0)</f>
        <v>0.603288</v>
      </c>
      <c r="K116" s="13" t="n">
        <f aca="false">H116+I116</f>
        <v>1.99889424</v>
      </c>
      <c r="L116" s="13" t="n">
        <f aca="false">MAX(0,D116-K116)</f>
        <v>2.44710576</v>
      </c>
      <c r="M116" s="13" t="n">
        <f aca="false">MAX(0,F116-I116-J116)</f>
        <v>0</v>
      </c>
      <c r="N116" s="13" t="n">
        <f aca="false">IF(Kalender!A116="",0,J115-H116)</f>
        <v>0.01206576</v>
      </c>
    </row>
    <row r="117" customFormat="false" ht="16.4" hidden="false" customHeight="false" outlineLevel="0" collapsed="false">
      <c r="A117" s="13" t="str">
        <f aca="false">""</f>
        <v/>
      </c>
      <c r="B117" s="13" t="n">
        <f aca="false">113</f>
        <v>113</v>
      </c>
      <c r="C117" s="13" t="n">
        <f aca="false">IF(Szenarien!$H$8="OK",(IFERROR(SUMIF(Nutzungsprofile!$B$6:$B$11,"Schulbetrieb",Nutzungsprofile!$G$6:$G$11)*Kalender!C117/SUM(Kalender!$C$5:$C$370),0)+IFERROR(SUMIF(Nutzungsprofile!$B$6:$B$11,"Halle",Nutzungsprofile!$G$6:$G$11)*Kalender!D117/SUM(Kalender!$D$5:$D$370),0)+IFERROR(SUMIF(Nutzungsprofile!$B$6:$B$11,"Individuell",Nutzungsprofile!$G$6:$G$11)*Kalender!E117/SUM(Kalender!$E$5:$E$370),0))*Szenarien!$E$8,0)</f>
        <v>2.352</v>
      </c>
      <c r="D117" s="13" t="n">
        <f aca="false">IF(Szenarien!$H$8="OK",(IFERROR(SUMIF(Nutzungsprofile!$B$17:$B$22,"Schulbetrieb",Nutzungsprofile!$G$17:$G$22)*Kalender!C117/SUM(Kalender!$C$5:$C$370),0)+IFERROR(SUMIF(Nutzungsprofile!$B$17:$B$22,"Halle",Nutzungsprofile!$G$17:$G$22)*Kalender!D117/SUM(Kalender!$D$5:$D$370),0)+IFERROR(SUMIF(Nutzungsprofile!$B$17:$B$22,"Individuell",Nutzungsprofile!$G$17:$G$22)*Kalender!E117/SUM(Kalender!$E$5:$E$370),0))*Szenarien!$D$8,0)</f>
        <v>4.446</v>
      </c>
      <c r="E117" s="13" t="n">
        <f aca="false">IFERROR(MIN(C117,Eingaben!$B$17)*Eingaben!$B$16,0)</f>
        <v>2.2344</v>
      </c>
      <c r="F117" s="13" t="n">
        <f aca="false">IFERROR(E117*Eingaben!$B$15,0)</f>
        <v>2.01096</v>
      </c>
      <c r="G117" s="13" t="n">
        <f aca="false">IFERROR(IF(Kalender!A117="",0,J116*(1-Eingaben!$B$20)),0)</f>
        <v>0.59122224</v>
      </c>
      <c r="H117" s="13" t="n">
        <f aca="false">MIN(G117,D117)</f>
        <v>0.59122224</v>
      </c>
      <c r="I117" s="13" t="n">
        <f aca="false">IFERROR(MIN(F117*Eingaben!$B$19,MAX(0,D117-H117)),0)</f>
        <v>1.407672</v>
      </c>
      <c r="J117" s="13" t="n">
        <f aca="false">IFERROR(MIN(Eingaben!$B$18,MAX(0,F117-I117)),0)</f>
        <v>0.603288</v>
      </c>
      <c r="K117" s="13" t="n">
        <f aca="false">H117+I117</f>
        <v>1.99889424</v>
      </c>
      <c r="L117" s="13" t="n">
        <f aca="false">MAX(0,D117-K117)</f>
        <v>2.44710576</v>
      </c>
      <c r="M117" s="13" t="n">
        <f aca="false">MAX(0,F117-I117-J117)</f>
        <v>0</v>
      </c>
      <c r="N117" s="13" t="n">
        <f aca="false">IF(Kalender!A117="",0,J116-H117)</f>
        <v>0.01206576</v>
      </c>
    </row>
    <row r="118" customFormat="false" ht="16.4" hidden="false" customHeight="false" outlineLevel="0" collapsed="false">
      <c r="A118" s="13" t="str">
        <f aca="false">""</f>
        <v/>
      </c>
      <c r="B118" s="13" t="n">
        <f aca="false">114</f>
        <v>114</v>
      </c>
      <c r="C118" s="13" t="n">
        <f aca="false">IF(Szenarien!$H$8="OK",(IFERROR(SUMIF(Nutzungsprofile!$B$6:$B$11,"Schulbetrieb",Nutzungsprofile!$G$6:$G$11)*Kalender!C118/SUM(Kalender!$C$5:$C$370),0)+IFERROR(SUMIF(Nutzungsprofile!$B$6:$B$11,"Halle",Nutzungsprofile!$G$6:$G$11)*Kalender!D118/SUM(Kalender!$D$5:$D$370),0)+IFERROR(SUMIF(Nutzungsprofile!$B$6:$B$11,"Individuell",Nutzungsprofile!$G$6:$G$11)*Kalender!E118/SUM(Kalender!$E$5:$E$370),0))*Szenarien!$E$8,0)</f>
        <v>2.352</v>
      </c>
      <c r="D118" s="13" t="n">
        <f aca="false">IF(Szenarien!$H$8="OK",(IFERROR(SUMIF(Nutzungsprofile!$B$17:$B$22,"Schulbetrieb",Nutzungsprofile!$G$17:$G$22)*Kalender!C118/SUM(Kalender!$C$5:$C$370),0)+IFERROR(SUMIF(Nutzungsprofile!$B$17:$B$22,"Halle",Nutzungsprofile!$G$17:$G$22)*Kalender!D118/SUM(Kalender!$D$5:$D$370),0)+IFERROR(SUMIF(Nutzungsprofile!$B$17:$B$22,"Individuell",Nutzungsprofile!$G$17:$G$22)*Kalender!E118/SUM(Kalender!$E$5:$E$370),0))*Szenarien!$D$8,0)</f>
        <v>4.446</v>
      </c>
      <c r="E118" s="13" t="n">
        <f aca="false">IFERROR(MIN(C118,Eingaben!$B$17)*Eingaben!$B$16,0)</f>
        <v>2.2344</v>
      </c>
      <c r="F118" s="13" t="n">
        <f aca="false">IFERROR(E118*Eingaben!$B$15,0)</f>
        <v>2.01096</v>
      </c>
      <c r="G118" s="13" t="n">
        <f aca="false">IFERROR(IF(Kalender!A118="",0,J117*(1-Eingaben!$B$20)),0)</f>
        <v>0.59122224</v>
      </c>
      <c r="H118" s="13" t="n">
        <f aca="false">MIN(G118,D118)</f>
        <v>0.59122224</v>
      </c>
      <c r="I118" s="13" t="n">
        <f aca="false">IFERROR(MIN(F118*Eingaben!$B$19,MAX(0,D118-H118)),0)</f>
        <v>1.407672</v>
      </c>
      <c r="J118" s="13" t="n">
        <f aca="false">IFERROR(MIN(Eingaben!$B$18,MAX(0,F118-I118)),0)</f>
        <v>0.603288</v>
      </c>
      <c r="K118" s="13" t="n">
        <f aca="false">H118+I118</f>
        <v>1.99889424</v>
      </c>
      <c r="L118" s="13" t="n">
        <f aca="false">MAX(0,D118-K118)</f>
        <v>2.44710576</v>
      </c>
      <c r="M118" s="13" t="n">
        <f aca="false">MAX(0,F118-I118-J118)</f>
        <v>0</v>
      </c>
      <c r="N118" s="13" t="n">
        <f aca="false">IF(Kalender!A118="",0,J117-H118)</f>
        <v>0.01206576</v>
      </c>
    </row>
    <row r="119" customFormat="false" ht="16.4" hidden="false" customHeight="false" outlineLevel="0" collapsed="false">
      <c r="A119" s="13" t="str">
        <f aca="false">""</f>
        <v/>
      </c>
      <c r="B119" s="13" t="n">
        <f aca="false">115</f>
        <v>115</v>
      </c>
      <c r="C119" s="13" t="n">
        <f aca="false">IF(Szenarien!$H$8="OK",(IFERROR(SUMIF(Nutzungsprofile!$B$6:$B$11,"Schulbetrieb",Nutzungsprofile!$G$6:$G$11)*Kalender!C119/SUM(Kalender!$C$5:$C$370),0)+IFERROR(SUMIF(Nutzungsprofile!$B$6:$B$11,"Halle",Nutzungsprofile!$G$6:$G$11)*Kalender!D119/SUM(Kalender!$D$5:$D$370),0)+IFERROR(SUMIF(Nutzungsprofile!$B$6:$B$11,"Individuell",Nutzungsprofile!$G$6:$G$11)*Kalender!E119/SUM(Kalender!$E$5:$E$370),0))*Szenarien!$E$8,0)</f>
        <v>1.632</v>
      </c>
      <c r="D119" s="13" t="n">
        <f aca="false">IF(Szenarien!$H$8="OK",(IFERROR(SUMIF(Nutzungsprofile!$B$17:$B$22,"Schulbetrieb",Nutzungsprofile!$G$17:$G$22)*Kalender!C119/SUM(Kalender!$C$5:$C$370),0)+IFERROR(SUMIF(Nutzungsprofile!$B$17:$B$22,"Halle",Nutzungsprofile!$G$17:$G$22)*Kalender!D119/SUM(Kalender!$D$5:$D$370),0)+IFERROR(SUMIF(Nutzungsprofile!$B$17:$B$22,"Individuell",Nutzungsprofile!$G$17:$G$22)*Kalender!E119/SUM(Kalender!$E$5:$E$370),0))*Szenarien!$D$8,0)</f>
        <v>0.801</v>
      </c>
      <c r="E119" s="13" t="n">
        <f aca="false">IFERROR(MIN(C119,Eingaben!$B$17)*Eingaben!$B$16,0)</f>
        <v>1.5504</v>
      </c>
      <c r="F119" s="13" t="n">
        <f aca="false">IFERROR(E119*Eingaben!$B$15,0)</f>
        <v>1.39536</v>
      </c>
      <c r="G119" s="13" t="n">
        <f aca="false">IFERROR(IF(Kalender!A119="",0,J118*(1-Eingaben!$B$20)),0)</f>
        <v>0.59122224</v>
      </c>
      <c r="H119" s="13" t="n">
        <f aca="false">MIN(G119,D119)</f>
        <v>0.59122224</v>
      </c>
      <c r="I119" s="13" t="n">
        <f aca="false">IFERROR(MIN(F119*Eingaben!$B$19,MAX(0,D119-H119)),0)</f>
        <v>0.20977776</v>
      </c>
      <c r="J119" s="13" t="n">
        <f aca="false">IFERROR(MIN(Eingaben!$B$18,MAX(0,F119-I119)),0)</f>
        <v>1.18558224</v>
      </c>
      <c r="K119" s="13" t="n">
        <f aca="false">H119+I119</f>
        <v>0.801</v>
      </c>
      <c r="L119" s="13" t="n">
        <f aca="false">MAX(0,D119-K119)</f>
        <v>0</v>
      </c>
      <c r="M119" s="13" t="n">
        <f aca="false">MAX(0,F119-I119-J119)</f>
        <v>0</v>
      </c>
      <c r="N119" s="13" t="n">
        <f aca="false">IF(Kalender!A119="",0,J118-H119)</f>
        <v>0.01206576</v>
      </c>
    </row>
    <row r="120" customFormat="false" ht="16.4" hidden="false" customHeight="false" outlineLevel="0" collapsed="false">
      <c r="A120" s="13" t="str">
        <f aca="false">""</f>
        <v/>
      </c>
      <c r="B120" s="13" t="n">
        <f aca="false">116</f>
        <v>116</v>
      </c>
      <c r="C120" s="13" t="n">
        <f aca="false">IF(Szenarien!$H$8="OK",(IFERROR(SUMIF(Nutzungsprofile!$B$6:$B$11,"Schulbetrieb",Nutzungsprofile!$G$6:$G$11)*Kalender!C120/SUM(Kalender!$C$5:$C$370),0)+IFERROR(SUMIF(Nutzungsprofile!$B$6:$B$11,"Halle",Nutzungsprofile!$G$6:$G$11)*Kalender!D120/SUM(Kalender!$D$5:$D$370),0)+IFERROR(SUMIF(Nutzungsprofile!$B$6:$B$11,"Individuell",Nutzungsprofile!$G$6:$G$11)*Kalender!E120/SUM(Kalender!$E$5:$E$370),0))*Szenarien!$E$8,0)</f>
        <v>1.632</v>
      </c>
      <c r="D120" s="13" t="n">
        <f aca="false">IF(Szenarien!$H$8="OK",(IFERROR(SUMIF(Nutzungsprofile!$B$17:$B$22,"Schulbetrieb",Nutzungsprofile!$G$17:$G$22)*Kalender!C120/SUM(Kalender!$C$5:$C$370),0)+IFERROR(SUMIF(Nutzungsprofile!$B$17:$B$22,"Halle",Nutzungsprofile!$G$17:$G$22)*Kalender!D120/SUM(Kalender!$D$5:$D$370),0)+IFERROR(SUMIF(Nutzungsprofile!$B$17:$B$22,"Individuell",Nutzungsprofile!$G$17:$G$22)*Kalender!E120/SUM(Kalender!$E$5:$E$370),0))*Szenarien!$D$8,0)</f>
        <v>0.801</v>
      </c>
      <c r="E120" s="13" t="n">
        <f aca="false">IFERROR(MIN(C120,Eingaben!$B$17)*Eingaben!$B$16,0)</f>
        <v>1.5504</v>
      </c>
      <c r="F120" s="13" t="n">
        <f aca="false">IFERROR(E120*Eingaben!$B$15,0)</f>
        <v>1.39536</v>
      </c>
      <c r="G120" s="13" t="n">
        <f aca="false">IFERROR(IF(Kalender!A120="",0,J119*(1-Eingaben!$B$20)),0)</f>
        <v>1.1618705952</v>
      </c>
      <c r="H120" s="13" t="n">
        <f aca="false">MIN(G120,D120)</f>
        <v>0.801</v>
      </c>
      <c r="I120" s="13" t="n">
        <f aca="false">IFERROR(MIN(F120*Eingaben!$B$19,MAX(0,D120-H120)),0)</f>
        <v>0</v>
      </c>
      <c r="J120" s="13" t="n">
        <f aca="false">IFERROR(MIN(Eingaben!$B$18,MAX(0,F120-I120)),0)</f>
        <v>1.39536</v>
      </c>
      <c r="K120" s="13" t="n">
        <f aca="false">H120+I120</f>
        <v>0.801</v>
      </c>
      <c r="L120" s="13" t="n">
        <f aca="false">MAX(0,D120-K120)</f>
        <v>0</v>
      </c>
      <c r="M120" s="13" t="n">
        <f aca="false">MAX(0,F120-I120-J120)</f>
        <v>0</v>
      </c>
      <c r="N120" s="13" t="n">
        <f aca="false">IF(Kalender!A120="",0,J119-H120)</f>
        <v>0.38458224</v>
      </c>
    </row>
    <row r="121" customFormat="false" ht="16.4" hidden="false" customHeight="false" outlineLevel="0" collapsed="false">
      <c r="A121" s="13" t="str">
        <f aca="false">""</f>
        <v/>
      </c>
      <c r="B121" s="13" t="n">
        <f aca="false">117</f>
        <v>117</v>
      </c>
      <c r="C121" s="13" t="n">
        <f aca="false">IF(Szenarien!$H$8="OK",(IFERROR(SUMIF(Nutzungsprofile!$B$6:$B$11,"Schulbetrieb",Nutzungsprofile!$G$6:$G$11)*Kalender!C121/SUM(Kalender!$C$5:$C$370),0)+IFERROR(SUMIF(Nutzungsprofile!$B$6:$B$11,"Halle",Nutzungsprofile!$G$6:$G$11)*Kalender!D121/SUM(Kalender!$D$5:$D$370),0)+IFERROR(SUMIF(Nutzungsprofile!$B$6:$B$11,"Individuell",Nutzungsprofile!$G$6:$G$11)*Kalender!E121/SUM(Kalender!$E$5:$E$370),0))*Szenarien!$E$8,0)</f>
        <v>2.352</v>
      </c>
      <c r="D121" s="13" t="n">
        <f aca="false">IF(Szenarien!$H$8="OK",(IFERROR(SUMIF(Nutzungsprofile!$B$17:$B$22,"Schulbetrieb",Nutzungsprofile!$G$17:$G$22)*Kalender!C121/SUM(Kalender!$C$5:$C$370),0)+IFERROR(SUMIF(Nutzungsprofile!$B$17:$B$22,"Halle",Nutzungsprofile!$G$17:$G$22)*Kalender!D121/SUM(Kalender!$D$5:$D$370),0)+IFERROR(SUMIF(Nutzungsprofile!$B$17:$B$22,"Individuell",Nutzungsprofile!$G$17:$G$22)*Kalender!E121/SUM(Kalender!$E$5:$E$370),0))*Szenarien!$D$8,0)</f>
        <v>4.446</v>
      </c>
      <c r="E121" s="13" t="n">
        <f aca="false">IFERROR(MIN(C121,Eingaben!$B$17)*Eingaben!$B$16,0)</f>
        <v>2.2344</v>
      </c>
      <c r="F121" s="13" t="n">
        <f aca="false">IFERROR(E121*Eingaben!$B$15,0)</f>
        <v>2.01096</v>
      </c>
      <c r="G121" s="13" t="n">
        <f aca="false">IFERROR(IF(Kalender!A121="",0,J120*(1-Eingaben!$B$20)),0)</f>
        <v>1.3674528</v>
      </c>
      <c r="H121" s="13" t="n">
        <f aca="false">MIN(G121,D121)</f>
        <v>1.3674528</v>
      </c>
      <c r="I121" s="13" t="n">
        <f aca="false">IFERROR(MIN(F121*Eingaben!$B$19,MAX(0,D121-H121)),0)</f>
        <v>1.407672</v>
      </c>
      <c r="J121" s="13" t="n">
        <f aca="false">IFERROR(MIN(Eingaben!$B$18,MAX(0,F121-I121)),0)</f>
        <v>0.603288</v>
      </c>
      <c r="K121" s="13" t="n">
        <f aca="false">H121+I121</f>
        <v>2.7751248</v>
      </c>
      <c r="L121" s="13" t="n">
        <f aca="false">MAX(0,D121-K121)</f>
        <v>1.6708752</v>
      </c>
      <c r="M121" s="13" t="n">
        <f aca="false">MAX(0,F121-I121-J121)</f>
        <v>0</v>
      </c>
      <c r="N121" s="13" t="n">
        <f aca="false">IF(Kalender!A121="",0,J120-H121)</f>
        <v>0.0279072</v>
      </c>
    </row>
    <row r="122" customFormat="false" ht="16.4" hidden="false" customHeight="false" outlineLevel="0" collapsed="false">
      <c r="A122" s="13" t="str">
        <f aca="false">""</f>
        <v/>
      </c>
      <c r="B122" s="13" t="n">
        <f aca="false">118</f>
        <v>118</v>
      </c>
      <c r="C122" s="13" t="n">
        <f aca="false">IF(Szenarien!$H$8="OK",(IFERROR(SUMIF(Nutzungsprofile!$B$6:$B$11,"Schulbetrieb",Nutzungsprofile!$G$6:$G$11)*Kalender!C122/SUM(Kalender!$C$5:$C$370),0)+IFERROR(SUMIF(Nutzungsprofile!$B$6:$B$11,"Halle",Nutzungsprofile!$G$6:$G$11)*Kalender!D122/SUM(Kalender!$D$5:$D$370),0)+IFERROR(SUMIF(Nutzungsprofile!$B$6:$B$11,"Individuell",Nutzungsprofile!$G$6:$G$11)*Kalender!E122/SUM(Kalender!$E$5:$E$370),0))*Szenarien!$E$8,0)</f>
        <v>2.352</v>
      </c>
      <c r="D122" s="13" t="n">
        <f aca="false">IF(Szenarien!$H$8="OK",(IFERROR(SUMIF(Nutzungsprofile!$B$17:$B$22,"Schulbetrieb",Nutzungsprofile!$G$17:$G$22)*Kalender!C122/SUM(Kalender!$C$5:$C$370),0)+IFERROR(SUMIF(Nutzungsprofile!$B$17:$B$22,"Halle",Nutzungsprofile!$G$17:$G$22)*Kalender!D122/SUM(Kalender!$D$5:$D$370),0)+IFERROR(SUMIF(Nutzungsprofile!$B$17:$B$22,"Individuell",Nutzungsprofile!$G$17:$G$22)*Kalender!E122/SUM(Kalender!$E$5:$E$370),0))*Szenarien!$D$8,0)</f>
        <v>4.446</v>
      </c>
      <c r="E122" s="13" t="n">
        <f aca="false">IFERROR(MIN(C122,Eingaben!$B$17)*Eingaben!$B$16,0)</f>
        <v>2.2344</v>
      </c>
      <c r="F122" s="13" t="n">
        <f aca="false">IFERROR(E122*Eingaben!$B$15,0)</f>
        <v>2.01096</v>
      </c>
      <c r="G122" s="13" t="n">
        <f aca="false">IFERROR(IF(Kalender!A122="",0,J121*(1-Eingaben!$B$20)),0)</f>
        <v>0.59122224</v>
      </c>
      <c r="H122" s="13" t="n">
        <f aca="false">MIN(G122,D122)</f>
        <v>0.59122224</v>
      </c>
      <c r="I122" s="13" t="n">
        <f aca="false">IFERROR(MIN(F122*Eingaben!$B$19,MAX(0,D122-H122)),0)</f>
        <v>1.407672</v>
      </c>
      <c r="J122" s="13" t="n">
        <f aca="false">IFERROR(MIN(Eingaben!$B$18,MAX(0,F122-I122)),0)</f>
        <v>0.603288</v>
      </c>
      <c r="K122" s="13" t="n">
        <f aca="false">H122+I122</f>
        <v>1.99889424</v>
      </c>
      <c r="L122" s="13" t="n">
        <f aca="false">MAX(0,D122-K122)</f>
        <v>2.44710576</v>
      </c>
      <c r="M122" s="13" t="n">
        <f aca="false">MAX(0,F122-I122-J122)</f>
        <v>0</v>
      </c>
      <c r="N122" s="13" t="n">
        <f aca="false">IF(Kalender!A122="",0,J121-H122)</f>
        <v>0.01206576</v>
      </c>
    </row>
    <row r="123" customFormat="false" ht="16.4" hidden="false" customHeight="false" outlineLevel="0" collapsed="false">
      <c r="A123" s="13" t="str">
        <f aca="false">""</f>
        <v/>
      </c>
      <c r="B123" s="13" t="n">
        <f aca="false">119</f>
        <v>119</v>
      </c>
      <c r="C123" s="13" t="n">
        <f aca="false">IF(Szenarien!$H$8="OK",(IFERROR(SUMIF(Nutzungsprofile!$B$6:$B$11,"Schulbetrieb",Nutzungsprofile!$G$6:$G$11)*Kalender!C123/SUM(Kalender!$C$5:$C$370),0)+IFERROR(SUMIF(Nutzungsprofile!$B$6:$B$11,"Halle",Nutzungsprofile!$G$6:$G$11)*Kalender!D123/SUM(Kalender!$D$5:$D$370),0)+IFERROR(SUMIF(Nutzungsprofile!$B$6:$B$11,"Individuell",Nutzungsprofile!$G$6:$G$11)*Kalender!E123/SUM(Kalender!$E$5:$E$370),0))*Szenarien!$E$8,0)</f>
        <v>2.352</v>
      </c>
      <c r="D123" s="13" t="n">
        <f aca="false">IF(Szenarien!$H$8="OK",(IFERROR(SUMIF(Nutzungsprofile!$B$17:$B$22,"Schulbetrieb",Nutzungsprofile!$G$17:$G$22)*Kalender!C123/SUM(Kalender!$C$5:$C$370),0)+IFERROR(SUMIF(Nutzungsprofile!$B$17:$B$22,"Halle",Nutzungsprofile!$G$17:$G$22)*Kalender!D123/SUM(Kalender!$D$5:$D$370),0)+IFERROR(SUMIF(Nutzungsprofile!$B$17:$B$22,"Individuell",Nutzungsprofile!$G$17:$G$22)*Kalender!E123/SUM(Kalender!$E$5:$E$370),0))*Szenarien!$D$8,0)</f>
        <v>4.446</v>
      </c>
      <c r="E123" s="13" t="n">
        <f aca="false">IFERROR(MIN(C123,Eingaben!$B$17)*Eingaben!$B$16,0)</f>
        <v>2.2344</v>
      </c>
      <c r="F123" s="13" t="n">
        <f aca="false">IFERROR(E123*Eingaben!$B$15,0)</f>
        <v>2.01096</v>
      </c>
      <c r="G123" s="13" t="n">
        <f aca="false">IFERROR(IF(Kalender!A123="",0,J122*(1-Eingaben!$B$20)),0)</f>
        <v>0.59122224</v>
      </c>
      <c r="H123" s="13" t="n">
        <f aca="false">MIN(G123,D123)</f>
        <v>0.59122224</v>
      </c>
      <c r="I123" s="13" t="n">
        <f aca="false">IFERROR(MIN(F123*Eingaben!$B$19,MAX(0,D123-H123)),0)</f>
        <v>1.407672</v>
      </c>
      <c r="J123" s="13" t="n">
        <f aca="false">IFERROR(MIN(Eingaben!$B$18,MAX(0,F123-I123)),0)</f>
        <v>0.603288</v>
      </c>
      <c r="K123" s="13" t="n">
        <f aca="false">H123+I123</f>
        <v>1.99889424</v>
      </c>
      <c r="L123" s="13" t="n">
        <f aca="false">MAX(0,D123-K123)</f>
        <v>2.44710576</v>
      </c>
      <c r="M123" s="13" t="n">
        <f aca="false">MAX(0,F123-I123-J123)</f>
        <v>0</v>
      </c>
      <c r="N123" s="13" t="n">
        <f aca="false">IF(Kalender!A123="",0,J122-H123)</f>
        <v>0.01206576</v>
      </c>
    </row>
    <row r="124" customFormat="false" ht="16.4" hidden="false" customHeight="false" outlineLevel="0" collapsed="false">
      <c r="A124" s="13" t="str">
        <f aca="false">""</f>
        <v/>
      </c>
      <c r="B124" s="13" t="n">
        <f aca="false">120</f>
        <v>120</v>
      </c>
      <c r="C124" s="13" t="n">
        <f aca="false">IF(Szenarien!$H$8="OK",(IFERROR(SUMIF(Nutzungsprofile!$B$6:$B$11,"Schulbetrieb",Nutzungsprofile!$G$6:$G$11)*Kalender!C124/SUM(Kalender!$C$5:$C$370),0)+IFERROR(SUMIF(Nutzungsprofile!$B$6:$B$11,"Halle",Nutzungsprofile!$G$6:$G$11)*Kalender!D124/SUM(Kalender!$D$5:$D$370),0)+IFERROR(SUMIF(Nutzungsprofile!$B$6:$B$11,"Individuell",Nutzungsprofile!$G$6:$G$11)*Kalender!E124/SUM(Kalender!$E$5:$E$370),0))*Szenarien!$E$8,0)</f>
        <v>2.352</v>
      </c>
      <c r="D124" s="13" t="n">
        <f aca="false">IF(Szenarien!$H$8="OK",(IFERROR(SUMIF(Nutzungsprofile!$B$17:$B$22,"Schulbetrieb",Nutzungsprofile!$G$17:$G$22)*Kalender!C124/SUM(Kalender!$C$5:$C$370),0)+IFERROR(SUMIF(Nutzungsprofile!$B$17:$B$22,"Halle",Nutzungsprofile!$G$17:$G$22)*Kalender!D124/SUM(Kalender!$D$5:$D$370),0)+IFERROR(SUMIF(Nutzungsprofile!$B$17:$B$22,"Individuell",Nutzungsprofile!$G$17:$G$22)*Kalender!E124/SUM(Kalender!$E$5:$E$370),0))*Szenarien!$D$8,0)</f>
        <v>4.446</v>
      </c>
      <c r="E124" s="13" t="n">
        <f aca="false">IFERROR(MIN(C124,Eingaben!$B$17)*Eingaben!$B$16,0)</f>
        <v>2.2344</v>
      </c>
      <c r="F124" s="13" t="n">
        <f aca="false">IFERROR(E124*Eingaben!$B$15,0)</f>
        <v>2.01096</v>
      </c>
      <c r="G124" s="13" t="n">
        <f aca="false">IFERROR(IF(Kalender!A124="",0,J123*(1-Eingaben!$B$20)),0)</f>
        <v>0.59122224</v>
      </c>
      <c r="H124" s="13" t="n">
        <f aca="false">MIN(G124,D124)</f>
        <v>0.59122224</v>
      </c>
      <c r="I124" s="13" t="n">
        <f aca="false">IFERROR(MIN(F124*Eingaben!$B$19,MAX(0,D124-H124)),0)</f>
        <v>1.407672</v>
      </c>
      <c r="J124" s="13" t="n">
        <f aca="false">IFERROR(MIN(Eingaben!$B$18,MAX(0,F124-I124)),0)</f>
        <v>0.603288</v>
      </c>
      <c r="K124" s="13" t="n">
        <f aca="false">H124+I124</f>
        <v>1.99889424</v>
      </c>
      <c r="L124" s="13" t="n">
        <f aca="false">MAX(0,D124-K124)</f>
        <v>2.44710576</v>
      </c>
      <c r="M124" s="13" t="n">
        <f aca="false">MAX(0,F124-I124-J124)</f>
        <v>0</v>
      </c>
      <c r="N124" s="13" t="n">
        <f aca="false">IF(Kalender!A124="",0,J123-H124)</f>
        <v>0.01206576</v>
      </c>
    </row>
    <row r="125" customFormat="false" ht="16.4" hidden="false" customHeight="false" outlineLevel="0" collapsed="false">
      <c r="A125" s="13" t="str">
        <f aca="false">""</f>
        <v/>
      </c>
      <c r="B125" s="13" t="n">
        <f aca="false">121</f>
        <v>121</v>
      </c>
      <c r="C125" s="13" t="n">
        <f aca="false">IF(Szenarien!$H$8="OK",(IFERROR(SUMIF(Nutzungsprofile!$B$6:$B$11,"Schulbetrieb",Nutzungsprofile!$G$6:$G$11)*Kalender!C125/SUM(Kalender!$C$5:$C$370),0)+IFERROR(SUMIF(Nutzungsprofile!$B$6:$B$11,"Halle",Nutzungsprofile!$G$6:$G$11)*Kalender!D125/SUM(Kalender!$D$5:$D$370),0)+IFERROR(SUMIF(Nutzungsprofile!$B$6:$B$11,"Individuell",Nutzungsprofile!$G$6:$G$11)*Kalender!E125/SUM(Kalender!$E$5:$E$370),0))*Szenarien!$E$8,0)</f>
        <v>2.352</v>
      </c>
      <c r="D125" s="13" t="n">
        <f aca="false">IF(Szenarien!$H$8="OK",(IFERROR(SUMIF(Nutzungsprofile!$B$17:$B$22,"Schulbetrieb",Nutzungsprofile!$G$17:$G$22)*Kalender!C125/SUM(Kalender!$C$5:$C$370),0)+IFERROR(SUMIF(Nutzungsprofile!$B$17:$B$22,"Halle",Nutzungsprofile!$G$17:$G$22)*Kalender!D125/SUM(Kalender!$D$5:$D$370),0)+IFERROR(SUMIF(Nutzungsprofile!$B$17:$B$22,"Individuell",Nutzungsprofile!$G$17:$G$22)*Kalender!E125/SUM(Kalender!$E$5:$E$370),0))*Szenarien!$D$8,0)</f>
        <v>4.446</v>
      </c>
      <c r="E125" s="13" t="n">
        <f aca="false">IFERROR(MIN(C125,Eingaben!$B$17)*Eingaben!$B$16,0)</f>
        <v>2.2344</v>
      </c>
      <c r="F125" s="13" t="n">
        <f aca="false">IFERROR(E125*Eingaben!$B$15,0)</f>
        <v>2.01096</v>
      </c>
      <c r="G125" s="13" t="n">
        <f aca="false">IFERROR(IF(Kalender!A125="",0,J124*(1-Eingaben!$B$20)),0)</f>
        <v>0.59122224</v>
      </c>
      <c r="H125" s="13" t="n">
        <f aca="false">MIN(G125,D125)</f>
        <v>0.59122224</v>
      </c>
      <c r="I125" s="13" t="n">
        <f aca="false">IFERROR(MIN(F125*Eingaben!$B$19,MAX(0,D125-H125)),0)</f>
        <v>1.407672</v>
      </c>
      <c r="J125" s="13" t="n">
        <f aca="false">IFERROR(MIN(Eingaben!$B$18,MAX(0,F125-I125)),0)</f>
        <v>0.603288</v>
      </c>
      <c r="K125" s="13" t="n">
        <f aca="false">H125+I125</f>
        <v>1.99889424</v>
      </c>
      <c r="L125" s="13" t="n">
        <f aca="false">MAX(0,D125-K125)</f>
        <v>2.44710576</v>
      </c>
      <c r="M125" s="13" t="n">
        <f aca="false">MAX(0,F125-I125-J125)</f>
        <v>0</v>
      </c>
      <c r="N125" s="13" t="n">
        <f aca="false">IF(Kalender!A125="",0,J124-H125)</f>
        <v>0.01206576</v>
      </c>
    </row>
    <row r="126" customFormat="false" ht="16.4" hidden="false" customHeight="false" outlineLevel="0" collapsed="false">
      <c r="A126" s="13" t="str">
        <f aca="false">""</f>
        <v/>
      </c>
      <c r="B126" s="13" t="n">
        <f aca="false">122</f>
        <v>122</v>
      </c>
      <c r="C126" s="13" t="n">
        <f aca="false">IF(Szenarien!$H$8="OK",(IFERROR(SUMIF(Nutzungsprofile!$B$6:$B$11,"Schulbetrieb",Nutzungsprofile!$G$6:$G$11)*Kalender!C126/SUM(Kalender!$C$5:$C$370),0)+IFERROR(SUMIF(Nutzungsprofile!$B$6:$B$11,"Halle",Nutzungsprofile!$G$6:$G$11)*Kalender!D126/SUM(Kalender!$D$5:$D$370),0)+IFERROR(SUMIF(Nutzungsprofile!$B$6:$B$11,"Individuell",Nutzungsprofile!$G$6:$G$11)*Kalender!E126/SUM(Kalender!$E$5:$E$370),0))*Szenarien!$E$8,0)</f>
        <v>1.632</v>
      </c>
      <c r="D126" s="13" t="n">
        <f aca="false">IF(Szenarien!$H$8="OK",(IFERROR(SUMIF(Nutzungsprofile!$B$17:$B$22,"Schulbetrieb",Nutzungsprofile!$G$17:$G$22)*Kalender!C126/SUM(Kalender!$C$5:$C$370),0)+IFERROR(SUMIF(Nutzungsprofile!$B$17:$B$22,"Halle",Nutzungsprofile!$G$17:$G$22)*Kalender!D126/SUM(Kalender!$D$5:$D$370),0)+IFERROR(SUMIF(Nutzungsprofile!$B$17:$B$22,"Individuell",Nutzungsprofile!$G$17:$G$22)*Kalender!E126/SUM(Kalender!$E$5:$E$370),0))*Szenarien!$D$8,0)</f>
        <v>0.801</v>
      </c>
      <c r="E126" s="13" t="n">
        <f aca="false">IFERROR(MIN(C126,Eingaben!$B$17)*Eingaben!$B$16,0)</f>
        <v>1.5504</v>
      </c>
      <c r="F126" s="13" t="n">
        <f aca="false">IFERROR(E126*Eingaben!$B$15,0)</f>
        <v>1.39536</v>
      </c>
      <c r="G126" s="13" t="n">
        <f aca="false">IFERROR(IF(Kalender!A126="",0,J125*(1-Eingaben!$B$20)),0)</f>
        <v>0.59122224</v>
      </c>
      <c r="H126" s="13" t="n">
        <f aca="false">MIN(G126,D126)</f>
        <v>0.59122224</v>
      </c>
      <c r="I126" s="13" t="n">
        <f aca="false">IFERROR(MIN(F126*Eingaben!$B$19,MAX(0,D126-H126)),0)</f>
        <v>0.20977776</v>
      </c>
      <c r="J126" s="13" t="n">
        <f aca="false">IFERROR(MIN(Eingaben!$B$18,MAX(0,F126-I126)),0)</f>
        <v>1.18558224</v>
      </c>
      <c r="K126" s="13" t="n">
        <f aca="false">H126+I126</f>
        <v>0.801</v>
      </c>
      <c r="L126" s="13" t="n">
        <f aca="false">MAX(0,D126-K126)</f>
        <v>0</v>
      </c>
      <c r="M126" s="13" t="n">
        <f aca="false">MAX(0,F126-I126-J126)</f>
        <v>0</v>
      </c>
      <c r="N126" s="13" t="n">
        <f aca="false">IF(Kalender!A126="",0,J125-H126)</f>
        <v>0.01206576</v>
      </c>
    </row>
    <row r="127" customFormat="false" ht="16.4" hidden="false" customHeight="false" outlineLevel="0" collapsed="false">
      <c r="A127" s="13" t="str">
        <f aca="false">""</f>
        <v/>
      </c>
      <c r="B127" s="13" t="n">
        <f aca="false">123</f>
        <v>123</v>
      </c>
      <c r="C127" s="13" t="n">
        <f aca="false">IF(Szenarien!$H$8="OK",(IFERROR(SUMIF(Nutzungsprofile!$B$6:$B$11,"Schulbetrieb",Nutzungsprofile!$G$6:$G$11)*Kalender!C127/SUM(Kalender!$C$5:$C$370),0)+IFERROR(SUMIF(Nutzungsprofile!$B$6:$B$11,"Halle",Nutzungsprofile!$G$6:$G$11)*Kalender!D127/SUM(Kalender!$D$5:$D$370),0)+IFERROR(SUMIF(Nutzungsprofile!$B$6:$B$11,"Individuell",Nutzungsprofile!$G$6:$G$11)*Kalender!E127/SUM(Kalender!$E$5:$E$370),0))*Szenarien!$E$8,0)</f>
        <v>1.632</v>
      </c>
      <c r="D127" s="13" t="n">
        <f aca="false">IF(Szenarien!$H$8="OK",(IFERROR(SUMIF(Nutzungsprofile!$B$17:$B$22,"Schulbetrieb",Nutzungsprofile!$G$17:$G$22)*Kalender!C127/SUM(Kalender!$C$5:$C$370),0)+IFERROR(SUMIF(Nutzungsprofile!$B$17:$B$22,"Halle",Nutzungsprofile!$G$17:$G$22)*Kalender!D127/SUM(Kalender!$D$5:$D$370),0)+IFERROR(SUMIF(Nutzungsprofile!$B$17:$B$22,"Individuell",Nutzungsprofile!$G$17:$G$22)*Kalender!E127/SUM(Kalender!$E$5:$E$370),0))*Szenarien!$D$8,0)</f>
        <v>0.801</v>
      </c>
      <c r="E127" s="13" t="n">
        <f aca="false">IFERROR(MIN(C127,Eingaben!$B$17)*Eingaben!$B$16,0)</f>
        <v>1.5504</v>
      </c>
      <c r="F127" s="13" t="n">
        <f aca="false">IFERROR(E127*Eingaben!$B$15,0)</f>
        <v>1.39536</v>
      </c>
      <c r="G127" s="13" t="n">
        <f aca="false">IFERROR(IF(Kalender!A127="",0,J126*(1-Eingaben!$B$20)),0)</f>
        <v>1.1618705952</v>
      </c>
      <c r="H127" s="13" t="n">
        <f aca="false">MIN(G127,D127)</f>
        <v>0.801</v>
      </c>
      <c r="I127" s="13" t="n">
        <f aca="false">IFERROR(MIN(F127*Eingaben!$B$19,MAX(0,D127-H127)),0)</f>
        <v>0</v>
      </c>
      <c r="J127" s="13" t="n">
        <f aca="false">IFERROR(MIN(Eingaben!$B$18,MAX(0,F127-I127)),0)</f>
        <v>1.39536</v>
      </c>
      <c r="K127" s="13" t="n">
        <f aca="false">H127+I127</f>
        <v>0.801</v>
      </c>
      <c r="L127" s="13" t="n">
        <f aca="false">MAX(0,D127-K127)</f>
        <v>0</v>
      </c>
      <c r="M127" s="13" t="n">
        <f aca="false">MAX(0,F127-I127-J127)</f>
        <v>0</v>
      </c>
      <c r="N127" s="13" t="n">
        <f aca="false">IF(Kalender!A127="",0,J126-H127)</f>
        <v>0.38458224</v>
      </c>
    </row>
    <row r="128" customFormat="false" ht="16.4" hidden="false" customHeight="false" outlineLevel="0" collapsed="false">
      <c r="A128" s="13" t="str">
        <f aca="false">""</f>
        <v/>
      </c>
      <c r="B128" s="13" t="n">
        <f aca="false">124</f>
        <v>124</v>
      </c>
      <c r="C128" s="13" t="n">
        <f aca="false">IF(Szenarien!$H$8="OK",(IFERROR(SUMIF(Nutzungsprofile!$B$6:$B$11,"Schulbetrieb",Nutzungsprofile!$G$6:$G$11)*Kalender!C128/SUM(Kalender!$C$5:$C$370),0)+IFERROR(SUMIF(Nutzungsprofile!$B$6:$B$11,"Halle",Nutzungsprofile!$G$6:$G$11)*Kalender!D128/SUM(Kalender!$D$5:$D$370),0)+IFERROR(SUMIF(Nutzungsprofile!$B$6:$B$11,"Individuell",Nutzungsprofile!$G$6:$G$11)*Kalender!E128/SUM(Kalender!$E$5:$E$370),0))*Szenarien!$E$8,0)</f>
        <v>2.352</v>
      </c>
      <c r="D128" s="13" t="n">
        <f aca="false">IF(Szenarien!$H$8="OK",(IFERROR(SUMIF(Nutzungsprofile!$B$17:$B$22,"Schulbetrieb",Nutzungsprofile!$G$17:$G$22)*Kalender!C128/SUM(Kalender!$C$5:$C$370),0)+IFERROR(SUMIF(Nutzungsprofile!$B$17:$B$22,"Halle",Nutzungsprofile!$G$17:$G$22)*Kalender!D128/SUM(Kalender!$D$5:$D$370),0)+IFERROR(SUMIF(Nutzungsprofile!$B$17:$B$22,"Individuell",Nutzungsprofile!$G$17:$G$22)*Kalender!E128/SUM(Kalender!$E$5:$E$370),0))*Szenarien!$D$8,0)</f>
        <v>4.446</v>
      </c>
      <c r="E128" s="13" t="n">
        <f aca="false">IFERROR(MIN(C128,Eingaben!$B$17)*Eingaben!$B$16,0)</f>
        <v>2.2344</v>
      </c>
      <c r="F128" s="13" t="n">
        <f aca="false">IFERROR(E128*Eingaben!$B$15,0)</f>
        <v>2.01096</v>
      </c>
      <c r="G128" s="13" t="n">
        <f aca="false">IFERROR(IF(Kalender!A128="",0,J127*(1-Eingaben!$B$20)),0)</f>
        <v>1.3674528</v>
      </c>
      <c r="H128" s="13" t="n">
        <f aca="false">MIN(G128,D128)</f>
        <v>1.3674528</v>
      </c>
      <c r="I128" s="13" t="n">
        <f aca="false">IFERROR(MIN(F128*Eingaben!$B$19,MAX(0,D128-H128)),0)</f>
        <v>1.407672</v>
      </c>
      <c r="J128" s="13" t="n">
        <f aca="false">IFERROR(MIN(Eingaben!$B$18,MAX(0,F128-I128)),0)</f>
        <v>0.603288</v>
      </c>
      <c r="K128" s="13" t="n">
        <f aca="false">H128+I128</f>
        <v>2.7751248</v>
      </c>
      <c r="L128" s="13" t="n">
        <f aca="false">MAX(0,D128-K128)</f>
        <v>1.6708752</v>
      </c>
      <c r="M128" s="13" t="n">
        <f aca="false">MAX(0,F128-I128-J128)</f>
        <v>0</v>
      </c>
      <c r="N128" s="13" t="n">
        <f aca="false">IF(Kalender!A128="",0,J127-H128)</f>
        <v>0.0279072</v>
      </c>
    </row>
    <row r="129" customFormat="false" ht="16.4" hidden="false" customHeight="false" outlineLevel="0" collapsed="false">
      <c r="A129" s="13" t="str">
        <f aca="false">""</f>
        <v/>
      </c>
      <c r="B129" s="13" t="n">
        <f aca="false">125</f>
        <v>125</v>
      </c>
      <c r="C129" s="13" t="n">
        <f aca="false">IF(Szenarien!$H$8="OK",(IFERROR(SUMIF(Nutzungsprofile!$B$6:$B$11,"Schulbetrieb",Nutzungsprofile!$G$6:$G$11)*Kalender!C129/SUM(Kalender!$C$5:$C$370),0)+IFERROR(SUMIF(Nutzungsprofile!$B$6:$B$11,"Halle",Nutzungsprofile!$G$6:$G$11)*Kalender!D129/SUM(Kalender!$D$5:$D$370),0)+IFERROR(SUMIF(Nutzungsprofile!$B$6:$B$11,"Individuell",Nutzungsprofile!$G$6:$G$11)*Kalender!E129/SUM(Kalender!$E$5:$E$370),0))*Szenarien!$E$8,0)</f>
        <v>2.352</v>
      </c>
      <c r="D129" s="13" t="n">
        <f aca="false">IF(Szenarien!$H$8="OK",(IFERROR(SUMIF(Nutzungsprofile!$B$17:$B$22,"Schulbetrieb",Nutzungsprofile!$G$17:$G$22)*Kalender!C129/SUM(Kalender!$C$5:$C$370),0)+IFERROR(SUMIF(Nutzungsprofile!$B$17:$B$22,"Halle",Nutzungsprofile!$G$17:$G$22)*Kalender!D129/SUM(Kalender!$D$5:$D$370),0)+IFERROR(SUMIF(Nutzungsprofile!$B$17:$B$22,"Individuell",Nutzungsprofile!$G$17:$G$22)*Kalender!E129/SUM(Kalender!$E$5:$E$370),0))*Szenarien!$D$8,0)</f>
        <v>4.446</v>
      </c>
      <c r="E129" s="13" t="n">
        <f aca="false">IFERROR(MIN(C129,Eingaben!$B$17)*Eingaben!$B$16,0)</f>
        <v>2.2344</v>
      </c>
      <c r="F129" s="13" t="n">
        <f aca="false">IFERROR(E129*Eingaben!$B$15,0)</f>
        <v>2.01096</v>
      </c>
      <c r="G129" s="13" t="n">
        <f aca="false">IFERROR(IF(Kalender!A129="",0,J128*(1-Eingaben!$B$20)),0)</f>
        <v>0.59122224</v>
      </c>
      <c r="H129" s="13" t="n">
        <f aca="false">MIN(G129,D129)</f>
        <v>0.59122224</v>
      </c>
      <c r="I129" s="13" t="n">
        <f aca="false">IFERROR(MIN(F129*Eingaben!$B$19,MAX(0,D129-H129)),0)</f>
        <v>1.407672</v>
      </c>
      <c r="J129" s="13" t="n">
        <f aca="false">IFERROR(MIN(Eingaben!$B$18,MAX(0,F129-I129)),0)</f>
        <v>0.603288</v>
      </c>
      <c r="K129" s="13" t="n">
        <f aca="false">H129+I129</f>
        <v>1.99889424</v>
      </c>
      <c r="L129" s="13" t="n">
        <f aca="false">MAX(0,D129-K129)</f>
        <v>2.44710576</v>
      </c>
      <c r="M129" s="13" t="n">
        <f aca="false">MAX(0,F129-I129-J129)</f>
        <v>0</v>
      </c>
      <c r="N129" s="13" t="n">
        <f aca="false">IF(Kalender!A129="",0,J128-H129)</f>
        <v>0.01206576</v>
      </c>
    </row>
    <row r="130" customFormat="false" ht="16.4" hidden="false" customHeight="false" outlineLevel="0" collapsed="false">
      <c r="A130" s="13" t="str">
        <f aca="false">""</f>
        <v/>
      </c>
      <c r="B130" s="13" t="n">
        <f aca="false">126</f>
        <v>126</v>
      </c>
      <c r="C130" s="13" t="n">
        <f aca="false">IF(Szenarien!$H$8="OK",(IFERROR(SUMIF(Nutzungsprofile!$B$6:$B$11,"Schulbetrieb",Nutzungsprofile!$G$6:$G$11)*Kalender!C130/SUM(Kalender!$C$5:$C$370),0)+IFERROR(SUMIF(Nutzungsprofile!$B$6:$B$11,"Halle",Nutzungsprofile!$G$6:$G$11)*Kalender!D130/SUM(Kalender!$D$5:$D$370),0)+IFERROR(SUMIF(Nutzungsprofile!$B$6:$B$11,"Individuell",Nutzungsprofile!$G$6:$G$11)*Kalender!E130/SUM(Kalender!$E$5:$E$370),0))*Szenarien!$E$8,0)</f>
        <v>2.352</v>
      </c>
      <c r="D130" s="13" t="n">
        <f aca="false">IF(Szenarien!$H$8="OK",(IFERROR(SUMIF(Nutzungsprofile!$B$17:$B$22,"Schulbetrieb",Nutzungsprofile!$G$17:$G$22)*Kalender!C130/SUM(Kalender!$C$5:$C$370),0)+IFERROR(SUMIF(Nutzungsprofile!$B$17:$B$22,"Halle",Nutzungsprofile!$G$17:$G$22)*Kalender!D130/SUM(Kalender!$D$5:$D$370),0)+IFERROR(SUMIF(Nutzungsprofile!$B$17:$B$22,"Individuell",Nutzungsprofile!$G$17:$G$22)*Kalender!E130/SUM(Kalender!$E$5:$E$370),0))*Szenarien!$D$8,0)</f>
        <v>4.446</v>
      </c>
      <c r="E130" s="13" t="n">
        <f aca="false">IFERROR(MIN(C130,Eingaben!$B$17)*Eingaben!$B$16,0)</f>
        <v>2.2344</v>
      </c>
      <c r="F130" s="13" t="n">
        <f aca="false">IFERROR(E130*Eingaben!$B$15,0)</f>
        <v>2.01096</v>
      </c>
      <c r="G130" s="13" t="n">
        <f aca="false">IFERROR(IF(Kalender!A130="",0,J129*(1-Eingaben!$B$20)),0)</f>
        <v>0.59122224</v>
      </c>
      <c r="H130" s="13" t="n">
        <f aca="false">MIN(G130,D130)</f>
        <v>0.59122224</v>
      </c>
      <c r="I130" s="13" t="n">
        <f aca="false">IFERROR(MIN(F130*Eingaben!$B$19,MAX(0,D130-H130)),0)</f>
        <v>1.407672</v>
      </c>
      <c r="J130" s="13" t="n">
        <f aca="false">IFERROR(MIN(Eingaben!$B$18,MAX(0,F130-I130)),0)</f>
        <v>0.603288</v>
      </c>
      <c r="K130" s="13" t="n">
        <f aca="false">H130+I130</f>
        <v>1.99889424</v>
      </c>
      <c r="L130" s="13" t="n">
        <f aca="false">MAX(0,D130-K130)</f>
        <v>2.44710576</v>
      </c>
      <c r="M130" s="13" t="n">
        <f aca="false">MAX(0,F130-I130-J130)</f>
        <v>0</v>
      </c>
      <c r="N130" s="13" t="n">
        <f aca="false">IF(Kalender!A130="",0,J129-H130)</f>
        <v>0.01206576</v>
      </c>
    </row>
    <row r="131" customFormat="false" ht="16.4" hidden="false" customHeight="false" outlineLevel="0" collapsed="false">
      <c r="A131" s="13" t="str">
        <f aca="false">""</f>
        <v/>
      </c>
      <c r="B131" s="13" t="n">
        <f aca="false">127</f>
        <v>127</v>
      </c>
      <c r="C131" s="13" t="n">
        <f aca="false">IF(Szenarien!$H$8="OK",(IFERROR(SUMIF(Nutzungsprofile!$B$6:$B$11,"Schulbetrieb",Nutzungsprofile!$G$6:$G$11)*Kalender!C131/SUM(Kalender!$C$5:$C$370),0)+IFERROR(SUMIF(Nutzungsprofile!$B$6:$B$11,"Halle",Nutzungsprofile!$G$6:$G$11)*Kalender!D131/SUM(Kalender!$D$5:$D$370),0)+IFERROR(SUMIF(Nutzungsprofile!$B$6:$B$11,"Individuell",Nutzungsprofile!$G$6:$G$11)*Kalender!E131/SUM(Kalender!$E$5:$E$370),0))*Szenarien!$E$8,0)</f>
        <v>2.352</v>
      </c>
      <c r="D131" s="13" t="n">
        <f aca="false">IF(Szenarien!$H$8="OK",(IFERROR(SUMIF(Nutzungsprofile!$B$17:$B$22,"Schulbetrieb",Nutzungsprofile!$G$17:$G$22)*Kalender!C131/SUM(Kalender!$C$5:$C$370),0)+IFERROR(SUMIF(Nutzungsprofile!$B$17:$B$22,"Halle",Nutzungsprofile!$G$17:$G$22)*Kalender!D131/SUM(Kalender!$D$5:$D$370),0)+IFERROR(SUMIF(Nutzungsprofile!$B$17:$B$22,"Individuell",Nutzungsprofile!$G$17:$G$22)*Kalender!E131/SUM(Kalender!$E$5:$E$370),0))*Szenarien!$D$8,0)</f>
        <v>4.446</v>
      </c>
      <c r="E131" s="13" t="n">
        <f aca="false">IFERROR(MIN(C131,Eingaben!$B$17)*Eingaben!$B$16,0)</f>
        <v>2.2344</v>
      </c>
      <c r="F131" s="13" t="n">
        <f aca="false">IFERROR(E131*Eingaben!$B$15,0)</f>
        <v>2.01096</v>
      </c>
      <c r="G131" s="13" t="n">
        <f aca="false">IFERROR(IF(Kalender!A131="",0,J130*(1-Eingaben!$B$20)),0)</f>
        <v>0.59122224</v>
      </c>
      <c r="H131" s="13" t="n">
        <f aca="false">MIN(G131,D131)</f>
        <v>0.59122224</v>
      </c>
      <c r="I131" s="13" t="n">
        <f aca="false">IFERROR(MIN(F131*Eingaben!$B$19,MAX(0,D131-H131)),0)</f>
        <v>1.407672</v>
      </c>
      <c r="J131" s="13" t="n">
        <f aca="false">IFERROR(MIN(Eingaben!$B$18,MAX(0,F131-I131)),0)</f>
        <v>0.603288</v>
      </c>
      <c r="K131" s="13" t="n">
        <f aca="false">H131+I131</f>
        <v>1.99889424</v>
      </c>
      <c r="L131" s="13" t="n">
        <f aca="false">MAX(0,D131-K131)</f>
        <v>2.44710576</v>
      </c>
      <c r="M131" s="13" t="n">
        <f aca="false">MAX(0,F131-I131-J131)</f>
        <v>0</v>
      </c>
      <c r="N131" s="13" t="n">
        <f aca="false">IF(Kalender!A131="",0,J130-H131)</f>
        <v>0.01206576</v>
      </c>
    </row>
    <row r="132" customFormat="false" ht="16.4" hidden="false" customHeight="false" outlineLevel="0" collapsed="false">
      <c r="A132" s="13" t="str">
        <f aca="false">""</f>
        <v/>
      </c>
      <c r="B132" s="13" t="n">
        <f aca="false">128</f>
        <v>128</v>
      </c>
      <c r="C132" s="13" t="n">
        <f aca="false">IF(Szenarien!$H$8="OK",(IFERROR(SUMIF(Nutzungsprofile!$B$6:$B$11,"Schulbetrieb",Nutzungsprofile!$G$6:$G$11)*Kalender!C132/SUM(Kalender!$C$5:$C$370),0)+IFERROR(SUMIF(Nutzungsprofile!$B$6:$B$11,"Halle",Nutzungsprofile!$G$6:$G$11)*Kalender!D132/SUM(Kalender!$D$5:$D$370),0)+IFERROR(SUMIF(Nutzungsprofile!$B$6:$B$11,"Individuell",Nutzungsprofile!$G$6:$G$11)*Kalender!E132/SUM(Kalender!$E$5:$E$370),0))*Szenarien!$E$8,0)</f>
        <v>2.352</v>
      </c>
      <c r="D132" s="13" t="n">
        <f aca="false">IF(Szenarien!$H$8="OK",(IFERROR(SUMIF(Nutzungsprofile!$B$17:$B$22,"Schulbetrieb",Nutzungsprofile!$G$17:$G$22)*Kalender!C132/SUM(Kalender!$C$5:$C$370),0)+IFERROR(SUMIF(Nutzungsprofile!$B$17:$B$22,"Halle",Nutzungsprofile!$G$17:$G$22)*Kalender!D132/SUM(Kalender!$D$5:$D$370),0)+IFERROR(SUMIF(Nutzungsprofile!$B$17:$B$22,"Individuell",Nutzungsprofile!$G$17:$G$22)*Kalender!E132/SUM(Kalender!$E$5:$E$370),0))*Szenarien!$D$8,0)</f>
        <v>4.446</v>
      </c>
      <c r="E132" s="13" t="n">
        <f aca="false">IFERROR(MIN(C132,Eingaben!$B$17)*Eingaben!$B$16,0)</f>
        <v>2.2344</v>
      </c>
      <c r="F132" s="13" t="n">
        <f aca="false">IFERROR(E132*Eingaben!$B$15,0)</f>
        <v>2.01096</v>
      </c>
      <c r="G132" s="13" t="n">
        <f aca="false">IFERROR(IF(Kalender!A132="",0,J131*(1-Eingaben!$B$20)),0)</f>
        <v>0.59122224</v>
      </c>
      <c r="H132" s="13" t="n">
        <f aca="false">MIN(G132,D132)</f>
        <v>0.59122224</v>
      </c>
      <c r="I132" s="13" t="n">
        <f aca="false">IFERROR(MIN(F132*Eingaben!$B$19,MAX(0,D132-H132)),0)</f>
        <v>1.407672</v>
      </c>
      <c r="J132" s="13" t="n">
        <f aca="false">IFERROR(MIN(Eingaben!$B$18,MAX(0,F132-I132)),0)</f>
        <v>0.603288</v>
      </c>
      <c r="K132" s="13" t="n">
        <f aca="false">H132+I132</f>
        <v>1.99889424</v>
      </c>
      <c r="L132" s="13" t="n">
        <f aca="false">MAX(0,D132-K132)</f>
        <v>2.44710576</v>
      </c>
      <c r="M132" s="13" t="n">
        <f aca="false">MAX(0,F132-I132-J132)</f>
        <v>0</v>
      </c>
      <c r="N132" s="13" t="n">
        <f aca="false">IF(Kalender!A132="",0,J131-H132)</f>
        <v>0.01206576</v>
      </c>
    </row>
    <row r="133" customFormat="false" ht="16.4" hidden="false" customHeight="false" outlineLevel="0" collapsed="false">
      <c r="A133" s="13" t="str">
        <f aca="false">""</f>
        <v/>
      </c>
      <c r="B133" s="13" t="n">
        <f aca="false">129</f>
        <v>129</v>
      </c>
      <c r="C133" s="13" t="n">
        <f aca="false">IF(Szenarien!$H$8="OK",(IFERROR(SUMIF(Nutzungsprofile!$B$6:$B$11,"Schulbetrieb",Nutzungsprofile!$G$6:$G$11)*Kalender!C133/SUM(Kalender!$C$5:$C$370),0)+IFERROR(SUMIF(Nutzungsprofile!$B$6:$B$11,"Halle",Nutzungsprofile!$G$6:$G$11)*Kalender!D133/SUM(Kalender!$D$5:$D$370),0)+IFERROR(SUMIF(Nutzungsprofile!$B$6:$B$11,"Individuell",Nutzungsprofile!$G$6:$G$11)*Kalender!E133/SUM(Kalender!$E$5:$E$370),0))*Szenarien!$E$8,0)</f>
        <v>1.632</v>
      </c>
      <c r="D133" s="13" t="n">
        <f aca="false">IF(Szenarien!$H$8="OK",(IFERROR(SUMIF(Nutzungsprofile!$B$17:$B$22,"Schulbetrieb",Nutzungsprofile!$G$17:$G$22)*Kalender!C133/SUM(Kalender!$C$5:$C$370),0)+IFERROR(SUMIF(Nutzungsprofile!$B$17:$B$22,"Halle",Nutzungsprofile!$G$17:$G$22)*Kalender!D133/SUM(Kalender!$D$5:$D$370),0)+IFERROR(SUMIF(Nutzungsprofile!$B$17:$B$22,"Individuell",Nutzungsprofile!$G$17:$G$22)*Kalender!E133/SUM(Kalender!$E$5:$E$370),0))*Szenarien!$D$8,0)</f>
        <v>0.801</v>
      </c>
      <c r="E133" s="13" t="n">
        <f aca="false">IFERROR(MIN(C133,Eingaben!$B$17)*Eingaben!$B$16,0)</f>
        <v>1.5504</v>
      </c>
      <c r="F133" s="13" t="n">
        <f aca="false">IFERROR(E133*Eingaben!$B$15,0)</f>
        <v>1.39536</v>
      </c>
      <c r="G133" s="13" t="n">
        <f aca="false">IFERROR(IF(Kalender!A133="",0,J132*(1-Eingaben!$B$20)),0)</f>
        <v>0.59122224</v>
      </c>
      <c r="H133" s="13" t="n">
        <f aca="false">MIN(G133,D133)</f>
        <v>0.59122224</v>
      </c>
      <c r="I133" s="13" t="n">
        <f aca="false">IFERROR(MIN(F133*Eingaben!$B$19,MAX(0,D133-H133)),0)</f>
        <v>0.20977776</v>
      </c>
      <c r="J133" s="13" t="n">
        <f aca="false">IFERROR(MIN(Eingaben!$B$18,MAX(0,F133-I133)),0)</f>
        <v>1.18558224</v>
      </c>
      <c r="K133" s="13" t="n">
        <f aca="false">H133+I133</f>
        <v>0.801</v>
      </c>
      <c r="L133" s="13" t="n">
        <f aca="false">MAX(0,D133-K133)</f>
        <v>0</v>
      </c>
      <c r="M133" s="13" t="n">
        <f aca="false">MAX(0,F133-I133-J133)</f>
        <v>0</v>
      </c>
      <c r="N133" s="13" t="n">
        <f aca="false">IF(Kalender!A133="",0,J132-H133)</f>
        <v>0.01206576</v>
      </c>
    </row>
    <row r="134" customFormat="false" ht="16.4" hidden="false" customHeight="false" outlineLevel="0" collapsed="false">
      <c r="A134" s="13" t="str">
        <f aca="false">""</f>
        <v/>
      </c>
      <c r="B134" s="13" t="n">
        <f aca="false">130</f>
        <v>130</v>
      </c>
      <c r="C134" s="13" t="n">
        <f aca="false">IF(Szenarien!$H$8="OK",(IFERROR(SUMIF(Nutzungsprofile!$B$6:$B$11,"Schulbetrieb",Nutzungsprofile!$G$6:$G$11)*Kalender!C134/SUM(Kalender!$C$5:$C$370),0)+IFERROR(SUMIF(Nutzungsprofile!$B$6:$B$11,"Halle",Nutzungsprofile!$G$6:$G$11)*Kalender!D134/SUM(Kalender!$D$5:$D$370),0)+IFERROR(SUMIF(Nutzungsprofile!$B$6:$B$11,"Individuell",Nutzungsprofile!$G$6:$G$11)*Kalender!E134/SUM(Kalender!$E$5:$E$370),0))*Szenarien!$E$8,0)</f>
        <v>1.632</v>
      </c>
      <c r="D134" s="13" t="n">
        <f aca="false">IF(Szenarien!$H$8="OK",(IFERROR(SUMIF(Nutzungsprofile!$B$17:$B$22,"Schulbetrieb",Nutzungsprofile!$G$17:$G$22)*Kalender!C134/SUM(Kalender!$C$5:$C$370),0)+IFERROR(SUMIF(Nutzungsprofile!$B$17:$B$22,"Halle",Nutzungsprofile!$G$17:$G$22)*Kalender!D134/SUM(Kalender!$D$5:$D$370),0)+IFERROR(SUMIF(Nutzungsprofile!$B$17:$B$22,"Individuell",Nutzungsprofile!$G$17:$G$22)*Kalender!E134/SUM(Kalender!$E$5:$E$370),0))*Szenarien!$D$8,0)</f>
        <v>0.801</v>
      </c>
      <c r="E134" s="13" t="n">
        <f aca="false">IFERROR(MIN(C134,Eingaben!$B$17)*Eingaben!$B$16,0)</f>
        <v>1.5504</v>
      </c>
      <c r="F134" s="13" t="n">
        <f aca="false">IFERROR(E134*Eingaben!$B$15,0)</f>
        <v>1.39536</v>
      </c>
      <c r="G134" s="13" t="n">
        <f aca="false">IFERROR(IF(Kalender!A134="",0,J133*(1-Eingaben!$B$20)),0)</f>
        <v>1.1618705952</v>
      </c>
      <c r="H134" s="13" t="n">
        <f aca="false">MIN(G134,D134)</f>
        <v>0.801</v>
      </c>
      <c r="I134" s="13" t="n">
        <f aca="false">IFERROR(MIN(F134*Eingaben!$B$19,MAX(0,D134-H134)),0)</f>
        <v>0</v>
      </c>
      <c r="J134" s="13" t="n">
        <f aca="false">IFERROR(MIN(Eingaben!$B$18,MAX(0,F134-I134)),0)</f>
        <v>1.39536</v>
      </c>
      <c r="K134" s="13" t="n">
        <f aca="false">H134+I134</f>
        <v>0.801</v>
      </c>
      <c r="L134" s="13" t="n">
        <f aca="false">MAX(0,D134-K134)</f>
        <v>0</v>
      </c>
      <c r="M134" s="13" t="n">
        <f aca="false">MAX(0,F134-I134-J134)</f>
        <v>0</v>
      </c>
      <c r="N134" s="13" t="n">
        <f aca="false">IF(Kalender!A134="",0,J133-H134)</f>
        <v>0.38458224</v>
      </c>
    </row>
    <row r="135" customFormat="false" ht="16.4" hidden="false" customHeight="false" outlineLevel="0" collapsed="false">
      <c r="A135" s="13" t="str">
        <f aca="false">""</f>
        <v/>
      </c>
      <c r="B135" s="13" t="n">
        <f aca="false">131</f>
        <v>131</v>
      </c>
      <c r="C135" s="13" t="n">
        <f aca="false">IF(Szenarien!$H$8="OK",(IFERROR(SUMIF(Nutzungsprofile!$B$6:$B$11,"Schulbetrieb",Nutzungsprofile!$G$6:$G$11)*Kalender!C135/SUM(Kalender!$C$5:$C$370),0)+IFERROR(SUMIF(Nutzungsprofile!$B$6:$B$11,"Halle",Nutzungsprofile!$G$6:$G$11)*Kalender!D135/SUM(Kalender!$D$5:$D$370),0)+IFERROR(SUMIF(Nutzungsprofile!$B$6:$B$11,"Individuell",Nutzungsprofile!$G$6:$G$11)*Kalender!E135/SUM(Kalender!$E$5:$E$370),0))*Szenarien!$E$8,0)</f>
        <v>2.352</v>
      </c>
      <c r="D135" s="13" t="n">
        <f aca="false">IF(Szenarien!$H$8="OK",(IFERROR(SUMIF(Nutzungsprofile!$B$17:$B$22,"Schulbetrieb",Nutzungsprofile!$G$17:$G$22)*Kalender!C135/SUM(Kalender!$C$5:$C$370),0)+IFERROR(SUMIF(Nutzungsprofile!$B$17:$B$22,"Halle",Nutzungsprofile!$G$17:$G$22)*Kalender!D135/SUM(Kalender!$D$5:$D$370),0)+IFERROR(SUMIF(Nutzungsprofile!$B$17:$B$22,"Individuell",Nutzungsprofile!$G$17:$G$22)*Kalender!E135/SUM(Kalender!$E$5:$E$370),0))*Szenarien!$D$8,0)</f>
        <v>4.446</v>
      </c>
      <c r="E135" s="13" t="n">
        <f aca="false">IFERROR(MIN(C135,Eingaben!$B$17)*Eingaben!$B$16,0)</f>
        <v>2.2344</v>
      </c>
      <c r="F135" s="13" t="n">
        <f aca="false">IFERROR(E135*Eingaben!$B$15,0)</f>
        <v>2.01096</v>
      </c>
      <c r="G135" s="13" t="n">
        <f aca="false">IFERROR(IF(Kalender!A135="",0,J134*(1-Eingaben!$B$20)),0)</f>
        <v>1.3674528</v>
      </c>
      <c r="H135" s="13" t="n">
        <f aca="false">MIN(G135,D135)</f>
        <v>1.3674528</v>
      </c>
      <c r="I135" s="13" t="n">
        <f aca="false">IFERROR(MIN(F135*Eingaben!$B$19,MAX(0,D135-H135)),0)</f>
        <v>1.407672</v>
      </c>
      <c r="J135" s="13" t="n">
        <f aca="false">IFERROR(MIN(Eingaben!$B$18,MAX(0,F135-I135)),0)</f>
        <v>0.603288</v>
      </c>
      <c r="K135" s="13" t="n">
        <f aca="false">H135+I135</f>
        <v>2.7751248</v>
      </c>
      <c r="L135" s="13" t="n">
        <f aca="false">MAX(0,D135-K135)</f>
        <v>1.6708752</v>
      </c>
      <c r="M135" s="13" t="n">
        <f aca="false">MAX(0,F135-I135-J135)</f>
        <v>0</v>
      </c>
      <c r="N135" s="13" t="n">
        <f aca="false">IF(Kalender!A135="",0,J134-H135)</f>
        <v>0.0279072</v>
      </c>
    </row>
    <row r="136" customFormat="false" ht="16.4" hidden="false" customHeight="false" outlineLevel="0" collapsed="false">
      <c r="A136" s="13" t="str">
        <f aca="false">""</f>
        <v/>
      </c>
      <c r="B136" s="13" t="n">
        <f aca="false">132</f>
        <v>132</v>
      </c>
      <c r="C136" s="13" t="n">
        <f aca="false">IF(Szenarien!$H$8="OK",(IFERROR(SUMIF(Nutzungsprofile!$B$6:$B$11,"Schulbetrieb",Nutzungsprofile!$G$6:$G$11)*Kalender!C136/SUM(Kalender!$C$5:$C$370),0)+IFERROR(SUMIF(Nutzungsprofile!$B$6:$B$11,"Halle",Nutzungsprofile!$G$6:$G$11)*Kalender!D136/SUM(Kalender!$D$5:$D$370),0)+IFERROR(SUMIF(Nutzungsprofile!$B$6:$B$11,"Individuell",Nutzungsprofile!$G$6:$G$11)*Kalender!E136/SUM(Kalender!$E$5:$E$370),0))*Szenarien!$E$8,0)</f>
        <v>2.352</v>
      </c>
      <c r="D136" s="13" t="n">
        <f aca="false">IF(Szenarien!$H$8="OK",(IFERROR(SUMIF(Nutzungsprofile!$B$17:$B$22,"Schulbetrieb",Nutzungsprofile!$G$17:$G$22)*Kalender!C136/SUM(Kalender!$C$5:$C$370),0)+IFERROR(SUMIF(Nutzungsprofile!$B$17:$B$22,"Halle",Nutzungsprofile!$G$17:$G$22)*Kalender!D136/SUM(Kalender!$D$5:$D$370),0)+IFERROR(SUMIF(Nutzungsprofile!$B$17:$B$22,"Individuell",Nutzungsprofile!$G$17:$G$22)*Kalender!E136/SUM(Kalender!$E$5:$E$370),0))*Szenarien!$D$8,0)</f>
        <v>4.446</v>
      </c>
      <c r="E136" s="13" t="n">
        <f aca="false">IFERROR(MIN(C136,Eingaben!$B$17)*Eingaben!$B$16,0)</f>
        <v>2.2344</v>
      </c>
      <c r="F136" s="13" t="n">
        <f aca="false">IFERROR(E136*Eingaben!$B$15,0)</f>
        <v>2.01096</v>
      </c>
      <c r="G136" s="13" t="n">
        <f aca="false">IFERROR(IF(Kalender!A136="",0,J135*(1-Eingaben!$B$20)),0)</f>
        <v>0.59122224</v>
      </c>
      <c r="H136" s="13" t="n">
        <f aca="false">MIN(G136,D136)</f>
        <v>0.59122224</v>
      </c>
      <c r="I136" s="13" t="n">
        <f aca="false">IFERROR(MIN(F136*Eingaben!$B$19,MAX(0,D136-H136)),0)</f>
        <v>1.407672</v>
      </c>
      <c r="J136" s="13" t="n">
        <f aca="false">IFERROR(MIN(Eingaben!$B$18,MAX(0,F136-I136)),0)</f>
        <v>0.603288</v>
      </c>
      <c r="K136" s="13" t="n">
        <f aca="false">H136+I136</f>
        <v>1.99889424</v>
      </c>
      <c r="L136" s="13" t="n">
        <f aca="false">MAX(0,D136-K136)</f>
        <v>2.44710576</v>
      </c>
      <c r="M136" s="13" t="n">
        <f aca="false">MAX(0,F136-I136-J136)</f>
        <v>0</v>
      </c>
      <c r="N136" s="13" t="n">
        <f aca="false">IF(Kalender!A136="",0,J135-H136)</f>
        <v>0.01206576</v>
      </c>
    </row>
    <row r="137" customFormat="false" ht="16.4" hidden="false" customHeight="false" outlineLevel="0" collapsed="false">
      <c r="A137" s="13" t="str">
        <f aca="false">""</f>
        <v/>
      </c>
      <c r="B137" s="13" t="n">
        <f aca="false">133</f>
        <v>133</v>
      </c>
      <c r="C137" s="13" t="n">
        <f aca="false">IF(Szenarien!$H$8="OK",(IFERROR(SUMIF(Nutzungsprofile!$B$6:$B$11,"Schulbetrieb",Nutzungsprofile!$G$6:$G$11)*Kalender!C137/SUM(Kalender!$C$5:$C$370),0)+IFERROR(SUMIF(Nutzungsprofile!$B$6:$B$11,"Halle",Nutzungsprofile!$G$6:$G$11)*Kalender!D137/SUM(Kalender!$D$5:$D$370),0)+IFERROR(SUMIF(Nutzungsprofile!$B$6:$B$11,"Individuell",Nutzungsprofile!$G$6:$G$11)*Kalender!E137/SUM(Kalender!$E$5:$E$370),0))*Szenarien!$E$8,0)</f>
        <v>2.352</v>
      </c>
      <c r="D137" s="13" t="n">
        <f aca="false">IF(Szenarien!$H$8="OK",(IFERROR(SUMIF(Nutzungsprofile!$B$17:$B$22,"Schulbetrieb",Nutzungsprofile!$G$17:$G$22)*Kalender!C137/SUM(Kalender!$C$5:$C$370),0)+IFERROR(SUMIF(Nutzungsprofile!$B$17:$B$22,"Halle",Nutzungsprofile!$G$17:$G$22)*Kalender!D137/SUM(Kalender!$D$5:$D$370),0)+IFERROR(SUMIF(Nutzungsprofile!$B$17:$B$22,"Individuell",Nutzungsprofile!$G$17:$G$22)*Kalender!E137/SUM(Kalender!$E$5:$E$370),0))*Szenarien!$D$8,0)</f>
        <v>4.446</v>
      </c>
      <c r="E137" s="13" t="n">
        <f aca="false">IFERROR(MIN(C137,Eingaben!$B$17)*Eingaben!$B$16,0)</f>
        <v>2.2344</v>
      </c>
      <c r="F137" s="13" t="n">
        <f aca="false">IFERROR(E137*Eingaben!$B$15,0)</f>
        <v>2.01096</v>
      </c>
      <c r="G137" s="13" t="n">
        <f aca="false">IFERROR(IF(Kalender!A137="",0,J136*(1-Eingaben!$B$20)),0)</f>
        <v>0.59122224</v>
      </c>
      <c r="H137" s="13" t="n">
        <f aca="false">MIN(G137,D137)</f>
        <v>0.59122224</v>
      </c>
      <c r="I137" s="13" t="n">
        <f aca="false">IFERROR(MIN(F137*Eingaben!$B$19,MAX(0,D137-H137)),0)</f>
        <v>1.407672</v>
      </c>
      <c r="J137" s="13" t="n">
        <f aca="false">IFERROR(MIN(Eingaben!$B$18,MAX(0,F137-I137)),0)</f>
        <v>0.603288</v>
      </c>
      <c r="K137" s="13" t="n">
        <f aca="false">H137+I137</f>
        <v>1.99889424</v>
      </c>
      <c r="L137" s="13" t="n">
        <f aca="false">MAX(0,D137-K137)</f>
        <v>2.44710576</v>
      </c>
      <c r="M137" s="13" t="n">
        <f aca="false">MAX(0,F137-I137-J137)</f>
        <v>0</v>
      </c>
      <c r="N137" s="13" t="n">
        <f aca="false">IF(Kalender!A137="",0,J136-H137)</f>
        <v>0.01206576</v>
      </c>
    </row>
    <row r="138" customFormat="false" ht="16.4" hidden="false" customHeight="false" outlineLevel="0" collapsed="false">
      <c r="A138" s="13" t="str">
        <f aca="false">""</f>
        <v/>
      </c>
      <c r="B138" s="13" t="n">
        <f aca="false">134</f>
        <v>134</v>
      </c>
      <c r="C138" s="13" t="n">
        <f aca="false">IF(Szenarien!$H$8="OK",(IFERROR(SUMIF(Nutzungsprofile!$B$6:$B$11,"Schulbetrieb",Nutzungsprofile!$G$6:$G$11)*Kalender!C138/SUM(Kalender!$C$5:$C$370),0)+IFERROR(SUMIF(Nutzungsprofile!$B$6:$B$11,"Halle",Nutzungsprofile!$G$6:$G$11)*Kalender!D138/SUM(Kalender!$D$5:$D$370),0)+IFERROR(SUMIF(Nutzungsprofile!$B$6:$B$11,"Individuell",Nutzungsprofile!$G$6:$G$11)*Kalender!E138/SUM(Kalender!$E$5:$E$370),0))*Szenarien!$E$8,0)</f>
        <v>2.352</v>
      </c>
      <c r="D138" s="13" t="n">
        <f aca="false">IF(Szenarien!$H$8="OK",(IFERROR(SUMIF(Nutzungsprofile!$B$17:$B$22,"Schulbetrieb",Nutzungsprofile!$G$17:$G$22)*Kalender!C138/SUM(Kalender!$C$5:$C$370),0)+IFERROR(SUMIF(Nutzungsprofile!$B$17:$B$22,"Halle",Nutzungsprofile!$G$17:$G$22)*Kalender!D138/SUM(Kalender!$D$5:$D$370),0)+IFERROR(SUMIF(Nutzungsprofile!$B$17:$B$22,"Individuell",Nutzungsprofile!$G$17:$G$22)*Kalender!E138/SUM(Kalender!$E$5:$E$370),0))*Szenarien!$D$8,0)</f>
        <v>4.446</v>
      </c>
      <c r="E138" s="13" t="n">
        <f aca="false">IFERROR(MIN(C138,Eingaben!$B$17)*Eingaben!$B$16,0)</f>
        <v>2.2344</v>
      </c>
      <c r="F138" s="13" t="n">
        <f aca="false">IFERROR(E138*Eingaben!$B$15,0)</f>
        <v>2.01096</v>
      </c>
      <c r="G138" s="13" t="n">
        <f aca="false">IFERROR(IF(Kalender!A138="",0,J137*(1-Eingaben!$B$20)),0)</f>
        <v>0.59122224</v>
      </c>
      <c r="H138" s="13" t="n">
        <f aca="false">MIN(G138,D138)</f>
        <v>0.59122224</v>
      </c>
      <c r="I138" s="13" t="n">
        <f aca="false">IFERROR(MIN(F138*Eingaben!$B$19,MAX(0,D138-H138)),0)</f>
        <v>1.407672</v>
      </c>
      <c r="J138" s="13" t="n">
        <f aca="false">IFERROR(MIN(Eingaben!$B$18,MAX(0,F138-I138)),0)</f>
        <v>0.603288</v>
      </c>
      <c r="K138" s="13" t="n">
        <f aca="false">H138+I138</f>
        <v>1.99889424</v>
      </c>
      <c r="L138" s="13" t="n">
        <f aca="false">MAX(0,D138-K138)</f>
        <v>2.44710576</v>
      </c>
      <c r="M138" s="13" t="n">
        <f aca="false">MAX(0,F138-I138-J138)</f>
        <v>0</v>
      </c>
      <c r="N138" s="13" t="n">
        <f aca="false">IF(Kalender!A138="",0,J137-H138)</f>
        <v>0.01206576</v>
      </c>
    </row>
    <row r="139" customFormat="false" ht="16.4" hidden="false" customHeight="false" outlineLevel="0" collapsed="false">
      <c r="A139" s="13" t="str">
        <f aca="false">""</f>
        <v/>
      </c>
      <c r="B139" s="13" t="n">
        <f aca="false">135</f>
        <v>135</v>
      </c>
      <c r="C139" s="13" t="n">
        <f aca="false">IF(Szenarien!$H$8="OK",(IFERROR(SUMIF(Nutzungsprofile!$B$6:$B$11,"Schulbetrieb",Nutzungsprofile!$G$6:$G$11)*Kalender!C139/SUM(Kalender!$C$5:$C$370),0)+IFERROR(SUMIF(Nutzungsprofile!$B$6:$B$11,"Halle",Nutzungsprofile!$G$6:$G$11)*Kalender!D139/SUM(Kalender!$D$5:$D$370),0)+IFERROR(SUMIF(Nutzungsprofile!$B$6:$B$11,"Individuell",Nutzungsprofile!$G$6:$G$11)*Kalender!E139/SUM(Kalender!$E$5:$E$370),0))*Szenarien!$E$8,0)</f>
        <v>2.352</v>
      </c>
      <c r="D139" s="13" t="n">
        <f aca="false">IF(Szenarien!$H$8="OK",(IFERROR(SUMIF(Nutzungsprofile!$B$17:$B$22,"Schulbetrieb",Nutzungsprofile!$G$17:$G$22)*Kalender!C139/SUM(Kalender!$C$5:$C$370),0)+IFERROR(SUMIF(Nutzungsprofile!$B$17:$B$22,"Halle",Nutzungsprofile!$G$17:$G$22)*Kalender!D139/SUM(Kalender!$D$5:$D$370),0)+IFERROR(SUMIF(Nutzungsprofile!$B$17:$B$22,"Individuell",Nutzungsprofile!$G$17:$G$22)*Kalender!E139/SUM(Kalender!$E$5:$E$370),0))*Szenarien!$D$8,0)</f>
        <v>4.446</v>
      </c>
      <c r="E139" s="13" t="n">
        <f aca="false">IFERROR(MIN(C139,Eingaben!$B$17)*Eingaben!$B$16,0)</f>
        <v>2.2344</v>
      </c>
      <c r="F139" s="13" t="n">
        <f aca="false">IFERROR(E139*Eingaben!$B$15,0)</f>
        <v>2.01096</v>
      </c>
      <c r="G139" s="13" t="n">
        <f aca="false">IFERROR(IF(Kalender!A139="",0,J138*(1-Eingaben!$B$20)),0)</f>
        <v>0.59122224</v>
      </c>
      <c r="H139" s="13" t="n">
        <f aca="false">MIN(G139,D139)</f>
        <v>0.59122224</v>
      </c>
      <c r="I139" s="13" t="n">
        <f aca="false">IFERROR(MIN(F139*Eingaben!$B$19,MAX(0,D139-H139)),0)</f>
        <v>1.407672</v>
      </c>
      <c r="J139" s="13" t="n">
        <f aca="false">IFERROR(MIN(Eingaben!$B$18,MAX(0,F139-I139)),0)</f>
        <v>0.603288</v>
      </c>
      <c r="K139" s="13" t="n">
        <f aca="false">H139+I139</f>
        <v>1.99889424</v>
      </c>
      <c r="L139" s="13" t="n">
        <f aca="false">MAX(0,D139-K139)</f>
        <v>2.44710576</v>
      </c>
      <c r="M139" s="13" t="n">
        <f aca="false">MAX(0,F139-I139-J139)</f>
        <v>0</v>
      </c>
      <c r="N139" s="13" t="n">
        <f aca="false">IF(Kalender!A139="",0,J138-H139)</f>
        <v>0.01206576</v>
      </c>
    </row>
    <row r="140" customFormat="false" ht="16.4" hidden="false" customHeight="false" outlineLevel="0" collapsed="false">
      <c r="A140" s="13" t="str">
        <f aca="false">""</f>
        <v/>
      </c>
      <c r="B140" s="13" t="n">
        <f aca="false">136</f>
        <v>136</v>
      </c>
      <c r="C140" s="13" t="n">
        <f aca="false">IF(Szenarien!$H$8="OK",(IFERROR(SUMIF(Nutzungsprofile!$B$6:$B$11,"Schulbetrieb",Nutzungsprofile!$G$6:$G$11)*Kalender!C140/SUM(Kalender!$C$5:$C$370),0)+IFERROR(SUMIF(Nutzungsprofile!$B$6:$B$11,"Halle",Nutzungsprofile!$G$6:$G$11)*Kalender!D140/SUM(Kalender!$D$5:$D$370),0)+IFERROR(SUMIF(Nutzungsprofile!$B$6:$B$11,"Individuell",Nutzungsprofile!$G$6:$G$11)*Kalender!E140/SUM(Kalender!$E$5:$E$370),0))*Szenarien!$E$8,0)</f>
        <v>1.632</v>
      </c>
      <c r="D140" s="13" t="n">
        <f aca="false">IF(Szenarien!$H$8="OK",(IFERROR(SUMIF(Nutzungsprofile!$B$17:$B$22,"Schulbetrieb",Nutzungsprofile!$G$17:$G$22)*Kalender!C140/SUM(Kalender!$C$5:$C$370),0)+IFERROR(SUMIF(Nutzungsprofile!$B$17:$B$22,"Halle",Nutzungsprofile!$G$17:$G$22)*Kalender!D140/SUM(Kalender!$D$5:$D$370),0)+IFERROR(SUMIF(Nutzungsprofile!$B$17:$B$22,"Individuell",Nutzungsprofile!$G$17:$G$22)*Kalender!E140/SUM(Kalender!$E$5:$E$370),0))*Szenarien!$D$8,0)</f>
        <v>0.801</v>
      </c>
      <c r="E140" s="13" t="n">
        <f aca="false">IFERROR(MIN(C140,Eingaben!$B$17)*Eingaben!$B$16,0)</f>
        <v>1.5504</v>
      </c>
      <c r="F140" s="13" t="n">
        <f aca="false">IFERROR(E140*Eingaben!$B$15,0)</f>
        <v>1.39536</v>
      </c>
      <c r="G140" s="13" t="n">
        <f aca="false">IFERROR(IF(Kalender!A140="",0,J139*(1-Eingaben!$B$20)),0)</f>
        <v>0.59122224</v>
      </c>
      <c r="H140" s="13" t="n">
        <f aca="false">MIN(G140,D140)</f>
        <v>0.59122224</v>
      </c>
      <c r="I140" s="13" t="n">
        <f aca="false">IFERROR(MIN(F140*Eingaben!$B$19,MAX(0,D140-H140)),0)</f>
        <v>0.20977776</v>
      </c>
      <c r="J140" s="13" t="n">
        <f aca="false">IFERROR(MIN(Eingaben!$B$18,MAX(0,F140-I140)),0)</f>
        <v>1.18558224</v>
      </c>
      <c r="K140" s="13" t="n">
        <f aca="false">H140+I140</f>
        <v>0.801</v>
      </c>
      <c r="L140" s="13" t="n">
        <f aca="false">MAX(0,D140-K140)</f>
        <v>0</v>
      </c>
      <c r="M140" s="13" t="n">
        <f aca="false">MAX(0,F140-I140-J140)</f>
        <v>0</v>
      </c>
      <c r="N140" s="13" t="n">
        <f aca="false">IF(Kalender!A140="",0,J139-H140)</f>
        <v>0.01206576</v>
      </c>
    </row>
    <row r="141" customFormat="false" ht="16.4" hidden="false" customHeight="false" outlineLevel="0" collapsed="false">
      <c r="A141" s="13" t="str">
        <f aca="false">""</f>
        <v/>
      </c>
      <c r="B141" s="13" t="n">
        <f aca="false">137</f>
        <v>137</v>
      </c>
      <c r="C141" s="13" t="n">
        <f aca="false">IF(Szenarien!$H$8="OK",(IFERROR(SUMIF(Nutzungsprofile!$B$6:$B$11,"Schulbetrieb",Nutzungsprofile!$G$6:$G$11)*Kalender!C141/SUM(Kalender!$C$5:$C$370),0)+IFERROR(SUMIF(Nutzungsprofile!$B$6:$B$11,"Halle",Nutzungsprofile!$G$6:$G$11)*Kalender!D141/SUM(Kalender!$D$5:$D$370),0)+IFERROR(SUMIF(Nutzungsprofile!$B$6:$B$11,"Individuell",Nutzungsprofile!$G$6:$G$11)*Kalender!E141/SUM(Kalender!$E$5:$E$370),0))*Szenarien!$E$8,0)</f>
        <v>1.632</v>
      </c>
      <c r="D141" s="13" t="n">
        <f aca="false">IF(Szenarien!$H$8="OK",(IFERROR(SUMIF(Nutzungsprofile!$B$17:$B$22,"Schulbetrieb",Nutzungsprofile!$G$17:$G$22)*Kalender!C141/SUM(Kalender!$C$5:$C$370),0)+IFERROR(SUMIF(Nutzungsprofile!$B$17:$B$22,"Halle",Nutzungsprofile!$G$17:$G$22)*Kalender!D141/SUM(Kalender!$D$5:$D$370),0)+IFERROR(SUMIF(Nutzungsprofile!$B$17:$B$22,"Individuell",Nutzungsprofile!$G$17:$G$22)*Kalender!E141/SUM(Kalender!$E$5:$E$370),0))*Szenarien!$D$8,0)</f>
        <v>0.801</v>
      </c>
      <c r="E141" s="13" t="n">
        <f aca="false">IFERROR(MIN(C141,Eingaben!$B$17)*Eingaben!$B$16,0)</f>
        <v>1.5504</v>
      </c>
      <c r="F141" s="13" t="n">
        <f aca="false">IFERROR(E141*Eingaben!$B$15,0)</f>
        <v>1.39536</v>
      </c>
      <c r="G141" s="13" t="n">
        <f aca="false">IFERROR(IF(Kalender!A141="",0,J140*(1-Eingaben!$B$20)),0)</f>
        <v>1.1618705952</v>
      </c>
      <c r="H141" s="13" t="n">
        <f aca="false">MIN(G141,D141)</f>
        <v>0.801</v>
      </c>
      <c r="I141" s="13" t="n">
        <f aca="false">IFERROR(MIN(F141*Eingaben!$B$19,MAX(0,D141-H141)),0)</f>
        <v>0</v>
      </c>
      <c r="J141" s="13" t="n">
        <f aca="false">IFERROR(MIN(Eingaben!$B$18,MAX(0,F141-I141)),0)</f>
        <v>1.39536</v>
      </c>
      <c r="K141" s="13" t="n">
        <f aca="false">H141+I141</f>
        <v>0.801</v>
      </c>
      <c r="L141" s="13" t="n">
        <f aca="false">MAX(0,D141-K141)</f>
        <v>0</v>
      </c>
      <c r="M141" s="13" t="n">
        <f aca="false">MAX(0,F141-I141-J141)</f>
        <v>0</v>
      </c>
      <c r="N141" s="13" t="n">
        <f aca="false">IF(Kalender!A141="",0,J140-H141)</f>
        <v>0.38458224</v>
      </c>
    </row>
    <row r="142" customFormat="false" ht="16.4" hidden="false" customHeight="false" outlineLevel="0" collapsed="false">
      <c r="A142" s="13" t="str">
        <f aca="false">""</f>
        <v/>
      </c>
      <c r="B142" s="13" t="n">
        <f aca="false">138</f>
        <v>138</v>
      </c>
      <c r="C142" s="13" t="n">
        <f aca="false">IF(Szenarien!$H$8="OK",(IFERROR(SUMIF(Nutzungsprofile!$B$6:$B$11,"Schulbetrieb",Nutzungsprofile!$G$6:$G$11)*Kalender!C142/SUM(Kalender!$C$5:$C$370),0)+IFERROR(SUMIF(Nutzungsprofile!$B$6:$B$11,"Halle",Nutzungsprofile!$G$6:$G$11)*Kalender!D142/SUM(Kalender!$D$5:$D$370),0)+IFERROR(SUMIF(Nutzungsprofile!$B$6:$B$11,"Individuell",Nutzungsprofile!$G$6:$G$11)*Kalender!E142/SUM(Kalender!$E$5:$E$370),0))*Szenarien!$E$8,0)</f>
        <v>2.352</v>
      </c>
      <c r="D142" s="13" t="n">
        <f aca="false">IF(Szenarien!$H$8="OK",(IFERROR(SUMIF(Nutzungsprofile!$B$17:$B$22,"Schulbetrieb",Nutzungsprofile!$G$17:$G$22)*Kalender!C142/SUM(Kalender!$C$5:$C$370),0)+IFERROR(SUMIF(Nutzungsprofile!$B$17:$B$22,"Halle",Nutzungsprofile!$G$17:$G$22)*Kalender!D142/SUM(Kalender!$D$5:$D$370),0)+IFERROR(SUMIF(Nutzungsprofile!$B$17:$B$22,"Individuell",Nutzungsprofile!$G$17:$G$22)*Kalender!E142/SUM(Kalender!$E$5:$E$370),0))*Szenarien!$D$8,0)</f>
        <v>4.446</v>
      </c>
      <c r="E142" s="13" t="n">
        <f aca="false">IFERROR(MIN(C142,Eingaben!$B$17)*Eingaben!$B$16,0)</f>
        <v>2.2344</v>
      </c>
      <c r="F142" s="13" t="n">
        <f aca="false">IFERROR(E142*Eingaben!$B$15,0)</f>
        <v>2.01096</v>
      </c>
      <c r="G142" s="13" t="n">
        <f aca="false">IFERROR(IF(Kalender!A142="",0,J141*(1-Eingaben!$B$20)),0)</f>
        <v>1.3674528</v>
      </c>
      <c r="H142" s="13" t="n">
        <f aca="false">MIN(G142,D142)</f>
        <v>1.3674528</v>
      </c>
      <c r="I142" s="13" t="n">
        <f aca="false">IFERROR(MIN(F142*Eingaben!$B$19,MAX(0,D142-H142)),0)</f>
        <v>1.407672</v>
      </c>
      <c r="J142" s="13" t="n">
        <f aca="false">IFERROR(MIN(Eingaben!$B$18,MAX(0,F142-I142)),0)</f>
        <v>0.603288</v>
      </c>
      <c r="K142" s="13" t="n">
        <f aca="false">H142+I142</f>
        <v>2.7751248</v>
      </c>
      <c r="L142" s="13" t="n">
        <f aca="false">MAX(0,D142-K142)</f>
        <v>1.6708752</v>
      </c>
      <c r="M142" s="13" t="n">
        <f aca="false">MAX(0,F142-I142-J142)</f>
        <v>0</v>
      </c>
      <c r="N142" s="13" t="n">
        <f aca="false">IF(Kalender!A142="",0,J141-H142)</f>
        <v>0.0279072</v>
      </c>
    </row>
    <row r="143" customFormat="false" ht="16.4" hidden="false" customHeight="false" outlineLevel="0" collapsed="false">
      <c r="A143" s="13" t="str">
        <f aca="false">""</f>
        <v/>
      </c>
      <c r="B143" s="13" t="n">
        <f aca="false">139</f>
        <v>139</v>
      </c>
      <c r="C143" s="13" t="n">
        <f aca="false">IF(Szenarien!$H$8="OK",(IFERROR(SUMIF(Nutzungsprofile!$B$6:$B$11,"Schulbetrieb",Nutzungsprofile!$G$6:$G$11)*Kalender!C143/SUM(Kalender!$C$5:$C$370),0)+IFERROR(SUMIF(Nutzungsprofile!$B$6:$B$11,"Halle",Nutzungsprofile!$G$6:$G$11)*Kalender!D143/SUM(Kalender!$D$5:$D$370),0)+IFERROR(SUMIF(Nutzungsprofile!$B$6:$B$11,"Individuell",Nutzungsprofile!$G$6:$G$11)*Kalender!E143/SUM(Kalender!$E$5:$E$370),0))*Szenarien!$E$8,0)</f>
        <v>2.352</v>
      </c>
      <c r="D143" s="13" t="n">
        <f aca="false">IF(Szenarien!$H$8="OK",(IFERROR(SUMIF(Nutzungsprofile!$B$17:$B$22,"Schulbetrieb",Nutzungsprofile!$G$17:$G$22)*Kalender!C143/SUM(Kalender!$C$5:$C$370),0)+IFERROR(SUMIF(Nutzungsprofile!$B$17:$B$22,"Halle",Nutzungsprofile!$G$17:$G$22)*Kalender!D143/SUM(Kalender!$D$5:$D$370),0)+IFERROR(SUMIF(Nutzungsprofile!$B$17:$B$22,"Individuell",Nutzungsprofile!$G$17:$G$22)*Kalender!E143/SUM(Kalender!$E$5:$E$370),0))*Szenarien!$D$8,0)</f>
        <v>4.446</v>
      </c>
      <c r="E143" s="13" t="n">
        <f aca="false">IFERROR(MIN(C143,Eingaben!$B$17)*Eingaben!$B$16,0)</f>
        <v>2.2344</v>
      </c>
      <c r="F143" s="13" t="n">
        <f aca="false">IFERROR(E143*Eingaben!$B$15,0)</f>
        <v>2.01096</v>
      </c>
      <c r="G143" s="13" t="n">
        <f aca="false">IFERROR(IF(Kalender!A143="",0,J142*(1-Eingaben!$B$20)),0)</f>
        <v>0.59122224</v>
      </c>
      <c r="H143" s="13" t="n">
        <f aca="false">MIN(G143,D143)</f>
        <v>0.59122224</v>
      </c>
      <c r="I143" s="13" t="n">
        <f aca="false">IFERROR(MIN(F143*Eingaben!$B$19,MAX(0,D143-H143)),0)</f>
        <v>1.407672</v>
      </c>
      <c r="J143" s="13" t="n">
        <f aca="false">IFERROR(MIN(Eingaben!$B$18,MAX(0,F143-I143)),0)</f>
        <v>0.603288</v>
      </c>
      <c r="K143" s="13" t="n">
        <f aca="false">H143+I143</f>
        <v>1.99889424</v>
      </c>
      <c r="L143" s="13" t="n">
        <f aca="false">MAX(0,D143-K143)</f>
        <v>2.44710576</v>
      </c>
      <c r="M143" s="13" t="n">
        <f aca="false">MAX(0,F143-I143-J143)</f>
        <v>0</v>
      </c>
      <c r="N143" s="13" t="n">
        <f aca="false">IF(Kalender!A143="",0,J142-H143)</f>
        <v>0.01206576</v>
      </c>
    </row>
    <row r="144" customFormat="false" ht="16.4" hidden="false" customHeight="false" outlineLevel="0" collapsed="false">
      <c r="A144" s="13" t="str">
        <f aca="false">""</f>
        <v/>
      </c>
      <c r="B144" s="13" t="n">
        <f aca="false">140</f>
        <v>140</v>
      </c>
      <c r="C144" s="13" t="n">
        <f aca="false">IF(Szenarien!$H$8="OK",(IFERROR(SUMIF(Nutzungsprofile!$B$6:$B$11,"Schulbetrieb",Nutzungsprofile!$G$6:$G$11)*Kalender!C144/SUM(Kalender!$C$5:$C$370),0)+IFERROR(SUMIF(Nutzungsprofile!$B$6:$B$11,"Halle",Nutzungsprofile!$G$6:$G$11)*Kalender!D144/SUM(Kalender!$D$5:$D$370),0)+IFERROR(SUMIF(Nutzungsprofile!$B$6:$B$11,"Individuell",Nutzungsprofile!$G$6:$G$11)*Kalender!E144/SUM(Kalender!$E$5:$E$370),0))*Szenarien!$E$8,0)</f>
        <v>2.352</v>
      </c>
      <c r="D144" s="13" t="n">
        <f aca="false">IF(Szenarien!$H$8="OK",(IFERROR(SUMIF(Nutzungsprofile!$B$17:$B$22,"Schulbetrieb",Nutzungsprofile!$G$17:$G$22)*Kalender!C144/SUM(Kalender!$C$5:$C$370),0)+IFERROR(SUMIF(Nutzungsprofile!$B$17:$B$22,"Halle",Nutzungsprofile!$G$17:$G$22)*Kalender!D144/SUM(Kalender!$D$5:$D$370),0)+IFERROR(SUMIF(Nutzungsprofile!$B$17:$B$22,"Individuell",Nutzungsprofile!$G$17:$G$22)*Kalender!E144/SUM(Kalender!$E$5:$E$370),0))*Szenarien!$D$8,0)</f>
        <v>4.446</v>
      </c>
      <c r="E144" s="13" t="n">
        <f aca="false">IFERROR(MIN(C144,Eingaben!$B$17)*Eingaben!$B$16,0)</f>
        <v>2.2344</v>
      </c>
      <c r="F144" s="13" t="n">
        <f aca="false">IFERROR(E144*Eingaben!$B$15,0)</f>
        <v>2.01096</v>
      </c>
      <c r="G144" s="13" t="n">
        <f aca="false">IFERROR(IF(Kalender!A144="",0,J143*(1-Eingaben!$B$20)),0)</f>
        <v>0.59122224</v>
      </c>
      <c r="H144" s="13" t="n">
        <f aca="false">MIN(G144,D144)</f>
        <v>0.59122224</v>
      </c>
      <c r="I144" s="13" t="n">
        <f aca="false">IFERROR(MIN(F144*Eingaben!$B$19,MAX(0,D144-H144)),0)</f>
        <v>1.407672</v>
      </c>
      <c r="J144" s="13" t="n">
        <f aca="false">IFERROR(MIN(Eingaben!$B$18,MAX(0,F144-I144)),0)</f>
        <v>0.603288</v>
      </c>
      <c r="K144" s="13" t="n">
        <f aca="false">H144+I144</f>
        <v>1.99889424</v>
      </c>
      <c r="L144" s="13" t="n">
        <f aca="false">MAX(0,D144-K144)</f>
        <v>2.44710576</v>
      </c>
      <c r="M144" s="13" t="n">
        <f aca="false">MAX(0,F144-I144-J144)</f>
        <v>0</v>
      </c>
      <c r="N144" s="13" t="n">
        <f aca="false">IF(Kalender!A144="",0,J143-H144)</f>
        <v>0.01206576</v>
      </c>
    </row>
    <row r="145" customFormat="false" ht="16.4" hidden="false" customHeight="false" outlineLevel="0" collapsed="false">
      <c r="A145" s="13" t="str">
        <f aca="false">""</f>
        <v/>
      </c>
      <c r="B145" s="13" t="n">
        <f aca="false">141</f>
        <v>141</v>
      </c>
      <c r="C145" s="13" t="n">
        <f aca="false">IF(Szenarien!$H$8="OK",(IFERROR(SUMIF(Nutzungsprofile!$B$6:$B$11,"Schulbetrieb",Nutzungsprofile!$G$6:$G$11)*Kalender!C145/SUM(Kalender!$C$5:$C$370),0)+IFERROR(SUMIF(Nutzungsprofile!$B$6:$B$11,"Halle",Nutzungsprofile!$G$6:$G$11)*Kalender!D145/SUM(Kalender!$D$5:$D$370),0)+IFERROR(SUMIF(Nutzungsprofile!$B$6:$B$11,"Individuell",Nutzungsprofile!$G$6:$G$11)*Kalender!E145/SUM(Kalender!$E$5:$E$370),0))*Szenarien!$E$8,0)</f>
        <v>2.352</v>
      </c>
      <c r="D145" s="13" t="n">
        <f aca="false">IF(Szenarien!$H$8="OK",(IFERROR(SUMIF(Nutzungsprofile!$B$17:$B$22,"Schulbetrieb",Nutzungsprofile!$G$17:$G$22)*Kalender!C145/SUM(Kalender!$C$5:$C$370),0)+IFERROR(SUMIF(Nutzungsprofile!$B$17:$B$22,"Halle",Nutzungsprofile!$G$17:$G$22)*Kalender!D145/SUM(Kalender!$D$5:$D$370),0)+IFERROR(SUMIF(Nutzungsprofile!$B$17:$B$22,"Individuell",Nutzungsprofile!$G$17:$G$22)*Kalender!E145/SUM(Kalender!$E$5:$E$370),0))*Szenarien!$D$8,0)</f>
        <v>4.446</v>
      </c>
      <c r="E145" s="13" t="n">
        <f aca="false">IFERROR(MIN(C145,Eingaben!$B$17)*Eingaben!$B$16,0)</f>
        <v>2.2344</v>
      </c>
      <c r="F145" s="13" t="n">
        <f aca="false">IFERROR(E145*Eingaben!$B$15,0)</f>
        <v>2.01096</v>
      </c>
      <c r="G145" s="13" t="n">
        <f aca="false">IFERROR(IF(Kalender!A145="",0,J144*(1-Eingaben!$B$20)),0)</f>
        <v>0.59122224</v>
      </c>
      <c r="H145" s="13" t="n">
        <f aca="false">MIN(G145,D145)</f>
        <v>0.59122224</v>
      </c>
      <c r="I145" s="13" t="n">
        <f aca="false">IFERROR(MIN(F145*Eingaben!$B$19,MAX(0,D145-H145)),0)</f>
        <v>1.407672</v>
      </c>
      <c r="J145" s="13" t="n">
        <f aca="false">IFERROR(MIN(Eingaben!$B$18,MAX(0,F145-I145)),0)</f>
        <v>0.603288</v>
      </c>
      <c r="K145" s="13" t="n">
        <f aca="false">H145+I145</f>
        <v>1.99889424</v>
      </c>
      <c r="L145" s="13" t="n">
        <f aca="false">MAX(0,D145-K145)</f>
        <v>2.44710576</v>
      </c>
      <c r="M145" s="13" t="n">
        <f aca="false">MAX(0,F145-I145-J145)</f>
        <v>0</v>
      </c>
      <c r="N145" s="13" t="n">
        <f aca="false">IF(Kalender!A145="",0,J144-H145)</f>
        <v>0.01206576</v>
      </c>
    </row>
    <row r="146" customFormat="false" ht="16.4" hidden="false" customHeight="false" outlineLevel="0" collapsed="false">
      <c r="A146" s="13" t="str">
        <f aca="false">""</f>
        <v/>
      </c>
      <c r="B146" s="13" t="n">
        <f aca="false">142</f>
        <v>142</v>
      </c>
      <c r="C146" s="13" t="n">
        <f aca="false">IF(Szenarien!$H$8="OK",(IFERROR(SUMIF(Nutzungsprofile!$B$6:$B$11,"Schulbetrieb",Nutzungsprofile!$G$6:$G$11)*Kalender!C146/SUM(Kalender!$C$5:$C$370),0)+IFERROR(SUMIF(Nutzungsprofile!$B$6:$B$11,"Halle",Nutzungsprofile!$G$6:$G$11)*Kalender!D146/SUM(Kalender!$D$5:$D$370),0)+IFERROR(SUMIF(Nutzungsprofile!$B$6:$B$11,"Individuell",Nutzungsprofile!$G$6:$G$11)*Kalender!E146/SUM(Kalender!$E$5:$E$370),0))*Szenarien!$E$8,0)</f>
        <v>2.352</v>
      </c>
      <c r="D146" s="13" t="n">
        <f aca="false">IF(Szenarien!$H$8="OK",(IFERROR(SUMIF(Nutzungsprofile!$B$17:$B$22,"Schulbetrieb",Nutzungsprofile!$G$17:$G$22)*Kalender!C146/SUM(Kalender!$C$5:$C$370),0)+IFERROR(SUMIF(Nutzungsprofile!$B$17:$B$22,"Halle",Nutzungsprofile!$G$17:$G$22)*Kalender!D146/SUM(Kalender!$D$5:$D$370),0)+IFERROR(SUMIF(Nutzungsprofile!$B$17:$B$22,"Individuell",Nutzungsprofile!$G$17:$G$22)*Kalender!E146/SUM(Kalender!$E$5:$E$370),0))*Szenarien!$D$8,0)</f>
        <v>4.446</v>
      </c>
      <c r="E146" s="13" t="n">
        <f aca="false">IFERROR(MIN(C146,Eingaben!$B$17)*Eingaben!$B$16,0)</f>
        <v>2.2344</v>
      </c>
      <c r="F146" s="13" t="n">
        <f aca="false">IFERROR(E146*Eingaben!$B$15,0)</f>
        <v>2.01096</v>
      </c>
      <c r="G146" s="13" t="n">
        <f aca="false">IFERROR(IF(Kalender!A146="",0,J145*(1-Eingaben!$B$20)),0)</f>
        <v>0.59122224</v>
      </c>
      <c r="H146" s="13" t="n">
        <f aca="false">MIN(G146,D146)</f>
        <v>0.59122224</v>
      </c>
      <c r="I146" s="13" t="n">
        <f aca="false">IFERROR(MIN(F146*Eingaben!$B$19,MAX(0,D146-H146)),0)</f>
        <v>1.407672</v>
      </c>
      <c r="J146" s="13" t="n">
        <f aca="false">IFERROR(MIN(Eingaben!$B$18,MAX(0,F146-I146)),0)</f>
        <v>0.603288</v>
      </c>
      <c r="K146" s="13" t="n">
        <f aca="false">H146+I146</f>
        <v>1.99889424</v>
      </c>
      <c r="L146" s="13" t="n">
        <f aca="false">MAX(0,D146-K146)</f>
        <v>2.44710576</v>
      </c>
      <c r="M146" s="13" t="n">
        <f aca="false">MAX(0,F146-I146-J146)</f>
        <v>0</v>
      </c>
      <c r="N146" s="13" t="n">
        <f aca="false">IF(Kalender!A146="",0,J145-H146)</f>
        <v>0.01206576</v>
      </c>
    </row>
    <row r="147" customFormat="false" ht="16.4" hidden="false" customHeight="false" outlineLevel="0" collapsed="false">
      <c r="A147" s="13" t="str">
        <f aca="false">""</f>
        <v/>
      </c>
      <c r="B147" s="13" t="n">
        <f aca="false">143</f>
        <v>143</v>
      </c>
      <c r="C147" s="13" t="n">
        <f aca="false">IF(Szenarien!$H$8="OK",(IFERROR(SUMIF(Nutzungsprofile!$B$6:$B$11,"Schulbetrieb",Nutzungsprofile!$G$6:$G$11)*Kalender!C147/SUM(Kalender!$C$5:$C$370),0)+IFERROR(SUMIF(Nutzungsprofile!$B$6:$B$11,"Halle",Nutzungsprofile!$G$6:$G$11)*Kalender!D147/SUM(Kalender!$D$5:$D$370),0)+IFERROR(SUMIF(Nutzungsprofile!$B$6:$B$11,"Individuell",Nutzungsprofile!$G$6:$G$11)*Kalender!E147/SUM(Kalender!$E$5:$E$370),0))*Szenarien!$E$8,0)</f>
        <v>1.632</v>
      </c>
      <c r="D147" s="13" t="n">
        <f aca="false">IF(Szenarien!$H$8="OK",(IFERROR(SUMIF(Nutzungsprofile!$B$17:$B$22,"Schulbetrieb",Nutzungsprofile!$G$17:$G$22)*Kalender!C147/SUM(Kalender!$C$5:$C$370),0)+IFERROR(SUMIF(Nutzungsprofile!$B$17:$B$22,"Halle",Nutzungsprofile!$G$17:$G$22)*Kalender!D147/SUM(Kalender!$D$5:$D$370),0)+IFERROR(SUMIF(Nutzungsprofile!$B$17:$B$22,"Individuell",Nutzungsprofile!$G$17:$G$22)*Kalender!E147/SUM(Kalender!$E$5:$E$370),0))*Szenarien!$D$8,0)</f>
        <v>0.801</v>
      </c>
      <c r="E147" s="13" t="n">
        <f aca="false">IFERROR(MIN(C147,Eingaben!$B$17)*Eingaben!$B$16,0)</f>
        <v>1.5504</v>
      </c>
      <c r="F147" s="13" t="n">
        <f aca="false">IFERROR(E147*Eingaben!$B$15,0)</f>
        <v>1.39536</v>
      </c>
      <c r="G147" s="13" t="n">
        <f aca="false">IFERROR(IF(Kalender!A147="",0,J146*(1-Eingaben!$B$20)),0)</f>
        <v>0.59122224</v>
      </c>
      <c r="H147" s="13" t="n">
        <f aca="false">MIN(G147,D147)</f>
        <v>0.59122224</v>
      </c>
      <c r="I147" s="13" t="n">
        <f aca="false">IFERROR(MIN(F147*Eingaben!$B$19,MAX(0,D147-H147)),0)</f>
        <v>0.20977776</v>
      </c>
      <c r="J147" s="13" t="n">
        <f aca="false">IFERROR(MIN(Eingaben!$B$18,MAX(0,F147-I147)),0)</f>
        <v>1.18558224</v>
      </c>
      <c r="K147" s="13" t="n">
        <f aca="false">H147+I147</f>
        <v>0.801</v>
      </c>
      <c r="L147" s="13" t="n">
        <f aca="false">MAX(0,D147-K147)</f>
        <v>0</v>
      </c>
      <c r="M147" s="13" t="n">
        <f aca="false">MAX(0,F147-I147-J147)</f>
        <v>0</v>
      </c>
      <c r="N147" s="13" t="n">
        <f aca="false">IF(Kalender!A147="",0,J146-H147)</f>
        <v>0.01206576</v>
      </c>
    </row>
    <row r="148" customFormat="false" ht="16.4" hidden="false" customHeight="false" outlineLevel="0" collapsed="false">
      <c r="A148" s="13" t="str">
        <f aca="false">""</f>
        <v/>
      </c>
      <c r="B148" s="13" t="n">
        <f aca="false">144</f>
        <v>144</v>
      </c>
      <c r="C148" s="13" t="n">
        <f aca="false">IF(Szenarien!$H$8="OK",(IFERROR(SUMIF(Nutzungsprofile!$B$6:$B$11,"Schulbetrieb",Nutzungsprofile!$G$6:$G$11)*Kalender!C148/SUM(Kalender!$C$5:$C$370),0)+IFERROR(SUMIF(Nutzungsprofile!$B$6:$B$11,"Halle",Nutzungsprofile!$G$6:$G$11)*Kalender!D148/SUM(Kalender!$D$5:$D$370),0)+IFERROR(SUMIF(Nutzungsprofile!$B$6:$B$11,"Individuell",Nutzungsprofile!$G$6:$G$11)*Kalender!E148/SUM(Kalender!$E$5:$E$370),0))*Szenarien!$E$8,0)</f>
        <v>1.632</v>
      </c>
      <c r="D148" s="13" t="n">
        <f aca="false">IF(Szenarien!$H$8="OK",(IFERROR(SUMIF(Nutzungsprofile!$B$17:$B$22,"Schulbetrieb",Nutzungsprofile!$G$17:$G$22)*Kalender!C148/SUM(Kalender!$C$5:$C$370),0)+IFERROR(SUMIF(Nutzungsprofile!$B$17:$B$22,"Halle",Nutzungsprofile!$G$17:$G$22)*Kalender!D148/SUM(Kalender!$D$5:$D$370),0)+IFERROR(SUMIF(Nutzungsprofile!$B$17:$B$22,"Individuell",Nutzungsprofile!$G$17:$G$22)*Kalender!E148/SUM(Kalender!$E$5:$E$370),0))*Szenarien!$D$8,0)</f>
        <v>0.801</v>
      </c>
      <c r="E148" s="13" t="n">
        <f aca="false">IFERROR(MIN(C148,Eingaben!$B$17)*Eingaben!$B$16,0)</f>
        <v>1.5504</v>
      </c>
      <c r="F148" s="13" t="n">
        <f aca="false">IFERROR(E148*Eingaben!$B$15,0)</f>
        <v>1.39536</v>
      </c>
      <c r="G148" s="13" t="n">
        <f aca="false">IFERROR(IF(Kalender!A148="",0,J147*(1-Eingaben!$B$20)),0)</f>
        <v>1.1618705952</v>
      </c>
      <c r="H148" s="13" t="n">
        <f aca="false">MIN(G148,D148)</f>
        <v>0.801</v>
      </c>
      <c r="I148" s="13" t="n">
        <f aca="false">IFERROR(MIN(F148*Eingaben!$B$19,MAX(0,D148-H148)),0)</f>
        <v>0</v>
      </c>
      <c r="J148" s="13" t="n">
        <f aca="false">IFERROR(MIN(Eingaben!$B$18,MAX(0,F148-I148)),0)</f>
        <v>1.39536</v>
      </c>
      <c r="K148" s="13" t="n">
        <f aca="false">H148+I148</f>
        <v>0.801</v>
      </c>
      <c r="L148" s="13" t="n">
        <f aca="false">MAX(0,D148-K148)</f>
        <v>0</v>
      </c>
      <c r="M148" s="13" t="n">
        <f aca="false">MAX(0,F148-I148-J148)</f>
        <v>0</v>
      </c>
      <c r="N148" s="13" t="n">
        <f aca="false">IF(Kalender!A148="",0,J147-H148)</f>
        <v>0.38458224</v>
      </c>
    </row>
    <row r="149" customFormat="false" ht="16.4" hidden="false" customHeight="false" outlineLevel="0" collapsed="false">
      <c r="A149" s="13" t="str">
        <f aca="false">""</f>
        <v/>
      </c>
      <c r="B149" s="13" t="n">
        <f aca="false">145</f>
        <v>145</v>
      </c>
      <c r="C149" s="13" t="n">
        <f aca="false">IF(Szenarien!$H$8="OK",(IFERROR(SUMIF(Nutzungsprofile!$B$6:$B$11,"Schulbetrieb",Nutzungsprofile!$G$6:$G$11)*Kalender!C149/SUM(Kalender!$C$5:$C$370),0)+IFERROR(SUMIF(Nutzungsprofile!$B$6:$B$11,"Halle",Nutzungsprofile!$G$6:$G$11)*Kalender!D149/SUM(Kalender!$D$5:$D$370),0)+IFERROR(SUMIF(Nutzungsprofile!$B$6:$B$11,"Individuell",Nutzungsprofile!$G$6:$G$11)*Kalender!E149/SUM(Kalender!$E$5:$E$370),0))*Szenarien!$E$8,0)</f>
        <v>2.352</v>
      </c>
      <c r="D149" s="13" t="n">
        <f aca="false">IF(Szenarien!$H$8="OK",(IFERROR(SUMIF(Nutzungsprofile!$B$17:$B$22,"Schulbetrieb",Nutzungsprofile!$G$17:$G$22)*Kalender!C149/SUM(Kalender!$C$5:$C$370),0)+IFERROR(SUMIF(Nutzungsprofile!$B$17:$B$22,"Halle",Nutzungsprofile!$G$17:$G$22)*Kalender!D149/SUM(Kalender!$D$5:$D$370),0)+IFERROR(SUMIF(Nutzungsprofile!$B$17:$B$22,"Individuell",Nutzungsprofile!$G$17:$G$22)*Kalender!E149/SUM(Kalender!$E$5:$E$370),0))*Szenarien!$D$8,0)</f>
        <v>4.446</v>
      </c>
      <c r="E149" s="13" t="n">
        <f aca="false">IFERROR(MIN(C149,Eingaben!$B$17)*Eingaben!$B$16,0)</f>
        <v>2.2344</v>
      </c>
      <c r="F149" s="13" t="n">
        <f aca="false">IFERROR(E149*Eingaben!$B$15,0)</f>
        <v>2.01096</v>
      </c>
      <c r="G149" s="13" t="n">
        <f aca="false">IFERROR(IF(Kalender!A149="",0,J148*(1-Eingaben!$B$20)),0)</f>
        <v>1.3674528</v>
      </c>
      <c r="H149" s="13" t="n">
        <f aca="false">MIN(G149,D149)</f>
        <v>1.3674528</v>
      </c>
      <c r="I149" s="13" t="n">
        <f aca="false">IFERROR(MIN(F149*Eingaben!$B$19,MAX(0,D149-H149)),0)</f>
        <v>1.407672</v>
      </c>
      <c r="J149" s="13" t="n">
        <f aca="false">IFERROR(MIN(Eingaben!$B$18,MAX(0,F149-I149)),0)</f>
        <v>0.603288</v>
      </c>
      <c r="K149" s="13" t="n">
        <f aca="false">H149+I149</f>
        <v>2.7751248</v>
      </c>
      <c r="L149" s="13" t="n">
        <f aca="false">MAX(0,D149-K149)</f>
        <v>1.6708752</v>
      </c>
      <c r="M149" s="13" t="n">
        <f aca="false">MAX(0,F149-I149-J149)</f>
        <v>0</v>
      </c>
      <c r="N149" s="13" t="n">
        <f aca="false">IF(Kalender!A149="",0,J148-H149)</f>
        <v>0.0279072</v>
      </c>
    </row>
    <row r="150" customFormat="false" ht="16.4" hidden="false" customHeight="false" outlineLevel="0" collapsed="false">
      <c r="A150" s="13" t="str">
        <f aca="false">""</f>
        <v/>
      </c>
      <c r="B150" s="13" t="n">
        <f aca="false">146</f>
        <v>146</v>
      </c>
      <c r="C150" s="13" t="n">
        <f aca="false">IF(Szenarien!$H$8="OK",(IFERROR(SUMIF(Nutzungsprofile!$B$6:$B$11,"Schulbetrieb",Nutzungsprofile!$G$6:$G$11)*Kalender!C150/SUM(Kalender!$C$5:$C$370),0)+IFERROR(SUMIF(Nutzungsprofile!$B$6:$B$11,"Halle",Nutzungsprofile!$G$6:$G$11)*Kalender!D150/SUM(Kalender!$D$5:$D$370),0)+IFERROR(SUMIF(Nutzungsprofile!$B$6:$B$11,"Individuell",Nutzungsprofile!$G$6:$G$11)*Kalender!E150/SUM(Kalender!$E$5:$E$370),0))*Szenarien!$E$8,0)</f>
        <v>2.352</v>
      </c>
      <c r="D150" s="13" t="n">
        <f aca="false">IF(Szenarien!$H$8="OK",(IFERROR(SUMIF(Nutzungsprofile!$B$17:$B$22,"Schulbetrieb",Nutzungsprofile!$G$17:$G$22)*Kalender!C150/SUM(Kalender!$C$5:$C$370),0)+IFERROR(SUMIF(Nutzungsprofile!$B$17:$B$22,"Halle",Nutzungsprofile!$G$17:$G$22)*Kalender!D150/SUM(Kalender!$D$5:$D$370),0)+IFERROR(SUMIF(Nutzungsprofile!$B$17:$B$22,"Individuell",Nutzungsprofile!$G$17:$G$22)*Kalender!E150/SUM(Kalender!$E$5:$E$370),0))*Szenarien!$D$8,0)</f>
        <v>4.446</v>
      </c>
      <c r="E150" s="13" t="n">
        <f aca="false">IFERROR(MIN(C150,Eingaben!$B$17)*Eingaben!$B$16,0)</f>
        <v>2.2344</v>
      </c>
      <c r="F150" s="13" t="n">
        <f aca="false">IFERROR(E150*Eingaben!$B$15,0)</f>
        <v>2.01096</v>
      </c>
      <c r="G150" s="13" t="n">
        <f aca="false">IFERROR(IF(Kalender!A150="",0,J149*(1-Eingaben!$B$20)),0)</f>
        <v>0.59122224</v>
      </c>
      <c r="H150" s="13" t="n">
        <f aca="false">MIN(G150,D150)</f>
        <v>0.59122224</v>
      </c>
      <c r="I150" s="13" t="n">
        <f aca="false">IFERROR(MIN(F150*Eingaben!$B$19,MAX(0,D150-H150)),0)</f>
        <v>1.407672</v>
      </c>
      <c r="J150" s="13" t="n">
        <f aca="false">IFERROR(MIN(Eingaben!$B$18,MAX(0,F150-I150)),0)</f>
        <v>0.603288</v>
      </c>
      <c r="K150" s="13" t="n">
        <f aca="false">H150+I150</f>
        <v>1.99889424</v>
      </c>
      <c r="L150" s="13" t="n">
        <f aca="false">MAX(0,D150-K150)</f>
        <v>2.44710576</v>
      </c>
      <c r="M150" s="13" t="n">
        <f aca="false">MAX(0,F150-I150-J150)</f>
        <v>0</v>
      </c>
      <c r="N150" s="13" t="n">
        <f aca="false">IF(Kalender!A150="",0,J149-H150)</f>
        <v>0.01206576</v>
      </c>
    </row>
    <row r="151" customFormat="false" ht="16.4" hidden="false" customHeight="false" outlineLevel="0" collapsed="false">
      <c r="A151" s="13" t="str">
        <f aca="false">""</f>
        <v/>
      </c>
      <c r="B151" s="13" t="n">
        <f aca="false">147</f>
        <v>147</v>
      </c>
      <c r="C151" s="13" t="n">
        <f aca="false">IF(Szenarien!$H$8="OK",(IFERROR(SUMIF(Nutzungsprofile!$B$6:$B$11,"Schulbetrieb",Nutzungsprofile!$G$6:$G$11)*Kalender!C151/SUM(Kalender!$C$5:$C$370),0)+IFERROR(SUMIF(Nutzungsprofile!$B$6:$B$11,"Halle",Nutzungsprofile!$G$6:$G$11)*Kalender!D151/SUM(Kalender!$D$5:$D$370),0)+IFERROR(SUMIF(Nutzungsprofile!$B$6:$B$11,"Individuell",Nutzungsprofile!$G$6:$G$11)*Kalender!E151/SUM(Kalender!$E$5:$E$370),0))*Szenarien!$E$8,0)</f>
        <v>2.352</v>
      </c>
      <c r="D151" s="13" t="n">
        <f aca="false">IF(Szenarien!$H$8="OK",(IFERROR(SUMIF(Nutzungsprofile!$B$17:$B$22,"Schulbetrieb",Nutzungsprofile!$G$17:$G$22)*Kalender!C151/SUM(Kalender!$C$5:$C$370),0)+IFERROR(SUMIF(Nutzungsprofile!$B$17:$B$22,"Halle",Nutzungsprofile!$G$17:$G$22)*Kalender!D151/SUM(Kalender!$D$5:$D$370),0)+IFERROR(SUMIF(Nutzungsprofile!$B$17:$B$22,"Individuell",Nutzungsprofile!$G$17:$G$22)*Kalender!E151/SUM(Kalender!$E$5:$E$370),0))*Szenarien!$D$8,0)</f>
        <v>4.446</v>
      </c>
      <c r="E151" s="13" t="n">
        <f aca="false">IFERROR(MIN(C151,Eingaben!$B$17)*Eingaben!$B$16,0)</f>
        <v>2.2344</v>
      </c>
      <c r="F151" s="13" t="n">
        <f aca="false">IFERROR(E151*Eingaben!$B$15,0)</f>
        <v>2.01096</v>
      </c>
      <c r="G151" s="13" t="n">
        <f aca="false">IFERROR(IF(Kalender!A151="",0,J150*(1-Eingaben!$B$20)),0)</f>
        <v>0.59122224</v>
      </c>
      <c r="H151" s="13" t="n">
        <f aca="false">MIN(G151,D151)</f>
        <v>0.59122224</v>
      </c>
      <c r="I151" s="13" t="n">
        <f aca="false">IFERROR(MIN(F151*Eingaben!$B$19,MAX(0,D151-H151)),0)</f>
        <v>1.407672</v>
      </c>
      <c r="J151" s="13" t="n">
        <f aca="false">IFERROR(MIN(Eingaben!$B$18,MAX(0,F151-I151)),0)</f>
        <v>0.603288</v>
      </c>
      <c r="K151" s="13" t="n">
        <f aca="false">H151+I151</f>
        <v>1.99889424</v>
      </c>
      <c r="L151" s="13" t="n">
        <f aca="false">MAX(0,D151-K151)</f>
        <v>2.44710576</v>
      </c>
      <c r="M151" s="13" t="n">
        <f aca="false">MAX(0,F151-I151-J151)</f>
        <v>0</v>
      </c>
      <c r="N151" s="13" t="n">
        <f aca="false">IF(Kalender!A151="",0,J150-H151)</f>
        <v>0.01206576</v>
      </c>
    </row>
    <row r="152" customFormat="false" ht="16.4" hidden="false" customHeight="false" outlineLevel="0" collapsed="false">
      <c r="A152" s="13" t="str">
        <f aca="false">""</f>
        <v/>
      </c>
      <c r="B152" s="13" t="n">
        <f aca="false">148</f>
        <v>148</v>
      </c>
      <c r="C152" s="13" t="n">
        <f aca="false">IF(Szenarien!$H$8="OK",(IFERROR(SUMIF(Nutzungsprofile!$B$6:$B$11,"Schulbetrieb",Nutzungsprofile!$G$6:$G$11)*Kalender!C152/SUM(Kalender!$C$5:$C$370),0)+IFERROR(SUMIF(Nutzungsprofile!$B$6:$B$11,"Halle",Nutzungsprofile!$G$6:$G$11)*Kalender!D152/SUM(Kalender!$D$5:$D$370),0)+IFERROR(SUMIF(Nutzungsprofile!$B$6:$B$11,"Individuell",Nutzungsprofile!$G$6:$G$11)*Kalender!E152/SUM(Kalender!$E$5:$E$370),0))*Szenarien!$E$8,0)</f>
        <v>2.352</v>
      </c>
      <c r="D152" s="13" t="n">
        <f aca="false">IF(Szenarien!$H$8="OK",(IFERROR(SUMIF(Nutzungsprofile!$B$17:$B$22,"Schulbetrieb",Nutzungsprofile!$G$17:$G$22)*Kalender!C152/SUM(Kalender!$C$5:$C$370),0)+IFERROR(SUMIF(Nutzungsprofile!$B$17:$B$22,"Halle",Nutzungsprofile!$G$17:$G$22)*Kalender!D152/SUM(Kalender!$D$5:$D$370),0)+IFERROR(SUMIF(Nutzungsprofile!$B$17:$B$22,"Individuell",Nutzungsprofile!$G$17:$G$22)*Kalender!E152/SUM(Kalender!$E$5:$E$370),0))*Szenarien!$D$8,0)</f>
        <v>4.446</v>
      </c>
      <c r="E152" s="13" t="n">
        <f aca="false">IFERROR(MIN(C152,Eingaben!$B$17)*Eingaben!$B$16,0)</f>
        <v>2.2344</v>
      </c>
      <c r="F152" s="13" t="n">
        <f aca="false">IFERROR(E152*Eingaben!$B$15,0)</f>
        <v>2.01096</v>
      </c>
      <c r="G152" s="13" t="n">
        <f aca="false">IFERROR(IF(Kalender!A152="",0,J151*(1-Eingaben!$B$20)),0)</f>
        <v>0.59122224</v>
      </c>
      <c r="H152" s="13" t="n">
        <f aca="false">MIN(G152,D152)</f>
        <v>0.59122224</v>
      </c>
      <c r="I152" s="13" t="n">
        <f aca="false">IFERROR(MIN(F152*Eingaben!$B$19,MAX(0,D152-H152)),0)</f>
        <v>1.407672</v>
      </c>
      <c r="J152" s="13" t="n">
        <f aca="false">IFERROR(MIN(Eingaben!$B$18,MAX(0,F152-I152)),0)</f>
        <v>0.603288</v>
      </c>
      <c r="K152" s="13" t="n">
        <f aca="false">H152+I152</f>
        <v>1.99889424</v>
      </c>
      <c r="L152" s="13" t="n">
        <f aca="false">MAX(0,D152-K152)</f>
        <v>2.44710576</v>
      </c>
      <c r="M152" s="13" t="n">
        <f aca="false">MAX(0,F152-I152-J152)</f>
        <v>0</v>
      </c>
      <c r="N152" s="13" t="n">
        <f aca="false">IF(Kalender!A152="",0,J151-H152)</f>
        <v>0.01206576</v>
      </c>
    </row>
    <row r="153" customFormat="false" ht="16.4" hidden="false" customHeight="false" outlineLevel="0" collapsed="false">
      <c r="A153" s="13" t="str">
        <f aca="false">""</f>
        <v/>
      </c>
      <c r="B153" s="13" t="n">
        <f aca="false">149</f>
        <v>149</v>
      </c>
      <c r="C153" s="13" t="n">
        <f aca="false">IF(Szenarien!$H$8="OK",(IFERROR(SUMIF(Nutzungsprofile!$B$6:$B$11,"Schulbetrieb",Nutzungsprofile!$G$6:$G$11)*Kalender!C153/SUM(Kalender!$C$5:$C$370),0)+IFERROR(SUMIF(Nutzungsprofile!$B$6:$B$11,"Halle",Nutzungsprofile!$G$6:$G$11)*Kalender!D153/SUM(Kalender!$D$5:$D$370),0)+IFERROR(SUMIF(Nutzungsprofile!$B$6:$B$11,"Individuell",Nutzungsprofile!$G$6:$G$11)*Kalender!E153/SUM(Kalender!$E$5:$E$370),0))*Szenarien!$E$8,0)</f>
        <v>2.352</v>
      </c>
      <c r="D153" s="13" t="n">
        <f aca="false">IF(Szenarien!$H$8="OK",(IFERROR(SUMIF(Nutzungsprofile!$B$17:$B$22,"Schulbetrieb",Nutzungsprofile!$G$17:$G$22)*Kalender!C153/SUM(Kalender!$C$5:$C$370),0)+IFERROR(SUMIF(Nutzungsprofile!$B$17:$B$22,"Halle",Nutzungsprofile!$G$17:$G$22)*Kalender!D153/SUM(Kalender!$D$5:$D$370),0)+IFERROR(SUMIF(Nutzungsprofile!$B$17:$B$22,"Individuell",Nutzungsprofile!$G$17:$G$22)*Kalender!E153/SUM(Kalender!$E$5:$E$370),0))*Szenarien!$D$8,0)</f>
        <v>4.446</v>
      </c>
      <c r="E153" s="13" t="n">
        <f aca="false">IFERROR(MIN(C153,Eingaben!$B$17)*Eingaben!$B$16,0)</f>
        <v>2.2344</v>
      </c>
      <c r="F153" s="13" t="n">
        <f aca="false">IFERROR(E153*Eingaben!$B$15,0)</f>
        <v>2.01096</v>
      </c>
      <c r="G153" s="13" t="n">
        <f aca="false">IFERROR(IF(Kalender!A153="",0,J152*(1-Eingaben!$B$20)),0)</f>
        <v>0.59122224</v>
      </c>
      <c r="H153" s="13" t="n">
        <f aca="false">MIN(G153,D153)</f>
        <v>0.59122224</v>
      </c>
      <c r="I153" s="13" t="n">
        <f aca="false">IFERROR(MIN(F153*Eingaben!$B$19,MAX(0,D153-H153)),0)</f>
        <v>1.407672</v>
      </c>
      <c r="J153" s="13" t="n">
        <f aca="false">IFERROR(MIN(Eingaben!$B$18,MAX(0,F153-I153)),0)</f>
        <v>0.603288</v>
      </c>
      <c r="K153" s="13" t="n">
        <f aca="false">H153+I153</f>
        <v>1.99889424</v>
      </c>
      <c r="L153" s="13" t="n">
        <f aca="false">MAX(0,D153-K153)</f>
        <v>2.44710576</v>
      </c>
      <c r="M153" s="13" t="n">
        <f aca="false">MAX(0,F153-I153-J153)</f>
        <v>0</v>
      </c>
      <c r="N153" s="13" t="n">
        <f aca="false">IF(Kalender!A153="",0,J152-H153)</f>
        <v>0.01206576</v>
      </c>
    </row>
    <row r="154" customFormat="false" ht="16.4" hidden="false" customHeight="false" outlineLevel="0" collapsed="false">
      <c r="A154" s="13" t="str">
        <f aca="false">""</f>
        <v/>
      </c>
      <c r="B154" s="13" t="n">
        <f aca="false">150</f>
        <v>150</v>
      </c>
      <c r="C154" s="13" t="n">
        <f aca="false">IF(Szenarien!$H$8="OK",(IFERROR(SUMIF(Nutzungsprofile!$B$6:$B$11,"Schulbetrieb",Nutzungsprofile!$G$6:$G$11)*Kalender!C154/SUM(Kalender!$C$5:$C$370),0)+IFERROR(SUMIF(Nutzungsprofile!$B$6:$B$11,"Halle",Nutzungsprofile!$G$6:$G$11)*Kalender!D154/SUM(Kalender!$D$5:$D$370),0)+IFERROR(SUMIF(Nutzungsprofile!$B$6:$B$11,"Individuell",Nutzungsprofile!$G$6:$G$11)*Kalender!E154/SUM(Kalender!$E$5:$E$370),0))*Szenarien!$E$8,0)</f>
        <v>1.632</v>
      </c>
      <c r="D154" s="13" t="n">
        <f aca="false">IF(Szenarien!$H$8="OK",(IFERROR(SUMIF(Nutzungsprofile!$B$17:$B$22,"Schulbetrieb",Nutzungsprofile!$G$17:$G$22)*Kalender!C154/SUM(Kalender!$C$5:$C$370),0)+IFERROR(SUMIF(Nutzungsprofile!$B$17:$B$22,"Halle",Nutzungsprofile!$G$17:$G$22)*Kalender!D154/SUM(Kalender!$D$5:$D$370),0)+IFERROR(SUMIF(Nutzungsprofile!$B$17:$B$22,"Individuell",Nutzungsprofile!$G$17:$G$22)*Kalender!E154/SUM(Kalender!$E$5:$E$370),0))*Szenarien!$D$8,0)</f>
        <v>0.801</v>
      </c>
      <c r="E154" s="13" t="n">
        <f aca="false">IFERROR(MIN(C154,Eingaben!$B$17)*Eingaben!$B$16,0)</f>
        <v>1.5504</v>
      </c>
      <c r="F154" s="13" t="n">
        <f aca="false">IFERROR(E154*Eingaben!$B$15,0)</f>
        <v>1.39536</v>
      </c>
      <c r="G154" s="13" t="n">
        <f aca="false">IFERROR(IF(Kalender!A154="",0,J153*(1-Eingaben!$B$20)),0)</f>
        <v>0.59122224</v>
      </c>
      <c r="H154" s="13" t="n">
        <f aca="false">MIN(G154,D154)</f>
        <v>0.59122224</v>
      </c>
      <c r="I154" s="13" t="n">
        <f aca="false">IFERROR(MIN(F154*Eingaben!$B$19,MAX(0,D154-H154)),0)</f>
        <v>0.20977776</v>
      </c>
      <c r="J154" s="13" t="n">
        <f aca="false">IFERROR(MIN(Eingaben!$B$18,MAX(0,F154-I154)),0)</f>
        <v>1.18558224</v>
      </c>
      <c r="K154" s="13" t="n">
        <f aca="false">H154+I154</f>
        <v>0.801</v>
      </c>
      <c r="L154" s="13" t="n">
        <f aca="false">MAX(0,D154-K154)</f>
        <v>0</v>
      </c>
      <c r="M154" s="13" t="n">
        <f aca="false">MAX(0,F154-I154-J154)</f>
        <v>0</v>
      </c>
      <c r="N154" s="13" t="n">
        <f aca="false">IF(Kalender!A154="",0,J153-H154)</f>
        <v>0.01206576</v>
      </c>
    </row>
    <row r="155" customFormat="false" ht="16.4" hidden="false" customHeight="false" outlineLevel="0" collapsed="false">
      <c r="A155" s="13" t="str">
        <f aca="false">""</f>
        <v/>
      </c>
      <c r="B155" s="13" t="n">
        <f aca="false">151</f>
        <v>151</v>
      </c>
      <c r="C155" s="13" t="n">
        <f aca="false">IF(Szenarien!$H$8="OK",(IFERROR(SUMIF(Nutzungsprofile!$B$6:$B$11,"Schulbetrieb",Nutzungsprofile!$G$6:$G$11)*Kalender!C155/SUM(Kalender!$C$5:$C$370),0)+IFERROR(SUMIF(Nutzungsprofile!$B$6:$B$11,"Halle",Nutzungsprofile!$G$6:$G$11)*Kalender!D155/SUM(Kalender!$D$5:$D$370),0)+IFERROR(SUMIF(Nutzungsprofile!$B$6:$B$11,"Individuell",Nutzungsprofile!$G$6:$G$11)*Kalender!E155/SUM(Kalender!$E$5:$E$370),0))*Szenarien!$E$8,0)</f>
        <v>1.632</v>
      </c>
      <c r="D155" s="13" t="n">
        <f aca="false">IF(Szenarien!$H$8="OK",(IFERROR(SUMIF(Nutzungsprofile!$B$17:$B$22,"Schulbetrieb",Nutzungsprofile!$G$17:$G$22)*Kalender!C155/SUM(Kalender!$C$5:$C$370),0)+IFERROR(SUMIF(Nutzungsprofile!$B$17:$B$22,"Halle",Nutzungsprofile!$G$17:$G$22)*Kalender!D155/SUM(Kalender!$D$5:$D$370),0)+IFERROR(SUMIF(Nutzungsprofile!$B$17:$B$22,"Individuell",Nutzungsprofile!$G$17:$G$22)*Kalender!E155/SUM(Kalender!$E$5:$E$370),0))*Szenarien!$D$8,0)</f>
        <v>0.801</v>
      </c>
      <c r="E155" s="13" t="n">
        <f aca="false">IFERROR(MIN(C155,Eingaben!$B$17)*Eingaben!$B$16,0)</f>
        <v>1.5504</v>
      </c>
      <c r="F155" s="13" t="n">
        <f aca="false">IFERROR(E155*Eingaben!$B$15,0)</f>
        <v>1.39536</v>
      </c>
      <c r="G155" s="13" t="n">
        <f aca="false">IFERROR(IF(Kalender!A155="",0,J154*(1-Eingaben!$B$20)),0)</f>
        <v>1.1618705952</v>
      </c>
      <c r="H155" s="13" t="n">
        <f aca="false">MIN(G155,D155)</f>
        <v>0.801</v>
      </c>
      <c r="I155" s="13" t="n">
        <f aca="false">IFERROR(MIN(F155*Eingaben!$B$19,MAX(0,D155-H155)),0)</f>
        <v>0</v>
      </c>
      <c r="J155" s="13" t="n">
        <f aca="false">IFERROR(MIN(Eingaben!$B$18,MAX(0,F155-I155)),0)</f>
        <v>1.39536</v>
      </c>
      <c r="K155" s="13" t="n">
        <f aca="false">H155+I155</f>
        <v>0.801</v>
      </c>
      <c r="L155" s="13" t="n">
        <f aca="false">MAX(0,D155-K155)</f>
        <v>0</v>
      </c>
      <c r="M155" s="13" t="n">
        <f aca="false">MAX(0,F155-I155-J155)</f>
        <v>0</v>
      </c>
      <c r="N155" s="13" t="n">
        <f aca="false">IF(Kalender!A155="",0,J154-H155)</f>
        <v>0.38458224</v>
      </c>
    </row>
    <row r="156" customFormat="false" ht="16.4" hidden="false" customHeight="false" outlineLevel="0" collapsed="false">
      <c r="A156" s="13" t="str">
        <f aca="false">""</f>
        <v/>
      </c>
      <c r="B156" s="13" t="n">
        <f aca="false">152</f>
        <v>152</v>
      </c>
      <c r="C156" s="13" t="n">
        <f aca="false">IF(Szenarien!$H$8="OK",(IFERROR(SUMIF(Nutzungsprofile!$B$6:$B$11,"Schulbetrieb",Nutzungsprofile!$G$6:$G$11)*Kalender!C156/SUM(Kalender!$C$5:$C$370),0)+IFERROR(SUMIF(Nutzungsprofile!$B$6:$B$11,"Halle",Nutzungsprofile!$G$6:$G$11)*Kalender!D156/SUM(Kalender!$D$5:$D$370),0)+IFERROR(SUMIF(Nutzungsprofile!$B$6:$B$11,"Individuell",Nutzungsprofile!$G$6:$G$11)*Kalender!E156/SUM(Kalender!$E$5:$E$370),0))*Szenarien!$E$8,0)</f>
        <v>2.352</v>
      </c>
      <c r="D156" s="13" t="n">
        <f aca="false">IF(Szenarien!$H$8="OK",(IFERROR(SUMIF(Nutzungsprofile!$B$17:$B$22,"Schulbetrieb",Nutzungsprofile!$G$17:$G$22)*Kalender!C156/SUM(Kalender!$C$5:$C$370),0)+IFERROR(SUMIF(Nutzungsprofile!$B$17:$B$22,"Halle",Nutzungsprofile!$G$17:$G$22)*Kalender!D156/SUM(Kalender!$D$5:$D$370),0)+IFERROR(SUMIF(Nutzungsprofile!$B$17:$B$22,"Individuell",Nutzungsprofile!$G$17:$G$22)*Kalender!E156/SUM(Kalender!$E$5:$E$370),0))*Szenarien!$D$8,0)</f>
        <v>4.446</v>
      </c>
      <c r="E156" s="13" t="n">
        <f aca="false">IFERROR(MIN(C156,Eingaben!$B$17)*Eingaben!$B$16,0)</f>
        <v>2.2344</v>
      </c>
      <c r="F156" s="13" t="n">
        <f aca="false">IFERROR(E156*Eingaben!$B$15,0)</f>
        <v>2.01096</v>
      </c>
      <c r="G156" s="13" t="n">
        <f aca="false">IFERROR(IF(Kalender!A156="",0,J155*(1-Eingaben!$B$20)),0)</f>
        <v>1.3674528</v>
      </c>
      <c r="H156" s="13" t="n">
        <f aca="false">MIN(G156,D156)</f>
        <v>1.3674528</v>
      </c>
      <c r="I156" s="13" t="n">
        <f aca="false">IFERROR(MIN(F156*Eingaben!$B$19,MAX(0,D156-H156)),0)</f>
        <v>1.407672</v>
      </c>
      <c r="J156" s="13" t="n">
        <f aca="false">IFERROR(MIN(Eingaben!$B$18,MAX(0,F156-I156)),0)</f>
        <v>0.603288</v>
      </c>
      <c r="K156" s="13" t="n">
        <f aca="false">H156+I156</f>
        <v>2.7751248</v>
      </c>
      <c r="L156" s="13" t="n">
        <f aca="false">MAX(0,D156-K156)</f>
        <v>1.6708752</v>
      </c>
      <c r="M156" s="13" t="n">
        <f aca="false">MAX(0,F156-I156-J156)</f>
        <v>0</v>
      </c>
      <c r="N156" s="13" t="n">
        <f aca="false">IF(Kalender!A156="",0,J155-H156)</f>
        <v>0.0279072</v>
      </c>
    </row>
    <row r="157" customFormat="false" ht="16.4" hidden="false" customHeight="false" outlineLevel="0" collapsed="false">
      <c r="A157" s="13" t="str">
        <f aca="false">""</f>
        <v/>
      </c>
      <c r="B157" s="13" t="n">
        <f aca="false">153</f>
        <v>153</v>
      </c>
      <c r="C157" s="13" t="n">
        <f aca="false">IF(Szenarien!$H$8="OK",(IFERROR(SUMIF(Nutzungsprofile!$B$6:$B$11,"Schulbetrieb",Nutzungsprofile!$G$6:$G$11)*Kalender!C157/SUM(Kalender!$C$5:$C$370),0)+IFERROR(SUMIF(Nutzungsprofile!$B$6:$B$11,"Halle",Nutzungsprofile!$G$6:$G$11)*Kalender!D157/SUM(Kalender!$D$5:$D$370),0)+IFERROR(SUMIF(Nutzungsprofile!$B$6:$B$11,"Individuell",Nutzungsprofile!$G$6:$G$11)*Kalender!E157/SUM(Kalender!$E$5:$E$370),0))*Szenarien!$E$8,0)</f>
        <v>2.352</v>
      </c>
      <c r="D157" s="13" t="n">
        <f aca="false">IF(Szenarien!$H$8="OK",(IFERROR(SUMIF(Nutzungsprofile!$B$17:$B$22,"Schulbetrieb",Nutzungsprofile!$G$17:$G$22)*Kalender!C157/SUM(Kalender!$C$5:$C$370),0)+IFERROR(SUMIF(Nutzungsprofile!$B$17:$B$22,"Halle",Nutzungsprofile!$G$17:$G$22)*Kalender!D157/SUM(Kalender!$D$5:$D$370),0)+IFERROR(SUMIF(Nutzungsprofile!$B$17:$B$22,"Individuell",Nutzungsprofile!$G$17:$G$22)*Kalender!E157/SUM(Kalender!$E$5:$E$370),0))*Szenarien!$D$8,0)</f>
        <v>4.446</v>
      </c>
      <c r="E157" s="13" t="n">
        <f aca="false">IFERROR(MIN(C157,Eingaben!$B$17)*Eingaben!$B$16,0)</f>
        <v>2.2344</v>
      </c>
      <c r="F157" s="13" t="n">
        <f aca="false">IFERROR(E157*Eingaben!$B$15,0)</f>
        <v>2.01096</v>
      </c>
      <c r="G157" s="13" t="n">
        <f aca="false">IFERROR(IF(Kalender!A157="",0,J156*(1-Eingaben!$B$20)),0)</f>
        <v>0.59122224</v>
      </c>
      <c r="H157" s="13" t="n">
        <f aca="false">MIN(G157,D157)</f>
        <v>0.59122224</v>
      </c>
      <c r="I157" s="13" t="n">
        <f aca="false">IFERROR(MIN(F157*Eingaben!$B$19,MAX(0,D157-H157)),0)</f>
        <v>1.407672</v>
      </c>
      <c r="J157" s="13" t="n">
        <f aca="false">IFERROR(MIN(Eingaben!$B$18,MAX(0,F157-I157)),0)</f>
        <v>0.603288</v>
      </c>
      <c r="K157" s="13" t="n">
        <f aca="false">H157+I157</f>
        <v>1.99889424</v>
      </c>
      <c r="L157" s="13" t="n">
        <f aca="false">MAX(0,D157-K157)</f>
        <v>2.44710576</v>
      </c>
      <c r="M157" s="13" t="n">
        <f aca="false">MAX(0,F157-I157-J157)</f>
        <v>0</v>
      </c>
      <c r="N157" s="13" t="n">
        <f aca="false">IF(Kalender!A157="",0,J156-H157)</f>
        <v>0.01206576</v>
      </c>
    </row>
    <row r="158" customFormat="false" ht="16.4" hidden="false" customHeight="false" outlineLevel="0" collapsed="false">
      <c r="A158" s="13" t="str">
        <f aca="false">""</f>
        <v/>
      </c>
      <c r="B158" s="13" t="n">
        <f aca="false">154</f>
        <v>154</v>
      </c>
      <c r="C158" s="13" t="n">
        <f aca="false">IF(Szenarien!$H$8="OK",(IFERROR(SUMIF(Nutzungsprofile!$B$6:$B$11,"Schulbetrieb",Nutzungsprofile!$G$6:$G$11)*Kalender!C158/SUM(Kalender!$C$5:$C$370),0)+IFERROR(SUMIF(Nutzungsprofile!$B$6:$B$11,"Halle",Nutzungsprofile!$G$6:$G$11)*Kalender!D158/SUM(Kalender!$D$5:$D$370),0)+IFERROR(SUMIF(Nutzungsprofile!$B$6:$B$11,"Individuell",Nutzungsprofile!$G$6:$G$11)*Kalender!E158/SUM(Kalender!$E$5:$E$370),0))*Szenarien!$E$8,0)</f>
        <v>2.352</v>
      </c>
      <c r="D158" s="13" t="n">
        <f aca="false">IF(Szenarien!$H$8="OK",(IFERROR(SUMIF(Nutzungsprofile!$B$17:$B$22,"Schulbetrieb",Nutzungsprofile!$G$17:$G$22)*Kalender!C158/SUM(Kalender!$C$5:$C$370),0)+IFERROR(SUMIF(Nutzungsprofile!$B$17:$B$22,"Halle",Nutzungsprofile!$G$17:$G$22)*Kalender!D158/SUM(Kalender!$D$5:$D$370),0)+IFERROR(SUMIF(Nutzungsprofile!$B$17:$B$22,"Individuell",Nutzungsprofile!$G$17:$G$22)*Kalender!E158/SUM(Kalender!$E$5:$E$370),0))*Szenarien!$D$8,0)</f>
        <v>4.446</v>
      </c>
      <c r="E158" s="13" t="n">
        <f aca="false">IFERROR(MIN(C158,Eingaben!$B$17)*Eingaben!$B$16,0)</f>
        <v>2.2344</v>
      </c>
      <c r="F158" s="13" t="n">
        <f aca="false">IFERROR(E158*Eingaben!$B$15,0)</f>
        <v>2.01096</v>
      </c>
      <c r="G158" s="13" t="n">
        <f aca="false">IFERROR(IF(Kalender!A158="",0,J157*(1-Eingaben!$B$20)),0)</f>
        <v>0.59122224</v>
      </c>
      <c r="H158" s="13" t="n">
        <f aca="false">MIN(G158,D158)</f>
        <v>0.59122224</v>
      </c>
      <c r="I158" s="13" t="n">
        <f aca="false">IFERROR(MIN(F158*Eingaben!$B$19,MAX(0,D158-H158)),0)</f>
        <v>1.407672</v>
      </c>
      <c r="J158" s="13" t="n">
        <f aca="false">IFERROR(MIN(Eingaben!$B$18,MAX(0,F158-I158)),0)</f>
        <v>0.603288</v>
      </c>
      <c r="K158" s="13" t="n">
        <f aca="false">H158+I158</f>
        <v>1.99889424</v>
      </c>
      <c r="L158" s="13" t="n">
        <f aca="false">MAX(0,D158-K158)</f>
        <v>2.44710576</v>
      </c>
      <c r="M158" s="13" t="n">
        <f aca="false">MAX(0,F158-I158-J158)</f>
        <v>0</v>
      </c>
      <c r="N158" s="13" t="n">
        <f aca="false">IF(Kalender!A158="",0,J157-H158)</f>
        <v>0.01206576</v>
      </c>
    </row>
    <row r="159" customFormat="false" ht="16.4" hidden="false" customHeight="false" outlineLevel="0" collapsed="false">
      <c r="A159" s="13" t="str">
        <f aca="false">""</f>
        <v/>
      </c>
      <c r="B159" s="13" t="n">
        <f aca="false">155</f>
        <v>155</v>
      </c>
      <c r="C159" s="13" t="n">
        <f aca="false">IF(Szenarien!$H$8="OK",(IFERROR(SUMIF(Nutzungsprofile!$B$6:$B$11,"Schulbetrieb",Nutzungsprofile!$G$6:$G$11)*Kalender!C159/SUM(Kalender!$C$5:$C$370),0)+IFERROR(SUMIF(Nutzungsprofile!$B$6:$B$11,"Halle",Nutzungsprofile!$G$6:$G$11)*Kalender!D159/SUM(Kalender!$D$5:$D$370),0)+IFERROR(SUMIF(Nutzungsprofile!$B$6:$B$11,"Individuell",Nutzungsprofile!$G$6:$G$11)*Kalender!E159/SUM(Kalender!$E$5:$E$370),0))*Szenarien!$E$8,0)</f>
        <v>2.352</v>
      </c>
      <c r="D159" s="13" t="n">
        <f aca="false">IF(Szenarien!$H$8="OK",(IFERROR(SUMIF(Nutzungsprofile!$B$17:$B$22,"Schulbetrieb",Nutzungsprofile!$G$17:$G$22)*Kalender!C159/SUM(Kalender!$C$5:$C$370),0)+IFERROR(SUMIF(Nutzungsprofile!$B$17:$B$22,"Halle",Nutzungsprofile!$G$17:$G$22)*Kalender!D159/SUM(Kalender!$D$5:$D$370),0)+IFERROR(SUMIF(Nutzungsprofile!$B$17:$B$22,"Individuell",Nutzungsprofile!$G$17:$G$22)*Kalender!E159/SUM(Kalender!$E$5:$E$370),0))*Szenarien!$D$8,0)</f>
        <v>4.446</v>
      </c>
      <c r="E159" s="13" t="n">
        <f aca="false">IFERROR(MIN(C159,Eingaben!$B$17)*Eingaben!$B$16,0)</f>
        <v>2.2344</v>
      </c>
      <c r="F159" s="13" t="n">
        <f aca="false">IFERROR(E159*Eingaben!$B$15,0)</f>
        <v>2.01096</v>
      </c>
      <c r="G159" s="13" t="n">
        <f aca="false">IFERROR(IF(Kalender!A159="",0,J158*(1-Eingaben!$B$20)),0)</f>
        <v>0.59122224</v>
      </c>
      <c r="H159" s="13" t="n">
        <f aca="false">MIN(G159,D159)</f>
        <v>0.59122224</v>
      </c>
      <c r="I159" s="13" t="n">
        <f aca="false">IFERROR(MIN(F159*Eingaben!$B$19,MAX(0,D159-H159)),0)</f>
        <v>1.407672</v>
      </c>
      <c r="J159" s="13" t="n">
        <f aca="false">IFERROR(MIN(Eingaben!$B$18,MAX(0,F159-I159)),0)</f>
        <v>0.603288</v>
      </c>
      <c r="K159" s="13" t="n">
        <f aca="false">H159+I159</f>
        <v>1.99889424</v>
      </c>
      <c r="L159" s="13" t="n">
        <f aca="false">MAX(0,D159-K159)</f>
        <v>2.44710576</v>
      </c>
      <c r="M159" s="13" t="n">
        <f aca="false">MAX(0,F159-I159-J159)</f>
        <v>0</v>
      </c>
      <c r="N159" s="13" t="n">
        <f aca="false">IF(Kalender!A159="",0,J158-H159)</f>
        <v>0.01206576</v>
      </c>
    </row>
    <row r="160" customFormat="false" ht="16.4" hidden="false" customHeight="false" outlineLevel="0" collapsed="false">
      <c r="A160" s="13" t="str">
        <f aca="false">""</f>
        <v/>
      </c>
      <c r="B160" s="13" t="n">
        <f aca="false">156</f>
        <v>156</v>
      </c>
      <c r="C160" s="13" t="n">
        <f aca="false">IF(Szenarien!$H$8="OK",(IFERROR(SUMIF(Nutzungsprofile!$B$6:$B$11,"Schulbetrieb",Nutzungsprofile!$G$6:$G$11)*Kalender!C160/SUM(Kalender!$C$5:$C$370),0)+IFERROR(SUMIF(Nutzungsprofile!$B$6:$B$11,"Halle",Nutzungsprofile!$G$6:$G$11)*Kalender!D160/SUM(Kalender!$D$5:$D$370),0)+IFERROR(SUMIF(Nutzungsprofile!$B$6:$B$11,"Individuell",Nutzungsprofile!$G$6:$G$11)*Kalender!E160/SUM(Kalender!$E$5:$E$370),0))*Szenarien!$E$8,0)</f>
        <v>2.352</v>
      </c>
      <c r="D160" s="13" t="n">
        <f aca="false">IF(Szenarien!$H$8="OK",(IFERROR(SUMIF(Nutzungsprofile!$B$17:$B$22,"Schulbetrieb",Nutzungsprofile!$G$17:$G$22)*Kalender!C160/SUM(Kalender!$C$5:$C$370),0)+IFERROR(SUMIF(Nutzungsprofile!$B$17:$B$22,"Halle",Nutzungsprofile!$G$17:$G$22)*Kalender!D160/SUM(Kalender!$D$5:$D$370),0)+IFERROR(SUMIF(Nutzungsprofile!$B$17:$B$22,"Individuell",Nutzungsprofile!$G$17:$G$22)*Kalender!E160/SUM(Kalender!$E$5:$E$370),0))*Szenarien!$D$8,0)</f>
        <v>4.446</v>
      </c>
      <c r="E160" s="13" t="n">
        <f aca="false">IFERROR(MIN(C160,Eingaben!$B$17)*Eingaben!$B$16,0)</f>
        <v>2.2344</v>
      </c>
      <c r="F160" s="13" t="n">
        <f aca="false">IFERROR(E160*Eingaben!$B$15,0)</f>
        <v>2.01096</v>
      </c>
      <c r="G160" s="13" t="n">
        <f aca="false">IFERROR(IF(Kalender!A160="",0,J159*(1-Eingaben!$B$20)),0)</f>
        <v>0.59122224</v>
      </c>
      <c r="H160" s="13" t="n">
        <f aca="false">MIN(G160,D160)</f>
        <v>0.59122224</v>
      </c>
      <c r="I160" s="13" t="n">
        <f aca="false">IFERROR(MIN(F160*Eingaben!$B$19,MAX(0,D160-H160)),0)</f>
        <v>1.407672</v>
      </c>
      <c r="J160" s="13" t="n">
        <f aca="false">IFERROR(MIN(Eingaben!$B$18,MAX(0,F160-I160)),0)</f>
        <v>0.603288</v>
      </c>
      <c r="K160" s="13" t="n">
        <f aca="false">H160+I160</f>
        <v>1.99889424</v>
      </c>
      <c r="L160" s="13" t="n">
        <f aca="false">MAX(0,D160-K160)</f>
        <v>2.44710576</v>
      </c>
      <c r="M160" s="13" t="n">
        <f aca="false">MAX(0,F160-I160-J160)</f>
        <v>0</v>
      </c>
      <c r="N160" s="13" t="n">
        <f aca="false">IF(Kalender!A160="",0,J159-H160)</f>
        <v>0.01206576</v>
      </c>
    </row>
    <row r="161" customFormat="false" ht="16.4" hidden="false" customHeight="false" outlineLevel="0" collapsed="false">
      <c r="A161" s="13" t="str">
        <f aca="false">""</f>
        <v/>
      </c>
      <c r="B161" s="13" t="n">
        <f aca="false">157</f>
        <v>157</v>
      </c>
      <c r="C161" s="13" t="n">
        <f aca="false">IF(Szenarien!$H$8="OK",(IFERROR(SUMIF(Nutzungsprofile!$B$6:$B$11,"Schulbetrieb",Nutzungsprofile!$G$6:$G$11)*Kalender!C161/SUM(Kalender!$C$5:$C$370),0)+IFERROR(SUMIF(Nutzungsprofile!$B$6:$B$11,"Halle",Nutzungsprofile!$G$6:$G$11)*Kalender!D161/SUM(Kalender!$D$5:$D$370),0)+IFERROR(SUMIF(Nutzungsprofile!$B$6:$B$11,"Individuell",Nutzungsprofile!$G$6:$G$11)*Kalender!E161/SUM(Kalender!$E$5:$E$370),0))*Szenarien!$E$8,0)</f>
        <v>1.632</v>
      </c>
      <c r="D161" s="13" t="n">
        <f aca="false">IF(Szenarien!$H$8="OK",(IFERROR(SUMIF(Nutzungsprofile!$B$17:$B$22,"Schulbetrieb",Nutzungsprofile!$G$17:$G$22)*Kalender!C161/SUM(Kalender!$C$5:$C$370),0)+IFERROR(SUMIF(Nutzungsprofile!$B$17:$B$22,"Halle",Nutzungsprofile!$G$17:$G$22)*Kalender!D161/SUM(Kalender!$D$5:$D$370),0)+IFERROR(SUMIF(Nutzungsprofile!$B$17:$B$22,"Individuell",Nutzungsprofile!$G$17:$G$22)*Kalender!E161/SUM(Kalender!$E$5:$E$370),0))*Szenarien!$D$8,0)</f>
        <v>0.801</v>
      </c>
      <c r="E161" s="13" t="n">
        <f aca="false">IFERROR(MIN(C161,Eingaben!$B$17)*Eingaben!$B$16,0)</f>
        <v>1.5504</v>
      </c>
      <c r="F161" s="13" t="n">
        <f aca="false">IFERROR(E161*Eingaben!$B$15,0)</f>
        <v>1.39536</v>
      </c>
      <c r="G161" s="13" t="n">
        <f aca="false">IFERROR(IF(Kalender!A161="",0,J160*(1-Eingaben!$B$20)),0)</f>
        <v>0.59122224</v>
      </c>
      <c r="H161" s="13" t="n">
        <f aca="false">MIN(G161,D161)</f>
        <v>0.59122224</v>
      </c>
      <c r="I161" s="13" t="n">
        <f aca="false">IFERROR(MIN(F161*Eingaben!$B$19,MAX(0,D161-H161)),0)</f>
        <v>0.20977776</v>
      </c>
      <c r="J161" s="13" t="n">
        <f aca="false">IFERROR(MIN(Eingaben!$B$18,MAX(0,F161-I161)),0)</f>
        <v>1.18558224</v>
      </c>
      <c r="K161" s="13" t="n">
        <f aca="false">H161+I161</f>
        <v>0.801</v>
      </c>
      <c r="L161" s="13" t="n">
        <f aca="false">MAX(0,D161-K161)</f>
        <v>0</v>
      </c>
      <c r="M161" s="13" t="n">
        <f aca="false">MAX(0,F161-I161-J161)</f>
        <v>0</v>
      </c>
      <c r="N161" s="13" t="n">
        <f aca="false">IF(Kalender!A161="",0,J160-H161)</f>
        <v>0.01206576</v>
      </c>
    </row>
    <row r="162" customFormat="false" ht="16.4" hidden="false" customHeight="false" outlineLevel="0" collapsed="false">
      <c r="A162" s="13" t="str">
        <f aca="false">""</f>
        <v/>
      </c>
      <c r="B162" s="13" t="n">
        <f aca="false">158</f>
        <v>158</v>
      </c>
      <c r="C162" s="13" t="n">
        <f aca="false">IF(Szenarien!$H$8="OK",(IFERROR(SUMIF(Nutzungsprofile!$B$6:$B$11,"Schulbetrieb",Nutzungsprofile!$G$6:$G$11)*Kalender!C162/SUM(Kalender!$C$5:$C$370),0)+IFERROR(SUMIF(Nutzungsprofile!$B$6:$B$11,"Halle",Nutzungsprofile!$G$6:$G$11)*Kalender!D162/SUM(Kalender!$D$5:$D$370),0)+IFERROR(SUMIF(Nutzungsprofile!$B$6:$B$11,"Individuell",Nutzungsprofile!$G$6:$G$11)*Kalender!E162/SUM(Kalender!$E$5:$E$370),0))*Szenarien!$E$8,0)</f>
        <v>1.632</v>
      </c>
      <c r="D162" s="13" t="n">
        <f aca="false">IF(Szenarien!$H$8="OK",(IFERROR(SUMIF(Nutzungsprofile!$B$17:$B$22,"Schulbetrieb",Nutzungsprofile!$G$17:$G$22)*Kalender!C162/SUM(Kalender!$C$5:$C$370),0)+IFERROR(SUMIF(Nutzungsprofile!$B$17:$B$22,"Halle",Nutzungsprofile!$G$17:$G$22)*Kalender!D162/SUM(Kalender!$D$5:$D$370),0)+IFERROR(SUMIF(Nutzungsprofile!$B$17:$B$22,"Individuell",Nutzungsprofile!$G$17:$G$22)*Kalender!E162/SUM(Kalender!$E$5:$E$370),0))*Szenarien!$D$8,0)</f>
        <v>0.801</v>
      </c>
      <c r="E162" s="13" t="n">
        <f aca="false">IFERROR(MIN(C162,Eingaben!$B$17)*Eingaben!$B$16,0)</f>
        <v>1.5504</v>
      </c>
      <c r="F162" s="13" t="n">
        <f aca="false">IFERROR(E162*Eingaben!$B$15,0)</f>
        <v>1.39536</v>
      </c>
      <c r="G162" s="13" t="n">
        <f aca="false">IFERROR(IF(Kalender!A162="",0,J161*(1-Eingaben!$B$20)),0)</f>
        <v>1.1618705952</v>
      </c>
      <c r="H162" s="13" t="n">
        <f aca="false">MIN(G162,D162)</f>
        <v>0.801</v>
      </c>
      <c r="I162" s="13" t="n">
        <f aca="false">IFERROR(MIN(F162*Eingaben!$B$19,MAX(0,D162-H162)),0)</f>
        <v>0</v>
      </c>
      <c r="J162" s="13" t="n">
        <f aca="false">IFERROR(MIN(Eingaben!$B$18,MAX(0,F162-I162)),0)</f>
        <v>1.39536</v>
      </c>
      <c r="K162" s="13" t="n">
        <f aca="false">H162+I162</f>
        <v>0.801</v>
      </c>
      <c r="L162" s="13" t="n">
        <f aca="false">MAX(0,D162-K162)</f>
        <v>0</v>
      </c>
      <c r="M162" s="13" t="n">
        <f aca="false">MAX(0,F162-I162-J162)</f>
        <v>0</v>
      </c>
      <c r="N162" s="13" t="n">
        <f aca="false">IF(Kalender!A162="",0,J161-H162)</f>
        <v>0.38458224</v>
      </c>
    </row>
    <row r="163" customFormat="false" ht="16.4" hidden="false" customHeight="false" outlineLevel="0" collapsed="false">
      <c r="A163" s="13" t="str">
        <f aca="false">""</f>
        <v/>
      </c>
      <c r="B163" s="13" t="n">
        <f aca="false">159</f>
        <v>159</v>
      </c>
      <c r="C163" s="13" t="n">
        <f aca="false">IF(Szenarien!$H$8="OK",(IFERROR(SUMIF(Nutzungsprofile!$B$6:$B$11,"Schulbetrieb",Nutzungsprofile!$G$6:$G$11)*Kalender!C163/SUM(Kalender!$C$5:$C$370),0)+IFERROR(SUMIF(Nutzungsprofile!$B$6:$B$11,"Halle",Nutzungsprofile!$G$6:$G$11)*Kalender!D163/SUM(Kalender!$D$5:$D$370),0)+IFERROR(SUMIF(Nutzungsprofile!$B$6:$B$11,"Individuell",Nutzungsprofile!$G$6:$G$11)*Kalender!E163/SUM(Kalender!$E$5:$E$370),0))*Szenarien!$E$8,0)</f>
        <v>2.352</v>
      </c>
      <c r="D163" s="13" t="n">
        <f aca="false">IF(Szenarien!$H$8="OK",(IFERROR(SUMIF(Nutzungsprofile!$B$17:$B$22,"Schulbetrieb",Nutzungsprofile!$G$17:$G$22)*Kalender!C163/SUM(Kalender!$C$5:$C$370),0)+IFERROR(SUMIF(Nutzungsprofile!$B$17:$B$22,"Halle",Nutzungsprofile!$G$17:$G$22)*Kalender!D163/SUM(Kalender!$D$5:$D$370),0)+IFERROR(SUMIF(Nutzungsprofile!$B$17:$B$22,"Individuell",Nutzungsprofile!$G$17:$G$22)*Kalender!E163/SUM(Kalender!$E$5:$E$370),0))*Szenarien!$D$8,0)</f>
        <v>4.446</v>
      </c>
      <c r="E163" s="13" t="n">
        <f aca="false">IFERROR(MIN(C163,Eingaben!$B$17)*Eingaben!$B$16,0)</f>
        <v>2.2344</v>
      </c>
      <c r="F163" s="13" t="n">
        <f aca="false">IFERROR(E163*Eingaben!$B$15,0)</f>
        <v>2.01096</v>
      </c>
      <c r="G163" s="13" t="n">
        <f aca="false">IFERROR(IF(Kalender!A163="",0,J162*(1-Eingaben!$B$20)),0)</f>
        <v>1.3674528</v>
      </c>
      <c r="H163" s="13" t="n">
        <f aca="false">MIN(G163,D163)</f>
        <v>1.3674528</v>
      </c>
      <c r="I163" s="13" t="n">
        <f aca="false">IFERROR(MIN(F163*Eingaben!$B$19,MAX(0,D163-H163)),0)</f>
        <v>1.407672</v>
      </c>
      <c r="J163" s="13" t="n">
        <f aca="false">IFERROR(MIN(Eingaben!$B$18,MAX(0,F163-I163)),0)</f>
        <v>0.603288</v>
      </c>
      <c r="K163" s="13" t="n">
        <f aca="false">H163+I163</f>
        <v>2.7751248</v>
      </c>
      <c r="L163" s="13" t="n">
        <f aca="false">MAX(0,D163-K163)</f>
        <v>1.6708752</v>
      </c>
      <c r="M163" s="13" t="n">
        <f aca="false">MAX(0,F163-I163-J163)</f>
        <v>0</v>
      </c>
      <c r="N163" s="13" t="n">
        <f aca="false">IF(Kalender!A163="",0,J162-H163)</f>
        <v>0.0279072</v>
      </c>
    </row>
    <row r="164" customFormat="false" ht="16.4" hidden="false" customHeight="false" outlineLevel="0" collapsed="false">
      <c r="A164" s="13" t="str">
        <f aca="false">""</f>
        <v/>
      </c>
      <c r="B164" s="13" t="n">
        <f aca="false">160</f>
        <v>160</v>
      </c>
      <c r="C164" s="13" t="n">
        <f aca="false">IF(Szenarien!$H$8="OK",(IFERROR(SUMIF(Nutzungsprofile!$B$6:$B$11,"Schulbetrieb",Nutzungsprofile!$G$6:$G$11)*Kalender!C164/SUM(Kalender!$C$5:$C$370),0)+IFERROR(SUMIF(Nutzungsprofile!$B$6:$B$11,"Halle",Nutzungsprofile!$G$6:$G$11)*Kalender!D164/SUM(Kalender!$D$5:$D$370),0)+IFERROR(SUMIF(Nutzungsprofile!$B$6:$B$11,"Individuell",Nutzungsprofile!$G$6:$G$11)*Kalender!E164/SUM(Kalender!$E$5:$E$370),0))*Szenarien!$E$8,0)</f>
        <v>2.352</v>
      </c>
      <c r="D164" s="13" t="n">
        <f aca="false">IF(Szenarien!$H$8="OK",(IFERROR(SUMIF(Nutzungsprofile!$B$17:$B$22,"Schulbetrieb",Nutzungsprofile!$G$17:$G$22)*Kalender!C164/SUM(Kalender!$C$5:$C$370),0)+IFERROR(SUMIF(Nutzungsprofile!$B$17:$B$22,"Halle",Nutzungsprofile!$G$17:$G$22)*Kalender!D164/SUM(Kalender!$D$5:$D$370),0)+IFERROR(SUMIF(Nutzungsprofile!$B$17:$B$22,"Individuell",Nutzungsprofile!$G$17:$G$22)*Kalender!E164/SUM(Kalender!$E$5:$E$370),0))*Szenarien!$D$8,0)</f>
        <v>4.446</v>
      </c>
      <c r="E164" s="13" t="n">
        <f aca="false">IFERROR(MIN(C164,Eingaben!$B$17)*Eingaben!$B$16,0)</f>
        <v>2.2344</v>
      </c>
      <c r="F164" s="13" t="n">
        <f aca="false">IFERROR(E164*Eingaben!$B$15,0)</f>
        <v>2.01096</v>
      </c>
      <c r="G164" s="13" t="n">
        <f aca="false">IFERROR(IF(Kalender!A164="",0,J163*(1-Eingaben!$B$20)),0)</f>
        <v>0.59122224</v>
      </c>
      <c r="H164" s="13" t="n">
        <f aca="false">MIN(G164,D164)</f>
        <v>0.59122224</v>
      </c>
      <c r="I164" s="13" t="n">
        <f aca="false">IFERROR(MIN(F164*Eingaben!$B$19,MAX(0,D164-H164)),0)</f>
        <v>1.407672</v>
      </c>
      <c r="J164" s="13" t="n">
        <f aca="false">IFERROR(MIN(Eingaben!$B$18,MAX(0,F164-I164)),0)</f>
        <v>0.603288</v>
      </c>
      <c r="K164" s="13" t="n">
        <f aca="false">H164+I164</f>
        <v>1.99889424</v>
      </c>
      <c r="L164" s="13" t="n">
        <f aca="false">MAX(0,D164-K164)</f>
        <v>2.44710576</v>
      </c>
      <c r="M164" s="13" t="n">
        <f aca="false">MAX(0,F164-I164-J164)</f>
        <v>0</v>
      </c>
      <c r="N164" s="13" t="n">
        <f aca="false">IF(Kalender!A164="",0,J163-H164)</f>
        <v>0.01206576</v>
      </c>
    </row>
    <row r="165" customFormat="false" ht="16.4" hidden="false" customHeight="false" outlineLevel="0" collapsed="false">
      <c r="A165" s="13" t="str">
        <f aca="false">""</f>
        <v/>
      </c>
      <c r="B165" s="13" t="n">
        <f aca="false">161</f>
        <v>161</v>
      </c>
      <c r="C165" s="13" t="n">
        <f aca="false">IF(Szenarien!$H$8="OK",(IFERROR(SUMIF(Nutzungsprofile!$B$6:$B$11,"Schulbetrieb",Nutzungsprofile!$G$6:$G$11)*Kalender!C165/SUM(Kalender!$C$5:$C$370),0)+IFERROR(SUMIF(Nutzungsprofile!$B$6:$B$11,"Halle",Nutzungsprofile!$G$6:$G$11)*Kalender!D165/SUM(Kalender!$D$5:$D$370),0)+IFERROR(SUMIF(Nutzungsprofile!$B$6:$B$11,"Individuell",Nutzungsprofile!$G$6:$G$11)*Kalender!E165/SUM(Kalender!$E$5:$E$370),0))*Szenarien!$E$8,0)</f>
        <v>2.352</v>
      </c>
      <c r="D165" s="13" t="n">
        <f aca="false">IF(Szenarien!$H$8="OK",(IFERROR(SUMIF(Nutzungsprofile!$B$17:$B$22,"Schulbetrieb",Nutzungsprofile!$G$17:$G$22)*Kalender!C165/SUM(Kalender!$C$5:$C$370),0)+IFERROR(SUMIF(Nutzungsprofile!$B$17:$B$22,"Halle",Nutzungsprofile!$G$17:$G$22)*Kalender!D165/SUM(Kalender!$D$5:$D$370),0)+IFERROR(SUMIF(Nutzungsprofile!$B$17:$B$22,"Individuell",Nutzungsprofile!$G$17:$G$22)*Kalender!E165/SUM(Kalender!$E$5:$E$370),0))*Szenarien!$D$8,0)</f>
        <v>4.446</v>
      </c>
      <c r="E165" s="13" t="n">
        <f aca="false">IFERROR(MIN(C165,Eingaben!$B$17)*Eingaben!$B$16,0)</f>
        <v>2.2344</v>
      </c>
      <c r="F165" s="13" t="n">
        <f aca="false">IFERROR(E165*Eingaben!$B$15,0)</f>
        <v>2.01096</v>
      </c>
      <c r="G165" s="13" t="n">
        <f aca="false">IFERROR(IF(Kalender!A165="",0,J164*(1-Eingaben!$B$20)),0)</f>
        <v>0.59122224</v>
      </c>
      <c r="H165" s="13" t="n">
        <f aca="false">MIN(G165,D165)</f>
        <v>0.59122224</v>
      </c>
      <c r="I165" s="13" t="n">
        <f aca="false">IFERROR(MIN(F165*Eingaben!$B$19,MAX(0,D165-H165)),0)</f>
        <v>1.407672</v>
      </c>
      <c r="J165" s="13" t="n">
        <f aca="false">IFERROR(MIN(Eingaben!$B$18,MAX(0,F165-I165)),0)</f>
        <v>0.603288</v>
      </c>
      <c r="K165" s="13" t="n">
        <f aca="false">H165+I165</f>
        <v>1.99889424</v>
      </c>
      <c r="L165" s="13" t="n">
        <f aca="false">MAX(0,D165-K165)</f>
        <v>2.44710576</v>
      </c>
      <c r="M165" s="13" t="n">
        <f aca="false">MAX(0,F165-I165-J165)</f>
        <v>0</v>
      </c>
      <c r="N165" s="13" t="n">
        <f aca="false">IF(Kalender!A165="",0,J164-H165)</f>
        <v>0.01206576</v>
      </c>
    </row>
    <row r="166" customFormat="false" ht="16.4" hidden="false" customHeight="false" outlineLevel="0" collapsed="false">
      <c r="A166" s="13" t="str">
        <f aca="false">""</f>
        <v/>
      </c>
      <c r="B166" s="13" t="n">
        <f aca="false">162</f>
        <v>162</v>
      </c>
      <c r="C166" s="13" t="n">
        <f aca="false">IF(Szenarien!$H$8="OK",(IFERROR(SUMIF(Nutzungsprofile!$B$6:$B$11,"Schulbetrieb",Nutzungsprofile!$G$6:$G$11)*Kalender!C166/SUM(Kalender!$C$5:$C$370),0)+IFERROR(SUMIF(Nutzungsprofile!$B$6:$B$11,"Halle",Nutzungsprofile!$G$6:$G$11)*Kalender!D166/SUM(Kalender!$D$5:$D$370),0)+IFERROR(SUMIF(Nutzungsprofile!$B$6:$B$11,"Individuell",Nutzungsprofile!$G$6:$G$11)*Kalender!E166/SUM(Kalender!$E$5:$E$370),0))*Szenarien!$E$8,0)</f>
        <v>2.352</v>
      </c>
      <c r="D166" s="13" t="n">
        <f aca="false">IF(Szenarien!$H$8="OK",(IFERROR(SUMIF(Nutzungsprofile!$B$17:$B$22,"Schulbetrieb",Nutzungsprofile!$G$17:$G$22)*Kalender!C166/SUM(Kalender!$C$5:$C$370),0)+IFERROR(SUMIF(Nutzungsprofile!$B$17:$B$22,"Halle",Nutzungsprofile!$G$17:$G$22)*Kalender!D166/SUM(Kalender!$D$5:$D$370),0)+IFERROR(SUMIF(Nutzungsprofile!$B$17:$B$22,"Individuell",Nutzungsprofile!$G$17:$G$22)*Kalender!E166/SUM(Kalender!$E$5:$E$370),0))*Szenarien!$D$8,0)</f>
        <v>4.446</v>
      </c>
      <c r="E166" s="13" t="n">
        <f aca="false">IFERROR(MIN(C166,Eingaben!$B$17)*Eingaben!$B$16,0)</f>
        <v>2.2344</v>
      </c>
      <c r="F166" s="13" t="n">
        <f aca="false">IFERROR(E166*Eingaben!$B$15,0)</f>
        <v>2.01096</v>
      </c>
      <c r="G166" s="13" t="n">
        <f aca="false">IFERROR(IF(Kalender!A166="",0,J165*(1-Eingaben!$B$20)),0)</f>
        <v>0.59122224</v>
      </c>
      <c r="H166" s="13" t="n">
        <f aca="false">MIN(G166,D166)</f>
        <v>0.59122224</v>
      </c>
      <c r="I166" s="13" t="n">
        <f aca="false">IFERROR(MIN(F166*Eingaben!$B$19,MAX(0,D166-H166)),0)</f>
        <v>1.407672</v>
      </c>
      <c r="J166" s="13" t="n">
        <f aca="false">IFERROR(MIN(Eingaben!$B$18,MAX(0,F166-I166)),0)</f>
        <v>0.603288</v>
      </c>
      <c r="K166" s="13" t="n">
        <f aca="false">H166+I166</f>
        <v>1.99889424</v>
      </c>
      <c r="L166" s="13" t="n">
        <f aca="false">MAX(0,D166-K166)</f>
        <v>2.44710576</v>
      </c>
      <c r="M166" s="13" t="n">
        <f aca="false">MAX(0,F166-I166-J166)</f>
        <v>0</v>
      </c>
      <c r="N166" s="13" t="n">
        <f aca="false">IF(Kalender!A166="",0,J165-H166)</f>
        <v>0.01206576</v>
      </c>
    </row>
    <row r="167" customFormat="false" ht="16.4" hidden="false" customHeight="false" outlineLevel="0" collapsed="false">
      <c r="A167" s="13" t="str">
        <f aca="false">""</f>
        <v/>
      </c>
      <c r="B167" s="13" t="n">
        <f aca="false">163</f>
        <v>163</v>
      </c>
      <c r="C167" s="13" t="n">
        <f aca="false">IF(Szenarien!$H$8="OK",(IFERROR(SUMIF(Nutzungsprofile!$B$6:$B$11,"Schulbetrieb",Nutzungsprofile!$G$6:$G$11)*Kalender!C167/SUM(Kalender!$C$5:$C$370),0)+IFERROR(SUMIF(Nutzungsprofile!$B$6:$B$11,"Halle",Nutzungsprofile!$G$6:$G$11)*Kalender!D167/SUM(Kalender!$D$5:$D$370),0)+IFERROR(SUMIF(Nutzungsprofile!$B$6:$B$11,"Individuell",Nutzungsprofile!$G$6:$G$11)*Kalender!E167/SUM(Kalender!$E$5:$E$370),0))*Szenarien!$E$8,0)</f>
        <v>2.352</v>
      </c>
      <c r="D167" s="13" t="n">
        <f aca="false">IF(Szenarien!$H$8="OK",(IFERROR(SUMIF(Nutzungsprofile!$B$17:$B$22,"Schulbetrieb",Nutzungsprofile!$G$17:$G$22)*Kalender!C167/SUM(Kalender!$C$5:$C$370),0)+IFERROR(SUMIF(Nutzungsprofile!$B$17:$B$22,"Halle",Nutzungsprofile!$G$17:$G$22)*Kalender!D167/SUM(Kalender!$D$5:$D$370),0)+IFERROR(SUMIF(Nutzungsprofile!$B$17:$B$22,"Individuell",Nutzungsprofile!$G$17:$G$22)*Kalender!E167/SUM(Kalender!$E$5:$E$370),0))*Szenarien!$D$8,0)</f>
        <v>4.446</v>
      </c>
      <c r="E167" s="13" t="n">
        <f aca="false">IFERROR(MIN(C167,Eingaben!$B$17)*Eingaben!$B$16,0)</f>
        <v>2.2344</v>
      </c>
      <c r="F167" s="13" t="n">
        <f aca="false">IFERROR(E167*Eingaben!$B$15,0)</f>
        <v>2.01096</v>
      </c>
      <c r="G167" s="13" t="n">
        <f aca="false">IFERROR(IF(Kalender!A167="",0,J166*(1-Eingaben!$B$20)),0)</f>
        <v>0.59122224</v>
      </c>
      <c r="H167" s="13" t="n">
        <f aca="false">MIN(G167,D167)</f>
        <v>0.59122224</v>
      </c>
      <c r="I167" s="13" t="n">
        <f aca="false">IFERROR(MIN(F167*Eingaben!$B$19,MAX(0,D167-H167)),0)</f>
        <v>1.407672</v>
      </c>
      <c r="J167" s="13" t="n">
        <f aca="false">IFERROR(MIN(Eingaben!$B$18,MAX(0,F167-I167)),0)</f>
        <v>0.603288</v>
      </c>
      <c r="K167" s="13" t="n">
        <f aca="false">H167+I167</f>
        <v>1.99889424</v>
      </c>
      <c r="L167" s="13" t="n">
        <f aca="false">MAX(0,D167-K167)</f>
        <v>2.44710576</v>
      </c>
      <c r="M167" s="13" t="n">
        <f aca="false">MAX(0,F167-I167-J167)</f>
        <v>0</v>
      </c>
      <c r="N167" s="13" t="n">
        <f aca="false">IF(Kalender!A167="",0,J166-H167)</f>
        <v>0.01206576</v>
      </c>
    </row>
    <row r="168" customFormat="false" ht="16.4" hidden="false" customHeight="false" outlineLevel="0" collapsed="false">
      <c r="A168" s="13" t="str">
        <f aca="false">""</f>
        <v/>
      </c>
      <c r="B168" s="13" t="n">
        <f aca="false">164</f>
        <v>164</v>
      </c>
      <c r="C168" s="13" t="n">
        <f aca="false">IF(Szenarien!$H$8="OK",(IFERROR(SUMIF(Nutzungsprofile!$B$6:$B$11,"Schulbetrieb",Nutzungsprofile!$G$6:$G$11)*Kalender!C168/SUM(Kalender!$C$5:$C$370),0)+IFERROR(SUMIF(Nutzungsprofile!$B$6:$B$11,"Halle",Nutzungsprofile!$G$6:$G$11)*Kalender!D168/SUM(Kalender!$D$5:$D$370),0)+IFERROR(SUMIF(Nutzungsprofile!$B$6:$B$11,"Individuell",Nutzungsprofile!$G$6:$G$11)*Kalender!E168/SUM(Kalender!$E$5:$E$370),0))*Szenarien!$E$8,0)</f>
        <v>1.632</v>
      </c>
      <c r="D168" s="13" t="n">
        <f aca="false">IF(Szenarien!$H$8="OK",(IFERROR(SUMIF(Nutzungsprofile!$B$17:$B$22,"Schulbetrieb",Nutzungsprofile!$G$17:$G$22)*Kalender!C168/SUM(Kalender!$C$5:$C$370),0)+IFERROR(SUMIF(Nutzungsprofile!$B$17:$B$22,"Halle",Nutzungsprofile!$G$17:$G$22)*Kalender!D168/SUM(Kalender!$D$5:$D$370),0)+IFERROR(SUMIF(Nutzungsprofile!$B$17:$B$22,"Individuell",Nutzungsprofile!$G$17:$G$22)*Kalender!E168/SUM(Kalender!$E$5:$E$370),0))*Szenarien!$D$8,0)</f>
        <v>0.801</v>
      </c>
      <c r="E168" s="13" t="n">
        <f aca="false">IFERROR(MIN(C168,Eingaben!$B$17)*Eingaben!$B$16,0)</f>
        <v>1.5504</v>
      </c>
      <c r="F168" s="13" t="n">
        <f aca="false">IFERROR(E168*Eingaben!$B$15,0)</f>
        <v>1.39536</v>
      </c>
      <c r="G168" s="13" t="n">
        <f aca="false">IFERROR(IF(Kalender!A168="",0,J167*(1-Eingaben!$B$20)),0)</f>
        <v>0.59122224</v>
      </c>
      <c r="H168" s="13" t="n">
        <f aca="false">MIN(G168,D168)</f>
        <v>0.59122224</v>
      </c>
      <c r="I168" s="13" t="n">
        <f aca="false">IFERROR(MIN(F168*Eingaben!$B$19,MAX(0,D168-H168)),0)</f>
        <v>0.20977776</v>
      </c>
      <c r="J168" s="13" t="n">
        <f aca="false">IFERROR(MIN(Eingaben!$B$18,MAX(0,F168-I168)),0)</f>
        <v>1.18558224</v>
      </c>
      <c r="K168" s="13" t="n">
        <f aca="false">H168+I168</f>
        <v>0.801</v>
      </c>
      <c r="L168" s="13" t="n">
        <f aca="false">MAX(0,D168-K168)</f>
        <v>0</v>
      </c>
      <c r="M168" s="13" t="n">
        <f aca="false">MAX(0,F168-I168-J168)</f>
        <v>0</v>
      </c>
      <c r="N168" s="13" t="n">
        <f aca="false">IF(Kalender!A168="",0,J167-H168)</f>
        <v>0.01206576</v>
      </c>
    </row>
    <row r="169" customFormat="false" ht="16.4" hidden="false" customHeight="false" outlineLevel="0" collapsed="false">
      <c r="A169" s="13" t="str">
        <f aca="false">""</f>
        <v/>
      </c>
      <c r="B169" s="13" t="n">
        <f aca="false">165</f>
        <v>165</v>
      </c>
      <c r="C169" s="13" t="n">
        <f aca="false">IF(Szenarien!$H$8="OK",(IFERROR(SUMIF(Nutzungsprofile!$B$6:$B$11,"Schulbetrieb",Nutzungsprofile!$G$6:$G$11)*Kalender!C169/SUM(Kalender!$C$5:$C$370),0)+IFERROR(SUMIF(Nutzungsprofile!$B$6:$B$11,"Halle",Nutzungsprofile!$G$6:$G$11)*Kalender!D169/SUM(Kalender!$D$5:$D$370),0)+IFERROR(SUMIF(Nutzungsprofile!$B$6:$B$11,"Individuell",Nutzungsprofile!$G$6:$G$11)*Kalender!E169/SUM(Kalender!$E$5:$E$370),0))*Szenarien!$E$8,0)</f>
        <v>1.632</v>
      </c>
      <c r="D169" s="13" t="n">
        <f aca="false">IF(Szenarien!$H$8="OK",(IFERROR(SUMIF(Nutzungsprofile!$B$17:$B$22,"Schulbetrieb",Nutzungsprofile!$G$17:$G$22)*Kalender!C169/SUM(Kalender!$C$5:$C$370),0)+IFERROR(SUMIF(Nutzungsprofile!$B$17:$B$22,"Halle",Nutzungsprofile!$G$17:$G$22)*Kalender!D169/SUM(Kalender!$D$5:$D$370),0)+IFERROR(SUMIF(Nutzungsprofile!$B$17:$B$22,"Individuell",Nutzungsprofile!$G$17:$G$22)*Kalender!E169/SUM(Kalender!$E$5:$E$370),0))*Szenarien!$D$8,0)</f>
        <v>0.801</v>
      </c>
      <c r="E169" s="13" t="n">
        <f aca="false">IFERROR(MIN(C169,Eingaben!$B$17)*Eingaben!$B$16,0)</f>
        <v>1.5504</v>
      </c>
      <c r="F169" s="13" t="n">
        <f aca="false">IFERROR(E169*Eingaben!$B$15,0)</f>
        <v>1.39536</v>
      </c>
      <c r="G169" s="13" t="n">
        <f aca="false">IFERROR(IF(Kalender!A169="",0,J168*(1-Eingaben!$B$20)),0)</f>
        <v>1.1618705952</v>
      </c>
      <c r="H169" s="13" t="n">
        <f aca="false">MIN(G169,D169)</f>
        <v>0.801</v>
      </c>
      <c r="I169" s="13" t="n">
        <f aca="false">IFERROR(MIN(F169*Eingaben!$B$19,MAX(0,D169-H169)),0)</f>
        <v>0</v>
      </c>
      <c r="J169" s="13" t="n">
        <f aca="false">IFERROR(MIN(Eingaben!$B$18,MAX(0,F169-I169)),0)</f>
        <v>1.39536</v>
      </c>
      <c r="K169" s="13" t="n">
        <f aca="false">H169+I169</f>
        <v>0.801</v>
      </c>
      <c r="L169" s="13" t="n">
        <f aca="false">MAX(0,D169-K169)</f>
        <v>0</v>
      </c>
      <c r="M169" s="13" t="n">
        <f aca="false">MAX(0,F169-I169-J169)</f>
        <v>0</v>
      </c>
      <c r="N169" s="13" t="n">
        <f aca="false">IF(Kalender!A169="",0,J168-H169)</f>
        <v>0.38458224</v>
      </c>
    </row>
    <row r="170" customFormat="false" ht="16.4" hidden="false" customHeight="false" outlineLevel="0" collapsed="false">
      <c r="A170" s="13" t="str">
        <f aca="false">""</f>
        <v/>
      </c>
      <c r="B170" s="13" t="n">
        <f aca="false">166</f>
        <v>166</v>
      </c>
      <c r="C170" s="13" t="n">
        <f aca="false">IF(Szenarien!$H$8="OK",(IFERROR(SUMIF(Nutzungsprofile!$B$6:$B$11,"Schulbetrieb",Nutzungsprofile!$G$6:$G$11)*Kalender!C170/SUM(Kalender!$C$5:$C$370),0)+IFERROR(SUMIF(Nutzungsprofile!$B$6:$B$11,"Halle",Nutzungsprofile!$G$6:$G$11)*Kalender!D170/SUM(Kalender!$D$5:$D$370),0)+IFERROR(SUMIF(Nutzungsprofile!$B$6:$B$11,"Individuell",Nutzungsprofile!$G$6:$G$11)*Kalender!E170/SUM(Kalender!$E$5:$E$370),0))*Szenarien!$E$8,0)</f>
        <v>2.352</v>
      </c>
      <c r="D170" s="13" t="n">
        <f aca="false">IF(Szenarien!$H$8="OK",(IFERROR(SUMIF(Nutzungsprofile!$B$17:$B$22,"Schulbetrieb",Nutzungsprofile!$G$17:$G$22)*Kalender!C170/SUM(Kalender!$C$5:$C$370),0)+IFERROR(SUMIF(Nutzungsprofile!$B$17:$B$22,"Halle",Nutzungsprofile!$G$17:$G$22)*Kalender!D170/SUM(Kalender!$D$5:$D$370),0)+IFERROR(SUMIF(Nutzungsprofile!$B$17:$B$22,"Individuell",Nutzungsprofile!$G$17:$G$22)*Kalender!E170/SUM(Kalender!$E$5:$E$370),0))*Szenarien!$D$8,0)</f>
        <v>4.446</v>
      </c>
      <c r="E170" s="13" t="n">
        <f aca="false">IFERROR(MIN(C170,Eingaben!$B$17)*Eingaben!$B$16,0)</f>
        <v>2.2344</v>
      </c>
      <c r="F170" s="13" t="n">
        <f aca="false">IFERROR(E170*Eingaben!$B$15,0)</f>
        <v>2.01096</v>
      </c>
      <c r="G170" s="13" t="n">
        <f aca="false">IFERROR(IF(Kalender!A170="",0,J169*(1-Eingaben!$B$20)),0)</f>
        <v>1.3674528</v>
      </c>
      <c r="H170" s="13" t="n">
        <f aca="false">MIN(G170,D170)</f>
        <v>1.3674528</v>
      </c>
      <c r="I170" s="13" t="n">
        <f aca="false">IFERROR(MIN(F170*Eingaben!$B$19,MAX(0,D170-H170)),0)</f>
        <v>1.407672</v>
      </c>
      <c r="J170" s="13" t="n">
        <f aca="false">IFERROR(MIN(Eingaben!$B$18,MAX(0,F170-I170)),0)</f>
        <v>0.603288</v>
      </c>
      <c r="K170" s="13" t="n">
        <f aca="false">H170+I170</f>
        <v>2.7751248</v>
      </c>
      <c r="L170" s="13" t="n">
        <f aca="false">MAX(0,D170-K170)</f>
        <v>1.6708752</v>
      </c>
      <c r="M170" s="13" t="n">
        <f aca="false">MAX(0,F170-I170-J170)</f>
        <v>0</v>
      </c>
      <c r="N170" s="13" t="n">
        <f aca="false">IF(Kalender!A170="",0,J169-H170)</f>
        <v>0.0279072</v>
      </c>
    </row>
    <row r="171" customFormat="false" ht="16.4" hidden="false" customHeight="false" outlineLevel="0" collapsed="false">
      <c r="A171" s="13" t="str">
        <f aca="false">""</f>
        <v/>
      </c>
      <c r="B171" s="13" t="n">
        <f aca="false">167</f>
        <v>167</v>
      </c>
      <c r="C171" s="13" t="n">
        <f aca="false">IF(Szenarien!$H$8="OK",(IFERROR(SUMIF(Nutzungsprofile!$B$6:$B$11,"Schulbetrieb",Nutzungsprofile!$G$6:$G$11)*Kalender!C171/SUM(Kalender!$C$5:$C$370),0)+IFERROR(SUMIF(Nutzungsprofile!$B$6:$B$11,"Halle",Nutzungsprofile!$G$6:$G$11)*Kalender!D171/SUM(Kalender!$D$5:$D$370),0)+IFERROR(SUMIF(Nutzungsprofile!$B$6:$B$11,"Individuell",Nutzungsprofile!$G$6:$G$11)*Kalender!E171/SUM(Kalender!$E$5:$E$370),0))*Szenarien!$E$8,0)</f>
        <v>2.352</v>
      </c>
      <c r="D171" s="13" t="n">
        <f aca="false">IF(Szenarien!$H$8="OK",(IFERROR(SUMIF(Nutzungsprofile!$B$17:$B$22,"Schulbetrieb",Nutzungsprofile!$G$17:$G$22)*Kalender!C171/SUM(Kalender!$C$5:$C$370),0)+IFERROR(SUMIF(Nutzungsprofile!$B$17:$B$22,"Halle",Nutzungsprofile!$G$17:$G$22)*Kalender!D171/SUM(Kalender!$D$5:$D$370),0)+IFERROR(SUMIF(Nutzungsprofile!$B$17:$B$22,"Individuell",Nutzungsprofile!$G$17:$G$22)*Kalender!E171/SUM(Kalender!$E$5:$E$370),0))*Szenarien!$D$8,0)</f>
        <v>4.446</v>
      </c>
      <c r="E171" s="13" t="n">
        <f aca="false">IFERROR(MIN(C171,Eingaben!$B$17)*Eingaben!$B$16,0)</f>
        <v>2.2344</v>
      </c>
      <c r="F171" s="13" t="n">
        <f aca="false">IFERROR(E171*Eingaben!$B$15,0)</f>
        <v>2.01096</v>
      </c>
      <c r="G171" s="13" t="n">
        <f aca="false">IFERROR(IF(Kalender!A171="",0,J170*(1-Eingaben!$B$20)),0)</f>
        <v>0.59122224</v>
      </c>
      <c r="H171" s="13" t="n">
        <f aca="false">MIN(G171,D171)</f>
        <v>0.59122224</v>
      </c>
      <c r="I171" s="13" t="n">
        <f aca="false">IFERROR(MIN(F171*Eingaben!$B$19,MAX(0,D171-H171)),0)</f>
        <v>1.407672</v>
      </c>
      <c r="J171" s="13" t="n">
        <f aca="false">IFERROR(MIN(Eingaben!$B$18,MAX(0,F171-I171)),0)</f>
        <v>0.603288</v>
      </c>
      <c r="K171" s="13" t="n">
        <f aca="false">H171+I171</f>
        <v>1.99889424</v>
      </c>
      <c r="L171" s="13" t="n">
        <f aca="false">MAX(0,D171-K171)</f>
        <v>2.44710576</v>
      </c>
      <c r="M171" s="13" t="n">
        <f aca="false">MAX(0,F171-I171-J171)</f>
        <v>0</v>
      </c>
      <c r="N171" s="13" t="n">
        <f aca="false">IF(Kalender!A171="",0,J170-H171)</f>
        <v>0.01206576</v>
      </c>
    </row>
    <row r="172" customFormat="false" ht="16.4" hidden="false" customHeight="false" outlineLevel="0" collapsed="false">
      <c r="A172" s="13" t="str">
        <f aca="false">""</f>
        <v/>
      </c>
      <c r="B172" s="13" t="n">
        <f aca="false">168</f>
        <v>168</v>
      </c>
      <c r="C172" s="13" t="n">
        <f aca="false">IF(Szenarien!$H$8="OK",(IFERROR(SUMIF(Nutzungsprofile!$B$6:$B$11,"Schulbetrieb",Nutzungsprofile!$G$6:$G$11)*Kalender!C172/SUM(Kalender!$C$5:$C$370),0)+IFERROR(SUMIF(Nutzungsprofile!$B$6:$B$11,"Halle",Nutzungsprofile!$G$6:$G$11)*Kalender!D172/SUM(Kalender!$D$5:$D$370),0)+IFERROR(SUMIF(Nutzungsprofile!$B$6:$B$11,"Individuell",Nutzungsprofile!$G$6:$G$11)*Kalender!E172/SUM(Kalender!$E$5:$E$370),0))*Szenarien!$E$8,0)</f>
        <v>2.352</v>
      </c>
      <c r="D172" s="13" t="n">
        <f aca="false">IF(Szenarien!$H$8="OK",(IFERROR(SUMIF(Nutzungsprofile!$B$17:$B$22,"Schulbetrieb",Nutzungsprofile!$G$17:$G$22)*Kalender!C172/SUM(Kalender!$C$5:$C$370),0)+IFERROR(SUMIF(Nutzungsprofile!$B$17:$B$22,"Halle",Nutzungsprofile!$G$17:$G$22)*Kalender!D172/SUM(Kalender!$D$5:$D$370),0)+IFERROR(SUMIF(Nutzungsprofile!$B$17:$B$22,"Individuell",Nutzungsprofile!$G$17:$G$22)*Kalender!E172/SUM(Kalender!$E$5:$E$370),0))*Szenarien!$D$8,0)</f>
        <v>4.446</v>
      </c>
      <c r="E172" s="13" t="n">
        <f aca="false">IFERROR(MIN(C172,Eingaben!$B$17)*Eingaben!$B$16,0)</f>
        <v>2.2344</v>
      </c>
      <c r="F172" s="13" t="n">
        <f aca="false">IFERROR(E172*Eingaben!$B$15,0)</f>
        <v>2.01096</v>
      </c>
      <c r="G172" s="13" t="n">
        <f aca="false">IFERROR(IF(Kalender!A172="",0,J171*(1-Eingaben!$B$20)),0)</f>
        <v>0.59122224</v>
      </c>
      <c r="H172" s="13" t="n">
        <f aca="false">MIN(G172,D172)</f>
        <v>0.59122224</v>
      </c>
      <c r="I172" s="13" t="n">
        <f aca="false">IFERROR(MIN(F172*Eingaben!$B$19,MAX(0,D172-H172)),0)</f>
        <v>1.407672</v>
      </c>
      <c r="J172" s="13" t="n">
        <f aca="false">IFERROR(MIN(Eingaben!$B$18,MAX(0,F172-I172)),0)</f>
        <v>0.603288</v>
      </c>
      <c r="K172" s="13" t="n">
        <f aca="false">H172+I172</f>
        <v>1.99889424</v>
      </c>
      <c r="L172" s="13" t="n">
        <f aca="false">MAX(0,D172-K172)</f>
        <v>2.44710576</v>
      </c>
      <c r="M172" s="13" t="n">
        <f aca="false">MAX(0,F172-I172-J172)</f>
        <v>0</v>
      </c>
      <c r="N172" s="13" t="n">
        <f aca="false">IF(Kalender!A172="",0,J171-H172)</f>
        <v>0.01206576</v>
      </c>
    </row>
    <row r="173" customFormat="false" ht="16.4" hidden="false" customHeight="false" outlineLevel="0" collapsed="false">
      <c r="A173" s="13" t="str">
        <f aca="false">""</f>
        <v/>
      </c>
      <c r="B173" s="13" t="n">
        <f aca="false">169</f>
        <v>169</v>
      </c>
      <c r="C173" s="13" t="n">
        <f aca="false">IF(Szenarien!$H$8="OK",(IFERROR(SUMIF(Nutzungsprofile!$B$6:$B$11,"Schulbetrieb",Nutzungsprofile!$G$6:$G$11)*Kalender!C173/SUM(Kalender!$C$5:$C$370),0)+IFERROR(SUMIF(Nutzungsprofile!$B$6:$B$11,"Halle",Nutzungsprofile!$G$6:$G$11)*Kalender!D173/SUM(Kalender!$D$5:$D$370),0)+IFERROR(SUMIF(Nutzungsprofile!$B$6:$B$11,"Individuell",Nutzungsprofile!$G$6:$G$11)*Kalender!E173/SUM(Kalender!$E$5:$E$370),0))*Szenarien!$E$8,0)</f>
        <v>2.352</v>
      </c>
      <c r="D173" s="13" t="n">
        <f aca="false">IF(Szenarien!$H$8="OK",(IFERROR(SUMIF(Nutzungsprofile!$B$17:$B$22,"Schulbetrieb",Nutzungsprofile!$G$17:$G$22)*Kalender!C173/SUM(Kalender!$C$5:$C$370),0)+IFERROR(SUMIF(Nutzungsprofile!$B$17:$B$22,"Halle",Nutzungsprofile!$G$17:$G$22)*Kalender!D173/SUM(Kalender!$D$5:$D$370),0)+IFERROR(SUMIF(Nutzungsprofile!$B$17:$B$22,"Individuell",Nutzungsprofile!$G$17:$G$22)*Kalender!E173/SUM(Kalender!$E$5:$E$370),0))*Szenarien!$D$8,0)</f>
        <v>4.446</v>
      </c>
      <c r="E173" s="13" t="n">
        <f aca="false">IFERROR(MIN(C173,Eingaben!$B$17)*Eingaben!$B$16,0)</f>
        <v>2.2344</v>
      </c>
      <c r="F173" s="13" t="n">
        <f aca="false">IFERROR(E173*Eingaben!$B$15,0)</f>
        <v>2.01096</v>
      </c>
      <c r="G173" s="13" t="n">
        <f aca="false">IFERROR(IF(Kalender!A173="",0,J172*(1-Eingaben!$B$20)),0)</f>
        <v>0.59122224</v>
      </c>
      <c r="H173" s="13" t="n">
        <f aca="false">MIN(G173,D173)</f>
        <v>0.59122224</v>
      </c>
      <c r="I173" s="13" t="n">
        <f aca="false">IFERROR(MIN(F173*Eingaben!$B$19,MAX(0,D173-H173)),0)</f>
        <v>1.407672</v>
      </c>
      <c r="J173" s="13" t="n">
        <f aca="false">IFERROR(MIN(Eingaben!$B$18,MAX(0,F173-I173)),0)</f>
        <v>0.603288</v>
      </c>
      <c r="K173" s="13" t="n">
        <f aca="false">H173+I173</f>
        <v>1.99889424</v>
      </c>
      <c r="L173" s="13" t="n">
        <f aca="false">MAX(0,D173-K173)</f>
        <v>2.44710576</v>
      </c>
      <c r="M173" s="13" t="n">
        <f aca="false">MAX(0,F173-I173-J173)</f>
        <v>0</v>
      </c>
      <c r="N173" s="13" t="n">
        <f aca="false">IF(Kalender!A173="",0,J172-H173)</f>
        <v>0.01206576</v>
      </c>
    </row>
    <row r="174" customFormat="false" ht="16.4" hidden="false" customHeight="false" outlineLevel="0" collapsed="false">
      <c r="A174" s="13" t="str">
        <f aca="false">""</f>
        <v/>
      </c>
      <c r="B174" s="13" t="n">
        <f aca="false">170</f>
        <v>170</v>
      </c>
      <c r="C174" s="13" t="n">
        <f aca="false">IF(Szenarien!$H$8="OK",(IFERROR(SUMIF(Nutzungsprofile!$B$6:$B$11,"Schulbetrieb",Nutzungsprofile!$G$6:$G$11)*Kalender!C174/SUM(Kalender!$C$5:$C$370),0)+IFERROR(SUMIF(Nutzungsprofile!$B$6:$B$11,"Halle",Nutzungsprofile!$G$6:$G$11)*Kalender!D174/SUM(Kalender!$D$5:$D$370),0)+IFERROR(SUMIF(Nutzungsprofile!$B$6:$B$11,"Individuell",Nutzungsprofile!$G$6:$G$11)*Kalender!E174/SUM(Kalender!$E$5:$E$370),0))*Szenarien!$E$8,0)</f>
        <v>2.352</v>
      </c>
      <c r="D174" s="13" t="n">
        <f aca="false">IF(Szenarien!$H$8="OK",(IFERROR(SUMIF(Nutzungsprofile!$B$17:$B$22,"Schulbetrieb",Nutzungsprofile!$G$17:$G$22)*Kalender!C174/SUM(Kalender!$C$5:$C$370),0)+IFERROR(SUMIF(Nutzungsprofile!$B$17:$B$22,"Halle",Nutzungsprofile!$G$17:$G$22)*Kalender!D174/SUM(Kalender!$D$5:$D$370),0)+IFERROR(SUMIF(Nutzungsprofile!$B$17:$B$22,"Individuell",Nutzungsprofile!$G$17:$G$22)*Kalender!E174/SUM(Kalender!$E$5:$E$370),0))*Szenarien!$D$8,0)</f>
        <v>4.446</v>
      </c>
      <c r="E174" s="13" t="n">
        <f aca="false">IFERROR(MIN(C174,Eingaben!$B$17)*Eingaben!$B$16,0)</f>
        <v>2.2344</v>
      </c>
      <c r="F174" s="13" t="n">
        <f aca="false">IFERROR(E174*Eingaben!$B$15,0)</f>
        <v>2.01096</v>
      </c>
      <c r="G174" s="13" t="n">
        <f aca="false">IFERROR(IF(Kalender!A174="",0,J173*(1-Eingaben!$B$20)),0)</f>
        <v>0.59122224</v>
      </c>
      <c r="H174" s="13" t="n">
        <f aca="false">MIN(G174,D174)</f>
        <v>0.59122224</v>
      </c>
      <c r="I174" s="13" t="n">
        <f aca="false">IFERROR(MIN(F174*Eingaben!$B$19,MAX(0,D174-H174)),0)</f>
        <v>1.407672</v>
      </c>
      <c r="J174" s="13" t="n">
        <f aca="false">IFERROR(MIN(Eingaben!$B$18,MAX(0,F174-I174)),0)</f>
        <v>0.603288</v>
      </c>
      <c r="K174" s="13" t="n">
        <f aca="false">H174+I174</f>
        <v>1.99889424</v>
      </c>
      <c r="L174" s="13" t="n">
        <f aca="false">MAX(0,D174-K174)</f>
        <v>2.44710576</v>
      </c>
      <c r="M174" s="13" t="n">
        <f aca="false">MAX(0,F174-I174-J174)</f>
        <v>0</v>
      </c>
      <c r="N174" s="13" t="n">
        <f aca="false">IF(Kalender!A174="",0,J173-H174)</f>
        <v>0.01206576</v>
      </c>
    </row>
    <row r="175" customFormat="false" ht="16.4" hidden="false" customHeight="false" outlineLevel="0" collapsed="false">
      <c r="A175" s="13" t="str">
        <f aca="false">""</f>
        <v/>
      </c>
      <c r="B175" s="13" t="n">
        <f aca="false">171</f>
        <v>171</v>
      </c>
      <c r="C175" s="13" t="n">
        <f aca="false">IF(Szenarien!$H$8="OK",(IFERROR(SUMIF(Nutzungsprofile!$B$6:$B$11,"Schulbetrieb",Nutzungsprofile!$G$6:$G$11)*Kalender!C175/SUM(Kalender!$C$5:$C$370),0)+IFERROR(SUMIF(Nutzungsprofile!$B$6:$B$11,"Halle",Nutzungsprofile!$G$6:$G$11)*Kalender!D175/SUM(Kalender!$D$5:$D$370),0)+IFERROR(SUMIF(Nutzungsprofile!$B$6:$B$11,"Individuell",Nutzungsprofile!$G$6:$G$11)*Kalender!E175/SUM(Kalender!$E$5:$E$370),0))*Szenarien!$E$8,0)</f>
        <v>1.632</v>
      </c>
      <c r="D175" s="13" t="n">
        <f aca="false">IF(Szenarien!$H$8="OK",(IFERROR(SUMIF(Nutzungsprofile!$B$17:$B$22,"Schulbetrieb",Nutzungsprofile!$G$17:$G$22)*Kalender!C175/SUM(Kalender!$C$5:$C$370),0)+IFERROR(SUMIF(Nutzungsprofile!$B$17:$B$22,"Halle",Nutzungsprofile!$G$17:$G$22)*Kalender!D175/SUM(Kalender!$D$5:$D$370),0)+IFERROR(SUMIF(Nutzungsprofile!$B$17:$B$22,"Individuell",Nutzungsprofile!$G$17:$G$22)*Kalender!E175/SUM(Kalender!$E$5:$E$370),0))*Szenarien!$D$8,0)</f>
        <v>0.801</v>
      </c>
      <c r="E175" s="13" t="n">
        <f aca="false">IFERROR(MIN(C175,Eingaben!$B$17)*Eingaben!$B$16,0)</f>
        <v>1.5504</v>
      </c>
      <c r="F175" s="13" t="n">
        <f aca="false">IFERROR(E175*Eingaben!$B$15,0)</f>
        <v>1.39536</v>
      </c>
      <c r="G175" s="13" t="n">
        <f aca="false">IFERROR(IF(Kalender!A175="",0,J174*(1-Eingaben!$B$20)),0)</f>
        <v>0.59122224</v>
      </c>
      <c r="H175" s="13" t="n">
        <f aca="false">MIN(G175,D175)</f>
        <v>0.59122224</v>
      </c>
      <c r="I175" s="13" t="n">
        <f aca="false">IFERROR(MIN(F175*Eingaben!$B$19,MAX(0,D175-H175)),0)</f>
        <v>0.20977776</v>
      </c>
      <c r="J175" s="13" t="n">
        <f aca="false">IFERROR(MIN(Eingaben!$B$18,MAX(0,F175-I175)),0)</f>
        <v>1.18558224</v>
      </c>
      <c r="K175" s="13" t="n">
        <f aca="false">H175+I175</f>
        <v>0.801</v>
      </c>
      <c r="L175" s="13" t="n">
        <f aca="false">MAX(0,D175-K175)</f>
        <v>0</v>
      </c>
      <c r="M175" s="13" t="n">
        <f aca="false">MAX(0,F175-I175-J175)</f>
        <v>0</v>
      </c>
      <c r="N175" s="13" t="n">
        <f aca="false">IF(Kalender!A175="",0,J174-H175)</f>
        <v>0.01206576</v>
      </c>
    </row>
    <row r="176" customFormat="false" ht="16.4" hidden="false" customHeight="false" outlineLevel="0" collapsed="false">
      <c r="A176" s="13" t="str">
        <f aca="false">""</f>
        <v/>
      </c>
      <c r="B176" s="13" t="n">
        <f aca="false">172</f>
        <v>172</v>
      </c>
      <c r="C176" s="13" t="n">
        <f aca="false">IF(Szenarien!$H$8="OK",(IFERROR(SUMIF(Nutzungsprofile!$B$6:$B$11,"Schulbetrieb",Nutzungsprofile!$G$6:$G$11)*Kalender!C176/SUM(Kalender!$C$5:$C$370),0)+IFERROR(SUMIF(Nutzungsprofile!$B$6:$B$11,"Halle",Nutzungsprofile!$G$6:$G$11)*Kalender!D176/SUM(Kalender!$D$5:$D$370),0)+IFERROR(SUMIF(Nutzungsprofile!$B$6:$B$11,"Individuell",Nutzungsprofile!$G$6:$G$11)*Kalender!E176/SUM(Kalender!$E$5:$E$370),0))*Szenarien!$E$8,0)</f>
        <v>1.632</v>
      </c>
      <c r="D176" s="13" t="n">
        <f aca="false">IF(Szenarien!$H$8="OK",(IFERROR(SUMIF(Nutzungsprofile!$B$17:$B$22,"Schulbetrieb",Nutzungsprofile!$G$17:$G$22)*Kalender!C176/SUM(Kalender!$C$5:$C$370),0)+IFERROR(SUMIF(Nutzungsprofile!$B$17:$B$22,"Halle",Nutzungsprofile!$G$17:$G$22)*Kalender!D176/SUM(Kalender!$D$5:$D$370),0)+IFERROR(SUMIF(Nutzungsprofile!$B$17:$B$22,"Individuell",Nutzungsprofile!$G$17:$G$22)*Kalender!E176/SUM(Kalender!$E$5:$E$370),0))*Szenarien!$D$8,0)</f>
        <v>0.801</v>
      </c>
      <c r="E176" s="13" t="n">
        <f aca="false">IFERROR(MIN(C176,Eingaben!$B$17)*Eingaben!$B$16,0)</f>
        <v>1.5504</v>
      </c>
      <c r="F176" s="13" t="n">
        <f aca="false">IFERROR(E176*Eingaben!$B$15,0)</f>
        <v>1.39536</v>
      </c>
      <c r="G176" s="13" t="n">
        <f aca="false">IFERROR(IF(Kalender!A176="",0,J175*(1-Eingaben!$B$20)),0)</f>
        <v>1.1618705952</v>
      </c>
      <c r="H176" s="13" t="n">
        <f aca="false">MIN(G176,D176)</f>
        <v>0.801</v>
      </c>
      <c r="I176" s="13" t="n">
        <f aca="false">IFERROR(MIN(F176*Eingaben!$B$19,MAX(0,D176-H176)),0)</f>
        <v>0</v>
      </c>
      <c r="J176" s="13" t="n">
        <f aca="false">IFERROR(MIN(Eingaben!$B$18,MAX(0,F176-I176)),0)</f>
        <v>1.39536</v>
      </c>
      <c r="K176" s="13" t="n">
        <f aca="false">H176+I176</f>
        <v>0.801</v>
      </c>
      <c r="L176" s="13" t="n">
        <f aca="false">MAX(0,D176-K176)</f>
        <v>0</v>
      </c>
      <c r="M176" s="13" t="n">
        <f aca="false">MAX(0,F176-I176-J176)</f>
        <v>0</v>
      </c>
      <c r="N176" s="13" t="n">
        <f aca="false">IF(Kalender!A176="",0,J175-H176)</f>
        <v>0.38458224</v>
      </c>
    </row>
    <row r="177" customFormat="false" ht="16.4" hidden="false" customHeight="false" outlineLevel="0" collapsed="false">
      <c r="A177" s="13" t="str">
        <f aca="false">""</f>
        <v/>
      </c>
      <c r="B177" s="13" t="n">
        <f aca="false">173</f>
        <v>173</v>
      </c>
      <c r="C177" s="13" t="n">
        <f aca="false">IF(Szenarien!$H$8="OK",(IFERROR(SUMIF(Nutzungsprofile!$B$6:$B$11,"Schulbetrieb",Nutzungsprofile!$G$6:$G$11)*Kalender!C177/SUM(Kalender!$C$5:$C$370),0)+IFERROR(SUMIF(Nutzungsprofile!$B$6:$B$11,"Halle",Nutzungsprofile!$G$6:$G$11)*Kalender!D177/SUM(Kalender!$D$5:$D$370),0)+IFERROR(SUMIF(Nutzungsprofile!$B$6:$B$11,"Individuell",Nutzungsprofile!$G$6:$G$11)*Kalender!E177/SUM(Kalender!$E$5:$E$370),0))*Szenarien!$E$8,0)</f>
        <v>2.352</v>
      </c>
      <c r="D177" s="13" t="n">
        <f aca="false">IF(Szenarien!$H$8="OK",(IFERROR(SUMIF(Nutzungsprofile!$B$17:$B$22,"Schulbetrieb",Nutzungsprofile!$G$17:$G$22)*Kalender!C177/SUM(Kalender!$C$5:$C$370),0)+IFERROR(SUMIF(Nutzungsprofile!$B$17:$B$22,"Halle",Nutzungsprofile!$G$17:$G$22)*Kalender!D177/SUM(Kalender!$D$5:$D$370),0)+IFERROR(SUMIF(Nutzungsprofile!$B$17:$B$22,"Individuell",Nutzungsprofile!$G$17:$G$22)*Kalender!E177/SUM(Kalender!$E$5:$E$370),0))*Szenarien!$D$8,0)</f>
        <v>4.446</v>
      </c>
      <c r="E177" s="13" t="n">
        <f aca="false">IFERROR(MIN(C177,Eingaben!$B$17)*Eingaben!$B$16,0)</f>
        <v>2.2344</v>
      </c>
      <c r="F177" s="13" t="n">
        <f aca="false">IFERROR(E177*Eingaben!$B$15,0)</f>
        <v>2.01096</v>
      </c>
      <c r="G177" s="13" t="n">
        <f aca="false">IFERROR(IF(Kalender!A177="",0,J176*(1-Eingaben!$B$20)),0)</f>
        <v>1.3674528</v>
      </c>
      <c r="H177" s="13" t="n">
        <f aca="false">MIN(G177,D177)</f>
        <v>1.3674528</v>
      </c>
      <c r="I177" s="13" t="n">
        <f aca="false">IFERROR(MIN(F177*Eingaben!$B$19,MAX(0,D177-H177)),0)</f>
        <v>1.407672</v>
      </c>
      <c r="J177" s="13" t="n">
        <f aca="false">IFERROR(MIN(Eingaben!$B$18,MAX(0,F177-I177)),0)</f>
        <v>0.603288</v>
      </c>
      <c r="K177" s="13" t="n">
        <f aca="false">H177+I177</f>
        <v>2.7751248</v>
      </c>
      <c r="L177" s="13" t="n">
        <f aca="false">MAX(0,D177-K177)</f>
        <v>1.6708752</v>
      </c>
      <c r="M177" s="13" t="n">
        <f aca="false">MAX(0,F177-I177-J177)</f>
        <v>0</v>
      </c>
      <c r="N177" s="13" t="n">
        <f aca="false">IF(Kalender!A177="",0,J176-H177)</f>
        <v>0.0279072</v>
      </c>
    </row>
    <row r="178" customFormat="false" ht="16.4" hidden="false" customHeight="false" outlineLevel="0" collapsed="false">
      <c r="A178" s="13" t="str">
        <f aca="false">""</f>
        <v/>
      </c>
      <c r="B178" s="13" t="n">
        <f aca="false">174</f>
        <v>174</v>
      </c>
      <c r="C178" s="13" t="n">
        <f aca="false">IF(Szenarien!$H$8="OK",(IFERROR(SUMIF(Nutzungsprofile!$B$6:$B$11,"Schulbetrieb",Nutzungsprofile!$G$6:$G$11)*Kalender!C178/SUM(Kalender!$C$5:$C$370),0)+IFERROR(SUMIF(Nutzungsprofile!$B$6:$B$11,"Halle",Nutzungsprofile!$G$6:$G$11)*Kalender!D178/SUM(Kalender!$D$5:$D$370),0)+IFERROR(SUMIF(Nutzungsprofile!$B$6:$B$11,"Individuell",Nutzungsprofile!$G$6:$G$11)*Kalender!E178/SUM(Kalender!$E$5:$E$370),0))*Szenarien!$E$8,0)</f>
        <v>2.352</v>
      </c>
      <c r="D178" s="13" t="n">
        <f aca="false">IF(Szenarien!$H$8="OK",(IFERROR(SUMIF(Nutzungsprofile!$B$17:$B$22,"Schulbetrieb",Nutzungsprofile!$G$17:$G$22)*Kalender!C178/SUM(Kalender!$C$5:$C$370),0)+IFERROR(SUMIF(Nutzungsprofile!$B$17:$B$22,"Halle",Nutzungsprofile!$G$17:$G$22)*Kalender!D178/SUM(Kalender!$D$5:$D$370),0)+IFERROR(SUMIF(Nutzungsprofile!$B$17:$B$22,"Individuell",Nutzungsprofile!$G$17:$G$22)*Kalender!E178/SUM(Kalender!$E$5:$E$370),0))*Szenarien!$D$8,0)</f>
        <v>4.446</v>
      </c>
      <c r="E178" s="13" t="n">
        <f aca="false">IFERROR(MIN(C178,Eingaben!$B$17)*Eingaben!$B$16,0)</f>
        <v>2.2344</v>
      </c>
      <c r="F178" s="13" t="n">
        <f aca="false">IFERROR(E178*Eingaben!$B$15,0)</f>
        <v>2.01096</v>
      </c>
      <c r="G178" s="13" t="n">
        <f aca="false">IFERROR(IF(Kalender!A178="",0,J177*(1-Eingaben!$B$20)),0)</f>
        <v>0.59122224</v>
      </c>
      <c r="H178" s="13" t="n">
        <f aca="false">MIN(G178,D178)</f>
        <v>0.59122224</v>
      </c>
      <c r="I178" s="13" t="n">
        <f aca="false">IFERROR(MIN(F178*Eingaben!$B$19,MAX(0,D178-H178)),0)</f>
        <v>1.407672</v>
      </c>
      <c r="J178" s="13" t="n">
        <f aca="false">IFERROR(MIN(Eingaben!$B$18,MAX(0,F178-I178)),0)</f>
        <v>0.603288</v>
      </c>
      <c r="K178" s="13" t="n">
        <f aca="false">H178+I178</f>
        <v>1.99889424</v>
      </c>
      <c r="L178" s="13" t="n">
        <f aca="false">MAX(0,D178-K178)</f>
        <v>2.44710576</v>
      </c>
      <c r="M178" s="13" t="n">
        <f aca="false">MAX(0,F178-I178-J178)</f>
        <v>0</v>
      </c>
      <c r="N178" s="13" t="n">
        <f aca="false">IF(Kalender!A178="",0,J177-H178)</f>
        <v>0.01206576</v>
      </c>
    </row>
    <row r="179" customFormat="false" ht="16.4" hidden="false" customHeight="false" outlineLevel="0" collapsed="false">
      <c r="A179" s="13" t="str">
        <f aca="false">""</f>
        <v/>
      </c>
      <c r="B179" s="13" t="n">
        <f aca="false">175</f>
        <v>175</v>
      </c>
      <c r="C179" s="13" t="n">
        <f aca="false">IF(Szenarien!$H$8="OK",(IFERROR(SUMIF(Nutzungsprofile!$B$6:$B$11,"Schulbetrieb",Nutzungsprofile!$G$6:$G$11)*Kalender!C179/SUM(Kalender!$C$5:$C$370),0)+IFERROR(SUMIF(Nutzungsprofile!$B$6:$B$11,"Halle",Nutzungsprofile!$G$6:$G$11)*Kalender!D179/SUM(Kalender!$D$5:$D$370),0)+IFERROR(SUMIF(Nutzungsprofile!$B$6:$B$11,"Individuell",Nutzungsprofile!$G$6:$G$11)*Kalender!E179/SUM(Kalender!$E$5:$E$370),0))*Szenarien!$E$8,0)</f>
        <v>2.352</v>
      </c>
      <c r="D179" s="13" t="n">
        <f aca="false">IF(Szenarien!$H$8="OK",(IFERROR(SUMIF(Nutzungsprofile!$B$17:$B$22,"Schulbetrieb",Nutzungsprofile!$G$17:$G$22)*Kalender!C179/SUM(Kalender!$C$5:$C$370),0)+IFERROR(SUMIF(Nutzungsprofile!$B$17:$B$22,"Halle",Nutzungsprofile!$G$17:$G$22)*Kalender!D179/SUM(Kalender!$D$5:$D$370),0)+IFERROR(SUMIF(Nutzungsprofile!$B$17:$B$22,"Individuell",Nutzungsprofile!$G$17:$G$22)*Kalender!E179/SUM(Kalender!$E$5:$E$370),0))*Szenarien!$D$8,0)</f>
        <v>4.446</v>
      </c>
      <c r="E179" s="13" t="n">
        <f aca="false">IFERROR(MIN(C179,Eingaben!$B$17)*Eingaben!$B$16,0)</f>
        <v>2.2344</v>
      </c>
      <c r="F179" s="13" t="n">
        <f aca="false">IFERROR(E179*Eingaben!$B$15,0)</f>
        <v>2.01096</v>
      </c>
      <c r="G179" s="13" t="n">
        <f aca="false">IFERROR(IF(Kalender!A179="",0,J178*(1-Eingaben!$B$20)),0)</f>
        <v>0.59122224</v>
      </c>
      <c r="H179" s="13" t="n">
        <f aca="false">MIN(G179,D179)</f>
        <v>0.59122224</v>
      </c>
      <c r="I179" s="13" t="n">
        <f aca="false">IFERROR(MIN(F179*Eingaben!$B$19,MAX(0,D179-H179)),0)</f>
        <v>1.407672</v>
      </c>
      <c r="J179" s="13" t="n">
        <f aca="false">IFERROR(MIN(Eingaben!$B$18,MAX(0,F179-I179)),0)</f>
        <v>0.603288</v>
      </c>
      <c r="K179" s="13" t="n">
        <f aca="false">H179+I179</f>
        <v>1.99889424</v>
      </c>
      <c r="L179" s="13" t="n">
        <f aca="false">MAX(0,D179-K179)</f>
        <v>2.44710576</v>
      </c>
      <c r="M179" s="13" t="n">
        <f aca="false">MAX(0,F179-I179-J179)</f>
        <v>0</v>
      </c>
      <c r="N179" s="13" t="n">
        <f aca="false">IF(Kalender!A179="",0,J178-H179)</f>
        <v>0.01206576</v>
      </c>
    </row>
    <row r="180" customFormat="false" ht="16.4" hidden="false" customHeight="false" outlineLevel="0" collapsed="false">
      <c r="A180" s="13" t="str">
        <f aca="false">""</f>
        <v/>
      </c>
      <c r="B180" s="13" t="n">
        <f aca="false">176</f>
        <v>176</v>
      </c>
      <c r="C180" s="13" t="n">
        <f aca="false">IF(Szenarien!$H$8="OK",(IFERROR(SUMIF(Nutzungsprofile!$B$6:$B$11,"Schulbetrieb",Nutzungsprofile!$G$6:$G$11)*Kalender!C180/SUM(Kalender!$C$5:$C$370),0)+IFERROR(SUMIF(Nutzungsprofile!$B$6:$B$11,"Halle",Nutzungsprofile!$G$6:$G$11)*Kalender!D180/SUM(Kalender!$D$5:$D$370),0)+IFERROR(SUMIF(Nutzungsprofile!$B$6:$B$11,"Individuell",Nutzungsprofile!$G$6:$G$11)*Kalender!E180/SUM(Kalender!$E$5:$E$370),0))*Szenarien!$E$8,0)</f>
        <v>2.352</v>
      </c>
      <c r="D180" s="13" t="n">
        <f aca="false">IF(Szenarien!$H$8="OK",(IFERROR(SUMIF(Nutzungsprofile!$B$17:$B$22,"Schulbetrieb",Nutzungsprofile!$G$17:$G$22)*Kalender!C180/SUM(Kalender!$C$5:$C$370),0)+IFERROR(SUMIF(Nutzungsprofile!$B$17:$B$22,"Halle",Nutzungsprofile!$G$17:$G$22)*Kalender!D180/SUM(Kalender!$D$5:$D$370),0)+IFERROR(SUMIF(Nutzungsprofile!$B$17:$B$22,"Individuell",Nutzungsprofile!$G$17:$G$22)*Kalender!E180/SUM(Kalender!$E$5:$E$370),0))*Szenarien!$D$8,0)</f>
        <v>4.446</v>
      </c>
      <c r="E180" s="13" t="n">
        <f aca="false">IFERROR(MIN(C180,Eingaben!$B$17)*Eingaben!$B$16,0)</f>
        <v>2.2344</v>
      </c>
      <c r="F180" s="13" t="n">
        <f aca="false">IFERROR(E180*Eingaben!$B$15,0)</f>
        <v>2.01096</v>
      </c>
      <c r="G180" s="13" t="n">
        <f aca="false">IFERROR(IF(Kalender!A180="",0,J179*(1-Eingaben!$B$20)),0)</f>
        <v>0.59122224</v>
      </c>
      <c r="H180" s="13" t="n">
        <f aca="false">MIN(G180,D180)</f>
        <v>0.59122224</v>
      </c>
      <c r="I180" s="13" t="n">
        <f aca="false">IFERROR(MIN(F180*Eingaben!$B$19,MAX(0,D180-H180)),0)</f>
        <v>1.407672</v>
      </c>
      <c r="J180" s="13" t="n">
        <f aca="false">IFERROR(MIN(Eingaben!$B$18,MAX(0,F180-I180)),0)</f>
        <v>0.603288</v>
      </c>
      <c r="K180" s="13" t="n">
        <f aca="false">H180+I180</f>
        <v>1.99889424</v>
      </c>
      <c r="L180" s="13" t="n">
        <f aca="false">MAX(0,D180-K180)</f>
        <v>2.44710576</v>
      </c>
      <c r="M180" s="13" t="n">
        <f aca="false">MAX(0,F180-I180-J180)</f>
        <v>0</v>
      </c>
      <c r="N180" s="13" t="n">
        <f aca="false">IF(Kalender!A180="",0,J179-H180)</f>
        <v>0.01206576</v>
      </c>
    </row>
    <row r="181" customFormat="false" ht="16.4" hidden="false" customHeight="false" outlineLevel="0" collapsed="false">
      <c r="A181" s="13" t="str">
        <f aca="false">""</f>
        <v/>
      </c>
      <c r="B181" s="13" t="n">
        <f aca="false">177</f>
        <v>177</v>
      </c>
      <c r="C181" s="13" t="n">
        <f aca="false">IF(Szenarien!$H$8="OK",(IFERROR(SUMIF(Nutzungsprofile!$B$6:$B$11,"Schulbetrieb",Nutzungsprofile!$G$6:$G$11)*Kalender!C181/SUM(Kalender!$C$5:$C$370),0)+IFERROR(SUMIF(Nutzungsprofile!$B$6:$B$11,"Halle",Nutzungsprofile!$G$6:$G$11)*Kalender!D181/SUM(Kalender!$D$5:$D$370),0)+IFERROR(SUMIF(Nutzungsprofile!$B$6:$B$11,"Individuell",Nutzungsprofile!$G$6:$G$11)*Kalender!E181/SUM(Kalender!$E$5:$E$370),0))*Szenarien!$E$8,0)</f>
        <v>2.352</v>
      </c>
      <c r="D181" s="13" t="n">
        <f aca="false">IF(Szenarien!$H$8="OK",(IFERROR(SUMIF(Nutzungsprofile!$B$17:$B$22,"Schulbetrieb",Nutzungsprofile!$G$17:$G$22)*Kalender!C181/SUM(Kalender!$C$5:$C$370),0)+IFERROR(SUMIF(Nutzungsprofile!$B$17:$B$22,"Halle",Nutzungsprofile!$G$17:$G$22)*Kalender!D181/SUM(Kalender!$D$5:$D$370),0)+IFERROR(SUMIF(Nutzungsprofile!$B$17:$B$22,"Individuell",Nutzungsprofile!$G$17:$G$22)*Kalender!E181/SUM(Kalender!$E$5:$E$370),0))*Szenarien!$D$8,0)</f>
        <v>4.446</v>
      </c>
      <c r="E181" s="13" t="n">
        <f aca="false">IFERROR(MIN(C181,Eingaben!$B$17)*Eingaben!$B$16,0)</f>
        <v>2.2344</v>
      </c>
      <c r="F181" s="13" t="n">
        <f aca="false">IFERROR(E181*Eingaben!$B$15,0)</f>
        <v>2.01096</v>
      </c>
      <c r="G181" s="13" t="n">
        <f aca="false">IFERROR(IF(Kalender!A181="",0,J180*(1-Eingaben!$B$20)),0)</f>
        <v>0.59122224</v>
      </c>
      <c r="H181" s="13" t="n">
        <f aca="false">MIN(G181,D181)</f>
        <v>0.59122224</v>
      </c>
      <c r="I181" s="13" t="n">
        <f aca="false">IFERROR(MIN(F181*Eingaben!$B$19,MAX(0,D181-H181)),0)</f>
        <v>1.407672</v>
      </c>
      <c r="J181" s="13" t="n">
        <f aca="false">IFERROR(MIN(Eingaben!$B$18,MAX(0,F181-I181)),0)</f>
        <v>0.603288</v>
      </c>
      <c r="K181" s="13" t="n">
        <f aca="false">H181+I181</f>
        <v>1.99889424</v>
      </c>
      <c r="L181" s="13" t="n">
        <f aca="false">MAX(0,D181-K181)</f>
        <v>2.44710576</v>
      </c>
      <c r="M181" s="13" t="n">
        <f aca="false">MAX(0,F181-I181-J181)</f>
        <v>0</v>
      </c>
      <c r="N181" s="13" t="n">
        <f aca="false">IF(Kalender!A181="",0,J180-H181)</f>
        <v>0.01206576</v>
      </c>
    </row>
    <row r="182" customFormat="false" ht="16.4" hidden="false" customHeight="false" outlineLevel="0" collapsed="false">
      <c r="A182" s="13" t="str">
        <f aca="false">""</f>
        <v/>
      </c>
      <c r="B182" s="13" t="n">
        <f aca="false">178</f>
        <v>178</v>
      </c>
      <c r="C182" s="13" t="n">
        <f aca="false">IF(Szenarien!$H$8="OK",(IFERROR(SUMIF(Nutzungsprofile!$B$6:$B$11,"Schulbetrieb",Nutzungsprofile!$G$6:$G$11)*Kalender!C182/SUM(Kalender!$C$5:$C$370),0)+IFERROR(SUMIF(Nutzungsprofile!$B$6:$B$11,"Halle",Nutzungsprofile!$G$6:$G$11)*Kalender!D182/SUM(Kalender!$D$5:$D$370),0)+IFERROR(SUMIF(Nutzungsprofile!$B$6:$B$11,"Individuell",Nutzungsprofile!$G$6:$G$11)*Kalender!E182/SUM(Kalender!$E$5:$E$370),0))*Szenarien!$E$8,0)</f>
        <v>1.632</v>
      </c>
      <c r="D182" s="13" t="n">
        <f aca="false">IF(Szenarien!$H$8="OK",(IFERROR(SUMIF(Nutzungsprofile!$B$17:$B$22,"Schulbetrieb",Nutzungsprofile!$G$17:$G$22)*Kalender!C182/SUM(Kalender!$C$5:$C$370),0)+IFERROR(SUMIF(Nutzungsprofile!$B$17:$B$22,"Halle",Nutzungsprofile!$G$17:$G$22)*Kalender!D182/SUM(Kalender!$D$5:$D$370),0)+IFERROR(SUMIF(Nutzungsprofile!$B$17:$B$22,"Individuell",Nutzungsprofile!$G$17:$G$22)*Kalender!E182/SUM(Kalender!$E$5:$E$370),0))*Szenarien!$D$8,0)</f>
        <v>0.801</v>
      </c>
      <c r="E182" s="13" t="n">
        <f aca="false">IFERROR(MIN(C182,Eingaben!$B$17)*Eingaben!$B$16,0)</f>
        <v>1.5504</v>
      </c>
      <c r="F182" s="13" t="n">
        <f aca="false">IFERROR(E182*Eingaben!$B$15,0)</f>
        <v>1.39536</v>
      </c>
      <c r="G182" s="13" t="n">
        <f aca="false">IFERROR(IF(Kalender!A182="",0,J181*(1-Eingaben!$B$20)),0)</f>
        <v>0.59122224</v>
      </c>
      <c r="H182" s="13" t="n">
        <f aca="false">MIN(G182,D182)</f>
        <v>0.59122224</v>
      </c>
      <c r="I182" s="13" t="n">
        <f aca="false">IFERROR(MIN(F182*Eingaben!$B$19,MAX(0,D182-H182)),0)</f>
        <v>0.20977776</v>
      </c>
      <c r="J182" s="13" t="n">
        <f aca="false">IFERROR(MIN(Eingaben!$B$18,MAX(0,F182-I182)),0)</f>
        <v>1.18558224</v>
      </c>
      <c r="K182" s="13" t="n">
        <f aca="false">H182+I182</f>
        <v>0.801</v>
      </c>
      <c r="L182" s="13" t="n">
        <f aca="false">MAX(0,D182-K182)</f>
        <v>0</v>
      </c>
      <c r="M182" s="13" t="n">
        <f aca="false">MAX(0,F182-I182-J182)</f>
        <v>0</v>
      </c>
      <c r="N182" s="13" t="n">
        <f aca="false">IF(Kalender!A182="",0,J181-H182)</f>
        <v>0.01206576</v>
      </c>
    </row>
    <row r="183" customFormat="false" ht="16.4" hidden="false" customHeight="false" outlineLevel="0" collapsed="false">
      <c r="A183" s="13" t="str">
        <f aca="false">""</f>
        <v/>
      </c>
      <c r="B183" s="13" t="n">
        <f aca="false">179</f>
        <v>179</v>
      </c>
      <c r="C183" s="13" t="n">
        <f aca="false">IF(Szenarien!$H$8="OK",(IFERROR(SUMIF(Nutzungsprofile!$B$6:$B$11,"Schulbetrieb",Nutzungsprofile!$G$6:$G$11)*Kalender!C183/SUM(Kalender!$C$5:$C$370),0)+IFERROR(SUMIF(Nutzungsprofile!$B$6:$B$11,"Halle",Nutzungsprofile!$G$6:$G$11)*Kalender!D183/SUM(Kalender!$D$5:$D$370),0)+IFERROR(SUMIF(Nutzungsprofile!$B$6:$B$11,"Individuell",Nutzungsprofile!$G$6:$G$11)*Kalender!E183/SUM(Kalender!$E$5:$E$370),0))*Szenarien!$E$8,0)</f>
        <v>1.632</v>
      </c>
      <c r="D183" s="13" t="n">
        <f aca="false">IF(Szenarien!$H$8="OK",(IFERROR(SUMIF(Nutzungsprofile!$B$17:$B$22,"Schulbetrieb",Nutzungsprofile!$G$17:$G$22)*Kalender!C183/SUM(Kalender!$C$5:$C$370),0)+IFERROR(SUMIF(Nutzungsprofile!$B$17:$B$22,"Halle",Nutzungsprofile!$G$17:$G$22)*Kalender!D183/SUM(Kalender!$D$5:$D$370),0)+IFERROR(SUMIF(Nutzungsprofile!$B$17:$B$22,"Individuell",Nutzungsprofile!$G$17:$G$22)*Kalender!E183/SUM(Kalender!$E$5:$E$370),0))*Szenarien!$D$8,0)</f>
        <v>0.801</v>
      </c>
      <c r="E183" s="13" t="n">
        <f aca="false">IFERROR(MIN(C183,Eingaben!$B$17)*Eingaben!$B$16,0)</f>
        <v>1.5504</v>
      </c>
      <c r="F183" s="13" t="n">
        <f aca="false">IFERROR(E183*Eingaben!$B$15,0)</f>
        <v>1.39536</v>
      </c>
      <c r="G183" s="13" t="n">
        <f aca="false">IFERROR(IF(Kalender!A183="",0,J182*(1-Eingaben!$B$20)),0)</f>
        <v>1.1618705952</v>
      </c>
      <c r="H183" s="13" t="n">
        <f aca="false">MIN(G183,D183)</f>
        <v>0.801</v>
      </c>
      <c r="I183" s="13" t="n">
        <f aca="false">IFERROR(MIN(F183*Eingaben!$B$19,MAX(0,D183-H183)),0)</f>
        <v>0</v>
      </c>
      <c r="J183" s="13" t="n">
        <f aca="false">IFERROR(MIN(Eingaben!$B$18,MAX(0,F183-I183)),0)</f>
        <v>1.39536</v>
      </c>
      <c r="K183" s="13" t="n">
        <f aca="false">H183+I183</f>
        <v>0.801</v>
      </c>
      <c r="L183" s="13" t="n">
        <f aca="false">MAX(0,D183-K183)</f>
        <v>0</v>
      </c>
      <c r="M183" s="13" t="n">
        <f aca="false">MAX(0,F183-I183-J183)</f>
        <v>0</v>
      </c>
      <c r="N183" s="13" t="n">
        <f aca="false">IF(Kalender!A183="",0,J182-H183)</f>
        <v>0.38458224</v>
      </c>
    </row>
    <row r="184" customFormat="false" ht="16.4" hidden="false" customHeight="false" outlineLevel="0" collapsed="false">
      <c r="A184" s="13" t="str">
        <f aca="false">""</f>
        <v/>
      </c>
      <c r="B184" s="13" t="n">
        <f aca="false">180</f>
        <v>180</v>
      </c>
      <c r="C184" s="13" t="n">
        <f aca="false">IF(Szenarien!$H$8="OK",(IFERROR(SUMIF(Nutzungsprofile!$B$6:$B$11,"Schulbetrieb",Nutzungsprofile!$G$6:$G$11)*Kalender!C184/SUM(Kalender!$C$5:$C$370),0)+IFERROR(SUMIF(Nutzungsprofile!$B$6:$B$11,"Halle",Nutzungsprofile!$G$6:$G$11)*Kalender!D184/SUM(Kalender!$D$5:$D$370),0)+IFERROR(SUMIF(Nutzungsprofile!$B$6:$B$11,"Individuell",Nutzungsprofile!$G$6:$G$11)*Kalender!E184/SUM(Kalender!$E$5:$E$370),0))*Szenarien!$E$8,0)</f>
        <v>2.352</v>
      </c>
      <c r="D184" s="13" t="n">
        <f aca="false">IF(Szenarien!$H$8="OK",(IFERROR(SUMIF(Nutzungsprofile!$B$17:$B$22,"Schulbetrieb",Nutzungsprofile!$G$17:$G$22)*Kalender!C184/SUM(Kalender!$C$5:$C$370),0)+IFERROR(SUMIF(Nutzungsprofile!$B$17:$B$22,"Halle",Nutzungsprofile!$G$17:$G$22)*Kalender!D184/SUM(Kalender!$D$5:$D$370),0)+IFERROR(SUMIF(Nutzungsprofile!$B$17:$B$22,"Individuell",Nutzungsprofile!$G$17:$G$22)*Kalender!E184/SUM(Kalender!$E$5:$E$370),0))*Szenarien!$D$8,0)</f>
        <v>4.446</v>
      </c>
      <c r="E184" s="13" t="n">
        <f aca="false">IFERROR(MIN(C184,Eingaben!$B$17)*Eingaben!$B$16,0)</f>
        <v>2.2344</v>
      </c>
      <c r="F184" s="13" t="n">
        <f aca="false">IFERROR(E184*Eingaben!$B$15,0)</f>
        <v>2.01096</v>
      </c>
      <c r="G184" s="13" t="n">
        <f aca="false">IFERROR(IF(Kalender!A184="",0,J183*(1-Eingaben!$B$20)),0)</f>
        <v>1.3674528</v>
      </c>
      <c r="H184" s="13" t="n">
        <f aca="false">MIN(G184,D184)</f>
        <v>1.3674528</v>
      </c>
      <c r="I184" s="13" t="n">
        <f aca="false">IFERROR(MIN(F184*Eingaben!$B$19,MAX(0,D184-H184)),0)</f>
        <v>1.407672</v>
      </c>
      <c r="J184" s="13" t="n">
        <f aca="false">IFERROR(MIN(Eingaben!$B$18,MAX(0,F184-I184)),0)</f>
        <v>0.603288</v>
      </c>
      <c r="K184" s="13" t="n">
        <f aca="false">H184+I184</f>
        <v>2.7751248</v>
      </c>
      <c r="L184" s="13" t="n">
        <f aca="false">MAX(0,D184-K184)</f>
        <v>1.6708752</v>
      </c>
      <c r="M184" s="13" t="n">
        <f aca="false">MAX(0,F184-I184-J184)</f>
        <v>0</v>
      </c>
      <c r="N184" s="13" t="n">
        <f aca="false">IF(Kalender!A184="",0,J183-H184)</f>
        <v>0.0279072</v>
      </c>
    </row>
    <row r="185" customFormat="false" ht="16.4" hidden="false" customHeight="false" outlineLevel="0" collapsed="false">
      <c r="A185" s="13" t="str">
        <f aca="false">""</f>
        <v/>
      </c>
      <c r="B185" s="13" t="n">
        <f aca="false">181</f>
        <v>181</v>
      </c>
      <c r="C185" s="13" t="n">
        <f aca="false">IF(Szenarien!$H$8="OK",(IFERROR(SUMIF(Nutzungsprofile!$B$6:$B$11,"Schulbetrieb",Nutzungsprofile!$G$6:$G$11)*Kalender!C185/SUM(Kalender!$C$5:$C$370),0)+IFERROR(SUMIF(Nutzungsprofile!$B$6:$B$11,"Halle",Nutzungsprofile!$G$6:$G$11)*Kalender!D185/SUM(Kalender!$D$5:$D$370),0)+IFERROR(SUMIF(Nutzungsprofile!$B$6:$B$11,"Individuell",Nutzungsprofile!$G$6:$G$11)*Kalender!E185/SUM(Kalender!$E$5:$E$370),0))*Szenarien!$E$8,0)</f>
        <v>2.352</v>
      </c>
      <c r="D185" s="13" t="n">
        <f aca="false">IF(Szenarien!$H$8="OK",(IFERROR(SUMIF(Nutzungsprofile!$B$17:$B$22,"Schulbetrieb",Nutzungsprofile!$G$17:$G$22)*Kalender!C185/SUM(Kalender!$C$5:$C$370),0)+IFERROR(SUMIF(Nutzungsprofile!$B$17:$B$22,"Halle",Nutzungsprofile!$G$17:$G$22)*Kalender!D185/SUM(Kalender!$D$5:$D$370),0)+IFERROR(SUMIF(Nutzungsprofile!$B$17:$B$22,"Individuell",Nutzungsprofile!$G$17:$G$22)*Kalender!E185/SUM(Kalender!$E$5:$E$370),0))*Szenarien!$D$8,0)</f>
        <v>4.446</v>
      </c>
      <c r="E185" s="13" t="n">
        <f aca="false">IFERROR(MIN(C185,Eingaben!$B$17)*Eingaben!$B$16,0)</f>
        <v>2.2344</v>
      </c>
      <c r="F185" s="13" t="n">
        <f aca="false">IFERROR(E185*Eingaben!$B$15,0)</f>
        <v>2.01096</v>
      </c>
      <c r="G185" s="13" t="n">
        <f aca="false">IFERROR(IF(Kalender!A185="",0,J184*(1-Eingaben!$B$20)),0)</f>
        <v>0.59122224</v>
      </c>
      <c r="H185" s="13" t="n">
        <f aca="false">MIN(G185,D185)</f>
        <v>0.59122224</v>
      </c>
      <c r="I185" s="13" t="n">
        <f aca="false">IFERROR(MIN(F185*Eingaben!$B$19,MAX(0,D185-H185)),0)</f>
        <v>1.407672</v>
      </c>
      <c r="J185" s="13" t="n">
        <f aca="false">IFERROR(MIN(Eingaben!$B$18,MAX(0,F185-I185)),0)</f>
        <v>0.603288</v>
      </c>
      <c r="K185" s="13" t="n">
        <f aca="false">H185+I185</f>
        <v>1.99889424</v>
      </c>
      <c r="L185" s="13" t="n">
        <f aca="false">MAX(0,D185-K185)</f>
        <v>2.44710576</v>
      </c>
      <c r="M185" s="13" t="n">
        <f aca="false">MAX(0,F185-I185-J185)</f>
        <v>0</v>
      </c>
      <c r="N185" s="13" t="n">
        <f aca="false">IF(Kalender!A185="",0,J184-H185)</f>
        <v>0.01206576</v>
      </c>
    </row>
    <row r="186" customFormat="false" ht="16.4" hidden="false" customHeight="false" outlineLevel="0" collapsed="false">
      <c r="A186" s="13" t="str">
        <f aca="false">""</f>
        <v/>
      </c>
      <c r="B186" s="13" t="n">
        <f aca="false">182</f>
        <v>182</v>
      </c>
      <c r="C186" s="13" t="n">
        <f aca="false">IF(Szenarien!$H$8="OK",(IFERROR(SUMIF(Nutzungsprofile!$B$6:$B$11,"Schulbetrieb",Nutzungsprofile!$G$6:$G$11)*Kalender!C186/SUM(Kalender!$C$5:$C$370),0)+IFERROR(SUMIF(Nutzungsprofile!$B$6:$B$11,"Halle",Nutzungsprofile!$G$6:$G$11)*Kalender!D186/SUM(Kalender!$D$5:$D$370),0)+IFERROR(SUMIF(Nutzungsprofile!$B$6:$B$11,"Individuell",Nutzungsprofile!$G$6:$G$11)*Kalender!E186/SUM(Kalender!$E$5:$E$370),0))*Szenarien!$E$8,0)</f>
        <v>1.632</v>
      </c>
      <c r="D186" s="13" t="n">
        <f aca="false">IF(Szenarien!$H$8="OK",(IFERROR(SUMIF(Nutzungsprofile!$B$17:$B$22,"Schulbetrieb",Nutzungsprofile!$G$17:$G$22)*Kalender!C186/SUM(Kalender!$C$5:$C$370),0)+IFERROR(SUMIF(Nutzungsprofile!$B$17:$B$22,"Halle",Nutzungsprofile!$G$17:$G$22)*Kalender!D186/SUM(Kalender!$D$5:$D$370),0)+IFERROR(SUMIF(Nutzungsprofile!$B$17:$B$22,"Individuell",Nutzungsprofile!$G$17:$G$22)*Kalender!E186/SUM(Kalender!$E$5:$E$370),0))*Szenarien!$D$8,0)</f>
        <v>0.801</v>
      </c>
      <c r="E186" s="13" t="n">
        <f aca="false">IFERROR(MIN(C186,Eingaben!$B$17)*Eingaben!$B$16,0)</f>
        <v>1.5504</v>
      </c>
      <c r="F186" s="13" t="n">
        <f aca="false">IFERROR(E186*Eingaben!$B$15,0)</f>
        <v>1.39536</v>
      </c>
      <c r="G186" s="13" t="n">
        <f aca="false">IFERROR(IF(Kalender!A186="",0,J185*(1-Eingaben!$B$20)),0)</f>
        <v>0.59122224</v>
      </c>
      <c r="H186" s="13" t="n">
        <f aca="false">MIN(G186,D186)</f>
        <v>0.59122224</v>
      </c>
      <c r="I186" s="13" t="n">
        <f aca="false">IFERROR(MIN(F186*Eingaben!$B$19,MAX(0,D186-H186)),0)</f>
        <v>0.20977776</v>
      </c>
      <c r="J186" s="13" t="n">
        <f aca="false">IFERROR(MIN(Eingaben!$B$18,MAX(0,F186-I186)),0)</f>
        <v>1.18558224</v>
      </c>
      <c r="K186" s="13" t="n">
        <f aca="false">H186+I186</f>
        <v>0.801</v>
      </c>
      <c r="L186" s="13" t="n">
        <f aca="false">MAX(0,D186-K186)</f>
        <v>0</v>
      </c>
      <c r="M186" s="13" t="n">
        <f aca="false">MAX(0,F186-I186-J186)</f>
        <v>0</v>
      </c>
      <c r="N186" s="13" t="n">
        <f aca="false">IF(Kalender!A186="",0,J185-H186)</f>
        <v>0.01206576</v>
      </c>
    </row>
    <row r="187" customFormat="false" ht="16.4" hidden="false" customHeight="false" outlineLevel="0" collapsed="false">
      <c r="A187" s="13" t="str">
        <f aca="false">""</f>
        <v/>
      </c>
      <c r="B187" s="13" t="n">
        <f aca="false">183</f>
        <v>183</v>
      </c>
      <c r="C187" s="13" t="n">
        <f aca="false">IF(Szenarien!$H$8="OK",(IFERROR(SUMIF(Nutzungsprofile!$B$6:$B$11,"Schulbetrieb",Nutzungsprofile!$G$6:$G$11)*Kalender!C187/SUM(Kalender!$C$5:$C$370),0)+IFERROR(SUMIF(Nutzungsprofile!$B$6:$B$11,"Halle",Nutzungsprofile!$G$6:$G$11)*Kalender!D187/SUM(Kalender!$D$5:$D$370),0)+IFERROR(SUMIF(Nutzungsprofile!$B$6:$B$11,"Individuell",Nutzungsprofile!$G$6:$G$11)*Kalender!E187/SUM(Kalender!$E$5:$E$370),0))*Szenarien!$E$8,0)</f>
        <v>1.632</v>
      </c>
      <c r="D187" s="13" t="n">
        <f aca="false">IF(Szenarien!$H$8="OK",(IFERROR(SUMIF(Nutzungsprofile!$B$17:$B$22,"Schulbetrieb",Nutzungsprofile!$G$17:$G$22)*Kalender!C187/SUM(Kalender!$C$5:$C$370),0)+IFERROR(SUMIF(Nutzungsprofile!$B$17:$B$22,"Halle",Nutzungsprofile!$G$17:$G$22)*Kalender!D187/SUM(Kalender!$D$5:$D$370),0)+IFERROR(SUMIF(Nutzungsprofile!$B$17:$B$22,"Individuell",Nutzungsprofile!$G$17:$G$22)*Kalender!E187/SUM(Kalender!$E$5:$E$370),0))*Szenarien!$D$8,0)</f>
        <v>0.801</v>
      </c>
      <c r="E187" s="13" t="n">
        <f aca="false">IFERROR(MIN(C187,Eingaben!$B$17)*Eingaben!$B$16,0)</f>
        <v>1.5504</v>
      </c>
      <c r="F187" s="13" t="n">
        <f aca="false">IFERROR(E187*Eingaben!$B$15,0)</f>
        <v>1.39536</v>
      </c>
      <c r="G187" s="13" t="n">
        <f aca="false">IFERROR(IF(Kalender!A187="",0,J186*(1-Eingaben!$B$20)),0)</f>
        <v>1.1618705952</v>
      </c>
      <c r="H187" s="13" t="n">
        <f aca="false">MIN(G187,D187)</f>
        <v>0.801</v>
      </c>
      <c r="I187" s="13" t="n">
        <f aca="false">IFERROR(MIN(F187*Eingaben!$B$19,MAX(0,D187-H187)),0)</f>
        <v>0</v>
      </c>
      <c r="J187" s="13" t="n">
        <f aca="false">IFERROR(MIN(Eingaben!$B$18,MAX(0,F187-I187)),0)</f>
        <v>1.39536</v>
      </c>
      <c r="K187" s="13" t="n">
        <f aca="false">H187+I187</f>
        <v>0.801</v>
      </c>
      <c r="L187" s="13" t="n">
        <f aca="false">MAX(0,D187-K187)</f>
        <v>0</v>
      </c>
      <c r="M187" s="13" t="n">
        <f aca="false">MAX(0,F187-I187-J187)</f>
        <v>0</v>
      </c>
      <c r="N187" s="13" t="n">
        <f aca="false">IF(Kalender!A187="",0,J186-H187)</f>
        <v>0.38458224</v>
      </c>
    </row>
    <row r="188" customFormat="false" ht="16.4" hidden="false" customHeight="false" outlineLevel="0" collapsed="false">
      <c r="A188" s="13" t="str">
        <f aca="false">""</f>
        <v/>
      </c>
      <c r="B188" s="13" t="n">
        <f aca="false">184</f>
        <v>184</v>
      </c>
      <c r="C188" s="13" t="n">
        <f aca="false">IF(Szenarien!$H$8="OK",(IFERROR(SUMIF(Nutzungsprofile!$B$6:$B$11,"Schulbetrieb",Nutzungsprofile!$G$6:$G$11)*Kalender!C188/SUM(Kalender!$C$5:$C$370),0)+IFERROR(SUMIF(Nutzungsprofile!$B$6:$B$11,"Halle",Nutzungsprofile!$G$6:$G$11)*Kalender!D188/SUM(Kalender!$D$5:$D$370),0)+IFERROR(SUMIF(Nutzungsprofile!$B$6:$B$11,"Individuell",Nutzungsprofile!$G$6:$G$11)*Kalender!E188/SUM(Kalender!$E$5:$E$370),0))*Szenarien!$E$8,0)</f>
        <v>1.632</v>
      </c>
      <c r="D188" s="13" t="n">
        <f aca="false">IF(Szenarien!$H$8="OK",(IFERROR(SUMIF(Nutzungsprofile!$B$17:$B$22,"Schulbetrieb",Nutzungsprofile!$G$17:$G$22)*Kalender!C188/SUM(Kalender!$C$5:$C$370),0)+IFERROR(SUMIF(Nutzungsprofile!$B$17:$B$22,"Halle",Nutzungsprofile!$G$17:$G$22)*Kalender!D188/SUM(Kalender!$D$5:$D$370),0)+IFERROR(SUMIF(Nutzungsprofile!$B$17:$B$22,"Individuell",Nutzungsprofile!$G$17:$G$22)*Kalender!E188/SUM(Kalender!$E$5:$E$370),0))*Szenarien!$D$8,0)</f>
        <v>0.801</v>
      </c>
      <c r="E188" s="13" t="n">
        <f aca="false">IFERROR(MIN(C188,Eingaben!$B$17)*Eingaben!$B$16,0)</f>
        <v>1.5504</v>
      </c>
      <c r="F188" s="13" t="n">
        <f aca="false">IFERROR(E188*Eingaben!$B$15,0)</f>
        <v>1.39536</v>
      </c>
      <c r="G188" s="13" t="n">
        <f aca="false">IFERROR(IF(Kalender!A188="",0,J187*(1-Eingaben!$B$20)),0)</f>
        <v>1.3674528</v>
      </c>
      <c r="H188" s="13" t="n">
        <f aca="false">MIN(G188,D188)</f>
        <v>0.801</v>
      </c>
      <c r="I188" s="13" t="n">
        <f aca="false">IFERROR(MIN(F188*Eingaben!$B$19,MAX(0,D188-H188)),0)</f>
        <v>0</v>
      </c>
      <c r="J188" s="13" t="n">
        <f aca="false">IFERROR(MIN(Eingaben!$B$18,MAX(0,F188-I188)),0)</f>
        <v>1.39536</v>
      </c>
      <c r="K188" s="13" t="n">
        <f aca="false">H188+I188</f>
        <v>0.801</v>
      </c>
      <c r="L188" s="13" t="n">
        <f aca="false">MAX(0,D188-K188)</f>
        <v>0</v>
      </c>
      <c r="M188" s="13" t="n">
        <f aca="false">MAX(0,F188-I188-J188)</f>
        <v>0</v>
      </c>
      <c r="N188" s="13" t="n">
        <f aca="false">IF(Kalender!A188="",0,J187-H188)</f>
        <v>0.59436</v>
      </c>
    </row>
    <row r="189" customFormat="false" ht="16.4" hidden="false" customHeight="false" outlineLevel="0" collapsed="false">
      <c r="A189" s="13" t="str">
        <f aca="false">""</f>
        <v/>
      </c>
      <c r="B189" s="13" t="n">
        <f aca="false">185</f>
        <v>185</v>
      </c>
      <c r="C189" s="13" t="n">
        <f aca="false">IF(Szenarien!$H$8="OK",(IFERROR(SUMIF(Nutzungsprofile!$B$6:$B$11,"Schulbetrieb",Nutzungsprofile!$G$6:$G$11)*Kalender!C189/SUM(Kalender!$C$5:$C$370),0)+IFERROR(SUMIF(Nutzungsprofile!$B$6:$B$11,"Halle",Nutzungsprofile!$G$6:$G$11)*Kalender!D189/SUM(Kalender!$D$5:$D$370),0)+IFERROR(SUMIF(Nutzungsprofile!$B$6:$B$11,"Individuell",Nutzungsprofile!$G$6:$G$11)*Kalender!E189/SUM(Kalender!$E$5:$E$370),0))*Szenarien!$E$8,0)</f>
        <v>1.632</v>
      </c>
      <c r="D189" s="13" t="n">
        <f aca="false">IF(Szenarien!$H$8="OK",(IFERROR(SUMIF(Nutzungsprofile!$B$17:$B$22,"Schulbetrieb",Nutzungsprofile!$G$17:$G$22)*Kalender!C189/SUM(Kalender!$C$5:$C$370),0)+IFERROR(SUMIF(Nutzungsprofile!$B$17:$B$22,"Halle",Nutzungsprofile!$G$17:$G$22)*Kalender!D189/SUM(Kalender!$D$5:$D$370),0)+IFERROR(SUMIF(Nutzungsprofile!$B$17:$B$22,"Individuell",Nutzungsprofile!$G$17:$G$22)*Kalender!E189/SUM(Kalender!$E$5:$E$370),0))*Szenarien!$D$8,0)</f>
        <v>0.801</v>
      </c>
      <c r="E189" s="13" t="n">
        <f aca="false">IFERROR(MIN(C189,Eingaben!$B$17)*Eingaben!$B$16,0)</f>
        <v>1.5504</v>
      </c>
      <c r="F189" s="13" t="n">
        <f aca="false">IFERROR(E189*Eingaben!$B$15,0)</f>
        <v>1.39536</v>
      </c>
      <c r="G189" s="13" t="n">
        <f aca="false">IFERROR(IF(Kalender!A189="",0,J188*(1-Eingaben!$B$20)),0)</f>
        <v>1.3674528</v>
      </c>
      <c r="H189" s="13" t="n">
        <f aca="false">MIN(G189,D189)</f>
        <v>0.801</v>
      </c>
      <c r="I189" s="13" t="n">
        <f aca="false">IFERROR(MIN(F189*Eingaben!$B$19,MAX(0,D189-H189)),0)</f>
        <v>0</v>
      </c>
      <c r="J189" s="13" t="n">
        <f aca="false">IFERROR(MIN(Eingaben!$B$18,MAX(0,F189-I189)),0)</f>
        <v>1.39536</v>
      </c>
      <c r="K189" s="13" t="n">
        <f aca="false">H189+I189</f>
        <v>0.801</v>
      </c>
      <c r="L189" s="13" t="n">
        <f aca="false">MAX(0,D189-K189)</f>
        <v>0</v>
      </c>
      <c r="M189" s="13" t="n">
        <f aca="false">MAX(0,F189-I189-J189)</f>
        <v>0</v>
      </c>
      <c r="N189" s="13" t="n">
        <f aca="false">IF(Kalender!A189="",0,J188-H189)</f>
        <v>0.59436</v>
      </c>
    </row>
    <row r="190" customFormat="false" ht="16.4" hidden="false" customHeight="false" outlineLevel="0" collapsed="false">
      <c r="A190" s="13" t="str">
        <f aca="false">""</f>
        <v/>
      </c>
      <c r="B190" s="13" t="n">
        <f aca="false">186</f>
        <v>186</v>
      </c>
      <c r="C190" s="13" t="n">
        <f aca="false">IF(Szenarien!$H$8="OK",(IFERROR(SUMIF(Nutzungsprofile!$B$6:$B$11,"Schulbetrieb",Nutzungsprofile!$G$6:$G$11)*Kalender!C190/SUM(Kalender!$C$5:$C$370),0)+IFERROR(SUMIF(Nutzungsprofile!$B$6:$B$11,"Halle",Nutzungsprofile!$G$6:$G$11)*Kalender!D190/SUM(Kalender!$D$5:$D$370),0)+IFERROR(SUMIF(Nutzungsprofile!$B$6:$B$11,"Individuell",Nutzungsprofile!$G$6:$G$11)*Kalender!E190/SUM(Kalender!$E$5:$E$370),0))*Szenarien!$E$8,0)</f>
        <v>1.632</v>
      </c>
      <c r="D190" s="13" t="n">
        <f aca="false">IF(Szenarien!$H$8="OK",(IFERROR(SUMIF(Nutzungsprofile!$B$17:$B$22,"Schulbetrieb",Nutzungsprofile!$G$17:$G$22)*Kalender!C190/SUM(Kalender!$C$5:$C$370),0)+IFERROR(SUMIF(Nutzungsprofile!$B$17:$B$22,"Halle",Nutzungsprofile!$G$17:$G$22)*Kalender!D190/SUM(Kalender!$D$5:$D$370),0)+IFERROR(SUMIF(Nutzungsprofile!$B$17:$B$22,"Individuell",Nutzungsprofile!$G$17:$G$22)*Kalender!E190/SUM(Kalender!$E$5:$E$370),0))*Szenarien!$D$8,0)</f>
        <v>0.801</v>
      </c>
      <c r="E190" s="13" t="n">
        <f aca="false">IFERROR(MIN(C190,Eingaben!$B$17)*Eingaben!$B$16,0)</f>
        <v>1.5504</v>
      </c>
      <c r="F190" s="13" t="n">
        <f aca="false">IFERROR(E190*Eingaben!$B$15,0)</f>
        <v>1.39536</v>
      </c>
      <c r="G190" s="13" t="n">
        <f aca="false">IFERROR(IF(Kalender!A190="",0,J189*(1-Eingaben!$B$20)),0)</f>
        <v>1.3674528</v>
      </c>
      <c r="H190" s="13" t="n">
        <f aca="false">MIN(G190,D190)</f>
        <v>0.801</v>
      </c>
      <c r="I190" s="13" t="n">
        <f aca="false">IFERROR(MIN(F190*Eingaben!$B$19,MAX(0,D190-H190)),0)</f>
        <v>0</v>
      </c>
      <c r="J190" s="13" t="n">
        <f aca="false">IFERROR(MIN(Eingaben!$B$18,MAX(0,F190-I190)),0)</f>
        <v>1.39536</v>
      </c>
      <c r="K190" s="13" t="n">
        <f aca="false">H190+I190</f>
        <v>0.801</v>
      </c>
      <c r="L190" s="13" t="n">
        <f aca="false">MAX(0,D190-K190)</f>
        <v>0</v>
      </c>
      <c r="M190" s="13" t="n">
        <f aca="false">MAX(0,F190-I190-J190)</f>
        <v>0</v>
      </c>
      <c r="N190" s="13" t="n">
        <f aca="false">IF(Kalender!A190="",0,J189-H190)</f>
        <v>0.59436</v>
      </c>
    </row>
    <row r="191" customFormat="false" ht="16.4" hidden="false" customHeight="false" outlineLevel="0" collapsed="false">
      <c r="A191" s="13" t="str">
        <f aca="false">""</f>
        <v/>
      </c>
      <c r="B191" s="13" t="n">
        <f aca="false">187</f>
        <v>187</v>
      </c>
      <c r="C191" s="13" t="n">
        <f aca="false">IF(Szenarien!$H$8="OK",(IFERROR(SUMIF(Nutzungsprofile!$B$6:$B$11,"Schulbetrieb",Nutzungsprofile!$G$6:$G$11)*Kalender!C191/SUM(Kalender!$C$5:$C$370),0)+IFERROR(SUMIF(Nutzungsprofile!$B$6:$B$11,"Halle",Nutzungsprofile!$G$6:$G$11)*Kalender!D191/SUM(Kalender!$D$5:$D$370),0)+IFERROR(SUMIF(Nutzungsprofile!$B$6:$B$11,"Individuell",Nutzungsprofile!$G$6:$G$11)*Kalender!E191/SUM(Kalender!$E$5:$E$370),0))*Szenarien!$E$8,0)</f>
        <v>1.632</v>
      </c>
      <c r="D191" s="13" t="n">
        <f aca="false">IF(Szenarien!$H$8="OK",(IFERROR(SUMIF(Nutzungsprofile!$B$17:$B$22,"Schulbetrieb",Nutzungsprofile!$G$17:$G$22)*Kalender!C191/SUM(Kalender!$C$5:$C$370),0)+IFERROR(SUMIF(Nutzungsprofile!$B$17:$B$22,"Halle",Nutzungsprofile!$G$17:$G$22)*Kalender!D191/SUM(Kalender!$D$5:$D$370),0)+IFERROR(SUMIF(Nutzungsprofile!$B$17:$B$22,"Individuell",Nutzungsprofile!$G$17:$G$22)*Kalender!E191/SUM(Kalender!$E$5:$E$370),0))*Szenarien!$D$8,0)</f>
        <v>0.801</v>
      </c>
      <c r="E191" s="13" t="n">
        <f aca="false">IFERROR(MIN(C191,Eingaben!$B$17)*Eingaben!$B$16,0)</f>
        <v>1.5504</v>
      </c>
      <c r="F191" s="13" t="n">
        <f aca="false">IFERROR(E191*Eingaben!$B$15,0)</f>
        <v>1.39536</v>
      </c>
      <c r="G191" s="13" t="n">
        <f aca="false">IFERROR(IF(Kalender!A191="",0,J190*(1-Eingaben!$B$20)),0)</f>
        <v>1.3674528</v>
      </c>
      <c r="H191" s="13" t="n">
        <f aca="false">MIN(G191,D191)</f>
        <v>0.801</v>
      </c>
      <c r="I191" s="13" t="n">
        <f aca="false">IFERROR(MIN(F191*Eingaben!$B$19,MAX(0,D191-H191)),0)</f>
        <v>0</v>
      </c>
      <c r="J191" s="13" t="n">
        <f aca="false">IFERROR(MIN(Eingaben!$B$18,MAX(0,F191-I191)),0)</f>
        <v>1.39536</v>
      </c>
      <c r="K191" s="13" t="n">
        <f aca="false">H191+I191</f>
        <v>0.801</v>
      </c>
      <c r="L191" s="13" t="n">
        <f aca="false">MAX(0,D191-K191)</f>
        <v>0</v>
      </c>
      <c r="M191" s="13" t="n">
        <f aca="false">MAX(0,F191-I191-J191)</f>
        <v>0</v>
      </c>
      <c r="N191" s="13" t="n">
        <f aca="false">IF(Kalender!A191="",0,J190-H191)</f>
        <v>0.59436</v>
      </c>
    </row>
    <row r="192" customFormat="false" ht="16.4" hidden="false" customHeight="false" outlineLevel="0" collapsed="false">
      <c r="A192" s="13" t="str">
        <f aca="false">""</f>
        <v/>
      </c>
      <c r="B192" s="13" t="n">
        <f aca="false">188</f>
        <v>188</v>
      </c>
      <c r="C192" s="13" t="n">
        <f aca="false">IF(Szenarien!$H$8="OK",(IFERROR(SUMIF(Nutzungsprofile!$B$6:$B$11,"Schulbetrieb",Nutzungsprofile!$G$6:$G$11)*Kalender!C192/SUM(Kalender!$C$5:$C$370),0)+IFERROR(SUMIF(Nutzungsprofile!$B$6:$B$11,"Halle",Nutzungsprofile!$G$6:$G$11)*Kalender!D192/SUM(Kalender!$D$5:$D$370),0)+IFERROR(SUMIF(Nutzungsprofile!$B$6:$B$11,"Individuell",Nutzungsprofile!$G$6:$G$11)*Kalender!E192/SUM(Kalender!$E$5:$E$370),0))*Szenarien!$E$8,0)</f>
        <v>1.632</v>
      </c>
      <c r="D192" s="13" t="n">
        <f aca="false">IF(Szenarien!$H$8="OK",(IFERROR(SUMIF(Nutzungsprofile!$B$17:$B$22,"Schulbetrieb",Nutzungsprofile!$G$17:$G$22)*Kalender!C192/SUM(Kalender!$C$5:$C$370),0)+IFERROR(SUMIF(Nutzungsprofile!$B$17:$B$22,"Halle",Nutzungsprofile!$G$17:$G$22)*Kalender!D192/SUM(Kalender!$D$5:$D$370),0)+IFERROR(SUMIF(Nutzungsprofile!$B$17:$B$22,"Individuell",Nutzungsprofile!$G$17:$G$22)*Kalender!E192/SUM(Kalender!$E$5:$E$370),0))*Szenarien!$D$8,0)</f>
        <v>0.801</v>
      </c>
      <c r="E192" s="13" t="n">
        <f aca="false">IFERROR(MIN(C192,Eingaben!$B$17)*Eingaben!$B$16,0)</f>
        <v>1.5504</v>
      </c>
      <c r="F192" s="13" t="n">
        <f aca="false">IFERROR(E192*Eingaben!$B$15,0)</f>
        <v>1.39536</v>
      </c>
      <c r="G192" s="13" t="n">
        <f aca="false">IFERROR(IF(Kalender!A192="",0,J191*(1-Eingaben!$B$20)),0)</f>
        <v>1.3674528</v>
      </c>
      <c r="H192" s="13" t="n">
        <f aca="false">MIN(G192,D192)</f>
        <v>0.801</v>
      </c>
      <c r="I192" s="13" t="n">
        <f aca="false">IFERROR(MIN(F192*Eingaben!$B$19,MAX(0,D192-H192)),0)</f>
        <v>0</v>
      </c>
      <c r="J192" s="13" t="n">
        <f aca="false">IFERROR(MIN(Eingaben!$B$18,MAX(0,F192-I192)),0)</f>
        <v>1.39536</v>
      </c>
      <c r="K192" s="13" t="n">
        <f aca="false">H192+I192</f>
        <v>0.801</v>
      </c>
      <c r="L192" s="13" t="n">
        <f aca="false">MAX(0,D192-K192)</f>
        <v>0</v>
      </c>
      <c r="M192" s="13" t="n">
        <f aca="false">MAX(0,F192-I192-J192)</f>
        <v>0</v>
      </c>
      <c r="N192" s="13" t="n">
        <f aca="false">IF(Kalender!A192="",0,J191-H192)</f>
        <v>0.59436</v>
      </c>
    </row>
    <row r="193" customFormat="false" ht="16.4" hidden="false" customHeight="false" outlineLevel="0" collapsed="false">
      <c r="A193" s="13" t="str">
        <f aca="false">""</f>
        <v/>
      </c>
      <c r="B193" s="13" t="n">
        <f aca="false">189</f>
        <v>189</v>
      </c>
      <c r="C193" s="13" t="n">
        <f aca="false">IF(Szenarien!$H$8="OK",(IFERROR(SUMIF(Nutzungsprofile!$B$6:$B$11,"Schulbetrieb",Nutzungsprofile!$G$6:$G$11)*Kalender!C193/SUM(Kalender!$C$5:$C$370),0)+IFERROR(SUMIF(Nutzungsprofile!$B$6:$B$11,"Halle",Nutzungsprofile!$G$6:$G$11)*Kalender!D193/SUM(Kalender!$D$5:$D$370),0)+IFERROR(SUMIF(Nutzungsprofile!$B$6:$B$11,"Individuell",Nutzungsprofile!$G$6:$G$11)*Kalender!E193/SUM(Kalender!$E$5:$E$370),0))*Szenarien!$E$8,0)</f>
        <v>1.632</v>
      </c>
      <c r="D193" s="13" t="n">
        <f aca="false">IF(Szenarien!$H$8="OK",(IFERROR(SUMIF(Nutzungsprofile!$B$17:$B$22,"Schulbetrieb",Nutzungsprofile!$G$17:$G$22)*Kalender!C193/SUM(Kalender!$C$5:$C$370),0)+IFERROR(SUMIF(Nutzungsprofile!$B$17:$B$22,"Halle",Nutzungsprofile!$G$17:$G$22)*Kalender!D193/SUM(Kalender!$D$5:$D$370),0)+IFERROR(SUMIF(Nutzungsprofile!$B$17:$B$22,"Individuell",Nutzungsprofile!$G$17:$G$22)*Kalender!E193/SUM(Kalender!$E$5:$E$370),0))*Szenarien!$D$8,0)</f>
        <v>0.801</v>
      </c>
      <c r="E193" s="13" t="n">
        <f aca="false">IFERROR(MIN(C193,Eingaben!$B$17)*Eingaben!$B$16,0)</f>
        <v>1.5504</v>
      </c>
      <c r="F193" s="13" t="n">
        <f aca="false">IFERROR(E193*Eingaben!$B$15,0)</f>
        <v>1.39536</v>
      </c>
      <c r="G193" s="13" t="n">
        <f aca="false">IFERROR(IF(Kalender!A193="",0,J192*(1-Eingaben!$B$20)),0)</f>
        <v>1.3674528</v>
      </c>
      <c r="H193" s="13" t="n">
        <f aca="false">MIN(G193,D193)</f>
        <v>0.801</v>
      </c>
      <c r="I193" s="13" t="n">
        <f aca="false">IFERROR(MIN(F193*Eingaben!$B$19,MAX(0,D193-H193)),0)</f>
        <v>0</v>
      </c>
      <c r="J193" s="13" t="n">
        <f aca="false">IFERROR(MIN(Eingaben!$B$18,MAX(0,F193-I193)),0)</f>
        <v>1.39536</v>
      </c>
      <c r="K193" s="13" t="n">
        <f aca="false">H193+I193</f>
        <v>0.801</v>
      </c>
      <c r="L193" s="13" t="n">
        <f aca="false">MAX(0,D193-K193)</f>
        <v>0</v>
      </c>
      <c r="M193" s="13" t="n">
        <f aca="false">MAX(0,F193-I193-J193)</f>
        <v>0</v>
      </c>
      <c r="N193" s="13" t="n">
        <f aca="false">IF(Kalender!A193="",0,J192-H193)</f>
        <v>0.59436</v>
      </c>
    </row>
    <row r="194" customFormat="false" ht="16.4" hidden="false" customHeight="false" outlineLevel="0" collapsed="false">
      <c r="A194" s="13" t="str">
        <f aca="false">""</f>
        <v/>
      </c>
      <c r="B194" s="13" t="n">
        <f aca="false">190</f>
        <v>190</v>
      </c>
      <c r="C194" s="13" t="n">
        <f aca="false">IF(Szenarien!$H$8="OK",(IFERROR(SUMIF(Nutzungsprofile!$B$6:$B$11,"Schulbetrieb",Nutzungsprofile!$G$6:$G$11)*Kalender!C194/SUM(Kalender!$C$5:$C$370),0)+IFERROR(SUMIF(Nutzungsprofile!$B$6:$B$11,"Halle",Nutzungsprofile!$G$6:$G$11)*Kalender!D194/SUM(Kalender!$D$5:$D$370),0)+IFERROR(SUMIF(Nutzungsprofile!$B$6:$B$11,"Individuell",Nutzungsprofile!$G$6:$G$11)*Kalender!E194/SUM(Kalender!$E$5:$E$370),0))*Szenarien!$E$8,0)</f>
        <v>1.632</v>
      </c>
      <c r="D194" s="13" t="n">
        <f aca="false">IF(Szenarien!$H$8="OK",(IFERROR(SUMIF(Nutzungsprofile!$B$17:$B$22,"Schulbetrieb",Nutzungsprofile!$G$17:$G$22)*Kalender!C194/SUM(Kalender!$C$5:$C$370),0)+IFERROR(SUMIF(Nutzungsprofile!$B$17:$B$22,"Halle",Nutzungsprofile!$G$17:$G$22)*Kalender!D194/SUM(Kalender!$D$5:$D$370),0)+IFERROR(SUMIF(Nutzungsprofile!$B$17:$B$22,"Individuell",Nutzungsprofile!$G$17:$G$22)*Kalender!E194/SUM(Kalender!$E$5:$E$370),0))*Szenarien!$D$8,0)</f>
        <v>0.801</v>
      </c>
      <c r="E194" s="13" t="n">
        <f aca="false">IFERROR(MIN(C194,Eingaben!$B$17)*Eingaben!$B$16,0)</f>
        <v>1.5504</v>
      </c>
      <c r="F194" s="13" t="n">
        <f aca="false">IFERROR(E194*Eingaben!$B$15,0)</f>
        <v>1.39536</v>
      </c>
      <c r="G194" s="13" t="n">
        <f aca="false">IFERROR(IF(Kalender!A194="",0,J193*(1-Eingaben!$B$20)),0)</f>
        <v>1.3674528</v>
      </c>
      <c r="H194" s="13" t="n">
        <f aca="false">MIN(G194,D194)</f>
        <v>0.801</v>
      </c>
      <c r="I194" s="13" t="n">
        <f aca="false">IFERROR(MIN(F194*Eingaben!$B$19,MAX(0,D194-H194)),0)</f>
        <v>0</v>
      </c>
      <c r="J194" s="13" t="n">
        <f aca="false">IFERROR(MIN(Eingaben!$B$18,MAX(0,F194-I194)),0)</f>
        <v>1.39536</v>
      </c>
      <c r="K194" s="13" t="n">
        <f aca="false">H194+I194</f>
        <v>0.801</v>
      </c>
      <c r="L194" s="13" t="n">
        <f aca="false">MAX(0,D194-K194)</f>
        <v>0</v>
      </c>
      <c r="M194" s="13" t="n">
        <f aca="false">MAX(0,F194-I194-J194)</f>
        <v>0</v>
      </c>
      <c r="N194" s="13" t="n">
        <f aca="false">IF(Kalender!A194="",0,J193-H194)</f>
        <v>0.59436</v>
      </c>
    </row>
    <row r="195" customFormat="false" ht="16.4" hidden="false" customHeight="false" outlineLevel="0" collapsed="false">
      <c r="A195" s="13" t="str">
        <f aca="false">""</f>
        <v/>
      </c>
      <c r="B195" s="13" t="n">
        <f aca="false">191</f>
        <v>191</v>
      </c>
      <c r="C195" s="13" t="n">
        <f aca="false">IF(Szenarien!$H$8="OK",(IFERROR(SUMIF(Nutzungsprofile!$B$6:$B$11,"Schulbetrieb",Nutzungsprofile!$G$6:$G$11)*Kalender!C195/SUM(Kalender!$C$5:$C$370),0)+IFERROR(SUMIF(Nutzungsprofile!$B$6:$B$11,"Halle",Nutzungsprofile!$G$6:$G$11)*Kalender!D195/SUM(Kalender!$D$5:$D$370),0)+IFERROR(SUMIF(Nutzungsprofile!$B$6:$B$11,"Individuell",Nutzungsprofile!$G$6:$G$11)*Kalender!E195/SUM(Kalender!$E$5:$E$370),0))*Szenarien!$E$8,0)</f>
        <v>1.632</v>
      </c>
      <c r="D195" s="13" t="n">
        <f aca="false">IF(Szenarien!$H$8="OK",(IFERROR(SUMIF(Nutzungsprofile!$B$17:$B$22,"Schulbetrieb",Nutzungsprofile!$G$17:$G$22)*Kalender!C195/SUM(Kalender!$C$5:$C$370),0)+IFERROR(SUMIF(Nutzungsprofile!$B$17:$B$22,"Halle",Nutzungsprofile!$G$17:$G$22)*Kalender!D195/SUM(Kalender!$D$5:$D$370),0)+IFERROR(SUMIF(Nutzungsprofile!$B$17:$B$22,"Individuell",Nutzungsprofile!$G$17:$G$22)*Kalender!E195/SUM(Kalender!$E$5:$E$370),0))*Szenarien!$D$8,0)</f>
        <v>0.801</v>
      </c>
      <c r="E195" s="13" t="n">
        <f aca="false">IFERROR(MIN(C195,Eingaben!$B$17)*Eingaben!$B$16,0)</f>
        <v>1.5504</v>
      </c>
      <c r="F195" s="13" t="n">
        <f aca="false">IFERROR(E195*Eingaben!$B$15,0)</f>
        <v>1.39536</v>
      </c>
      <c r="G195" s="13" t="n">
        <f aca="false">IFERROR(IF(Kalender!A195="",0,J194*(1-Eingaben!$B$20)),0)</f>
        <v>1.3674528</v>
      </c>
      <c r="H195" s="13" t="n">
        <f aca="false">MIN(G195,D195)</f>
        <v>0.801</v>
      </c>
      <c r="I195" s="13" t="n">
        <f aca="false">IFERROR(MIN(F195*Eingaben!$B$19,MAX(0,D195-H195)),0)</f>
        <v>0</v>
      </c>
      <c r="J195" s="13" t="n">
        <f aca="false">IFERROR(MIN(Eingaben!$B$18,MAX(0,F195-I195)),0)</f>
        <v>1.39536</v>
      </c>
      <c r="K195" s="13" t="n">
        <f aca="false">H195+I195</f>
        <v>0.801</v>
      </c>
      <c r="L195" s="13" t="n">
        <f aca="false">MAX(0,D195-K195)</f>
        <v>0</v>
      </c>
      <c r="M195" s="13" t="n">
        <f aca="false">MAX(0,F195-I195-J195)</f>
        <v>0</v>
      </c>
      <c r="N195" s="13" t="n">
        <f aca="false">IF(Kalender!A195="",0,J194-H195)</f>
        <v>0.59436</v>
      </c>
    </row>
    <row r="196" customFormat="false" ht="16.4" hidden="false" customHeight="false" outlineLevel="0" collapsed="false">
      <c r="A196" s="13" t="str">
        <f aca="false">""</f>
        <v/>
      </c>
      <c r="B196" s="13" t="n">
        <f aca="false">192</f>
        <v>192</v>
      </c>
      <c r="C196" s="13" t="n">
        <f aca="false">IF(Szenarien!$H$8="OK",(IFERROR(SUMIF(Nutzungsprofile!$B$6:$B$11,"Schulbetrieb",Nutzungsprofile!$G$6:$G$11)*Kalender!C196/SUM(Kalender!$C$5:$C$370),0)+IFERROR(SUMIF(Nutzungsprofile!$B$6:$B$11,"Halle",Nutzungsprofile!$G$6:$G$11)*Kalender!D196/SUM(Kalender!$D$5:$D$370),0)+IFERROR(SUMIF(Nutzungsprofile!$B$6:$B$11,"Individuell",Nutzungsprofile!$G$6:$G$11)*Kalender!E196/SUM(Kalender!$E$5:$E$370),0))*Szenarien!$E$8,0)</f>
        <v>1.632</v>
      </c>
      <c r="D196" s="13" t="n">
        <f aca="false">IF(Szenarien!$H$8="OK",(IFERROR(SUMIF(Nutzungsprofile!$B$17:$B$22,"Schulbetrieb",Nutzungsprofile!$G$17:$G$22)*Kalender!C196/SUM(Kalender!$C$5:$C$370),0)+IFERROR(SUMIF(Nutzungsprofile!$B$17:$B$22,"Halle",Nutzungsprofile!$G$17:$G$22)*Kalender!D196/SUM(Kalender!$D$5:$D$370),0)+IFERROR(SUMIF(Nutzungsprofile!$B$17:$B$22,"Individuell",Nutzungsprofile!$G$17:$G$22)*Kalender!E196/SUM(Kalender!$E$5:$E$370),0))*Szenarien!$D$8,0)</f>
        <v>0.801</v>
      </c>
      <c r="E196" s="13" t="n">
        <f aca="false">IFERROR(MIN(C196,Eingaben!$B$17)*Eingaben!$B$16,0)</f>
        <v>1.5504</v>
      </c>
      <c r="F196" s="13" t="n">
        <f aca="false">IFERROR(E196*Eingaben!$B$15,0)</f>
        <v>1.39536</v>
      </c>
      <c r="G196" s="13" t="n">
        <f aca="false">IFERROR(IF(Kalender!A196="",0,J195*(1-Eingaben!$B$20)),0)</f>
        <v>1.3674528</v>
      </c>
      <c r="H196" s="13" t="n">
        <f aca="false">MIN(G196,D196)</f>
        <v>0.801</v>
      </c>
      <c r="I196" s="13" t="n">
        <f aca="false">IFERROR(MIN(F196*Eingaben!$B$19,MAX(0,D196-H196)),0)</f>
        <v>0</v>
      </c>
      <c r="J196" s="13" t="n">
        <f aca="false">IFERROR(MIN(Eingaben!$B$18,MAX(0,F196-I196)),0)</f>
        <v>1.39536</v>
      </c>
      <c r="K196" s="13" t="n">
        <f aca="false">H196+I196</f>
        <v>0.801</v>
      </c>
      <c r="L196" s="13" t="n">
        <f aca="false">MAX(0,D196-K196)</f>
        <v>0</v>
      </c>
      <c r="M196" s="13" t="n">
        <f aca="false">MAX(0,F196-I196-J196)</f>
        <v>0</v>
      </c>
      <c r="N196" s="13" t="n">
        <f aca="false">IF(Kalender!A196="",0,J195-H196)</f>
        <v>0.59436</v>
      </c>
    </row>
    <row r="197" customFormat="false" ht="16.4" hidden="false" customHeight="false" outlineLevel="0" collapsed="false">
      <c r="A197" s="13" t="str">
        <f aca="false">""</f>
        <v/>
      </c>
      <c r="B197" s="13" t="n">
        <f aca="false">193</f>
        <v>193</v>
      </c>
      <c r="C197" s="13" t="n">
        <f aca="false">IF(Szenarien!$H$8="OK",(IFERROR(SUMIF(Nutzungsprofile!$B$6:$B$11,"Schulbetrieb",Nutzungsprofile!$G$6:$G$11)*Kalender!C197/SUM(Kalender!$C$5:$C$370),0)+IFERROR(SUMIF(Nutzungsprofile!$B$6:$B$11,"Halle",Nutzungsprofile!$G$6:$G$11)*Kalender!D197/SUM(Kalender!$D$5:$D$370),0)+IFERROR(SUMIF(Nutzungsprofile!$B$6:$B$11,"Individuell",Nutzungsprofile!$G$6:$G$11)*Kalender!E197/SUM(Kalender!$E$5:$E$370),0))*Szenarien!$E$8,0)</f>
        <v>1.632</v>
      </c>
      <c r="D197" s="13" t="n">
        <f aca="false">IF(Szenarien!$H$8="OK",(IFERROR(SUMIF(Nutzungsprofile!$B$17:$B$22,"Schulbetrieb",Nutzungsprofile!$G$17:$G$22)*Kalender!C197/SUM(Kalender!$C$5:$C$370),0)+IFERROR(SUMIF(Nutzungsprofile!$B$17:$B$22,"Halle",Nutzungsprofile!$G$17:$G$22)*Kalender!D197/SUM(Kalender!$D$5:$D$370),0)+IFERROR(SUMIF(Nutzungsprofile!$B$17:$B$22,"Individuell",Nutzungsprofile!$G$17:$G$22)*Kalender!E197/SUM(Kalender!$E$5:$E$370),0))*Szenarien!$D$8,0)</f>
        <v>0.801</v>
      </c>
      <c r="E197" s="13" t="n">
        <f aca="false">IFERROR(MIN(C197,Eingaben!$B$17)*Eingaben!$B$16,0)</f>
        <v>1.5504</v>
      </c>
      <c r="F197" s="13" t="n">
        <f aca="false">IFERROR(E197*Eingaben!$B$15,0)</f>
        <v>1.39536</v>
      </c>
      <c r="G197" s="13" t="n">
        <f aca="false">IFERROR(IF(Kalender!A197="",0,J196*(1-Eingaben!$B$20)),0)</f>
        <v>1.3674528</v>
      </c>
      <c r="H197" s="13" t="n">
        <f aca="false">MIN(G197,D197)</f>
        <v>0.801</v>
      </c>
      <c r="I197" s="13" t="n">
        <f aca="false">IFERROR(MIN(F197*Eingaben!$B$19,MAX(0,D197-H197)),0)</f>
        <v>0</v>
      </c>
      <c r="J197" s="13" t="n">
        <f aca="false">IFERROR(MIN(Eingaben!$B$18,MAX(0,F197-I197)),0)</f>
        <v>1.39536</v>
      </c>
      <c r="K197" s="13" t="n">
        <f aca="false">H197+I197</f>
        <v>0.801</v>
      </c>
      <c r="L197" s="13" t="n">
        <f aca="false">MAX(0,D197-K197)</f>
        <v>0</v>
      </c>
      <c r="M197" s="13" t="n">
        <f aca="false">MAX(0,F197-I197-J197)</f>
        <v>0</v>
      </c>
      <c r="N197" s="13" t="n">
        <f aca="false">IF(Kalender!A197="",0,J196-H197)</f>
        <v>0.59436</v>
      </c>
    </row>
    <row r="198" customFormat="false" ht="16.4" hidden="false" customHeight="false" outlineLevel="0" collapsed="false">
      <c r="A198" s="13" t="str">
        <f aca="false">""</f>
        <v/>
      </c>
      <c r="B198" s="13" t="n">
        <f aca="false">194</f>
        <v>194</v>
      </c>
      <c r="C198" s="13" t="n">
        <f aca="false">IF(Szenarien!$H$8="OK",(IFERROR(SUMIF(Nutzungsprofile!$B$6:$B$11,"Schulbetrieb",Nutzungsprofile!$G$6:$G$11)*Kalender!C198/SUM(Kalender!$C$5:$C$370),0)+IFERROR(SUMIF(Nutzungsprofile!$B$6:$B$11,"Halle",Nutzungsprofile!$G$6:$G$11)*Kalender!D198/SUM(Kalender!$D$5:$D$370),0)+IFERROR(SUMIF(Nutzungsprofile!$B$6:$B$11,"Individuell",Nutzungsprofile!$G$6:$G$11)*Kalender!E198/SUM(Kalender!$E$5:$E$370),0))*Szenarien!$E$8,0)</f>
        <v>1.632</v>
      </c>
      <c r="D198" s="13" t="n">
        <f aca="false">IF(Szenarien!$H$8="OK",(IFERROR(SUMIF(Nutzungsprofile!$B$17:$B$22,"Schulbetrieb",Nutzungsprofile!$G$17:$G$22)*Kalender!C198/SUM(Kalender!$C$5:$C$370),0)+IFERROR(SUMIF(Nutzungsprofile!$B$17:$B$22,"Halle",Nutzungsprofile!$G$17:$G$22)*Kalender!D198/SUM(Kalender!$D$5:$D$370),0)+IFERROR(SUMIF(Nutzungsprofile!$B$17:$B$22,"Individuell",Nutzungsprofile!$G$17:$G$22)*Kalender!E198/SUM(Kalender!$E$5:$E$370),0))*Szenarien!$D$8,0)</f>
        <v>0.801</v>
      </c>
      <c r="E198" s="13" t="n">
        <f aca="false">IFERROR(MIN(C198,Eingaben!$B$17)*Eingaben!$B$16,0)</f>
        <v>1.5504</v>
      </c>
      <c r="F198" s="13" t="n">
        <f aca="false">IFERROR(E198*Eingaben!$B$15,0)</f>
        <v>1.39536</v>
      </c>
      <c r="G198" s="13" t="n">
        <f aca="false">IFERROR(IF(Kalender!A198="",0,J197*(1-Eingaben!$B$20)),0)</f>
        <v>1.3674528</v>
      </c>
      <c r="H198" s="13" t="n">
        <f aca="false">MIN(G198,D198)</f>
        <v>0.801</v>
      </c>
      <c r="I198" s="13" t="n">
        <f aca="false">IFERROR(MIN(F198*Eingaben!$B$19,MAX(0,D198-H198)),0)</f>
        <v>0</v>
      </c>
      <c r="J198" s="13" t="n">
        <f aca="false">IFERROR(MIN(Eingaben!$B$18,MAX(0,F198-I198)),0)</f>
        <v>1.39536</v>
      </c>
      <c r="K198" s="13" t="n">
        <f aca="false">H198+I198</f>
        <v>0.801</v>
      </c>
      <c r="L198" s="13" t="n">
        <f aca="false">MAX(0,D198-K198)</f>
        <v>0</v>
      </c>
      <c r="M198" s="13" t="n">
        <f aca="false">MAX(0,F198-I198-J198)</f>
        <v>0</v>
      </c>
      <c r="N198" s="13" t="n">
        <f aca="false">IF(Kalender!A198="",0,J197-H198)</f>
        <v>0.59436</v>
      </c>
    </row>
    <row r="199" customFormat="false" ht="16.4" hidden="false" customHeight="false" outlineLevel="0" collapsed="false">
      <c r="A199" s="13" t="str">
        <f aca="false">""</f>
        <v/>
      </c>
      <c r="B199" s="13" t="n">
        <f aca="false">195</f>
        <v>195</v>
      </c>
      <c r="C199" s="13" t="n">
        <f aca="false">IF(Szenarien!$H$8="OK",(IFERROR(SUMIF(Nutzungsprofile!$B$6:$B$11,"Schulbetrieb",Nutzungsprofile!$G$6:$G$11)*Kalender!C199/SUM(Kalender!$C$5:$C$370),0)+IFERROR(SUMIF(Nutzungsprofile!$B$6:$B$11,"Halle",Nutzungsprofile!$G$6:$G$11)*Kalender!D199/SUM(Kalender!$D$5:$D$370),0)+IFERROR(SUMIF(Nutzungsprofile!$B$6:$B$11,"Individuell",Nutzungsprofile!$G$6:$G$11)*Kalender!E199/SUM(Kalender!$E$5:$E$370),0))*Szenarien!$E$8,0)</f>
        <v>1.632</v>
      </c>
      <c r="D199" s="13" t="n">
        <f aca="false">IF(Szenarien!$H$8="OK",(IFERROR(SUMIF(Nutzungsprofile!$B$17:$B$22,"Schulbetrieb",Nutzungsprofile!$G$17:$G$22)*Kalender!C199/SUM(Kalender!$C$5:$C$370),0)+IFERROR(SUMIF(Nutzungsprofile!$B$17:$B$22,"Halle",Nutzungsprofile!$G$17:$G$22)*Kalender!D199/SUM(Kalender!$D$5:$D$370),0)+IFERROR(SUMIF(Nutzungsprofile!$B$17:$B$22,"Individuell",Nutzungsprofile!$G$17:$G$22)*Kalender!E199/SUM(Kalender!$E$5:$E$370),0))*Szenarien!$D$8,0)</f>
        <v>0.801</v>
      </c>
      <c r="E199" s="13" t="n">
        <f aca="false">IFERROR(MIN(C199,Eingaben!$B$17)*Eingaben!$B$16,0)</f>
        <v>1.5504</v>
      </c>
      <c r="F199" s="13" t="n">
        <f aca="false">IFERROR(E199*Eingaben!$B$15,0)</f>
        <v>1.39536</v>
      </c>
      <c r="G199" s="13" t="n">
        <f aca="false">IFERROR(IF(Kalender!A199="",0,J198*(1-Eingaben!$B$20)),0)</f>
        <v>1.3674528</v>
      </c>
      <c r="H199" s="13" t="n">
        <f aca="false">MIN(G199,D199)</f>
        <v>0.801</v>
      </c>
      <c r="I199" s="13" t="n">
        <f aca="false">IFERROR(MIN(F199*Eingaben!$B$19,MAX(0,D199-H199)),0)</f>
        <v>0</v>
      </c>
      <c r="J199" s="13" t="n">
        <f aca="false">IFERROR(MIN(Eingaben!$B$18,MAX(0,F199-I199)),0)</f>
        <v>1.39536</v>
      </c>
      <c r="K199" s="13" t="n">
        <f aca="false">H199+I199</f>
        <v>0.801</v>
      </c>
      <c r="L199" s="13" t="n">
        <f aca="false">MAX(0,D199-K199)</f>
        <v>0</v>
      </c>
      <c r="M199" s="13" t="n">
        <f aca="false">MAX(0,F199-I199-J199)</f>
        <v>0</v>
      </c>
      <c r="N199" s="13" t="n">
        <f aca="false">IF(Kalender!A199="",0,J198-H199)</f>
        <v>0.59436</v>
      </c>
    </row>
    <row r="200" customFormat="false" ht="16.4" hidden="false" customHeight="false" outlineLevel="0" collapsed="false">
      <c r="A200" s="13" t="str">
        <f aca="false">""</f>
        <v/>
      </c>
      <c r="B200" s="13" t="n">
        <f aca="false">196</f>
        <v>196</v>
      </c>
      <c r="C200" s="13" t="n">
        <f aca="false">IF(Szenarien!$H$8="OK",(IFERROR(SUMIF(Nutzungsprofile!$B$6:$B$11,"Schulbetrieb",Nutzungsprofile!$G$6:$G$11)*Kalender!C200/SUM(Kalender!$C$5:$C$370),0)+IFERROR(SUMIF(Nutzungsprofile!$B$6:$B$11,"Halle",Nutzungsprofile!$G$6:$G$11)*Kalender!D200/SUM(Kalender!$D$5:$D$370),0)+IFERROR(SUMIF(Nutzungsprofile!$B$6:$B$11,"Individuell",Nutzungsprofile!$G$6:$G$11)*Kalender!E200/SUM(Kalender!$E$5:$E$370),0))*Szenarien!$E$8,0)</f>
        <v>1.632</v>
      </c>
      <c r="D200" s="13" t="n">
        <f aca="false">IF(Szenarien!$H$8="OK",(IFERROR(SUMIF(Nutzungsprofile!$B$17:$B$22,"Schulbetrieb",Nutzungsprofile!$G$17:$G$22)*Kalender!C200/SUM(Kalender!$C$5:$C$370),0)+IFERROR(SUMIF(Nutzungsprofile!$B$17:$B$22,"Halle",Nutzungsprofile!$G$17:$G$22)*Kalender!D200/SUM(Kalender!$D$5:$D$370),0)+IFERROR(SUMIF(Nutzungsprofile!$B$17:$B$22,"Individuell",Nutzungsprofile!$G$17:$G$22)*Kalender!E200/SUM(Kalender!$E$5:$E$370),0))*Szenarien!$D$8,0)</f>
        <v>0.801</v>
      </c>
      <c r="E200" s="13" t="n">
        <f aca="false">IFERROR(MIN(C200,Eingaben!$B$17)*Eingaben!$B$16,0)</f>
        <v>1.5504</v>
      </c>
      <c r="F200" s="13" t="n">
        <f aca="false">IFERROR(E200*Eingaben!$B$15,0)</f>
        <v>1.39536</v>
      </c>
      <c r="G200" s="13" t="n">
        <f aca="false">IFERROR(IF(Kalender!A200="",0,J199*(1-Eingaben!$B$20)),0)</f>
        <v>1.3674528</v>
      </c>
      <c r="H200" s="13" t="n">
        <f aca="false">MIN(G200,D200)</f>
        <v>0.801</v>
      </c>
      <c r="I200" s="13" t="n">
        <f aca="false">IFERROR(MIN(F200*Eingaben!$B$19,MAX(0,D200-H200)),0)</f>
        <v>0</v>
      </c>
      <c r="J200" s="13" t="n">
        <f aca="false">IFERROR(MIN(Eingaben!$B$18,MAX(0,F200-I200)),0)</f>
        <v>1.39536</v>
      </c>
      <c r="K200" s="13" t="n">
        <f aca="false">H200+I200</f>
        <v>0.801</v>
      </c>
      <c r="L200" s="13" t="n">
        <f aca="false">MAX(0,D200-K200)</f>
        <v>0</v>
      </c>
      <c r="M200" s="13" t="n">
        <f aca="false">MAX(0,F200-I200-J200)</f>
        <v>0</v>
      </c>
      <c r="N200" s="13" t="n">
        <f aca="false">IF(Kalender!A200="",0,J199-H200)</f>
        <v>0.59436</v>
      </c>
    </row>
    <row r="201" customFormat="false" ht="16.4" hidden="false" customHeight="false" outlineLevel="0" collapsed="false">
      <c r="A201" s="13" t="str">
        <f aca="false">""</f>
        <v/>
      </c>
      <c r="B201" s="13" t="n">
        <f aca="false">197</f>
        <v>197</v>
      </c>
      <c r="C201" s="13" t="n">
        <f aca="false">IF(Szenarien!$H$8="OK",(IFERROR(SUMIF(Nutzungsprofile!$B$6:$B$11,"Schulbetrieb",Nutzungsprofile!$G$6:$G$11)*Kalender!C201/SUM(Kalender!$C$5:$C$370),0)+IFERROR(SUMIF(Nutzungsprofile!$B$6:$B$11,"Halle",Nutzungsprofile!$G$6:$G$11)*Kalender!D201/SUM(Kalender!$D$5:$D$370),0)+IFERROR(SUMIF(Nutzungsprofile!$B$6:$B$11,"Individuell",Nutzungsprofile!$G$6:$G$11)*Kalender!E201/SUM(Kalender!$E$5:$E$370),0))*Szenarien!$E$8,0)</f>
        <v>1.632</v>
      </c>
      <c r="D201" s="13" t="n">
        <f aca="false">IF(Szenarien!$H$8="OK",(IFERROR(SUMIF(Nutzungsprofile!$B$17:$B$22,"Schulbetrieb",Nutzungsprofile!$G$17:$G$22)*Kalender!C201/SUM(Kalender!$C$5:$C$370),0)+IFERROR(SUMIF(Nutzungsprofile!$B$17:$B$22,"Halle",Nutzungsprofile!$G$17:$G$22)*Kalender!D201/SUM(Kalender!$D$5:$D$370),0)+IFERROR(SUMIF(Nutzungsprofile!$B$17:$B$22,"Individuell",Nutzungsprofile!$G$17:$G$22)*Kalender!E201/SUM(Kalender!$E$5:$E$370),0))*Szenarien!$D$8,0)</f>
        <v>0.801</v>
      </c>
      <c r="E201" s="13" t="n">
        <f aca="false">IFERROR(MIN(C201,Eingaben!$B$17)*Eingaben!$B$16,0)</f>
        <v>1.5504</v>
      </c>
      <c r="F201" s="13" t="n">
        <f aca="false">IFERROR(E201*Eingaben!$B$15,0)</f>
        <v>1.39536</v>
      </c>
      <c r="G201" s="13" t="n">
        <f aca="false">IFERROR(IF(Kalender!A201="",0,J200*(1-Eingaben!$B$20)),0)</f>
        <v>1.3674528</v>
      </c>
      <c r="H201" s="13" t="n">
        <f aca="false">MIN(G201,D201)</f>
        <v>0.801</v>
      </c>
      <c r="I201" s="13" t="n">
        <f aca="false">IFERROR(MIN(F201*Eingaben!$B$19,MAX(0,D201-H201)),0)</f>
        <v>0</v>
      </c>
      <c r="J201" s="13" t="n">
        <f aca="false">IFERROR(MIN(Eingaben!$B$18,MAX(0,F201-I201)),0)</f>
        <v>1.39536</v>
      </c>
      <c r="K201" s="13" t="n">
        <f aca="false">H201+I201</f>
        <v>0.801</v>
      </c>
      <c r="L201" s="13" t="n">
        <f aca="false">MAX(0,D201-K201)</f>
        <v>0</v>
      </c>
      <c r="M201" s="13" t="n">
        <f aca="false">MAX(0,F201-I201-J201)</f>
        <v>0</v>
      </c>
      <c r="N201" s="13" t="n">
        <f aca="false">IF(Kalender!A201="",0,J200-H201)</f>
        <v>0.59436</v>
      </c>
    </row>
    <row r="202" customFormat="false" ht="16.4" hidden="false" customHeight="false" outlineLevel="0" collapsed="false">
      <c r="A202" s="13" t="str">
        <f aca="false">""</f>
        <v/>
      </c>
      <c r="B202" s="13" t="n">
        <f aca="false">198</f>
        <v>198</v>
      </c>
      <c r="C202" s="13" t="n">
        <f aca="false">IF(Szenarien!$H$8="OK",(IFERROR(SUMIF(Nutzungsprofile!$B$6:$B$11,"Schulbetrieb",Nutzungsprofile!$G$6:$G$11)*Kalender!C202/SUM(Kalender!$C$5:$C$370),0)+IFERROR(SUMIF(Nutzungsprofile!$B$6:$B$11,"Halle",Nutzungsprofile!$G$6:$G$11)*Kalender!D202/SUM(Kalender!$D$5:$D$370),0)+IFERROR(SUMIF(Nutzungsprofile!$B$6:$B$11,"Individuell",Nutzungsprofile!$G$6:$G$11)*Kalender!E202/SUM(Kalender!$E$5:$E$370),0))*Szenarien!$E$8,0)</f>
        <v>1.632</v>
      </c>
      <c r="D202" s="13" t="n">
        <f aca="false">IF(Szenarien!$H$8="OK",(IFERROR(SUMIF(Nutzungsprofile!$B$17:$B$22,"Schulbetrieb",Nutzungsprofile!$G$17:$G$22)*Kalender!C202/SUM(Kalender!$C$5:$C$370),0)+IFERROR(SUMIF(Nutzungsprofile!$B$17:$B$22,"Halle",Nutzungsprofile!$G$17:$G$22)*Kalender!D202/SUM(Kalender!$D$5:$D$370),0)+IFERROR(SUMIF(Nutzungsprofile!$B$17:$B$22,"Individuell",Nutzungsprofile!$G$17:$G$22)*Kalender!E202/SUM(Kalender!$E$5:$E$370),0))*Szenarien!$D$8,0)</f>
        <v>0.801</v>
      </c>
      <c r="E202" s="13" t="n">
        <f aca="false">IFERROR(MIN(C202,Eingaben!$B$17)*Eingaben!$B$16,0)</f>
        <v>1.5504</v>
      </c>
      <c r="F202" s="13" t="n">
        <f aca="false">IFERROR(E202*Eingaben!$B$15,0)</f>
        <v>1.39536</v>
      </c>
      <c r="G202" s="13" t="n">
        <f aca="false">IFERROR(IF(Kalender!A202="",0,J201*(1-Eingaben!$B$20)),0)</f>
        <v>1.3674528</v>
      </c>
      <c r="H202" s="13" t="n">
        <f aca="false">MIN(G202,D202)</f>
        <v>0.801</v>
      </c>
      <c r="I202" s="13" t="n">
        <f aca="false">IFERROR(MIN(F202*Eingaben!$B$19,MAX(0,D202-H202)),0)</f>
        <v>0</v>
      </c>
      <c r="J202" s="13" t="n">
        <f aca="false">IFERROR(MIN(Eingaben!$B$18,MAX(0,F202-I202)),0)</f>
        <v>1.39536</v>
      </c>
      <c r="K202" s="13" t="n">
        <f aca="false">H202+I202</f>
        <v>0.801</v>
      </c>
      <c r="L202" s="13" t="n">
        <f aca="false">MAX(0,D202-K202)</f>
        <v>0</v>
      </c>
      <c r="M202" s="13" t="n">
        <f aca="false">MAX(0,F202-I202-J202)</f>
        <v>0</v>
      </c>
      <c r="N202" s="13" t="n">
        <f aca="false">IF(Kalender!A202="",0,J201-H202)</f>
        <v>0.59436</v>
      </c>
    </row>
    <row r="203" customFormat="false" ht="16.4" hidden="false" customHeight="false" outlineLevel="0" collapsed="false">
      <c r="A203" s="13" t="str">
        <f aca="false">""</f>
        <v/>
      </c>
      <c r="B203" s="13" t="n">
        <f aca="false">199</f>
        <v>199</v>
      </c>
      <c r="C203" s="13" t="n">
        <f aca="false">IF(Szenarien!$H$8="OK",(IFERROR(SUMIF(Nutzungsprofile!$B$6:$B$11,"Schulbetrieb",Nutzungsprofile!$G$6:$G$11)*Kalender!C203/SUM(Kalender!$C$5:$C$370),0)+IFERROR(SUMIF(Nutzungsprofile!$B$6:$B$11,"Halle",Nutzungsprofile!$G$6:$G$11)*Kalender!D203/SUM(Kalender!$D$5:$D$370),0)+IFERROR(SUMIF(Nutzungsprofile!$B$6:$B$11,"Individuell",Nutzungsprofile!$G$6:$G$11)*Kalender!E203/SUM(Kalender!$E$5:$E$370),0))*Szenarien!$E$8,0)</f>
        <v>1.632</v>
      </c>
      <c r="D203" s="13" t="n">
        <f aca="false">IF(Szenarien!$H$8="OK",(IFERROR(SUMIF(Nutzungsprofile!$B$17:$B$22,"Schulbetrieb",Nutzungsprofile!$G$17:$G$22)*Kalender!C203/SUM(Kalender!$C$5:$C$370),0)+IFERROR(SUMIF(Nutzungsprofile!$B$17:$B$22,"Halle",Nutzungsprofile!$G$17:$G$22)*Kalender!D203/SUM(Kalender!$D$5:$D$370),0)+IFERROR(SUMIF(Nutzungsprofile!$B$17:$B$22,"Individuell",Nutzungsprofile!$G$17:$G$22)*Kalender!E203/SUM(Kalender!$E$5:$E$370),0))*Szenarien!$D$8,0)</f>
        <v>0.801</v>
      </c>
      <c r="E203" s="13" t="n">
        <f aca="false">IFERROR(MIN(C203,Eingaben!$B$17)*Eingaben!$B$16,0)</f>
        <v>1.5504</v>
      </c>
      <c r="F203" s="13" t="n">
        <f aca="false">IFERROR(E203*Eingaben!$B$15,0)</f>
        <v>1.39536</v>
      </c>
      <c r="G203" s="13" t="n">
        <f aca="false">IFERROR(IF(Kalender!A203="",0,J202*(1-Eingaben!$B$20)),0)</f>
        <v>1.3674528</v>
      </c>
      <c r="H203" s="13" t="n">
        <f aca="false">MIN(G203,D203)</f>
        <v>0.801</v>
      </c>
      <c r="I203" s="13" t="n">
        <f aca="false">IFERROR(MIN(F203*Eingaben!$B$19,MAX(0,D203-H203)),0)</f>
        <v>0</v>
      </c>
      <c r="J203" s="13" t="n">
        <f aca="false">IFERROR(MIN(Eingaben!$B$18,MAX(0,F203-I203)),0)</f>
        <v>1.39536</v>
      </c>
      <c r="K203" s="13" t="n">
        <f aca="false">H203+I203</f>
        <v>0.801</v>
      </c>
      <c r="L203" s="13" t="n">
        <f aca="false">MAX(0,D203-K203)</f>
        <v>0</v>
      </c>
      <c r="M203" s="13" t="n">
        <f aca="false">MAX(0,F203-I203-J203)</f>
        <v>0</v>
      </c>
      <c r="N203" s="13" t="n">
        <f aca="false">IF(Kalender!A203="",0,J202-H203)</f>
        <v>0.59436</v>
      </c>
    </row>
    <row r="204" customFormat="false" ht="16.4" hidden="false" customHeight="false" outlineLevel="0" collapsed="false">
      <c r="A204" s="13" t="str">
        <f aca="false">""</f>
        <v/>
      </c>
      <c r="B204" s="13" t="n">
        <f aca="false">200</f>
        <v>200</v>
      </c>
      <c r="C204" s="13" t="n">
        <f aca="false">IF(Szenarien!$H$8="OK",(IFERROR(SUMIF(Nutzungsprofile!$B$6:$B$11,"Schulbetrieb",Nutzungsprofile!$G$6:$G$11)*Kalender!C204/SUM(Kalender!$C$5:$C$370),0)+IFERROR(SUMIF(Nutzungsprofile!$B$6:$B$11,"Halle",Nutzungsprofile!$G$6:$G$11)*Kalender!D204/SUM(Kalender!$D$5:$D$370),0)+IFERROR(SUMIF(Nutzungsprofile!$B$6:$B$11,"Individuell",Nutzungsprofile!$G$6:$G$11)*Kalender!E204/SUM(Kalender!$E$5:$E$370),0))*Szenarien!$E$8,0)</f>
        <v>1.632</v>
      </c>
      <c r="D204" s="13" t="n">
        <f aca="false">IF(Szenarien!$H$8="OK",(IFERROR(SUMIF(Nutzungsprofile!$B$17:$B$22,"Schulbetrieb",Nutzungsprofile!$G$17:$G$22)*Kalender!C204/SUM(Kalender!$C$5:$C$370),0)+IFERROR(SUMIF(Nutzungsprofile!$B$17:$B$22,"Halle",Nutzungsprofile!$G$17:$G$22)*Kalender!D204/SUM(Kalender!$D$5:$D$370),0)+IFERROR(SUMIF(Nutzungsprofile!$B$17:$B$22,"Individuell",Nutzungsprofile!$G$17:$G$22)*Kalender!E204/SUM(Kalender!$E$5:$E$370),0))*Szenarien!$D$8,0)</f>
        <v>0.801</v>
      </c>
      <c r="E204" s="13" t="n">
        <f aca="false">IFERROR(MIN(C204,Eingaben!$B$17)*Eingaben!$B$16,0)</f>
        <v>1.5504</v>
      </c>
      <c r="F204" s="13" t="n">
        <f aca="false">IFERROR(E204*Eingaben!$B$15,0)</f>
        <v>1.39536</v>
      </c>
      <c r="G204" s="13" t="n">
        <f aca="false">IFERROR(IF(Kalender!A204="",0,J203*(1-Eingaben!$B$20)),0)</f>
        <v>1.3674528</v>
      </c>
      <c r="H204" s="13" t="n">
        <f aca="false">MIN(G204,D204)</f>
        <v>0.801</v>
      </c>
      <c r="I204" s="13" t="n">
        <f aca="false">IFERROR(MIN(F204*Eingaben!$B$19,MAX(0,D204-H204)),0)</f>
        <v>0</v>
      </c>
      <c r="J204" s="13" t="n">
        <f aca="false">IFERROR(MIN(Eingaben!$B$18,MAX(0,F204-I204)),0)</f>
        <v>1.39536</v>
      </c>
      <c r="K204" s="13" t="n">
        <f aca="false">H204+I204</f>
        <v>0.801</v>
      </c>
      <c r="L204" s="13" t="n">
        <f aca="false">MAX(0,D204-K204)</f>
        <v>0</v>
      </c>
      <c r="M204" s="13" t="n">
        <f aca="false">MAX(0,F204-I204-J204)</f>
        <v>0</v>
      </c>
      <c r="N204" s="13" t="n">
        <f aca="false">IF(Kalender!A204="",0,J203-H204)</f>
        <v>0.59436</v>
      </c>
    </row>
    <row r="205" customFormat="false" ht="16.4" hidden="false" customHeight="false" outlineLevel="0" collapsed="false">
      <c r="A205" s="13" t="str">
        <f aca="false">""</f>
        <v/>
      </c>
      <c r="B205" s="13" t="n">
        <f aca="false">201</f>
        <v>201</v>
      </c>
      <c r="C205" s="13" t="n">
        <f aca="false">IF(Szenarien!$H$8="OK",(IFERROR(SUMIF(Nutzungsprofile!$B$6:$B$11,"Schulbetrieb",Nutzungsprofile!$G$6:$G$11)*Kalender!C205/SUM(Kalender!$C$5:$C$370),0)+IFERROR(SUMIF(Nutzungsprofile!$B$6:$B$11,"Halle",Nutzungsprofile!$G$6:$G$11)*Kalender!D205/SUM(Kalender!$D$5:$D$370),0)+IFERROR(SUMIF(Nutzungsprofile!$B$6:$B$11,"Individuell",Nutzungsprofile!$G$6:$G$11)*Kalender!E205/SUM(Kalender!$E$5:$E$370),0))*Szenarien!$E$8,0)</f>
        <v>1.632</v>
      </c>
      <c r="D205" s="13" t="n">
        <f aca="false">IF(Szenarien!$H$8="OK",(IFERROR(SUMIF(Nutzungsprofile!$B$17:$B$22,"Schulbetrieb",Nutzungsprofile!$G$17:$G$22)*Kalender!C205/SUM(Kalender!$C$5:$C$370),0)+IFERROR(SUMIF(Nutzungsprofile!$B$17:$B$22,"Halle",Nutzungsprofile!$G$17:$G$22)*Kalender!D205/SUM(Kalender!$D$5:$D$370),0)+IFERROR(SUMIF(Nutzungsprofile!$B$17:$B$22,"Individuell",Nutzungsprofile!$G$17:$G$22)*Kalender!E205/SUM(Kalender!$E$5:$E$370),0))*Szenarien!$D$8,0)</f>
        <v>0.801</v>
      </c>
      <c r="E205" s="13" t="n">
        <f aca="false">IFERROR(MIN(C205,Eingaben!$B$17)*Eingaben!$B$16,0)</f>
        <v>1.5504</v>
      </c>
      <c r="F205" s="13" t="n">
        <f aca="false">IFERROR(E205*Eingaben!$B$15,0)</f>
        <v>1.39536</v>
      </c>
      <c r="G205" s="13" t="n">
        <f aca="false">IFERROR(IF(Kalender!A205="",0,J204*(1-Eingaben!$B$20)),0)</f>
        <v>1.3674528</v>
      </c>
      <c r="H205" s="13" t="n">
        <f aca="false">MIN(G205,D205)</f>
        <v>0.801</v>
      </c>
      <c r="I205" s="13" t="n">
        <f aca="false">IFERROR(MIN(F205*Eingaben!$B$19,MAX(0,D205-H205)),0)</f>
        <v>0</v>
      </c>
      <c r="J205" s="13" t="n">
        <f aca="false">IFERROR(MIN(Eingaben!$B$18,MAX(0,F205-I205)),0)</f>
        <v>1.39536</v>
      </c>
      <c r="K205" s="13" t="n">
        <f aca="false">H205+I205</f>
        <v>0.801</v>
      </c>
      <c r="L205" s="13" t="n">
        <f aca="false">MAX(0,D205-K205)</f>
        <v>0</v>
      </c>
      <c r="M205" s="13" t="n">
        <f aca="false">MAX(0,F205-I205-J205)</f>
        <v>0</v>
      </c>
      <c r="N205" s="13" t="n">
        <f aca="false">IF(Kalender!A205="",0,J204-H205)</f>
        <v>0.59436</v>
      </c>
    </row>
    <row r="206" customFormat="false" ht="16.4" hidden="false" customHeight="false" outlineLevel="0" collapsed="false">
      <c r="A206" s="13" t="str">
        <f aca="false">""</f>
        <v/>
      </c>
      <c r="B206" s="13" t="n">
        <f aca="false">202</f>
        <v>202</v>
      </c>
      <c r="C206" s="13" t="n">
        <f aca="false">IF(Szenarien!$H$8="OK",(IFERROR(SUMIF(Nutzungsprofile!$B$6:$B$11,"Schulbetrieb",Nutzungsprofile!$G$6:$G$11)*Kalender!C206/SUM(Kalender!$C$5:$C$370),0)+IFERROR(SUMIF(Nutzungsprofile!$B$6:$B$11,"Halle",Nutzungsprofile!$G$6:$G$11)*Kalender!D206/SUM(Kalender!$D$5:$D$370),0)+IFERROR(SUMIF(Nutzungsprofile!$B$6:$B$11,"Individuell",Nutzungsprofile!$G$6:$G$11)*Kalender!E206/SUM(Kalender!$E$5:$E$370),0))*Szenarien!$E$8,0)</f>
        <v>1.632</v>
      </c>
      <c r="D206" s="13" t="n">
        <f aca="false">IF(Szenarien!$H$8="OK",(IFERROR(SUMIF(Nutzungsprofile!$B$17:$B$22,"Schulbetrieb",Nutzungsprofile!$G$17:$G$22)*Kalender!C206/SUM(Kalender!$C$5:$C$370),0)+IFERROR(SUMIF(Nutzungsprofile!$B$17:$B$22,"Halle",Nutzungsprofile!$G$17:$G$22)*Kalender!D206/SUM(Kalender!$D$5:$D$370),0)+IFERROR(SUMIF(Nutzungsprofile!$B$17:$B$22,"Individuell",Nutzungsprofile!$G$17:$G$22)*Kalender!E206/SUM(Kalender!$E$5:$E$370),0))*Szenarien!$D$8,0)</f>
        <v>0.801</v>
      </c>
      <c r="E206" s="13" t="n">
        <f aca="false">IFERROR(MIN(C206,Eingaben!$B$17)*Eingaben!$B$16,0)</f>
        <v>1.5504</v>
      </c>
      <c r="F206" s="13" t="n">
        <f aca="false">IFERROR(E206*Eingaben!$B$15,0)</f>
        <v>1.39536</v>
      </c>
      <c r="G206" s="13" t="n">
        <f aca="false">IFERROR(IF(Kalender!A206="",0,J205*(1-Eingaben!$B$20)),0)</f>
        <v>1.3674528</v>
      </c>
      <c r="H206" s="13" t="n">
        <f aca="false">MIN(G206,D206)</f>
        <v>0.801</v>
      </c>
      <c r="I206" s="13" t="n">
        <f aca="false">IFERROR(MIN(F206*Eingaben!$B$19,MAX(0,D206-H206)),0)</f>
        <v>0</v>
      </c>
      <c r="J206" s="13" t="n">
        <f aca="false">IFERROR(MIN(Eingaben!$B$18,MAX(0,F206-I206)),0)</f>
        <v>1.39536</v>
      </c>
      <c r="K206" s="13" t="n">
        <f aca="false">H206+I206</f>
        <v>0.801</v>
      </c>
      <c r="L206" s="13" t="n">
        <f aca="false">MAX(0,D206-K206)</f>
        <v>0</v>
      </c>
      <c r="M206" s="13" t="n">
        <f aca="false">MAX(0,F206-I206-J206)</f>
        <v>0</v>
      </c>
      <c r="N206" s="13" t="n">
        <f aca="false">IF(Kalender!A206="",0,J205-H206)</f>
        <v>0.59436</v>
      </c>
    </row>
    <row r="207" customFormat="false" ht="16.4" hidden="false" customHeight="false" outlineLevel="0" collapsed="false">
      <c r="A207" s="13" t="str">
        <f aca="false">""</f>
        <v/>
      </c>
      <c r="B207" s="13" t="n">
        <f aca="false">203</f>
        <v>203</v>
      </c>
      <c r="C207" s="13" t="n">
        <f aca="false">IF(Szenarien!$H$8="OK",(IFERROR(SUMIF(Nutzungsprofile!$B$6:$B$11,"Schulbetrieb",Nutzungsprofile!$G$6:$G$11)*Kalender!C207/SUM(Kalender!$C$5:$C$370),0)+IFERROR(SUMIF(Nutzungsprofile!$B$6:$B$11,"Halle",Nutzungsprofile!$G$6:$G$11)*Kalender!D207/SUM(Kalender!$D$5:$D$370),0)+IFERROR(SUMIF(Nutzungsprofile!$B$6:$B$11,"Individuell",Nutzungsprofile!$G$6:$G$11)*Kalender!E207/SUM(Kalender!$E$5:$E$370),0))*Szenarien!$E$8,0)</f>
        <v>1.632</v>
      </c>
      <c r="D207" s="13" t="n">
        <f aca="false">IF(Szenarien!$H$8="OK",(IFERROR(SUMIF(Nutzungsprofile!$B$17:$B$22,"Schulbetrieb",Nutzungsprofile!$G$17:$G$22)*Kalender!C207/SUM(Kalender!$C$5:$C$370),0)+IFERROR(SUMIF(Nutzungsprofile!$B$17:$B$22,"Halle",Nutzungsprofile!$G$17:$G$22)*Kalender!D207/SUM(Kalender!$D$5:$D$370),0)+IFERROR(SUMIF(Nutzungsprofile!$B$17:$B$22,"Individuell",Nutzungsprofile!$G$17:$G$22)*Kalender!E207/SUM(Kalender!$E$5:$E$370),0))*Szenarien!$D$8,0)</f>
        <v>0.801</v>
      </c>
      <c r="E207" s="13" t="n">
        <f aca="false">IFERROR(MIN(C207,Eingaben!$B$17)*Eingaben!$B$16,0)</f>
        <v>1.5504</v>
      </c>
      <c r="F207" s="13" t="n">
        <f aca="false">IFERROR(E207*Eingaben!$B$15,0)</f>
        <v>1.39536</v>
      </c>
      <c r="G207" s="13" t="n">
        <f aca="false">IFERROR(IF(Kalender!A207="",0,J206*(1-Eingaben!$B$20)),0)</f>
        <v>1.3674528</v>
      </c>
      <c r="H207" s="13" t="n">
        <f aca="false">MIN(G207,D207)</f>
        <v>0.801</v>
      </c>
      <c r="I207" s="13" t="n">
        <f aca="false">IFERROR(MIN(F207*Eingaben!$B$19,MAX(0,D207-H207)),0)</f>
        <v>0</v>
      </c>
      <c r="J207" s="13" t="n">
        <f aca="false">IFERROR(MIN(Eingaben!$B$18,MAX(0,F207-I207)),0)</f>
        <v>1.39536</v>
      </c>
      <c r="K207" s="13" t="n">
        <f aca="false">H207+I207</f>
        <v>0.801</v>
      </c>
      <c r="L207" s="13" t="n">
        <f aca="false">MAX(0,D207-K207)</f>
        <v>0</v>
      </c>
      <c r="M207" s="13" t="n">
        <f aca="false">MAX(0,F207-I207-J207)</f>
        <v>0</v>
      </c>
      <c r="N207" s="13" t="n">
        <f aca="false">IF(Kalender!A207="",0,J206-H207)</f>
        <v>0.59436</v>
      </c>
    </row>
    <row r="208" customFormat="false" ht="16.4" hidden="false" customHeight="false" outlineLevel="0" collapsed="false">
      <c r="A208" s="13" t="str">
        <f aca="false">""</f>
        <v/>
      </c>
      <c r="B208" s="13" t="n">
        <f aca="false">204</f>
        <v>204</v>
      </c>
      <c r="C208" s="13" t="n">
        <f aca="false">IF(Szenarien!$H$8="OK",(IFERROR(SUMIF(Nutzungsprofile!$B$6:$B$11,"Schulbetrieb",Nutzungsprofile!$G$6:$G$11)*Kalender!C208/SUM(Kalender!$C$5:$C$370),0)+IFERROR(SUMIF(Nutzungsprofile!$B$6:$B$11,"Halle",Nutzungsprofile!$G$6:$G$11)*Kalender!D208/SUM(Kalender!$D$5:$D$370),0)+IFERROR(SUMIF(Nutzungsprofile!$B$6:$B$11,"Individuell",Nutzungsprofile!$G$6:$G$11)*Kalender!E208/SUM(Kalender!$E$5:$E$370),0))*Szenarien!$E$8,0)</f>
        <v>1.632</v>
      </c>
      <c r="D208" s="13" t="n">
        <f aca="false">IF(Szenarien!$H$8="OK",(IFERROR(SUMIF(Nutzungsprofile!$B$17:$B$22,"Schulbetrieb",Nutzungsprofile!$G$17:$G$22)*Kalender!C208/SUM(Kalender!$C$5:$C$370),0)+IFERROR(SUMIF(Nutzungsprofile!$B$17:$B$22,"Halle",Nutzungsprofile!$G$17:$G$22)*Kalender!D208/SUM(Kalender!$D$5:$D$370),0)+IFERROR(SUMIF(Nutzungsprofile!$B$17:$B$22,"Individuell",Nutzungsprofile!$G$17:$G$22)*Kalender!E208/SUM(Kalender!$E$5:$E$370),0))*Szenarien!$D$8,0)</f>
        <v>0.801</v>
      </c>
      <c r="E208" s="13" t="n">
        <f aca="false">IFERROR(MIN(C208,Eingaben!$B$17)*Eingaben!$B$16,0)</f>
        <v>1.5504</v>
      </c>
      <c r="F208" s="13" t="n">
        <f aca="false">IFERROR(E208*Eingaben!$B$15,0)</f>
        <v>1.39536</v>
      </c>
      <c r="G208" s="13" t="n">
        <f aca="false">IFERROR(IF(Kalender!A208="",0,J207*(1-Eingaben!$B$20)),0)</f>
        <v>1.3674528</v>
      </c>
      <c r="H208" s="13" t="n">
        <f aca="false">MIN(G208,D208)</f>
        <v>0.801</v>
      </c>
      <c r="I208" s="13" t="n">
        <f aca="false">IFERROR(MIN(F208*Eingaben!$B$19,MAX(0,D208-H208)),0)</f>
        <v>0</v>
      </c>
      <c r="J208" s="13" t="n">
        <f aca="false">IFERROR(MIN(Eingaben!$B$18,MAX(0,F208-I208)),0)</f>
        <v>1.39536</v>
      </c>
      <c r="K208" s="13" t="n">
        <f aca="false">H208+I208</f>
        <v>0.801</v>
      </c>
      <c r="L208" s="13" t="n">
        <f aca="false">MAX(0,D208-K208)</f>
        <v>0</v>
      </c>
      <c r="M208" s="13" t="n">
        <f aca="false">MAX(0,F208-I208-J208)</f>
        <v>0</v>
      </c>
      <c r="N208" s="13" t="n">
        <f aca="false">IF(Kalender!A208="",0,J207-H208)</f>
        <v>0.59436</v>
      </c>
    </row>
    <row r="209" customFormat="false" ht="16.4" hidden="false" customHeight="false" outlineLevel="0" collapsed="false">
      <c r="A209" s="13" t="str">
        <f aca="false">""</f>
        <v/>
      </c>
      <c r="B209" s="13" t="n">
        <f aca="false">205</f>
        <v>205</v>
      </c>
      <c r="C209" s="13" t="n">
        <f aca="false">IF(Szenarien!$H$8="OK",(IFERROR(SUMIF(Nutzungsprofile!$B$6:$B$11,"Schulbetrieb",Nutzungsprofile!$G$6:$G$11)*Kalender!C209/SUM(Kalender!$C$5:$C$370),0)+IFERROR(SUMIF(Nutzungsprofile!$B$6:$B$11,"Halle",Nutzungsprofile!$G$6:$G$11)*Kalender!D209/SUM(Kalender!$D$5:$D$370),0)+IFERROR(SUMIF(Nutzungsprofile!$B$6:$B$11,"Individuell",Nutzungsprofile!$G$6:$G$11)*Kalender!E209/SUM(Kalender!$E$5:$E$370),0))*Szenarien!$E$8,0)</f>
        <v>1.632</v>
      </c>
      <c r="D209" s="13" t="n">
        <f aca="false">IF(Szenarien!$H$8="OK",(IFERROR(SUMIF(Nutzungsprofile!$B$17:$B$22,"Schulbetrieb",Nutzungsprofile!$G$17:$G$22)*Kalender!C209/SUM(Kalender!$C$5:$C$370),0)+IFERROR(SUMIF(Nutzungsprofile!$B$17:$B$22,"Halle",Nutzungsprofile!$G$17:$G$22)*Kalender!D209/SUM(Kalender!$D$5:$D$370),0)+IFERROR(SUMIF(Nutzungsprofile!$B$17:$B$22,"Individuell",Nutzungsprofile!$G$17:$G$22)*Kalender!E209/SUM(Kalender!$E$5:$E$370),0))*Szenarien!$D$8,0)</f>
        <v>0.801</v>
      </c>
      <c r="E209" s="13" t="n">
        <f aca="false">IFERROR(MIN(C209,Eingaben!$B$17)*Eingaben!$B$16,0)</f>
        <v>1.5504</v>
      </c>
      <c r="F209" s="13" t="n">
        <f aca="false">IFERROR(E209*Eingaben!$B$15,0)</f>
        <v>1.39536</v>
      </c>
      <c r="G209" s="13" t="n">
        <f aca="false">IFERROR(IF(Kalender!A209="",0,J208*(1-Eingaben!$B$20)),0)</f>
        <v>1.3674528</v>
      </c>
      <c r="H209" s="13" t="n">
        <f aca="false">MIN(G209,D209)</f>
        <v>0.801</v>
      </c>
      <c r="I209" s="13" t="n">
        <f aca="false">IFERROR(MIN(F209*Eingaben!$B$19,MAX(0,D209-H209)),0)</f>
        <v>0</v>
      </c>
      <c r="J209" s="13" t="n">
        <f aca="false">IFERROR(MIN(Eingaben!$B$18,MAX(0,F209-I209)),0)</f>
        <v>1.39536</v>
      </c>
      <c r="K209" s="13" t="n">
        <f aca="false">H209+I209</f>
        <v>0.801</v>
      </c>
      <c r="L209" s="13" t="n">
        <f aca="false">MAX(0,D209-K209)</f>
        <v>0</v>
      </c>
      <c r="M209" s="13" t="n">
        <f aca="false">MAX(0,F209-I209-J209)</f>
        <v>0</v>
      </c>
      <c r="N209" s="13" t="n">
        <f aca="false">IF(Kalender!A209="",0,J208-H209)</f>
        <v>0.59436</v>
      </c>
    </row>
    <row r="210" customFormat="false" ht="16.4" hidden="false" customHeight="false" outlineLevel="0" collapsed="false">
      <c r="A210" s="13" t="str">
        <f aca="false">""</f>
        <v/>
      </c>
      <c r="B210" s="13" t="n">
        <f aca="false">206</f>
        <v>206</v>
      </c>
      <c r="C210" s="13" t="n">
        <f aca="false">IF(Szenarien!$H$8="OK",(IFERROR(SUMIF(Nutzungsprofile!$B$6:$B$11,"Schulbetrieb",Nutzungsprofile!$G$6:$G$11)*Kalender!C210/SUM(Kalender!$C$5:$C$370),0)+IFERROR(SUMIF(Nutzungsprofile!$B$6:$B$11,"Halle",Nutzungsprofile!$G$6:$G$11)*Kalender!D210/SUM(Kalender!$D$5:$D$370),0)+IFERROR(SUMIF(Nutzungsprofile!$B$6:$B$11,"Individuell",Nutzungsprofile!$G$6:$G$11)*Kalender!E210/SUM(Kalender!$E$5:$E$370),0))*Szenarien!$E$8,0)</f>
        <v>1.632</v>
      </c>
      <c r="D210" s="13" t="n">
        <f aca="false">IF(Szenarien!$H$8="OK",(IFERROR(SUMIF(Nutzungsprofile!$B$17:$B$22,"Schulbetrieb",Nutzungsprofile!$G$17:$G$22)*Kalender!C210/SUM(Kalender!$C$5:$C$370),0)+IFERROR(SUMIF(Nutzungsprofile!$B$17:$B$22,"Halle",Nutzungsprofile!$G$17:$G$22)*Kalender!D210/SUM(Kalender!$D$5:$D$370),0)+IFERROR(SUMIF(Nutzungsprofile!$B$17:$B$22,"Individuell",Nutzungsprofile!$G$17:$G$22)*Kalender!E210/SUM(Kalender!$E$5:$E$370),0))*Szenarien!$D$8,0)</f>
        <v>0.801</v>
      </c>
      <c r="E210" s="13" t="n">
        <f aca="false">IFERROR(MIN(C210,Eingaben!$B$17)*Eingaben!$B$16,0)</f>
        <v>1.5504</v>
      </c>
      <c r="F210" s="13" t="n">
        <f aca="false">IFERROR(E210*Eingaben!$B$15,0)</f>
        <v>1.39536</v>
      </c>
      <c r="G210" s="13" t="n">
        <f aca="false">IFERROR(IF(Kalender!A210="",0,J209*(1-Eingaben!$B$20)),0)</f>
        <v>1.3674528</v>
      </c>
      <c r="H210" s="13" t="n">
        <f aca="false">MIN(G210,D210)</f>
        <v>0.801</v>
      </c>
      <c r="I210" s="13" t="n">
        <f aca="false">IFERROR(MIN(F210*Eingaben!$B$19,MAX(0,D210-H210)),0)</f>
        <v>0</v>
      </c>
      <c r="J210" s="13" t="n">
        <f aca="false">IFERROR(MIN(Eingaben!$B$18,MAX(0,F210-I210)),0)</f>
        <v>1.39536</v>
      </c>
      <c r="K210" s="13" t="n">
        <f aca="false">H210+I210</f>
        <v>0.801</v>
      </c>
      <c r="L210" s="13" t="n">
        <f aca="false">MAX(0,D210-K210)</f>
        <v>0</v>
      </c>
      <c r="M210" s="13" t="n">
        <f aca="false">MAX(0,F210-I210-J210)</f>
        <v>0</v>
      </c>
      <c r="N210" s="13" t="n">
        <f aca="false">IF(Kalender!A210="",0,J209-H210)</f>
        <v>0.59436</v>
      </c>
    </row>
    <row r="211" customFormat="false" ht="16.4" hidden="false" customHeight="false" outlineLevel="0" collapsed="false">
      <c r="A211" s="13" t="str">
        <f aca="false">""</f>
        <v/>
      </c>
      <c r="B211" s="13" t="n">
        <f aca="false">207</f>
        <v>207</v>
      </c>
      <c r="C211" s="13" t="n">
        <f aca="false">IF(Szenarien!$H$8="OK",(IFERROR(SUMIF(Nutzungsprofile!$B$6:$B$11,"Schulbetrieb",Nutzungsprofile!$G$6:$G$11)*Kalender!C211/SUM(Kalender!$C$5:$C$370),0)+IFERROR(SUMIF(Nutzungsprofile!$B$6:$B$11,"Halle",Nutzungsprofile!$G$6:$G$11)*Kalender!D211/SUM(Kalender!$D$5:$D$370),0)+IFERROR(SUMIF(Nutzungsprofile!$B$6:$B$11,"Individuell",Nutzungsprofile!$G$6:$G$11)*Kalender!E211/SUM(Kalender!$E$5:$E$370),0))*Szenarien!$E$8,0)</f>
        <v>1.632</v>
      </c>
      <c r="D211" s="13" t="n">
        <f aca="false">IF(Szenarien!$H$8="OK",(IFERROR(SUMIF(Nutzungsprofile!$B$17:$B$22,"Schulbetrieb",Nutzungsprofile!$G$17:$G$22)*Kalender!C211/SUM(Kalender!$C$5:$C$370),0)+IFERROR(SUMIF(Nutzungsprofile!$B$17:$B$22,"Halle",Nutzungsprofile!$G$17:$G$22)*Kalender!D211/SUM(Kalender!$D$5:$D$370),0)+IFERROR(SUMIF(Nutzungsprofile!$B$17:$B$22,"Individuell",Nutzungsprofile!$G$17:$G$22)*Kalender!E211/SUM(Kalender!$E$5:$E$370),0))*Szenarien!$D$8,0)</f>
        <v>0.801</v>
      </c>
      <c r="E211" s="13" t="n">
        <f aca="false">IFERROR(MIN(C211,Eingaben!$B$17)*Eingaben!$B$16,0)</f>
        <v>1.5504</v>
      </c>
      <c r="F211" s="13" t="n">
        <f aca="false">IFERROR(E211*Eingaben!$B$15,0)</f>
        <v>1.39536</v>
      </c>
      <c r="G211" s="13" t="n">
        <f aca="false">IFERROR(IF(Kalender!A211="",0,J210*(1-Eingaben!$B$20)),0)</f>
        <v>1.3674528</v>
      </c>
      <c r="H211" s="13" t="n">
        <f aca="false">MIN(G211,D211)</f>
        <v>0.801</v>
      </c>
      <c r="I211" s="13" t="n">
        <f aca="false">IFERROR(MIN(F211*Eingaben!$B$19,MAX(0,D211-H211)),0)</f>
        <v>0</v>
      </c>
      <c r="J211" s="13" t="n">
        <f aca="false">IFERROR(MIN(Eingaben!$B$18,MAX(0,F211-I211)),0)</f>
        <v>1.39536</v>
      </c>
      <c r="K211" s="13" t="n">
        <f aca="false">H211+I211</f>
        <v>0.801</v>
      </c>
      <c r="L211" s="13" t="n">
        <f aca="false">MAX(0,D211-K211)</f>
        <v>0</v>
      </c>
      <c r="M211" s="13" t="n">
        <f aca="false">MAX(0,F211-I211-J211)</f>
        <v>0</v>
      </c>
      <c r="N211" s="13" t="n">
        <f aca="false">IF(Kalender!A211="",0,J210-H211)</f>
        <v>0.59436</v>
      </c>
    </row>
    <row r="212" customFormat="false" ht="16.4" hidden="false" customHeight="false" outlineLevel="0" collapsed="false">
      <c r="A212" s="13" t="str">
        <f aca="false">""</f>
        <v/>
      </c>
      <c r="B212" s="13" t="n">
        <f aca="false">208</f>
        <v>208</v>
      </c>
      <c r="C212" s="13" t="n">
        <f aca="false">IF(Szenarien!$H$8="OK",(IFERROR(SUMIF(Nutzungsprofile!$B$6:$B$11,"Schulbetrieb",Nutzungsprofile!$G$6:$G$11)*Kalender!C212/SUM(Kalender!$C$5:$C$370),0)+IFERROR(SUMIF(Nutzungsprofile!$B$6:$B$11,"Halle",Nutzungsprofile!$G$6:$G$11)*Kalender!D212/SUM(Kalender!$D$5:$D$370),0)+IFERROR(SUMIF(Nutzungsprofile!$B$6:$B$11,"Individuell",Nutzungsprofile!$G$6:$G$11)*Kalender!E212/SUM(Kalender!$E$5:$E$370),0))*Szenarien!$E$8,0)</f>
        <v>1.632</v>
      </c>
      <c r="D212" s="13" t="n">
        <f aca="false">IF(Szenarien!$H$8="OK",(IFERROR(SUMIF(Nutzungsprofile!$B$17:$B$22,"Schulbetrieb",Nutzungsprofile!$G$17:$G$22)*Kalender!C212/SUM(Kalender!$C$5:$C$370),0)+IFERROR(SUMIF(Nutzungsprofile!$B$17:$B$22,"Halle",Nutzungsprofile!$G$17:$G$22)*Kalender!D212/SUM(Kalender!$D$5:$D$370),0)+IFERROR(SUMIF(Nutzungsprofile!$B$17:$B$22,"Individuell",Nutzungsprofile!$G$17:$G$22)*Kalender!E212/SUM(Kalender!$E$5:$E$370),0))*Szenarien!$D$8,0)</f>
        <v>0.801</v>
      </c>
      <c r="E212" s="13" t="n">
        <f aca="false">IFERROR(MIN(C212,Eingaben!$B$17)*Eingaben!$B$16,0)</f>
        <v>1.5504</v>
      </c>
      <c r="F212" s="13" t="n">
        <f aca="false">IFERROR(E212*Eingaben!$B$15,0)</f>
        <v>1.39536</v>
      </c>
      <c r="G212" s="13" t="n">
        <f aca="false">IFERROR(IF(Kalender!A212="",0,J211*(1-Eingaben!$B$20)),0)</f>
        <v>1.3674528</v>
      </c>
      <c r="H212" s="13" t="n">
        <f aca="false">MIN(G212,D212)</f>
        <v>0.801</v>
      </c>
      <c r="I212" s="13" t="n">
        <f aca="false">IFERROR(MIN(F212*Eingaben!$B$19,MAX(0,D212-H212)),0)</f>
        <v>0</v>
      </c>
      <c r="J212" s="13" t="n">
        <f aca="false">IFERROR(MIN(Eingaben!$B$18,MAX(0,F212-I212)),0)</f>
        <v>1.39536</v>
      </c>
      <c r="K212" s="13" t="n">
        <f aca="false">H212+I212</f>
        <v>0.801</v>
      </c>
      <c r="L212" s="13" t="n">
        <f aca="false">MAX(0,D212-K212)</f>
        <v>0</v>
      </c>
      <c r="M212" s="13" t="n">
        <f aca="false">MAX(0,F212-I212-J212)</f>
        <v>0</v>
      </c>
      <c r="N212" s="13" t="n">
        <f aca="false">IF(Kalender!A212="",0,J211-H212)</f>
        <v>0.59436</v>
      </c>
    </row>
    <row r="213" customFormat="false" ht="16.4" hidden="false" customHeight="false" outlineLevel="0" collapsed="false">
      <c r="A213" s="13" t="str">
        <f aca="false">""</f>
        <v/>
      </c>
      <c r="B213" s="13" t="n">
        <f aca="false">209</f>
        <v>209</v>
      </c>
      <c r="C213" s="13" t="n">
        <f aca="false">IF(Szenarien!$H$8="OK",(IFERROR(SUMIF(Nutzungsprofile!$B$6:$B$11,"Schulbetrieb",Nutzungsprofile!$G$6:$G$11)*Kalender!C213/SUM(Kalender!$C$5:$C$370),0)+IFERROR(SUMIF(Nutzungsprofile!$B$6:$B$11,"Halle",Nutzungsprofile!$G$6:$G$11)*Kalender!D213/SUM(Kalender!$D$5:$D$370),0)+IFERROR(SUMIF(Nutzungsprofile!$B$6:$B$11,"Individuell",Nutzungsprofile!$G$6:$G$11)*Kalender!E213/SUM(Kalender!$E$5:$E$370),0))*Szenarien!$E$8,0)</f>
        <v>1.632</v>
      </c>
      <c r="D213" s="13" t="n">
        <f aca="false">IF(Szenarien!$H$8="OK",(IFERROR(SUMIF(Nutzungsprofile!$B$17:$B$22,"Schulbetrieb",Nutzungsprofile!$G$17:$G$22)*Kalender!C213/SUM(Kalender!$C$5:$C$370),0)+IFERROR(SUMIF(Nutzungsprofile!$B$17:$B$22,"Halle",Nutzungsprofile!$G$17:$G$22)*Kalender!D213/SUM(Kalender!$D$5:$D$370),0)+IFERROR(SUMIF(Nutzungsprofile!$B$17:$B$22,"Individuell",Nutzungsprofile!$G$17:$G$22)*Kalender!E213/SUM(Kalender!$E$5:$E$370),0))*Szenarien!$D$8,0)</f>
        <v>0.801</v>
      </c>
      <c r="E213" s="13" t="n">
        <f aca="false">IFERROR(MIN(C213,Eingaben!$B$17)*Eingaben!$B$16,0)</f>
        <v>1.5504</v>
      </c>
      <c r="F213" s="13" t="n">
        <f aca="false">IFERROR(E213*Eingaben!$B$15,0)</f>
        <v>1.39536</v>
      </c>
      <c r="G213" s="13" t="n">
        <f aca="false">IFERROR(IF(Kalender!A213="",0,J212*(1-Eingaben!$B$20)),0)</f>
        <v>1.3674528</v>
      </c>
      <c r="H213" s="13" t="n">
        <f aca="false">MIN(G213,D213)</f>
        <v>0.801</v>
      </c>
      <c r="I213" s="13" t="n">
        <f aca="false">IFERROR(MIN(F213*Eingaben!$B$19,MAX(0,D213-H213)),0)</f>
        <v>0</v>
      </c>
      <c r="J213" s="13" t="n">
        <f aca="false">IFERROR(MIN(Eingaben!$B$18,MAX(0,F213-I213)),0)</f>
        <v>1.39536</v>
      </c>
      <c r="K213" s="13" t="n">
        <f aca="false">H213+I213</f>
        <v>0.801</v>
      </c>
      <c r="L213" s="13" t="n">
        <f aca="false">MAX(0,D213-K213)</f>
        <v>0</v>
      </c>
      <c r="M213" s="13" t="n">
        <f aca="false">MAX(0,F213-I213-J213)</f>
        <v>0</v>
      </c>
      <c r="N213" s="13" t="n">
        <f aca="false">IF(Kalender!A213="",0,J212-H213)</f>
        <v>0.59436</v>
      </c>
    </row>
    <row r="214" customFormat="false" ht="16.4" hidden="false" customHeight="false" outlineLevel="0" collapsed="false">
      <c r="A214" s="13" t="str">
        <f aca="false">""</f>
        <v/>
      </c>
      <c r="B214" s="13" t="n">
        <f aca="false">210</f>
        <v>210</v>
      </c>
      <c r="C214" s="13" t="n">
        <f aca="false">IF(Szenarien!$H$8="OK",(IFERROR(SUMIF(Nutzungsprofile!$B$6:$B$11,"Schulbetrieb",Nutzungsprofile!$G$6:$G$11)*Kalender!C214/SUM(Kalender!$C$5:$C$370),0)+IFERROR(SUMIF(Nutzungsprofile!$B$6:$B$11,"Halle",Nutzungsprofile!$G$6:$G$11)*Kalender!D214/SUM(Kalender!$D$5:$D$370),0)+IFERROR(SUMIF(Nutzungsprofile!$B$6:$B$11,"Individuell",Nutzungsprofile!$G$6:$G$11)*Kalender!E214/SUM(Kalender!$E$5:$E$370),0))*Szenarien!$E$8,0)</f>
        <v>1.632</v>
      </c>
      <c r="D214" s="13" t="n">
        <f aca="false">IF(Szenarien!$H$8="OK",(IFERROR(SUMIF(Nutzungsprofile!$B$17:$B$22,"Schulbetrieb",Nutzungsprofile!$G$17:$G$22)*Kalender!C214/SUM(Kalender!$C$5:$C$370),0)+IFERROR(SUMIF(Nutzungsprofile!$B$17:$B$22,"Halle",Nutzungsprofile!$G$17:$G$22)*Kalender!D214/SUM(Kalender!$D$5:$D$370),0)+IFERROR(SUMIF(Nutzungsprofile!$B$17:$B$22,"Individuell",Nutzungsprofile!$G$17:$G$22)*Kalender!E214/SUM(Kalender!$E$5:$E$370),0))*Szenarien!$D$8,0)</f>
        <v>0.801</v>
      </c>
      <c r="E214" s="13" t="n">
        <f aca="false">IFERROR(MIN(C214,Eingaben!$B$17)*Eingaben!$B$16,0)</f>
        <v>1.5504</v>
      </c>
      <c r="F214" s="13" t="n">
        <f aca="false">IFERROR(E214*Eingaben!$B$15,0)</f>
        <v>1.39536</v>
      </c>
      <c r="G214" s="13" t="n">
        <f aca="false">IFERROR(IF(Kalender!A214="",0,J213*(1-Eingaben!$B$20)),0)</f>
        <v>1.3674528</v>
      </c>
      <c r="H214" s="13" t="n">
        <f aca="false">MIN(G214,D214)</f>
        <v>0.801</v>
      </c>
      <c r="I214" s="13" t="n">
        <f aca="false">IFERROR(MIN(F214*Eingaben!$B$19,MAX(0,D214-H214)),0)</f>
        <v>0</v>
      </c>
      <c r="J214" s="13" t="n">
        <f aca="false">IFERROR(MIN(Eingaben!$B$18,MAX(0,F214-I214)),0)</f>
        <v>1.39536</v>
      </c>
      <c r="K214" s="13" t="n">
        <f aca="false">H214+I214</f>
        <v>0.801</v>
      </c>
      <c r="L214" s="13" t="n">
        <f aca="false">MAX(0,D214-K214)</f>
        <v>0</v>
      </c>
      <c r="M214" s="13" t="n">
        <f aca="false">MAX(0,F214-I214-J214)</f>
        <v>0</v>
      </c>
      <c r="N214" s="13" t="n">
        <f aca="false">IF(Kalender!A214="",0,J213-H214)</f>
        <v>0.59436</v>
      </c>
    </row>
    <row r="215" customFormat="false" ht="16.4" hidden="false" customHeight="false" outlineLevel="0" collapsed="false">
      <c r="A215" s="13" t="str">
        <f aca="false">""</f>
        <v/>
      </c>
      <c r="B215" s="13" t="n">
        <f aca="false">211</f>
        <v>211</v>
      </c>
      <c r="C215" s="13" t="n">
        <f aca="false">IF(Szenarien!$H$8="OK",(IFERROR(SUMIF(Nutzungsprofile!$B$6:$B$11,"Schulbetrieb",Nutzungsprofile!$G$6:$G$11)*Kalender!C215/SUM(Kalender!$C$5:$C$370),0)+IFERROR(SUMIF(Nutzungsprofile!$B$6:$B$11,"Halle",Nutzungsprofile!$G$6:$G$11)*Kalender!D215/SUM(Kalender!$D$5:$D$370),0)+IFERROR(SUMIF(Nutzungsprofile!$B$6:$B$11,"Individuell",Nutzungsprofile!$G$6:$G$11)*Kalender!E215/SUM(Kalender!$E$5:$E$370),0))*Szenarien!$E$8,0)</f>
        <v>1.632</v>
      </c>
      <c r="D215" s="13" t="n">
        <f aca="false">IF(Szenarien!$H$8="OK",(IFERROR(SUMIF(Nutzungsprofile!$B$17:$B$22,"Schulbetrieb",Nutzungsprofile!$G$17:$G$22)*Kalender!C215/SUM(Kalender!$C$5:$C$370),0)+IFERROR(SUMIF(Nutzungsprofile!$B$17:$B$22,"Halle",Nutzungsprofile!$G$17:$G$22)*Kalender!D215/SUM(Kalender!$D$5:$D$370),0)+IFERROR(SUMIF(Nutzungsprofile!$B$17:$B$22,"Individuell",Nutzungsprofile!$G$17:$G$22)*Kalender!E215/SUM(Kalender!$E$5:$E$370),0))*Szenarien!$D$8,0)</f>
        <v>0.801</v>
      </c>
      <c r="E215" s="13" t="n">
        <f aca="false">IFERROR(MIN(C215,Eingaben!$B$17)*Eingaben!$B$16,0)</f>
        <v>1.5504</v>
      </c>
      <c r="F215" s="13" t="n">
        <f aca="false">IFERROR(E215*Eingaben!$B$15,0)</f>
        <v>1.39536</v>
      </c>
      <c r="G215" s="13" t="n">
        <f aca="false">IFERROR(IF(Kalender!A215="",0,J214*(1-Eingaben!$B$20)),0)</f>
        <v>1.3674528</v>
      </c>
      <c r="H215" s="13" t="n">
        <f aca="false">MIN(G215,D215)</f>
        <v>0.801</v>
      </c>
      <c r="I215" s="13" t="n">
        <f aca="false">IFERROR(MIN(F215*Eingaben!$B$19,MAX(0,D215-H215)),0)</f>
        <v>0</v>
      </c>
      <c r="J215" s="13" t="n">
        <f aca="false">IFERROR(MIN(Eingaben!$B$18,MAX(0,F215-I215)),0)</f>
        <v>1.39536</v>
      </c>
      <c r="K215" s="13" t="n">
        <f aca="false">H215+I215</f>
        <v>0.801</v>
      </c>
      <c r="L215" s="13" t="n">
        <f aca="false">MAX(0,D215-K215)</f>
        <v>0</v>
      </c>
      <c r="M215" s="13" t="n">
        <f aca="false">MAX(0,F215-I215-J215)</f>
        <v>0</v>
      </c>
      <c r="N215" s="13" t="n">
        <f aca="false">IF(Kalender!A215="",0,J214-H215)</f>
        <v>0.59436</v>
      </c>
    </row>
    <row r="216" customFormat="false" ht="16.4" hidden="false" customHeight="false" outlineLevel="0" collapsed="false">
      <c r="A216" s="13" t="str">
        <f aca="false">""</f>
        <v/>
      </c>
      <c r="B216" s="13" t="n">
        <f aca="false">212</f>
        <v>212</v>
      </c>
      <c r="C216" s="13" t="n">
        <f aca="false">IF(Szenarien!$H$8="OK",(IFERROR(SUMIF(Nutzungsprofile!$B$6:$B$11,"Schulbetrieb",Nutzungsprofile!$G$6:$G$11)*Kalender!C216/SUM(Kalender!$C$5:$C$370),0)+IFERROR(SUMIF(Nutzungsprofile!$B$6:$B$11,"Halle",Nutzungsprofile!$G$6:$G$11)*Kalender!D216/SUM(Kalender!$D$5:$D$370),0)+IFERROR(SUMIF(Nutzungsprofile!$B$6:$B$11,"Individuell",Nutzungsprofile!$G$6:$G$11)*Kalender!E216/SUM(Kalender!$E$5:$E$370),0))*Szenarien!$E$8,0)</f>
        <v>1.632</v>
      </c>
      <c r="D216" s="13" t="n">
        <f aca="false">IF(Szenarien!$H$8="OK",(IFERROR(SUMIF(Nutzungsprofile!$B$17:$B$22,"Schulbetrieb",Nutzungsprofile!$G$17:$G$22)*Kalender!C216/SUM(Kalender!$C$5:$C$370),0)+IFERROR(SUMIF(Nutzungsprofile!$B$17:$B$22,"Halle",Nutzungsprofile!$G$17:$G$22)*Kalender!D216/SUM(Kalender!$D$5:$D$370),0)+IFERROR(SUMIF(Nutzungsprofile!$B$17:$B$22,"Individuell",Nutzungsprofile!$G$17:$G$22)*Kalender!E216/SUM(Kalender!$E$5:$E$370),0))*Szenarien!$D$8,0)</f>
        <v>0.801</v>
      </c>
      <c r="E216" s="13" t="n">
        <f aca="false">IFERROR(MIN(C216,Eingaben!$B$17)*Eingaben!$B$16,0)</f>
        <v>1.5504</v>
      </c>
      <c r="F216" s="13" t="n">
        <f aca="false">IFERROR(E216*Eingaben!$B$15,0)</f>
        <v>1.39536</v>
      </c>
      <c r="G216" s="13" t="n">
        <f aca="false">IFERROR(IF(Kalender!A216="",0,J215*(1-Eingaben!$B$20)),0)</f>
        <v>1.3674528</v>
      </c>
      <c r="H216" s="13" t="n">
        <f aca="false">MIN(G216,D216)</f>
        <v>0.801</v>
      </c>
      <c r="I216" s="13" t="n">
        <f aca="false">IFERROR(MIN(F216*Eingaben!$B$19,MAX(0,D216-H216)),0)</f>
        <v>0</v>
      </c>
      <c r="J216" s="13" t="n">
        <f aca="false">IFERROR(MIN(Eingaben!$B$18,MAX(0,F216-I216)),0)</f>
        <v>1.39536</v>
      </c>
      <c r="K216" s="13" t="n">
        <f aca="false">H216+I216</f>
        <v>0.801</v>
      </c>
      <c r="L216" s="13" t="n">
        <f aca="false">MAX(0,D216-K216)</f>
        <v>0</v>
      </c>
      <c r="M216" s="13" t="n">
        <f aca="false">MAX(0,F216-I216-J216)</f>
        <v>0</v>
      </c>
      <c r="N216" s="13" t="n">
        <f aca="false">IF(Kalender!A216="",0,J215-H216)</f>
        <v>0.59436</v>
      </c>
    </row>
    <row r="217" customFormat="false" ht="16.4" hidden="false" customHeight="false" outlineLevel="0" collapsed="false">
      <c r="A217" s="13" t="str">
        <f aca="false">""</f>
        <v/>
      </c>
      <c r="B217" s="13" t="n">
        <f aca="false">213</f>
        <v>213</v>
      </c>
      <c r="C217" s="13" t="n">
        <f aca="false">IF(Szenarien!$H$8="OK",(IFERROR(SUMIF(Nutzungsprofile!$B$6:$B$11,"Schulbetrieb",Nutzungsprofile!$G$6:$G$11)*Kalender!C217/SUM(Kalender!$C$5:$C$370),0)+IFERROR(SUMIF(Nutzungsprofile!$B$6:$B$11,"Halle",Nutzungsprofile!$G$6:$G$11)*Kalender!D217/SUM(Kalender!$D$5:$D$370),0)+IFERROR(SUMIF(Nutzungsprofile!$B$6:$B$11,"Individuell",Nutzungsprofile!$G$6:$G$11)*Kalender!E217/SUM(Kalender!$E$5:$E$370),0))*Szenarien!$E$8,0)</f>
        <v>1.632</v>
      </c>
      <c r="D217" s="13" t="n">
        <f aca="false">IF(Szenarien!$H$8="OK",(IFERROR(SUMIF(Nutzungsprofile!$B$17:$B$22,"Schulbetrieb",Nutzungsprofile!$G$17:$G$22)*Kalender!C217/SUM(Kalender!$C$5:$C$370),0)+IFERROR(SUMIF(Nutzungsprofile!$B$17:$B$22,"Halle",Nutzungsprofile!$G$17:$G$22)*Kalender!D217/SUM(Kalender!$D$5:$D$370),0)+IFERROR(SUMIF(Nutzungsprofile!$B$17:$B$22,"Individuell",Nutzungsprofile!$G$17:$G$22)*Kalender!E217/SUM(Kalender!$E$5:$E$370),0))*Szenarien!$D$8,0)</f>
        <v>0.801</v>
      </c>
      <c r="E217" s="13" t="n">
        <f aca="false">IFERROR(MIN(C217,Eingaben!$B$17)*Eingaben!$B$16,0)</f>
        <v>1.5504</v>
      </c>
      <c r="F217" s="13" t="n">
        <f aca="false">IFERROR(E217*Eingaben!$B$15,0)</f>
        <v>1.39536</v>
      </c>
      <c r="G217" s="13" t="n">
        <f aca="false">IFERROR(IF(Kalender!A217="",0,J216*(1-Eingaben!$B$20)),0)</f>
        <v>1.3674528</v>
      </c>
      <c r="H217" s="13" t="n">
        <f aca="false">MIN(G217,D217)</f>
        <v>0.801</v>
      </c>
      <c r="I217" s="13" t="n">
        <f aca="false">IFERROR(MIN(F217*Eingaben!$B$19,MAX(0,D217-H217)),0)</f>
        <v>0</v>
      </c>
      <c r="J217" s="13" t="n">
        <f aca="false">IFERROR(MIN(Eingaben!$B$18,MAX(0,F217-I217)),0)</f>
        <v>1.39536</v>
      </c>
      <c r="K217" s="13" t="n">
        <f aca="false">H217+I217</f>
        <v>0.801</v>
      </c>
      <c r="L217" s="13" t="n">
        <f aca="false">MAX(0,D217-K217)</f>
        <v>0</v>
      </c>
      <c r="M217" s="13" t="n">
        <f aca="false">MAX(0,F217-I217-J217)</f>
        <v>0</v>
      </c>
      <c r="N217" s="13" t="n">
        <f aca="false">IF(Kalender!A217="",0,J216-H217)</f>
        <v>0.59436</v>
      </c>
    </row>
    <row r="218" customFormat="false" ht="16.4" hidden="false" customHeight="false" outlineLevel="0" collapsed="false">
      <c r="A218" s="13" t="str">
        <f aca="false">""</f>
        <v/>
      </c>
      <c r="B218" s="13" t="n">
        <f aca="false">214</f>
        <v>214</v>
      </c>
      <c r="C218" s="13" t="n">
        <f aca="false">IF(Szenarien!$H$8="OK",(IFERROR(SUMIF(Nutzungsprofile!$B$6:$B$11,"Schulbetrieb",Nutzungsprofile!$G$6:$G$11)*Kalender!C218/SUM(Kalender!$C$5:$C$370),0)+IFERROR(SUMIF(Nutzungsprofile!$B$6:$B$11,"Halle",Nutzungsprofile!$G$6:$G$11)*Kalender!D218/SUM(Kalender!$D$5:$D$370),0)+IFERROR(SUMIF(Nutzungsprofile!$B$6:$B$11,"Individuell",Nutzungsprofile!$G$6:$G$11)*Kalender!E218/SUM(Kalender!$E$5:$E$370),0))*Szenarien!$E$8,0)</f>
        <v>1.632</v>
      </c>
      <c r="D218" s="13" t="n">
        <f aca="false">IF(Szenarien!$H$8="OK",(IFERROR(SUMIF(Nutzungsprofile!$B$17:$B$22,"Schulbetrieb",Nutzungsprofile!$G$17:$G$22)*Kalender!C218/SUM(Kalender!$C$5:$C$370),0)+IFERROR(SUMIF(Nutzungsprofile!$B$17:$B$22,"Halle",Nutzungsprofile!$G$17:$G$22)*Kalender!D218/SUM(Kalender!$D$5:$D$370),0)+IFERROR(SUMIF(Nutzungsprofile!$B$17:$B$22,"Individuell",Nutzungsprofile!$G$17:$G$22)*Kalender!E218/SUM(Kalender!$E$5:$E$370),0))*Szenarien!$D$8,0)</f>
        <v>0.801</v>
      </c>
      <c r="E218" s="13" t="n">
        <f aca="false">IFERROR(MIN(C218,Eingaben!$B$17)*Eingaben!$B$16,0)</f>
        <v>1.5504</v>
      </c>
      <c r="F218" s="13" t="n">
        <f aca="false">IFERROR(E218*Eingaben!$B$15,0)</f>
        <v>1.39536</v>
      </c>
      <c r="G218" s="13" t="n">
        <f aca="false">IFERROR(IF(Kalender!A218="",0,J217*(1-Eingaben!$B$20)),0)</f>
        <v>1.3674528</v>
      </c>
      <c r="H218" s="13" t="n">
        <f aca="false">MIN(G218,D218)</f>
        <v>0.801</v>
      </c>
      <c r="I218" s="13" t="n">
        <f aca="false">IFERROR(MIN(F218*Eingaben!$B$19,MAX(0,D218-H218)),0)</f>
        <v>0</v>
      </c>
      <c r="J218" s="13" t="n">
        <f aca="false">IFERROR(MIN(Eingaben!$B$18,MAX(0,F218-I218)),0)</f>
        <v>1.39536</v>
      </c>
      <c r="K218" s="13" t="n">
        <f aca="false">H218+I218</f>
        <v>0.801</v>
      </c>
      <c r="L218" s="13" t="n">
        <f aca="false">MAX(0,D218-K218)</f>
        <v>0</v>
      </c>
      <c r="M218" s="13" t="n">
        <f aca="false">MAX(0,F218-I218-J218)</f>
        <v>0</v>
      </c>
      <c r="N218" s="13" t="n">
        <f aca="false">IF(Kalender!A218="",0,J217-H218)</f>
        <v>0.59436</v>
      </c>
    </row>
    <row r="219" customFormat="false" ht="16.4" hidden="false" customHeight="false" outlineLevel="0" collapsed="false">
      <c r="A219" s="13" t="str">
        <f aca="false">""</f>
        <v/>
      </c>
      <c r="B219" s="13" t="n">
        <f aca="false">215</f>
        <v>215</v>
      </c>
      <c r="C219" s="13" t="n">
        <f aca="false">IF(Szenarien!$H$8="OK",(IFERROR(SUMIF(Nutzungsprofile!$B$6:$B$11,"Schulbetrieb",Nutzungsprofile!$G$6:$G$11)*Kalender!C219/SUM(Kalender!$C$5:$C$370),0)+IFERROR(SUMIF(Nutzungsprofile!$B$6:$B$11,"Halle",Nutzungsprofile!$G$6:$G$11)*Kalender!D219/SUM(Kalender!$D$5:$D$370),0)+IFERROR(SUMIF(Nutzungsprofile!$B$6:$B$11,"Individuell",Nutzungsprofile!$G$6:$G$11)*Kalender!E219/SUM(Kalender!$E$5:$E$370),0))*Szenarien!$E$8,0)</f>
        <v>1.632</v>
      </c>
      <c r="D219" s="13" t="n">
        <f aca="false">IF(Szenarien!$H$8="OK",(IFERROR(SUMIF(Nutzungsprofile!$B$17:$B$22,"Schulbetrieb",Nutzungsprofile!$G$17:$G$22)*Kalender!C219/SUM(Kalender!$C$5:$C$370),0)+IFERROR(SUMIF(Nutzungsprofile!$B$17:$B$22,"Halle",Nutzungsprofile!$G$17:$G$22)*Kalender!D219/SUM(Kalender!$D$5:$D$370),0)+IFERROR(SUMIF(Nutzungsprofile!$B$17:$B$22,"Individuell",Nutzungsprofile!$G$17:$G$22)*Kalender!E219/SUM(Kalender!$E$5:$E$370),0))*Szenarien!$D$8,0)</f>
        <v>0.801</v>
      </c>
      <c r="E219" s="13" t="n">
        <f aca="false">IFERROR(MIN(C219,Eingaben!$B$17)*Eingaben!$B$16,0)</f>
        <v>1.5504</v>
      </c>
      <c r="F219" s="13" t="n">
        <f aca="false">IFERROR(E219*Eingaben!$B$15,0)</f>
        <v>1.39536</v>
      </c>
      <c r="G219" s="13" t="n">
        <f aca="false">IFERROR(IF(Kalender!A219="",0,J218*(1-Eingaben!$B$20)),0)</f>
        <v>1.3674528</v>
      </c>
      <c r="H219" s="13" t="n">
        <f aca="false">MIN(G219,D219)</f>
        <v>0.801</v>
      </c>
      <c r="I219" s="13" t="n">
        <f aca="false">IFERROR(MIN(F219*Eingaben!$B$19,MAX(0,D219-H219)),0)</f>
        <v>0</v>
      </c>
      <c r="J219" s="13" t="n">
        <f aca="false">IFERROR(MIN(Eingaben!$B$18,MAX(0,F219-I219)),0)</f>
        <v>1.39536</v>
      </c>
      <c r="K219" s="13" t="n">
        <f aca="false">H219+I219</f>
        <v>0.801</v>
      </c>
      <c r="L219" s="13" t="n">
        <f aca="false">MAX(0,D219-K219)</f>
        <v>0</v>
      </c>
      <c r="M219" s="13" t="n">
        <f aca="false">MAX(0,F219-I219-J219)</f>
        <v>0</v>
      </c>
      <c r="N219" s="13" t="n">
        <f aca="false">IF(Kalender!A219="",0,J218-H219)</f>
        <v>0.59436</v>
      </c>
    </row>
    <row r="220" customFormat="false" ht="16.4" hidden="false" customHeight="false" outlineLevel="0" collapsed="false">
      <c r="A220" s="13" t="str">
        <f aca="false">""</f>
        <v/>
      </c>
      <c r="B220" s="13" t="n">
        <f aca="false">216</f>
        <v>216</v>
      </c>
      <c r="C220" s="13" t="n">
        <f aca="false">IF(Szenarien!$H$8="OK",(IFERROR(SUMIF(Nutzungsprofile!$B$6:$B$11,"Schulbetrieb",Nutzungsprofile!$G$6:$G$11)*Kalender!C220/SUM(Kalender!$C$5:$C$370),0)+IFERROR(SUMIF(Nutzungsprofile!$B$6:$B$11,"Halle",Nutzungsprofile!$G$6:$G$11)*Kalender!D220/SUM(Kalender!$D$5:$D$370),0)+IFERROR(SUMIF(Nutzungsprofile!$B$6:$B$11,"Individuell",Nutzungsprofile!$G$6:$G$11)*Kalender!E220/SUM(Kalender!$E$5:$E$370),0))*Szenarien!$E$8,0)</f>
        <v>1.632</v>
      </c>
      <c r="D220" s="13" t="n">
        <f aca="false">IF(Szenarien!$H$8="OK",(IFERROR(SUMIF(Nutzungsprofile!$B$17:$B$22,"Schulbetrieb",Nutzungsprofile!$G$17:$G$22)*Kalender!C220/SUM(Kalender!$C$5:$C$370),0)+IFERROR(SUMIF(Nutzungsprofile!$B$17:$B$22,"Halle",Nutzungsprofile!$G$17:$G$22)*Kalender!D220/SUM(Kalender!$D$5:$D$370),0)+IFERROR(SUMIF(Nutzungsprofile!$B$17:$B$22,"Individuell",Nutzungsprofile!$G$17:$G$22)*Kalender!E220/SUM(Kalender!$E$5:$E$370),0))*Szenarien!$D$8,0)</f>
        <v>0.801</v>
      </c>
      <c r="E220" s="13" t="n">
        <f aca="false">IFERROR(MIN(C220,Eingaben!$B$17)*Eingaben!$B$16,0)</f>
        <v>1.5504</v>
      </c>
      <c r="F220" s="13" t="n">
        <f aca="false">IFERROR(E220*Eingaben!$B$15,0)</f>
        <v>1.39536</v>
      </c>
      <c r="G220" s="13" t="n">
        <f aca="false">IFERROR(IF(Kalender!A220="",0,J219*(1-Eingaben!$B$20)),0)</f>
        <v>1.3674528</v>
      </c>
      <c r="H220" s="13" t="n">
        <f aca="false">MIN(G220,D220)</f>
        <v>0.801</v>
      </c>
      <c r="I220" s="13" t="n">
        <f aca="false">IFERROR(MIN(F220*Eingaben!$B$19,MAX(0,D220-H220)),0)</f>
        <v>0</v>
      </c>
      <c r="J220" s="13" t="n">
        <f aca="false">IFERROR(MIN(Eingaben!$B$18,MAX(0,F220-I220)),0)</f>
        <v>1.39536</v>
      </c>
      <c r="K220" s="13" t="n">
        <f aca="false">H220+I220</f>
        <v>0.801</v>
      </c>
      <c r="L220" s="13" t="n">
        <f aca="false">MAX(0,D220-K220)</f>
        <v>0</v>
      </c>
      <c r="M220" s="13" t="n">
        <f aca="false">MAX(0,F220-I220-J220)</f>
        <v>0</v>
      </c>
      <c r="N220" s="13" t="n">
        <f aca="false">IF(Kalender!A220="",0,J219-H220)</f>
        <v>0.59436</v>
      </c>
    </row>
    <row r="221" customFormat="false" ht="16.4" hidden="false" customHeight="false" outlineLevel="0" collapsed="false">
      <c r="A221" s="13" t="str">
        <f aca="false">""</f>
        <v/>
      </c>
      <c r="B221" s="13" t="n">
        <f aca="false">217</f>
        <v>217</v>
      </c>
      <c r="C221" s="13" t="n">
        <f aca="false">IF(Szenarien!$H$8="OK",(IFERROR(SUMIF(Nutzungsprofile!$B$6:$B$11,"Schulbetrieb",Nutzungsprofile!$G$6:$G$11)*Kalender!C221/SUM(Kalender!$C$5:$C$370),0)+IFERROR(SUMIF(Nutzungsprofile!$B$6:$B$11,"Halle",Nutzungsprofile!$G$6:$G$11)*Kalender!D221/SUM(Kalender!$D$5:$D$370),0)+IFERROR(SUMIF(Nutzungsprofile!$B$6:$B$11,"Individuell",Nutzungsprofile!$G$6:$G$11)*Kalender!E221/SUM(Kalender!$E$5:$E$370),0))*Szenarien!$E$8,0)</f>
        <v>1.632</v>
      </c>
      <c r="D221" s="13" t="n">
        <f aca="false">IF(Szenarien!$H$8="OK",(IFERROR(SUMIF(Nutzungsprofile!$B$17:$B$22,"Schulbetrieb",Nutzungsprofile!$G$17:$G$22)*Kalender!C221/SUM(Kalender!$C$5:$C$370),0)+IFERROR(SUMIF(Nutzungsprofile!$B$17:$B$22,"Halle",Nutzungsprofile!$G$17:$G$22)*Kalender!D221/SUM(Kalender!$D$5:$D$370),0)+IFERROR(SUMIF(Nutzungsprofile!$B$17:$B$22,"Individuell",Nutzungsprofile!$G$17:$G$22)*Kalender!E221/SUM(Kalender!$E$5:$E$370),0))*Szenarien!$D$8,0)</f>
        <v>0.801</v>
      </c>
      <c r="E221" s="13" t="n">
        <f aca="false">IFERROR(MIN(C221,Eingaben!$B$17)*Eingaben!$B$16,0)</f>
        <v>1.5504</v>
      </c>
      <c r="F221" s="13" t="n">
        <f aca="false">IFERROR(E221*Eingaben!$B$15,0)</f>
        <v>1.39536</v>
      </c>
      <c r="G221" s="13" t="n">
        <f aca="false">IFERROR(IF(Kalender!A221="",0,J220*(1-Eingaben!$B$20)),0)</f>
        <v>1.3674528</v>
      </c>
      <c r="H221" s="13" t="n">
        <f aca="false">MIN(G221,D221)</f>
        <v>0.801</v>
      </c>
      <c r="I221" s="13" t="n">
        <f aca="false">IFERROR(MIN(F221*Eingaben!$B$19,MAX(0,D221-H221)),0)</f>
        <v>0</v>
      </c>
      <c r="J221" s="13" t="n">
        <f aca="false">IFERROR(MIN(Eingaben!$B$18,MAX(0,F221-I221)),0)</f>
        <v>1.39536</v>
      </c>
      <c r="K221" s="13" t="n">
        <f aca="false">H221+I221</f>
        <v>0.801</v>
      </c>
      <c r="L221" s="13" t="n">
        <f aca="false">MAX(0,D221-K221)</f>
        <v>0</v>
      </c>
      <c r="M221" s="13" t="n">
        <f aca="false">MAX(0,F221-I221-J221)</f>
        <v>0</v>
      </c>
      <c r="N221" s="13" t="n">
        <f aca="false">IF(Kalender!A221="",0,J220-H221)</f>
        <v>0.59436</v>
      </c>
    </row>
    <row r="222" customFormat="false" ht="16.4" hidden="false" customHeight="false" outlineLevel="0" collapsed="false">
      <c r="A222" s="13" t="str">
        <f aca="false">""</f>
        <v/>
      </c>
      <c r="B222" s="13" t="n">
        <f aca="false">218</f>
        <v>218</v>
      </c>
      <c r="C222" s="13" t="n">
        <f aca="false">IF(Szenarien!$H$8="OK",(IFERROR(SUMIF(Nutzungsprofile!$B$6:$B$11,"Schulbetrieb",Nutzungsprofile!$G$6:$G$11)*Kalender!C222/SUM(Kalender!$C$5:$C$370),0)+IFERROR(SUMIF(Nutzungsprofile!$B$6:$B$11,"Halle",Nutzungsprofile!$G$6:$G$11)*Kalender!D222/SUM(Kalender!$D$5:$D$370),0)+IFERROR(SUMIF(Nutzungsprofile!$B$6:$B$11,"Individuell",Nutzungsprofile!$G$6:$G$11)*Kalender!E222/SUM(Kalender!$E$5:$E$370),0))*Szenarien!$E$8,0)</f>
        <v>1.632</v>
      </c>
      <c r="D222" s="13" t="n">
        <f aca="false">IF(Szenarien!$H$8="OK",(IFERROR(SUMIF(Nutzungsprofile!$B$17:$B$22,"Schulbetrieb",Nutzungsprofile!$G$17:$G$22)*Kalender!C222/SUM(Kalender!$C$5:$C$370),0)+IFERROR(SUMIF(Nutzungsprofile!$B$17:$B$22,"Halle",Nutzungsprofile!$G$17:$G$22)*Kalender!D222/SUM(Kalender!$D$5:$D$370),0)+IFERROR(SUMIF(Nutzungsprofile!$B$17:$B$22,"Individuell",Nutzungsprofile!$G$17:$G$22)*Kalender!E222/SUM(Kalender!$E$5:$E$370),0))*Szenarien!$D$8,0)</f>
        <v>0.801</v>
      </c>
      <c r="E222" s="13" t="n">
        <f aca="false">IFERROR(MIN(C222,Eingaben!$B$17)*Eingaben!$B$16,0)</f>
        <v>1.5504</v>
      </c>
      <c r="F222" s="13" t="n">
        <f aca="false">IFERROR(E222*Eingaben!$B$15,0)</f>
        <v>1.39536</v>
      </c>
      <c r="G222" s="13" t="n">
        <f aca="false">IFERROR(IF(Kalender!A222="",0,J221*(1-Eingaben!$B$20)),0)</f>
        <v>1.3674528</v>
      </c>
      <c r="H222" s="13" t="n">
        <f aca="false">MIN(G222,D222)</f>
        <v>0.801</v>
      </c>
      <c r="I222" s="13" t="n">
        <f aca="false">IFERROR(MIN(F222*Eingaben!$B$19,MAX(0,D222-H222)),0)</f>
        <v>0</v>
      </c>
      <c r="J222" s="13" t="n">
        <f aca="false">IFERROR(MIN(Eingaben!$B$18,MAX(0,F222-I222)),0)</f>
        <v>1.39536</v>
      </c>
      <c r="K222" s="13" t="n">
        <f aca="false">H222+I222</f>
        <v>0.801</v>
      </c>
      <c r="L222" s="13" t="n">
        <f aca="false">MAX(0,D222-K222)</f>
        <v>0</v>
      </c>
      <c r="M222" s="13" t="n">
        <f aca="false">MAX(0,F222-I222-J222)</f>
        <v>0</v>
      </c>
      <c r="N222" s="13" t="n">
        <f aca="false">IF(Kalender!A222="",0,J221-H222)</f>
        <v>0.59436</v>
      </c>
    </row>
    <row r="223" customFormat="false" ht="16.4" hidden="false" customHeight="false" outlineLevel="0" collapsed="false">
      <c r="A223" s="13" t="str">
        <f aca="false">""</f>
        <v/>
      </c>
      <c r="B223" s="13" t="n">
        <f aca="false">219</f>
        <v>219</v>
      </c>
      <c r="C223" s="13" t="n">
        <f aca="false">IF(Szenarien!$H$8="OK",(IFERROR(SUMIF(Nutzungsprofile!$B$6:$B$11,"Schulbetrieb",Nutzungsprofile!$G$6:$G$11)*Kalender!C223/SUM(Kalender!$C$5:$C$370),0)+IFERROR(SUMIF(Nutzungsprofile!$B$6:$B$11,"Halle",Nutzungsprofile!$G$6:$G$11)*Kalender!D223/SUM(Kalender!$D$5:$D$370),0)+IFERROR(SUMIF(Nutzungsprofile!$B$6:$B$11,"Individuell",Nutzungsprofile!$G$6:$G$11)*Kalender!E223/SUM(Kalender!$E$5:$E$370),0))*Szenarien!$E$8,0)</f>
        <v>1.632</v>
      </c>
      <c r="D223" s="13" t="n">
        <f aca="false">IF(Szenarien!$H$8="OK",(IFERROR(SUMIF(Nutzungsprofile!$B$17:$B$22,"Schulbetrieb",Nutzungsprofile!$G$17:$G$22)*Kalender!C223/SUM(Kalender!$C$5:$C$370),0)+IFERROR(SUMIF(Nutzungsprofile!$B$17:$B$22,"Halle",Nutzungsprofile!$G$17:$G$22)*Kalender!D223/SUM(Kalender!$D$5:$D$370),0)+IFERROR(SUMIF(Nutzungsprofile!$B$17:$B$22,"Individuell",Nutzungsprofile!$G$17:$G$22)*Kalender!E223/SUM(Kalender!$E$5:$E$370),0))*Szenarien!$D$8,0)</f>
        <v>0.801</v>
      </c>
      <c r="E223" s="13" t="n">
        <f aca="false">IFERROR(MIN(C223,Eingaben!$B$17)*Eingaben!$B$16,0)</f>
        <v>1.5504</v>
      </c>
      <c r="F223" s="13" t="n">
        <f aca="false">IFERROR(E223*Eingaben!$B$15,0)</f>
        <v>1.39536</v>
      </c>
      <c r="G223" s="13" t="n">
        <f aca="false">IFERROR(IF(Kalender!A223="",0,J222*(1-Eingaben!$B$20)),0)</f>
        <v>1.3674528</v>
      </c>
      <c r="H223" s="13" t="n">
        <f aca="false">MIN(G223,D223)</f>
        <v>0.801</v>
      </c>
      <c r="I223" s="13" t="n">
        <f aca="false">IFERROR(MIN(F223*Eingaben!$B$19,MAX(0,D223-H223)),0)</f>
        <v>0</v>
      </c>
      <c r="J223" s="13" t="n">
        <f aca="false">IFERROR(MIN(Eingaben!$B$18,MAX(0,F223-I223)),0)</f>
        <v>1.39536</v>
      </c>
      <c r="K223" s="13" t="n">
        <f aca="false">H223+I223</f>
        <v>0.801</v>
      </c>
      <c r="L223" s="13" t="n">
        <f aca="false">MAX(0,D223-K223)</f>
        <v>0</v>
      </c>
      <c r="M223" s="13" t="n">
        <f aca="false">MAX(0,F223-I223-J223)</f>
        <v>0</v>
      </c>
      <c r="N223" s="13" t="n">
        <f aca="false">IF(Kalender!A223="",0,J222-H223)</f>
        <v>0.59436</v>
      </c>
    </row>
    <row r="224" customFormat="false" ht="16.4" hidden="false" customHeight="false" outlineLevel="0" collapsed="false">
      <c r="A224" s="13" t="str">
        <f aca="false">""</f>
        <v/>
      </c>
      <c r="B224" s="13" t="n">
        <f aca="false">220</f>
        <v>220</v>
      </c>
      <c r="C224" s="13" t="n">
        <f aca="false">IF(Szenarien!$H$8="OK",(IFERROR(SUMIF(Nutzungsprofile!$B$6:$B$11,"Schulbetrieb",Nutzungsprofile!$G$6:$G$11)*Kalender!C224/SUM(Kalender!$C$5:$C$370),0)+IFERROR(SUMIF(Nutzungsprofile!$B$6:$B$11,"Halle",Nutzungsprofile!$G$6:$G$11)*Kalender!D224/SUM(Kalender!$D$5:$D$370),0)+IFERROR(SUMIF(Nutzungsprofile!$B$6:$B$11,"Individuell",Nutzungsprofile!$G$6:$G$11)*Kalender!E224/SUM(Kalender!$E$5:$E$370),0))*Szenarien!$E$8,0)</f>
        <v>1.632</v>
      </c>
      <c r="D224" s="13" t="n">
        <f aca="false">IF(Szenarien!$H$8="OK",(IFERROR(SUMIF(Nutzungsprofile!$B$17:$B$22,"Schulbetrieb",Nutzungsprofile!$G$17:$G$22)*Kalender!C224/SUM(Kalender!$C$5:$C$370),0)+IFERROR(SUMIF(Nutzungsprofile!$B$17:$B$22,"Halle",Nutzungsprofile!$G$17:$G$22)*Kalender!D224/SUM(Kalender!$D$5:$D$370),0)+IFERROR(SUMIF(Nutzungsprofile!$B$17:$B$22,"Individuell",Nutzungsprofile!$G$17:$G$22)*Kalender!E224/SUM(Kalender!$E$5:$E$370),0))*Szenarien!$D$8,0)</f>
        <v>0.801</v>
      </c>
      <c r="E224" s="13" t="n">
        <f aca="false">IFERROR(MIN(C224,Eingaben!$B$17)*Eingaben!$B$16,0)</f>
        <v>1.5504</v>
      </c>
      <c r="F224" s="13" t="n">
        <f aca="false">IFERROR(E224*Eingaben!$B$15,0)</f>
        <v>1.39536</v>
      </c>
      <c r="G224" s="13" t="n">
        <f aca="false">IFERROR(IF(Kalender!A224="",0,J223*(1-Eingaben!$B$20)),0)</f>
        <v>1.3674528</v>
      </c>
      <c r="H224" s="13" t="n">
        <f aca="false">MIN(G224,D224)</f>
        <v>0.801</v>
      </c>
      <c r="I224" s="13" t="n">
        <f aca="false">IFERROR(MIN(F224*Eingaben!$B$19,MAX(0,D224-H224)),0)</f>
        <v>0</v>
      </c>
      <c r="J224" s="13" t="n">
        <f aca="false">IFERROR(MIN(Eingaben!$B$18,MAX(0,F224-I224)),0)</f>
        <v>1.39536</v>
      </c>
      <c r="K224" s="13" t="n">
        <f aca="false">H224+I224</f>
        <v>0.801</v>
      </c>
      <c r="L224" s="13" t="n">
        <f aca="false">MAX(0,D224-K224)</f>
        <v>0</v>
      </c>
      <c r="M224" s="13" t="n">
        <f aca="false">MAX(0,F224-I224-J224)</f>
        <v>0</v>
      </c>
      <c r="N224" s="13" t="n">
        <f aca="false">IF(Kalender!A224="",0,J223-H224)</f>
        <v>0.59436</v>
      </c>
    </row>
    <row r="225" customFormat="false" ht="16.4" hidden="false" customHeight="false" outlineLevel="0" collapsed="false">
      <c r="A225" s="13" t="str">
        <f aca="false">""</f>
        <v/>
      </c>
      <c r="B225" s="13" t="n">
        <f aca="false">221</f>
        <v>221</v>
      </c>
      <c r="C225" s="13" t="n">
        <f aca="false">IF(Szenarien!$H$8="OK",(IFERROR(SUMIF(Nutzungsprofile!$B$6:$B$11,"Schulbetrieb",Nutzungsprofile!$G$6:$G$11)*Kalender!C225/SUM(Kalender!$C$5:$C$370),0)+IFERROR(SUMIF(Nutzungsprofile!$B$6:$B$11,"Halle",Nutzungsprofile!$G$6:$G$11)*Kalender!D225/SUM(Kalender!$D$5:$D$370),0)+IFERROR(SUMIF(Nutzungsprofile!$B$6:$B$11,"Individuell",Nutzungsprofile!$G$6:$G$11)*Kalender!E225/SUM(Kalender!$E$5:$E$370),0))*Szenarien!$E$8,0)</f>
        <v>1.632</v>
      </c>
      <c r="D225" s="13" t="n">
        <f aca="false">IF(Szenarien!$H$8="OK",(IFERROR(SUMIF(Nutzungsprofile!$B$17:$B$22,"Schulbetrieb",Nutzungsprofile!$G$17:$G$22)*Kalender!C225/SUM(Kalender!$C$5:$C$370),0)+IFERROR(SUMIF(Nutzungsprofile!$B$17:$B$22,"Halle",Nutzungsprofile!$G$17:$G$22)*Kalender!D225/SUM(Kalender!$D$5:$D$370),0)+IFERROR(SUMIF(Nutzungsprofile!$B$17:$B$22,"Individuell",Nutzungsprofile!$G$17:$G$22)*Kalender!E225/SUM(Kalender!$E$5:$E$370),0))*Szenarien!$D$8,0)</f>
        <v>0.801</v>
      </c>
      <c r="E225" s="13" t="n">
        <f aca="false">IFERROR(MIN(C225,Eingaben!$B$17)*Eingaben!$B$16,0)</f>
        <v>1.5504</v>
      </c>
      <c r="F225" s="13" t="n">
        <f aca="false">IFERROR(E225*Eingaben!$B$15,0)</f>
        <v>1.39536</v>
      </c>
      <c r="G225" s="13" t="n">
        <f aca="false">IFERROR(IF(Kalender!A225="",0,J224*(1-Eingaben!$B$20)),0)</f>
        <v>1.3674528</v>
      </c>
      <c r="H225" s="13" t="n">
        <f aca="false">MIN(G225,D225)</f>
        <v>0.801</v>
      </c>
      <c r="I225" s="13" t="n">
        <f aca="false">IFERROR(MIN(F225*Eingaben!$B$19,MAX(0,D225-H225)),0)</f>
        <v>0</v>
      </c>
      <c r="J225" s="13" t="n">
        <f aca="false">IFERROR(MIN(Eingaben!$B$18,MAX(0,F225-I225)),0)</f>
        <v>1.39536</v>
      </c>
      <c r="K225" s="13" t="n">
        <f aca="false">H225+I225</f>
        <v>0.801</v>
      </c>
      <c r="L225" s="13" t="n">
        <f aca="false">MAX(0,D225-K225)</f>
        <v>0</v>
      </c>
      <c r="M225" s="13" t="n">
        <f aca="false">MAX(0,F225-I225-J225)</f>
        <v>0</v>
      </c>
      <c r="N225" s="13" t="n">
        <f aca="false">IF(Kalender!A225="",0,J224-H225)</f>
        <v>0.59436</v>
      </c>
    </row>
    <row r="226" customFormat="false" ht="16.4" hidden="false" customHeight="false" outlineLevel="0" collapsed="false">
      <c r="A226" s="13" t="str">
        <f aca="false">""</f>
        <v/>
      </c>
      <c r="B226" s="13" t="n">
        <f aca="false">222</f>
        <v>222</v>
      </c>
      <c r="C226" s="13" t="n">
        <f aca="false">IF(Szenarien!$H$8="OK",(IFERROR(SUMIF(Nutzungsprofile!$B$6:$B$11,"Schulbetrieb",Nutzungsprofile!$G$6:$G$11)*Kalender!C226/SUM(Kalender!$C$5:$C$370),0)+IFERROR(SUMIF(Nutzungsprofile!$B$6:$B$11,"Halle",Nutzungsprofile!$G$6:$G$11)*Kalender!D226/SUM(Kalender!$D$5:$D$370),0)+IFERROR(SUMIF(Nutzungsprofile!$B$6:$B$11,"Individuell",Nutzungsprofile!$G$6:$G$11)*Kalender!E226/SUM(Kalender!$E$5:$E$370),0))*Szenarien!$E$8,0)</f>
        <v>1.632</v>
      </c>
      <c r="D226" s="13" t="n">
        <f aca="false">IF(Szenarien!$H$8="OK",(IFERROR(SUMIF(Nutzungsprofile!$B$17:$B$22,"Schulbetrieb",Nutzungsprofile!$G$17:$G$22)*Kalender!C226/SUM(Kalender!$C$5:$C$370),0)+IFERROR(SUMIF(Nutzungsprofile!$B$17:$B$22,"Halle",Nutzungsprofile!$G$17:$G$22)*Kalender!D226/SUM(Kalender!$D$5:$D$370),0)+IFERROR(SUMIF(Nutzungsprofile!$B$17:$B$22,"Individuell",Nutzungsprofile!$G$17:$G$22)*Kalender!E226/SUM(Kalender!$E$5:$E$370),0))*Szenarien!$D$8,0)</f>
        <v>0.801</v>
      </c>
      <c r="E226" s="13" t="n">
        <f aca="false">IFERROR(MIN(C226,Eingaben!$B$17)*Eingaben!$B$16,0)</f>
        <v>1.5504</v>
      </c>
      <c r="F226" s="13" t="n">
        <f aca="false">IFERROR(E226*Eingaben!$B$15,0)</f>
        <v>1.39536</v>
      </c>
      <c r="G226" s="13" t="n">
        <f aca="false">IFERROR(IF(Kalender!A226="",0,J225*(1-Eingaben!$B$20)),0)</f>
        <v>1.3674528</v>
      </c>
      <c r="H226" s="13" t="n">
        <f aca="false">MIN(G226,D226)</f>
        <v>0.801</v>
      </c>
      <c r="I226" s="13" t="n">
        <f aca="false">IFERROR(MIN(F226*Eingaben!$B$19,MAX(0,D226-H226)),0)</f>
        <v>0</v>
      </c>
      <c r="J226" s="13" t="n">
        <f aca="false">IFERROR(MIN(Eingaben!$B$18,MAX(0,F226-I226)),0)</f>
        <v>1.39536</v>
      </c>
      <c r="K226" s="13" t="n">
        <f aca="false">H226+I226</f>
        <v>0.801</v>
      </c>
      <c r="L226" s="13" t="n">
        <f aca="false">MAX(0,D226-K226)</f>
        <v>0</v>
      </c>
      <c r="M226" s="13" t="n">
        <f aca="false">MAX(0,F226-I226-J226)</f>
        <v>0</v>
      </c>
      <c r="N226" s="13" t="n">
        <f aca="false">IF(Kalender!A226="",0,J225-H226)</f>
        <v>0.59436</v>
      </c>
    </row>
    <row r="227" customFormat="false" ht="16.4" hidden="false" customHeight="false" outlineLevel="0" collapsed="false">
      <c r="A227" s="13" t="str">
        <f aca="false">""</f>
        <v/>
      </c>
      <c r="B227" s="13" t="n">
        <f aca="false">223</f>
        <v>223</v>
      </c>
      <c r="C227" s="13" t="n">
        <f aca="false">IF(Szenarien!$H$8="OK",(IFERROR(SUMIF(Nutzungsprofile!$B$6:$B$11,"Schulbetrieb",Nutzungsprofile!$G$6:$G$11)*Kalender!C227/SUM(Kalender!$C$5:$C$370),0)+IFERROR(SUMIF(Nutzungsprofile!$B$6:$B$11,"Halle",Nutzungsprofile!$G$6:$G$11)*Kalender!D227/SUM(Kalender!$D$5:$D$370),0)+IFERROR(SUMIF(Nutzungsprofile!$B$6:$B$11,"Individuell",Nutzungsprofile!$G$6:$G$11)*Kalender!E227/SUM(Kalender!$E$5:$E$370),0))*Szenarien!$E$8,0)</f>
        <v>1.632</v>
      </c>
      <c r="D227" s="13" t="n">
        <f aca="false">IF(Szenarien!$H$8="OK",(IFERROR(SUMIF(Nutzungsprofile!$B$17:$B$22,"Schulbetrieb",Nutzungsprofile!$G$17:$G$22)*Kalender!C227/SUM(Kalender!$C$5:$C$370),0)+IFERROR(SUMIF(Nutzungsprofile!$B$17:$B$22,"Halle",Nutzungsprofile!$G$17:$G$22)*Kalender!D227/SUM(Kalender!$D$5:$D$370),0)+IFERROR(SUMIF(Nutzungsprofile!$B$17:$B$22,"Individuell",Nutzungsprofile!$G$17:$G$22)*Kalender!E227/SUM(Kalender!$E$5:$E$370),0))*Szenarien!$D$8,0)</f>
        <v>0.801</v>
      </c>
      <c r="E227" s="13" t="n">
        <f aca="false">IFERROR(MIN(C227,Eingaben!$B$17)*Eingaben!$B$16,0)</f>
        <v>1.5504</v>
      </c>
      <c r="F227" s="13" t="n">
        <f aca="false">IFERROR(E227*Eingaben!$B$15,0)</f>
        <v>1.39536</v>
      </c>
      <c r="G227" s="13" t="n">
        <f aca="false">IFERROR(IF(Kalender!A227="",0,J226*(1-Eingaben!$B$20)),0)</f>
        <v>1.3674528</v>
      </c>
      <c r="H227" s="13" t="n">
        <f aca="false">MIN(G227,D227)</f>
        <v>0.801</v>
      </c>
      <c r="I227" s="13" t="n">
        <f aca="false">IFERROR(MIN(F227*Eingaben!$B$19,MAX(0,D227-H227)),0)</f>
        <v>0</v>
      </c>
      <c r="J227" s="13" t="n">
        <f aca="false">IFERROR(MIN(Eingaben!$B$18,MAX(0,F227-I227)),0)</f>
        <v>1.39536</v>
      </c>
      <c r="K227" s="13" t="n">
        <f aca="false">H227+I227</f>
        <v>0.801</v>
      </c>
      <c r="L227" s="13" t="n">
        <f aca="false">MAX(0,D227-K227)</f>
        <v>0</v>
      </c>
      <c r="M227" s="13" t="n">
        <f aca="false">MAX(0,F227-I227-J227)</f>
        <v>0</v>
      </c>
      <c r="N227" s="13" t="n">
        <f aca="false">IF(Kalender!A227="",0,J226-H227)</f>
        <v>0.59436</v>
      </c>
    </row>
    <row r="228" customFormat="false" ht="16.4" hidden="false" customHeight="false" outlineLevel="0" collapsed="false">
      <c r="A228" s="13" t="str">
        <f aca="false">""</f>
        <v/>
      </c>
      <c r="B228" s="13" t="n">
        <f aca="false">224</f>
        <v>224</v>
      </c>
      <c r="C228" s="13" t="n">
        <f aca="false">IF(Szenarien!$H$8="OK",(IFERROR(SUMIF(Nutzungsprofile!$B$6:$B$11,"Schulbetrieb",Nutzungsprofile!$G$6:$G$11)*Kalender!C228/SUM(Kalender!$C$5:$C$370),0)+IFERROR(SUMIF(Nutzungsprofile!$B$6:$B$11,"Halle",Nutzungsprofile!$G$6:$G$11)*Kalender!D228/SUM(Kalender!$D$5:$D$370),0)+IFERROR(SUMIF(Nutzungsprofile!$B$6:$B$11,"Individuell",Nutzungsprofile!$G$6:$G$11)*Kalender!E228/SUM(Kalender!$E$5:$E$370),0))*Szenarien!$E$8,0)</f>
        <v>1.632</v>
      </c>
      <c r="D228" s="13" t="n">
        <f aca="false">IF(Szenarien!$H$8="OK",(IFERROR(SUMIF(Nutzungsprofile!$B$17:$B$22,"Schulbetrieb",Nutzungsprofile!$G$17:$G$22)*Kalender!C228/SUM(Kalender!$C$5:$C$370),0)+IFERROR(SUMIF(Nutzungsprofile!$B$17:$B$22,"Halle",Nutzungsprofile!$G$17:$G$22)*Kalender!D228/SUM(Kalender!$D$5:$D$370),0)+IFERROR(SUMIF(Nutzungsprofile!$B$17:$B$22,"Individuell",Nutzungsprofile!$G$17:$G$22)*Kalender!E228/SUM(Kalender!$E$5:$E$370),0))*Szenarien!$D$8,0)</f>
        <v>0.801</v>
      </c>
      <c r="E228" s="13" t="n">
        <f aca="false">IFERROR(MIN(C228,Eingaben!$B$17)*Eingaben!$B$16,0)</f>
        <v>1.5504</v>
      </c>
      <c r="F228" s="13" t="n">
        <f aca="false">IFERROR(E228*Eingaben!$B$15,0)</f>
        <v>1.39536</v>
      </c>
      <c r="G228" s="13" t="n">
        <f aca="false">IFERROR(IF(Kalender!A228="",0,J227*(1-Eingaben!$B$20)),0)</f>
        <v>1.3674528</v>
      </c>
      <c r="H228" s="13" t="n">
        <f aca="false">MIN(G228,D228)</f>
        <v>0.801</v>
      </c>
      <c r="I228" s="13" t="n">
        <f aca="false">IFERROR(MIN(F228*Eingaben!$B$19,MAX(0,D228-H228)),0)</f>
        <v>0</v>
      </c>
      <c r="J228" s="13" t="n">
        <f aca="false">IFERROR(MIN(Eingaben!$B$18,MAX(0,F228-I228)),0)</f>
        <v>1.39536</v>
      </c>
      <c r="K228" s="13" t="n">
        <f aca="false">H228+I228</f>
        <v>0.801</v>
      </c>
      <c r="L228" s="13" t="n">
        <f aca="false">MAX(0,D228-K228)</f>
        <v>0</v>
      </c>
      <c r="M228" s="13" t="n">
        <f aca="false">MAX(0,F228-I228-J228)</f>
        <v>0</v>
      </c>
      <c r="N228" s="13" t="n">
        <f aca="false">IF(Kalender!A228="",0,J227-H228)</f>
        <v>0.59436</v>
      </c>
    </row>
    <row r="229" customFormat="false" ht="16.4" hidden="false" customHeight="false" outlineLevel="0" collapsed="false">
      <c r="A229" s="13" t="str">
        <f aca="false">""</f>
        <v/>
      </c>
      <c r="B229" s="13" t="n">
        <f aca="false">225</f>
        <v>225</v>
      </c>
      <c r="C229" s="13" t="n">
        <f aca="false">IF(Szenarien!$H$8="OK",(IFERROR(SUMIF(Nutzungsprofile!$B$6:$B$11,"Schulbetrieb",Nutzungsprofile!$G$6:$G$11)*Kalender!C229/SUM(Kalender!$C$5:$C$370),0)+IFERROR(SUMIF(Nutzungsprofile!$B$6:$B$11,"Halle",Nutzungsprofile!$G$6:$G$11)*Kalender!D229/SUM(Kalender!$D$5:$D$370),0)+IFERROR(SUMIF(Nutzungsprofile!$B$6:$B$11,"Individuell",Nutzungsprofile!$G$6:$G$11)*Kalender!E229/SUM(Kalender!$E$5:$E$370),0))*Szenarien!$E$8,0)</f>
        <v>1.632</v>
      </c>
      <c r="D229" s="13" t="n">
        <f aca="false">IF(Szenarien!$H$8="OK",(IFERROR(SUMIF(Nutzungsprofile!$B$17:$B$22,"Schulbetrieb",Nutzungsprofile!$G$17:$G$22)*Kalender!C229/SUM(Kalender!$C$5:$C$370),0)+IFERROR(SUMIF(Nutzungsprofile!$B$17:$B$22,"Halle",Nutzungsprofile!$G$17:$G$22)*Kalender!D229/SUM(Kalender!$D$5:$D$370),0)+IFERROR(SUMIF(Nutzungsprofile!$B$17:$B$22,"Individuell",Nutzungsprofile!$G$17:$G$22)*Kalender!E229/SUM(Kalender!$E$5:$E$370),0))*Szenarien!$D$8,0)</f>
        <v>0.801</v>
      </c>
      <c r="E229" s="13" t="n">
        <f aca="false">IFERROR(MIN(C229,Eingaben!$B$17)*Eingaben!$B$16,0)</f>
        <v>1.5504</v>
      </c>
      <c r="F229" s="13" t="n">
        <f aca="false">IFERROR(E229*Eingaben!$B$15,0)</f>
        <v>1.39536</v>
      </c>
      <c r="G229" s="13" t="n">
        <f aca="false">IFERROR(IF(Kalender!A229="",0,J228*(1-Eingaben!$B$20)),0)</f>
        <v>1.3674528</v>
      </c>
      <c r="H229" s="13" t="n">
        <f aca="false">MIN(G229,D229)</f>
        <v>0.801</v>
      </c>
      <c r="I229" s="13" t="n">
        <f aca="false">IFERROR(MIN(F229*Eingaben!$B$19,MAX(0,D229-H229)),0)</f>
        <v>0</v>
      </c>
      <c r="J229" s="13" t="n">
        <f aca="false">IFERROR(MIN(Eingaben!$B$18,MAX(0,F229-I229)),0)</f>
        <v>1.39536</v>
      </c>
      <c r="K229" s="13" t="n">
        <f aca="false">H229+I229</f>
        <v>0.801</v>
      </c>
      <c r="L229" s="13" t="n">
        <f aca="false">MAX(0,D229-K229)</f>
        <v>0</v>
      </c>
      <c r="M229" s="13" t="n">
        <f aca="false">MAX(0,F229-I229-J229)</f>
        <v>0</v>
      </c>
      <c r="N229" s="13" t="n">
        <f aca="false">IF(Kalender!A229="",0,J228-H229)</f>
        <v>0.59436</v>
      </c>
    </row>
    <row r="230" customFormat="false" ht="16.4" hidden="false" customHeight="false" outlineLevel="0" collapsed="false">
      <c r="A230" s="13" t="str">
        <f aca="false">""</f>
        <v/>
      </c>
      <c r="B230" s="13" t="n">
        <f aca="false">226</f>
        <v>226</v>
      </c>
      <c r="C230" s="13" t="n">
        <f aca="false">IF(Szenarien!$H$8="OK",(IFERROR(SUMIF(Nutzungsprofile!$B$6:$B$11,"Schulbetrieb",Nutzungsprofile!$G$6:$G$11)*Kalender!C230/SUM(Kalender!$C$5:$C$370),0)+IFERROR(SUMIF(Nutzungsprofile!$B$6:$B$11,"Halle",Nutzungsprofile!$G$6:$G$11)*Kalender!D230/SUM(Kalender!$D$5:$D$370),0)+IFERROR(SUMIF(Nutzungsprofile!$B$6:$B$11,"Individuell",Nutzungsprofile!$G$6:$G$11)*Kalender!E230/SUM(Kalender!$E$5:$E$370),0))*Szenarien!$E$8,0)</f>
        <v>1.632</v>
      </c>
      <c r="D230" s="13" t="n">
        <f aca="false">IF(Szenarien!$H$8="OK",(IFERROR(SUMIF(Nutzungsprofile!$B$17:$B$22,"Schulbetrieb",Nutzungsprofile!$G$17:$G$22)*Kalender!C230/SUM(Kalender!$C$5:$C$370),0)+IFERROR(SUMIF(Nutzungsprofile!$B$17:$B$22,"Halle",Nutzungsprofile!$G$17:$G$22)*Kalender!D230/SUM(Kalender!$D$5:$D$370),0)+IFERROR(SUMIF(Nutzungsprofile!$B$17:$B$22,"Individuell",Nutzungsprofile!$G$17:$G$22)*Kalender!E230/SUM(Kalender!$E$5:$E$370),0))*Szenarien!$D$8,0)</f>
        <v>0.801</v>
      </c>
      <c r="E230" s="13" t="n">
        <f aca="false">IFERROR(MIN(C230,Eingaben!$B$17)*Eingaben!$B$16,0)</f>
        <v>1.5504</v>
      </c>
      <c r="F230" s="13" t="n">
        <f aca="false">IFERROR(E230*Eingaben!$B$15,0)</f>
        <v>1.39536</v>
      </c>
      <c r="G230" s="13" t="n">
        <f aca="false">IFERROR(IF(Kalender!A230="",0,J229*(1-Eingaben!$B$20)),0)</f>
        <v>1.3674528</v>
      </c>
      <c r="H230" s="13" t="n">
        <f aca="false">MIN(G230,D230)</f>
        <v>0.801</v>
      </c>
      <c r="I230" s="13" t="n">
        <f aca="false">IFERROR(MIN(F230*Eingaben!$B$19,MAX(0,D230-H230)),0)</f>
        <v>0</v>
      </c>
      <c r="J230" s="13" t="n">
        <f aca="false">IFERROR(MIN(Eingaben!$B$18,MAX(0,F230-I230)),0)</f>
        <v>1.39536</v>
      </c>
      <c r="K230" s="13" t="n">
        <f aca="false">H230+I230</f>
        <v>0.801</v>
      </c>
      <c r="L230" s="13" t="n">
        <f aca="false">MAX(0,D230-K230)</f>
        <v>0</v>
      </c>
      <c r="M230" s="13" t="n">
        <f aca="false">MAX(0,F230-I230-J230)</f>
        <v>0</v>
      </c>
      <c r="N230" s="13" t="n">
        <f aca="false">IF(Kalender!A230="",0,J229-H230)</f>
        <v>0.59436</v>
      </c>
    </row>
    <row r="231" customFormat="false" ht="16.4" hidden="false" customHeight="false" outlineLevel="0" collapsed="false">
      <c r="A231" s="13" t="str">
        <f aca="false">""</f>
        <v/>
      </c>
      <c r="B231" s="13" t="n">
        <f aca="false">227</f>
        <v>227</v>
      </c>
      <c r="C231" s="13" t="n">
        <f aca="false">IF(Szenarien!$H$8="OK",(IFERROR(SUMIF(Nutzungsprofile!$B$6:$B$11,"Schulbetrieb",Nutzungsprofile!$G$6:$G$11)*Kalender!C231/SUM(Kalender!$C$5:$C$370),0)+IFERROR(SUMIF(Nutzungsprofile!$B$6:$B$11,"Halle",Nutzungsprofile!$G$6:$G$11)*Kalender!D231/SUM(Kalender!$D$5:$D$370),0)+IFERROR(SUMIF(Nutzungsprofile!$B$6:$B$11,"Individuell",Nutzungsprofile!$G$6:$G$11)*Kalender!E231/SUM(Kalender!$E$5:$E$370),0))*Szenarien!$E$8,0)</f>
        <v>1.632</v>
      </c>
      <c r="D231" s="13" t="n">
        <f aca="false">IF(Szenarien!$H$8="OK",(IFERROR(SUMIF(Nutzungsprofile!$B$17:$B$22,"Schulbetrieb",Nutzungsprofile!$G$17:$G$22)*Kalender!C231/SUM(Kalender!$C$5:$C$370),0)+IFERROR(SUMIF(Nutzungsprofile!$B$17:$B$22,"Halle",Nutzungsprofile!$G$17:$G$22)*Kalender!D231/SUM(Kalender!$D$5:$D$370),0)+IFERROR(SUMIF(Nutzungsprofile!$B$17:$B$22,"Individuell",Nutzungsprofile!$G$17:$G$22)*Kalender!E231/SUM(Kalender!$E$5:$E$370),0))*Szenarien!$D$8,0)</f>
        <v>0.801</v>
      </c>
      <c r="E231" s="13" t="n">
        <f aca="false">IFERROR(MIN(C231,Eingaben!$B$17)*Eingaben!$B$16,0)</f>
        <v>1.5504</v>
      </c>
      <c r="F231" s="13" t="n">
        <f aca="false">IFERROR(E231*Eingaben!$B$15,0)</f>
        <v>1.39536</v>
      </c>
      <c r="G231" s="13" t="n">
        <f aca="false">IFERROR(IF(Kalender!A231="",0,J230*(1-Eingaben!$B$20)),0)</f>
        <v>1.3674528</v>
      </c>
      <c r="H231" s="13" t="n">
        <f aca="false">MIN(G231,D231)</f>
        <v>0.801</v>
      </c>
      <c r="I231" s="13" t="n">
        <f aca="false">IFERROR(MIN(F231*Eingaben!$B$19,MAX(0,D231-H231)),0)</f>
        <v>0</v>
      </c>
      <c r="J231" s="13" t="n">
        <f aca="false">IFERROR(MIN(Eingaben!$B$18,MAX(0,F231-I231)),0)</f>
        <v>1.39536</v>
      </c>
      <c r="K231" s="13" t="n">
        <f aca="false">H231+I231</f>
        <v>0.801</v>
      </c>
      <c r="L231" s="13" t="n">
        <f aca="false">MAX(0,D231-K231)</f>
        <v>0</v>
      </c>
      <c r="M231" s="13" t="n">
        <f aca="false">MAX(0,F231-I231-J231)</f>
        <v>0</v>
      </c>
      <c r="N231" s="13" t="n">
        <f aca="false">IF(Kalender!A231="",0,J230-H231)</f>
        <v>0.59436</v>
      </c>
    </row>
    <row r="232" customFormat="false" ht="16.4" hidden="false" customHeight="false" outlineLevel="0" collapsed="false">
      <c r="A232" s="13" t="str">
        <f aca="false">""</f>
        <v/>
      </c>
      <c r="B232" s="13" t="n">
        <f aca="false">228</f>
        <v>228</v>
      </c>
      <c r="C232" s="13" t="n">
        <f aca="false">IF(Szenarien!$H$8="OK",(IFERROR(SUMIF(Nutzungsprofile!$B$6:$B$11,"Schulbetrieb",Nutzungsprofile!$G$6:$G$11)*Kalender!C232/SUM(Kalender!$C$5:$C$370),0)+IFERROR(SUMIF(Nutzungsprofile!$B$6:$B$11,"Halle",Nutzungsprofile!$G$6:$G$11)*Kalender!D232/SUM(Kalender!$D$5:$D$370),0)+IFERROR(SUMIF(Nutzungsprofile!$B$6:$B$11,"Individuell",Nutzungsprofile!$G$6:$G$11)*Kalender!E232/SUM(Kalender!$E$5:$E$370),0))*Szenarien!$E$8,0)</f>
        <v>1.632</v>
      </c>
      <c r="D232" s="13" t="n">
        <f aca="false">IF(Szenarien!$H$8="OK",(IFERROR(SUMIF(Nutzungsprofile!$B$17:$B$22,"Schulbetrieb",Nutzungsprofile!$G$17:$G$22)*Kalender!C232/SUM(Kalender!$C$5:$C$370),0)+IFERROR(SUMIF(Nutzungsprofile!$B$17:$B$22,"Halle",Nutzungsprofile!$G$17:$G$22)*Kalender!D232/SUM(Kalender!$D$5:$D$370),0)+IFERROR(SUMIF(Nutzungsprofile!$B$17:$B$22,"Individuell",Nutzungsprofile!$G$17:$G$22)*Kalender!E232/SUM(Kalender!$E$5:$E$370),0))*Szenarien!$D$8,0)</f>
        <v>0.801</v>
      </c>
      <c r="E232" s="13" t="n">
        <f aca="false">IFERROR(MIN(C232,Eingaben!$B$17)*Eingaben!$B$16,0)</f>
        <v>1.5504</v>
      </c>
      <c r="F232" s="13" t="n">
        <f aca="false">IFERROR(E232*Eingaben!$B$15,0)</f>
        <v>1.39536</v>
      </c>
      <c r="G232" s="13" t="n">
        <f aca="false">IFERROR(IF(Kalender!A232="",0,J231*(1-Eingaben!$B$20)),0)</f>
        <v>1.3674528</v>
      </c>
      <c r="H232" s="13" t="n">
        <f aca="false">MIN(G232,D232)</f>
        <v>0.801</v>
      </c>
      <c r="I232" s="13" t="n">
        <f aca="false">IFERROR(MIN(F232*Eingaben!$B$19,MAX(0,D232-H232)),0)</f>
        <v>0</v>
      </c>
      <c r="J232" s="13" t="n">
        <f aca="false">IFERROR(MIN(Eingaben!$B$18,MAX(0,F232-I232)),0)</f>
        <v>1.39536</v>
      </c>
      <c r="K232" s="13" t="n">
        <f aca="false">H232+I232</f>
        <v>0.801</v>
      </c>
      <c r="L232" s="13" t="n">
        <f aca="false">MAX(0,D232-K232)</f>
        <v>0</v>
      </c>
      <c r="M232" s="13" t="n">
        <f aca="false">MAX(0,F232-I232-J232)</f>
        <v>0</v>
      </c>
      <c r="N232" s="13" t="n">
        <f aca="false">IF(Kalender!A232="",0,J231-H232)</f>
        <v>0.59436</v>
      </c>
    </row>
    <row r="233" customFormat="false" ht="16.4" hidden="false" customHeight="false" outlineLevel="0" collapsed="false">
      <c r="A233" s="13" t="str">
        <f aca="false">""</f>
        <v/>
      </c>
      <c r="B233" s="13" t="n">
        <f aca="false">229</f>
        <v>229</v>
      </c>
      <c r="C233" s="13" t="n">
        <f aca="false">IF(Szenarien!$H$8="OK",(IFERROR(SUMIF(Nutzungsprofile!$B$6:$B$11,"Schulbetrieb",Nutzungsprofile!$G$6:$G$11)*Kalender!C233/SUM(Kalender!$C$5:$C$370),0)+IFERROR(SUMIF(Nutzungsprofile!$B$6:$B$11,"Halle",Nutzungsprofile!$G$6:$G$11)*Kalender!D233/SUM(Kalender!$D$5:$D$370),0)+IFERROR(SUMIF(Nutzungsprofile!$B$6:$B$11,"Individuell",Nutzungsprofile!$G$6:$G$11)*Kalender!E233/SUM(Kalender!$E$5:$E$370),0))*Szenarien!$E$8,0)</f>
        <v>1.632</v>
      </c>
      <c r="D233" s="13" t="n">
        <f aca="false">IF(Szenarien!$H$8="OK",(IFERROR(SUMIF(Nutzungsprofile!$B$17:$B$22,"Schulbetrieb",Nutzungsprofile!$G$17:$G$22)*Kalender!C233/SUM(Kalender!$C$5:$C$370),0)+IFERROR(SUMIF(Nutzungsprofile!$B$17:$B$22,"Halle",Nutzungsprofile!$G$17:$G$22)*Kalender!D233/SUM(Kalender!$D$5:$D$370),0)+IFERROR(SUMIF(Nutzungsprofile!$B$17:$B$22,"Individuell",Nutzungsprofile!$G$17:$G$22)*Kalender!E233/SUM(Kalender!$E$5:$E$370),0))*Szenarien!$D$8,0)</f>
        <v>0.801</v>
      </c>
      <c r="E233" s="13" t="n">
        <f aca="false">IFERROR(MIN(C233,Eingaben!$B$17)*Eingaben!$B$16,0)</f>
        <v>1.5504</v>
      </c>
      <c r="F233" s="13" t="n">
        <f aca="false">IFERROR(E233*Eingaben!$B$15,0)</f>
        <v>1.39536</v>
      </c>
      <c r="G233" s="13" t="n">
        <f aca="false">IFERROR(IF(Kalender!A233="",0,J232*(1-Eingaben!$B$20)),0)</f>
        <v>1.3674528</v>
      </c>
      <c r="H233" s="13" t="n">
        <f aca="false">MIN(G233,D233)</f>
        <v>0.801</v>
      </c>
      <c r="I233" s="13" t="n">
        <f aca="false">IFERROR(MIN(F233*Eingaben!$B$19,MAX(0,D233-H233)),0)</f>
        <v>0</v>
      </c>
      <c r="J233" s="13" t="n">
        <f aca="false">IFERROR(MIN(Eingaben!$B$18,MAX(0,F233-I233)),0)</f>
        <v>1.39536</v>
      </c>
      <c r="K233" s="13" t="n">
        <f aca="false">H233+I233</f>
        <v>0.801</v>
      </c>
      <c r="L233" s="13" t="n">
        <f aca="false">MAX(0,D233-K233)</f>
        <v>0</v>
      </c>
      <c r="M233" s="13" t="n">
        <f aca="false">MAX(0,F233-I233-J233)</f>
        <v>0</v>
      </c>
      <c r="N233" s="13" t="n">
        <f aca="false">IF(Kalender!A233="",0,J232-H233)</f>
        <v>0.59436</v>
      </c>
    </row>
    <row r="234" customFormat="false" ht="16.4" hidden="false" customHeight="false" outlineLevel="0" collapsed="false">
      <c r="A234" s="13" t="str">
        <f aca="false">""</f>
        <v/>
      </c>
      <c r="B234" s="13" t="n">
        <f aca="false">230</f>
        <v>230</v>
      </c>
      <c r="C234" s="13" t="n">
        <f aca="false">IF(Szenarien!$H$8="OK",(IFERROR(SUMIF(Nutzungsprofile!$B$6:$B$11,"Schulbetrieb",Nutzungsprofile!$G$6:$G$11)*Kalender!C234/SUM(Kalender!$C$5:$C$370),0)+IFERROR(SUMIF(Nutzungsprofile!$B$6:$B$11,"Halle",Nutzungsprofile!$G$6:$G$11)*Kalender!D234/SUM(Kalender!$D$5:$D$370),0)+IFERROR(SUMIF(Nutzungsprofile!$B$6:$B$11,"Individuell",Nutzungsprofile!$G$6:$G$11)*Kalender!E234/SUM(Kalender!$E$5:$E$370),0))*Szenarien!$E$8,0)</f>
        <v>1.632</v>
      </c>
      <c r="D234" s="13" t="n">
        <f aca="false">IF(Szenarien!$H$8="OK",(IFERROR(SUMIF(Nutzungsprofile!$B$17:$B$22,"Schulbetrieb",Nutzungsprofile!$G$17:$G$22)*Kalender!C234/SUM(Kalender!$C$5:$C$370),0)+IFERROR(SUMIF(Nutzungsprofile!$B$17:$B$22,"Halle",Nutzungsprofile!$G$17:$G$22)*Kalender!D234/SUM(Kalender!$D$5:$D$370),0)+IFERROR(SUMIF(Nutzungsprofile!$B$17:$B$22,"Individuell",Nutzungsprofile!$G$17:$G$22)*Kalender!E234/SUM(Kalender!$E$5:$E$370),0))*Szenarien!$D$8,0)</f>
        <v>0.801</v>
      </c>
      <c r="E234" s="13" t="n">
        <f aca="false">IFERROR(MIN(C234,Eingaben!$B$17)*Eingaben!$B$16,0)</f>
        <v>1.5504</v>
      </c>
      <c r="F234" s="13" t="n">
        <f aca="false">IFERROR(E234*Eingaben!$B$15,0)</f>
        <v>1.39536</v>
      </c>
      <c r="G234" s="13" t="n">
        <f aca="false">IFERROR(IF(Kalender!A234="",0,J233*(1-Eingaben!$B$20)),0)</f>
        <v>1.3674528</v>
      </c>
      <c r="H234" s="13" t="n">
        <f aca="false">MIN(G234,D234)</f>
        <v>0.801</v>
      </c>
      <c r="I234" s="13" t="n">
        <f aca="false">IFERROR(MIN(F234*Eingaben!$B$19,MAX(0,D234-H234)),0)</f>
        <v>0</v>
      </c>
      <c r="J234" s="13" t="n">
        <f aca="false">IFERROR(MIN(Eingaben!$B$18,MAX(0,F234-I234)),0)</f>
        <v>1.39536</v>
      </c>
      <c r="K234" s="13" t="n">
        <f aca="false">H234+I234</f>
        <v>0.801</v>
      </c>
      <c r="L234" s="13" t="n">
        <f aca="false">MAX(0,D234-K234)</f>
        <v>0</v>
      </c>
      <c r="M234" s="13" t="n">
        <f aca="false">MAX(0,F234-I234-J234)</f>
        <v>0</v>
      </c>
      <c r="N234" s="13" t="n">
        <f aca="false">IF(Kalender!A234="",0,J233-H234)</f>
        <v>0.59436</v>
      </c>
    </row>
    <row r="235" customFormat="false" ht="16.4" hidden="false" customHeight="false" outlineLevel="0" collapsed="false">
      <c r="A235" s="13" t="str">
        <f aca="false">""</f>
        <v/>
      </c>
      <c r="B235" s="13" t="n">
        <f aca="false">231</f>
        <v>231</v>
      </c>
      <c r="C235" s="13" t="n">
        <f aca="false">IF(Szenarien!$H$8="OK",(IFERROR(SUMIF(Nutzungsprofile!$B$6:$B$11,"Schulbetrieb",Nutzungsprofile!$G$6:$G$11)*Kalender!C235/SUM(Kalender!$C$5:$C$370),0)+IFERROR(SUMIF(Nutzungsprofile!$B$6:$B$11,"Halle",Nutzungsprofile!$G$6:$G$11)*Kalender!D235/SUM(Kalender!$D$5:$D$370),0)+IFERROR(SUMIF(Nutzungsprofile!$B$6:$B$11,"Individuell",Nutzungsprofile!$G$6:$G$11)*Kalender!E235/SUM(Kalender!$E$5:$E$370),0))*Szenarien!$E$8,0)</f>
        <v>1.632</v>
      </c>
      <c r="D235" s="13" t="n">
        <f aca="false">IF(Szenarien!$H$8="OK",(IFERROR(SUMIF(Nutzungsprofile!$B$17:$B$22,"Schulbetrieb",Nutzungsprofile!$G$17:$G$22)*Kalender!C235/SUM(Kalender!$C$5:$C$370),0)+IFERROR(SUMIF(Nutzungsprofile!$B$17:$B$22,"Halle",Nutzungsprofile!$G$17:$G$22)*Kalender!D235/SUM(Kalender!$D$5:$D$370),0)+IFERROR(SUMIF(Nutzungsprofile!$B$17:$B$22,"Individuell",Nutzungsprofile!$G$17:$G$22)*Kalender!E235/SUM(Kalender!$E$5:$E$370),0))*Szenarien!$D$8,0)</f>
        <v>0.801</v>
      </c>
      <c r="E235" s="13" t="n">
        <f aca="false">IFERROR(MIN(C235,Eingaben!$B$17)*Eingaben!$B$16,0)</f>
        <v>1.5504</v>
      </c>
      <c r="F235" s="13" t="n">
        <f aca="false">IFERROR(E235*Eingaben!$B$15,0)</f>
        <v>1.39536</v>
      </c>
      <c r="G235" s="13" t="n">
        <f aca="false">IFERROR(IF(Kalender!A235="",0,J234*(1-Eingaben!$B$20)),0)</f>
        <v>1.3674528</v>
      </c>
      <c r="H235" s="13" t="n">
        <f aca="false">MIN(G235,D235)</f>
        <v>0.801</v>
      </c>
      <c r="I235" s="13" t="n">
        <f aca="false">IFERROR(MIN(F235*Eingaben!$B$19,MAX(0,D235-H235)),0)</f>
        <v>0</v>
      </c>
      <c r="J235" s="13" t="n">
        <f aca="false">IFERROR(MIN(Eingaben!$B$18,MAX(0,F235-I235)),0)</f>
        <v>1.39536</v>
      </c>
      <c r="K235" s="13" t="n">
        <f aca="false">H235+I235</f>
        <v>0.801</v>
      </c>
      <c r="L235" s="13" t="n">
        <f aca="false">MAX(0,D235-K235)</f>
        <v>0</v>
      </c>
      <c r="M235" s="13" t="n">
        <f aca="false">MAX(0,F235-I235-J235)</f>
        <v>0</v>
      </c>
      <c r="N235" s="13" t="n">
        <f aca="false">IF(Kalender!A235="",0,J234-H235)</f>
        <v>0.59436</v>
      </c>
    </row>
    <row r="236" customFormat="false" ht="16.4" hidden="false" customHeight="false" outlineLevel="0" collapsed="false">
      <c r="A236" s="13" t="str">
        <f aca="false">""</f>
        <v/>
      </c>
      <c r="B236" s="13" t="n">
        <f aca="false">232</f>
        <v>232</v>
      </c>
      <c r="C236" s="13" t="n">
        <f aca="false">IF(Szenarien!$H$8="OK",(IFERROR(SUMIF(Nutzungsprofile!$B$6:$B$11,"Schulbetrieb",Nutzungsprofile!$G$6:$G$11)*Kalender!C236/SUM(Kalender!$C$5:$C$370),0)+IFERROR(SUMIF(Nutzungsprofile!$B$6:$B$11,"Halle",Nutzungsprofile!$G$6:$G$11)*Kalender!D236/SUM(Kalender!$D$5:$D$370),0)+IFERROR(SUMIF(Nutzungsprofile!$B$6:$B$11,"Individuell",Nutzungsprofile!$G$6:$G$11)*Kalender!E236/SUM(Kalender!$E$5:$E$370),0))*Szenarien!$E$8,0)</f>
        <v>1.632</v>
      </c>
      <c r="D236" s="13" t="n">
        <f aca="false">IF(Szenarien!$H$8="OK",(IFERROR(SUMIF(Nutzungsprofile!$B$17:$B$22,"Schulbetrieb",Nutzungsprofile!$G$17:$G$22)*Kalender!C236/SUM(Kalender!$C$5:$C$370),0)+IFERROR(SUMIF(Nutzungsprofile!$B$17:$B$22,"Halle",Nutzungsprofile!$G$17:$G$22)*Kalender!D236/SUM(Kalender!$D$5:$D$370),0)+IFERROR(SUMIF(Nutzungsprofile!$B$17:$B$22,"Individuell",Nutzungsprofile!$G$17:$G$22)*Kalender!E236/SUM(Kalender!$E$5:$E$370),0))*Szenarien!$D$8,0)</f>
        <v>0.801</v>
      </c>
      <c r="E236" s="13" t="n">
        <f aca="false">IFERROR(MIN(C236,Eingaben!$B$17)*Eingaben!$B$16,0)</f>
        <v>1.5504</v>
      </c>
      <c r="F236" s="13" t="n">
        <f aca="false">IFERROR(E236*Eingaben!$B$15,0)</f>
        <v>1.39536</v>
      </c>
      <c r="G236" s="13" t="n">
        <f aca="false">IFERROR(IF(Kalender!A236="",0,J235*(1-Eingaben!$B$20)),0)</f>
        <v>1.3674528</v>
      </c>
      <c r="H236" s="13" t="n">
        <f aca="false">MIN(G236,D236)</f>
        <v>0.801</v>
      </c>
      <c r="I236" s="13" t="n">
        <f aca="false">IFERROR(MIN(F236*Eingaben!$B$19,MAX(0,D236-H236)),0)</f>
        <v>0</v>
      </c>
      <c r="J236" s="13" t="n">
        <f aca="false">IFERROR(MIN(Eingaben!$B$18,MAX(0,F236-I236)),0)</f>
        <v>1.39536</v>
      </c>
      <c r="K236" s="13" t="n">
        <f aca="false">H236+I236</f>
        <v>0.801</v>
      </c>
      <c r="L236" s="13" t="n">
        <f aca="false">MAX(0,D236-K236)</f>
        <v>0</v>
      </c>
      <c r="M236" s="13" t="n">
        <f aca="false">MAX(0,F236-I236-J236)</f>
        <v>0</v>
      </c>
      <c r="N236" s="13" t="n">
        <f aca="false">IF(Kalender!A236="",0,J235-H236)</f>
        <v>0.59436</v>
      </c>
    </row>
    <row r="237" customFormat="false" ht="16.4" hidden="false" customHeight="false" outlineLevel="0" collapsed="false">
      <c r="A237" s="13" t="str">
        <f aca="false">""</f>
        <v/>
      </c>
      <c r="B237" s="13" t="n">
        <f aca="false">233</f>
        <v>233</v>
      </c>
      <c r="C237" s="13" t="n">
        <f aca="false">IF(Szenarien!$H$8="OK",(IFERROR(SUMIF(Nutzungsprofile!$B$6:$B$11,"Schulbetrieb",Nutzungsprofile!$G$6:$G$11)*Kalender!C237/SUM(Kalender!$C$5:$C$370),0)+IFERROR(SUMIF(Nutzungsprofile!$B$6:$B$11,"Halle",Nutzungsprofile!$G$6:$G$11)*Kalender!D237/SUM(Kalender!$D$5:$D$370),0)+IFERROR(SUMIF(Nutzungsprofile!$B$6:$B$11,"Individuell",Nutzungsprofile!$G$6:$G$11)*Kalender!E237/SUM(Kalender!$E$5:$E$370),0))*Szenarien!$E$8,0)</f>
        <v>1.632</v>
      </c>
      <c r="D237" s="13" t="n">
        <f aca="false">IF(Szenarien!$H$8="OK",(IFERROR(SUMIF(Nutzungsprofile!$B$17:$B$22,"Schulbetrieb",Nutzungsprofile!$G$17:$G$22)*Kalender!C237/SUM(Kalender!$C$5:$C$370),0)+IFERROR(SUMIF(Nutzungsprofile!$B$17:$B$22,"Halle",Nutzungsprofile!$G$17:$G$22)*Kalender!D237/SUM(Kalender!$D$5:$D$370),0)+IFERROR(SUMIF(Nutzungsprofile!$B$17:$B$22,"Individuell",Nutzungsprofile!$G$17:$G$22)*Kalender!E237/SUM(Kalender!$E$5:$E$370),0))*Szenarien!$D$8,0)</f>
        <v>0.801</v>
      </c>
      <c r="E237" s="13" t="n">
        <f aca="false">IFERROR(MIN(C237,Eingaben!$B$17)*Eingaben!$B$16,0)</f>
        <v>1.5504</v>
      </c>
      <c r="F237" s="13" t="n">
        <f aca="false">IFERROR(E237*Eingaben!$B$15,0)</f>
        <v>1.39536</v>
      </c>
      <c r="G237" s="13" t="n">
        <f aca="false">IFERROR(IF(Kalender!A237="",0,J236*(1-Eingaben!$B$20)),0)</f>
        <v>1.3674528</v>
      </c>
      <c r="H237" s="13" t="n">
        <f aca="false">MIN(G237,D237)</f>
        <v>0.801</v>
      </c>
      <c r="I237" s="13" t="n">
        <f aca="false">IFERROR(MIN(F237*Eingaben!$B$19,MAX(0,D237-H237)),0)</f>
        <v>0</v>
      </c>
      <c r="J237" s="13" t="n">
        <f aca="false">IFERROR(MIN(Eingaben!$B$18,MAX(0,F237-I237)),0)</f>
        <v>1.39536</v>
      </c>
      <c r="K237" s="13" t="n">
        <f aca="false">H237+I237</f>
        <v>0.801</v>
      </c>
      <c r="L237" s="13" t="n">
        <f aca="false">MAX(0,D237-K237)</f>
        <v>0</v>
      </c>
      <c r="M237" s="13" t="n">
        <f aca="false">MAX(0,F237-I237-J237)</f>
        <v>0</v>
      </c>
      <c r="N237" s="13" t="n">
        <f aca="false">IF(Kalender!A237="",0,J236-H237)</f>
        <v>0.59436</v>
      </c>
    </row>
    <row r="238" customFormat="false" ht="16.4" hidden="false" customHeight="false" outlineLevel="0" collapsed="false">
      <c r="A238" s="13" t="str">
        <f aca="false">""</f>
        <v/>
      </c>
      <c r="B238" s="13" t="n">
        <f aca="false">234</f>
        <v>234</v>
      </c>
      <c r="C238" s="13" t="n">
        <f aca="false">IF(Szenarien!$H$8="OK",(IFERROR(SUMIF(Nutzungsprofile!$B$6:$B$11,"Schulbetrieb",Nutzungsprofile!$G$6:$G$11)*Kalender!C238/SUM(Kalender!$C$5:$C$370),0)+IFERROR(SUMIF(Nutzungsprofile!$B$6:$B$11,"Halle",Nutzungsprofile!$G$6:$G$11)*Kalender!D238/SUM(Kalender!$D$5:$D$370),0)+IFERROR(SUMIF(Nutzungsprofile!$B$6:$B$11,"Individuell",Nutzungsprofile!$G$6:$G$11)*Kalender!E238/SUM(Kalender!$E$5:$E$370),0))*Szenarien!$E$8,0)</f>
        <v>1.632</v>
      </c>
      <c r="D238" s="13" t="n">
        <f aca="false">IF(Szenarien!$H$8="OK",(IFERROR(SUMIF(Nutzungsprofile!$B$17:$B$22,"Schulbetrieb",Nutzungsprofile!$G$17:$G$22)*Kalender!C238/SUM(Kalender!$C$5:$C$370),0)+IFERROR(SUMIF(Nutzungsprofile!$B$17:$B$22,"Halle",Nutzungsprofile!$G$17:$G$22)*Kalender!D238/SUM(Kalender!$D$5:$D$370),0)+IFERROR(SUMIF(Nutzungsprofile!$B$17:$B$22,"Individuell",Nutzungsprofile!$G$17:$G$22)*Kalender!E238/SUM(Kalender!$E$5:$E$370),0))*Szenarien!$D$8,0)</f>
        <v>0.801</v>
      </c>
      <c r="E238" s="13" t="n">
        <f aca="false">IFERROR(MIN(C238,Eingaben!$B$17)*Eingaben!$B$16,0)</f>
        <v>1.5504</v>
      </c>
      <c r="F238" s="13" t="n">
        <f aca="false">IFERROR(E238*Eingaben!$B$15,0)</f>
        <v>1.39536</v>
      </c>
      <c r="G238" s="13" t="n">
        <f aca="false">IFERROR(IF(Kalender!A238="",0,J237*(1-Eingaben!$B$20)),0)</f>
        <v>1.3674528</v>
      </c>
      <c r="H238" s="13" t="n">
        <f aca="false">MIN(G238,D238)</f>
        <v>0.801</v>
      </c>
      <c r="I238" s="13" t="n">
        <f aca="false">IFERROR(MIN(F238*Eingaben!$B$19,MAX(0,D238-H238)),0)</f>
        <v>0</v>
      </c>
      <c r="J238" s="13" t="n">
        <f aca="false">IFERROR(MIN(Eingaben!$B$18,MAX(0,F238-I238)),0)</f>
        <v>1.39536</v>
      </c>
      <c r="K238" s="13" t="n">
        <f aca="false">H238+I238</f>
        <v>0.801</v>
      </c>
      <c r="L238" s="13" t="n">
        <f aca="false">MAX(0,D238-K238)</f>
        <v>0</v>
      </c>
      <c r="M238" s="13" t="n">
        <f aca="false">MAX(0,F238-I238-J238)</f>
        <v>0</v>
      </c>
      <c r="N238" s="13" t="n">
        <f aca="false">IF(Kalender!A238="",0,J237-H238)</f>
        <v>0.59436</v>
      </c>
    </row>
    <row r="239" customFormat="false" ht="16.4" hidden="false" customHeight="false" outlineLevel="0" collapsed="false">
      <c r="A239" s="13" t="str">
        <f aca="false">""</f>
        <v/>
      </c>
      <c r="B239" s="13" t="n">
        <f aca="false">235</f>
        <v>235</v>
      </c>
      <c r="C239" s="13" t="n">
        <f aca="false">IF(Szenarien!$H$8="OK",(IFERROR(SUMIF(Nutzungsprofile!$B$6:$B$11,"Schulbetrieb",Nutzungsprofile!$G$6:$G$11)*Kalender!C239/SUM(Kalender!$C$5:$C$370),0)+IFERROR(SUMIF(Nutzungsprofile!$B$6:$B$11,"Halle",Nutzungsprofile!$G$6:$G$11)*Kalender!D239/SUM(Kalender!$D$5:$D$370),0)+IFERROR(SUMIF(Nutzungsprofile!$B$6:$B$11,"Individuell",Nutzungsprofile!$G$6:$G$11)*Kalender!E239/SUM(Kalender!$E$5:$E$370),0))*Szenarien!$E$8,0)</f>
        <v>1.632</v>
      </c>
      <c r="D239" s="13" t="n">
        <f aca="false">IF(Szenarien!$H$8="OK",(IFERROR(SUMIF(Nutzungsprofile!$B$17:$B$22,"Schulbetrieb",Nutzungsprofile!$G$17:$G$22)*Kalender!C239/SUM(Kalender!$C$5:$C$370),0)+IFERROR(SUMIF(Nutzungsprofile!$B$17:$B$22,"Halle",Nutzungsprofile!$G$17:$G$22)*Kalender!D239/SUM(Kalender!$D$5:$D$370),0)+IFERROR(SUMIF(Nutzungsprofile!$B$17:$B$22,"Individuell",Nutzungsprofile!$G$17:$G$22)*Kalender!E239/SUM(Kalender!$E$5:$E$370),0))*Szenarien!$D$8,0)</f>
        <v>0.801</v>
      </c>
      <c r="E239" s="13" t="n">
        <f aca="false">IFERROR(MIN(C239,Eingaben!$B$17)*Eingaben!$B$16,0)</f>
        <v>1.5504</v>
      </c>
      <c r="F239" s="13" t="n">
        <f aca="false">IFERROR(E239*Eingaben!$B$15,0)</f>
        <v>1.39536</v>
      </c>
      <c r="G239" s="13" t="n">
        <f aca="false">IFERROR(IF(Kalender!A239="",0,J238*(1-Eingaben!$B$20)),0)</f>
        <v>1.3674528</v>
      </c>
      <c r="H239" s="13" t="n">
        <f aca="false">MIN(G239,D239)</f>
        <v>0.801</v>
      </c>
      <c r="I239" s="13" t="n">
        <f aca="false">IFERROR(MIN(F239*Eingaben!$B$19,MAX(0,D239-H239)),0)</f>
        <v>0</v>
      </c>
      <c r="J239" s="13" t="n">
        <f aca="false">IFERROR(MIN(Eingaben!$B$18,MAX(0,F239-I239)),0)</f>
        <v>1.39536</v>
      </c>
      <c r="K239" s="13" t="n">
        <f aca="false">H239+I239</f>
        <v>0.801</v>
      </c>
      <c r="L239" s="13" t="n">
        <f aca="false">MAX(0,D239-K239)</f>
        <v>0</v>
      </c>
      <c r="M239" s="13" t="n">
        <f aca="false">MAX(0,F239-I239-J239)</f>
        <v>0</v>
      </c>
      <c r="N239" s="13" t="n">
        <f aca="false">IF(Kalender!A239="",0,J238-H239)</f>
        <v>0.59436</v>
      </c>
    </row>
    <row r="240" customFormat="false" ht="16.4" hidden="false" customHeight="false" outlineLevel="0" collapsed="false">
      <c r="A240" s="13" t="str">
        <f aca="false">""</f>
        <v/>
      </c>
      <c r="B240" s="13" t="n">
        <f aca="false">236</f>
        <v>236</v>
      </c>
      <c r="C240" s="13" t="n">
        <f aca="false">IF(Szenarien!$H$8="OK",(IFERROR(SUMIF(Nutzungsprofile!$B$6:$B$11,"Schulbetrieb",Nutzungsprofile!$G$6:$G$11)*Kalender!C240/SUM(Kalender!$C$5:$C$370),0)+IFERROR(SUMIF(Nutzungsprofile!$B$6:$B$11,"Halle",Nutzungsprofile!$G$6:$G$11)*Kalender!D240/SUM(Kalender!$D$5:$D$370),0)+IFERROR(SUMIF(Nutzungsprofile!$B$6:$B$11,"Individuell",Nutzungsprofile!$G$6:$G$11)*Kalender!E240/SUM(Kalender!$E$5:$E$370),0))*Szenarien!$E$8,0)</f>
        <v>1.632</v>
      </c>
      <c r="D240" s="13" t="n">
        <f aca="false">IF(Szenarien!$H$8="OK",(IFERROR(SUMIF(Nutzungsprofile!$B$17:$B$22,"Schulbetrieb",Nutzungsprofile!$G$17:$G$22)*Kalender!C240/SUM(Kalender!$C$5:$C$370),0)+IFERROR(SUMIF(Nutzungsprofile!$B$17:$B$22,"Halle",Nutzungsprofile!$G$17:$G$22)*Kalender!D240/SUM(Kalender!$D$5:$D$370),0)+IFERROR(SUMIF(Nutzungsprofile!$B$17:$B$22,"Individuell",Nutzungsprofile!$G$17:$G$22)*Kalender!E240/SUM(Kalender!$E$5:$E$370),0))*Szenarien!$D$8,0)</f>
        <v>0.801</v>
      </c>
      <c r="E240" s="13" t="n">
        <f aca="false">IFERROR(MIN(C240,Eingaben!$B$17)*Eingaben!$B$16,0)</f>
        <v>1.5504</v>
      </c>
      <c r="F240" s="13" t="n">
        <f aca="false">IFERROR(E240*Eingaben!$B$15,0)</f>
        <v>1.39536</v>
      </c>
      <c r="G240" s="13" t="n">
        <f aca="false">IFERROR(IF(Kalender!A240="",0,J239*(1-Eingaben!$B$20)),0)</f>
        <v>1.3674528</v>
      </c>
      <c r="H240" s="13" t="n">
        <f aca="false">MIN(G240,D240)</f>
        <v>0.801</v>
      </c>
      <c r="I240" s="13" t="n">
        <f aca="false">IFERROR(MIN(F240*Eingaben!$B$19,MAX(0,D240-H240)),0)</f>
        <v>0</v>
      </c>
      <c r="J240" s="13" t="n">
        <f aca="false">IFERROR(MIN(Eingaben!$B$18,MAX(0,F240-I240)),0)</f>
        <v>1.39536</v>
      </c>
      <c r="K240" s="13" t="n">
        <f aca="false">H240+I240</f>
        <v>0.801</v>
      </c>
      <c r="L240" s="13" t="n">
        <f aca="false">MAX(0,D240-K240)</f>
        <v>0</v>
      </c>
      <c r="M240" s="13" t="n">
        <f aca="false">MAX(0,F240-I240-J240)</f>
        <v>0</v>
      </c>
      <c r="N240" s="13" t="n">
        <f aca="false">IF(Kalender!A240="",0,J239-H240)</f>
        <v>0.59436</v>
      </c>
    </row>
    <row r="241" customFormat="false" ht="16.4" hidden="false" customHeight="false" outlineLevel="0" collapsed="false">
      <c r="A241" s="13" t="str">
        <f aca="false">""</f>
        <v/>
      </c>
      <c r="B241" s="13" t="n">
        <f aca="false">237</f>
        <v>237</v>
      </c>
      <c r="C241" s="13" t="n">
        <f aca="false">IF(Szenarien!$H$8="OK",(IFERROR(SUMIF(Nutzungsprofile!$B$6:$B$11,"Schulbetrieb",Nutzungsprofile!$G$6:$G$11)*Kalender!C241/SUM(Kalender!$C$5:$C$370),0)+IFERROR(SUMIF(Nutzungsprofile!$B$6:$B$11,"Halle",Nutzungsprofile!$G$6:$G$11)*Kalender!D241/SUM(Kalender!$D$5:$D$370),0)+IFERROR(SUMIF(Nutzungsprofile!$B$6:$B$11,"Individuell",Nutzungsprofile!$G$6:$G$11)*Kalender!E241/SUM(Kalender!$E$5:$E$370),0))*Szenarien!$E$8,0)</f>
        <v>1.632</v>
      </c>
      <c r="D241" s="13" t="n">
        <f aca="false">IF(Szenarien!$H$8="OK",(IFERROR(SUMIF(Nutzungsprofile!$B$17:$B$22,"Schulbetrieb",Nutzungsprofile!$G$17:$G$22)*Kalender!C241/SUM(Kalender!$C$5:$C$370),0)+IFERROR(SUMIF(Nutzungsprofile!$B$17:$B$22,"Halle",Nutzungsprofile!$G$17:$G$22)*Kalender!D241/SUM(Kalender!$D$5:$D$370),0)+IFERROR(SUMIF(Nutzungsprofile!$B$17:$B$22,"Individuell",Nutzungsprofile!$G$17:$G$22)*Kalender!E241/SUM(Kalender!$E$5:$E$370),0))*Szenarien!$D$8,0)</f>
        <v>0.801</v>
      </c>
      <c r="E241" s="13" t="n">
        <f aca="false">IFERROR(MIN(C241,Eingaben!$B$17)*Eingaben!$B$16,0)</f>
        <v>1.5504</v>
      </c>
      <c r="F241" s="13" t="n">
        <f aca="false">IFERROR(E241*Eingaben!$B$15,0)</f>
        <v>1.39536</v>
      </c>
      <c r="G241" s="13" t="n">
        <f aca="false">IFERROR(IF(Kalender!A241="",0,J240*(1-Eingaben!$B$20)),0)</f>
        <v>1.3674528</v>
      </c>
      <c r="H241" s="13" t="n">
        <f aca="false">MIN(G241,D241)</f>
        <v>0.801</v>
      </c>
      <c r="I241" s="13" t="n">
        <f aca="false">IFERROR(MIN(F241*Eingaben!$B$19,MAX(0,D241-H241)),0)</f>
        <v>0</v>
      </c>
      <c r="J241" s="13" t="n">
        <f aca="false">IFERROR(MIN(Eingaben!$B$18,MAX(0,F241-I241)),0)</f>
        <v>1.39536</v>
      </c>
      <c r="K241" s="13" t="n">
        <f aca="false">H241+I241</f>
        <v>0.801</v>
      </c>
      <c r="L241" s="13" t="n">
        <f aca="false">MAX(0,D241-K241)</f>
        <v>0</v>
      </c>
      <c r="M241" s="13" t="n">
        <f aca="false">MAX(0,F241-I241-J241)</f>
        <v>0</v>
      </c>
      <c r="N241" s="13" t="n">
        <f aca="false">IF(Kalender!A241="",0,J240-H241)</f>
        <v>0.59436</v>
      </c>
    </row>
    <row r="242" customFormat="false" ht="16.4" hidden="false" customHeight="false" outlineLevel="0" collapsed="false">
      <c r="A242" s="13" t="str">
        <f aca="false">""</f>
        <v/>
      </c>
      <c r="B242" s="13" t="n">
        <f aca="false">238</f>
        <v>238</v>
      </c>
      <c r="C242" s="13" t="n">
        <f aca="false">IF(Szenarien!$H$8="OK",(IFERROR(SUMIF(Nutzungsprofile!$B$6:$B$11,"Schulbetrieb",Nutzungsprofile!$G$6:$G$11)*Kalender!C242/SUM(Kalender!$C$5:$C$370),0)+IFERROR(SUMIF(Nutzungsprofile!$B$6:$B$11,"Halle",Nutzungsprofile!$G$6:$G$11)*Kalender!D242/SUM(Kalender!$D$5:$D$370),0)+IFERROR(SUMIF(Nutzungsprofile!$B$6:$B$11,"Individuell",Nutzungsprofile!$G$6:$G$11)*Kalender!E242/SUM(Kalender!$E$5:$E$370),0))*Szenarien!$E$8,0)</f>
        <v>1.632</v>
      </c>
      <c r="D242" s="13" t="n">
        <f aca="false">IF(Szenarien!$H$8="OK",(IFERROR(SUMIF(Nutzungsprofile!$B$17:$B$22,"Schulbetrieb",Nutzungsprofile!$G$17:$G$22)*Kalender!C242/SUM(Kalender!$C$5:$C$370),0)+IFERROR(SUMIF(Nutzungsprofile!$B$17:$B$22,"Halle",Nutzungsprofile!$G$17:$G$22)*Kalender!D242/SUM(Kalender!$D$5:$D$370),0)+IFERROR(SUMIF(Nutzungsprofile!$B$17:$B$22,"Individuell",Nutzungsprofile!$G$17:$G$22)*Kalender!E242/SUM(Kalender!$E$5:$E$370),0))*Szenarien!$D$8,0)</f>
        <v>0.801</v>
      </c>
      <c r="E242" s="13" t="n">
        <f aca="false">IFERROR(MIN(C242,Eingaben!$B$17)*Eingaben!$B$16,0)</f>
        <v>1.5504</v>
      </c>
      <c r="F242" s="13" t="n">
        <f aca="false">IFERROR(E242*Eingaben!$B$15,0)</f>
        <v>1.39536</v>
      </c>
      <c r="G242" s="13" t="n">
        <f aca="false">IFERROR(IF(Kalender!A242="",0,J241*(1-Eingaben!$B$20)),0)</f>
        <v>1.3674528</v>
      </c>
      <c r="H242" s="13" t="n">
        <f aca="false">MIN(G242,D242)</f>
        <v>0.801</v>
      </c>
      <c r="I242" s="13" t="n">
        <f aca="false">IFERROR(MIN(F242*Eingaben!$B$19,MAX(0,D242-H242)),0)</f>
        <v>0</v>
      </c>
      <c r="J242" s="13" t="n">
        <f aca="false">IFERROR(MIN(Eingaben!$B$18,MAX(0,F242-I242)),0)</f>
        <v>1.39536</v>
      </c>
      <c r="K242" s="13" t="n">
        <f aca="false">H242+I242</f>
        <v>0.801</v>
      </c>
      <c r="L242" s="13" t="n">
        <f aca="false">MAX(0,D242-K242)</f>
        <v>0</v>
      </c>
      <c r="M242" s="13" t="n">
        <f aca="false">MAX(0,F242-I242-J242)</f>
        <v>0</v>
      </c>
      <c r="N242" s="13" t="n">
        <f aca="false">IF(Kalender!A242="",0,J241-H242)</f>
        <v>0.59436</v>
      </c>
    </row>
    <row r="243" customFormat="false" ht="16.4" hidden="false" customHeight="false" outlineLevel="0" collapsed="false">
      <c r="A243" s="13" t="str">
        <f aca="false">""</f>
        <v/>
      </c>
      <c r="B243" s="13" t="n">
        <f aca="false">239</f>
        <v>239</v>
      </c>
      <c r="C243" s="13" t="n">
        <f aca="false">IF(Szenarien!$H$8="OK",(IFERROR(SUMIF(Nutzungsprofile!$B$6:$B$11,"Schulbetrieb",Nutzungsprofile!$G$6:$G$11)*Kalender!C243/SUM(Kalender!$C$5:$C$370),0)+IFERROR(SUMIF(Nutzungsprofile!$B$6:$B$11,"Halle",Nutzungsprofile!$G$6:$G$11)*Kalender!D243/SUM(Kalender!$D$5:$D$370),0)+IFERROR(SUMIF(Nutzungsprofile!$B$6:$B$11,"Individuell",Nutzungsprofile!$G$6:$G$11)*Kalender!E243/SUM(Kalender!$E$5:$E$370),0))*Szenarien!$E$8,0)</f>
        <v>1.632</v>
      </c>
      <c r="D243" s="13" t="n">
        <f aca="false">IF(Szenarien!$H$8="OK",(IFERROR(SUMIF(Nutzungsprofile!$B$17:$B$22,"Schulbetrieb",Nutzungsprofile!$G$17:$G$22)*Kalender!C243/SUM(Kalender!$C$5:$C$370),0)+IFERROR(SUMIF(Nutzungsprofile!$B$17:$B$22,"Halle",Nutzungsprofile!$G$17:$G$22)*Kalender!D243/SUM(Kalender!$D$5:$D$370),0)+IFERROR(SUMIF(Nutzungsprofile!$B$17:$B$22,"Individuell",Nutzungsprofile!$G$17:$G$22)*Kalender!E243/SUM(Kalender!$E$5:$E$370),0))*Szenarien!$D$8,0)</f>
        <v>0.801</v>
      </c>
      <c r="E243" s="13" t="n">
        <f aca="false">IFERROR(MIN(C243,Eingaben!$B$17)*Eingaben!$B$16,0)</f>
        <v>1.5504</v>
      </c>
      <c r="F243" s="13" t="n">
        <f aca="false">IFERROR(E243*Eingaben!$B$15,0)</f>
        <v>1.39536</v>
      </c>
      <c r="G243" s="13" t="n">
        <f aca="false">IFERROR(IF(Kalender!A243="",0,J242*(1-Eingaben!$B$20)),0)</f>
        <v>1.3674528</v>
      </c>
      <c r="H243" s="13" t="n">
        <f aca="false">MIN(G243,D243)</f>
        <v>0.801</v>
      </c>
      <c r="I243" s="13" t="n">
        <f aca="false">IFERROR(MIN(F243*Eingaben!$B$19,MAX(0,D243-H243)),0)</f>
        <v>0</v>
      </c>
      <c r="J243" s="13" t="n">
        <f aca="false">IFERROR(MIN(Eingaben!$B$18,MAX(0,F243-I243)),0)</f>
        <v>1.39536</v>
      </c>
      <c r="K243" s="13" t="n">
        <f aca="false">H243+I243</f>
        <v>0.801</v>
      </c>
      <c r="L243" s="13" t="n">
        <f aca="false">MAX(0,D243-K243)</f>
        <v>0</v>
      </c>
      <c r="M243" s="13" t="n">
        <f aca="false">MAX(0,F243-I243-J243)</f>
        <v>0</v>
      </c>
      <c r="N243" s="13" t="n">
        <f aca="false">IF(Kalender!A243="",0,J242-H243)</f>
        <v>0.59436</v>
      </c>
    </row>
    <row r="244" customFormat="false" ht="16.4" hidden="false" customHeight="false" outlineLevel="0" collapsed="false">
      <c r="A244" s="13" t="str">
        <f aca="false">""</f>
        <v/>
      </c>
      <c r="B244" s="13" t="n">
        <f aca="false">240</f>
        <v>240</v>
      </c>
      <c r="C244" s="13" t="n">
        <f aca="false">IF(Szenarien!$H$8="OK",(IFERROR(SUMIF(Nutzungsprofile!$B$6:$B$11,"Schulbetrieb",Nutzungsprofile!$G$6:$G$11)*Kalender!C244/SUM(Kalender!$C$5:$C$370),0)+IFERROR(SUMIF(Nutzungsprofile!$B$6:$B$11,"Halle",Nutzungsprofile!$G$6:$G$11)*Kalender!D244/SUM(Kalender!$D$5:$D$370),0)+IFERROR(SUMIF(Nutzungsprofile!$B$6:$B$11,"Individuell",Nutzungsprofile!$G$6:$G$11)*Kalender!E244/SUM(Kalender!$E$5:$E$370),0))*Szenarien!$E$8,0)</f>
        <v>1.632</v>
      </c>
      <c r="D244" s="13" t="n">
        <f aca="false">IF(Szenarien!$H$8="OK",(IFERROR(SUMIF(Nutzungsprofile!$B$17:$B$22,"Schulbetrieb",Nutzungsprofile!$G$17:$G$22)*Kalender!C244/SUM(Kalender!$C$5:$C$370),0)+IFERROR(SUMIF(Nutzungsprofile!$B$17:$B$22,"Halle",Nutzungsprofile!$G$17:$G$22)*Kalender!D244/SUM(Kalender!$D$5:$D$370),0)+IFERROR(SUMIF(Nutzungsprofile!$B$17:$B$22,"Individuell",Nutzungsprofile!$G$17:$G$22)*Kalender!E244/SUM(Kalender!$E$5:$E$370),0))*Szenarien!$D$8,0)</f>
        <v>0.801</v>
      </c>
      <c r="E244" s="13" t="n">
        <f aca="false">IFERROR(MIN(C244,Eingaben!$B$17)*Eingaben!$B$16,0)</f>
        <v>1.5504</v>
      </c>
      <c r="F244" s="13" t="n">
        <f aca="false">IFERROR(E244*Eingaben!$B$15,0)</f>
        <v>1.39536</v>
      </c>
      <c r="G244" s="13" t="n">
        <f aca="false">IFERROR(IF(Kalender!A244="",0,J243*(1-Eingaben!$B$20)),0)</f>
        <v>1.3674528</v>
      </c>
      <c r="H244" s="13" t="n">
        <f aca="false">MIN(G244,D244)</f>
        <v>0.801</v>
      </c>
      <c r="I244" s="13" t="n">
        <f aca="false">IFERROR(MIN(F244*Eingaben!$B$19,MAX(0,D244-H244)),0)</f>
        <v>0</v>
      </c>
      <c r="J244" s="13" t="n">
        <f aca="false">IFERROR(MIN(Eingaben!$B$18,MAX(0,F244-I244)),0)</f>
        <v>1.39536</v>
      </c>
      <c r="K244" s="13" t="n">
        <f aca="false">H244+I244</f>
        <v>0.801</v>
      </c>
      <c r="L244" s="13" t="n">
        <f aca="false">MAX(0,D244-K244)</f>
        <v>0</v>
      </c>
      <c r="M244" s="13" t="n">
        <f aca="false">MAX(0,F244-I244-J244)</f>
        <v>0</v>
      </c>
      <c r="N244" s="13" t="n">
        <f aca="false">IF(Kalender!A244="",0,J243-H244)</f>
        <v>0.59436</v>
      </c>
    </row>
    <row r="245" customFormat="false" ht="16.4" hidden="false" customHeight="false" outlineLevel="0" collapsed="false">
      <c r="A245" s="13" t="str">
        <f aca="false">""</f>
        <v/>
      </c>
      <c r="B245" s="13" t="n">
        <f aca="false">241</f>
        <v>241</v>
      </c>
      <c r="C245" s="13" t="n">
        <f aca="false">IF(Szenarien!$H$8="OK",(IFERROR(SUMIF(Nutzungsprofile!$B$6:$B$11,"Schulbetrieb",Nutzungsprofile!$G$6:$G$11)*Kalender!C245/SUM(Kalender!$C$5:$C$370),0)+IFERROR(SUMIF(Nutzungsprofile!$B$6:$B$11,"Halle",Nutzungsprofile!$G$6:$G$11)*Kalender!D245/SUM(Kalender!$D$5:$D$370),0)+IFERROR(SUMIF(Nutzungsprofile!$B$6:$B$11,"Individuell",Nutzungsprofile!$G$6:$G$11)*Kalender!E245/SUM(Kalender!$E$5:$E$370),0))*Szenarien!$E$8,0)</f>
        <v>1.632</v>
      </c>
      <c r="D245" s="13" t="n">
        <f aca="false">IF(Szenarien!$H$8="OK",(IFERROR(SUMIF(Nutzungsprofile!$B$17:$B$22,"Schulbetrieb",Nutzungsprofile!$G$17:$G$22)*Kalender!C245/SUM(Kalender!$C$5:$C$370),0)+IFERROR(SUMIF(Nutzungsprofile!$B$17:$B$22,"Halle",Nutzungsprofile!$G$17:$G$22)*Kalender!D245/SUM(Kalender!$D$5:$D$370),0)+IFERROR(SUMIF(Nutzungsprofile!$B$17:$B$22,"Individuell",Nutzungsprofile!$G$17:$G$22)*Kalender!E245/SUM(Kalender!$E$5:$E$370),0))*Szenarien!$D$8,0)</f>
        <v>0.801</v>
      </c>
      <c r="E245" s="13" t="n">
        <f aca="false">IFERROR(MIN(C245,Eingaben!$B$17)*Eingaben!$B$16,0)</f>
        <v>1.5504</v>
      </c>
      <c r="F245" s="13" t="n">
        <f aca="false">IFERROR(E245*Eingaben!$B$15,0)</f>
        <v>1.39536</v>
      </c>
      <c r="G245" s="13" t="n">
        <f aca="false">IFERROR(IF(Kalender!A245="",0,J244*(1-Eingaben!$B$20)),0)</f>
        <v>1.3674528</v>
      </c>
      <c r="H245" s="13" t="n">
        <f aca="false">MIN(G245,D245)</f>
        <v>0.801</v>
      </c>
      <c r="I245" s="13" t="n">
        <f aca="false">IFERROR(MIN(F245*Eingaben!$B$19,MAX(0,D245-H245)),0)</f>
        <v>0</v>
      </c>
      <c r="J245" s="13" t="n">
        <f aca="false">IFERROR(MIN(Eingaben!$B$18,MAX(0,F245-I245)),0)</f>
        <v>1.39536</v>
      </c>
      <c r="K245" s="13" t="n">
        <f aca="false">H245+I245</f>
        <v>0.801</v>
      </c>
      <c r="L245" s="13" t="n">
        <f aca="false">MAX(0,D245-K245)</f>
        <v>0</v>
      </c>
      <c r="M245" s="13" t="n">
        <f aca="false">MAX(0,F245-I245-J245)</f>
        <v>0</v>
      </c>
      <c r="N245" s="13" t="n">
        <f aca="false">IF(Kalender!A245="",0,J244-H245)</f>
        <v>0.59436</v>
      </c>
    </row>
    <row r="246" customFormat="false" ht="16.4" hidden="false" customHeight="false" outlineLevel="0" collapsed="false">
      <c r="A246" s="13" t="str">
        <f aca="false">""</f>
        <v/>
      </c>
      <c r="B246" s="13" t="n">
        <f aca="false">242</f>
        <v>242</v>
      </c>
      <c r="C246" s="13" t="n">
        <f aca="false">IF(Szenarien!$H$8="OK",(IFERROR(SUMIF(Nutzungsprofile!$B$6:$B$11,"Schulbetrieb",Nutzungsprofile!$G$6:$G$11)*Kalender!C246/SUM(Kalender!$C$5:$C$370),0)+IFERROR(SUMIF(Nutzungsprofile!$B$6:$B$11,"Halle",Nutzungsprofile!$G$6:$G$11)*Kalender!D246/SUM(Kalender!$D$5:$D$370),0)+IFERROR(SUMIF(Nutzungsprofile!$B$6:$B$11,"Individuell",Nutzungsprofile!$G$6:$G$11)*Kalender!E246/SUM(Kalender!$E$5:$E$370),0))*Szenarien!$E$8,0)</f>
        <v>1.632</v>
      </c>
      <c r="D246" s="13" t="n">
        <f aca="false">IF(Szenarien!$H$8="OK",(IFERROR(SUMIF(Nutzungsprofile!$B$17:$B$22,"Schulbetrieb",Nutzungsprofile!$G$17:$G$22)*Kalender!C246/SUM(Kalender!$C$5:$C$370),0)+IFERROR(SUMIF(Nutzungsprofile!$B$17:$B$22,"Halle",Nutzungsprofile!$G$17:$G$22)*Kalender!D246/SUM(Kalender!$D$5:$D$370),0)+IFERROR(SUMIF(Nutzungsprofile!$B$17:$B$22,"Individuell",Nutzungsprofile!$G$17:$G$22)*Kalender!E246/SUM(Kalender!$E$5:$E$370),0))*Szenarien!$D$8,0)</f>
        <v>0.801</v>
      </c>
      <c r="E246" s="13" t="n">
        <f aca="false">IFERROR(MIN(C246,Eingaben!$B$17)*Eingaben!$B$16,0)</f>
        <v>1.5504</v>
      </c>
      <c r="F246" s="13" t="n">
        <f aca="false">IFERROR(E246*Eingaben!$B$15,0)</f>
        <v>1.39536</v>
      </c>
      <c r="G246" s="13" t="n">
        <f aca="false">IFERROR(IF(Kalender!A246="",0,J245*(1-Eingaben!$B$20)),0)</f>
        <v>1.3674528</v>
      </c>
      <c r="H246" s="13" t="n">
        <f aca="false">MIN(G246,D246)</f>
        <v>0.801</v>
      </c>
      <c r="I246" s="13" t="n">
        <f aca="false">IFERROR(MIN(F246*Eingaben!$B$19,MAX(0,D246-H246)),0)</f>
        <v>0</v>
      </c>
      <c r="J246" s="13" t="n">
        <f aca="false">IFERROR(MIN(Eingaben!$B$18,MAX(0,F246-I246)),0)</f>
        <v>1.39536</v>
      </c>
      <c r="K246" s="13" t="n">
        <f aca="false">H246+I246</f>
        <v>0.801</v>
      </c>
      <c r="L246" s="13" t="n">
        <f aca="false">MAX(0,D246-K246)</f>
        <v>0</v>
      </c>
      <c r="M246" s="13" t="n">
        <f aca="false">MAX(0,F246-I246-J246)</f>
        <v>0</v>
      </c>
      <c r="N246" s="13" t="n">
        <f aca="false">IF(Kalender!A246="",0,J245-H246)</f>
        <v>0.59436</v>
      </c>
    </row>
    <row r="247" customFormat="false" ht="16.4" hidden="false" customHeight="false" outlineLevel="0" collapsed="false">
      <c r="A247" s="13" t="str">
        <f aca="false">""</f>
        <v/>
      </c>
      <c r="B247" s="13" t="n">
        <f aca="false">243</f>
        <v>243</v>
      </c>
      <c r="C247" s="13" t="n">
        <f aca="false">IF(Szenarien!$H$8="OK",(IFERROR(SUMIF(Nutzungsprofile!$B$6:$B$11,"Schulbetrieb",Nutzungsprofile!$G$6:$G$11)*Kalender!C247/SUM(Kalender!$C$5:$C$370),0)+IFERROR(SUMIF(Nutzungsprofile!$B$6:$B$11,"Halle",Nutzungsprofile!$G$6:$G$11)*Kalender!D247/SUM(Kalender!$D$5:$D$370),0)+IFERROR(SUMIF(Nutzungsprofile!$B$6:$B$11,"Individuell",Nutzungsprofile!$G$6:$G$11)*Kalender!E247/SUM(Kalender!$E$5:$E$370),0))*Szenarien!$E$8,0)</f>
        <v>1.632</v>
      </c>
      <c r="D247" s="13" t="n">
        <f aca="false">IF(Szenarien!$H$8="OK",(IFERROR(SUMIF(Nutzungsprofile!$B$17:$B$22,"Schulbetrieb",Nutzungsprofile!$G$17:$G$22)*Kalender!C247/SUM(Kalender!$C$5:$C$370),0)+IFERROR(SUMIF(Nutzungsprofile!$B$17:$B$22,"Halle",Nutzungsprofile!$G$17:$G$22)*Kalender!D247/SUM(Kalender!$D$5:$D$370),0)+IFERROR(SUMIF(Nutzungsprofile!$B$17:$B$22,"Individuell",Nutzungsprofile!$G$17:$G$22)*Kalender!E247/SUM(Kalender!$E$5:$E$370),0))*Szenarien!$D$8,0)</f>
        <v>0.801</v>
      </c>
      <c r="E247" s="13" t="n">
        <f aca="false">IFERROR(MIN(C247,Eingaben!$B$17)*Eingaben!$B$16,0)</f>
        <v>1.5504</v>
      </c>
      <c r="F247" s="13" t="n">
        <f aca="false">IFERROR(E247*Eingaben!$B$15,0)</f>
        <v>1.39536</v>
      </c>
      <c r="G247" s="13" t="n">
        <f aca="false">IFERROR(IF(Kalender!A247="",0,J246*(1-Eingaben!$B$20)),0)</f>
        <v>1.3674528</v>
      </c>
      <c r="H247" s="13" t="n">
        <f aca="false">MIN(G247,D247)</f>
        <v>0.801</v>
      </c>
      <c r="I247" s="13" t="n">
        <f aca="false">IFERROR(MIN(F247*Eingaben!$B$19,MAX(0,D247-H247)),0)</f>
        <v>0</v>
      </c>
      <c r="J247" s="13" t="n">
        <f aca="false">IFERROR(MIN(Eingaben!$B$18,MAX(0,F247-I247)),0)</f>
        <v>1.39536</v>
      </c>
      <c r="K247" s="13" t="n">
        <f aca="false">H247+I247</f>
        <v>0.801</v>
      </c>
      <c r="L247" s="13" t="n">
        <f aca="false">MAX(0,D247-K247)</f>
        <v>0</v>
      </c>
      <c r="M247" s="13" t="n">
        <f aca="false">MAX(0,F247-I247-J247)</f>
        <v>0</v>
      </c>
      <c r="N247" s="13" t="n">
        <f aca="false">IF(Kalender!A247="",0,J246-H247)</f>
        <v>0.59436</v>
      </c>
    </row>
    <row r="248" customFormat="false" ht="16.4" hidden="false" customHeight="false" outlineLevel="0" collapsed="false">
      <c r="A248" s="13" t="str">
        <f aca="false">""</f>
        <v/>
      </c>
      <c r="B248" s="13" t="n">
        <f aca="false">244</f>
        <v>244</v>
      </c>
      <c r="C248" s="13" t="n">
        <f aca="false">IF(Szenarien!$H$8="OK",(IFERROR(SUMIF(Nutzungsprofile!$B$6:$B$11,"Schulbetrieb",Nutzungsprofile!$G$6:$G$11)*Kalender!C248/SUM(Kalender!$C$5:$C$370),0)+IFERROR(SUMIF(Nutzungsprofile!$B$6:$B$11,"Halle",Nutzungsprofile!$G$6:$G$11)*Kalender!D248/SUM(Kalender!$D$5:$D$370),0)+IFERROR(SUMIF(Nutzungsprofile!$B$6:$B$11,"Individuell",Nutzungsprofile!$G$6:$G$11)*Kalender!E248/SUM(Kalender!$E$5:$E$370),0))*Szenarien!$E$8,0)</f>
        <v>2.352</v>
      </c>
      <c r="D248" s="13" t="n">
        <f aca="false">IF(Szenarien!$H$8="OK",(IFERROR(SUMIF(Nutzungsprofile!$B$17:$B$22,"Schulbetrieb",Nutzungsprofile!$G$17:$G$22)*Kalender!C248/SUM(Kalender!$C$5:$C$370),0)+IFERROR(SUMIF(Nutzungsprofile!$B$17:$B$22,"Halle",Nutzungsprofile!$G$17:$G$22)*Kalender!D248/SUM(Kalender!$D$5:$D$370),0)+IFERROR(SUMIF(Nutzungsprofile!$B$17:$B$22,"Individuell",Nutzungsprofile!$G$17:$G$22)*Kalender!E248/SUM(Kalender!$E$5:$E$370),0))*Szenarien!$D$8,0)</f>
        <v>4.446</v>
      </c>
      <c r="E248" s="13" t="n">
        <f aca="false">IFERROR(MIN(C248,Eingaben!$B$17)*Eingaben!$B$16,0)</f>
        <v>2.2344</v>
      </c>
      <c r="F248" s="13" t="n">
        <f aca="false">IFERROR(E248*Eingaben!$B$15,0)</f>
        <v>2.01096</v>
      </c>
      <c r="G248" s="13" t="n">
        <f aca="false">IFERROR(IF(Kalender!A248="",0,J247*(1-Eingaben!$B$20)),0)</f>
        <v>1.3674528</v>
      </c>
      <c r="H248" s="13" t="n">
        <f aca="false">MIN(G248,D248)</f>
        <v>1.3674528</v>
      </c>
      <c r="I248" s="13" t="n">
        <f aca="false">IFERROR(MIN(F248*Eingaben!$B$19,MAX(0,D248-H248)),0)</f>
        <v>1.407672</v>
      </c>
      <c r="J248" s="13" t="n">
        <f aca="false">IFERROR(MIN(Eingaben!$B$18,MAX(0,F248-I248)),0)</f>
        <v>0.603288</v>
      </c>
      <c r="K248" s="13" t="n">
        <f aca="false">H248+I248</f>
        <v>2.7751248</v>
      </c>
      <c r="L248" s="13" t="n">
        <f aca="false">MAX(0,D248-K248)</f>
        <v>1.6708752</v>
      </c>
      <c r="M248" s="13" t="n">
        <f aca="false">MAX(0,F248-I248-J248)</f>
        <v>0</v>
      </c>
      <c r="N248" s="13" t="n">
        <f aca="false">IF(Kalender!A248="",0,J247-H248)</f>
        <v>0.0279072</v>
      </c>
    </row>
    <row r="249" customFormat="false" ht="16.4" hidden="false" customHeight="false" outlineLevel="0" collapsed="false">
      <c r="A249" s="13" t="str">
        <f aca="false">""</f>
        <v/>
      </c>
      <c r="B249" s="13" t="n">
        <f aca="false">245</f>
        <v>245</v>
      </c>
      <c r="C249" s="13" t="n">
        <f aca="false">IF(Szenarien!$H$8="OK",(IFERROR(SUMIF(Nutzungsprofile!$B$6:$B$11,"Schulbetrieb",Nutzungsprofile!$G$6:$G$11)*Kalender!C249/SUM(Kalender!$C$5:$C$370),0)+IFERROR(SUMIF(Nutzungsprofile!$B$6:$B$11,"Halle",Nutzungsprofile!$G$6:$G$11)*Kalender!D249/SUM(Kalender!$D$5:$D$370),0)+IFERROR(SUMIF(Nutzungsprofile!$B$6:$B$11,"Individuell",Nutzungsprofile!$G$6:$G$11)*Kalender!E249/SUM(Kalender!$E$5:$E$370),0))*Szenarien!$E$8,0)</f>
        <v>2.352</v>
      </c>
      <c r="D249" s="13" t="n">
        <f aca="false">IF(Szenarien!$H$8="OK",(IFERROR(SUMIF(Nutzungsprofile!$B$17:$B$22,"Schulbetrieb",Nutzungsprofile!$G$17:$G$22)*Kalender!C249/SUM(Kalender!$C$5:$C$370),0)+IFERROR(SUMIF(Nutzungsprofile!$B$17:$B$22,"Halle",Nutzungsprofile!$G$17:$G$22)*Kalender!D249/SUM(Kalender!$D$5:$D$370),0)+IFERROR(SUMIF(Nutzungsprofile!$B$17:$B$22,"Individuell",Nutzungsprofile!$G$17:$G$22)*Kalender!E249/SUM(Kalender!$E$5:$E$370),0))*Szenarien!$D$8,0)</f>
        <v>4.446</v>
      </c>
      <c r="E249" s="13" t="n">
        <f aca="false">IFERROR(MIN(C249,Eingaben!$B$17)*Eingaben!$B$16,0)</f>
        <v>2.2344</v>
      </c>
      <c r="F249" s="13" t="n">
        <f aca="false">IFERROR(E249*Eingaben!$B$15,0)</f>
        <v>2.01096</v>
      </c>
      <c r="G249" s="13" t="n">
        <f aca="false">IFERROR(IF(Kalender!A249="",0,J248*(1-Eingaben!$B$20)),0)</f>
        <v>0.59122224</v>
      </c>
      <c r="H249" s="13" t="n">
        <f aca="false">MIN(G249,D249)</f>
        <v>0.59122224</v>
      </c>
      <c r="I249" s="13" t="n">
        <f aca="false">IFERROR(MIN(F249*Eingaben!$B$19,MAX(0,D249-H249)),0)</f>
        <v>1.407672</v>
      </c>
      <c r="J249" s="13" t="n">
        <f aca="false">IFERROR(MIN(Eingaben!$B$18,MAX(0,F249-I249)),0)</f>
        <v>0.603288</v>
      </c>
      <c r="K249" s="13" t="n">
        <f aca="false">H249+I249</f>
        <v>1.99889424</v>
      </c>
      <c r="L249" s="13" t="n">
        <f aca="false">MAX(0,D249-K249)</f>
        <v>2.44710576</v>
      </c>
      <c r="M249" s="13" t="n">
        <f aca="false">MAX(0,F249-I249-J249)</f>
        <v>0</v>
      </c>
      <c r="N249" s="13" t="n">
        <f aca="false">IF(Kalender!A249="",0,J248-H249)</f>
        <v>0.01206576</v>
      </c>
    </row>
    <row r="250" customFormat="false" ht="16.4" hidden="false" customHeight="false" outlineLevel="0" collapsed="false">
      <c r="A250" s="13" t="str">
        <f aca="false">""</f>
        <v/>
      </c>
      <c r="B250" s="13" t="n">
        <f aca="false">246</f>
        <v>246</v>
      </c>
      <c r="C250" s="13" t="n">
        <f aca="false">IF(Szenarien!$H$8="OK",(IFERROR(SUMIF(Nutzungsprofile!$B$6:$B$11,"Schulbetrieb",Nutzungsprofile!$G$6:$G$11)*Kalender!C250/SUM(Kalender!$C$5:$C$370),0)+IFERROR(SUMIF(Nutzungsprofile!$B$6:$B$11,"Halle",Nutzungsprofile!$G$6:$G$11)*Kalender!D250/SUM(Kalender!$D$5:$D$370),0)+IFERROR(SUMIF(Nutzungsprofile!$B$6:$B$11,"Individuell",Nutzungsprofile!$G$6:$G$11)*Kalender!E250/SUM(Kalender!$E$5:$E$370),0))*Szenarien!$E$8,0)</f>
        <v>2.352</v>
      </c>
      <c r="D250" s="13" t="n">
        <f aca="false">IF(Szenarien!$H$8="OK",(IFERROR(SUMIF(Nutzungsprofile!$B$17:$B$22,"Schulbetrieb",Nutzungsprofile!$G$17:$G$22)*Kalender!C250/SUM(Kalender!$C$5:$C$370),0)+IFERROR(SUMIF(Nutzungsprofile!$B$17:$B$22,"Halle",Nutzungsprofile!$G$17:$G$22)*Kalender!D250/SUM(Kalender!$D$5:$D$370),0)+IFERROR(SUMIF(Nutzungsprofile!$B$17:$B$22,"Individuell",Nutzungsprofile!$G$17:$G$22)*Kalender!E250/SUM(Kalender!$E$5:$E$370),0))*Szenarien!$D$8,0)</f>
        <v>4.446</v>
      </c>
      <c r="E250" s="13" t="n">
        <f aca="false">IFERROR(MIN(C250,Eingaben!$B$17)*Eingaben!$B$16,0)</f>
        <v>2.2344</v>
      </c>
      <c r="F250" s="13" t="n">
        <f aca="false">IFERROR(E250*Eingaben!$B$15,0)</f>
        <v>2.01096</v>
      </c>
      <c r="G250" s="13" t="n">
        <f aca="false">IFERROR(IF(Kalender!A250="",0,J249*(1-Eingaben!$B$20)),0)</f>
        <v>0.59122224</v>
      </c>
      <c r="H250" s="13" t="n">
        <f aca="false">MIN(G250,D250)</f>
        <v>0.59122224</v>
      </c>
      <c r="I250" s="13" t="n">
        <f aca="false">IFERROR(MIN(F250*Eingaben!$B$19,MAX(0,D250-H250)),0)</f>
        <v>1.407672</v>
      </c>
      <c r="J250" s="13" t="n">
        <f aca="false">IFERROR(MIN(Eingaben!$B$18,MAX(0,F250-I250)),0)</f>
        <v>0.603288</v>
      </c>
      <c r="K250" s="13" t="n">
        <f aca="false">H250+I250</f>
        <v>1.99889424</v>
      </c>
      <c r="L250" s="13" t="n">
        <f aca="false">MAX(0,D250-K250)</f>
        <v>2.44710576</v>
      </c>
      <c r="M250" s="13" t="n">
        <f aca="false">MAX(0,F250-I250-J250)</f>
        <v>0</v>
      </c>
      <c r="N250" s="13" t="n">
        <f aca="false">IF(Kalender!A250="",0,J249-H250)</f>
        <v>0.01206576</v>
      </c>
    </row>
    <row r="251" customFormat="false" ht="16.4" hidden="false" customHeight="false" outlineLevel="0" collapsed="false">
      <c r="A251" s="13" t="str">
        <f aca="false">""</f>
        <v/>
      </c>
      <c r="B251" s="13" t="n">
        <f aca="false">247</f>
        <v>247</v>
      </c>
      <c r="C251" s="13" t="n">
        <f aca="false">IF(Szenarien!$H$8="OK",(IFERROR(SUMIF(Nutzungsprofile!$B$6:$B$11,"Schulbetrieb",Nutzungsprofile!$G$6:$G$11)*Kalender!C251/SUM(Kalender!$C$5:$C$370),0)+IFERROR(SUMIF(Nutzungsprofile!$B$6:$B$11,"Halle",Nutzungsprofile!$G$6:$G$11)*Kalender!D251/SUM(Kalender!$D$5:$D$370),0)+IFERROR(SUMIF(Nutzungsprofile!$B$6:$B$11,"Individuell",Nutzungsprofile!$G$6:$G$11)*Kalender!E251/SUM(Kalender!$E$5:$E$370),0))*Szenarien!$E$8,0)</f>
        <v>2.352</v>
      </c>
      <c r="D251" s="13" t="n">
        <f aca="false">IF(Szenarien!$H$8="OK",(IFERROR(SUMIF(Nutzungsprofile!$B$17:$B$22,"Schulbetrieb",Nutzungsprofile!$G$17:$G$22)*Kalender!C251/SUM(Kalender!$C$5:$C$370),0)+IFERROR(SUMIF(Nutzungsprofile!$B$17:$B$22,"Halle",Nutzungsprofile!$G$17:$G$22)*Kalender!D251/SUM(Kalender!$D$5:$D$370),0)+IFERROR(SUMIF(Nutzungsprofile!$B$17:$B$22,"Individuell",Nutzungsprofile!$G$17:$G$22)*Kalender!E251/SUM(Kalender!$E$5:$E$370),0))*Szenarien!$D$8,0)</f>
        <v>4.446</v>
      </c>
      <c r="E251" s="13" t="n">
        <f aca="false">IFERROR(MIN(C251,Eingaben!$B$17)*Eingaben!$B$16,0)</f>
        <v>2.2344</v>
      </c>
      <c r="F251" s="13" t="n">
        <f aca="false">IFERROR(E251*Eingaben!$B$15,0)</f>
        <v>2.01096</v>
      </c>
      <c r="G251" s="13" t="n">
        <f aca="false">IFERROR(IF(Kalender!A251="",0,J250*(1-Eingaben!$B$20)),0)</f>
        <v>0.59122224</v>
      </c>
      <c r="H251" s="13" t="n">
        <f aca="false">MIN(G251,D251)</f>
        <v>0.59122224</v>
      </c>
      <c r="I251" s="13" t="n">
        <f aca="false">IFERROR(MIN(F251*Eingaben!$B$19,MAX(0,D251-H251)),0)</f>
        <v>1.407672</v>
      </c>
      <c r="J251" s="13" t="n">
        <f aca="false">IFERROR(MIN(Eingaben!$B$18,MAX(0,F251-I251)),0)</f>
        <v>0.603288</v>
      </c>
      <c r="K251" s="13" t="n">
        <f aca="false">H251+I251</f>
        <v>1.99889424</v>
      </c>
      <c r="L251" s="13" t="n">
        <f aca="false">MAX(0,D251-K251)</f>
        <v>2.44710576</v>
      </c>
      <c r="M251" s="13" t="n">
        <f aca="false">MAX(0,F251-I251-J251)</f>
        <v>0</v>
      </c>
      <c r="N251" s="13" t="n">
        <f aca="false">IF(Kalender!A251="",0,J250-H251)</f>
        <v>0.01206576</v>
      </c>
    </row>
    <row r="252" customFormat="false" ht="16.4" hidden="false" customHeight="false" outlineLevel="0" collapsed="false">
      <c r="A252" s="13" t="str">
        <f aca="false">""</f>
        <v/>
      </c>
      <c r="B252" s="13" t="n">
        <f aca="false">248</f>
        <v>248</v>
      </c>
      <c r="C252" s="13" t="n">
        <f aca="false">IF(Szenarien!$H$8="OK",(IFERROR(SUMIF(Nutzungsprofile!$B$6:$B$11,"Schulbetrieb",Nutzungsprofile!$G$6:$G$11)*Kalender!C252/SUM(Kalender!$C$5:$C$370),0)+IFERROR(SUMIF(Nutzungsprofile!$B$6:$B$11,"Halle",Nutzungsprofile!$G$6:$G$11)*Kalender!D252/SUM(Kalender!$D$5:$D$370),0)+IFERROR(SUMIF(Nutzungsprofile!$B$6:$B$11,"Individuell",Nutzungsprofile!$G$6:$G$11)*Kalender!E252/SUM(Kalender!$E$5:$E$370),0))*Szenarien!$E$8,0)</f>
        <v>1.632</v>
      </c>
      <c r="D252" s="13" t="n">
        <f aca="false">IF(Szenarien!$H$8="OK",(IFERROR(SUMIF(Nutzungsprofile!$B$17:$B$22,"Schulbetrieb",Nutzungsprofile!$G$17:$G$22)*Kalender!C252/SUM(Kalender!$C$5:$C$370),0)+IFERROR(SUMIF(Nutzungsprofile!$B$17:$B$22,"Halle",Nutzungsprofile!$G$17:$G$22)*Kalender!D252/SUM(Kalender!$D$5:$D$370),0)+IFERROR(SUMIF(Nutzungsprofile!$B$17:$B$22,"Individuell",Nutzungsprofile!$G$17:$G$22)*Kalender!E252/SUM(Kalender!$E$5:$E$370),0))*Szenarien!$D$8,0)</f>
        <v>0.801</v>
      </c>
      <c r="E252" s="13" t="n">
        <f aca="false">IFERROR(MIN(C252,Eingaben!$B$17)*Eingaben!$B$16,0)</f>
        <v>1.5504</v>
      </c>
      <c r="F252" s="13" t="n">
        <f aca="false">IFERROR(E252*Eingaben!$B$15,0)</f>
        <v>1.39536</v>
      </c>
      <c r="G252" s="13" t="n">
        <f aca="false">IFERROR(IF(Kalender!A252="",0,J251*(1-Eingaben!$B$20)),0)</f>
        <v>0.59122224</v>
      </c>
      <c r="H252" s="13" t="n">
        <f aca="false">MIN(G252,D252)</f>
        <v>0.59122224</v>
      </c>
      <c r="I252" s="13" t="n">
        <f aca="false">IFERROR(MIN(F252*Eingaben!$B$19,MAX(0,D252-H252)),0)</f>
        <v>0.20977776</v>
      </c>
      <c r="J252" s="13" t="n">
        <f aca="false">IFERROR(MIN(Eingaben!$B$18,MAX(0,F252-I252)),0)</f>
        <v>1.18558224</v>
      </c>
      <c r="K252" s="13" t="n">
        <f aca="false">H252+I252</f>
        <v>0.801</v>
      </c>
      <c r="L252" s="13" t="n">
        <f aca="false">MAX(0,D252-K252)</f>
        <v>0</v>
      </c>
      <c r="M252" s="13" t="n">
        <f aca="false">MAX(0,F252-I252-J252)</f>
        <v>0</v>
      </c>
      <c r="N252" s="13" t="n">
        <f aca="false">IF(Kalender!A252="",0,J251-H252)</f>
        <v>0.01206576</v>
      </c>
    </row>
    <row r="253" customFormat="false" ht="16.4" hidden="false" customHeight="false" outlineLevel="0" collapsed="false">
      <c r="A253" s="13" t="str">
        <f aca="false">""</f>
        <v/>
      </c>
      <c r="B253" s="13" t="n">
        <f aca="false">249</f>
        <v>249</v>
      </c>
      <c r="C253" s="13" t="n">
        <f aca="false">IF(Szenarien!$H$8="OK",(IFERROR(SUMIF(Nutzungsprofile!$B$6:$B$11,"Schulbetrieb",Nutzungsprofile!$G$6:$G$11)*Kalender!C253/SUM(Kalender!$C$5:$C$370),0)+IFERROR(SUMIF(Nutzungsprofile!$B$6:$B$11,"Halle",Nutzungsprofile!$G$6:$G$11)*Kalender!D253/SUM(Kalender!$D$5:$D$370),0)+IFERROR(SUMIF(Nutzungsprofile!$B$6:$B$11,"Individuell",Nutzungsprofile!$G$6:$G$11)*Kalender!E253/SUM(Kalender!$E$5:$E$370),0))*Szenarien!$E$8,0)</f>
        <v>1.632</v>
      </c>
      <c r="D253" s="13" t="n">
        <f aca="false">IF(Szenarien!$H$8="OK",(IFERROR(SUMIF(Nutzungsprofile!$B$17:$B$22,"Schulbetrieb",Nutzungsprofile!$G$17:$G$22)*Kalender!C253/SUM(Kalender!$C$5:$C$370),0)+IFERROR(SUMIF(Nutzungsprofile!$B$17:$B$22,"Halle",Nutzungsprofile!$G$17:$G$22)*Kalender!D253/SUM(Kalender!$D$5:$D$370),0)+IFERROR(SUMIF(Nutzungsprofile!$B$17:$B$22,"Individuell",Nutzungsprofile!$G$17:$G$22)*Kalender!E253/SUM(Kalender!$E$5:$E$370),0))*Szenarien!$D$8,0)</f>
        <v>0.801</v>
      </c>
      <c r="E253" s="13" t="n">
        <f aca="false">IFERROR(MIN(C253,Eingaben!$B$17)*Eingaben!$B$16,0)</f>
        <v>1.5504</v>
      </c>
      <c r="F253" s="13" t="n">
        <f aca="false">IFERROR(E253*Eingaben!$B$15,0)</f>
        <v>1.39536</v>
      </c>
      <c r="G253" s="13" t="n">
        <f aca="false">IFERROR(IF(Kalender!A253="",0,J252*(1-Eingaben!$B$20)),0)</f>
        <v>1.1618705952</v>
      </c>
      <c r="H253" s="13" t="n">
        <f aca="false">MIN(G253,D253)</f>
        <v>0.801</v>
      </c>
      <c r="I253" s="13" t="n">
        <f aca="false">IFERROR(MIN(F253*Eingaben!$B$19,MAX(0,D253-H253)),0)</f>
        <v>0</v>
      </c>
      <c r="J253" s="13" t="n">
        <f aca="false">IFERROR(MIN(Eingaben!$B$18,MAX(0,F253-I253)),0)</f>
        <v>1.39536</v>
      </c>
      <c r="K253" s="13" t="n">
        <f aca="false">H253+I253</f>
        <v>0.801</v>
      </c>
      <c r="L253" s="13" t="n">
        <f aca="false">MAX(0,D253-K253)</f>
        <v>0</v>
      </c>
      <c r="M253" s="13" t="n">
        <f aca="false">MAX(0,F253-I253-J253)</f>
        <v>0</v>
      </c>
      <c r="N253" s="13" t="n">
        <f aca="false">IF(Kalender!A253="",0,J252-H253)</f>
        <v>0.38458224</v>
      </c>
    </row>
    <row r="254" customFormat="false" ht="16.4" hidden="false" customHeight="false" outlineLevel="0" collapsed="false">
      <c r="A254" s="13" t="str">
        <f aca="false">""</f>
        <v/>
      </c>
      <c r="B254" s="13" t="n">
        <f aca="false">250</f>
        <v>250</v>
      </c>
      <c r="C254" s="13" t="n">
        <f aca="false">IF(Szenarien!$H$8="OK",(IFERROR(SUMIF(Nutzungsprofile!$B$6:$B$11,"Schulbetrieb",Nutzungsprofile!$G$6:$G$11)*Kalender!C254/SUM(Kalender!$C$5:$C$370),0)+IFERROR(SUMIF(Nutzungsprofile!$B$6:$B$11,"Halle",Nutzungsprofile!$G$6:$G$11)*Kalender!D254/SUM(Kalender!$D$5:$D$370),0)+IFERROR(SUMIF(Nutzungsprofile!$B$6:$B$11,"Individuell",Nutzungsprofile!$G$6:$G$11)*Kalender!E254/SUM(Kalender!$E$5:$E$370),0))*Szenarien!$E$8,0)</f>
        <v>2.352</v>
      </c>
      <c r="D254" s="13" t="n">
        <f aca="false">IF(Szenarien!$H$8="OK",(IFERROR(SUMIF(Nutzungsprofile!$B$17:$B$22,"Schulbetrieb",Nutzungsprofile!$G$17:$G$22)*Kalender!C254/SUM(Kalender!$C$5:$C$370),0)+IFERROR(SUMIF(Nutzungsprofile!$B$17:$B$22,"Halle",Nutzungsprofile!$G$17:$G$22)*Kalender!D254/SUM(Kalender!$D$5:$D$370),0)+IFERROR(SUMIF(Nutzungsprofile!$B$17:$B$22,"Individuell",Nutzungsprofile!$G$17:$G$22)*Kalender!E254/SUM(Kalender!$E$5:$E$370),0))*Szenarien!$D$8,0)</f>
        <v>4.446</v>
      </c>
      <c r="E254" s="13" t="n">
        <f aca="false">IFERROR(MIN(C254,Eingaben!$B$17)*Eingaben!$B$16,0)</f>
        <v>2.2344</v>
      </c>
      <c r="F254" s="13" t="n">
        <f aca="false">IFERROR(E254*Eingaben!$B$15,0)</f>
        <v>2.01096</v>
      </c>
      <c r="G254" s="13" t="n">
        <f aca="false">IFERROR(IF(Kalender!A254="",0,J253*(1-Eingaben!$B$20)),0)</f>
        <v>1.3674528</v>
      </c>
      <c r="H254" s="13" t="n">
        <f aca="false">MIN(G254,D254)</f>
        <v>1.3674528</v>
      </c>
      <c r="I254" s="13" t="n">
        <f aca="false">IFERROR(MIN(F254*Eingaben!$B$19,MAX(0,D254-H254)),0)</f>
        <v>1.407672</v>
      </c>
      <c r="J254" s="13" t="n">
        <f aca="false">IFERROR(MIN(Eingaben!$B$18,MAX(0,F254-I254)),0)</f>
        <v>0.603288</v>
      </c>
      <c r="K254" s="13" t="n">
        <f aca="false">H254+I254</f>
        <v>2.7751248</v>
      </c>
      <c r="L254" s="13" t="n">
        <f aca="false">MAX(0,D254-K254)</f>
        <v>1.6708752</v>
      </c>
      <c r="M254" s="13" t="n">
        <f aca="false">MAX(0,F254-I254-J254)</f>
        <v>0</v>
      </c>
      <c r="N254" s="13" t="n">
        <f aca="false">IF(Kalender!A254="",0,J253-H254)</f>
        <v>0.0279072</v>
      </c>
    </row>
    <row r="255" customFormat="false" ht="16.4" hidden="false" customHeight="false" outlineLevel="0" collapsed="false">
      <c r="A255" s="13" t="str">
        <f aca="false">""</f>
        <v/>
      </c>
      <c r="B255" s="13" t="n">
        <f aca="false">251</f>
        <v>251</v>
      </c>
      <c r="C255" s="13" t="n">
        <f aca="false">IF(Szenarien!$H$8="OK",(IFERROR(SUMIF(Nutzungsprofile!$B$6:$B$11,"Schulbetrieb",Nutzungsprofile!$G$6:$G$11)*Kalender!C255/SUM(Kalender!$C$5:$C$370),0)+IFERROR(SUMIF(Nutzungsprofile!$B$6:$B$11,"Halle",Nutzungsprofile!$G$6:$G$11)*Kalender!D255/SUM(Kalender!$D$5:$D$370),0)+IFERROR(SUMIF(Nutzungsprofile!$B$6:$B$11,"Individuell",Nutzungsprofile!$G$6:$G$11)*Kalender!E255/SUM(Kalender!$E$5:$E$370),0))*Szenarien!$E$8,0)</f>
        <v>2.352</v>
      </c>
      <c r="D255" s="13" t="n">
        <f aca="false">IF(Szenarien!$H$8="OK",(IFERROR(SUMIF(Nutzungsprofile!$B$17:$B$22,"Schulbetrieb",Nutzungsprofile!$G$17:$G$22)*Kalender!C255/SUM(Kalender!$C$5:$C$370),0)+IFERROR(SUMIF(Nutzungsprofile!$B$17:$B$22,"Halle",Nutzungsprofile!$G$17:$G$22)*Kalender!D255/SUM(Kalender!$D$5:$D$370),0)+IFERROR(SUMIF(Nutzungsprofile!$B$17:$B$22,"Individuell",Nutzungsprofile!$G$17:$G$22)*Kalender!E255/SUM(Kalender!$E$5:$E$370),0))*Szenarien!$D$8,0)</f>
        <v>4.446</v>
      </c>
      <c r="E255" s="13" t="n">
        <f aca="false">IFERROR(MIN(C255,Eingaben!$B$17)*Eingaben!$B$16,0)</f>
        <v>2.2344</v>
      </c>
      <c r="F255" s="13" t="n">
        <f aca="false">IFERROR(E255*Eingaben!$B$15,0)</f>
        <v>2.01096</v>
      </c>
      <c r="G255" s="13" t="n">
        <f aca="false">IFERROR(IF(Kalender!A255="",0,J254*(1-Eingaben!$B$20)),0)</f>
        <v>0.59122224</v>
      </c>
      <c r="H255" s="13" t="n">
        <f aca="false">MIN(G255,D255)</f>
        <v>0.59122224</v>
      </c>
      <c r="I255" s="13" t="n">
        <f aca="false">IFERROR(MIN(F255*Eingaben!$B$19,MAX(0,D255-H255)),0)</f>
        <v>1.407672</v>
      </c>
      <c r="J255" s="13" t="n">
        <f aca="false">IFERROR(MIN(Eingaben!$B$18,MAX(0,F255-I255)),0)</f>
        <v>0.603288</v>
      </c>
      <c r="K255" s="13" t="n">
        <f aca="false">H255+I255</f>
        <v>1.99889424</v>
      </c>
      <c r="L255" s="13" t="n">
        <f aca="false">MAX(0,D255-K255)</f>
        <v>2.44710576</v>
      </c>
      <c r="M255" s="13" t="n">
        <f aca="false">MAX(0,F255-I255-J255)</f>
        <v>0</v>
      </c>
      <c r="N255" s="13" t="n">
        <f aca="false">IF(Kalender!A255="",0,J254-H255)</f>
        <v>0.01206576</v>
      </c>
    </row>
    <row r="256" customFormat="false" ht="16.4" hidden="false" customHeight="false" outlineLevel="0" collapsed="false">
      <c r="A256" s="13" t="str">
        <f aca="false">""</f>
        <v/>
      </c>
      <c r="B256" s="13" t="n">
        <f aca="false">252</f>
        <v>252</v>
      </c>
      <c r="C256" s="13" t="n">
        <f aca="false">IF(Szenarien!$H$8="OK",(IFERROR(SUMIF(Nutzungsprofile!$B$6:$B$11,"Schulbetrieb",Nutzungsprofile!$G$6:$G$11)*Kalender!C256/SUM(Kalender!$C$5:$C$370),0)+IFERROR(SUMIF(Nutzungsprofile!$B$6:$B$11,"Halle",Nutzungsprofile!$G$6:$G$11)*Kalender!D256/SUM(Kalender!$D$5:$D$370),0)+IFERROR(SUMIF(Nutzungsprofile!$B$6:$B$11,"Individuell",Nutzungsprofile!$G$6:$G$11)*Kalender!E256/SUM(Kalender!$E$5:$E$370),0))*Szenarien!$E$8,0)</f>
        <v>2.352</v>
      </c>
      <c r="D256" s="13" t="n">
        <f aca="false">IF(Szenarien!$H$8="OK",(IFERROR(SUMIF(Nutzungsprofile!$B$17:$B$22,"Schulbetrieb",Nutzungsprofile!$G$17:$G$22)*Kalender!C256/SUM(Kalender!$C$5:$C$370),0)+IFERROR(SUMIF(Nutzungsprofile!$B$17:$B$22,"Halle",Nutzungsprofile!$G$17:$G$22)*Kalender!D256/SUM(Kalender!$D$5:$D$370),0)+IFERROR(SUMIF(Nutzungsprofile!$B$17:$B$22,"Individuell",Nutzungsprofile!$G$17:$G$22)*Kalender!E256/SUM(Kalender!$E$5:$E$370),0))*Szenarien!$D$8,0)</f>
        <v>4.446</v>
      </c>
      <c r="E256" s="13" t="n">
        <f aca="false">IFERROR(MIN(C256,Eingaben!$B$17)*Eingaben!$B$16,0)</f>
        <v>2.2344</v>
      </c>
      <c r="F256" s="13" t="n">
        <f aca="false">IFERROR(E256*Eingaben!$B$15,0)</f>
        <v>2.01096</v>
      </c>
      <c r="G256" s="13" t="n">
        <f aca="false">IFERROR(IF(Kalender!A256="",0,J255*(1-Eingaben!$B$20)),0)</f>
        <v>0.59122224</v>
      </c>
      <c r="H256" s="13" t="n">
        <f aca="false">MIN(G256,D256)</f>
        <v>0.59122224</v>
      </c>
      <c r="I256" s="13" t="n">
        <f aca="false">IFERROR(MIN(F256*Eingaben!$B$19,MAX(0,D256-H256)),0)</f>
        <v>1.407672</v>
      </c>
      <c r="J256" s="13" t="n">
        <f aca="false">IFERROR(MIN(Eingaben!$B$18,MAX(0,F256-I256)),0)</f>
        <v>0.603288</v>
      </c>
      <c r="K256" s="13" t="n">
        <f aca="false">H256+I256</f>
        <v>1.99889424</v>
      </c>
      <c r="L256" s="13" t="n">
        <f aca="false">MAX(0,D256-K256)</f>
        <v>2.44710576</v>
      </c>
      <c r="M256" s="13" t="n">
        <f aca="false">MAX(0,F256-I256-J256)</f>
        <v>0</v>
      </c>
      <c r="N256" s="13" t="n">
        <f aca="false">IF(Kalender!A256="",0,J255-H256)</f>
        <v>0.01206576</v>
      </c>
    </row>
    <row r="257" customFormat="false" ht="16.4" hidden="false" customHeight="false" outlineLevel="0" collapsed="false">
      <c r="A257" s="13" t="str">
        <f aca="false">""</f>
        <v/>
      </c>
      <c r="B257" s="13" t="n">
        <f aca="false">253</f>
        <v>253</v>
      </c>
      <c r="C257" s="13" t="n">
        <f aca="false">IF(Szenarien!$H$8="OK",(IFERROR(SUMIF(Nutzungsprofile!$B$6:$B$11,"Schulbetrieb",Nutzungsprofile!$G$6:$G$11)*Kalender!C257/SUM(Kalender!$C$5:$C$370),0)+IFERROR(SUMIF(Nutzungsprofile!$B$6:$B$11,"Halle",Nutzungsprofile!$G$6:$G$11)*Kalender!D257/SUM(Kalender!$D$5:$D$370),0)+IFERROR(SUMIF(Nutzungsprofile!$B$6:$B$11,"Individuell",Nutzungsprofile!$G$6:$G$11)*Kalender!E257/SUM(Kalender!$E$5:$E$370),0))*Szenarien!$E$8,0)</f>
        <v>2.352</v>
      </c>
      <c r="D257" s="13" t="n">
        <f aca="false">IF(Szenarien!$H$8="OK",(IFERROR(SUMIF(Nutzungsprofile!$B$17:$B$22,"Schulbetrieb",Nutzungsprofile!$G$17:$G$22)*Kalender!C257/SUM(Kalender!$C$5:$C$370),0)+IFERROR(SUMIF(Nutzungsprofile!$B$17:$B$22,"Halle",Nutzungsprofile!$G$17:$G$22)*Kalender!D257/SUM(Kalender!$D$5:$D$370),0)+IFERROR(SUMIF(Nutzungsprofile!$B$17:$B$22,"Individuell",Nutzungsprofile!$G$17:$G$22)*Kalender!E257/SUM(Kalender!$E$5:$E$370),0))*Szenarien!$D$8,0)</f>
        <v>4.446</v>
      </c>
      <c r="E257" s="13" t="n">
        <f aca="false">IFERROR(MIN(C257,Eingaben!$B$17)*Eingaben!$B$16,0)</f>
        <v>2.2344</v>
      </c>
      <c r="F257" s="13" t="n">
        <f aca="false">IFERROR(E257*Eingaben!$B$15,0)</f>
        <v>2.01096</v>
      </c>
      <c r="G257" s="13" t="n">
        <f aca="false">IFERROR(IF(Kalender!A257="",0,J256*(1-Eingaben!$B$20)),0)</f>
        <v>0.59122224</v>
      </c>
      <c r="H257" s="13" t="n">
        <f aca="false">MIN(G257,D257)</f>
        <v>0.59122224</v>
      </c>
      <c r="I257" s="13" t="n">
        <f aca="false">IFERROR(MIN(F257*Eingaben!$B$19,MAX(0,D257-H257)),0)</f>
        <v>1.407672</v>
      </c>
      <c r="J257" s="13" t="n">
        <f aca="false">IFERROR(MIN(Eingaben!$B$18,MAX(0,F257-I257)),0)</f>
        <v>0.603288</v>
      </c>
      <c r="K257" s="13" t="n">
        <f aca="false">H257+I257</f>
        <v>1.99889424</v>
      </c>
      <c r="L257" s="13" t="n">
        <f aca="false">MAX(0,D257-K257)</f>
        <v>2.44710576</v>
      </c>
      <c r="M257" s="13" t="n">
        <f aca="false">MAX(0,F257-I257-J257)</f>
        <v>0</v>
      </c>
      <c r="N257" s="13" t="n">
        <f aca="false">IF(Kalender!A257="",0,J256-H257)</f>
        <v>0.01206576</v>
      </c>
    </row>
    <row r="258" customFormat="false" ht="16.4" hidden="false" customHeight="false" outlineLevel="0" collapsed="false">
      <c r="A258" s="13" t="str">
        <f aca="false">""</f>
        <v/>
      </c>
      <c r="B258" s="13" t="n">
        <f aca="false">254</f>
        <v>254</v>
      </c>
      <c r="C258" s="13" t="n">
        <f aca="false">IF(Szenarien!$H$8="OK",(IFERROR(SUMIF(Nutzungsprofile!$B$6:$B$11,"Schulbetrieb",Nutzungsprofile!$G$6:$G$11)*Kalender!C258/SUM(Kalender!$C$5:$C$370),0)+IFERROR(SUMIF(Nutzungsprofile!$B$6:$B$11,"Halle",Nutzungsprofile!$G$6:$G$11)*Kalender!D258/SUM(Kalender!$D$5:$D$370),0)+IFERROR(SUMIF(Nutzungsprofile!$B$6:$B$11,"Individuell",Nutzungsprofile!$G$6:$G$11)*Kalender!E258/SUM(Kalender!$E$5:$E$370),0))*Szenarien!$E$8,0)</f>
        <v>2.352</v>
      </c>
      <c r="D258" s="13" t="n">
        <f aca="false">IF(Szenarien!$H$8="OK",(IFERROR(SUMIF(Nutzungsprofile!$B$17:$B$22,"Schulbetrieb",Nutzungsprofile!$G$17:$G$22)*Kalender!C258/SUM(Kalender!$C$5:$C$370),0)+IFERROR(SUMIF(Nutzungsprofile!$B$17:$B$22,"Halle",Nutzungsprofile!$G$17:$G$22)*Kalender!D258/SUM(Kalender!$D$5:$D$370),0)+IFERROR(SUMIF(Nutzungsprofile!$B$17:$B$22,"Individuell",Nutzungsprofile!$G$17:$G$22)*Kalender!E258/SUM(Kalender!$E$5:$E$370),0))*Szenarien!$D$8,0)</f>
        <v>4.446</v>
      </c>
      <c r="E258" s="13" t="n">
        <f aca="false">IFERROR(MIN(C258,Eingaben!$B$17)*Eingaben!$B$16,0)</f>
        <v>2.2344</v>
      </c>
      <c r="F258" s="13" t="n">
        <f aca="false">IFERROR(E258*Eingaben!$B$15,0)</f>
        <v>2.01096</v>
      </c>
      <c r="G258" s="13" t="n">
        <f aca="false">IFERROR(IF(Kalender!A258="",0,J257*(1-Eingaben!$B$20)),0)</f>
        <v>0.59122224</v>
      </c>
      <c r="H258" s="13" t="n">
        <f aca="false">MIN(G258,D258)</f>
        <v>0.59122224</v>
      </c>
      <c r="I258" s="13" t="n">
        <f aca="false">IFERROR(MIN(F258*Eingaben!$B$19,MAX(0,D258-H258)),0)</f>
        <v>1.407672</v>
      </c>
      <c r="J258" s="13" t="n">
        <f aca="false">IFERROR(MIN(Eingaben!$B$18,MAX(0,F258-I258)),0)</f>
        <v>0.603288</v>
      </c>
      <c r="K258" s="13" t="n">
        <f aca="false">H258+I258</f>
        <v>1.99889424</v>
      </c>
      <c r="L258" s="13" t="n">
        <f aca="false">MAX(0,D258-K258)</f>
        <v>2.44710576</v>
      </c>
      <c r="M258" s="13" t="n">
        <f aca="false">MAX(0,F258-I258-J258)</f>
        <v>0</v>
      </c>
      <c r="N258" s="13" t="n">
        <f aca="false">IF(Kalender!A258="",0,J257-H258)</f>
        <v>0.01206576</v>
      </c>
    </row>
    <row r="259" customFormat="false" ht="16.4" hidden="false" customHeight="false" outlineLevel="0" collapsed="false">
      <c r="A259" s="13" t="str">
        <f aca="false">""</f>
        <v/>
      </c>
      <c r="B259" s="13" t="n">
        <f aca="false">255</f>
        <v>255</v>
      </c>
      <c r="C259" s="13" t="n">
        <f aca="false">IF(Szenarien!$H$8="OK",(IFERROR(SUMIF(Nutzungsprofile!$B$6:$B$11,"Schulbetrieb",Nutzungsprofile!$G$6:$G$11)*Kalender!C259/SUM(Kalender!$C$5:$C$370),0)+IFERROR(SUMIF(Nutzungsprofile!$B$6:$B$11,"Halle",Nutzungsprofile!$G$6:$G$11)*Kalender!D259/SUM(Kalender!$D$5:$D$370),0)+IFERROR(SUMIF(Nutzungsprofile!$B$6:$B$11,"Individuell",Nutzungsprofile!$G$6:$G$11)*Kalender!E259/SUM(Kalender!$E$5:$E$370),0))*Szenarien!$E$8,0)</f>
        <v>1.632</v>
      </c>
      <c r="D259" s="13" t="n">
        <f aca="false">IF(Szenarien!$H$8="OK",(IFERROR(SUMIF(Nutzungsprofile!$B$17:$B$22,"Schulbetrieb",Nutzungsprofile!$G$17:$G$22)*Kalender!C259/SUM(Kalender!$C$5:$C$370),0)+IFERROR(SUMIF(Nutzungsprofile!$B$17:$B$22,"Halle",Nutzungsprofile!$G$17:$G$22)*Kalender!D259/SUM(Kalender!$D$5:$D$370),0)+IFERROR(SUMIF(Nutzungsprofile!$B$17:$B$22,"Individuell",Nutzungsprofile!$G$17:$G$22)*Kalender!E259/SUM(Kalender!$E$5:$E$370),0))*Szenarien!$D$8,0)</f>
        <v>0.801</v>
      </c>
      <c r="E259" s="13" t="n">
        <f aca="false">IFERROR(MIN(C259,Eingaben!$B$17)*Eingaben!$B$16,0)</f>
        <v>1.5504</v>
      </c>
      <c r="F259" s="13" t="n">
        <f aca="false">IFERROR(E259*Eingaben!$B$15,0)</f>
        <v>1.39536</v>
      </c>
      <c r="G259" s="13" t="n">
        <f aca="false">IFERROR(IF(Kalender!A259="",0,J258*(1-Eingaben!$B$20)),0)</f>
        <v>0.59122224</v>
      </c>
      <c r="H259" s="13" t="n">
        <f aca="false">MIN(G259,D259)</f>
        <v>0.59122224</v>
      </c>
      <c r="I259" s="13" t="n">
        <f aca="false">IFERROR(MIN(F259*Eingaben!$B$19,MAX(0,D259-H259)),0)</f>
        <v>0.20977776</v>
      </c>
      <c r="J259" s="13" t="n">
        <f aca="false">IFERROR(MIN(Eingaben!$B$18,MAX(0,F259-I259)),0)</f>
        <v>1.18558224</v>
      </c>
      <c r="K259" s="13" t="n">
        <f aca="false">H259+I259</f>
        <v>0.801</v>
      </c>
      <c r="L259" s="13" t="n">
        <f aca="false">MAX(0,D259-K259)</f>
        <v>0</v>
      </c>
      <c r="M259" s="13" t="n">
        <f aca="false">MAX(0,F259-I259-J259)</f>
        <v>0</v>
      </c>
      <c r="N259" s="13" t="n">
        <f aca="false">IF(Kalender!A259="",0,J258-H259)</f>
        <v>0.01206576</v>
      </c>
    </row>
    <row r="260" customFormat="false" ht="16.4" hidden="false" customHeight="false" outlineLevel="0" collapsed="false">
      <c r="A260" s="13" t="str">
        <f aca="false">""</f>
        <v/>
      </c>
      <c r="B260" s="13" t="n">
        <f aca="false">256</f>
        <v>256</v>
      </c>
      <c r="C260" s="13" t="n">
        <f aca="false">IF(Szenarien!$H$8="OK",(IFERROR(SUMIF(Nutzungsprofile!$B$6:$B$11,"Schulbetrieb",Nutzungsprofile!$G$6:$G$11)*Kalender!C260/SUM(Kalender!$C$5:$C$370),0)+IFERROR(SUMIF(Nutzungsprofile!$B$6:$B$11,"Halle",Nutzungsprofile!$G$6:$G$11)*Kalender!D260/SUM(Kalender!$D$5:$D$370),0)+IFERROR(SUMIF(Nutzungsprofile!$B$6:$B$11,"Individuell",Nutzungsprofile!$G$6:$G$11)*Kalender!E260/SUM(Kalender!$E$5:$E$370),0))*Szenarien!$E$8,0)</f>
        <v>1.632</v>
      </c>
      <c r="D260" s="13" t="n">
        <f aca="false">IF(Szenarien!$H$8="OK",(IFERROR(SUMIF(Nutzungsprofile!$B$17:$B$22,"Schulbetrieb",Nutzungsprofile!$G$17:$G$22)*Kalender!C260/SUM(Kalender!$C$5:$C$370),0)+IFERROR(SUMIF(Nutzungsprofile!$B$17:$B$22,"Halle",Nutzungsprofile!$G$17:$G$22)*Kalender!D260/SUM(Kalender!$D$5:$D$370),0)+IFERROR(SUMIF(Nutzungsprofile!$B$17:$B$22,"Individuell",Nutzungsprofile!$G$17:$G$22)*Kalender!E260/SUM(Kalender!$E$5:$E$370),0))*Szenarien!$D$8,0)</f>
        <v>0.801</v>
      </c>
      <c r="E260" s="13" t="n">
        <f aca="false">IFERROR(MIN(C260,Eingaben!$B$17)*Eingaben!$B$16,0)</f>
        <v>1.5504</v>
      </c>
      <c r="F260" s="13" t="n">
        <f aca="false">IFERROR(E260*Eingaben!$B$15,0)</f>
        <v>1.39536</v>
      </c>
      <c r="G260" s="13" t="n">
        <f aca="false">IFERROR(IF(Kalender!A260="",0,J259*(1-Eingaben!$B$20)),0)</f>
        <v>1.1618705952</v>
      </c>
      <c r="H260" s="13" t="n">
        <f aca="false">MIN(G260,D260)</f>
        <v>0.801</v>
      </c>
      <c r="I260" s="13" t="n">
        <f aca="false">IFERROR(MIN(F260*Eingaben!$B$19,MAX(0,D260-H260)),0)</f>
        <v>0</v>
      </c>
      <c r="J260" s="13" t="n">
        <f aca="false">IFERROR(MIN(Eingaben!$B$18,MAX(0,F260-I260)),0)</f>
        <v>1.39536</v>
      </c>
      <c r="K260" s="13" t="n">
        <f aca="false">H260+I260</f>
        <v>0.801</v>
      </c>
      <c r="L260" s="13" t="n">
        <f aca="false">MAX(0,D260-K260)</f>
        <v>0</v>
      </c>
      <c r="M260" s="13" t="n">
        <f aca="false">MAX(0,F260-I260-J260)</f>
        <v>0</v>
      </c>
      <c r="N260" s="13" t="n">
        <f aca="false">IF(Kalender!A260="",0,J259-H260)</f>
        <v>0.38458224</v>
      </c>
    </row>
    <row r="261" customFormat="false" ht="16.4" hidden="false" customHeight="false" outlineLevel="0" collapsed="false">
      <c r="A261" s="13" t="str">
        <f aca="false">""</f>
        <v/>
      </c>
      <c r="B261" s="13" t="n">
        <f aca="false">257</f>
        <v>257</v>
      </c>
      <c r="C261" s="13" t="n">
        <f aca="false">IF(Szenarien!$H$8="OK",(IFERROR(SUMIF(Nutzungsprofile!$B$6:$B$11,"Schulbetrieb",Nutzungsprofile!$G$6:$G$11)*Kalender!C261/SUM(Kalender!$C$5:$C$370),0)+IFERROR(SUMIF(Nutzungsprofile!$B$6:$B$11,"Halle",Nutzungsprofile!$G$6:$G$11)*Kalender!D261/SUM(Kalender!$D$5:$D$370),0)+IFERROR(SUMIF(Nutzungsprofile!$B$6:$B$11,"Individuell",Nutzungsprofile!$G$6:$G$11)*Kalender!E261/SUM(Kalender!$E$5:$E$370),0))*Szenarien!$E$8,0)</f>
        <v>2.352</v>
      </c>
      <c r="D261" s="13" t="n">
        <f aca="false">IF(Szenarien!$H$8="OK",(IFERROR(SUMIF(Nutzungsprofile!$B$17:$B$22,"Schulbetrieb",Nutzungsprofile!$G$17:$G$22)*Kalender!C261/SUM(Kalender!$C$5:$C$370),0)+IFERROR(SUMIF(Nutzungsprofile!$B$17:$B$22,"Halle",Nutzungsprofile!$G$17:$G$22)*Kalender!D261/SUM(Kalender!$D$5:$D$370),0)+IFERROR(SUMIF(Nutzungsprofile!$B$17:$B$22,"Individuell",Nutzungsprofile!$G$17:$G$22)*Kalender!E261/SUM(Kalender!$E$5:$E$370),0))*Szenarien!$D$8,0)</f>
        <v>4.446</v>
      </c>
      <c r="E261" s="13" t="n">
        <f aca="false">IFERROR(MIN(C261,Eingaben!$B$17)*Eingaben!$B$16,0)</f>
        <v>2.2344</v>
      </c>
      <c r="F261" s="13" t="n">
        <f aca="false">IFERROR(E261*Eingaben!$B$15,0)</f>
        <v>2.01096</v>
      </c>
      <c r="G261" s="13" t="n">
        <f aca="false">IFERROR(IF(Kalender!A261="",0,J260*(1-Eingaben!$B$20)),0)</f>
        <v>1.3674528</v>
      </c>
      <c r="H261" s="13" t="n">
        <f aca="false">MIN(G261,D261)</f>
        <v>1.3674528</v>
      </c>
      <c r="I261" s="13" t="n">
        <f aca="false">IFERROR(MIN(F261*Eingaben!$B$19,MAX(0,D261-H261)),0)</f>
        <v>1.407672</v>
      </c>
      <c r="J261" s="13" t="n">
        <f aca="false">IFERROR(MIN(Eingaben!$B$18,MAX(0,F261-I261)),0)</f>
        <v>0.603288</v>
      </c>
      <c r="K261" s="13" t="n">
        <f aca="false">H261+I261</f>
        <v>2.7751248</v>
      </c>
      <c r="L261" s="13" t="n">
        <f aca="false">MAX(0,D261-K261)</f>
        <v>1.6708752</v>
      </c>
      <c r="M261" s="13" t="n">
        <f aca="false">MAX(0,F261-I261-J261)</f>
        <v>0</v>
      </c>
      <c r="N261" s="13" t="n">
        <f aca="false">IF(Kalender!A261="",0,J260-H261)</f>
        <v>0.0279072</v>
      </c>
    </row>
    <row r="262" customFormat="false" ht="16.4" hidden="false" customHeight="false" outlineLevel="0" collapsed="false">
      <c r="A262" s="13" t="str">
        <f aca="false">""</f>
        <v/>
      </c>
      <c r="B262" s="13" t="n">
        <f aca="false">258</f>
        <v>258</v>
      </c>
      <c r="C262" s="13" t="n">
        <f aca="false">IF(Szenarien!$H$8="OK",(IFERROR(SUMIF(Nutzungsprofile!$B$6:$B$11,"Schulbetrieb",Nutzungsprofile!$G$6:$G$11)*Kalender!C262/SUM(Kalender!$C$5:$C$370),0)+IFERROR(SUMIF(Nutzungsprofile!$B$6:$B$11,"Halle",Nutzungsprofile!$G$6:$G$11)*Kalender!D262/SUM(Kalender!$D$5:$D$370),0)+IFERROR(SUMIF(Nutzungsprofile!$B$6:$B$11,"Individuell",Nutzungsprofile!$G$6:$G$11)*Kalender!E262/SUM(Kalender!$E$5:$E$370),0))*Szenarien!$E$8,0)</f>
        <v>2.352</v>
      </c>
      <c r="D262" s="13" t="n">
        <f aca="false">IF(Szenarien!$H$8="OK",(IFERROR(SUMIF(Nutzungsprofile!$B$17:$B$22,"Schulbetrieb",Nutzungsprofile!$G$17:$G$22)*Kalender!C262/SUM(Kalender!$C$5:$C$370),0)+IFERROR(SUMIF(Nutzungsprofile!$B$17:$B$22,"Halle",Nutzungsprofile!$G$17:$G$22)*Kalender!D262/SUM(Kalender!$D$5:$D$370),0)+IFERROR(SUMIF(Nutzungsprofile!$B$17:$B$22,"Individuell",Nutzungsprofile!$G$17:$G$22)*Kalender!E262/SUM(Kalender!$E$5:$E$370),0))*Szenarien!$D$8,0)</f>
        <v>4.446</v>
      </c>
      <c r="E262" s="13" t="n">
        <f aca="false">IFERROR(MIN(C262,Eingaben!$B$17)*Eingaben!$B$16,0)</f>
        <v>2.2344</v>
      </c>
      <c r="F262" s="13" t="n">
        <f aca="false">IFERROR(E262*Eingaben!$B$15,0)</f>
        <v>2.01096</v>
      </c>
      <c r="G262" s="13" t="n">
        <f aca="false">IFERROR(IF(Kalender!A262="",0,J261*(1-Eingaben!$B$20)),0)</f>
        <v>0.59122224</v>
      </c>
      <c r="H262" s="13" t="n">
        <f aca="false">MIN(G262,D262)</f>
        <v>0.59122224</v>
      </c>
      <c r="I262" s="13" t="n">
        <f aca="false">IFERROR(MIN(F262*Eingaben!$B$19,MAX(0,D262-H262)),0)</f>
        <v>1.407672</v>
      </c>
      <c r="J262" s="13" t="n">
        <f aca="false">IFERROR(MIN(Eingaben!$B$18,MAX(0,F262-I262)),0)</f>
        <v>0.603288</v>
      </c>
      <c r="K262" s="13" t="n">
        <f aca="false">H262+I262</f>
        <v>1.99889424</v>
      </c>
      <c r="L262" s="13" t="n">
        <f aca="false">MAX(0,D262-K262)</f>
        <v>2.44710576</v>
      </c>
      <c r="M262" s="13" t="n">
        <f aca="false">MAX(0,F262-I262-J262)</f>
        <v>0</v>
      </c>
      <c r="N262" s="13" t="n">
        <f aca="false">IF(Kalender!A262="",0,J261-H262)</f>
        <v>0.01206576</v>
      </c>
    </row>
    <row r="263" customFormat="false" ht="16.4" hidden="false" customHeight="false" outlineLevel="0" collapsed="false">
      <c r="A263" s="13" t="str">
        <f aca="false">""</f>
        <v/>
      </c>
      <c r="B263" s="13" t="n">
        <f aca="false">259</f>
        <v>259</v>
      </c>
      <c r="C263" s="13" t="n">
        <f aca="false">IF(Szenarien!$H$8="OK",(IFERROR(SUMIF(Nutzungsprofile!$B$6:$B$11,"Schulbetrieb",Nutzungsprofile!$G$6:$G$11)*Kalender!C263/SUM(Kalender!$C$5:$C$370),0)+IFERROR(SUMIF(Nutzungsprofile!$B$6:$B$11,"Halle",Nutzungsprofile!$G$6:$G$11)*Kalender!D263/SUM(Kalender!$D$5:$D$370),0)+IFERROR(SUMIF(Nutzungsprofile!$B$6:$B$11,"Individuell",Nutzungsprofile!$G$6:$G$11)*Kalender!E263/SUM(Kalender!$E$5:$E$370),0))*Szenarien!$E$8,0)</f>
        <v>2.352</v>
      </c>
      <c r="D263" s="13" t="n">
        <f aca="false">IF(Szenarien!$H$8="OK",(IFERROR(SUMIF(Nutzungsprofile!$B$17:$B$22,"Schulbetrieb",Nutzungsprofile!$G$17:$G$22)*Kalender!C263/SUM(Kalender!$C$5:$C$370),0)+IFERROR(SUMIF(Nutzungsprofile!$B$17:$B$22,"Halle",Nutzungsprofile!$G$17:$G$22)*Kalender!D263/SUM(Kalender!$D$5:$D$370),0)+IFERROR(SUMIF(Nutzungsprofile!$B$17:$B$22,"Individuell",Nutzungsprofile!$G$17:$G$22)*Kalender!E263/SUM(Kalender!$E$5:$E$370),0))*Szenarien!$D$8,0)</f>
        <v>4.446</v>
      </c>
      <c r="E263" s="13" t="n">
        <f aca="false">IFERROR(MIN(C263,Eingaben!$B$17)*Eingaben!$B$16,0)</f>
        <v>2.2344</v>
      </c>
      <c r="F263" s="13" t="n">
        <f aca="false">IFERROR(E263*Eingaben!$B$15,0)</f>
        <v>2.01096</v>
      </c>
      <c r="G263" s="13" t="n">
        <f aca="false">IFERROR(IF(Kalender!A263="",0,J262*(1-Eingaben!$B$20)),0)</f>
        <v>0.59122224</v>
      </c>
      <c r="H263" s="13" t="n">
        <f aca="false">MIN(G263,D263)</f>
        <v>0.59122224</v>
      </c>
      <c r="I263" s="13" t="n">
        <f aca="false">IFERROR(MIN(F263*Eingaben!$B$19,MAX(0,D263-H263)),0)</f>
        <v>1.407672</v>
      </c>
      <c r="J263" s="13" t="n">
        <f aca="false">IFERROR(MIN(Eingaben!$B$18,MAX(0,F263-I263)),0)</f>
        <v>0.603288</v>
      </c>
      <c r="K263" s="13" t="n">
        <f aca="false">H263+I263</f>
        <v>1.99889424</v>
      </c>
      <c r="L263" s="13" t="n">
        <f aca="false">MAX(0,D263-K263)</f>
        <v>2.44710576</v>
      </c>
      <c r="M263" s="13" t="n">
        <f aca="false">MAX(0,F263-I263-J263)</f>
        <v>0</v>
      </c>
      <c r="N263" s="13" t="n">
        <f aca="false">IF(Kalender!A263="",0,J262-H263)</f>
        <v>0.01206576</v>
      </c>
    </row>
    <row r="264" customFormat="false" ht="16.4" hidden="false" customHeight="false" outlineLevel="0" collapsed="false">
      <c r="A264" s="13" t="str">
        <f aca="false">""</f>
        <v/>
      </c>
      <c r="B264" s="13" t="n">
        <f aca="false">260</f>
        <v>260</v>
      </c>
      <c r="C264" s="13" t="n">
        <f aca="false">IF(Szenarien!$H$8="OK",(IFERROR(SUMIF(Nutzungsprofile!$B$6:$B$11,"Schulbetrieb",Nutzungsprofile!$G$6:$G$11)*Kalender!C264/SUM(Kalender!$C$5:$C$370),0)+IFERROR(SUMIF(Nutzungsprofile!$B$6:$B$11,"Halle",Nutzungsprofile!$G$6:$G$11)*Kalender!D264/SUM(Kalender!$D$5:$D$370),0)+IFERROR(SUMIF(Nutzungsprofile!$B$6:$B$11,"Individuell",Nutzungsprofile!$G$6:$G$11)*Kalender!E264/SUM(Kalender!$E$5:$E$370),0))*Szenarien!$E$8,0)</f>
        <v>2.352</v>
      </c>
      <c r="D264" s="13" t="n">
        <f aca="false">IF(Szenarien!$H$8="OK",(IFERROR(SUMIF(Nutzungsprofile!$B$17:$B$22,"Schulbetrieb",Nutzungsprofile!$G$17:$G$22)*Kalender!C264/SUM(Kalender!$C$5:$C$370),0)+IFERROR(SUMIF(Nutzungsprofile!$B$17:$B$22,"Halle",Nutzungsprofile!$G$17:$G$22)*Kalender!D264/SUM(Kalender!$D$5:$D$370),0)+IFERROR(SUMIF(Nutzungsprofile!$B$17:$B$22,"Individuell",Nutzungsprofile!$G$17:$G$22)*Kalender!E264/SUM(Kalender!$E$5:$E$370),0))*Szenarien!$D$8,0)</f>
        <v>4.446</v>
      </c>
      <c r="E264" s="13" t="n">
        <f aca="false">IFERROR(MIN(C264,Eingaben!$B$17)*Eingaben!$B$16,0)</f>
        <v>2.2344</v>
      </c>
      <c r="F264" s="13" t="n">
        <f aca="false">IFERROR(E264*Eingaben!$B$15,0)</f>
        <v>2.01096</v>
      </c>
      <c r="G264" s="13" t="n">
        <f aca="false">IFERROR(IF(Kalender!A264="",0,J263*(1-Eingaben!$B$20)),0)</f>
        <v>0.59122224</v>
      </c>
      <c r="H264" s="13" t="n">
        <f aca="false">MIN(G264,D264)</f>
        <v>0.59122224</v>
      </c>
      <c r="I264" s="13" t="n">
        <f aca="false">IFERROR(MIN(F264*Eingaben!$B$19,MAX(0,D264-H264)),0)</f>
        <v>1.407672</v>
      </c>
      <c r="J264" s="13" t="n">
        <f aca="false">IFERROR(MIN(Eingaben!$B$18,MAX(0,F264-I264)),0)</f>
        <v>0.603288</v>
      </c>
      <c r="K264" s="13" t="n">
        <f aca="false">H264+I264</f>
        <v>1.99889424</v>
      </c>
      <c r="L264" s="13" t="n">
        <f aca="false">MAX(0,D264-K264)</f>
        <v>2.44710576</v>
      </c>
      <c r="M264" s="13" t="n">
        <f aca="false">MAX(0,F264-I264-J264)</f>
        <v>0</v>
      </c>
      <c r="N264" s="13" t="n">
        <f aca="false">IF(Kalender!A264="",0,J263-H264)</f>
        <v>0.01206576</v>
      </c>
    </row>
    <row r="265" customFormat="false" ht="16.4" hidden="false" customHeight="false" outlineLevel="0" collapsed="false">
      <c r="A265" s="13" t="str">
        <f aca="false">""</f>
        <v/>
      </c>
      <c r="B265" s="13" t="n">
        <f aca="false">261</f>
        <v>261</v>
      </c>
      <c r="C265" s="13" t="n">
        <f aca="false">IF(Szenarien!$H$8="OK",(IFERROR(SUMIF(Nutzungsprofile!$B$6:$B$11,"Schulbetrieb",Nutzungsprofile!$G$6:$G$11)*Kalender!C265/SUM(Kalender!$C$5:$C$370),0)+IFERROR(SUMIF(Nutzungsprofile!$B$6:$B$11,"Halle",Nutzungsprofile!$G$6:$G$11)*Kalender!D265/SUM(Kalender!$D$5:$D$370),0)+IFERROR(SUMIF(Nutzungsprofile!$B$6:$B$11,"Individuell",Nutzungsprofile!$G$6:$G$11)*Kalender!E265/SUM(Kalender!$E$5:$E$370),0))*Szenarien!$E$8,0)</f>
        <v>2.352</v>
      </c>
      <c r="D265" s="13" t="n">
        <f aca="false">IF(Szenarien!$H$8="OK",(IFERROR(SUMIF(Nutzungsprofile!$B$17:$B$22,"Schulbetrieb",Nutzungsprofile!$G$17:$G$22)*Kalender!C265/SUM(Kalender!$C$5:$C$370),0)+IFERROR(SUMIF(Nutzungsprofile!$B$17:$B$22,"Halle",Nutzungsprofile!$G$17:$G$22)*Kalender!D265/SUM(Kalender!$D$5:$D$370),0)+IFERROR(SUMIF(Nutzungsprofile!$B$17:$B$22,"Individuell",Nutzungsprofile!$G$17:$G$22)*Kalender!E265/SUM(Kalender!$E$5:$E$370),0))*Szenarien!$D$8,0)</f>
        <v>4.446</v>
      </c>
      <c r="E265" s="13" t="n">
        <f aca="false">IFERROR(MIN(C265,Eingaben!$B$17)*Eingaben!$B$16,0)</f>
        <v>2.2344</v>
      </c>
      <c r="F265" s="13" t="n">
        <f aca="false">IFERROR(E265*Eingaben!$B$15,0)</f>
        <v>2.01096</v>
      </c>
      <c r="G265" s="13" t="n">
        <f aca="false">IFERROR(IF(Kalender!A265="",0,J264*(1-Eingaben!$B$20)),0)</f>
        <v>0.59122224</v>
      </c>
      <c r="H265" s="13" t="n">
        <f aca="false">MIN(G265,D265)</f>
        <v>0.59122224</v>
      </c>
      <c r="I265" s="13" t="n">
        <f aca="false">IFERROR(MIN(F265*Eingaben!$B$19,MAX(0,D265-H265)),0)</f>
        <v>1.407672</v>
      </c>
      <c r="J265" s="13" t="n">
        <f aca="false">IFERROR(MIN(Eingaben!$B$18,MAX(0,F265-I265)),0)</f>
        <v>0.603288</v>
      </c>
      <c r="K265" s="13" t="n">
        <f aca="false">H265+I265</f>
        <v>1.99889424</v>
      </c>
      <c r="L265" s="13" t="n">
        <f aca="false">MAX(0,D265-K265)</f>
        <v>2.44710576</v>
      </c>
      <c r="M265" s="13" t="n">
        <f aca="false">MAX(0,F265-I265-J265)</f>
        <v>0</v>
      </c>
      <c r="N265" s="13" t="n">
        <f aca="false">IF(Kalender!A265="",0,J264-H265)</f>
        <v>0.01206576</v>
      </c>
    </row>
    <row r="266" customFormat="false" ht="16.4" hidden="false" customHeight="false" outlineLevel="0" collapsed="false">
      <c r="A266" s="13" t="str">
        <f aca="false">""</f>
        <v/>
      </c>
      <c r="B266" s="13" t="n">
        <f aca="false">262</f>
        <v>262</v>
      </c>
      <c r="C266" s="13" t="n">
        <f aca="false">IF(Szenarien!$H$8="OK",(IFERROR(SUMIF(Nutzungsprofile!$B$6:$B$11,"Schulbetrieb",Nutzungsprofile!$G$6:$G$11)*Kalender!C266/SUM(Kalender!$C$5:$C$370),0)+IFERROR(SUMIF(Nutzungsprofile!$B$6:$B$11,"Halle",Nutzungsprofile!$G$6:$G$11)*Kalender!D266/SUM(Kalender!$D$5:$D$370),0)+IFERROR(SUMIF(Nutzungsprofile!$B$6:$B$11,"Individuell",Nutzungsprofile!$G$6:$G$11)*Kalender!E266/SUM(Kalender!$E$5:$E$370),0))*Szenarien!$E$8,0)</f>
        <v>1.632</v>
      </c>
      <c r="D266" s="13" t="n">
        <f aca="false">IF(Szenarien!$H$8="OK",(IFERROR(SUMIF(Nutzungsprofile!$B$17:$B$22,"Schulbetrieb",Nutzungsprofile!$G$17:$G$22)*Kalender!C266/SUM(Kalender!$C$5:$C$370),0)+IFERROR(SUMIF(Nutzungsprofile!$B$17:$B$22,"Halle",Nutzungsprofile!$G$17:$G$22)*Kalender!D266/SUM(Kalender!$D$5:$D$370),0)+IFERROR(SUMIF(Nutzungsprofile!$B$17:$B$22,"Individuell",Nutzungsprofile!$G$17:$G$22)*Kalender!E266/SUM(Kalender!$E$5:$E$370),0))*Szenarien!$D$8,0)</f>
        <v>0.801</v>
      </c>
      <c r="E266" s="13" t="n">
        <f aca="false">IFERROR(MIN(C266,Eingaben!$B$17)*Eingaben!$B$16,0)</f>
        <v>1.5504</v>
      </c>
      <c r="F266" s="13" t="n">
        <f aca="false">IFERROR(E266*Eingaben!$B$15,0)</f>
        <v>1.39536</v>
      </c>
      <c r="G266" s="13" t="n">
        <f aca="false">IFERROR(IF(Kalender!A266="",0,J265*(1-Eingaben!$B$20)),0)</f>
        <v>0.59122224</v>
      </c>
      <c r="H266" s="13" t="n">
        <f aca="false">MIN(G266,D266)</f>
        <v>0.59122224</v>
      </c>
      <c r="I266" s="13" t="n">
        <f aca="false">IFERROR(MIN(F266*Eingaben!$B$19,MAX(0,D266-H266)),0)</f>
        <v>0.20977776</v>
      </c>
      <c r="J266" s="13" t="n">
        <f aca="false">IFERROR(MIN(Eingaben!$B$18,MAX(0,F266-I266)),0)</f>
        <v>1.18558224</v>
      </c>
      <c r="K266" s="13" t="n">
        <f aca="false">H266+I266</f>
        <v>0.801</v>
      </c>
      <c r="L266" s="13" t="n">
        <f aca="false">MAX(0,D266-K266)</f>
        <v>0</v>
      </c>
      <c r="M266" s="13" t="n">
        <f aca="false">MAX(0,F266-I266-J266)</f>
        <v>0</v>
      </c>
      <c r="N266" s="13" t="n">
        <f aca="false">IF(Kalender!A266="",0,J265-H266)</f>
        <v>0.01206576</v>
      </c>
    </row>
    <row r="267" customFormat="false" ht="16.4" hidden="false" customHeight="false" outlineLevel="0" collapsed="false">
      <c r="A267" s="13" t="str">
        <f aca="false">""</f>
        <v/>
      </c>
      <c r="B267" s="13" t="n">
        <f aca="false">263</f>
        <v>263</v>
      </c>
      <c r="C267" s="13" t="n">
        <f aca="false">IF(Szenarien!$H$8="OK",(IFERROR(SUMIF(Nutzungsprofile!$B$6:$B$11,"Schulbetrieb",Nutzungsprofile!$G$6:$G$11)*Kalender!C267/SUM(Kalender!$C$5:$C$370),0)+IFERROR(SUMIF(Nutzungsprofile!$B$6:$B$11,"Halle",Nutzungsprofile!$G$6:$G$11)*Kalender!D267/SUM(Kalender!$D$5:$D$370),0)+IFERROR(SUMIF(Nutzungsprofile!$B$6:$B$11,"Individuell",Nutzungsprofile!$G$6:$G$11)*Kalender!E267/SUM(Kalender!$E$5:$E$370),0))*Szenarien!$E$8,0)</f>
        <v>1.632</v>
      </c>
      <c r="D267" s="13" t="n">
        <f aca="false">IF(Szenarien!$H$8="OK",(IFERROR(SUMIF(Nutzungsprofile!$B$17:$B$22,"Schulbetrieb",Nutzungsprofile!$G$17:$G$22)*Kalender!C267/SUM(Kalender!$C$5:$C$370),0)+IFERROR(SUMIF(Nutzungsprofile!$B$17:$B$22,"Halle",Nutzungsprofile!$G$17:$G$22)*Kalender!D267/SUM(Kalender!$D$5:$D$370),0)+IFERROR(SUMIF(Nutzungsprofile!$B$17:$B$22,"Individuell",Nutzungsprofile!$G$17:$G$22)*Kalender!E267/SUM(Kalender!$E$5:$E$370),0))*Szenarien!$D$8,0)</f>
        <v>0.801</v>
      </c>
      <c r="E267" s="13" t="n">
        <f aca="false">IFERROR(MIN(C267,Eingaben!$B$17)*Eingaben!$B$16,0)</f>
        <v>1.5504</v>
      </c>
      <c r="F267" s="13" t="n">
        <f aca="false">IFERROR(E267*Eingaben!$B$15,0)</f>
        <v>1.39536</v>
      </c>
      <c r="G267" s="13" t="n">
        <f aca="false">IFERROR(IF(Kalender!A267="",0,J266*(1-Eingaben!$B$20)),0)</f>
        <v>1.1618705952</v>
      </c>
      <c r="H267" s="13" t="n">
        <f aca="false">MIN(G267,D267)</f>
        <v>0.801</v>
      </c>
      <c r="I267" s="13" t="n">
        <f aca="false">IFERROR(MIN(F267*Eingaben!$B$19,MAX(0,D267-H267)),0)</f>
        <v>0</v>
      </c>
      <c r="J267" s="13" t="n">
        <f aca="false">IFERROR(MIN(Eingaben!$B$18,MAX(0,F267-I267)),0)</f>
        <v>1.39536</v>
      </c>
      <c r="K267" s="13" t="n">
        <f aca="false">H267+I267</f>
        <v>0.801</v>
      </c>
      <c r="L267" s="13" t="n">
        <f aca="false">MAX(0,D267-K267)</f>
        <v>0</v>
      </c>
      <c r="M267" s="13" t="n">
        <f aca="false">MAX(0,F267-I267-J267)</f>
        <v>0</v>
      </c>
      <c r="N267" s="13" t="n">
        <f aca="false">IF(Kalender!A267="",0,J266-H267)</f>
        <v>0.38458224</v>
      </c>
    </row>
    <row r="268" customFormat="false" ht="16.4" hidden="false" customHeight="false" outlineLevel="0" collapsed="false">
      <c r="A268" s="13" t="str">
        <f aca="false">""</f>
        <v/>
      </c>
      <c r="B268" s="13" t="n">
        <f aca="false">264</f>
        <v>264</v>
      </c>
      <c r="C268" s="13" t="n">
        <f aca="false">IF(Szenarien!$H$8="OK",(IFERROR(SUMIF(Nutzungsprofile!$B$6:$B$11,"Schulbetrieb",Nutzungsprofile!$G$6:$G$11)*Kalender!C268/SUM(Kalender!$C$5:$C$370),0)+IFERROR(SUMIF(Nutzungsprofile!$B$6:$B$11,"Halle",Nutzungsprofile!$G$6:$G$11)*Kalender!D268/SUM(Kalender!$D$5:$D$370),0)+IFERROR(SUMIF(Nutzungsprofile!$B$6:$B$11,"Individuell",Nutzungsprofile!$G$6:$G$11)*Kalender!E268/SUM(Kalender!$E$5:$E$370),0))*Szenarien!$E$8,0)</f>
        <v>2.352</v>
      </c>
      <c r="D268" s="13" t="n">
        <f aca="false">IF(Szenarien!$H$8="OK",(IFERROR(SUMIF(Nutzungsprofile!$B$17:$B$22,"Schulbetrieb",Nutzungsprofile!$G$17:$G$22)*Kalender!C268/SUM(Kalender!$C$5:$C$370),0)+IFERROR(SUMIF(Nutzungsprofile!$B$17:$B$22,"Halle",Nutzungsprofile!$G$17:$G$22)*Kalender!D268/SUM(Kalender!$D$5:$D$370),0)+IFERROR(SUMIF(Nutzungsprofile!$B$17:$B$22,"Individuell",Nutzungsprofile!$G$17:$G$22)*Kalender!E268/SUM(Kalender!$E$5:$E$370),0))*Szenarien!$D$8,0)</f>
        <v>4.446</v>
      </c>
      <c r="E268" s="13" t="n">
        <f aca="false">IFERROR(MIN(C268,Eingaben!$B$17)*Eingaben!$B$16,0)</f>
        <v>2.2344</v>
      </c>
      <c r="F268" s="13" t="n">
        <f aca="false">IFERROR(E268*Eingaben!$B$15,0)</f>
        <v>2.01096</v>
      </c>
      <c r="G268" s="13" t="n">
        <f aca="false">IFERROR(IF(Kalender!A268="",0,J267*(1-Eingaben!$B$20)),0)</f>
        <v>1.3674528</v>
      </c>
      <c r="H268" s="13" t="n">
        <f aca="false">MIN(G268,D268)</f>
        <v>1.3674528</v>
      </c>
      <c r="I268" s="13" t="n">
        <f aca="false">IFERROR(MIN(F268*Eingaben!$B$19,MAX(0,D268-H268)),0)</f>
        <v>1.407672</v>
      </c>
      <c r="J268" s="13" t="n">
        <f aca="false">IFERROR(MIN(Eingaben!$B$18,MAX(0,F268-I268)),0)</f>
        <v>0.603288</v>
      </c>
      <c r="K268" s="13" t="n">
        <f aca="false">H268+I268</f>
        <v>2.7751248</v>
      </c>
      <c r="L268" s="13" t="n">
        <f aca="false">MAX(0,D268-K268)</f>
        <v>1.6708752</v>
      </c>
      <c r="M268" s="13" t="n">
        <f aca="false">MAX(0,F268-I268-J268)</f>
        <v>0</v>
      </c>
      <c r="N268" s="13" t="n">
        <f aca="false">IF(Kalender!A268="",0,J267-H268)</f>
        <v>0.0279072</v>
      </c>
    </row>
    <row r="269" customFormat="false" ht="16.4" hidden="false" customHeight="false" outlineLevel="0" collapsed="false">
      <c r="A269" s="13" t="str">
        <f aca="false">""</f>
        <v/>
      </c>
      <c r="B269" s="13" t="n">
        <f aca="false">265</f>
        <v>265</v>
      </c>
      <c r="C269" s="13" t="n">
        <f aca="false">IF(Szenarien!$H$8="OK",(IFERROR(SUMIF(Nutzungsprofile!$B$6:$B$11,"Schulbetrieb",Nutzungsprofile!$G$6:$G$11)*Kalender!C269/SUM(Kalender!$C$5:$C$370),0)+IFERROR(SUMIF(Nutzungsprofile!$B$6:$B$11,"Halle",Nutzungsprofile!$G$6:$G$11)*Kalender!D269/SUM(Kalender!$D$5:$D$370),0)+IFERROR(SUMIF(Nutzungsprofile!$B$6:$B$11,"Individuell",Nutzungsprofile!$G$6:$G$11)*Kalender!E269/SUM(Kalender!$E$5:$E$370),0))*Szenarien!$E$8,0)</f>
        <v>2.352</v>
      </c>
      <c r="D269" s="13" t="n">
        <f aca="false">IF(Szenarien!$H$8="OK",(IFERROR(SUMIF(Nutzungsprofile!$B$17:$B$22,"Schulbetrieb",Nutzungsprofile!$G$17:$G$22)*Kalender!C269/SUM(Kalender!$C$5:$C$370),0)+IFERROR(SUMIF(Nutzungsprofile!$B$17:$B$22,"Halle",Nutzungsprofile!$G$17:$G$22)*Kalender!D269/SUM(Kalender!$D$5:$D$370),0)+IFERROR(SUMIF(Nutzungsprofile!$B$17:$B$22,"Individuell",Nutzungsprofile!$G$17:$G$22)*Kalender!E269/SUM(Kalender!$E$5:$E$370),0))*Szenarien!$D$8,0)</f>
        <v>4.446</v>
      </c>
      <c r="E269" s="13" t="n">
        <f aca="false">IFERROR(MIN(C269,Eingaben!$B$17)*Eingaben!$B$16,0)</f>
        <v>2.2344</v>
      </c>
      <c r="F269" s="13" t="n">
        <f aca="false">IFERROR(E269*Eingaben!$B$15,0)</f>
        <v>2.01096</v>
      </c>
      <c r="G269" s="13" t="n">
        <f aca="false">IFERROR(IF(Kalender!A269="",0,J268*(1-Eingaben!$B$20)),0)</f>
        <v>0.59122224</v>
      </c>
      <c r="H269" s="13" t="n">
        <f aca="false">MIN(G269,D269)</f>
        <v>0.59122224</v>
      </c>
      <c r="I269" s="13" t="n">
        <f aca="false">IFERROR(MIN(F269*Eingaben!$B$19,MAX(0,D269-H269)),0)</f>
        <v>1.407672</v>
      </c>
      <c r="J269" s="13" t="n">
        <f aca="false">IFERROR(MIN(Eingaben!$B$18,MAX(0,F269-I269)),0)</f>
        <v>0.603288</v>
      </c>
      <c r="K269" s="13" t="n">
        <f aca="false">H269+I269</f>
        <v>1.99889424</v>
      </c>
      <c r="L269" s="13" t="n">
        <f aca="false">MAX(0,D269-K269)</f>
        <v>2.44710576</v>
      </c>
      <c r="M269" s="13" t="n">
        <f aca="false">MAX(0,F269-I269-J269)</f>
        <v>0</v>
      </c>
      <c r="N269" s="13" t="n">
        <f aca="false">IF(Kalender!A269="",0,J268-H269)</f>
        <v>0.01206576</v>
      </c>
    </row>
    <row r="270" customFormat="false" ht="16.4" hidden="false" customHeight="false" outlineLevel="0" collapsed="false">
      <c r="A270" s="13" t="str">
        <f aca="false">""</f>
        <v/>
      </c>
      <c r="B270" s="13" t="n">
        <f aca="false">266</f>
        <v>266</v>
      </c>
      <c r="C270" s="13" t="n">
        <f aca="false">IF(Szenarien!$H$8="OK",(IFERROR(SUMIF(Nutzungsprofile!$B$6:$B$11,"Schulbetrieb",Nutzungsprofile!$G$6:$G$11)*Kalender!C270/SUM(Kalender!$C$5:$C$370),0)+IFERROR(SUMIF(Nutzungsprofile!$B$6:$B$11,"Halle",Nutzungsprofile!$G$6:$G$11)*Kalender!D270/SUM(Kalender!$D$5:$D$370),0)+IFERROR(SUMIF(Nutzungsprofile!$B$6:$B$11,"Individuell",Nutzungsprofile!$G$6:$G$11)*Kalender!E270/SUM(Kalender!$E$5:$E$370),0))*Szenarien!$E$8,0)</f>
        <v>2.352</v>
      </c>
      <c r="D270" s="13" t="n">
        <f aca="false">IF(Szenarien!$H$8="OK",(IFERROR(SUMIF(Nutzungsprofile!$B$17:$B$22,"Schulbetrieb",Nutzungsprofile!$G$17:$G$22)*Kalender!C270/SUM(Kalender!$C$5:$C$370),0)+IFERROR(SUMIF(Nutzungsprofile!$B$17:$B$22,"Halle",Nutzungsprofile!$G$17:$G$22)*Kalender!D270/SUM(Kalender!$D$5:$D$370),0)+IFERROR(SUMIF(Nutzungsprofile!$B$17:$B$22,"Individuell",Nutzungsprofile!$G$17:$G$22)*Kalender!E270/SUM(Kalender!$E$5:$E$370),0))*Szenarien!$D$8,0)</f>
        <v>4.446</v>
      </c>
      <c r="E270" s="13" t="n">
        <f aca="false">IFERROR(MIN(C270,Eingaben!$B$17)*Eingaben!$B$16,0)</f>
        <v>2.2344</v>
      </c>
      <c r="F270" s="13" t="n">
        <f aca="false">IFERROR(E270*Eingaben!$B$15,0)</f>
        <v>2.01096</v>
      </c>
      <c r="G270" s="13" t="n">
        <f aca="false">IFERROR(IF(Kalender!A270="",0,J269*(1-Eingaben!$B$20)),0)</f>
        <v>0.59122224</v>
      </c>
      <c r="H270" s="13" t="n">
        <f aca="false">MIN(G270,D270)</f>
        <v>0.59122224</v>
      </c>
      <c r="I270" s="13" t="n">
        <f aca="false">IFERROR(MIN(F270*Eingaben!$B$19,MAX(0,D270-H270)),0)</f>
        <v>1.407672</v>
      </c>
      <c r="J270" s="13" t="n">
        <f aca="false">IFERROR(MIN(Eingaben!$B$18,MAX(0,F270-I270)),0)</f>
        <v>0.603288</v>
      </c>
      <c r="K270" s="13" t="n">
        <f aca="false">H270+I270</f>
        <v>1.99889424</v>
      </c>
      <c r="L270" s="13" t="n">
        <f aca="false">MAX(0,D270-K270)</f>
        <v>2.44710576</v>
      </c>
      <c r="M270" s="13" t="n">
        <f aca="false">MAX(0,F270-I270-J270)</f>
        <v>0</v>
      </c>
      <c r="N270" s="13" t="n">
        <f aca="false">IF(Kalender!A270="",0,J269-H270)</f>
        <v>0.01206576</v>
      </c>
    </row>
    <row r="271" customFormat="false" ht="16.4" hidden="false" customHeight="false" outlineLevel="0" collapsed="false">
      <c r="A271" s="13" t="str">
        <f aca="false">""</f>
        <v/>
      </c>
      <c r="B271" s="13" t="n">
        <f aca="false">267</f>
        <v>267</v>
      </c>
      <c r="C271" s="13" t="n">
        <f aca="false">IF(Szenarien!$H$8="OK",(IFERROR(SUMIF(Nutzungsprofile!$B$6:$B$11,"Schulbetrieb",Nutzungsprofile!$G$6:$G$11)*Kalender!C271/SUM(Kalender!$C$5:$C$370),0)+IFERROR(SUMIF(Nutzungsprofile!$B$6:$B$11,"Halle",Nutzungsprofile!$G$6:$G$11)*Kalender!D271/SUM(Kalender!$D$5:$D$370),0)+IFERROR(SUMIF(Nutzungsprofile!$B$6:$B$11,"Individuell",Nutzungsprofile!$G$6:$G$11)*Kalender!E271/SUM(Kalender!$E$5:$E$370),0))*Szenarien!$E$8,0)</f>
        <v>2.352</v>
      </c>
      <c r="D271" s="13" t="n">
        <f aca="false">IF(Szenarien!$H$8="OK",(IFERROR(SUMIF(Nutzungsprofile!$B$17:$B$22,"Schulbetrieb",Nutzungsprofile!$G$17:$G$22)*Kalender!C271/SUM(Kalender!$C$5:$C$370),0)+IFERROR(SUMIF(Nutzungsprofile!$B$17:$B$22,"Halle",Nutzungsprofile!$G$17:$G$22)*Kalender!D271/SUM(Kalender!$D$5:$D$370),0)+IFERROR(SUMIF(Nutzungsprofile!$B$17:$B$22,"Individuell",Nutzungsprofile!$G$17:$G$22)*Kalender!E271/SUM(Kalender!$E$5:$E$370),0))*Szenarien!$D$8,0)</f>
        <v>4.446</v>
      </c>
      <c r="E271" s="13" t="n">
        <f aca="false">IFERROR(MIN(C271,Eingaben!$B$17)*Eingaben!$B$16,0)</f>
        <v>2.2344</v>
      </c>
      <c r="F271" s="13" t="n">
        <f aca="false">IFERROR(E271*Eingaben!$B$15,0)</f>
        <v>2.01096</v>
      </c>
      <c r="G271" s="13" t="n">
        <f aca="false">IFERROR(IF(Kalender!A271="",0,J270*(1-Eingaben!$B$20)),0)</f>
        <v>0.59122224</v>
      </c>
      <c r="H271" s="13" t="n">
        <f aca="false">MIN(G271,D271)</f>
        <v>0.59122224</v>
      </c>
      <c r="I271" s="13" t="n">
        <f aca="false">IFERROR(MIN(F271*Eingaben!$B$19,MAX(0,D271-H271)),0)</f>
        <v>1.407672</v>
      </c>
      <c r="J271" s="13" t="n">
        <f aca="false">IFERROR(MIN(Eingaben!$B$18,MAX(0,F271-I271)),0)</f>
        <v>0.603288</v>
      </c>
      <c r="K271" s="13" t="n">
        <f aca="false">H271+I271</f>
        <v>1.99889424</v>
      </c>
      <c r="L271" s="13" t="n">
        <f aca="false">MAX(0,D271-K271)</f>
        <v>2.44710576</v>
      </c>
      <c r="M271" s="13" t="n">
        <f aca="false">MAX(0,F271-I271-J271)</f>
        <v>0</v>
      </c>
      <c r="N271" s="13" t="n">
        <f aca="false">IF(Kalender!A271="",0,J270-H271)</f>
        <v>0.01206576</v>
      </c>
    </row>
    <row r="272" customFormat="false" ht="16.4" hidden="false" customHeight="false" outlineLevel="0" collapsed="false">
      <c r="A272" s="13" t="str">
        <f aca="false">""</f>
        <v/>
      </c>
      <c r="B272" s="13" t="n">
        <f aca="false">268</f>
        <v>268</v>
      </c>
      <c r="C272" s="13" t="n">
        <f aca="false">IF(Szenarien!$H$8="OK",(IFERROR(SUMIF(Nutzungsprofile!$B$6:$B$11,"Schulbetrieb",Nutzungsprofile!$G$6:$G$11)*Kalender!C272/SUM(Kalender!$C$5:$C$370),0)+IFERROR(SUMIF(Nutzungsprofile!$B$6:$B$11,"Halle",Nutzungsprofile!$G$6:$G$11)*Kalender!D272/SUM(Kalender!$D$5:$D$370),0)+IFERROR(SUMIF(Nutzungsprofile!$B$6:$B$11,"Individuell",Nutzungsprofile!$G$6:$G$11)*Kalender!E272/SUM(Kalender!$E$5:$E$370),0))*Szenarien!$E$8,0)</f>
        <v>2.352</v>
      </c>
      <c r="D272" s="13" t="n">
        <f aca="false">IF(Szenarien!$H$8="OK",(IFERROR(SUMIF(Nutzungsprofile!$B$17:$B$22,"Schulbetrieb",Nutzungsprofile!$G$17:$G$22)*Kalender!C272/SUM(Kalender!$C$5:$C$370),0)+IFERROR(SUMIF(Nutzungsprofile!$B$17:$B$22,"Halle",Nutzungsprofile!$G$17:$G$22)*Kalender!D272/SUM(Kalender!$D$5:$D$370),0)+IFERROR(SUMIF(Nutzungsprofile!$B$17:$B$22,"Individuell",Nutzungsprofile!$G$17:$G$22)*Kalender!E272/SUM(Kalender!$E$5:$E$370),0))*Szenarien!$D$8,0)</f>
        <v>4.446</v>
      </c>
      <c r="E272" s="13" t="n">
        <f aca="false">IFERROR(MIN(C272,Eingaben!$B$17)*Eingaben!$B$16,0)</f>
        <v>2.2344</v>
      </c>
      <c r="F272" s="13" t="n">
        <f aca="false">IFERROR(E272*Eingaben!$B$15,0)</f>
        <v>2.01096</v>
      </c>
      <c r="G272" s="13" t="n">
        <f aca="false">IFERROR(IF(Kalender!A272="",0,J271*(1-Eingaben!$B$20)),0)</f>
        <v>0.59122224</v>
      </c>
      <c r="H272" s="13" t="n">
        <f aca="false">MIN(G272,D272)</f>
        <v>0.59122224</v>
      </c>
      <c r="I272" s="13" t="n">
        <f aca="false">IFERROR(MIN(F272*Eingaben!$B$19,MAX(0,D272-H272)),0)</f>
        <v>1.407672</v>
      </c>
      <c r="J272" s="13" t="n">
        <f aca="false">IFERROR(MIN(Eingaben!$B$18,MAX(0,F272-I272)),0)</f>
        <v>0.603288</v>
      </c>
      <c r="K272" s="13" t="n">
        <f aca="false">H272+I272</f>
        <v>1.99889424</v>
      </c>
      <c r="L272" s="13" t="n">
        <f aca="false">MAX(0,D272-K272)</f>
        <v>2.44710576</v>
      </c>
      <c r="M272" s="13" t="n">
        <f aca="false">MAX(0,F272-I272-J272)</f>
        <v>0</v>
      </c>
      <c r="N272" s="13" t="n">
        <f aca="false">IF(Kalender!A272="",0,J271-H272)</f>
        <v>0.01206576</v>
      </c>
    </row>
    <row r="273" customFormat="false" ht="16.4" hidden="false" customHeight="false" outlineLevel="0" collapsed="false">
      <c r="A273" s="13" t="str">
        <f aca="false">""</f>
        <v/>
      </c>
      <c r="B273" s="13" t="n">
        <f aca="false">269</f>
        <v>269</v>
      </c>
      <c r="C273" s="13" t="n">
        <f aca="false">IF(Szenarien!$H$8="OK",(IFERROR(SUMIF(Nutzungsprofile!$B$6:$B$11,"Schulbetrieb",Nutzungsprofile!$G$6:$G$11)*Kalender!C273/SUM(Kalender!$C$5:$C$370),0)+IFERROR(SUMIF(Nutzungsprofile!$B$6:$B$11,"Halle",Nutzungsprofile!$G$6:$G$11)*Kalender!D273/SUM(Kalender!$D$5:$D$370),0)+IFERROR(SUMIF(Nutzungsprofile!$B$6:$B$11,"Individuell",Nutzungsprofile!$G$6:$G$11)*Kalender!E273/SUM(Kalender!$E$5:$E$370),0))*Szenarien!$E$8,0)</f>
        <v>1.632</v>
      </c>
      <c r="D273" s="13" t="n">
        <f aca="false">IF(Szenarien!$H$8="OK",(IFERROR(SUMIF(Nutzungsprofile!$B$17:$B$22,"Schulbetrieb",Nutzungsprofile!$G$17:$G$22)*Kalender!C273/SUM(Kalender!$C$5:$C$370),0)+IFERROR(SUMIF(Nutzungsprofile!$B$17:$B$22,"Halle",Nutzungsprofile!$G$17:$G$22)*Kalender!D273/SUM(Kalender!$D$5:$D$370),0)+IFERROR(SUMIF(Nutzungsprofile!$B$17:$B$22,"Individuell",Nutzungsprofile!$G$17:$G$22)*Kalender!E273/SUM(Kalender!$E$5:$E$370),0))*Szenarien!$D$8,0)</f>
        <v>0.801</v>
      </c>
      <c r="E273" s="13" t="n">
        <f aca="false">IFERROR(MIN(C273,Eingaben!$B$17)*Eingaben!$B$16,0)</f>
        <v>1.5504</v>
      </c>
      <c r="F273" s="13" t="n">
        <f aca="false">IFERROR(E273*Eingaben!$B$15,0)</f>
        <v>1.39536</v>
      </c>
      <c r="G273" s="13" t="n">
        <f aca="false">IFERROR(IF(Kalender!A273="",0,J272*(1-Eingaben!$B$20)),0)</f>
        <v>0.59122224</v>
      </c>
      <c r="H273" s="13" t="n">
        <f aca="false">MIN(G273,D273)</f>
        <v>0.59122224</v>
      </c>
      <c r="I273" s="13" t="n">
        <f aca="false">IFERROR(MIN(F273*Eingaben!$B$19,MAX(0,D273-H273)),0)</f>
        <v>0.20977776</v>
      </c>
      <c r="J273" s="13" t="n">
        <f aca="false">IFERROR(MIN(Eingaben!$B$18,MAX(0,F273-I273)),0)</f>
        <v>1.18558224</v>
      </c>
      <c r="K273" s="13" t="n">
        <f aca="false">H273+I273</f>
        <v>0.801</v>
      </c>
      <c r="L273" s="13" t="n">
        <f aca="false">MAX(0,D273-K273)</f>
        <v>0</v>
      </c>
      <c r="M273" s="13" t="n">
        <f aca="false">MAX(0,F273-I273-J273)</f>
        <v>0</v>
      </c>
      <c r="N273" s="13" t="n">
        <f aca="false">IF(Kalender!A273="",0,J272-H273)</f>
        <v>0.01206576</v>
      </c>
    </row>
    <row r="274" customFormat="false" ht="16.4" hidden="false" customHeight="false" outlineLevel="0" collapsed="false">
      <c r="A274" s="13" t="str">
        <f aca="false">""</f>
        <v/>
      </c>
      <c r="B274" s="13" t="n">
        <f aca="false">270</f>
        <v>270</v>
      </c>
      <c r="C274" s="13" t="n">
        <f aca="false">IF(Szenarien!$H$8="OK",(IFERROR(SUMIF(Nutzungsprofile!$B$6:$B$11,"Schulbetrieb",Nutzungsprofile!$G$6:$G$11)*Kalender!C274/SUM(Kalender!$C$5:$C$370),0)+IFERROR(SUMIF(Nutzungsprofile!$B$6:$B$11,"Halle",Nutzungsprofile!$G$6:$G$11)*Kalender!D274/SUM(Kalender!$D$5:$D$370),0)+IFERROR(SUMIF(Nutzungsprofile!$B$6:$B$11,"Individuell",Nutzungsprofile!$G$6:$G$11)*Kalender!E274/SUM(Kalender!$E$5:$E$370),0))*Szenarien!$E$8,0)</f>
        <v>1.632</v>
      </c>
      <c r="D274" s="13" t="n">
        <f aca="false">IF(Szenarien!$H$8="OK",(IFERROR(SUMIF(Nutzungsprofile!$B$17:$B$22,"Schulbetrieb",Nutzungsprofile!$G$17:$G$22)*Kalender!C274/SUM(Kalender!$C$5:$C$370),0)+IFERROR(SUMIF(Nutzungsprofile!$B$17:$B$22,"Halle",Nutzungsprofile!$G$17:$G$22)*Kalender!D274/SUM(Kalender!$D$5:$D$370),0)+IFERROR(SUMIF(Nutzungsprofile!$B$17:$B$22,"Individuell",Nutzungsprofile!$G$17:$G$22)*Kalender!E274/SUM(Kalender!$E$5:$E$370),0))*Szenarien!$D$8,0)</f>
        <v>0.801</v>
      </c>
      <c r="E274" s="13" t="n">
        <f aca="false">IFERROR(MIN(C274,Eingaben!$B$17)*Eingaben!$B$16,0)</f>
        <v>1.5504</v>
      </c>
      <c r="F274" s="13" t="n">
        <f aca="false">IFERROR(E274*Eingaben!$B$15,0)</f>
        <v>1.39536</v>
      </c>
      <c r="G274" s="13" t="n">
        <f aca="false">IFERROR(IF(Kalender!A274="",0,J273*(1-Eingaben!$B$20)),0)</f>
        <v>1.1618705952</v>
      </c>
      <c r="H274" s="13" t="n">
        <f aca="false">MIN(G274,D274)</f>
        <v>0.801</v>
      </c>
      <c r="I274" s="13" t="n">
        <f aca="false">IFERROR(MIN(F274*Eingaben!$B$19,MAX(0,D274-H274)),0)</f>
        <v>0</v>
      </c>
      <c r="J274" s="13" t="n">
        <f aca="false">IFERROR(MIN(Eingaben!$B$18,MAX(0,F274-I274)),0)</f>
        <v>1.39536</v>
      </c>
      <c r="K274" s="13" t="n">
        <f aca="false">H274+I274</f>
        <v>0.801</v>
      </c>
      <c r="L274" s="13" t="n">
        <f aca="false">MAX(0,D274-K274)</f>
        <v>0</v>
      </c>
      <c r="M274" s="13" t="n">
        <f aca="false">MAX(0,F274-I274-J274)</f>
        <v>0</v>
      </c>
      <c r="N274" s="13" t="n">
        <f aca="false">IF(Kalender!A274="",0,J273-H274)</f>
        <v>0.38458224</v>
      </c>
    </row>
    <row r="275" customFormat="false" ht="16.4" hidden="false" customHeight="false" outlineLevel="0" collapsed="false">
      <c r="A275" s="13" t="str">
        <f aca="false">""</f>
        <v/>
      </c>
      <c r="B275" s="13" t="n">
        <f aca="false">271</f>
        <v>271</v>
      </c>
      <c r="C275" s="13" t="n">
        <f aca="false">IF(Szenarien!$H$8="OK",(IFERROR(SUMIF(Nutzungsprofile!$B$6:$B$11,"Schulbetrieb",Nutzungsprofile!$G$6:$G$11)*Kalender!C275/SUM(Kalender!$C$5:$C$370),0)+IFERROR(SUMIF(Nutzungsprofile!$B$6:$B$11,"Halle",Nutzungsprofile!$G$6:$G$11)*Kalender!D275/SUM(Kalender!$D$5:$D$370),0)+IFERROR(SUMIF(Nutzungsprofile!$B$6:$B$11,"Individuell",Nutzungsprofile!$G$6:$G$11)*Kalender!E275/SUM(Kalender!$E$5:$E$370),0))*Szenarien!$E$8,0)</f>
        <v>2.352</v>
      </c>
      <c r="D275" s="13" t="n">
        <f aca="false">IF(Szenarien!$H$8="OK",(IFERROR(SUMIF(Nutzungsprofile!$B$17:$B$22,"Schulbetrieb",Nutzungsprofile!$G$17:$G$22)*Kalender!C275/SUM(Kalender!$C$5:$C$370),0)+IFERROR(SUMIF(Nutzungsprofile!$B$17:$B$22,"Halle",Nutzungsprofile!$G$17:$G$22)*Kalender!D275/SUM(Kalender!$D$5:$D$370),0)+IFERROR(SUMIF(Nutzungsprofile!$B$17:$B$22,"Individuell",Nutzungsprofile!$G$17:$G$22)*Kalender!E275/SUM(Kalender!$E$5:$E$370),0))*Szenarien!$D$8,0)</f>
        <v>4.446</v>
      </c>
      <c r="E275" s="13" t="n">
        <f aca="false">IFERROR(MIN(C275,Eingaben!$B$17)*Eingaben!$B$16,0)</f>
        <v>2.2344</v>
      </c>
      <c r="F275" s="13" t="n">
        <f aca="false">IFERROR(E275*Eingaben!$B$15,0)</f>
        <v>2.01096</v>
      </c>
      <c r="G275" s="13" t="n">
        <f aca="false">IFERROR(IF(Kalender!A275="",0,J274*(1-Eingaben!$B$20)),0)</f>
        <v>1.3674528</v>
      </c>
      <c r="H275" s="13" t="n">
        <f aca="false">MIN(G275,D275)</f>
        <v>1.3674528</v>
      </c>
      <c r="I275" s="13" t="n">
        <f aca="false">IFERROR(MIN(F275*Eingaben!$B$19,MAX(0,D275-H275)),0)</f>
        <v>1.407672</v>
      </c>
      <c r="J275" s="13" t="n">
        <f aca="false">IFERROR(MIN(Eingaben!$B$18,MAX(0,F275-I275)),0)</f>
        <v>0.603288</v>
      </c>
      <c r="K275" s="13" t="n">
        <f aca="false">H275+I275</f>
        <v>2.7751248</v>
      </c>
      <c r="L275" s="13" t="n">
        <f aca="false">MAX(0,D275-K275)</f>
        <v>1.6708752</v>
      </c>
      <c r="M275" s="13" t="n">
        <f aca="false">MAX(0,F275-I275-J275)</f>
        <v>0</v>
      </c>
      <c r="N275" s="13" t="n">
        <f aca="false">IF(Kalender!A275="",0,J274-H275)</f>
        <v>0.0279072</v>
      </c>
    </row>
    <row r="276" customFormat="false" ht="16.4" hidden="false" customHeight="false" outlineLevel="0" collapsed="false">
      <c r="A276" s="13" t="str">
        <f aca="false">""</f>
        <v/>
      </c>
      <c r="B276" s="13" t="n">
        <f aca="false">272</f>
        <v>272</v>
      </c>
      <c r="C276" s="13" t="n">
        <f aca="false">IF(Szenarien!$H$8="OK",(IFERROR(SUMIF(Nutzungsprofile!$B$6:$B$11,"Schulbetrieb",Nutzungsprofile!$G$6:$G$11)*Kalender!C276/SUM(Kalender!$C$5:$C$370),0)+IFERROR(SUMIF(Nutzungsprofile!$B$6:$B$11,"Halle",Nutzungsprofile!$G$6:$G$11)*Kalender!D276/SUM(Kalender!$D$5:$D$370),0)+IFERROR(SUMIF(Nutzungsprofile!$B$6:$B$11,"Individuell",Nutzungsprofile!$G$6:$G$11)*Kalender!E276/SUM(Kalender!$E$5:$E$370),0))*Szenarien!$E$8,0)</f>
        <v>2.352</v>
      </c>
      <c r="D276" s="13" t="n">
        <f aca="false">IF(Szenarien!$H$8="OK",(IFERROR(SUMIF(Nutzungsprofile!$B$17:$B$22,"Schulbetrieb",Nutzungsprofile!$G$17:$G$22)*Kalender!C276/SUM(Kalender!$C$5:$C$370),0)+IFERROR(SUMIF(Nutzungsprofile!$B$17:$B$22,"Halle",Nutzungsprofile!$G$17:$G$22)*Kalender!D276/SUM(Kalender!$D$5:$D$370),0)+IFERROR(SUMIF(Nutzungsprofile!$B$17:$B$22,"Individuell",Nutzungsprofile!$G$17:$G$22)*Kalender!E276/SUM(Kalender!$E$5:$E$370),0))*Szenarien!$D$8,0)</f>
        <v>4.446</v>
      </c>
      <c r="E276" s="13" t="n">
        <f aca="false">IFERROR(MIN(C276,Eingaben!$B$17)*Eingaben!$B$16,0)</f>
        <v>2.2344</v>
      </c>
      <c r="F276" s="13" t="n">
        <f aca="false">IFERROR(E276*Eingaben!$B$15,0)</f>
        <v>2.01096</v>
      </c>
      <c r="G276" s="13" t="n">
        <f aca="false">IFERROR(IF(Kalender!A276="",0,J275*(1-Eingaben!$B$20)),0)</f>
        <v>0.59122224</v>
      </c>
      <c r="H276" s="13" t="n">
        <f aca="false">MIN(G276,D276)</f>
        <v>0.59122224</v>
      </c>
      <c r="I276" s="13" t="n">
        <f aca="false">IFERROR(MIN(F276*Eingaben!$B$19,MAX(0,D276-H276)),0)</f>
        <v>1.407672</v>
      </c>
      <c r="J276" s="13" t="n">
        <f aca="false">IFERROR(MIN(Eingaben!$B$18,MAX(0,F276-I276)),0)</f>
        <v>0.603288</v>
      </c>
      <c r="K276" s="13" t="n">
        <f aca="false">H276+I276</f>
        <v>1.99889424</v>
      </c>
      <c r="L276" s="13" t="n">
        <f aca="false">MAX(0,D276-K276)</f>
        <v>2.44710576</v>
      </c>
      <c r="M276" s="13" t="n">
        <f aca="false">MAX(0,F276-I276-J276)</f>
        <v>0</v>
      </c>
      <c r="N276" s="13" t="n">
        <f aca="false">IF(Kalender!A276="",0,J275-H276)</f>
        <v>0.01206576</v>
      </c>
    </row>
    <row r="277" customFormat="false" ht="16.4" hidden="false" customHeight="false" outlineLevel="0" collapsed="false">
      <c r="A277" s="13" t="str">
        <f aca="false">""</f>
        <v/>
      </c>
      <c r="B277" s="13" t="n">
        <f aca="false">273</f>
        <v>273</v>
      </c>
      <c r="C277" s="13" t="n">
        <f aca="false">IF(Szenarien!$H$8="OK",(IFERROR(SUMIF(Nutzungsprofile!$B$6:$B$11,"Schulbetrieb",Nutzungsprofile!$G$6:$G$11)*Kalender!C277/SUM(Kalender!$C$5:$C$370),0)+IFERROR(SUMIF(Nutzungsprofile!$B$6:$B$11,"Halle",Nutzungsprofile!$G$6:$G$11)*Kalender!D277/SUM(Kalender!$D$5:$D$370),0)+IFERROR(SUMIF(Nutzungsprofile!$B$6:$B$11,"Individuell",Nutzungsprofile!$G$6:$G$11)*Kalender!E277/SUM(Kalender!$E$5:$E$370),0))*Szenarien!$E$8,0)</f>
        <v>2.352</v>
      </c>
      <c r="D277" s="13" t="n">
        <f aca="false">IF(Szenarien!$H$8="OK",(IFERROR(SUMIF(Nutzungsprofile!$B$17:$B$22,"Schulbetrieb",Nutzungsprofile!$G$17:$G$22)*Kalender!C277/SUM(Kalender!$C$5:$C$370),0)+IFERROR(SUMIF(Nutzungsprofile!$B$17:$B$22,"Halle",Nutzungsprofile!$G$17:$G$22)*Kalender!D277/SUM(Kalender!$D$5:$D$370),0)+IFERROR(SUMIF(Nutzungsprofile!$B$17:$B$22,"Individuell",Nutzungsprofile!$G$17:$G$22)*Kalender!E277/SUM(Kalender!$E$5:$E$370),0))*Szenarien!$D$8,0)</f>
        <v>4.446</v>
      </c>
      <c r="E277" s="13" t="n">
        <f aca="false">IFERROR(MIN(C277,Eingaben!$B$17)*Eingaben!$B$16,0)</f>
        <v>2.2344</v>
      </c>
      <c r="F277" s="13" t="n">
        <f aca="false">IFERROR(E277*Eingaben!$B$15,0)</f>
        <v>2.01096</v>
      </c>
      <c r="G277" s="13" t="n">
        <f aca="false">IFERROR(IF(Kalender!A277="",0,J276*(1-Eingaben!$B$20)),0)</f>
        <v>0.59122224</v>
      </c>
      <c r="H277" s="13" t="n">
        <f aca="false">MIN(G277,D277)</f>
        <v>0.59122224</v>
      </c>
      <c r="I277" s="13" t="n">
        <f aca="false">IFERROR(MIN(F277*Eingaben!$B$19,MAX(0,D277-H277)),0)</f>
        <v>1.407672</v>
      </c>
      <c r="J277" s="13" t="n">
        <f aca="false">IFERROR(MIN(Eingaben!$B$18,MAX(0,F277-I277)),0)</f>
        <v>0.603288</v>
      </c>
      <c r="K277" s="13" t="n">
        <f aca="false">H277+I277</f>
        <v>1.99889424</v>
      </c>
      <c r="L277" s="13" t="n">
        <f aca="false">MAX(0,D277-K277)</f>
        <v>2.44710576</v>
      </c>
      <c r="M277" s="13" t="n">
        <f aca="false">MAX(0,F277-I277-J277)</f>
        <v>0</v>
      </c>
      <c r="N277" s="13" t="n">
        <f aca="false">IF(Kalender!A277="",0,J276-H277)</f>
        <v>0.01206576</v>
      </c>
    </row>
    <row r="278" customFormat="false" ht="16.4" hidden="false" customHeight="false" outlineLevel="0" collapsed="false">
      <c r="A278" s="13" t="str">
        <f aca="false">""</f>
        <v/>
      </c>
      <c r="B278" s="13" t="n">
        <f aca="false">274</f>
        <v>274</v>
      </c>
      <c r="C278" s="13" t="n">
        <f aca="false">IF(Szenarien!$H$8="OK",(IFERROR(SUMIF(Nutzungsprofile!$B$6:$B$11,"Schulbetrieb",Nutzungsprofile!$G$6:$G$11)*Kalender!C278/SUM(Kalender!$C$5:$C$370),0)+IFERROR(SUMIF(Nutzungsprofile!$B$6:$B$11,"Halle",Nutzungsprofile!$G$6:$G$11)*Kalender!D278/SUM(Kalender!$D$5:$D$370),0)+IFERROR(SUMIF(Nutzungsprofile!$B$6:$B$11,"Individuell",Nutzungsprofile!$G$6:$G$11)*Kalender!E278/SUM(Kalender!$E$5:$E$370),0))*Szenarien!$E$8,0)</f>
        <v>2.352</v>
      </c>
      <c r="D278" s="13" t="n">
        <f aca="false">IF(Szenarien!$H$8="OK",(IFERROR(SUMIF(Nutzungsprofile!$B$17:$B$22,"Schulbetrieb",Nutzungsprofile!$G$17:$G$22)*Kalender!C278/SUM(Kalender!$C$5:$C$370),0)+IFERROR(SUMIF(Nutzungsprofile!$B$17:$B$22,"Halle",Nutzungsprofile!$G$17:$G$22)*Kalender!D278/SUM(Kalender!$D$5:$D$370),0)+IFERROR(SUMIF(Nutzungsprofile!$B$17:$B$22,"Individuell",Nutzungsprofile!$G$17:$G$22)*Kalender!E278/SUM(Kalender!$E$5:$E$370),0))*Szenarien!$D$8,0)</f>
        <v>4.446</v>
      </c>
      <c r="E278" s="13" t="n">
        <f aca="false">IFERROR(MIN(C278,Eingaben!$B$17)*Eingaben!$B$16,0)</f>
        <v>2.2344</v>
      </c>
      <c r="F278" s="13" t="n">
        <f aca="false">IFERROR(E278*Eingaben!$B$15,0)</f>
        <v>2.01096</v>
      </c>
      <c r="G278" s="13" t="n">
        <f aca="false">IFERROR(IF(Kalender!A278="",0,J277*(1-Eingaben!$B$20)),0)</f>
        <v>0.59122224</v>
      </c>
      <c r="H278" s="13" t="n">
        <f aca="false">MIN(G278,D278)</f>
        <v>0.59122224</v>
      </c>
      <c r="I278" s="13" t="n">
        <f aca="false">IFERROR(MIN(F278*Eingaben!$B$19,MAX(0,D278-H278)),0)</f>
        <v>1.407672</v>
      </c>
      <c r="J278" s="13" t="n">
        <f aca="false">IFERROR(MIN(Eingaben!$B$18,MAX(0,F278-I278)),0)</f>
        <v>0.603288</v>
      </c>
      <c r="K278" s="13" t="n">
        <f aca="false">H278+I278</f>
        <v>1.99889424</v>
      </c>
      <c r="L278" s="13" t="n">
        <f aca="false">MAX(0,D278-K278)</f>
        <v>2.44710576</v>
      </c>
      <c r="M278" s="13" t="n">
        <f aca="false">MAX(0,F278-I278-J278)</f>
        <v>0</v>
      </c>
      <c r="N278" s="13" t="n">
        <f aca="false">IF(Kalender!A278="",0,J277-H278)</f>
        <v>0.01206576</v>
      </c>
    </row>
    <row r="279" customFormat="false" ht="16.4" hidden="false" customHeight="false" outlineLevel="0" collapsed="false">
      <c r="A279" s="13" t="str">
        <f aca="false">""</f>
        <v/>
      </c>
      <c r="B279" s="13" t="n">
        <f aca="false">275</f>
        <v>275</v>
      </c>
      <c r="C279" s="13" t="n">
        <f aca="false">IF(Szenarien!$H$8="OK",(IFERROR(SUMIF(Nutzungsprofile!$B$6:$B$11,"Schulbetrieb",Nutzungsprofile!$G$6:$G$11)*Kalender!C279/SUM(Kalender!$C$5:$C$370),0)+IFERROR(SUMIF(Nutzungsprofile!$B$6:$B$11,"Halle",Nutzungsprofile!$G$6:$G$11)*Kalender!D279/SUM(Kalender!$D$5:$D$370),0)+IFERROR(SUMIF(Nutzungsprofile!$B$6:$B$11,"Individuell",Nutzungsprofile!$G$6:$G$11)*Kalender!E279/SUM(Kalender!$E$5:$E$370),0))*Szenarien!$E$8,0)</f>
        <v>2.352</v>
      </c>
      <c r="D279" s="13" t="n">
        <f aca="false">IF(Szenarien!$H$8="OK",(IFERROR(SUMIF(Nutzungsprofile!$B$17:$B$22,"Schulbetrieb",Nutzungsprofile!$G$17:$G$22)*Kalender!C279/SUM(Kalender!$C$5:$C$370),0)+IFERROR(SUMIF(Nutzungsprofile!$B$17:$B$22,"Halle",Nutzungsprofile!$G$17:$G$22)*Kalender!D279/SUM(Kalender!$D$5:$D$370),0)+IFERROR(SUMIF(Nutzungsprofile!$B$17:$B$22,"Individuell",Nutzungsprofile!$G$17:$G$22)*Kalender!E279/SUM(Kalender!$E$5:$E$370),0))*Szenarien!$D$8,0)</f>
        <v>4.446</v>
      </c>
      <c r="E279" s="13" t="n">
        <f aca="false">IFERROR(MIN(C279,Eingaben!$B$17)*Eingaben!$B$16,0)</f>
        <v>2.2344</v>
      </c>
      <c r="F279" s="13" t="n">
        <f aca="false">IFERROR(E279*Eingaben!$B$15,0)</f>
        <v>2.01096</v>
      </c>
      <c r="G279" s="13" t="n">
        <f aca="false">IFERROR(IF(Kalender!A279="",0,J278*(1-Eingaben!$B$20)),0)</f>
        <v>0.59122224</v>
      </c>
      <c r="H279" s="13" t="n">
        <f aca="false">MIN(G279,D279)</f>
        <v>0.59122224</v>
      </c>
      <c r="I279" s="13" t="n">
        <f aca="false">IFERROR(MIN(F279*Eingaben!$B$19,MAX(0,D279-H279)),0)</f>
        <v>1.407672</v>
      </c>
      <c r="J279" s="13" t="n">
        <f aca="false">IFERROR(MIN(Eingaben!$B$18,MAX(0,F279-I279)),0)</f>
        <v>0.603288</v>
      </c>
      <c r="K279" s="13" t="n">
        <f aca="false">H279+I279</f>
        <v>1.99889424</v>
      </c>
      <c r="L279" s="13" t="n">
        <f aca="false">MAX(0,D279-K279)</f>
        <v>2.44710576</v>
      </c>
      <c r="M279" s="13" t="n">
        <f aca="false">MAX(0,F279-I279-J279)</f>
        <v>0</v>
      </c>
      <c r="N279" s="13" t="n">
        <f aca="false">IF(Kalender!A279="",0,J278-H279)</f>
        <v>0.01206576</v>
      </c>
    </row>
    <row r="280" customFormat="false" ht="16.4" hidden="false" customHeight="false" outlineLevel="0" collapsed="false">
      <c r="A280" s="13" t="str">
        <f aca="false">""</f>
        <v/>
      </c>
      <c r="B280" s="13" t="n">
        <f aca="false">276</f>
        <v>276</v>
      </c>
      <c r="C280" s="13" t="n">
        <f aca="false">IF(Szenarien!$H$8="OK",(IFERROR(SUMIF(Nutzungsprofile!$B$6:$B$11,"Schulbetrieb",Nutzungsprofile!$G$6:$G$11)*Kalender!C280/SUM(Kalender!$C$5:$C$370),0)+IFERROR(SUMIF(Nutzungsprofile!$B$6:$B$11,"Halle",Nutzungsprofile!$G$6:$G$11)*Kalender!D280/SUM(Kalender!$D$5:$D$370),0)+IFERROR(SUMIF(Nutzungsprofile!$B$6:$B$11,"Individuell",Nutzungsprofile!$G$6:$G$11)*Kalender!E280/SUM(Kalender!$E$5:$E$370),0))*Szenarien!$E$8,0)</f>
        <v>1.632</v>
      </c>
      <c r="D280" s="13" t="n">
        <f aca="false">IF(Szenarien!$H$8="OK",(IFERROR(SUMIF(Nutzungsprofile!$B$17:$B$22,"Schulbetrieb",Nutzungsprofile!$G$17:$G$22)*Kalender!C280/SUM(Kalender!$C$5:$C$370),0)+IFERROR(SUMIF(Nutzungsprofile!$B$17:$B$22,"Halle",Nutzungsprofile!$G$17:$G$22)*Kalender!D280/SUM(Kalender!$D$5:$D$370),0)+IFERROR(SUMIF(Nutzungsprofile!$B$17:$B$22,"Individuell",Nutzungsprofile!$G$17:$G$22)*Kalender!E280/SUM(Kalender!$E$5:$E$370),0))*Szenarien!$D$8,0)</f>
        <v>0.801</v>
      </c>
      <c r="E280" s="13" t="n">
        <f aca="false">IFERROR(MIN(C280,Eingaben!$B$17)*Eingaben!$B$16,0)</f>
        <v>1.5504</v>
      </c>
      <c r="F280" s="13" t="n">
        <f aca="false">IFERROR(E280*Eingaben!$B$15,0)</f>
        <v>1.39536</v>
      </c>
      <c r="G280" s="13" t="n">
        <f aca="false">IFERROR(IF(Kalender!A280="",0,J279*(1-Eingaben!$B$20)),0)</f>
        <v>0.59122224</v>
      </c>
      <c r="H280" s="13" t="n">
        <f aca="false">MIN(G280,D280)</f>
        <v>0.59122224</v>
      </c>
      <c r="I280" s="13" t="n">
        <f aca="false">IFERROR(MIN(F280*Eingaben!$B$19,MAX(0,D280-H280)),0)</f>
        <v>0.20977776</v>
      </c>
      <c r="J280" s="13" t="n">
        <f aca="false">IFERROR(MIN(Eingaben!$B$18,MAX(0,F280-I280)),0)</f>
        <v>1.18558224</v>
      </c>
      <c r="K280" s="13" t="n">
        <f aca="false">H280+I280</f>
        <v>0.801</v>
      </c>
      <c r="L280" s="13" t="n">
        <f aca="false">MAX(0,D280-K280)</f>
        <v>0</v>
      </c>
      <c r="M280" s="13" t="n">
        <f aca="false">MAX(0,F280-I280-J280)</f>
        <v>0</v>
      </c>
      <c r="N280" s="13" t="n">
        <f aca="false">IF(Kalender!A280="",0,J279-H280)</f>
        <v>0.01206576</v>
      </c>
    </row>
    <row r="281" customFormat="false" ht="16.4" hidden="false" customHeight="false" outlineLevel="0" collapsed="false">
      <c r="A281" s="13" t="str">
        <f aca="false">""</f>
        <v/>
      </c>
      <c r="B281" s="13" t="n">
        <f aca="false">277</f>
        <v>277</v>
      </c>
      <c r="C281" s="13" t="n">
        <f aca="false">IF(Szenarien!$H$8="OK",(IFERROR(SUMIF(Nutzungsprofile!$B$6:$B$11,"Schulbetrieb",Nutzungsprofile!$G$6:$G$11)*Kalender!C281/SUM(Kalender!$C$5:$C$370),0)+IFERROR(SUMIF(Nutzungsprofile!$B$6:$B$11,"Halle",Nutzungsprofile!$G$6:$G$11)*Kalender!D281/SUM(Kalender!$D$5:$D$370),0)+IFERROR(SUMIF(Nutzungsprofile!$B$6:$B$11,"Individuell",Nutzungsprofile!$G$6:$G$11)*Kalender!E281/SUM(Kalender!$E$5:$E$370),0))*Szenarien!$E$8,0)</f>
        <v>1.632</v>
      </c>
      <c r="D281" s="13" t="n">
        <f aca="false">IF(Szenarien!$H$8="OK",(IFERROR(SUMIF(Nutzungsprofile!$B$17:$B$22,"Schulbetrieb",Nutzungsprofile!$G$17:$G$22)*Kalender!C281/SUM(Kalender!$C$5:$C$370),0)+IFERROR(SUMIF(Nutzungsprofile!$B$17:$B$22,"Halle",Nutzungsprofile!$G$17:$G$22)*Kalender!D281/SUM(Kalender!$D$5:$D$370),0)+IFERROR(SUMIF(Nutzungsprofile!$B$17:$B$22,"Individuell",Nutzungsprofile!$G$17:$G$22)*Kalender!E281/SUM(Kalender!$E$5:$E$370),0))*Szenarien!$D$8,0)</f>
        <v>0.801</v>
      </c>
      <c r="E281" s="13" t="n">
        <f aca="false">IFERROR(MIN(C281,Eingaben!$B$17)*Eingaben!$B$16,0)</f>
        <v>1.5504</v>
      </c>
      <c r="F281" s="13" t="n">
        <f aca="false">IFERROR(E281*Eingaben!$B$15,0)</f>
        <v>1.39536</v>
      </c>
      <c r="G281" s="13" t="n">
        <f aca="false">IFERROR(IF(Kalender!A281="",0,J280*(1-Eingaben!$B$20)),0)</f>
        <v>1.1618705952</v>
      </c>
      <c r="H281" s="13" t="n">
        <f aca="false">MIN(G281,D281)</f>
        <v>0.801</v>
      </c>
      <c r="I281" s="13" t="n">
        <f aca="false">IFERROR(MIN(F281*Eingaben!$B$19,MAX(0,D281-H281)),0)</f>
        <v>0</v>
      </c>
      <c r="J281" s="13" t="n">
        <f aca="false">IFERROR(MIN(Eingaben!$B$18,MAX(0,F281-I281)),0)</f>
        <v>1.39536</v>
      </c>
      <c r="K281" s="13" t="n">
        <f aca="false">H281+I281</f>
        <v>0.801</v>
      </c>
      <c r="L281" s="13" t="n">
        <f aca="false">MAX(0,D281-K281)</f>
        <v>0</v>
      </c>
      <c r="M281" s="13" t="n">
        <f aca="false">MAX(0,F281-I281-J281)</f>
        <v>0</v>
      </c>
      <c r="N281" s="13" t="n">
        <f aca="false">IF(Kalender!A281="",0,J280-H281)</f>
        <v>0.38458224</v>
      </c>
    </row>
    <row r="282" customFormat="false" ht="16.4" hidden="false" customHeight="false" outlineLevel="0" collapsed="false">
      <c r="A282" s="13" t="str">
        <f aca="false">""</f>
        <v/>
      </c>
      <c r="B282" s="13" t="n">
        <f aca="false">278</f>
        <v>278</v>
      </c>
      <c r="C282" s="13" t="n">
        <f aca="false">IF(Szenarien!$H$8="OK",(IFERROR(SUMIF(Nutzungsprofile!$B$6:$B$11,"Schulbetrieb",Nutzungsprofile!$G$6:$G$11)*Kalender!C282/SUM(Kalender!$C$5:$C$370),0)+IFERROR(SUMIF(Nutzungsprofile!$B$6:$B$11,"Halle",Nutzungsprofile!$G$6:$G$11)*Kalender!D282/SUM(Kalender!$D$5:$D$370),0)+IFERROR(SUMIF(Nutzungsprofile!$B$6:$B$11,"Individuell",Nutzungsprofile!$G$6:$G$11)*Kalender!E282/SUM(Kalender!$E$5:$E$370),0))*Szenarien!$E$8,0)</f>
        <v>2.352</v>
      </c>
      <c r="D282" s="13" t="n">
        <f aca="false">IF(Szenarien!$H$8="OK",(IFERROR(SUMIF(Nutzungsprofile!$B$17:$B$22,"Schulbetrieb",Nutzungsprofile!$G$17:$G$22)*Kalender!C282/SUM(Kalender!$C$5:$C$370),0)+IFERROR(SUMIF(Nutzungsprofile!$B$17:$B$22,"Halle",Nutzungsprofile!$G$17:$G$22)*Kalender!D282/SUM(Kalender!$D$5:$D$370),0)+IFERROR(SUMIF(Nutzungsprofile!$B$17:$B$22,"Individuell",Nutzungsprofile!$G$17:$G$22)*Kalender!E282/SUM(Kalender!$E$5:$E$370),0))*Szenarien!$D$8,0)</f>
        <v>4.446</v>
      </c>
      <c r="E282" s="13" t="n">
        <f aca="false">IFERROR(MIN(C282,Eingaben!$B$17)*Eingaben!$B$16,0)</f>
        <v>2.2344</v>
      </c>
      <c r="F282" s="13" t="n">
        <f aca="false">IFERROR(E282*Eingaben!$B$15,0)</f>
        <v>2.01096</v>
      </c>
      <c r="G282" s="13" t="n">
        <f aca="false">IFERROR(IF(Kalender!A282="",0,J281*(1-Eingaben!$B$20)),0)</f>
        <v>1.3674528</v>
      </c>
      <c r="H282" s="13" t="n">
        <f aca="false">MIN(G282,D282)</f>
        <v>1.3674528</v>
      </c>
      <c r="I282" s="13" t="n">
        <f aca="false">IFERROR(MIN(F282*Eingaben!$B$19,MAX(0,D282-H282)),0)</f>
        <v>1.407672</v>
      </c>
      <c r="J282" s="13" t="n">
        <f aca="false">IFERROR(MIN(Eingaben!$B$18,MAX(0,F282-I282)),0)</f>
        <v>0.603288</v>
      </c>
      <c r="K282" s="13" t="n">
        <f aca="false">H282+I282</f>
        <v>2.7751248</v>
      </c>
      <c r="L282" s="13" t="n">
        <f aca="false">MAX(0,D282-K282)</f>
        <v>1.6708752</v>
      </c>
      <c r="M282" s="13" t="n">
        <f aca="false">MAX(0,F282-I282-J282)</f>
        <v>0</v>
      </c>
      <c r="N282" s="13" t="n">
        <f aca="false">IF(Kalender!A282="",0,J281-H282)</f>
        <v>0.0279072</v>
      </c>
    </row>
    <row r="283" customFormat="false" ht="16.4" hidden="false" customHeight="false" outlineLevel="0" collapsed="false">
      <c r="A283" s="13" t="str">
        <f aca="false">""</f>
        <v/>
      </c>
      <c r="B283" s="13" t="n">
        <f aca="false">279</f>
        <v>279</v>
      </c>
      <c r="C283" s="13" t="n">
        <f aca="false">IF(Szenarien!$H$8="OK",(IFERROR(SUMIF(Nutzungsprofile!$B$6:$B$11,"Schulbetrieb",Nutzungsprofile!$G$6:$G$11)*Kalender!C283/SUM(Kalender!$C$5:$C$370),0)+IFERROR(SUMIF(Nutzungsprofile!$B$6:$B$11,"Halle",Nutzungsprofile!$G$6:$G$11)*Kalender!D283/SUM(Kalender!$D$5:$D$370),0)+IFERROR(SUMIF(Nutzungsprofile!$B$6:$B$11,"Individuell",Nutzungsprofile!$G$6:$G$11)*Kalender!E283/SUM(Kalender!$E$5:$E$370),0))*Szenarien!$E$8,0)</f>
        <v>2.352</v>
      </c>
      <c r="D283" s="13" t="n">
        <f aca="false">IF(Szenarien!$H$8="OK",(IFERROR(SUMIF(Nutzungsprofile!$B$17:$B$22,"Schulbetrieb",Nutzungsprofile!$G$17:$G$22)*Kalender!C283/SUM(Kalender!$C$5:$C$370),0)+IFERROR(SUMIF(Nutzungsprofile!$B$17:$B$22,"Halle",Nutzungsprofile!$G$17:$G$22)*Kalender!D283/SUM(Kalender!$D$5:$D$370),0)+IFERROR(SUMIF(Nutzungsprofile!$B$17:$B$22,"Individuell",Nutzungsprofile!$G$17:$G$22)*Kalender!E283/SUM(Kalender!$E$5:$E$370),0))*Szenarien!$D$8,0)</f>
        <v>4.446</v>
      </c>
      <c r="E283" s="13" t="n">
        <f aca="false">IFERROR(MIN(C283,Eingaben!$B$17)*Eingaben!$B$16,0)</f>
        <v>2.2344</v>
      </c>
      <c r="F283" s="13" t="n">
        <f aca="false">IFERROR(E283*Eingaben!$B$15,0)</f>
        <v>2.01096</v>
      </c>
      <c r="G283" s="13" t="n">
        <f aca="false">IFERROR(IF(Kalender!A283="",0,J282*(1-Eingaben!$B$20)),0)</f>
        <v>0.59122224</v>
      </c>
      <c r="H283" s="13" t="n">
        <f aca="false">MIN(G283,D283)</f>
        <v>0.59122224</v>
      </c>
      <c r="I283" s="13" t="n">
        <f aca="false">IFERROR(MIN(F283*Eingaben!$B$19,MAX(0,D283-H283)),0)</f>
        <v>1.407672</v>
      </c>
      <c r="J283" s="13" t="n">
        <f aca="false">IFERROR(MIN(Eingaben!$B$18,MAX(0,F283-I283)),0)</f>
        <v>0.603288</v>
      </c>
      <c r="K283" s="13" t="n">
        <f aca="false">H283+I283</f>
        <v>1.99889424</v>
      </c>
      <c r="L283" s="13" t="n">
        <f aca="false">MAX(0,D283-K283)</f>
        <v>2.44710576</v>
      </c>
      <c r="M283" s="13" t="n">
        <f aca="false">MAX(0,F283-I283-J283)</f>
        <v>0</v>
      </c>
      <c r="N283" s="13" t="n">
        <f aca="false">IF(Kalender!A283="",0,J282-H283)</f>
        <v>0.01206576</v>
      </c>
    </row>
    <row r="284" customFormat="false" ht="16.4" hidden="false" customHeight="false" outlineLevel="0" collapsed="false">
      <c r="A284" s="13" t="str">
        <f aca="false">""</f>
        <v/>
      </c>
      <c r="B284" s="13" t="n">
        <f aca="false">280</f>
        <v>280</v>
      </c>
      <c r="C284" s="13" t="n">
        <f aca="false">IF(Szenarien!$H$8="OK",(IFERROR(SUMIF(Nutzungsprofile!$B$6:$B$11,"Schulbetrieb",Nutzungsprofile!$G$6:$G$11)*Kalender!C284/SUM(Kalender!$C$5:$C$370),0)+IFERROR(SUMIF(Nutzungsprofile!$B$6:$B$11,"Halle",Nutzungsprofile!$G$6:$G$11)*Kalender!D284/SUM(Kalender!$D$5:$D$370),0)+IFERROR(SUMIF(Nutzungsprofile!$B$6:$B$11,"Individuell",Nutzungsprofile!$G$6:$G$11)*Kalender!E284/SUM(Kalender!$E$5:$E$370),0))*Szenarien!$E$8,0)</f>
        <v>2.352</v>
      </c>
      <c r="D284" s="13" t="n">
        <f aca="false">IF(Szenarien!$H$8="OK",(IFERROR(SUMIF(Nutzungsprofile!$B$17:$B$22,"Schulbetrieb",Nutzungsprofile!$G$17:$G$22)*Kalender!C284/SUM(Kalender!$C$5:$C$370),0)+IFERROR(SUMIF(Nutzungsprofile!$B$17:$B$22,"Halle",Nutzungsprofile!$G$17:$G$22)*Kalender!D284/SUM(Kalender!$D$5:$D$370),0)+IFERROR(SUMIF(Nutzungsprofile!$B$17:$B$22,"Individuell",Nutzungsprofile!$G$17:$G$22)*Kalender!E284/SUM(Kalender!$E$5:$E$370),0))*Szenarien!$D$8,0)</f>
        <v>4.446</v>
      </c>
      <c r="E284" s="13" t="n">
        <f aca="false">IFERROR(MIN(C284,Eingaben!$B$17)*Eingaben!$B$16,0)</f>
        <v>2.2344</v>
      </c>
      <c r="F284" s="13" t="n">
        <f aca="false">IFERROR(E284*Eingaben!$B$15,0)</f>
        <v>2.01096</v>
      </c>
      <c r="G284" s="13" t="n">
        <f aca="false">IFERROR(IF(Kalender!A284="",0,J283*(1-Eingaben!$B$20)),0)</f>
        <v>0.59122224</v>
      </c>
      <c r="H284" s="13" t="n">
        <f aca="false">MIN(G284,D284)</f>
        <v>0.59122224</v>
      </c>
      <c r="I284" s="13" t="n">
        <f aca="false">IFERROR(MIN(F284*Eingaben!$B$19,MAX(0,D284-H284)),0)</f>
        <v>1.407672</v>
      </c>
      <c r="J284" s="13" t="n">
        <f aca="false">IFERROR(MIN(Eingaben!$B$18,MAX(0,F284-I284)),0)</f>
        <v>0.603288</v>
      </c>
      <c r="K284" s="13" t="n">
        <f aca="false">H284+I284</f>
        <v>1.99889424</v>
      </c>
      <c r="L284" s="13" t="n">
        <f aca="false">MAX(0,D284-K284)</f>
        <v>2.44710576</v>
      </c>
      <c r="M284" s="13" t="n">
        <f aca="false">MAX(0,F284-I284-J284)</f>
        <v>0</v>
      </c>
      <c r="N284" s="13" t="n">
        <f aca="false">IF(Kalender!A284="",0,J283-H284)</f>
        <v>0.01206576</v>
      </c>
    </row>
    <row r="285" customFormat="false" ht="16.4" hidden="false" customHeight="false" outlineLevel="0" collapsed="false">
      <c r="A285" s="13" t="str">
        <f aca="false">""</f>
        <v/>
      </c>
      <c r="B285" s="13" t="n">
        <f aca="false">281</f>
        <v>281</v>
      </c>
      <c r="C285" s="13" t="n">
        <f aca="false">IF(Szenarien!$H$8="OK",(IFERROR(SUMIF(Nutzungsprofile!$B$6:$B$11,"Schulbetrieb",Nutzungsprofile!$G$6:$G$11)*Kalender!C285/SUM(Kalender!$C$5:$C$370),0)+IFERROR(SUMIF(Nutzungsprofile!$B$6:$B$11,"Halle",Nutzungsprofile!$G$6:$G$11)*Kalender!D285/SUM(Kalender!$D$5:$D$370),0)+IFERROR(SUMIF(Nutzungsprofile!$B$6:$B$11,"Individuell",Nutzungsprofile!$G$6:$G$11)*Kalender!E285/SUM(Kalender!$E$5:$E$370),0))*Szenarien!$E$8,0)</f>
        <v>0.72</v>
      </c>
      <c r="D285" s="13" t="n">
        <f aca="false">IF(Szenarien!$H$8="OK",(IFERROR(SUMIF(Nutzungsprofile!$B$17:$B$22,"Schulbetrieb",Nutzungsprofile!$G$17:$G$22)*Kalender!C285/SUM(Kalender!$C$5:$C$370),0)+IFERROR(SUMIF(Nutzungsprofile!$B$17:$B$22,"Halle",Nutzungsprofile!$G$17:$G$22)*Kalender!D285/SUM(Kalender!$D$5:$D$370),0)+IFERROR(SUMIF(Nutzungsprofile!$B$17:$B$22,"Individuell",Nutzungsprofile!$G$17:$G$22)*Kalender!E285/SUM(Kalender!$E$5:$E$370),0))*Szenarien!$D$8,0)</f>
        <v>3.645</v>
      </c>
      <c r="E285" s="13" t="n">
        <f aca="false">IFERROR(MIN(C285,Eingaben!$B$17)*Eingaben!$B$16,0)</f>
        <v>0.684</v>
      </c>
      <c r="F285" s="13" t="n">
        <f aca="false">IFERROR(E285*Eingaben!$B$15,0)</f>
        <v>0.6156</v>
      </c>
      <c r="G285" s="13" t="n">
        <f aca="false">IFERROR(IF(Kalender!A285="",0,J284*(1-Eingaben!$B$20)),0)</f>
        <v>0.59122224</v>
      </c>
      <c r="H285" s="13" t="n">
        <f aca="false">MIN(G285,D285)</f>
        <v>0.59122224</v>
      </c>
      <c r="I285" s="13" t="n">
        <f aca="false">IFERROR(MIN(F285*Eingaben!$B$19,MAX(0,D285-H285)),0)</f>
        <v>0.43092</v>
      </c>
      <c r="J285" s="13" t="n">
        <f aca="false">IFERROR(MIN(Eingaben!$B$18,MAX(0,F285-I285)),0)</f>
        <v>0.18468</v>
      </c>
      <c r="K285" s="13" t="n">
        <f aca="false">H285+I285</f>
        <v>1.02214224</v>
      </c>
      <c r="L285" s="13" t="n">
        <f aca="false">MAX(0,D285-K285)</f>
        <v>2.62285776</v>
      </c>
      <c r="M285" s="13" t="n">
        <f aca="false">MAX(0,F285-I285-J285)</f>
        <v>0</v>
      </c>
      <c r="N285" s="13" t="n">
        <f aca="false">IF(Kalender!A285="",0,J284-H285)</f>
        <v>0.01206576</v>
      </c>
    </row>
    <row r="286" customFormat="false" ht="16.4" hidden="false" customHeight="false" outlineLevel="0" collapsed="false">
      <c r="A286" s="13" t="str">
        <f aca="false">""</f>
        <v/>
      </c>
      <c r="B286" s="13" t="n">
        <f aca="false">282</f>
        <v>282</v>
      </c>
      <c r="C286" s="13" t="n">
        <f aca="false">IF(Szenarien!$H$8="OK",(IFERROR(SUMIF(Nutzungsprofile!$B$6:$B$11,"Schulbetrieb",Nutzungsprofile!$G$6:$G$11)*Kalender!C286/SUM(Kalender!$C$5:$C$370),0)+IFERROR(SUMIF(Nutzungsprofile!$B$6:$B$11,"Halle",Nutzungsprofile!$G$6:$G$11)*Kalender!D286/SUM(Kalender!$D$5:$D$370),0)+IFERROR(SUMIF(Nutzungsprofile!$B$6:$B$11,"Individuell",Nutzungsprofile!$G$6:$G$11)*Kalender!E286/SUM(Kalender!$E$5:$E$370),0))*Szenarien!$E$8,0)</f>
        <v>0.72</v>
      </c>
      <c r="D286" s="13" t="n">
        <f aca="false">IF(Szenarien!$H$8="OK",(IFERROR(SUMIF(Nutzungsprofile!$B$17:$B$22,"Schulbetrieb",Nutzungsprofile!$G$17:$G$22)*Kalender!C286/SUM(Kalender!$C$5:$C$370),0)+IFERROR(SUMIF(Nutzungsprofile!$B$17:$B$22,"Halle",Nutzungsprofile!$G$17:$G$22)*Kalender!D286/SUM(Kalender!$D$5:$D$370),0)+IFERROR(SUMIF(Nutzungsprofile!$B$17:$B$22,"Individuell",Nutzungsprofile!$G$17:$G$22)*Kalender!E286/SUM(Kalender!$E$5:$E$370),0))*Szenarien!$D$8,0)</f>
        <v>3.645</v>
      </c>
      <c r="E286" s="13" t="n">
        <f aca="false">IFERROR(MIN(C286,Eingaben!$B$17)*Eingaben!$B$16,0)</f>
        <v>0.684</v>
      </c>
      <c r="F286" s="13" t="n">
        <f aca="false">IFERROR(E286*Eingaben!$B$15,0)</f>
        <v>0.6156</v>
      </c>
      <c r="G286" s="13" t="n">
        <f aca="false">IFERROR(IF(Kalender!A286="",0,J285*(1-Eingaben!$B$20)),0)</f>
        <v>0.1809864</v>
      </c>
      <c r="H286" s="13" t="n">
        <f aca="false">MIN(G286,D286)</f>
        <v>0.1809864</v>
      </c>
      <c r="I286" s="13" t="n">
        <f aca="false">IFERROR(MIN(F286*Eingaben!$B$19,MAX(0,D286-H286)),0)</f>
        <v>0.43092</v>
      </c>
      <c r="J286" s="13" t="n">
        <f aca="false">IFERROR(MIN(Eingaben!$B$18,MAX(0,F286-I286)),0)</f>
        <v>0.18468</v>
      </c>
      <c r="K286" s="13" t="n">
        <f aca="false">H286+I286</f>
        <v>0.6119064</v>
      </c>
      <c r="L286" s="13" t="n">
        <f aca="false">MAX(0,D286-K286)</f>
        <v>3.0330936</v>
      </c>
      <c r="M286" s="13" t="n">
        <f aca="false">MAX(0,F286-I286-J286)</f>
        <v>0</v>
      </c>
      <c r="N286" s="13" t="n">
        <f aca="false">IF(Kalender!A286="",0,J285-H286)</f>
        <v>0.00369359999999999</v>
      </c>
    </row>
    <row r="287" customFormat="false" ht="16.4" hidden="false" customHeight="false" outlineLevel="0" collapsed="false">
      <c r="A287" s="13" t="str">
        <f aca="false">""</f>
        <v/>
      </c>
      <c r="B287" s="13" t="n">
        <f aca="false">283</f>
        <v>283</v>
      </c>
      <c r="C287" s="13" t="n">
        <f aca="false">IF(Szenarien!$H$8="OK",(IFERROR(SUMIF(Nutzungsprofile!$B$6:$B$11,"Schulbetrieb",Nutzungsprofile!$G$6:$G$11)*Kalender!C287/SUM(Kalender!$C$5:$C$370),0)+IFERROR(SUMIF(Nutzungsprofile!$B$6:$B$11,"Halle",Nutzungsprofile!$G$6:$G$11)*Kalender!D287/SUM(Kalender!$D$5:$D$370),0)+IFERROR(SUMIF(Nutzungsprofile!$B$6:$B$11,"Individuell",Nutzungsprofile!$G$6:$G$11)*Kalender!E287/SUM(Kalender!$E$5:$E$370),0))*Szenarien!$E$8,0)</f>
        <v>0</v>
      </c>
      <c r="D287" s="13" t="n">
        <f aca="false">IF(Szenarien!$H$8="OK",(IFERROR(SUMIF(Nutzungsprofile!$B$17:$B$22,"Schulbetrieb",Nutzungsprofile!$G$17:$G$22)*Kalender!C287/SUM(Kalender!$C$5:$C$370),0)+IFERROR(SUMIF(Nutzungsprofile!$B$17:$B$22,"Halle",Nutzungsprofile!$G$17:$G$22)*Kalender!D287/SUM(Kalender!$D$5:$D$370),0)+IFERROR(SUMIF(Nutzungsprofile!$B$17:$B$22,"Individuell",Nutzungsprofile!$G$17:$G$22)*Kalender!E287/SUM(Kalender!$E$5:$E$370),0))*Szenarien!$D$8,0)</f>
        <v>0</v>
      </c>
      <c r="E287" s="13" t="n">
        <f aca="false">IFERROR(MIN(C287,Eingaben!$B$17)*Eingaben!$B$16,0)</f>
        <v>0</v>
      </c>
      <c r="F287" s="13" t="n">
        <f aca="false">IFERROR(E287*Eingaben!$B$15,0)</f>
        <v>0</v>
      </c>
      <c r="G287" s="13" t="n">
        <f aca="false">IFERROR(IF(Kalender!A287="",0,J286*(1-Eingaben!$B$20)),0)</f>
        <v>0.1809864</v>
      </c>
      <c r="H287" s="13" t="n">
        <f aca="false">MIN(G287,D287)</f>
        <v>0</v>
      </c>
      <c r="I287" s="13" t="n">
        <f aca="false">IFERROR(MIN(F287*Eingaben!$B$19,MAX(0,D287-H287)),0)</f>
        <v>0</v>
      </c>
      <c r="J287" s="13" t="n">
        <f aca="false">IFERROR(MIN(Eingaben!$B$18,MAX(0,F287-I287)),0)</f>
        <v>0</v>
      </c>
      <c r="K287" s="13" t="n">
        <f aca="false">H287+I287</f>
        <v>0</v>
      </c>
      <c r="L287" s="13" t="n">
        <f aca="false">MAX(0,D287-K287)</f>
        <v>0</v>
      </c>
      <c r="M287" s="13" t="n">
        <f aca="false">MAX(0,F287-I287-J287)</f>
        <v>0</v>
      </c>
      <c r="N287" s="13" t="n">
        <f aca="false">IF(Kalender!A287="",0,J286-H287)</f>
        <v>0.18468</v>
      </c>
    </row>
    <row r="288" customFormat="false" ht="16.4" hidden="false" customHeight="false" outlineLevel="0" collapsed="false">
      <c r="A288" s="13" t="str">
        <f aca="false">""</f>
        <v/>
      </c>
      <c r="B288" s="13" t="n">
        <f aca="false">284</f>
        <v>284</v>
      </c>
      <c r="C288" s="13" t="n">
        <f aca="false">IF(Szenarien!$H$8="OK",(IFERROR(SUMIF(Nutzungsprofile!$B$6:$B$11,"Schulbetrieb",Nutzungsprofile!$G$6:$G$11)*Kalender!C288/SUM(Kalender!$C$5:$C$370),0)+IFERROR(SUMIF(Nutzungsprofile!$B$6:$B$11,"Halle",Nutzungsprofile!$G$6:$G$11)*Kalender!D288/SUM(Kalender!$D$5:$D$370),0)+IFERROR(SUMIF(Nutzungsprofile!$B$6:$B$11,"Individuell",Nutzungsprofile!$G$6:$G$11)*Kalender!E288/SUM(Kalender!$E$5:$E$370),0))*Szenarien!$E$8,0)</f>
        <v>0</v>
      </c>
      <c r="D288" s="13" t="n">
        <f aca="false">IF(Szenarien!$H$8="OK",(IFERROR(SUMIF(Nutzungsprofile!$B$17:$B$22,"Schulbetrieb",Nutzungsprofile!$G$17:$G$22)*Kalender!C288/SUM(Kalender!$C$5:$C$370),0)+IFERROR(SUMIF(Nutzungsprofile!$B$17:$B$22,"Halle",Nutzungsprofile!$G$17:$G$22)*Kalender!D288/SUM(Kalender!$D$5:$D$370),0)+IFERROR(SUMIF(Nutzungsprofile!$B$17:$B$22,"Individuell",Nutzungsprofile!$G$17:$G$22)*Kalender!E288/SUM(Kalender!$E$5:$E$370),0))*Szenarien!$D$8,0)</f>
        <v>0</v>
      </c>
      <c r="E288" s="13" t="n">
        <f aca="false">IFERROR(MIN(C288,Eingaben!$B$17)*Eingaben!$B$16,0)</f>
        <v>0</v>
      </c>
      <c r="F288" s="13" t="n">
        <f aca="false">IFERROR(E288*Eingaben!$B$15,0)</f>
        <v>0</v>
      </c>
      <c r="G288" s="13" t="n">
        <f aca="false">IFERROR(IF(Kalender!A288="",0,J287*(1-Eingaben!$B$20)),0)</f>
        <v>0</v>
      </c>
      <c r="H288" s="13" t="n">
        <f aca="false">MIN(G288,D288)</f>
        <v>0</v>
      </c>
      <c r="I288" s="13" t="n">
        <f aca="false">IFERROR(MIN(F288*Eingaben!$B$19,MAX(0,D288-H288)),0)</f>
        <v>0</v>
      </c>
      <c r="J288" s="13" t="n">
        <f aca="false">IFERROR(MIN(Eingaben!$B$18,MAX(0,F288-I288)),0)</f>
        <v>0</v>
      </c>
      <c r="K288" s="13" t="n">
        <f aca="false">H288+I288</f>
        <v>0</v>
      </c>
      <c r="L288" s="13" t="n">
        <f aca="false">MAX(0,D288-K288)</f>
        <v>0</v>
      </c>
      <c r="M288" s="13" t="n">
        <f aca="false">MAX(0,F288-I288-J288)</f>
        <v>0</v>
      </c>
      <c r="N288" s="13" t="n">
        <f aca="false">IF(Kalender!A288="",0,J287-H288)</f>
        <v>0</v>
      </c>
    </row>
    <row r="289" customFormat="false" ht="16.4" hidden="false" customHeight="false" outlineLevel="0" collapsed="false">
      <c r="A289" s="13" t="str">
        <f aca="false">""</f>
        <v/>
      </c>
      <c r="B289" s="13" t="n">
        <f aca="false">285</f>
        <v>285</v>
      </c>
      <c r="C289" s="13" t="n">
        <f aca="false">IF(Szenarien!$H$8="OK",(IFERROR(SUMIF(Nutzungsprofile!$B$6:$B$11,"Schulbetrieb",Nutzungsprofile!$G$6:$G$11)*Kalender!C289/SUM(Kalender!$C$5:$C$370),0)+IFERROR(SUMIF(Nutzungsprofile!$B$6:$B$11,"Halle",Nutzungsprofile!$G$6:$G$11)*Kalender!D289/SUM(Kalender!$D$5:$D$370),0)+IFERROR(SUMIF(Nutzungsprofile!$B$6:$B$11,"Individuell",Nutzungsprofile!$G$6:$G$11)*Kalender!E289/SUM(Kalender!$E$5:$E$370),0))*Szenarien!$E$8,0)</f>
        <v>0.72</v>
      </c>
      <c r="D289" s="13" t="n">
        <f aca="false">IF(Szenarien!$H$8="OK",(IFERROR(SUMIF(Nutzungsprofile!$B$17:$B$22,"Schulbetrieb",Nutzungsprofile!$G$17:$G$22)*Kalender!C289/SUM(Kalender!$C$5:$C$370),0)+IFERROR(SUMIF(Nutzungsprofile!$B$17:$B$22,"Halle",Nutzungsprofile!$G$17:$G$22)*Kalender!D289/SUM(Kalender!$D$5:$D$370),0)+IFERROR(SUMIF(Nutzungsprofile!$B$17:$B$22,"Individuell",Nutzungsprofile!$G$17:$G$22)*Kalender!E289/SUM(Kalender!$E$5:$E$370),0))*Szenarien!$D$8,0)</f>
        <v>3.645</v>
      </c>
      <c r="E289" s="13" t="n">
        <f aca="false">IFERROR(MIN(C289,Eingaben!$B$17)*Eingaben!$B$16,0)</f>
        <v>0.684</v>
      </c>
      <c r="F289" s="13" t="n">
        <f aca="false">IFERROR(E289*Eingaben!$B$15,0)</f>
        <v>0.6156</v>
      </c>
      <c r="G289" s="13" t="n">
        <f aca="false">IFERROR(IF(Kalender!A289="",0,J288*(1-Eingaben!$B$20)),0)</f>
        <v>0</v>
      </c>
      <c r="H289" s="13" t="n">
        <f aca="false">MIN(G289,D289)</f>
        <v>0</v>
      </c>
      <c r="I289" s="13" t="n">
        <f aca="false">IFERROR(MIN(F289*Eingaben!$B$19,MAX(0,D289-H289)),0)</f>
        <v>0.43092</v>
      </c>
      <c r="J289" s="13" t="n">
        <f aca="false">IFERROR(MIN(Eingaben!$B$18,MAX(0,F289-I289)),0)</f>
        <v>0.18468</v>
      </c>
      <c r="K289" s="13" t="n">
        <f aca="false">H289+I289</f>
        <v>0.43092</v>
      </c>
      <c r="L289" s="13" t="n">
        <f aca="false">MAX(0,D289-K289)</f>
        <v>3.21408</v>
      </c>
      <c r="M289" s="13" t="n">
        <f aca="false">MAX(0,F289-I289-J289)</f>
        <v>0</v>
      </c>
      <c r="N289" s="13" t="n">
        <f aca="false">IF(Kalender!A289="",0,J288-H289)</f>
        <v>0</v>
      </c>
    </row>
    <row r="290" customFormat="false" ht="16.4" hidden="false" customHeight="false" outlineLevel="0" collapsed="false">
      <c r="A290" s="13" t="str">
        <f aca="false">""</f>
        <v/>
      </c>
      <c r="B290" s="13" t="n">
        <f aca="false">286</f>
        <v>286</v>
      </c>
      <c r="C290" s="13" t="n">
        <f aca="false">IF(Szenarien!$H$8="OK",(IFERROR(SUMIF(Nutzungsprofile!$B$6:$B$11,"Schulbetrieb",Nutzungsprofile!$G$6:$G$11)*Kalender!C290/SUM(Kalender!$C$5:$C$370),0)+IFERROR(SUMIF(Nutzungsprofile!$B$6:$B$11,"Halle",Nutzungsprofile!$G$6:$G$11)*Kalender!D290/SUM(Kalender!$D$5:$D$370),0)+IFERROR(SUMIF(Nutzungsprofile!$B$6:$B$11,"Individuell",Nutzungsprofile!$G$6:$G$11)*Kalender!E290/SUM(Kalender!$E$5:$E$370),0))*Szenarien!$E$8,0)</f>
        <v>0.72</v>
      </c>
      <c r="D290" s="13" t="n">
        <f aca="false">IF(Szenarien!$H$8="OK",(IFERROR(SUMIF(Nutzungsprofile!$B$17:$B$22,"Schulbetrieb",Nutzungsprofile!$G$17:$G$22)*Kalender!C290/SUM(Kalender!$C$5:$C$370),0)+IFERROR(SUMIF(Nutzungsprofile!$B$17:$B$22,"Halle",Nutzungsprofile!$G$17:$G$22)*Kalender!D290/SUM(Kalender!$D$5:$D$370),0)+IFERROR(SUMIF(Nutzungsprofile!$B$17:$B$22,"Individuell",Nutzungsprofile!$G$17:$G$22)*Kalender!E290/SUM(Kalender!$E$5:$E$370),0))*Szenarien!$D$8,0)</f>
        <v>3.645</v>
      </c>
      <c r="E290" s="13" t="n">
        <f aca="false">IFERROR(MIN(C290,Eingaben!$B$17)*Eingaben!$B$16,0)</f>
        <v>0.684</v>
      </c>
      <c r="F290" s="13" t="n">
        <f aca="false">IFERROR(E290*Eingaben!$B$15,0)</f>
        <v>0.6156</v>
      </c>
      <c r="G290" s="13" t="n">
        <f aca="false">IFERROR(IF(Kalender!A290="",0,J289*(1-Eingaben!$B$20)),0)</f>
        <v>0.1809864</v>
      </c>
      <c r="H290" s="13" t="n">
        <f aca="false">MIN(G290,D290)</f>
        <v>0.1809864</v>
      </c>
      <c r="I290" s="13" t="n">
        <f aca="false">IFERROR(MIN(F290*Eingaben!$B$19,MAX(0,D290-H290)),0)</f>
        <v>0.43092</v>
      </c>
      <c r="J290" s="13" t="n">
        <f aca="false">IFERROR(MIN(Eingaben!$B$18,MAX(0,F290-I290)),0)</f>
        <v>0.18468</v>
      </c>
      <c r="K290" s="13" t="n">
        <f aca="false">H290+I290</f>
        <v>0.6119064</v>
      </c>
      <c r="L290" s="13" t="n">
        <f aca="false">MAX(0,D290-K290)</f>
        <v>3.0330936</v>
      </c>
      <c r="M290" s="13" t="n">
        <f aca="false">MAX(0,F290-I290-J290)</f>
        <v>0</v>
      </c>
      <c r="N290" s="13" t="n">
        <f aca="false">IF(Kalender!A290="",0,J289-H290)</f>
        <v>0.00369359999999999</v>
      </c>
    </row>
    <row r="291" customFormat="false" ht="16.4" hidden="false" customHeight="false" outlineLevel="0" collapsed="false">
      <c r="A291" s="13" t="str">
        <f aca="false">""</f>
        <v/>
      </c>
      <c r="B291" s="13" t="n">
        <f aca="false">287</f>
        <v>287</v>
      </c>
      <c r="C291" s="13" t="n">
        <f aca="false">IF(Szenarien!$H$8="OK",(IFERROR(SUMIF(Nutzungsprofile!$B$6:$B$11,"Schulbetrieb",Nutzungsprofile!$G$6:$G$11)*Kalender!C291/SUM(Kalender!$C$5:$C$370),0)+IFERROR(SUMIF(Nutzungsprofile!$B$6:$B$11,"Halle",Nutzungsprofile!$G$6:$G$11)*Kalender!D291/SUM(Kalender!$D$5:$D$370),0)+IFERROR(SUMIF(Nutzungsprofile!$B$6:$B$11,"Individuell",Nutzungsprofile!$G$6:$G$11)*Kalender!E291/SUM(Kalender!$E$5:$E$370),0))*Szenarien!$E$8,0)</f>
        <v>0.72</v>
      </c>
      <c r="D291" s="13" t="n">
        <f aca="false">IF(Szenarien!$H$8="OK",(IFERROR(SUMIF(Nutzungsprofile!$B$17:$B$22,"Schulbetrieb",Nutzungsprofile!$G$17:$G$22)*Kalender!C291/SUM(Kalender!$C$5:$C$370),0)+IFERROR(SUMIF(Nutzungsprofile!$B$17:$B$22,"Halle",Nutzungsprofile!$G$17:$G$22)*Kalender!D291/SUM(Kalender!$D$5:$D$370),0)+IFERROR(SUMIF(Nutzungsprofile!$B$17:$B$22,"Individuell",Nutzungsprofile!$G$17:$G$22)*Kalender!E291/SUM(Kalender!$E$5:$E$370),0))*Szenarien!$D$8,0)</f>
        <v>3.645</v>
      </c>
      <c r="E291" s="13" t="n">
        <f aca="false">IFERROR(MIN(C291,Eingaben!$B$17)*Eingaben!$B$16,0)</f>
        <v>0.684</v>
      </c>
      <c r="F291" s="13" t="n">
        <f aca="false">IFERROR(E291*Eingaben!$B$15,0)</f>
        <v>0.6156</v>
      </c>
      <c r="G291" s="13" t="n">
        <f aca="false">IFERROR(IF(Kalender!A291="",0,J290*(1-Eingaben!$B$20)),0)</f>
        <v>0.1809864</v>
      </c>
      <c r="H291" s="13" t="n">
        <f aca="false">MIN(G291,D291)</f>
        <v>0.1809864</v>
      </c>
      <c r="I291" s="13" t="n">
        <f aca="false">IFERROR(MIN(F291*Eingaben!$B$19,MAX(0,D291-H291)),0)</f>
        <v>0.43092</v>
      </c>
      <c r="J291" s="13" t="n">
        <f aca="false">IFERROR(MIN(Eingaben!$B$18,MAX(0,F291-I291)),0)</f>
        <v>0.18468</v>
      </c>
      <c r="K291" s="13" t="n">
        <f aca="false">H291+I291</f>
        <v>0.6119064</v>
      </c>
      <c r="L291" s="13" t="n">
        <f aca="false">MAX(0,D291-K291)</f>
        <v>3.0330936</v>
      </c>
      <c r="M291" s="13" t="n">
        <f aca="false">MAX(0,F291-I291-J291)</f>
        <v>0</v>
      </c>
      <c r="N291" s="13" t="n">
        <f aca="false">IF(Kalender!A291="",0,J290-H291)</f>
        <v>0.00369359999999999</v>
      </c>
    </row>
    <row r="292" customFormat="false" ht="16.4" hidden="false" customHeight="false" outlineLevel="0" collapsed="false">
      <c r="A292" s="13" t="str">
        <f aca="false">""</f>
        <v/>
      </c>
      <c r="B292" s="13" t="n">
        <f aca="false">288</f>
        <v>288</v>
      </c>
      <c r="C292" s="13" t="n">
        <f aca="false">IF(Szenarien!$H$8="OK",(IFERROR(SUMIF(Nutzungsprofile!$B$6:$B$11,"Schulbetrieb",Nutzungsprofile!$G$6:$G$11)*Kalender!C292/SUM(Kalender!$C$5:$C$370),0)+IFERROR(SUMIF(Nutzungsprofile!$B$6:$B$11,"Halle",Nutzungsprofile!$G$6:$G$11)*Kalender!D292/SUM(Kalender!$D$5:$D$370),0)+IFERROR(SUMIF(Nutzungsprofile!$B$6:$B$11,"Individuell",Nutzungsprofile!$G$6:$G$11)*Kalender!E292/SUM(Kalender!$E$5:$E$370),0))*Szenarien!$E$8,0)</f>
        <v>0.72</v>
      </c>
      <c r="D292" s="13" t="n">
        <f aca="false">IF(Szenarien!$H$8="OK",(IFERROR(SUMIF(Nutzungsprofile!$B$17:$B$22,"Schulbetrieb",Nutzungsprofile!$G$17:$G$22)*Kalender!C292/SUM(Kalender!$C$5:$C$370),0)+IFERROR(SUMIF(Nutzungsprofile!$B$17:$B$22,"Halle",Nutzungsprofile!$G$17:$G$22)*Kalender!D292/SUM(Kalender!$D$5:$D$370),0)+IFERROR(SUMIF(Nutzungsprofile!$B$17:$B$22,"Individuell",Nutzungsprofile!$G$17:$G$22)*Kalender!E292/SUM(Kalender!$E$5:$E$370),0))*Szenarien!$D$8,0)</f>
        <v>3.645</v>
      </c>
      <c r="E292" s="13" t="n">
        <f aca="false">IFERROR(MIN(C292,Eingaben!$B$17)*Eingaben!$B$16,0)</f>
        <v>0.684</v>
      </c>
      <c r="F292" s="13" t="n">
        <f aca="false">IFERROR(E292*Eingaben!$B$15,0)</f>
        <v>0.6156</v>
      </c>
      <c r="G292" s="13" t="n">
        <f aca="false">IFERROR(IF(Kalender!A292="",0,J291*(1-Eingaben!$B$20)),0)</f>
        <v>0.1809864</v>
      </c>
      <c r="H292" s="13" t="n">
        <f aca="false">MIN(G292,D292)</f>
        <v>0.1809864</v>
      </c>
      <c r="I292" s="13" t="n">
        <f aca="false">IFERROR(MIN(F292*Eingaben!$B$19,MAX(0,D292-H292)),0)</f>
        <v>0.43092</v>
      </c>
      <c r="J292" s="13" t="n">
        <f aca="false">IFERROR(MIN(Eingaben!$B$18,MAX(0,F292-I292)),0)</f>
        <v>0.18468</v>
      </c>
      <c r="K292" s="13" t="n">
        <f aca="false">H292+I292</f>
        <v>0.6119064</v>
      </c>
      <c r="L292" s="13" t="n">
        <f aca="false">MAX(0,D292-K292)</f>
        <v>3.0330936</v>
      </c>
      <c r="M292" s="13" t="n">
        <f aca="false">MAX(0,F292-I292-J292)</f>
        <v>0</v>
      </c>
      <c r="N292" s="13" t="n">
        <f aca="false">IF(Kalender!A292="",0,J291-H292)</f>
        <v>0.00369359999999999</v>
      </c>
    </row>
    <row r="293" customFormat="false" ht="16.4" hidden="false" customHeight="false" outlineLevel="0" collapsed="false">
      <c r="A293" s="13" t="str">
        <f aca="false">""</f>
        <v/>
      </c>
      <c r="B293" s="13" t="n">
        <f aca="false">289</f>
        <v>289</v>
      </c>
      <c r="C293" s="13" t="n">
        <f aca="false">IF(Szenarien!$H$8="OK",(IFERROR(SUMIF(Nutzungsprofile!$B$6:$B$11,"Schulbetrieb",Nutzungsprofile!$G$6:$G$11)*Kalender!C293/SUM(Kalender!$C$5:$C$370),0)+IFERROR(SUMIF(Nutzungsprofile!$B$6:$B$11,"Halle",Nutzungsprofile!$G$6:$G$11)*Kalender!D293/SUM(Kalender!$D$5:$D$370),0)+IFERROR(SUMIF(Nutzungsprofile!$B$6:$B$11,"Individuell",Nutzungsprofile!$G$6:$G$11)*Kalender!E293/SUM(Kalender!$E$5:$E$370),0))*Szenarien!$E$8,0)</f>
        <v>0.72</v>
      </c>
      <c r="D293" s="13" t="n">
        <f aca="false">IF(Szenarien!$H$8="OK",(IFERROR(SUMIF(Nutzungsprofile!$B$17:$B$22,"Schulbetrieb",Nutzungsprofile!$G$17:$G$22)*Kalender!C293/SUM(Kalender!$C$5:$C$370),0)+IFERROR(SUMIF(Nutzungsprofile!$B$17:$B$22,"Halle",Nutzungsprofile!$G$17:$G$22)*Kalender!D293/SUM(Kalender!$D$5:$D$370),0)+IFERROR(SUMIF(Nutzungsprofile!$B$17:$B$22,"Individuell",Nutzungsprofile!$G$17:$G$22)*Kalender!E293/SUM(Kalender!$E$5:$E$370),0))*Szenarien!$D$8,0)</f>
        <v>3.645</v>
      </c>
      <c r="E293" s="13" t="n">
        <f aca="false">IFERROR(MIN(C293,Eingaben!$B$17)*Eingaben!$B$16,0)</f>
        <v>0.684</v>
      </c>
      <c r="F293" s="13" t="n">
        <f aca="false">IFERROR(E293*Eingaben!$B$15,0)</f>
        <v>0.6156</v>
      </c>
      <c r="G293" s="13" t="n">
        <f aca="false">IFERROR(IF(Kalender!A293="",0,J292*(1-Eingaben!$B$20)),0)</f>
        <v>0.1809864</v>
      </c>
      <c r="H293" s="13" t="n">
        <f aca="false">MIN(G293,D293)</f>
        <v>0.1809864</v>
      </c>
      <c r="I293" s="13" t="n">
        <f aca="false">IFERROR(MIN(F293*Eingaben!$B$19,MAX(0,D293-H293)),0)</f>
        <v>0.43092</v>
      </c>
      <c r="J293" s="13" t="n">
        <f aca="false">IFERROR(MIN(Eingaben!$B$18,MAX(0,F293-I293)),0)</f>
        <v>0.18468</v>
      </c>
      <c r="K293" s="13" t="n">
        <f aca="false">H293+I293</f>
        <v>0.6119064</v>
      </c>
      <c r="L293" s="13" t="n">
        <f aca="false">MAX(0,D293-K293)</f>
        <v>3.0330936</v>
      </c>
      <c r="M293" s="13" t="n">
        <f aca="false">MAX(0,F293-I293-J293)</f>
        <v>0</v>
      </c>
      <c r="N293" s="13" t="n">
        <f aca="false">IF(Kalender!A293="",0,J292-H293)</f>
        <v>0.00369359999999999</v>
      </c>
    </row>
    <row r="294" customFormat="false" ht="16.4" hidden="false" customHeight="false" outlineLevel="0" collapsed="false">
      <c r="A294" s="13" t="str">
        <f aca="false">""</f>
        <v/>
      </c>
      <c r="B294" s="13" t="n">
        <f aca="false">290</f>
        <v>290</v>
      </c>
      <c r="C294" s="13" t="n">
        <f aca="false">IF(Szenarien!$H$8="OK",(IFERROR(SUMIF(Nutzungsprofile!$B$6:$B$11,"Schulbetrieb",Nutzungsprofile!$G$6:$G$11)*Kalender!C294/SUM(Kalender!$C$5:$C$370),0)+IFERROR(SUMIF(Nutzungsprofile!$B$6:$B$11,"Halle",Nutzungsprofile!$G$6:$G$11)*Kalender!D294/SUM(Kalender!$D$5:$D$370),0)+IFERROR(SUMIF(Nutzungsprofile!$B$6:$B$11,"Individuell",Nutzungsprofile!$G$6:$G$11)*Kalender!E294/SUM(Kalender!$E$5:$E$370),0))*Szenarien!$E$8,0)</f>
        <v>0</v>
      </c>
      <c r="D294" s="13" t="n">
        <f aca="false">IF(Szenarien!$H$8="OK",(IFERROR(SUMIF(Nutzungsprofile!$B$17:$B$22,"Schulbetrieb",Nutzungsprofile!$G$17:$G$22)*Kalender!C294/SUM(Kalender!$C$5:$C$370),0)+IFERROR(SUMIF(Nutzungsprofile!$B$17:$B$22,"Halle",Nutzungsprofile!$G$17:$G$22)*Kalender!D294/SUM(Kalender!$D$5:$D$370),0)+IFERROR(SUMIF(Nutzungsprofile!$B$17:$B$22,"Individuell",Nutzungsprofile!$G$17:$G$22)*Kalender!E294/SUM(Kalender!$E$5:$E$370),0))*Szenarien!$D$8,0)</f>
        <v>0</v>
      </c>
      <c r="E294" s="13" t="n">
        <f aca="false">IFERROR(MIN(C294,Eingaben!$B$17)*Eingaben!$B$16,0)</f>
        <v>0</v>
      </c>
      <c r="F294" s="13" t="n">
        <f aca="false">IFERROR(E294*Eingaben!$B$15,0)</f>
        <v>0</v>
      </c>
      <c r="G294" s="13" t="n">
        <f aca="false">IFERROR(IF(Kalender!A294="",0,J293*(1-Eingaben!$B$20)),0)</f>
        <v>0.1809864</v>
      </c>
      <c r="H294" s="13" t="n">
        <f aca="false">MIN(G294,D294)</f>
        <v>0</v>
      </c>
      <c r="I294" s="13" t="n">
        <f aca="false">IFERROR(MIN(F294*Eingaben!$B$19,MAX(0,D294-H294)),0)</f>
        <v>0</v>
      </c>
      <c r="J294" s="13" t="n">
        <f aca="false">IFERROR(MIN(Eingaben!$B$18,MAX(0,F294-I294)),0)</f>
        <v>0</v>
      </c>
      <c r="K294" s="13" t="n">
        <f aca="false">H294+I294</f>
        <v>0</v>
      </c>
      <c r="L294" s="13" t="n">
        <f aca="false">MAX(0,D294-K294)</f>
        <v>0</v>
      </c>
      <c r="M294" s="13" t="n">
        <f aca="false">MAX(0,F294-I294-J294)</f>
        <v>0</v>
      </c>
      <c r="N294" s="13" t="n">
        <f aca="false">IF(Kalender!A294="",0,J293-H294)</f>
        <v>0.18468</v>
      </c>
    </row>
    <row r="295" customFormat="false" ht="16.4" hidden="false" customHeight="false" outlineLevel="0" collapsed="false">
      <c r="A295" s="13" t="str">
        <f aca="false">""</f>
        <v/>
      </c>
      <c r="B295" s="13" t="n">
        <f aca="false">291</f>
        <v>291</v>
      </c>
      <c r="C295" s="13" t="n">
        <f aca="false">IF(Szenarien!$H$8="OK",(IFERROR(SUMIF(Nutzungsprofile!$B$6:$B$11,"Schulbetrieb",Nutzungsprofile!$G$6:$G$11)*Kalender!C295/SUM(Kalender!$C$5:$C$370),0)+IFERROR(SUMIF(Nutzungsprofile!$B$6:$B$11,"Halle",Nutzungsprofile!$G$6:$G$11)*Kalender!D295/SUM(Kalender!$D$5:$D$370),0)+IFERROR(SUMIF(Nutzungsprofile!$B$6:$B$11,"Individuell",Nutzungsprofile!$G$6:$G$11)*Kalender!E295/SUM(Kalender!$E$5:$E$370),0))*Szenarien!$E$8,0)</f>
        <v>0</v>
      </c>
      <c r="D295" s="13" t="n">
        <f aca="false">IF(Szenarien!$H$8="OK",(IFERROR(SUMIF(Nutzungsprofile!$B$17:$B$22,"Schulbetrieb",Nutzungsprofile!$G$17:$G$22)*Kalender!C295/SUM(Kalender!$C$5:$C$370),0)+IFERROR(SUMIF(Nutzungsprofile!$B$17:$B$22,"Halle",Nutzungsprofile!$G$17:$G$22)*Kalender!D295/SUM(Kalender!$D$5:$D$370),0)+IFERROR(SUMIF(Nutzungsprofile!$B$17:$B$22,"Individuell",Nutzungsprofile!$G$17:$G$22)*Kalender!E295/SUM(Kalender!$E$5:$E$370),0))*Szenarien!$D$8,0)</f>
        <v>0</v>
      </c>
      <c r="E295" s="13" t="n">
        <f aca="false">IFERROR(MIN(C295,Eingaben!$B$17)*Eingaben!$B$16,0)</f>
        <v>0</v>
      </c>
      <c r="F295" s="13" t="n">
        <f aca="false">IFERROR(E295*Eingaben!$B$15,0)</f>
        <v>0</v>
      </c>
      <c r="G295" s="13" t="n">
        <f aca="false">IFERROR(IF(Kalender!A295="",0,J294*(1-Eingaben!$B$20)),0)</f>
        <v>0</v>
      </c>
      <c r="H295" s="13" t="n">
        <f aca="false">MIN(G295,D295)</f>
        <v>0</v>
      </c>
      <c r="I295" s="13" t="n">
        <f aca="false">IFERROR(MIN(F295*Eingaben!$B$19,MAX(0,D295-H295)),0)</f>
        <v>0</v>
      </c>
      <c r="J295" s="13" t="n">
        <f aca="false">IFERROR(MIN(Eingaben!$B$18,MAX(0,F295-I295)),0)</f>
        <v>0</v>
      </c>
      <c r="K295" s="13" t="n">
        <f aca="false">H295+I295</f>
        <v>0</v>
      </c>
      <c r="L295" s="13" t="n">
        <f aca="false">MAX(0,D295-K295)</f>
        <v>0</v>
      </c>
      <c r="M295" s="13" t="n">
        <f aca="false">MAX(0,F295-I295-J295)</f>
        <v>0</v>
      </c>
      <c r="N295" s="13" t="n">
        <f aca="false">IF(Kalender!A295="",0,J294-H295)</f>
        <v>0</v>
      </c>
    </row>
    <row r="296" customFormat="false" ht="16.4" hidden="false" customHeight="false" outlineLevel="0" collapsed="false">
      <c r="A296" s="13" t="str">
        <f aca="false">""</f>
        <v/>
      </c>
      <c r="B296" s="13" t="n">
        <f aca="false">292</f>
        <v>292</v>
      </c>
      <c r="C296" s="13" t="n">
        <f aca="false">IF(Szenarien!$H$8="OK",(IFERROR(SUMIF(Nutzungsprofile!$B$6:$B$11,"Schulbetrieb",Nutzungsprofile!$G$6:$G$11)*Kalender!C296/SUM(Kalender!$C$5:$C$370),0)+IFERROR(SUMIF(Nutzungsprofile!$B$6:$B$11,"Halle",Nutzungsprofile!$G$6:$G$11)*Kalender!D296/SUM(Kalender!$D$5:$D$370),0)+IFERROR(SUMIF(Nutzungsprofile!$B$6:$B$11,"Individuell",Nutzungsprofile!$G$6:$G$11)*Kalender!E296/SUM(Kalender!$E$5:$E$370),0))*Szenarien!$E$8,0)</f>
        <v>0.72</v>
      </c>
      <c r="D296" s="13" t="n">
        <f aca="false">IF(Szenarien!$H$8="OK",(IFERROR(SUMIF(Nutzungsprofile!$B$17:$B$22,"Schulbetrieb",Nutzungsprofile!$G$17:$G$22)*Kalender!C296/SUM(Kalender!$C$5:$C$370),0)+IFERROR(SUMIF(Nutzungsprofile!$B$17:$B$22,"Halle",Nutzungsprofile!$G$17:$G$22)*Kalender!D296/SUM(Kalender!$D$5:$D$370),0)+IFERROR(SUMIF(Nutzungsprofile!$B$17:$B$22,"Individuell",Nutzungsprofile!$G$17:$G$22)*Kalender!E296/SUM(Kalender!$E$5:$E$370),0))*Szenarien!$D$8,0)</f>
        <v>3.645</v>
      </c>
      <c r="E296" s="13" t="n">
        <f aca="false">IFERROR(MIN(C296,Eingaben!$B$17)*Eingaben!$B$16,0)</f>
        <v>0.684</v>
      </c>
      <c r="F296" s="13" t="n">
        <f aca="false">IFERROR(E296*Eingaben!$B$15,0)</f>
        <v>0.6156</v>
      </c>
      <c r="G296" s="13" t="n">
        <f aca="false">IFERROR(IF(Kalender!A296="",0,J295*(1-Eingaben!$B$20)),0)</f>
        <v>0</v>
      </c>
      <c r="H296" s="13" t="n">
        <f aca="false">MIN(G296,D296)</f>
        <v>0</v>
      </c>
      <c r="I296" s="13" t="n">
        <f aca="false">IFERROR(MIN(F296*Eingaben!$B$19,MAX(0,D296-H296)),0)</f>
        <v>0.43092</v>
      </c>
      <c r="J296" s="13" t="n">
        <f aca="false">IFERROR(MIN(Eingaben!$B$18,MAX(0,F296-I296)),0)</f>
        <v>0.18468</v>
      </c>
      <c r="K296" s="13" t="n">
        <f aca="false">H296+I296</f>
        <v>0.43092</v>
      </c>
      <c r="L296" s="13" t="n">
        <f aca="false">MAX(0,D296-K296)</f>
        <v>3.21408</v>
      </c>
      <c r="M296" s="13" t="n">
        <f aca="false">MAX(0,F296-I296-J296)</f>
        <v>0</v>
      </c>
      <c r="N296" s="13" t="n">
        <f aca="false">IF(Kalender!A296="",0,J295-H296)</f>
        <v>0</v>
      </c>
    </row>
    <row r="297" customFormat="false" ht="16.4" hidden="false" customHeight="false" outlineLevel="0" collapsed="false">
      <c r="A297" s="13" t="str">
        <f aca="false">""</f>
        <v/>
      </c>
      <c r="B297" s="13" t="n">
        <f aca="false">293</f>
        <v>293</v>
      </c>
      <c r="C297" s="13" t="n">
        <f aca="false">IF(Szenarien!$H$8="OK",(IFERROR(SUMIF(Nutzungsprofile!$B$6:$B$11,"Schulbetrieb",Nutzungsprofile!$G$6:$G$11)*Kalender!C297/SUM(Kalender!$C$5:$C$370),0)+IFERROR(SUMIF(Nutzungsprofile!$B$6:$B$11,"Halle",Nutzungsprofile!$G$6:$G$11)*Kalender!D297/SUM(Kalender!$D$5:$D$370),0)+IFERROR(SUMIF(Nutzungsprofile!$B$6:$B$11,"Individuell",Nutzungsprofile!$G$6:$G$11)*Kalender!E297/SUM(Kalender!$E$5:$E$370),0))*Szenarien!$E$8,0)</f>
        <v>0.72</v>
      </c>
      <c r="D297" s="13" t="n">
        <f aca="false">IF(Szenarien!$H$8="OK",(IFERROR(SUMIF(Nutzungsprofile!$B$17:$B$22,"Schulbetrieb",Nutzungsprofile!$G$17:$G$22)*Kalender!C297/SUM(Kalender!$C$5:$C$370),0)+IFERROR(SUMIF(Nutzungsprofile!$B$17:$B$22,"Halle",Nutzungsprofile!$G$17:$G$22)*Kalender!D297/SUM(Kalender!$D$5:$D$370),0)+IFERROR(SUMIF(Nutzungsprofile!$B$17:$B$22,"Individuell",Nutzungsprofile!$G$17:$G$22)*Kalender!E297/SUM(Kalender!$E$5:$E$370),0))*Szenarien!$D$8,0)</f>
        <v>3.645</v>
      </c>
      <c r="E297" s="13" t="n">
        <f aca="false">IFERROR(MIN(C297,Eingaben!$B$17)*Eingaben!$B$16,0)</f>
        <v>0.684</v>
      </c>
      <c r="F297" s="13" t="n">
        <f aca="false">IFERROR(E297*Eingaben!$B$15,0)</f>
        <v>0.6156</v>
      </c>
      <c r="G297" s="13" t="n">
        <f aca="false">IFERROR(IF(Kalender!A297="",0,J296*(1-Eingaben!$B$20)),0)</f>
        <v>0.1809864</v>
      </c>
      <c r="H297" s="13" t="n">
        <f aca="false">MIN(G297,D297)</f>
        <v>0.1809864</v>
      </c>
      <c r="I297" s="13" t="n">
        <f aca="false">IFERROR(MIN(F297*Eingaben!$B$19,MAX(0,D297-H297)),0)</f>
        <v>0.43092</v>
      </c>
      <c r="J297" s="13" t="n">
        <f aca="false">IFERROR(MIN(Eingaben!$B$18,MAX(0,F297-I297)),0)</f>
        <v>0.18468</v>
      </c>
      <c r="K297" s="13" t="n">
        <f aca="false">H297+I297</f>
        <v>0.6119064</v>
      </c>
      <c r="L297" s="13" t="n">
        <f aca="false">MAX(0,D297-K297)</f>
        <v>3.0330936</v>
      </c>
      <c r="M297" s="13" t="n">
        <f aca="false">MAX(0,F297-I297-J297)</f>
        <v>0</v>
      </c>
      <c r="N297" s="13" t="n">
        <f aca="false">IF(Kalender!A297="",0,J296-H297)</f>
        <v>0.00369359999999999</v>
      </c>
    </row>
    <row r="298" customFormat="false" ht="16.4" hidden="false" customHeight="false" outlineLevel="0" collapsed="false">
      <c r="A298" s="13" t="str">
        <f aca="false">""</f>
        <v/>
      </c>
      <c r="B298" s="13" t="n">
        <f aca="false">294</f>
        <v>294</v>
      </c>
      <c r="C298" s="13" t="n">
        <f aca="false">IF(Szenarien!$H$8="OK",(IFERROR(SUMIF(Nutzungsprofile!$B$6:$B$11,"Schulbetrieb",Nutzungsprofile!$G$6:$G$11)*Kalender!C298/SUM(Kalender!$C$5:$C$370),0)+IFERROR(SUMIF(Nutzungsprofile!$B$6:$B$11,"Halle",Nutzungsprofile!$G$6:$G$11)*Kalender!D298/SUM(Kalender!$D$5:$D$370),0)+IFERROR(SUMIF(Nutzungsprofile!$B$6:$B$11,"Individuell",Nutzungsprofile!$G$6:$G$11)*Kalender!E298/SUM(Kalender!$E$5:$E$370),0))*Szenarien!$E$8,0)</f>
        <v>0.72</v>
      </c>
      <c r="D298" s="13" t="n">
        <f aca="false">IF(Szenarien!$H$8="OK",(IFERROR(SUMIF(Nutzungsprofile!$B$17:$B$22,"Schulbetrieb",Nutzungsprofile!$G$17:$G$22)*Kalender!C298/SUM(Kalender!$C$5:$C$370),0)+IFERROR(SUMIF(Nutzungsprofile!$B$17:$B$22,"Halle",Nutzungsprofile!$G$17:$G$22)*Kalender!D298/SUM(Kalender!$D$5:$D$370),0)+IFERROR(SUMIF(Nutzungsprofile!$B$17:$B$22,"Individuell",Nutzungsprofile!$G$17:$G$22)*Kalender!E298/SUM(Kalender!$E$5:$E$370),0))*Szenarien!$D$8,0)</f>
        <v>3.645</v>
      </c>
      <c r="E298" s="13" t="n">
        <f aca="false">IFERROR(MIN(C298,Eingaben!$B$17)*Eingaben!$B$16,0)</f>
        <v>0.684</v>
      </c>
      <c r="F298" s="13" t="n">
        <f aca="false">IFERROR(E298*Eingaben!$B$15,0)</f>
        <v>0.6156</v>
      </c>
      <c r="G298" s="13" t="n">
        <f aca="false">IFERROR(IF(Kalender!A298="",0,J297*(1-Eingaben!$B$20)),0)</f>
        <v>0.1809864</v>
      </c>
      <c r="H298" s="13" t="n">
        <f aca="false">MIN(G298,D298)</f>
        <v>0.1809864</v>
      </c>
      <c r="I298" s="13" t="n">
        <f aca="false">IFERROR(MIN(F298*Eingaben!$B$19,MAX(0,D298-H298)),0)</f>
        <v>0.43092</v>
      </c>
      <c r="J298" s="13" t="n">
        <f aca="false">IFERROR(MIN(Eingaben!$B$18,MAX(0,F298-I298)),0)</f>
        <v>0.18468</v>
      </c>
      <c r="K298" s="13" t="n">
        <f aca="false">H298+I298</f>
        <v>0.6119064</v>
      </c>
      <c r="L298" s="13" t="n">
        <f aca="false">MAX(0,D298-K298)</f>
        <v>3.0330936</v>
      </c>
      <c r="M298" s="13" t="n">
        <f aca="false">MAX(0,F298-I298-J298)</f>
        <v>0</v>
      </c>
      <c r="N298" s="13" t="n">
        <f aca="false">IF(Kalender!A298="",0,J297-H298)</f>
        <v>0.00369359999999999</v>
      </c>
    </row>
    <row r="299" customFormat="false" ht="16.4" hidden="false" customHeight="false" outlineLevel="0" collapsed="false">
      <c r="A299" s="13" t="str">
        <f aca="false">""</f>
        <v/>
      </c>
      <c r="B299" s="13" t="n">
        <f aca="false">295</f>
        <v>295</v>
      </c>
      <c r="C299" s="13" t="n">
        <f aca="false">IF(Szenarien!$H$8="OK",(IFERROR(SUMIF(Nutzungsprofile!$B$6:$B$11,"Schulbetrieb",Nutzungsprofile!$G$6:$G$11)*Kalender!C299/SUM(Kalender!$C$5:$C$370),0)+IFERROR(SUMIF(Nutzungsprofile!$B$6:$B$11,"Halle",Nutzungsprofile!$G$6:$G$11)*Kalender!D299/SUM(Kalender!$D$5:$D$370),0)+IFERROR(SUMIF(Nutzungsprofile!$B$6:$B$11,"Individuell",Nutzungsprofile!$G$6:$G$11)*Kalender!E299/SUM(Kalender!$E$5:$E$370),0))*Szenarien!$E$8,0)</f>
        <v>0.72</v>
      </c>
      <c r="D299" s="13" t="n">
        <f aca="false">IF(Szenarien!$H$8="OK",(IFERROR(SUMIF(Nutzungsprofile!$B$17:$B$22,"Schulbetrieb",Nutzungsprofile!$G$17:$G$22)*Kalender!C299/SUM(Kalender!$C$5:$C$370),0)+IFERROR(SUMIF(Nutzungsprofile!$B$17:$B$22,"Halle",Nutzungsprofile!$G$17:$G$22)*Kalender!D299/SUM(Kalender!$D$5:$D$370),0)+IFERROR(SUMIF(Nutzungsprofile!$B$17:$B$22,"Individuell",Nutzungsprofile!$G$17:$G$22)*Kalender!E299/SUM(Kalender!$E$5:$E$370),0))*Szenarien!$D$8,0)</f>
        <v>3.645</v>
      </c>
      <c r="E299" s="13" t="n">
        <f aca="false">IFERROR(MIN(C299,Eingaben!$B$17)*Eingaben!$B$16,0)</f>
        <v>0.684</v>
      </c>
      <c r="F299" s="13" t="n">
        <f aca="false">IFERROR(E299*Eingaben!$B$15,0)</f>
        <v>0.6156</v>
      </c>
      <c r="G299" s="13" t="n">
        <f aca="false">IFERROR(IF(Kalender!A299="",0,J298*(1-Eingaben!$B$20)),0)</f>
        <v>0.1809864</v>
      </c>
      <c r="H299" s="13" t="n">
        <f aca="false">MIN(G299,D299)</f>
        <v>0.1809864</v>
      </c>
      <c r="I299" s="13" t="n">
        <f aca="false">IFERROR(MIN(F299*Eingaben!$B$19,MAX(0,D299-H299)),0)</f>
        <v>0.43092</v>
      </c>
      <c r="J299" s="13" t="n">
        <f aca="false">IFERROR(MIN(Eingaben!$B$18,MAX(0,F299-I299)),0)</f>
        <v>0.18468</v>
      </c>
      <c r="K299" s="13" t="n">
        <f aca="false">H299+I299</f>
        <v>0.6119064</v>
      </c>
      <c r="L299" s="13" t="n">
        <f aca="false">MAX(0,D299-K299)</f>
        <v>3.0330936</v>
      </c>
      <c r="M299" s="13" t="n">
        <f aca="false">MAX(0,F299-I299-J299)</f>
        <v>0</v>
      </c>
      <c r="N299" s="13" t="n">
        <f aca="false">IF(Kalender!A299="",0,J298-H299)</f>
        <v>0.00369359999999999</v>
      </c>
    </row>
    <row r="300" customFormat="false" ht="16.4" hidden="false" customHeight="false" outlineLevel="0" collapsed="false">
      <c r="A300" s="13" t="str">
        <f aca="false">""</f>
        <v/>
      </c>
      <c r="B300" s="13" t="n">
        <f aca="false">296</f>
        <v>296</v>
      </c>
      <c r="C300" s="13" t="n">
        <f aca="false">IF(Szenarien!$H$8="OK",(IFERROR(SUMIF(Nutzungsprofile!$B$6:$B$11,"Schulbetrieb",Nutzungsprofile!$G$6:$G$11)*Kalender!C300/SUM(Kalender!$C$5:$C$370),0)+IFERROR(SUMIF(Nutzungsprofile!$B$6:$B$11,"Halle",Nutzungsprofile!$G$6:$G$11)*Kalender!D300/SUM(Kalender!$D$5:$D$370),0)+IFERROR(SUMIF(Nutzungsprofile!$B$6:$B$11,"Individuell",Nutzungsprofile!$G$6:$G$11)*Kalender!E300/SUM(Kalender!$E$5:$E$370),0))*Szenarien!$E$8,0)</f>
        <v>0.72</v>
      </c>
      <c r="D300" s="13" t="n">
        <f aca="false">IF(Szenarien!$H$8="OK",(IFERROR(SUMIF(Nutzungsprofile!$B$17:$B$22,"Schulbetrieb",Nutzungsprofile!$G$17:$G$22)*Kalender!C300/SUM(Kalender!$C$5:$C$370),0)+IFERROR(SUMIF(Nutzungsprofile!$B$17:$B$22,"Halle",Nutzungsprofile!$G$17:$G$22)*Kalender!D300/SUM(Kalender!$D$5:$D$370),0)+IFERROR(SUMIF(Nutzungsprofile!$B$17:$B$22,"Individuell",Nutzungsprofile!$G$17:$G$22)*Kalender!E300/SUM(Kalender!$E$5:$E$370),0))*Szenarien!$D$8,0)</f>
        <v>3.645</v>
      </c>
      <c r="E300" s="13" t="n">
        <f aca="false">IFERROR(MIN(C300,Eingaben!$B$17)*Eingaben!$B$16,0)</f>
        <v>0.684</v>
      </c>
      <c r="F300" s="13" t="n">
        <f aca="false">IFERROR(E300*Eingaben!$B$15,0)</f>
        <v>0.6156</v>
      </c>
      <c r="G300" s="13" t="n">
        <f aca="false">IFERROR(IF(Kalender!A300="",0,J299*(1-Eingaben!$B$20)),0)</f>
        <v>0.1809864</v>
      </c>
      <c r="H300" s="13" t="n">
        <f aca="false">MIN(G300,D300)</f>
        <v>0.1809864</v>
      </c>
      <c r="I300" s="13" t="n">
        <f aca="false">IFERROR(MIN(F300*Eingaben!$B$19,MAX(0,D300-H300)),0)</f>
        <v>0.43092</v>
      </c>
      <c r="J300" s="13" t="n">
        <f aca="false">IFERROR(MIN(Eingaben!$B$18,MAX(0,F300-I300)),0)</f>
        <v>0.18468</v>
      </c>
      <c r="K300" s="13" t="n">
        <f aca="false">H300+I300</f>
        <v>0.6119064</v>
      </c>
      <c r="L300" s="13" t="n">
        <f aca="false">MAX(0,D300-K300)</f>
        <v>3.0330936</v>
      </c>
      <c r="M300" s="13" t="n">
        <f aca="false">MAX(0,F300-I300-J300)</f>
        <v>0</v>
      </c>
      <c r="N300" s="13" t="n">
        <f aca="false">IF(Kalender!A300="",0,J299-H300)</f>
        <v>0.00369359999999999</v>
      </c>
    </row>
    <row r="301" customFormat="false" ht="16.4" hidden="false" customHeight="false" outlineLevel="0" collapsed="false">
      <c r="A301" s="13" t="str">
        <f aca="false">""</f>
        <v/>
      </c>
      <c r="B301" s="13" t="n">
        <f aca="false">297</f>
        <v>297</v>
      </c>
      <c r="C301" s="13" t="n">
        <f aca="false">IF(Szenarien!$H$8="OK",(IFERROR(SUMIF(Nutzungsprofile!$B$6:$B$11,"Schulbetrieb",Nutzungsprofile!$G$6:$G$11)*Kalender!C301/SUM(Kalender!$C$5:$C$370),0)+IFERROR(SUMIF(Nutzungsprofile!$B$6:$B$11,"Halle",Nutzungsprofile!$G$6:$G$11)*Kalender!D301/SUM(Kalender!$D$5:$D$370),0)+IFERROR(SUMIF(Nutzungsprofile!$B$6:$B$11,"Individuell",Nutzungsprofile!$G$6:$G$11)*Kalender!E301/SUM(Kalender!$E$5:$E$370),0))*Szenarien!$E$8,0)</f>
        <v>0</v>
      </c>
      <c r="D301" s="13" t="n">
        <f aca="false">IF(Szenarien!$H$8="OK",(IFERROR(SUMIF(Nutzungsprofile!$B$17:$B$22,"Schulbetrieb",Nutzungsprofile!$G$17:$G$22)*Kalender!C301/SUM(Kalender!$C$5:$C$370),0)+IFERROR(SUMIF(Nutzungsprofile!$B$17:$B$22,"Halle",Nutzungsprofile!$G$17:$G$22)*Kalender!D301/SUM(Kalender!$D$5:$D$370),0)+IFERROR(SUMIF(Nutzungsprofile!$B$17:$B$22,"Individuell",Nutzungsprofile!$G$17:$G$22)*Kalender!E301/SUM(Kalender!$E$5:$E$370),0))*Szenarien!$D$8,0)</f>
        <v>0</v>
      </c>
      <c r="E301" s="13" t="n">
        <f aca="false">IFERROR(MIN(C301,Eingaben!$B$17)*Eingaben!$B$16,0)</f>
        <v>0</v>
      </c>
      <c r="F301" s="13" t="n">
        <f aca="false">IFERROR(E301*Eingaben!$B$15,0)</f>
        <v>0</v>
      </c>
      <c r="G301" s="13" t="n">
        <f aca="false">IFERROR(IF(Kalender!A301="",0,J300*(1-Eingaben!$B$20)),0)</f>
        <v>0.1809864</v>
      </c>
      <c r="H301" s="13" t="n">
        <f aca="false">MIN(G301,D301)</f>
        <v>0</v>
      </c>
      <c r="I301" s="13" t="n">
        <f aca="false">IFERROR(MIN(F301*Eingaben!$B$19,MAX(0,D301-H301)),0)</f>
        <v>0</v>
      </c>
      <c r="J301" s="13" t="n">
        <f aca="false">IFERROR(MIN(Eingaben!$B$18,MAX(0,F301-I301)),0)</f>
        <v>0</v>
      </c>
      <c r="K301" s="13" t="n">
        <f aca="false">H301+I301</f>
        <v>0</v>
      </c>
      <c r="L301" s="13" t="n">
        <f aca="false">MAX(0,D301-K301)</f>
        <v>0</v>
      </c>
      <c r="M301" s="13" t="n">
        <f aca="false">MAX(0,F301-I301-J301)</f>
        <v>0</v>
      </c>
      <c r="N301" s="13" t="n">
        <f aca="false">IF(Kalender!A301="",0,J300-H301)</f>
        <v>0.18468</v>
      </c>
    </row>
    <row r="302" customFormat="false" ht="16.4" hidden="false" customHeight="false" outlineLevel="0" collapsed="false">
      <c r="A302" s="13" t="str">
        <f aca="false">""</f>
        <v/>
      </c>
      <c r="B302" s="13" t="n">
        <f aca="false">298</f>
        <v>298</v>
      </c>
      <c r="C302" s="13" t="n">
        <f aca="false">IF(Szenarien!$H$8="OK",(IFERROR(SUMIF(Nutzungsprofile!$B$6:$B$11,"Schulbetrieb",Nutzungsprofile!$G$6:$G$11)*Kalender!C302/SUM(Kalender!$C$5:$C$370),0)+IFERROR(SUMIF(Nutzungsprofile!$B$6:$B$11,"Halle",Nutzungsprofile!$G$6:$G$11)*Kalender!D302/SUM(Kalender!$D$5:$D$370),0)+IFERROR(SUMIF(Nutzungsprofile!$B$6:$B$11,"Individuell",Nutzungsprofile!$G$6:$G$11)*Kalender!E302/SUM(Kalender!$E$5:$E$370),0))*Szenarien!$E$8,0)</f>
        <v>0</v>
      </c>
      <c r="D302" s="13" t="n">
        <f aca="false">IF(Szenarien!$H$8="OK",(IFERROR(SUMIF(Nutzungsprofile!$B$17:$B$22,"Schulbetrieb",Nutzungsprofile!$G$17:$G$22)*Kalender!C302/SUM(Kalender!$C$5:$C$370),0)+IFERROR(SUMIF(Nutzungsprofile!$B$17:$B$22,"Halle",Nutzungsprofile!$G$17:$G$22)*Kalender!D302/SUM(Kalender!$D$5:$D$370),0)+IFERROR(SUMIF(Nutzungsprofile!$B$17:$B$22,"Individuell",Nutzungsprofile!$G$17:$G$22)*Kalender!E302/SUM(Kalender!$E$5:$E$370),0))*Szenarien!$D$8,0)</f>
        <v>0</v>
      </c>
      <c r="E302" s="13" t="n">
        <f aca="false">IFERROR(MIN(C302,Eingaben!$B$17)*Eingaben!$B$16,0)</f>
        <v>0</v>
      </c>
      <c r="F302" s="13" t="n">
        <f aca="false">IFERROR(E302*Eingaben!$B$15,0)</f>
        <v>0</v>
      </c>
      <c r="G302" s="13" t="n">
        <f aca="false">IFERROR(IF(Kalender!A302="",0,J301*(1-Eingaben!$B$20)),0)</f>
        <v>0</v>
      </c>
      <c r="H302" s="13" t="n">
        <f aca="false">MIN(G302,D302)</f>
        <v>0</v>
      </c>
      <c r="I302" s="13" t="n">
        <f aca="false">IFERROR(MIN(F302*Eingaben!$B$19,MAX(0,D302-H302)),0)</f>
        <v>0</v>
      </c>
      <c r="J302" s="13" t="n">
        <f aca="false">IFERROR(MIN(Eingaben!$B$18,MAX(0,F302-I302)),0)</f>
        <v>0</v>
      </c>
      <c r="K302" s="13" t="n">
        <f aca="false">H302+I302</f>
        <v>0</v>
      </c>
      <c r="L302" s="13" t="n">
        <f aca="false">MAX(0,D302-K302)</f>
        <v>0</v>
      </c>
      <c r="M302" s="13" t="n">
        <f aca="false">MAX(0,F302-I302-J302)</f>
        <v>0</v>
      </c>
      <c r="N302" s="13" t="n">
        <f aca="false">IF(Kalender!A302="",0,J301-H302)</f>
        <v>0</v>
      </c>
    </row>
    <row r="303" customFormat="false" ht="16.4" hidden="false" customHeight="false" outlineLevel="0" collapsed="false">
      <c r="A303" s="13" t="str">
        <f aca="false">""</f>
        <v/>
      </c>
      <c r="B303" s="13" t="n">
        <f aca="false">299</f>
        <v>299</v>
      </c>
      <c r="C303" s="13" t="n">
        <f aca="false">IF(Szenarien!$H$8="OK",(IFERROR(SUMIF(Nutzungsprofile!$B$6:$B$11,"Schulbetrieb",Nutzungsprofile!$G$6:$G$11)*Kalender!C303/SUM(Kalender!$C$5:$C$370),0)+IFERROR(SUMIF(Nutzungsprofile!$B$6:$B$11,"Halle",Nutzungsprofile!$G$6:$G$11)*Kalender!D303/SUM(Kalender!$D$5:$D$370),0)+IFERROR(SUMIF(Nutzungsprofile!$B$6:$B$11,"Individuell",Nutzungsprofile!$G$6:$G$11)*Kalender!E303/SUM(Kalender!$E$5:$E$370),0))*Szenarien!$E$8,0)</f>
        <v>0.72</v>
      </c>
      <c r="D303" s="13" t="n">
        <f aca="false">IF(Szenarien!$H$8="OK",(IFERROR(SUMIF(Nutzungsprofile!$B$17:$B$22,"Schulbetrieb",Nutzungsprofile!$G$17:$G$22)*Kalender!C303/SUM(Kalender!$C$5:$C$370),0)+IFERROR(SUMIF(Nutzungsprofile!$B$17:$B$22,"Halle",Nutzungsprofile!$G$17:$G$22)*Kalender!D303/SUM(Kalender!$D$5:$D$370),0)+IFERROR(SUMIF(Nutzungsprofile!$B$17:$B$22,"Individuell",Nutzungsprofile!$G$17:$G$22)*Kalender!E303/SUM(Kalender!$E$5:$E$370),0))*Szenarien!$D$8,0)</f>
        <v>3.645</v>
      </c>
      <c r="E303" s="13" t="n">
        <f aca="false">IFERROR(MIN(C303,Eingaben!$B$17)*Eingaben!$B$16,0)</f>
        <v>0.684</v>
      </c>
      <c r="F303" s="13" t="n">
        <f aca="false">IFERROR(E303*Eingaben!$B$15,0)</f>
        <v>0.6156</v>
      </c>
      <c r="G303" s="13" t="n">
        <f aca="false">IFERROR(IF(Kalender!A303="",0,J302*(1-Eingaben!$B$20)),0)</f>
        <v>0</v>
      </c>
      <c r="H303" s="13" t="n">
        <f aca="false">MIN(G303,D303)</f>
        <v>0</v>
      </c>
      <c r="I303" s="13" t="n">
        <f aca="false">IFERROR(MIN(F303*Eingaben!$B$19,MAX(0,D303-H303)),0)</f>
        <v>0.43092</v>
      </c>
      <c r="J303" s="13" t="n">
        <f aca="false">IFERROR(MIN(Eingaben!$B$18,MAX(0,F303-I303)),0)</f>
        <v>0.18468</v>
      </c>
      <c r="K303" s="13" t="n">
        <f aca="false">H303+I303</f>
        <v>0.43092</v>
      </c>
      <c r="L303" s="13" t="n">
        <f aca="false">MAX(0,D303-K303)</f>
        <v>3.21408</v>
      </c>
      <c r="M303" s="13" t="n">
        <f aca="false">MAX(0,F303-I303-J303)</f>
        <v>0</v>
      </c>
      <c r="N303" s="13" t="n">
        <f aca="false">IF(Kalender!A303="",0,J302-H303)</f>
        <v>0</v>
      </c>
    </row>
    <row r="304" customFormat="false" ht="16.4" hidden="false" customHeight="false" outlineLevel="0" collapsed="false">
      <c r="A304" s="13" t="str">
        <f aca="false">""</f>
        <v/>
      </c>
      <c r="B304" s="13" t="n">
        <f aca="false">300</f>
        <v>300</v>
      </c>
      <c r="C304" s="13" t="n">
        <f aca="false">IF(Szenarien!$H$8="OK",(IFERROR(SUMIF(Nutzungsprofile!$B$6:$B$11,"Schulbetrieb",Nutzungsprofile!$G$6:$G$11)*Kalender!C304/SUM(Kalender!$C$5:$C$370),0)+IFERROR(SUMIF(Nutzungsprofile!$B$6:$B$11,"Halle",Nutzungsprofile!$G$6:$G$11)*Kalender!D304/SUM(Kalender!$D$5:$D$370),0)+IFERROR(SUMIF(Nutzungsprofile!$B$6:$B$11,"Individuell",Nutzungsprofile!$G$6:$G$11)*Kalender!E304/SUM(Kalender!$E$5:$E$370),0))*Szenarien!$E$8,0)</f>
        <v>0.72</v>
      </c>
      <c r="D304" s="13" t="n">
        <f aca="false">IF(Szenarien!$H$8="OK",(IFERROR(SUMIF(Nutzungsprofile!$B$17:$B$22,"Schulbetrieb",Nutzungsprofile!$G$17:$G$22)*Kalender!C304/SUM(Kalender!$C$5:$C$370),0)+IFERROR(SUMIF(Nutzungsprofile!$B$17:$B$22,"Halle",Nutzungsprofile!$G$17:$G$22)*Kalender!D304/SUM(Kalender!$D$5:$D$370),0)+IFERROR(SUMIF(Nutzungsprofile!$B$17:$B$22,"Individuell",Nutzungsprofile!$G$17:$G$22)*Kalender!E304/SUM(Kalender!$E$5:$E$370),0))*Szenarien!$D$8,0)</f>
        <v>3.645</v>
      </c>
      <c r="E304" s="13" t="n">
        <f aca="false">IFERROR(MIN(C304,Eingaben!$B$17)*Eingaben!$B$16,0)</f>
        <v>0.684</v>
      </c>
      <c r="F304" s="13" t="n">
        <f aca="false">IFERROR(E304*Eingaben!$B$15,0)</f>
        <v>0.6156</v>
      </c>
      <c r="G304" s="13" t="n">
        <f aca="false">IFERROR(IF(Kalender!A304="",0,J303*(1-Eingaben!$B$20)),0)</f>
        <v>0.1809864</v>
      </c>
      <c r="H304" s="13" t="n">
        <f aca="false">MIN(G304,D304)</f>
        <v>0.1809864</v>
      </c>
      <c r="I304" s="13" t="n">
        <f aca="false">IFERROR(MIN(F304*Eingaben!$B$19,MAX(0,D304-H304)),0)</f>
        <v>0.43092</v>
      </c>
      <c r="J304" s="13" t="n">
        <f aca="false">IFERROR(MIN(Eingaben!$B$18,MAX(0,F304-I304)),0)</f>
        <v>0.18468</v>
      </c>
      <c r="K304" s="13" t="n">
        <f aca="false">H304+I304</f>
        <v>0.6119064</v>
      </c>
      <c r="L304" s="13" t="n">
        <f aca="false">MAX(0,D304-K304)</f>
        <v>3.0330936</v>
      </c>
      <c r="M304" s="13" t="n">
        <f aca="false">MAX(0,F304-I304-J304)</f>
        <v>0</v>
      </c>
      <c r="N304" s="13" t="n">
        <f aca="false">IF(Kalender!A304="",0,J303-H304)</f>
        <v>0.00369359999999999</v>
      </c>
    </row>
    <row r="305" customFormat="false" ht="16.4" hidden="false" customHeight="false" outlineLevel="0" collapsed="false">
      <c r="A305" s="13" t="str">
        <f aca="false">""</f>
        <v/>
      </c>
      <c r="B305" s="13" t="n">
        <f aca="false">301</f>
        <v>301</v>
      </c>
      <c r="C305" s="13" t="n">
        <f aca="false">IF(Szenarien!$H$8="OK",(IFERROR(SUMIF(Nutzungsprofile!$B$6:$B$11,"Schulbetrieb",Nutzungsprofile!$G$6:$G$11)*Kalender!C305/SUM(Kalender!$C$5:$C$370),0)+IFERROR(SUMIF(Nutzungsprofile!$B$6:$B$11,"Halle",Nutzungsprofile!$G$6:$G$11)*Kalender!D305/SUM(Kalender!$D$5:$D$370),0)+IFERROR(SUMIF(Nutzungsprofile!$B$6:$B$11,"Individuell",Nutzungsprofile!$G$6:$G$11)*Kalender!E305/SUM(Kalender!$E$5:$E$370),0))*Szenarien!$E$8,0)</f>
        <v>0.72</v>
      </c>
      <c r="D305" s="13" t="n">
        <f aca="false">IF(Szenarien!$H$8="OK",(IFERROR(SUMIF(Nutzungsprofile!$B$17:$B$22,"Schulbetrieb",Nutzungsprofile!$G$17:$G$22)*Kalender!C305/SUM(Kalender!$C$5:$C$370),0)+IFERROR(SUMIF(Nutzungsprofile!$B$17:$B$22,"Halle",Nutzungsprofile!$G$17:$G$22)*Kalender!D305/SUM(Kalender!$D$5:$D$370),0)+IFERROR(SUMIF(Nutzungsprofile!$B$17:$B$22,"Individuell",Nutzungsprofile!$G$17:$G$22)*Kalender!E305/SUM(Kalender!$E$5:$E$370),0))*Szenarien!$D$8,0)</f>
        <v>3.645</v>
      </c>
      <c r="E305" s="13" t="n">
        <f aca="false">IFERROR(MIN(C305,Eingaben!$B$17)*Eingaben!$B$16,0)</f>
        <v>0.684</v>
      </c>
      <c r="F305" s="13" t="n">
        <f aca="false">IFERROR(E305*Eingaben!$B$15,0)</f>
        <v>0.6156</v>
      </c>
      <c r="G305" s="13" t="n">
        <f aca="false">IFERROR(IF(Kalender!A305="",0,J304*(1-Eingaben!$B$20)),0)</f>
        <v>0.1809864</v>
      </c>
      <c r="H305" s="13" t="n">
        <f aca="false">MIN(G305,D305)</f>
        <v>0.1809864</v>
      </c>
      <c r="I305" s="13" t="n">
        <f aca="false">IFERROR(MIN(F305*Eingaben!$B$19,MAX(0,D305-H305)),0)</f>
        <v>0.43092</v>
      </c>
      <c r="J305" s="13" t="n">
        <f aca="false">IFERROR(MIN(Eingaben!$B$18,MAX(0,F305-I305)),0)</f>
        <v>0.18468</v>
      </c>
      <c r="K305" s="13" t="n">
        <f aca="false">H305+I305</f>
        <v>0.6119064</v>
      </c>
      <c r="L305" s="13" t="n">
        <f aca="false">MAX(0,D305-K305)</f>
        <v>3.0330936</v>
      </c>
      <c r="M305" s="13" t="n">
        <f aca="false">MAX(0,F305-I305-J305)</f>
        <v>0</v>
      </c>
      <c r="N305" s="13" t="n">
        <f aca="false">IF(Kalender!A305="",0,J304-H305)</f>
        <v>0.00369359999999999</v>
      </c>
    </row>
    <row r="306" customFormat="false" ht="16.4" hidden="false" customHeight="false" outlineLevel="0" collapsed="false">
      <c r="A306" s="13" t="str">
        <f aca="false">""</f>
        <v/>
      </c>
      <c r="B306" s="13" t="n">
        <f aca="false">302</f>
        <v>302</v>
      </c>
      <c r="C306" s="13" t="n">
        <f aca="false">IF(Szenarien!$H$8="OK",(IFERROR(SUMIF(Nutzungsprofile!$B$6:$B$11,"Schulbetrieb",Nutzungsprofile!$G$6:$G$11)*Kalender!C306/SUM(Kalender!$C$5:$C$370),0)+IFERROR(SUMIF(Nutzungsprofile!$B$6:$B$11,"Halle",Nutzungsprofile!$G$6:$G$11)*Kalender!D306/SUM(Kalender!$D$5:$D$370),0)+IFERROR(SUMIF(Nutzungsprofile!$B$6:$B$11,"Individuell",Nutzungsprofile!$G$6:$G$11)*Kalender!E306/SUM(Kalender!$E$5:$E$370),0))*Szenarien!$E$8,0)</f>
        <v>0.72</v>
      </c>
      <c r="D306" s="13" t="n">
        <f aca="false">IF(Szenarien!$H$8="OK",(IFERROR(SUMIF(Nutzungsprofile!$B$17:$B$22,"Schulbetrieb",Nutzungsprofile!$G$17:$G$22)*Kalender!C306/SUM(Kalender!$C$5:$C$370),0)+IFERROR(SUMIF(Nutzungsprofile!$B$17:$B$22,"Halle",Nutzungsprofile!$G$17:$G$22)*Kalender!D306/SUM(Kalender!$D$5:$D$370),0)+IFERROR(SUMIF(Nutzungsprofile!$B$17:$B$22,"Individuell",Nutzungsprofile!$G$17:$G$22)*Kalender!E306/SUM(Kalender!$E$5:$E$370),0))*Szenarien!$D$8,0)</f>
        <v>3.645</v>
      </c>
      <c r="E306" s="13" t="n">
        <f aca="false">IFERROR(MIN(C306,Eingaben!$B$17)*Eingaben!$B$16,0)</f>
        <v>0.684</v>
      </c>
      <c r="F306" s="13" t="n">
        <f aca="false">IFERROR(E306*Eingaben!$B$15,0)</f>
        <v>0.6156</v>
      </c>
      <c r="G306" s="13" t="n">
        <f aca="false">IFERROR(IF(Kalender!A306="",0,J305*(1-Eingaben!$B$20)),0)</f>
        <v>0.1809864</v>
      </c>
      <c r="H306" s="13" t="n">
        <f aca="false">MIN(G306,D306)</f>
        <v>0.1809864</v>
      </c>
      <c r="I306" s="13" t="n">
        <f aca="false">IFERROR(MIN(F306*Eingaben!$B$19,MAX(0,D306-H306)),0)</f>
        <v>0.43092</v>
      </c>
      <c r="J306" s="13" t="n">
        <f aca="false">IFERROR(MIN(Eingaben!$B$18,MAX(0,F306-I306)),0)</f>
        <v>0.18468</v>
      </c>
      <c r="K306" s="13" t="n">
        <f aca="false">H306+I306</f>
        <v>0.6119064</v>
      </c>
      <c r="L306" s="13" t="n">
        <f aca="false">MAX(0,D306-K306)</f>
        <v>3.0330936</v>
      </c>
      <c r="M306" s="13" t="n">
        <f aca="false">MAX(0,F306-I306-J306)</f>
        <v>0</v>
      </c>
      <c r="N306" s="13" t="n">
        <f aca="false">IF(Kalender!A306="",0,J305-H306)</f>
        <v>0.00369359999999999</v>
      </c>
    </row>
    <row r="307" customFormat="false" ht="16.4" hidden="false" customHeight="false" outlineLevel="0" collapsed="false">
      <c r="A307" s="13" t="str">
        <f aca="false">""</f>
        <v/>
      </c>
      <c r="B307" s="13" t="n">
        <f aca="false">303</f>
        <v>303</v>
      </c>
      <c r="C307" s="13" t="n">
        <f aca="false">IF(Szenarien!$H$8="OK",(IFERROR(SUMIF(Nutzungsprofile!$B$6:$B$11,"Schulbetrieb",Nutzungsprofile!$G$6:$G$11)*Kalender!C307/SUM(Kalender!$C$5:$C$370),0)+IFERROR(SUMIF(Nutzungsprofile!$B$6:$B$11,"Halle",Nutzungsprofile!$G$6:$G$11)*Kalender!D307/SUM(Kalender!$D$5:$D$370),0)+IFERROR(SUMIF(Nutzungsprofile!$B$6:$B$11,"Individuell",Nutzungsprofile!$G$6:$G$11)*Kalender!E307/SUM(Kalender!$E$5:$E$370),0))*Szenarien!$E$8,0)</f>
        <v>0.72</v>
      </c>
      <c r="D307" s="13" t="n">
        <f aca="false">IF(Szenarien!$H$8="OK",(IFERROR(SUMIF(Nutzungsprofile!$B$17:$B$22,"Schulbetrieb",Nutzungsprofile!$G$17:$G$22)*Kalender!C307/SUM(Kalender!$C$5:$C$370),0)+IFERROR(SUMIF(Nutzungsprofile!$B$17:$B$22,"Halle",Nutzungsprofile!$G$17:$G$22)*Kalender!D307/SUM(Kalender!$D$5:$D$370),0)+IFERROR(SUMIF(Nutzungsprofile!$B$17:$B$22,"Individuell",Nutzungsprofile!$G$17:$G$22)*Kalender!E307/SUM(Kalender!$E$5:$E$370),0))*Szenarien!$D$8,0)</f>
        <v>3.645</v>
      </c>
      <c r="E307" s="13" t="n">
        <f aca="false">IFERROR(MIN(C307,Eingaben!$B$17)*Eingaben!$B$16,0)</f>
        <v>0.684</v>
      </c>
      <c r="F307" s="13" t="n">
        <f aca="false">IFERROR(E307*Eingaben!$B$15,0)</f>
        <v>0.6156</v>
      </c>
      <c r="G307" s="13" t="n">
        <f aca="false">IFERROR(IF(Kalender!A307="",0,J306*(1-Eingaben!$B$20)),0)</f>
        <v>0.1809864</v>
      </c>
      <c r="H307" s="13" t="n">
        <f aca="false">MIN(G307,D307)</f>
        <v>0.1809864</v>
      </c>
      <c r="I307" s="13" t="n">
        <f aca="false">IFERROR(MIN(F307*Eingaben!$B$19,MAX(0,D307-H307)),0)</f>
        <v>0.43092</v>
      </c>
      <c r="J307" s="13" t="n">
        <f aca="false">IFERROR(MIN(Eingaben!$B$18,MAX(0,F307-I307)),0)</f>
        <v>0.18468</v>
      </c>
      <c r="K307" s="13" t="n">
        <f aca="false">H307+I307</f>
        <v>0.6119064</v>
      </c>
      <c r="L307" s="13" t="n">
        <f aca="false">MAX(0,D307-K307)</f>
        <v>3.0330936</v>
      </c>
      <c r="M307" s="13" t="n">
        <f aca="false">MAX(0,F307-I307-J307)</f>
        <v>0</v>
      </c>
      <c r="N307" s="13" t="n">
        <f aca="false">IF(Kalender!A307="",0,J306-H307)</f>
        <v>0.00369359999999999</v>
      </c>
    </row>
    <row r="308" customFormat="false" ht="16.4" hidden="false" customHeight="false" outlineLevel="0" collapsed="false">
      <c r="A308" s="13" t="str">
        <f aca="false">""</f>
        <v/>
      </c>
      <c r="B308" s="13" t="n">
        <f aca="false">304</f>
        <v>304</v>
      </c>
      <c r="C308" s="13" t="n">
        <f aca="false">IF(Szenarien!$H$8="OK",(IFERROR(SUMIF(Nutzungsprofile!$B$6:$B$11,"Schulbetrieb",Nutzungsprofile!$G$6:$G$11)*Kalender!C308/SUM(Kalender!$C$5:$C$370),0)+IFERROR(SUMIF(Nutzungsprofile!$B$6:$B$11,"Halle",Nutzungsprofile!$G$6:$G$11)*Kalender!D308/SUM(Kalender!$D$5:$D$370),0)+IFERROR(SUMIF(Nutzungsprofile!$B$6:$B$11,"Individuell",Nutzungsprofile!$G$6:$G$11)*Kalender!E308/SUM(Kalender!$E$5:$E$370),0))*Szenarien!$E$8,0)</f>
        <v>0</v>
      </c>
      <c r="D308" s="13" t="n">
        <f aca="false">IF(Szenarien!$H$8="OK",(IFERROR(SUMIF(Nutzungsprofile!$B$17:$B$22,"Schulbetrieb",Nutzungsprofile!$G$17:$G$22)*Kalender!C308/SUM(Kalender!$C$5:$C$370),0)+IFERROR(SUMIF(Nutzungsprofile!$B$17:$B$22,"Halle",Nutzungsprofile!$G$17:$G$22)*Kalender!D308/SUM(Kalender!$D$5:$D$370),0)+IFERROR(SUMIF(Nutzungsprofile!$B$17:$B$22,"Individuell",Nutzungsprofile!$G$17:$G$22)*Kalender!E308/SUM(Kalender!$E$5:$E$370),0))*Szenarien!$D$8,0)</f>
        <v>0</v>
      </c>
      <c r="E308" s="13" t="n">
        <f aca="false">IFERROR(MIN(C308,Eingaben!$B$17)*Eingaben!$B$16,0)</f>
        <v>0</v>
      </c>
      <c r="F308" s="13" t="n">
        <f aca="false">IFERROR(E308*Eingaben!$B$15,0)</f>
        <v>0</v>
      </c>
      <c r="G308" s="13" t="n">
        <f aca="false">IFERROR(IF(Kalender!A308="",0,J307*(1-Eingaben!$B$20)),0)</f>
        <v>0.1809864</v>
      </c>
      <c r="H308" s="13" t="n">
        <f aca="false">MIN(G308,D308)</f>
        <v>0</v>
      </c>
      <c r="I308" s="13" t="n">
        <f aca="false">IFERROR(MIN(F308*Eingaben!$B$19,MAX(0,D308-H308)),0)</f>
        <v>0</v>
      </c>
      <c r="J308" s="13" t="n">
        <f aca="false">IFERROR(MIN(Eingaben!$B$18,MAX(0,F308-I308)),0)</f>
        <v>0</v>
      </c>
      <c r="K308" s="13" t="n">
        <f aca="false">H308+I308</f>
        <v>0</v>
      </c>
      <c r="L308" s="13" t="n">
        <f aca="false">MAX(0,D308-K308)</f>
        <v>0</v>
      </c>
      <c r="M308" s="13" t="n">
        <f aca="false">MAX(0,F308-I308-J308)</f>
        <v>0</v>
      </c>
      <c r="N308" s="13" t="n">
        <f aca="false">IF(Kalender!A308="",0,J307-H308)</f>
        <v>0.18468</v>
      </c>
    </row>
    <row r="309" customFormat="false" ht="16.4" hidden="false" customHeight="false" outlineLevel="0" collapsed="false">
      <c r="A309" s="13" t="str">
        <f aca="false">""</f>
        <v/>
      </c>
      <c r="B309" s="13" t="n">
        <f aca="false">305</f>
        <v>305</v>
      </c>
      <c r="C309" s="13" t="n">
        <f aca="false">IF(Szenarien!$H$8="OK",(IFERROR(SUMIF(Nutzungsprofile!$B$6:$B$11,"Schulbetrieb",Nutzungsprofile!$G$6:$G$11)*Kalender!C309/SUM(Kalender!$C$5:$C$370),0)+IFERROR(SUMIF(Nutzungsprofile!$B$6:$B$11,"Halle",Nutzungsprofile!$G$6:$G$11)*Kalender!D309/SUM(Kalender!$D$5:$D$370),0)+IFERROR(SUMIF(Nutzungsprofile!$B$6:$B$11,"Individuell",Nutzungsprofile!$G$6:$G$11)*Kalender!E309/SUM(Kalender!$E$5:$E$370),0))*Szenarien!$E$8,0)</f>
        <v>0</v>
      </c>
      <c r="D309" s="13" t="n">
        <f aca="false">IF(Szenarien!$H$8="OK",(IFERROR(SUMIF(Nutzungsprofile!$B$17:$B$22,"Schulbetrieb",Nutzungsprofile!$G$17:$G$22)*Kalender!C309/SUM(Kalender!$C$5:$C$370),0)+IFERROR(SUMIF(Nutzungsprofile!$B$17:$B$22,"Halle",Nutzungsprofile!$G$17:$G$22)*Kalender!D309/SUM(Kalender!$D$5:$D$370),0)+IFERROR(SUMIF(Nutzungsprofile!$B$17:$B$22,"Individuell",Nutzungsprofile!$G$17:$G$22)*Kalender!E309/SUM(Kalender!$E$5:$E$370),0))*Szenarien!$D$8,0)</f>
        <v>0</v>
      </c>
      <c r="E309" s="13" t="n">
        <f aca="false">IFERROR(MIN(C309,Eingaben!$B$17)*Eingaben!$B$16,0)</f>
        <v>0</v>
      </c>
      <c r="F309" s="13" t="n">
        <f aca="false">IFERROR(E309*Eingaben!$B$15,0)</f>
        <v>0</v>
      </c>
      <c r="G309" s="13" t="n">
        <f aca="false">IFERROR(IF(Kalender!A309="",0,J308*(1-Eingaben!$B$20)),0)</f>
        <v>0</v>
      </c>
      <c r="H309" s="13" t="n">
        <f aca="false">MIN(G309,D309)</f>
        <v>0</v>
      </c>
      <c r="I309" s="13" t="n">
        <f aca="false">IFERROR(MIN(F309*Eingaben!$B$19,MAX(0,D309-H309)),0)</f>
        <v>0</v>
      </c>
      <c r="J309" s="13" t="n">
        <f aca="false">IFERROR(MIN(Eingaben!$B$18,MAX(0,F309-I309)),0)</f>
        <v>0</v>
      </c>
      <c r="K309" s="13" t="n">
        <f aca="false">H309+I309</f>
        <v>0</v>
      </c>
      <c r="L309" s="13" t="n">
        <f aca="false">MAX(0,D309-K309)</f>
        <v>0</v>
      </c>
      <c r="M309" s="13" t="n">
        <f aca="false">MAX(0,F309-I309-J309)</f>
        <v>0</v>
      </c>
      <c r="N309" s="13" t="n">
        <f aca="false">IF(Kalender!A309="",0,J308-H309)</f>
        <v>0</v>
      </c>
    </row>
    <row r="310" customFormat="false" ht="16.4" hidden="false" customHeight="false" outlineLevel="0" collapsed="false">
      <c r="A310" s="13" t="str">
        <f aca="false">""</f>
        <v/>
      </c>
      <c r="B310" s="13" t="n">
        <f aca="false">306</f>
        <v>306</v>
      </c>
      <c r="C310" s="13" t="n">
        <f aca="false">IF(Szenarien!$H$8="OK",(IFERROR(SUMIF(Nutzungsprofile!$B$6:$B$11,"Schulbetrieb",Nutzungsprofile!$G$6:$G$11)*Kalender!C310/SUM(Kalender!$C$5:$C$370),0)+IFERROR(SUMIF(Nutzungsprofile!$B$6:$B$11,"Halle",Nutzungsprofile!$G$6:$G$11)*Kalender!D310/SUM(Kalender!$D$5:$D$370),0)+IFERROR(SUMIF(Nutzungsprofile!$B$6:$B$11,"Individuell",Nutzungsprofile!$G$6:$G$11)*Kalender!E310/SUM(Kalender!$E$5:$E$370),0))*Szenarien!$E$8,0)</f>
        <v>0.72</v>
      </c>
      <c r="D310" s="13" t="n">
        <f aca="false">IF(Szenarien!$H$8="OK",(IFERROR(SUMIF(Nutzungsprofile!$B$17:$B$22,"Schulbetrieb",Nutzungsprofile!$G$17:$G$22)*Kalender!C310/SUM(Kalender!$C$5:$C$370),0)+IFERROR(SUMIF(Nutzungsprofile!$B$17:$B$22,"Halle",Nutzungsprofile!$G$17:$G$22)*Kalender!D310/SUM(Kalender!$D$5:$D$370),0)+IFERROR(SUMIF(Nutzungsprofile!$B$17:$B$22,"Individuell",Nutzungsprofile!$G$17:$G$22)*Kalender!E310/SUM(Kalender!$E$5:$E$370),0))*Szenarien!$D$8,0)</f>
        <v>3.645</v>
      </c>
      <c r="E310" s="13" t="n">
        <f aca="false">IFERROR(MIN(C310,Eingaben!$B$17)*Eingaben!$B$16,0)</f>
        <v>0.684</v>
      </c>
      <c r="F310" s="13" t="n">
        <f aca="false">IFERROR(E310*Eingaben!$B$15,0)</f>
        <v>0.6156</v>
      </c>
      <c r="G310" s="13" t="n">
        <f aca="false">IFERROR(IF(Kalender!A310="",0,J309*(1-Eingaben!$B$20)),0)</f>
        <v>0</v>
      </c>
      <c r="H310" s="13" t="n">
        <f aca="false">MIN(G310,D310)</f>
        <v>0</v>
      </c>
      <c r="I310" s="13" t="n">
        <f aca="false">IFERROR(MIN(F310*Eingaben!$B$19,MAX(0,D310-H310)),0)</f>
        <v>0.43092</v>
      </c>
      <c r="J310" s="13" t="n">
        <f aca="false">IFERROR(MIN(Eingaben!$B$18,MAX(0,F310-I310)),0)</f>
        <v>0.18468</v>
      </c>
      <c r="K310" s="13" t="n">
        <f aca="false">H310+I310</f>
        <v>0.43092</v>
      </c>
      <c r="L310" s="13" t="n">
        <f aca="false">MAX(0,D310-K310)</f>
        <v>3.21408</v>
      </c>
      <c r="M310" s="13" t="n">
        <f aca="false">MAX(0,F310-I310-J310)</f>
        <v>0</v>
      </c>
      <c r="N310" s="13" t="n">
        <f aca="false">IF(Kalender!A310="",0,J309-H310)</f>
        <v>0</v>
      </c>
    </row>
    <row r="311" customFormat="false" ht="16.4" hidden="false" customHeight="false" outlineLevel="0" collapsed="false">
      <c r="A311" s="13" t="str">
        <f aca="false">""</f>
        <v/>
      </c>
      <c r="B311" s="13" t="n">
        <f aca="false">307</f>
        <v>307</v>
      </c>
      <c r="C311" s="13" t="n">
        <f aca="false">IF(Szenarien!$H$8="OK",(IFERROR(SUMIF(Nutzungsprofile!$B$6:$B$11,"Schulbetrieb",Nutzungsprofile!$G$6:$G$11)*Kalender!C311/SUM(Kalender!$C$5:$C$370),0)+IFERROR(SUMIF(Nutzungsprofile!$B$6:$B$11,"Halle",Nutzungsprofile!$G$6:$G$11)*Kalender!D311/SUM(Kalender!$D$5:$D$370),0)+IFERROR(SUMIF(Nutzungsprofile!$B$6:$B$11,"Individuell",Nutzungsprofile!$G$6:$G$11)*Kalender!E311/SUM(Kalender!$E$5:$E$370),0))*Szenarien!$E$8,0)</f>
        <v>0.72</v>
      </c>
      <c r="D311" s="13" t="n">
        <f aca="false">IF(Szenarien!$H$8="OK",(IFERROR(SUMIF(Nutzungsprofile!$B$17:$B$22,"Schulbetrieb",Nutzungsprofile!$G$17:$G$22)*Kalender!C311/SUM(Kalender!$C$5:$C$370),0)+IFERROR(SUMIF(Nutzungsprofile!$B$17:$B$22,"Halle",Nutzungsprofile!$G$17:$G$22)*Kalender!D311/SUM(Kalender!$D$5:$D$370),0)+IFERROR(SUMIF(Nutzungsprofile!$B$17:$B$22,"Individuell",Nutzungsprofile!$G$17:$G$22)*Kalender!E311/SUM(Kalender!$E$5:$E$370),0))*Szenarien!$D$8,0)</f>
        <v>3.645</v>
      </c>
      <c r="E311" s="13" t="n">
        <f aca="false">IFERROR(MIN(C311,Eingaben!$B$17)*Eingaben!$B$16,0)</f>
        <v>0.684</v>
      </c>
      <c r="F311" s="13" t="n">
        <f aca="false">IFERROR(E311*Eingaben!$B$15,0)</f>
        <v>0.6156</v>
      </c>
      <c r="G311" s="13" t="n">
        <f aca="false">IFERROR(IF(Kalender!A311="",0,J310*(1-Eingaben!$B$20)),0)</f>
        <v>0.1809864</v>
      </c>
      <c r="H311" s="13" t="n">
        <f aca="false">MIN(G311,D311)</f>
        <v>0.1809864</v>
      </c>
      <c r="I311" s="13" t="n">
        <f aca="false">IFERROR(MIN(F311*Eingaben!$B$19,MAX(0,D311-H311)),0)</f>
        <v>0.43092</v>
      </c>
      <c r="J311" s="13" t="n">
        <f aca="false">IFERROR(MIN(Eingaben!$B$18,MAX(0,F311-I311)),0)</f>
        <v>0.18468</v>
      </c>
      <c r="K311" s="13" t="n">
        <f aca="false">H311+I311</f>
        <v>0.6119064</v>
      </c>
      <c r="L311" s="13" t="n">
        <f aca="false">MAX(0,D311-K311)</f>
        <v>3.0330936</v>
      </c>
      <c r="M311" s="13" t="n">
        <f aca="false">MAX(0,F311-I311-J311)</f>
        <v>0</v>
      </c>
      <c r="N311" s="13" t="n">
        <f aca="false">IF(Kalender!A311="",0,J310-H311)</f>
        <v>0.00369359999999999</v>
      </c>
    </row>
    <row r="312" customFormat="false" ht="16.4" hidden="false" customHeight="false" outlineLevel="0" collapsed="false">
      <c r="A312" s="13" t="str">
        <f aca="false">""</f>
        <v/>
      </c>
      <c r="B312" s="13" t="n">
        <f aca="false">308</f>
        <v>308</v>
      </c>
      <c r="C312" s="13" t="n">
        <f aca="false">IF(Szenarien!$H$8="OK",(IFERROR(SUMIF(Nutzungsprofile!$B$6:$B$11,"Schulbetrieb",Nutzungsprofile!$G$6:$G$11)*Kalender!C312/SUM(Kalender!$C$5:$C$370),0)+IFERROR(SUMIF(Nutzungsprofile!$B$6:$B$11,"Halle",Nutzungsprofile!$G$6:$G$11)*Kalender!D312/SUM(Kalender!$D$5:$D$370),0)+IFERROR(SUMIF(Nutzungsprofile!$B$6:$B$11,"Individuell",Nutzungsprofile!$G$6:$G$11)*Kalender!E312/SUM(Kalender!$E$5:$E$370),0))*Szenarien!$E$8,0)</f>
        <v>0.72</v>
      </c>
      <c r="D312" s="13" t="n">
        <f aca="false">IF(Szenarien!$H$8="OK",(IFERROR(SUMIF(Nutzungsprofile!$B$17:$B$22,"Schulbetrieb",Nutzungsprofile!$G$17:$G$22)*Kalender!C312/SUM(Kalender!$C$5:$C$370),0)+IFERROR(SUMIF(Nutzungsprofile!$B$17:$B$22,"Halle",Nutzungsprofile!$G$17:$G$22)*Kalender!D312/SUM(Kalender!$D$5:$D$370),0)+IFERROR(SUMIF(Nutzungsprofile!$B$17:$B$22,"Individuell",Nutzungsprofile!$G$17:$G$22)*Kalender!E312/SUM(Kalender!$E$5:$E$370),0))*Szenarien!$D$8,0)</f>
        <v>3.645</v>
      </c>
      <c r="E312" s="13" t="n">
        <f aca="false">IFERROR(MIN(C312,Eingaben!$B$17)*Eingaben!$B$16,0)</f>
        <v>0.684</v>
      </c>
      <c r="F312" s="13" t="n">
        <f aca="false">IFERROR(E312*Eingaben!$B$15,0)</f>
        <v>0.6156</v>
      </c>
      <c r="G312" s="13" t="n">
        <f aca="false">IFERROR(IF(Kalender!A312="",0,J311*(1-Eingaben!$B$20)),0)</f>
        <v>0.1809864</v>
      </c>
      <c r="H312" s="13" t="n">
        <f aca="false">MIN(G312,D312)</f>
        <v>0.1809864</v>
      </c>
      <c r="I312" s="13" t="n">
        <f aca="false">IFERROR(MIN(F312*Eingaben!$B$19,MAX(0,D312-H312)),0)</f>
        <v>0.43092</v>
      </c>
      <c r="J312" s="13" t="n">
        <f aca="false">IFERROR(MIN(Eingaben!$B$18,MAX(0,F312-I312)),0)</f>
        <v>0.18468</v>
      </c>
      <c r="K312" s="13" t="n">
        <f aca="false">H312+I312</f>
        <v>0.6119064</v>
      </c>
      <c r="L312" s="13" t="n">
        <f aca="false">MAX(0,D312-K312)</f>
        <v>3.0330936</v>
      </c>
      <c r="M312" s="13" t="n">
        <f aca="false">MAX(0,F312-I312-J312)</f>
        <v>0</v>
      </c>
      <c r="N312" s="13" t="n">
        <f aca="false">IF(Kalender!A312="",0,J311-H312)</f>
        <v>0.00369359999999999</v>
      </c>
    </row>
    <row r="313" customFormat="false" ht="16.4" hidden="false" customHeight="false" outlineLevel="0" collapsed="false">
      <c r="A313" s="13" t="str">
        <f aca="false">""</f>
        <v/>
      </c>
      <c r="B313" s="13" t="n">
        <f aca="false">309</f>
        <v>309</v>
      </c>
      <c r="C313" s="13" t="n">
        <f aca="false">IF(Szenarien!$H$8="OK",(IFERROR(SUMIF(Nutzungsprofile!$B$6:$B$11,"Schulbetrieb",Nutzungsprofile!$G$6:$G$11)*Kalender!C313/SUM(Kalender!$C$5:$C$370),0)+IFERROR(SUMIF(Nutzungsprofile!$B$6:$B$11,"Halle",Nutzungsprofile!$G$6:$G$11)*Kalender!D313/SUM(Kalender!$D$5:$D$370),0)+IFERROR(SUMIF(Nutzungsprofile!$B$6:$B$11,"Individuell",Nutzungsprofile!$G$6:$G$11)*Kalender!E313/SUM(Kalender!$E$5:$E$370),0))*Szenarien!$E$8,0)</f>
        <v>0.72</v>
      </c>
      <c r="D313" s="13" t="n">
        <f aca="false">IF(Szenarien!$H$8="OK",(IFERROR(SUMIF(Nutzungsprofile!$B$17:$B$22,"Schulbetrieb",Nutzungsprofile!$G$17:$G$22)*Kalender!C313/SUM(Kalender!$C$5:$C$370),0)+IFERROR(SUMIF(Nutzungsprofile!$B$17:$B$22,"Halle",Nutzungsprofile!$G$17:$G$22)*Kalender!D313/SUM(Kalender!$D$5:$D$370),0)+IFERROR(SUMIF(Nutzungsprofile!$B$17:$B$22,"Individuell",Nutzungsprofile!$G$17:$G$22)*Kalender!E313/SUM(Kalender!$E$5:$E$370),0))*Szenarien!$D$8,0)</f>
        <v>3.645</v>
      </c>
      <c r="E313" s="13" t="n">
        <f aca="false">IFERROR(MIN(C313,Eingaben!$B$17)*Eingaben!$B$16,0)</f>
        <v>0.684</v>
      </c>
      <c r="F313" s="13" t="n">
        <f aca="false">IFERROR(E313*Eingaben!$B$15,0)</f>
        <v>0.6156</v>
      </c>
      <c r="G313" s="13" t="n">
        <f aca="false">IFERROR(IF(Kalender!A313="",0,J312*(1-Eingaben!$B$20)),0)</f>
        <v>0.1809864</v>
      </c>
      <c r="H313" s="13" t="n">
        <f aca="false">MIN(G313,D313)</f>
        <v>0.1809864</v>
      </c>
      <c r="I313" s="13" t="n">
        <f aca="false">IFERROR(MIN(F313*Eingaben!$B$19,MAX(0,D313-H313)),0)</f>
        <v>0.43092</v>
      </c>
      <c r="J313" s="13" t="n">
        <f aca="false">IFERROR(MIN(Eingaben!$B$18,MAX(0,F313-I313)),0)</f>
        <v>0.18468</v>
      </c>
      <c r="K313" s="13" t="n">
        <f aca="false">H313+I313</f>
        <v>0.6119064</v>
      </c>
      <c r="L313" s="13" t="n">
        <f aca="false">MAX(0,D313-K313)</f>
        <v>3.0330936</v>
      </c>
      <c r="M313" s="13" t="n">
        <f aca="false">MAX(0,F313-I313-J313)</f>
        <v>0</v>
      </c>
      <c r="N313" s="13" t="n">
        <f aca="false">IF(Kalender!A313="",0,J312-H313)</f>
        <v>0.00369359999999999</v>
      </c>
    </row>
    <row r="314" customFormat="false" ht="16.4" hidden="false" customHeight="false" outlineLevel="0" collapsed="false">
      <c r="A314" s="13" t="str">
        <f aca="false">""</f>
        <v/>
      </c>
      <c r="B314" s="13" t="n">
        <f aca="false">310</f>
        <v>310</v>
      </c>
      <c r="C314" s="13" t="n">
        <f aca="false">IF(Szenarien!$H$8="OK",(IFERROR(SUMIF(Nutzungsprofile!$B$6:$B$11,"Schulbetrieb",Nutzungsprofile!$G$6:$G$11)*Kalender!C314/SUM(Kalender!$C$5:$C$370),0)+IFERROR(SUMIF(Nutzungsprofile!$B$6:$B$11,"Halle",Nutzungsprofile!$G$6:$G$11)*Kalender!D314/SUM(Kalender!$D$5:$D$370),0)+IFERROR(SUMIF(Nutzungsprofile!$B$6:$B$11,"Individuell",Nutzungsprofile!$G$6:$G$11)*Kalender!E314/SUM(Kalender!$E$5:$E$370),0))*Szenarien!$E$8,0)</f>
        <v>0.72</v>
      </c>
      <c r="D314" s="13" t="n">
        <f aca="false">IF(Szenarien!$H$8="OK",(IFERROR(SUMIF(Nutzungsprofile!$B$17:$B$22,"Schulbetrieb",Nutzungsprofile!$G$17:$G$22)*Kalender!C314/SUM(Kalender!$C$5:$C$370),0)+IFERROR(SUMIF(Nutzungsprofile!$B$17:$B$22,"Halle",Nutzungsprofile!$G$17:$G$22)*Kalender!D314/SUM(Kalender!$D$5:$D$370),0)+IFERROR(SUMIF(Nutzungsprofile!$B$17:$B$22,"Individuell",Nutzungsprofile!$G$17:$G$22)*Kalender!E314/SUM(Kalender!$E$5:$E$370),0))*Szenarien!$D$8,0)</f>
        <v>3.645</v>
      </c>
      <c r="E314" s="13" t="n">
        <f aca="false">IFERROR(MIN(C314,Eingaben!$B$17)*Eingaben!$B$16,0)</f>
        <v>0.684</v>
      </c>
      <c r="F314" s="13" t="n">
        <f aca="false">IFERROR(E314*Eingaben!$B$15,0)</f>
        <v>0.6156</v>
      </c>
      <c r="G314" s="13" t="n">
        <f aca="false">IFERROR(IF(Kalender!A314="",0,J313*(1-Eingaben!$B$20)),0)</f>
        <v>0.1809864</v>
      </c>
      <c r="H314" s="13" t="n">
        <f aca="false">MIN(G314,D314)</f>
        <v>0.1809864</v>
      </c>
      <c r="I314" s="13" t="n">
        <f aca="false">IFERROR(MIN(F314*Eingaben!$B$19,MAX(0,D314-H314)),0)</f>
        <v>0.43092</v>
      </c>
      <c r="J314" s="13" t="n">
        <f aca="false">IFERROR(MIN(Eingaben!$B$18,MAX(0,F314-I314)),0)</f>
        <v>0.18468</v>
      </c>
      <c r="K314" s="13" t="n">
        <f aca="false">H314+I314</f>
        <v>0.6119064</v>
      </c>
      <c r="L314" s="13" t="n">
        <f aca="false">MAX(0,D314-K314)</f>
        <v>3.0330936</v>
      </c>
      <c r="M314" s="13" t="n">
        <f aca="false">MAX(0,F314-I314-J314)</f>
        <v>0</v>
      </c>
      <c r="N314" s="13" t="n">
        <f aca="false">IF(Kalender!A314="",0,J313-H314)</f>
        <v>0.00369359999999999</v>
      </c>
    </row>
    <row r="315" customFormat="false" ht="16.4" hidden="false" customHeight="false" outlineLevel="0" collapsed="false">
      <c r="A315" s="13" t="str">
        <f aca="false">""</f>
        <v/>
      </c>
      <c r="B315" s="13" t="n">
        <f aca="false">311</f>
        <v>311</v>
      </c>
      <c r="C315" s="13" t="n">
        <f aca="false">IF(Szenarien!$H$8="OK",(IFERROR(SUMIF(Nutzungsprofile!$B$6:$B$11,"Schulbetrieb",Nutzungsprofile!$G$6:$G$11)*Kalender!C315/SUM(Kalender!$C$5:$C$370),0)+IFERROR(SUMIF(Nutzungsprofile!$B$6:$B$11,"Halle",Nutzungsprofile!$G$6:$G$11)*Kalender!D315/SUM(Kalender!$D$5:$D$370),0)+IFERROR(SUMIF(Nutzungsprofile!$B$6:$B$11,"Individuell",Nutzungsprofile!$G$6:$G$11)*Kalender!E315/SUM(Kalender!$E$5:$E$370),0))*Szenarien!$E$8,0)</f>
        <v>0</v>
      </c>
      <c r="D315" s="13" t="n">
        <f aca="false">IF(Szenarien!$H$8="OK",(IFERROR(SUMIF(Nutzungsprofile!$B$17:$B$22,"Schulbetrieb",Nutzungsprofile!$G$17:$G$22)*Kalender!C315/SUM(Kalender!$C$5:$C$370),0)+IFERROR(SUMIF(Nutzungsprofile!$B$17:$B$22,"Halle",Nutzungsprofile!$G$17:$G$22)*Kalender!D315/SUM(Kalender!$D$5:$D$370),0)+IFERROR(SUMIF(Nutzungsprofile!$B$17:$B$22,"Individuell",Nutzungsprofile!$G$17:$G$22)*Kalender!E315/SUM(Kalender!$E$5:$E$370),0))*Szenarien!$D$8,0)</f>
        <v>0</v>
      </c>
      <c r="E315" s="13" t="n">
        <f aca="false">IFERROR(MIN(C315,Eingaben!$B$17)*Eingaben!$B$16,0)</f>
        <v>0</v>
      </c>
      <c r="F315" s="13" t="n">
        <f aca="false">IFERROR(E315*Eingaben!$B$15,0)</f>
        <v>0</v>
      </c>
      <c r="G315" s="13" t="n">
        <f aca="false">IFERROR(IF(Kalender!A315="",0,J314*(1-Eingaben!$B$20)),0)</f>
        <v>0.1809864</v>
      </c>
      <c r="H315" s="13" t="n">
        <f aca="false">MIN(G315,D315)</f>
        <v>0</v>
      </c>
      <c r="I315" s="13" t="n">
        <f aca="false">IFERROR(MIN(F315*Eingaben!$B$19,MAX(0,D315-H315)),0)</f>
        <v>0</v>
      </c>
      <c r="J315" s="13" t="n">
        <f aca="false">IFERROR(MIN(Eingaben!$B$18,MAX(0,F315-I315)),0)</f>
        <v>0</v>
      </c>
      <c r="K315" s="13" t="n">
        <f aca="false">H315+I315</f>
        <v>0</v>
      </c>
      <c r="L315" s="13" t="n">
        <f aca="false">MAX(0,D315-K315)</f>
        <v>0</v>
      </c>
      <c r="M315" s="13" t="n">
        <f aca="false">MAX(0,F315-I315-J315)</f>
        <v>0</v>
      </c>
      <c r="N315" s="13" t="n">
        <f aca="false">IF(Kalender!A315="",0,J314-H315)</f>
        <v>0.18468</v>
      </c>
    </row>
    <row r="316" customFormat="false" ht="16.4" hidden="false" customHeight="false" outlineLevel="0" collapsed="false">
      <c r="A316" s="13" t="str">
        <f aca="false">""</f>
        <v/>
      </c>
      <c r="B316" s="13" t="n">
        <f aca="false">312</f>
        <v>312</v>
      </c>
      <c r="C316" s="13" t="n">
        <f aca="false">IF(Szenarien!$H$8="OK",(IFERROR(SUMIF(Nutzungsprofile!$B$6:$B$11,"Schulbetrieb",Nutzungsprofile!$G$6:$G$11)*Kalender!C316/SUM(Kalender!$C$5:$C$370),0)+IFERROR(SUMIF(Nutzungsprofile!$B$6:$B$11,"Halle",Nutzungsprofile!$G$6:$G$11)*Kalender!D316/SUM(Kalender!$D$5:$D$370),0)+IFERROR(SUMIF(Nutzungsprofile!$B$6:$B$11,"Individuell",Nutzungsprofile!$G$6:$G$11)*Kalender!E316/SUM(Kalender!$E$5:$E$370),0))*Szenarien!$E$8,0)</f>
        <v>0</v>
      </c>
      <c r="D316" s="13" t="n">
        <f aca="false">IF(Szenarien!$H$8="OK",(IFERROR(SUMIF(Nutzungsprofile!$B$17:$B$22,"Schulbetrieb",Nutzungsprofile!$G$17:$G$22)*Kalender!C316/SUM(Kalender!$C$5:$C$370),0)+IFERROR(SUMIF(Nutzungsprofile!$B$17:$B$22,"Halle",Nutzungsprofile!$G$17:$G$22)*Kalender!D316/SUM(Kalender!$D$5:$D$370),0)+IFERROR(SUMIF(Nutzungsprofile!$B$17:$B$22,"Individuell",Nutzungsprofile!$G$17:$G$22)*Kalender!E316/SUM(Kalender!$E$5:$E$370),0))*Szenarien!$D$8,0)</f>
        <v>0</v>
      </c>
      <c r="E316" s="13" t="n">
        <f aca="false">IFERROR(MIN(C316,Eingaben!$B$17)*Eingaben!$B$16,0)</f>
        <v>0</v>
      </c>
      <c r="F316" s="13" t="n">
        <f aca="false">IFERROR(E316*Eingaben!$B$15,0)</f>
        <v>0</v>
      </c>
      <c r="G316" s="13" t="n">
        <f aca="false">IFERROR(IF(Kalender!A316="",0,J315*(1-Eingaben!$B$20)),0)</f>
        <v>0</v>
      </c>
      <c r="H316" s="13" t="n">
        <f aca="false">MIN(G316,D316)</f>
        <v>0</v>
      </c>
      <c r="I316" s="13" t="n">
        <f aca="false">IFERROR(MIN(F316*Eingaben!$B$19,MAX(0,D316-H316)),0)</f>
        <v>0</v>
      </c>
      <c r="J316" s="13" t="n">
        <f aca="false">IFERROR(MIN(Eingaben!$B$18,MAX(0,F316-I316)),0)</f>
        <v>0</v>
      </c>
      <c r="K316" s="13" t="n">
        <f aca="false">H316+I316</f>
        <v>0</v>
      </c>
      <c r="L316" s="13" t="n">
        <f aca="false">MAX(0,D316-K316)</f>
        <v>0</v>
      </c>
      <c r="M316" s="13" t="n">
        <f aca="false">MAX(0,F316-I316-J316)</f>
        <v>0</v>
      </c>
      <c r="N316" s="13" t="n">
        <f aca="false">IF(Kalender!A316="",0,J315-H316)</f>
        <v>0</v>
      </c>
    </row>
    <row r="317" customFormat="false" ht="16.4" hidden="false" customHeight="false" outlineLevel="0" collapsed="false">
      <c r="A317" s="13" t="str">
        <f aca="false">""</f>
        <v/>
      </c>
      <c r="B317" s="13" t="n">
        <f aca="false">313</f>
        <v>313</v>
      </c>
      <c r="C317" s="13" t="n">
        <f aca="false">IF(Szenarien!$H$8="OK",(IFERROR(SUMIF(Nutzungsprofile!$B$6:$B$11,"Schulbetrieb",Nutzungsprofile!$G$6:$G$11)*Kalender!C317/SUM(Kalender!$C$5:$C$370),0)+IFERROR(SUMIF(Nutzungsprofile!$B$6:$B$11,"Halle",Nutzungsprofile!$G$6:$G$11)*Kalender!D317/SUM(Kalender!$D$5:$D$370),0)+IFERROR(SUMIF(Nutzungsprofile!$B$6:$B$11,"Individuell",Nutzungsprofile!$G$6:$G$11)*Kalender!E317/SUM(Kalender!$E$5:$E$370),0))*Szenarien!$E$8,0)</f>
        <v>0.72</v>
      </c>
      <c r="D317" s="13" t="n">
        <f aca="false">IF(Szenarien!$H$8="OK",(IFERROR(SUMIF(Nutzungsprofile!$B$17:$B$22,"Schulbetrieb",Nutzungsprofile!$G$17:$G$22)*Kalender!C317/SUM(Kalender!$C$5:$C$370),0)+IFERROR(SUMIF(Nutzungsprofile!$B$17:$B$22,"Halle",Nutzungsprofile!$G$17:$G$22)*Kalender!D317/SUM(Kalender!$D$5:$D$370),0)+IFERROR(SUMIF(Nutzungsprofile!$B$17:$B$22,"Individuell",Nutzungsprofile!$G$17:$G$22)*Kalender!E317/SUM(Kalender!$E$5:$E$370),0))*Szenarien!$D$8,0)</f>
        <v>3.645</v>
      </c>
      <c r="E317" s="13" t="n">
        <f aca="false">IFERROR(MIN(C317,Eingaben!$B$17)*Eingaben!$B$16,0)</f>
        <v>0.684</v>
      </c>
      <c r="F317" s="13" t="n">
        <f aca="false">IFERROR(E317*Eingaben!$B$15,0)</f>
        <v>0.6156</v>
      </c>
      <c r="G317" s="13" t="n">
        <f aca="false">IFERROR(IF(Kalender!A317="",0,J316*(1-Eingaben!$B$20)),0)</f>
        <v>0</v>
      </c>
      <c r="H317" s="13" t="n">
        <f aca="false">MIN(G317,D317)</f>
        <v>0</v>
      </c>
      <c r="I317" s="13" t="n">
        <f aca="false">IFERROR(MIN(F317*Eingaben!$B$19,MAX(0,D317-H317)),0)</f>
        <v>0.43092</v>
      </c>
      <c r="J317" s="13" t="n">
        <f aca="false">IFERROR(MIN(Eingaben!$B$18,MAX(0,F317-I317)),0)</f>
        <v>0.18468</v>
      </c>
      <c r="K317" s="13" t="n">
        <f aca="false">H317+I317</f>
        <v>0.43092</v>
      </c>
      <c r="L317" s="13" t="n">
        <f aca="false">MAX(0,D317-K317)</f>
        <v>3.21408</v>
      </c>
      <c r="M317" s="13" t="n">
        <f aca="false">MAX(0,F317-I317-J317)</f>
        <v>0</v>
      </c>
      <c r="N317" s="13" t="n">
        <f aca="false">IF(Kalender!A317="",0,J316-H317)</f>
        <v>0</v>
      </c>
    </row>
    <row r="318" customFormat="false" ht="16.4" hidden="false" customHeight="false" outlineLevel="0" collapsed="false">
      <c r="A318" s="13" t="str">
        <f aca="false">""</f>
        <v/>
      </c>
      <c r="B318" s="13" t="n">
        <f aca="false">314</f>
        <v>314</v>
      </c>
      <c r="C318" s="13" t="n">
        <f aca="false">IF(Szenarien!$H$8="OK",(IFERROR(SUMIF(Nutzungsprofile!$B$6:$B$11,"Schulbetrieb",Nutzungsprofile!$G$6:$G$11)*Kalender!C318/SUM(Kalender!$C$5:$C$370),0)+IFERROR(SUMIF(Nutzungsprofile!$B$6:$B$11,"Halle",Nutzungsprofile!$G$6:$G$11)*Kalender!D318/SUM(Kalender!$D$5:$D$370),0)+IFERROR(SUMIF(Nutzungsprofile!$B$6:$B$11,"Individuell",Nutzungsprofile!$G$6:$G$11)*Kalender!E318/SUM(Kalender!$E$5:$E$370),0))*Szenarien!$E$8,0)</f>
        <v>0.72</v>
      </c>
      <c r="D318" s="13" t="n">
        <f aca="false">IF(Szenarien!$H$8="OK",(IFERROR(SUMIF(Nutzungsprofile!$B$17:$B$22,"Schulbetrieb",Nutzungsprofile!$G$17:$G$22)*Kalender!C318/SUM(Kalender!$C$5:$C$370),0)+IFERROR(SUMIF(Nutzungsprofile!$B$17:$B$22,"Halle",Nutzungsprofile!$G$17:$G$22)*Kalender!D318/SUM(Kalender!$D$5:$D$370),0)+IFERROR(SUMIF(Nutzungsprofile!$B$17:$B$22,"Individuell",Nutzungsprofile!$G$17:$G$22)*Kalender!E318/SUM(Kalender!$E$5:$E$370),0))*Szenarien!$D$8,0)</f>
        <v>3.645</v>
      </c>
      <c r="E318" s="13" t="n">
        <f aca="false">IFERROR(MIN(C318,Eingaben!$B$17)*Eingaben!$B$16,0)</f>
        <v>0.684</v>
      </c>
      <c r="F318" s="13" t="n">
        <f aca="false">IFERROR(E318*Eingaben!$B$15,0)</f>
        <v>0.6156</v>
      </c>
      <c r="G318" s="13" t="n">
        <f aca="false">IFERROR(IF(Kalender!A318="",0,J317*(1-Eingaben!$B$20)),0)</f>
        <v>0.1809864</v>
      </c>
      <c r="H318" s="13" t="n">
        <f aca="false">MIN(G318,D318)</f>
        <v>0.1809864</v>
      </c>
      <c r="I318" s="13" t="n">
        <f aca="false">IFERROR(MIN(F318*Eingaben!$B$19,MAX(0,D318-H318)),0)</f>
        <v>0.43092</v>
      </c>
      <c r="J318" s="13" t="n">
        <f aca="false">IFERROR(MIN(Eingaben!$B$18,MAX(0,F318-I318)),0)</f>
        <v>0.18468</v>
      </c>
      <c r="K318" s="13" t="n">
        <f aca="false">H318+I318</f>
        <v>0.6119064</v>
      </c>
      <c r="L318" s="13" t="n">
        <f aca="false">MAX(0,D318-K318)</f>
        <v>3.0330936</v>
      </c>
      <c r="M318" s="13" t="n">
        <f aca="false">MAX(0,F318-I318-J318)</f>
        <v>0</v>
      </c>
      <c r="N318" s="13" t="n">
        <f aca="false">IF(Kalender!A318="",0,J317-H318)</f>
        <v>0.00369359999999999</v>
      </c>
    </row>
    <row r="319" customFormat="false" ht="16.4" hidden="false" customHeight="false" outlineLevel="0" collapsed="false">
      <c r="A319" s="13" t="str">
        <f aca="false">""</f>
        <v/>
      </c>
      <c r="B319" s="13" t="n">
        <f aca="false">315</f>
        <v>315</v>
      </c>
      <c r="C319" s="13" t="n">
        <f aca="false">IF(Szenarien!$H$8="OK",(IFERROR(SUMIF(Nutzungsprofile!$B$6:$B$11,"Schulbetrieb",Nutzungsprofile!$G$6:$G$11)*Kalender!C319/SUM(Kalender!$C$5:$C$370),0)+IFERROR(SUMIF(Nutzungsprofile!$B$6:$B$11,"Halle",Nutzungsprofile!$G$6:$G$11)*Kalender!D319/SUM(Kalender!$D$5:$D$370),0)+IFERROR(SUMIF(Nutzungsprofile!$B$6:$B$11,"Individuell",Nutzungsprofile!$G$6:$G$11)*Kalender!E319/SUM(Kalender!$E$5:$E$370),0))*Szenarien!$E$8,0)</f>
        <v>0.72</v>
      </c>
      <c r="D319" s="13" t="n">
        <f aca="false">IF(Szenarien!$H$8="OK",(IFERROR(SUMIF(Nutzungsprofile!$B$17:$B$22,"Schulbetrieb",Nutzungsprofile!$G$17:$G$22)*Kalender!C319/SUM(Kalender!$C$5:$C$370),0)+IFERROR(SUMIF(Nutzungsprofile!$B$17:$B$22,"Halle",Nutzungsprofile!$G$17:$G$22)*Kalender!D319/SUM(Kalender!$D$5:$D$370),0)+IFERROR(SUMIF(Nutzungsprofile!$B$17:$B$22,"Individuell",Nutzungsprofile!$G$17:$G$22)*Kalender!E319/SUM(Kalender!$E$5:$E$370),0))*Szenarien!$D$8,0)</f>
        <v>3.645</v>
      </c>
      <c r="E319" s="13" t="n">
        <f aca="false">IFERROR(MIN(C319,Eingaben!$B$17)*Eingaben!$B$16,0)</f>
        <v>0.684</v>
      </c>
      <c r="F319" s="13" t="n">
        <f aca="false">IFERROR(E319*Eingaben!$B$15,0)</f>
        <v>0.6156</v>
      </c>
      <c r="G319" s="13" t="n">
        <f aca="false">IFERROR(IF(Kalender!A319="",0,J318*(1-Eingaben!$B$20)),0)</f>
        <v>0.1809864</v>
      </c>
      <c r="H319" s="13" t="n">
        <f aca="false">MIN(G319,D319)</f>
        <v>0.1809864</v>
      </c>
      <c r="I319" s="13" t="n">
        <f aca="false">IFERROR(MIN(F319*Eingaben!$B$19,MAX(0,D319-H319)),0)</f>
        <v>0.43092</v>
      </c>
      <c r="J319" s="13" t="n">
        <f aca="false">IFERROR(MIN(Eingaben!$B$18,MAX(0,F319-I319)),0)</f>
        <v>0.18468</v>
      </c>
      <c r="K319" s="13" t="n">
        <f aca="false">H319+I319</f>
        <v>0.6119064</v>
      </c>
      <c r="L319" s="13" t="n">
        <f aca="false">MAX(0,D319-K319)</f>
        <v>3.0330936</v>
      </c>
      <c r="M319" s="13" t="n">
        <f aca="false">MAX(0,F319-I319-J319)</f>
        <v>0</v>
      </c>
      <c r="N319" s="13" t="n">
        <f aca="false">IF(Kalender!A319="",0,J318-H319)</f>
        <v>0.00369359999999999</v>
      </c>
    </row>
    <row r="320" customFormat="false" ht="16.4" hidden="false" customHeight="false" outlineLevel="0" collapsed="false">
      <c r="A320" s="13" t="str">
        <f aca="false">""</f>
        <v/>
      </c>
      <c r="B320" s="13" t="n">
        <f aca="false">316</f>
        <v>316</v>
      </c>
      <c r="C320" s="13" t="n">
        <f aca="false">IF(Szenarien!$H$8="OK",(IFERROR(SUMIF(Nutzungsprofile!$B$6:$B$11,"Schulbetrieb",Nutzungsprofile!$G$6:$G$11)*Kalender!C320/SUM(Kalender!$C$5:$C$370),0)+IFERROR(SUMIF(Nutzungsprofile!$B$6:$B$11,"Halle",Nutzungsprofile!$G$6:$G$11)*Kalender!D320/SUM(Kalender!$D$5:$D$370),0)+IFERROR(SUMIF(Nutzungsprofile!$B$6:$B$11,"Individuell",Nutzungsprofile!$G$6:$G$11)*Kalender!E320/SUM(Kalender!$E$5:$E$370),0))*Szenarien!$E$8,0)</f>
        <v>0.72</v>
      </c>
      <c r="D320" s="13" t="n">
        <f aca="false">IF(Szenarien!$H$8="OK",(IFERROR(SUMIF(Nutzungsprofile!$B$17:$B$22,"Schulbetrieb",Nutzungsprofile!$G$17:$G$22)*Kalender!C320/SUM(Kalender!$C$5:$C$370),0)+IFERROR(SUMIF(Nutzungsprofile!$B$17:$B$22,"Halle",Nutzungsprofile!$G$17:$G$22)*Kalender!D320/SUM(Kalender!$D$5:$D$370),0)+IFERROR(SUMIF(Nutzungsprofile!$B$17:$B$22,"Individuell",Nutzungsprofile!$G$17:$G$22)*Kalender!E320/SUM(Kalender!$E$5:$E$370),0))*Szenarien!$D$8,0)</f>
        <v>3.645</v>
      </c>
      <c r="E320" s="13" t="n">
        <f aca="false">IFERROR(MIN(C320,Eingaben!$B$17)*Eingaben!$B$16,0)</f>
        <v>0.684</v>
      </c>
      <c r="F320" s="13" t="n">
        <f aca="false">IFERROR(E320*Eingaben!$B$15,0)</f>
        <v>0.6156</v>
      </c>
      <c r="G320" s="13" t="n">
        <f aca="false">IFERROR(IF(Kalender!A320="",0,J319*(1-Eingaben!$B$20)),0)</f>
        <v>0.1809864</v>
      </c>
      <c r="H320" s="13" t="n">
        <f aca="false">MIN(G320,D320)</f>
        <v>0.1809864</v>
      </c>
      <c r="I320" s="13" t="n">
        <f aca="false">IFERROR(MIN(F320*Eingaben!$B$19,MAX(0,D320-H320)),0)</f>
        <v>0.43092</v>
      </c>
      <c r="J320" s="13" t="n">
        <f aca="false">IFERROR(MIN(Eingaben!$B$18,MAX(0,F320-I320)),0)</f>
        <v>0.18468</v>
      </c>
      <c r="K320" s="13" t="n">
        <f aca="false">H320+I320</f>
        <v>0.6119064</v>
      </c>
      <c r="L320" s="13" t="n">
        <f aca="false">MAX(0,D320-K320)</f>
        <v>3.0330936</v>
      </c>
      <c r="M320" s="13" t="n">
        <f aca="false">MAX(0,F320-I320-J320)</f>
        <v>0</v>
      </c>
      <c r="N320" s="13" t="n">
        <f aca="false">IF(Kalender!A320="",0,J319-H320)</f>
        <v>0.00369359999999999</v>
      </c>
    </row>
    <row r="321" customFormat="false" ht="16.4" hidden="false" customHeight="false" outlineLevel="0" collapsed="false">
      <c r="A321" s="13" t="str">
        <f aca="false">""</f>
        <v/>
      </c>
      <c r="B321" s="13" t="n">
        <f aca="false">317</f>
        <v>317</v>
      </c>
      <c r="C321" s="13" t="n">
        <f aca="false">IF(Szenarien!$H$8="OK",(IFERROR(SUMIF(Nutzungsprofile!$B$6:$B$11,"Schulbetrieb",Nutzungsprofile!$G$6:$G$11)*Kalender!C321/SUM(Kalender!$C$5:$C$370),0)+IFERROR(SUMIF(Nutzungsprofile!$B$6:$B$11,"Halle",Nutzungsprofile!$G$6:$G$11)*Kalender!D321/SUM(Kalender!$D$5:$D$370),0)+IFERROR(SUMIF(Nutzungsprofile!$B$6:$B$11,"Individuell",Nutzungsprofile!$G$6:$G$11)*Kalender!E321/SUM(Kalender!$E$5:$E$370),0))*Szenarien!$E$8,0)</f>
        <v>0.72</v>
      </c>
      <c r="D321" s="13" t="n">
        <f aca="false">IF(Szenarien!$H$8="OK",(IFERROR(SUMIF(Nutzungsprofile!$B$17:$B$22,"Schulbetrieb",Nutzungsprofile!$G$17:$G$22)*Kalender!C321/SUM(Kalender!$C$5:$C$370),0)+IFERROR(SUMIF(Nutzungsprofile!$B$17:$B$22,"Halle",Nutzungsprofile!$G$17:$G$22)*Kalender!D321/SUM(Kalender!$D$5:$D$370),0)+IFERROR(SUMIF(Nutzungsprofile!$B$17:$B$22,"Individuell",Nutzungsprofile!$G$17:$G$22)*Kalender!E321/SUM(Kalender!$E$5:$E$370),0))*Szenarien!$D$8,0)</f>
        <v>3.645</v>
      </c>
      <c r="E321" s="13" t="n">
        <f aca="false">IFERROR(MIN(C321,Eingaben!$B$17)*Eingaben!$B$16,0)</f>
        <v>0.684</v>
      </c>
      <c r="F321" s="13" t="n">
        <f aca="false">IFERROR(E321*Eingaben!$B$15,0)</f>
        <v>0.6156</v>
      </c>
      <c r="G321" s="13" t="n">
        <f aca="false">IFERROR(IF(Kalender!A321="",0,J320*(1-Eingaben!$B$20)),0)</f>
        <v>0.1809864</v>
      </c>
      <c r="H321" s="13" t="n">
        <f aca="false">MIN(G321,D321)</f>
        <v>0.1809864</v>
      </c>
      <c r="I321" s="13" t="n">
        <f aca="false">IFERROR(MIN(F321*Eingaben!$B$19,MAX(0,D321-H321)),0)</f>
        <v>0.43092</v>
      </c>
      <c r="J321" s="13" t="n">
        <f aca="false">IFERROR(MIN(Eingaben!$B$18,MAX(0,F321-I321)),0)</f>
        <v>0.18468</v>
      </c>
      <c r="K321" s="13" t="n">
        <f aca="false">H321+I321</f>
        <v>0.6119064</v>
      </c>
      <c r="L321" s="13" t="n">
        <f aca="false">MAX(0,D321-K321)</f>
        <v>3.0330936</v>
      </c>
      <c r="M321" s="13" t="n">
        <f aca="false">MAX(0,F321-I321-J321)</f>
        <v>0</v>
      </c>
      <c r="N321" s="13" t="n">
        <f aca="false">IF(Kalender!A321="",0,J320-H321)</f>
        <v>0.00369359999999999</v>
      </c>
    </row>
    <row r="322" customFormat="false" ht="16.4" hidden="false" customHeight="false" outlineLevel="0" collapsed="false">
      <c r="A322" s="13" t="str">
        <f aca="false">""</f>
        <v/>
      </c>
      <c r="B322" s="13" t="n">
        <f aca="false">318</f>
        <v>318</v>
      </c>
      <c r="C322" s="13" t="n">
        <f aca="false">IF(Szenarien!$H$8="OK",(IFERROR(SUMIF(Nutzungsprofile!$B$6:$B$11,"Schulbetrieb",Nutzungsprofile!$G$6:$G$11)*Kalender!C322/SUM(Kalender!$C$5:$C$370),0)+IFERROR(SUMIF(Nutzungsprofile!$B$6:$B$11,"Halle",Nutzungsprofile!$G$6:$G$11)*Kalender!D322/SUM(Kalender!$D$5:$D$370),0)+IFERROR(SUMIF(Nutzungsprofile!$B$6:$B$11,"Individuell",Nutzungsprofile!$G$6:$G$11)*Kalender!E322/SUM(Kalender!$E$5:$E$370),0))*Szenarien!$E$8,0)</f>
        <v>0</v>
      </c>
      <c r="D322" s="13" t="n">
        <f aca="false">IF(Szenarien!$H$8="OK",(IFERROR(SUMIF(Nutzungsprofile!$B$17:$B$22,"Schulbetrieb",Nutzungsprofile!$G$17:$G$22)*Kalender!C322/SUM(Kalender!$C$5:$C$370),0)+IFERROR(SUMIF(Nutzungsprofile!$B$17:$B$22,"Halle",Nutzungsprofile!$G$17:$G$22)*Kalender!D322/SUM(Kalender!$D$5:$D$370),0)+IFERROR(SUMIF(Nutzungsprofile!$B$17:$B$22,"Individuell",Nutzungsprofile!$G$17:$G$22)*Kalender!E322/SUM(Kalender!$E$5:$E$370),0))*Szenarien!$D$8,0)</f>
        <v>0</v>
      </c>
      <c r="E322" s="13" t="n">
        <f aca="false">IFERROR(MIN(C322,Eingaben!$B$17)*Eingaben!$B$16,0)</f>
        <v>0</v>
      </c>
      <c r="F322" s="13" t="n">
        <f aca="false">IFERROR(E322*Eingaben!$B$15,0)</f>
        <v>0</v>
      </c>
      <c r="G322" s="13" t="n">
        <f aca="false">IFERROR(IF(Kalender!A322="",0,J321*(1-Eingaben!$B$20)),0)</f>
        <v>0.1809864</v>
      </c>
      <c r="H322" s="13" t="n">
        <f aca="false">MIN(G322,D322)</f>
        <v>0</v>
      </c>
      <c r="I322" s="13" t="n">
        <f aca="false">IFERROR(MIN(F322*Eingaben!$B$19,MAX(0,D322-H322)),0)</f>
        <v>0</v>
      </c>
      <c r="J322" s="13" t="n">
        <f aca="false">IFERROR(MIN(Eingaben!$B$18,MAX(0,F322-I322)),0)</f>
        <v>0</v>
      </c>
      <c r="K322" s="13" t="n">
        <f aca="false">H322+I322</f>
        <v>0</v>
      </c>
      <c r="L322" s="13" t="n">
        <f aca="false">MAX(0,D322-K322)</f>
        <v>0</v>
      </c>
      <c r="M322" s="13" t="n">
        <f aca="false">MAX(0,F322-I322-J322)</f>
        <v>0</v>
      </c>
      <c r="N322" s="13" t="n">
        <f aca="false">IF(Kalender!A322="",0,J321-H322)</f>
        <v>0.18468</v>
      </c>
    </row>
    <row r="323" customFormat="false" ht="16.4" hidden="false" customHeight="false" outlineLevel="0" collapsed="false">
      <c r="A323" s="13" t="str">
        <f aca="false">""</f>
        <v/>
      </c>
      <c r="B323" s="13" t="n">
        <f aca="false">319</f>
        <v>319</v>
      </c>
      <c r="C323" s="13" t="n">
        <f aca="false">IF(Szenarien!$H$8="OK",(IFERROR(SUMIF(Nutzungsprofile!$B$6:$B$11,"Schulbetrieb",Nutzungsprofile!$G$6:$G$11)*Kalender!C323/SUM(Kalender!$C$5:$C$370),0)+IFERROR(SUMIF(Nutzungsprofile!$B$6:$B$11,"Halle",Nutzungsprofile!$G$6:$G$11)*Kalender!D323/SUM(Kalender!$D$5:$D$370),0)+IFERROR(SUMIF(Nutzungsprofile!$B$6:$B$11,"Individuell",Nutzungsprofile!$G$6:$G$11)*Kalender!E323/SUM(Kalender!$E$5:$E$370),0))*Szenarien!$E$8,0)</f>
        <v>0</v>
      </c>
      <c r="D323" s="13" t="n">
        <f aca="false">IF(Szenarien!$H$8="OK",(IFERROR(SUMIF(Nutzungsprofile!$B$17:$B$22,"Schulbetrieb",Nutzungsprofile!$G$17:$G$22)*Kalender!C323/SUM(Kalender!$C$5:$C$370),0)+IFERROR(SUMIF(Nutzungsprofile!$B$17:$B$22,"Halle",Nutzungsprofile!$G$17:$G$22)*Kalender!D323/SUM(Kalender!$D$5:$D$370),0)+IFERROR(SUMIF(Nutzungsprofile!$B$17:$B$22,"Individuell",Nutzungsprofile!$G$17:$G$22)*Kalender!E323/SUM(Kalender!$E$5:$E$370),0))*Szenarien!$D$8,0)</f>
        <v>0</v>
      </c>
      <c r="E323" s="13" t="n">
        <f aca="false">IFERROR(MIN(C323,Eingaben!$B$17)*Eingaben!$B$16,0)</f>
        <v>0</v>
      </c>
      <c r="F323" s="13" t="n">
        <f aca="false">IFERROR(E323*Eingaben!$B$15,0)</f>
        <v>0</v>
      </c>
      <c r="G323" s="13" t="n">
        <f aca="false">IFERROR(IF(Kalender!A323="",0,J322*(1-Eingaben!$B$20)),0)</f>
        <v>0</v>
      </c>
      <c r="H323" s="13" t="n">
        <f aca="false">MIN(G323,D323)</f>
        <v>0</v>
      </c>
      <c r="I323" s="13" t="n">
        <f aca="false">IFERROR(MIN(F323*Eingaben!$B$19,MAX(0,D323-H323)),0)</f>
        <v>0</v>
      </c>
      <c r="J323" s="13" t="n">
        <f aca="false">IFERROR(MIN(Eingaben!$B$18,MAX(0,F323-I323)),0)</f>
        <v>0</v>
      </c>
      <c r="K323" s="13" t="n">
        <f aca="false">H323+I323</f>
        <v>0</v>
      </c>
      <c r="L323" s="13" t="n">
        <f aca="false">MAX(0,D323-K323)</f>
        <v>0</v>
      </c>
      <c r="M323" s="13" t="n">
        <f aca="false">MAX(0,F323-I323-J323)</f>
        <v>0</v>
      </c>
      <c r="N323" s="13" t="n">
        <f aca="false">IF(Kalender!A323="",0,J322-H323)</f>
        <v>0</v>
      </c>
    </row>
    <row r="324" customFormat="false" ht="16.4" hidden="false" customHeight="false" outlineLevel="0" collapsed="false">
      <c r="A324" s="13" t="str">
        <f aca="false">""</f>
        <v/>
      </c>
      <c r="B324" s="13" t="n">
        <f aca="false">320</f>
        <v>320</v>
      </c>
      <c r="C324" s="13" t="n">
        <f aca="false">IF(Szenarien!$H$8="OK",(IFERROR(SUMIF(Nutzungsprofile!$B$6:$B$11,"Schulbetrieb",Nutzungsprofile!$G$6:$G$11)*Kalender!C324/SUM(Kalender!$C$5:$C$370),0)+IFERROR(SUMIF(Nutzungsprofile!$B$6:$B$11,"Halle",Nutzungsprofile!$G$6:$G$11)*Kalender!D324/SUM(Kalender!$D$5:$D$370),0)+IFERROR(SUMIF(Nutzungsprofile!$B$6:$B$11,"Individuell",Nutzungsprofile!$G$6:$G$11)*Kalender!E324/SUM(Kalender!$E$5:$E$370),0))*Szenarien!$E$8,0)</f>
        <v>0.72</v>
      </c>
      <c r="D324" s="13" t="n">
        <f aca="false">IF(Szenarien!$H$8="OK",(IFERROR(SUMIF(Nutzungsprofile!$B$17:$B$22,"Schulbetrieb",Nutzungsprofile!$G$17:$G$22)*Kalender!C324/SUM(Kalender!$C$5:$C$370),0)+IFERROR(SUMIF(Nutzungsprofile!$B$17:$B$22,"Halle",Nutzungsprofile!$G$17:$G$22)*Kalender!D324/SUM(Kalender!$D$5:$D$370),0)+IFERROR(SUMIF(Nutzungsprofile!$B$17:$B$22,"Individuell",Nutzungsprofile!$G$17:$G$22)*Kalender!E324/SUM(Kalender!$E$5:$E$370),0))*Szenarien!$D$8,0)</f>
        <v>3.645</v>
      </c>
      <c r="E324" s="13" t="n">
        <f aca="false">IFERROR(MIN(C324,Eingaben!$B$17)*Eingaben!$B$16,0)</f>
        <v>0.684</v>
      </c>
      <c r="F324" s="13" t="n">
        <f aca="false">IFERROR(E324*Eingaben!$B$15,0)</f>
        <v>0.6156</v>
      </c>
      <c r="G324" s="13" t="n">
        <f aca="false">IFERROR(IF(Kalender!A324="",0,J323*(1-Eingaben!$B$20)),0)</f>
        <v>0</v>
      </c>
      <c r="H324" s="13" t="n">
        <f aca="false">MIN(G324,D324)</f>
        <v>0</v>
      </c>
      <c r="I324" s="13" t="n">
        <f aca="false">IFERROR(MIN(F324*Eingaben!$B$19,MAX(0,D324-H324)),0)</f>
        <v>0.43092</v>
      </c>
      <c r="J324" s="13" t="n">
        <f aca="false">IFERROR(MIN(Eingaben!$B$18,MAX(0,F324-I324)),0)</f>
        <v>0.18468</v>
      </c>
      <c r="K324" s="13" t="n">
        <f aca="false">H324+I324</f>
        <v>0.43092</v>
      </c>
      <c r="L324" s="13" t="n">
        <f aca="false">MAX(0,D324-K324)</f>
        <v>3.21408</v>
      </c>
      <c r="M324" s="13" t="n">
        <f aca="false">MAX(0,F324-I324-J324)</f>
        <v>0</v>
      </c>
      <c r="N324" s="13" t="n">
        <f aca="false">IF(Kalender!A324="",0,J323-H324)</f>
        <v>0</v>
      </c>
    </row>
    <row r="325" customFormat="false" ht="16.4" hidden="false" customHeight="false" outlineLevel="0" collapsed="false">
      <c r="A325" s="13" t="str">
        <f aca="false">""</f>
        <v/>
      </c>
      <c r="B325" s="13" t="n">
        <f aca="false">321</f>
        <v>321</v>
      </c>
      <c r="C325" s="13" t="n">
        <f aca="false">IF(Szenarien!$H$8="OK",(IFERROR(SUMIF(Nutzungsprofile!$B$6:$B$11,"Schulbetrieb",Nutzungsprofile!$G$6:$G$11)*Kalender!C325/SUM(Kalender!$C$5:$C$370),0)+IFERROR(SUMIF(Nutzungsprofile!$B$6:$B$11,"Halle",Nutzungsprofile!$G$6:$G$11)*Kalender!D325/SUM(Kalender!$D$5:$D$370),0)+IFERROR(SUMIF(Nutzungsprofile!$B$6:$B$11,"Individuell",Nutzungsprofile!$G$6:$G$11)*Kalender!E325/SUM(Kalender!$E$5:$E$370),0))*Szenarien!$E$8,0)</f>
        <v>0.72</v>
      </c>
      <c r="D325" s="13" t="n">
        <f aca="false">IF(Szenarien!$H$8="OK",(IFERROR(SUMIF(Nutzungsprofile!$B$17:$B$22,"Schulbetrieb",Nutzungsprofile!$G$17:$G$22)*Kalender!C325/SUM(Kalender!$C$5:$C$370),0)+IFERROR(SUMIF(Nutzungsprofile!$B$17:$B$22,"Halle",Nutzungsprofile!$G$17:$G$22)*Kalender!D325/SUM(Kalender!$D$5:$D$370),0)+IFERROR(SUMIF(Nutzungsprofile!$B$17:$B$22,"Individuell",Nutzungsprofile!$G$17:$G$22)*Kalender!E325/SUM(Kalender!$E$5:$E$370),0))*Szenarien!$D$8,0)</f>
        <v>3.645</v>
      </c>
      <c r="E325" s="13" t="n">
        <f aca="false">IFERROR(MIN(C325,Eingaben!$B$17)*Eingaben!$B$16,0)</f>
        <v>0.684</v>
      </c>
      <c r="F325" s="13" t="n">
        <f aca="false">IFERROR(E325*Eingaben!$B$15,0)</f>
        <v>0.6156</v>
      </c>
      <c r="G325" s="13" t="n">
        <f aca="false">IFERROR(IF(Kalender!A325="",0,J324*(1-Eingaben!$B$20)),0)</f>
        <v>0.1809864</v>
      </c>
      <c r="H325" s="13" t="n">
        <f aca="false">MIN(G325,D325)</f>
        <v>0.1809864</v>
      </c>
      <c r="I325" s="13" t="n">
        <f aca="false">IFERROR(MIN(F325*Eingaben!$B$19,MAX(0,D325-H325)),0)</f>
        <v>0.43092</v>
      </c>
      <c r="J325" s="13" t="n">
        <f aca="false">IFERROR(MIN(Eingaben!$B$18,MAX(0,F325-I325)),0)</f>
        <v>0.18468</v>
      </c>
      <c r="K325" s="13" t="n">
        <f aca="false">H325+I325</f>
        <v>0.6119064</v>
      </c>
      <c r="L325" s="13" t="n">
        <f aca="false">MAX(0,D325-K325)</f>
        <v>3.0330936</v>
      </c>
      <c r="M325" s="13" t="n">
        <f aca="false">MAX(0,F325-I325-J325)</f>
        <v>0</v>
      </c>
      <c r="N325" s="13" t="n">
        <f aca="false">IF(Kalender!A325="",0,J324-H325)</f>
        <v>0.00369359999999999</v>
      </c>
    </row>
    <row r="326" customFormat="false" ht="16.4" hidden="false" customHeight="false" outlineLevel="0" collapsed="false">
      <c r="A326" s="13" t="str">
        <f aca="false">""</f>
        <v/>
      </c>
      <c r="B326" s="13" t="n">
        <f aca="false">322</f>
        <v>322</v>
      </c>
      <c r="C326" s="13" t="n">
        <f aca="false">IF(Szenarien!$H$8="OK",(IFERROR(SUMIF(Nutzungsprofile!$B$6:$B$11,"Schulbetrieb",Nutzungsprofile!$G$6:$G$11)*Kalender!C326/SUM(Kalender!$C$5:$C$370),0)+IFERROR(SUMIF(Nutzungsprofile!$B$6:$B$11,"Halle",Nutzungsprofile!$G$6:$G$11)*Kalender!D326/SUM(Kalender!$D$5:$D$370),0)+IFERROR(SUMIF(Nutzungsprofile!$B$6:$B$11,"Individuell",Nutzungsprofile!$G$6:$G$11)*Kalender!E326/SUM(Kalender!$E$5:$E$370),0))*Szenarien!$E$8,0)</f>
        <v>0.72</v>
      </c>
      <c r="D326" s="13" t="n">
        <f aca="false">IF(Szenarien!$H$8="OK",(IFERROR(SUMIF(Nutzungsprofile!$B$17:$B$22,"Schulbetrieb",Nutzungsprofile!$G$17:$G$22)*Kalender!C326/SUM(Kalender!$C$5:$C$370),0)+IFERROR(SUMIF(Nutzungsprofile!$B$17:$B$22,"Halle",Nutzungsprofile!$G$17:$G$22)*Kalender!D326/SUM(Kalender!$D$5:$D$370),0)+IFERROR(SUMIF(Nutzungsprofile!$B$17:$B$22,"Individuell",Nutzungsprofile!$G$17:$G$22)*Kalender!E326/SUM(Kalender!$E$5:$E$370),0))*Szenarien!$D$8,0)</f>
        <v>3.645</v>
      </c>
      <c r="E326" s="13" t="n">
        <f aca="false">IFERROR(MIN(C326,Eingaben!$B$17)*Eingaben!$B$16,0)</f>
        <v>0.684</v>
      </c>
      <c r="F326" s="13" t="n">
        <f aca="false">IFERROR(E326*Eingaben!$B$15,0)</f>
        <v>0.6156</v>
      </c>
      <c r="G326" s="13" t="n">
        <f aca="false">IFERROR(IF(Kalender!A326="",0,J325*(1-Eingaben!$B$20)),0)</f>
        <v>0.1809864</v>
      </c>
      <c r="H326" s="13" t="n">
        <f aca="false">MIN(G326,D326)</f>
        <v>0.1809864</v>
      </c>
      <c r="I326" s="13" t="n">
        <f aca="false">IFERROR(MIN(F326*Eingaben!$B$19,MAX(0,D326-H326)),0)</f>
        <v>0.43092</v>
      </c>
      <c r="J326" s="13" t="n">
        <f aca="false">IFERROR(MIN(Eingaben!$B$18,MAX(0,F326-I326)),0)</f>
        <v>0.18468</v>
      </c>
      <c r="K326" s="13" t="n">
        <f aca="false">H326+I326</f>
        <v>0.6119064</v>
      </c>
      <c r="L326" s="13" t="n">
        <f aca="false">MAX(0,D326-K326)</f>
        <v>3.0330936</v>
      </c>
      <c r="M326" s="13" t="n">
        <f aca="false">MAX(0,F326-I326-J326)</f>
        <v>0</v>
      </c>
      <c r="N326" s="13" t="n">
        <f aca="false">IF(Kalender!A326="",0,J325-H326)</f>
        <v>0.00369359999999999</v>
      </c>
    </row>
    <row r="327" customFormat="false" ht="16.4" hidden="false" customHeight="false" outlineLevel="0" collapsed="false">
      <c r="A327" s="13" t="str">
        <f aca="false">""</f>
        <v/>
      </c>
      <c r="B327" s="13" t="n">
        <f aca="false">323</f>
        <v>323</v>
      </c>
      <c r="C327" s="13" t="n">
        <f aca="false">IF(Szenarien!$H$8="OK",(IFERROR(SUMIF(Nutzungsprofile!$B$6:$B$11,"Schulbetrieb",Nutzungsprofile!$G$6:$G$11)*Kalender!C327/SUM(Kalender!$C$5:$C$370),0)+IFERROR(SUMIF(Nutzungsprofile!$B$6:$B$11,"Halle",Nutzungsprofile!$G$6:$G$11)*Kalender!D327/SUM(Kalender!$D$5:$D$370),0)+IFERROR(SUMIF(Nutzungsprofile!$B$6:$B$11,"Individuell",Nutzungsprofile!$G$6:$G$11)*Kalender!E327/SUM(Kalender!$E$5:$E$370),0))*Szenarien!$E$8,0)</f>
        <v>0.72</v>
      </c>
      <c r="D327" s="13" t="n">
        <f aca="false">IF(Szenarien!$H$8="OK",(IFERROR(SUMIF(Nutzungsprofile!$B$17:$B$22,"Schulbetrieb",Nutzungsprofile!$G$17:$G$22)*Kalender!C327/SUM(Kalender!$C$5:$C$370),0)+IFERROR(SUMIF(Nutzungsprofile!$B$17:$B$22,"Halle",Nutzungsprofile!$G$17:$G$22)*Kalender!D327/SUM(Kalender!$D$5:$D$370),0)+IFERROR(SUMIF(Nutzungsprofile!$B$17:$B$22,"Individuell",Nutzungsprofile!$G$17:$G$22)*Kalender!E327/SUM(Kalender!$E$5:$E$370),0))*Szenarien!$D$8,0)</f>
        <v>3.645</v>
      </c>
      <c r="E327" s="13" t="n">
        <f aca="false">IFERROR(MIN(C327,Eingaben!$B$17)*Eingaben!$B$16,0)</f>
        <v>0.684</v>
      </c>
      <c r="F327" s="13" t="n">
        <f aca="false">IFERROR(E327*Eingaben!$B$15,0)</f>
        <v>0.6156</v>
      </c>
      <c r="G327" s="13" t="n">
        <f aca="false">IFERROR(IF(Kalender!A327="",0,J326*(1-Eingaben!$B$20)),0)</f>
        <v>0.1809864</v>
      </c>
      <c r="H327" s="13" t="n">
        <f aca="false">MIN(G327,D327)</f>
        <v>0.1809864</v>
      </c>
      <c r="I327" s="13" t="n">
        <f aca="false">IFERROR(MIN(F327*Eingaben!$B$19,MAX(0,D327-H327)),0)</f>
        <v>0.43092</v>
      </c>
      <c r="J327" s="13" t="n">
        <f aca="false">IFERROR(MIN(Eingaben!$B$18,MAX(0,F327-I327)),0)</f>
        <v>0.18468</v>
      </c>
      <c r="K327" s="13" t="n">
        <f aca="false">H327+I327</f>
        <v>0.6119064</v>
      </c>
      <c r="L327" s="13" t="n">
        <f aca="false">MAX(0,D327-K327)</f>
        <v>3.0330936</v>
      </c>
      <c r="M327" s="13" t="n">
        <f aca="false">MAX(0,F327-I327-J327)</f>
        <v>0</v>
      </c>
      <c r="N327" s="13" t="n">
        <f aca="false">IF(Kalender!A327="",0,J326-H327)</f>
        <v>0.00369359999999999</v>
      </c>
    </row>
    <row r="328" customFormat="false" ht="16.4" hidden="false" customHeight="false" outlineLevel="0" collapsed="false">
      <c r="A328" s="13" t="str">
        <f aca="false">""</f>
        <v/>
      </c>
      <c r="B328" s="13" t="n">
        <f aca="false">324</f>
        <v>324</v>
      </c>
      <c r="C328" s="13" t="n">
        <f aca="false">IF(Szenarien!$H$8="OK",(IFERROR(SUMIF(Nutzungsprofile!$B$6:$B$11,"Schulbetrieb",Nutzungsprofile!$G$6:$G$11)*Kalender!C328/SUM(Kalender!$C$5:$C$370),0)+IFERROR(SUMIF(Nutzungsprofile!$B$6:$B$11,"Halle",Nutzungsprofile!$G$6:$G$11)*Kalender!D328/SUM(Kalender!$D$5:$D$370),0)+IFERROR(SUMIF(Nutzungsprofile!$B$6:$B$11,"Individuell",Nutzungsprofile!$G$6:$G$11)*Kalender!E328/SUM(Kalender!$E$5:$E$370),0))*Szenarien!$E$8,0)</f>
        <v>0.72</v>
      </c>
      <c r="D328" s="13" t="n">
        <f aca="false">IF(Szenarien!$H$8="OK",(IFERROR(SUMIF(Nutzungsprofile!$B$17:$B$22,"Schulbetrieb",Nutzungsprofile!$G$17:$G$22)*Kalender!C328/SUM(Kalender!$C$5:$C$370),0)+IFERROR(SUMIF(Nutzungsprofile!$B$17:$B$22,"Halle",Nutzungsprofile!$G$17:$G$22)*Kalender!D328/SUM(Kalender!$D$5:$D$370),0)+IFERROR(SUMIF(Nutzungsprofile!$B$17:$B$22,"Individuell",Nutzungsprofile!$G$17:$G$22)*Kalender!E328/SUM(Kalender!$E$5:$E$370),0))*Szenarien!$D$8,0)</f>
        <v>3.645</v>
      </c>
      <c r="E328" s="13" t="n">
        <f aca="false">IFERROR(MIN(C328,Eingaben!$B$17)*Eingaben!$B$16,0)</f>
        <v>0.684</v>
      </c>
      <c r="F328" s="13" t="n">
        <f aca="false">IFERROR(E328*Eingaben!$B$15,0)</f>
        <v>0.6156</v>
      </c>
      <c r="G328" s="13" t="n">
        <f aca="false">IFERROR(IF(Kalender!A328="",0,J327*(1-Eingaben!$B$20)),0)</f>
        <v>0.1809864</v>
      </c>
      <c r="H328" s="13" t="n">
        <f aca="false">MIN(G328,D328)</f>
        <v>0.1809864</v>
      </c>
      <c r="I328" s="13" t="n">
        <f aca="false">IFERROR(MIN(F328*Eingaben!$B$19,MAX(0,D328-H328)),0)</f>
        <v>0.43092</v>
      </c>
      <c r="J328" s="13" t="n">
        <f aca="false">IFERROR(MIN(Eingaben!$B$18,MAX(0,F328-I328)),0)</f>
        <v>0.18468</v>
      </c>
      <c r="K328" s="13" t="n">
        <f aca="false">H328+I328</f>
        <v>0.6119064</v>
      </c>
      <c r="L328" s="13" t="n">
        <f aca="false">MAX(0,D328-K328)</f>
        <v>3.0330936</v>
      </c>
      <c r="M328" s="13" t="n">
        <f aca="false">MAX(0,F328-I328-J328)</f>
        <v>0</v>
      </c>
      <c r="N328" s="13" t="n">
        <f aca="false">IF(Kalender!A328="",0,J327-H328)</f>
        <v>0.00369359999999999</v>
      </c>
    </row>
    <row r="329" customFormat="false" ht="16.4" hidden="false" customHeight="false" outlineLevel="0" collapsed="false">
      <c r="A329" s="13" t="str">
        <f aca="false">""</f>
        <v/>
      </c>
      <c r="B329" s="13" t="n">
        <f aca="false">325</f>
        <v>325</v>
      </c>
      <c r="C329" s="13" t="n">
        <f aca="false">IF(Szenarien!$H$8="OK",(IFERROR(SUMIF(Nutzungsprofile!$B$6:$B$11,"Schulbetrieb",Nutzungsprofile!$G$6:$G$11)*Kalender!C329/SUM(Kalender!$C$5:$C$370),0)+IFERROR(SUMIF(Nutzungsprofile!$B$6:$B$11,"Halle",Nutzungsprofile!$G$6:$G$11)*Kalender!D329/SUM(Kalender!$D$5:$D$370),0)+IFERROR(SUMIF(Nutzungsprofile!$B$6:$B$11,"Individuell",Nutzungsprofile!$G$6:$G$11)*Kalender!E329/SUM(Kalender!$E$5:$E$370),0))*Szenarien!$E$8,0)</f>
        <v>0</v>
      </c>
      <c r="D329" s="13" t="n">
        <f aca="false">IF(Szenarien!$H$8="OK",(IFERROR(SUMIF(Nutzungsprofile!$B$17:$B$22,"Schulbetrieb",Nutzungsprofile!$G$17:$G$22)*Kalender!C329/SUM(Kalender!$C$5:$C$370),0)+IFERROR(SUMIF(Nutzungsprofile!$B$17:$B$22,"Halle",Nutzungsprofile!$G$17:$G$22)*Kalender!D329/SUM(Kalender!$D$5:$D$370),0)+IFERROR(SUMIF(Nutzungsprofile!$B$17:$B$22,"Individuell",Nutzungsprofile!$G$17:$G$22)*Kalender!E329/SUM(Kalender!$E$5:$E$370),0))*Szenarien!$D$8,0)</f>
        <v>0</v>
      </c>
      <c r="E329" s="13" t="n">
        <f aca="false">IFERROR(MIN(C329,Eingaben!$B$17)*Eingaben!$B$16,0)</f>
        <v>0</v>
      </c>
      <c r="F329" s="13" t="n">
        <f aca="false">IFERROR(E329*Eingaben!$B$15,0)</f>
        <v>0</v>
      </c>
      <c r="G329" s="13" t="n">
        <f aca="false">IFERROR(IF(Kalender!A329="",0,J328*(1-Eingaben!$B$20)),0)</f>
        <v>0.1809864</v>
      </c>
      <c r="H329" s="13" t="n">
        <f aca="false">MIN(G329,D329)</f>
        <v>0</v>
      </c>
      <c r="I329" s="13" t="n">
        <f aca="false">IFERROR(MIN(F329*Eingaben!$B$19,MAX(0,D329-H329)),0)</f>
        <v>0</v>
      </c>
      <c r="J329" s="13" t="n">
        <f aca="false">IFERROR(MIN(Eingaben!$B$18,MAX(0,F329-I329)),0)</f>
        <v>0</v>
      </c>
      <c r="K329" s="13" t="n">
        <f aca="false">H329+I329</f>
        <v>0</v>
      </c>
      <c r="L329" s="13" t="n">
        <f aca="false">MAX(0,D329-K329)</f>
        <v>0</v>
      </c>
      <c r="M329" s="13" t="n">
        <f aca="false">MAX(0,F329-I329-J329)</f>
        <v>0</v>
      </c>
      <c r="N329" s="13" t="n">
        <f aca="false">IF(Kalender!A329="",0,J328-H329)</f>
        <v>0.18468</v>
      </c>
    </row>
    <row r="330" customFormat="false" ht="16.4" hidden="false" customHeight="false" outlineLevel="0" collapsed="false">
      <c r="A330" s="13" t="str">
        <f aca="false">""</f>
        <v/>
      </c>
      <c r="B330" s="13" t="n">
        <f aca="false">326</f>
        <v>326</v>
      </c>
      <c r="C330" s="13" t="n">
        <f aca="false">IF(Szenarien!$H$8="OK",(IFERROR(SUMIF(Nutzungsprofile!$B$6:$B$11,"Schulbetrieb",Nutzungsprofile!$G$6:$G$11)*Kalender!C330/SUM(Kalender!$C$5:$C$370),0)+IFERROR(SUMIF(Nutzungsprofile!$B$6:$B$11,"Halle",Nutzungsprofile!$G$6:$G$11)*Kalender!D330/SUM(Kalender!$D$5:$D$370),0)+IFERROR(SUMIF(Nutzungsprofile!$B$6:$B$11,"Individuell",Nutzungsprofile!$G$6:$G$11)*Kalender!E330/SUM(Kalender!$E$5:$E$370),0))*Szenarien!$E$8,0)</f>
        <v>0</v>
      </c>
      <c r="D330" s="13" t="n">
        <f aca="false">IF(Szenarien!$H$8="OK",(IFERROR(SUMIF(Nutzungsprofile!$B$17:$B$22,"Schulbetrieb",Nutzungsprofile!$G$17:$G$22)*Kalender!C330/SUM(Kalender!$C$5:$C$370),0)+IFERROR(SUMIF(Nutzungsprofile!$B$17:$B$22,"Halle",Nutzungsprofile!$G$17:$G$22)*Kalender!D330/SUM(Kalender!$D$5:$D$370),0)+IFERROR(SUMIF(Nutzungsprofile!$B$17:$B$22,"Individuell",Nutzungsprofile!$G$17:$G$22)*Kalender!E330/SUM(Kalender!$E$5:$E$370),0))*Szenarien!$D$8,0)</f>
        <v>0</v>
      </c>
      <c r="E330" s="13" t="n">
        <f aca="false">IFERROR(MIN(C330,Eingaben!$B$17)*Eingaben!$B$16,0)</f>
        <v>0</v>
      </c>
      <c r="F330" s="13" t="n">
        <f aca="false">IFERROR(E330*Eingaben!$B$15,0)</f>
        <v>0</v>
      </c>
      <c r="G330" s="13" t="n">
        <f aca="false">IFERROR(IF(Kalender!A330="",0,J329*(1-Eingaben!$B$20)),0)</f>
        <v>0</v>
      </c>
      <c r="H330" s="13" t="n">
        <f aca="false">MIN(G330,D330)</f>
        <v>0</v>
      </c>
      <c r="I330" s="13" t="n">
        <f aca="false">IFERROR(MIN(F330*Eingaben!$B$19,MAX(0,D330-H330)),0)</f>
        <v>0</v>
      </c>
      <c r="J330" s="13" t="n">
        <f aca="false">IFERROR(MIN(Eingaben!$B$18,MAX(0,F330-I330)),0)</f>
        <v>0</v>
      </c>
      <c r="K330" s="13" t="n">
        <f aca="false">H330+I330</f>
        <v>0</v>
      </c>
      <c r="L330" s="13" t="n">
        <f aca="false">MAX(0,D330-K330)</f>
        <v>0</v>
      </c>
      <c r="M330" s="13" t="n">
        <f aca="false">MAX(0,F330-I330-J330)</f>
        <v>0</v>
      </c>
      <c r="N330" s="13" t="n">
        <f aca="false">IF(Kalender!A330="",0,J329-H330)</f>
        <v>0</v>
      </c>
    </row>
    <row r="331" customFormat="false" ht="16.4" hidden="false" customHeight="false" outlineLevel="0" collapsed="false">
      <c r="A331" s="13" t="str">
        <f aca="false">""</f>
        <v/>
      </c>
      <c r="B331" s="13" t="n">
        <f aca="false">327</f>
        <v>327</v>
      </c>
      <c r="C331" s="13" t="n">
        <f aca="false">IF(Szenarien!$H$8="OK",(IFERROR(SUMIF(Nutzungsprofile!$B$6:$B$11,"Schulbetrieb",Nutzungsprofile!$G$6:$G$11)*Kalender!C331/SUM(Kalender!$C$5:$C$370),0)+IFERROR(SUMIF(Nutzungsprofile!$B$6:$B$11,"Halle",Nutzungsprofile!$G$6:$G$11)*Kalender!D331/SUM(Kalender!$D$5:$D$370),0)+IFERROR(SUMIF(Nutzungsprofile!$B$6:$B$11,"Individuell",Nutzungsprofile!$G$6:$G$11)*Kalender!E331/SUM(Kalender!$E$5:$E$370),0))*Szenarien!$E$8,0)</f>
        <v>0.72</v>
      </c>
      <c r="D331" s="13" t="n">
        <f aca="false">IF(Szenarien!$H$8="OK",(IFERROR(SUMIF(Nutzungsprofile!$B$17:$B$22,"Schulbetrieb",Nutzungsprofile!$G$17:$G$22)*Kalender!C331/SUM(Kalender!$C$5:$C$370),0)+IFERROR(SUMIF(Nutzungsprofile!$B$17:$B$22,"Halle",Nutzungsprofile!$G$17:$G$22)*Kalender!D331/SUM(Kalender!$D$5:$D$370),0)+IFERROR(SUMIF(Nutzungsprofile!$B$17:$B$22,"Individuell",Nutzungsprofile!$G$17:$G$22)*Kalender!E331/SUM(Kalender!$E$5:$E$370),0))*Szenarien!$D$8,0)</f>
        <v>3.645</v>
      </c>
      <c r="E331" s="13" t="n">
        <f aca="false">IFERROR(MIN(C331,Eingaben!$B$17)*Eingaben!$B$16,0)</f>
        <v>0.684</v>
      </c>
      <c r="F331" s="13" t="n">
        <f aca="false">IFERROR(E331*Eingaben!$B$15,0)</f>
        <v>0.6156</v>
      </c>
      <c r="G331" s="13" t="n">
        <f aca="false">IFERROR(IF(Kalender!A331="",0,J330*(1-Eingaben!$B$20)),0)</f>
        <v>0</v>
      </c>
      <c r="H331" s="13" t="n">
        <f aca="false">MIN(G331,D331)</f>
        <v>0</v>
      </c>
      <c r="I331" s="13" t="n">
        <f aca="false">IFERROR(MIN(F331*Eingaben!$B$19,MAX(0,D331-H331)),0)</f>
        <v>0.43092</v>
      </c>
      <c r="J331" s="13" t="n">
        <f aca="false">IFERROR(MIN(Eingaben!$B$18,MAX(0,F331-I331)),0)</f>
        <v>0.18468</v>
      </c>
      <c r="K331" s="13" t="n">
        <f aca="false">H331+I331</f>
        <v>0.43092</v>
      </c>
      <c r="L331" s="13" t="n">
        <f aca="false">MAX(0,D331-K331)</f>
        <v>3.21408</v>
      </c>
      <c r="M331" s="13" t="n">
        <f aca="false">MAX(0,F331-I331-J331)</f>
        <v>0</v>
      </c>
      <c r="N331" s="13" t="n">
        <f aca="false">IF(Kalender!A331="",0,J330-H331)</f>
        <v>0</v>
      </c>
    </row>
    <row r="332" customFormat="false" ht="16.4" hidden="false" customHeight="false" outlineLevel="0" collapsed="false">
      <c r="A332" s="13" t="str">
        <f aca="false">""</f>
        <v/>
      </c>
      <c r="B332" s="13" t="n">
        <f aca="false">328</f>
        <v>328</v>
      </c>
      <c r="C332" s="13" t="n">
        <f aca="false">IF(Szenarien!$H$8="OK",(IFERROR(SUMIF(Nutzungsprofile!$B$6:$B$11,"Schulbetrieb",Nutzungsprofile!$G$6:$G$11)*Kalender!C332/SUM(Kalender!$C$5:$C$370),0)+IFERROR(SUMIF(Nutzungsprofile!$B$6:$B$11,"Halle",Nutzungsprofile!$G$6:$G$11)*Kalender!D332/SUM(Kalender!$D$5:$D$370),0)+IFERROR(SUMIF(Nutzungsprofile!$B$6:$B$11,"Individuell",Nutzungsprofile!$G$6:$G$11)*Kalender!E332/SUM(Kalender!$E$5:$E$370),0))*Szenarien!$E$8,0)</f>
        <v>0.72</v>
      </c>
      <c r="D332" s="13" t="n">
        <f aca="false">IF(Szenarien!$H$8="OK",(IFERROR(SUMIF(Nutzungsprofile!$B$17:$B$22,"Schulbetrieb",Nutzungsprofile!$G$17:$G$22)*Kalender!C332/SUM(Kalender!$C$5:$C$370),0)+IFERROR(SUMIF(Nutzungsprofile!$B$17:$B$22,"Halle",Nutzungsprofile!$G$17:$G$22)*Kalender!D332/SUM(Kalender!$D$5:$D$370),0)+IFERROR(SUMIF(Nutzungsprofile!$B$17:$B$22,"Individuell",Nutzungsprofile!$G$17:$G$22)*Kalender!E332/SUM(Kalender!$E$5:$E$370),0))*Szenarien!$D$8,0)</f>
        <v>3.645</v>
      </c>
      <c r="E332" s="13" t="n">
        <f aca="false">IFERROR(MIN(C332,Eingaben!$B$17)*Eingaben!$B$16,0)</f>
        <v>0.684</v>
      </c>
      <c r="F332" s="13" t="n">
        <f aca="false">IFERROR(E332*Eingaben!$B$15,0)</f>
        <v>0.6156</v>
      </c>
      <c r="G332" s="13" t="n">
        <f aca="false">IFERROR(IF(Kalender!A332="",0,J331*(1-Eingaben!$B$20)),0)</f>
        <v>0.1809864</v>
      </c>
      <c r="H332" s="13" t="n">
        <f aca="false">MIN(G332,D332)</f>
        <v>0.1809864</v>
      </c>
      <c r="I332" s="13" t="n">
        <f aca="false">IFERROR(MIN(F332*Eingaben!$B$19,MAX(0,D332-H332)),0)</f>
        <v>0.43092</v>
      </c>
      <c r="J332" s="13" t="n">
        <f aca="false">IFERROR(MIN(Eingaben!$B$18,MAX(0,F332-I332)),0)</f>
        <v>0.18468</v>
      </c>
      <c r="K332" s="13" t="n">
        <f aca="false">H332+I332</f>
        <v>0.6119064</v>
      </c>
      <c r="L332" s="13" t="n">
        <f aca="false">MAX(0,D332-K332)</f>
        <v>3.0330936</v>
      </c>
      <c r="M332" s="13" t="n">
        <f aca="false">MAX(0,F332-I332-J332)</f>
        <v>0</v>
      </c>
      <c r="N332" s="13" t="n">
        <f aca="false">IF(Kalender!A332="",0,J331-H332)</f>
        <v>0.00369359999999999</v>
      </c>
    </row>
    <row r="333" customFormat="false" ht="16.4" hidden="false" customHeight="false" outlineLevel="0" collapsed="false">
      <c r="A333" s="13" t="str">
        <f aca="false">""</f>
        <v/>
      </c>
      <c r="B333" s="13" t="n">
        <f aca="false">329</f>
        <v>329</v>
      </c>
      <c r="C333" s="13" t="n">
        <f aca="false">IF(Szenarien!$H$8="OK",(IFERROR(SUMIF(Nutzungsprofile!$B$6:$B$11,"Schulbetrieb",Nutzungsprofile!$G$6:$G$11)*Kalender!C333/SUM(Kalender!$C$5:$C$370),0)+IFERROR(SUMIF(Nutzungsprofile!$B$6:$B$11,"Halle",Nutzungsprofile!$G$6:$G$11)*Kalender!D333/SUM(Kalender!$D$5:$D$370),0)+IFERROR(SUMIF(Nutzungsprofile!$B$6:$B$11,"Individuell",Nutzungsprofile!$G$6:$G$11)*Kalender!E333/SUM(Kalender!$E$5:$E$370),0))*Szenarien!$E$8,0)</f>
        <v>0</v>
      </c>
      <c r="D333" s="13" t="n">
        <f aca="false">IF(Szenarien!$H$8="OK",(IFERROR(SUMIF(Nutzungsprofile!$B$17:$B$22,"Schulbetrieb",Nutzungsprofile!$G$17:$G$22)*Kalender!C333/SUM(Kalender!$C$5:$C$370),0)+IFERROR(SUMIF(Nutzungsprofile!$B$17:$B$22,"Halle",Nutzungsprofile!$G$17:$G$22)*Kalender!D333/SUM(Kalender!$D$5:$D$370),0)+IFERROR(SUMIF(Nutzungsprofile!$B$17:$B$22,"Individuell",Nutzungsprofile!$G$17:$G$22)*Kalender!E333/SUM(Kalender!$E$5:$E$370),0))*Szenarien!$D$8,0)</f>
        <v>0</v>
      </c>
      <c r="E333" s="13" t="n">
        <f aca="false">IFERROR(MIN(C333,Eingaben!$B$17)*Eingaben!$B$16,0)</f>
        <v>0</v>
      </c>
      <c r="F333" s="13" t="n">
        <f aca="false">IFERROR(E333*Eingaben!$B$15,0)</f>
        <v>0</v>
      </c>
      <c r="G333" s="13" t="n">
        <f aca="false">IFERROR(IF(Kalender!A333="",0,J332*(1-Eingaben!$B$20)),0)</f>
        <v>0.1809864</v>
      </c>
      <c r="H333" s="13" t="n">
        <f aca="false">MIN(G333,D333)</f>
        <v>0</v>
      </c>
      <c r="I333" s="13" t="n">
        <f aca="false">IFERROR(MIN(F333*Eingaben!$B$19,MAX(0,D333-H333)),0)</f>
        <v>0</v>
      </c>
      <c r="J333" s="13" t="n">
        <f aca="false">IFERROR(MIN(Eingaben!$B$18,MAX(0,F333-I333)),0)</f>
        <v>0</v>
      </c>
      <c r="K333" s="13" t="n">
        <f aca="false">H333+I333</f>
        <v>0</v>
      </c>
      <c r="L333" s="13" t="n">
        <f aca="false">MAX(0,D333-K333)</f>
        <v>0</v>
      </c>
      <c r="M333" s="13" t="n">
        <f aca="false">MAX(0,F333-I333-J333)</f>
        <v>0</v>
      </c>
      <c r="N333" s="13" t="n">
        <f aca="false">IF(Kalender!A333="",0,J332-H333)</f>
        <v>0.18468</v>
      </c>
    </row>
    <row r="334" customFormat="false" ht="16.4" hidden="false" customHeight="false" outlineLevel="0" collapsed="false">
      <c r="A334" s="13" t="str">
        <f aca="false">""</f>
        <v/>
      </c>
      <c r="B334" s="13" t="n">
        <f aca="false">330</f>
        <v>330</v>
      </c>
      <c r="C334" s="13" t="n">
        <f aca="false">IF(Szenarien!$H$8="OK",(IFERROR(SUMIF(Nutzungsprofile!$B$6:$B$11,"Schulbetrieb",Nutzungsprofile!$G$6:$G$11)*Kalender!C334/SUM(Kalender!$C$5:$C$370),0)+IFERROR(SUMIF(Nutzungsprofile!$B$6:$B$11,"Halle",Nutzungsprofile!$G$6:$G$11)*Kalender!D334/SUM(Kalender!$D$5:$D$370),0)+IFERROR(SUMIF(Nutzungsprofile!$B$6:$B$11,"Individuell",Nutzungsprofile!$G$6:$G$11)*Kalender!E334/SUM(Kalender!$E$5:$E$370),0))*Szenarien!$E$8,0)</f>
        <v>0</v>
      </c>
      <c r="D334" s="13" t="n">
        <f aca="false">IF(Szenarien!$H$8="OK",(IFERROR(SUMIF(Nutzungsprofile!$B$17:$B$22,"Schulbetrieb",Nutzungsprofile!$G$17:$G$22)*Kalender!C334/SUM(Kalender!$C$5:$C$370),0)+IFERROR(SUMIF(Nutzungsprofile!$B$17:$B$22,"Halle",Nutzungsprofile!$G$17:$G$22)*Kalender!D334/SUM(Kalender!$D$5:$D$370),0)+IFERROR(SUMIF(Nutzungsprofile!$B$17:$B$22,"Individuell",Nutzungsprofile!$G$17:$G$22)*Kalender!E334/SUM(Kalender!$E$5:$E$370),0))*Szenarien!$D$8,0)</f>
        <v>0</v>
      </c>
      <c r="E334" s="13" t="n">
        <f aca="false">IFERROR(MIN(C334,Eingaben!$B$17)*Eingaben!$B$16,0)</f>
        <v>0</v>
      </c>
      <c r="F334" s="13" t="n">
        <f aca="false">IFERROR(E334*Eingaben!$B$15,0)</f>
        <v>0</v>
      </c>
      <c r="G334" s="13" t="n">
        <f aca="false">IFERROR(IF(Kalender!A334="",0,J333*(1-Eingaben!$B$20)),0)</f>
        <v>0</v>
      </c>
      <c r="H334" s="13" t="n">
        <f aca="false">MIN(G334,D334)</f>
        <v>0</v>
      </c>
      <c r="I334" s="13" t="n">
        <f aca="false">IFERROR(MIN(F334*Eingaben!$B$19,MAX(0,D334-H334)),0)</f>
        <v>0</v>
      </c>
      <c r="J334" s="13" t="n">
        <f aca="false">IFERROR(MIN(Eingaben!$B$18,MAX(0,F334-I334)),0)</f>
        <v>0</v>
      </c>
      <c r="K334" s="13" t="n">
        <f aca="false">H334+I334</f>
        <v>0</v>
      </c>
      <c r="L334" s="13" t="n">
        <f aca="false">MAX(0,D334-K334)</f>
        <v>0</v>
      </c>
      <c r="M334" s="13" t="n">
        <f aca="false">MAX(0,F334-I334-J334)</f>
        <v>0</v>
      </c>
      <c r="N334" s="13" t="n">
        <f aca="false">IF(Kalender!A334="",0,J333-H334)</f>
        <v>0</v>
      </c>
    </row>
    <row r="335" customFormat="false" ht="16.4" hidden="false" customHeight="false" outlineLevel="0" collapsed="false">
      <c r="A335" s="13" t="str">
        <f aca="false">""</f>
        <v/>
      </c>
      <c r="B335" s="13" t="n">
        <f aca="false">331</f>
        <v>331</v>
      </c>
      <c r="C335" s="13" t="n">
        <f aca="false">IF(Szenarien!$H$8="OK",(IFERROR(SUMIF(Nutzungsprofile!$B$6:$B$11,"Schulbetrieb",Nutzungsprofile!$G$6:$G$11)*Kalender!C335/SUM(Kalender!$C$5:$C$370),0)+IFERROR(SUMIF(Nutzungsprofile!$B$6:$B$11,"Halle",Nutzungsprofile!$G$6:$G$11)*Kalender!D335/SUM(Kalender!$D$5:$D$370),0)+IFERROR(SUMIF(Nutzungsprofile!$B$6:$B$11,"Individuell",Nutzungsprofile!$G$6:$G$11)*Kalender!E335/SUM(Kalender!$E$5:$E$370),0))*Szenarien!$E$8,0)</f>
        <v>0</v>
      </c>
      <c r="D335" s="13" t="n">
        <f aca="false">IF(Szenarien!$H$8="OK",(IFERROR(SUMIF(Nutzungsprofile!$B$17:$B$22,"Schulbetrieb",Nutzungsprofile!$G$17:$G$22)*Kalender!C335/SUM(Kalender!$C$5:$C$370),0)+IFERROR(SUMIF(Nutzungsprofile!$B$17:$B$22,"Halle",Nutzungsprofile!$G$17:$G$22)*Kalender!D335/SUM(Kalender!$D$5:$D$370),0)+IFERROR(SUMIF(Nutzungsprofile!$B$17:$B$22,"Individuell",Nutzungsprofile!$G$17:$G$22)*Kalender!E335/SUM(Kalender!$E$5:$E$370),0))*Szenarien!$D$8,0)</f>
        <v>0</v>
      </c>
      <c r="E335" s="13" t="n">
        <f aca="false">IFERROR(MIN(C335,Eingaben!$B$17)*Eingaben!$B$16,0)</f>
        <v>0</v>
      </c>
      <c r="F335" s="13" t="n">
        <f aca="false">IFERROR(E335*Eingaben!$B$15,0)</f>
        <v>0</v>
      </c>
      <c r="G335" s="13" t="n">
        <f aca="false">IFERROR(IF(Kalender!A335="",0,J334*(1-Eingaben!$B$20)),0)</f>
        <v>0</v>
      </c>
      <c r="H335" s="13" t="n">
        <f aca="false">MIN(G335,D335)</f>
        <v>0</v>
      </c>
      <c r="I335" s="13" t="n">
        <f aca="false">IFERROR(MIN(F335*Eingaben!$B$19,MAX(0,D335-H335)),0)</f>
        <v>0</v>
      </c>
      <c r="J335" s="13" t="n">
        <f aca="false">IFERROR(MIN(Eingaben!$B$18,MAX(0,F335-I335)),0)</f>
        <v>0</v>
      </c>
      <c r="K335" s="13" t="n">
        <f aca="false">H335+I335</f>
        <v>0</v>
      </c>
      <c r="L335" s="13" t="n">
        <f aca="false">MAX(0,D335-K335)</f>
        <v>0</v>
      </c>
      <c r="M335" s="13" t="n">
        <f aca="false">MAX(0,F335-I335-J335)</f>
        <v>0</v>
      </c>
      <c r="N335" s="13" t="n">
        <f aca="false">IF(Kalender!A335="",0,J334-H335)</f>
        <v>0</v>
      </c>
    </row>
    <row r="336" customFormat="false" ht="16.4" hidden="false" customHeight="false" outlineLevel="0" collapsed="false">
      <c r="A336" s="13" t="str">
        <f aca="false">""</f>
        <v/>
      </c>
      <c r="B336" s="13" t="n">
        <f aca="false">332</f>
        <v>332</v>
      </c>
      <c r="C336" s="13" t="n">
        <f aca="false">IF(Szenarien!$H$8="OK",(IFERROR(SUMIF(Nutzungsprofile!$B$6:$B$11,"Schulbetrieb",Nutzungsprofile!$G$6:$G$11)*Kalender!C336/SUM(Kalender!$C$5:$C$370),0)+IFERROR(SUMIF(Nutzungsprofile!$B$6:$B$11,"Halle",Nutzungsprofile!$G$6:$G$11)*Kalender!D336/SUM(Kalender!$D$5:$D$370),0)+IFERROR(SUMIF(Nutzungsprofile!$B$6:$B$11,"Individuell",Nutzungsprofile!$G$6:$G$11)*Kalender!E336/SUM(Kalender!$E$5:$E$370),0))*Szenarien!$E$8,0)</f>
        <v>0</v>
      </c>
      <c r="D336" s="13" t="n">
        <f aca="false">IF(Szenarien!$H$8="OK",(IFERROR(SUMIF(Nutzungsprofile!$B$17:$B$22,"Schulbetrieb",Nutzungsprofile!$G$17:$G$22)*Kalender!C336/SUM(Kalender!$C$5:$C$370),0)+IFERROR(SUMIF(Nutzungsprofile!$B$17:$B$22,"Halle",Nutzungsprofile!$G$17:$G$22)*Kalender!D336/SUM(Kalender!$D$5:$D$370),0)+IFERROR(SUMIF(Nutzungsprofile!$B$17:$B$22,"Individuell",Nutzungsprofile!$G$17:$G$22)*Kalender!E336/SUM(Kalender!$E$5:$E$370),0))*Szenarien!$D$8,0)</f>
        <v>0</v>
      </c>
      <c r="E336" s="13" t="n">
        <f aca="false">IFERROR(MIN(C336,Eingaben!$B$17)*Eingaben!$B$16,0)</f>
        <v>0</v>
      </c>
      <c r="F336" s="13" t="n">
        <f aca="false">IFERROR(E336*Eingaben!$B$15,0)</f>
        <v>0</v>
      </c>
      <c r="G336" s="13" t="n">
        <f aca="false">IFERROR(IF(Kalender!A336="",0,J335*(1-Eingaben!$B$20)),0)</f>
        <v>0</v>
      </c>
      <c r="H336" s="13" t="n">
        <f aca="false">MIN(G336,D336)</f>
        <v>0</v>
      </c>
      <c r="I336" s="13" t="n">
        <f aca="false">IFERROR(MIN(F336*Eingaben!$B$19,MAX(0,D336-H336)),0)</f>
        <v>0</v>
      </c>
      <c r="J336" s="13" t="n">
        <f aca="false">IFERROR(MIN(Eingaben!$B$18,MAX(0,F336-I336)),0)</f>
        <v>0</v>
      </c>
      <c r="K336" s="13" t="n">
        <f aca="false">H336+I336</f>
        <v>0</v>
      </c>
      <c r="L336" s="13" t="n">
        <f aca="false">MAX(0,D336-K336)</f>
        <v>0</v>
      </c>
      <c r="M336" s="13" t="n">
        <f aca="false">MAX(0,F336-I336-J336)</f>
        <v>0</v>
      </c>
      <c r="N336" s="13" t="n">
        <f aca="false">IF(Kalender!A336="",0,J335-H336)</f>
        <v>0</v>
      </c>
    </row>
    <row r="337" customFormat="false" ht="16.4" hidden="false" customHeight="false" outlineLevel="0" collapsed="false">
      <c r="A337" s="13" t="str">
        <f aca="false">""</f>
        <v/>
      </c>
      <c r="B337" s="13" t="n">
        <f aca="false">333</f>
        <v>333</v>
      </c>
      <c r="C337" s="13" t="n">
        <f aca="false">IF(Szenarien!$H$8="OK",(IFERROR(SUMIF(Nutzungsprofile!$B$6:$B$11,"Schulbetrieb",Nutzungsprofile!$G$6:$G$11)*Kalender!C337/SUM(Kalender!$C$5:$C$370),0)+IFERROR(SUMIF(Nutzungsprofile!$B$6:$B$11,"Halle",Nutzungsprofile!$G$6:$G$11)*Kalender!D337/SUM(Kalender!$D$5:$D$370),0)+IFERROR(SUMIF(Nutzungsprofile!$B$6:$B$11,"Individuell",Nutzungsprofile!$G$6:$G$11)*Kalender!E337/SUM(Kalender!$E$5:$E$370),0))*Szenarien!$E$8,0)</f>
        <v>0</v>
      </c>
      <c r="D337" s="13" t="n">
        <f aca="false">IF(Szenarien!$H$8="OK",(IFERROR(SUMIF(Nutzungsprofile!$B$17:$B$22,"Schulbetrieb",Nutzungsprofile!$G$17:$G$22)*Kalender!C337/SUM(Kalender!$C$5:$C$370),0)+IFERROR(SUMIF(Nutzungsprofile!$B$17:$B$22,"Halle",Nutzungsprofile!$G$17:$G$22)*Kalender!D337/SUM(Kalender!$D$5:$D$370),0)+IFERROR(SUMIF(Nutzungsprofile!$B$17:$B$22,"Individuell",Nutzungsprofile!$G$17:$G$22)*Kalender!E337/SUM(Kalender!$E$5:$E$370),0))*Szenarien!$D$8,0)</f>
        <v>0</v>
      </c>
      <c r="E337" s="13" t="n">
        <f aca="false">IFERROR(MIN(C337,Eingaben!$B$17)*Eingaben!$B$16,0)</f>
        <v>0</v>
      </c>
      <c r="F337" s="13" t="n">
        <f aca="false">IFERROR(E337*Eingaben!$B$15,0)</f>
        <v>0</v>
      </c>
      <c r="G337" s="13" t="n">
        <f aca="false">IFERROR(IF(Kalender!A337="",0,J336*(1-Eingaben!$B$20)),0)</f>
        <v>0</v>
      </c>
      <c r="H337" s="13" t="n">
        <f aca="false">MIN(G337,D337)</f>
        <v>0</v>
      </c>
      <c r="I337" s="13" t="n">
        <f aca="false">IFERROR(MIN(F337*Eingaben!$B$19,MAX(0,D337-H337)),0)</f>
        <v>0</v>
      </c>
      <c r="J337" s="13" t="n">
        <f aca="false">IFERROR(MIN(Eingaben!$B$18,MAX(0,F337-I337)),0)</f>
        <v>0</v>
      </c>
      <c r="K337" s="13" t="n">
        <f aca="false">H337+I337</f>
        <v>0</v>
      </c>
      <c r="L337" s="13" t="n">
        <f aca="false">MAX(0,D337-K337)</f>
        <v>0</v>
      </c>
      <c r="M337" s="13" t="n">
        <f aca="false">MAX(0,F337-I337-J337)</f>
        <v>0</v>
      </c>
      <c r="N337" s="13" t="n">
        <f aca="false">IF(Kalender!A337="",0,J336-H337)</f>
        <v>0</v>
      </c>
    </row>
    <row r="338" customFormat="false" ht="16.4" hidden="false" customHeight="false" outlineLevel="0" collapsed="false">
      <c r="A338" s="13" t="str">
        <f aca="false">""</f>
        <v/>
      </c>
      <c r="B338" s="13" t="n">
        <f aca="false">334</f>
        <v>334</v>
      </c>
      <c r="C338" s="13" t="n">
        <f aca="false">IF(Szenarien!$H$8="OK",(IFERROR(SUMIF(Nutzungsprofile!$B$6:$B$11,"Schulbetrieb",Nutzungsprofile!$G$6:$G$11)*Kalender!C338/SUM(Kalender!$C$5:$C$370),0)+IFERROR(SUMIF(Nutzungsprofile!$B$6:$B$11,"Halle",Nutzungsprofile!$G$6:$G$11)*Kalender!D338/SUM(Kalender!$D$5:$D$370),0)+IFERROR(SUMIF(Nutzungsprofile!$B$6:$B$11,"Individuell",Nutzungsprofile!$G$6:$G$11)*Kalender!E338/SUM(Kalender!$E$5:$E$370),0))*Szenarien!$E$8,0)</f>
        <v>0</v>
      </c>
      <c r="D338" s="13" t="n">
        <f aca="false">IF(Szenarien!$H$8="OK",(IFERROR(SUMIF(Nutzungsprofile!$B$17:$B$22,"Schulbetrieb",Nutzungsprofile!$G$17:$G$22)*Kalender!C338/SUM(Kalender!$C$5:$C$370),0)+IFERROR(SUMIF(Nutzungsprofile!$B$17:$B$22,"Halle",Nutzungsprofile!$G$17:$G$22)*Kalender!D338/SUM(Kalender!$D$5:$D$370),0)+IFERROR(SUMIF(Nutzungsprofile!$B$17:$B$22,"Individuell",Nutzungsprofile!$G$17:$G$22)*Kalender!E338/SUM(Kalender!$E$5:$E$370),0))*Szenarien!$D$8,0)</f>
        <v>0</v>
      </c>
      <c r="E338" s="13" t="n">
        <f aca="false">IFERROR(MIN(C338,Eingaben!$B$17)*Eingaben!$B$16,0)</f>
        <v>0</v>
      </c>
      <c r="F338" s="13" t="n">
        <f aca="false">IFERROR(E338*Eingaben!$B$15,0)</f>
        <v>0</v>
      </c>
      <c r="G338" s="13" t="n">
        <f aca="false">IFERROR(IF(Kalender!A338="",0,J337*(1-Eingaben!$B$20)),0)</f>
        <v>0</v>
      </c>
      <c r="H338" s="13" t="n">
        <f aca="false">MIN(G338,D338)</f>
        <v>0</v>
      </c>
      <c r="I338" s="13" t="n">
        <f aca="false">IFERROR(MIN(F338*Eingaben!$B$19,MAX(0,D338-H338)),0)</f>
        <v>0</v>
      </c>
      <c r="J338" s="13" t="n">
        <f aca="false">IFERROR(MIN(Eingaben!$B$18,MAX(0,F338-I338)),0)</f>
        <v>0</v>
      </c>
      <c r="K338" s="13" t="n">
        <f aca="false">H338+I338</f>
        <v>0</v>
      </c>
      <c r="L338" s="13" t="n">
        <f aca="false">MAX(0,D338-K338)</f>
        <v>0</v>
      </c>
      <c r="M338" s="13" t="n">
        <f aca="false">MAX(0,F338-I338-J338)</f>
        <v>0</v>
      </c>
      <c r="N338" s="13" t="n">
        <f aca="false">IF(Kalender!A338="",0,J337-H338)</f>
        <v>0</v>
      </c>
    </row>
    <row r="339" customFormat="false" ht="16.4" hidden="false" customHeight="false" outlineLevel="0" collapsed="false">
      <c r="A339" s="13" t="str">
        <f aca="false">""</f>
        <v/>
      </c>
      <c r="B339" s="13" t="n">
        <f aca="false">335</f>
        <v>335</v>
      </c>
      <c r="C339" s="13" t="n">
        <f aca="false">IF(Szenarien!$H$8="OK",(IFERROR(SUMIF(Nutzungsprofile!$B$6:$B$11,"Schulbetrieb",Nutzungsprofile!$G$6:$G$11)*Kalender!C339/SUM(Kalender!$C$5:$C$370),0)+IFERROR(SUMIF(Nutzungsprofile!$B$6:$B$11,"Halle",Nutzungsprofile!$G$6:$G$11)*Kalender!D339/SUM(Kalender!$D$5:$D$370),0)+IFERROR(SUMIF(Nutzungsprofile!$B$6:$B$11,"Individuell",Nutzungsprofile!$G$6:$G$11)*Kalender!E339/SUM(Kalender!$E$5:$E$370),0))*Szenarien!$E$8,0)</f>
        <v>0</v>
      </c>
      <c r="D339" s="13" t="n">
        <f aca="false">IF(Szenarien!$H$8="OK",(IFERROR(SUMIF(Nutzungsprofile!$B$17:$B$22,"Schulbetrieb",Nutzungsprofile!$G$17:$G$22)*Kalender!C339/SUM(Kalender!$C$5:$C$370),0)+IFERROR(SUMIF(Nutzungsprofile!$B$17:$B$22,"Halle",Nutzungsprofile!$G$17:$G$22)*Kalender!D339/SUM(Kalender!$D$5:$D$370),0)+IFERROR(SUMIF(Nutzungsprofile!$B$17:$B$22,"Individuell",Nutzungsprofile!$G$17:$G$22)*Kalender!E339/SUM(Kalender!$E$5:$E$370),0))*Szenarien!$D$8,0)</f>
        <v>0</v>
      </c>
      <c r="E339" s="13" t="n">
        <f aca="false">IFERROR(MIN(C339,Eingaben!$B$17)*Eingaben!$B$16,0)</f>
        <v>0</v>
      </c>
      <c r="F339" s="13" t="n">
        <f aca="false">IFERROR(E339*Eingaben!$B$15,0)</f>
        <v>0</v>
      </c>
      <c r="G339" s="13" t="n">
        <f aca="false">IFERROR(IF(Kalender!A339="",0,J338*(1-Eingaben!$B$20)),0)</f>
        <v>0</v>
      </c>
      <c r="H339" s="13" t="n">
        <f aca="false">MIN(G339,D339)</f>
        <v>0</v>
      </c>
      <c r="I339" s="13" t="n">
        <f aca="false">IFERROR(MIN(F339*Eingaben!$B$19,MAX(0,D339-H339)),0)</f>
        <v>0</v>
      </c>
      <c r="J339" s="13" t="n">
        <f aca="false">IFERROR(MIN(Eingaben!$B$18,MAX(0,F339-I339)),0)</f>
        <v>0</v>
      </c>
      <c r="K339" s="13" t="n">
        <f aca="false">H339+I339</f>
        <v>0</v>
      </c>
      <c r="L339" s="13" t="n">
        <f aca="false">MAX(0,D339-K339)</f>
        <v>0</v>
      </c>
      <c r="M339" s="13" t="n">
        <f aca="false">MAX(0,F339-I339-J339)</f>
        <v>0</v>
      </c>
      <c r="N339" s="13" t="n">
        <f aca="false">IF(Kalender!A339="",0,J338-H339)</f>
        <v>0</v>
      </c>
    </row>
    <row r="340" customFormat="false" ht="16.4" hidden="false" customHeight="false" outlineLevel="0" collapsed="false">
      <c r="A340" s="13" t="str">
        <f aca="false">""</f>
        <v/>
      </c>
      <c r="B340" s="13" t="n">
        <f aca="false">336</f>
        <v>336</v>
      </c>
      <c r="C340" s="13" t="n">
        <f aca="false">IF(Szenarien!$H$8="OK",(IFERROR(SUMIF(Nutzungsprofile!$B$6:$B$11,"Schulbetrieb",Nutzungsprofile!$G$6:$G$11)*Kalender!C340/SUM(Kalender!$C$5:$C$370),0)+IFERROR(SUMIF(Nutzungsprofile!$B$6:$B$11,"Halle",Nutzungsprofile!$G$6:$G$11)*Kalender!D340/SUM(Kalender!$D$5:$D$370),0)+IFERROR(SUMIF(Nutzungsprofile!$B$6:$B$11,"Individuell",Nutzungsprofile!$G$6:$G$11)*Kalender!E340/SUM(Kalender!$E$5:$E$370),0))*Szenarien!$E$8,0)</f>
        <v>0</v>
      </c>
      <c r="D340" s="13" t="n">
        <f aca="false">IF(Szenarien!$H$8="OK",(IFERROR(SUMIF(Nutzungsprofile!$B$17:$B$22,"Schulbetrieb",Nutzungsprofile!$G$17:$G$22)*Kalender!C340/SUM(Kalender!$C$5:$C$370),0)+IFERROR(SUMIF(Nutzungsprofile!$B$17:$B$22,"Halle",Nutzungsprofile!$G$17:$G$22)*Kalender!D340/SUM(Kalender!$D$5:$D$370),0)+IFERROR(SUMIF(Nutzungsprofile!$B$17:$B$22,"Individuell",Nutzungsprofile!$G$17:$G$22)*Kalender!E340/SUM(Kalender!$E$5:$E$370),0))*Szenarien!$D$8,0)</f>
        <v>0</v>
      </c>
      <c r="E340" s="13" t="n">
        <f aca="false">IFERROR(MIN(C340,Eingaben!$B$17)*Eingaben!$B$16,0)</f>
        <v>0</v>
      </c>
      <c r="F340" s="13" t="n">
        <f aca="false">IFERROR(E340*Eingaben!$B$15,0)</f>
        <v>0</v>
      </c>
      <c r="G340" s="13" t="n">
        <f aca="false">IFERROR(IF(Kalender!A340="",0,J339*(1-Eingaben!$B$20)),0)</f>
        <v>0</v>
      </c>
      <c r="H340" s="13" t="n">
        <f aca="false">MIN(G340,D340)</f>
        <v>0</v>
      </c>
      <c r="I340" s="13" t="n">
        <f aca="false">IFERROR(MIN(F340*Eingaben!$B$19,MAX(0,D340-H340)),0)</f>
        <v>0</v>
      </c>
      <c r="J340" s="13" t="n">
        <f aca="false">IFERROR(MIN(Eingaben!$B$18,MAX(0,F340-I340)),0)</f>
        <v>0</v>
      </c>
      <c r="K340" s="13" t="n">
        <f aca="false">H340+I340</f>
        <v>0</v>
      </c>
      <c r="L340" s="13" t="n">
        <f aca="false">MAX(0,D340-K340)</f>
        <v>0</v>
      </c>
      <c r="M340" s="13" t="n">
        <f aca="false">MAX(0,F340-I340-J340)</f>
        <v>0</v>
      </c>
      <c r="N340" s="13" t="n">
        <f aca="false">IF(Kalender!A340="",0,J339-H340)</f>
        <v>0</v>
      </c>
    </row>
    <row r="341" customFormat="false" ht="16.4" hidden="false" customHeight="false" outlineLevel="0" collapsed="false">
      <c r="A341" s="13" t="str">
        <f aca="false">""</f>
        <v/>
      </c>
      <c r="B341" s="13" t="n">
        <f aca="false">337</f>
        <v>337</v>
      </c>
      <c r="C341" s="13" t="n">
        <f aca="false">IF(Szenarien!$H$8="OK",(IFERROR(SUMIF(Nutzungsprofile!$B$6:$B$11,"Schulbetrieb",Nutzungsprofile!$G$6:$G$11)*Kalender!C341/SUM(Kalender!$C$5:$C$370),0)+IFERROR(SUMIF(Nutzungsprofile!$B$6:$B$11,"Halle",Nutzungsprofile!$G$6:$G$11)*Kalender!D341/SUM(Kalender!$D$5:$D$370),0)+IFERROR(SUMIF(Nutzungsprofile!$B$6:$B$11,"Individuell",Nutzungsprofile!$G$6:$G$11)*Kalender!E341/SUM(Kalender!$E$5:$E$370),0))*Szenarien!$E$8,0)</f>
        <v>0</v>
      </c>
      <c r="D341" s="13" t="n">
        <f aca="false">IF(Szenarien!$H$8="OK",(IFERROR(SUMIF(Nutzungsprofile!$B$17:$B$22,"Schulbetrieb",Nutzungsprofile!$G$17:$G$22)*Kalender!C341/SUM(Kalender!$C$5:$C$370),0)+IFERROR(SUMIF(Nutzungsprofile!$B$17:$B$22,"Halle",Nutzungsprofile!$G$17:$G$22)*Kalender!D341/SUM(Kalender!$D$5:$D$370),0)+IFERROR(SUMIF(Nutzungsprofile!$B$17:$B$22,"Individuell",Nutzungsprofile!$G$17:$G$22)*Kalender!E341/SUM(Kalender!$E$5:$E$370),0))*Szenarien!$D$8,0)</f>
        <v>0</v>
      </c>
      <c r="E341" s="13" t="n">
        <f aca="false">IFERROR(MIN(C341,Eingaben!$B$17)*Eingaben!$B$16,0)</f>
        <v>0</v>
      </c>
      <c r="F341" s="13" t="n">
        <f aca="false">IFERROR(E341*Eingaben!$B$15,0)</f>
        <v>0</v>
      </c>
      <c r="G341" s="13" t="n">
        <f aca="false">IFERROR(IF(Kalender!A341="",0,J340*(1-Eingaben!$B$20)),0)</f>
        <v>0</v>
      </c>
      <c r="H341" s="13" t="n">
        <f aca="false">MIN(G341,D341)</f>
        <v>0</v>
      </c>
      <c r="I341" s="13" t="n">
        <f aca="false">IFERROR(MIN(F341*Eingaben!$B$19,MAX(0,D341-H341)),0)</f>
        <v>0</v>
      </c>
      <c r="J341" s="13" t="n">
        <f aca="false">IFERROR(MIN(Eingaben!$B$18,MAX(0,F341-I341)),0)</f>
        <v>0</v>
      </c>
      <c r="K341" s="13" t="n">
        <f aca="false">H341+I341</f>
        <v>0</v>
      </c>
      <c r="L341" s="13" t="n">
        <f aca="false">MAX(0,D341-K341)</f>
        <v>0</v>
      </c>
      <c r="M341" s="13" t="n">
        <f aca="false">MAX(0,F341-I341-J341)</f>
        <v>0</v>
      </c>
      <c r="N341" s="13" t="n">
        <f aca="false">IF(Kalender!A341="",0,J340-H341)</f>
        <v>0</v>
      </c>
    </row>
    <row r="342" customFormat="false" ht="16.4" hidden="false" customHeight="false" outlineLevel="0" collapsed="false">
      <c r="A342" s="13" t="str">
        <f aca="false">""</f>
        <v/>
      </c>
      <c r="B342" s="13" t="n">
        <f aca="false">338</f>
        <v>338</v>
      </c>
      <c r="C342" s="13" t="n">
        <f aca="false">IF(Szenarien!$H$8="OK",(IFERROR(SUMIF(Nutzungsprofile!$B$6:$B$11,"Schulbetrieb",Nutzungsprofile!$G$6:$G$11)*Kalender!C342/SUM(Kalender!$C$5:$C$370),0)+IFERROR(SUMIF(Nutzungsprofile!$B$6:$B$11,"Halle",Nutzungsprofile!$G$6:$G$11)*Kalender!D342/SUM(Kalender!$D$5:$D$370),0)+IFERROR(SUMIF(Nutzungsprofile!$B$6:$B$11,"Individuell",Nutzungsprofile!$G$6:$G$11)*Kalender!E342/SUM(Kalender!$E$5:$E$370),0))*Szenarien!$E$8,0)</f>
        <v>0</v>
      </c>
      <c r="D342" s="13" t="n">
        <f aca="false">IF(Szenarien!$H$8="OK",(IFERROR(SUMIF(Nutzungsprofile!$B$17:$B$22,"Schulbetrieb",Nutzungsprofile!$G$17:$G$22)*Kalender!C342/SUM(Kalender!$C$5:$C$370),0)+IFERROR(SUMIF(Nutzungsprofile!$B$17:$B$22,"Halle",Nutzungsprofile!$G$17:$G$22)*Kalender!D342/SUM(Kalender!$D$5:$D$370),0)+IFERROR(SUMIF(Nutzungsprofile!$B$17:$B$22,"Individuell",Nutzungsprofile!$G$17:$G$22)*Kalender!E342/SUM(Kalender!$E$5:$E$370),0))*Szenarien!$D$8,0)</f>
        <v>0</v>
      </c>
      <c r="E342" s="13" t="n">
        <f aca="false">IFERROR(MIN(C342,Eingaben!$B$17)*Eingaben!$B$16,0)</f>
        <v>0</v>
      </c>
      <c r="F342" s="13" t="n">
        <f aca="false">IFERROR(E342*Eingaben!$B$15,0)</f>
        <v>0</v>
      </c>
      <c r="G342" s="13" t="n">
        <f aca="false">IFERROR(IF(Kalender!A342="",0,J341*(1-Eingaben!$B$20)),0)</f>
        <v>0</v>
      </c>
      <c r="H342" s="13" t="n">
        <f aca="false">MIN(G342,D342)</f>
        <v>0</v>
      </c>
      <c r="I342" s="13" t="n">
        <f aca="false">IFERROR(MIN(F342*Eingaben!$B$19,MAX(0,D342-H342)),0)</f>
        <v>0</v>
      </c>
      <c r="J342" s="13" t="n">
        <f aca="false">IFERROR(MIN(Eingaben!$B$18,MAX(0,F342-I342)),0)</f>
        <v>0</v>
      </c>
      <c r="K342" s="13" t="n">
        <f aca="false">H342+I342</f>
        <v>0</v>
      </c>
      <c r="L342" s="13" t="n">
        <f aca="false">MAX(0,D342-K342)</f>
        <v>0</v>
      </c>
      <c r="M342" s="13" t="n">
        <f aca="false">MAX(0,F342-I342-J342)</f>
        <v>0</v>
      </c>
      <c r="N342" s="13" t="n">
        <f aca="false">IF(Kalender!A342="",0,J341-H342)</f>
        <v>0</v>
      </c>
    </row>
    <row r="343" customFormat="false" ht="16.4" hidden="false" customHeight="false" outlineLevel="0" collapsed="false">
      <c r="A343" s="13" t="str">
        <f aca="false">""</f>
        <v/>
      </c>
      <c r="B343" s="13" t="n">
        <f aca="false">339</f>
        <v>339</v>
      </c>
      <c r="C343" s="13" t="n">
        <f aca="false">IF(Szenarien!$H$8="OK",(IFERROR(SUMIF(Nutzungsprofile!$B$6:$B$11,"Schulbetrieb",Nutzungsprofile!$G$6:$G$11)*Kalender!C343/SUM(Kalender!$C$5:$C$370),0)+IFERROR(SUMIF(Nutzungsprofile!$B$6:$B$11,"Halle",Nutzungsprofile!$G$6:$G$11)*Kalender!D343/SUM(Kalender!$D$5:$D$370),0)+IFERROR(SUMIF(Nutzungsprofile!$B$6:$B$11,"Individuell",Nutzungsprofile!$G$6:$G$11)*Kalender!E343/SUM(Kalender!$E$5:$E$370),0))*Szenarien!$E$8,0)</f>
        <v>0</v>
      </c>
      <c r="D343" s="13" t="n">
        <f aca="false">IF(Szenarien!$H$8="OK",(IFERROR(SUMIF(Nutzungsprofile!$B$17:$B$22,"Schulbetrieb",Nutzungsprofile!$G$17:$G$22)*Kalender!C343/SUM(Kalender!$C$5:$C$370),0)+IFERROR(SUMIF(Nutzungsprofile!$B$17:$B$22,"Halle",Nutzungsprofile!$G$17:$G$22)*Kalender!D343/SUM(Kalender!$D$5:$D$370),0)+IFERROR(SUMIF(Nutzungsprofile!$B$17:$B$22,"Individuell",Nutzungsprofile!$G$17:$G$22)*Kalender!E343/SUM(Kalender!$E$5:$E$370),0))*Szenarien!$D$8,0)</f>
        <v>0</v>
      </c>
      <c r="E343" s="13" t="n">
        <f aca="false">IFERROR(MIN(C343,Eingaben!$B$17)*Eingaben!$B$16,0)</f>
        <v>0</v>
      </c>
      <c r="F343" s="13" t="n">
        <f aca="false">IFERROR(E343*Eingaben!$B$15,0)</f>
        <v>0</v>
      </c>
      <c r="G343" s="13" t="n">
        <f aca="false">IFERROR(IF(Kalender!A343="",0,J342*(1-Eingaben!$B$20)),0)</f>
        <v>0</v>
      </c>
      <c r="H343" s="13" t="n">
        <f aca="false">MIN(G343,D343)</f>
        <v>0</v>
      </c>
      <c r="I343" s="13" t="n">
        <f aca="false">IFERROR(MIN(F343*Eingaben!$B$19,MAX(0,D343-H343)),0)</f>
        <v>0</v>
      </c>
      <c r="J343" s="13" t="n">
        <f aca="false">IFERROR(MIN(Eingaben!$B$18,MAX(0,F343-I343)),0)</f>
        <v>0</v>
      </c>
      <c r="K343" s="13" t="n">
        <f aca="false">H343+I343</f>
        <v>0</v>
      </c>
      <c r="L343" s="13" t="n">
        <f aca="false">MAX(0,D343-K343)</f>
        <v>0</v>
      </c>
      <c r="M343" s="13" t="n">
        <f aca="false">MAX(0,F343-I343-J343)</f>
        <v>0</v>
      </c>
      <c r="N343" s="13" t="n">
        <f aca="false">IF(Kalender!A343="",0,J342-H343)</f>
        <v>0</v>
      </c>
    </row>
    <row r="344" customFormat="false" ht="16.4" hidden="false" customHeight="false" outlineLevel="0" collapsed="false">
      <c r="A344" s="13" t="str">
        <f aca="false">""</f>
        <v/>
      </c>
      <c r="B344" s="13" t="n">
        <f aca="false">340</f>
        <v>340</v>
      </c>
      <c r="C344" s="13" t="n">
        <f aca="false">IF(Szenarien!$H$8="OK",(IFERROR(SUMIF(Nutzungsprofile!$B$6:$B$11,"Schulbetrieb",Nutzungsprofile!$G$6:$G$11)*Kalender!C344/SUM(Kalender!$C$5:$C$370),0)+IFERROR(SUMIF(Nutzungsprofile!$B$6:$B$11,"Halle",Nutzungsprofile!$G$6:$G$11)*Kalender!D344/SUM(Kalender!$D$5:$D$370),0)+IFERROR(SUMIF(Nutzungsprofile!$B$6:$B$11,"Individuell",Nutzungsprofile!$G$6:$G$11)*Kalender!E344/SUM(Kalender!$E$5:$E$370),0))*Szenarien!$E$8,0)</f>
        <v>0</v>
      </c>
      <c r="D344" s="13" t="n">
        <f aca="false">IF(Szenarien!$H$8="OK",(IFERROR(SUMIF(Nutzungsprofile!$B$17:$B$22,"Schulbetrieb",Nutzungsprofile!$G$17:$G$22)*Kalender!C344/SUM(Kalender!$C$5:$C$370),0)+IFERROR(SUMIF(Nutzungsprofile!$B$17:$B$22,"Halle",Nutzungsprofile!$G$17:$G$22)*Kalender!D344/SUM(Kalender!$D$5:$D$370),0)+IFERROR(SUMIF(Nutzungsprofile!$B$17:$B$22,"Individuell",Nutzungsprofile!$G$17:$G$22)*Kalender!E344/SUM(Kalender!$E$5:$E$370),0))*Szenarien!$D$8,0)</f>
        <v>0</v>
      </c>
      <c r="E344" s="13" t="n">
        <f aca="false">IFERROR(MIN(C344,Eingaben!$B$17)*Eingaben!$B$16,0)</f>
        <v>0</v>
      </c>
      <c r="F344" s="13" t="n">
        <f aca="false">IFERROR(E344*Eingaben!$B$15,0)</f>
        <v>0</v>
      </c>
      <c r="G344" s="13" t="n">
        <f aca="false">IFERROR(IF(Kalender!A344="",0,J343*(1-Eingaben!$B$20)),0)</f>
        <v>0</v>
      </c>
      <c r="H344" s="13" t="n">
        <f aca="false">MIN(G344,D344)</f>
        <v>0</v>
      </c>
      <c r="I344" s="13" t="n">
        <f aca="false">IFERROR(MIN(F344*Eingaben!$B$19,MAX(0,D344-H344)),0)</f>
        <v>0</v>
      </c>
      <c r="J344" s="13" t="n">
        <f aca="false">IFERROR(MIN(Eingaben!$B$18,MAX(0,F344-I344)),0)</f>
        <v>0</v>
      </c>
      <c r="K344" s="13" t="n">
        <f aca="false">H344+I344</f>
        <v>0</v>
      </c>
      <c r="L344" s="13" t="n">
        <f aca="false">MAX(0,D344-K344)</f>
        <v>0</v>
      </c>
      <c r="M344" s="13" t="n">
        <f aca="false">MAX(0,F344-I344-J344)</f>
        <v>0</v>
      </c>
      <c r="N344" s="13" t="n">
        <f aca="false">IF(Kalender!A344="",0,J343-H344)</f>
        <v>0</v>
      </c>
    </row>
    <row r="345" customFormat="false" ht="16.4" hidden="false" customHeight="false" outlineLevel="0" collapsed="false">
      <c r="A345" s="13" t="str">
        <f aca="false">""</f>
        <v/>
      </c>
      <c r="B345" s="13" t="n">
        <f aca="false">341</f>
        <v>341</v>
      </c>
      <c r="C345" s="13" t="n">
        <f aca="false">IF(Szenarien!$H$8="OK",(IFERROR(SUMIF(Nutzungsprofile!$B$6:$B$11,"Schulbetrieb",Nutzungsprofile!$G$6:$G$11)*Kalender!C345/SUM(Kalender!$C$5:$C$370),0)+IFERROR(SUMIF(Nutzungsprofile!$B$6:$B$11,"Halle",Nutzungsprofile!$G$6:$G$11)*Kalender!D345/SUM(Kalender!$D$5:$D$370),0)+IFERROR(SUMIF(Nutzungsprofile!$B$6:$B$11,"Individuell",Nutzungsprofile!$G$6:$G$11)*Kalender!E345/SUM(Kalender!$E$5:$E$370),0))*Szenarien!$E$8,0)</f>
        <v>0</v>
      </c>
      <c r="D345" s="13" t="n">
        <f aca="false">IF(Szenarien!$H$8="OK",(IFERROR(SUMIF(Nutzungsprofile!$B$17:$B$22,"Schulbetrieb",Nutzungsprofile!$G$17:$G$22)*Kalender!C345/SUM(Kalender!$C$5:$C$370),0)+IFERROR(SUMIF(Nutzungsprofile!$B$17:$B$22,"Halle",Nutzungsprofile!$G$17:$G$22)*Kalender!D345/SUM(Kalender!$D$5:$D$370),0)+IFERROR(SUMIF(Nutzungsprofile!$B$17:$B$22,"Individuell",Nutzungsprofile!$G$17:$G$22)*Kalender!E345/SUM(Kalender!$E$5:$E$370),0))*Szenarien!$D$8,0)</f>
        <v>0</v>
      </c>
      <c r="E345" s="13" t="n">
        <f aca="false">IFERROR(MIN(C345,Eingaben!$B$17)*Eingaben!$B$16,0)</f>
        <v>0</v>
      </c>
      <c r="F345" s="13" t="n">
        <f aca="false">IFERROR(E345*Eingaben!$B$15,0)</f>
        <v>0</v>
      </c>
      <c r="G345" s="13" t="n">
        <f aca="false">IFERROR(IF(Kalender!A345="",0,J344*(1-Eingaben!$B$20)),0)</f>
        <v>0</v>
      </c>
      <c r="H345" s="13" t="n">
        <f aca="false">MIN(G345,D345)</f>
        <v>0</v>
      </c>
      <c r="I345" s="13" t="n">
        <f aca="false">IFERROR(MIN(F345*Eingaben!$B$19,MAX(0,D345-H345)),0)</f>
        <v>0</v>
      </c>
      <c r="J345" s="13" t="n">
        <f aca="false">IFERROR(MIN(Eingaben!$B$18,MAX(0,F345-I345)),0)</f>
        <v>0</v>
      </c>
      <c r="K345" s="13" t="n">
        <f aca="false">H345+I345</f>
        <v>0</v>
      </c>
      <c r="L345" s="13" t="n">
        <f aca="false">MAX(0,D345-K345)</f>
        <v>0</v>
      </c>
      <c r="M345" s="13" t="n">
        <f aca="false">MAX(0,F345-I345-J345)</f>
        <v>0</v>
      </c>
      <c r="N345" s="13" t="n">
        <f aca="false">IF(Kalender!A345="",0,J344-H345)</f>
        <v>0</v>
      </c>
    </row>
    <row r="346" customFormat="false" ht="16.4" hidden="false" customHeight="false" outlineLevel="0" collapsed="false">
      <c r="A346" s="13" t="str">
        <f aca="false">""</f>
        <v/>
      </c>
      <c r="B346" s="13" t="n">
        <f aca="false">342</f>
        <v>342</v>
      </c>
      <c r="C346" s="13" t="n">
        <f aca="false">IF(Szenarien!$H$8="OK",(IFERROR(SUMIF(Nutzungsprofile!$B$6:$B$11,"Schulbetrieb",Nutzungsprofile!$G$6:$G$11)*Kalender!C346/SUM(Kalender!$C$5:$C$370),0)+IFERROR(SUMIF(Nutzungsprofile!$B$6:$B$11,"Halle",Nutzungsprofile!$G$6:$G$11)*Kalender!D346/SUM(Kalender!$D$5:$D$370),0)+IFERROR(SUMIF(Nutzungsprofile!$B$6:$B$11,"Individuell",Nutzungsprofile!$G$6:$G$11)*Kalender!E346/SUM(Kalender!$E$5:$E$370),0))*Szenarien!$E$8,0)</f>
        <v>0</v>
      </c>
      <c r="D346" s="13" t="n">
        <f aca="false">IF(Szenarien!$H$8="OK",(IFERROR(SUMIF(Nutzungsprofile!$B$17:$B$22,"Schulbetrieb",Nutzungsprofile!$G$17:$G$22)*Kalender!C346/SUM(Kalender!$C$5:$C$370),0)+IFERROR(SUMIF(Nutzungsprofile!$B$17:$B$22,"Halle",Nutzungsprofile!$G$17:$G$22)*Kalender!D346/SUM(Kalender!$D$5:$D$370),0)+IFERROR(SUMIF(Nutzungsprofile!$B$17:$B$22,"Individuell",Nutzungsprofile!$G$17:$G$22)*Kalender!E346/SUM(Kalender!$E$5:$E$370),0))*Szenarien!$D$8,0)</f>
        <v>0</v>
      </c>
      <c r="E346" s="13" t="n">
        <f aca="false">IFERROR(MIN(C346,Eingaben!$B$17)*Eingaben!$B$16,0)</f>
        <v>0</v>
      </c>
      <c r="F346" s="13" t="n">
        <f aca="false">IFERROR(E346*Eingaben!$B$15,0)</f>
        <v>0</v>
      </c>
      <c r="G346" s="13" t="n">
        <f aca="false">IFERROR(IF(Kalender!A346="",0,J345*(1-Eingaben!$B$20)),0)</f>
        <v>0</v>
      </c>
      <c r="H346" s="13" t="n">
        <f aca="false">MIN(G346,D346)</f>
        <v>0</v>
      </c>
      <c r="I346" s="13" t="n">
        <f aca="false">IFERROR(MIN(F346*Eingaben!$B$19,MAX(0,D346-H346)),0)</f>
        <v>0</v>
      </c>
      <c r="J346" s="13" t="n">
        <f aca="false">IFERROR(MIN(Eingaben!$B$18,MAX(0,F346-I346)),0)</f>
        <v>0</v>
      </c>
      <c r="K346" s="13" t="n">
        <f aca="false">H346+I346</f>
        <v>0</v>
      </c>
      <c r="L346" s="13" t="n">
        <f aca="false">MAX(0,D346-K346)</f>
        <v>0</v>
      </c>
      <c r="M346" s="13" t="n">
        <f aca="false">MAX(0,F346-I346-J346)</f>
        <v>0</v>
      </c>
      <c r="N346" s="13" t="n">
        <f aca="false">IF(Kalender!A346="",0,J345-H346)</f>
        <v>0</v>
      </c>
    </row>
    <row r="347" customFormat="false" ht="16.4" hidden="false" customHeight="false" outlineLevel="0" collapsed="false">
      <c r="A347" s="13" t="str">
        <f aca="false">""</f>
        <v/>
      </c>
      <c r="B347" s="13" t="n">
        <f aca="false">343</f>
        <v>343</v>
      </c>
      <c r="C347" s="13" t="n">
        <f aca="false">IF(Szenarien!$H$8="OK",(IFERROR(SUMIF(Nutzungsprofile!$B$6:$B$11,"Schulbetrieb",Nutzungsprofile!$G$6:$G$11)*Kalender!C347/SUM(Kalender!$C$5:$C$370),0)+IFERROR(SUMIF(Nutzungsprofile!$B$6:$B$11,"Halle",Nutzungsprofile!$G$6:$G$11)*Kalender!D347/SUM(Kalender!$D$5:$D$370),0)+IFERROR(SUMIF(Nutzungsprofile!$B$6:$B$11,"Individuell",Nutzungsprofile!$G$6:$G$11)*Kalender!E347/SUM(Kalender!$E$5:$E$370),0))*Szenarien!$E$8,0)</f>
        <v>0</v>
      </c>
      <c r="D347" s="13" t="n">
        <f aca="false">IF(Szenarien!$H$8="OK",(IFERROR(SUMIF(Nutzungsprofile!$B$17:$B$22,"Schulbetrieb",Nutzungsprofile!$G$17:$G$22)*Kalender!C347/SUM(Kalender!$C$5:$C$370),0)+IFERROR(SUMIF(Nutzungsprofile!$B$17:$B$22,"Halle",Nutzungsprofile!$G$17:$G$22)*Kalender!D347/SUM(Kalender!$D$5:$D$370),0)+IFERROR(SUMIF(Nutzungsprofile!$B$17:$B$22,"Individuell",Nutzungsprofile!$G$17:$G$22)*Kalender!E347/SUM(Kalender!$E$5:$E$370),0))*Szenarien!$D$8,0)</f>
        <v>0</v>
      </c>
      <c r="E347" s="13" t="n">
        <f aca="false">IFERROR(MIN(C347,Eingaben!$B$17)*Eingaben!$B$16,0)</f>
        <v>0</v>
      </c>
      <c r="F347" s="13" t="n">
        <f aca="false">IFERROR(E347*Eingaben!$B$15,0)</f>
        <v>0</v>
      </c>
      <c r="G347" s="13" t="n">
        <f aca="false">IFERROR(IF(Kalender!A347="",0,J346*(1-Eingaben!$B$20)),0)</f>
        <v>0</v>
      </c>
      <c r="H347" s="13" t="n">
        <f aca="false">MIN(G347,D347)</f>
        <v>0</v>
      </c>
      <c r="I347" s="13" t="n">
        <f aca="false">IFERROR(MIN(F347*Eingaben!$B$19,MAX(0,D347-H347)),0)</f>
        <v>0</v>
      </c>
      <c r="J347" s="13" t="n">
        <f aca="false">IFERROR(MIN(Eingaben!$B$18,MAX(0,F347-I347)),0)</f>
        <v>0</v>
      </c>
      <c r="K347" s="13" t="n">
        <f aca="false">H347+I347</f>
        <v>0</v>
      </c>
      <c r="L347" s="13" t="n">
        <f aca="false">MAX(0,D347-K347)</f>
        <v>0</v>
      </c>
      <c r="M347" s="13" t="n">
        <f aca="false">MAX(0,F347-I347-J347)</f>
        <v>0</v>
      </c>
      <c r="N347" s="13" t="n">
        <f aca="false">IF(Kalender!A347="",0,J346-H347)</f>
        <v>0</v>
      </c>
    </row>
    <row r="348" customFormat="false" ht="16.4" hidden="false" customHeight="false" outlineLevel="0" collapsed="false">
      <c r="A348" s="13" t="str">
        <f aca="false">""</f>
        <v/>
      </c>
      <c r="B348" s="13" t="n">
        <f aca="false">344</f>
        <v>344</v>
      </c>
      <c r="C348" s="13" t="n">
        <f aca="false">IF(Szenarien!$H$8="OK",(IFERROR(SUMIF(Nutzungsprofile!$B$6:$B$11,"Schulbetrieb",Nutzungsprofile!$G$6:$G$11)*Kalender!C348/SUM(Kalender!$C$5:$C$370),0)+IFERROR(SUMIF(Nutzungsprofile!$B$6:$B$11,"Halle",Nutzungsprofile!$G$6:$G$11)*Kalender!D348/SUM(Kalender!$D$5:$D$370),0)+IFERROR(SUMIF(Nutzungsprofile!$B$6:$B$11,"Individuell",Nutzungsprofile!$G$6:$G$11)*Kalender!E348/SUM(Kalender!$E$5:$E$370),0))*Szenarien!$E$8,0)</f>
        <v>0</v>
      </c>
      <c r="D348" s="13" t="n">
        <f aca="false">IF(Szenarien!$H$8="OK",(IFERROR(SUMIF(Nutzungsprofile!$B$17:$B$22,"Schulbetrieb",Nutzungsprofile!$G$17:$G$22)*Kalender!C348/SUM(Kalender!$C$5:$C$370),0)+IFERROR(SUMIF(Nutzungsprofile!$B$17:$B$22,"Halle",Nutzungsprofile!$G$17:$G$22)*Kalender!D348/SUM(Kalender!$D$5:$D$370),0)+IFERROR(SUMIF(Nutzungsprofile!$B$17:$B$22,"Individuell",Nutzungsprofile!$G$17:$G$22)*Kalender!E348/SUM(Kalender!$E$5:$E$370),0))*Szenarien!$D$8,0)</f>
        <v>0</v>
      </c>
      <c r="E348" s="13" t="n">
        <f aca="false">IFERROR(MIN(C348,Eingaben!$B$17)*Eingaben!$B$16,0)</f>
        <v>0</v>
      </c>
      <c r="F348" s="13" t="n">
        <f aca="false">IFERROR(E348*Eingaben!$B$15,0)</f>
        <v>0</v>
      </c>
      <c r="G348" s="13" t="n">
        <f aca="false">IFERROR(IF(Kalender!A348="",0,J347*(1-Eingaben!$B$20)),0)</f>
        <v>0</v>
      </c>
      <c r="H348" s="13" t="n">
        <f aca="false">MIN(G348,D348)</f>
        <v>0</v>
      </c>
      <c r="I348" s="13" t="n">
        <f aca="false">IFERROR(MIN(F348*Eingaben!$B$19,MAX(0,D348-H348)),0)</f>
        <v>0</v>
      </c>
      <c r="J348" s="13" t="n">
        <f aca="false">IFERROR(MIN(Eingaben!$B$18,MAX(0,F348-I348)),0)</f>
        <v>0</v>
      </c>
      <c r="K348" s="13" t="n">
        <f aca="false">H348+I348</f>
        <v>0</v>
      </c>
      <c r="L348" s="13" t="n">
        <f aca="false">MAX(0,D348-K348)</f>
        <v>0</v>
      </c>
      <c r="M348" s="13" t="n">
        <f aca="false">MAX(0,F348-I348-J348)</f>
        <v>0</v>
      </c>
      <c r="N348" s="13" t="n">
        <f aca="false">IF(Kalender!A348="",0,J347-H348)</f>
        <v>0</v>
      </c>
    </row>
    <row r="349" customFormat="false" ht="16.4" hidden="false" customHeight="false" outlineLevel="0" collapsed="false">
      <c r="A349" s="13" t="str">
        <f aca="false">""</f>
        <v/>
      </c>
      <c r="B349" s="13" t="n">
        <f aca="false">345</f>
        <v>345</v>
      </c>
      <c r="C349" s="13" t="n">
        <f aca="false">IF(Szenarien!$H$8="OK",(IFERROR(SUMIF(Nutzungsprofile!$B$6:$B$11,"Schulbetrieb",Nutzungsprofile!$G$6:$G$11)*Kalender!C349/SUM(Kalender!$C$5:$C$370),0)+IFERROR(SUMIF(Nutzungsprofile!$B$6:$B$11,"Halle",Nutzungsprofile!$G$6:$G$11)*Kalender!D349/SUM(Kalender!$D$5:$D$370),0)+IFERROR(SUMIF(Nutzungsprofile!$B$6:$B$11,"Individuell",Nutzungsprofile!$G$6:$G$11)*Kalender!E349/SUM(Kalender!$E$5:$E$370),0))*Szenarien!$E$8,0)</f>
        <v>0</v>
      </c>
      <c r="D349" s="13" t="n">
        <f aca="false">IF(Szenarien!$H$8="OK",(IFERROR(SUMIF(Nutzungsprofile!$B$17:$B$22,"Schulbetrieb",Nutzungsprofile!$G$17:$G$22)*Kalender!C349/SUM(Kalender!$C$5:$C$370),0)+IFERROR(SUMIF(Nutzungsprofile!$B$17:$B$22,"Halle",Nutzungsprofile!$G$17:$G$22)*Kalender!D349/SUM(Kalender!$D$5:$D$370),0)+IFERROR(SUMIF(Nutzungsprofile!$B$17:$B$22,"Individuell",Nutzungsprofile!$G$17:$G$22)*Kalender!E349/SUM(Kalender!$E$5:$E$370),0))*Szenarien!$D$8,0)</f>
        <v>0</v>
      </c>
      <c r="E349" s="13" t="n">
        <f aca="false">IFERROR(MIN(C349,Eingaben!$B$17)*Eingaben!$B$16,0)</f>
        <v>0</v>
      </c>
      <c r="F349" s="13" t="n">
        <f aca="false">IFERROR(E349*Eingaben!$B$15,0)</f>
        <v>0</v>
      </c>
      <c r="G349" s="13" t="n">
        <f aca="false">IFERROR(IF(Kalender!A349="",0,J348*(1-Eingaben!$B$20)),0)</f>
        <v>0</v>
      </c>
      <c r="H349" s="13" t="n">
        <f aca="false">MIN(G349,D349)</f>
        <v>0</v>
      </c>
      <c r="I349" s="13" t="n">
        <f aca="false">IFERROR(MIN(F349*Eingaben!$B$19,MAX(0,D349-H349)),0)</f>
        <v>0</v>
      </c>
      <c r="J349" s="13" t="n">
        <f aca="false">IFERROR(MIN(Eingaben!$B$18,MAX(0,F349-I349)),0)</f>
        <v>0</v>
      </c>
      <c r="K349" s="13" t="n">
        <f aca="false">H349+I349</f>
        <v>0</v>
      </c>
      <c r="L349" s="13" t="n">
        <f aca="false">MAX(0,D349-K349)</f>
        <v>0</v>
      </c>
      <c r="M349" s="13" t="n">
        <f aca="false">MAX(0,F349-I349-J349)</f>
        <v>0</v>
      </c>
      <c r="N349" s="13" t="n">
        <f aca="false">IF(Kalender!A349="",0,J348-H349)</f>
        <v>0</v>
      </c>
    </row>
    <row r="350" customFormat="false" ht="16.4" hidden="false" customHeight="false" outlineLevel="0" collapsed="false">
      <c r="A350" s="13" t="str">
        <f aca="false">""</f>
        <v/>
      </c>
      <c r="B350" s="13" t="n">
        <f aca="false">346</f>
        <v>346</v>
      </c>
      <c r="C350" s="13" t="n">
        <f aca="false">IF(Szenarien!$H$8="OK",(IFERROR(SUMIF(Nutzungsprofile!$B$6:$B$11,"Schulbetrieb",Nutzungsprofile!$G$6:$G$11)*Kalender!C350/SUM(Kalender!$C$5:$C$370),0)+IFERROR(SUMIF(Nutzungsprofile!$B$6:$B$11,"Halle",Nutzungsprofile!$G$6:$G$11)*Kalender!D350/SUM(Kalender!$D$5:$D$370),0)+IFERROR(SUMIF(Nutzungsprofile!$B$6:$B$11,"Individuell",Nutzungsprofile!$G$6:$G$11)*Kalender!E350/SUM(Kalender!$E$5:$E$370),0))*Szenarien!$E$8,0)</f>
        <v>0</v>
      </c>
      <c r="D350" s="13" t="n">
        <f aca="false">IF(Szenarien!$H$8="OK",(IFERROR(SUMIF(Nutzungsprofile!$B$17:$B$22,"Schulbetrieb",Nutzungsprofile!$G$17:$G$22)*Kalender!C350/SUM(Kalender!$C$5:$C$370),0)+IFERROR(SUMIF(Nutzungsprofile!$B$17:$B$22,"Halle",Nutzungsprofile!$G$17:$G$22)*Kalender!D350/SUM(Kalender!$D$5:$D$370),0)+IFERROR(SUMIF(Nutzungsprofile!$B$17:$B$22,"Individuell",Nutzungsprofile!$G$17:$G$22)*Kalender!E350/SUM(Kalender!$E$5:$E$370),0))*Szenarien!$D$8,0)</f>
        <v>0</v>
      </c>
      <c r="E350" s="13" t="n">
        <f aca="false">IFERROR(MIN(C350,Eingaben!$B$17)*Eingaben!$B$16,0)</f>
        <v>0</v>
      </c>
      <c r="F350" s="13" t="n">
        <f aca="false">IFERROR(E350*Eingaben!$B$15,0)</f>
        <v>0</v>
      </c>
      <c r="G350" s="13" t="n">
        <f aca="false">IFERROR(IF(Kalender!A350="",0,J349*(1-Eingaben!$B$20)),0)</f>
        <v>0</v>
      </c>
      <c r="H350" s="13" t="n">
        <f aca="false">MIN(G350,D350)</f>
        <v>0</v>
      </c>
      <c r="I350" s="13" t="n">
        <f aca="false">IFERROR(MIN(F350*Eingaben!$B$19,MAX(0,D350-H350)),0)</f>
        <v>0</v>
      </c>
      <c r="J350" s="13" t="n">
        <f aca="false">IFERROR(MIN(Eingaben!$B$18,MAX(0,F350-I350)),0)</f>
        <v>0</v>
      </c>
      <c r="K350" s="13" t="n">
        <f aca="false">H350+I350</f>
        <v>0</v>
      </c>
      <c r="L350" s="13" t="n">
        <f aca="false">MAX(0,D350-K350)</f>
        <v>0</v>
      </c>
      <c r="M350" s="13" t="n">
        <f aca="false">MAX(0,F350-I350-J350)</f>
        <v>0</v>
      </c>
      <c r="N350" s="13" t="n">
        <f aca="false">IF(Kalender!A350="",0,J349-H350)</f>
        <v>0</v>
      </c>
    </row>
    <row r="351" customFormat="false" ht="16.4" hidden="false" customHeight="false" outlineLevel="0" collapsed="false">
      <c r="A351" s="13" t="str">
        <f aca="false">""</f>
        <v/>
      </c>
      <c r="B351" s="13" t="n">
        <f aca="false">347</f>
        <v>347</v>
      </c>
      <c r="C351" s="13" t="n">
        <f aca="false">IF(Szenarien!$H$8="OK",(IFERROR(SUMIF(Nutzungsprofile!$B$6:$B$11,"Schulbetrieb",Nutzungsprofile!$G$6:$G$11)*Kalender!C351/SUM(Kalender!$C$5:$C$370),0)+IFERROR(SUMIF(Nutzungsprofile!$B$6:$B$11,"Halle",Nutzungsprofile!$G$6:$G$11)*Kalender!D351/SUM(Kalender!$D$5:$D$370),0)+IFERROR(SUMIF(Nutzungsprofile!$B$6:$B$11,"Individuell",Nutzungsprofile!$G$6:$G$11)*Kalender!E351/SUM(Kalender!$E$5:$E$370),0))*Szenarien!$E$8,0)</f>
        <v>0</v>
      </c>
      <c r="D351" s="13" t="n">
        <f aca="false">IF(Szenarien!$H$8="OK",(IFERROR(SUMIF(Nutzungsprofile!$B$17:$B$22,"Schulbetrieb",Nutzungsprofile!$G$17:$G$22)*Kalender!C351/SUM(Kalender!$C$5:$C$370),0)+IFERROR(SUMIF(Nutzungsprofile!$B$17:$B$22,"Halle",Nutzungsprofile!$G$17:$G$22)*Kalender!D351/SUM(Kalender!$D$5:$D$370),0)+IFERROR(SUMIF(Nutzungsprofile!$B$17:$B$22,"Individuell",Nutzungsprofile!$G$17:$G$22)*Kalender!E351/SUM(Kalender!$E$5:$E$370),0))*Szenarien!$D$8,0)</f>
        <v>0</v>
      </c>
      <c r="E351" s="13" t="n">
        <f aca="false">IFERROR(MIN(C351,Eingaben!$B$17)*Eingaben!$B$16,0)</f>
        <v>0</v>
      </c>
      <c r="F351" s="13" t="n">
        <f aca="false">IFERROR(E351*Eingaben!$B$15,0)</f>
        <v>0</v>
      </c>
      <c r="G351" s="13" t="n">
        <f aca="false">IFERROR(IF(Kalender!A351="",0,J350*(1-Eingaben!$B$20)),0)</f>
        <v>0</v>
      </c>
      <c r="H351" s="13" t="n">
        <f aca="false">MIN(G351,D351)</f>
        <v>0</v>
      </c>
      <c r="I351" s="13" t="n">
        <f aca="false">IFERROR(MIN(F351*Eingaben!$B$19,MAX(0,D351-H351)),0)</f>
        <v>0</v>
      </c>
      <c r="J351" s="13" t="n">
        <f aca="false">IFERROR(MIN(Eingaben!$B$18,MAX(0,F351-I351)),0)</f>
        <v>0</v>
      </c>
      <c r="K351" s="13" t="n">
        <f aca="false">H351+I351</f>
        <v>0</v>
      </c>
      <c r="L351" s="13" t="n">
        <f aca="false">MAX(0,D351-K351)</f>
        <v>0</v>
      </c>
      <c r="M351" s="13" t="n">
        <f aca="false">MAX(0,F351-I351-J351)</f>
        <v>0</v>
      </c>
      <c r="N351" s="13" t="n">
        <f aca="false">IF(Kalender!A351="",0,J350-H351)</f>
        <v>0</v>
      </c>
    </row>
    <row r="352" customFormat="false" ht="16.4" hidden="false" customHeight="false" outlineLevel="0" collapsed="false">
      <c r="A352" s="13" t="str">
        <f aca="false">""</f>
        <v/>
      </c>
      <c r="B352" s="13" t="n">
        <f aca="false">348</f>
        <v>348</v>
      </c>
      <c r="C352" s="13" t="n">
        <f aca="false">IF(Szenarien!$H$8="OK",(IFERROR(SUMIF(Nutzungsprofile!$B$6:$B$11,"Schulbetrieb",Nutzungsprofile!$G$6:$G$11)*Kalender!C352/SUM(Kalender!$C$5:$C$370),0)+IFERROR(SUMIF(Nutzungsprofile!$B$6:$B$11,"Halle",Nutzungsprofile!$G$6:$G$11)*Kalender!D352/SUM(Kalender!$D$5:$D$370),0)+IFERROR(SUMIF(Nutzungsprofile!$B$6:$B$11,"Individuell",Nutzungsprofile!$G$6:$G$11)*Kalender!E352/SUM(Kalender!$E$5:$E$370),0))*Szenarien!$E$8,0)</f>
        <v>0</v>
      </c>
      <c r="D352" s="13" t="n">
        <f aca="false">IF(Szenarien!$H$8="OK",(IFERROR(SUMIF(Nutzungsprofile!$B$17:$B$22,"Schulbetrieb",Nutzungsprofile!$G$17:$G$22)*Kalender!C352/SUM(Kalender!$C$5:$C$370),0)+IFERROR(SUMIF(Nutzungsprofile!$B$17:$B$22,"Halle",Nutzungsprofile!$G$17:$G$22)*Kalender!D352/SUM(Kalender!$D$5:$D$370),0)+IFERROR(SUMIF(Nutzungsprofile!$B$17:$B$22,"Individuell",Nutzungsprofile!$G$17:$G$22)*Kalender!E352/SUM(Kalender!$E$5:$E$370),0))*Szenarien!$D$8,0)</f>
        <v>0</v>
      </c>
      <c r="E352" s="13" t="n">
        <f aca="false">IFERROR(MIN(C352,Eingaben!$B$17)*Eingaben!$B$16,0)</f>
        <v>0</v>
      </c>
      <c r="F352" s="13" t="n">
        <f aca="false">IFERROR(E352*Eingaben!$B$15,0)</f>
        <v>0</v>
      </c>
      <c r="G352" s="13" t="n">
        <f aca="false">IFERROR(IF(Kalender!A352="",0,J351*(1-Eingaben!$B$20)),0)</f>
        <v>0</v>
      </c>
      <c r="H352" s="13" t="n">
        <f aca="false">MIN(G352,D352)</f>
        <v>0</v>
      </c>
      <c r="I352" s="13" t="n">
        <f aca="false">IFERROR(MIN(F352*Eingaben!$B$19,MAX(0,D352-H352)),0)</f>
        <v>0</v>
      </c>
      <c r="J352" s="13" t="n">
        <f aca="false">IFERROR(MIN(Eingaben!$B$18,MAX(0,F352-I352)),0)</f>
        <v>0</v>
      </c>
      <c r="K352" s="13" t="n">
        <f aca="false">H352+I352</f>
        <v>0</v>
      </c>
      <c r="L352" s="13" t="n">
        <f aca="false">MAX(0,D352-K352)</f>
        <v>0</v>
      </c>
      <c r="M352" s="13" t="n">
        <f aca="false">MAX(0,F352-I352-J352)</f>
        <v>0</v>
      </c>
      <c r="N352" s="13" t="n">
        <f aca="false">IF(Kalender!A352="",0,J351-H352)</f>
        <v>0</v>
      </c>
    </row>
    <row r="353" customFormat="false" ht="16.4" hidden="false" customHeight="false" outlineLevel="0" collapsed="false">
      <c r="A353" s="13" t="str">
        <f aca="false">""</f>
        <v/>
      </c>
      <c r="B353" s="13" t="n">
        <f aca="false">349</f>
        <v>349</v>
      </c>
      <c r="C353" s="13" t="n">
        <f aca="false">IF(Szenarien!$H$8="OK",(IFERROR(SUMIF(Nutzungsprofile!$B$6:$B$11,"Schulbetrieb",Nutzungsprofile!$G$6:$G$11)*Kalender!C353/SUM(Kalender!$C$5:$C$370),0)+IFERROR(SUMIF(Nutzungsprofile!$B$6:$B$11,"Halle",Nutzungsprofile!$G$6:$G$11)*Kalender!D353/SUM(Kalender!$D$5:$D$370),0)+IFERROR(SUMIF(Nutzungsprofile!$B$6:$B$11,"Individuell",Nutzungsprofile!$G$6:$G$11)*Kalender!E353/SUM(Kalender!$E$5:$E$370),0))*Szenarien!$E$8,0)</f>
        <v>0</v>
      </c>
      <c r="D353" s="13" t="n">
        <f aca="false">IF(Szenarien!$H$8="OK",(IFERROR(SUMIF(Nutzungsprofile!$B$17:$B$22,"Schulbetrieb",Nutzungsprofile!$G$17:$G$22)*Kalender!C353/SUM(Kalender!$C$5:$C$370),0)+IFERROR(SUMIF(Nutzungsprofile!$B$17:$B$22,"Halle",Nutzungsprofile!$G$17:$G$22)*Kalender!D353/SUM(Kalender!$D$5:$D$370),0)+IFERROR(SUMIF(Nutzungsprofile!$B$17:$B$22,"Individuell",Nutzungsprofile!$G$17:$G$22)*Kalender!E353/SUM(Kalender!$E$5:$E$370),0))*Szenarien!$D$8,0)</f>
        <v>0</v>
      </c>
      <c r="E353" s="13" t="n">
        <f aca="false">IFERROR(MIN(C353,Eingaben!$B$17)*Eingaben!$B$16,0)</f>
        <v>0</v>
      </c>
      <c r="F353" s="13" t="n">
        <f aca="false">IFERROR(E353*Eingaben!$B$15,0)</f>
        <v>0</v>
      </c>
      <c r="G353" s="13" t="n">
        <f aca="false">IFERROR(IF(Kalender!A353="",0,J352*(1-Eingaben!$B$20)),0)</f>
        <v>0</v>
      </c>
      <c r="H353" s="13" t="n">
        <f aca="false">MIN(G353,D353)</f>
        <v>0</v>
      </c>
      <c r="I353" s="13" t="n">
        <f aca="false">IFERROR(MIN(F353*Eingaben!$B$19,MAX(0,D353-H353)),0)</f>
        <v>0</v>
      </c>
      <c r="J353" s="13" t="n">
        <f aca="false">IFERROR(MIN(Eingaben!$B$18,MAX(0,F353-I353)),0)</f>
        <v>0</v>
      </c>
      <c r="K353" s="13" t="n">
        <f aca="false">H353+I353</f>
        <v>0</v>
      </c>
      <c r="L353" s="13" t="n">
        <f aca="false">MAX(0,D353-K353)</f>
        <v>0</v>
      </c>
      <c r="M353" s="13" t="n">
        <f aca="false">MAX(0,F353-I353-J353)</f>
        <v>0</v>
      </c>
      <c r="N353" s="13" t="n">
        <f aca="false">IF(Kalender!A353="",0,J352-H353)</f>
        <v>0</v>
      </c>
    </row>
    <row r="354" customFormat="false" ht="16.4" hidden="false" customHeight="false" outlineLevel="0" collapsed="false">
      <c r="A354" s="13" t="str">
        <f aca="false">""</f>
        <v/>
      </c>
      <c r="B354" s="13" t="n">
        <f aca="false">350</f>
        <v>350</v>
      </c>
      <c r="C354" s="13" t="n">
        <f aca="false">IF(Szenarien!$H$8="OK",(IFERROR(SUMIF(Nutzungsprofile!$B$6:$B$11,"Schulbetrieb",Nutzungsprofile!$G$6:$G$11)*Kalender!C354/SUM(Kalender!$C$5:$C$370),0)+IFERROR(SUMIF(Nutzungsprofile!$B$6:$B$11,"Halle",Nutzungsprofile!$G$6:$G$11)*Kalender!D354/SUM(Kalender!$D$5:$D$370),0)+IFERROR(SUMIF(Nutzungsprofile!$B$6:$B$11,"Individuell",Nutzungsprofile!$G$6:$G$11)*Kalender!E354/SUM(Kalender!$E$5:$E$370),0))*Szenarien!$E$8,0)</f>
        <v>0</v>
      </c>
      <c r="D354" s="13" t="n">
        <f aca="false">IF(Szenarien!$H$8="OK",(IFERROR(SUMIF(Nutzungsprofile!$B$17:$B$22,"Schulbetrieb",Nutzungsprofile!$G$17:$G$22)*Kalender!C354/SUM(Kalender!$C$5:$C$370),0)+IFERROR(SUMIF(Nutzungsprofile!$B$17:$B$22,"Halle",Nutzungsprofile!$G$17:$G$22)*Kalender!D354/SUM(Kalender!$D$5:$D$370),0)+IFERROR(SUMIF(Nutzungsprofile!$B$17:$B$22,"Individuell",Nutzungsprofile!$G$17:$G$22)*Kalender!E354/SUM(Kalender!$E$5:$E$370),0))*Szenarien!$D$8,0)</f>
        <v>0</v>
      </c>
      <c r="E354" s="13" t="n">
        <f aca="false">IFERROR(MIN(C354,Eingaben!$B$17)*Eingaben!$B$16,0)</f>
        <v>0</v>
      </c>
      <c r="F354" s="13" t="n">
        <f aca="false">IFERROR(E354*Eingaben!$B$15,0)</f>
        <v>0</v>
      </c>
      <c r="G354" s="13" t="n">
        <f aca="false">IFERROR(IF(Kalender!A354="",0,J353*(1-Eingaben!$B$20)),0)</f>
        <v>0</v>
      </c>
      <c r="H354" s="13" t="n">
        <f aca="false">MIN(G354,D354)</f>
        <v>0</v>
      </c>
      <c r="I354" s="13" t="n">
        <f aca="false">IFERROR(MIN(F354*Eingaben!$B$19,MAX(0,D354-H354)),0)</f>
        <v>0</v>
      </c>
      <c r="J354" s="13" t="n">
        <f aca="false">IFERROR(MIN(Eingaben!$B$18,MAX(0,F354-I354)),0)</f>
        <v>0</v>
      </c>
      <c r="K354" s="13" t="n">
        <f aca="false">H354+I354</f>
        <v>0</v>
      </c>
      <c r="L354" s="13" t="n">
        <f aca="false">MAX(0,D354-K354)</f>
        <v>0</v>
      </c>
      <c r="M354" s="13" t="n">
        <f aca="false">MAX(0,F354-I354-J354)</f>
        <v>0</v>
      </c>
      <c r="N354" s="13" t="n">
        <f aca="false">IF(Kalender!A354="",0,J353-H354)</f>
        <v>0</v>
      </c>
    </row>
    <row r="355" customFormat="false" ht="16.4" hidden="false" customHeight="false" outlineLevel="0" collapsed="false">
      <c r="A355" s="13" t="str">
        <f aca="false">""</f>
        <v/>
      </c>
      <c r="B355" s="13" t="n">
        <f aca="false">351</f>
        <v>351</v>
      </c>
      <c r="C355" s="13" t="n">
        <f aca="false">IF(Szenarien!$H$8="OK",(IFERROR(SUMIF(Nutzungsprofile!$B$6:$B$11,"Schulbetrieb",Nutzungsprofile!$G$6:$G$11)*Kalender!C355/SUM(Kalender!$C$5:$C$370),0)+IFERROR(SUMIF(Nutzungsprofile!$B$6:$B$11,"Halle",Nutzungsprofile!$G$6:$G$11)*Kalender!D355/SUM(Kalender!$D$5:$D$370),0)+IFERROR(SUMIF(Nutzungsprofile!$B$6:$B$11,"Individuell",Nutzungsprofile!$G$6:$G$11)*Kalender!E355/SUM(Kalender!$E$5:$E$370),0))*Szenarien!$E$8,0)</f>
        <v>0</v>
      </c>
      <c r="D355" s="13" t="n">
        <f aca="false">IF(Szenarien!$H$8="OK",(IFERROR(SUMIF(Nutzungsprofile!$B$17:$B$22,"Schulbetrieb",Nutzungsprofile!$G$17:$G$22)*Kalender!C355/SUM(Kalender!$C$5:$C$370),0)+IFERROR(SUMIF(Nutzungsprofile!$B$17:$B$22,"Halle",Nutzungsprofile!$G$17:$G$22)*Kalender!D355/SUM(Kalender!$D$5:$D$370),0)+IFERROR(SUMIF(Nutzungsprofile!$B$17:$B$22,"Individuell",Nutzungsprofile!$G$17:$G$22)*Kalender!E355/SUM(Kalender!$E$5:$E$370),0))*Szenarien!$D$8,0)</f>
        <v>0</v>
      </c>
      <c r="E355" s="13" t="n">
        <f aca="false">IFERROR(MIN(C355,Eingaben!$B$17)*Eingaben!$B$16,0)</f>
        <v>0</v>
      </c>
      <c r="F355" s="13" t="n">
        <f aca="false">IFERROR(E355*Eingaben!$B$15,0)</f>
        <v>0</v>
      </c>
      <c r="G355" s="13" t="n">
        <f aca="false">IFERROR(IF(Kalender!A355="",0,J354*(1-Eingaben!$B$20)),0)</f>
        <v>0</v>
      </c>
      <c r="H355" s="13" t="n">
        <f aca="false">MIN(G355,D355)</f>
        <v>0</v>
      </c>
      <c r="I355" s="13" t="n">
        <f aca="false">IFERROR(MIN(F355*Eingaben!$B$19,MAX(0,D355-H355)),0)</f>
        <v>0</v>
      </c>
      <c r="J355" s="13" t="n">
        <f aca="false">IFERROR(MIN(Eingaben!$B$18,MAX(0,F355-I355)),0)</f>
        <v>0</v>
      </c>
      <c r="K355" s="13" t="n">
        <f aca="false">H355+I355</f>
        <v>0</v>
      </c>
      <c r="L355" s="13" t="n">
        <f aca="false">MAX(0,D355-K355)</f>
        <v>0</v>
      </c>
      <c r="M355" s="13" t="n">
        <f aca="false">MAX(0,F355-I355-J355)</f>
        <v>0</v>
      </c>
      <c r="N355" s="13" t="n">
        <f aca="false">IF(Kalender!A355="",0,J354-H355)</f>
        <v>0</v>
      </c>
    </row>
    <row r="356" customFormat="false" ht="16.4" hidden="false" customHeight="false" outlineLevel="0" collapsed="false">
      <c r="A356" s="13" t="str">
        <f aca="false">""</f>
        <v/>
      </c>
      <c r="B356" s="13" t="n">
        <f aca="false">352</f>
        <v>352</v>
      </c>
      <c r="C356" s="13" t="n">
        <f aca="false">IF(Szenarien!$H$8="OK",(IFERROR(SUMIF(Nutzungsprofile!$B$6:$B$11,"Schulbetrieb",Nutzungsprofile!$G$6:$G$11)*Kalender!C356/SUM(Kalender!$C$5:$C$370),0)+IFERROR(SUMIF(Nutzungsprofile!$B$6:$B$11,"Halle",Nutzungsprofile!$G$6:$G$11)*Kalender!D356/SUM(Kalender!$D$5:$D$370),0)+IFERROR(SUMIF(Nutzungsprofile!$B$6:$B$11,"Individuell",Nutzungsprofile!$G$6:$G$11)*Kalender!E356/SUM(Kalender!$E$5:$E$370),0))*Szenarien!$E$8,0)</f>
        <v>0</v>
      </c>
      <c r="D356" s="13" t="n">
        <f aca="false">IF(Szenarien!$H$8="OK",(IFERROR(SUMIF(Nutzungsprofile!$B$17:$B$22,"Schulbetrieb",Nutzungsprofile!$G$17:$G$22)*Kalender!C356/SUM(Kalender!$C$5:$C$370),0)+IFERROR(SUMIF(Nutzungsprofile!$B$17:$B$22,"Halle",Nutzungsprofile!$G$17:$G$22)*Kalender!D356/SUM(Kalender!$D$5:$D$370),0)+IFERROR(SUMIF(Nutzungsprofile!$B$17:$B$22,"Individuell",Nutzungsprofile!$G$17:$G$22)*Kalender!E356/SUM(Kalender!$E$5:$E$370),0))*Szenarien!$D$8,0)</f>
        <v>0</v>
      </c>
      <c r="E356" s="13" t="n">
        <f aca="false">IFERROR(MIN(C356,Eingaben!$B$17)*Eingaben!$B$16,0)</f>
        <v>0</v>
      </c>
      <c r="F356" s="13" t="n">
        <f aca="false">IFERROR(E356*Eingaben!$B$15,0)</f>
        <v>0</v>
      </c>
      <c r="G356" s="13" t="n">
        <f aca="false">IFERROR(IF(Kalender!A356="",0,J355*(1-Eingaben!$B$20)),0)</f>
        <v>0</v>
      </c>
      <c r="H356" s="13" t="n">
        <f aca="false">MIN(G356,D356)</f>
        <v>0</v>
      </c>
      <c r="I356" s="13" t="n">
        <f aca="false">IFERROR(MIN(F356*Eingaben!$B$19,MAX(0,D356-H356)),0)</f>
        <v>0</v>
      </c>
      <c r="J356" s="13" t="n">
        <f aca="false">IFERROR(MIN(Eingaben!$B$18,MAX(0,F356-I356)),0)</f>
        <v>0</v>
      </c>
      <c r="K356" s="13" t="n">
        <f aca="false">H356+I356</f>
        <v>0</v>
      </c>
      <c r="L356" s="13" t="n">
        <f aca="false">MAX(0,D356-K356)</f>
        <v>0</v>
      </c>
      <c r="M356" s="13" t="n">
        <f aca="false">MAX(0,F356-I356-J356)</f>
        <v>0</v>
      </c>
      <c r="N356" s="13" t="n">
        <f aca="false">IF(Kalender!A356="",0,J355-H356)</f>
        <v>0</v>
      </c>
    </row>
    <row r="357" customFormat="false" ht="16.4" hidden="false" customHeight="false" outlineLevel="0" collapsed="false">
      <c r="A357" s="13" t="str">
        <f aca="false">""</f>
        <v/>
      </c>
      <c r="B357" s="13" t="n">
        <f aca="false">353</f>
        <v>353</v>
      </c>
      <c r="C357" s="13" t="n">
        <f aca="false">IF(Szenarien!$H$8="OK",(IFERROR(SUMIF(Nutzungsprofile!$B$6:$B$11,"Schulbetrieb",Nutzungsprofile!$G$6:$G$11)*Kalender!C357/SUM(Kalender!$C$5:$C$370),0)+IFERROR(SUMIF(Nutzungsprofile!$B$6:$B$11,"Halle",Nutzungsprofile!$G$6:$G$11)*Kalender!D357/SUM(Kalender!$D$5:$D$370),0)+IFERROR(SUMIF(Nutzungsprofile!$B$6:$B$11,"Individuell",Nutzungsprofile!$G$6:$G$11)*Kalender!E357/SUM(Kalender!$E$5:$E$370),0))*Szenarien!$E$8,0)</f>
        <v>0</v>
      </c>
      <c r="D357" s="13" t="n">
        <f aca="false">IF(Szenarien!$H$8="OK",(IFERROR(SUMIF(Nutzungsprofile!$B$17:$B$22,"Schulbetrieb",Nutzungsprofile!$G$17:$G$22)*Kalender!C357/SUM(Kalender!$C$5:$C$370),0)+IFERROR(SUMIF(Nutzungsprofile!$B$17:$B$22,"Halle",Nutzungsprofile!$G$17:$G$22)*Kalender!D357/SUM(Kalender!$D$5:$D$370),0)+IFERROR(SUMIF(Nutzungsprofile!$B$17:$B$22,"Individuell",Nutzungsprofile!$G$17:$G$22)*Kalender!E357/SUM(Kalender!$E$5:$E$370),0))*Szenarien!$D$8,0)</f>
        <v>0</v>
      </c>
      <c r="E357" s="13" t="n">
        <f aca="false">IFERROR(MIN(C357,Eingaben!$B$17)*Eingaben!$B$16,0)</f>
        <v>0</v>
      </c>
      <c r="F357" s="13" t="n">
        <f aca="false">IFERROR(E357*Eingaben!$B$15,0)</f>
        <v>0</v>
      </c>
      <c r="G357" s="13" t="n">
        <f aca="false">IFERROR(IF(Kalender!A357="",0,J356*(1-Eingaben!$B$20)),0)</f>
        <v>0</v>
      </c>
      <c r="H357" s="13" t="n">
        <f aca="false">MIN(G357,D357)</f>
        <v>0</v>
      </c>
      <c r="I357" s="13" t="n">
        <f aca="false">IFERROR(MIN(F357*Eingaben!$B$19,MAX(0,D357-H357)),0)</f>
        <v>0</v>
      </c>
      <c r="J357" s="13" t="n">
        <f aca="false">IFERROR(MIN(Eingaben!$B$18,MAX(0,F357-I357)),0)</f>
        <v>0</v>
      </c>
      <c r="K357" s="13" t="n">
        <f aca="false">H357+I357</f>
        <v>0</v>
      </c>
      <c r="L357" s="13" t="n">
        <f aca="false">MAX(0,D357-K357)</f>
        <v>0</v>
      </c>
      <c r="M357" s="13" t="n">
        <f aca="false">MAX(0,F357-I357-J357)</f>
        <v>0</v>
      </c>
      <c r="N357" s="13" t="n">
        <f aca="false">IF(Kalender!A357="",0,J356-H357)</f>
        <v>0</v>
      </c>
    </row>
    <row r="358" customFormat="false" ht="16.4" hidden="false" customHeight="false" outlineLevel="0" collapsed="false">
      <c r="A358" s="13" t="str">
        <f aca="false">""</f>
        <v/>
      </c>
      <c r="B358" s="13" t="n">
        <f aca="false">354</f>
        <v>354</v>
      </c>
      <c r="C358" s="13" t="n">
        <f aca="false">IF(Szenarien!$H$8="OK",(IFERROR(SUMIF(Nutzungsprofile!$B$6:$B$11,"Schulbetrieb",Nutzungsprofile!$G$6:$G$11)*Kalender!C358/SUM(Kalender!$C$5:$C$370),0)+IFERROR(SUMIF(Nutzungsprofile!$B$6:$B$11,"Halle",Nutzungsprofile!$G$6:$G$11)*Kalender!D358/SUM(Kalender!$D$5:$D$370),0)+IFERROR(SUMIF(Nutzungsprofile!$B$6:$B$11,"Individuell",Nutzungsprofile!$G$6:$G$11)*Kalender!E358/SUM(Kalender!$E$5:$E$370),0))*Szenarien!$E$8,0)</f>
        <v>0</v>
      </c>
      <c r="D358" s="13" t="n">
        <f aca="false">IF(Szenarien!$H$8="OK",(IFERROR(SUMIF(Nutzungsprofile!$B$17:$B$22,"Schulbetrieb",Nutzungsprofile!$G$17:$G$22)*Kalender!C358/SUM(Kalender!$C$5:$C$370),0)+IFERROR(SUMIF(Nutzungsprofile!$B$17:$B$22,"Halle",Nutzungsprofile!$G$17:$G$22)*Kalender!D358/SUM(Kalender!$D$5:$D$370),0)+IFERROR(SUMIF(Nutzungsprofile!$B$17:$B$22,"Individuell",Nutzungsprofile!$G$17:$G$22)*Kalender!E358/SUM(Kalender!$E$5:$E$370),0))*Szenarien!$D$8,0)</f>
        <v>0</v>
      </c>
      <c r="E358" s="13" t="n">
        <f aca="false">IFERROR(MIN(C358,Eingaben!$B$17)*Eingaben!$B$16,0)</f>
        <v>0</v>
      </c>
      <c r="F358" s="13" t="n">
        <f aca="false">IFERROR(E358*Eingaben!$B$15,0)</f>
        <v>0</v>
      </c>
      <c r="G358" s="13" t="n">
        <f aca="false">IFERROR(IF(Kalender!A358="",0,J357*(1-Eingaben!$B$20)),0)</f>
        <v>0</v>
      </c>
      <c r="H358" s="13" t="n">
        <f aca="false">MIN(G358,D358)</f>
        <v>0</v>
      </c>
      <c r="I358" s="13" t="n">
        <f aca="false">IFERROR(MIN(F358*Eingaben!$B$19,MAX(0,D358-H358)),0)</f>
        <v>0</v>
      </c>
      <c r="J358" s="13" t="n">
        <f aca="false">IFERROR(MIN(Eingaben!$B$18,MAX(0,F358-I358)),0)</f>
        <v>0</v>
      </c>
      <c r="K358" s="13" t="n">
        <f aca="false">H358+I358</f>
        <v>0</v>
      </c>
      <c r="L358" s="13" t="n">
        <f aca="false">MAX(0,D358-K358)</f>
        <v>0</v>
      </c>
      <c r="M358" s="13" t="n">
        <f aca="false">MAX(0,F358-I358-J358)</f>
        <v>0</v>
      </c>
      <c r="N358" s="13" t="n">
        <f aca="false">IF(Kalender!A358="",0,J357-H358)</f>
        <v>0</v>
      </c>
    </row>
    <row r="359" customFormat="false" ht="16.4" hidden="false" customHeight="false" outlineLevel="0" collapsed="false">
      <c r="A359" s="13" t="str">
        <f aca="false">""</f>
        <v/>
      </c>
      <c r="B359" s="13" t="n">
        <f aca="false">355</f>
        <v>355</v>
      </c>
      <c r="C359" s="13" t="n">
        <f aca="false">IF(Szenarien!$H$8="OK",(IFERROR(SUMIF(Nutzungsprofile!$B$6:$B$11,"Schulbetrieb",Nutzungsprofile!$G$6:$G$11)*Kalender!C359/SUM(Kalender!$C$5:$C$370),0)+IFERROR(SUMIF(Nutzungsprofile!$B$6:$B$11,"Halle",Nutzungsprofile!$G$6:$G$11)*Kalender!D359/SUM(Kalender!$D$5:$D$370),0)+IFERROR(SUMIF(Nutzungsprofile!$B$6:$B$11,"Individuell",Nutzungsprofile!$G$6:$G$11)*Kalender!E359/SUM(Kalender!$E$5:$E$370),0))*Szenarien!$E$8,0)</f>
        <v>0</v>
      </c>
      <c r="D359" s="13" t="n">
        <f aca="false">IF(Szenarien!$H$8="OK",(IFERROR(SUMIF(Nutzungsprofile!$B$17:$B$22,"Schulbetrieb",Nutzungsprofile!$G$17:$G$22)*Kalender!C359/SUM(Kalender!$C$5:$C$370),0)+IFERROR(SUMIF(Nutzungsprofile!$B$17:$B$22,"Halle",Nutzungsprofile!$G$17:$G$22)*Kalender!D359/SUM(Kalender!$D$5:$D$370),0)+IFERROR(SUMIF(Nutzungsprofile!$B$17:$B$22,"Individuell",Nutzungsprofile!$G$17:$G$22)*Kalender!E359/SUM(Kalender!$E$5:$E$370),0))*Szenarien!$D$8,0)</f>
        <v>0</v>
      </c>
      <c r="E359" s="13" t="n">
        <f aca="false">IFERROR(MIN(C359,Eingaben!$B$17)*Eingaben!$B$16,0)</f>
        <v>0</v>
      </c>
      <c r="F359" s="13" t="n">
        <f aca="false">IFERROR(E359*Eingaben!$B$15,0)</f>
        <v>0</v>
      </c>
      <c r="G359" s="13" t="n">
        <f aca="false">IFERROR(IF(Kalender!A359="",0,J358*(1-Eingaben!$B$20)),0)</f>
        <v>0</v>
      </c>
      <c r="H359" s="13" t="n">
        <f aca="false">MIN(G359,D359)</f>
        <v>0</v>
      </c>
      <c r="I359" s="13" t="n">
        <f aca="false">IFERROR(MIN(F359*Eingaben!$B$19,MAX(0,D359-H359)),0)</f>
        <v>0</v>
      </c>
      <c r="J359" s="13" t="n">
        <f aca="false">IFERROR(MIN(Eingaben!$B$18,MAX(0,F359-I359)),0)</f>
        <v>0</v>
      </c>
      <c r="K359" s="13" t="n">
        <f aca="false">H359+I359</f>
        <v>0</v>
      </c>
      <c r="L359" s="13" t="n">
        <f aca="false">MAX(0,D359-K359)</f>
        <v>0</v>
      </c>
      <c r="M359" s="13" t="n">
        <f aca="false">MAX(0,F359-I359-J359)</f>
        <v>0</v>
      </c>
      <c r="N359" s="13" t="n">
        <f aca="false">IF(Kalender!A359="",0,J358-H359)</f>
        <v>0</v>
      </c>
    </row>
    <row r="360" customFormat="false" ht="16.4" hidden="false" customHeight="false" outlineLevel="0" collapsed="false">
      <c r="A360" s="13" t="str">
        <f aca="false">""</f>
        <v/>
      </c>
      <c r="B360" s="13" t="n">
        <f aca="false">356</f>
        <v>356</v>
      </c>
      <c r="C360" s="13" t="n">
        <f aca="false">IF(Szenarien!$H$8="OK",(IFERROR(SUMIF(Nutzungsprofile!$B$6:$B$11,"Schulbetrieb",Nutzungsprofile!$G$6:$G$11)*Kalender!C360/SUM(Kalender!$C$5:$C$370),0)+IFERROR(SUMIF(Nutzungsprofile!$B$6:$B$11,"Halle",Nutzungsprofile!$G$6:$G$11)*Kalender!D360/SUM(Kalender!$D$5:$D$370),0)+IFERROR(SUMIF(Nutzungsprofile!$B$6:$B$11,"Individuell",Nutzungsprofile!$G$6:$G$11)*Kalender!E360/SUM(Kalender!$E$5:$E$370),0))*Szenarien!$E$8,0)</f>
        <v>0</v>
      </c>
      <c r="D360" s="13" t="n">
        <f aca="false">IF(Szenarien!$H$8="OK",(IFERROR(SUMIF(Nutzungsprofile!$B$17:$B$22,"Schulbetrieb",Nutzungsprofile!$G$17:$G$22)*Kalender!C360/SUM(Kalender!$C$5:$C$370),0)+IFERROR(SUMIF(Nutzungsprofile!$B$17:$B$22,"Halle",Nutzungsprofile!$G$17:$G$22)*Kalender!D360/SUM(Kalender!$D$5:$D$370),0)+IFERROR(SUMIF(Nutzungsprofile!$B$17:$B$22,"Individuell",Nutzungsprofile!$G$17:$G$22)*Kalender!E360/SUM(Kalender!$E$5:$E$370),0))*Szenarien!$D$8,0)</f>
        <v>0</v>
      </c>
      <c r="E360" s="13" t="n">
        <f aca="false">IFERROR(MIN(C360,Eingaben!$B$17)*Eingaben!$B$16,0)</f>
        <v>0</v>
      </c>
      <c r="F360" s="13" t="n">
        <f aca="false">IFERROR(E360*Eingaben!$B$15,0)</f>
        <v>0</v>
      </c>
      <c r="G360" s="13" t="n">
        <f aca="false">IFERROR(IF(Kalender!A360="",0,J359*(1-Eingaben!$B$20)),0)</f>
        <v>0</v>
      </c>
      <c r="H360" s="13" t="n">
        <f aca="false">MIN(G360,D360)</f>
        <v>0</v>
      </c>
      <c r="I360" s="13" t="n">
        <f aca="false">IFERROR(MIN(F360*Eingaben!$B$19,MAX(0,D360-H360)),0)</f>
        <v>0</v>
      </c>
      <c r="J360" s="13" t="n">
        <f aca="false">IFERROR(MIN(Eingaben!$B$18,MAX(0,F360-I360)),0)</f>
        <v>0</v>
      </c>
      <c r="K360" s="13" t="n">
        <f aca="false">H360+I360</f>
        <v>0</v>
      </c>
      <c r="L360" s="13" t="n">
        <f aca="false">MAX(0,D360-K360)</f>
        <v>0</v>
      </c>
      <c r="M360" s="13" t="n">
        <f aca="false">MAX(0,F360-I360-J360)</f>
        <v>0</v>
      </c>
      <c r="N360" s="13" t="n">
        <f aca="false">IF(Kalender!A360="",0,J359-H360)</f>
        <v>0</v>
      </c>
    </row>
    <row r="361" customFormat="false" ht="16.4" hidden="false" customHeight="false" outlineLevel="0" collapsed="false">
      <c r="A361" s="13" t="str">
        <f aca="false">""</f>
        <v/>
      </c>
      <c r="B361" s="13" t="n">
        <f aca="false">357</f>
        <v>357</v>
      </c>
      <c r="C361" s="13" t="n">
        <f aca="false">IF(Szenarien!$H$8="OK",(IFERROR(SUMIF(Nutzungsprofile!$B$6:$B$11,"Schulbetrieb",Nutzungsprofile!$G$6:$G$11)*Kalender!C361/SUM(Kalender!$C$5:$C$370),0)+IFERROR(SUMIF(Nutzungsprofile!$B$6:$B$11,"Halle",Nutzungsprofile!$G$6:$G$11)*Kalender!D361/SUM(Kalender!$D$5:$D$370),0)+IFERROR(SUMIF(Nutzungsprofile!$B$6:$B$11,"Individuell",Nutzungsprofile!$G$6:$G$11)*Kalender!E361/SUM(Kalender!$E$5:$E$370),0))*Szenarien!$E$8,0)</f>
        <v>0</v>
      </c>
      <c r="D361" s="13" t="n">
        <f aca="false">IF(Szenarien!$H$8="OK",(IFERROR(SUMIF(Nutzungsprofile!$B$17:$B$22,"Schulbetrieb",Nutzungsprofile!$G$17:$G$22)*Kalender!C361/SUM(Kalender!$C$5:$C$370),0)+IFERROR(SUMIF(Nutzungsprofile!$B$17:$B$22,"Halle",Nutzungsprofile!$G$17:$G$22)*Kalender!D361/SUM(Kalender!$D$5:$D$370),0)+IFERROR(SUMIF(Nutzungsprofile!$B$17:$B$22,"Individuell",Nutzungsprofile!$G$17:$G$22)*Kalender!E361/SUM(Kalender!$E$5:$E$370),0))*Szenarien!$D$8,0)</f>
        <v>0</v>
      </c>
      <c r="E361" s="13" t="n">
        <f aca="false">IFERROR(MIN(C361,Eingaben!$B$17)*Eingaben!$B$16,0)</f>
        <v>0</v>
      </c>
      <c r="F361" s="13" t="n">
        <f aca="false">IFERROR(E361*Eingaben!$B$15,0)</f>
        <v>0</v>
      </c>
      <c r="G361" s="13" t="n">
        <f aca="false">IFERROR(IF(Kalender!A361="",0,J360*(1-Eingaben!$B$20)),0)</f>
        <v>0</v>
      </c>
      <c r="H361" s="13" t="n">
        <f aca="false">MIN(G361,D361)</f>
        <v>0</v>
      </c>
      <c r="I361" s="13" t="n">
        <f aca="false">IFERROR(MIN(F361*Eingaben!$B$19,MAX(0,D361-H361)),0)</f>
        <v>0</v>
      </c>
      <c r="J361" s="13" t="n">
        <f aca="false">IFERROR(MIN(Eingaben!$B$18,MAX(0,F361-I361)),0)</f>
        <v>0</v>
      </c>
      <c r="K361" s="13" t="n">
        <f aca="false">H361+I361</f>
        <v>0</v>
      </c>
      <c r="L361" s="13" t="n">
        <f aca="false">MAX(0,D361-K361)</f>
        <v>0</v>
      </c>
      <c r="M361" s="13" t="n">
        <f aca="false">MAX(0,F361-I361-J361)</f>
        <v>0</v>
      </c>
      <c r="N361" s="13" t="n">
        <f aca="false">IF(Kalender!A361="",0,J360-H361)</f>
        <v>0</v>
      </c>
    </row>
    <row r="362" customFormat="false" ht="16.4" hidden="false" customHeight="false" outlineLevel="0" collapsed="false">
      <c r="A362" s="13" t="str">
        <f aca="false">""</f>
        <v/>
      </c>
      <c r="B362" s="13" t="n">
        <f aca="false">358</f>
        <v>358</v>
      </c>
      <c r="C362" s="13" t="n">
        <f aca="false">IF(Szenarien!$H$8="OK",(IFERROR(SUMIF(Nutzungsprofile!$B$6:$B$11,"Schulbetrieb",Nutzungsprofile!$G$6:$G$11)*Kalender!C362/SUM(Kalender!$C$5:$C$370),0)+IFERROR(SUMIF(Nutzungsprofile!$B$6:$B$11,"Halle",Nutzungsprofile!$G$6:$G$11)*Kalender!D362/SUM(Kalender!$D$5:$D$370),0)+IFERROR(SUMIF(Nutzungsprofile!$B$6:$B$11,"Individuell",Nutzungsprofile!$G$6:$G$11)*Kalender!E362/SUM(Kalender!$E$5:$E$370),0))*Szenarien!$E$8,0)</f>
        <v>0</v>
      </c>
      <c r="D362" s="13" t="n">
        <f aca="false">IF(Szenarien!$H$8="OK",(IFERROR(SUMIF(Nutzungsprofile!$B$17:$B$22,"Schulbetrieb",Nutzungsprofile!$G$17:$G$22)*Kalender!C362/SUM(Kalender!$C$5:$C$370),0)+IFERROR(SUMIF(Nutzungsprofile!$B$17:$B$22,"Halle",Nutzungsprofile!$G$17:$G$22)*Kalender!D362/SUM(Kalender!$D$5:$D$370),0)+IFERROR(SUMIF(Nutzungsprofile!$B$17:$B$22,"Individuell",Nutzungsprofile!$G$17:$G$22)*Kalender!E362/SUM(Kalender!$E$5:$E$370),0))*Szenarien!$D$8,0)</f>
        <v>0</v>
      </c>
      <c r="E362" s="13" t="n">
        <f aca="false">IFERROR(MIN(C362,Eingaben!$B$17)*Eingaben!$B$16,0)</f>
        <v>0</v>
      </c>
      <c r="F362" s="13" t="n">
        <f aca="false">IFERROR(E362*Eingaben!$B$15,0)</f>
        <v>0</v>
      </c>
      <c r="G362" s="13" t="n">
        <f aca="false">IFERROR(IF(Kalender!A362="",0,J361*(1-Eingaben!$B$20)),0)</f>
        <v>0</v>
      </c>
      <c r="H362" s="13" t="n">
        <f aca="false">MIN(G362,D362)</f>
        <v>0</v>
      </c>
      <c r="I362" s="13" t="n">
        <f aca="false">IFERROR(MIN(F362*Eingaben!$B$19,MAX(0,D362-H362)),0)</f>
        <v>0</v>
      </c>
      <c r="J362" s="13" t="n">
        <f aca="false">IFERROR(MIN(Eingaben!$B$18,MAX(0,F362-I362)),0)</f>
        <v>0</v>
      </c>
      <c r="K362" s="13" t="n">
        <f aca="false">H362+I362</f>
        <v>0</v>
      </c>
      <c r="L362" s="13" t="n">
        <f aca="false">MAX(0,D362-K362)</f>
        <v>0</v>
      </c>
      <c r="M362" s="13" t="n">
        <f aca="false">MAX(0,F362-I362-J362)</f>
        <v>0</v>
      </c>
      <c r="N362" s="13" t="n">
        <f aca="false">IF(Kalender!A362="",0,J361-H362)</f>
        <v>0</v>
      </c>
    </row>
    <row r="363" customFormat="false" ht="16.4" hidden="false" customHeight="false" outlineLevel="0" collapsed="false">
      <c r="A363" s="13" t="str">
        <f aca="false">""</f>
        <v/>
      </c>
      <c r="B363" s="13" t="n">
        <f aca="false">359</f>
        <v>359</v>
      </c>
      <c r="C363" s="13" t="n">
        <f aca="false">IF(Szenarien!$H$8="OK",(IFERROR(SUMIF(Nutzungsprofile!$B$6:$B$11,"Schulbetrieb",Nutzungsprofile!$G$6:$G$11)*Kalender!C363/SUM(Kalender!$C$5:$C$370),0)+IFERROR(SUMIF(Nutzungsprofile!$B$6:$B$11,"Halle",Nutzungsprofile!$G$6:$G$11)*Kalender!D363/SUM(Kalender!$D$5:$D$370),0)+IFERROR(SUMIF(Nutzungsprofile!$B$6:$B$11,"Individuell",Nutzungsprofile!$G$6:$G$11)*Kalender!E363/SUM(Kalender!$E$5:$E$370),0))*Szenarien!$E$8,0)</f>
        <v>0</v>
      </c>
      <c r="D363" s="13" t="n">
        <f aca="false">IF(Szenarien!$H$8="OK",(IFERROR(SUMIF(Nutzungsprofile!$B$17:$B$22,"Schulbetrieb",Nutzungsprofile!$G$17:$G$22)*Kalender!C363/SUM(Kalender!$C$5:$C$370),0)+IFERROR(SUMIF(Nutzungsprofile!$B$17:$B$22,"Halle",Nutzungsprofile!$G$17:$G$22)*Kalender!D363/SUM(Kalender!$D$5:$D$370),0)+IFERROR(SUMIF(Nutzungsprofile!$B$17:$B$22,"Individuell",Nutzungsprofile!$G$17:$G$22)*Kalender!E363/SUM(Kalender!$E$5:$E$370),0))*Szenarien!$D$8,0)</f>
        <v>0</v>
      </c>
      <c r="E363" s="13" t="n">
        <f aca="false">IFERROR(MIN(C363,Eingaben!$B$17)*Eingaben!$B$16,0)</f>
        <v>0</v>
      </c>
      <c r="F363" s="13" t="n">
        <f aca="false">IFERROR(E363*Eingaben!$B$15,0)</f>
        <v>0</v>
      </c>
      <c r="G363" s="13" t="n">
        <f aca="false">IFERROR(IF(Kalender!A363="",0,J362*(1-Eingaben!$B$20)),0)</f>
        <v>0</v>
      </c>
      <c r="H363" s="13" t="n">
        <f aca="false">MIN(G363,D363)</f>
        <v>0</v>
      </c>
      <c r="I363" s="13" t="n">
        <f aca="false">IFERROR(MIN(F363*Eingaben!$B$19,MAX(0,D363-H363)),0)</f>
        <v>0</v>
      </c>
      <c r="J363" s="13" t="n">
        <f aca="false">IFERROR(MIN(Eingaben!$B$18,MAX(0,F363-I363)),0)</f>
        <v>0</v>
      </c>
      <c r="K363" s="13" t="n">
        <f aca="false">H363+I363</f>
        <v>0</v>
      </c>
      <c r="L363" s="13" t="n">
        <f aca="false">MAX(0,D363-K363)</f>
        <v>0</v>
      </c>
      <c r="M363" s="13" t="n">
        <f aca="false">MAX(0,F363-I363-J363)</f>
        <v>0</v>
      </c>
      <c r="N363" s="13" t="n">
        <f aca="false">IF(Kalender!A363="",0,J362-H363)</f>
        <v>0</v>
      </c>
    </row>
    <row r="364" customFormat="false" ht="16.4" hidden="false" customHeight="false" outlineLevel="0" collapsed="false">
      <c r="A364" s="13" t="str">
        <f aca="false">""</f>
        <v/>
      </c>
      <c r="B364" s="13" t="n">
        <f aca="false">360</f>
        <v>360</v>
      </c>
      <c r="C364" s="13" t="n">
        <f aca="false">IF(Szenarien!$H$8="OK",(IFERROR(SUMIF(Nutzungsprofile!$B$6:$B$11,"Schulbetrieb",Nutzungsprofile!$G$6:$G$11)*Kalender!C364/SUM(Kalender!$C$5:$C$370),0)+IFERROR(SUMIF(Nutzungsprofile!$B$6:$B$11,"Halle",Nutzungsprofile!$G$6:$G$11)*Kalender!D364/SUM(Kalender!$D$5:$D$370),0)+IFERROR(SUMIF(Nutzungsprofile!$B$6:$B$11,"Individuell",Nutzungsprofile!$G$6:$G$11)*Kalender!E364/SUM(Kalender!$E$5:$E$370),0))*Szenarien!$E$8,0)</f>
        <v>0</v>
      </c>
      <c r="D364" s="13" t="n">
        <f aca="false">IF(Szenarien!$H$8="OK",(IFERROR(SUMIF(Nutzungsprofile!$B$17:$B$22,"Schulbetrieb",Nutzungsprofile!$G$17:$G$22)*Kalender!C364/SUM(Kalender!$C$5:$C$370),0)+IFERROR(SUMIF(Nutzungsprofile!$B$17:$B$22,"Halle",Nutzungsprofile!$G$17:$G$22)*Kalender!D364/SUM(Kalender!$D$5:$D$370),0)+IFERROR(SUMIF(Nutzungsprofile!$B$17:$B$22,"Individuell",Nutzungsprofile!$G$17:$G$22)*Kalender!E364/SUM(Kalender!$E$5:$E$370),0))*Szenarien!$D$8,0)</f>
        <v>0</v>
      </c>
      <c r="E364" s="13" t="n">
        <f aca="false">IFERROR(MIN(C364,Eingaben!$B$17)*Eingaben!$B$16,0)</f>
        <v>0</v>
      </c>
      <c r="F364" s="13" t="n">
        <f aca="false">IFERROR(E364*Eingaben!$B$15,0)</f>
        <v>0</v>
      </c>
      <c r="G364" s="13" t="n">
        <f aca="false">IFERROR(IF(Kalender!A364="",0,J363*(1-Eingaben!$B$20)),0)</f>
        <v>0</v>
      </c>
      <c r="H364" s="13" t="n">
        <f aca="false">MIN(G364,D364)</f>
        <v>0</v>
      </c>
      <c r="I364" s="13" t="n">
        <f aca="false">IFERROR(MIN(F364*Eingaben!$B$19,MAX(0,D364-H364)),0)</f>
        <v>0</v>
      </c>
      <c r="J364" s="13" t="n">
        <f aca="false">IFERROR(MIN(Eingaben!$B$18,MAX(0,F364-I364)),0)</f>
        <v>0</v>
      </c>
      <c r="K364" s="13" t="n">
        <f aca="false">H364+I364</f>
        <v>0</v>
      </c>
      <c r="L364" s="13" t="n">
        <f aca="false">MAX(0,D364-K364)</f>
        <v>0</v>
      </c>
      <c r="M364" s="13" t="n">
        <f aca="false">MAX(0,F364-I364-J364)</f>
        <v>0</v>
      </c>
      <c r="N364" s="13" t="n">
        <f aca="false">IF(Kalender!A364="",0,J363-H364)</f>
        <v>0</v>
      </c>
    </row>
    <row r="365" customFormat="false" ht="16.4" hidden="false" customHeight="false" outlineLevel="0" collapsed="false">
      <c r="A365" s="13" t="str">
        <f aca="false">""</f>
        <v/>
      </c>
      <c r="B365" s="13" t="n">
        <f aca="false">361</f>
        <v>361</v>
      </c>
      <c r="C365" s="13" t="n">
        <f aca="false">IF(Szenarien!$H$8="OK",(IFERROR(SUMIF(Nutzungsprofile!$B$6:$B$11,"Schulbetrieb",Nutzungsprofile!$G$6:$G$11)*Kalender!C365/SUM(Kalender!$C$5:$C$370),0)+IFERROR(SUMIF(Nutzungsprofile!$B$6:$B$11,"Halle",Nutzungsprofile!$G$6:$G$11)*Kalender!D365/SUM(Kalender!$D$5:$D$370),0)+IFERROR(SUMIF(Nutzungsprofile!$B$6:$B$11,"Individuell",Nutzungsprofile!$G$6:$G$11)*Kalender!E365/SUM(Kalender!$E$5:$E$370),0))*Szenarien!$E$8,0)</f>
        <v>0</v>
      </c>
      <c r="D365" s="13" t="n">
        <f aca="false">IF(Szenarien!$H$8="OK",(IFERROR(SUMIF(Nutzungsprofile!$B$17:$B$22,"Schulbetrieb",Nutzungsprofile!$G$17:$G$22)*Kalender!C365/SUM(Kalender!$C$5:$C$370),0)+IFERROR(SUMIF(Nutzungsprofile!$B$17:$B$22,"Halle",Nutzungsprofile!$G$17:$G$22)*Kalender!D365/SUM(Kalender!$D$5:$D$370),0)+IFERROR(SUMIF(Nutzungsprofile!$B$17:$B$22,"Individuell",Nutzungsprofile!$G$17:$G$22)*Kalender!E365/SUM(Kalender!$E$5:$E$370),0))*Szenarien!$D$8,0)</f>
        <v>0</v>
      </c>
      <c r="E365" s="13" t="n">
        <f aca="false">IFERROR(MIN(C365,Eingaben!$B$17)*Eingaben!$B$16,0)</f>
        <v>0</v>
      </c>
      <c r="F365" s="13" t="n">
        <f aca="false">IFERROR(E365*Eingaben!$B$15,0)</f>
        <v>0</v>
      </c>
      <c r="G365" s="13" t="n">
        <f aca="false">IFERROR(IF(Kalender!A365="",0,J364*(1-Eingaben!$B$20)),0)</f>
        <v>0</v>
      </c>
      <c r="H365" s="13" t="n">
        <f aca="false">MIN(G365,D365)</f>
        <v>0</v>
      </c>
      <c r="I365" s="13" t="n">
        <f aca="false">IFERROR(MIN(F365*Eingaben!$B$19,MAX(0,D365-H365)),0)</f>
        <v>0</v>
      </c>
      <c r="J365" s="13" t="n">
        <f aca="false">IFERROR(MIN(Eingaben!$B$18,MAX(0,F365-I365)),0)</f>
        <v>0</v>
      </c>
      <c r="K365" s="13" t="n">
        <f aca="false">H365+I365</f>
        <v>0</v>
      </c>
      <c r="L365" s="13" t="n">
        <f aca="false">MAX(0,D365-K365)</f>
        <v>0</v>
      </c>
      <c r="M365" s="13" t="n">
        <f aca="false">MAX(0,F365-I365-J365)</f>
        <v>0</v>
      </c>
      <c r="N365" s="13" t="n">
        <f aca="false">IF(Kalender!A365="",0,J364-H365)</f>
        <v>0</v>
      </c>
    </row>
    <row r="366" customFormat="false" ht="16.4" hidden="false" customHeight="false" outlineLevel="0" collapsed="false">
      <c r="A366" s="13" t="str">
        <f aca="false">""</f>
        <v/>
      </c>
      <c r="B366" s="13" t="n">
        <f aca="false">362</f>
        <v>362</v>
      </c>
      <c r="C366" s="13" t="n">
        <f aca="false">IF(Szenarien!$H$8="OK",(IFERROR(SUMIF(Nutzungsprofile!$B$6:$B$11,"Schulbetrieb",Nutzungsprofile!$G$6:$G$11)*Kalender!C366/SUM(Kalender!$C$5:$C$370),0)+IFERROR(SUMIF(Nutzungsprofile!$B$6:$B$11,"Halle",Nutzungsprofile!$G$6:$G$11)*Kalender!D366/SUM(Kalender!$D$5:$D$370),0)+IFERROR(SUMIF(Nutzungsprofile!$B$6:$B$11,"Individuell",Nutzungsprofile!$G$6:$G$11)*Kalender!E366/SUM(Kalender!$E$5:$E$370),0))*Szenarien!$E$8,0)</f>
        <v>0</v>
      </c>
      <c r="D366" s="13" t="n">
        <f aca="false">IF(Szenarien!$H$8="OK",(IFERROR(SUMIF(Nutzungsprofile!$B$17:$B$22,"Schulbetrieb",Nutzungsprofile!$G$17:$G$22)*Kalender!C366/SUM(Kalender!$C$5:$C$370),0)+IFERROR(SUMIF(Nutzungsprofile!$B$17:$B$22,"Halle",Nutzungsprofile!$G$17:$G$22)*Kalender!D366/SUM(Kalender!$D$5:$D$370),0)+IFERROR(SUMIF(Nutzungsprofile!$B$17:$B$22,"Individuell",Nutzungsprofile!$G$17:$G$22)*Kalender!E366/SUM(Kalender!$E$5:$E$370),0))*Szenarien!$D$8,0)</f>
        <v>0</v>
      </c>
      <c r="E366" s="13" t="n">
        <f aca="false">IFERROR(MIN(C366,Eingaben!$B$17)*Eingaben!$B$16,0)</f>
        <v>0</v>
      </c>
      <c r="F366" s="13" t="n">
        <f aca="false">IFERROR(E366*Eingaben!$B$15,0)</f>
        <v>0</v>
      </c>
      <c r="G366" s="13" t="n">
        <f aca="false">IFERROR(IF(Kalender!A366="",0,J365*(1-Eingaben!$B$20)),0)</f>
        <v>0</v>
      </c>
      <c r="H366" s="13" t="n">
        <f aca="false">MIN(G366,D366)</f>
        <v>0</v>
      </c>
      <c r="I366" s="13" t="n">
        <f aca="false">IFERROR(MIN(F366*Eingaben!$B$19,MAX(0,D366-H366)),0)</f>
        <v>0</v>
      </c>
      <c r="J366" s="13" t="n">
        <f aca="false">IFERROR(MIN(Eingaben!$B$18,MAX(0,F366-I366)),0)</f>
        <v>0</v>
      </c>
      <c r="K366" s="13" t="n">
        <f aca="false">H366+I366</f>
        <v>0</v>
      </c>
      <c r="L366" s="13" t="n">
        <f aca="false">MAX(0,D366-K366)</f>
        <v>0</v>
      </c>
      <c r="M366" s="13" t="n">
        <f aca="false">MAX(0,F366-I366-J366)</f>
        <v>0</v>
      </c>
      <c r="N366" s="13" t="n">
        <f aca="false">IF(Kalender!A366="",0,J365-H366)</f>
        <v>0</v>
      </c>
    </row>
    <row r="367" customFormat="false" ht="16.4" hidden="false" customHeight="false" outlineLevel="0" collapsed="false">
      <c r="A367" s="13" t="str">
        <f aca="false">""</f>
        <v/>
      </c>
      <c r="B367" s="13" t="n">
        <f aca="false">363</f>
        <v>363</v>
      </c>
      <c r="C367" s="13" t="n">
        <f aca="false">IF(Szenarien!$H$8="OK",(IFERROR(SUMIF(Nutzungsprofile!$B$6:$B$11,"Schulbetrieb",Nutzungsprofile!$G$6:$G$11)*Kalender!C367/SUM(Kalender!$C$5:$C$370),0)+IFERROR(SUMIF(Nutzungsprofile!$B$6:$B$11,"Halle",Nutzungsprofile!$G$6:$G$11)*Kalender!D367/SUM(Kalender!$D$5:$D$370),0)+IFERROR(SUMIF(Nutzungsprofile!$B$6:$B$11,"Individuell",Nutzungsprofile!$G$6:$G$11)*Kalender!E367/SUM(Kalender!$E$5:$E$370),0))*Szenarien!$E$8,0)</f>
        <v>0</v>
      </c>
      <c r="D367" s="13" t="n">
        <f aca="false">IF(Szenarien!$H$8="OK",(IFERROR(SUMIF(Nutzungsprofile!$B$17:$B$22,"Schulbetrieb",Nutzungsprofile!$G$17:$G$22)*Kalender!C367/SUM(Kalender!$C$5:$C$370),0)+IFERROR(SUMIF(Nutzungsprofile!$B$17:$B$22,"Halle",Nutzungsprofile!$G$17:$G$22)*Kalender!D367/SUM(Kalender!$D$5:$D$370),0)+IFERROR(SUMIF(Nutzungsprofile!$B$17:$B$22,"Individuell",Nutzungsprofile!$G$17:$G$22)*Kalender!E367/SUM(Kalender!$E$5:$E$370),0))*Szenarien!$D$8,0)</f>
        <v>0</v>
      </c>
      <c r="E367" s="13" t="n">
        <f aca="false">IFERROR(MIN(C367,Eingaben!$B$17)*Eingaben!$B$16,0)</f>
        <v>0</v>
      </c>
      <c r="F367" s="13" t="n">
        <f aca="false">IFERROR(E367*Eingaben!$B$15,0)</f>
        <v>0</v>
      </c>
      <c r="G367" s="13" t="n">
        <f aca="false">IFERROR(IF(Kalender!A367="",0,J366*(1-Eingaben!$B$20)),0)</f>
        <v>0</v>
      </c>
      <c r="H367" s="13" t="n">
        <f aca="false">MIN(G367,D367)</f>
        <v>0</v>
      </c>
      <c r="I367" s="13" t="n">
        <f aca="false">IFERROR(MIN(F367*Eingaben!$B$19,MAX(0,D367-H367)),0)</f>
        <v>0</v>
      </c>
      <c r="J367" s="13" t="n">
        <f aca="false">IFERROR(MIN(Eingaben!$B$18,MAX(0,F367-I367)),0)</f>
        <v>0</v>
      </c>
      <c r="K367" s="13" t="n">
        <f aca="false">H367+I367</f>
        <v>0</v>
      </c>
      <c r="L367" s="13" t="n">
        <f aca="false">MAX(0,D367-K367)</f>
        <v>0</v>
      </c>
      <c r="M367" s="13" t="n">
        <f aca="false">MAX(0,F367-I367-J367)</f>
        <v>0</v>
      </c>
      <c r="N367" s="13" t="n">
        <f aca="false">IF(Kalender!A367="",0,J366-H367)</f>
        <v>0</v>
      </c>
    </row>
    <row r="368" customFormat="false" ht="16.4" hidden="false" customHeight="false" outlineLevel="0" collapsed="false">
      <c r="A368" s="13" t="str">
        <f aca="false">""</f>
        <v/>
      </c>
      <c r="B368" s="13" t="n">
        <f aca="false">364</f>
        <v>364</v>
      </c>
      <c r="C368" s="13" t="n">
        <f aca="false">IF(Szenarien!$H$8="OK",(IFERROR(SUMIF(Nutzungsprofile!$B$6:$B$11,"Schulbetrieb",Nutzungsprofile!$G$6:$G$11)*Kalender!C368/SUM(Kalender!$C$5:$C$370),0)+IFERROR(SUMIF(Nutzungsprofile!$B$6:$B$11,"Halle",Nutzungsprofile!$G$6:$G$11)*Kalender!D368/SUM(Kalender!$D$5:$D$370),0)+IFERROR(SUMIF(Nutzungsprofile!$B$6:$B$11,"Individuell",Nutzungsprofile!$G$6:$G$11)*Kalender!E368/SUM(Kalender!$E$5:$E$370),0))*Szenarien!$E$8,0)</f>
        <v>0</v>
      </c>
      <c r="D368" s="13" t="n">
        <f aca="false">IF(Szenarien!$H$8="OK",(IFERROR(SUMIF(Nutzungsprofile!$B$17:$B$22,"Schulbetrieb",Nutzungsprofile!$G$17:$G$22)*Kalender!C368/SUM(Kalender!$C$5:$C$370),0)+IFERROR(SUMIF(Nutzungsprofile!$B$17:$B$22,"Halle",Nutzungsprofile!$G$17:$G$22)*Kalender!D368/SUM(Kalender!$D$5:$D$370),0)+IFERROR(SUMIF(Nutzungsprofile!$B$17:$B$22,"Individuell",Nutzungsprofile!$G$17:$G$22)*Kalender!E368/SUM(Kalender!$E$5:$E$370),0))*Szenarien!$D$8,0)</f>
        <v>0</v>
      </c>
      <c r="E368" s="13" t="n">
        <f aca="false">IFERROR(MIN(C368,Eingaben!$B$17)*Eingaben!$B$16,0)</f>
        <v>0</v>
      </c>
      <c r="F368" s="13" t="n">
        <f aca="false">IFERROR(E368*Eingaben!$B$15,0)</f>
        <v>0</v>
      </c>
      <c r="G368" s="13" t="n">
        <f aca="false">IFERROR(IF(Kalender!A368="",0,J367*(1-Eingaben!$B$20)),0)</f>
        <v>0</v>
      </c>
      <c r="H368" s="13" t="n">
        <f aca="false">MIN(G368,D368)</f>
        <v>0</v>
      </c>
      <c r="I368" s="13" t="n">
        <f aca="false">IFERROR(MIN(F368*Eingaben!$B$19,MAX(0,D368-H368)),0)</f>
        <v>0</v>
      </c>
      <c r="J368" s="13" t="n">
        <f aca="false">IFERROR(MIN(Eingaben!$B$18,MAX(0,F368-I368)),0)</f>
        <v>0</v>
      </c>
      <c r="K368" s="13" t="n">
        <f aca="false">H368+I368</f>
        <v>0</v>
      </c>
      <c r="L368" s="13" t="n">
        <f aca="false">MAX(0,D368-K368)</f>
        <v>0</v>
      </c>
      <c r="M368" s="13" t="n">
        <f aca="false">MAX(0,F368-I368-J368)</f>
        <v>0</v>
      </c>
      <c r="N368" s="13" t="n">
        <f aca="false">IF(Kalender!A368="",0,J367-H368)</f>
        <v>0</v>
      </c>
    </row>
    <row r="369" customFormat="false" ht="16.4" hidden="false" customHeight="false" outlineLevel="0" collapsed="false">
      <c r="A369" s="13" t="str">
        <f aca="false">""</f>
        <v/>
      </c>
      <c r="B369" s="13" t="n">
        <f aca="false">365</f>
        <v>365</v>
      </c>
      <c r="C369" s="13" t="n">
        <f aca="false">IF(Szenarien!$H$8="OK",(IFERROR(SUMIF(Nutzungsprofile!$B$6:$B$11,"Schulbetrieb",Nutzungsprofile!$G$6:$G$11)*Kalender!C369/SUM(Kalender!$C$5:$C$370),0)+IFERROR(SUMIF(Nutzungsprofile!$B$6:$B$11,"Halle",Nutzungsprofile!$G$6:$G$11)*Kalender!D369/SUM(Kalender!$D$5:$D$370),0)+IFERROR(SUMIF(Nutzungsprofile!$B$6:$B$11,"Individuell",Nutzungsprofile!$G$6:$G$11)*Kalender!E369/SUM(Kalender!$E$5:$E$370),0))*Szenarien!$E$8,0)</f>
        <v>0</v>
      </c>
      <c r="D369" s="13" t="n">
        <f aca="false">IF(Szenarien!$H$8="OK",(IFERROR(SUMIF(Nutzungsprofile!$B$17:$B$22,"Schulbetrieb",Nutzungsprofile!$G$17:$G$22)*Kalender!C369/SUM(Kalender!$C$5:$C$370),0)+IFERROR(SUMIF(Nutzungsprofile!$B$17:$B$22,"Halle",Nutzungsprofile!$G$17:$G$22)*Kalender!D369/SUM(Kalender!$D$5:$D$370),0)+IFERROR(SUMIF(Nutzungsprofile!$B$17:$B$22,"Individuell",Nutzungsprofile!$G$17:$G$22)*Kalender!E369/SUM(Kalender!$E$5:$E$370),0))*Szenarien!$D$8,0)</f>
        <v>0</v>
      </c>
      <c r="E369" s="13" t="n">
        <f aca="false">IFERROR(MIN(C369,Eingaben!$B$17)*Eingaben!$B$16,0)</f>
        <v>0</v>
      </c>
      <c r="F369" s="13" t="n">
        <f aca="false">IFERROR(E369*Eingaben!$B$15,0)</f>
        <v>0</v>
      </c>
      <c r="G369" s="13" t="n">
        <f aca="false">IFERROR(IF(Kalender!A369="",0,J368*(1-Eingaben!$B$20)),0)</f>
        <v>0</v>
      </c>
      <c r="H369" s="13" t="n">
        <f aca="false">MIN(G369,D369)</f>
        <v>0</v>
      </c>
      <c r="I369" s="13" t="n">
        <f aca="false">IFERROR(MIN(F369*Eingaben!$B$19,MAX(0,D369-H369)),0)</f>
        <v>0</v>
      </c>
      <c r="J369" s="13" t="n">
        <f aca="false">IFERROR(MIN(Eingaben!$B$18,MAX(0,F369-I369)),0)</f>
        <v>0</v>
      </c>
      <c r="K369" s="13" t="n">
        <f aca="false">H369+I369</f>
        <v>0</v>
      </c>
      <c r="L369" s="13" t="n">
        <f aca="false">MAX(0,D369-K369)</f>
        <v>0</v>
      </c>
      <c r="M369" s="13" t="n">
        <f aca="false">MAX(0,F369-I369-J369)</f>
        <v>0</v>
      </c>
      <c r="N369" s="13" t="n">
        <f aca="false">IF(Kalender!A369="",0,J368-H369)</f>
        <v>0</v>
      </c>
    </row>
    <row r="370" customFormat="false" ht="16.4" hidden="false" customHeight="false" outlineLevel="0" collapsed="false">
      <c r="A370" s="13" t="str">
        <f aca="false">""</f>
        <v/>
      </c>
      <c r="B370" s="13" t="n">
        <f aca="false">366</f>
        <v>366</v>
      </c>
      <c r="C370" s="13" t="n">
        <f aca="false">IF(Szenarien!$H$8="OK",(IFERROR(SUMIF(Nutzungsprofile!$B$6:$B$11,"Schulbetrieb",Nutzungsprofile!$G$6:$G$11)*Kalender!C370/SUM(Kalender!$C$5:$C$370),0)+IFERROR(SUMIF(Nutzungsprofile!$B$6:$B$11,"Halle",Nutzungsprofile!$G$6:$G$11)*Kalender!D370/SUM(Kalender!$D$5:$D$370),0)+IFERROR(SUMIF(Nutzungsprofile!$B$6:$B$11,"Individuell",Nutzungsprofile!$G$6:$G$11)*Kalender!E370/SUM(Kalender!$E$5:$E$370),0))*Szenarien!$E$8,0)</f>
        <v>0</v>
      </c>
      <c r="D370" s="13" t="n">
        <f aca="false">IF(Szenarien!$H$8="OK",(IFERROR(SUMIF(Nutzungsprofile!$B$17:$B$22,"Schulbetrieb",Nutzungsprofile!$G$17:$G$22)*Kalender!C370/SUM(Kalender!$C$5:$C$370),0)+IFERROR(SUMIF(Nutzungsprofile!$B$17:$B$22,"Halle",Nutzungsprofile!$G$17:$G$22)*Kalender!D370/SUM(Kalender!$D$5:$D$370),0)+IFERROR(SUMIF(Nutzungsprofile!$B$17:$B$22,"Individuell",Nutzungsprofile!$G$17:$G$22)*Kalender!E370/SUM(Kalender!$E$5:$E$370),0))*Szenarien!$D$8,0)</f>
        <v>0</v>
      </c>
      <c r="E370" s="13" t="n">
        <f aca="false">IFERROR(MIN(C370,Eingaben!$B$17)*Eingaben!$B$16,0)</f>
        <v>0</v>
      </c>
      <c r="F370" s="13" t="n">
        <f aca="false">IFERROR(E370*Eingaben!$B$15,0)</f>
        <v>0</v>
      </c>
      <c r="G370" s="13" t="n">
        <f aca="false">IFERROR(IF(Kalender!A370="",0,J369*(1-Eingaben!$B$20)),0)</f>
        <v>0</v>
      </c>
      <c r="H370" s="13" t="n">
        <f aca="false">MIN(G370,D370)</f>
        <v>0</v>
      </c>
      <c r="I370" s="13" t="n">
        <f aca="false">IFERROR(MIN(F370*Eingaben!$B$19,MAX(0,D370-H370)),0)</f>
        <v>0</v>
      </c>
      <c r="J370" s="13" t="n">
        <f aca="false">IFERROR(MIN(Eingaben!$B$18,MAX(0,F370-I370)),0)</f>
        <v>0</v>
      </c>
      <c r="K370" s="13" t="n">
        <f aca="false">H370+I370</f>
        <v>0</v>
      </c>
      <c r="L370" s="13" t="n">
        <f aca="false">MAX(0,D370-K370)</f>
        <v>0</v>
      </c>
      <c r="M370" s="13" t="n">
        <f aca="false">MAX(0,F370-I370-J370)</f>
        <v>0</v>
      </c>
      <c r="N370" s="13" t="n">
        <f aca="false">IF(Kalender!A370="",0,J369-H370)</f>
        <v>0</v>
      </c>
    </row>
    <row r="371" customFormat="false" ht="16.4" hidden="false" customHeight="false" outlineLevel="0" collapsed="false">
      <c r="A371" s="13" t="str">
        <f aca="false">"Basis"</f>
        <v>Basis</v>
      </c>
      <c r="B371" s="13" t="n">
        <f aca="false">1</f>
        <v>1</v>
      </c>
      <c r="C371" s="13" t="n">
        <f aca="false">IF(Szenarien!$H$9="OK",(IFERROR(SUMIF(Nutzungsprofile!$B$6:$B$11,"Schulbetrieb",Nutzungsprofile!$G$6:$G$11)*Kalender!C5/SUM(Kalender!$C$5:$C$370),0)+IFERROR(SUMIF(Nutzungsprofile!$B$6:$B$11,"Halle",Nutzungsprofile!$G$6:$G$11)*Kalender!D5/SUM(Kalender!$D$5:$D$370),0)+IFERROR(SUMIF(Nutzungsprofile!$B$6:$B$11,"Individuell",Nutzungsprofile!$G$6:$G$11)*Kalender!E5/SUM(Kalender!$E$5:$E$370),0))*Szenarien!$E$9,0)</f>
        <v>2.94</v>
      </c>
      <c r="D371" s="13" t="n">
        <f aca="false">IF(Szenarien!$H$9="OK",(IFERROR(SUMIF(Nutzungsprofile!$B$17:$B$22,"Schulbetrieb",Nutzungsprofile!$G$17:$G$22)*Kalender!C5/SUM(Kalender!$C$5:$C$370),0)+IFERROR(SUMIF(Nutzungsprofile!$B$17:$B$22,"Halle",Nutzungsprofile!$G$17:$G$22)*Kalender!D5/SUM(Kalender!$D$5:$D$370),0)+IFERROR(SUMIF(Nutzungsprofile!$B$17:$B$22,"Individuell",Nutzungsprofile!$G$17:$G$22)*Kalender!E5/SUM(Kalender!$E$5:$E$370),0))*Szenarien!$D$9,0)</f>
        <v>4.94</v>
      </c>
      <c r="E371" s="13" t="n">
        <f aca="false">IFERROR(MIN(C371,Eingaben!$B$17)*Eingaben!$B$16,0)</f>
        <v>2.793</v>
      </c>
      <c r="F371" s="13" t="n">
        <f aca="false">IFERROR(E371*Eingaben!$B$15,0)</f>
        <v>2.5137</v>
      </c>
      <c r="G371" s="13" t="n">
        <f aca="false">0</f>
        <v>0</v>
      </c>
      <c r="H371" s="13" t="n">
        <f aca="false">MIN(G371,D371)</f>
        <v>0</v>
      </c>
      <c r="I371" s="13" t="n">
        <f aca="false">IFERROR(MIN(F371*Eingaben!$B$19,MAX(0,D371-H371)),0)</f>
        <v>1.75959</v>
      </c>
      <c r="J371" s="13" t="n">
        <f aca="false">IFERROR(MIN(Eingaben!$B$18,MAX(0,F371-I371)),0)</f>
        <v>0.75411</v>
      </c>
      <c r="K371" s="13" t="n">
        <f aca="false">H371+I371</f>
        <v>1.75959</v>
      </c>
      <c r="L371" s="13" t="n">
        <f aca="false">MAX(0,D371-K371)</f>
        <v>3.18041</v>
      </c>
      <c r="M371" s="13" t="n">
        <f aca="false">MAX(0,F371-I371-J371)</f>
        <v>0</v>
      </c>
      <c r="N371" s="13" t="n">
        <f aca="false">0</f>
        <v>0</v>
      </c>
    </row>
    <row r="372" customFormat="false" ht="16.4" hidden="false" customHeight="false" outlineLevel="0" collapsed="false">
      <c r="A372" s="13" t="str">
        <f aca="false">""</f>
        <v/>
      </c>
      <c r="B372" s="13" t="n">
        <f aca="false">2</f>
        <v>2</v>
      </c>
      <c r="C372" s="13" t="n">
        <f aca="false">IF(Szenarien!$H$9="OK",(IFERROR(SUMIF(Nutzungsprofile!$B$6:$B$11,"Schulbetrieb",Nutzungsprofile!$G$6:$G$11)*Kalender!C6/SUM(Kalender!$C$5:$C$370),0)+IFERROR(SUMIF(Nutzungsprofile!$B$6:$B$11,"Halle",Nutzungsprofile!$G$6:$G$11)*Kalender!D6/SUM(Kalender!$D$5:$D$370),0)+IFERROR(SUMIF(Nutzungsprofile!$B$6:$B$11,"Individuell",Nutzungsprofile!$G$6:$G$11)*Kalender!E6/SUM(Kalender!$E$5:$E$370),0))*Szenarien!$E$9,0)</f>
        <v>2.94</v>
      </c>
      <c r="D372" s="13" t="n">
        <f aca="false">IF(Szenarien!$H$9="OK",(IFERROR(SUMIF(Nutzungsprofile!$B$17:$B$22,"Schulbetrieb",Nutzungsprofile!$G$17:$G$22)*Kalender!C6/SUM(Kalender!$C$5:$C$370),0)+IFERROR(SUMIF(Nutzungsprofile!$B$17:$B$22,"Halle",Nutzungsprofile!$G$17:$G$22)*Kalender!D6/SUM(Kalender!$D$5:$D$370),0)+IFERROR(SUMIF(Nutzungsprofile!$B$17:$B$22,"Individuell",Nutzungsprofile!$G$17:$G$22)*Kalender!E6/SUM(Kalender!$E$5:$E$370),0))*Szenarien!$D$9,0)</f>
        <v>4.94</v>
      </c>
      <c r="E372" s="13" t="n">
        <f aca="false">IFERROR(MIN(C372,Eingaben!$B$17)*Eingaben!$B$16,0)</f>
        <v>2.793</v>
      </c>
      <c r="F372" s="13" t="n">
        <f aca="false">IFERROR(E372*Eingaben!$B$15,0)</f>
        <v>2.5137</v>
      </c>
      <c r="G372" s="13" t="n">
        <f aca="false">IFERROR(IF(Kalender!A6="",0,J371*(1-Eingaben!$B$20)),0)</f>
        <v>0.7390278</v>
      </c>
      <c r="H372" s="13" t="n">
        <f aca="false">MIN(G372,D372)</f>
        <v>0.7390278</v>
      </c>
      <c r="I372" s="13" t="n">
        <f aca="false">IFERROR(MIN(F372*Eingaben!$B$19,MAX(0,D372-H372)),0)</f>
        <v>1.75959</v>
      </c>
      <c r="J372" s="13" t="n">
        <f aca="false">IFERROR(MIN(Eingaben!$B$18,MAX(0,F372-I372)),0)</f>
        <v>0.75411</v>
      </c>
      <c r="K372" s="13" t="n">
        <f aca="false">H372+I372</f>
        <v>2.4986178</v>
      </c>
      <c r="L372" s="13" t="n">
        <f aca="false">MAX(0,D372-K372)</f>
        <v>2.4413822</v>
      </c>
      <c r="M372" s="13" t="n">
        <f aca="false">MAX(0,F372-I372-J372)</f>
        <v>0</v>
      </c>
      <c r="N372" s="13" t="n">
        <f aca="false">IF(Kalender!A6="",0,J371-H372)</f>
        <v>0.0150822</v>
      </c>
    </row>
    <row r="373" customFormat="false" ht="16.4" hidden="false" customHeight="false" outlineLevel="0" collapsed="false">
      <c r="A373" s="13" t="str">
        <f aca="false">""</f>
        <v/>
      </c>
      <c r="B373" s="13" t="n">
        <f aca="false">3</f>
        <v>3</v>
      </c>
      <c r="C373" s="13" t="n">
        <f aca="false">IF(Szenarien!$H$9="OK",(IFERROR(SUMIF(Nutzungsprofile!$B$6:$B$11,"Schulbetrieb",Nutzungsprofile!$G$6:$G$11)*Kalender!C7/SUM(Kalender!$C$5:$C$370),0)+IFERROR(SUMIF(Nutzungsprofile!$B$6:$B$11,"Halle",Nutzungsprofile!$G$6:$G$11)*Kalender!D7/SUM(Kalender!$D$5:$D$370),0)+IFERROR(SUMIF(Nutzungsprofile!$B$6:$B$11,"Individuell",Nutzungsprofile!$G$6:$G$11)*Kalender!E7/SUM(Kalender!$E$5:$E$370),0))*Szenarien!$E$9,0)</f>
        <v>2.04</v>
      </c>
      <c r="D373" s="13" t="n">
        <f aca="false">IF(Szenarien!$H$9="OK",(IFERROR(SUMIF(Nutzungsprofile!$B$17:$B$22,"Schulbetrieb",Nutzungsprofile!$G$17:$G$22)*Kalender!C7/SUM(Kalender!$C$5:$C$370),0)+IFERROR(SUMIF(Nutzungsprofile!$B$17:$B$22,"Halle",Nutzungsprofile!$G$17:$G$22)*Kalender!D7/SUM(Kalender!$D$5:$D$370),0)+IFERROR(SUMIF(Nutzungsprofile!$B$17:$B$22,"Individuell",Nutzungsprofile!$G$17:$G$22)*Kalender!E7/SUM(Kalender!$E$5:$E$370),0))*Szenarien!$D$9,0)</f>
        <v>0.89</v>
      </c>
      <c r="E373" s="13" t="n">
        <f aca="false">IFERROR(MIN(C373,Eingaben!$B$17)*Eingaben!$B$16,0)</f>
        <v>1.938</v>
      </c>
      <c r="F373" s="13" t="n">
        <f aca="false">IFERROR(E373*Eingaben!$B$15,0)</f>
        <v>1.7442</v>
      </c>
      <c r="G373" s="13" t="n">
        <f aca="false">IFERROR(IF(Kalender!A7="",0,J372*(1-Eingaben!$B$20)),0)</f>
        <v>0.7390278</v>
      </c>
      <c r="H373" s="13" t="n">
        <f aca="false">MIN(G373,D373)</f>
        <v>0.7390278</v>
      </c>
      <c r="I373" s="13" t="n">
        <f aca="false">IFERROR(MIN(F373*Eingaben!$B$19,MAX(0,D373-H373)),0)</f>
        <v>0.1509722</v>
      </c>
      <c r="J373" s="13" t="n">
        <f aca="false">IFERROR(MIN(Eingaben!$B$18,MAX(0,F373-I373)),0)</f>
        <v>1.5932278</v>
      </c>
      <c r="K373" s="13" t="n">
        <f aca="false">H373+I373</f>
        <v>0.89</v>
      </c>
      <c r="L373" s="13" t="n">
        <f aca="false">MAX(0,D373-K373)</f>
        <v>0</v>
      </c>
      <c r="M373" s="13" t="n">
        <f aca="false">MAX(0,F373-I373-J373)</f>
        <v>0</v>
      </c>
      <c r="N373" s="13" t="n">
        <f aca="false">IF(Kalender!A7="",0,J372-H373)</f>
        <v>0.0150822</v>
      </c>
    </row>
    <row r="374" customFormat="false" ht="16.4" hidden="false" customHeight="false" outlineLevel="0" collapsed="false">
      <c r="A374" s="13" t="str">
        <f aca="false">""</f>
        <v/>
      </c>
      <c r="B374" s="13" t="n">
        <f aca="false">4</f>
        <v>4</v>
      </c>
      <c r="C374" s="13" t="n">
        <f aca="false">IF(Szenarien!$H$9="OK",(IFERROR(SUMIF(Nutzungsprofile!$B$6:$B$11,"Schulbetrieb",Nutzungsprofile!$G$6:$G$11)*Kalender!C8/SUM(Kalender!$C$5:$C$370),0)+IFERROR(SUMIF(Nutzungsprofile!$B$6:$B$11,"Halle",Nutzungsprofile!$G$6:$G$11)*Kalender!D8/SUM(Kalender!$D$5:$D$370),0)+IFERROR(SUMIF(Nutzungsprofile!$B$6:$B$11,"Individuell",Nutzungsprofile!$G$6:$G$11)*Kalender!E8/SUM(Kalender!$E$5:$E$370),0))*Szenarien!$E$9,0)</f>
        <v>2.04</v>
      </c>
      <c r="D374" s="13" t="n">
        <f aca="false">IF(Szenarien!$H$9="OK",(IFERROR(SUMIF(Nutzungsprofile!$B$17:$B$22,"Schulbetrieb",Nutzungsprofile!$G$17:$G$22)*Kalender!C8/SUM(Kalender!$C$5:$C$370),0)+IFERROR(SUMIF(Nutzungsprofile!$B$17:$B$22,"Halle",Nutzungsprofile!$G$17:$G$22)*Kalender!D8/SUM(Kalender!$D$5:$D$370),0)+IFERROR(SUMIF(Nutzungsprofile!$B$17:$B$22,"Individuell",Nutzungsprofile!$G$17:$G$22)*Kalender!E8/SUM(Kalender!$E$5:$E$370),0))*Szenarien!$D$9,0)</f>
        <v>0.89</v>
      </c>
      <c r="E374" s="13" t="n">
        <f aca="false">IFERROR(MIN(C374,Eingaben!$B$17)*Eingaben!$B$16,0)</f>
        <v>1.938</v>
      </c>
      <c r="F374" s="13" t="n">
        <f aca="false">IFERROR(E374*Eingaben!$B$15,0)</f>
        <v>1.7442</v>
      </c>
      <c r="G374" s="13" t="n">
        <f aca="false">IFERROR(IF(Kalender!A8="",0,J373*(1-Eingaben!$B$20)),0)</f>
        <v>1.561363244</v>
      </c>
      <c r="H374" s="13" t="n">
        <f aca="false">MIN(G374,D374)</f>
        <v>0.89</v>
      </c>
      <c r="I374" s="13" t="n">
        <f aca="false">IFERROR(MIN(F374*Eingaben!$B$19,MAX(0,D374-H374)),0)</f>
        <v>0</v>
      </c>
      <c r="J374" s="13" t="n">
        <f aca="false">IFERROR(MIN(Eingaben!$B$18,MAX(0,F374-I374)),0)</f>
        <v>1.7442</v>
      </c>
      <c r="K374" s="13" t="n">
        <f aca="false">H374+I374</f>
        <v>0.89</v>
      </c>
      <c r="L374" s="13" t="n">
        <f aca="false">MAX(0,D374-K374)</f>
        <v>0</v>
      </c>
      <c r="M374" s="13" t="n">
        <f aca="false">MAX(0,F374-I374-J374)</f>
        <v>0</v>
      </c>
      <c r="N374" s="13" t="n">
        <f aca="false">IF(Kalender!A8="",0,J373-H374)</f>
        <v>0.7032278</v>
      </c>
    </row>
    <row r="375" customFormat="false" ht="16.4" hidden="false" customHeight="false" outlineLevel="0" collapsed="false">
      <c r="A375" s="13" t="str">
        <f aca="false">""</f>
        <v/>
      </c>
      <c r="B375" s="13" t="n">
        <f aca="false">5</f>
        <v>5</v>
      </c>
      <c r="C375" s="13" t="n">
        <f aca="false">IF(Szenarien!$H$9="OK",(IFERROR(SUMIF(Nutzungsprofile!$B$6:$B$11,"Schulbetrieb",Nutzungsprofile!$G$6:$G$11)*Kalender!C9/SUM(Kalender!$C$5:$C$370),0)+IFERROR(SUMIF(Nutzungsprofile!$B$6:$B$11,"Halle",Nutzungsprofile!$G$6:$G$11)*Kalender!D9/SUM(Kalender!$D$5:$D$370),0)+IFERROR(SUMIF(Nutzungsprofile!$B$6:$B$11,"Individuell",Nutzungsprofile!$G$6:$G$11)*Kalender!E9/SUM(Kalender!$E$5:$E$370),0))*Szenarien!$E$9,0)</f>
        <v>2.94</v>
      </c>
      <c r="D375" s="13" t="n">
        <f aca="false">IF(Szenarien!$H$9="OK",(IFERROR(SUMIF(Nutzungsprofile!$B$17:$B$22,"Schulbetrieb",Nutzungsprofile!$G$17:$G$22)*Kalender!C9/SUM(Kalender!$C$5:$C$370),0)+IFERROR(SUMIF(Nutzungsprofile!$B$17:$B$22,"Halle",Nutzungsprofile!$G$17:$G$22)*Kalender!D9/SUM(Kalender!$D$5:$D$370),0)+IFERROR(SUMIF(Nutzungsprofile!$B$17:$B$22,"Individuell",Nutzungsprofile!$G$17:$G$22)*Kalender!E9/SUM(Kalender!$E$5:$E$370),0))*Szenarien!$D$9,0)</f>
        <v>4.94</v>
      </c>
      <c r="E375" s="13" t="n">
        <f aca="false">IFERROR(MIN(C375,Eingaben!$B$17)*Eingaben!$B$16,0)</f>
        <v>2.793</v>
      </c>
      <c r="F375" s="13" t="n">
        <f aca="false">IFERROR(E375*Eingaben!$B$15,0)</f>
        <v>2.5137</v>
      </c>
      <c r="G375" s="13" t="n">
        <f aca="false">IFERROR(IF(Kalender!A9="",0,J374*(1-Eingaben!$B$20)),0)</f>
        <v>1.709316</v>
      </c>
      <c r="H375" s="13" t="n">
        <f aca="false">MIN(G375,D375)</f>
        <v>1.709316</v>
      </c>
      <c r="I375" s="13" t="n">
        <f aca="false">IFERROR(MIN(F375*Eingaben!$B$19,MAX(0,D375-H375)),0)</f>
        <v>1.75959</v>
      </c>
      <c r="J375" s="13" t="n">
        <f aca="false">IFERROR(MIN(Eingaben!$B$18,MAX(0,F375-I375)),0)</f>
        <v>0.75411</v>
      </c>
      <c r="K375" s="13" t="n">
        <f aca="false">H375+I375</f>
        <v>3.468906</v>
      </c>
      <c r="L375" s="13" t="n">
        <f aca="false">MAX(0,D375-K375)</f>
        <v>1.471094</v>
      </c>
      <c r="M375" s="13" t="n">
        <f aca="false">MAX(0,F375-I375-J375)</f>
        <v>0</v>
      </c>
      <c r="N375" s="13" t="n">
        <f aca="false">IF(Kalender!A9="",0,J374-H375)</f>
        <v>0.0348840000000001</v>
      </c>
    </row>
    <row r="376" customFormat="false" ht="16.4" hidden="false" customHeight="false" outlineLevel="0" collapsed="false">
      <c r="A376" s="13" t="str">
        <f aca="false">""</f>
        <v/>
      </c>
      <c r="B376" s="13" t="n">
        <f aca="false">6</f>
        <v>6</v>
      </c>
      <c r="C376" s="13" t="n">
        <f aca="false">IF(Szenarien!$H$9="OK",(IFERROR(SUMIF(Nutzungsprofile!$B$6:$B$11,"Schulbetrieb",Nutzungsprofile!$G$6:$G$11)*Kalender!C10/SUM(Kalender!$C$5:$C$370),0)+IFERROR(SUMIF(Nutzungsprofile!$B$6:$B$11,"Halle",Nutzungsprofile!$G$6:$G$11)*Kalender!D10/SUM(Kalender!$D$5:$D$370),0)+IFERROR(SUMIF(Nutzungsprofile!$B$6:$B$11,"Individuell",Nutzungsprofile!$G$6:$G$11)*Kalender!E10/SUM(Kalender!$E$5:$E$370),0))*Szenarien!$E$9,0)</f>
        <v>2.94</v>
      </c>
      <c r="D376" s="13" t="n">
        <f aca="false">IF(Szenarien!$H$9="OK",(IFERROR(SUMIF(Nutzungsprofile!$B$17:$B$22,"Schulbetrieb",Nutzungsprofile!$G$17:$G$22)*Kalender!C10/SUM(Kalender!$C$5:$C$370),0)+IFERROR(SUMIF(Nutzungsprofile!$B$17:$B$22,"Halle",Nutzungsprofile!$G$17:$G$22)*Kalender!D10/SUM(Kalender!$D$5:$D$370),0)+IFERROR(SUMIF(Nutzungsprofile!$B$17:$B$22,"Individuell",Nutzungsprofile!$G$17:$G$22)*Kalender!E10/SUM(Kalender!$E$5:$E$370),0))*Szenarien!$D$9,0)</f>
        <v>4.94</v>
      </c>
      <c r="E376" s="13" t="n">
        <f aca="false">IFERROR(MIN(C376,Eingaben!$B$17)*Eingaben!$B$16,0)</f>
        <v>2.793</v>
      </c>
      <c r="F376" s="13" t="n">
        <f aca="false">IFERROR(E376*Eingaben!$B$15,0)</f>
        <v>2.5137</v>
      </c>
      <c r="G376" s="13" t="n">
        <f aca="false">IFERROR(IF(Kalender!A10="",0,J375*(1-Eingaben!$B$20)),0)</f>
        <v>0.7390278</v>
      </c>
      <c r="H376" s="13" t="n">
        <f aca="false">MIN(G376,D376)</f>
        <v>0.7390278</v>
      </c>
      <c r="I376" s="13" t="n">
        <f aca="false">IFERROR(MIN(F376*Eingaben!$B$19,MAX(0,D376-H376)),0)</f>
        <v>1.75959</v>
      </c>
      <c r="J376" s="13" t="n">
        <f aca="false">IFERROR(MIN(Eingaben!$B$18,MAX(0,F376-I376)),0)</f>
        <v>0.75411</v>
      </c>
      <c r="K376" s="13" t="n">
        <f aca="false">H376+I376</f>
        <v>2.4986178</v>
      </c>
      <c r="L376" s="13" t="n">
        <f aca="false">MAX(0,D376-K376)</f>
        <v>2.4413822</v>
      </c>
      <c r="M376" s="13" t="n">
        <f aca="false">MAX(0,F376-I376-J376)</f>
        <v>0</v>
      </c>
      <c r="N376" s="13" t="n">
        <f aca="false">IF(Kalender!A10="",0,J375-H376)</f>
        <v>0.0150822</v>
      </c>
    </row>
    <row r="377" customFormat="false" ht="16.4" hidden="false" customHeight="false" outlineLevel="0" collapsed="false">
      <c r="A377" s="13" t="str">
        <f aca="false">""</f>
        <v/>
      </c>
      <c r="B377" s="13" t="n">
        <f aca="false">7</f>
        <v>7</v>
      </c>
      <c r="C377" s="13" t="n">
        <f aca="false">IF(Szenarien!$H$9="OK",(IFERROR(SUMIF(Nutzungsprofile!$B$6:$B$11,"Schulbetrieb",Nutzungsprofile!$G$6:$G$11)*Kalender!C11/SUM(Kalender!$C$5:$C$370),0)+IFERROR(SUMIF(Nutzungsprofile!$B$6:$B$11,"Halle",Nutzungsprofile!$G$6:$G$11)*Kalender!D11/SUM(Kalender!$D$5:$D$370),0)+IFERROR(SUMIF(Nutzungsprofile!$B$6:$B$11,"Individuell",Nutzungsprofile!$G$6:$G$11)*Kalender!E11/SUM(Kalender!$E$5:$E$370),0))*Szenarien!$E$9,0)</f>
        <v>2.94</v>
      </c>
      <c r="D377" s="13" t="n">
        <f aca="false">IF(Szenarien!$H$9="OK",(IFERROR(SUMIF(Nutzungsprofile!$B$17:$B$22,"Schulbetrieb",Nutzungsprofile!$G$17:$G$22)*Kalender!C11/SUM(Kalender!$C$5:$C$370),0)+IFERROR(SUMIF(Nutzungsprofile!$B$17:$B$22,"Halle",Nutzungsprofile!$G$17:$G$22)*Kalender!D11/SUM(Kalender!$D$5:$D$370),0)+IFERROR(SUMIF(Nutzungsprofile!$B$17:$B$22,"Individuell",Nutzungsprofile!$G$17:$G$22)*Kalender!E11/SUM(Kalender!$E$5:$E$370),0))*Szenarien!$D$9,0)</f>
        <v>4.94</v>
      </c>
      <c r="E377" s="13" t="n">
        <f aca="false">IFERROR(MIN(C377,Eingaben!$B$17)*Eingaben!$B$16,0)</f>
        <v>2.793</v>
      </c>
      <c r="F377" s="13" t="n">
        <f aca="false">IFERROR(E377*Eingaben!$B$15,0)</f>
        <v>2.5137</v>
      </c>
      <c r="G377" s="13" t="n">
        <f aca="false">IFERROR(IF(Kalender!A11="",0,J376*(1-Eingaben!$B$20)),0)</f>
        <v>0.7390278</v>
      </c>
      <c r="H377" s="13" t="n">
        <f aca="false">MIN(G377,D377)</f>
        <v>0.7390278</v>
      </c>
      <c r="I377" s="13" t="n">
        <f aca="false">IFERROR(MIN(F377*Eingaben!$B$19,MAX(0,D377-H377)),0)</f>
        <v>1.75959</v>
      </c>
      <c r="J377" s="13" t="n">
        <f aca="false">IFERROR(MIN(Eingaben!$B$18,MAX(0,F377-I377)),0)</f>
        <v>0.75411</v>
      </c>
      <c r="K377" s="13" t="n">
        <f aca="false">H377+I377</f>
        <v>2.4986178</v>
      </c>
      <c r="L377" s="13" t="n">
        <f aca="false">MAX(0,D377-K377)</f>
        <v>2.4413822</v>
      </c>
      <c r="M377" s="13" t="n">
        <f aca="false">MAX(0,F377-I377-J377)</f>
        <v>0</v>
      </c>
      <c r="N377" s="13" t="n">
        <f aca="false">IF(Kalender!A11="",0,J376-H377)</f>
        <v>0.0150822</v>
      </c>
    </row>
    <row r="378" customFormat="false" ht="16.4" hidden="false" customHeight="false" outlineLevel="0" collapsed="false">
      <c r="A378" s="13" t="str">
        <f aca="false">""</f>
        <v/>
      </c>
      <c r="B378" s="13" t="n">
        <f aca="false">8</f>
        <v>8</v>
      </c>
      <c r="C378" s="13" t="n">
        <f aca="false">IF(Szenarien!$H$9="OK",(IFERROR(SUMIF(Nutzungsprofile!$B$6:$B$11,"Schulbetrieb",Nutzungsprofile!$G$6:$G$11)*Kalender!C12/SUM(Kalender!$C$5:$C$370),0)+IFERROR(SUMIF(Nutzungsprofile!$B$6:$B$11,"Halle",Nutzungsprofile!$G$6:$G$11)*Kalender!D12/SUM(Kalender!$D$5:$D$370),0)+IFERROR(SUMIF(Nutzungsprofile!$B$6:$B$11,"Individuell",Nutzungsprofile!$G$6:$G$11)*Kalender!E12/SUM(Kalender!$E$5:$E$370),0))*Szenarien!$E$9,0)</f>
        <v>2.94</v>
      </c>
      <c r="D378" s="13" t="n">
        <f aca="false">IF(Szenarien!$H$9="OK",(IFERROR(SUMIF(Nutzungsprofile!$B$17:$B$22,"Schulbetrieb",Nutzungsprofile!$G$17:$G$22)*Kalender!C12/SUM(Kalender!$C$5:$C$370),0)+IFERROR(SUMIF(Nutzungsprofile!$B$17:$B$22,"Halle",Nutzungsprofile!$G$17:$G$22)*Kalender!D12/SUM(Kalender!$D$5:$D$370),0)+IFERROR(SUMIF(Nutzungsprofile!$B$17:$B$22,"Individuell",Nutzungsprofile!$G$17:$G$22)*Kalender!E12/SUM(Kalender!$E$5:$E$370),0))*Szenarien!$D$9,0)</f>
        <v>4.94</v>
      </c>
      <c r="E378" s="13" t="n">
        <f aca="false">IFERROR(MIN(C378,Eingaben!$B$17)*Eingaben!$B$16,0)</f>
        <v>2.793</v>
      </c>
      <c r="F378" s="13" t="n">
        <f aca="false">IFERROR(E378*Eingaben!$B$15,0)</f>
        <v>2.5137</v>
      </c>
      <c r="G378" s="13" t="n">
        <f aca="false">IFERROR(IF(Kalender!A12="",0,J377*(1-Eingaben!$B$20)),0)</f>
        <v>0.7390278</v>
      </c>
      <c r="H378" s="13" t="n">
        <f aca="false">MIN(G378,D378)</f>
        <v>0.7390278</v>
      </c>
      <c r="I378" s="13" t="n">
        <f aca="false">IFERROR(MIN(F378*Eingaben!$B$19,MAX(0,D378-H378)),0)</f>
        <v>1.75959</v>
      </c>
      <c r="J378" s="13" t="n">
        <f aca="false">IFERROR(MIN(Eingaben!$B$18,MAX(0,F378-I378)),0)</f>
        <v>0.75411</v>
      </c>
      <c r="K378" s="13" t="n">
        <f aca="false">H378+I378</f>
        <v>2.4986178</v>
      </c>
      <c r="L378" s="13" t="n">
        <f aca="false">MAX(0,D378-K378)</f>
        <v>2.4413822</v>
      </c>
      <c r="M378" s="13" t="n">
        <f aca="false">MAX(0,F378-I378-J378)</f>
        <v>0</v>
      </c>
      <c r="N378" s="13" t="n">
        <f aca="false">IF(Kalender!A12="",0,J377-H378)</f>
        <v>0.0150822</v>
      </c>
    </row>
    <row r="379" customFormat="false" ht="16.4" hidden="false" customHeight="false" outlineLevel="0" collapsed="false">
      <c r="A379" s="13" t="str">
        <f aca="false">""</f>
        <v/>
      </c>
      <c r="B379" s="13" t="n">
        <f aca="false">9</f>
        <v>9</v>
      </c>
      <c r="C379" s="13" t="n">
        <f aca="false">IF(Szenarien!$H$9="OK",(IFERROR(SUMIF(Nutzungsprofile!$B$6:$B$11,"Schulbetrieb",Nutzungsprofile!$G$6:$G$11)*Kalender!C13/SUM(Kalender!$C$5:$C$370),0)+IFERROR(SUMIF(Nutzungsprofile!$B$6:$B$11,"Halle",Nutzungsprofile!$G$6:$G$11)*Kalender!D13/SUM(Kalender!$D$5:$D$370),0)+IFERROR(SUMIF(Nutzungsprofile!$B$6:$B$11,"Individuell",Nutzungsprofile!$G$6:$G$11)*Kalender!E13/SUM(Kalender!$E$5:$E$370),0))*Szenarien!$E$9,0)</f>
        <v>2.94</v>
      </c>
      <c r="D379" s="13" t="n">
        <f aca="false">IF(Szenarien!$H$9="OK",(IFERROR(SUMIF(Nutzungsprofile!$B$17:$B$22,"Schulbetrieb",Nutzungsprofile!$G$17:$G$22)*Kalender!C13/SUM(Kalender!$C$5:$C$370),0)+IFERROR(SUMIF(Nutzungsprofile!$B$17:$B$22,"Halle",Nutzungsprofile!$G$17:$G$22)*Kalender!D13/SUM(Kalender!$D$5:$D$370),0)+IFERROR(SUMIF(Nutzungsprofile!$B$17:$B$22,"Individuell",Nutzungsprofile!$G$17:$G$22)*Kalender!E13/SUM(Kalender!$E$5:$E$370),0))*Szenarien!$D$9,0)</f>
        <v>4.94</v>
      </c>
      <c r="E379" s="13" t="n">
        <f aca="false">IFERROR(MIN(C379,Eingaben!$B$17)*Eingaben!$B$16,0)</f>
        <v>2.793</v>
      </c>
      <c r="F379" s="13" t="n">
        <f aca="false">IFERROR(E379*Eingaben!$B$15,0)</f>
        <v>2.5137</v>
      </c>
      <c r="G379" s="13" t="n">
        <f aca="false">IFERROR(IF(Kalender!A13="",0,J378*(1-Eingaben!$B$20)),0)</f>
        <v>0.7390278</v>
      </c>
      <c r="H379" s="13" t="n">
        <f aca="false">MIN(G379,D379)</f>
        <v>0.7390278</v>
      </c>
      <c r="I379" s="13" t="n">
        <f aca="false">IFERROR(MIN(F379*Eingaben!$B$19,MAX(0,D379-H379)),0)</f>
        <v>1.75959</v>
      </c>
      <c r="J379" s="13" t="n">
        <f aca="false">IFERROR(MIN(Eingaben!$B$18,MAX(0,F379-I379)),0)</f>
        <v>0.75411</v>
      </c>
      <c r="K379" s="13" t="n">
        <f aca="false">H379+I379</f>
        <v>2.4986178</v>
      </c>
      <c r="L379" s="13" t="n">
        <f aca="false">MAX(0,D379-K379)</f>
        <v>2.4413822</v>
      </c>
      <c r="M379" s="13" t="n">
        <f aca="false">MAX(0,F379-I379-J379)</f>
        <v>0</v>
      </c>
      <c r="N379" s="13" t="n">
        <f aca="false">IF(Kalender!A13="",0,J378-H379)</f>
        <v>0.0150822</v>
      </c>
    </row>
    <row r="380" customFormat="false" ht="16.4" hidden="false" customHeight="false" outlineLevel="0" collapsed="false">
      <c r="A380" s="13" t="str">
        <f aca="false">""</f>
        <v/>
      </c>
      <c r="B380" s="13" t="n">
        <f aca="false">10</f>
        <v>10</v>
      </c>
      <c r="C380" s="13" t="n">
        <f aca="false">IF(Szenarien!$H$9="OK",(IFERROR(SUMIF(Nutzungsprofile!$B$6:$B$11,"Schulbetrieb",Nutzungsprofile!$G$6:$G$11)*Kalender!C14/SUM(Kalender!$C$5:$C$370),0)+IFERROR(SUMIF(Nutzungsprofile!$B$6:$B$11,"Halle",Nutzungsprofile!$G$6:$G$11)*Kalender!D14/SUM(Kalender!$D$5:$D$370),0)+IFERROR(SUMIF(Nutzungsprofile!$B$6:$B$11,"Individuell",Nutzungsprofile!$G$6:$G$11)*Kalender!E14/SUM(Kalender!$E$5:$E$370),0))*Szenarien!$E$9,0)</f>
        <v>2.04</v>
      </c>
      <c r="D380" s="13" t="n">
        <f aca="false">IF(Szenarien!$H$9="OK",(IFERROR(SUMIF(Nutzungsprofile!$B$17:$B$22,"Schulbetrieb",Nutzungsprofile!$G$17:$G$22)*Kalender!C14/SUM(Kalender!$C$5:$C$370),0)+IFERROR(SUMIF(Nutzungsprofile!$B$17:$B$22,"Halle",Nutzungsprofile!$G$17:$G$22)*Kalender!D14/SUM(Kalender!$D$5:$D$370),0)+IFERROR(SUMIF(Nutzungsprofile!$B$17:$B$22,"Individuell",Nutzungsprofile!$G$17:$G$22)*Kalender!E14/SUM(Kalender!$E$5:$E$370),0))*Szenarien!$D$9,0)</f>
        <v>0.89</v>
      </c>
      <c r="E380" s="13" t="n">
        <f aca="false">IFERROR(MIN(C380,Eingaben!$B$17)*Eingaben!$B$16,0)</f>
        <v>1.938</v>
      </c>
      <c r="F380" s="13" t="n">
        <f aca="false">IFERROR(E380*Eingaben!$B$15,0)</f>
        <v>1.7442</v>
      </c>
      <c r="G380" s="13" t="n">
        <f aca="false">IFERROR(IF(Kalender!A14="",0,J379*(1-Eingaben!$B$20)),0)</f>
        <v>0.7390278</v>
      </c>
      <c r="H380" s="13" t="n">
        <f aca="false">MIN(G380,D380)</f>
        <v>0.7390278</v>
      </c>
      <c r="I380" s="13" t="n">
        <f aca="false">IFERROR(MIN(F380*Eingaben!$B$19,MAX(0,D380-H380)),0)</f>
        <v>0.1509722</v>
      </c>
      <c r="J380" s="13" t="n">
        <f aca="false">IFERROR(MIN(Eingaben!$B$18,MAX(0,F380-I380)),0)</f>
        <v>1.5932278</v>
      </c>
      <c r="K380" s="13" t="n">
        <f aca="false">H380+I380</f>
        <v>0.89</v>
      </c>
      <c r="L380" s="13" t="n">
        <f aca="false">MAX(0,D380-K380)</f>
        <v>0</v>
      </c>
      <c r="M380" s="13" t="n">
        <f aca="false">MAX(0,F380-I380-J380)</f>
        <v>0</v>
      </c>
      <c r="N380" s="13" t="n">
        <f aca="false">IF(Kalender!A14="",0,J379-H380)</f>
        <v>0.0150822</v>
      </c>
    </row>
    <row r="381" customFormat="false" ht="16.4" hidden="false" customHeight="false" outlineLevel="0" collapsed="false">
      <c r="A381" s="13" t="str">
        <f aca="false">""</f>
        <v/>
      </c>
      <c r="B381" s="13" t="n">
        <f aca="false">11</f>
        <v>11</v>
      </c>
      <c r="C381" s="13" t="n">
        <f aca="false">IF(Szenarien!$H$9="OK",(IFERROR(SUMIF(Nutzungsprofile!$B$6:$B$11,"Schulbetrieb",Nutzungsprofile!$G$6:$G$11)*Kalender!C15/SUM(Kalender!$C$5:$C$370),0)+IFERROR(SUMIF(Nutzungsprofile!$B$6:$B$11,"Halle",Nutzungsprofile!$G$6:$G$11)*Kalender!D15/SUM(Kalender!$D$5:$D$370),0)+IFERROR(SUMIF(Nutzungsprofile!$B$6:$B$11,"Individuell",Nutzungsprofile!$G$6:$G$11)*Kalender!E15/SUM(Kalender!$E$5:$E$370),0))*Szenarien!$E$9,0)</f>
        <v>2.04</v>
      </c>
      <c r="D381" s="13" t="n">
        <f aca="false">IF(Szenarien!$H$9="OK",(IFERROR(SUMIF(Nutzungsprofile!$B$17:$B$22,"Schulbetrieb",Nutzungsprofile!$G$17:$G$22)*Kalender!C15/SUM(Kalender!$C$5:$C$370),0)+IFERROR(SUMIF(Nutzungsprofile!$B$17:$B$22,"Halle",Nutzungsprofile!$G$17:$G$22)*Kalender!D15/SUM(Kalender!$D$5:$D$370),0)+IFERROR(SUMIF(Nutzungsprofile!$B$17:$B$22,"Individuell",Nutzungsprofile!$G$17:$G$22)*Kalender!E15/SUM(Kalender!$E$5:$E$370),0))*Szenarien!$D$9,0)</f>
        <v>0.89</v>
      </c>
      <c r="E381" s="13" t="n">
        <f aca="false">IFERROR(MIN(C381,Eingaben!$B$17)*Eingaben!$B$16,0)</f>
        <v>1.938</v>
      </c>
      <c r="F381" s="13" t="n">
        <f aca="false">IFERROR(E381*Eingaben!$B$15,0)</f>
        <v>1.7442</v>
      </c>
      <c r="G381" s="13" t="n">
        <f aca="false">IFERROR(IF(Kalender!A15="",0,J380*(1-Eingaben!$B$20)),0)</f>
        <v>1.561363244</v>
      </c>
      <c r="H381" s="13" t="n">
        <f aca="false">MIN(G381,D381)</f>
        <v>0.89</v>
      </c>
      <c r="I381" s="13" t="n">
        <f aca="false">IFERROR(MIN(F381*Eingaben!$B$19,MAX(0,D381-H381)),0)</f>
        <v>0</v>
      </c>
      <c r="J381" s="13" t="n">
        <f aca="false">IFERROR(MIN(Eingaben!$B$18,MAX(0,F381-I381)),0)</f>
        <v>1.7442</v>
      </c>
      <c r="K381" s="13" t="n">
        <f aca="false">H381+I381</f>
        <v>0.89</v>
      </c>
      <c r="L381" s="13" t="n">
        <f aca="false">MAX(0,D381-K381)</f>
        <v>0</v>
      </c>
      <c r="M381" s="13" t="n">
        <f aca="false">MAX(0,F381-I381-J381)</f>
        <v>0</v>
      </c>
      <c r="N381" s="13" t="n">
        <f aca="false">IF(Kalender!A15="",0,J380-H381)</f>
        <v>0.7032278</v>
      </c>
    </row>
    <row r="382" customFormat="false" ht="16.4" hidden="false" customHeight="false" outlineLevel="0" collapsed="false">
      <c r="A382" s="13" t="str">
        <f aca="false">""</f>
        <v/>
      </c>
      <c r="B382" s="13" t="n">
        <f aca="false">12</f>
        <v>12</v>
      </c>
      <c r="C382" s="13" t="n">
        <f aca="false">IF(Szenarien!$H$9="OK",(IFERROR(SUMIF(Nutzungsprofile!$B$6:$B$11,"Schulbetrieb",Nutzungsprofile!$G$6:$G$11)*Kalender!C16/SUM(Kalender!$C$5:$C$370),0)+IFERROR(SUMIF(Nutzungsprofile!$B$6:$B$11,"Halle",Nutzungsprofile!$G$6:$G$11)*Kalender!D16/SUM(Kalender!$D$5:$D$370),0)+IFERROR(SUMIF(Nutzungsprofile!$B$6:$B$11,"Individuell",Nutzungsprofile!$G$6:$G$11)*Kalender!E16/SUM(Kalender!$E$5:$E$370),0))*Szenarien!$E$9,0)</f>
        <v>2.94</v>
      </c>
      <c r="D382" s="13" t="n">
        <f aca="false">IF(Szenarien!$H$9="OK",(IFERROR(SUMIF(Nutzungsprofile!$B$17:$B$22,"Schulbetrieb",Nutzungsprofile!$G$17:$G$22)*Kalender!C16/SUM(Kalender!$C$5:$C$370),0)+IFERROR(SUMIF(Nutzungsprofile!$B$17:$B$22,"Halle",Nutzungsprofile!$G$17:$G$22)*Kalender!D16/SUM(Kalender!$D$5:$D$370),0)+IFERROR(SUMIF(Nutzungsprofile!$B$17:$B$22,"Individuell",Nutzungsprofile!$G$17:$G$22)*Kalender!E16/SUM(Kalender!$E$5:$E$370),0))*Szenarien!$D$9,0)</f>
        <v>4.94</v>
      </c>
      <c r="E382" s="13" t="n">
        <f aca="false">IFERROR(MIN(C382,Eingaben!$B$17)*Eingaben!$B$16,0)</f>
        <v>2.793</v>
      </c>
      <c r="F382" s="13" t="n">
        <f aca="false">IFERROR(E382*Eingaben!$B$15,0)</f>
        <v>2.5137</v>
      </c>
      <c r="G382" s="13" t="n">
        <f aca="false">IFERROR(IF(Kalender!A16="",0,J381*(1-Eingaben!$B$20)),0)</f>
        <v>1.709316</v>
      </c>
      <c r="H382" s="13" t="n">
        <f aca="false">MIN(G382,D382)</f>
        <v>1.709316</v>
      </c>
      <c r="I382" s="13" t="n">
        <f aca="false">IFERROR(MIN(F382*Eingaben!$B$19,MAX(0,D382-H382)),0)</f>
        <v>1.75959</v>
      </c>
      <c r="J382" s="13" t="n">
        <f aca="false">IFERROR(MIN(Eingaben!$B$18,MAX(0,F382-I382)),0)</f>
        <v>0.75411</v>
      </c>
      <c r="K382" s="13" t="n">
        <f aca="false">H382+I382</f>
        <v>3.468906</v>
      </c>
      <c r="L382" s="13" t="n">
        <f aca="false">MAX(0,D382-K382)</f>
        <v>1.471094</v>
      </c>
      <c r="M382" s="13" t="n">
        <f aca="false">MAX(0,F382-I382-J382)</f>
        <v>0</v>
      </c>
      <c r="N382" s="13" t="n">
        <f aca="false">IF(Kalender!A16="",0,J381-H382)</f>
        <v>0.0348840000000001</v>
      </c>
    </row>
    <row r="383" customFormat="false" ht="16.4" hidden="false" customHeight="false" outlineLevel="0" collapsed="false">
      <c r="A383" s="13" t="str">
        <f aca="false">""</f>
        <v/>
      </c>
      <c r="B383" s="13" t="n">
        <f aca="false">13</f>
        <v>13</v>
      </c>
      <c r="C383" s="13" t="n">
        <f aca="false">IF(Szenarien!$H$9="OK",(IFERROR(SUMIF(Nutzungsprofile!$B$6:$B$11,"Schulbetrieb",Nutzungsprofile!$G$6:$G$11)*Kalender!C17/SUM(Kalender!$C$5:$C$370),0)+IFERROR(SUMIF(Nutzungsprofile!$B$6:$B$11,"Halle",Nutzungsprofile!$G$6:$G$11)*Kalender!D17/SUM(Kalender!$D$5:$D$370),0)+IFERROR(SUMIF(Nutzungsprofile!$B$6:$B$11,"Individuell",Nutzungsprofile!$G$6:$G$11)*Kalender!E17/SUM(Kalender!$E$5:$E$370),0))*Szenarien!$E$9,0)</f>
        <v>2.94</v>
      </c>
      <c r="D383" s="13" t="n">
        <f aca="false">IF(Szenarien!$H$9="OK",(IFERROR(SUMIF(Nutzungsprofile!$B$17:$B$22,"Schulbetrieb",Nutzungsprofile!$G$17:$G$22)*Kalender!C17/SUM(Kalender!$C$5:$C$370),0)+IFERROR(SUMIF(Nutzungsprofile!$B$17:$B$22,"Halle",Nutzungsprofile!$G$17:$G$22)*Kalender!D17/SUM(Kalender!$D$5:$D$370),0)+IFERROR(SUMIF(Nutzungsprofile!$B$17:$B$22,"Individuell",Nutzungsprofile!$G$17:$G$22)*Kalender!E17/SUM(Kalender!$E$5:$E$370),0))*Szenarien!$D$9,0)</f>
        <v>4.94</v>
      </c>
      <c r="E383" s="13" t="n">
        <f aca="false">IFERROR(MIN(C383,Eingaben!$B$17)*Eingaben!$B$16,0)</f>
        <v>2.793</v>
      </c>
      <c r="F383" s="13" t="n">
        <f aca="false">IFERROR(E383*Eingaben!$B$15,0)</f>
        <v>2.5137</v>
      </c>
      <c r="G383" s="13" t="n">
        <f aca="false">IFERROR(IF(Kalender!A17="",0,J382*(1-Eingaben!$B$20)),0)</f>
        <v>0.7390278</v>
      </c>
      <c r="H383" s="13" t="n">
        <f aca="false">MIN(G383,D383)</f>
        <v>0.7390278</v>
      </c>
      <c r="I383" s="13" t="n">
        <f aca="false">IFERROR(MIN(F383*Eingaben!$B$19,MAX(0,D383-H383)),0)</f>
        <v>1.75959</v>
      </c>
      <c r="J383" s="13" t="n">
        <f aca="false">IFERROR(MIN(Eingaben!$B$18,MAX(0,F383-I383)),0)</f>
        <v>0.75411</v>
      </c>
      <c r="K383" s="13" t="n">
        <f aca="false">H383+I383</f>
        <v>2.4986178</v>
      </c>
      <c r="L383" s="13" t="n">
        <f aca="false">MAX(0,D383-K383)</f>
        <v>2.4413822</v>
      </c>
      <c r="M383" s="13" t="n">
        <f aca="false">MAX(0,F383-I383-J383)</f>
        <v>0</v>
      </c>
      <c r="N383" s="13" t="n">
        <f aca="false">IF(Kalender!A17="",0,J382-H383)</f>
        <v>0.0150822</v>
      </c>
    </row>
    <row r="384" customFormat="false" ht="16.4" hidden="false" customHeight="false" outlineLevel="0" collapsed="false">
      <c r="A384" s="13" t="str">
        <f aca="false">""</f>
        <v/>
      </c>
      <c r="B384" s="13" t="n">
        <f aca="false">14</f>
        <v>14</v>
      </c>
      <c r="C384" s="13" t="n">
        <f aca="false">IF(Szenarien!$H$9="OK",(IFERROR(SUMIF(Nutzungsprofile!$B$6:$B$11,"Schulbetrieb",Nutzungsprofile!$G$6:$G$11)*Kalender!C18/SUM(Kalender!$C$5:$C$370),0)+IFERROR(SUMIF(Nutzungsprofile!$B$6:$B$11,"Halle",Nutzungsprofile!$G$6:$G$11)*Kalender!D18/SUM(Kalender!$D$5:$D$370),0)+IFERROR(SUMIF(Nutzungsprofile!$B$6:$B$11,"Individuell",Nutzungsprofile!$G$6:$G$11)*Kalender!E18/SUM(Kalender!$E$5:$E$370),0))*Szenarien!$E$9,0)</f>
        <v>2.94</v>
      </c>
      <c r="D384" s="13" t="n">
        <f aca="false">IF(Szenarien!$H$9="OK",(IFERROR(SUMIF(Nutzungsprofile!$B$17:$B$22,"Schulbetrieb",Nutzungsprofile!$G$17:$G$22)*Kalender!C18/SUM(Kalender!$C$5:$C$370),0)+IFERROR(SUMIF(Nutzungsprofile!$B$17:$B$22,"Halle",Nutzungsprofile!$G$17:$G$22)*Kalender!D18/SUM(Kalender!$D$5:$D$370),0)+IFERROR(SUMIF(Nutzungsprofile!$B$17:$B$22,"Individuell",Nutzungsprofile!$G$17:$G$22)*Kalender!E18/SUM(Kalender!$E$5:$E$370),0))*Szenarien!$D$9,0)</f>
        <v>4.94</v>
      </c>
      <c r="E384" s="13" t="n">
        <f aca="false">IFERROR(MIN(C384,Eingaben!$B$17)*Eingaben!$B$16,0)</f>
        <v>2.793</v>
      </c>
      <c r="F384" s="13" t="n">
        <f aca="false">IFERROR(E384*Eingaben!$B$15,0)</f>
        <v>2.5137</v>
      </c>
      <c r="G384" s="13" t="n">
        <f aca="false">IFERROR(IF(Kalender!A18="",0,J383*(1-Eingaben!$B$20)),0)</f>
        <v>0.7390278</v>
      </c>
      <c r="H384" s="13" t="n">
        <f aca="false">MIN(G384,D384)</f>
        <v>0.7390278</v>
      </c>
      <c r="I384" s="13" t="n">
        <f aca="false">IFERROR(MIN(F384*Eingaben!$B$19,MAX(0,D384-H384)),0)</f>
        <v>1.75959</v>
      </c>
      <c r="J384" s="13" t="n">
        <f aca="false">IFERROR(MIN(Eingaben!$B$18,MAX(0,F384-I384)),0)</f>
        <v>0.75411</v>
      </c>
      <c r="K384" s="13" t="n">
        <f aca="false">H384+I384</f>
        <v>2.4986178</v>
      </c>
      <c r="L384" s="13" t="n">
        <f aca="false">MAX(0,D384-K384)</f>
        <v>2.4413822</v>
      </c>
      <c r="M384" s="13" t="n">
        <f aca="false">MAX(0,F384-I384-J384)</f>
        <v>0</v>
      </c>
      <c r="N384" s="13" t="n">
        <f aca="false">IF(Kalender!A18="",0,J383-H384)</f>
        <v>0.0150822</v>
      </c>
    </row>
    <row r="385" customFormat="false" ht="16.4" hidden="false" customHeight="false" outlineLevel="0" collapsed="false">
      <c r="A385" s="13" t="str">
        <f aca="false">""</f>
        <v/>
      </c>
      <c r="B385" s="13" t="n">
        <f aca="false">15</f>
        <v>15</v>
      </c>
      <c r="C385" s="13" t="n">
        <f aca="false">IF(Szenarien!$H$9="OK",(IFERROR(SUMIF(Nutzungsprofile!$B$6:$B$11,"Schulbetrieb",Nutzungsprofile!$G$6:$G$11)*Kalender!C19/SUM(Kalender!$C$5:$C$370),0)+IFERROR(SUMIF(Nutzungsprofile!$B$6:$B$11,"Halle",Nutzungsprofile!$G$6:$G$11)*Kalender!D19/SUM(Kalender!$D$5:$D$370),0)+IFERROR(SUMIF(Nutzungsprofile!$B$6:$B$11,"Individuell",Nutzungsprofile!$G$6:$G$11)*Kalender!E19/SUM(Kalender!$E$5:$E$370),0))*Szenarien!$E$9,0)</f>
        <v>2.94</v>
      </c>
      <c r="D385" s="13" t="n">
        <f aca="false">IF(Szenarien!$H$9="OK",(IFERROR(SUMIF(Nutzungsprofile!$B$17:$B$22,"Schulbetrieb",Nutzungsprofile!$G$17:$G$22)*Kalender!C19/SUM(Kalender!$C$5:$C$370),0)+IFERROR(SUMIF(Nutzungsprofile!$B$17:$B$22,"Halle",Nutzungsprofile!$G$17:$G$22)*Kalender!D19/SUM(Kalender!$D$5:$D$370),0)+IFERROR(SUMIF(Nutzungsprofile!$B$17:$B$22,"Individuell",Nutzungsprofile!$G$17:$G$22)*Kalender!E19/SUM(Kalender!$E$5:$E$370),0))*Szenarien!$D$9,0)</f>
        <v>4.94</v>
      </c>
      <c r="E385" s="13" t="n">
        <f aca="false">IFERROR(MIN(C385,Eingaben!$B$17)*Eingaben!$B$16,0)</f>
        <v>2.793</v>
      </c>
      <c r="F385" s="13" t="n">
        <f aca="false">IFERROR(E385*Eingaben!$B$15,0)</f>
        <v>2.5137</v>
      </c>
      <c r="G385" s="13" t="n">
        <f aca="false">IFERROR(IF(Kalender!A19="",0,J384*(1-Eingaben!$B$20)),0)</f>
        <v>0.7390278</v>
      </c>
      <c r="H385" s="13" t="n">
        <f aca="false">MIN(G385,D385)</f>
        <v>0.7390278</v>
      </c>
      <c r="I385" s="13" t="n">
        <f aca="false">IFERROR(MIN(F385*Eingaben!$B$19,MAX(0,D385-H385)),0)</f>
        <v>1.75959</v>
      </c>
      <c r="J385" s="13" t="n">
        <f aca="false">IFERROR(MIN(Eingaben!$B$18,MAX(0,F385-I385)),0)</f>
        <v>0.75411</v>
      </c>
      <c r="K385" s="13" t="n">
        <f aca="false">H385+I385</f>
        <v>2.4986178</v>
      </c>
      <c r="L385" s="13" t="n">
        <f aca="false">MAX(0,D385-K385)</f>
        <v>2.4413822</v>
      </c>
      <c r="M385" s="13" t="n">
        <f aca="false">MAX(0,F385-I385-J385)</f>
        <v>0</v>
      </c>
      <c r="N385" s="13" t="n">
        <f aca="false">IF(Kalender!A19="",0,J384-H385)</f>
        <v>0.0150822</v>
      </c>
    </row>
    <row r="386" customFormat="false" ht="16.4" hidden="false" customHeight="false" outlineLevel="0" collapsed="false">
      <c r="A386" s="13" t="str">
        <f aca="false">""</f>
        <v/>
      </c>
      <c r="B386" s="13" t="n">
        <f aca="false">16</f>
        <v>16</v>
      </c>
      <c r="C386" s="13" t="n">
        <f aca="false">IF(Szenarien!$H$9="OK",(IFERROR(SUMIF(Nutzungsprofile!$B$6:$B$11,"Schulbetrieb",Nutzungsprofile!$G$6:$G$11)*Kalender!C20/SUM(Kalender!$C$5:$C$370),0)+IFERROR(SUMIF(Nutzungsprofile!$B$6:$B$11,"Halle",Nutzungsprofile!$G$6:$G$11)*Kalender!D20/SUM(Kalender!$D$5:$D$370),0)+IFERROR(SUMIF(Nutzungsprofile!$B$6:$B$11,"Individuell",Nutzungsprofile!$G$6:$G$11)*Kalender!E20/SUM(Kalender!$E$5:$E$370),0))*Szenarien!$E$9,0)</f>
        <v>2.94</v>
      </c>
      <c r="D386" s="13" t="n">
        <f aca="false">IF(Szenarien!$H$9="OK",(IFERROR(SUMIF(Nutzungsprofile!$B$17:$B$22,"Schulbetrieb",Nutzungsprofile!$G$17:$G$22)*Kalender!C20/SUM(Kalender!$C$5:$C$370),0)+IFERROR(SUMIF(Nutzungsprofile!$B$17:$B$22,"Halle",Nutzungsprofile!$G$17:$G$22)*Kalender!D20/SUM(Kalender!$D$5:$D$370),0)+IFERROR(SUMIF(Nutzungsprofile!$B$17:$B$22,"Individuell",Nutzungsprofile!$G$17:$G$22)*Kalender!E20/SUM(Kalender!$E$5:$E$370),0))*Szenarien!$D$9,0)</f>
        <v>4.94</v>
      </c>
      <c r="E386" s="13" t="n">
        <f aca="false">IFERROR(MIN(C386,Eingaben!$B$17)*Eingaben!$B$16,0)</f>
        <v>2.793</v>
      </c>
      <c r="F386" s="13" t="n">
        <f aca="false">IFERROR(E386*Eingaben!$B$15,0)</f>
        <v>2.5137</v>
      </c>
      <c r="G386" s="13" t="n">
        <f aca="false">IFERROR(IF(Kalender!A20="",0,J385*(1-Eingaben!$B$20)),0)</f>
        <v>0.7390278</v>
      </c>
      <c r="H386" s="13" t="n">
        <f aca="false">MIN(G386,D386)</f>
        <v>0.7390278</v>
      </c>
      <c r="I386" s="13" t="n">
        <f aca="false">IFERROR(MIN(F386*Eingaben!$B$19,MAX(0,D386-H386)),0)</f>
        <v>1.75959</v>
      </c>
      <c r="J386" s="13" t="n">
        <f aca="false">IFERROR(MIN(Eingaben!$B$18,MAX(0,F386-I386)),0)</f>
        <v>0.75411</v>
      </c>
      <c r="K386" s="13" t="n">
        <f aca="false">H386+I386</f>
        <v>2.4986178</v>
      </c>
      <c r="L386" s="13" t="n">
        <f aca="false">MAX(0,D386-K386)</f>
        <v>2.4413822</v>
      </c>
      <c r="M386" s="13" t="n">
        <f aca="false">MAX(0,F386-I386-J386)</f>
        <v>0</v>
      </c>
      <c r="N386" s="13" t="n">
        <f aca="false">IF(Kalender!A20="",0,J385-H386)</f>
        <v>0.0150822</v>
      </c>
    </row>
    <row r="387" customFormat="false" ht="16.4" hidden="false" customHeight="false" outlineLevel="0" collapsed="false">
      <c r="A387" s="13" t="str">
        <f aca="false">""</f>
        <v/>
      </c>
      <c r="B387" s="13" t="n">
        <f aca="false">17</f>
        <v>17</v>
      </c>
      <c r="C387" s="13" t="n">
        <f aca="false">IF(Szenarien!$H$9="OK",(IFERROR(SUMIF(Nutzungsprofile!$B$6:$B$11,"Schulbetrieb",Nutzungsprofile!$G$6:$G$11)*Kalender!C21/SUM(Kalender!$C$5:$C$370),0)+IFERROR(SUMIF(Nutzungsprofile!$B$6:$B$11,"Halle",Nutzungsprofile!$G$6:$G$11)*Kalender!D21/SUM(Kalender!$D$5:$D$370),0)+IFERROR(SUMIF(Nutzungsprofile!$B$6:$B$11,"Individuell",Nutzungsprofile!$G$6:$G$11)*Kalender!E21/SUM(Kalender!$E$5:$E$370),0))*Szenarien!$E$9,0)</f>
        <v>2.04</v>
      </c>
      <c r="D387" s="13" t="n">
        <f aca="false">IF(Szenarien!$H$9="OK",(IFERROR(SUMIF(Nutzungsprofile!$B$17:$B$22,"Schulbetrieb",Nutzungsprofile!$G$17:$G$22)*Kalender!C21/SUM(Kalender!$C$5:$C$370),0)+IFERROR(SUMIF(Nutzungsprofile!$B$17:$B$22,"Halle",Nutzungsprofile!$G$17:$G$22)*Kalender!D21/SUM(Kalender!$D$5:$D$370),0)+IFERROR(SUMIF(Nutzungsprofile!$B$17:$B$22,"Individuell",Nutzungsprofile!$G$17:$G$22)*Kalender!E21/SUM(Kalender!$E$5:$E$370),0))*Szenarien!$D$9,0)</f>
        <v>0.89</v>
      </c>
      <c r="E387" s="13" t="n">
        <f aca="false">IFERROR(MIN(C387,Eingaben!$B$17)*Eingaben!$B$16,0)</f>
        <v>1.938</v>
      </c>
      <c r="F387" s="13" t="n">
        <f aca="false">IFERROR(E387*Eingaben!$B$15,0)</f>
        <v>1.7442</v>
      </c>
      <c r="G387" s="13" t="n">
        <f aca="false">IFERROR(IF(Kalender!A21="",0,J386*(1-Eingaben!$B$20)),0)</f>
        <v>0.7390278</v>
      </c>
      <c r="H387" s="13" t="n">
        <f aca="false">MIN(G387,D387)</f>
        <v>0.7390278</v>
      </c>
      <c r="I387" s="13" t="n">
        <f aca="false">IFERROR(MIN(F387*Eingaben!$B$19,MAX(0,D387-H387)),0)</f>
        <v>0.1509722</v>
      </c>
      <c r="J387" s="13" t="n">
        <f aca="false">IFERROR(MIN(Eingaben!$B$18,MAX(0,F387-I387)),0)</f>
        <v>1.5932278</v>
      </c>
      <c r="K387" s="13" t="n">
        <f aca="false">H387+I387</f>
        <v>0.89</v>
      </c>
      <c r="L387" s="13" t="n">
        <f aca="false">MAX(0,D387-K387)</f>
        <v>0</v>
      </c>
      <c r="M387" s="13" t="n">
        <f aca="false">MAX(0,F387-I387-J387)</f>
        <v>0</v>
      </c>
      <c r="N387" s="13" t="n">
        <f aca="false">IF(Kalender!A21="",0,J386-H387)</f>
        <v>0.0150822</v>
      </c>
    </row>
    <row r="388" customFormat="false" ht="16.4" hidden="false" customHeight="false" outlineLevel="0" collapsed="false">
      <c r="A388" s="13" t="str">
        <f aca="false">""</f>
        <v/>
      </c>
      <c r="B388" s="13" t="n">
        <f aca="false">18</f>
        <v>18</v>
      </c>
      <c r="C388" s="13" t="n">
        <f aca="false">IF(Szenarien!$H$9="OK",(IFERROR(SUMIF(Nutzungsprofile!$B$6:$B$11,"Schulbetrieb",Nutzungsprofile!$G$6:$G$11)*Kalender!C22/SUM(Kalender!$C$5:$C$370),0)+IFERROR(SUMIF(Nutzungsprofile!$B$6:$B$11,"Halle",Nutzungsprofile!$G$6:$G$11)*Kalender!D22/SUM(Kalender!$D$5:$D$370),0)+IFERROR(SUMIF(Nutzungsprofile!$B$6:$B$11,"Individuell",Nutzungsprofile!$G$6:$G$11)*Kalender!E22/SUM(Kalender!$E$5:$E$370),0))*Szenarien!$E$9,0)</f>
        <v>2.04</v>
      </c>
      <c r="D388" s="13" t="n">
        <f aca="false">IF(Szenarien!$H$9="OK",(IFERROR(SUMIF(Nutzungsprofile!$B$17:$B$22,"Schulbetrieb",Nutzungsprofile!$G$17:$G$22)*Kalender!C22/SUM(Kalender!$C$5:$C$370),0)+IFERROR(SUMIF(Nutzungsprofile!$B$17:$B$22,"Halle",Nutzungsprofile!$G$17:$G$22)*Kalender!D22/SUM(Kalender!$D$5:$D$370),0)+IFERROR(SUMIF(Nutzungsprofile!$B$17:$B$22,"Individuell",Nutzungsprofile!$G$17:$G$22)*Kalender!E22/SUM(Kalender!$E$5:$E$370),0))*Szenarien!$D$9,0)</f>
        <v>0.89</v>
      </c>
      <c r="E388" s="13" t="n">
        <f aca="false">IFERROR(MIN(C388,Eingaben!$B$17)*Eingaben!$B$16,0)</f>
        <v>1.938</v>
      </c>
      <c r="F388" s="13" t="n">
        <f aca="false">IFERROR(E388*Eingaben!$B$15,0)</f>
        <v>1.7442</v>
      </c>
      <c r="G388" s="13" t="n">
        <f aca="false">IFERROR(IF(Kalender!A22="",0,J387*(1-Eingaben!$B$20)),0)</f>
        <v>1.561363244</v>
      </c>
      <c r="H388" s="13" t="n">
        <f aca="false">MIN(G388,D388)</f>
        <v>0.89</v>
      </c>
      <c r="I388" s="13" t="n">
        <f aca="false">IFERROR(MIN(F388*Eingaben!$B$19,MAX(0,D388-H388)),0)</f>
        <v>0</v>
      </c>
      <c r="J388" s="13" t="n">
        <f aca="false">IFERROR(MIN(Eingaben!$B$18,MAX(0,F388-I388)),0)</f>
        <v>1.7442</v>
      </c>
      <c r="K388" s="13" t="n">
        <f aca="false">H388+I388</f>
        <v>0.89</v>
      </c>
      <c r="L388" s="13" t="n">
        <f aca="false">MAX(0,D388-K388)</f>
        <v>0</v>
      </c>
      <c r="M388" s="13" t="n">
        <f aca="false">MAX(0,F388-I388-J388)</f>
        <v>0</v>
      </c>
      <c r="N388" s="13" t="n">
        <f aca="false">IF(Kalender!A22="",0,J387-H388)</f>
        <v>0.7032278</v>
      </c>
    </row>
    <row r="389" customFormat="false" ht="16.4" hidden="false" customHeight="false" outlineLevel="0" collapsed="false">
      <c r="A389" s="13" t="str">
        <f aca="false">""</f>
        <v/>
      </c>
      <c r="B389" s="13" t="n">
        <f aca="false">19</f>
        <v>19</v>
      </c>
      <c r="C389" s="13" t="n">
        <f aca="false">IF(Szenarien!$H$9="OK",(IFERROR(SUMIF(Nutzungsprofile!$B$6:$B$11,"Schulbetrieb",Nutzungsprofile!$G$6:$G$11)*Kalender!C23/SUM(Kalender!$C$5:$C$370),0)+IFERROR(SUMIF(Nutzungsprofile!$B$6:$B$11,"Halle",Nutzungsprofile!$G$6:$G$11)*Kalender!D23/SUM(Kalender!$D$5:$D$370),0)+IFERROR(SUMIF(Nutzungsprofile!$B$6:$B$11,"Individuell",Nutzungsprofile!$G$6:$G$11)*Kalender!E23/SUM(Kalender!$E$5:$E$370),0))*Szenarien!$E$9,0)</f>
        <v>2.94</v>
      </c>
      <c r="D389" s="13" t="n">
        <f aca="false">IF(Szenarien!$H$9="OK",(IFERROR(SUMIF(Nutzungsprofile!$B$17:$B$22,"Schulbetrieb",Nutzungsprofile!$G$17:$G$22)*Kalender!C23/SUM(Kalender!$C$5:$C$370),0)+IFERROR(SUMIF(Nutzungsprofile!$B$17:$B$22,"Halle",Nutzungsprofile!$G$17:$G$22)*Kalender!D23/SUM(Kalender!$D$5:$D$370),0)+IFERROR(SUMIF(Nutzungsprofile!$B$17:$B$22,"Individuell",Nutzungsprofile!$G$17:$G$22)*Kalender!E23/SUM(Kalender!$E$5:$E$370),0))*Szenarien!$D$9,0)</f>
        <v>4.94</v>
      </c>
      <c r="E389" s="13" t="n">
        <f aca="false">IFERROR(MIN(C389,Eingaben!$B$17)*Eingaben!$B$16,0)</f>
        <v>2.793</v>
      </c>
      <c r="F389" s="13" t="n">
        <f aca="false">IFERROR(E389*Eingaben!$B$15,0)</f>
        <v>2.5137</v>
      </c>
      <c r="G389" s="13" t="n">
        <f aca="false">IFERROR(IF(Kalender!A23="",0,J388*(1-Eingaben!$B$20)),0)</f>
        <v>1.709316</v>
      </c>
      <c r="H389" s="13" t="n">
        <f aca="false">MIN(G389,D389)</f>
        <v>1.709316</v>
      </c>
      <c r="I389" s="13" t="n">
        <f aca="false">IFERROR(MIN(F389*Eingaben!$B$19,MAX(0,D389-H389)),0)</f>
        <v>1.75959</v>
      </c>
      <c r="J389" s="13" t="n">
        <f aca="false">IFERROR(MIN(Eingaben!$B$18,MAX(0,F389-I389)),0)</f>
        <v>0.75411</v>
      </c>
      <c r="K389" s="13" t="n">
        <f aca="false">H389+I389</f>
        <v>3.468906</v>
      </c>
      <c r="L389" s="13" t="n">
        <f aca="false">MAX(0,D389-K389)</f>
        <v>1.471094</v>
      </c>
      <c r="M389" s="13" t="n">
        <f aca="false">MAX(0,F389-I389-J389)</f>
        <v>0</v>
      </c>
      <c r="N389" s="13" t="n">
        <f aca="false">IF(Kalender!A23="",0,J388-H389)</f>
        <v>0.0348840000000001</v>
      </c>
    </row>
    <row r="390" customFormat="false" ht="16.4" hidden="false" customHeight="false" outlineLevel="0" collapsed="false">
      <c r="A390" s="13" t="str">
        <f aca="false">""</f>
        <v/>
      </c>
      <c r="B390" s="13" t="n">
        <f aca="false">20</f>
        <v>20</v>
      </c>
      <c r="C390" s="13" t="n">
        <f aca="false">IF(Szenarien!$H$9="OK",(IFERROR(SUMIF(Nutzungsprofile!$B$6:$B$11,"Schulbetrieb",Nutzungsprofile!$G$6:$G$11)*Kalender!C24/SUM(Kalender!$C$5:$C$370),0)+IFERROR(SUMIF(Nutzungsprofile!$B$6:$B$11,"Halle",Nutzungsprofile!$G$6:$G$11)*Kalender!D24/SUM(Kalender!$D$5:$D$370),0)+IFERROR(SUMIF(Nutzungsprofile!$B$6:$B$11,"Individuell",Nutzungsprofile!$G$6:$G$11)*Kalender!E24/SUM(Kalender!$E$5:$E$370),0))*Szenarien!$E$9,0)</f>
        <v>2.94</v>
      </c>
      <c r="D390" s="13" t="n">
        <f aca="false">IF(Szenarien!$H$9="OK",(IFERROR(SUMIF(Nutzungsprofile!$B$17:$B$22,"Schulbetrieb",Nutzungsprofile!$G$17:$G$22)*Kalender!C24/SUM(Kalender!$C$5:$C$370),0)+IFERROR(SUMIF(Nutzungsprofile!$B$17:$B$22,"Halle",Nutzungsprofile!$G$17:$G$22)*Kalender!D24/SUM(Kalender!$D$5:$D$370),0)+IFERROR(SUMIF(Nutzungsprofile!$B$17:$B$22,"Individuell",Nutzungsprofile!$G$17:$G$22)*Kalender!E24/SUM(Kalender!$E$5:$E$370),0))*Szenarien!$D$9,0)</f>
        <v>4.94</v>
      </c>
      <c r="E390" s="13" t="n">
        <f aca="false">IFERROR(MIN(C390,Eingaben!$B$17)*Eingaben!$B$16,0)</f>
        <v>2.793</v>
      </c>
      <c r="F390" s="13" t="n">
        <f aca="false">IFERROR(E390*Eingaben!$B$15,0)</f>
        <v>2.5137</v>
      </c>
      <c r="G390" s="13" t="n">
        <f aca="false">IFERROR(IF(Kalender!A24="",0,J389*(1-Eingaben!$B$20)),0)</f>
        <v>0.7390278</v>
      </c>
      <c r="H390" s="13" t="n">
        <f aca="false">MIN(G390,D390)</f>
        <v>0.7390278</v>
      </c>
      <c r="I390" s="13" t="n">
        <f aca="false">IFERROR(MIN(F390*Eingaben!$B$19,MAX(0,D390-H390)),0)</f>
        <v>1.75959</v>
      </c>
      <c r="J390" s="13" t="n">
        <f aca="false">IFERROR(MIN(Eingaben!$B$18,MAX(0,F390-I390)),0)</f>
        <v>0.75411</v>
      </c>
      <c r="K390" s="13" t="n">
        <f aca="false">H390+I390</f>
        <v>2.4986178</v>
      </c>
      <c r="L390" s="13" t="n">
        <f aca="false">MAX(0,D390-K390)</f>
        <v>2.4413822</v>
      </c>
      <c r="M390" s="13" t="n">
        <f aca="false">MAX(0,F390-I390-J390)</f>
        <v>0</v>
      </c>
      <c r="N390" s="13" t="n">
        <f aca="false">IF(Kalender!A24="",0,J389-H390)</f>
        <v>0.0150822</v>
      </c>
    </row>
    <row r="391" customFormat="false" ht="16.4" hidden="false" customHeight="false" outlineLevel="0" collapsed="false">
      <c r="A391" s="13" t="str">
        <f aca="false">""</f>
        <v/>
      </c>
      <c r="B391" s="13" t="n">
        <f aca="false">21</f>
        <v>21</v>
      </c>
      <c r="C391" s="13" t="n">
        <f aca="false">IF(Szenarien!$H$9="OK",(IFERROR(SUMIF(Nutzungsprofile!$B$6:$B$11,"Schulbetrieb",Nutzungsprofile!$G$6:$G$11)*Kalender!C25/SUM(Kalender!$C$5:$C$370),0)+IFERROR(SUMIF(Nutzungsprofile!$B$6:$B$11,"Halle",Nutzungsprofile!$G$6:$G$11)*Kalender!D25/SUM(Kalender!$D$5:$D$370),0)+IFERROR(SUMIF(Nutzungsprofile!$B$6:$B$11,"Individuell",Nutzungsprofile!$G$6:$G$11)*Kalender!E25/SUM(Kalender!$E$5:$E$370),0))*Szenarien!$E$9,0)</f>
        <v>2.94</v>
      </c>
      <c r="D391" s="13" t="n">
        <f aca="false">IF(Szenarien!$H$9="OK",(IFERROR(SUMIF(Nutzungsprofile!$B$17:$B$22,"Schulbetrieb",Nutzungsprofile!$G$17:$G$22)*Kalender!C25/SUM(Kalender!$C$5:$C$370),0)+IFERROR(SUMIF(Nutzungsprofile!$B$17:$B$22,"Halle",Nutzungsprofile!$G$17:$G$22)*Kalender!D25/SUM(Kalender!$D$5:$D$370),0)+IFERROR(SUMIF(Nutzungsprofile!$B$17:$B$22,"Individuell",Nutzungsprofile!$G$17:$G$22)*Kalender!E25/SUM(Kalender!$E$5:$E$370),0))*Szenarien!$D$9,0)</f>
        <v>4.94</v>
      </c>
      <c r="E391" s="13" t="n">
        <f aca="false">IFERROR(MIN(C391,Eingaben!$B$17)*Eingaben!$B$16,0)</f>
        <v>2.793</v>
      </c>
      <c r="F391" s="13" t="n">
        <f aca="false">IFERROR(E391*Eingaben!$B$15,0)</f>
        <v>2.5137</v>
      </c>
      <c r="G391" s="13" t="n">
        <f aca="false">IFERROR(IF(Kalender!A25="",0,J390*(1-Eingaben!$B$20)),0)</f>
        <v>0.7390278</v>
      </c>
      <c r="H391" s="13" t="n">
        <f aca="false">MIN(G391,D391)</f>
        <v>0.7390278</v>
      </c>
      <c r="I391" s="13" t="n">
        <f aca="false">IFERROR(MIN(F391*Eingaben!$B$19,MAX(0,D391-H391)),0)</f>
        <v>1.75959</v>
      </c>
      <c r="J391" s="13" t="n">
        <f aca="false">IFERROR(MIN(Eingaben!$B$18,MAX(0,F391-I391)),0)</f>
        <v>0.75411</v>
      </c>
      <c r="K391" s="13" t="n">
        <f aca="false">H391+I391</f>
        <v>2.4986178</v>
      </c>
      <c r="L391" s="13" t="n">
        <f aca="false">MAX(0,D391-K391)</f>
        <v>2.4413822</v>
      </c>
      <c r="M391" s="13" t="n">
        <f aca="false">MAX(0,F391-I391-J391)</f>
        <v>0</v>
      </c>
      <c r="N391" s="13" t="n">
        <f aca="false">IF(Kalender!A25="",0,J390-H391)</f>
        <v>0.0150822</v>
      </c>
    </row>
    <row r="392" customFormat="false" ht="16.4" hidden="false" customHeight="false" outlineLevel="0" collapsed="false">
      <c r="A392" s="13" t="str">
        <f aca="false">""</f>
        <v/>
      </c>
      <c r="B392" s="13" t="n">
        <f aca="false">22</f>
        <v>22</v>
      </c>
      <c r="C392" s="13" t="n">
        <f aca="false">IF(Szenarien!$H$9="OK",(IFERROR(SUMIF(Nutzungsprofile!$B$6:$B$11,"Schulbetrieb",Nutzungsprofile!$G$6:$G$11)*Kalender!C26/SUM(Kalender!$C$5:$C$370),0)+IFERROR(SUMIF(Nutzungsprofile!$B$6:$B$11,"Halle",Nutzungsprofile!$G$6:$G$11)*Kalender!D26/SUM(Kalender!$D$5:$D$370),0)+IFERROR(SUMIF(Nutzungsprofile!$B$6:$B$11,"Individuell",Nutzungsprofile!$G$6:$G$11)*Kalender!E26/SUM(Kalender!$E$5:$E$370),0))*Szenarien!$E$9,0)</f>
        <v>2.94</v>
      </c>
      <c r="D392" s="13" t="n">
        <f aca="false">IF(Szenarien!$H$9="OK",(IFERROR(SUMIF(Nutzungsprofile!$B$17:$B$22,"Schulbetrieb",Nutzungsprofile!$G$17:$G$22)*Kalender!C26/SUM(Kalender!$C$5:$C$370),0)+IFERROR(SUMIF(Nutzungsprofile!$B$17:$B$22,"Halle",Nutzungsprofile!$G$17:$G$22)*Kalender!D26/SUM(Kalender!$D$5:$D$370),0)+IFERROR(SUMIF(Nutzungsprofile!$B$17:$B$22,"Individuell",Nutzungsprofile!$G$17:$G$22)*Kalender!E26/SUM(Kalender!$E$5:$E$370),0))*Szenarien!$D$9,0)</f>
        <v>4.94</v>
      </c>
      <c r="E392" s="13" t="n">
        <f aca="false">IFERROR(MIN(C392,Eingaben!$B$17)*Eingaben!$B$16,0)</f>
        <v>2.793</v>
      </c>
      <c r="F392" s="13" t="n">
        <f aca="false">IFERROR(E392*Eingaben!$B$15,0)</f>
        <v>2.5137</v>
      </c>
      <c r="G392" s="13" t="n">
        <f aca="false">IFERROR(IF(Kalender!A26="",0,J391*(1-Eingaben!$B$20)),0)</f>
        <v>0.7390278</v>
      </c>
      <c r="H392" s="13" t="n">
        <f aca="false">MIN(G392,D392)</f>
        <v>0.7390278</v>
      </c>
      <c r="I392" s="13" t="n">
        <f aca="false">IFERROR(MIN(F392*Eingaben!$B$19,MAX(0,D392-H392)),0)</f>
        <v>1.75959</v>
      </c>
      <c r="J392" s="13" t="n">
        <f aca="false">IFERROR(MIN(Eingaben!$B$18,MAX(0,F392-I392)),0)</f>
        <v>0.75411</v>
      </c>
      <c r="K392" s="13" t="n">
        <f aca="false">H392+I392</f>
        <v>2.4986178</v>
      </c>
      <c r="L392" s="13" t="n">
        <f aca="false">MAX(0,D392-K392)</f>
        <v>2.4413822</v>
      </c>
      <c r="M392" s="13" t="n">
        <f aca="false">MAX(0,F392-I392-J392)</f>
        <v>0</v>
      </c>
      <c r="N392" s="13" t="n">
        <f aca="false">IF(Kalender!A26="",0,J391-H392)</f>
        <v>0.0150822</v>
      </c>
    </row>
    <row r="393" customFormat="false" ht="16.4" hidden="false" customHeight="false" outlineLevel="0" collapsed="false">
      <c r="A393" s="13" t="str">
        <f aca="false">""</f>
        <v/>
      </c>
      <c r="B393" s="13" t="n">
        <f aca="false">23</f>
        <v>23</v>
      </c>
      <c r="C393" s="13" t="n">
        <f aca="false">IF(Szenarien!$H$9="OK",(IFERROR(SUMIF(Nutzungsprofile!$B$6:$B$11,"Schulbetrieb",Nutzungsprofile!$G$6:$G$11)*Kalender!C27/SUM(Kalender!$C$5:$C$370),0)+IFERROR(SUMIF(Nutzungsprofile!$B$6:$B$11,"Halle",Nutzungsprofile!$G$6:$G$11)*Kalender!D27/SUM(Kalender!$D$5:$D$370),0)+IFERROR(SUMIF(Nutzungsprofile!$B$6:$B$11,"Individuell",Nutzungsprofile!$G$6:$G$11)*Kalender!E27/SUM(Kalender!$E$5:$E$370),0))*Szenarien!$E$9,0)</f>
        <v>2.94</v>
      </c>
      <c r="D393" s="13" t="n">
        <f aca="false">IF(Szenarien!$H$9="OK",(IFERROR(SUMIF(Nutzungsprofile!$B$17:$B$22,"Schulbetrieb",Nutzungsprofile!$G$17:$G$22)*Kalender!C27/SUM(Kalender!$C$5:$C$370),0)+IFERROR(SUMIF(Nutzungsprofile!$B$17:$B$22,"Halle",Nutzungsprofile!$G$17:$G$22)*Kalender!D27/SUM(Kalender!$D$5:$D$370),0)+IFERROR(SUMIF(Nutzungsprofile!$B$17:$B$22,"Individuell",Nutzungsprofile!$G$17:$G$22)*Kalender!E27/SUM(Kalender!$E$5:$E$370),0))*Szenarien!$D$9,0)</f>
        <v>4.94</v>
      </c>
      <c r="E393" s="13" t="n">
        <f aca="false">IFERROR(MIN(C393,Eingaben!$B$17)*Eingaben!$B$16,0)</f>
        <v>2.793</v>
      </c>
      <c r="F393" s="13" t="n">
        <f aca="false">IFERROR(E393*Eingaben!$B$15,0)</f>
        <v>2.5137</v>
      </c>
      <c r="G393" s="13" t="n">
        <f aca="false">IFERROR(IF(Kalender!A27="",0,J392*(1-Eingaben!$B$20)),0)</f>
        <v>0.7390278</v>
      </c>
      <c r="H393" s="13" t="n">
        <f aca="false">MIN(G393,D393)</f>
        <v>0.7390278</v>
      </c>
      <c r="I393" s="13" t="n">
        <f aca="false">IFERROR(MIN(F393*Eingaben!$B$19,MAX(0,D393-H393)),0)</f>
        <v>1.75959</v>
      </c>
      <c r="J393" s="13" t="n">
        <f aca="false">IFERROR(MIN(Eingaben!$B$18,MAX(0,F393-I393)),0)</f>
        <v>0.75411</v>
      </c>
      <c r="K393" s="13" t="n">
        <f aca="false">H393+I393</f>
        <v>2.4986178</v>
      </c>
      <c r="L393" s="13" t="n">
        <f aca="false">MAX(0,D393-K393)</f>
        <v>2.4413822</v>
      </c>
      <c r="M393" s="13" t="n">
        <f aca="false">MAX(0,F393-I393-J393)</f>
        <v>0</v>
      </c>
      <c r="N393" s="13" t="n">
        <f aca="false">IF(Kalender!A27="",0,J392-H393)</f>
        <v>0.0150822</v>
      </c>
    </row>
    <row r="394" customFormat="false" ht="16.4" hidden="false" customHeight="false" outlineLevel="0" collapsed="false">
      <c r="A394" s="13" t="str">
        <f aca="false">""</f>
        <v/>
      </c>
      <c r="B394" s="13" t="n">
        <f aca="false">24</f>
        <v>24</v>
      </c>
      <c r="C394" s="13" t="n">
        <f aca="false">IF(Szenarien!$H$9="OK",(IFERROR(SUMIF(Nutzungsprofile!$B$6:$B$11,"Schulbetrieb",Nutzungsprofile!$G$6:$G$11)*Kalender!C28/SUM(Kalender!$C$5:$C$370),0)+IFERROR(SUMIF(Nutzungsprofile!$B$6:$B$11,"Halle",Nutzungsprofile!$G$6:$G$11)*Kalender!D28/SUM(Kalender!$D$5:$D$370),0)+IFERROR(SUMIF(Nutzungsprofile!$B$6:$B$11,"Individuell",Nutzungsprofile!$G$6:$G$11)*Kalender!E28/SUM(Kalender!$E$5:$E$370),0))*Szenarien!$E$9,0)</f>
        <v>2.04</v>
      </c>
      <c r="D394" s="13" t="n">
        <f aca="false">IF(Szenarien!$H$9="OK",(IFERROR(SUMIF(Nutzungsprofile!$B$17:$B$22,"Schulbetrieb",Nutzungsprofile!$G$17:$G$22)*Kalender!C28/SUM(Kalender!$C$5:$C$370),0)+IFERROR(SUMIF(Nutzungsprofile!$B$17:$B$22,"Halle",Nutzungsprofile!$G$17:$G$22)*Kalender!D28/SUM(Kalender!$D$5:$D$370),0)+IFERROR(SUMIF(Nutzungsprofile!$B$17:$B$22,"Individuell",Nutzungsprofile!$G$17:$G$22)*Kalender!E28/SUM(Kalender!$E$5:$E$370),0))*Szenarien!$D$9,0)</f>
        <v>0.89</v>
      </c>
      <c r="E394" s="13" t="n">
        <f aca="false">IFERROR(MIN(C394,Eingaben!$B$17)*Eingaben!$B$16,0)</f>
        <v>1.938</v>
      </c>
      <c r="F394" s="13" t="n">
        <f aca="false">IFERROR(E394*Eingaben!$B$15,0)</f>
        <v>1.7442</v>
      </c>
      <c r="G394" s="13" t="n">
        <f aca="false">IFERROR(IF(Kalender!A28="",0,J393*(1-Eingaben!$B$20)),0)</f>
        <v>0.7390278</v>
      </c>
      <c r="H394" s="13" t="n">
        <f aca="false">MIN(G394,D394)</f>
        <v>0.7390278</v>
      </c>
      <c r="I394" s="13" t="n">
        <f aca="false">IFERROR(MIN(F394*Eingaben!$B$19,MAX(0,D394-H394)),0)</f>
        <v>0.1509722</v>
      </c>
      <c r="J394" s="13" t="n">
        <f aca="false">IFERROR(MIN(Eingaben!$B$18,MAX(0,F394-I394)),0)</f>
        <v>1.5932278</v>
      </c>
      <c r="K394" s="13" t="n">
        <f aca="false">H394+I394</f>
        <v>0.89</v>
      </c>
      <c r="L394" s="13" t="n">
        <f aca="false">MAX(0,D394-K394)</f>
        <v>0</v>
      </c>
      <c r="M394" s="13" t="n">
        <f aca="false">MAX(0,F394-I394-J394)</f>
        <v>0</v>
      </c>
      <c r="N394" s="13" t="n">
        <f aca="false">IF(Kalender!A28="",0,J393-H394)</f>
        <v>0.0150822</v>
      </c>
    </row>
    <row r="395" customFormat="false" ht="16.4" hidden="false" customHeight="false" outlineLevel="0" collapsed="false">
      <c r="A395" s="13" t="str">
        <f aca="false">""</f>
        <v/>
      </c>
      <c r="B395" s="13" t="n">
        <f aca="false">25</f>
        <v>25</v>
      </c>
      <c r="C395" s="13" t="n">
        <f aca="false">IF(Szenarien!$H$9="OK",(IFERROR(SUMIF(Nutzungsprofile!$B$6:$B$11,"Schulbetrieb",Nutzungsprofile!$G$6:$G$11)*Kalender!C29/SUM(Kalender!$C$5:$C$370),0)+IFERROR(SUMIF(Nutzungsprofile!$B$6:$B$11,"Halle",Nutzungsprofile!$G$6:$G$11)*Kalender!D29/SUM(Kalender!$D$5:$D$370),0)+IFERROR(SUMIF(Nutzungsprofile!$B$6:$B$11,"Individuell",Nutzungsprofile!$G$6:$G$11)*Kalender!E29/SUM(Kalender!$E$5:$E$370),0))*Szenarien!$E$9,0)</f>
        <v>2.04</v>
      </c>
      <c r="D395" s="13" t="n">
        <f aca="false">IF(Szenarien!$H$9="OK",(IFERROR(SUMIF(Nutzungsprofile!$B$17:$B$22,"Schulbetrieb",Nutzungsprofile!$G$17:$G$22)*Kalender!C29/SUM(Kalender!$C$5:$C$370),0)+IFERROR(SUMIF(Nutzungsprofile!$B$17:$B$22,"Halle",Nutzungsprofile!$G$17:$G$22)*Kalender!D29/SUM(Kalender!$D$5:$D$370),0)+IFERROR(SUMIF(Nutzungsprofile!$B$17:$B$22,"Individuell",Nutzungsprofile!$G$17:$G$22)*Kalender!E29/SUM(Kalender!$E$5:$E$370),0))*Szenarien!$D$9,0)</f>
        <v>0.89</v>
      </c>
      <c r="E395" s="13" t="n">
        <f aca="false">IFERROR(MIN(C395,Eingaben!$B$17)*Eingaben!$B$16,0)</f>
        <v>1.938</v>
      </c>
      <c r="F395" s="13" t="n">
        <f aca="false">IFERROR(E395*Eingaben!$B$15,0)</f>
        <v>1.7442</v>
      </c>
      <c r="G395" s="13" t="n">
        <f aca="false">IFERROR(IF(Kalender!A29="",0,J394*(1-Eingaben!$B$20)),0)</f>
        <v>1.561363244</v>
      </c>
      <c r="H395" s="13" t="n">
        <f aca="false">MIN(G395,D395)</f>
        <v>0.89</v>
      </c>
      <c r="I395" s="13" t="n">
        <f aca="false">IFERROR(MIN(F395*Eingaben!$B$19,MAX(0,D395-H395)),0)</f>
        <v>0</v>
      </c>
      <c r="J395" s="13" t="n">
        <f aca="false">IFERROR(MIN(Eingaben!$B$18,MAX(0,F395-I395)),0)</f>
        <v>1.7442</v>
      </c>
      <c r="K395" s="13" t="n">
        <f aca="false">H395+I395</f>
        <v>0.89</v>
      </c>
      <c r="L395" s="13" t="n">
        <f aca="false">MAX(0,D395-K395)</f>
        <v>0</v>
      </c>
      <c r="M395" s="13" t="n">
        <f aca="false">MAX(0,F395-I395-J395)</f>
        <v>0</v>
      </c>
      <c r="N395" s="13" t="n">
        <f aca="false">IF(Kalender!A29="",0,J394-H395)</f>
        <v>0.7032278</v>
      </c>
    </row>
    <row r="396" customFormat="false" ht="16.4" hidden="false" customHeight="false" outlineLevel="0" collapsed="false">
      <c r="A396" s="13" t="str">
        <f aca="false">""</f>
        <v/>
      </c>
      <c r="B396" s="13" t="n">
        <f aca="false">26</f>
        <v>26</v>
      </c>
      <c r="C396" s="13" t="n">
        <f aca="false">IF(Szenarien!$H$9="OK",(IFERROR(SUMIF(Nutzungsprofile!$B$6:$B$11,"Schulbetrieb",Nutzungsprofile!$G$6:$G$11)*Kalender!C30/SUM(Kalender!$C$5:$C$370),0)+IFERROR(SUMIF(Nutzungsprofile!$B$6:$B$11,"Halle",Nutzungsprofile!$G$6:$G$11)*Kalender!D30/SUM(Kalender!$D$5:$D$370),0)+IFERROR(SUMIF(Nutzungsprofile!$B$6:$B$11,"Individuell",Nutzungsprofile!$G$6:$G$11)*Kalender!E30/SUM(Kalender!$E$5:$E$370),0))*Szenarien!$E$9,0)</f>
        <v>2.94</v>
      </c>
      <c r="D396" s="13" t="n">
        <f aca="false">IF(Szenarien!$H$9="OK",(IFERROR(SUMIF(Nutzungsprofile!$B$17:$B$22,"Schulbetrieb",Nutzungsprofile!$G$17:$G$22)*Kalender!C30/SUM(Kalender!$C$5:$C$370),0)+IFERROR(SUMIF(Nutzungsprofile!$B$17:$B$22,"Halle",Nutzungsprofile!$G$17:$G$22)*Kalender!D30/SUM(Kalender!$D$5:$D$370),0)+IFERROR(SUMIF(Nutzungsprofile!$B$17:$B$22,"Individuell",Nutzungsprofile!$G$17:$G$22)*Kalender!E30/SUM(Kalender!$E$5:$E$370),0))*Szenarien!$D$9,0)</f>
        <v>4.94</v>
      </c>
      <c r="E396" s="13" t="n">
        <f aca="false">IFERROR(MIN(C396,Eingaben!$B$17)*Eingaben!$B$16,0)</f>
        <v>2.793</v>
      </c>
      <c r="F396" s="13" t="n">
        <f aca="false">IFERROR(E396*Eingaben!$B$15,0)</f>
        <v>2.5137</v>
      </c>
      <c r="G396" s="13" t="n">
        <f aca="false">IFERROR(IF(Kalender!A30="",0,J395*(1-Eingaben!$B$20)),0)</f>
        <v>1.709316</v>
      </c>
      <c r="H396" s="13" t="n">
        <f aca="false">MIN(G396,D396)</f>
        <v>1.709316</v>
      </c>
      <c r="I396" s="13" t="n">
        <f aca="false">IFERROR(MIN(F396*Eingaben!$B$19,MAX(0,D396-H396)),0)</f>
        <v>1.75959</v>
      </c>
      <c r="J396" s="13" t="n">
        <f aca="false">IFERROR(MIN(Eingaben!$B$18,MAX(0,F396-I396)),0)</f>
        <v>0.75411</v>
      </c>
      <c r="K396" s="13" t="n">
        <f aca="false">H396+I396</f>
        <v>3.468906</v>
      </c>
      <c r="L396" s="13" t="n">
        <f aca="false">MAX(0,D396-K396)</f>
        <v>1.471094</v>
      </c>
      <c r="M396" s="13" t="n">
        <f aca="false">MAX(0,F396-I396-J396)</f>
        <v>0</v>
      </c>
      <c r="N396" s="13" t="n">
        <f aca="false">IF(Kalender!A30="",0,J395-H396)</f>
        <v>0.0348840000000001</v>
      </c>
    </row>
    <row r="397" customFormat="false" ht="16.4" hidden="false" customHeight="false" outlineLevel="0" collapsed="false">
      <c r="A397" s="13" t="str">
        <f aca="false">""</f>
        <v/>
      </c>
      <c r="B397" s="13" t="n">
        <f aca="false">27</f>
        <v>27</v>
      </c>
      <c r="C397" s="13" t="n">
        <f aca="false">IF(Szenarien!$H$9="OK",(IFERROR(SUMIF(Nutzungsprofile!$B$6:$B$11,"Schulbetrieb",Nutzungsprofile!$G$6:$G$11)*Kalender!C31/SUM(Kalender!$C$5:$C$370),0)+IFERROR(SUMIF(Nutzungsprofile!$B$6:$B$11,"Halle",Nutzungsprofile!$G$6:$G$11)*Kalender!D31/SUM(Kalender!$D$5:$D$370),0)+IFERROR(SUMIF(Nutzungsprofile!$B$6:$B$11,"Individuell",Nutzungsprofile!$G$6:$G$11)*Kalender!E31/SUM(Kalender!$E$5:$E$370),0))*Szenarien!$E$9,0)</f>
        <v>2.94</v>
      </c>
      <c r="D397" s="13" t="n">
        <f aca="false">IF(Szenarien!$H$9="OK",(IFERROR(SUMIF(Nutzungsprofile!$B$17:$B$22,"Schulbetrieb",Nutzungsprofile!$G$17:$G$22)*Kalender!C31/SUM(Kalender!$C$5:$C$370),0)+IFERROR(SUMIF(Nutzungsprofile!$B$17:$B$22,"Halle",Nutzungsprofile!$G$17:$G$22)*Kalender!D31/SUM(Kalender!$D$5:$D$370),0)+IFERROR(SUMIF(Nutzungsprofile!$B$17:$B$22,"Individuell",Nutzungsprofile!$G$17:$G$22)*Kalender!E31/SUM(Kalender!$E$5:$E$370),0))*Szenarien!$D$9,0)</f>
        <v>4.94</v>
      </c>
      <c r="E397" s="13" t="n">
        <f aca="false">IFERROR(MIN(C397,Eingaben!$B$17)*Eingaben!$B$16,0)</f>
        <v>2.793</v>
      </c>
      <c r="F397" s="13" t="n">
        <f aca="false">IFERROR(E397*Eingaben!$B$15,0)</f>
        <v>2.5137</v>
      </c>
      <c r="G397" s="13" t="n">
        <f aca="false">IFERROR(IF(Kalender!A31="",0,J396*(1-Eingaben!$B$20)),0)</f>
        <v>0.7390278</v>
      </c>
      <c r="H397" s="13" t="n">
        <f aca="false">MIN(G397,D397)</f>
        <v>0.7390278</v>
      </c>
      <c r="I397" s="13" t="n">
        <f aca="false">IFERROR(MIN(F397*Eingaben!$B$19,MAX(0,D397-H397)),0)</f>
        <v>1.75959</v>
      </c>
      <c r="J397" s="13" t="n">
        <f aca="false">IFERROR(MIN(Eingaben!$B$18,MAX(0,F397-I397)),0)</f>
        <v>0.75411</v>
      </c>
      <c r="K397" s="13" t="n">
        <f aca="false">H397+I397</f>
        <v>2.4986178</v>
      </c>
      <c r="L397" s="13" t="n">
        <f aca="false">MAX(0,D397-K397)</f>
        <v>2.4413822</v>
      </c>
      <c r="M397" s="13" t="n">
        <f aca="false">MAX(0,F397-I397-J397)</f>
        <v>0</v>
      </c>
      <c r="N397" s="13" t="n">
        <f aca="false">IF(Kalender!A31="",0,J396-H397)</f>
        <v>0.0150822</v>
      </c>
    </row>
    <row r="398" customFormat="false" ht="16.4" hidden="false" customHeight="false" outlineLevel="0" collapsed="false">
      <c r="A398" s="13" t="str">
        <f aca="false">""</f>
        <v/>
      </c>
      <c r="B398" s="13" t="n">
        <f aca="false">28</f>
        <v>28</v>
      </c>
      <c r="C398" s="13" t="n">
        <f aca="false">IF(Szenarien!$H$9="OK",(IFERROR(SUMIF(Nutzungsprofile!$B$6:$B$11,"Schulbetrieb",Nutzungsprofile!$G$6:$G$11)*Kalender!C32/SUM(Kalender!$C$5:$C$370),0)+IFERROR(SUMIF(Nutzungsprofile!$B$6:$B$11,"Halle",Nutzungsprofile!$G$6:$G$11)*Kalender!D32/SUM(Kalender!$D$5:$D$370),0)+IFERROR(SUMIF(Nutzungsprofile!$B$6:$B$11,"Individuell",Nutzungsprofile!$G$6:$G$11)*Kalender!E32/SUM(Kalender!$E$5:$E$370),0))*Szenarien!$E$9,0)</f>
        <v>2.94</v>
      </c>
      <c r="D398" s="13" t="n">
        <f aca="false">IF(Szenarien!$H$9="OK",(IFERROR(SUMIF(Nutzungsprofile!$B$17:$B$22,"Schulbetrieb",Nutzungsprofile!$G$17:$G$22)*Kalender!C32/SUM(Kalender!$C$5:$C$370),0)+IFERROR(SUMIF(Nutzungsprofile!$B$17:$B$22,"Halle",Nutzungsprofile!$G$17:$G$22)*Kalender!D32/SUM(Kalender!$D$5:$D$370),0)+IFERROR(SUMIF(Nutzungsprofile!$B$17:$B$22,"Individuell",Nutzungsprofile!$G$17:$G$22)*Kalender!E32/SUM(Kalender!$E$5:$E$370),0))*Szenarien!$D$9,0)</f>
        <v>4.94</v>
      </c>
      <c r="E398" s="13" t="n">
        <f aca="false">IFERROR(MIN(C398,Eingaben!$B$17)*Eingaben!$B$16,0)</f>
        <v>2.793</v>
      </c>
      <c r="F398" s="13" t="n">
        <f aca="false">IFERROR(E398*Eingaben!$B$15,0)</f>
        <v>2.5137</v>
      </c>
      <c r="G398" s="13" t="n">
        <f aca="false">IFERROR(IF(Kalender!A32="",0,J397*(1-Eingaben!$B$20)),0)</f>
        <v>0.7390278</v>
      </c>
      <c r="H398" s="13" t="n">
        <f aca="false">MIN(G398,D398)</f>
        <v>0.7390278</v>
      </c>
      <c r="I398" s="13" t="n">
        <f aca="false">IFERROR(MIN(F398*Eingaben!$B$19,MAX(0,D398-H398)),0)</f>
        <v>1.75959</v>
      </c>
      <c r="J398" s="13" t="n">
        <f aca="false">IFERROR(MIN(Eingaben!$B$18,MAX(0,F398-I398)),0)</f>
        <v>0.75411</v>
      </c>
      <c r="K398" s="13" t="n">
        <f aca="false">H398+I398</f>
        <v>2.4986178</v>
      </c>
      <c r="L398" s="13" t="n">
        <f aca="false">MAX(0,D398-K398)</f>
        <v>2.4413822</v>
      </c>
      <c r="M398" s="13" t="n">
        <f aca="false">MAX(0,F398-I398-J398)</f>
        <v>0</v>
      </c>
      <c r="N398" s="13" t="n">
        <f aca="false">IF(Kalender!A32="",0,J397-H398)</f>
        <v>0.0150822</v>
      </c>
    </row>
    <row r="399" customFormat="false" ht="16.4" hidden="false" customHeight="false" outlineLevel="0" collapsed="false">
      <c r="A399" s="13" t="str">
        <f aca="false">""</f>
        <v/>
      </c>
      <c r="B399" s="13" t="n">
        <f aca="false">29</f>
        <v>29</v>
      </c>
      <c r="C399" s="13" t="n">
        <f aca="false">IF(Szenarien!$H$9="OK",(IFERROR(SUMIF(Nutzungsprofile!$B$6:$B$11,"Schulbetrieb",Nutzungsprofile!$G$6:$G$11)*Kalender!C33/SUM(Kalender!$C$5:$C$370),0)+IFERROR(SUMIF(Nutzungsprofile!$B$6:$B$11,"Halle",Nutzungsprofile!$G$6:$G$11)*Kalender!D33/SUM(Kalender!$D$5:$D$370),0)+IFERROR(SUMIF(Nutzungsprofile!$B$6:$B$11,"Individuell",Nutzungsprofile!$G$6:$G$11)*Kalender!E33/SUM(Kalender!$E$5:$E$370),0))*Szenarien!$E$9,0)</f>
        <v>2.94</v>
      </c>
      <c r="D399" s="13" t="n">
        <f aca="false">IF(Szenarien!$H$9="OK",(IFERROR(SUMIF(Nutzungsprofile!$B$17:$B$22,"Schulbetrieb",Nutzungsprofile!$G$17:$G$22)*Kalender!C33/SUM(Kalender!$C$5:$C$370),0)+IFERROR(SUMIF(Nutzungsprofile!$B$17:$B$22,"Halle",Nutzungsprofile!$G$17:$G$22)*Kalender!D33/SUM(Kalender!$D$5:$D$370),0)+IFERROR(SUMIF(Nutzungsprofile!$B$17:$B$22,"Individuell",Nutzungsprofile!$G$17:$G$22)*Kalender!E33/SUM(Kalender!$E$5:$E$370),0))*Szenarien!$D$9,0)</f>
        <v>4.94</v>
      </c>
      <c r="E399" s="13" t="n">
        <f aca="false">IFERROR(MIN(C399,Eingaben!$B$17)*Eingaben!$B$16,0)</f>
        <v>2.793</v>
      </c>
      <c r="F399" s="13" t="n">
        <f aca="false">IFERROR(E399*Eingaben!$B$15,0)</f>
        <v>2.5137</v>
      </c>
      <c r="G399" s="13" t="n">
        <f aca="false">IFERROR(IF(Kalender!A33="",0,J398*(1-Eingaben!$B$20)),0)</f>
        <v>0.7390278</v>
      </c>
      <c r="H399" s="13" t="n">
        <f aca="false">MIN(G399,D399)</f>
        <v>0.7390278</v>
      </c>
      <c r="I399" s="13" t="n">
        <f aca="false">IFERROR(MIN(F399*Eingaben!$B$19,MAX(0,D399-H399)),0)</f>
        <v>1.75959</v>
      </c>
      <c r="J399" s="13" t="n">
        <f aca="false">IFERROR(MIN(Eingaben!$B$18,MAX(0,F399-I399)),0)</f>
        <v>0.75411</v>
      </c>
      <c r="K399" s="13" t="n">
        <f aca="false">H399+I399</f>
        <v>2.4986178</v>
      </c>
      <c r="L399" s="13" t="n">
        <f aca="false">MAX(0,D399-K399)</f>
        <v>2.4413822</v>
      </c>
      <c r="M399" s="13" t="n">
        <f aca="false">MAX(0,F399-I399-J399)</f>
        <v>0</v>
      </c>
      <c r="N399" s="13" t="n">
        <f aca="false">IF(Kalender!A33="",0,J398-H399)</f>
        <v>0.0150822</v>
      </c>
    </row>
    <row r="400" customFormat="false" ht="16.4" hidden="false" customHeight="false" outlineLevel="0" collapsed="false">
      <c r="A400" s="13" t="str">
        <f aca="false">""</f>
        <v/>
      </c>
      <c r="B400" s="13" t="n">
        <f aca="false">30</f>
        <v>30</v>
      </c>
      <c r="C400" s="13" t="n">
        <f aca="false">IF(Szenarien!$H$9="OK",(IFERROR(SUMIF(Nutzungsprofile!$B$6:$B$11,"Schulbetrieb",Nutzungsprofile!$G$6:$G$11)*Kalender!C34/SUM(Kalender!$C$5:$C$370),0)+IFERROR(SUMIF(Nutzungsprofile!$B$6:$B$11,"Halle",Nutzungsprofile!$G$6:$G$11)*Kalender!D34/SUM(Kalender!$D$5:$D$370),0)+IFERROR(SUMIF(Nutzungsprofile!$B$6:$B$11,"Individuell",Nutzungsprofile!$G$6:$G$11)*Kalender!E34/SUM(Kalender!$E$5:$E$370),0))*Szenarien!$E$9,0)</f>
        <v>2.94</v>
      </c>
      <c r="D400" s="13" t="n">
        <f aca="false">IF(Szenarien!$H$9="OK",(IFERROR(SUMIF(Nutzungsprofile!$B$17:$B$22,"Schulbetrieb",Nutzungsprofile!$G$17:$G$22)*Kalender!C34/SUM(Kalender!$C$5:$C$370),0)+IFERROR(SUMIF(Nutzungsprofile!$B$17:$B$22,"Halle",Nutzungsprofile!$G$17:$G$22)*Kalender!D34/SUM(Kalender!$D$5:$D$370),0)+IFERROR(SUMIF(Nutzungsprofile!$B$17:$B$22,"Individuell",Nutzungsprofile!$G$17:$G$22)*Kalender!E34/SUM(Kalender!$E$5:$E$370),0))*Szenarien!$D$9,0)</f>
        <v>4.94</v>
      </c>
      <c r="E400" s="13" t="n">
        <f aca="false">IFERROR(MIN(C400,Eingaben!$B$17)*Eingaben!$B$16,0)</f>
        <v>2.793</v>
      </c>
      <c r="F400" s="13" t="n">
        <f aca="false">IFERROR(E400*Eingaben!$B$15,0)</f>
        <v>2.5137</v>
      </c>
      <c r="G400" s="13" t="n">
        <f aca="false">IFERROR(IF(Kalender!A34="",0,J399*(1-Eingaben!$B$20)),0)</f>
        <v>0.7390278</v>
      </c>
      <c r="H400" s="13" t="n">
        <f aca="false">MIN(G400,D400)</f>
        <v>0.7390278</v>
      </c>
      <c r="I400" s="13" t="n">
        <f aca="false">IFERROR(MIN(F400*Eingaben!$B$19,MAX(0,D400-H400)),0)</f>
        <v>1.75959</v>
      </c>
      <c r="J400" s="13" t="n">
        <f aca="false">IFERROR(MIN(Eingaben!$B$18,MAX(0,F400-I400)),0)</f>
        <v>0.75411</v>
      </c>
      <c r="K400" s="13" t="n">
        <f aca="false">H400+I400</f>
        <v>2.4986178</v>
      </c>
      <c r="L400" s="13" t="n">
        <f aca="false">MAX(0,D400-K400)</f>
        <v>2.4413822</v>
      </c>
      <c r="M400" s="13" t="n">
        <f aca="false">MAX(0,F400-I400-J400)</f>
        <v>0</v>
      </c>
      <c r="N400" s="13" t="n">
        <f aca="false">IF(Kalender!A34="",0,J399-H400)</f>
        <v>0.0150822</v>
      </c>
    </row>
    <row r="401" customFormat="false" ht="16.4" hidden="false" customHeight="false" outlineLevel="0" collapsed="false">
      <c r="A401" s="13" t="str">
        <f aca="false">""</f>
        <v/>
      </c>
      <c r="B401" s="13" t="n">
        <f aca="false">31</f>
        <v>31</v>
      </c>
      <c r="C401" s="13" t="n">
        <f aca="false">IF(Szenarien!$H$9="OK",(IFERROR(SUMIF(Nutzungsprofile!$B$6:$B$11,"Schulbetrieb",Nutzungsprofile!$G$6:$G$11)*Kalender!C35/SUM(Kalender!$C$5:$C$370),0)+IFERROR(SUMIF(Nutzungsprofile!$B$6:$B$11,"Halle",Nutzungsprofile!$G$6:$G$11)*Kalender!D35/SUM(Kalender!$D$5:$D$370),0)+IFERROR(SUMIF(Nutzungsprofile!$B$6:$B$11,"Individuell",Nutzungsprofile!$G$6:$G$11)*Kalender!E35/SUM(Kalender!$E$5:$E$370),0))*Szenarien!$E$9,0)</f>
        <v>2.04</v>
      </c>
      <c r="D401" s="13" t="n">
        <f aca="false">IF(Szenarien!$H$9="OK",(IFERROR(SUMIF(Nutzungsprofile!$B$17:$B$22,"Schulbetrieb",Nutzungsprofile!$G$17:$G$22)*Kalender!C35/SUM(Kalender!$C$5:$C$370),0)+IFERROR(SUMIF(Nutzungsprofile!$B$17:$B$22,"Halle",Nutzungsprofile!$G$17:$G$22)*Kalender!D35/SUM(Kalender!$D$5:$D$370),0)+IFERROR(SUMIF(Nutzungsprofile!$B$17:$B$22,"Individuell",Nutzungsprofile!$G$17:$G$22)*Kalender!E35/SUM(Kalender!$E$5:$E$370),0))*Szenarien!$D$9,0)</f>
        <v>0.89</v>
      </c>
      <c r="E401" s="13" t="n">
        <f aca="false">IFERROR(MIN(C401,Eingaben!$B$17)*Eingaben!$B$16,0)</f>
        <v>1.938</v>
      </c>
      <c r="F401" s="13" t="n">
        <f aca="false">IFERROR(E401*Eingaben!$B$15,0)</f>
        <v>1.7442</v>
      </c>
      <c r="G401" s="13" t="n">
        <f aca="false">IFERROR(IF(Kalender!A35="",0,J400*(1-Eingaben!$B$20)),0)</f>
        <v>0.7390278</v>
      </c>
      <c r="H401" s="13" t="n">
        <f aca="false">MIN(G401,D401)</f>
        <v>0.7390278</v>
      </c>
      <c r="I401" s="13" t="n">
        <f aca="false">IFERROR(MIN(F401*Eingaben!$B$19,MAX(0,D401-H401)),0)</f>
        <v>0.1509722</v>
      </c>
      <c r="J401" s="13" t="n">
        <f aca="false">IFERROR(MIN(Eingaben!$B$18,MAX(0,F401-I401)),0)</f>
        <v>1.5932278</v>
      </c>
      <c r="K401" s="13" t="n">
        <f aca="false">H401+I401</f>
        <v>0.89</v>
      </c>
      <c r="L401" s="13" t="n">
        <f aca="false">MAX(0,D401-K401)</f>
        <v>0</v>
      </c>
      <c r="M401" s="13" t="n">
        <f aca="false">MAX(0,F401-I401-J401)</f>
        <v>0</v>
      </c>
      <c r="N401" s="13" t="n">
        <f aca="false">IF(Kalender!A35="",0,J400-H401)</f>
        <v>0.0150822</v>
      </c>
    </row>
    <row r="402" customFormat="false" ht="16.4" hidden="false" customHeight="false" outlineLevel="0" collapsed="false">
      <c r="A402" s="13" t="str">
        <f aca="false">""</f>
        <v/>
      </c>
      <c r="B402" s="13" t="n">
        <f aca="false">32</f>
        <v>32</v>
      </c>
      <c r="C402" s="13" t="n">
        <f aca="false">IF(Szenarien!$H$9="OK",(IFERROR(SUMIF(Nutzungsprofile!$B$6:$B$11,"Schulbetrieb",Nutzungsprofile!$G$6:$G$11)*Kalender!C36/SUM(Kalender!$C$5:$C$370),0)+IFERROR(SUMIF(Nutzungsprofile!$B$6:$B$11,"Halle",Nutzungsprofile!$G$6:$G$11)*Kalender!D36/SUM(Kalender!$D$5:$D$370),0)+IFERROR(SUMIF(Nutzungsprofile!$B$6:$B$11,"Individuell",Nutzungsprofile!$G$6:$G$11)*Kalender!E36/SUM(Kalender!$E$5:$E$370),0))*Szenarien!$E$9,0)</f>
        <v>2.04</v>
      </c>
      <c r="D402" s="13" t="n">
        <f aca="false">IF(Szenarien!$H$9="OK",(IFERROR(SUMIF(Nutzungsprofile!$B$17:$B$22,"Schulbetrieb",Nutzungsprofile!$G$17:$G$22)*Kalender!C36/SUM(Kalender!$C$5:$C$370),0)+IFERROR(SUMIF(Nutzungsprofile!$B$17:$B$22,"Halle",Nutzungsprofile!$G$17:$G$22)*Kalender!D36/SUM(Kalender!$D$5:$D$370),0)+IFERROR(SUMIF(Nutzungsprofile!$B$17:$B$22,"Individuell",Nutzungsprofile!$G$17:$G$22)*Kalender!E36/SUM(Kalender!$E$5:$E$370),0))*Szenarien!$D$9,0)</f>
        <v>0.89</v>
      </c>
      <c r="E402" s="13" t="n">
        <f aca="false">IFERROR(MIN(C402,Eingaben!$B$17)*Eingaben!$B$16,0)</f>
        <v>1.938</v>
      </c>
      <c r="F402" s="13" t="n">
        <f aca="false">IFERROR(E402*Eingaben!$B$15,0)</f>
        <v>1.7442</v>
      </c>
      <c r="G402" s="13" t="n">
        <f aca="false">IFERROR(IF(Kalender!A36="",0,J401*(1-Eingaben!$B$20)),0)</f>
        <v>1.561363244</v>
      </c>
      <c r="H402" s="13" t="n">
        <f aca="false">MIN(G402,D402)</f>
        <v>0.89</v>
      </c>
      <c r="I402" s="13" t="n">
        <f aca="false">IFERROR(MIN(F402*Eingaben!$B$19,MAX(0,D402-H402)),0)</f>
        <v>0</v>
      </c>
      <c r="J402" s="13" t="n">
        <f aca="false">IFERROR(MIN(Eingaben!$B$18,MAX(0,F402-I402)),0)</f>
        <v>1.7442</v>
      </c>
      <c r="K402" s="13" t="n">
        <f aca="false">H402+I402</f>
        <v>0.89</v>
      </c>
      <c r="L402" s="13" t="n">
        <f aca="false">MAX(0,D402-K402)</f>
        <v>0</v>
      </c>
      <c r="M402" s="13" t="n">
        <f aca="false">MAX(0,F402-I402-J402)</f>
        <v>0</v>
      </c>
      <c r="N402" s="13" t="n">
        <f aca="false">IF(Kalender!A36="",0,J401-H402)</f>
        <v>0.7032278</v>
      </c>
    </row>
    <row r="403" customFormat="false" ht="16.4" hidden="false" customHeight="false" outlineLevel="0" collapsed="false">
      <c r="A403" s="13" t="str">
        <f aca="false">""</f>
        <v/>
      </c>
      <c r="B403" s="13" t="n">
        <f aca="false">33</f>
        <v>33</v>
      </c>
      <c r="C403" s="13" t="n">
        <f aca="false">IF(Szenarien!$H$9="OK",(IFERROR(SUMIF(Nutzungsprofile!$B$6:$B$11,"Schulbetrieb",Nutzungsprofile!$G$6:$G$11)*Kalender!C37/SUM(Kalender!$C$5:$C$370),0)+IFERROR(SUMIF(Nutzungsprofile!$B$6:$B$11,"Halle",Nutzungsprofile!$G$6:$G$11)*Kalender!D37/SUM(Kalender!$D$5:$D$370),0)+IFERROR(SUMIF(Nutzungsprofile!$B$6:$B$11,"Individuell",Nutzungsprofile!$G$6:$G$11)*Kalender!E37/SUM(Kalender!$E$5:$E$370),0))*Szenarien!$E$9,0)</f>
        <v>2.94</v>
      </c>
      <c r="D403" s="13" t="n">
        <f aca="false">IF(Szenarien!$H$9="OK",(IFERROR(SUMIF(Nutzungsprofile!$B$17:$B$22,"Schulbetrieb",Nutzungsprofile!$G$17:$G$22)*Kalender!C37/SUM(Kalender!$C$5:$C$370),0)+IFERROR(SUMIF(Nutzungsprofile!$B$17:$B$22,"Halle",Nutzungsprofile!$G$17:$G$22)*Kalender!D37/SUM(Kalender!$D$5:$D$370),0)+IFERROR(SUMIF(Nutzungsprofile!$B$17:$B$22,"Individuell",Nutzungsprofile!$G$17:$G$22)*Kalender!E37/SUM(Kalender!$E$5:$E$370),0))*Szenarien!$D$9,0)</f>
        <v>4.94</v>
      </c>
      <c r="E403" s="13" t="n">
        <f aca="false">IFERROR(MIN(C403,Eingaben!$B$17)*Eingaben!$B$16,0)</f>
        <v>2.793</v>
      </c>
      <c r="F403" s="13" t="n">
        <f aca="false">IFERROR(E403*Eingaben!$B$15,0)</f>
        <v>2.5137</v>
      </c>
      <c r="G403" s="13" t="n">
        <f aca="false">IFERROR(IF(Kalender!A37="",0,J402*(1-Eingaben!$B$20)),0)</f>
        <v>1.709316</v>
      </c>
      <c r="H403" s="13" t="n">
        <f aca="false">MIN(G403,D403)</f>
        <v>1.709316</v>
      </c>
      <c r="I403" s="13" t="n">
        <f aca="false">IFERROR(MIN(F403*Eingaben!$B$19,MAX(0,D403-H403)),0)</f>
        <v>1.75959</v>
      </c>
      <c r="J403" s="13" t="n">
        <f aca="false">IFERROR(MIN(Eingaben!$B$18,MAX(0,F403-I403)),0)</f>
        <v>0.75411</v>
      </c>
      <c r="K403" s="13" t="n">
        <f aca="false">H403+I403</f>
        <v>3.468906</v>
      </c>
      <c r="L403" s="13" t="n">
        <f aca="false">MAX(0,D403-K403)</f>
        <v>1.471094</v>
      </c>
      <c r="M403" s="13" t="n">
        <f aca="false">MAX(0,F403-I403-J403)</f>
        <v>0</v>
      </c>
      <c r="N403" s="13" t="n">
        <f aca="false">IF(Kalender!A37="",0,J402-H403)</f>
        <v>0.0348840000000001</v>
      </c>
    </row>
    <row r="404" customFormat="false" ht="16.4" hidden="false" customHeight="false" outlineLevel="0" collapsed="false">
      <c r="A404" s="13" t="str">
        <f aca="false">""</f>
        <v/>
      </c>
      <c r="B404" s="13" t="n">
        <f aca="false">34</f>
        <v>34</v>
      </c>
      <c r="C404" s="13" t="n">
        <f aca="false">IF(Szenarien!$H$9="OK",(IFERROR(SUMIF(Nutzungsprofile!$B$6:$B$11,"Schulbetrieb",Nutzungsprofile!$G$6:$G$11)*Kalender!C38/SUM(Kalender!$C$5:$C$370),0)+IFERROR(SUMIF(Nutzungsprofile!$B$6:$B$11,"Halle",Nutzungsprofile!$G$6:$G$11)*Kalender!D38/SUM(Kalender!$D$5:$D$370),0)+IFERROR(SUMIF(Nutzungsprofile!$B$6:$B$11,"Individuell",Nutzungsprofile!$G$6:$G$11)*Kalender!E38/SUM(Kalender!$E$5:$E$370),0))*Szenarien!$E$9,0)</f>
        <v>2.94</v>
      </c>
      <c r="D404" s="13" t="n">
        <f aca="false">IF(Szenarien!$H$9="OK",(IFERROR(SUMIF(Nutzungsprofile!$B$17:$B$22,"Schulbetrieb",Nutzungsprofile!$G$17:$G$22)*Kalender!C38/SUM(Kalender!$C$5:$C$370),0)+IFERROR(SUMIF(Nutzungsprofile!$B$17:$B$22,"Halle",Nutzungsprofile!$G$17:$G$22)*Kalender!D38/SUM(Kalender!$D$5:$D$370),0)+IFERROR(SUMIF(Nutzungsprofile!$B$17:$B$22,"Individuell",Nutzungsprofile!$G$17:$G$22)*Kalender!E38/SUM(Kalender!$E$5:$E$370),0))*Szenarien!$D$9,0)</f>
        <v>4.94</v>
      </c>
      <c r="E404" s="13" t="n">
        <f aca="false">IFERROR(MIN(C404,Eingaben!$B$17)*Eingaben!$B$16,0)</f>
        <v>2.793</v>
      </c>
      <c r="F404" s="13" t="n">
        <f aca="false">IFERROR(E404*Eingaben!$B$15,0)</f>
        <v>2.5137</v>
      </c>
      <c r="G404" s="13" t="n">
        <f aca="false">IFERROR(IF(Kalender!A38="",0,J403*(1-Eingaben!$B$20)),0)</f>
        <v>0.7390278</v>
      </c>
      <c r="H404" s="13" t="n">
        <f aca="false">MIN(G404,D404)</f>
        <v>0.7390278</v>
      </c>
      <c r="I404" s="13" t="n">
        <f aca="false">IFERROR(MIN(F404*Eingaben!$B$19,MAX(0,D404-H404)),0)</f>
        <v>1.75959</v>
      </c>
      <c r="J404" s="13" t="n">
        <f aca="false">IFERROR(MIN(Eingaben!$B$18,MAX(0,F404-I404)),0)</f>
        <v>0.75411</v>
      </c>
      <c r="K404" s="13" t="n">
        <f aca="false">H404+I404</f>
        <v>2.4986178</v>
      </c>
      <c r="L404" s="13" t="n">
        <f aca="false">MAX(0,D404-K404)</f>
        <v>2.4413822</v>
      </c>
      <c r="M404" s="13" t="n">
        <f aca="false">MAX(0,F404-I404-J404)</f>
        <v>0</v>
      </c>
      <c r="N404" s="13" t="n">
        <f aca="false">IF(Kalender!A38="",0,J403-H404)</f>
        <v>0.0150822</v>
      </c>
    </row>
    <row r="405" customFormat="false" ht="16.4" hidden="false" customHeight="false" outlineLevel="0" collapsed="false">
      <c r="A405" s="13" t="str">
        <f aca="false">""</f>
        <v/>
      </c>
      <c r="B405" s="13" t="n">
        <f aca="false">35</f>
        <v>35</v>
      </c>
      <c r="C405" s="13" t="n">
        <f aca="false">IF(Szenarien!$H$9="OK",(IFERROR(SUMIF(Nutzungsprofile!$B$6:$B$11,"Schulbetrieb",Nutzungsprofile!$G$6:$G$11)*Kalender!C39/SUM(Kalender!$C$5:$C$370),0)+IFERROR(SUMIF(Nutzungsprofile!$B$6:$B$11,"Halle",Nutzungsprofile!$G$6:$G$11)*Kalender!D39/SUM(Kalender!$D$5:$D$370),0)+IFERROR(SUMIF(Nutzungsprofile!$B$6:$B$11,"Individuell",Nutzungsprofile!$G$6:$G$11)*Kalender!E39/SUM(Kalender!$E$5:$E$370),0))*Szenarien!$E$9,0)</f>
        <v>2.94</v>
      </c>
      <c r="D405" s="13" t="n">
        <f aca="false">IF(Szenarien!$H$9="OK",(IFERROR(SUMIF(Nutzungsprofile!$B$17:$B$22,"Schulbetrieb",Nutzungsprofile!$G$17:$G$22)*Kalender!C39/SUM(Kalender!$C$5:$C$370),0)+IFERROR(SUMIF(Nutzungsprofile!$B$17:$B$22,"Halle",Nutzungsprofile!$G$17:$G$22)*Kalender!D39/SUM(Kalender!$D$5:$D$370),0)+IFERROR(SUMIF(Nutzungsprofile!$B$17:$B$22,"Individuell",Nutzungsprofile!$G$17:$G$22)*Kalender!E39/SUM(Kalender!$E$5:$E$370),0))*Szenarien!$D$9,0)</f>
        <v>4.94</v>
      </c>
      <c r="E405" s="13" t="n">
        <f aca="false">IFERROR(MIN(C405,Eingaben!$B$17)*Eingaben!$B$16,0)</f>
        <v>2.793</v>
      </c>
      <c r="F405" s="13" t="n">
        <f aca="false">IFERROR(E405*Eingaben!$B$15,0)</f>
        <v>2.5137</v>
      </c>
      <c r="G405" s="13" t="n">
        <f aca="false">IFERROR(IF(Kalender!A39="",0,J404*(1-Eingaben!$B$20)),0)</f>
        <v>0.7390278</v>
      </c>
      <c r="H405" s="13" t="n">
        <f aca="false">MIN(G405,D405)</f>
        <v>0.7390278</v>
      </c>
      <c r="I405" s="13" t="n">
        <f aca="false">IFERROR(MIN(F405*Eingaben!$B$19,MAX(0,D405-H405)),0)</f>
        <v>1.75959</v>
      </c>
      <c r="J405" s="13" t="n">
        <f aca="false">IFERROR(MIN(Eingaben!$B$18,MAX(0,F405-I405)),0)</f>
        <v>0.75411</v>
      </c>
      <c r="K405" s="13" t="n">
        <f aca="false">H405+I405</f>
        <v>2.4986178</v>
      </c>
      <c r="L405" s="13" t="n">
        <f aca="false">MAX(0,D405-K405)</f>
        <v>2.4413822</v>
      </c>
      <c r="M405" s="13" t="n">
        <f aca="false">MAX(0,F405-I405-J405)</f>
        <v>0</v>
      </c>
      <c r="N405" s="13" t="n">
        <f aca="false">IF(Kalender!A39="",0,J404-H405)</f>
        <v>0.0150822</v>
      </c>
    </row>
    <row r="406" customFormat="false" ht="16.4" hidden="false" customHeight="false" outlineLevel="0" collapsed="false">
      <c r="A406" s="13" t="str">
        <f aca="false">""</f>
        <v/>
      </c>
      <c r="B406" s="13" t="n">
        <f aca="false">36</f>
        <v>36</v>
      </c>
      <c r="C406" s="13" t="n">
        <f aca="false">IF(Szenarien!$H$9="OK",(IFERROR(SUMIF(Nutzungsprofile!$B$6:$B$11,"Schulbetrieb",Nutzungsprofile!$G$6:$G$11)*Kalender!C40/SUM(Kalender!$C$5:$C$370),0)+IFERROR(SUMIF(Nutzungsprofile!$B$6:$B$11,"Halle",Nutzungsprofile!$G$6:$G$11)*Kalender!D40/SUM(Kalender!$D$5:$D$370),0)+IFERROR(SUMIF(Nutzungsprofile!$B$6:$B$11,"Individuell",Nutzungsprofile!$G$6:$G$11)*Kalender!E40/SUM(Kalender!$E$5:$E$370),0))*Szenarien!$E$9,0)</f>
        <v>2.94</v>
      </c>
      <c r="D406" s="13" t="n">
        <f aca="false">IF(Szenarien!$H$9="OK",(IFERROR(SUMIF(Nutzungsprofile!$B$17:$B$22,"Schulbetrieb",Nutzungsprofile!$G$17:$G$22)*Kalender!C40/SUM(Kalender!$C$5:$C$370),0)+IFERROR(SUMIF(Nutzungsprofile!$B$17:$B$22,"Halle",Nutzungsprofile!$G$17:$G$22)*Kalender!D40/SUM(Kalender!$D$5:$D$370),0)+IFERROR(SUMIF(Nutzungsprofile!$B$17:$B$22,"Individuell",Nutzungsprofile!$G$17:$G$22)*Kalender!E40/SUM(Kalender!$E$5:$E$370),0))*Szenarien!$D$9,0)</f>
        <v>4.94</v>
      </c>
      <c r="E406" s="13" t="n">
        <f aca="false">IFERROR(MIN(C406,Eingaben!$B$17)*Eingaben!$B$16,0)</f>
        <v>2.793</v>
      </c>
      <c r="F406" s="13" t="n">
        <f aca="false">IFERROR(E406*Eingaben!$B$15,0)</f>
        <v>2.5137</v>
      </c>
      <c r="G406" s="13" t="n">
        <f aca="false">IFERROR(IF(Kalender!A40="",0,J405*(1-Eingaben!$B$20)),0)</f>
        <v>0.7390278</v>
      </c>
      <c r="H406" s="13" t="n">
        <f aca="false">MIN(G406,D406)</f>
        <v>0.7390278</v>
      </c>
      <c r="I406" s="13" t="n">
        <f aca="false">IFERROR(MIN(F406*Eingaben!$B$19,MAX(0,D406-H406)),0)</f>
        <v>1.75959</v>
      </c>
      <c r="J406" s="13" t="n">
        <f aca="false">IFERROR(MIN(Eingaben!$B$18,MAX(0,F406-I406)),0)</f>
        <v>0.75411</v>
      </c>
      <c r="K406" s="13" t="n">
        <f aca="false">H406+I406</f>
        <v>2.4986178</v>
      </c>
      <c r="L406" s="13" t="n">
        <f aca="false">MAX(0,D406-K406)</f>
        <v>2.4413822</v>
      </c>
      <c r="M406" s="13" t="n">
        <f aca="false">MAX(0,F406-I406-J406)</f>
        <v>0</v>
      </c>
      <c r="N406" s="13" t="n">
        <f aca="false">IF(Kalender!A40="",0,J405-H406)</f>
        <v>0.0150822</v>
      </c>
    </row>
    <row r="407" customFormat="false" ht="16.4" hidden="false" customHeight="false" outlineLevel="0" collapsed="false">
      <c r="A407" s="13" t="str">
        <f aca="false">""</f>
        <v/>
      </c>
      <c r="B407" s="13" t="n">
        <f aca="false">37</f>
        <v>37</v>
      </c>
      <c r="C407" s="13" t="n">
        <f aca="false">IF(Szenarien!$H$9="OK",(IFERROR(SUMIF(Nutzungsprofile!$B$6:$B$11,"Schulbetrieb",Nutzungsprofile!$G$6:$G$11)*Kalender!C41/SUM(Kalender!$C$5:$C$370),0)+IFERROR(SUMIF(Nutzungsprofile!$B$6:$B$11,"Halle",Nutzungsprofile!$G$6:$G$11)*Kalender!D41/SUM(Kalender!$D$5:$D$370),0)+IFERROR(SUMIF(Nutzungsprofile!$B$6:$B$11,"Individuell",Nutzungsprofile!$G$6:$G$11)*Kalender!E41/SUM(Kalender!$E$5:$E$370),0))*Szenarien!$E$9,0)</f>
        <v>2.94</v>
      </c>
      <c r="D407" s="13" t="n">
        <f aca="false">IF(Szenarien!$H$9="OK",(IFERROR(SUMIF(Nutzungsprofile!$B$17:$B$22,"Schulbetrieb",Nutzungsprofile!$G$17:$G$22)*Kalender!C41/SUM(Kalender!$C$5:$C$370),0)+IFERROR(SUMIF(Nutzungsprofile!$B$17:$B$22,"Halle",Nutzungsprofile!$G$17:$G$22)*Kalender!D41/SUM(Kalender!$D$5:$D$370),0)+IFERROR(SUMIF(Nutzungsprofile!$B$17:$B$22,"Individuell",Nutzungsprofile!$G$17:$G$22)*Kalender!E41/SUM(Kalender!$E$5:$E$370),0))*Szenarien!$D$9,0)</f>
        <v>4.94</v>
      </c>
      <c r="E407" s="13" t="n">
        <f aca="false">IFERROR(MIN(C407,Eingaben!$B$17)*Eingaben!$B$16,0)</f>
        <v>2.793</v>
      </c>
      <c r="F407" s="13" t="n">
        <f aca="false">IFERROR(E407*Eingaben!$B$15,0)</f>
        <v>2.5137</v>
      </c>
      <c r="G407" s="13" t="n">
        <f aca="false">IFERROR(IF(Kalender!A41="",0,J406*(1-Eingaben!$B$20)),0)</f>
        <v>0.7390278</v>
      </c>
      <c r="H407" s="13" t="n">
        <f aca="false">MIN(G407,D407)</f>
        <v>0.7390278</v>
      </c>
      <c r="I407" s="13" t="n">
        <f aca="false">IFERROR(MIN(F407*Eingaben!$B$19,MAX(0,D407-H407)),0)</f>
        <v>1.75959</v>
      </c>
      <c r="J407" s="13" t="n">
        <f aca="false">IFERROR(MIN(Eingaben!$B$18,MAX(0,F407-I407)),0)</f>
        <v>0.75411</v>
      </c>
      <c r="K407" s="13" t="n">
        <f aca="false">H407+I407</f>
        <v>2.4986178</v>
      </c>
      <c r="L407" s="13" t="n">
        <f aca="false">MAX(0,D407-K407)</f>
        <v>2.4413822</v>
      </c>
      <c r="M407" s="13" t="n">
        <f aca="false">MAX(0,F407-I407-J407)</f>
        <v>0</v>
      </c>
      <c r="N407" s="13" t="n">
        <f aca="false">IF(Kalender!A41="",0,J406-H407)</f>
        <v>0.0150822</v>
      </c>
    </row>
    <row r="408" customFormat="false" ht="16.4" hidden="false" customHeight="false" outlineLevel="0" collapsed="false">
      <c r="A408" s="13" t="str">
        <f aca="false">""</f>
        <v/>
      </c>
      <c r="B408" s="13" t="n">
        <f aca="false">38</f>
        <v>38</v>
      </c>
      <c r="C408" s="13" t="n">
        <f aca="false">IF(Szenarien!$H$9="OK",(IFERROR(SUMIF(Nutzungsprofile!$B$6:$B$11,"Schulbetrieb",Nutzungsprofile!$G$6:$G$11)*Kalender!C42/SUM(Kalender!$C$5:$C$370),0)+IFERROR(SUMIF(Nutzungsprofile!$B$6:$B$11,"Halle",Nutzungsprofile!$G$6:$G$11)*Kalender!D42/SUM(Kalender!$D$5:$D$370),0)+IFERROR(SUMIF(Nutzungsprofile!$B$6:$B$11,"Individuell",Nutzungsprofile!$G$6:$G$11)*Kalender!E42/SUM(Kalender!$E$5:$E$370),0))*Szenarien!$E$9,0)</f>
        <v>2.04</v>
      </c>
      <c r="D408" s="13" t="n">
        <f aca="false">IF(Szenarien!$H$9="OK",(IFERROR(SUMIF(Nutzungsprofile!$B$17:$B$22,"Schulbetrieb",Nutzungsprofile!$G$17:$G$22)*Kalender!C42/SUM(Kalender!$C$5:$C$370),0)+IFERROR(SUMIF(Nutzungsprofile!$B$17:$B$22,"Halle",Nutzungsprofile!$G$17:$G$22)*Kalender!D42/SUM(Kalender!$D$5:$D$370),0)+IFERROR(SUMIF(Nutzungsprofile!$B$17:$B$22,"Individuell",Nutzungsprofile!$G$17:$G$22)*Kalender!E42/SUM(Kalender!$E$5:$E$370),0))*Szenarien!$D$9,0)</f>
        <v>0.89</v>
      </c>
      <c r="E408" s="13" t="n">
        <f aca="false">IFERROR(MIN(C408,Eingaben!$B$17)*Eingaben!$B$16,0)</f>
        <v>1.938</v>
      </c>
      <c r="F408" s="13" t="n">
        <f aca="false">IFERROR(E408*Eingaben!$B$15,0)</f>
        <v>1.7442</v>
      </c>
      <c r="G408" s="13" t="n">
        <f aca="false">IFERROR(IF(Kalender!A42="",0,J407*(1-Eingaben!$B$20)),0)</f>
        <v>0.7390278</v>
      </c>
      <c r="H408" s="13" t="n">
        <f aca="false">MIN(G408,D408)</f>
        <v>0.7390278</v>
      </c>
      <c r="I408" s="13" t="n">
        <f aca="false">IFERROR(MIN(F408*Eingaben!$B$19,MAX(0,D408-H408)),0)</f>
        <v>0.1509722</v>
      </c>
      <c r="J408" s="13" t="n">
        <f aca="false">IFERROR(MIN(Eingaben!$B$18,MAX(0,F408-I408)),0)</f>
        <v>1.5932278</v>
      </c>
      <c r="K408" s="13" t="n">
        <f aca="false">H408+I408</f>
        <v>0.89</v>
      </c>
      <c r="L408" s="13" t="n">
        <f aca="false">MAX(0,D408-K408)</f>
        <v>0</v>
      </c>
      <c r="M408" s="13" t="n">
        <f aca="false">MAX(0,F408-I408-J408)</f>
        <v>0</v>
      </c>
      <c r="N408" s="13" t="n">
        <f aca="false">IF(Kalender!A42="",0,J407-H408)</f>
        <v>0.0150822</v>
      </c>
    </row>
    <row r="409" customFormat="false" ht="16.4" hidden="false" customHeight="false" outlineLevel="0" collapsed="false">
      <c r="A409" s="13" t="str">
        <f aca="false">""</f>
        <v/>
      </c>
      <c r="B409" s="13" t="n">
        <f aca="false">39</f>
        <v>39</v>
      </c>
      <c r="C409" s="13" t="n">
        <f aca="false">IF(Szenarien!$H$9="OK",(IFERROR(SUMIF(Nutzungsprofile!$B$6:$B$11,"Schulbetrieb",Nutzungsprofile!$G$6:$G$11)*Kalender!C43/SUM(Kalender!$C$5:$C$370),0)+IFERROR(SUMIF(Nutzungsprofile!$B$6:$B$11,"Halle",Nutzungsprofile!$G$6:$G$11)*Kalender!D43/SUM(Kalender!$D$5:$D$370),0)+IFERROR(SUMIF(Nutzungsprofile!$B$6:$B$11,"Individuell",Nutzungsprofile!$G$6:$G$11)*Kalender!E43/SUM(Kalender!$E$5:$E$370),0))*Szenarien!$E$9,0)</f>
        <v>2.04</v>
      </c>
      <c r="D409" s="13" t="n">
        <f aca="false">IF(Szenarien!$H$9="OK",(IFERROR(SUMIF(Nutzungsprofile!$B$17:$B$22,"Schulbetrieb",Nutzungsprofile!$G$17:$G$22)*Kalender!C43/SUM(Kalender!$C$5:$C$370),0)+IFERROR(SUMIF(Nutzungsprofile!$B$17:$B$22,"Halle",Nutzungsprofile!$G$17:$G$22)*Kalender!D43/SUM(Kalender!$D$5:$D$370),0)+IFERROR(SUMIF(Nutzungsprofile!$B$17:$B$22,"Individuell",Nutzungsprofile!$G$17:$G$22)*Kalender!E43/SUM(Kalender!$E$5:$E$370),0))*Szenarien!$D$9,0)</f>
        <v>0.89</v>
      </c>
      <c r="E409" s="13" t="n">
        <f aca="false">IFERROR(MIN(C409,Eingaben!$B$17)*Eingaben!$B$16,0)</f>
        <v>1.938</v>
      </c>
      <c r="F409" s="13" t="n">
        <f aca="false">IFERROR(E409*Eingaben!$B$15,0)</f>
        <v>1.7442</v>
      </c>
      <c r="G409" s="13" t="n">
        <f aca="false">IFERROR(IF(Kalender!A43="",0,J408*(1-Eingaben!$B$20)),0)</f>
        <v>1.561363244</v>
      </c>
      <c r="H409" s="13" t="n">
        <f aca="false">MIN(G409,D409)</f>
        <v>0.89</v>
      </c>
      <c r="I409" s="13" t="n">
        <f aca="false">IFERROR(MIN(F409*Eingaben!$B$19,MAX(0,D409-H409)),0)</f>
        <v>0</v>
      </c>
      <c r="J409" s="13" t="n">
        <f aca="false">IFERROR(MIN(Eingaben!$B$18,MAX(0,F409-I409)),0)</f>
        <v>1.7442</v>
      </c>
      <c r="K409" s="13" t="n">
        <f aca="false">H409+I409</f>
        <v>0.89</v>
      </c>
      <c r="L409" s="13" t="n">
        <f aca="false">MAX(0,D409-K409)</f>
        <v>0</v>
      </c>
      <c r="M409" s="13" t="n">
        <f aca="false">MAX(0,F409-I409-J409)</f>
        <v>0</v>
      </c>
      <c r="N409" s="13" t="n">
        <f aca="false">IF(Kalender!A43="",0,J408-H409)</f>
        <v>0.7032278</v>
      </c>
    </row>
    <row r="410" customFormat="false" ht="16.4" hidden="false" customHeight="false" outlineLevel="0" collapsed="false">
      <c r="A410" s="13" t="str">
        <f aca="false">""</f>
        <v/>
      </c>
      <c r="B410" s="13" t="n">
        <f aca="false">40</f>
        <v>40</v>
      </c>
      <c r="C410" s="13" t="n">
        <f aca="false">IF(Szenarien!$H$9="OK",(IFERROR(SUMIF(Nutzungsprofile!$B$6:$B$11,"Schulbetrieb",Nutzungsprofile!$G$6:$G$11)*Kalender!C44/SUM(Kalender!$C$5:$C$370),0)+IFERROR(SUMIF(Nutzungsprofile!$B$6:$B$11,"Halle",Nutzungsprofile!$G$6:$G$11)*Kalender!D44/SUM(Kalender!$D$5:$D$370),0)+IFERROR(SUMIF(Nutzungsprofile!$B$6:$B$11,"Individuell",Nutzungsprofile!$G$6:$G$11)*Kalender!E44/SUM(Kalender!$E$5:$E$370),0))*Szenarien!$E$9,0)</f>
        <v>2.94</v>
      </c>
      <c r="D410" s="13" t="n">
        <f aca="false">IF(Szenarien!$H$9="OK",(IFERROR(SUMIF(Nutzungsprofile!$B$17:$B$22,"Schulbetrieb",Nutzungsprofile!$G$17:$G$22)*Kalender!C44/SUM(Kalender!$C$5:$C$370),0)+IFERROR(SUMIF(Nutzungsprofile!$B$17:$B$22,"Halle",Nutzungsprofile!$G$17:$G$22)*Kalender!D44/SUM(Kalender!$D$5:$D$370),0)+IFERROR(SUMIF(Nutzungsprofile!$B$17:$B$22,"Individuell",Nutzungsprofile!$G$17:$G$22)*Kalender!E44/SUM(Kalender!$E$5:$E$370),0))*Szenarien!$D$9,0)</f>
        <v>4.94</v>
      </c>
      <c r="E410" s="13" t="n">
        <f aca="false">IFERROR(MIN(C410,Eingaben!$B$17)*Eingaben!$B$16,0)</f>
        <v>2.793</v>
      </c>
      <c r="F410" s="13" t="n">
        <f aca="false">IFERROR(E410*Eingaben!$B$15,0)</f>
        <v>2.5137</v>
      </c>
      <c r="G410" s="13" t="n">
        <f aca="false">IFERROR(IF(Kalender!A44="",0,J409*(1-Eingaben!$B$20)),0)</f>
        <v>1.709316</v>
      </c>
      <c r="H410" s="13" t="n">
        <f aca="false">MIN(G410,D410)</f>
        <v>1.709316</v>
      </c>
      <c r="I410" s="13" t="n">
        <f aca="false">IFERROR(MIN(F410*Eingaben!$B$19,MAX(0,D410-H410)),0)</f>
        <v>1.75959</v>
      </c>
      <c r="J410" s="13" t="n">
        <f aca="false">IFERROR(MIN(Eingaben!$B$18,MAX(0,F410-I410)),0)</f>
        <v>0.75411</v>
      </c>
      <c r="K410" s="13" t="n">
        <f aca="false">H410+I410</f>
        <v>3.468906</v>
      </c>
      <c r="L410" s="13" t="n">
        <f aca="false">MAX(0,D410-K410)</f>
        <v>1.471094</v>
      </c>
      <c r="M410" s="13" t="n">
        <f aca="false">MAX(0,F410-I410-J410)</f>
        <v>0</v>
      </c>
      <c r="N410" s="13" t="n">
        <f aca="false">IF(Kalender!A44="",0,J409-H410)</f>
        <v>0.0348840000000001</v>
      </c>
    </row>
    <row r="411" customFormat="false" ht="16.4" hidden="false" customHeight="false" outlineLevel="0" collapsed="false">
      <c r="A411" s="13" t="str">
        <f aca="false">""</f>
        <v/>
      </c>
      <c r="B411" s="13" t="n">
        <f aca="false">41</f>
        <v>41</v>
      </c>
      <c r="C411" s="13" t="n">
        <f aca="false">IF(Szenarien!$H$9="OK",(IFERROR(SUMIF(Nutzungsprofile!$B$6:$B$11,"Schulbetrieb",Nutzungsprofile!$G$6:$G$11)*Kalender!C45/SUM(Kalender!$C$5:$C$370),0)+IFERROR(SUMIF(Nutzungsprofile!$B$6:$B$11,"Halle",Nutzungsprofile!$G$6:$G$11)*Kalender!D45/SUM(Kalender!$D$5:$D$370),0)+IFERROR(SUMIF(Nutzungsprofile!$B$6:$B$11,"Individuell",Nutzungsprofile!$G$6:$G$11)*Kalender!E45/SUM(Kalender!$E$5:$E$370),0))*Szenarien!$E$9,0)</f>
        <v>2.94</v>
      </c>
      <c r="D411" s="13" t="n">
        <f aca="false">IF(Szenarien!$H$9="OK",(IFERROR(SUMIF(Nutzungsprofile!$B$17:$B$22,"Schulbetrieb",Nutzungsprofile!$G$17:$G$22)*Kalender!C45/SUM(Kalender!$C$5:$C$370),0)+IFERROR(SUMIF(Nutzungsprofile!$B$17:$B$22,"Halle",Nutzungsprofile!$G$17:$G$22)*Kalender!D45/SUM(Kalender!$D$5:$D$370),0)+IFERROR(SUMIF(Nutzungsprofile!$B$17:$B$22,"Individuell",Nutzungsprofile!$G$17:$G$22)*Kalender!E45/SUM(Kalender!$E$5:$E$370),0))*Szenarien!$D$9,0)</f>
        <v>4.94</v>
      </c>
      <c r="E411" s="13" t="n">
        <f aca="false">IFERROR(MIN(C411,Eingaben!$B$17)*Eingaben!$B$16,0)</f>
        <v>2.793</v>
      </c>
      <c r="F411" s="13" t="n">
        <f aca="false">IFERROR(E411*Eingaben!$B$15,0)</f>
        <v>2.5137</v>
      </c>
      <c r="G411" s="13" t="n">
        <f aca="false">IFERROR(IF(Kalender!A45="",0,J410*(1-Eingaben!$B$20)),0)</f>
        <v>0.7390278</v>
      </c>
      <c r="H411" s="13" t="n">
        <f aca="false">MIN(G411,D411)</f>
        <v>0.7390278</v>
      </c>
      <c r="I411" s="13" t="n">
        <f aca="false">IFERROR(MIN(F411*Eingaben!$B$19,MAX(0,D411-H411)),0)</f>
        <v>1.75959</v>
      </c>
      <c r="J411" s="13" t="n">
        <f aca="false">IFERROR(MIN(Eingaben!$B$18,MAX(0,F411-I411)),0)</f>
        <v>0.75411</v>
      </c>
      <c r="K411" s="13" t="n">
        <f aca="false">H411+I411</f>
        <v>2.4986178</v>
      </c>
      <c r="L411" s="13" t="n">
        <f aca="false">MAX(0,D411-K411)</f>
        <v>2.4413822</v>
      </c>
      <c r="M411" s="13" t="n">
        <f aca="false">MAX(0,F411-I411-J411)</f>
        <v>0</v>
      </c>
      <c r="N411" s="13" t="n">
        <f aca="false">IF(Kalender!A45="",0,J410-H411)</f>
        <v>0.0150822</v>
      </c>
    </row>
    <row r="412" customFormat="false" ht="16.4" hidden="false" customHeight="false" outlineLevel="0" collapsed="false">
      <c r="A412" s="13" t="str">
        <f aca="false">""</f>
        <v/>
      </c>
      <c r="B412" s="13" t="n">
        <f aca="false">42</f>
        <v>42</v>
      </c>
      <c r="C412" s="13" t="n">
        <f aca="false">IF(Szenarien!$H$9="OK",(IFERROR(SUMIF(Nutzungsprofile!$B$6:$B$11,"Schulbetrieb",Nutzungsprofile!$G$6:$G$11)*Kalender!C46/SUM(Kalender!$C$5:$C$370),0)+IFERROR(SUMIF(Nutzungsprofile!$B$6:$B$11,"Halle",Nutzungsprofile!$G$6:$G$11)*Kalender!D46/SUM(Kalender!$D$5:$D$370),0)+IFERROR(SUMIF(Nutzungsprofile!$B$6:$B$11,"Individuell",Nutzungsprofile!$G$6:$G$11)*Kalender!E46/SUM(Kalender!$E$5:$E$370),0))*Szenarien!$E$9,0)</f>
        <v>2.94</v>
      </c>
      <c r="D412" s="13" t="n">
        <f aca="false">IF(Szenarien!$H$9="OK",(IFERROR(SUMIF(Nutzungsprofile!$B$17:$B$22,"Schulbetrieb",Nutzungsprofile!$G$17:$G$22)*Kalender!C46/SUM(Kalender!$C$5:$C$370),0)+IFERROR(SUMIF(Nutzungsprofile!$B$17:$B$22,"Halle",Nutzungsprofile!$G$17:$G$22)*Kalender!D46/SUM(Kalender!$D$5:$D$370),0)+IFERROR(SUMIF(Nutzungsprofile!$B$17:$B$22,"Individuell",Nutzungsprofile!$G$17:$G$22)*Kalender!E46/SUM(Kalender!$E$5:$E$370),0))*Szenarien!$D$9,0)</f>
        <v>4.94</v>
      </c>
      <c r="E412" s="13" t="n">
        <f aca="false">IFERROR(MIN(C412,Eingaben!$B$17)*Eingaben!$B$16,0)</f>
        <v>2.793</v>
      </c>
      <c r="F412" s="13" t="n">
        <f aca="false">IFERROR(E412*Eingaben!$B$15,0)</f>
        <v>2.5137</v>
      </c>
      <c r="G412" s="13" t="n">
        <f aca="false">IFERROR(IF(Kalender!A46="",0,J411*(1-Eingaben!$B$20)),0)</f>
        <v>0.7390278</v>
      </c>
      <c r="H412" s="13" t="n">
        <f aca="false">MIN(G412,D412)</f>
        <v>0.7390278</v>
      </c>
      <c r="I412" s="13" t="n">
        <f aca="false">IFERROR(MIN(F412*Eingaben!$B$19,MAX(0,D412-H412)),0)</f>
        <v>1.75959</v>
      </c>
      <c r="J412" s="13" t="n">
        <f aca="false">IFERROR(MIN(Eingaben!$B$18,MAX(0,F412-I412)),0)</f>
        <v>0.75411</v>
      </c>
      <c r="K412" s="13" t="n">
        <f aca="false">H412+I412</f>
        <v>2.4986178</v>
      </c>
      <c r="L412" s="13" t="n">
        <f aca="false">MAX(0,D412-K412)</f>
        <v>2.4413822</v>
      </c>
      <c r="M412" s="13" t="n">
        <f aca="false">MAX(0,F412-I412-J412)</f>
        <v>0</v>
      </c>
      <c r="N412" s="13" t="n">
        <f aca="false">IF(Kalender!A46="",0,J411-H412)</f>
        <v>0.0150822</v>
      </c>
    </row>
    <row r="413" customFormat="false" ht="16.4" hidden="false" customHeight="false" outlineLevel="0" collapsed="false">
      <c r="A413" s="13" t="str">
        <f aca="false">""</f>
        <v/>
      </c>
      <c r="B413" s="13" t="n">
        <f aca="false">43</f>
        <v>43</v>
      </c>
      <c r="C413" s="13" t="n">
        <f aca="false">IF(Szenarien!$H$9="OK",(IFERROR(SUMIF(Nutzungsprofile!$B$6:$B$11,"Schulbetrieb",Nutzungsprofile!$G$6:$G$11)*Kalender!C47/SUM(Kalender!$C$5:$C$370),0)+IFERROR(SUMIF(Nutzungsprofile!$B$6:$B$11,"Halle",Nutzungsprofile!$G$6:$G$11)*Kalender!D47/SUM(Kalender!$D$5:$D$370),0)+IFERROR(SUMIF(Nutzungsprofile!$B$6:$B$11,"Individuell",Nutzungsprofile!$G$6:$G$11)*Kalender!E47/SUM(Kalender!$E$5:$E$370),0))*Szenarien!$E$9,0)</f>
        <v>2.94</v>
      </c>
      <c r="D413" s="13" t="n">
        <f aca="false">IF(Szenarien!$H$9="OK",(IFERROR(SUMIF(Nutzungsprofile!$B$17:$B$22,"Schulbetrieb",Nutzungsprofile!$G$17:$G$22)*Kalender!C47/SUM(Kalender!$C$5:$C$370),0)+IFERROR(SUMIF(Nutzungsprofile!$B$17:$B$22,"Halle",Nutzungsprofile!$G$17:$G$22)*Kalender!D47/SUM(Kalender!$D$5:$D$370),0)+IFERROR(SUMIF(Nutzungsprofile!$B$17:$B$22,"Individuell",Nutzungsprofile!$G$17:$G$22)*Kalender!E47/SUM(Kalender!$E$5:$E$370),0))*Szenarien!$D$9,0)</f>
        <v>4.94</v>
      </c>
      <c r="E413" s="13" t="n">
        <f aca="false">IFERROR(MIN(C413,Eingaben!$B$17)*Eingaben!$B$16,0)</f>
        <v>2.793</v>
      </c>
      <c r="F413" s="13" t="n">
        <f aca="false">IFERROR(E413*Eingaben!$B$15,0)</f>
        <v>2.5137</v>
      </c>
      <c r="G413" s="13" t="n">
        <f aca="false">IFERROR(IF(Kalender!A47="",0,J412*(1-Eingaben!$B$20)),0)</f>
        <v>0.7390278</v>
      </c>
      <c r="H413" s="13" t="n">
        <f aca="false">MIN(G413,D413)</f>
        <v>0.7390278</v>
      </c>
      <c r="I413" s="13" t="n">
        <f aca="false">IFERROR(MIN(F413*Eingaben!$B$19,MAX(0,D413-H413)),0)</f>
        <v>1.75959</v>
      </c>
      <c r="J413" s="13" t="n">
        <f aca="false">IFERROR(MIN(Eingaben!$B$18,MAX(0,F413-I413)),0)</f>
        <v>0.75411</v>
      </c>
      <c r="K413" s="13" t="n">
        <f aca="false">H413+I413</f>
        <v>2.4986178</v>
      </c>
      <c r="L413" s="13" t="n">
        <f aca="false">MAX(0,D413-K413)</f>
        <v>2.4413822</v>
      </c>
      <c r="M413" s="13" t="n">
        <f aca="false">MAX(0,F413-I413-J413)</f>
        <v>0</v>
      </c>
      <c r="N413" s="13" t="n">
        <f aca="false">IF(Kalender!A47="",0,J412-H413)</f>
        <v>0.0150822</v>
      </c>
    </row>
    <row r="414" customFormat="false" ht="16.4" hidden="false" customHeight="false" outlineLevel="0" collapsed="false">
      <c r="A414" s="13" t="str">
        <f aca="false">""</f>
        <v/>
      </c>
      <c r="B414" s="13" t="n">
        <f aca="false">44</f>
        <v>44</v>
      </c>
      <c r="C414" s="13" t="n">
        <f aca="false">IF(Szenarien!$H$9="OK",(IFERROR(SUMIF(Nutzungsprofile!$B$6:$B$11,"Schulbetrieb",Nutzungsprofile!$G$6:$G$11)*Kalender!C48/SUM(Kalender!$C$5:$C$370),0)+IFERROR(SUMIF(Nutzungsprofile!$B$6:$B$11,"Halle",Nutzungsprofile!$G$6:$G$11)*Kalender!D48/SUM(Kalender!$D$5:$D$370),0)+IFERROR(SUMIF(Nutzungsprofile!$B$6:$B$11,"Individuell",Nutzungsprofile!$G$6:$G$11)*Kalender!E48/SUM(Kalender!$E$5:$E$370),0))*Szenarien!$E$9,0)</f>
        <v>2.94</v>
      </c>
      <c r="D414" s="13" t="n">
        <f aca="false">IF(Szenarien!$H$9="OK",(IFERROR(SUMIF(Nutzungsprofile!$B$17:$B$22,"Schulbetrieb",Nutzungsprofile!$G$17:$G$22)*Kalender!C48/SUM(Kalender!$C$5:$C$370),0)+IFERROR(SUMIF(Nutzungsprofile!$B$17:$B$22,"Halle",Nutzungsprofile!$G$17:$G$22)*Kalender!D48/SUM(Kalender!$D$5:$D$370),0)+IFERROR(SUMIF(Nutzungsprofile!$B$17:$B$22,"Individuell",Nutzungsprofile!$G$17:$G$22)*Kalender!E48/SUM(Kalender!$E$5:$E$370),0))*Szenarien!$D$9,0)</f>
        <v>4.94</v>
      </c>
      <c r="E414" s="13" t="n">
        <f aca="false">IFERROR(MIN(C414,Eingaben!$B$17)*Eingaben!$B$16,0)</f>
        <v>2.793</v>
      </c>
      <c r="F414" s="13" t="n">
        <f aca="false">IFERROR(E414*Eingaben!$B$15,0)</f>
        <v>2.5137</v>
      </c>
      <c r="G414" s="13" t="n">
        <f aca="false">IFERROR(IF(Kalender!A48="",0,J413*(1-Eingaben!$B$20)),0)</f>
        <v>0.7390278</v>
      </c>
      <c r="H414" s="13" t="n">
        <f aca="false">MIN(G414,D414)</f>
        <v>0.7390278</v>
      </c>
      <c r="I414" s="13" t="n">
        <f aca="false">IFERROR(MIN(F414*Eingaben!$B$19,MAX(0,D414-H414)),0)</f>
        <v>1.75959</v>
      </c>
      <c r="J414" s="13" t="n">
        <f aca="false">IFERROR(MIN(Eingaben!$B$18,MAX(0,F414-I414)),0)</f>
        <v>0.75411</v>
      </c>
      <c r="K414" s="13" t="n">
        <f aca="false">H414+I414</f>
        <v>2.4986178</v>
      </c>
      <c r="L414" s="13" t="n">
        <f aca="false">MAX(0,D414-K414)</f>
        <v>2.4413822</v>
      </c>
      <c r="M414" s="13" t="n">
        <f aca="false">MAX(0,F414-I414-J414)</f>
        <v>0</v>
      </c>
      <c r="N414" s="13" t="n">
        <f aca="false">IF(Kalender!A48="",0,J413-H414)</f>
        <v>0.0150822</v>
      </c>
    </row>
    <row r="415" customFormat="false" ht="16.4" hidden="false" customHeight="false" outlineLevel="0" collapsed="false">
      <c r="A415" s="13" t="str">
        <f aca="false">""</f>
        <v/>
      </c>
      <c r="B415" s="13" t="n">
        <f aca="false">45</f>
        <v>45</v>
      </c>
      <c r="C415" s="13" t="n">
        <f aca="false">IF(Szenarien!$H$9="OK",(IFERROR(SUMIF(Nutzungsprofile!$B$6:$B$11,"Schulbetrieb",Nutzungsprofile!$G$6:$G$11)*Kalender!C49/SUM(Kalender!$C$5:$C$370),0)+IFERROR(SUMIF(Nutzungsprofile!$B$6:$B$11,"Halle",Nutzungsprofile!$G$6:$G$11)*Kalender!D49/SUM(Kalender!$D$5:$D$370),0)+IFERROR(SUMIF(Nutzungsprofile!$B$6:$B$11,"Individuell",Nutzungsprofile!$G$6:$G$11)*Kalender!E49/SUM(Kalender!$E$5:$E$370),0))*Szenarien!$E$9,0)</f>
        <v>2.04</v>
      </c>
      <c r="D415" s="13" t="n">
        <f aca="false">IF(Szenarien!$H$9="OK",(IFERROR(SUMIF(Nutzungsprofile!$B$17:$B$22,"Schulbetrieb",Nutzungsprofile!$G$17:$G$22)*Kalender!C49/SUM(Kalender!$C$5:$C$370),0)+IFERROR(SUMIF(Nutzungsprofile!$B$17:$B$22,"Halle",Nutzungsprofile!$G$17:$G$22)*Kalender!D49/SUM(Kalender!$D$5:$D$370),0)+IFERROR(SUMIF(Nutzungsprofile!$B$17:$B$22,"Individuell",Nutzungsprofile!$G$17:$G$22)*Kalender!E49/SUM(Kalender!$E$5:$E$370),0))*Szenarien!$D$9,0)</f>
        <v>0.89</v>
      </c>
      <c r="E415" s="13" t="n">
        <f aca="false">IFERROR(MIN(C415,Eingaben!$B$17)*Eingaben!$B$16,0)</f>
        <v>1.938</v>
      </c>
      <c r="F415" s="13" t="n">
        <f aca="false">IFERROR(E415*Eingaben!$B$15,0)</f>
        <v>1.7442</v>
      </c>
      <c r="G415" s="13" t="n">
        <f aca="false">IFERROR(IF(Kalender!A49="",0,J414*(1-Eingaben!$B$20)),0)</f>
        <v>0.7390278</v>
      </c>
      <c r="H415" s="13" t="n">
        <f aca="false">MIN(G415,D415)</f>
        <v>0.7390278</v>
      </c>
      <c r="I415" s="13" t="n">
        <f aca="false">IFERROR(MIN(F415*Eingaben!$B$19,MAX(0,D415-H415)),0)</f>
        <v>0.1509722</v>
      </c>
      <c r="J415" s="13" t="n">
        <f aca="false">IFERROR(MIN(Eingaben!$B$18,MAX(0,F415-I415)),0)</f>
        <v>1.5932278</v>
      </c>
      <c r="K415" s="13" t="n">
        <f aca="false">H415+I415</f>
        <v>0.89</v>
      </c>
      <c r="L415" s="13" t="n">
        <f aca="false">MAX(0,D415-K415)</f>
        <v>0</v>
      </c>
      <c r="M415" s="13" t="n">
        <f aca="false">MAX(0,F415-I415-J415)</f>
        <v>0</v>
      </c>
      <c r="N415" s="13" t="n">
        <f aca="false">IF(Kalender!A49="",0,J414-H415)</f>
        <v>0.0150822</v>
      </c>
    </row>
    <row r="416" customFormat="false" ht="16.4" hidden="false" customHeight="false" outlineLevel="0" collapsed="false">
      <c r="A416" s="13" t="str">
        <f aca="false">""</f>
        <v/>
      </c>
      <c r="B416" s="13" t="n">
        <f aca="false">46</f>
        <v>46</v>
      </c>
      <c r="C416" s="13" t="n">
        <f aca="false">IF(Szenarien!$H$9="OK",(IFERROR(SUMIF(Nutzungsprofile!$B$6:$B$11,"Schulbetrieb",Nutzungsprofile!$G$6:$G$11)*Kalender!C50/SUM(Kalender!$C$5:$C$370),0)+IFERROR(SUMIF(Nutzungsprofile!$B$6:$B$11,"Halle",Nutzungsprofile!$G$6:$G$11)*Kalender!D50/SUM(Kalender!$D$5:$D$370),0)+IFERROR(SUMIF(Nutzungsprofile!$B$6:$B$11,"Individuell",Nutzungsprofile!$G$6:$G$11)*Kalender!E50/SUM(Kalender!$E$5:$E$370),0))*Szenarien!$E$9,0)</f>
        <v>2.04</v>
      </c>
      <c r="D416" s="13" t="n">
        <f aca="false">IF(Szenarien!$H$9="OK",(IFERROR(SUMIF(Nutzungsprofile!$B$17:$B$22,"Schulbetrieb",Nutzungsprofile!$G$17:$G$22)*Kalender!C50/SUM(Kalender!$C$5:$C$370),0)+IFERROR(SUMIF(Nutzungsprofile!$B$17:$B$22,"Halle",Nutzungsprofile!$G$17:$G$22)*Kalender!D50/SUM(Kalender!$D$5:$D$370),0)+IFERROR(SUMIF(Nutzungsprofile!$B$17:$B$22,"Individuell",Nutzungsprofile!$G$17:$G$22)*Kalender!E50/SUM(Kalender!$E$5:$E$370),0))*Szenarien!$D$9,0)</f>
        <v>0.89</v>
      </c>
      <c r="E416" s="13" t="n">
        <f aca="false">IFERROR(MIN(C416,Eingaben!$B$17)*Eingaben!$B$16,0)</f>
        <v>1.938</v>
      </c>
      <c r="F416" s="13" t="n">
        <f aca="false">IFERROR(E416*Eingaben!$B$15,0)</f>
        <v>1.7442</v>
      </c>
      <c r="G416" s="13" t="n">
        <f aca="false">IFERROR(IF(Kalender!A50="",0,J415*(1-Eingaben!$B$20)),0)</f>
        <v>1.561363244</v>
      </c>
      <c r="H416" s="13" t="n">
        <f aca="false">MIN(G416,D416)</f>
        <v>0.89</v>
      </c>
      <c r="I416" s="13" t="n">
        <f aca="false">IFERROR(MIN(F416*Eingaben!$B$19,MAX(0,D416-H416)),0)</f>
        <v>0</v>
      </c>
      <c r="J416" s="13" t="n">
        <f aca="false">IFERROR(MIN(Eingaben!$B$18,MAX(0,F416-I416)),0)</f>
        <v>1.7442</v>
      </c>
      <c r="K416" s="13" t="n">
        <f aca="false">H416+I416</f>
        <v>0.89</v>
      </c>
      <c r="L416" s="13" t="n">
        <f aca="false">MAX(0,D416-K416)</f>
        <v>0</v>
      </c>
      <c r="M416" s="13" t="n">
        <f aca="false">MAX(0,F416-I416-J416)</f>
        <v>0</v>
      </c>
      <c r="N416" s="13" t="n">
        <f aca="false">IF(Kalender!A50="",0,J415-H416)</f>
        <v>0.7032278</v>
      </c>
    </row>
    <row r="417" customFormat="false" ht="16.4" hidden="false" customHeight="false" outlineLevel="0" collapsed="false">
      <c r="A417" s="13" t="str">
        <f aca="false">""</f>
        <v/>
      </c>
      <c r="B417" s="13" t="n">
        <f aca="false">47</f>
        <v>47</v>
      </c>
      <c r="C417" s="13" t="n">
        <f aca="false">IF(Szenarien!$H$9="OK",(IFERROR(SUMIF(Nutzungsprofile!$B$6:$B$11,"Schulbetrieb",Nutzungsprofile!$G$6:$G$11)*Kalender!C51/SUM(Kalender!$C$5:$C$370),0)+IFERROR(SUMIF(Nutzungsprofile!$B$6:$B$11,"Halle",Nutzungsprofile!$G$6:$G$11)*Kalender!D51/SUM(Kalender!$D$5:$D$370),0)+IFERROR(SUMIF(Nutzungsprofile!$B$6:$B$11,"Individuell",Nutzungsprofile!$G$6:$G$11)*Kalender!E51/SUM(Kalender!$E$5:$E$370),0))*Szenarien!$E$9,0)</f>
        <v>2.94</v>
      </c>
      <c r="D417" s="13" t="n">
        <f aca="false">IF(Szenarien!$H$9="OK",(IFERROR(SUMIF(Nutzungsprofile!$B$17:$B$22,"Schulbetrieb",Nutzungsprofile!$G$17:$G$22)*Kalender!C51/SUM(Kalender!$C$5:$C$370),0)+IFERROR(SUMIF(Nutzungsprofile!$B$17:$B$22,"Halle",Nutzungsprofile!$G$17:$G$22)*Kalender!D51/SUM(Kalender!$D$5:$D$370),0)+IFERROR(SUMIF(Nutzungsprofile!$B$17:$B$22,"Individuell",Nutzungsprofile!$G$17:$G$22)*Kalender!E51/SUM(Kalender!$E$5:$E$370),0))*Szenarien!$D$9,0)</f>
        <v>4.94</v>
      </c>
      <c r="E417" s="13" t="n">
        <f aca="false">IFERROR(MIN(C417,Eingaben!$B$17)*Eingaben!$B$16,0)</f>
        <v>2.793</v>
      </c>
      <c r="F417" s="13" t="n">
        <f aca="false">IFERROR(E417*Eingaben!$B$15,0)</f>
        <v>2.5137</v>
      </c>
      <c r="G417" s="13" t="n">
        <f aca="false">IFERROR(IF(Kalender!A51="",0,J416*(1-Eingaben!$B$20)),0)</f>
        <v>1.709316</v>
      </c>
      <c r="H417" s="13" t="n">
        <f aca="false">MIN(G417,D417)</f>
        <v>1.709316</v>
      </c>
      <c r="I417" s="13" t="n">
        <f aca="false">IFERROR(MIN(F417*Eingaben!$B$19,MAX(0,D417-H417)),0)</f>
        <v>1.75959</v>
      </c>
      <c r="J417" s="13" t="n">
        <f aca="false">IFERROR(MIN(Eingaben!$B$18,MAX(0,F417-I417)),0)</f>
        <v>0.75411</v>
      </c>
      <c r="K417" s="13" t="n">
        <f aca="false">H417+I417</f>
        <v>3.468906</v>
      </c>
      <c r="L417" s="13" t="n">
        <f aca="false">MAX(0,D417-K417)</f>
        <v>1.471094</v>
      </c>
      <c r="M417" s="13" t="n">
        <f aca="false">MAX(0,F417-I417-J417)</f>
        <v>0</v>
      </c>
      <c r="N417" s="13" t="n">
        <f aca="false">IF(Kalender!A51="",0,J416-H417)</f>
        <v>0.0348840000000001</v>
      </c>
    </row>
    <row r="418" customFormat="false" ht="16.4" hidden="false" customHeight="false" outlineLevel="0" collapsed="false">
      <c r="A418" s="13" t="str">
        <f aca="false">""</f>
        <v/>
      </c>
      <c r="B418" s="13" t="n">
        <f aca="false">48</f>
        <v>48</v>
      </c>
      <c r="C418" s="13" t="n">
        <f aca="false">IF(Szenarien!$H$9="OK",(IFERROR(SUMIF(Nutzungsprofile!$B$6:$B$11,"Schulbetrieb",Nutzungsprofile!$G$6:$G$11)*Kalender!C52/SUM(Kalender!$C$5:$C$370),0)+IFERROR(SUMIF(Nutzungsprofile!$B$6:$B$11,"Halle",Nutzungsprofile!$G$6:$G$11)*Kalender!D52/SUM(Kalender!$D$5:$D$370),0)+IFERROR(SUMIF(Nutzungsprofile!$B$6:$B$11,"Individuell",Nutzungsprofile!$G$6:$G$11)*Kalender!E52/SUM(Kalender!$E$5:$E$370),0))*Szenarien!$E$9,0)</f>
        <v>2.94</v>
      </c>
      <c r="D418" s="13" t="n">
        <f aca="false">IF(Szenarien!$H$9="OK",(IFERROR(SUMIF(Nutzungsprofile!$B$17:$B$22,"Schulbetrieb",Nutzungsprofile!$G$17:$G$22)*Kalender!C52/SUM(Kalender!$C$5:$C$370),0)+IFERROR(SUMIF(Nutzungsprofile!$B$17:$B$22,"Halle",Nutzungsprofile!$G$17:$G$22)*Kalender!D52/SUM(Kalender!$D$5:$D$370),0)+IFERROR(SUMIF(Nutzungsprofile!$B$17:$B$22,"Individuell",Nutzungsprofile!$G$17:$G$22)*Kalender!E52/SUM(Kalender!$E$5:$E$370),0))*Szenarien!$D$9,0)</f>
        <v>4.94</v>
      </c>
      <c r="E418" s="13" t="n">
        <f aca="false">IFERROR(MIN(C418,Eingaben!$B$17)*Eingaben!$B$16,0)</f>
        <v>2.793</v>
      </c>
      <c r="F418" s="13" t="n">
        <f aca="false">IFERROR(E418*Eingaben!$B$15,0)</f>
        <v>2.5137</v>
      </c>
      <c r="G418" s="13" t="n">
        <f aca="false">IFERROR(IF(Kalender!A52="",0,J417*(1-Eingaben!$B$20)),0)</f>
        <v>0.7390278</v>
      </c>
      <c r="H418" s="13" t="n">
        <f aca="false">MIN(G418,D418)</f>
        <v>0.7390278</v>
      </c>
      <c r="I418" s="13" t="n">
        <f aca="false">IFERROR(MIN(F418*Eingaben!$B$19,MAX(0,D418-H418)),0)</f>
        <v>1.75959</v>
      </c>
      <c r="J418" s="13" t="n">
        <f aca="false">IFERROR(MIN(Eingaben!$B$18,MAX(0,F418-I418)),0)</f>
        <v>0.75411</v>
      </c>
      <c r="K418" s="13" t="n">
        <f aca="false">H418+I418</f>
        <v>2.4986178</v>
      </c>
      <c r="L418" s="13" t="n">
        <f aca="false">MAX(0,D418-K418)</f>
        <v>2.4413822</v>
      </c>
      <c r="M418" s="13" t="n">
        <f aca="false">MAX(0,F418-I418-J418)</f>
        <v>0</v>
      </c>
      <c r="N418" s="13" t="n">
        <f aca="false">IF(Kalender!A52="",0,J417-H418)</f>
        <v>0.0150822</v>
      </c>
    </row>
    <row r="419" customFormat="false" ht="16.4" hidden="false" customHeight="false" outlineLevel="0" collapsed="false">
      <c r="A419" s="13" t="str">
        <f aca="false">""</f>
        <v/>
      </c>
      <c r="B419" s="13" t="n">
        <f aca="false">49</f>
        <v>49</v>
      </c>
      <c r="C419" s="13" t="n">
        <f aca="false">IF(Szenarien!$H$9="OK",(IFERROR(SUMIF(Nutzungsprofile!$B$6:$B$11,"Schulbetrieb",Nutzungsprofile!$G$6:$G$11)*Kalender!C53/SUM(Kalender!$C$5:$C$370),0)+IFERROR(SUMIF(Nutzungsprofile!$B$6:$B$11,"Halle",Nutzungsprofile!$G$6:$G$11)*Kalender!D53/SUM(Kalender!$D$5:$D$370),0)+IFERROR(SUMIF(Nutzungsprofile!$B$6:$B$11,"Individuell",Nutzungsprofile!$G$6:$G$11)*Kalender!E53/SUM(Kalender!$E$5:$E$370),0))*Szenarien!$E$9,0)</f>
        <v>2.94</v>
      </c>
      <c r="D419" s="13" t="n">
        <f aca="false">IF(Szenarien!$H$9="OK",(IFERROR(SUMIF(Nutzungsprofile!$B$17:$B$22,"Schulbetrieb",Nutzungsprofile!$G$17:$G$22)*Kalender!C53/SUM(Kalender!$C$5:$C$370),0)+IFERROR(SUMIF(Nutzungsprofile!$B$17:$B$22,"Halle",Nutzungsprofile!$G$17:$G$22)*Kalender!D53/SUM(Kalender!$D$5:$D$370),0)+IFERROR(SUMIF(Nutzungsprofile!$B$17:$B$22,"Individuell",Nutzungsprofile!$G$17:$G$22)*Kalender!E53/SUM(Kalender!$E$5:$E$370),0))*Szenarien!$D$9,0)</f>
        <v>4.94</v>
      </c>
      <c r="E419" s="13" t="n">
        <f aca="false">IFERROR(MIN(C419,Eingaben!$B$17)*Eingaben!$B$16,0)</f>
        <v>2.793</v>
      </c>
      <c r="F419" s="13" t="n">
        <f aca="false">IFERROR(E419*Eingaben!$B$15,0)</f>
        <v>2.5137</v>
      </c>
      <c r="G419" s="13" t="n">
        <f aca="false">IFERROR(IF(Kalender!A53="",0,J418*(1-Eingaben!$B$20)),0)</f>
        <v>0.7390278</v>
      </c>
      <c r="H419" s="13" t="n">
        <f aca="false">MIN(G419,D419)</f>
        <v>0.7390278</v>
      </c>
      <c r="I419" s="13" t="n">
        <f aca="false">IFERROR(MIN(F419*Eingaben!$B$19,MAX(0,D419-H419)),0)</f>
        <v>1.75959</v>
      </c>
      <c r="J419" s="13" t="n">
        <f aca="false">IFERROR(MIN(Eingaben!$B$18,MAX(0,F419-I419)),0)</f>
        <v>0.75411</v>
      </c>
      <c r="K419" s="13" t="n">
        <f aca="false">H419+I419</f>
        <v>2.4986178</v>
      </c>
      <c r="L419" s="13" t="n">
        <f aca="false">MAX(0,D419-K419)</f>
        <v>2.4413822</v>
      </c>
      <c r="M419" s="13" t="n">
        <f aca="false">MAX(0,F419-I419-J419)</f>
        <v>0</v>
      </c>
      <c r="N419" s="13" t="n">
        <f aca="false">IF(Kalender!A53="",0,J418-H419)</f>
        <v>0.0150822</v>
      </c>
    </row>
    <row r="420" customFormat="false" ht="16.4" hidden="false" customHeight="false" outlineLevel="0" collapsed="false">
      <c r="A420" s="13" t="str">
        <f aca="false">""</f>
        <v/>
      </c>
      <c r="B420" s="13" t="n">
        <f aca="false">50</f>
        <v>50</v>
      </c>
      <c r="C420" s="13" t="n">
        <f aca="false">IF(Szenarien!$H$9="OK",(IFERROR(SUMIF(Nutzungsprofile!$B$6:$B$11,"Schulbetrieb",Nutzungsprofile!$G$6:$G$11)*Kalender!C54/SUM(Kalender!$C$5:$C$370),0)+IFERROR(SUMIF(Nutzungsprofile!$B$6:$B$11,"Halle",Nutzungsprofile!$G$6:$G$11)*Kalender!D54/SUM(Kalender!$D$5:$D$370),0)+IFERROR(SUMIF(Nutzungsprofile!$B$6:$B$11,"Individuell",Nutzungsprofile!$G$6:$G$11)*Kalender!E54/SUM(Kalender!$E$5:$E$370),0))*Szenarien!$E$9,0)</f>
        <v>2.94</v>
      </c>
      <c r="D420" s="13" t="n">
        <f aca="false">IF(Szenarien!$H$9="OK",(IFERROR(SUMIF(Nutzungsprofile!$B$17:$B$22,"Schulbetrieb",Nutzungsprofile!$G$17:$G$22)*Kalender!C54/SUM(Kalender!$C$5:$C$370),0)+IFERROR(SUMIF(Nutzungsprofile!$B$17:$B$22,"Halle",Nutzungsprofile!$G$17:$G$22)*Kalender!D54/SUM(Kalender!$D$5:$D$370),0)+IFERROR(SUMIF(Nutzungsprofile!$B$17:$B$22,"Individuell",Nutzungsprofile!$G$17:$G$22)*Kalender!E54/SUM(Kalender!$E$5:$E$370),0))*Szenarien!$D$9,0)</f>
        <v>4.94</v>
      </c>
      <c r="E420" s="13" t="n">
        <f aca="false">IFERROR(MIN(C420,Eingaben!$B$17)*Eingaben!$B$16,0)</f>
        <v>2.793</v>
      </c>
      <c r="F420" s="13" t="n">
        <f aca="false">IFERROR(E420*Eingaben!$B$15,0)</f>
        <v>2.5137</v>
      </c>
      <c r="G420" s="13" t="n">
        <f aca="false">IFERROR(IF(Kalender!A54="",0,J419*(1-Eingaben!$B$20)),0)</f>
        <v>0.7390278</v>
      </c>
      <c r="H420" s="13" t="n">
        <f aca="false">MIN(G420,D420)</f>
        <v>0.7390278</v>
      </c>
      <c r="I420" s="13" t="n">
        <f aca="false">IFERROR(MIN(F420*Eingaben!$B$19,MAX(0,D420-H420)),0)</f>
        <v>1.75959</v>
      </c>
      <c r="J420" s="13" t="n">
        <f aca="false">IFERROR(MIN(Eingaben!$B$18,MAX(0,F420-I420)),0)</f>
        <v>0.75411</v>
      </c>
      <c r="K420" s="13" t="n">
        <f aca="false">H420+I420</f>
        <v>2.4986178</v>
      </c>
      <c r="L420" s="13" t="n">
        <f aca="false">MAX(0,D420-K420)</f>
        <v>2.4413822</v>
      </c>
      <c r="M420" s="13" t="n">
        <f aca="false">MAX(0,F420-I420-J420)</f>
        <v>0</v>
      </c>
      <c r="N420" s="13" t="n">
        <f aca="false">IF(Kalender!A54="",0,J419-H420)</f>
        <v>0.0150822</v>
      </c>
    </row>
    <row r="421" customFormat="false" ht="16.4" hidden="false" customHeight="false" outlineLevel="0" collapsed="false">
      <c r="A421" s="13" t="str">
        <f aca="false">""</f>
        <v/>
      </c>
      <c r="B421" s="13" t="n">
        <f aca="false">51</f>
        <v>51</v>
      </c>
      <c r="C421" s="13" t="n">
        <f aca="false">IF(Szenarien!$H$9="OK",(IFERROR(SUMIF(Nutzungsprofile!$B$6:$B$11,"Schulbetrieb",Nutzungsprofile!$G$6:$G$11)*Kalender!C55/SUM(Kalender!$C$5:$C$370),0)+IFERROR(SUMIF(Nutzungsprofile!$B$6:$B$11,"Halle",Nutzungsprofile!$G$6:$G$11)*Kalender!D55/SUM(Kalender!$D$5:$D$370),0)+IFERROR(SUMIF(Nutzungsprofile!$B$6:$B$11,"Individuell",Nutzungsprofile!$G$6:$G$11)*Kalender!E55/SUM(Kalender!$E$5:$E$370),0))*Szenarien!$E$9,0)</f>
        <v>2.94</v>
      </c>
      <c r="D421" s="13" t="n">
        <f aca="false">IF(Szenarien!$H$9="OK",(IFERROR(SUMIF(Nutzungsprofile!$B$17:$B$22,"Schulbetrieb",Nutzungsprofile!$G$17:$G$22)*Kalender!C55/SUM(Kalender!$C$5:$C$370),0)+IFERROR(SUMIF(Nutzungsprofile!$B$17:$B$22,"Halle",Nutzungsprofile!$G$17:$G$22)*Kalender!D55/SUM(Kalender!$D$5:$D$370),0)+IFERROR(SUMIF(Nutzungsprofile!$B$17:$B$22,"Individuell",Nutzungsprofile!$G$17:$G$22)*Kalender!E55/SUM(Kalender!$E$5:$E$370),0))*Szenarien!$D$9,0)</f>
        <v>4.94</v>
      </c>
      <c r="E421" s="13" t="n">
        <f aca="false">IFERROR(MIN(C421,Eingaben!$B$17)*Eingaben!$B$16,0)</f>
        <v>2.793</v>
      </c>
      <c r="F421" s="13" t="n">
        <f aca="false">IFERROR(E421*Eingaben!$B$15,0)</f>
        <v>2.5137</v>
      </c>
      <c r="G421" s="13" t="n">
        <f aca="false">IFERROR(IF(Kalender!A55="",0,J420*(1-Eingaben!$B$20)),0)</f>
        <v>0.7390278</v>
      </c>
      <c r="H421" s="13" t="n">
        <f aca="false">MIN(G421,D421)</f>
        <v>0.7390278</v>
      </c>
      <c r="I421" s="13" t="n">
        <f aca="false">IFERROR(MIN(F421*Eingaben!$B$19,MAX(0,D421-H421)),0)</f>
        <v>1.75959</v>
      </c>
      <c r="J421" s="13" t="n">
        <f aca="false">IFERROR(MIN(Eingaben!$B$18,MAX(0,F421-I421)),0)</f>
        <v>0.75411</v>
      </c>
      <c r="K421" s="13" t="n">
        <f aca="false">H421+I421</f>
        <v>2.4986178</v>
      </c>
      <c r="L421" s="13" t="n">
        <f aca="false">MAX(0,D421-K421)</f>
        <v>2.4413822</v>
      </c>
      <c r="M421" s="13" t="n">
        <f aca="false">MAX(0,F421-I421-J421)</f>
        <v>0</v>
      </c>
      <c r="N421" s="13" t="n">
        <f aca="false">IF(Kalender!A55="",0,J420-H421)</f>
        <v>0.0150822</v>
      </c>
    </row>
    <row r="422" customFormat="false" ht="16.4" hidden="false" customHeight="false" outlineLevel="0" collapsed="false">
      <c r="A422" s="13" t="str">
        <f aca="false">""</f>
        <v/>
      </c>
      <c r="B422" s="13" t="n">
        <f aca="false">52</f>
        <v>52</v>
      </c>
      <c r="C422" s="13" t="n">
        <f aca="false">IF(Szenarien!$H$9="OK",(IFERROR(SUMIF(Nutzungsprofile!$B$6:$B$11,"Schulbetrieb",Nutzungsprofile!$G$6:$G$11)*Kalender!C56/SUM(Kalender!$C$5:$C$370),0)+IFERROR(SUMIF(Nutzungsprofile!$B$6:$B$11,"Halle",Nutzungsprofile!$G$6:$G$11)*Kalender!D56/SUM(Kalender!$D$5:$D$370),0)+IFERROR(SUMIF(Nutzungsprofile!$B$6:$B$11,"Individuell",Nutzungsprofile!$G$6:$G$11)*Kalender!E56/SUM(Kalender!$E$5:$E$370),0))*Szenarien!$E$9,0)</f>
        <v>2.04</v>
      </c>
      <c r="D422" s="13" t="n">
        <f aca="false">IF(Szenarien!$H$9="OK",(IFERROR(SUMIF(Nutzungsprofile!$B$17:$B$22,"Schulbetrieb",Nutzungsprofile!$G$17:$G$22)*Kalender!C56/SUM(Kalender!$C$5:$C$370),0)+IFERROR(SUMIF(Nutzungsprofile!$B$17:$B$22,"Halle",Nutzungsprofile!$G$17:$G$22)*Kalender!D56/SUM(Kalender!$D$5:$D$370),0)+IFERROR(SUMIF(Nutzungsprofile!$B$17:$B$22,"Individuell",Nutzungsprofile!$G$17:$G$22)*Kalender!E56/SUM(Kalender!$E$5:$E$370),0))*Szenarien!$D$9,0)</f>
        <v>0.89</v>
      </c>
      <c r="E422" s="13" t="n">
        <f aca="false">IFERROR(MIN(C422,Eingaben!$B$17)*Eingaben!$B$16,0)</f>
        <v>1.938</v>
      </c>
      <c r="F422" s="13" t="n">
        <f aca="false">IFERROR(E422*Eingaben!$B$15,0)</f>
        <v>1.7442</v>
      </c>
      <c r="G422" s="13" t="n">
        <f aca="false">IFERROR(IF(Kalender!A56="",0,J421*(1-Eingaben!$B$20)),0)</f>
        <v>0.7390278</v>
      </c>
      <c r="H422" s="13" t="n">
        <f aca="false">MIN(G422,D422)</f>
        <v>0.7390278</v>
      </c>
      <c r="I422" s="13" t="n">
        <f aca="false">IFERROR(MIN(F422*Eingaben!$B$19,MAX(0,D422-H422)),0)</f>
        <v>0.1509722</v>
      </c>
      <c r="J422" s="13" t="n">
        <f aca="false">IFERROR(MIN(Eingaben!$B$18,MAX(0,F422-I422)),0)</f>
        <v>1.5932278</v>
      </c>
      <c r="K422" s="13" t="n">
        <f aca="false">H422+I422</f>
        <v>0.89</v>
      </c>
      <c r="L422" s="13" t="n">
        <f aca="false">MAX(0,D422-K422)</f>
        <v>0</v>
      </c>
      <c r="M422" s="13" t="n">
        <f aca="false">MAX(0,F422-I422-J422)</f>
        <v>0</v>
      </c>
      <c r="N422" s="13" t="n">
        <f aca="false">IF(Kalender!A56="",0,J421-H422)</f>
        <v>0.0150822</v>
      </c>
    </row>
    <row r="423" customFormat="false" ht="16.4" hidden="false" customHeight="false" outlineLevel="0" collapsed="false">
      <c r="A423" s="13" t="str">
        <f aca="false">""</f>
        <v/>
      </c>
      <c r="B423" s="13" t="n">
        <f aca="false">53</f>
        <v>53</v>
      </c>
      <c r="C423" s="13" t="n">
        <f aca="false">IF(Szenarien!$H$9="OK",(IFERROR(SUMIF(Nutzungsprofile!$B$6:$B$11,"Schulbetrieb",Nutzungsprofile!$G$6:$G$11)*Kalender!C57/SUM(Kalender!$C$5:$C$370),0)+IFERROR(SUMIF(Nutzungsprofile!$B$6:$B$11,"Halle",Nutzungsprofile!$G$6:$G$11)*Kalender!D57/SUM(Kalender!$D$5:$D$370),0)+IFERROR(SUMIF(Nutzungsprofile!$B$6:$B$11,"Individuell",Nutzungsprofile!$G$6:$G$11)*Kalender!E57/SUM(Kalender!$E$5:$E$370),0))*Szenarien!$E$9,0)</f>
        <v>2.04</v>
      </c>
      <c r="D423" s="13" t="n">
        <f aca="false">IF(Szenarien!$H$9="OK",(IFERROR(SUMIF(Nutzungsprofile!$B$17:$B$22,"Schulbetrieb",Nutzungsprofile!$G$17:$G$22)*Kalender!C57/SUM(Kalender!$C$5:$C$370),0)+IFERROR(SUMIF(Nutzungsprofile!$B$17:$B$22,"Halle",Nutzungsprofile!$G$17:$G$22)*Kalender!D57/SUM(Kalender!$D$5:$D$370),0)+IFERROR(SUMIF(Nutzungsprofile!$B$17:$B$22,"Individuell",Nutzungsprofile!$G$17:$G$22)*Kalender!E57/SUM(Kalender!$E$5:$E$370),0))*Szenarien!$D$9,0)</f>
        <v>0.89</v>
      </c>
      <c r="E423" s="13" t="n">
        <f aca="false">IFERROR(MIN(C423,Eingaben!$B$17)*Eingaben!$B$16,0)</f>
        <v>1.938</v>
      </c>
      <c r="F423" s="13" t="n">
        <f aca="false">IFERROR(E423*Eingaben!$B$15,0)</f>
        <v>1.7442</v>
      </c>
      <c r="G423" s="13" t="n">
        <f aca="false">IFERROR(IF(Kalender!A57="",0,J422*(1-Eingaben!$B$20)),0)</f>
        <v>1.561363244</v>
      </c>
      <c r="H423" s="13" t="n">
        <f aca="false">MIN(G423,D423)</f>
        <v>0.89</v>
      </c>
      <c r="I423" s="13" t="n">
        <f aca="false">IFERROR(MIN(F423*Eingaben!$B$19,MAX(0,D423-H423)),0)</f>
        <v>0</v>
      </c>
      <c r="J423" s="13" t="n">
        <f aca="false">IFERROR(MIN(Eingaben!$B$18,MAX(0,F423-I423)),0)</f>
        <v>1.7442</v>
      </c>
      <c r="K423" s="13" t="n">
        <f aca="false">H423+I423</f>
        <v>0.89</v>
      </c>
      <c r="L423" s="13" t="n">
        <f aca="false">MAX(0,D423-K423)</f>
        <v>0</v>
      </c>
      <c r="M423" s="13" t="n">
        <f aca="false">MAX(0,F423-I423-J423)</f>
        <v>0</v>
      </c>
      <c r="N423" s="13" t="n">
        <f aca="false">IF(Kalender!A57="",0,J422-H423)</f>
        <v>0.7032278</v>
      </c>
    </row>
    <row r="424" customFormat="false" ht="16.4" hidden="false" customHeight="false" outlineLevel="0" collapsed="false">
      <c r="A424" s="13" t="str">
        <f aca="false">""</f>
        <v/>
      </c>
      <c r="B424" s="13" t="n">
        <f aca="false">54</f>
        <v>54</v>
      </c>
      <c r="C424" s="13" t="n">
        <f aca="false">IF(Szenarien!$H$9="OK",(IFERROR(SUMIF(Nutzungsprofile!$B$6:$B$11,"Schulbetrieb",Nutzungsprofile!$G$6:$G$11)*Kalender!C58/SUM(Kalender!$C$5:$C$370),0)+IFERROR(SUMIF(Nutzungsprofile!$B$6:$B$11,"Halle",Nutzungsprofile!$G$6:$G$11)*Kalender!D58/SUM(Kalender!$D$5:$D$370),0)+IFERROR(SUMIF(Nutzungsprofile!$B$6:$B$11,"Individuell",Nutzungsprofile!$G$6:$G$11)*Kalender!E58/SUM(Kalender!$E$5:$E$370),0))*Szenarien!$E$9,0)</f>
        <v>2.94</v>
      </c>
      <c r="D424" s="13" t="n">
        <f aca="false">IF(Szenarien!$H$9="OK",(IFERROR(SUMIF(Nutzungsprofile!$B$17:$B$22,"Schulbetrieb",Nutzungsprofile!$G$17:$G$22)*Kalender!C58/SUM(Kalender!$C$5:$C$370),0)+IFERROR(SUMIF(Nutzungsprofile!$B$17:$B$22,"Halle",Nutzungsprofile!$G$17:$G$22)*Kalender!D58/SUM(Kalender!$D$5:$D$370),0)+IFERROR(SUMIF(Nutzungsprofile!$B$17:$B$22,"Individuell",Nutzungsprofile!$G$17:$G$22)*Kalender!E58/SUM(Kalender!$E$5:$E$370),0))*Szenarien!$D$9,0)</f>
        <v>4.94</v>
      </c>
      <c r="E424" s="13" t="n">
        <f aca="false">IFERROR(MIN(C424,Eingaben!$B$17)*Eingaben!$B$16,0)</f>
        <v>2.793</v>
      </c>
      <c r="F424" s="13" t="n">
        <f aca="false">IFERROR(E424*Eingaben!$B$15,0)</f>
        <v>2.5137</v>
      </c>
      <c r="G424" s="13" t="n">
        <f aca="false">IFERROR(IF(Kalender!A58="",0,J423*(1-Eingaben!$B$20)),0)</f>
        <v>1.709316</v>
      </c>
      <c r="H424" s="13" t="n">
        <f aca="false">MIN(G424,D424)</f>
        <v>1.709316</v>
      </c>
      <c r="I424" s="13" t="n">
        <f aca="false">IFERROR(MIN(F424*Eingaben!$B$19,MAX(0,D424-H424)),0)</f>
        <v>1.75959</v>
      </c>
      <c r="J424" s="13" t="n">
        <f aca="false">IFERROR(MIN(Eingaben!$B$18,MAX(0,F424-I424)),0)</f>
        <v>0.75411</v>
      </c>
      <c r="K424" s="13" t="n">
        <f aca="false">H424+I424</f>
        <v>3.468906</v>
      </c>
      <c r="L424" s="13" t="n">
        <f aca="false">MAX(0,D424-K424)</f>
        <v>1.471094</v>
      </c>
      <c r="M424" s="13" t="n">
        <f aca="false">MAX(0,F424-I424-J424)</f>
        <v>0</v>
      </c>
      <c r="N424" s="13" t="n">
        <f aca="false">IF(Kalender!A58="",0,J423-H424)</f>
        <v>0.0348840000000001</v>
      </c>
    </row>
    <row r="425" customFormat="false" ht="16.4" hidden="false" customHeight="false" outlineLevel="0" collapsed="false">
      <c r="A425" s="13" t="str">
        <f aca="false">""</f>
        <v/>
      </c>
      <c r="B425" s="13" t="n">
        <f aca="false">55</f>
        <v>55</v>
      </c>
      <c r="C425" s="13" t="n">
        <f aca="false">IF(Szenarien!$H$9="OK",(IFERROR(SUMIF(Nutzungsprofile!$B$6:$B$11,"Schulbetrieb",Nutzungsprofile!$G$6:$G$11)*Kalender!C59/SUM(Kalender!$C$5:$C$370),0)+IFERROR(SUMIF(Nutzungsprofile!$B$6:$B$11,"Halle",Nutzungsprofile!$G$6:$G$11)*Kalender!D59/SUM(Kalender!$D$5:$D$370),0)+IFERROR(SUMIF(Nutzungsprofile!$B$6:$B$11,"Individuell",Nutzungsprofile!$G$6:$G$11)*Kalender!E59/SUM(Kalender!$E$5:$E$370),0))*Szenarien!$E$9,0)</f>
        <v>2.94</v>
      </c>
      <c r="D425" s="13" t="n">
        <f aca="false">IF(Szenarien!$H$9="OK",(IFERROR(SUMIF(Nutzungsprofile!$B$17:$B$22,"Schulbetrieb",Nutzungsprofile!$G$17:$G$22)*Kalender!C59/SUM(Kalender!$C$5:$C$370),0)+IFERROR(SUMIF(Nutzungsprofile!$B$17:$B$22,"Halle",Nutzungsprofile!$G$17:$G$22)*Kalender!D59/SUM(Kalender!$D$5:$D$370),0)+IFERROR(SUMIF(Nutzungsprofile!$B$17:$B$22,"Individuell",Nutzungsprofile!$G$17:$G$22)*Kalender!E59/SUM(Kalender!$E$5:$E$370),0))*Szenarien!$D$9,0)</f>
        <v>4.94</v>
      </c>
      <c r="E425" s="13" t="n">
        <f aca="false">IFERROR(MIN(C425,Eingaben!$B$17)*Eingaben!$B$16,0)</f>
        <v>2.793</v>
      </c>
      <c r="F425" s="13" t="n">
        <f aca="false">IFERROR(E425*Eingaben!$B$15,0)</f>
        <v>2.5137</v>
      </c>
      <c r="G425" s="13" t="n">
        <f aca="false">IFERROR(IF(Kalender!A59="",0,J424*(1-Eingaben!$B$20)),0)</f>
        <v>0.7390278</v>
      </c>
      <c r="H425" s="13" t="n">
        <f aca="false">MIN(G425,D425)</f>
        <v>0.7390278</v>
      </c>
      <c r="I425" s="13" t="n">
        <f aca="false">IFERROR(MIN(F425*Eingaben!$B$19,MAX(0,D425-H425)),0)</f>
        <v>1.75959</v>
      </c>
      <c r="J425" s="13" t="n">
        <f aca="false">IFERROR(MIN(Eingaben!$B$18,MAX(0,F425-I425)),0)</f>
        <v>0.75411</v>
      </c>
      <c r="K425" s="13" t="n">
        <f aca="false">H425+I425</f>
        <v>2.4986178</v>
      </c>
      <c r="L425" s="13" t="n">
        <f aca="false">MAX(0,D425-K425)</f>
        <v>2.4413822</v>
      </c>
      <c r="M425" s="13" t="n">
        <f aca="false">MAX(0,F425-I425-J425)</f>
        <v>0</v>
      </c>
      <c r="N425" s="13" t="n">
        <f aca="false">IF(Kalender!A59="",0,J424-H425)</f>
        <v>0.0150822</v>
      </c>
    </row>
    <row r="426" customFormat="false" ht="16.4" hidden="false" customHeight="false" outlineLevel="0" collapsed="false">
      <c r="A426" s="13" t="str">
        <f aca="false">""</f>
        <v/>
      </c>
      <c r="B426" s="13" t="n">
        <f aca="false">56</f>
        <v>56</v>
      </c>
      <c r="C426" s="13" t="n">
        <f aca="false">IF(Szenarien!$H$9="OK",(IFERROR(SUMIF(Nutzungsprofile!$B$6:$B$11,"Schulbetrieb",Nutzungsprofile!$G$6:$G$11)*Kalender!C60/SUM(Kalender!$C$5:$C$370),0)+IFERROR(SUMIF(Nutzungsprofile!$B$6:$B$11,"Halle",Nutzungsprofile!$G$6:$G$11)*Kalender!D60/SUM(Kalender!$D$5:$D$370),0)+IFERROR(SUMIF(Nutzungsprofile!$B$6:$B$11,"Individuell",Nutzungsprofile!$G$6:$G$11)*Kalender!E60/SUM(Kalender!$E$5:$E$370),0))*Szenarien!$E$9,0)</f>
        <v>2.94</v>
      </c>
      <c r="D426" s="13" t="n">
        <f aca="false">IF(Szenarien!$H$9="OK",(IFERROR(SUMIF(Nutzungsprofile!$B$17:$B$22,"Schulbetrieb",Nutzungsprofile!$G$17:$G$22)*Kalender!C60/SUM(Kalender!$C$5:$C$370),0)+IFERROR(SUMIF(Nutzungsprofile!$B$17:$B$22,"Halle",Nutzungsprofile!$G$17:$G$22)*Kalender!D60/SUM(Kalender!$D$5:$D$370),0)+IFERROR(SUMIF(Nutzungsprofile!$B$17:$B$22,"Individuell",Nutzungsprofile!$G$17:$G$22)*Kalender!E60/SUM(Kalender!$E$5:$E$370),0))*Szenarien!$D$9,0)</f>
        <v>4.94</v>
      </c>
      <c r="E426" s="13" t="n">
        <f aca="false">IFERROR(MIN(C426,Eingaben!$B$17)*Eingaben!$B$16,0)</f>
        <v>2.793</v>
      </c>
      <c r="F426" s="13" t="n">
        <f aca="false">IFERROR(E426*Eingaben!$B$15,0)</f>
        <v>2.5137</v>
      </c>
      <c r="G426" s="13" t="n">
        <f aca="false">IFERROR(IF(Kalender!A60="",0,J425*(1-Eingaben!$B$20)),0)</f>
        <v>0.7390278</v>
      </c>
      <c r="H426" s="13" t="n">
        <f aca="false">MIN(G426,D426)</f>
        <v>0.7390278</v>
      </c>
      <c r="I426" s="13" t="n">
        <f aca="false">IFERROR(MIN(F426*Eingaben!$B$19,MAX(0,D426-H426)),0)</f>
        <v>1.75959</v>
      </c>
      <c r="J426" s="13" t="n">
        <f aca="false">IFERROR(MIN(Eingaben!$B$18,MAX(0,F426-I426)),0)</f>
        <v>0.75411</v>
      </c>
      <c r="K426" s="13" t="n">
        <f aca="false">H426+I426</f>
        <v>2.4986178</v>
      </c>
      <c r="L426" s="13" t="n">
        <f aca="false">MAX(0,D426-K426)</f>
        <v>2.4413822</v>
      </c>
      <c r="M426" s="13" t="n">
        <f aca="false">MAX(0,F426-I426-J426)</f>
        <v>0</v>
      </c>
      <c r="N426" s="13" t="n">
        <f aca="false">IF(Kalender!A60="",0,J425-H426)</f>
        <v>0.0150822</v>
      </c>
    </row>
    <row r="427" customFormat="false" ht="16.4" hidden="false" customHeight="false" outlineLevel="0" collapsed="false">
      <c r="A427" s="13" t="str">
        <f aca="false">""</f>
        <v/>
      </c>
      <c r="B427" s="13" t="n">
        <f aca="false">57</f>
        <v>57</v>
      </c>
      <c r="C427" s="13" t="n">
        <f aca="false">IF(Szenarien!$H$9="OK",(IFERROR(SUMIF(Nutzungsprofile!$B$6:$B$11,"Schulbetrieb",Nutzungsprofile!$G$6:$G$11)*Kalender!C61/SUM(Kalender!$C$5:$C$370),0)+IFERROR(SUMIF(Nutzungsprofile!$B$6:$B$11,"Halle",Nutzungsprofile!$G$6:$G$11)*Kalender!D61/SUM(Kalender!$D$5:$D$370),0)+IFERROR(SUMIF(Nutzungsprofile!$B$6:$B$11,"Individuell",Nutzungsprofile!$G$6:$G$11)*Kalender!E61/SUM(Kalender!$E$5:$E$370),0))*Szenarien!$E$9,0)</f>
        <v>2.94</v>
      </c>
      <c r="D427" s="13" t="n">
        <f aca="false">IF(Szenarien!$H$9="OK",(IFERROR(SUMIF(Nutzungsprofile!$B$17:$B$22,"Schulbetrieb",Nutzungsprofile!$G$17:$G$22)*Kalender!C61/SUM(Kalender!$C$5:$C$370),0)+IFERROR(SUMIF(Nutzungsprofile!$B$17:$B$22,"Halle",Nutzungsprofile!$G$17:$G$22)*Kalender!D61/SUM(Kalender!$D$5:$D$370),0)+IFERROR(SUMIF(Nutzungsprofile!$B$17:$B$22,"Individuell",Nutzungsprofile!$G$17:$G$22)*Kalender!E61/SUM(Kalender!$E$5:$E$370),0))*Szenarien!$D$9,0)</f>
        <v>4.94</v>
      </c>
      <c r="E427" s="13" t="n">
        <f aca="false">IFERROR(MIN(C427,Eingaben!$B$17)*Eingaben!$B$16,0)</f>
        <v>2.793</v>
      </c>
      <c r="F427" s="13" t="n">
        <f aca="false">IFERROR(E427*Eingaben!$B$15,0)</f>
        <v>2.5137</v>
      </c>
      <c r="G427" s="13" t="n">
        <f aca="false">IFERROR(IF(Kalender!A61="",0,J426*(1-Eingaben!$B$20)),0)</f>
        <v>0.7390278</v>
      </c>
      <c r="H427" s="13" t="n">
        <f aca="false">MIN(G427,D427)</f>
        <v>0.7390278</v>
      </c>
      <c r="I427" s="13" t="n">
        <f aca="false">IFERROR(MIN(F427*Eingaben!$B$19,MAX(0,D427-H427)),0)</f>
        <v>1.75959</v>
      </c>
      <c r="J427" s="13" t="n">
        <f aca="false">IFERROR(MIN(Eingaben!$B$18,MAX(0,F427-I427)),0)</f>
        <v>0.75411</v>
      </c>
      <c r="K427" s="13" t="n">
        <f aca="false">H427+I427</f>
        <v>2.4986178</v>
      </c>
      <c r="L427" s="13" t="n">
        <f aca="false">MAX(0,D427-K427)</f>
        <v>2.4413822</v>
      </c>
      <c r="M427" s="13" t="n">
        <f aca="false">MAX(0,F427-I427-J427)</f>
        <v>0</v>
      </c>
      <c r="N427" s="13" t="n">
        <f aca="false">IF(Kalender!A61="",0,J426-H427)</f>
        <v>0.0150822</v>
      </c>
    </row>
    <row r="428" customFormat="false" ht="16.4" hidden="false" customHeight="false" outlineLevel="0" collapsed="false">
      <c r="A428" s="13" t="str">
        <f aca="false">""</f>
        <v/>
      </c>
      <c r="B428" s="13" t="n">
        <f aca="false">58</f>
        <v>58</v>
      </c>
      <c r="C428" s="13" t="n">
        <f aca="false">IF(Szenarien!$H$9="OK",(IFERROR(SUMIF(Nutzungsprofile!$B$6:$B$11,"Schulbetrieb",Nutzungsprofile!$G$6:$G$11)*Kalender!C62/SUM(Kalender!$C$5:$C$370),0)+IFERROR(SUMIF(Nutzungsprofile!$B$6:$B$11,"Halle",Nutzungsprofile!$G$6:$G$11)*Kalender!D62/SUM(Kalender!$D$5:$D$370),0)+IFERROR(SUMIF(Nutzungsprofile!$B$6:$B$11,"Individuell",Nutzungsprofile!$G$6:$G$11)*Kalender!E62/SUM(Kalender!$E$5:$E$370),0))*Szenarien!$E$9,0)</f>
        <v>2.94</v>
      </c>
      <c r="D428" s="13" t="n">
        <f aca="false">IF(Szenarien!$H$9="OK",(IFERROR(SUMIF(Nutzungsprofile!$B$17:$B$22,"Schulbetrieb",Nutzungsprofile!$G$17:$G$22)*Kalender!C62/SUM(Kalender!$C$5:$C$370),0)+IFERROR(SUMIF(Nutzungsprofile!$B$17:$B$22,"Halle",Nutzungsprofile!$G$17:$G$22)*Kalender!D62/SUM(Kalender!$D$5:$D$370),0)+IFERROR(SUMIF(Nutzungsprofile!$B$17:$B$22,"Individuell",Nutzungsprofile!$G$17:$G$22)*Kalender!E62/SUM(Kalender!$E$5:$E$370),0))*Szenarien!$D$9,0)</f>
        <v>4.94</v>
      </c>
      <c r="E428" s="13" t="n">
        <f aca="false">IFERROR(MIN(C428,Eingaben!$B$17)*Eingaben!$B$16,0)</f>
        <v>2.793</v>
      </c>
      <c r="F428" s="13" t="n">
        <f aca="false">IFERROR(E428*Eingaben!$B$15,0)</f>
        <v>2.5137</v>
      </c>
      <c r="G428" s="13" t="n">
        <f aca="false">IFERROR(IF(Kalender!A62="",0,J427*(1-Eingaben!$B$20)),0)</f>
        <v>0.7390278</v>
      </c>
      <c r="H428" s="13" t="n">
        <f aca="false">MIN(G428,D428)</f>
        <v>0.7390278</v>
      </c>
      <c r="I428" s="13" t="n">
        <f aca="false">IFERROR(MIN(F428*Eingaben!$B$19,MAX(0,D428-H428)),0)</f>
        <v>1.75959</v>
      </c>
      <c r="J428" s="13" t="n">
        <f aca="false">IFERROR(MIN(Eingaben!$B$18,MAX(0,F428-I428)),0)</f>
        <v>0.75411</v>
      </c>
      <c r="K428" s="13" t="n">
        <f aca="false">H428+I428</f>
        <v>2.4986178</v>
      </c>
      <c r="L428" s="13" t="n">
        <f aca="false">MAX(0,D428-K428)</f>
        <v>2.4413822</v>
      </c>
      <c r="M428" s="13" t="n">
        <f aca="false">MAX(0,F428-I428-J428)</f>
        <v>0</v>
      </c>
      <c r="N428" s="13" t="n">
        <f aca="false">IF(Kalender!A62="",0,J427-H428)</f>
        <v>0.0150822</v>
      </c>
    </row>
    <row r="429" customFormat="false" ht="16.4" hidden="false" customHeight="false" outlineLevel="0" collapsed="false">
      <c r="A429" s="13" t="str">
        <f aca="false">""</f>
        <v/>
      </c>
      <c r="B429" s="13" t="n">
        <f aca="false">59</f>
        <v>59</v>
      </c>
      <c r="C429" s="13" t="n">
        <f aca="false">IF(Szenarien!$H$9="OK",(IFERROR(SUMIF(Nutzungsprofile!$B$6:$B$11,"Schulbetrieb",Nutzungsprofile!$G$6:$G$11)*Kalender!C63/SUM(Kalender!$C$5:$C$370),0)+IFERROR(SUMIF(Nutzungsprofile!$B$6:$B$11,"Halle",Nutzungsprofile!$G$6:$G$11)*Kalender!D63/SUM(Kalender!$D$5:$D$370),0)+IFERROR(SUMIF(Nutzungsprofile!$B$6:$B$11,"Individuell",Nutzungsprofile!$G$6:$G$11)*Kalender!E63/SUM(Kalender!$E$5:$E$370),0))*Szenarien!$E$9,0)</f>
        <v>2.04</v>
      </c>
      <c r="D429" s="13" t="n">
        <f aca="false">IF(Szenarien!$H$9="OK",(IFERROR(SUMIF(Nutzungsprofile!$B$17:$B$22,"Schulbetrieb",Nutzungsprofile!$G$17:$G$22)*Kalender!C63/SUM(Kalender!$C$5:$C$370),0)+IFERROR(SUMIF(Nutzungsprofile!$B$17:$B$22,"Halle",Nutzungsprofile!$G$17:$G$22)*Kalender!D63/SUM(Kalender!$D$5:$D$370),0)+IFERROR(SUMIF(Nutzungsprofile!$B$17:$B$22,"Individuell",Nutzungsprofile!$G$17:$G$22)*Kalender!E63/SUM(Kalender!$E$5:$E$370),0))*Szenarien!$D$9,0)</f>
        <v>0.89</v>
      </c>
      <c r="E429" s="13" t="n">
        <f aca="false">IFERROR(MIN(C429,Eingaben!$B$17)*Eingaben!$B$16,0)</f>
        <v>1.938</v>
      </c>
      <c r="F429" s="13" t="n">
        <f aca="false">IFERROR(E429*Eingaben!$B$15,0)</f>
        <v>1.7442</v>
      </c>
      <c r="G429" s="13" t="n">
        <f aca="false">IFERROR(IF(Kalender!A63="",0,J428*(1-Eingaben!$B$20)),0)</f>
        <v>0.7390278</v>
      </c>
      <c r="H429" s="13" t="n">
        <f aca="false">MIN(G429,D429)</f>
        <v>0.7390278</v>
      </c>
      <c r="I429" s="13" t="n">
        <f aca="false">IFERROR(MIN(F429*Eingaben!$B$19,MAX(0,D429-H429)),0)</f>
        <v>0.1509722</v>
      </c>
      <c r="J429" s="13" t="n">
        <f aca="false">IFERROR(MIN(Eingaben!$B$18,MAX(0,F429-I429)),0)</f>
        <v>1.5932278</v>
      </c>
      <c r="K429" s="13" t="n">
        <f aca="false">H429+I429</f>
        <v>0.89</v>
      </c>
      <c r="L429" s="13" t="n">
        <f aca="false">MAX(0,D429-K429)</f>
        <v>0</v>
      </c>
      <c r="M429" s="13" t="n">
        <f aca="false">MAX(0,F429-I429-J429)</f>
        <v>0</v>
      </c>
      <c r="N429" s="13" t="n">
        <f aca="false">IF(Kalender!A63="",0,J428-H429)</f>
        <v>0.0150822</v>
      </c>
    </row>
    <row r="430" customFormat="false" ht="16.4" hidden="false" customHeight="false" outlineLevel="0" collapsed="false">
      <c r="A430" s="13" t="str">
        <f aca="false">""</f>
        <v/>
      </c>
      <c r="B430" s="13" t="n">
        <f aca="false">60</f>
        <v>60</v>
      </c>
      <c r="C430" s="13" t="n">
        <f aca="false">IF(Szenarien!$H$9="OK",(IFERROR(SUMIF(Nutzungsprofile!$B$6:$B$11,"Schulbetrieb",Nutzungsprofile!$G$6:$G$11)*Kalender!C64/SUM(Kalender!$C$5:$C$370),0)+IFERROR(SUMIF(Nutzungsprofile!$B$6:$B$11,"Halle",Nutzungsprofile!$G$6:$G$11)*Kalender!D64/SUM(Kalender!$D$5:$D$370),0)+IFERROR(SUMIF(Nutzungsprofile!$B$6:$B$11,"Individuell",Nutzungsprofile!$G$6:$G$11)*Kalender!E64/SUM(Kalender!$E$5:$E$370),0))*Szenarien!$E$9,0)</f>
        <v>2.04</v>
      </c>
      <c r="D430" s="13" t="n">
        <f aca="false">IF(Szenarien!$H$9="OK",(IFERROR(SUMIF(Nutzungsprofile!$B$17:$B$22,"Schulbetrieb",Nutzungsprofile!$G$17:$G$22)*Kalender!C64/SUM(Kalender!$C$5:$C$370),0)+IFERROR(SUMIF(Nutzungsprofile!$B$17:$B$22,"Halle",Nutzungsprofile!$G$17:$G$22)*Kalender!D64/SUM(Kalender!$D$5:$D$370),0)+IFERROR(SUMIF(Nutzungsprofile!$B$17:$B$22,"Individuell",Nutzungsprofile!$G$17:$G$22)*Kalender!E64/SUM(Kalender!$E$5:$E$370),0))*Szenarien!$D$9,0)</f>
        <v>0.89</v>
      </c>
      <c r="E430" s="13" t="n">
        <f aca="false">IFERROR(MIN(C430,Eingaben!$B$17)*Eingaben!$B$16,0)</f>
        <v>1.938</v>
      </c>
      <c r="F430" s="13" t="n">
        <f aca="false">IFERROR(E430*Eingaben!$B$15,0)</f>
        <v>1.7442</v>
      </c>
      <c r="G430" s="13" t="n">
        <f aca="false">IFERROR(IF(Kalender!A64="",0,J429*(1-Eingaben!$B$20)),0)</f>
        <v>1.561363244</v>
      </c>
      <c r="H430" s="13" t="n">
        <f aca="false">MIN(G430,D430)</f>
        <v>0.89</v>
      </c>
      <c r="I430" s="13" t="n">
        <f aca="false">IFERROR(MIN(F430*Eingaben!$B$19,MAX(0,D430-H430)),0)</f>
        <v>0</v>
      </c>
      <c r="J430" s="13" t="n">
        <f aca="false">IFERROR(MIN(Eingaben!$B$18,MAX(0,F430-I430)),0)</f>
        <v>1.7442</v>
      </c>
      <c r="K430" s="13" t="n">
        <f aca="false">H430+I430</f>
        <v>0.89</v>
      </c>
      <c r="L430" s="13" t="n">
        <f aca="false">MAX(0,D430-K430)</f>
        <v>0</v>
      </c>
      <c r="M430" s="13" t="n">
        <f aca="false">MAX(0,F430-I430-J430)</f>
        <v>0</v>
      </c>
      <c r="N430" s="13" t="n">
        <f aca="false">IF(Kalender!A64="",0,J429-H430)</f>
        <v>0.7032278</v>
      </c>
    </row>
    <row r="431" customFormat="false" ht="16.4" hidden="false" customHeight="false" outlineLevel="0" collapsed="false">
      <c r="A431" s="13" t="str">
        <f aca="false">""</f>
        <v/>
      </c>
      <c r="B431" s="13" t="n">
        <f aca="false">61</f>
        <v>61</v>
      </c>
      <c r="C431" s="13" t="n">
        <f aca="false">IF(Szenarien!$H$9="OK",(IFERROR(SUMIF(Nutzungsprofile!$B$6:$B$11,"Schulbetrieb",Nutzungsprofile!$G$6:$G$11)*Kalender!C65/SUM(Kalender!$C$5:$C$370),0)+IFERROR(SUMIF(Nutzungsprofile!$B$6:$B$11,"Halle",Nutzungsprofile!$G$6:$G$11)*Kalender!D65/SUM(Kalender!$D$5:$D$370),0)+IFERROR(SUMIF(Nutzungsprofile!$B$6:$B$11,"Individuell",Nutzungsprofile!$G$6:$G$11)*Kalender!E65/SUM(Kalender!$E$5:$E$370),0))*Szenarien!$E$9,0)</f>
        <v>2.94</v>
      </c>
      <c r="D431" s="13" t="n">
        <f aca="false">IF(Szenarien!$H$9="OK",(IFERROR(SUMIF(Nutzungsprofile!$B$17:$B$22,"Schulbetrieb",Nutzungsprofile!$G$17:$G$22)*Kalender!C65/SUM(Kalender!$C$5:$C$370),0)+IFERROR(SUMIF(Nutzungsprofile!$B$17:$B$22,"Halle",Nutzungsprofile!$G$17:$G$22)*Kalender!D65/SUM(Kalender!$D$5:$D$370),0)+IFERROR(SUMIF(Nutzungsprofile!$B$17:$B$22,"Individuell",Nutzungsprofile!$G$17:$G$22)*Kalender!E65/SUM(Kalender!$E$5:$E$370),0))*Szenarien!$D$9,0)</f>
        <v>4.94</v>
      </c>
      <c r="E431" s="13" t="n">
        <f aca="false">IFERROR(MIN(C431,Eingaben!$B$17)*Eingaben!$B$16,0)</f>
        <v>2.793</v>
      </c>
      <c r="F431" s="13" t="n">
        <f aca="false">IFERROR(E431*Eingaben!$B$15,0)</f>
        <v>2.5137</v>
      </c>
      <c r="G431" s="13" t="n">
        <f aca="false">IFERROR(IF(Kalender!A65="",0,J430*(1-Eingaben!$B$20)),0)</f>
        <v>1.709316</v>
      </c>
      <c r="H431" s="13" t="n">
        <f aca="false">MIN(G431,D431)</f>
        <v>1.709316</v>
      </c>
      <c r="I431" s="13" t="n">
        <f aca="false">IFERROR(MIN(F431*Eingaben!$B$19,MAX(0,D431-H431)),0)</f>
        <v>1.75959</v>
      </c>
      <c r="J431" s="13" t="n">
        <f aca="false">IFERROR(MIN(Eingaben!$B$18,MAX(0,F431-I431)),0)</f>
        <v>0.75411</v>
      </c>
      <c r="K431" s="13" t="n">
        <f aca="false">H431+I431</f>
        <v>3.468906</v>
      </c>
      <c r="L431" s="13" t="n">
        <f aca="false">MAX(0,D431-K431)</f>
        <v>1.471094</v>
      </c>
      <c r="M431" s="13" t="n">
        <f aca="false">MAX(0,F431-I431-J431)</f>
        <v>0</v>
      </c>
      <c r="N431" s="13" t="n">
        <f aca="false">IF(Kalender!A65="",0,J430-H431)</f>
        <v>0.0348840000000001</v>
      </c>
    </row>
    <row r="432" customFormat="false" ht="16.4" hidden="false" customHeight="false" outlineLevel="0" collapsed="false">
      <c r="A432" s="13" t="str">
        <f aca="false">""</f>
        <v/>
      </c>
      <c r="B432" s="13" t="n">
        <f aca="false">62</f>
        <v>62</v>
      </c>
      <c r="C432" s="13" t="n">
        <f aca="false">IF(Szenarien!$H$9="OK",(IFERROR(SUMIF(Nutzungsprofile!$B$6:$B$11,"Schulbetrieb",Nutzungsprofile!$G$6:$G$11)*Kalender!C66/SUM(Kalender!$C$5:$C$370),0)+IFERROR(SUMIF(Nutzungsprofile!$B$6:$B$11,"Halle",Nutzungsprofile!$G$6:$G$11)*Kalender!D66/SUM(Kalender!$D$5:$D$370),0)+IFERROR(SUMIF(Nutzungsprofile!$B$6:$B$11,"Individuell",Nutzungsprofile!$G$6:$G$11)*Kalender!E66/SUM(Kalender!$E$5:$E$370),0))*Szenarien!$E$9,0)</f>
        <v>2.94</v>
      </c>
      <c r="D432" s="13" t="n">
        <f aca="false">IF(Szenarien!$H$9="OK",(IFERROR(SUMIF(Nutzungsprofile!$B$17:$B$22,"Schulbetrieb",Nutzungsprofile!$G$17:$G$22)*Kalender!C66/SUM(Kalender!$C$5:$C$370),0)+IFERROR(SUMIF(Nutzungsprofile!$B$17:$B$22,"Halle",Nutzungsprofile!$G$17:$G$22)*Kalender!D66/SUM(Kalender!$D$5:$D$370),0)+IFERROR(SUMIF(Nutzungsprofile!$B$17:$B$22,"Individuell",Nutzungsprofile!$G$17:$G$22)*Kalender!E66/SUM(Kalender!$E$5:$E$370),0))*Szenarien!$D$9,0)</f>
        <v>4.94</v>
      </c>
      <c r="E432" s="13" t="n">
        <f aca="false">IFERROR(MIN(C432,Eingaben!$B$17)*Eingaben!$B$16,0)</f>
        <v>2.793</v>
      </c>
      <c r="F432" s="13" t="n">
        <f aca="false">IFERROR(E432*Eingaben!$B$15,0)</f>
        <v>2.5137</v>
      </c>
      <c r="G432" s="13" t="n">
        <f aca="false">IFERROR(IF(Kalender!A66="",0,J431*(1-Eingaben!$B$20)),0)</f>
        <v>0.7390278</v>
      </c>
      <c r="H432" s="13" t="n">
        <f aca="false">MIN(G432,D432)</f>
        <v>0.7390278</v>
      </c>
      <c r="I432" s="13" t="n">
        <f aca="false">IFERROR(MIN(F432*Eingaben!$B$19,MAX(0,D432-H432)),0)</f>
        <v>1.75959</v>
      </c>
      <c r="J432" s="13" t="n">
        <f aca="false">IFERROR(MIN(Eingaben!$B$18,MAX(0,F432-I432)),0)</f>
        <v>0.75411</v>
      </c>
      <c r="K432" s="13" t="n">
        <f aca="false">H432+I432</f>
        <v>2.4986178</v>
      </c>
      <c r="L432" s="13" t="n">
        <f aca="false">MAX(0,D432-K432)</f>
        <v>2.4413822</v>
      </c>
      <c r="M432" s="13" t="n">
        <f aca="false">MAX(0,F432-I432-J432)</f>
        <v>0</v>
      </c>
      <c r="N432" s="13" t="n">
        <f aca="false">IF(Kalender!A66="",0,J431-H432)</f>
        <v>0.0150822</v>
      </c>
    </row>
    <row r="433" customFormat="false" ht="16.4" hidden="false" customHeight="false" outlineLevel="0" collapsed="false">
      <c r="A433" s="13" t="str">
        <f aca="false">""</f>
        <v/>
      </c>
      <c r="B433" s="13" t="n">
        <f aca="false">63</f>
        <v>63</v>
      </c>
      <c r="C433" s="13" t="n">
        <f aca="false">IF(Szenarien!$H$9="OK",(IFERROR(SUMIF(Nutzungsprofile!$B$6:$B$11,"Schulbetrieb",Nutzungsprofile!$G$6:$G$11)*Kalender!C67/SUM(Kalender!$C$5:$C$370),0)+IFERROR(SUMIF(Nutzungsprofile!$B$6:$B$11,"Halle",Nutzungsprofile!$G$6:$G$11)*Kalender!D67/SUM(Kalender!$D$5:$D$370),0)+IFERROR(SUMIF(Nutzungsprofile!$B$6:$B$11,"Individuell",Nutzungsprofile!$G$6:$G$11)*Kalender!E67/SUM(Kalender!$E$5:$E$370),0))*Szenarien!$E$9,0)</f>
        <v>2.94</v>
      </c>
      <c r="D433" s="13" t="n">
        <f aca="false">IF(Szenarien!$H$9="OK",(IFERROR(SUMIF(Nutzungsprofile!$B$17:$B$22,"Schulbetrieb",Nutzungsprofile!$G$17:$G$22)*Kalender!C67/SUM(Kalender!$C$5:$C$370),0)+IFERROR(SUMIF(Nutzungsprofile!$B$17:$B$22,"Halle",Nutzungsprofile!$G$17:$G$22)*Kalender!D67/SUM(Kalender!$D$5:$D$370),0)+IFERROR(SUMIF(Nutzungsprofile!$B$17:$B$22,"Individuell",Nutzungsprofile!$G$17:$G$22)*Kalender!E67/SUM(Kalender!$E$5:$E$370),0))*Szenarien!$D$9,0)</f>
        <v>4.94</v>
      </c>
      <c r="E433" s="13" t="n">
        <f aca="false">IFERROR(MIN(C433,Eingaben!$B$17)*Eingaben!$B$16,0)</f>
        <v>2.793</v>
      </c>
      <c r="F433" s="13" t="n">
        <f aca="false">IFERROR(E433*Eingaben!$B$15,0)</f>
        <v>2.5137</v>
      </c>
      <c r="G433" s="13" t="n">
        <f aca="false">IFERROR(IF(Kalender!A67="",0,J432*(1-Eingaben!$B$20)),0)</f>
        <v>0.7390278</v>
      </c>
      <c r="H433" s="13" t="n">
        <f aca="false">MIN(G433,D433)</f>
        <v>0.7390278</v>
      </c>
      <c r="I433" s="13" t="n">
        <f aca="false">IFERROR(MIN(F433*Eingaben!$B$19,MAX(0,D433-H433)),0)</f>
        <v>1.75959</v>
      </c>
      <c r="J433" s="13" t="n">
        <f aca="false">IFERROR(MIN(Eingaben!$B$18,MAX(0,F433-I433)),0)</f>
        <v>0.75411</v>
      </c>
      <c r="K433" s="13" t="n">
        <f aca="false">H433+I433</f>
        <v>2.4986178</v>
      </c>
      <c r="L433" s="13" t="n">
        <f aca="false">MAX(0,D433-K433)</f>
        <v>2.4413822</v>
      </c>
      <c r="M433" s="13" t="n">
        <f aca="false">MAX(0,F433-I433-J433)</f>
        <v>0</v>
      </c>
      <c r="N433" s="13" t="n">
        <f aca="false">IF(Kalender!A67="",0,J432-H433)</f>
        <v>0.0150822</v>
      </c>
    </row>
    <row r="434" customFormat="false" ht="16.4" hidden="false" customHeight="false" outlineLevel="0" collapsed="false">
      <c r="A434" s="13" t="str">
        <f aca="false">""</f>
        <v/>
      </c>
      <c r="B434" s="13" t="n">
        <f aca="false">64</f>
        <v>64</v>
      </c>
      <c r="C434" s="13" t="n">
        <f aca="false">IF(Szenarien!$H$9="OK",(IFERROR(SUMIF(Nutzungsprofile!$B$6:$B$11,"Schulbetrieb",Nutzungsprofile!$G$6:$G$11)*Kalender!C68/SUM(Kalender!$C$5:$C$370),0)+IFERROR(SUMIF(Nutzungsprofile!$B$6:$B$11,"Halle",Nutzungsprofile!$G$6:$G$11)*Kalender!D68/SUM(Kalender!$D$5:$D$370),0)+IFERROR(SUMIF(Nutzungsprofile!$B$6:$B$11,"Individuell",Nutzungsprofile!$G$6:$G$11)*Kalender!E68/SUM(Kalender!$E$5:$E$370),0))*Szenarien!$E$9,0)</f>
        <v>2.94</v>
      </c>
      <c r="D434" s="13" t="n">
        <f aca="false">IF(Szenarien!$H$9="OK",(IFERROR(SUMIF(Nutzungsprofile!$B$17:$B$22,"Schulbetrieb",Nutzungsprofile!$G$17:$G$22)*Kalender!C68/SUM(Kalender!$C$5:$C$370),0)+IFERROR(SUMIF(Nutzungsprofile!$B$17:$B$22,"Halle",Nutzungsprofile!$G$17:$G$22)*Kalender!D68/SUM(Kalender!$D$5:$D$370),0)+IFERROR(SUMIF(Nutzungsprofile!$B$17:$B$22,"Individuell",Nutzungsprofile!$G$17:$G$22)*Kalender!E68/SUM(Kalender!$E$5:$E$370),0))*Szenarien!$D$9,0)</f>
        <v>4.94</v>
      </c>
      <c r="E434" s="13" t="n">
        <f aca="false">IFERROR(MIN(C434,Eingaben!$B$17)*Eingaben!$B$16,0)</f>
        <v>2.793</v>
      </c>
      <c r="F434" s="13" t="n">
        <f aca="false">IFERROR(E434*Eingaben!$B$15,0)</f>
        <v>2.5137</v>
      </c>
      <c r="G434" s="13" t="n">
        <f aca="false">IFERROR(IF(Kalender!A68="",0,J433*(1-Eingaben!$B$20)),0)</f>
        <v>0.7390278</v>
      </c>
      <c r="H434" s="13" t="n">
        <f aca="false">MIN(G434,D434)</f>
        <v>0.7390278</v>
      </c>
      <c r="I434" s="13" t="n">
        <f aca="false">IFERROR(MIN(F434*Eingaben!$B$19,MAX(0,D434-H434)),0)</f>
        <v>1.75959</v>
      </c>
      <c r="J434" s="13" t="n">
        <f aca="false">IFERROR(MIN(Eingaben!$B$18,MAX(0,F434-I434)),0)</f>
        <v>0.75411</v>
      </c>
      <c r="K434" s="13" t="n">
        <f aca="false">H434+I434</f>
        <v>2.4986178</v>
      </c>
      <c r="L434" s="13" t="n">
        <f aca="false">MAX(0,D434-K434)</f>
        <v>2.4413822</v>
      </c>
      <c r="M434" s="13" t="n">
        <f aca="false">MAX(0,F434-I434-J434)</f>
        <v>0</v>
      </c>
      <c r="N434" s="13" t="n">
        <f aca="false">IF(Kalender!A68="",0,J433-H434)</f>
        <v>0.0150822</v>
      </c>
    </row>
    <row r="435" customFormat="false" ht="16.4" hidden="false" customHeight="false" outlineLevel="0" collapsed="false">
      <c r="A435" s="13" t="str">
        <f aca="false">""</f>
        <v/>
      </c>
      <c r="B435" s="13" t="n">
        <f aca="false">65</f>
        <v>65</v>
      </c>
      <c r="C435" s="13" t="n">
        <f aca="false">IF(Szenarien!$H$9="OK",(IFERROR(SUMIF(Nutzungsprofile!$B$6:$B$11,"Schulbetrieb",Nutzungsprofile!$G$6:$G$11)*Kalender!C69/SUM(Kalender!$C$5:$C$370),0)+IFERROR(SUMIF(Nutzungsprofile!$B$6:$B$11,"Halle",Nutzungsprofile!$G$6:$G$11)*Kalender!D69/SUM(Kalender!$D$5:$D$370),0)+IFERROR(SUMIF(Nutzungsprofile!$B$6:$B$11,"Individuell",Nutzungsprofile!$G$6:$G$11)*Kalender!E69/SUM(Kalender!$E$5:$E$370),0))*Szenarien!$E$9,0)</f>
        <v>2.94</v>
      </c>
      <c r="D435" s="13" t="n">
        <f aca="false">IF(Szenarien!$H$9="OK",(IFERROR(SUMIF(Nutzungsprofile!$B$17:$B$22,"Schulbetrieb",Nutzungsprofile!$G$17:$G$22)*Kalender!C69/SUM(Kalender!$C$5:$C$370),0)+IFERROR(SUMIF(Nutzungsprofile!$B$17:$B$22,"Halle",Nutzungsprofile!$G$17:$G$22)*Kalender!D69/SUM(Kalender!$D$5:$D$370),0)+IFERROR(SUMIF(Nutzungsprofile!$B$17:$B$22,"Individuell",Nutzungsprofile!$G$17:$G$22)*Kalender!E69/SUM(Kalender!$E$5:$E$370),0))*Szenarien!$D$9,0)</f>
        <v>4.94</v>
      </c>
      <c r="E435" s="13" t="n">
        <f aca="false">IFERROR(MIN(C435,Eingaben!$B$17)*Eingaben!$B$16,0)</f>
        <v>2.793</v>
      </c>
      <c r="F435" s="13" t="n">
        <f aca="false">IFERROR(E435*Eingaben!$B$15,0)</f>
        <v>2.5137</v>
      </c>
      <c r="G435" s="13" t="n">
        <f aca="false">IFERROR(IF(Kalender!A69="",0,J434*(1-Eingaben!$B$20)),0)</f>
        <v>0.7390278</v>
      </c>
      <c r="H435" s="13" t="n">
        <f aca="false">MIN(G435,D435)</f>
        <v>0.7390278</v>
      </c>
      <c r="I435" s="13" t="n">
        <f aca="false">IFERROR(MIN(F435*Eingaben!$B$19,MAX(0,D435-H435)),0)</f>
        <v>1.75959</v>
      </c>
      <c r="J435" s="13" t="n">
        <f aca="false">IFERROR(MIN(Eingaben!$B$18,MAX(0,F435-I435)),0)</f>
        <v>0.75411</v>
      </c>
      <c r="K435" s="13" t="n">
        <f aca="false">H435+I435</f>
        <v>2.4986178</v>
      </c>
      <c r="L435" s="13" t="n">
        <f aca="false">MAX(0,D435-K435)</f>
        <v>2.4413822</v>
      </c>
      <c r="M435" s="13" t="n">
        <f aca="false">MAX(0,F435-I435-J435)</f>
        <v>0</v>
      </c>
      <c r="N435" s="13" t="n">
        <f aca="false">IF(Kalender!A69="",0,J434-H435)</f>
        <v>0.0150822</v>
      </c>
    </row>
    <row r="436" customFormat="false" ht="16.4" hidden="false" customHeight="false" outlineLevel="0" collapsed="false">
      <c r="A436" s="13" t="str">
        <f aca="false">""</f>
        <v/>
      </c>
      <c r="B436" s="13" t="n">
        <f aca="false">66</f>
        <v>66</v>
      </c>
      <c r="C436" s="13" t="n">
        <f aca="false">IF(Szenarien!$H$9="OK",(IFERROR(SUMIF(Nutzungsprofile!$B$6:$B$11,"Schulbetrieb",Nutzungsprofile!$G$6:$G$11)*Kalender!C70/SUM(Kalender!$C$5:$C$370),0)+IFERROR(SUMIF(Nutzungsprofile!$B$6:$B$11,"Halle",Nutzungsprofile!$G$6:$G$11)*Kalender!D70/SUM(Kalender!$D$5:$D$370),0)+IFERROR(SUMIF(Nutzungsprofile!$B$6:$B$11,"Individuell",Nutzungsprofile!$G$6:$G$11)*Kalender!E70/SUM(Kalender!$E$5:$E$370),0))*Szenarien!$E$9,0)</f>
        <v>2.04</v>
      </c>
      <c r="D436" s="13" t="n">
        <f aca="false">IF(Szenarien!$H$9="OK",(IFERROR(SUMIF(Nutzungsprofile!$B$17:$B$22,"Schulbetrieb",Nutzungsprofile!$G$17:$G$22)*Kalender!C70/SUM(Kalender!$C$5:$C$370),0)+IFERROR(SUMIF(Nutzungsprofile!$B$17:$B$22,"Halle",Nutzungsprofile!$G$17:$G$22)*Kalender!D70/SUM(Kalender!$D$5:$D$370),0)+IFERROR(SUMIF(Nutzungsprofile!$B$17:$B$22,"Individuell",Nutzungsprofile!$G$17:$G$22)*Kalender!E70/SUM(Kalender!$E$5:$E$370),0))*Szenarien!$D$9,0)</f>
        <v>0.89</v>
      </c>
      <c r="E436" s="13" t="n">
        <f aca="false">IFERROR(MIN(C436,Eingaben!$B$17)*Eingaben!$B$16,0)</f>
        <v>1.938</v>
      </c>
      <c r="F436" s="13" t="n">
        <f aca="false">IFERROR(E436*Eingaben!$B$15,0)</f>
        <v>1.7442</v>
      </c>
      <c r="G436" s="13" t="n">
        <f aca="false">IFERROR(IF(Kalender!A70="",0,J435*(1-Eingaben!$B$20)),0)</f>
        <v>0.7390278</v>
      </c>
      <c r="H436" s="13" t="n">
        <f aca="false">MIN(G436,D436)</f>
        <v>0.7390278</v>
      </c>
      <c r="I436" s="13" t="n">
        <f aca="false">IFERROR(MIN(F436*Eingaben!$B$19,MAX(0,D436-H436)),0)</f>
        <v>0.1509722</v>
      </c>
      <c r="J436" s="13" t="n">
        <f aca="false">IFERROR(MIN(Eingaben!$B$18,MAX(0,F436-I436)),0)</f>
        <v>1.5932278</v>
      </c>
      <c r="K436" s="13" t="n">
        <f aca="false">H436+I436</f>
        <v>0.89</v>
      </c>
      <c r="L436" s="13" t="n">
        <f aca="false">MAX(0,D436-K436)</f>
        <v>0</v>
      </c>
      <c r="M436" s="13" t="n">
        <f aca="false">MAX(0,F436-I436-J436)</f>
        <v>0</v>
      </c>
      <c r="N436" s="13" t="n">
        <f aca="false">IF(Kalender!A70="",0,J435-H436)</f>
        <v>0.0150822</v>
      </c>
    </row>
    <row r="437" customFormat="false" ht="16.4" hidden="false" customHeight="false" outlineLevel="0" collapsed="false">
      <c r="A437" s="13" t="str">
        <f aca="false">""</f>
        <v/>
      </c>
      <c r="B437" s="13" t="n">
        <f aca="false">67</f>
        <v>67</v>
      </c>
      <c r="C437" s="13" t="n">
        <f aca="false">IF(Szenarien!$H$9="OK",(IFERROR(SUMIF(Nutzungsprofile!$B$6:$B$11,"Schulbetrieb",Nutzungsprofile!$G$6:$G$11)*Kalender!C71/SUM(Kalender!$C$5:$C$370),0)+IFERROR(SUMIF(Nutzungsprofile!$B$6:$B$11,"Halle",Nutzungsprofile!$G$6:$G$11)*Kalender!D71/SUM(Kalender!$D$5:$D$370),0)+IFERROR(SUMIF(Nutzungsprofile!$B$6:$B$11,"Individuell",Nutzungsprofile!$G$6:$G$11)*Kalender!E71/SUM(Kalender!$E$5:$E$370),0))*Szenarien!$E$9,0)</f>
        <v>2.04</v>
      </c>
      <c r="D437" s="13" t="n">
        <f aca="false">IF(Szenarien!$H$9="OK",(IFERROR(SUMIF(Nutzungsprofile!$B$17:$B$22,"Schulbetrieb",Nutzungsprofile!$G$17:$G$22)*Kalender!C71/SUM(Kalender!$C$5:$C$370),0)+IFERROR(SUMIF(Nutzungsprofile!$B$17:$B$22,"Halle",Nutzungsprofile!$G$17:$G$22)*Kalender!D71/SUM(Kalender!$D$5:$D$370),0)+IFERROR(SUMIF(Nutzungsprofile!$B$17:$B$22,"Individuell",Nutzungsprofile!$G$17:$G$22)*Kalender!E71/SUM(Kalender!$E$5:$E$370),0))*Szenarien!$D$9,0)</f>
        <v>0.89</v>
      </c>
      <c r="E437" s="13" t="n">
        <f aca="false">IFERROR(MIN(C437,Eingaben!$B$17)*Eingaben!$B$16,0)</f>
        <v>1.938</v>
      </c>
      <c r="F437" s="13" t="n">
        <f aca="false">IFERROR(E437*Eingaben!$B$15,0)</f>
        <v>1.7442</v>
      </c>
      <c r="G437" s="13" t="n">
        <f aca="false">IFERROR(IF(Kalender!A71="",0,J436*(1-Eingaben!$B$20)),0)</f>
        <v>1.561363244</v>
      </c>
      <c r="H437" s="13" t="n">
        <f aca="false">MIN(G437,D437)</f>
        <v>0.89</v>
      </c>
      <c r="I437" s="13" t="n">
        <f aca="false">IFERROR(MIN(F437*Eingaben!$B$19,MAX(0,D437-H437)),0)</f>
        <v>0</v>
      </c>
      <c r="J437" s="13" t="n">
        <f aca="false">IFERROR(MIN(Eingaben!$B$18,MAX(0,F437-I437)),0)</f>
        <v>1.7442</v>
      </c>
      <c r="K437" s="13" t="n">
        <f aca="false">H437+I437</f>
        <v>0.89</v>
      </c>
      <c r="L437" s="13" t="n">
        <f aca="false">MAX(0,D437-K437)</f>
        <v>0</v>
      </c>
      <c r="M437" s="13" t="n">
        <f aca="false">MAX(0,F437-I437-J437)</f>
        <v>0</v>
      </c>
      <c r="N437" s="13" t="n">
        <f aca="false">IF(Kalender!A71="",0,J436-H437)</f>
        <v>0.7032278</v>
      </c>
    </row>
    <row r="438" customFormat="false" ht="16.4" hidden="false" customHeight="false" outlineLevel="0" collapsed="false">
      <c r="A438" s="13" t="str">
        <f aca="false">""</f>
        <v/>
      </c>
      <c r="B438" s="13" t="n">
        <f aca="false">68</f>
        <v>68</v>
      </c>
      <c r="C438" s="13" t="n">
        <f aca="false">IF(Szenarien!$H$9="OK",(IFERROR(SUMIF(Nutzungsprofile!$B$6:$B$11,"Schulbetrieb",Nutzungsprofile!$G$6:$G$11)*Kalender!C72/SUM(Kalender!$C$5:$C$370),0)+IFERROR(SUMIF(Nutzungsprofile!$B$6:$B$11,"Halle",Nutzungsprofile!$G$6:$G$11)*Kalender!D72/SUM(Kalender!$D$5:$D$370),0)+IFERROR(SUMIF(Nutzungsprofile!$B$6:$B$11,"Individuell",Nutzungsprofile!$G$6:$G$11)*Kalender!E72/SUM(Kalender!$E$5:$E$370),0))*Szenarien!$E$9,0)</f>
        <v>2.94</v>
      </c>
      <c r="D438" s="13" t="n">
        <f aca="false">IF(Szenarien!$H$9="OK",(IFERROR(SUMIF(Nutzungsprofile!$B$17:$B$22,"Schulbetrieb",Nutzungsprofile!$G$17:$G$22)*Kalender!C72/SUM(Kalender!$C$5:$C$370),0)+IFERROR(SUMIF(Nutzungsprofile!$B$17:$B$22,"Halle",Nutzungsprofile!$G$17:$G$22)*Kalender!D72/SUM(Kalender!$D$5:$D$370),0)+IFERROR(SUMIF(Nutzungsprofile!$B$17:$B$22,"Individuell",Nutzungsprofile!$G$17:$G$22)*Kalender!E72/SUM(Kalender!$E$5:$E$370),0))*Szenarien!$D$9,0)</f>
        <v>4.94</v>
      </c>
      <c r="E438" s="13" t="n">
        <f aca="false">IFERROR(MIN(C438,Eingaben!$B$17)*Eingaben!$B$16,0)</f>
        <v>2.793</v>
      </c>
      <c r="F438" s="13" t="n">
        <f aca="false">IFERROR(E438*Eingaben!$B$15,0)</f>
        <v>2.5137</v>
      </c>
      <c r="G438" s="13" t="n">
        <f aca="false">IFERROR(IF(Kalender!A72="",0,J437*(1-Eingaben!$B$20)),0)</f>
        <v>1.709316</v>
      </c>
      <c r="H438" s="13" t="n">
        <f aca="false">MIN(G438,D438)</f>
        <v>1.709316</v>
      </c>
      <c r="I438" s="13" t="n">
        <f aca="false">IFERROR(MIN(F438*Eingaben!$B$19,MAX(0,D438-H438)),0)</f>
        <v>1.75959</v>
      </c>
      <c r="J438" s="13" t="n">
        <f aca="false">IFERROR(MIN(Eingaben!$B$18,MAX(0,F438-I438)),0)</f>
        <v>0.75411</v>
      </c>
      <c r="K438" s="13" t="n">
        <f aca="false">H438+I438</f>
        <v>3.468906</v>
      </c>
      <c r="L438" s="13" t="n">
        <f aca="false">MAX(0,D438-K438)</f>
        <v>1.471094</v>
      </c>
      <c r="M438" s="13" t="n">
        <f aca="false">MAX(0,F438-I438-J438)</f>
        <v>0</v>
      </c>
      <c r="N438" s="13" t="n">
        <f aca="false">IF(Kalender!A72="",0,J437-H438)</f>
        <v>0.0348840000000001</v>
      </c>
    </row>
    <row r="439" customFormat="false" ht="16.4" hidden="false" customHeight="false" outlineLevel="0" collapsed="false">
      <c r="A439" s="13" t="str">
        <f aca="false">""</f>
        <v/>
      </c>
      <c r="B439" s="13" t="n">
        <f aca="false">69</f>
        <v>69</v>
      </c>
      <c r="C439" s="13" t="n">
        <f aca="false">IF(Szenarien!$H$9="OK",(IFERROR(SUMIF(Nutzungsprofile!$B$6:$B$11,"Schulbetrieb",Nutzungsprofile!$G$6:$G$11)*Kalender!C73/SUM(Kalender!$C$5:$C$370),0)+IFERROR(SUMIF(Nutzungsprofile!$B$6:$B$11,"Halle",Nutzungsprofile!$G$6:$G$11)*Kalender!D73/SUM(Kalender!$D$5:$D$370),0)+IFERROR(SUMIF(Nutzungsprofile!$B$6:$B$11,"Individuell",Nutzungsprofile!$G$6:$G$11)*Kalender!E73/SUM(Kalender!$E$5:$E$370),0))*Szenarien!$E$9,0)</f>
        <v>2.94</v>
      </c>
      <c r="D439" s="13" t="n">
        <f aca="false">IF(Szenarien!$H$9="OK",(IFERROR(SUMIF(Nutzungsprofile!$B$17:$B$22,"Schulbetrieb",Nutzungsprofile!$G$17:$G$22)*Kalender!C73/SUM(Kalender!$C$5:$C$370),0)+IFERROR(SUMIF(Nutzungsprofile!$B$17:$B$22,"Halle",Nutzungsprofile!$G$17:$G$22)*Kalender!D73/SUM(Kalender!$D$5:$D$370),0)+IFERROR(SUMIF(Nutzungsprofile!$B$17:$B$22,"Individuell",Nutzungsprofile!$G$17:$G$22)*Kalender!E73/SUM(Kalender!$E$5:$E$370),0))*Szenarien!$D$9,0)</f>
        <v>4.94</v>
      </c>
      <c r="E439" s="13" t="n">
        <f aca="false">IFERROR(MIN(C439,Eingaben!$B$17)*Eingaben!$B$16,0)</f>
        <v>2.793</v>
      </c>
      <c r="F439" s="13" t="n">
        <f aca="false">IFERROR(E439*Eingaben!$B$15,0)</f>
        <v>2.5137</v>
      </c>
      <c r="G439" s="13" t="n">
        <f aca="false">IFERROR(IF(Kalender!A73="",0,J438*(1-Eingaben!$B$20)),0)</f>
        <v>0.7390278</v>
      </c>
      <c r="H439" s="13" t="n">
        <f aca="false">MIN(G439,D439)</f>
        <v>0.7390278</v>
      </c>
      <c r="I439" s="13" t="n">
        <f aca="false">IFERROR(MIN(F439*Eingaben!$B$19,MAX(0,D439-H439)),0)</f>
        <v>1.75959</v>
      </c>
      <c r="J439" s="13" t="n">
        <f aca="false">IFERROR(MIN(Eingaben!$B$18,MAX(0,F439-I439)),0)</f>
        <v>0.75411</v>
      </c>
      <c r="K439" s="13" t="n">
        <f aca="false">H439+I439</f>
        <v>2.4986178</v>
      </c>
      <c r="L439" s="13" t="n">
        <f aca="false">MAX(0,D439-K439)</f>
        <v>2.4413822</v>
      </c>
      <c r="M439" s="13" t="n">
        <f aca="false">MAX(0,F439-I439-J439)</f>
        <v>0</v>
      </c>
      <c r="N439" s="13" t="n">
        <f aca="false">IF(Kalender!A73="",0,J438-H439)</f>
        <v>0.0150822</v>
      </c>
    </row>
    <row r="440" customFormat="false" ht="16.4" hidden="false" customHeight="false" outlineLevel="0" collapsed="false">
      <c r="A440" s="13" t="str">
        <f aca="false">""</f>
        <v/>
      </c>
      <c r="B440" s="13" t="n">
        <f aca="false">70</f>
        <v>70</v>
      </c>
      <c r="C440" s="13" t="n">
        <f aca="false">IF(Szenarien!$H$9="OK",(IFERROR(SUMIF(Nutzungsprofile!$B$6:$B$11,"Schulbetrieb",Nutzungsprofile!$G$6:$G$11)*Kalender!C74/SUM(Kalender!$C$5:$C$370),0)+IFERROR(SUMIF(Nutzungsprofile!$B$6:$B$11,"Halle",Nutzungsprofile!$G$6:$G$11)*Kalender!D74/SUM(Kalender!$D$5:$D$370),0)+IFERROR(SUMIF(Nutzungsprofile!$B$6:$B$11,"Individuell",Nutzungsprofile!$G$6:$G$11)*Kalender!E74/SUM(Kalender!$E$5:$E$370),0))*Szenarien!$E$9,0)</f>
        <v>2.94</v>
      </c>
      <c r="D440" s="13" t="n">
        <f aca="false">IF(Szenarien!$H$9="OK",(IFERROR(SUMIF(Nutzungsprofile!$B$17:$B$22,"Schulbetrieb",Nutzungsprofile!$G$17:$G$22)*Kalender!C74/SUM(Kalender!$C$5:$C$370),0)+IFERROR(SUMIF(Nutzungsprofile!$B$17:$B$22,"Halle",Nutzungsprofile!$G$17:$G$22)*Kalender!D74/SUM(Kalender!$D$5:$D$370),0)+IFERROR(SUMIF(Nutzungsprofile!$B$17:$B$22,"Individuell",Nutzungsprofile!$G$17:$G$22)*Kalender!E74/SUM(Kalender!$E$5:$E$370),0))*Szenarien!$D$9,0)</f>
        <v>4.94</v>
      </c>
      <c r="E440" s="13" t="n">
        <f aca="false">IFERROR(MIN(C440,Eingaben!$B$17)*Eingaben!$B$16,0)</f>
        <v>2.793</v>
      </c>
      <c r="F440" s="13" t="n">
        <f aca="false">IFERROR(E440*Eingaben!$B$15,0)</f>
        <v>2.5137</v>
      </c>
      <c r="G440" s="13" t="n">
        <f aca="false">IFERROR(IF(Kalender!A74="",0,J439*(1-Eingaben!$B$20)),0)</f>
        <v>0.7390278</v>
      </c>
      <c r="H440" s="13" t="n">
        <f aca="false">MIN(G440,D440)</f>
        <v>0.7390278</v>
      </c>
      <c r="I440" s="13" t="n">
        <f aca="false">IFERROR(MIN(F440*Eingaben!$B$19,MAX(0,D440-H440)),0)</f>
        <v>1.75959</v>
      </c>
      <c r="J440" s="13" t="n">
        <f aca="false">IFERROR(MIN(Eingaben!$B$18,MAX(0,F440-I440)),0)</f>
        <v>0.75411</v>
      </c>
      <c r="K440" s="13" t="n">
        <f aca="false">H440+I440</f>
        <v>2.4986178</v>
      </c>
      <c r="L440" s="13" t="n">
        <f aca="false">MAX(0,D440-K440)</f>
        <v>2.4413822</v>
      </c>
      <c r="M440" s="13" t="n">
        <f aca="false">MAX(0,F440-I440-J440)</f>
        <v>0</v>
      </c>
      <c r="N440" s="13" t="n">
        <f aca="false">IF(Kalender!A74="",0,J439-H440)</f>
        <v>0.0150822</v>
      </c>
    </row>
    <row r="441" customFormat="false" ht="16.4" hidden="false" customHeight="false" outlineLevel="0" collapsed="false">
      <c r="A441" s="13" t="str">
        <f aca="false">""</f>
        <v/>
      </c>
      <c r="B441" s="13" t="n">
        <f aca="false">71</f>
        <v>71</v>
      </c>
      <c r="C441" s="13" t="n">
        <f aca="false">IF(Szenarien!$H$9="OK",(IFERROR(SUMIF(Nutzungsprofile!$B$6:$B$11,"Schulbetrieb",Nutzungsprofile!$G$6:$G$11)*Kalender!C75/SUM(Kalender!$C$5:$C$370),0)+IFERROR(SUMIF(Nutzungsprofile!$B$6:$B$11,"Halle",Nutzungsprofile!$G$6:$G$11)*Kalender!D75/SUM(Kalender!$D$5:$D$370),0)+IFERROR(SUMIF(Nutzungsprofile!$B$6:$B$11,"Individuell",Nutzungsprofile!$G$6:$G$11)*Kalender!E75/SUM(Kalender!$E$5:$E$370),0))*Szenarien!$E$9,0)</f>
        <v>2.94</v>
      </c>
      <c r="D441" s="13" t="n">
        <f aca="false">IF(Szenarien!$H$9="OK",(IFERROR(SUMIF(Nutzungsprofile!$B$17:$B$22,"Schulbetrieb",Nutzungsprofile!$G$17:$G$22)*Kalender!C75/SUM(Kalender!$C$5:$C$370),0)+IFERROR(SUMIF(Nutzungsprofile!$B$17:$B$22,"Halle",Nutzungsprofile!$G$17:$G$22)*Kalender!D75/SUM(Kalender!$D$5:$D$370),0)+IFERROR(SUMIF(Nutzungsprofile!$B$17:$B$22,"Individuell",Nutzungsprofile!$G$17:$G$22)*Kalender!E75/SUM(Kalender!$E$5:$E$370),0))*Szenarien!$D$9,0)</f>
        <v>4.94</v>
      </c>
      <c r="E441" s="13" t="n">
        <f aca="false">IFERROR(MIN(C441,Eingaben!$B$17)*Eingaben!$B$16,0)</f>
        <v>2.793</v>
      </c>
      <c r="F441" s="13" t="n">
        <f aca="false">IFERROR(E441*Eingaben!$B$15,0)</f>
        <v>2.5137</v>
      </c>
      <c r="G441" s="13" t="n">
        <f aca="false">IFERROR(IF(Kalender!A75="",0,J440*(1-Eingaben!$B$20)),0)</f>
        <v>0.7390278</v>
      </c>
      <c r="H441" s="13" t="n">
        <f aca="false">MIN(G441,D441)</f>
        <v>0.7390278</v>
      </c>
      <c r="I441" s="13" t="n">
        <f aca="false">IFERROR(MIN(F441*Eingaben!$B$19,MAX(0,D441-H441)),0)</f>
        <v>1.75959</v>
      </c>
      <c r="J441" s="13" t="n">
        <f aca="false">IFERROR(MIN(Eingaben!$B$18,MAX(0,F441-I441)),0)</f>
        <v>0.75411</v>
      </c>
      <c r="K441" s="13" t="n">
        <f aca="false">H441+I441</f>
        <v>2.4986178</v>
      </c>
      <c r="L441" s="13" t="n">
        <f aca="false">MAX(0,D441-K441)</f>
        <v>2.4413822</v>
      </c>
      <c r="M441" s="13" t="n">
        <f aca="false">MAX(0,F441-I441-J441)</f>
        <v>0</v>
      </c>
      <c r="N441" s="13" t="n">
        <f aca="false">IF(Kalender!A75="",0,J440-H441)</f>
        <v>0.0150822</v>
      </c>
    </row>
    <row r="442" customFormat="false" ht="16.4" hidden="false" customHeight="false" outlineLevel="0" collapsed="false">
      <c r="A442" s="13" t="str">
        <f aca="false">""</f>
        <v/>
      </c>
      <c r="B442" s="13" t="n">
        <f aca="false">72</f>
        <v>72</v>
      </c>
      <c r="C442" s="13" t="n">
        <f aca="false">IF(Szenarien!$H$9="OK",(IFERROR(SUMIF(Nutzungsprofile!$B$6:$B$11,"Schulbetrieb",Nutzungsprofile!$G$6:$G$11)*Kalender!C76/SUM(Kalender!$C$5:$C$370),0)+IFERROR(SUMIF(Nutzungsprofile!$B$6:$B$11,"Halle",Nutzungsprofile!$G$6:$G$11)*Kalender!D76/SUM(Kalender!$D$5:$D$370),0)+IFERROR(SUMIF(Nutzungsprofile!$B$6:$B$11,"Individuell",Nutzungsprofile!$G$6:$G$11)*Kalender!E76/SUM(Kalender!$E$5:$E$370),0))*Szenarien!$E$9,0)</f>
        <v>2.94</v>
      </c>
      <c r="D442" s="13" t="n">
        <f aca="false">IF(Szenarien!$H$9="OK",(IFERROR(SUMIF(Nutzungsprofile!$B$17:$B$22,"Schulbetrieb",Nutzungsprofile!$G$17:$G$22)*Kalender!C76/SUM(Kalender!$C$5:$C$370),0)+IFERROR(SUMIF(Nutzungsprofile!$B$17:$B$22,"Halle",Nutzungsprofile!$G$17:$G$22)*Kalender!D76/SUM(Kalender!$D$5:$D$370),0)+IFERROR(SUMIF(Nutzungsprofile!$B$17:$B$22,"Individuell",Nutzungsprofile!$G$17:$G$22)*Kalender!E76/SUM(Kalender!$E$5:$E$370),0))*Szenarien!$D$9,0)</f>
        <v>4.94</v>
      </c>
      <c r="E442" s="13" t="n">
        <f aca="false">IFERROR(MIN(C442,Eingaben!$B$17)*Eingaben!$B$16,0)</f>
        <v>2.793</v>
      </c>
      <c r="F442" s="13" t="n">
        <f aca="false">IFERROR(E442*Eingaben!$B$15,0)</f>
        <v>2.5137</v>
      </c>
      <c r="G442" s="13" t="n">
        <f aca="false">IFERROR(IF(Kalender!A76="",0,J441*(1-Eingaben!$B$20)),0)</f>
        <v>0.7390278</v>
      </c>
      <c r="H442" s="13" t="n">
        <f aca="false">MIN(G442,D442)</f>
        <v>0.7390278</v>
      </c>
      <c r="I442" s="13" t="n">
        <f aca="false">IFERROR(MIN(F442*Eingaben!$B$19,MAX(0,D442-H442)),0)</f>
        <v>1.75959</v>
      </c>
      <c r="J442" s="13" t="n">
        <f aca="false">IFERROR(MIN(Eingaben!$B$18,MAX(0,F442-I442)),0)</f>
        <v>0.75411</v>
      </c>
      <c r="K442" s="13" t="n">
        <f aca="false">H442+I442</f>
        <v>2.4986178</v>
      </c>
      <c r="L442" s="13" t="n">
        <f aca="false">MAX(0,D442-K442)</f>
        <v>2.4413822</v>
      </c>
      <c r="M442" s="13" t="n">
        <f aca="false">MAX(0,F442-I442-J442)</f>
        <v>0</v>
      </c>
      <c r="N442" s="13" t="n">
        <f aca="false">IF(Kalender!A76="",0,J441-H442)</f>
        <v>0.0150822</v>
      </c>
    </row>
    <row r="443" customFormat="false" ht="16.4" hidden="false" customHeight="false" outlineLevel="0" collapsed="false">
      <c r="A443" s="13" t="str">
        <f aca="false">""</f>
        <v/>
      </c>
      <c r="B443" s="13" t="n">
        <f aca="false">73</f>
        <v>73</v>
      </c>
      <c r="C443" s="13" t="n">
        <f aca="false">IF(Szenarien!$H$9="OK",(IFERROR(SUMIF(Nutzungsprofile!$B$6:$B$11,"Schulbetrieb",Nutzungsprofile!$G$6:$G$11)*Kalender!C77/SUM(Kalender!$C$5:$C$370),0)+IFERROR(SUMIF(Nutzungsprofile!$B$6:$B$11,"Halle",Nutzungsprofile!$G$6:$G$11)*Kalender!D77/SUM(Kalender!$D$5:$D$370),0)+IFERROR(SUMIF(Nutzungsprofile!$B$6:$B$11,"Individuell",Nutzungsprofile!$G$6:$G$11)*Kalender!E77/SUM(Kalender!$E$5:$E$370),0))*Szenarien!$E$9,0)</f>
        <v>2.04</v>
      </c>
      <c r="D443" s="13" t="n">
        <f aca="false">IF(Szenarien!$H$9="OK",(IFERROR(SUMIF(Nutzungsprofile!$B$17:$B$22,"Schulbetrieb",Nutzungsprofile!$G$17:$G$22)*Kalender!C77/SUM(Kalender!$C$5:$C$370),0)+IFERROR(SUMIF(Nutzungsprofile!$B$17:$B$22,"Halle",Nutzungsprofile!$G$17:$G$22)*Kalender!D77/SUM(Kalender!$D$5:$D$370),0)+IFERROR(SUMIF(Nutzungsprofile!$B$17:$B$22,"Individuell",Nutzungsprofile!$G$17:$G$22)*Kalender!E77/SUM(Kalender!$E$5:$E$370),0))*Szenarien!$D$9,0)</f>
        <v>0.89</v>
      </c>
      <c r="E443" s="13" t="n">
        <f aca="false">IFERROR(MIN(C443,Eingaben!$B$17)*Eingaben!$B$16,0)</f>
        <v>1.938</v>
      </c>
      <c r="F443" s="13" t="n">
        <f aca="false">IFERROR(E443*Eingaben!$B$15,0)</f>
        <v>1.7442</v>
      </c>
      <c r="G443" s="13" t="n">
        <f aca="false">IFERROR(IF(Kalender!A77="",0,J442*(1-Eingaben!$B$20)),0)</f>
        <v>0.7390278</v>
      </c>
      <c r="H443" s="13" t="n">
        <f aca="false">MIN(G443,D443)</f>
        <v>0.7390278</v>
      </c>
      <c r="I443" s="13" t="n">
        <f aca="false">IFERROR(MIN(F443*Eingaben!$B$19,MAX(0,D443-H443)),0)</f>
        <v>0.1509722</v>
      </c>
      <c r="J443" s="13" t="n">
        <f aca="false">IFERROR(MIN(Eingaben!$B$18,MAX(0,F443-I443)),0)</f>
        <v>1.5932278</v>
      </c>
      <c r="K443" s="13" t="n">
        <f aca="false">H443+I443</f>
        <v>0.89</v>
      </c>
      <c r="L443" s="13" t="n">
        <f aca="false">MAX(0,D443-K443)</f>
        <v>0</v>
      </c>
      <c r="M443" s="13" t="n">
        <f aca="false">MAX(0,F443-I443-J443)</f>
        <v>0</v>
      </c>
      <c r="N443" s="13" t="n">
        <f aca="false">IF(Kalender!A77="",0,J442-H443)</f>
        <v>0.0150822</v>
      </c>
    </row>
    <row r="444" customFormat="false" ht="16.4" hidden="false" customHeight="false" outlineLevel="0" collapsed="false">
      <c r="A444" s="13" t="str">
        <f aca="false">""</f>
        <v/>
      </c>
      <c r="B444" s="13" t="n">
        <f aca="false">74</f>
        <v>74</v>
      </c>
      <c r="C444" s="13" t="n">
        <f aca="false">IF(Szenarien!$H$9="OK",(IFERROR(SUMIF(Nutzungsprofile!$B$6:$B$11,"Schulbetrieb",Nutzungsprofile!$G$6:$G$11)*Kalender!C78/SUM(Kalender!$C$5:$C$370),0)+IFERROR(SUMIF(Nutzungsprofile!$B$6:$B$11,"Halle",Nutzungsprofile!$G$6:$G$11)*Kalender!D78/SUM(Kalender!$D$5:$D$370),0)+IFERROR(SUMIF(Nutzungsprofile!$B$6:$B$11,"Individuell",Nutzungsprofile!$G$6:$G$11)*Kalender!E78/SUM(Kalender!$E$5:$E$370),0))*Szenarien!$E$9,0)</f>
        <v>2.04</v>
      </c>
      <c r="D444" s="13" t="n">
        <f aca="false">IF(Szenarien!$H$9="OK",(IFERROR(SUMIF(Nutzungsprofile!$B$17:$B$22,"Schulbetrieb",Nutzungsprofile!$G$17:$G$22)*Kalender!C78/SUM(Kalender!$C$5:$C$370),0)+IFERROR(SUMIF(Nutzungsprofile!$B$17:$B$22,"Halle",Nutzungsprofile!$G$17:$G$22)*Kalender!D78/SUM(Kalender!$D$5:$D$370),0)+IFERROR(SUMIF(Nutzungsprofile!$B$17:$B$22,"Individuell",Nutzungsprofile!$G$17:$G$22)*Kalender!E78/SUM(Kalender!$E$5:$E$370),0))*Szenarien!$D$9,0)</f>
        <v>0.89</v>
      </c>
      <c r="E444" s="13" t="n">
        <f aca="false">IFERROR(MIN(C444,Eingaben!$B$17)*Eingaben!$B$16,0)</f>
        <v>1.938</v>
      </c>
      <c r="F444" s="13" t="n">
        <f aca="false">IFERROR(E444*Eingaben!$B$15,0)</f>
        <v>1.7442</v>
      </c>
      <c r="G444" s="13" t="n">
        <f aca="false">IFERROR(IF(Kalender!A78="",0,J443*(1-Eingaben!$B$20)),0)</f>
        <v>1.561363244</v>
      </c>
      <c r="H444" s="13" t="n">
        <f aca="false">MIN(G444,D444)</f>
        <v>0.89</v>
      </c>
      <c r="I444" s="13" t="n">
        <f aca="false">IFERROR(MIN(F444*Eingaben!$B$19,MAX(0,D444-H444)),0)</f>
        <v>0</v>
      </c>
      <c r="J444" s="13" t="n">
        <f aca="false">IFERROR(MIN(Eingaben!$B$18,MAX(0,F444-I444)),0)</f>
        <v>1.7442</v>
      </c>
      <c r="K444" s="13" t="n">
        <f aca="false">H444+I444</f>
        <v>0.89</v>
      </c>
      <c r="L444" s="13" t="n">
        <f aca="false">MAX(0,D444-K444)</f>
        <v>0</v>
      </c>
      <c r="M444" s="13" t="n">
        <f aca="false">MAX(0,F444-I444-J444)</f>
        <v>0</v>
      </c>
      <c r="N444" s="13" t="n">
        <f aca="false">IF(Kalender!A78="",0,J443-H444)</f>
        <v>0.7032278</v>
      </c>
    </row>
    <row r="445" customFormat="false" ht="16.4" hidden="false" customHeight="false" outlineLevel="0" collapsed="false">
      <c r="A445" s="13" t="str">
        <f aca="false">""</f>
        <v/>
      </c>
      <c r="B445" s="13" t="n">
        <f aca="false">75</f>
        <v>75</v>
      </c>
      <c r="C445" s="13" t="n">
        <f aca="false">IF(Szenarien!$H$9="OK",(IFERROR(SUMIF(Nutzungsprofile!$B$6:$B$11,"Schulbetrieb",Nutzungsprofile!$G$6:$G$11)*Kalender!C79/SUM(Kalender!$C$5:$C$370),0)+IFERROR(SUMIF(Nutzungsprofile!$B$6:$B$11,"Halle",Nutzungsprofile!$G$6:$G$11)*Kalender!D79/SUM(Kalender!$D$5:$D$370),0)+IFERROR(SUMIF(Nutzungsprofile!$B$6:$B$11,"Individuell",Nutzungsprofile!$G$6:$G$11)*Kalender!E79/SUM(Kalender!$E$5:$E$370),0))*Szenarien!$E$9,0)</f>
        <v>2.94</v>
      </c>
      <c r="D445" s="13" t="n">
        <f aca="false">IF(Szenarien!$H$9="OK",(IFERROR(SUMIF(Nutzungsprofile!$B$17:$B$22,"Schulbetrieb",Nutzungsprofile!$G$17:$G$22)*Kalender!C79/SUM(Kalender!$C$5:$C$370),0)+IFERROR(SUMIF(Nutzungsprofile!$B$17:$B$22,"Halle",Nutzungsprofile!$G$17:$G$22)*Kalender!D79/SUM(Kalender!$D$5:$D$370),0)+IFERROR(SUMIF(Nutzungsprofile!$B$17:$B$22,"Individuell",Nutzungsprofile!$G$17:$G$22)*Kalender!E79/SUM(Kalender!$E$5:$E$370),0))*Szenarien!$D$9,0)</f>
        <v>4.94</v>
      </c>
      <c r="E445" s="13" t="n">
        <f aca="false">IFERROR(MIN(C445,Eingaben!$B$17)*Eingaben!$B$16,0)</f>
        <v>2.793</v>
      </c>
      <c r="F445" s="13" t="n">
        <f aca="false">IFERROR(E445*Eingaben!$B$15,0)</f>
        <v>2.5137</v>
      </c>
      <c r="G445" s="13" t="n">
        <f aca="false">IFERROR(IF(Kalender!A79="",0,J444*(1-Eingaben!$B$20)),0)</f>
        <v>1.709316</v>
      </c>
      <c r="H445" s="13" t="n">
        <f aca="false">MIN(G445,D445)</f>
        <v>1.709316</v>
      </c>
      <c r="I445" s="13" t="n">
        <f aca="false">IFERROR(MIN(F445*Eingaben!$B$19,MAX(0,D445-H445)),0)</f>
        <v>1.75959</v>
      </c>
      <c r="J445" s="13" t="n">
        <f aca="false">IFERROR(MIN(Eingaben!$B$18,MAX(0,F445-I445)),0)</f>
        <v>0.75411</v>
      </c>
      <c r="K445" s="13" t="n">
        <f aca="false">H445+I445</f>
        <v>3.468906</v>
      </c>
      <c r="L445" s="13" t="n">
        <f aca="false">MAX(0,D445-K445)</f>
        <v>1.471094</v>
      </c>
      <c r="M445" s="13" t="n">
        <f aca="false">MAX(0,F445-I445-J445)</f>
        <v>0</v>
      </c>
      <c r="N445" s="13" t="n">
        <f aca="false">IF(Kalender!A79="",0,J444-H445)</f>
        <v>0.0348840000000001</v>
      </c>
    </row>
    <row r="446" customFormat="false" ht="16.4" hidden="false" customHeight="false" outlineLevel="0" collapsed="false">
      <c r="A446" s="13" t="str">
        <f aca="false">""</f>
        <v/>
      </c>
      <c r="B446" s="13" t="n">
        <f aca="false">76</f>
        <v>76</v>
      </c>
      <c r="C446" s="13" t="n">
        <f aca="false">IF(Szenarien!$H$9="OK",(IFERROR(SUMIF(Nutzungsprofile!$B$6:$B$11,"Schulbetrieb",Nutzungsprofile!$G$6:$G$11)*Kalender!C80/SUM(Kalender!$C$5:$C$370),0)+IFERROR(SUMIF(Nutzungsprofile!$B$6:$B$11,"Halle",Nutzungsprofile!$G$6:$G$11)*Kalender!D80/SUM(Kalender!$D$5:$D$370),0)+IFERROR(SUMIF(Nutzungsprofile!$B$6:$B$11,"Individuell",Nutzungsprofile!$G$6:$G$11)*Kalender!E80/SUM(Kalender!$E$5:$E$370),0))*Szenarien!$E$9,0)</f>
        <v>2.94</v>
      </c>
      <c r="D446" s="13" t="n">
        <f aca="false">IF(Szenarien!$H$9="OK",(IFERROR(SUMIF(Nutzungsprofile!$B$17:$B$22,"Schulbetrieb",Nutzungsprofile!$G$17:$G$22)*Kalender!C80/SUM(Kalender!$C$5:$C$370),0)+IFERROR(SUMIF(Nutzungsprofile!$B$17:$B$22,"Halle",Nutzungsprofile!$G$17:$G$22)*Kalender!D80/SUM(Kalender!$D$5:$D$370),0)+IFERROR(SUMIF(Nutzungsprofile!$B$17:$B$22,"Individuell",Nutzungsprofile!$G$17:$G$22)*Kalender!E80/SUM(Kalender!$E$5:$E$370),0))*Szenarien!$D$9,0)</f>
        <v>4.94</v>
      </c>
      <c r="E446" s="13" t="n">
        <f aca="false">IFERROR(MIN(C446,Eingaben!$B$17)*Eingaben!$B$16,0)</f>
        <v>2.793</v>
      </c>
      <c r="F446" s="13" t="n">
        <f aca="false">IFERROR(E446*Eingaben!$B$15,0)</f>
        <v>2.5137</v>
      </c>
      <c r="G446" s="13" t="n">
        <f aca="false">IFERROR(IF(Kalender!A80="",0,J445*(1-Eingaben!$B$20)),0)</f>
        <v>0.7390278</v>
      </c>
      <c r="H446" s="13" t="n">
        <f aca="false">MIN(G446,D446)</f>
        <v>0.7390278</v>
      </c>
      <c r="I446" s="13" t="n">
        <f aca="false">IFERROR(MIN(F446*Eingaben!$B$19,MAX(0,D446-H446)),0)</f>
        <v>1.75959</v>
      </c>
      <c r="J446" s="13" t="n">
        <f aca="false">IFERROR(MIN(Eingaben!$B$18,MAX(0,F446-I446)),0)</f>
        <v>0.75411</v>
      </c>
      <c r="K446" s="13" t="n">
        <f aca="false">H446+I446</f>
        <v>2.4986178</v>
      </c>
      <c r="L446" s="13" t="n">
        <f aca="false">MAX(0,D446-K446)</f>
        <v>2.4413822</v>
      </c>
      <c r="M446" s="13" t="n">
        <f aca="false">MAX(0,F446-I446-J446)</f>
        <v>0</v>
      </c>
      <c r="N446" s="13" t="n">
        <f aca="false">IF(Kalender!A80="",0,J445-H446)</f>
        <v>0.0150822</v>
      </c>
    </row>
    <row r="447" customFormat="false" ht="16.4" hidden="false" customHeight="false" outlineLevel="0" collapsed="false">
      <c r="A447" s="13" t="str">
        <f aca="false">""</f>
        <v/>
      </c>
      <c r="B447" s="13" t="n">
        <f aca="false">77</f>
        <v>77</v>
      </c>
      <c r="C447" s="13" t="n">
        <f aca="false">IF(Szenarien!$H$9="OK",(IFERROR(SUMIF(Nutzungsprofile!$B$6:$B$11,"Schulbetrieb",Nutzungsprofile!$G$6:$G$11)*Kalender!C81/SUM(Kalender!$C$5:$C$370),0)+IFERROR(SUMIF(Nutzungsprofile!$B$6:$B$11,"Halle",Nutzungsprofile!$G$6:$G$11)*Kalender!D81/SUM(Kalender!$D$5:$D$370),0)+IFERROR(SUMIF(Nutzungsprofile!$B$6:$B$11,"Individuell",Nutzungsprofile!$G$6:$G$11)*Kalender!E81/SUM(Kalender!$E$5:$E$370),0))*Szenarien!$E$9,0)</f>
        <v>2.94</v>
      </c>
      <c r="D447" s="13" t="n">
        <f aca="false">IF(Szenarien!$H$9="OK",(IFERROR(SUMIF(Nutzungsprofile!$B$17:$B$22,"Schulbetrieb",Nutzungsprofile!$G$17:$G$22)*Kalender!C81/SUM(Kalender!$C$5:$C$370),0)+IFERROR(SUMIF(Nutzungsprofile!$B$17:$B$22,"Halle",Nutzungsprofile!$G$17:$G$22)*Kalender!D81/SUM(Kalender!$D$5:$D$370),0)+IFERROR(SUMIF(Nutzungsprofile!$B$17:$B$22,"Individuell",Nutzungsprofile!$G$17:$G$22)*Kalender!E81/SUM(Kalender!$E$5:$E$370),0))*Szenarien!$D$9,0)</f>
        <v>4.94</v>
      </c>
      <c r="E447" s="13" t="n">
        <f aca="false">IFERROR(MIN(C447,Eingaben!$B$17)*Eingaben!$B$16,0)</f>
        <v>2.793</v>
      </c>
      <c r="F447" s="13" t="n">
        <f aca="false">IFERROR(E447*Eingaben!$B$15,0)</f>
        <v>2.5137</v>
      </c>
      <c r="G447" s="13" t="n">
        <f aca="false">IFERROR(IF(Kalender!A81="",0,J446*(1-Eingaben!$B$20)),0)</f>
        <v>0.7390278</v>
      </c>
      <c r="H447" s="13" t="n">
        <f aca="false">MIN(G447,D447)</f>
        <v>0.7390278</v>
      </c>
      <c r="I447" s="13" t="n">
        <f aca="false">IFERROR(MIN(F447*Eingaben!$B$19,MAX(0,D447-H447)),0)</f>
        <v>1.75959</v>
      </c>
      <c r="J447" s="13" t="n">
        <f aca="false">IFERROR(MIN(Eingaben!$B$18,MAX(0,F447-I447)),0)</f>
        <v>0.75411</v>
      </c>
      <c r="K447" s="13" t="n">
        <f aca="false">H447+I447</f>
        <v>2.4986178</v>
      </c>
      <c r="L447" s="13" t="n">
        <f aca="false">MAX(0,D447-K447)</f>
        <v>2.4413822</v>
      </c>
      <c r="M447" s="13" t="n">
        <f aca="false">MAX(0,F447-I447-J447)</f>
        <v>0</v>
      </c>
      <c r="N447" s="13" t="n">
        <f aca="false">IF(Kalender!A81="",0,J446-H447)</f>
        <v>0.0150822</v>
      </c>
    </row>
    <row r="448" customFormat="false" ht="16.4" hidden="false" customHeight="false" outlineLevel="0" collapsed="false">
      <c r="A448" s="13" t="str">
        <f aca="false">""</f>
        <v/>
      </c>
      <c r="B448" s="13" t="n">
        <f aca="false">78</f>
        <v>78</v>
      </c>
      <c r="C448" s="13" t="n">
        <f aca="false">IF(Szenarien!$H$9="OK",(IFERROR(SUMIF(Nutzungsprofile!$B$6:$B$11,"Schulbetrieb",Nutzungsprofile!$G$6:$G$11)*Kalender!C82/SUM(Kalender!$C$5:$C$370),0)+IFERROR(SUMIF(Nutzungsprofile!$B$6:$B$11,"Halle",Nutzungsprofile!$G$6:$G$11)*Kalender!D82/SUM(Kalender!$D$5:$D$370),0)+IFERROR(SUMIF(Nutzungsprofile!$B$6:$B$11,"Individuell",Nutzungsprofile!$G$6:$G$11)*Kalender!E82/SUM(Kalender!$E$5:$E$370),0))*Szenarien!$E$9,0)</f>
        <v>2.94</v>
      </c>
      <c r="D448" s="13" t="n">
        <f aca="false">IF(Szenarien!$H$9="OK",(IFERROR(SUMIF(Nutzungsprofile!$B$17:$B$22,"Schulbetrieb",Nutzungsprofile!$G$17:$G$22)*Kalender!C82/SUM(Kalender!$C$5:$C$370),0)+IFERROR(SUMIF(Nutzungsprofile!$B$17:$B$22,"Halle",Nutzungsprofile!$G$17:$G$22)*Kalender!D82/SUM(Kalender!$D$5:$D$370),0)+IFERROR(SUMIF(Nutzungsprofile!$B$17:$B$22,"Individuell",Nutzungsprofile!$G$17:$G$22)*Kalender!E82/SUM(Kalender!$E$5:$E$370),0))*Szenarien!$D$9,0)</f>
        <v>4.94</v>
      </c>
      <c r="E448" s="13" t="n">
        <f aca="false">IFERROR(MIN(C448,Eingaben!$B$17)*Eingaben!$B$16,0)</f>
        <v>2.793</v>
      </c>
      <c r="F448" s="13" t="n">
        <f aca="false">IFERROR(E448*Eingaben!$B$15,0)</f>
        <v>2.5137</v>
      </c>
      <c r="G448" s="13" t="n">
        <f aca="false">IFERROR(IF(Kalender!A82="",0,J447*(1-Eingaben!$B$20)),0)</f>
        <v>0.7390278</v>
      </c>
      <c r="H448" s="13" t="n">
        <f aca="false">MIN(G448,D448)</f>
        <v>0.7390278</v>
      </c>
      <c r="I448" s="13" t="n">
        <f aca="false">IFERROR(MIN(F448*Eingaben!$B$19,MAX(0,D448-H448)),0)</f>
        <v>1.75959</v>
      </c>
      <c r="J448" s="13" t="n">
        <f aca="false">IFERROR(MIN(Eingaben!$B$18,MAX(0,F448-I448)),0)</f>
        <v>0.75411</v>
      </c>
      <c r="K448" s="13" t="n">
        <f aca="false">H448+I448</f>
        <v>2.4986178</v>
      </c>
      <c r="L448" s="13" t="n">
        <f aca="false">MAX(0,D448-K448)</f>
        <v>2.4413822</v>
      </c>
      <c r="M448" s="13" t="n">
        <f aca="false">MAX(0,F448-I448-J448)</f>
        <v>0</v>
      </c>
      <c r="N448" s="13" t="n">
        <f aca="false">IF(Kalender!A82="",0,J447-H448)</f>
        <v>0.0150822</v>
      </c>
    </row>
    <row r="449" customFormat="false" ht="16.4" hidden="false" customHeight="false" outlineLevel="0" collapsed="false">
      <c r="A449" s="13" t="str">
        <f aca="false">""</f>
        <v/>
      </c>
      <c r="B449" s="13" t="n">
        <f aca="false">79</f>
        <v>79</v>
      </c>
      <c r="C449" s="13" t="n">
        <f aca="false">IF(Szenarien!$H$9="OK",(IFERROR(SUMIF(Nutzungsprofile!$B$6:$B$11,"Schulbetrieb",Nutzungsprofile!$G$6:$G$11)*Kalender!C83/SUM(Kalender!$C$5:$C$370),0)+IFERROR(SUMIF(Nutzungsprofile!$B$6:$B$11,"Halle",Nutzungsprofile!$G$6:$G$11)*Kalender!D83/SUM(Kalender!$D$5:$D$370),0)+IFERROR(SUMIF(Nutzungsprofile!$B$6:$B$11,"Individuell",Nutzungsprofile!$G$6:$G$11)*Kalender!E83/SUM(Kalender!$E$5:$E$370),0))*Szenarien!$E$9,0)</f>
        <v>2.94</v>
      </c>
      <c r="D449" s="13" t="n">
        <f aca="false">IF(Szenarien!$H$9="OK",(IFERROR(SUMIF(Nutzungsprofile!$B$17:$B$22,"Schulbetrieb",Nutzungsprofile!$G$17:$G$22)*Kalender!C83/SUM(Kalender!$C$5:$C$370),0)+IFERROR(SUMIF(Nutzungsprofile!$B$17:$B$22,"Halle",Nutzungsprofile!$G$17:$G$22)*Kalender!D83/SUM(Kalender!$D$5:$D$370),0)+IFERROR(SUMIF(Nutzungsprofile!$B$17:$B$22,"Individuell",Nutzungsprofile!$G$17:$G$22)*Kalender!E83/SUM(Kalender!$E$5:$E$370),0))*Szenarien!$D$9,0)</f>
        <v>4.94</v>
      </c>
      <c r="E449" s="13" t="n">
        <f aca="false">IFERROR(MIN(C449,Eingaben!$B$17)*Eingaben!$B$16,0)</f>
        <v>2.793</v>
      </c>
      <c r="F449" s="13" t="n">
        <f aca="false">IFERROR(E449*Eingaben!$B$15,0)</f>
        <v>2.5137</v>
      </c>
      <c r="G449" s="13" t="n">
        <f aca="false">IFERROR(IF(Kalender!A83="",0,J448*(1-Eingaben!$B$20)),0)</f>
        <v>0.7390278</v>
      </c>
      <c r="H449" s="13" t="n">
        <f aca="false">MIN(G449,D449)</f>
        <v>0.7390278</v>
      </c>
      <c r="I449" s="13" t="n">
        <f aca="false">IFERROR(MIN(F449*Eingaben!$B$19,MAX(0,D449-H449)),0)</f>
        <v>1.75959</v>
      </c>
      <c r="J449" s="13" t="n">
        <f aca="false">IFERROR(MIN(Eingaben!$B$18,MAX(0,F449-I449)),0)</f>
        <v>0.75411</v>
      </c>
      <c r="K449" s="13" t="n">
        <f aca="false">H449+I449</f>
        <v>2.4986178</v>
      </c>
      <c r="L449" s="13" t="n">
        <f aca="false">MAX(0,D449-K449)</f>
        <v>2.4413822</v>
      </c>
      <c r="M449" s="13" t="n">
        <f aca="false">MAX(0,F449-I449-J449)</f>
        <v>0</v>
      </c>
      <c r="N449" s="13" t="n">
        <f aca="false">IF(Kalender!A83="",0,J448-H449)</f>
        <v>0.0150822</v>
      </c>
    </row>
    <row r="450" customFormat="false" ht="16.4" hidden="false" customHeight="false" outlineLevel="0" collapsed="false">
      <c r="A450" s="13" t="str">
        <f aca="false">""</f>
        <v/>
      </c>
      <c r="B450" s="13" t="n">
        <f aca="false">80</f>
        <v>80</v>
      </c>
      <c r="C450" s="13" t="n">
        <f aca="false">IF(Szenarien!$H$9="OK",(IFERROR(SUMIF(Nutzungsprofile!$B$6:$B$11,"Schulbetrieb",Nutzungsprofile!$G$6:$G$11)*Kalender!C84/SUM(Kalender!$C$5:$C$370),0)+IFERROR(SUMIF(Nutzungsprofile!$B$6:$B$11,"Halle",Nutzungsprofile!$G$6:$G$11)*Kalender!D84/SUM(Kalender!$D$5:$D$370),0)+IFERROR(SUMIF(Nutzungsprofile!$B$6:$B$11,"Individuell",Nutzungsprofile!$G$6:$G$11)*Kalender!E84/SUM(Kalender!$E$5:$E$370),0))*Szenarien!$E$9,0)</f>
        <v>2.04</v>
      </c>
      <c r="D450" s="13" t="n">
        <f aca="false">IF(Szenarien!$H$9="OK",(IFERROR(SUMIF(Nutzungsprofile!$B$17:$B$22,"Schulbetrieb",Nutzungsprofile!$G$17:$G$22)*Kalender!C84/SUM(Kalender!$C$5:$C$370),0)+IFERROR(SUMIF(Nutzungsprofile!$B$17:$B$22,"Halle",Nutzungsprofile!$G$17:$G$22)*Kalender!D84/SUM(Kalender!$D$5:$D$370),0)+IFERROR(SUMIF(Nutzungsprofile!$B$17:$B$22,"Individuell",Nutzungsprofile!$G$17:$G$22)*Kalender!E84/SUM(Kalender!$E$5:$E$370),0))*Szenarien!$D$9,0)</f>
        <v>0.89</v>
      </c>
      <c r="E450" s="13" t="n">
        <f aca="false">IFERROR(MIN(C450,Eingaben!$B$17)*Eingaben!$B$16,0)</f>
        <v>1.938</v>
      </c>
      <c r="F450" s="13" t="n">
        <f aca="false">IFERROR(E450*Eingaben!$B$15,0)</f>
        <v>1.7442</v>
      </c>
      <c r="G450" s="13" t="n">
        <f aca="false">IFERROR(IF(Kalender!A84="",0,J449*(1-Eingaben!$B$20)),0)</f>
        <v>0.7390278</v>
      </c>
      <c r="H450" s="13" t="n">
        <f aca="false">MIN(G450,D450)</f>
        <v>0.7390278</v>
      </c>
      <c r="I450" s="13" t="n">
        <f aca="false">IFERROR(MIN(F450*Eingaben!$B$19,MAX(0,D450-H450)),0)</f>
        <v>0.1509722</v>
      </c>
      <c r="J450" s="13" t="n">
        <f aca="false">IFERROR(MIN(Eingaben!$B$18,MAX(0,F450-I450)),0)</f>
        <v>1.5932278</v>
      </c>
      <c r="K450" s="13" t="n">
        <f aca="false">H450+I450</f>
        <v>0.89</v>
      </c>
      <c r="L450" s="13" t="n">
        <f aca="false">MAX(0,D450-K450)</f>
        <v>0</v>
      </c>
      <c r="M450" s="13" t="n">
        <f aca="false">MAX(0,F450-I450-J450)</f>
        <v>0</v>
      </c>
      <c r="N450" s="13" t="n">
        <f aca="false">IF(Kalender!A84="",0,J449-H450)</f>
        <v>0.0150822</v>
      </c>
    </row>
    <row r="451" customFormat="false" ht="16.4" hidden="false" customHeight="false" outlineLevel="0" collapsed="false">
      <c r="A451" s="13" t="str">
        <f aca="false">""</f>
        <v/>
      </c>
      <c r="B451" s="13" t="n">
        <f aca="false">81</f>
        <v>81</v>
      </c>
      <c r="C451" s="13" t="n">
        <f aca="false">IF(Szenarien!$H$9="OK",(IFERROR(SUMIF(Nutzungsprofile!$B$6:$B$11,"Schulbetrieb",Nutzungsprofile!$G$6:$G$11)*Kalender!C85/SUM(Kalender!$C$5:$C$370),0)+IFERROR(SUMIF(Nutzungsprofile!$B$6:$B$11,"Halle",Nutzungsprofile!$G$6:$G$11)*Kalender!D85/SUM(Kalender!$D$5:$D$370),0)+IFERROR(SUMIF(Nutzungsprofile!$B$6:$B$11,"Individuell",Nutzungsprofile!$G$6:$G$11)*Kalender!E85/SUM(Kalender!$E$5:$E$370),0))*Szenarien!$E$9,0)</f>
        <v>2.04</v>
      </c>
      <c r="D451" s="13" t="n">
        <f aca="false">IF(Szenarien!$H$9="OK",(IFERROR(SUMIF(Nutzungsprofile!$B$17:$B$22,"Schulbetrieb",Nutzungsprofile!$G$17:$G$22)*Kalender!C85/SUM(Kalender!$C$5:$C$370),0)+IFERROR(SUMIF(Nutzungsprofile!$B$17:$B$22,"Halle",Nutzungsprofile!$G$17:$G$22)*Kalender!D85/SUM(Kalender!$D$5:$D$370),0)+IFERROR(SUMIF(Nutzungsprofile!$B$17:$B$22,"Individuell",Nutzungsprofile!$G$17:$G$22)*Kalender!E85/SUM(Kalender!$E$5:$E$370),0))*Szenarien!$D$9,0)</f>
        <v>0.89</v>
      </c>
      <c r="E451" s="13" t="n">
        <f aca="false">IFERROR(MIN(C451,Eingaben!$B$17)*Eingaben!$B$16,0)</f>
        <v>1.938</v>
      </c>
      <c r="F451" s="13" t="n">
        <f aca="false">IFERROR(E451*Eingaben!$B$15,0)</f>
        <v>1.7442</v>
      </c>
      <c r="G451" s="13" t="n">
        <f aca="false">IFERROR(IF(Kalender!A85="",0,J450*(1-Eingaben!$B$20)),0)</f>
        <v>1.561363244</v>
      </c>
      <c r="H451" s="13" t="n">
        <f aca="false">MIN(G451,D451)</f>
        <v>0.89</v>
      </c>
      <c r="I451" s="13" t="n">
        <f aca="false">IFERROR(MIN(F451*Eingaben!$B$19,MAX(0,D451-H451)),0)</f>
        <v>0</v>
      </c>
      <c r="J451" s="13" t="n">
        <f aca="false">IFERROR(MIN(Eingaben!$B$18,MAX(0,F451-I451)),0)</f>
        <v>1.7442</v>
      </c>
      <c r="K451" s="13" t="n">
        <f aca="false">H451+I451</f>
        <v>0.89</v>
      </c>
      <c r="L451" s="13" t="n">
        <f aca="false">MAX(0,D451-K451)</f>
        <v>0</v>
      </c>
      <c r="M451" s="13" t="n">
        <f aca="false">MAX(0,F451-I451-J451)</f>
        <v>0</v>
      </c>
      <c r="N451" s="13" t="n">
        <f aca="false">IF(Kalender!A85="",0,J450-H451)</f>
        <v>0.7032278</v>
      </c>
    </row>
    <row r="452" customFormat="false" ht="16.4" hidden="false" customHeight="false" outlineLevel="0" collapsed="false">
      <c r="A452" s="13" t="str">
        <f aca="false">""</f>
        <v/>
      </c>
      <c r="B452" s="13" t="n">
        <f aca="false">82</f>
        <v>82</v>
      </c>
      <c r="C452" s="13" t="n">
        <f aca="false">IF(Szenarien!$H$9="OK",(IFERROR(SUMIF(Nutzungsprofile!$B$6:$B$11,"Schulbetrieb",Nutzungsprofile!$G$6:$G$11)*Kalender!C86/SUM(Kalender!$C$5:$C$370),0)+IFERROR(SUMIF(Nutzungsprofile!$B$6:$B$11,"Halle",Nutzungsprofile!$G$6:$G$11)*Kalender!D86/SUM(Kalender!$D$5:$D$370),0)+IFERROR(SUMIF(Nutzungsprofile!$B$6:$B$11,"Individuell",Nutzungsprofile!$G$6:$G$11)*Kalender!E86/SUM(Kalender!$E$5:$E$370),0))*Szenarien!$E$9,0)</f>
        <v>2.94</v>
      </c>
      <c r="D452" s="13" t="n">
        <f aca="false">IF(Szenarien!$H$9="OK",(IFERROR(SUMIF(Nutzungsprofile!$B$17:$B$22,"Schulbetrieb",Nutzungsprofile!$G$17:$G$22)*Kalender!C86/SUM(Kalender!$C$5:$C$370),0)+IFERROR(SUMIF(Nutzungsprofile!$B$17:$B$22,"Halle",Nutzungsprofile!$G$17:$G$22)*Kalender!D86/SUM(Kalender!$D$5:$D$370),0)+IFERROR(SUMIF(Nutzungsprofile!$B$17:$B$22,"Individuell",Nutzungsprofile!$G$17:$G$22)*Kalender!E86/SUM(Kalender!$E$5:$E$370),0))*Szenarien!$D$9,0)</f>
        <v>4.94</v>
      </c>
      <c r="E452" s="13" t="n">
        <f aca="false">IFERROR(MIN(C452,Eingaben!$B$17)*Eingaben!$B$16,0)</f>
        <v>2.793</v>
      </c>
      <c r="F452" s="13" t="n">
        <f aca="false">IFERROR(E452*Eingaben!$B$15,0)</f>
        <v>2.5137</v>
      </c>
      <c r="G452" s="13" t="n">
        <f aca="false">IFERROR(IF(Kalender!A86="",0,J451*(1-Eingaben!$B$20)),0)</f>
        <v>1.709316</v>
      </c>
      <c r="H452" s="13" t="n">
        <f aca="false">MIN(G452,D452)</f>
        <v>1.709316</v>
      </c>
      <c r="I452" s="13" t="n">
        <f aca="false">IFERROR(MIN(F452*Eingaben!$B$19,MAX(0,D452-H452)),0)</f>
        <v>1.75959</v>
      </c>
      <c r="J452" s="13" t="n">
        <f aca="false">IFERROR(MIN(Eingaben!$B$18,MAX(0,F452-I452)),0)</f>
        <v>0.75411</v>
      </c>
      <c r="K452" s="13" t="n">
        <f aca="false">H452+I452</f>
        <v>3.468906</v>
      </c>
      <c r="L452" s="13" t="n">
        <f aca="false">MAX(0,D452-K452)</f>
        <v>1.471094</v>
      </c>
      <c r="M452" s="13" t="n">
        <f aca="false">MAX(0,F452-I452-J452)</f>
        <v>0</v>
      </c>
      <c r="N452" s="13" t="n">
        <f aca="false">IF(Kalender!A86="",0,J451-H452)</f>
        <v>0.0348840000000001</v>
      </c>
    </row>
    <row r="453" customFormat="false" ht="16.4" hidden="false" customHeight="false" outlineLevel="0" collapsed="false">
      <c r="A453" s="13" t="str">
        <f aca="false">""</f>
        <v/>
      </c>
      <c r="B453" s="13" t="n">
        <f aca="false">83</f>
        <v>83</v>
      </c>
      <c r="C453" s="13" t="n">
        <f aca="false">IF(Szenarien!$H$9="OK",(IFERROR(SUMIF(Nutzungsprofile!$B$6:$B$11,"Schulbetrieb",Nutzungsprofile!$G$6:$G$11)*Kalender!C87/SUM(Kalender!$C$5:$C$370),0)+IFERROR(SUMIF(Nutzungsprofile!$B$6:$B$11,"Halle",Nutzungsprofile!$G$6:$G$11)*Kalender!D87/SUM(Kalender!$D$5:$D$370),0)+IFERROR(SUMIF(Nutzungsprofile!$B$6:$B$11,"Individuell",Nutzungsprofile!$G$6:$G$11)*Kalender!E87/SUM(Kalender!$E$5:$E$370),0))*Szenarien!$E$9,0)</f>
        <v>2.94</v>
      </c>
      <c r="D453" s="13" t="n">
        <f aca="false">IF(Szenarien!$H$9="OK",(IFERROR(SUMIF(Nutzungsprofile!$B$17:$B$22,"Schulbetrieb",Nutzungsprofile!$G$17:$G$22)*Kalender!C87/SUM(Kalender!$C$5:$C$370),0)+IFERROR(SUMIF(Nutzungsprofile!$B$17:$B$22,"Halle",Nutzungsprofile!$G$17:$G$22)*Kalender!D87/SUM(Kalender!$D$5:$D$370),0)+IFERROR(SUMIF(Nutzungsprofile!$B$17:$B$22,"Individuell",Nutzungsprofile!$G$17:$G$22)*Kalender!E87/SUM(Kalender!$E$5:$E$370),0))*Szenarien!$D$9,0)</f>
        <v>4.94</v>
      </c>
      <c r="E453" s="13" t="n">
        <f aca="false">IFERROR(MIN(C453,Eingaben!$B$17)*Eingaben!$B$16,0)</f>
        <v>2.793</v>
      </c>
      <c r="F453" s="13" t="n">
        <f aca="false">IFERROR(E453*Eingaben!$B$15,0)</f>
        <v>2.5137</v>
      </c>
      <c r="G453" s="13" t="n">
        <f aca="false">IFERROR(IF(Kalender!A87="",0,J452*(1-Eingaben!$B$20)),0)</f>
        <v>0.7390278</v>
      </c>
      <c r="H453" s="13" t="n">
        <f aca="false">MIN(G453,D453)</f>
        <v>0.7390278</v>
      </c>
      <c r="I453" s="13" t="n">
        <f aca="false">IFERROR(MIN(F453*Eingaben!$B$19,MAX(0,D453-H453)),0)</f>
        <v>1.75959</v>
      </c>
      <c r="J453" s="13" t="n">
        <f aca="false">IFERROR(MIN(Eingaben!$B$18,MAX(0,F453-I453)),0)</f>
        <v>0.75411</v>
      </c>
      <c r="K453" s="13" t="n">
        <f aca="false">H453+I453</f>
        <v>2.4986178</v>
      </c>
      <c r="L453" s="13" t="n">
        <f aca="false">MAX(0,D453-K453)</f>
        <v>2.4413822</v>
      </c>
      <c r="M453" s="13" t="n">
        <f aca="false">MAX(0,F453-I453-J453)</f>
        <v>0</v>
      </c>
      <c r="N453" s="13" t="n">
        <f aca="false">IF(Kalender!A87="",0,J452-H453)</f>
        <v>0.0150822</v>
      </c>
    </row>
    <row r="454" customFormat="false" ht="16.4" hidden="false" customHeight="false" outlineLevel="0" collapsed="false">
      <c r="A454" s="13" t="str">
        <f aca="false">""</f>
        <v/>
      </c>
      <c r="B454" s="13" t="n">
        <f aca="false">84</f>
        <v>84</v>
      </c>
      <c r="C454" s="13" t="n">
        <f aca="false">IF(Szenarien!$H$9="OK",(IFERROR(SUMIF(Nutzungsprofile!$B$6:$B$11,"Schulbetrieb",Nutzungsprofile!$G$6:$G$11)*Kalender!C88/SUM(Kalender!$C$5:$C$370),0)+IFERROR(SUMIF(Nutzungsprofile!$B$6:$B$11,"Halle",Nutzungsprofile!$G$6:$G$11)*Kalender!D88/SUM(Kalender!$D$5:$D$370),0)+IFERROR(SUMIF(Nutzungsprofile!$B$6:$B$11,"Individuell",Nutzungsprofile!$G$6:$G$11)*Kalender!E88/SUM(Kalender!$E$5:$E$370),0))*Szenarien!$E$9,0)</f>
        <v>2.94</v>
      </c>
      <c r="D454" s="13" t="n">
        <f aca="false">IF(Szenarien!$H$9="OK",(IFERROR(SUMIF(Nutzungsprofile!$B$17:$B$22,"Schulbetrieb",Nutzungsprofile!$G$17:$G$22)*Kalender!C88/SUM(Kalender!$C$5:$C$370),0)+IFERROR(SUMIF(Nutzungsprofile!$B$17:$B$22,"Halle",Nutzungsprofile!$G$17:$G$22)*Kalender!D88/SUM(Kalender!$D$5:$D$370),0)+IFERROR(SUMIF(Nutzungsprofile!$B$17:$B$22,"Individuell",Nutzungsprofile!$G$17:$G$22)*Kalender!E88/SUM(Kalender!$E$5:$E$370),0))*Szenarien!$D$9,0)</f>
        <v>4.94</v>
      </c>
      <c r="E454" s="13" t="n">
        <f aca="false">IFERROR(MIN(C454,Eingaben!$B$17)*Eingaben!$B$16,0)</f>
        <v>2.793</v>
      </c>
      <c r="F454" s="13" t="n">
        <f aca="false">IFERROR(E454*Eingaben!$B$15,0)</f>
        <v>2.5137</v>
      </c>
      <c r="G454" s="13" t="n">
        <f aca="false">IFERROR(IF(Kalender!A88="",0,J453*(1-Eingaben!$B$20)),0)</f>
        <v>0.7390278</v>
      </c>
      <c r="H454" s="13" t="n">
        <f aca="false">MIN(G454,D454)</f>
        <v>0.7390278</v>
      </c>
      <c r="I454" s="13" t="n">
        <f aca="false">IFERROR(MIN(F454*Eingaben!$B$19,MAX(0,D454-H454)),0)</f>
        <v>1.75959</v>
      </c>
      <c r="J454" s="13" t="n">
        <f aca="false">IFERROR(MIN(Eingaben!$B$18,MAX(0,F454-I454)),0)</f>
        <v>0.75411</v>
      </c>
      <c r="K454" s="13" t="n">
        <f aca="false">H454+I454</f>
        <v>2.4986178</v>
      </c>
      <c r="L454" s="13" t="n">
        <f aca="false">MAX(0,D454-K454)</f>
        <v>2.4413822</v>
      </c>
      <c r="M454" s="13" t="n">
        <f aca="false">MAX(0,F454-I454-J454)</f>
        <v>0</v>
      </c>
      <c r="N454" s="13" t="n">
        <f aca="false">IF(Kalender!A88="",0,J453-H454)</f>
        <v>0.0150822</v>
      </c>
    </row>
    <row r="455" customFormat="false" ht="16.4" hidden="false" customHeight="false" outlineLevel="0" collapsed="false">
      <c r="A455" s="13" t="str">
        <f aca="false">""</f>
        <v/>
      </c>
      <c r="B455" s="13" t="n">
        <f aca="false">85</f>
        <v>85</v>
      </c>
      <c r="C455" s="13" t="n">
        <f aca="false">IF(Szenarien!$H$9="OK",(IFERROR(SUMIF(Nutzungsprofile!$B$6:$B$11,"Schulbetrieb",Nutzungsprofile!$G$6:$G$11)*Kalender!C89/SUM(Kalender!$C$5:$C$370),0)+IFERROR(SUMIF(Nutzungsprofile!$B$6:$B$11,"Halle",Nutzungsprofile!$G$6:$G$11)*Kalender!D89/SUM(Kalender!$D$5:$D$370),0)+IFERROR(SUMIF(Nutzungsprofile!$B$6:$B$11,"Individuell",Nutzungsprofile!$G$6:$G$11)*Kalender!E89/SUM(Kalender!$E$5:$E$370),0))*Szenarien!$E$9,0)</f>
        <v>2.94</v>
      </c>
      <c r="D455" s="13" t="n">
        <f aca="false">IF(Szenarien!$H$9="OK",(IFERROR(SUMIF(Nutzungsprofile!$B$17:$B$22,"Schulbetrieb",Nutzungsprofile!$G$17:$G$22)*Kalender!C89/SUM(Kalender!$C$5:$C$370),0)+IFERROR(SUMIF(Nutzungsprofile!$B$17:$B$22,"Halle",Nutzungsprofile!$G$17:$G$22)*Kalender!D89/SUM(Kalender!$D$5:$D$370),0)+IFERROR(SUMIF(Nutzungsprofile!$B$17:$B$22,"Individuell",Nutzungsprofile!$G$17:$G$22)*Kalender!E89/SUM(Kalender!$E$5:$E$370),0))*Szenarien!$D$9,0)</f>
        <v>4.94</v>
      </c>
      <c r="E455" s="13" t="n">
        <f aca="false">IFERROR(MIN(C455,Eingaben!$B$17)*Eingaben!$B$16,0)</f>
        <v>2.793</v>
      </c>
      <c r="F455" s="13" t="n">
        <f aca="false">IFERROR(E455*Eingaben!$B$15,0)</f>
        <v>2.5137</v>
      </c>
      <c r="G455" s="13" t="n">
        <f aca="false">IFERROR(IF(Kalender!A89="",0,J454*(1-Eingaben!$B$20)),0)</f>
        <v>0.7390278</v>
      </c>
      <c r="H455" s="13" t="n">
        <f aca="false">MIN(G455,D455)</f>
        <v>0.7390278</v>
      </c>
      <c r="I455" s="13" t="n">
        <f aca="false">IFERROR(MIN(F455*Eingaben!$B$19,MAX(0,D455-H455)),0)</f>
        <v>1.75959</v>
      </c>
      <c r="J455" s="13" t="n">
        <f aca="false">IFERROR(MIN(Eingaben!$B$18,MAX(0,F455-I455)),0)</f>
        <v>0.75411</v>
      </c>
      <c r="K455" s="13" t="n">
        <f aca="false">H455+I455</f>
        <v>2.4986178</v>
      </c>
      <c r="L455" s="13" t="n">
        <f aca="false">MAX(0,D455-K455)</f>
        <v>2.4413822</v>
      </c>
      <c r="M455" s="13" t="n">
        <f aca="false">MAX(0,F455-I455-J455)</f>
        <v>0</v>
      </c>
      <c r="N455" s="13" t="n">
        <f aca="false">IF(Kalender!A89="",0,J454-H455)</f>
        <v>0.0150822</v>
      </c>
    </row>
    <row r="456" customFormat="false" ht="16.4" hidden="false" customHeight="false" outlineLevel="0" collapsed="false">
      <c r="A456" s="13" t="str">
        <f aca="false">""</f>
        <v/>
      </c>
      <c r="B456" s="13" t="n">
        <f aca="false">86</f>
        <v>86</v>
      </c>
      <c r="C456" s="13" t="n">
        <f aca="false">IF(Szenarien!$H$9="OK",(IFERROR(SUMIF(Nutzungsprofile!$B$6:$B$11,"Schulbetrieb",Nutzungsprofile!$G$6:$G$11)*Kalender!C90/SUM(Kalender!$C$5:$C$370),0)+IFERROR(SUMIF(Nutzungsprofile!$B$6:$B$11,"Halle",Nutzungsprofile!$G$6:$G$11)*Kalender!D90/SUM(Kalender!$D$5:$D$370),0)+IFERROR(SUMIF(Nutzungsprofile!$B$6:$B$11,"Individuell",Nutzungsprofile!$G$6:$G$11)*Kalender!E90/SUM(Kalender!$E$5:$E$370),0))*Szenarien!$E$9,0)</f>
        <v>2.94</v>
      </c>
      <c r="D456" s="13" t="n">
        <f aca="false">IF(Szenarien!$H$9="OK",(IFERROR(SUMIF(Nutzungsprofile!$B$17:$B$22,"Schulbetrieb",Nutzungsprofile!$G$17:$G$22)*Kalender!C90/SUM(Kalender!$C$5:$C$370),0)+IFERROR(SUMIF(Nutzungsprofile!$B$17:$B$22,"Halle",Nutzungsprofile!$G$17:$G$22)*Kalender!D90/SUM(Kalender!$D$5:$D$370),0)+IFERROR(SUMIF(Nutzungsprofile!$B$17:$B$22,"Individuell",Nutzungsprofile!$G$17:$G$22)*Kalender!E90/SUM(Kalender!$E$5:$E$370),0))*Szenarien!$D$9,0)</f>
        <v>4.94</v>
      </c>
      <c r="E456" s="13" t="n">
        <f aca="false">IFERROR(MIN(C456,Eingaben!$B$17)*Eingaben!$B$16,0)</f>
        <v>2.793</v>
      </c>
      <c r="F456" s="13" t="n">
        <f aca="false">IFERROR(E456*Eingaben!$B$15,0)</f>
        <v>2.5137</v>
      </c>
      <c r="G456" s="13" t="n">
        <f aca="false">IFERROR(IF(Kalender!A90="",0,J455*(1-Eingaben!$B$20)),0)</f>
        <v>0.7390278</v>
      </c>
      <c r="H456" s="13" t="n">
        <f aca="false">MIN(G456,D456)</f>
        <v>0.7390278</v>
      </c>
      <c r="I456" s="13" t="n">
        <f aca="false">IFERROR(MIN(F456*Eingaben!$B$19,MAX(0,D456-H456)),0)</f>
        <v>1.75959</v>
      </c>
      <c r="J456" s="13" t="n">
        <f aca="false">IFERROR(MIN(Eingaben!$B$18,MAX(0,F456-I456)),0)</f>
        <v>0.75411</v>
      </c>
      <c r="K456" s="13" t="n">
        <f aca="false">H456+I456</f>
        <v>2.4986178</v>
      </c>
      <c r="L456" s="13" t="n">
        <f aca="false">MAX(0,D456-K456)</f>
        <v>2.4413822</v>
      </c>
      <c r="M456" s="13" t="n">
        <f aca="false">MAX(0,F456-I456-J456)</f>
        <v>0</v>
      </c>
      <c r="N456" s="13" t="n">
        <f aca="false">IF(Kalender!A90="",0,J455-H456)</f>
        <v>0.0150822</v>
      </c>
    </row>
    <row r="457" customFormat="false" ht="16.4" hidden="false" customHeight="false" outlineLevel="0" collapsed="false">
      <c r="A457" s="13" t="str">
        <f aca="false">""</f>
        <v/>
      </c>
      <c r="B457" s="13" t="n">
        <f aca="false">87</f>
        <v>87</v>
      </c>
      <c r="C457" s="13" t="n">
        <f aca="false">IF(Szenarien!$H$9="OK",(IFERROR(SUMIF(Nutzungsprofile!$B$6:$B$11,"Schulbetrieb",Nutzungsprofile!$G$6:$G$11)*Kalender!C91/SUM(Kalender!$C$5:$C$370),0)+IFERROR(SUMIF(Nutzungsprofile!$B$6:$B$11,"Halle",Nutzungsprofile!$G$6:$G$11)*Kalender!D91/SUM(Kalender!$D$5:$D$370),0)+IFERROR(SUMIF(Nutzungsprofile!$B$6:$B$11,"Individuell",Nutzungsprofile!$G$6:$G$11)*Kalender!E91/SUM(Kalender!$E$5:$E$370),0))*Szenarien!$E$9,0)</f>
        <v>2.04</v>
      </c>
      <c r="D457" s="13" t="n">
        <f aca="false">IF(Szenarien!$H$9="OK",(IFERROR(SUMIF(Nutzungsprofile!$B$17:$B$22,"Schulbetrieb",Nutzungsprofile!$G$17:$G$22)*Kalender!C91/SUM(Kalender!$C$5:$C$370),0)+IFERROR(SUMIF(Nutzungsprofile!$B$17:$B$22,"Halle",Nutzungsprofile!$G$17:$G$22)*Kalender!D91/SUM(Kalender!$D$5:$D$370),0)+IFERROR(SUMIF(Nutzungsprofile!$B$17:$B$22,"Individuell",Nutzungsprofile!$G$17:$G$22)*Kalender!E91/SUM(Kalender!$E$5:$E$370),0))*Szenarien!$D$9,0)</f>
        <v>0.89</v>
      </c>
      <c r="E457" s="13" t="n">
        <f aca="false">IFERROR(MIN(C457,Eingaben!$B$17)*Eingaben!$B$16,0)</f>
        <v>1.938</v>
      </c>
      <c r="F457" s="13" t="n">
        <f aca="false">IFERROR(E457*Eingaben!$B$15,0)</f>
        <v>1.7442</v>
      </c>
      <c r="G457" s="13" t="n">
        <f aca="false">IFERROR(IF(Kalender!A91="",0,J456*(1-Eingaben!$B$20)),0)</f>
        <v>0.7390278</v>
      </c>
      <c r="H457" s="13" t="n">
        <f aca="false">MIN(G457,D457)</f>
        <v>0.7390278</v>
      </c>
      <c r="I457" s="13" t="n">
        <f aca="false">IFERROR(MIN(F457*Eingaben!$B$19,MAX(0,D457-H457)),0)</f>
        <v>0.1509722</v>
      </c>
      <c r="J457" s="13" t="n">
        <f aca="false">IFERROR(MIN(Eingaben!$B$18,MAX(0,F457-I457)),0)</f>
        <v>1.5932278</v>
      </c>
      <c r="K457" s="13" t="n">
        <f aca="false">H457+I457</f>
        <v>0.89</v>
      </c>
      <c r="L457" s="13" t="n">
        <f aca="false">MAX(0,D457-K457)</f>
        <v>0</v>
      </c>
      <c r="M457" s="13" t="n">
        <f aca="false">MAX(0,F457-I457-J457)</f>
        <v>0</v>
      </c>
      <c r="N457" s="13" t="n">
        <f aca="false">IF(Kalender!A91="",0,J456-H457)</f>
        <v>0.0150822</v>
      </c>
    </row>
    <row r="458" customFormat="false" ht="16.4" hidden="false" customHeight="false" outlineLevel="0" collapsed="false">
      <c r="A458" s="13" t="str">
        <f aca="false">""</f>
        <v/>
      </c>
      <c r="B458" s="13" t="n">
        <f aca="false">88</f>
        <v>88</v>
      </c>
      <c r="C458" s="13" t="n">
        <f aca="false">IF(Szenarien!$H$9="OK",(IFERROR(SUMIF(Nutzungsprofile!$B$6:$B$11,"Schulbetrieb",Nutzungsprofile!$G$6:$G$11)*Kalender!C92/SUM(Kalender!$C$5:$C$370),0)+IFERROR(SUMIF(Nutzungsprofile!$B$6:$B$11,"Halle",Nutzungsprofile!$G$6:$G$11)*Kalender!D92/SUM(Kalender!$D$5:$D$370),0)+IFERROR(SUMIF(Nutzungsprofile!$B$6:$B$11,"Individuell",Nutzungsprofile!$G$6:$G$11)*Kalender!E92/SUM(Kalender!$E$5:$E$370),0))*Szenarien!$E$9,0)</f>
        <v>2.04</v>
      </c>
      <c r="D458" s="13" t="n">
        <f aca="false">IF(Szenarien!$H$9="OK",(IFERROR(SUMIF(Nutzungsprofile!$B$17:$B$22,"Schulbetrieb",Nutzungsprofile!$G$17:$G$22)*Kalender!C92/SUM(Kalender!$C$5:$C$370),0)+IFERROR(SUMIF(Nutzungsprofile!$B$17:$B$22,"Halle",Nutzungsprofile!$G$17:$G$22)*Kalender!D92/SUM(Kalender!$D$5:$D$370),0)+IFERROR(SUMIF(Nutzungsprofile!$B$17:$B$22,"Individuell",Nutzungsprofile!$G$17:$G$22)*Kalender!E92/SUM(Kalender!$E$5:$E$370),0))*Szenarien!$D$9,0)</f>
        <v>0.89</v>
      </c>
      <c r="E458" s="13" t="n">
        <f aca="false">IFERROR(MIN(C458,Eingaben!$B$17)*Eingaben!$B$16,0)</f>
        <v>1.938</v>
      </c>
      <c r="F458" s="13" t="n">
        <f aca="false">IFERROR(E458*Eingaben!$B$15,0)</f>
        <v>1.7442</v>
      </c>
      <c r="G458" s="13" t="n">
        <f aca="false">IFERROR(IF(Kalender!A92="",0,J457*(1-Eingaben!$B$20)),0)</f>
        <v>1.561363244</v>
      </c>
      <c r="H458" s="13" t="n">
        <f aca="false">MIN(G458,D458)</f>
        <v>0.89</v>
      </c>
      <c r="I458" s="13" t="n">
        <f aca="false">IFERROR(MIN(F458*Eingaben!$B$19,MAX(0,D458-H458)),0)</f>
        <v>0</v>
      </c>
      <c r="J458" s="13" t="n">
        <f aca="false">IFERROR(MIN(Eingaben!$B$18,MAX(0,F458-I458)),0)</f>
        <v>1.7442</v>
      </c>
      <c r="K458" s="13" t="n">
        <f aca="false">H458+I458</f>
        <v>0.89</v>
      </c>
      <c r="L458" s="13" t="n">
        <f aca="false">MAX(0,D458-K458)</f>
        <v>0</v>
      </c>
      <c r="M458" s="13" t="n">
        <f aca="false">MAX(0,F458-I458-J458)</f>
        <v>0</v>
      </c>
      <c r="N458" s="13" t="n">
        <f aca="false">IF(Kalender!A92="",0,J457-H458)</f>
        <v>0.7032278</v>
      </c>
    </row>
    <row r="459" customFormat="false" ht="16.4" hidden="false" customHeight="false" outlineLevel="0" collapsed="false">
      <c r="A459" s="13" t="str">
        <f aca="false">""</f>
        <v/>
      </c>
      <c r="B459" s="13" t="n">
        <f aca="false">89</f>
        <v>89</v>
      </c>
      <c r="C459" s="13" t="n">
        <f aca="false">IF(Szenarien!$H$9="OK",(IFERROR(SUMIF(Nutzungsprofile!$B$6:$B$11,"Schulbetrieb",Nutzungsprofile!$G$6:$G$11)*Kalender!C93/SUM(Kalender!$C$5:$C$370),0)+IFERROR(SUMIF(Nutzungsprofile!$B$6:$B$11,"Halle",Nutzungsprofile!$G$6:$G$11)*Kalender!D93/SUM(Kalender!$D$5:$D$370),0)+IFERROR(SUMIF(Nutzungsprofile!$B$6:$B$11,"Individuell",Nutzungsprofile!$G$6:$G$11)*Kalender!E93/SUM(Kalender!$E$5:$E$370),0))*Szenarien!$E$9,0)</f>
        <v>2.94</v>
      </c>
      <c r="D459" s="13" t="n">
        <f aca="false">IF(Szenarien!$H$9="OK",(IFERROR(SUMIF(Nutzungsprofile!$B$17:$B$22,"Schulbetrieb",Nutzungsprofile!$G$17:$G$22)*Kalender!C93/SUM(Kalender!$C$5:$C$370),0)+IFERROR(SUMIF(Nutzungsprofile!$B$17:$B$22,"Halle",Nutzungsprofile!$G$17:$G$22)*Kalender!D93/SUM(Kalender!$D$5:$D$370),0)+IFERROR(SUMIF(Nutzungsprofile!$B$17:$B$22,"Individuell",Nutzungsprofile!$G$17:$G$22)*Kalender!E93/SUM(Kalender!$E$5:$E$370),0))*Szenarien!$D$9,0)</f>
        <v>4.94</v>
      </c>
      <c r="E459" s="13" t="n">
        <f aca="false">IFERROR(MIN(C459,Eingaben!$B$17)*Eingaben!$B$16,0)</f>
        <v>2.793</v>
      </c>
      <c r="F459" s="13" t="n">
        <f aca="false">IFERROR(E459*Eingaben!$B$15,0)</f>
        <v>2.5137</v>
      </c>
      <c r="G459" s="13" t="n">
        <f aca="false">IFERROR(IF(Kalender!A93="",0,J458*(1-Eingaben!$B$20)),0)</f>
        <v>1.709316</v>
      </c>
      <c r="H459" s="13" t="n">
        <f aca="false">MIN(G459,D459)</f>
        <v>1.709316</v>
      </c>
      <c r="I459" s="13" t="n">
        <f aca="false">IFERROR(MIN(F459*Eingaben!$B$19,MAX(0,D459-H459)),0)</f>
        <v>1.75959</v>
      </c>
      <c r="J459" s="13" t="n">
        <f aca="false">IFERROR(MIN(Eingaben!$B$18,MAX(0,F459-I459)),0)</f>
        <v>0.75411</v>
      </c>
      <c r="K459" s="13" t="n">
        <f aca="false">H459+I459</f>
        <v>3.468906</v>
      </c>
      <c r="L459" s="13" t="n">
        <f aca="false">MAX(0,D459-K459)</f>
        <v>1.471094</v>
      </c>
      <c r="M459" s="13" t="n">
        <f aca="false">MAX(0,F459-I459-J459)</f>
        <v>0</v>
      </c>
      <c r="N459" s="13" t="n">
        <f aca="false">IF(Kalender!A93="",0,J458-H459)</f>
        <v>0.0348840000000001</v>
      </c>
    </row>
    <row r="460" customFormat="false" ht="16.4" hidden="false" customHeight="false" outlineLevel="0" collapsed="false">
      <c r="A460" s="13" t="str">
        <f aca="false">""</f>
        <v/>
      </c>
      <c r="B460" s="13" t="n">
        <f aca="false">90</f>
        <v>90</v>
      </c>
      <c r="C460" s="13" t="n">
        <f aca="false">IF(Szenarien!$H$9="OK",(IFERROR(SUMIF(Nutzungsprofile!$B$6:$B$11,"Schulbetrieb",Nutzungsprofile!$G$6:$G$11)*Kalender!C94/SUM(Kalender!$C$5:$C$370),0)+IFERROR(SUMIF(Nutzungsprofile!$B$6:$B$11,"Halle",Nutzungsprofile!$G$6:$G$11)*Kalender!D94/SUM(Kalender!$D$5:$D$370),0)+IFERROR(SUMIF(Nutzungsprofile!$B$6:$B$11,"Individuell",Nutzungsprofile!$G$6:$G$11)*Kalender!E94/SUM(Kalender!$E$5:$E$370),0))*Szenarien!$E$9,0)</f>
        <v>2.94</v>
      </c>
      <c r="D460" s="13" t="n">
        <f aca="false">IF(Szenarien!$H$9="OK",(IFERROR(SUMIF(Nutzungsprofile!$B$17:$B$22,"Schulbetrieb",Nutzungsprofile!$G$17:$G$22)*Kalender!C94/SUM(Kalender!$C$5:$C$370),0)+IFERROR(SUMIF(Nutzungsprofile!$B$17:$B$22,"Halle",Nutzungsprofile!$G$17:$G$22)*Kalender!D94/SUM(Kalender!$D$5:$D$370),0)+IFERROR(SUMIF(Nutzungsprofile!$B$17:$B$22,"Individuell",Nutzungsprofile!$G$17:$G$22)*Kalender!E94/SUM(Kalender!$E$5:$E$370),0))*Szenarien!$D$9,0)</f>
        <v>4.94</v>
      </c>
      <c r="E460" s="13" t="n">
        <f aca="false">IFERROR(MIN(C460,Eingaben!$B$17)*Eingaben!$B$16,0)</f>
        <v>2.793</v>
      </c>
      <c r="F460" s="13" t="n">
        <f aca="false">IFERROR(E460*Eingaben!$B$15,0)</f>
        <v>2.5137</v>
      </c>
      <c r="G460" s="13" t="n">
        <f aca="false">IFERROR(IF(Kalender!A94="",0,J459*(1-Eingaben!$B$20)),0)</f>
        <v>0.7390278</v>
      </c>
      <c r="H460" s="13" t="n">
        <f aca="false">MIN(G460,D460)</f>
        <v>0.7390278</v>
      </c>
      <c r="I460" s="13" t="n">
        <f aca="false">IFERROR(MIN(F460*Eingaben!$B$19,MAX(0,D460-H460)),0)</f>
        <v>1.75959</v>
      </c>
      <c r="J460" s="13" t="n">
        <f aca="false">IFERROR(MIN(Eingaben!$B$18,MAX(0,F460-I460)),0)</f>
        <v>0.75411</v>
      </c>
      <c r="K460" s="13" t="n">
        <f aca="false">H460+I460</f>
        <v>2.4986178</v>
      </c>
      <c r="L460" s="13" t="n">
        <f aca="false">MAX(0,D460-K460)</f>
        <v>2.4413822</v>
      </c>
      <c r="M460" s="13" t="n">
        <f aca="false">MAX(0,F460-I460-J460)</f>
        <v>0</v>
      </c>
      <c r="N460" s="13" t="n">
        <f aca="false">IF(Kalender!A94="",0,J459-H460)</f>
        <v>0.0150822</v>
      </c>
    </row>
    <row r="461" customFormat="false" ht="16.4" hidden="false" customHeight="false" outlineLevel="0" collapsed="false">
      <c r="A461" s="13" t="str">
        <f aca="false">""</f>
        <v/>
      </c>
      <c r="B461" s="13" t="n">
        <f aca="false">91</f>
        <v>91</v>
      </c>
      <c r="C461" s="13" t="n">
        <f aca="false">IF(Szenarien!$H$9="OK",(IFERROR(SUMIF(Nutzungsprofile!$B$6:$B$11,"Schulbetrieb",Nutzungsprofile!$G$6:$G$11)*Kalender!C95/SUM(Kalender!$C$5:$C$370),0)+IFERROR(SUMIF(Nutzungsprofile!$B$6:$B$11,"Halle",Nutzungsprofile!$G$6:$G$11)*Kalender!D95/SUM(Kalender!$D$5:$D$370),0)+IFERROR(SUMIF(Nutzungsprofile!$B$6:$B$11,"Individuell",Nutzungsprofile!$G$6:$G$11)*Kalender!E95/SUM(Kalender!$E$5:$E$370),0))*Szenarien!$E$9,0)</f>
        <v>2.94</v>
      </c>
      <c r="D461" s="13" t="n">
        <f aca="false">IF(Szenarien!$H$9="OK",(IFERROR(SUMIF(Nutzungsprofile!$B$17:$B$22,"Schulbetrieb",Nutzungsprofile!$G$17:$G$22)*Kalender!C95/SUM(Kalender!$C$5:$C$370),0)+IFERROR(SUMIF(Nutzungsprofile!$B$17:$B$22,"Halle",Nutzungsprofile!$G$17:$G$22)*Kalender!D95/SUM(Kalender!$D$5:$D$370),0)+IFERROR(SUMIF(Nutzungsprofile!$B$17:$B$22,"Individuell",Nutzungsprofile!$G$17:$G$22)*Kalender!E95/SUM(Kalender!$E$5:$E$370),0))*Szenarien!$D$9,0)</f>
        <v>4.94</v>
      </c>
      <c r="E461" s="13" t="n">
        <f aca="false">IFERROR(MIN(C461,Eingaben!$B$17)*Eingaben!$B$16,0)</f>
        <v>2.793</v>
      </c>
      <c r="F461" s="13" t="n">
        <f aca="false">IFERROR(E461*Eingaben!$B$15,0)</f>
        <v>2.5137</v>
      </c>
      <c r="G461" s="13" t="n">
        <f aca="false">IFERROR(IF(Kalender!A95="",0,J460*(1-Eingaben!$B$20)),0)</f>
        <v>0.7390278</v>
      </c>
      <c r="H461" s="13" t="n">
        <f aca="false">MIN(G461,D461)</f>
        <v>0.7390278</v>
      </c>
      <c r="I461" s="13" t="n">
        <f aca="false">IFERROR(MIN(F461*Eingaben!$B$19,MAX(0,D461-H461)),0)</f>
        <v>1.75959</v>
      </c>
      <c r="J461" s="13" t="n">
        <f aca="false">IFERROR(MIN(Eingaben!$B$18,MAX(0,F461-I461)),0)</f>
        <v>0.75411</v>
      </c>
      <c r="K461" s="13" t="n">
        <f aca="false">H461+I461</f>
        <v>2.4986178</v>
      </c>
      <c r="L461" s="13" t="n">
        <f aca="false">MAX(0,D461-K461)</f>
        <v>2.4413822</v>
      </c>
      <c r="M461" s="13" t="n">
        <f aca="false">MAX(0,F461-I461-J461)</f>
        <v>0</v>
      </c>
      <c r="N461" s="13" t="n">
        <f aca="false">IF(Kalender!A95="",0,J460-H461)</f>
        <v>0.0150822</v>
      </c>
    </row>
    <row r="462" customFormat="false" ht="16.4" hidden="false" customHeight="false" outlineLevel="0" collapsed="false">
      <c r="A462" s="13" t="str">
        <f aca="false">""</f>
        <v/>
      </c>
      <c r="B462" s="13" t="n">
        <f aca="false">92</f>
        <v>92</v>
      </c>
      <c r="C462" s="13" t="n">
        <f aca="false">IF(Szenarien!$H$9="OK",(IFERROR(SUMIF(Nutzungsprofile!$B$6:$B$11,"Schulbetrieb",Nutzungsprofile!$G$6:$G$11)*Kalender!C96/SUM(Kalender!$C$5:$C$370),0)+IFERROR(SUMIF(Nutzungsprofile!$B$6:$B$11,"Halle",Nutzungsprofile!$G$6:$G$11)*Kalender!D96/SUM(Kalender!$D$5:$D$370),0)+IFERROR(SUMIF(Nutzungsprofile!$B$6:$B$11,"Individuell",Nutzungsprofile!$G$6:$G$11)*Kalender!E96/SUM(Kalender!$E$5:$E$370),0))*Szenarien!$E$9,0)</f>
        <v>2.94</v>
      </c>
      <c r="D462" s="13" t="n">
        <f aca="false">IF(Szenarien!$H$9="OK",(IFERROR(SUMIF(Nutzungsprofile!$B$17:$B$22,"Schulbetrieb",Nutzungsprofile!$G$17:$G$22)*Kalender!C96/SUM(Kalender!$C$5:$C$370),0)+IFERROR(SUMIF(Nutzungsprofile!$B$17:$B$22,"Halle",Nutzungsprofile!$G$17:$G$22)*Kalender!D96/SUM(Kalender!$D$5:$D$370),0)+IFERROR(SUMIF(Nutzungsprofile!$B$17:$B$22,"Individuell",Nutzungsprofile!$G$17:$G$22)*Kalender!E96/SUM(Kalender!$E$5:$E$370),0))*Szenarien!$D$9,0)</f>
        <v>4.94</v>
      </c>
      <c r="E462" s="13" t="n">
        <f aca="false">IFERROR(MIN(C462,Eingaben!$B$17)*Eingaben!$B$16,0)</f>
        <v>2.793</v>
      </c>
      <c r="F462" s="13" t="n">
        <f aca="false">IFERROR(E462*Eingaben!$B$15,0)</f>
        <v>2.5137</v>
      </c>
      <c r="G462" s="13" t="n">
        <f aca="false">IFERROR(IF(Kalender!A96="",0,J461*(1-Eingaben!$B$20)),0)</f>
        <v>0.7390278</v>
      </c>
      <c r="H462" s="13" t="n">
        <f aca="false">MIN(G462,D462)</f>
        <v>0.7390278</v>
      </c>
      <c r="I462" s="13" t="n">
        <f aca="false">IFERROR(MIN(F462*Eingaben!$B$19,MAX(0,D462-H462)),0)</f>
        <v>1.75959</v>
      </c>
      <c r="J462" s="13" t="n">
        <f aca="false">IFERROR(MIN(Eingaben!$B$18,MAX(0,F462-I462)),0)</f>
        <v>0.75411</v>
      </c>
      <c r="K462" s="13" t="n">
        <f aca="false">H462+I462</f>
        <v>2.4986178</v>
      </c>
      <c r="L462" s="13" t="n">
        <f aca="false">MAX(0,D462-K462)</f>
        <v>2.4413822</v>
      </c>
      <c r="M462" s="13" t="n">
        <f aca="false">MAX(0,F462-I462-J462)</f>
        <v>0</v>
      </c>
      <c r="N462" s="13" t="n">
        <f aca="false">IF(Kalender!A96="",0,J461-H462)</f>
        <v>0.0150822</v>
      </c>
    </row>
    <row r="463" customFormat="false" ht="16.4" hidden="false" customHeight="false" outlineLevel="0" collapsed="false">
      <c r="A463" s="13" t="str">
        <f aca="false">""</f>
        <v/>
      </c>
      <c r="B463" s="13" t="n">
        <f aca="false">93</f>
        <v>93</v>
      </c>
      <c r="C463" s="13" t="n">
        <f aca="false">IF(Szenarien!$H$9="OK",(IFERROR(SUMIF(Nutzungsprofile!$B$6:$B$11,"Schulbetrieb",Nutzungsprofile!$G$6:$G$11)*Kalender!C97/SUM(Kalender!$C$5:$C$370),0)+IFERROR(SUMIF(Nutzungsprofile!$B$6:$B$11,"Halle",Nutzungsprofile!$G$6:$G$11)*Kalender!D97/SUM(Kalender!$D$5:$D$370),0)+IFERROR(SUMIF(Nutzungsprofile!$B$6:$B$11,"Individuell",Nutzungsprofile!$G$6:$G$11)*Kalender!E97/SUM(Kalender!$E$5:$E$370),0))*Szenarien!$E$9,0)</f>
        <v>2.94</v>
      </c>
      <c r="D463" s="13" t="n">
        <f aca="false">IF(Szenarien!$H$9="OK",(IFERROR(SUMIF(Nutzungsprofile!$B$17:$B$22,"Schulbetrieb",Nutzungsprofile!$G$17:$G$22)*Kalender!C97/SUM(Kalender!$C$5:$C$370),0)+IFERROR(SUMIF(Nutzungsprofile!$B$17:$B$22,"Halle",Nutzungsprofile!$G$17:$G$22)*Kalender!D97/SUM(Kalender!$D$5:$D$370),0)+IFERROR(SUMIF(Nutzungsprofile!$B$17:$B$22,"Individuell",Nutzungsprofile!$G$17:$G$22)*Kalender!E97/SUM(Kalender!$E$5:$E$370),0))*Szenarien!$D$9,0)</f>
        <v>4.94</v>
      </c>
      <c r="E463" s="13" t="n">
        <f aca="false">IFERROR(MIN(C463,Eingaben!$B$17)*Eingaben!$B$16,0)</f>
        <v>2.793</v>
      </c>
      <c r="F463" s="13" t="n">
        <f aca="false">IFERROR(E463*Eingaben!$B$15,0)</f>
        <v>2.5137</v>
      </c>
      <c r="G463" s="13" t="n">
        <f aca="false">IFERROR(IF(Kalender!A97="",0,J462*(1-Eingaben!$B$20)),0)</f>
        <v>0.7390278</v>
      </c>
      <c r="H463" s="13" t="n">
        <f aca="false">MIN(G463,D463)</f>
        <v>0.7390278</v>
      </c>
      <c r="I463" s="13" t="n">
        <f aca="false">IFERROR(MIN(F463*Eingaben!$B$19,MAX(0,D463-H463)),0)</f>
        <v>1.75959</v>
      </c>
      <c r="J463" s="13" t="n">
        <f aca="false">IFERROR(MIN(Eingaben!$B$18,MAX(0,F463-I463)),0)</f>
        <v>0.75411</v>
      </c>
      <c r="K463" s="13" t="n">
        <f aca="false">H463+I463</f>
        <v>2.4986178</v>
      </c>
      <c r="L463" s="13" t="n">
        <f aca="false">MAX(0,D463-K463)</f>
        <v>2.4413822</v>
      </c>
      <c r="M463" s="13" t="n">
        <f aca="false">MAX(0,F463-I463-J463)</f>
        <v>0</v>
      </c>
      <c r="N463" s="13" t="n">
        <f aca="false">IF(Kalender!A97="",0,J462-H463)</f>
        <v>0.0150822</v>
      </c>
    </row>
    <row r="464" customFormat="false" ht="16.4" hidden="false" customHeight="false" outlineLevel="0" collapsed="false">
      <c r="A464" s="13" t="str">
        <f aca="false">""</f>
        <v/>
      </c>
      <c r="B464" s="13" t="n">
        <f aca="false">94</f>
        <v>94</v>
      </c>
      <c r="C464" s="13" t="n">
        <f aca="false">IF(Szenarien!$H$9="OK",(IFERROR(SUMIF(Nutzungsprofile!$B$6:$B$11,"Schulbetrieb",Nutzungsprofile!$G$6:$G$11)*Kalender!C98/SUM(Kalender!$C$5:$C$370),0)+IFERROR(SUMIF(Nutzungsprofile!$B$6:$B$11,"Halle",Nutzungsprofile!$G$6:$G$11)*Kalender!D98/SUM(Kalender!$D$5:$D$370),0)+IFERROR(SUMIF(Nutzungsprofile!$B$6:$B$11,"Individuell",Nutzungsprofile!$G$6:$G$11)*Kalender!E98/SUM(Kalender!$E$5:$E$370),0))*Szenarien!$E$9,0)</f>
        <v>2.04</v>
      </c>
      <c r="D464" s="13" t="n">
        <f aca="false">IF(Szenarien!$H$9="OK",(IFERROR(SUMIF(Nutzungsprofile!$B$17:$B$22,"Schulbetrieb",Nutzungsprofile!$G$17:$G$22)*Kalender!C98/SUM(Kalender!$C$5:$C$370),0)+IFERROR(SUMIF(Nutzungsprofile!$B$17:$B$22,"Halle",Nutzungsprofile!$G$17:$G$22)*Kalender!D98/SUM(Kalender!$D$5:$D$370),0)+IFERROR(SUMIF(Nutzungsprofile!$B$17:$B$22,"Individuell",Nutzungsprofile!$G$17:$G$22)*Kalender!E98/SUM(Kalender!$E$5:$E$370),0))*Szenarien!$D$9,0)</f>
        <v>0.89</v>
      </c>
      <c r="E464" s="13" t="n">
        <f aca="false">IFERROR(MIN(C464,Eingaben!$B$17)*Eingaben!$B$16,0)</f>
        <v>1.938</v>
      </c>
      <c r="F464" s="13" t="n">
        <f aca="false">IFERROR(E464*Eingaben!$B$15,0)</f>
        <v>1.7442</v>
      </c>
      <c r="G464" s="13" t="n">
        <f aca="false">IFERROR(IF(Kalender!A98="",0,J463*(1-Eingaben!$B$20)),0)</f>
        <v>0.7390278</v>
      </c>
      <c r="H464" s="13" t="n">
        <f aca="false">MIN(G464,D464)</f>
        <v>0.7390278</v>
      </c>
      <c r="I464" s="13" t="n">
        <f aca="false">IFERROR(MIN(F464*Eingaben!$B$19,MAX(0,D464-H464)),0)</f>
        <v>0.1509722</v>
      </c>
      <c r="J464" s="13" t="n">
        <f aca="false">IFERROR(MIN(Eingaben!$B$18,MAX(0,F464-I464)),0)</f>
        <v>1.5932278</v>
      </c>
      <c r="K464" s="13" t="n">
        <f aca="false">H464+I464</f>
        <v>0.89</v>
      </c>
      <c r="L464" s="13" t="n">
        <f aca="false">MAX(0,D464-K464)</f>
        <v>0</v>
      </c>
      <c r="M464" s="13" t="n">
        <f aca="false">MAX(0,F464-I464-J464)</f>
        <v>0</v>
      </c>
      <c r="N464" s="13" t="n">
        <f aca="false">IF(Kalender!A98="",0,J463-H464)</f>
        <v>0.0150822</v>
      </c>
    </row>
    <row r="465" customFormat="false" ht="16.4" hidden="false" customHeight="false" outlineLevel="0" collapsed="false">
      <c r="A465" s="13" t="str">
        <f aca="false">""</f>
        <v/>
      </c>
      <c r="B465" s="13" t="n">
        <f aca="false">95</f>
        <v>95</v>
      </c>
      <c r="C465" s="13" t="n">
        <f aca="false">IF(Szenarien!$H$9="OK",(IFERROR(SUMIF(Nutzungsprofile!$B$6:$B$11,"Schulbetrieb",Nutzungsprofile!$G$6:$G$11)*Kalender!C99/SUM(Kalender!$C$5:$C$370),0)+IFERROR(SUMIF(Nutzungsprofile!$B$6:$B$11,"Halle",Nutzungsprofile!$G$6:$G$11)*Kalender!D99/SUM(Kalender!$D$5:$D$370),0)+IFERROR(SUMIF(Nutzungsprofile!$B$6:$B$11,"Individuell",Nutzungsprofile!$G$6:$G$11)*Kalender!E99/SUM(Kalender!$E$5:$E$370),0))*Szenarien!$E$9,0)</f>
        <v>2.04</v>
      </c>
      <c r="D465" s="13" t="n">
        <f aca="false">IF(Szenarien!$H$9="OK",(IFERROR(SUMIF(Nutzungsprofile!$B$17:$B$22,"Schulbetrieb",Nutzungsprofile!$G$17:$G$22)*Kalender!C99/SUM(Kalender!$C$5:$C$370),0)+IFERROR(SUMIF(Nutzungsprofile!$B$17:$B$22,"Halle",Nutzungsprofile!$G$17:$G$22)*Kalender!D99/SUM(Kalender!$D$5:$D$370),0)+IFERROR(SUMIF(Nutzungsprofile!$B$17:$B$22,"Individuell",Nutzungsprofile!$G$17:$G$22)*Kalender!E99/SUM(Kalender!$E$5:$E$370),0))*Szenarien!$D$9,0)</f>
        <v>0.89</v>
      </c>
      <c r="E465" s="13" t="n">
        <f aca="false">IFERROR(MIN(C465,Eingaben!$B$17)*Eingaben!$B$16,0)</f>
        <v>1.938</v>
      </c>
      <c r="F465" s="13" t="n">
        <f aca="false">IFERROR(E465*Eingaben!$B$15,0)</f>
        <v>1.7442</v>
      </c>
      <c r="G465" s="13" t="n">
        <f aca="false">IFERROR(IF(Kalender!A99="",0,J464*(1-Eingaben!$B$20)),0)</f>
        <v>1.561363244</v>
      </c>
      <c r="H465" s="13" t="n">
        <f aca="false">MIN(G465,D465)</f>
        <v>0.89</v>
      </c>
      <c r="I465" s="13" t="n">
        <f aca="false">IFERROR(MIN(F465*Eingaben!$B$19,MAX(0,D465-H465)),0)</f>
        <v>0</v>
      </c>
      <c r="J465" s="13" t="n">
        <f aca="false">IFERROR(MIN(Eingaben!$B$18,MAX(0,F465-I465)),0)</f>
        <v>1.7442</v>
      </c>
      <c r="K465" s="13" t="n">
        <f aca="false">H465+I465</f>
        <v>0.89</v>
      </c>
      <c r="L465" s="13" t="n">
        <f aca="false">MAX(0,D465-K465)</f>
        <v>0</v>
      </c>
      <c r="M465" s="13" t="n">
        <f aca="false">MAX(0,F465-I465-J465)</f>
        <v>0</v>
      </c>
      <c r="N465" s="13" t="n">
        <f aca="false">IF(Kalender!A99="",0,J464-H465)</f>
        <v>0.7032278</v>
      </c>
    </row>
    <row r="466" customFormat="false" ht="16.4" hidden="false" customHeight="false" outlineLevel="0" collapsed="false">
      <c r="A466" s="13" t="str">
        <f aca="false">""</f>
        <v/>
      </c>
      <c r="B466" s="13" t="n">
        <f aca="false">96</f>
        <v>96</v>
      </c>
      <c r="C466" s="13" t="n">
        <f aca="false">IF(Szenarien!$H$9="OK",(IFERROR(SUMIF(Nutzungsprofile!$B$6:$B$11,"Schulbetrieb",Nutzungsprofile!$G$6:$G$11)*Kalender!C100/SUM(Kalender!$C$5:$C$370),0)+IFERROR(SUMIF(Nutzungsprofile!$B$6:$B$11,"Halle",Nutzungsprofile!$G$6:$G$11)*Kalender!D100/SUM(Kalender!$D$5:$D$370),0)+IFERROR(SUMIF(Nutzungsprofile!$B$6:$B$11,"Individuell",Nutzungsprofile!$G$6:$G$11)*Kalender!E100/SUM(Kalender!$E$5:$E$370),0))*Szenarien!$E$9,0)</f>
        <v>2.94</v>
      </c>
      <c r="D466" s="13" t="n">
        <f aca="false">IF(Szenarien!$H$9="OK",(IFERROR(SUMIF(Nutzungsprofile!$B$17:$B$22,"Schulbetrieb",Nutzungsprofile!$G$17:$G$22)*Kalender!C100/SUM(Kalender!$C$5:$C$370),0)+IFERROR(SUMIF(Nutzungsprofile!$B$17:$B$22,"Halle",Nutzungsprofile!$G$17:$G$22)*Kalender!D100/SUM(Kalender!$D$5:$D$370),0)+IFERROR(SUMIF(Nutzungsprofile!$B$17:$B$22,"Individuell",Nutzungsprofile!$G$17:$G$22)*Kalender!E100/SUM(Kalender!$E$5:$E$370),0))*Szenarien!$D$9,0)</f>
        <v>4.94</v>
      </c>
      <c r="E466" s="13" t="n">
        <f aca="false">IFERROR(MIN(C466,Eingaben!$B$17)*Eingaben!$B$16,0)</f>
        <v>2.793</v>
      </c>
      <c r="F466" s="13" t="n">
        <f aca="false">IFERROR(E466*Eingaben!$B$15,0)</f>
        <v>2.5137</v>
      </c>
      <c r="G466" s="13" t="n">
        <f aca="false">IFERROR(IF(Kalender!A100="",0,J465*(1-Eingaben!$B$20)),0)</f>
        <v>1.709316</v>
      </c>
      <c r="H466" s="13" t="n">
        <f aca="false">MIN(G466,D466)</f>
        <v>1.709316</v>
      </c>
      <c r="I466" s="13" t="n">
        <f aca="false">IFERROR(MIN(F466*Eingaben!$B$19,MAX(0,D466-H466)),0)</f>
        <v>1.75959</v>
      </c>
      <c r="J466" s="13" t="n">
        <f aca="false">IFERROR(MIN(Eingaben!$B$18,MAX(0,F466-I466)),0)</f>
        <v>0.75411</v>
      </c>
      <c r="K466" s="13" t="n">
        <f aca="false">H466+I466</f>
        <v>3.468906</v>
      </c>
      <c r="L466" s="13" t="n">
        <f aca="false">MAX(0,D466-K466)</f>
        <v>1.471094</v>
      </c>
      <c r="M466" s="13" t="n">
        <f aca="false">MAX(0,F466-I466-J466)</f>
        <v>0</v>
      </c>
      <c r="N466" s="13" t="n">
        <f aca="false">IF(Kalender!A100="",0,J465-H466)</f>
        <v>0.0348840000000001</v>
      </c>
    </row>
    <row r="467" customFormat="false" ht="16.4" hidden="false" customHeight="false" outlineLevel="0" collapsed="false">
      <c r="A467" s="13" t="str">
        <f aca="false">""</f>
        <v/>
      </c>
      <c r="B467" s="13" t="n">
        <f aca="false">97</f>
        <v>97</v>
      </c>
      <c r="C467" s="13" t="n">
        <f aca="false">IF(Szenarien!$H$9="OK",(IFERROR(SUMIF(Nutzungsprofile!$B$6:$B$11,"Schulbetrieb",Nutzungsprofile!$G$6:$G$11)*Kalender!C101/SUM(Kalender!$C$5:$C$370),0)+IFERROR(SUMIF(Nutzungsprofile!$B$6:$B$11,"Halle",Nutzungsprofile!$G$6:$G$11)*Kalender!D101/SUM(Kalender!$D$5:$D$370),0)+IFERROR(SUMIF(Nutzungsprofile!$B$6:$B$11,"Individuell",Nutzungsprofile!$G$6:$G$11)*Kalender!E101/SUM(Kalender!$E$5:$E$370),0))*Szenarien!$E$9,0)</f>
        <v>2.94</v>
      </c>
      <c r="D467" s="13" t="n">
        <f aca="false">IF(Szenarien!$H$9="OK",(IFERROR(SUMIF(Nutzungsprofile!$B$17:$B$22,"Schulbetrieb",Nutzungsprofile!$G$17:$G$22)*Kalender!C101/SUM(Kalender!$C$5:$C$370),0)+IFERROR(SUMIF(Nutzungsprofile!$B$17:$B$22,"Halle",Nutzungsprofile!$G$17:$G$22)*Kalender!D101/SUM(Kalender!$D$5:$D$370),0)+IFERROR(SUMIF(Nutzungsprofile!$B$17:$B$22,"Individuell",Nutzungsprofile!$G$17:$G$22)*Kalender!E101/SUM(Kalender!$E$5:$E$370),0))*Szenarien!$D$9,0)</f>
        <v>4.94</v>
      </c>
      <c r="E467" s="13" t="n">
        <f aca="false">IFERROR(MIN(C467,Eingaben!$B$17)*Eingaben!$B$16,0)</f>
        <v>2.793</v>
      </c>
      <c r="F467" s="13" t="n">
        <f aca="false">IFERROR(E467*Eingaben!$B$15,0)</f>
        <v>2.5137</v>
      </c>
      <c r="G467" s="13" t="n">
        <f aca="false">IFERROR(IF(Kalender!A101="",0,J466*(1-Eingaben!$B$20)),0)</f>
        <v>0.7390278</v>
      </c>
      <c r="H467" s="13" t="n">
        <f aca="false">MIN(G467,D467)</f>
        <v>0.7390278</v>
      </c>
      <c r="I467" s="13" t="n">
        <f aca="false">IFERROR(MIN(F467*Eingaben!$B$19,MAX(0,D467-H467)),0)</f>
        <v>1.75959</v>
      </c>
      <c r="J467" s="13" t="n">
        <f aca="false">IFERROR(MIN(Eingaben!$B$18,MAX(0,F467-I467)),0)</f>
        <v>0.75411</v>
      </c>
      <c r="K467" s="13" t="n">
        <f aca="false">H467+I467</f>
        <v>2.4986178</v>
      </c>
      <c r="L467" s="13" t="n">
        <f aca="false">MAX(0,D467-K467)</f>
        <v>2.4413822</v>
      </c>
      <c r="M467" s="13" t="n">
        <f aca="false">MAX(0,F467-I467-J467)</f>
        <v>0</v>
      </c>
      <c r="N467" s="13" t="n">
        <f aca="false">IF(Kalender!A101="",0,J466-H467)</f>
        <v>0.0150822</v>
      </c>
    </row>
    <row r="468" customFormat="false" ht="16.4" hidden="false" customHeight="false" outlineLevel="0" collapsed="false">
      <c r="A468" s="13" t="str">
        <f aca="false">""</f>
        <v/>
      </c>
      <c r="B468" s="13" t="n">
        <f aca="false">98</f>
        <v>98</v>
      </c>
      <c r="C468" s="13" t="n">
        <f aca="false">IF(Szenarien!$H$9="OK",(IFERROR(SUMIF(Nutzungsprofile!$B$6:$B$11,"Schulbetrieb",Nutzungsprofile!$G$6:$G$11)*Kalender!C102/SUM(Kalender!$C$5:$C$370),0)+IFERROR(SUMIF(Nutzungsprofile!$B$6:$B$11,"Halle",Nutzungsprofile!$G$6:$G$11)*Kalender!D102/SUM(Kalender!$D$5:$D$370),0)+IFERROR(SUMIF(Nutzungsprofile!$B$6:$B$11,"Individuell",Nutzungsprofile!$G$6:$G$11)*Kalender!E102/SUM(Kalender!$E$5:$E$370),0))*Szenarien!$E$9,0)</f>
        <v>2.94</v>
      </c>
      <c r="D468" s="13" t="n">
        <f aca="false">IF(Szenarien!$H$9="OK",(IFERROR(SUMIF(Nutzungsprofile!$B$17:$B$22,"Schulbetrieb",Nutzungsprofile!$G$17:$G$22)*Kalender!C102/SUM(Kalender!$C$5:$C$370),0)+IFERROR(SUMIF(Nutzungsprofile!$B$17:$B$22,"Halle",Nutzungsprofile!$G$17:$G$22)*Kalender!D102/SUM(Kalender!$D$5:$D$370),0)+IFERROR(SUMIF(Nutzungsprofile!$B$17:$B$22,"Individuell",Nutzungsprofile!$G$17:$G$22)*Kalender!E102/SUM(Kalender!$E$5:$E$370),0))*Szenarien!$D$9,0)</f>
        <v>4.94</v>
      </c>
      <c r="E468" s="13" t="n">
        <f aca="false">IFERROR(MIN(C468,Eingaben!$B$17)*Eingaben!$B$16,0)</f>
        <v>2.793</v>
      </c>
      <c r="F468" s="13" t="n">
        <f aca="false">IFERROR(E468*Eingaben!$B$15,0)</f>
        <v>2.5137</v>
      </c>
      <c r="G468" s="13" t="n">
        <f aca="false">IFERROR(IF(Kalender!A102="",0,J467*(1-Eingaben!$B$20)),0)</f>
        <v>0.7390278</v>
      </c>
      <c r="H468" s="13" t="n">
        <f aca="false">MIN(G468,D468)</f>
        <v>0.7390278</v>
      </c>
      <c r="I468" s="13" t="n">
        <f aca="false">IFERROR(MIN(F468*Eingaben!$B$19,MAX(0,D468-H468)),0)</f>
        <v>1.75959</v>
      </c>
      <c r="J468" s="13" t="n">
        <f aca="false">IFERROR(MIN(Eingaben!$B$18,MAX(0,F468-I468)),0)</f>
        <v>0.75411</v>
      </c>
      <c r="K468" s="13" t="n">
        <f aca="false">H468+I468</f>
        <v>2.4986178</v>
      </c>
      <c r="L468" s="13" t="n">
        <f aca="false">MAX(0,D468-K468)</f>
        <v>2.4413822</v>
      </c>
      <c r="M468" s="13" t="n">
        <f aca="false">MAX(0,F468-I468-J468)</f>
        <v>0</v>
      </c>
      <c r="N468" s="13" t="n">
        <f aca="false">IF(Kalender!A102="",0,J467-H468)</f>
        <v>0.0150822</v>
      </c>
    </row>
    <row r="469" customFormat="false" ht="16.4" hidden="false" customHeight="false" outlineLevel="0" collapsed="false">
      <c r="A469" s="13" t="str">
        <f aca="false">""</f>
        <v/>
      </c>
      <c r="B469" s="13" t="n">
        <f aca="false">99</f>
        <v>99</v>
      </c>
      <c r="C469" s="13" t="n">
        <f aca="false">IF(Szenarien!$H$9="OK",(IFERROR(SUMIF(Nutzungsprofile!$B$6:$B$11,"Schulbetrieb",Nutzungsprofile!$G$6:$G$11)*Kalender!C103/SUM(Kalender!$C$5:$C$370),0)+IFERROR(SUMIF(Nutzungsprofile!$B$6:$B$11,"Halle",Nutzungsprofile!$G$6:$G$11)*Kalender!D103/SUM(Kalender!$D$5:$D$370),0)+IFERROR(SUMIF(Nutzungsprofile!$B$6:$B$11,"Individuell",Nutzungsprofile!$G$6:$G$11)*Kalender!E103/SUM(Kalender!$E$5:$E$370),0))*Szenarien!$E$9,0)</f>
        <v>2.94</v>
      </c>
      <c r="D469" s="13" t="n">
        <f aca="false">IF(Szenarien!$H$9="OK",(IFERROR(SUMIF(Nutzungsprofile!$B$17:$B$22,"Schulbetrieb",Nutzungsprofile!$G$17:$G$22)*Kalender!C103/SUM(Kalender!$C$5:$C$370),0)+IFERROR(SUMIF(Nutzungsprofile!$B$17:$B$22,"Halle",Nutzungsprofile!$G$17:$G$22)*Kalender!D103/SUM(Kalender!$D$5:$D$370),0)+IFERROR(SUMIF(Nutzungsprofile!$B$17:$B$22,"Individuell",Nutzungsprofile!$G$17:$G$22)*Kalender!E103/SUM(Kalender!$E$5:$E$370),0))*Szenarien!$D$9,0)</f>
        <v>4.94</v>
      </c>
      <c r="E469" s="13" t="n">
        <f aca="false">IFERROR(MIN(C469,Eingaben!$B$17)*Eingaben!$B$16,0)</f>
        <v>2.793</v>
      </c>
      <c r="F469" s="13" t="n">
        <f aca="false">IFERROR(E469*Eingaben!$B$15,0)</f>
        <v>2.5137</v>
      </c>
      <c r="G469" s="13" t="n">
        <f aca="false">IFERROR(IF(Kalender!A103="",0,J468*(1-Eingaben!$B$20)),0)</f>
        <v>0.7390278</v>
      </c>
      <c r="H469" s="13" t="n">
        <f aca="false">MIN(G469,D469)</f>
        <v>0.7390278</v>
      </c>
      <c r="I469" s="13" t="n">
        <f aca="false">IFERROR(MIN(F469*Eingaben!$B$19,MAX(0,D469-H469)),0)</f>
        <v>1.75959</v>
      </c>
      <c r="J469" s="13" t="n">
        <f aca="false">IFERROR(MIN(Eingaben!$B$18,MAX(0,F469-I469)),0)</f>
        <v>0.75411</v>
      </c>
      <c r="K469" s="13" t="n">
        <f aca="false">H469+I469</f>
        <v>2.4986178</v>
      </c>
      <c r="L469" s="13" t="n">
        <f aca="false">MAX(0,D469-K469)</f>
        <v>2.4413822</v>
      </c>
      <c r="M469" s="13" t="n">
        <f aca="false">MAX(0,F469-I469-J469)</f>
        <v>0</v>
      </c>
      <c r="N469" s="13" t="n">
        <f aca="false">IF(Kalender!A103="",0,J468-H469)</f>
        <v>0.0150822</v>
      </c>
    </row>
    <row r="470" customFormat="false" ht="16.4" hidden="false" customHeight="false" outlineLevel="0" collapsed="false">
      <c r="A470" s="13" t="str">
        <f aca="false">""</f>
        <v/>
      </c>
      <c r="B470" s="13" t="n">
        <f aca="false">100</f>
        <v>100</v>
      </c>
      <c r="C470" s="13" t="n">
        <f aca="false">IF(Szenarien!$H$9="OK",(IFERROR(SUMIF(Nutzungsprofile!$B$6:$B$11,"Schulbetrieb",Nutzungsprofile!$G$6:$G$11)*Kalender!C104/SUM(Kalender!$C$5:$C$370),0)+IFERROR(SUMIF(Nutzungsprofile!$B$6:$B$11,"Halle",Nutzungsprofile!$G$6:$G$11)*Kalender!D104/SUM(Kalender!$D$5:$D$370),0)+IFERROR(SUMIF(Nutzungsprofile!$B$6:$B$11,"Individuell",Nutzungsprofile!$G$6:$G$11)*Kalender!E104/SUM(Kalender!$E$5:$E$370),0))*Szenarien!$E$9,0)</f>
        <v>2.94</v>
      </c>
      <c r="D470" s="13" t="n">
        <f aca="false">IF(Szenarien!$H$9="OK",(IFERROR(SUMIF(Nutzungsprofile!$B$17:$B$22,"Schulbetrieb",Nutzungsprofile!$G$17:$G$22)*Kalender!C104/SUM(Kalender!$C$5:$C$370),0)+IFERROR(SUMIF(Nutzungsprofile!$B$17:$B$22,"Halle",Nutzungsprofile!$G$17:$G$22)*Kalender!D104/SUM(Kalender!$D$5:$D$370),0)+IFERROR(SUMIF(Nutzungsprofile!$B$17:$B$22,"Individuell",Nutzungsprofile!$G$17:$G$22)*Kalender!E104/SUM(Kalender!$E$5:$E$370),0))*Szenarien!$D$9,0)</f>
        <v>4.94</v>
      </c>
      <c r="E470" s="13" t="n">
        <f aca="false">IFERROR(MIN(C470,Eingaben!$B$17)*Eingaben!$B$16,0)</f>
        <v>2.793</v>
      </c>
      <c r="F470" s="13" t="n">
        <f aca="false">IFERROR(E470*Eingaben!$B$15,0)</f>
        <v>2.5137</v>
      </c>
      <c r="G470" s="13" t="n">
        <f aca="false">IFERROR(IF(Kalender!A104="",0,J469*(1-Eingaben!$B$20)),0)</f>
        <v>0.7390278</v>
      </c>
      <c r="H470" s="13" t="n">
        <f aca="false">MIN(G470,D470)</f>
        <v>0.7390278</v>
      </c>
      <c r="I470" s="13" t="n">
        <f aca="false">IFERROR(MIN(F470*Eingaben!$B$19,MAX(0,D470-H470)),0)</f>
        <v>1.75959</v>
      </c>
      <c r="J470" s="13" t="n">
        <f aca="false">IFERROR(MIN(Eingaben!$B$18,MAX(0,F470-I470)),0)</f>
        <v>0.75411</v>
      </c>
      <c r="K470" s="13" t="n">
        <f aca="false">H470+I470</f>
        <v>2.4986178</v>
      </c>
      <c r="L470" s="13" t="n">
        <f aca="false">MAX(0,D470-K470)</f>
        <v>2.4413822</v>
      </c>
      <c r="M470" s="13" t="n">
        <f aca="false">MAX(0,F470-I470-J470)</f>
        <v>0</v>
      </c>
      <c r="N470" s="13" t="n">
        <f aca="false">IF(Kalender!A104="",0,J469-H470)</f>
        <v>0.0150822</v>
      </c>
    </row>
    <row r="471" customFormat="false" ht="16.4" hidden="false" customHeight="false" outlineLevel="0" collapsed="false">
      <c r="A471" s="13" t="str">
        <f aca="false">""</f>
        <v/>
      </c>
      <c r="B471" s="13" t="n">
        <f aca="false">101</f>
        <v>101</v>
      </c>
      <c r="C471" s="13" t="n">
        <f aca="false">IF(Szenarien!$H$9="OK",(IFERROR(SUMIF(Nutzungsprofile!$B$6:$B$11,"Schulbetrieb",Nutzungsprofile!$G$6:$G$11)*Kalender!C105/SUM(Kalender!$C$5:$C$370),0)+IFERROR(SUMIF(Nutzungsprofile!$B$6:$B$11,"Halle",Nutzungsprofile!$G$6:$G$11)*Kalender!D105/SUM(Kalender!$D$5:$D$370),0)+IFERROR(SUMIF(Nutzungsprofile!$B$6:$B$11,"Individuell",Nutzungsprofile!$G$6:$G$11)*Kalender!E105/SUM(Kalender!$E$5:$E$370),0))*Szenarien!$E$9,0)</f>
        <v>2.04</v>
      </c>
      <c r="D471" s="13" t="n">
        <f aca="false">IF(Szenarien!$H$9="OK",(IFERROR(SUMIF(Nutzungsprofile!$B$17:$B$22,"Schulbetrieb",Nutzungsprofile!$G$17:$G$22)*Kalender!C105/SUM(Kalender!$C$5:$C$370),0)+IFERROR(SUMIF(Nutzungsprofile!$B$17:$B$22,"Halle",Nutzungsprofile!$G$17:$G$22)*Kalender!D105/SUM(Kalender!$D$5:$D$370),0)+IFERROR(SUMIF(Nutzungsprofile!$B$17:$B$22,"Individuell",Nutzungsprofile!$G$17:$G$22)*Kalender!E105/SUM(Kalender!$E$5:$E$370),0))*Szenarien!$D$9,0)</f>
        <v>0.89</v>
      </c>
      <c r="E471" s="13" t="n">
        <f aca="false">IFERROR(MIN(C471,Eingaben!$B$17)*Eingaben!$B$16,0)</f>
        <v>1.938</v>
      </c>
      <c r="F471" s="13" t="n">
        <f aca="false">IFERROR(E471*Eingaben!$B$15,0)</f>
        <v>1.7442</v>
      </c>
      <c r="G471" s="13" t="n">
        <f aca="false">IFERROR(IF(Kalender!A105="",0,J470*(1-Eingaben!$B$20)),0)</f>
        <v>0.7390278</v>
      </c>
      <c r="H471" s="13" t="n">
        <f aca="false">MIN(G471,D471)</f>
        <v>0.7390278</v>
      </c>
      <c r="I471" s="13" t="n">
        <f aca="false">IFERROR(MIN(F471*Eingaben!$B$19,MAX(0,D471-H471)),0)</f>
        <v>0.1509722</v>
      </c>
      <c r="J471" s="13" t="n">
        <f aca="false">IFERROR(MIN(Eingaben!$B$18,MAX(0,F471-I471)),0)</f>
        <v>1.5932278</v>
      </c>
      <c r="K471" s="13" t="n">
        <f aca="false">H471+I471</f>
        <v>0.89</v>
      </c>
      <c r="L471" s="13" t="n">
        <f aca="false">MAX(0,D471-K471)</f>
        <v>0</v>
      </c>
      <c r="M471" s="13" t="n">
        <f aca="false">MAX(0,F471-I471-J471)</f>
        <v>0</v>
      </c>
      <c r="N471" s="13" t="n">
        <f aca="false">IF(Kalender!A105="",0,J470-H471)</f>
        <v>0.0150822</v>
      </c>
    </row>
    <row r="472" customFormat="false" ht="16.4" hidden="false" customHeight="false" outlineLevel="0" collapsed="false">
      <c r="A472" s="13" t="str">
        <f aca="false">""</f>
        <v/>
      </c>
      <c r="B472" s="13" t="n">
        <f aca="false">102</f>
        <v>102</v>
      </c>
      <c r="C472" s="13" t="n">
        <f aca="false">IF(Szenarien!$H$9="OK",(IFERROR(SUMIF(Nutzungsprofile!$B$6:$B$11,"Schulbetrieb",Nutzungsprofile!$G$6:$G$11)*Kalender!C106/SUM(Kalender!$C$5:$C$370),0)+IFERROR(SUMIF(Nutzungsprofile!$B$6:$B$11,"Halle",Nutzungsprofile!$G$6:$G$11)*Kalender!D106/SUM(Kalender!$D$5:$D$370),0)+IFERROR(SUMIF(Nutzungsprofile!$B$6:$B$11,"Individuell",Nutzungsprofile!$G$6:$G$11)*Kalender!E106/SUM(Kalender!$E$5:$E$370),0))*Szenarien!$E$9,0)</f>
        <v>2.04</v>
      </c>
      <c r="D472" s="13" t="n">
        <f aca="false">IF(Szenarien!$H$9="OK",(IFERROR(SUMIF(Nutzungsprofile!$B$17:$B$22,"Schulbetrieb",Nutzungsprofile!$G$17:$G$22)*Kalender!C106/SUM(Kalender!$C$5:$C$370),0)+IFERROR(SUMIF(Nutzungsprofile!$B$17:$B$22,"Halle",Nutzungsprofile!$G$17:$G$22)*Kalender!D106/SUM(Kalender!$D$5:$D$370),0)+IFERROR(SUMIF(Nutzungsprofile!$B$17:$B$22,"Individuell",Nutzungsprofile!$G$17:$G$22)*Kalender!E106/SUM(Kalender!$E$5:$E$370),0))*Szenarien!$D$9,0)</f>
        <v>0.89</v>
      </c>
      <c r="E472" s="13" t="n">
        <f aca="false">IFERROR(MIN(C472,Eingaben!$B$17)*Eingaben!$B$16,0)</f>
        <v>1.938</v>
      </c>
      <c r="F472" s="13" t="n">
        <f aca="false">IFERROR(E472*Eingaben!$B$15,0)</f>
        <v>1.7442</v>
      </c>
      <c r="G472" s="13" t="n">
        <f aca="false">IFERROR(IF(Kalender!A106="",0,J471*(1-Eingaben!$B$20)),0)</f>
        <v>1.561363244</v>
      </c>
      <c r="H472" s="13" t="n">
        <f aca="false">MIN(G472,D472)</f>
        <v>0.89</v>
      </c>
      <c r="I472" s="13" t="n">
        <f aca="false">IFERROR(MIN(F472*Eingaben!$B$19,MAX(0,D472-H472)),0)</f>
        <v>0</v>
      </c>
      <c r="J472" s="13" t="n">
        <f aca="false">IFERROR(MIN(Eingaben!$B$18,MAX(0,F472-I472)),0)</f>
        <v>1.7442</v>
      </c>
      <c r="K472" s="13" t="n">
        <f aca="false">H472+I472</f>
        <v>0.89</v>
      </c>
      <c r="L472" s="13" t="n">
        <f aca="false">MAX(0,D472-K472)</f>
        <v>0</v>
      </c>
      <c r="M472" s="13" t="n">
        <f aca="false">MAX(0,F472-I472-J472)</f>
        <v>0</v>
      </c>
      <c r="N472" s="13" t="n">
        <f aca="false">IF(Kalender!A106="",0,J471-H472)</f>
        <v>0.7032278</v>
      </c>
    </row>
    <row r="473" customFormat="false" ht="16.4" hidden="false" customHeight="false" outlineLevel="0" collapsed="false">
      <c r="A473" s="13" t="str">
        <f aca="false">""</f>
        <v/>
      </c>
      <c r="B473" s="13" t="n">
        <f aca="false">103</f>
        <v>103</v>
      </c>
      <c r="C473" s="13" t="n">
        <f aca="false">IF(Szenarien!$H$9="OK",(IFERROR(SUMIF(Nutzungsprofile!$B$6:$B$11,"Schulbetrieb",Nutzungsprofile!$G$6:$G$11)*Kalender!C107/SUM(Kalender!$C$5:$C$370),0)+IFERROR(SUMIF(Nutzungsprofile!$B$6:$B$11,"Halle",Nutzungsprofile!$G$6:$G$11)*Kalender!D107/SUM(Kalender!$D$5:$D$370),0)+IFERROR(SUMIF(Nutzungsprofile!$B$6:$B$11,"Individuell",Nutzungsprofile!$G$6:$G$11)*Kalender!E107/SUM(Kalender!$E$5:$E$370),0))*Szenarien!$E$9,0)</f>
        <v>2.94</v>
      </c>
      <c r="D473" s="13" t="n">
        <f aca="false">IF(Szenarien!$H$9="OK",(IFERROR(SUMIF(Nutzungsprofile!$B$17:$B$22,"Schulbetrieb",Nutzungsprofile!$G$17:$G$22)*Kalender!C107/SUM(Kalender!$C$5:$C$370),0)+IFERROR(SUMIF(Nutzungsprofile!$B$17:$B$22,"Halle",Nutzungsprofile!$G$17:$G$22)*Kalender!D107/SUM(Kalender!$D$5:$D$370),0)+IFERROR(SUMIF(Nutzungsprofile!$B$17:$B$22,"Individuell",Nutzungsprofile!$G$17:$G$22)*Kalender!E107/SUM(Kalender!$E$5:$E$370),0))*Szenarien!$D$9,0)</f>
        <v>4.94</v>
      </c>
      <c r="E473" s="13" t="n">
        <f aca="false">IFERROR(MIN(C473,Eingaben!$B$17)*Eingaben!$B$16,0)</f>
        <v>2.793</v>
      </c>
      <c r="F473" s="13" t="n">
        <f aca="false">IFERROR(E473*Eingaben!$B$15,0)</f>
        <v>2.5137</v>
      </c>
      <c r="G473" s="13" t="n">
        <f aca="false">IFERROR(IF(Kalender!A107="",0,J472*(1-Eingaben!$B$20)),0)</f>
        <v>1.709316</v>
      </c>
      <c r="H473" s="13" t="n">
        <f aca="false">MIN(G473,D473)</f>
        <v>1.709316</v>
      </c>
      <c r="I473" s="13" t="n">
        <f aca="false">IFERROR(MIN(F473*Eingaben!$B$19,MAX(0,D473-H473)),0)</f>
        <v>1.75959</v>
      </c>
      <c r="J473" s="13" t="n">
        <f aca="false">IFERROR(MIN(Eingaben!$B$18,MAX(0,F473-I473)),0)</f>
        <v>0.75411</v>
      </c>
      <c r="K473" s="13" t="n">
        <f aca="false">H473+I473</f>
        <v>3.468906</v>
      </c>
      <c r="L473" s="13" t="n">
        <f aca="false">MAX(0,D473-K473)</f>
        <v>1.471094</v>
      </c>
      <c r="M473" s="13" t="n">
        <f aca="false">MAX(0,F473-I473-J473)</f>
        <v>0</v>
      </c>
      <c r="N473" s="13" t="n">
        <f aca="false">IF(Kalender!A107="",0,J472-H473)</f>
        <v>0.0348840000000001</v>
      </c>
    </row>
    <row r="474" customFormat="false" ht="16.4" hidden="false" customHeight="false" outlineLevel="0" collapsed="false">
      <c r="A474" s="13" t="str">
        <f aca="false">""</f>
        <v/>
      </c>
      <c r="B474" s="13" t="n">
        <f aca="false">104</f>
        <v>104</v>
      </c>
      <c r="C474" s="13" t="n">
        <f aca="false">IF(Szenarien!$H$9="OK",(IFERROR(SUMIF(Nutzungsprofile!$B$6:$B$11,"Schulbetrieb",Nutzungsprofile!$G$6:$G$11)*Kalender!C108/SUM(Kalender!$C$5:$C$370),0)+IFERROR(SUMIF(Nutzungsprofile!$B$6:$B$11,"Halle",Nutzungsprofile!$G$6:$G$11)*Kalender!D108/SUM(Kalender!$D$5:$D$370),0)+IFERROR(SUMIF(Nutzungsprofile!$B$6:$B$11,"Individuell",Nutzungsprofile!$G$6:$G$11)*Kalender!E108/SUM(Kalender!$E$5:$E$370),0))*Szenarien!$E$9,0)</f>
        <v>2.94</v>
      </c>
      <c r="D474" s="13" t="n">
        <f aca="false">IF(Szenarien!$H$9="OK",(IFERROR(SUMIF(Nutzungsprofile!$B$17:$B$22,"Schulbetrieb",Nutzungsprofile!$G$17:$G$22)*Kalender!C108/SUM(Kalender!$C$5:$C$370),0)+IFERROR(SUMIF(Nutzungsprofile!$B$17:$B$22,"Halle",Nutzungsprofile!$G$17:$G$22)*Kalender!D108/SUM(Kalender!$D$5:$D$370),0)+IFERROR(SUMIF(Nutzungsprofile!$B$17:$B$22,"Individuell",Nutzungsprofile!$G$17:$G$22)*Kalender!E108/SUM(Kalender!$E$5:$E$370),0))*Szenarien!$D$9,0)</f>
        <v>4.94</v>
      </c>
      <c r="E474" s="13" t="n">
        <f aca="false">IFERROR(MIN(C474,Eingaben!$B$17)*Eingaben!$B$16,0)</f>
        <v>2.793</v>
      </c>
      <c r="F474" s="13" t="n">
        <f aca="false">IFERROR(E474*Eingaben!$B$15,0)</f>
        <v>2.5137</v>
      </c>
      <c r="G474" s="13" t="n">
        <f aca="false">IFERROR(IF(Kalender!A108="",0,J473*(1-Eingaben!$B$20)),0)</f>
        <v>0.7390278</v>
      </c>
      <c r="H474" s="13" t="n">
        <f aca="false">MIN(G474,D474)</f>
        <v>0.7390278</v>
      </c>
      <c r="I474" s="13" t="n">
        <f aca="false">IFERROR(MIN(F474*Eingaben!$B$19,MAX(0,D474-H474)),0)</f>
        <v>1.75959</v>
      </c>
      <c r="J474" s="13" t="n">
        <f aca="false">IFERROR(MIN(Eingaben!$B$18,MAX(0,F474-I474)),0)</f>
        <v>0.75411</v>
      </c>
      <c r="K474" s="13" t="n">
        <f aca="false">H474+I474</f>
        <v>2.4986178</v>
      </c>
      <c r="L474" s="13" t="n">
        <f aca="false">MAX(0,D474-K474)</f>
        <v>2.4413822</v>
      </c>
      <c r="M474" s="13" t="n">
        <f aca="false">MAX(0,F474-I474-J474)</f>
        <v>0</v>
      </c>
      <c r="N474" s="13" t="n">
        <f aca="false">IF(Kalender!A108="",0,J473-H474)</f>
        <v>0.0150822</v>
      </c>
    </row>
    <row r="475" customFormat="false" ht="16.4" hidden="false" customHeight="false" outlineLevel="0" collapsed="false">
      <c r="A475" s="13" t="str">
        <f aca="false">""</f>
        <v/>
      </c>
      <c r="B475" s="13" t="n">
        <f aca="false">105</f>
        <v>105</v>
      </c>
      <c r="C475" s="13" t="n">
        <f aca="false">IF(Szenarien!$H$9="OK",(IFERROR(SUMIF(Nutzungsprofile!$B$6:$B$11,"Schulbetrieb",Nutzungsprofile!$G$6:$G$11)*Kalender!C109/SUM(Kalender!$C$5:$C$370),0)+IFERROR(SUMIF(Nutzungsprofile!$B$6:$B$11,"Halle",Nutzungsprofile!$G$6:$G$11)*Kalender!D109/SUM(Kalender!$D$5:$D$370),0)+IFERROR(SUMIF(Nutzungsprofile!$B$6:$B$11,"Individuell",Nutzungsprofile!$G$6:$G$11)*Kalender!E109/SUM(Kalender!$E$5:$E$370),0))*Szenarien!$E$9,0)</f>
        <v>2.94</v>
      </c>
      <c r="D475" s="13" t="n">
        <f aca="false">IF(Szenarien!$H$9="OK",(IFERROR(SUMIF(Nutzungsprofile!$B$17:$B$22,"Schulbetrieb",Nutzungsprofile!$G$17:$G$22)*Kalender!C109/SUM(Kalender!$C$5:$C$370),0)+IFERROR(SUMIF(Nutzungsprofile!$B$17:$B$22,"Halle",Nutzungsprofile!$G$17:$G$22)*Kalender!D109/SUM(Kalender!$D$5:$D$370),0)+IFERROR(SUMIF(Nutzungsprofile!$B$17:$B$22,"Individuell",Nutzungsprofile!$G$17:$G$22)*Kalender!E109/SUM(Kalender!$E$5:$E$370),0))*Szenarien!$D$9,0)</f>
        <v>4.94</v>
      </c>
      <c r="E475" s="13" t="n">
        <f aca="false">IFERROR(MIN(C475,Eingaben!$B$17)*Eingaben!$B$16,0)</f>
        <v>2.793</v>
      </c>
      <c r="F475" s="13" t="n">
        <f aca="false">IFERROR(E475*Eingaben!$B$15,0)</f>
        <v>2.5137</v>
      </c>
      <c r="G475" s="13" t="n">
        <f aca="false">IFERROR(IF(Kalender!A109="",0,J474*(1-Eingaben!$B$20)),0)</f>
        <v>0.7390278</v>
      </c>
      <c r="H475" s="13" t="n">
        <f aca="false">MIN(G475,D475)</f>
        <v>0.7390278</v>
      </c>
      <c r="I475" s="13" t="n">
        <f aca="false">IFERROR(MIN(F475*Eingaben!$B$19,MAX(0,D475-H475)),0)</f>
        <v>1.75959</v>
      </c>
      <c r="J475" s="13" t="n">
        <f aca="false">IFERROR(MIN(Eingaben!$B$18,MAX(0,F475-I475)),0)</f>
        <v>0.75411</v>
      </c>
      <c r="K475" s="13" t="n">
        <f aca="false">H475+I475</f>
        <v>2.4986178</v>
      </c>
      <c r="L475" s="13" t="n">
        <f aca="false">MAX(0,D475-K475)</f>
        <v>2.4413822</v>
      </c>
      <c r="M475" s="13" t="n">
        <f aca="false">MAX(0,F475-I475-J475)</f>
        <v>0</v>
      </c>
      <c r="N475" s="13" t="n">
        <f aca="false">IF(Kalender!A109="",0,J474-H475)</f>
        <v>0.0150822</v>
      </c>
    </row>
    <row r="476" customFormat="false" ht="16.4" hidden="false" customHeight="false" outlineLevel="0" collapsed="false">
      <c r="A476" s="13" t="str">
        <f aca="false">""</f>
        <v/>
      </c>
      <c r="B476" s="13" t="n">
        <f aca="false">106</f>
        <v>106</v>
      </c>
      <c r="C476" s="13" t="n">
        <f aca="false">IF(Szenarien!$H$9="OK",(IFERROR(SUMIF(Nutzungsprofile!$B$6:$B$11,"Schulbetrieb",Nutzungsprofile!$G$6:$G$11)*Kalender!C110/SUM(Kalender!$C$5:$C$370),0)+IFERROR(SUMIF(Nutzungsprofile!$B$6:$B$11,"Halle",Nutzungsprofile!$G$6:$G$11)*Kalender!D110/SUM(Kalender!$D$5:$D$370),0)+IFERROR(SUMIF(Nutzungsprofile!$B$6:$B$11,"Individuell",Nutzungsprofile!$G$6:$G$11)*Kalender!E110/SUM(Kalender!$E$5:$E$370),0))*Szenarien!$E$9,0)</f>
        <v>2.94</v>
      </c>
      <c r="D476" s="13" t="n">
        <f aca="false">IF(Szenarien!$H$9="OK",(IFERROR(SUMIF(Nutzungsprofile!$B$17:$B$22,"Schulbetrieb",Nutzungsprofile!$G$17:$G$22)*Kalender!C110/SUM(Kalender!$C$5:$C$370),0)+IFERROR(SUMIF(Nutzungsprofile!$B$17:$B$22,"Halle",Nutzungsprofile!$G$17:$G$22)*Kalender!D110/SUM(Kalender!$D$5:$D$370),0)+IFERROR(SUMIF(Nutzungsprofile!$B$17:$B$22,"Individuell",Nutzungsprofile!$G$17:$G$22)*Kalender!E110/SUM(Kalender!$E$5:$E$370),0))*Szenarien!$D$9,0)</f>
        <v>4.94</v>
      </c>
      <c r="E476" s="13" t="n">
        <f aca="false">IFERROR(MIN(C476,Eingaben!$B$17)*Eingaben!$B$16,0)</f>
        <v>2.793</v>
      </c>
      <c r="F476" s="13" t="n">
        <f aca="false">IFERROR(E476*Eingaben!$B$15,0)</f>
        <v>2.5137</v>
      </c>
      <c r="G476" s="13" t="n">
        <f aca="false">IFERROR(IF(Kalender!A110="",0,J475*(1-Eingaben!$B$20)),0)</f>
        <v>0.7390278</v>
      </c>
      <c r="H476" s="13" t="n">
        <f aca="false">MIN(G476,D476)</f>
        <v>0.7390278</v>
      </c>
      <c r="I476" s="13" t="n">
        <f aca="false">IFERROR(MIN(F476*Eingaben!$B$19,MAX(0,D476-H476)),0)</f>
        <v>1.75959</v>
      </c>
      <c r="J476" s="13" t="n">
        <f aca="false">IFERROR(MIN(Eingaben!$B$18,MAX(0,F476-I476)),0)</f>
        <v>0.75411</v>
      </c>
      <c r="K476" s="13" t="n">
        <f aca="false">H476+I476</f>
        <v>2.4986178</v>
      </c>
      <c r="L476" s="13" t="n">
        <f aca="false">MAX(0,D476-K476)</f>
        <v>2.4413822</v>
      </c>
      <c r="M476" s="13" t="n">
        <f aca="false">MAX(0,F476-I476-J476)</f>
        <v>0</v>
      </c>
      <c r="N476" s="13" t="n">
        <f aca="false">IF(Kalender!A110="",0,J475-H476)</f>
        <v>0.0150822</v>
      </c>
    </row>
    <row r="477" customFormat="false" ht="16.4" hidden="false" customHeight="false" outlineLevel="0" collapsed="false">
      <c r="A477" s="13" t="str">
        <f aca="false">""</f>
        <v/>
      </c>
      <c r="B477" s="13" t="n">
        <f aca="false">107</f>
        <v>107</v>
      </c>
      <c r="C477" s="13" t="n">
        <f aca="false">IF(Szenarien!$H$9="OK",(IFERROR(SUMIF(Nutzungsprofile!$B$6:$B$11,"Schulbetrieb",Nutzungsprofile!$G$6:$G$11)*Kalender!C111/SUM(Kalender!$C$5:$C$370),0)+IFERROR(SUMIF(Nutzungsprofile!$B$6:$B$11,"Halle",Nutzungsprofile!$G$6:$G$11)*Kalender!D111/SUM(Kalender!$D$5:$D$370),0)+IFERROR(SUMIF(Nutzungsprofile!$B$6:$B$11,"Individuell",Nutzungsprofile!$G$6:$G$11)*Kalender!E111/SUM(Kalender!$E$5:$E$370),0))*Szenarien!$E$9,0)</f>
        <v>2.94</v>
      </c>
      <c r="D477" s="13" t="n">
        <f aca="false">IF(Szenarien!$H$9="OK",(IFERROR(SUMIF(Nutzungsprofile!$B$17:$B$22,"Schulbetrieb",Nutzungsprofile!$G$17:$G$22)*Kalender!C111/SUM(Kalender!$C$5:$C$370),0)+IFERROR(SUMIF(Nutzungsprofile!$B$17:$B$22,"Halle",Nutzungsprofile!$G$17:$G$22)*Kalender!D111/SUM(Kalender!$D$5:$D$370),0)+IFERROR(SUMIF(Nutzungsprofile!$B$17:$B$22,"Individuell",Nutzungsprofile!$G$17:$G$22)*Kalender!E111/SUM(Kalender!$E$5:$E$370),0))*Szenarien!$D$9,0)</f>
        <v>4.94</v>
      </c>
      <c r="E477" s="13" t="n">
        <f aca="false">IFERROR(MIN(C477,Eingaben!$B$17)*Eingaben!$B$16,0)</f>
        <v>2.793</v>
      </c>
      <c r="F477" s="13" t="n">
        <f aca="false">IFERROR(E477*Eingaben!$B$15,0)</f>
        <v>2.5137</v>
      </c>
      <c r="G477" s="13" t="n">
        <f aca="false">IFERROR(IF(Kalender!A111="",0,J476*(1-Eingaben!$B$20)),0)</f>
        <v>0.7390278</v>
      </c>
      <c r="H477" s="13" t="n">
        <f aca="false">MIN(G477,D477)</f>
        <v>0.7390278</v>
      </c>
      <c r="I477" s="13" t="n">
        <f aca="false">IFERROR(MIN(F477*Eingaben!$B$19,MAX(0,D477-H477)),0)</f>
        <v>1.75959</v>
      </c>
      <c r="J477" s="13" t="n">
        <f aca="false">IFERROR(MIN(Eingaben!$B$18,MAX(0,F477-I477)),0)</f>
        <v>0.75411</v>
      </c>
      <c r="K477" s="13" t="n">
        <f aca="false">H477+I477</f>
        <v>2.4986178</v>
      </c>
      <c r="L477" s="13" t="n">
        <f aca="false">MAX(0,D477-K477)</f>
        <v>2.4413822</v>
      </c>
      <c r="M477" s="13" t="n">
        <f aca="false">MAX(0,F477-I477-J477)</f>
        <v>0</v>
      </c>
      <c r="N477" s="13" t="n">
        <f aca="false">IF(Kalender!A111="",0,J476-H477)</f>
        <v>0.0150822</v>
      </c>
    </row>
    <row r="478" customFormat="false" ht="16.4" hidden="false" customHeight="false" outlineLevel="0" collapsed="false">
      <c r="A478" s="13" t="str">
        <f aca="false">""</f>
        <v/>
      </c>
      <c r="B478" s="13" t="n">
        <f aca="false">108</f>
        <v>108</v>
      </c>
      <c r="C478" s="13" t="n">
        <f aca="false">IF(Szenarien!$H$9="OK",(IFERROR(SUMIF(Nutzungsprofile!$B$6:$B$11,"Schulbetrieb",Nutzungsprofile!$G$6:$G$11)*Kalender!C112/SUM(Kalender!$C$5:$C$370),0)+IFERROR(SUMIF(Nutzungsprofile!$B$6:$B$11,"Halle",Nutzungsprofile!$G$6:$G$11)*Kalender!D112/SUM(Kalender!$D$5:$D$370),0)+IFERROR(SUMIF(Nutzungsprofile!$B$6:$B$11,"Individuell",Nutzungsprofile!$G$6:$G$11)*Kalender!E112/SUM(Kalender!$E$5:$E$370),0))*Szenarien!$E$9,0)</f>
        <v>2.04</v>
      </c>
      <c r="D478" s="13" t="n">
        <f aca="false">IF(Szenarien!$H$9="OK",(IFERROR(SUMIF(Nutzungsprofile!$B$17:$B$22,"Schulbetrieb",Nutzungsprofile!$G$17:$G$22)*Kalender!C112/SUM(Kalender!$C$5:$C$370),0)+IFERROR(SUMIF(Nutzungsprofile!$B$17:$B$22,"Halle",Nutzungsprofile!$G$17:$G$22)*Kalender!D112/SUM(Kalender!$D$5:$D$370),0)+IFERROR(SUMIF(Nutzungsprofile!$B$17:$B$22,"Individuell",Nutzungsprofile!$G$17:$G$22)*Kalender!E112/SUM(Kalender!$E$5:$E$370),0))*Szenarien!$D$9,0)</f>
        <v>0.89</v>
      </c>
      <c r="E478" s="13" t="n">
        <f aca="false">IFERROR(MIN(C478,Eingaben!$B$17)*Eingaben!$B$16,0)</f>
        <v>1.938</v>
      </c>
      <c r="F478" s="13" t="n">
        <f aca="false">IFERROR(E478*Eingaben!$B$15,0)</f>
        <v>1.7442</v>
      </c>
      <c r="G478" s="13" t="n">
        <f aca="false">IFERROR(IF(Kalender!A112="",0,J477*(1-Eingaben!$B$20)),0)</f>
        <v>0.7390278</v>
      </c>
      <c r="H478" s="13" t="n">
        <f aca="false">MIN(G478,D478)</f>
        <v>0.7390278</v>
      </c>
      <c r="I478" s="13" t="n">
        <f aca="false">IFERROR(MIN(F478*Eingaben!$B$19,MAX(0,D478-H478)),0)</f>
        <v>0.1509722</v>
      </c>
      <c r="J478" s="13" t="n">
        <f aca="false">IFERROR(MIN(Eingaben!$B$18,MAX(0,F478-I478)),0)</f>
        <v>1.5932278</v>
      </c>
      <c r="K478" s="13" t="n">
        <f aca="false">H478+I478</f>
        <v>0.89</v>
      </c>
      <c r="L478" s="13" t="n">
        <f aca="false">MAX(0,D478-K478)</f>
        <v>0</v>
      </c>
      <c r="M478" s="13" t="n">
        <f aca="false">MAX(0,F478-I478-J478)</f>
        <v>0</v>
      </c>
      <c r="N478" s="13" t="n">
        <f aca="false">IF(Kalender!A112="",0,J477-H478)</f>
        <v>0.0150822</v>
      </c>
    </row>
    <row r="479" customFormat="false" ht="16.4" hidden="false" customHeight="false" outlineLevel="0" collapsed="false">
      <c r="A479" s="13" t="str">
        <f aca="false">""</f>
        <v/>
      </c>
      <c r="B479" s="13" t="n">
        <f aca="false">109</f>
        <v>109</v>
      </c>
      <c r="C479" s="13" t="n">
        <f aca="false">IF(Szenarien!$H$9="OK",(IFERROR(SUMIF(Nutzungsprofile!$B$6:$B$11,"Schulbetrieb",Nutzungsprofile!$G$6:$G$11)*Kalender!C113/SUM(Kalender!$C$5:$C$370),0)+IFERROR(SUMIF(Nutzungsprofile!$B$6:$B$11,"Halle",Nutzungsprofile!$G$6:$G$11)*Kalender!D113/SUM(Kalender!$D$5:$D$370),0)+IFERROR(SUMIF(Nutzungsprofile!$B$6:$B$11,"Individuell",Nutzungsprofile!$G$6:$G$11)*Kalender!E113/SUM(Kalender!$E$5:$E$370),0))*Szenarien!$E$9,0)</f>
        <v>2.04</v>
      </c>
      <c r="D479" s="13" t="n">
        <f aca="false">IF(Szenarien!$H$9="OK",(IFERROR(SUMIF(Nutzungsprofile!$B$17:$B$22,"Schulbetrieb",Nutzungsprofile!$G$17:$G$22)*Kalender!C113/SUM(Kalender!$C$5:$C$370),0)+IFERROR(SUMIF(Nutzungsprofile!$B$17:$B$22,"Halle",Nutzungsprofile!$G$17:$G$22)*Kalender!D113/SUM(Kalender!$D$5:$D$370),0)+IFERROR(SUMIF(Nutzungsprofile!$B$17:$B$22,"Individuell",Nutzungsprofile!$G$17:$G$22)*Kalender!E113/SUM(Kalender!$E$5:$E$370),0))*Szenarien!$D$9,0)</f>
        <v>0.89</v>
      </c>
      <c r="E479" s="13" t="n">
        <f aca="false">IFERROR(MIN(C479,Eingaben!$B$17)*Eingaben!$B$16,0)</f>
        <v>1.938</v>
      </c>
      <c r="F479" s="13" t="n">
        <f aca="false">IFERROR(E479*Eingaben!$B$15,0)</f>
        <v>1.7442</v>
      </c>
      <c r="G479" s="13" t="n">
        <f aca="false">IFERROR(IF(Kalender!A113="",0,J478*(1-Eingaben!$B$20)),0)</f>
        <v>1.561363244</v>
      </c>
      <c r="H479" s="13" t="n">
        <f aca="false">MIN(G479,D479)</f>
        <v>0.89</v>
      </c>
      <c r="I479" s="13" t="n">
        <f aca="false">IFERROR(MIN(F479*Eingaben!$B$19,MAX(0,D479-H479)),0)</f>
        <v>0</v>
      </c>
      <c r="J479" s="13" t="n">
        <f aca="false">IFERROR(MIN(Eingaben!$B$18,MAX(0,F479-I479)),0)</f>
        <v>1.7442</v>
      </c>
      <c r="K479" s="13" t="n">
        <f aca="false">H479+I479</f>
        <v>0.89</v>
      </c>
      <c r="L479" s="13" t="n">
        <f aca="false">MAX(0,D479-K479)</f>
        <v>0</v>
      </c>
      <c r="M479" s="13" t="n">
        <f aca="false">MAX(0,F479-I479-J479)</f>
        <v>0</v>
      </c>
      <c r="N479" s="13" t="n">
        <f aca="false">IF(Kalender!A113="",0,J478-H479)</f>
        <v>0.7032278</v>
      </c>
    </row>
    <row r="480" customFormat="false" ht="16.4" hidden="false" customHeight="false" outlineLevel="0" collapsed="false">
      <c r="A480" s="13" t="str">
        <f aca="false">""</f>
        <v/>
      </c>
      <c r="B480" s="13" t="n">
        <f aca="false">110</f>
        <v>110</v>
      </c>
      <c r="C480" s="13" t="n">
        <f aca="false">IF(Szenarien!$H$9="OK",(IFERROR(SUMIF(Nutzungsprofile!$B$6:$B$11,"Schulbetrieb",Nutzungsprofile!$G$6:$G$11)*Kalender!C114/SUM(Kalender!$C$5:$C$370),0)+IFERROR(SUMIF(Nutzungsprofile!$B$6:$B$11,"Halle",Nutzungsprofile!$G$6:$G$11)*Kalender!D114/SUM(Kalender!$D$5:$D$370),0)+IFERROR(SUMIF(Nutzungsprofile!$B$6:$B$11,"Individuell",Nutzungsprofile!$G$6:$G$11)*Kalender!E114/SUM(Kalender!$E$5:$E$370),0))*Szenarien!$E$9,0)</f>
        <v>2.94</v>
      </c>
      <c r="D480" s="13" t="n">
        <f aca="false">IF(Szenarien!$H$9="OK",(IFERROR(SUMIF(Nutzungsprofile!$B$17:$B$22,"Schulbetrieb",Nutzungsprofile!$G$17:$G$22)*Kalender!C114/SUM(Kalender!$C$5:$C$370),0)+IFERROR(SUMIF(Nutzungsprofile!$B$17:$B$22,"Halle",Nutzungsprofile!$G$17:$G$22)*Kalender!D114/SUM(Kalender!$D$5:$D$370),0)+IFERROR(SUMIF(Nutzungsprofile!$B$17:$B$22,"Individuell",Nutzungsprofile!$G$17:$G$22)*Kalender!E114/SUM(Kalender!$E$5:$E$370),0))*Szenarien!$D$9,0)</f>
        <v>4.94</v>
      </c>
      <c r="E480" s="13" t="n">
        <f aca="false">IFERROR(MIN(C480,Eingaben!$B$17)*Eingaben!$B$16,0)</f>
        <v>2.793</v>
      </c>
      <c r="F480" s="13" t="n">
        <f aca="false">IFERROR(E480*Eingaben!$B$15,0)</f>
        <v>2.5137</v>
      </c>
      <c r="G480" s="13" t="n">
        <f aca="false">IFERROR(IF(Kalender!A114="",0,J479*(1-Eingaben!$B$20)),0)</f>
        <v>1.709316</v>
      </c>
      <c r="H480" s="13" t="n">
        <f aca="false">MIN(G480,D480)</f>
        <v>1.709316</v>
      </c>
      <c r="I480" s="13" t="n">
        <f aca="false">IFERROR(MIN(F480*Eingaben!$B$19,MAX(0,D480-H480)),0)</f>
        <v>1.75959</v>
      </c>
      <c r="J480" s="13" t="n">
        <f aca="false">IFERROR(MIN(Eingaben!$B$18,MAX(0,F480-I480)),0)</f>
        <v>0.75411</v>
      </c>
      <c r="K480" s="13" t="n">
        <f aca="false">H480+I480</f>
        <v>3.468906</v>
      </c>
      <c r="L480" s="13" t="n">
        <f aca="false">MAX(0,D480-K480)</f>
        <v>1.471094</v>
      </c>
      <c r="M480" s="13" t="n">
        <f aca="false">MAX(0,F480-I480-J480)</f>
        <v>0</v>
      </c>
      <c r="N480" s="13" t="n">
        <f aca="false">IF(Kalender!A114="",0,J479-H480)</f>
        <v>0.0348840000000001</v>
      </c>
    </row>
    <row r="481" customFormat="false" ht="16.4" hidden="false" customHeight="false" outlineLevel="0" collapsed="false">
      <c r="A481" s="13" t="str">
        <f aca="false">""</f>
        <v/>
      </c>
      <c r="B481" s="13" t="n">
        <f aca="false">111</f>
        <v>111</v>
      </c>
      <c r="C481" s="13" t="n">
        <f aca="false">IF(Szenarien!$H$9="OK",(IFERROR(SUMIF(Nutzungsprofile!$B$6:$B$11,"Schulbetrieb",Nutzungsprofile!$G$6:$G$11)*Kalender!C115/SUM(Kalender!$C$5:$C$370),0)+IFERROR(SUMIF(Nutzungsprofile!$B$6:$B$11,"Halle",Nutzungsprofile!$G$6:$G$11)*Kalender!D115/SUM(Kalender!$D$5:$D$370),0)+IFERROR(SUMIF(Nutzungsprofile!$B$6:$B$11,"Individuell",Nutzungsprofile!$G$6:$G$11)*Kalender!E115/SUM(Kalender!$E$5:$E$370),0))*Szenarien!$E$9,0)</f>
        <v>2.94</v>
      </c>
      <c r="D481" s="13" t="n">
        <f aca="false">IF(Szenarien!$H$9="OK",(IFERROR(SUMIF(Nutzungsprofile!$B$17:$B$22,"Schulbetrieb",Nutzungsprofile!$G$17:$G$22)*Kalender!C115/SUM(Kalender!$C$5:$C$370),0)+IFERROR(SUMIF(Nutzungsprofile!$B$17:$B$22,"Halle",Nutzungsprofile!$G$17:$G$22)*Kalender!D115/SUM(Kalender!$D$5:$D$370),0)+IFERROR(SUMIF(Nutzungsprofile!$B$17:$B$22,"Individuell",Nutzungsprofile!$G$17:$G$22)*Kalender!E115/SUM(Kalender!$E$5:$E$370),0))*Szenarien!$D$9,0)</f>
        <v>4.94</v>
      </c>
      <c r="E481" s="13" t="n">
        <f aca="false">IFERROR(MIN(C481,Eingaben!$B$17)*Eingaben!$B$16,0)</f>
        <v>2.793</v>
      </c>
      <c r="F481" s="13" t="n">
        <f aca="false">IFERROR(E481*Eingaben!$B$15,0)</f>
        <v>2.5137</v>
      </c>
      <c r="G481" s="13" t="n">
        <f aca="false">IFERROR(IF(Kalender!A115="",0,J480*(1-Eingaben!$B$20)),0)</f>
        <v>0.7390278</v>
      </c>
      <c r="H481" s="13" t="n">
        <f aca="false">MIN(G481,D481)</f>
        <v>0.7390278</v>
      </c>
      <c r="I481" s="13" t="n">
        <f aca="false">IFERROR(MIN(F481*Eingaben!$B$19,MAX(0,D481-H481)),0)</f>
        <v>1.75959</v>
      </c>
      <c r="J481" s="13" t="n">
        <f aca="false">IFERROR(MIN(Eingaben!$B$18,MAX(0,F481-I481)),0)</f>
        <v>0.75411</v>
      </c>
      <c r="K481" s="13" t="n">
        <f aca="false">H481+I481</f>
        <v>2.4986178</v>
      </c>
      <c r="L481" s="13" t="n">
        <f aca="false">MAX(0,D481-K481)</f>
        <v>2.4413822</v>
      </c>
      <c r="M481" s="13" t="n">
        <f aca="false">MAX(0,F481-I481-J481)</f>
        <v>0</v>
      </c>
      <c r="N481" s="13" t="n">
        <f aca="false">IF(Kalender!A115="",0,J480-H481)</f>
        <v>0.0150822</v>
      </c>
    </row>
    <row r="482" customFormat="false" ht="16.4" hidden="false" customHeight="false" outlineLevel="0" collapsed="false">
      <c r="A482" s="13" t="str">
        <f aca="false">""</f>
        <v/>
      </c>
      <c r="B482" s="13" t="n">
        <f aca="false">112</f>
        <v>112</v>
      </c>
      <c r="C482" s="13" t="n">
        <f aca="false">IF(Szenarien!$H$9="OK",(IFERROR(SUMIF(Nutzungsprofile!$B$6:$B$11,"Schulbetrieb",Nutzungsprofile!$G$6:$G$11)*Kalender!C116/SUM(Kalender!$C$5:$C$370),0)+IFERROR(SUMIF(Nutzungsprofile!$B$6:$B$11,"Halle",Nutzungsprofile!$G$6:$G$11)*Kalender!D116/SUM(Kalender!$D$5:$D$370),0)+IFERROR(SUMIF(Nutzungsprofile!$B$6:$B$11,"Individuell",Nutzungsprofile!$G$6:$G$11)*Kalender!E116/SUM(Kalender!$E$5:$E$370),0))*Szenarien!$E$9,0)</f>
        <v>2.94</v>
      </c>
      <c r="D482" s="13" t="n">
        <f aca="false">IF(Szenarien!$H$9="OK",(IFERROR(SUMIF(Nutzungsprofile!$B$17:$B$22,"Schulbetrieb",Nutzungsprofile!$G$17:$G$22)*Kalender!C116/SUM(Kalender!$C$5:$C$370),0)+IFERROR(SUMIF(Nutzungsprofile!$B$17:$B$22,"Halle",Nutzungsprofile!$G$17:$G$22)*Kalender!D116/SUM(Kalender!$D$5:$D$370),0)+IFERROR(SUMIF(Nutzungsprofile!$B$17:$B$22,"Individuell",Nutzungsprofile!$G$17:$G$22)*Kalender!E116/SUM(Kalender!$E$5:$E$370),0))*Szenarien!$D$9,0)</f>
        <v>4.94</v>
      </c>
      <c r="E482" s="13" t="n">
        <f aca="false">IFERROR(MIN(C482,Eingaben!$B$17)*Eingaben!$B$16,0)</f>
        <v>2.793</v>
      </c>
      <c r="F482" s="13" t="n">
        <f aca="false">IFERROR(E482*Eingaben!$B$15,0)</f>
        <v>2.5137</v>
      </c>
      <c r="G482" s="13" t="n">
        <f aca="false">IFERROR(IF(Kalender!A116="",0,J481*(1-Eingaben!$B$20)),0)</f>
        <v>0.7390278</v>
      </c>
      <c r="H482" s="13" t="n">
        <f aca="false">MIN(G482,D482)</f>
        <v>0.7390278</v>
      </c>
      <c r="I482" s="13" t="n">
        <f aca="false">IFERROR(MIN(F482*Eingaben!$B$19,MAX(0,D482-H482)),0)</f>
        <v>1.75959</v>
      </c>
      <c r="J482" s="13" t="n">
        <f aca="false">IFERROR(MIN(Eingaben!$B$18,MAX(0,F482-I482)),0)</f>
        <v>0.75411</v>
      </c>
      <c r="K482" s="13" t="n">
        <f aca="false">H482+I482</f>
        <v>2.4986178</v>
      </c>
      <c r="L482" s="13" t="n">
        <f aca="false">MAX(0,D482-K482)</f>
        <v>2.4413822</v>
      </c>
      <c r="M482" s="13" t="n">
        <f aca="false">MAX(0,F482-I482-J482)</f>
        <v>0</v>
      </c>
      <c r="N482" s="13" t="n">
        <f aca="false">IF(Kalender!A116="",0,J481-H482)</f>
        <v>0.0150822</v>
      </c>
    </row>
    <row r="483" customFormat="false" ht="16.4" hidden="false" customHeight="false" outlineLevel="0" collapsed="false">
      <c r="A483" s="13" t="str">
        <f aca="false">""</f>
        <v/>
      </c>
      <c r="B483" s="13" t="n">
        <f aca="false">113</f>
        <v>113</v>
      </c>
      <c r="C483" s="13" t="n">
        <f aca="false">IF(Szenarien!$H$9="OK",(IFERROR(SUMIF(Nutzungsprofile!$B$6:$B$11,"Schulbetrieb",Nutzungsprofile!$G$6:$G$11)*Kalender!C117/SUM(Kalender!$C$5:$C$370),0)+IFERROR(SUMIF(Nutzungsprofile!$B$6:$B$11,"Halle",Nutzungsprofile!$G$6:$G$11)*Kalender!D117/SUM(Kalender!$D$5:$D$370),0)+IFERROR(SUMIF(Nutzungsprofile!$B$6:$B$11,"Individuell",Nutzungsprofile!$G$6:$G$11)*Kalender!E117/SUM(Kalender!$E$5:$E$370),0))*Szenarien!$E$9,0)</f>
        <v>2.94</v>
      </c>
      <c r="D483" s="13" t="n">
        <f aca="false">IF(Szenarien!$H$9="OK",(IFERROR(SUMIF(Nutzungsprofile!$B$17:$B$22,"Schulbetrieb",Nutzungsprofile!$G$17:$G$22)*Kalender!C117/SUM(Kalender!$C$5:$C$370),0)+IFERROR(SUMIF(Nutzungsprofile!$B$17:$B$22,"Halle",Nutzungsprofile!$G$17:$G$22)*Kalender!D117/SUM(Kalender!$D$5:$D$370),0)+IFERROR(SUMIF(Nutzungsprofile!$B$17:$B$22,"Individuell",Nutzungsprofile!$G$17:$G$22)*Kalender!E117/SUM(Kalender!$E$5:$E$370),0))*Szenarien!$D$9,0)</f>
        <v>4.94</v>
      </c>
      <c r="E483" s="13" t="n">
        <f aca="false">IFERROR(MIN(C483,Eingaben!$B$17)*Eingaben!$B$16,0)</f>
        <v>2.793</v>
      </c>
      <c r="F483" s="13" t="n">
        <f aca="false">IFERROR(E483*Eingaben!$B$15,0)</f>
        <v>2.5137</v>
      </c>
      <c r="G483" s="13" t="n">
        <f aca="false">IFERROR(IF(Kalender!A117="",0,J482*(1-Eingaben!$B$20)),0)</f>
        <v>0.7390278</v>
      </c>
      <c r="H483" s="13" t="n">
        <f aca="false">MIN(G483,D483)</f>
        <v>0.7390278</v>
      </c>
      <c r="I483" s="13" t="n">
        <f aca="false">IFERROR(MIN(F483*Eingaben!$B$19,MAX(0,D483-H483)),0)</f>
        <v>1.75959</v>
      </c>
      <c r="J483" s="13" t="n">
        <f aca="false">IFERROR(MIN(Eingaben!$B$18,MAX(0,F483-I483)),0)</f>
        <v>0.75411</v>
      </c>
      <c r="K483" s="13" t="n">
        <f aca="false">H483+I483</f>
        <v>2.4986178</v>
      </c>
      <c r="L483" s="13" t="n">
        <f aca="false">MAX(0,D483-K483)</f>
        <v>2.4413822</v>
      </c>
      <c r="M483" s="13" t="n">
        <f aca="false">MAX(0,F483-I483-J483)</f>
        <v>0</v>
      </c>
      <c r="N483" s="13" t="n">
        <f aca="false">IF(Kalender!A117="",0,J482-H483)</f>
        <v>0.0150822</v>
      </c>
    </row>
    <row r="484" customFormat="false" ht="16.4" hidden="false" customHeight="false" outlineLevel="0" collapsed="false">
      <c r="A484" s="13" t="str">
        <f aca="false">""</f>
        <v/>
      </c>
      <c r="B484" s="13" t="n">
        <f aca="false">114</f>
        <v>114</v>
      </c>
      <c r="C484" s="13" t="n">
        <f aca="false">IF(Szenarien!$H$9="OK",(IFERROR(SUMIF(Nutzungsprofile!$B$6:$B$11,"Schulbetrieb",Nutzungsprofile!$G$6:$G$11)*Kalender!C118/SUM(Kalender!$C$5:$C$370),0)+IFERROR(SUMIF(Nutzungsprofile!$B$6:$B$11,"Halle",Nutzungsprofile!$G$6:$G$11)*Kalender!D118/SUM(Kalender!$D$5:$D$370),0)+IFERROR(SUMIF(Nutzungsprofile!$B$6:$B$11,"Individuell",Nutzungsprofile!$G$6:$G$11)*Kalender!E118/SUM(Kalender!$E$5:$E$370),0))*Szenarien!$E$9,0)</f>
        <v>2.94</v>
      </c>
      <c r="D484" s="13" t="n">
        <f aca="false">IF(Szenarien!$H$9="OK",(IFERROR(SUMIF(Nutzungsprofile!$B$17:$B$22,"Schulbetrieb",Nutzungsprofile!$G$17:$G$22)*Kalender!C118/SUM(Kalender!$C$5:$C$370),0)+IFERROR(SUMIF(Nutzungsprofile!$B$17:$B$22,"Halle",Nutzungsprofile!$G$17:$G$22)*Kalender!D118/SUM(Kalender!$D$5:$D$370),0)+IFERROR(SUMIF(Nutzungsprofile!$B$17:$B$22,"Individuell",Nutzungsprofile!$G$17:$G$22)*Kalender!E118/SUM(Kalender!$E$5:$E$370),0))*Szenarien!$D$9,0)</f>
        <v>4.94</v>
      </c>
      <c r="E484" s="13" t="n">
        <f aca="false">IFERROR(MIN(C484,Eingaben!$B$17)*Eingaben!$B$16,0)</f>
        <v>2.793</v>
      </c>
      <c r="F484" s="13" t="n">
        <f aca="false">IFERROR(E484*Eingaben!$B$15,0)</f>
        <v>2.5137</v>
      </c>
      <c r="G484" s="13" t="n">
        <f aca="false">IFERROR(IF(Kalender!A118="",0,J483*(1-Eingaben!$B$20)),0)</f>
        <v>0.7390278</v>
      </c>
      <c r="H484" s="13" t="n">
        <f aca="false">MIN(G484,D484)</f>
        <v>0.7390278</v>
      </c>
      <c r="I484" s="13" t="n">
        <f aca="false">IFERROR(MIN(F484*Eingaben!$B$19,MAX(0,D484-H484)),0)</f>
        <v>1.75959</v>
      </c>
      <c r="J484" s="13" t="n">
        <f aca="false">IFERROR(MIN(Eingaben!$B$18,MAX(0,F484-I484)),0)</f>
        <v>0.75411</v>
      </c>
      <c r="K484" s="13" t="n">
        <f aca="false">H484+I484</f>
        <v>2.4986178</v>
      </c>
      <c r="L484" s="13" t="n">
        <f aca="false">MAX(0,D484-K484)</f>
        <v>2.4413822</v>
      </c>
      <c r="M484" s="13" t="n">
        <f aca="false">MAX(0,F484-I484-J484)</f>
        <v>0</v>
      </c>
      <c r="N484" s="13" t="n">
        <f aca="false">IF(Kalender!A118="",0,J483-H484)</f>
        <v>0.0150822</v>
      </c>
    </row>
    <row r="485" customFormat="false" ht="16.4" hidden="false" customHeight="false" outlineLevel="0" collapsed="false">
      <c r="A485" s="13" t="str">
        <f aca="false">""</f>
        <v/>
      </c>
      <c r="B485" s="13" t="n">
        <f aca="false">115</f>
        <v>115</v>
      </c>
      <c r="C485" s="13" t="n">
        <f aca="false">IF(Szenarien!$H$9="OK",(IFERROR(SUMIF(Nutzungsprofile!$B$6:$B$11,"Schulbetrieb",Nutzungsprofile!$G$6:$G$11)*Kalender!C119/SUM(Kalender!$C$5:$C$370),0)+IFERROR(SUMIF(Nutzungsprofile!$B$6:$B$11,"Halle",Nutzungsprofile!$G$6:$G$11)*Kalender!D119/SUM(Kalender!$D$5:$D$370),0)+IFERROR(SUMIF(Nutzungsprofile!$B$6:$B$11,"Individuell",Nutzungsprofile!$G$6:$G$11)*Kalender!E119/SUM(Kalender!$E$5:$E$370),0))*Szenarien!$E$9,0)</f>
        <v>2.04</v>
      </c>
      <c r="D485" s="13" t="n">
        <f aca="false">IF(Szenarien!$H$9="OK",(IFERROR(SUMIF(Nutzungsprofile!$B$17:$B$22,"Schulbetrieb",Nutzungsprofile!$G$17:$G$22)*Kalender!C119/SUM(Kalender!$C$5:$C$370),0)+IFERROR(SUMIF(Nutzungsprofile!$B$17:$B$22,"Halle",Nutzungsprofile!$G$17:$G$22)*Kalender!D119/SUM(Kalender!$D$5:$D$370),0)+IFERROR(SUMIF(Nutzungsprofile!$B$17:$B$22,"Individuell",Nutzungsprofile!$G$17:$G$22)*Kalender!E119/SUM(Kalender!$E$5:$E$370),0))*Szenarien!$D$9,0)</f>
        <v>0.89</v>
      </c>
      <c r="E485" s="13" t="n">
        <f aca="false">IFERROR(MIN(C485,Eingaben!$B$17)*Eingaben!$B$16,0)</f>
        <v>1.938</v>
      </c>
      <c r="F485" s="13" t="n">
        <f aca="false">IFERROR(E485*Eingaben!$B$15,0)</f>
        <v>1.7442</v>
      </c>
      <c r="G485" s="13" t="n">
        <f aca="false">IFERROR(IF(Kalender!A119="",0,J484*(1-Eingaben!$B$20)),0)</f>
        <v>0.7390278</v>
      </c>
      <c r="H485" s="13" t="n">
        <f aca="false">MIN(G485,D485)</f>
        <v>0.7390278</v>
      </c>
      <c r="I485" s="13" t="n">
        <f aca="false">IFERROR(MIN(F485*Eingaben!$B$19,MAX(0,D485-H485)),0)</f>
        <v>0.1509722</v>
      </c>
      <c r="J485" s="13" t="n">
        <f aca="false">IFERROR(MIN(Eingaben!$B$18,MAX(0,F485-I485)),0)</f>
        <v>1.5932278</v>
      </c>
      <c r="K485" s="13" t="n">
        <f aca="false">H485+I485</f>
        <v>0.89</v>
      </c>
      <c r="L485" s="13" t="n">
        <f aca="false">MAX(0,D485-K485)</f>
        <v>0</v>
      </c>
      <c r="M485" s="13" t="n">
        <f aca="false">MAX(0,F485-I485-J485)</f>
        <v>0</v>
      </c>
      <c r="N485" s="13" t="n">
        <f aca="false">IF(Kalender!A119="",0,J484-H485)</f>
        <v>0.0150822</v>
      </c>
    </row>
    <row r="486" customFormat="false" ht="16.4" hidden="false" customHeight="false" outlineLevel="0" collapsed="false">
      <c r="A486" s="13" t="str">
        <f aca="false">""</f>
        <v/>
      </c>
      <c r="B486" s="13" t="n">
        <f aca="false">116</f>
        <v>116</v>
      </c>
      <c r="C486" s="13" t="n">
        <f aca="false">IF(Szenarien!$H$9="OK",(IFERROR(SUMIF(Nutzungsprofile!$B$6:$B$11,"Schulbetrieb",Nutzungsprofile!$G$6:$G$11)*Kalender!C120/SUM(Kalender!$C$5:$C$370),0)+IFERROR(SUMIF(Nutzungsprofile!$B$6:$B$11,"Halle",Nutzungsprofile!$G$6:$G$11)*Kalender!D120/SUM(Kalender!$D$5:$D$370),0)+IFERROR(SUMIF(Nutzungsprofile!$B$6:$B$11,"Individuell",Nutzungsprofile!$G$6:$G$11)*Kalender!E120/SUM(Kalender!$E$5:$E$370),0))*Szenarien!$E$9,0)</f>
        <v>2.04</v>
      </c>
      <c r="D486" s="13" t="n">
        <f aca="false">IF(Szenarien!$H$9="OK",(IFERROR(SUMIF(Nutzungsprofile!$B$17:$B$22,"Schulbetrieb",Nutzungsprofile!$G$17:$G$22)*Kalender!C120/SUM(Kalender!$C$5:$C$370),0)+IFERROR(SUMIF(Nutzungsprofile!$B$17:$B$22,"Halle",Nutzungsprofile!$G$17:$G$22)*Kalender!D120/SUM(Kalender!$D$5:$D$370),0)+IFERROR(SUMIF(Nutzungsprofile!$B$17:$B$22,"Individuell",Nutzungsprofile!$G$17:$G$22)*Kalender!E120/SUM(Kalender!$E$5:$E$370),0))*Szenarien!$D$9,0)</f>
        <v>0.89</v>
      </c>
      <c r="E486" s="13" t="n">
        <f aca="false">IFERROR(MIN(C486,Eingaben!$B$17)*Eingaben!$B$16,0)</f>
        <v>1.938</v>
      </c>
      <c r="F486" s="13" t="n">
        <f aca="false">IFERROR(E486*Eingaben!$B$15,0)</f>
        <v>1.7442</v>
      </c>
      <c r="G486" s="13" t="n">
        <f aca="false">IFERROR(IF(Kalender!A120="",0,J485*(1-Eingaben!$B$20)),0)</f>
        <v>1.561363244</v>
      </c>
      <c r="H486" s="13" t="n">
        <f aca="false">MIN(G486,D486)</f>
        <v>0.89</v>
      </c>
      <c r="I486" s="13" t="n">
        <f aca="false">IFERROR(MIN(F486*Eingaben!$B$19,MAX(0,D486-H486)),0)</f>
        <v>0</v>
      </c>
      <c r="J486" s="13" t="n">
        <f aca="false">IFERROR(MIN(Eingaben!$B$18,MAX(0,F486-I486)),0)</f>
        <v>1.7442</v>
      </c>
      <c r="K486" s="13" t="n">
        <f aca="false">H486+I486</f>
        <v>0.89</v>
      </c>
      <c r="L486" s="13" t="n">
        <f aca="false">MAX(0,D486-K486)</f>
        <v>0</v>
      </c>
      <c r="M486" s="13" t="n">
        <f aca="false">MAX(0,F486-I486-J486)</f>
        <v>0</v>
      </c>
      <c r="N486" s="13" t="n">
        <f aca="false">IF(Kalender!A120="",0,J485-H486)</f>
        <v>0.7032278</v>
      </c>
    </row>
    <row r="487" customFormat="false" ht="16.4" hidden="false" customHeight="false" outlineLevel="0" collapsed="false">
      <c r="A487" s="13" t="str">
        <f aca="false">""</f>
        <v/>
      </c>
      <c r="B487" s="13" t="n">
        <f aca="false">117</f>
        <v>117</v>
      </c>
      <c r="C487" s="13" t="n">
        <f aca="false">IF(Szenarien!$H$9="OK",(IFERROR(SUMIF(Nutzungsprofile!$B$6:$B$11,"Schulbetrieb",Nutzungsprofile!$G$6:$G$11)*Kalender!C121/SUM(Kalender!$C$5:$C$370),0)+IFERROR(SUMIF(Nutzungsprofile!$B$6:$B$11,"Halle",Nutzungsprofile!$G$6:$G$11)*Kalender!D121/SUM(Kalender!$D$5:$D$370),0)+IFERROR(SUMIF(Nutzungsprofile!$B$6:$B$11,"Individuell",Nutzungsprofile!$G$6:$G$11)*Kalender!E121/SUM(Kalender!$E$5:$E$370),0))*Szenarien!$E$9,0)</f>
        <v>2.94</v>
      </c>
      <c r="D487" s="13" t="n">
        <f aca="false">IF(Szenarien!$H$9="OK",(IFERROR(SUMIF(Nutzungsprofile!$B$17:$B$22,"Schulbetrieb",Nutzungsprofile!$G$17:$G$22)*Kalender!C121/SUM(Kalender!$C$5:$C$370),0)+IFERROR(SUMIF(Nutzungsprofile!$B$17:$B$22,"Halle",Nutzungsprofile!$G$17:$G$22)*Kalender!D121/SUM(Kalender!$D$5:$D$370),0)+IFERROR(SUMIF(Nutzungsprofile!$B$17:$B$22,"Individuell",Nutzungsprofile!$G$17:$G$22)*Kalender!E121/SUM(Kalender!$E$5:$E$370),0))*Szenarien!$D$9,0)</f>
        <v>4.94</v>
      </c>
      <c r="E487" s="13" t="n">
        <f aca="false">IFERROR(MIN(C487,Eingaben!$B$17)*Eingaben!$B$16,0)</f>
        <v>2.793</v>
      </c>
      <c r="F487" s="13" t="n">
        <f aca="false">IFERROR(E487*Eingaben!$B$15,0)</f>
        <v>2.5137</v>
      </c>
      <c r="G487" s="13" t="n">
        <f aca="false">IFERROR(IF(Kalender!A121="",0,J486*(1-Eingaben!$B$20)),0)</f>
        <v>1.709316</v>
      </c>
      <c r="H487" s="13" t="n">
        <f aca="false">MIN(G487,D487)</f>
        <v>1.709316</v>
      </c>
      <c r="I487" s="13" t="n">
        <f aca="false">IFERROR(MIN(F487*Eingaben!$B$19,MAX(0,D487-H487)),0)</f>
        <v>1.75959</v>
      </c>
      <c r="J487" s="13" t="n">
        <f aca="false">IFERROR(MIN(Eingaben!$B$18,MAX(0,F487-I487)),0)</f>
        <v>0.75411</v>
      </c>
      <c r="K487" s="13" t="n">
        <f aca="false">H487+I487</f>
        <v>3.468906</v>
      </c>
      <c r="L487" s="13" t="n">
        <f aca="false">MAX(0,D487-K487)</f>
        <v>1.471094</v>
      </c>
      <c r="M487" s="13" t="n">
        <f aca="false">MAX(0,F487-I487-J487)</f>
        <v>0</v>
      </c>
      <c r="N487" s="13" t="n">
        <f aca="false">IF(Kalender!A121="",0,J486-H487)</f>
        <v>0.0348840000000001</v>
      </c>
    </row>
    <row r="488" customFormat="false" ht="16.4" hidden="false" customHeight="false" outlineLevel="0" collapsed="false">
      <c r="A488" s="13" t="str">
        <f aca="false">""</f>
        <v/>
      </c>
      <c r="B488" s="13" t="n">
        <f aca="false">118</f>
        <v>118</v>
      </c>
      <c r="C488" s="13" t="n">
        <f aca="false">IF(Szenarien!$H$9="OK",(IFERROR(SUMIF(Nutzungsprofile!$B$6:$B$11,"Schulbetrieb",Nutzungsprofile!$G$6:$G$11)*Kalender!C122/SUM(Kalender!$C$5:$C$370),0)+IFERROR(SUMIF(Nutzungsprofile!$B$6:$B$11,"Halle",Nutzungsprofile!$G$6:$G$11)*Kalender!D122/SUM(Kalender!$D$5:$D$370),0)+IFERROR(SUMIF(Nutzungsprofile!$B$6:$B$11,"Individuell",Nutzungsprofile!$G$6:$G$11)*Kalender!E122/SUM(Kalender!$E$5:$E$370),0))*Szenarien!$E$9,0)</f>
        <v>2.94</v>
      </c>
      <c r="D488" s="13" t="n">
        <f aca="false">IF(Szenarien!$H$9="OK",(IFERROR(SUMIF(Nutzungsprofile!$B$17:$B$22,"Schulbetrieb",Nutzungsprofile!$G$17:$G$22)*Kalender!C122/SUM(Kalender!$C$5:$C$370),0)+IFERROR(SUMIF(Nutzungsprofile!$B$17:$B$22,"Halle",Nutzungsprofile!$G$17:$G$22)*Kalender!D122/SUM(Kalender!$D$5:$D$370),0)+IFERROR(SUMIF(Nutzungsprofile!$B$17:$B$22,"Individuell",Nutzungsprofile!$G$17:$G$22)*Kalender!E122/SUM(Kalender!$E$5:$E$370),0))*Szenarien!$D$9,0)</f>
        <v>4.94</v>
      </c>
      <c r="E488" s="13" t="n">
        <f aca="false">IFERROR(MIN(C488,Eingaben!$B$17)*Eingaben!$B$16,0)</f>
        <v>2.793</v>
      </c>
      <c r="F488" s="13" t="n">
        <f aca="false">IFERROR(E488*Eingaben!$B$15,0)</f>
        <v>2.5137</v>
      </c>
      <c r="G488" s="13" t="n">
        <f aca="false">IFERROR(IF(Kalender!A122="",0,J487*(1-Eingaben!$B$20)),0)</f>
        <v>0.7390278</v>
      </c>
      <c r="H488" s="13" t="n">
        <f aca="false">MIN(G488,D488)</f>
        <v>0.7390278</v>
      </c>
      <c r="I488" s="13" t="n">
        <f aca="false">IFERROR(MIN(F488*Eingaben!$B$19,MAX(0,D488-H488)),0)</f>
        <v>1.75959</v>
      </c>
      <c r="J488" s="13" t="n">
        <f aca="false">IFERROR(MIN(Eingaben!$B$18,MAX(0,F488-I488)),0)</f>
        <v>0.75411</v>
      </c>
      <c r="K488" s="13" t="n">
        <f aca="false">H488+I488</f>
        <v>2.4986178</v>
      </c>
      <c r="L488" s="13" t="n">
        <f aca="false">MAX(0,D488-K488)</f>
        <v>2.4413822</v>
      </c>
      <c r="M488" s="13" t="n">
        <f aca="false">MAX(0,F488-I488-J488)</f>
        <v>0</v>
      </c>
      <c r="N488" s="13" t="n">
        <f aca="false">IF(Kalender!A122="",0,J487-H488)</f>
        <v>0.0150822</v>
      </c>
    </row>
    <row r="489" customFormat="false" ht="16.4" hidden="false" customHeight="false" outlineLevel="0" collapsed="false">
      <c r="A489" s="13" t="str">
        <f aca="false">""</f>
        <v/>
      </c>
      <c r="B489" s="13" t="n">
        <f aca="false">119</f>
        <v>119</v>
      </c>
      <c r="C489" s="13" t="n">
        <f aca="false">IF(Szenarien!$H$9="OK",(IFERROR(SUMIF(Nutzungsprofile!$B$6:$B$11,"Schulbetrieb",Nutzungsprofile!$G$6:$G$11)*Kalender!C123/SUM(Kalender!$C$5:$C$370),0)+IFERROR(SUMIF(Nutzungsprofile!$B$6:$B$11,"Halle",Nutzungsprofile!$G$6:$G$11)*Kalender!D123/SUM(Kalender!$D$5:$D$370),0)+IFERROR(SUMIF(Nutzungsprofile!$B$6:$B$11,"Individuell",Nutzungsprofile!$G$6:$G$11)*Kalender!E123/SUM(Kalender!$E$5:$E$370),0))*Szenarien!$E$9,0)</f>
        <v>2.94</v>
      </c>
      <c r="D489" s="13" t="n">
        <f aca="false">IF(Szenarien!$H$9="OK",(IFERROR(SUMIF(Nutzungsprofile!$B$17:$B$22,"Schulbetrieb",Nutzungsprofile!$G$17:$G$22)*Kalender!C123/SUM(Kalender!$C$5:$C$370),0)+IFERROR(SUMIF(Nutzungsprofile!$B$17:$B$22,"Halle",Nutzungsprofile!$G$17:$G$22)*Kalender!D123/SUM(Kalender!$D$5:$D$370),0)+IFERROR(SUMIF(Nutzungsprofile!$B$17:$B$22,"Individuell",Nutzungsprofile!$G$17:$G$22)*Kalender!E123/SUM(Kalender!$E$5:$E$370),0))*Szenarien!$D$9,0)</f>
        <v>4.94</v>
      </c>
      <c r="E489" s="13" t="n">
        <f aca="false">IFERROR(MIN(C489,Eingaben!$B$17)*Eingaben!$B$16,0)</f>
        <v>2.793</v>
      </c>
      <c r="F489" s="13" t="n">
        <f aca="false">IFERROR(E489*Eingaben!$B$15,0)</f>
        <v>2.5137</v>
      </c>
      <c r="G489" s="13" t="n">
        <f aca="false">IFERROR(IF(Kalender!A123="",0,J488*(1-Eingaben!$B$20)),0)</f>
        <v>0.7390278</v>
      </c>
      <c r="H489" s="13" t="n">
        <f aca="false">MIN(G489,D489)</f>
        <v>0.7390278</v>
      </c>
      <c r="I489" s="13" t="n">
        <f aca="false">IFERROR(MIN(F489*Eingaben!$B$19,MAX(0,D489-H489)),0)</f>
        <v>1.75959</v>
      </c>
      <c r="J489" s="13" t="n">
        <f aca="false">IFERROR(MIN(Eingaben!$B$18,MAX(0,F489-I489)),0)</f>
        <v>0.75411</v>
      </c>
      <c r="K489" s="13" t="n">
        <f aca="false">H489+I489</f>
        <v>2.4986178</v>
      </c>
      <c r="L489" s="13" t="n">
        <f aca="false">MAX(0,D489-K489)</f>
        <v>2.4413822</v>
      </c>
      <c r="M489" s="13" t="n">
        <f aca="false">MAX(0,F489-I489-J489)</f>
        <v>0</v>
      </c>
      <c r="N489" s="13" t="n">
        <f aca="false">IF(Kalender!A123="",0,J488-H489)</f>
        <v>0.0150822</v>
      </c>
    </row>
    <row r="490" customFormat="false" ht="16.4" hidden="false" customHeight="false" outlineLevel="0" collapsed="false">
      <c r="A490" s="13" t="str">
        <f aca="false">""</f>
        <v/>
      </c>
      <c r="B490" s="13" t="n">
        <f aca="false">120</f>
        <v>120</v>
      </c>
      <c r="C490" s="13" t="n">
        <f aca="false">IF(Szenarien!$H$9="OK",(IFERROR(SUMIF(Nutzungsprofile!$B$6:$B$11,"Schulbetrieb",Nutzungsprofile!$G$6:$G$11)*Kalender!C124/SUM(Kalender!$C$5:$C$370),0)+IFERROR(SUMIF(Nutzungsprofile!$B$6:$B$11,"Halle",Nutzungsprofile!$G$6:$G$11)*Kalender!D124/SUM(Kalender!$D$5:$D$370),0)+IFERROR(SUMIF(Nutzungsprofile!$B$6:$B$11,"Individuell",Nutzungsprofile!$G$6:$G$11)*Kalender!E124/SUM(Kalender!$E$5:$E$370),0))*Szenarien!$E$9,0)</f>
        <v>2.94</v>
      </c>
      <c r="D490" s="13" t="n">
        <f aca="false">IF(Szenarien!$H$9="OK",(IFERROR(SUMIF(Nutzungsprofile!$B$17:$B$22,"Schulbetrieb",Nutzungsprofile!$G$17:$G$22)*Kalender!C124/SUM(Kalender!$C$5:$C$370),0)+IFERROR(SUMIF(Nutzungsprofile!$B$17:$B$22,"Halle",Nutzungsprofile!$G$17:$G$22)*Kalender!D124/SUM(Kalender!$D$5:$D$370),0)+IFERROR(SUMIF(Nutzungsprofile!$B$17:$B$22,"Individuell",Nutzungsprofile!$G$17:$G$22)*Kalender!E124/SUM(Kalender!$E$5:$E$370),0))*Szenarien!$D$9,0)</f>
        <v>4.94</v>
      </c>
      <c r="E490" s="13" t="n">
        <f aca="false">IFERROR(MIN(C490,Eingaben!$B$17)*Eingaben!$B$16,0)</f>
        <v>2.793</v>
      </c>
      <c r="F490" s="13" t="n">
        <f aca="false">IFERROR(E490*Eingaben!$B$15,0)</f>
        <v>2.5137</v>
      </c>
      <c r="G490" s="13" t="n">
        <f aca="false">IFERROR(IF(Kalender!A124="",0,J489*(1-Eingaben!$B$20)),0)</f>
        <v>0.7390278</v>
      </c>
      <c r="H490" s="13" t="n">
        <f aca="false">MIN(G490,D490)</f>
        <v>0.7390278</v>
      </c>
      <c r="I490" s="13" t="n">
        <f aca="false">IFERROR(MIN(F490*Eingaben!$B$19,MAX(0,D490-H490)),0)</f>
        <v>1.75959</v>
      </c>
      <c r="J490" s="13" t="n">
        <f aca="false">IFERROR(MIN(Eingaben!$B$18,MAX(0,F490-I490)),0)</f>
        <v>0.75411</v>
      </c>
      <c r="K490" s="13" t="n">
        <f aca="false">H490+I490</f>
        <v>2.4986178</v>
      </c>
      <c r="L490" s="13" t="n">
        <f aca="false">MAX(0,D490-K490)</f>
        <v>2.4413822</v>
      </c>
      <c r="M490" s="13" t="n">
        <f aca="false">MAX(0,F490-I490-J490)</f>
        <v>0</v>
      </c>
      <c r="N490" s="13" t="n">
        <f aca="false">IF(Kalender!A124="",0,J489-H490)</f>
        <v>0.0150822</v>
      </c>
    </row>
    <row r="491" customFormat="false" ht="16.4" hidden="false" customHeight="false" outlineLevel="0" collapsed="false">
      <c r="A491" s="13" t="str">
        <f aca="false">""</f>
        <v/>
      </c>
      <c r="B491" s="13" t="n">
        <f aca="false">121</f>
        <v>121</v>
      </c>
      <c r="C491" s="13" t="n">
        <f aca="false">IF(Szenarien!$H$9="OK",(IFERROR(SUMIF(Nutzungsprofile!$B$6:$B$11,"Schulbetrieb",Nutzungsprofile!$G$6:$G$11)*Kalender!C125/SUM(Kalender!$C$5:$C$370),0)+IFERROR(SUMIF(Nutzungsprofile!$B$6:$B$11,"Halle",Nutzungsprofile!$G$6:$G$11)*Kalender!D125/SUM(Kalender!$D$5:$D$370),0)+IFERROR(SUMIF(Nutzungsprofile!$B$6:$B$11,"Individuell",Nutzungsprofile!$G$6:$G$11)*Kalender!E125/SUM(Kalender!$E$5:$E$370),0))*Szenarien!$E$9,0)</f>
        <v>2.94</v>
      </c>
      <c r="D491" s="13" t="n">
        <f aca="false">IF(Szenarien!$H$9="OK",(IFERROR(SUMIF(Nutzungsprofile!$B$17:$B$22,"Schulbetrieb",Nutzungsprofile!$G$17:$G$22)*Kalender!C125/SUM(Kalender!$C$5:$C$370),0)+IFERROR(SUMIF(Nutzungsprofile!$B$17:$B$22,"Halle",Nutzungsprofile!$G$17:$G$22)*Kalender!D125/SUM(Kalender!$D$5:$D$370),0)+IFERROR(SUMIF(Nutzungsprofile!$B$17:$B$22,"Individuell",Nutzungsprofile!$G$17:$G$22)*Kalender!E125/SUM(Kalender!$E$5:$E$370),0))*Szenarien!$D$9,0)</f>
        <v>4.94</v>
      </c>
      <c r="E491" s="13" t="n">
        <f aca="false">IFERROR(MIN(C491,Eingaben!$B$17)*Eingaben!$B$16,0)</f>
        <v>2.793</v>
      </c>
      <c r="F491" s="13" t="n">
        <f aca="false">IFERROR(E491*Eingaben!$B$15,0)</f>
        <v>2.5137</v>
      </c>
      <c r="G491" s="13" t="n">
        <f aca="false">IFERROR(IF(Kalender!A125="",0,J490*(1-Eingaben!$B$20)),0)</f>
        <v>0.7390278</v>
      </c>
      <c r="H491" s="13" t="n">
        <f aca="false">MIN(G491,D491)</f>
        <v>0.7390278</v>
      </c>
      <c r="I491" s="13" t="n">
        <f aca="false">IFERROR(MIN(F491*Eingaben!$B$19,MAX(0,D491-H491)),0)</f>
        <v>1.75959</v>
      </c>
      <c r="J491" s="13" t="n">
        <f aca="false">IFERROR(MIN(Eingaben!$B$18,MAX(0,F491-I491)),0)</f>
        <v>0.75411</v>
      </c>
      <c r="K491" s="13" t="n">
        <f aca="false">H491+I491</f>
        <v>2.4986178</v>
      </c>
      <c r="L491" s="13" t="n">
        <f aca="false">MAX(0,D491-K491)</f>
        <v>2.4413822</v>
      </c>
      <c r="M491" s="13" t="n">
        <f aca="false">MAX(0,F491-I491-J491)</f>
        <v>0</v>
      </c>
      <c r="N491" s="13" t="n">
        <f aca="false">IF(Kalender!A125="",0,J490-H491)</f>
        <v>0.0150822</v>
      </c>
    </row>
    <row r="492" customFormat="false" ht="16.4" hidden="false" customHeight="false" outlineLevel="0" collapsed="false">
      <c r="A492" s="13" t="str">
        <f aca="false">""</f>
        <v/>
      </c>
      <c r="B492" s="13" t="n">
        <f aca="false">122</f>
        <v>122</v>
      </c>
      <c r="C492" s="13" t="n">
        <f aca="false">IF(Szenarien!$H$9="OK",(IFERROR(SUMIF(Nutzungsprofile!$B$6:$B$11,"Schulbetrieb",Nutzungsprofile!$G$6:$G$11)*Kalender!C126/SUM(Kalender!$C$5:$C$370),0)+IFERROR(SUMIF(Nutzungsprofile!$B$6:$B$11,"Halle",Nutzungsprofile!$G$6:$G$11)*Kalender!D126/SUM(Kalender!$D$5:$D$370),0)+IFERROR(SUMIF(Nutzungsprofile!$B$6:$B$11,"Individuell",Nutzungsprofile!$G$6:$G$11)*Kalender!E126/SUM(Kalender!$E$5:$E$370),0))*Szenarien!$E$9,0)</f>
        <v>2.04</v>
      </c>
      <c r="D492" s="13" t="n">
        <f aca="false">IF(Szenarien!$H$9="OK",(IFERROR(SUMIF(Nutzungsprofile!$B$17:$B$22,"Schulbetrieb",Nutzungsprofile!$G$17:$G$22)*Kalender!C126/SUM(Kalender!$C$5:$C$370),0)+IFERROR(SUMIF(Nutzungsprofile!$B$17:$B$22,"Halle",Nutzungsprofile!$G$17:$G$22)*Kalender!D126/SUM(Kalender!$D$5:$D$370),0)+IFERROR(SUMIF(Nutzungsprofile!$B$17:$B$22,"Individuell",Nutzungsprofile!$G$17:$G$22)*Kalender!E126/SUM(Kalender!$E$5:$E$370),0))*Szenarien!$D$9,0)</f>
        <v>0.89</v>
      </c>
      <c r="E492" s="13" t="n">
        <f aca="false">IFERROR(MIN(C492,Eingaben!$B$17)*Eingaben!$B$16,0)</f>
        <v>1.938</v>
      </c>
      <c r="F492" s="13" t="n">
        <f aca="false">IFERROR(E492*Eingaben!$B$15,0)</f>
        <v>1.7442</v>
      </c>
      <c r="G492" s="13" t="n">
        <f aca="false">IFERROR(IF(Kalender!A126="",0,J491*(1-Eingaben!$B$20)),0)</f>
        <v>0.7390278</v>
      </c>
      <c r="H492" s="13" t="n">
        <f aca="false">MIN(G492,D492)</f>
        <v>0.7390278</v>
      </c>
      <c r="I492" s="13" t="n">
        <f aca="false">IFERROR(MIN(F492*Eingaben!$B$19,MAX(0,D492-H492)),0)</f>
        <v>0.1509722</v>
      </c>
      <c r="J492" s="13" t="n">
        <f aca="false">IFERROR(MIN(Eingaben!$B$18,MAX(0,F492-I492)),0)</f>
        <v>1.5932278</v>
      </c>
      <c r="K492" s="13" t="n">
        <f aca="false">H492+I492</f>
        <v>0.89</v>
      </c>
      <c r="L492" s="13" t="n">
        <f aca="false">MAX(0,D492-K492)</f>
        <v>0</v>
      </c>
      <c r="M492" s="13" t="n">
        <f aca="false">MAX(0,F492-I492-J492)</f>
        <v>0</v>
      </c>
      <c r="N492" s="13" t="n">
        <f aca="false">IF(Kalender!A126="",0,J491-H492)</f>
        <v>0.0150822</v>
      </c>
    </row>
    <row r="493" customFormat="false" ht="16.4" hidden="false" customHeight="false" outlineLevel="0" collapsed="false">
      <c r="A493" s="13" t="str">
        <f aca="false">""</f>
        <v/>
      </c>
      <c r="B493" s="13" t="n">
        <f aca="false">123</f>
        <v>123</v>
      </c>
      <c r="C493" s="13" t="n">
        <f aca="false">IF(Szenarien!$H$9="OK",(IFERROR(SUMIF(Nutzungsprofile!$B$6:$B$11,"Schulbetrieb",Nutzungsprofile!$G$6:$G$11)*Kalender!C127/SUM(Kalender!$C$5:$C$370),0)+IFERROR(SUMIF(Nutzungsprofile!$B$6:$B$11,"Halle",Nutzungsprofile!$G$6:$G$11)*Kalender!D127/SUM(Kalender!$D$5:$D$370),0)+IFERROR(SUMIF(Nutzungsprofile!$B$6:$B$11,"Individuell",Nutzungsprofile!$G$6:$G$11)*Kalender!E127/SUM(Kalender!$E$5:$E$370),0))*Szenarien!$E$9,0)</f>
        <v>2.04</v>
      </c>
      <c r="D493" s="13" t="n">
        <f aca="false">IF(Szenarien!$H$9="OK",(IFERROR(SUMIF(Nutzungsprofile!$B$17:$B$22,"Schulbetrieb",Nutzungsprofile!$G$17:$G$22)*Kalender!C127/SUM(Kalender!$C$5:$C$370),0)+IFERROR(SUMIF(Nutzungsprofile!$B$17:$B$22,"Halle",Nutzungsprofile!$G$17:$G$22)*Kalender!D127/SUM(Kalender!$D$5:$D$370),0)+IFERROR(SUMIF(Nutzungsprofile!$B$17:$B$22,"Individuell",Nutzungsprofile!$G$17:$G$22)*Kalender!E127/SUM(Kalender!$E$5:$E$370),0))*Szenarien!$D$9,0)</f>
        <v>0.89</v>
      </c>
      <c r="E493" s="13" t="n">
        <f aca="false">IFERROR(MIN(C493,Eingaben!$B$17)*Eingaben!$B$16,0)</f>
        <v>1.938</v>
      </c>
      <c r="F493" s="13" t="n">
        <f aca="false">IFERROR(E493*Eingaben!$B$15,0)</f>
        <v>1.7442</v>
      </c>
      <c r="G493" s="13" t="n">
        <f aca="false">IFERROR(IF(Kalender!A127="",0,J492*(1-Eingaben!$B$20)),0)</f>
        <v>1.561363244</v>
      </c>
      <c r="H493" s="13" t="n">
        <f aca="false">MIN(G493,D493)</f>
        <v>0.89</v>
      </c>
      <c r="I493" s="13" t="n">
        <f aca="false">IFERROR(MIN(F493*Eingaben!$B$19,MAX(0,D493-H493)),0)</f>
        <v>0</v>
      </c>
      <c r="J493" s="13" t="n">
        <f aca="false">IFERROR(MIN(Eingaben!$B$18,MAX(0,F493-I493)),0)</f>
        <v>1.7442</v>
      </c>
      <c r="K493" s="13" t="n">
        <f aca="false">H493+I493</f>
        <v>0.89</v>
      </c>
      <c r="L493" s="13" t="n">
        <f aca="false">MAX(0,D493-K493)</f>
        <v>0</v>
      </c>
      <c r="M493" s="13" t="n">
        <f aca="false">MAX(0,F493-I493-J493)</f>
        <v>0</v>
      </c>
      <c r="N493" s="13" t="n">
        <f aca="false">IF(Kalender!A127="",0,J492-H493)</f>
        <v>0.7032278</v>
      </c>
    </row>
    <row r="494" customFormat="false" ht="16.4" hidden="false" customHeight="false" outlineLevel="0" collapsed="false">
      <c r="A494" s="13" t="str">
        <f aca="false">""</f>
        <v/>
      </c>
      <c r="B494" s="13" t="n">
        <f aca="false">124</f>
        <v>124</v>
      </c>
      <c r="C494" s="13" t="n">
        <f aca="false">IF(Szenarien!$H$9="OK",(IFERROR(SUMIF(Nutzungsprofile!$B$6:$B$11,"Schulbetrieb",Nutzungsprofile!$G$6:$G$11)*Kalender!C128/SUM(Kalender!$C$5:$C$370),0)+IFERROR(SUMIF(Nutzungsprofile!$B$6:$B$11,"Halle",Nutzungsprofile!$G$6:$G$11)*Kalender!D128/SUM(Kalender!$D$5:$D$370),0)+IFERROR(SUMIF(Nutzungsprofile!$B$6:$B$11,"Individuell",Nutzungsprofile!$G$6:$G$11)*Kalender!E128/SUM(Kalender!$E$5:$E$370),0))*Szenarien!$E$9,0)</f>
        <v>2.94</v>
      </c>
      <c r="D494" s="13" t="n">
        <f aca="false">IF(Szenarien!$H$9="OK",(IFERROR(SUMIF(Nutzungsprofile!$B$17:$B$22,"Schulbetrieb",Nutzungsprofile!$G$17:$G$22)*Kalender!C128/SUM(Kalender!$C$5:$C$370),0)+IFERROR(SUMIF(Nutzungsprofile!$B$17:$B$22,"Halle",Nutzungsprofile!$G$17:$G$22)*Kalender!D128/SUM(Kalender!$D$5:$D$370),0)+IFERROR(SUMIF(Nutzungsprofile!$B$17:$B$22,"Individuell",Nutzungsprofile!$G$17:$G$22)*Kalender!E128/SUM(Kalender!$E$5:$E$370),0))*Szenarien!$D$9,0)</f>
        <v>4.94</v>
      </c>
      <c r="E494" s="13" t="n">
        <f aca="false">IFERROR(MIN(C494,Eingaben!$B$17)*Eingaben!$B$16,0)</f>
        <v>2.793</v>
      </c>
      <c r="F494" s="13" t="n">
        <f aca="false">IFERROR(E494*Eingaben!$B$15,0)</f>
        <v>2.5137</v>
      </c>
      <c r="G494" s="13" t="n">
        <f aca="false">IFERROR(IF(Kalender!A128="",0,J493*(1-Eingaben!$B$20)),0)</f>
        <v>1.709316</v>
      </c>
      <c r="H494" s="13" t="n">
        <f aca="false">MIN(G494,D494)</f>
        <v>1.709316</v>
      </c>
      <c r="I494" s="13" t="n">
        <f aca="false">IFERROR(MIN(F494*Eingaben!$B$19,MAX(0,D494-H494)),0)</f>
        <v>1.75959</v>
      </c>
      <c r="J494" s="13" t="n">
        <f aca="false">IFERROR(MIN(Eingaben!$B$18,MAX(0,F494-I494)),0)</f>
        <v>0.75411</v>
      </c>
      <c r="K494" s="13" t="n">
        <f aca="false">H494+I494</f>
        <v>3.468906</v>
      </c>
      <c r="L494" s="13" t="n">
        <f aca="false">MAX(0,D494-K494)</f>
        <v>1.471094</v>
      </c>
      <c r="M494" s="13" t="n">
        <f aca="false">MAX(0,F494-I494-J494)</f>
        <v>0</v>
      </c>
      <c r="N494" s="13" t="n">
        <f aca="false">IF(Kalender!A128="",0,J493-H494)</f>
        <v>0.0348840000000001</v>
      </c>
    </row>
    <row r="495" customFormat="false" ht="16.4" hidden="false" customHeight="false" outlineLevel="0" collapsed="false">
      <c r="A495" s="13" t="str">
        <f aca="false">""</f>
        <v/>
      </c>
      <c r="B495" s="13" t="n">
        <f aca="false">125</f>
        <v>125</v>
      </c>
      <c r="C495" s="13" t="n">
        <f aca="false">IF(Szenarien!$H$9="OK",(IFERROR(SUMIF(Nutzungsprofile!$B$6:$B$11,"Schulbetrieb",Nutzungsprofile!$G$6:$G$11)*Kalender!C129/SUM(Kalender!$C$5:$C$370),0)+IFERROR(SUMIF(Nutzungsprofile!$B$6:$B$11,"Halle",Nutzungsprofile!$G$6:$G$11)*Kalender!D129/SUM(Kalender!$D$5:$D$370),0)+IFERROR(SUMIF(Nutzungsprofile!$B$6:$B$11,"Individuell",Nutzungsprofile!$G$6:$G$11)*Kalender!E129/SUM(Kalender!$E$5:$E$370),0))*Szenarien!$E$9,0)</f>
        <v>2.94</v>
      </c>
      <c r="D495" s="13" t="n">
        <f aca="false">IF(Szenarien!$H$9="OK",(IFERROR(SUMIF(Nutzungsprofile!$B$17:$B$22,"Schulbetrieb",Nutzungsprofile!$G$17:$G$22)*Kalender!C129/SUM(Kalender!$C$5:$C$370),0)+IFERROR(SUMIF(Nutzungsprofile!$B$17:$B$22,"Halle",Nutzungsprofile!$G$17:$G$22)*Kalender!D129/SUM(Kalender!$D$5:$D$370),0)+IFERROR(SUMIF(Nutzungsprofile!$B$17:$B$22,"Individuell",Nutzungsprofile!$G$17:$G$22)*Kalender!E129/SUM(Kalender!$E$5:$E$370),0))*Szenarien!$D$9,0)</f>
        <v>4.94</v>
      </c>
      <c r="E495" s="13" t="n">
        <f aca="false">IFERROR(MIN(C495,Eingaben!$B$17)*Eingaben!$B$16,0)</f>
        <v>2.793</v>
      </c>
      <c r="F495" s="13" t="n">
        <f aca="false">IFERROR(E495*Eingaben!$B$15,0)</f>
        <v>2.5137</v>
      </c>
      <c r="G495" s="13" t="n">
        <f aca="false">IFERROR(IF(Kalender!A129="",0,J494*(1-Eingaben!$B$20)),0)</f>
        <v>0.7390278</v>
      </c>
      <c r="H495" s="13" t="n">
        <f aca="false">MIN(G495,D495)</f>
        <v>0.7390278</v>
      </c>
      <c r="I495" s="13" t="n">
        <f aca="false">IFERROR(MIN(F495*Eingaben!$B$19,MAX(0,D495-H495)),0)</f>
        <v>1.75959</v>
      </c>
      <c r="J495" s="13" t="n">
        <f aca="false">IFERROR(MIN(Eingaben!$B$18,MAX(0,F495-I495)),0)</f>
        <v>0.75411</v>
      </c>
      <c r="K495" s="13" t="n">
        <f aca="false">H495+I495</f>
        <v>2.4986178</v>
      </c>
      <c r="L495" s="13" t="n">
        <f aca="false">MAX(0,D495-K495)</f>
        <v>2.4413822</v>
      </c>
      <c r="M495" s="13" t="n">
        <f aca="false">MAX(0,F495-I495-J495)</f>
        <v>0</v>
      </c>
      <c r="N495" s="13" t="n">
        <f aca="false">IF(Kalender!A129="",0,J494-H495)</f>
        <v>0.0150822</v>
      </c>
    </row>
    <row r="496" customFormat="false" ht="16.4" hidden="false" customHeight="false" outlineLevel="0" collapsed="false">
      <c r="A496" s="13" t="str">
        <f aca="false">""</f>
        <v/>
      </c>
      <c r="B496" s="13" t="n">
        <f aca="false">126</f>
        <v>126</v>
      </c>
      <c r="C496" s="13" t="n">
        <f aca="false">IF(Szenarien!$H$9="OK",(IFERROR(SUMIF(Nutzungsprofile!$B$6:$B$11,"Schulbetrieb",Nutzungsprofile!$G$6:$G$11)*Kalender!C130/SUM(Kalender!$C$5:$C$370),0)+IFERROR(SUMIF(Nutzungsprofile!$B$6:$B$11,"Halle",Nutzungsprofile!$G$6:$G$11)*Kalender!D130/SUM(Kalender!$D$5:$D$370),0)+IFERROR(SUMIF(Nutzungsprofile!$B$6:$B$11,"Individuell",Nutzungsprofile!$G$6:$G$11)*Kalender!E130/SUM(Kalender!$E$5:$E$370),0))*Szenarien!$E$9,0)</f>
        <v>2.94</v>
      </c>
      <c r="D496" s="13" t="n">
        <f aca="false">IF(Szenarien!$H$9="OK",(IFERROR(SUMIF(Nutzungsprofile!$B$17:$B$22,"Schulbetrieb",Nutzungsprofile!$G$17:$G$22)*Kalender!C130/SUM(Kalender!$C$5:$C$370),0)+IFERROR(SUMIF(Nutzungsprofile!$B$17:$B$22,"Halle",Nutzungsprofile!$G$17:$G$22)*Kalender!D130/SUM(Kalender!$D$5:$D$370),0)+IFERROR(SUMIF(Nutzungsprofile!$B$17:$B$22,"Individuell",Nutzungsprofile!$G$17:$G$22)*Kalender!E130/SUM(Kalender!$E$5:$E$370),0))*Szenarien!$D$9,0)</f>
        <v>4.94</v>
      </c>
      <c r="E496" s="13" t="n">
        <f aca="false">IFERROR(MIN(C496,Eingaben!$B$17)*Eingaben!$B$16,0)</f>
        <v>2.793</v>
      </c>
      <c r="F496" s="13" t="n">
        <f aca="false">IFERROR(E496*Eingaben!$B$15,0)</f>
        <v>2.5137</v>
      </c>
      <c r="G496" s="13" t="n">
        <f aca="false">IFERROR(IF(Kalender!A130="",0,J495*(1-Eingaben!$B$20)),0)</f>
        <v>0.7390278</v>
      </c>
      <c r="H496" s="13" t="n">
        <f aca="false">MIN(G496,D496)</f>
        <v>0.7390278</v>
      </c>
      <c r="I496" s="13" t="n">
        <f aca="false">IFERROR(MIN(F496*Eingaben!$B$19,MAX(0,D496-H496)),0)</f>
        <v>1.75959</v>
      </c>
      <c r="J496" s="13" t="n">
        <f aca="false">IFERROR(MIN(Eingaben!$B$18,MAX(0,F496-I496)),0)</f>
        <v>0.75411</v>
      </c>
      <c r="K496" s="13" t="n">
        <f aca="false">H496+I496</f>
        <v>2.4986178</v>
      </c>
      <c r="L496" s="13" t="n">
        <f aca="false">MAX(0,D496-K496)</f>
        <v>2.4413822</v>
      </c>
      <c r="M496" s="13" t="n">
        <f aca="false">MAX(0,F496-I496-J496)</f>
        <v>0</v>
      </c>
      <c r="N496" s="13" t="n">
        <f aca="false">IF(Kalender!A130="",0,J495-H496)</f>
        <v>0.0150822</v>
      </c>
    </row>
    <row r="497" customFormat="false" ht="16.4" hidden="false" customHeight="false" outlineLevel="0" collapsed="false">
      <c r="A497" s="13" t="str">
        <f aca="false">""</f>
        <v/>
      </c>
      <c r="B497" s="13" t="n">
        <f aca="false">127</f>
        <v>127</v>
      </c>
      <c r="C497" s="13" t="n">
        <f aca="false">IF(Szenarien!$H$9="OK",(IFERROR(SUMIF(Nutzungsprofile!$B$6:$B$11,"Schulbetrieb",Nutzungsprofile!$G$6:$G$11)*Kalender!C131/SUM(Kalender!$C$5:$C$370),0)+IFERROR(SUMIF(Nutzungsprofile!$B$6:$B$11,"Halle",Nutzungsprofile!$G$6:$G$11)*Kalender!D131/SUM(Kalender!$D$5:$D$370),0)+IFERROR(SUMIF(Nutzungsprofile!$B$6:$B$11,"Individuell",Nutzungsprofile!$G$6:$G$11)*Kalender!E131/SUM(Kalender!$E$5:$E$370),0))*Szenarien!$E$9,0)</f>
        <v>2.94</v>
      </c>
      <c r="D497" s="13" t="n">
        <f aca="false">IF(Szenarien!$H$9="OK",(IFERROR(SUMIF(Nutzungsprofile!$B$17:$B$22,"Schulbetrieb",Nutzungsprofile!$G$17:$G$22)*Kalender!C131/SUM(Kalender!$C$5:$C$370),0)+IFERROR(SUMIF(Nutzungsprofile!$B$17:$B$22,"Halle",Nutzungsprofile!$G$17:$G$22)*Kalender!D131/SUM(Kalender!$D$5:$D$370),0)+IFERROR(SUMIF(Nutzungsprofile!$B$17:$B$22,"Individuell",Nutzungsprofile!$G$17:$G$22)*Kalender!E131/SUM(Kalender!$E$5:$E$370),0))*Szenarien!$D$9,0)</f>
        <v>4.94</v>
      </c>
      <c r="E497" s="13" t="n">
        <f aca="false">IFERROR(MIN(C497,Eingaben!$B$17)*Eingaben!$B$16,0)</f>
        <v>2.793</v>
      </c>
      <c r="F497" s="13" t="n">
        <f aca="false">IFERROR(E497*Eingaben!$B$15,0)</f>
        <v>2.5137</v>
      </c>
      <c r="G497" s="13" t="n">
        <f aca="false">IFERROR(IF(Kalender!A131="",0,J496*(1-Eingaben!$B$20)),0)</f>
        <v>0.7390278</v>
      </c>
      <c r="H497" s="13" t="n">
        <f aca="false">MIN(G497,D497)</f>
        <v>0.7390278</v>
      </c>
      <c r="I497" s="13" t="n">
        <f aca="false">IFERROR(MIN(F497*Eingaben!$B$19,MAX(0,D497-H497)),0)</f>
        <v>1.75959</v>
      </c>
      <c r="J497" s="13" t="n">
        <f aca="false">IFERROR(MIN(Eingaben!$B$18,MAX(0,F497-I497)),0)</f>
        <v>0.75411</v>
      </c>
      <c r="K497" s="13" t="n">
        <f aca="false">H497+I497</f>
        <v>2.4986178</v>
      </c>
      <c r="L497" s="13" t="n">
        <f aca="false">MAX(0,D497-K497)</f>
        <v>2.4413822</v>
      </c>
      <c r="M497" s="13" t="n">
        <f aca="false">MAX(0,F497-I497-J497)</f>
        <v>0</v>
      </c>
      <c r="N497" s="13" t="n">
        <f aca="false">IF(Kalender!A131="",0,J496-H497)</f>
        <v>0.0150822</v>
      </c>
    </row>
    <row r="498" customFormat="false" ht="16.4" hidden="false" customHeight="false" outlineLevel="0" collapsed="false">
      <c r="A498" s="13" t="str">
        <f aca="false">""</f>
        <v/>
      </c>
      <c r="B498" s="13" t="n">
        <f aca="false">128</f>
        <v>128</v>
      </c>
      <c r="C498" s="13" t="n">
        <f aca="false">IF(Szenarien!$H$9="OK",(IFERROR(SUMIF(Nutzungsprofile!$B$6:$B$11,"Schulbetrieb",Nutzungsprofile!$G$6:$G$11)*Kalender!C132/SUM(Kalender!$C$5:$C$370),0)+IFERROR(SUMIF(Nutzungsprofile!$B$6:$B$11,"Halle",Nutzungsprofile!$G$6:$G$11)*Kalender!D132/SUM(Kalender!$D$5:$D$370),0)+IFERROR(SUMIF(Nutzungsprofile!$B$6:$B$11,"Individuell",Nutzungsprofile!$G$6:$G$11)*Kalender!E132/SUM(Kalender!$E$5:$E$370),0))*Szenarien!$E$9,0)</f>
        <v>2.94</v>
      </c>
      <c r="D498" s="13" t="n">
        <f aca="false">IF(Szenarien!$H$9="OK",(IFERROR(SUMIF(Nutzungsprofile!$B$17:$B$22,"Schulbetrieb",Nutzungsprofile!$G$17:$G$22)*Kalender!C132/SUM(Kalender!$C$5:$C$370),0)+IFERROR(SUMIF(Nutzungsprofile!$B$17:$B$22,"Halle",Nutzungsprofile!$G$17:$G$22)*Kalender!D132/SUM(Kalender!$D$5:$D$370),0)+IFERROR(SUMIF(Nutzungsprofile!$B$17:$B$22,"Individuell",Nutzungsprofile!$G$17:$G$22)*Kalender!E132/SUM(Kalender!$E$5:$E$370),0))*Szenarien!$D$9,0)</f>
        <v>4.94</v>
      </c>
      <c r="E498" s="13" t="n">
        <f aca="false">IFERROR(MIN(C498,Eingaben!$B$17)*Eingaben!$B$16,0)</f>
        <v>2.793</v>
      </c>
      <c r="F498" s="13" t="n">
        <f aca="false">IFERROR(E498*Eingaben!$B$15,0)</f>
        <v>2.5137</v>
      </c>
      <c r="G498" s="13" t="n">
        <f aca="false">IFERROR(IF(Kalender!A132="",0,J497*(1-Eingaben!$B$20)),0)</f>
        <v>0.7390278</v>
      </c>
      <c r="H498" s="13" t="n">
        <f aca="false">MIN(G498,D498)</f>
        <v>0.7390278</v>
      </c>
      <c r="I498" s="13" t="n">
        <f aca="false">IFERROR(MIN(F498*Eingaben!$B$19,MAX(0,D498-H498)),0)</f>
        <v>1.75959</v>
      </c>
      <c r="J498" s="13" t="n">
        <f aca="false">IFERROR(MIN(Eingaben!$B$18,MAX(0,F498-I498)),0)</f>
        <v>0.75411</v>
      </c>
      <c r="K498" s="13" t="n">
        <f aca="false">H498+I498</f>
        <v>2.4986178</v>
      </c>
      <c r="L498" s="13" t="n">
        <f aca="false">MAX(0,D498-K498)</f>
        <v>2.4413822</v>
      </c>
      <c r="M498" s="13" t="n">
        <f aca="false">MAX(0,F498-I498-J498)</f>
        <v>0</v>
      </c>
      <c r="N498" s="13" t="n">
        <f aca="false">IF(Kalender!A132="",0,J497-H498)</f>
        <v>0.0150822</v>
      </c>
    </row>
    <row r="499" customFormat="false" ht="16.4" hidden="false" customHeight="false" outlineLevel="0" collapsed="false">
      <c r="A499" s="13" t="str">
        <f aca="false">""</f>
        <v/>
      </c>
      <c r="B499" s="13" t="n">
        <f aca="false">129</f>
        <v>129</v>
      </c>
      <c r="C499" s="13" t="n">
        <f aca="false">IF(Szenarien!$H$9="OK",(IFERROR(SUMIF(Nutzungsprofile!$B$6:$B$11,"Schulbetrieb",Nutzungsprofile!$G$6:$G$11)*Kalender!C133/SUM(Kalender!$C$5:$C$370),0)+IFERROR(SUMIF(Nutzungsprofile!$B$6:$B$11,"Halle",Nutzungsprofile!$G$6:$G$11)*Kalender!D133/SUM(Kalender!$D$5:$D$370),0)+IFERROR(SUMIF(Nutzungsprofile!$B$6:$B$11,"Individuell",Nutzungsprofile!$G$6:$G$11)*Kalender!E133/SUM(Kalender!$E$5:$E$370),0))*Szenarien!$E$9,0)</f>
        <v>2.04</v>
      </c>
      <c r="D499" s="13" t="n">
        <f aca="false">IF(Szenarien!$H$9="OK",(IFERROR(SUMIF(Nutzungsprofile!$B$17:$B$22,"Schulbetrieb",Nutzungsprofile!$G$17:$G$22)*Kalender!C133/SUM(Kalender!$C$5:$C$370),0)+IFERROR(SUMIF(Nutzungsprofile!$B$17:$B$22,"Halle",Nutzungsprofile!$G$17:$G$22)*Kalender!D133/SUM(Kalender!$D$5:$D$370),0)+IFERROR(SUMIF(Nutzungsprofile!$B$17:$B$22,"Individuell",Nutzungsprofile!$G$17:$G$22)*Kalender!E133/SUM(Kalender!$E$5:$E$370),0))*Szenarien!$D$9,0)</f>
        <v>0.89</v>
      </c>
      <c r="E499" s="13" t="n">
        <f aca="false">IFERROR(MIN(C499,Eingaben!$B$17)*Eingaben!$B$16,0)</f>
        <v>1.938</v>
      </c>
      <c r="F499" s="13" t="n">
        <f aca="false">IFERROR(E499*Eingaben!$B$15,0)</f>
        <v>1.7442</v>
      </c>
      <c r="G499" s="13" t="n">
        <f aca="false">IFERROR(IF(Kalender!A133="",0,J498*(1-Eingaben!$B$20)),0)</f>
        <v>0.7390278</v>
      </c>
      <c r="H499" s="13" t="n">
        <f aca="false">MIN(G499,D499)</f>
        <v>0.7390278</v>
      </c>
      <c r="I499" s="13" t="n">
        <f aca="false">IFERROR(MIN(F499*Eingaben!$B$19,MAX(0,D499-H499)),0)</f>
        <v>0.1509722</v>
      </c>
      <c r="J499" s="13" t="n">
        <f aca="false">IFERROR(MIN(Eingaben!$B$18,MAX(0,F499-I499)),0)</f>
        <v>1.5932278</v>
      </c>
      <c r="K499" s="13" t="n">
        <f aca="false">H499+I499</f>
        <v>0.89</v>
      </c>
      <c r="L499" s="13" t="n">
        <f aca="false">MAX(0,D499-K499)</f>
        <v>0</v>
      </c>
      <c r="M499" s="13" t="n">
        <f aca="false">MAX(0,F499-I499-J499)</f>
        <v>0</v>
      </c>
      <c r="N499" s="13" t="n">
        <f aca="false">IF(Kalender!A133="",0,J498-H499)</f>
        <v>0.0150822</v>
      </c>
    </row>
    <row r="500" customFormat="false" ht="16.4" hidden="false" customHeight="false" outlineLevel="0" collapsed="false">
      <c r="A500" s="13" t="str">
        <f aca="false">""</f>
        <v/>
      </c>
      <c r="B500" s="13" t="n">
        <f aca="false">130</f>
        <v>130</v>
      </c>
      <c r="C500" s="13" t="n">
        <f aca="false">IF(Szenarien!$H$9="OK",(IFERROR(SUMIF(Nutzungsprofile!$B$6:$B$11,"Schulbetrieb",Nutzungsprofile!$G$6:$G$11)*Kalender!C134/SUM(Kalender!$C$5:$C$370),0)+IFERROR(SUMIF(Nutzungsprofile!$B$6:$B$11,"Halle",Nutzungsprofile!$G$6:$G$11)*Kalender!D134/SUM(Kalender!$D$5:$D$370),0)+IFERROR(SUMIF(Nutzungsprofile!$B$6:$B$11,"Individuell",Nutzungsprofile!$G$6:$G$11)*Kalender!E134/SUM(Kalender!$E$5:$E$370),0))*Szenarien!$E$9,0)</f>
        <v>2.04</v>
      </c>
      <c r="D500" s="13" t="n">
        <f aca="false">IF(Szenarien!$H$9="OK",(IFERROR(SUMIF(Nutzungsprofile!$B$17:$B$22,"Schulbetrieb",Nutzungsprofile!$G$17:$G$22)*Kalender!C134/SUM(Kalender!$C$5:$C$370),0)+IFERROR(SUMIF(Nutzungsprofile!$B$17:$B$22,"Halle",Nutzungsprofile!$G$17:$G$22)*Kalender!D134/SUM(Kalender!$D$5:$D$370),0)+IFERROR(SUMIF(Nutzungsprofile!$B$17:$B$22,"Individuell",Nutzungsprofile!$G$17:$G$22)*Kalender!E134/SUM(Kalender!$E$5:$E$370),0))*Szenarien!$D$9,0)</f>
        <v>0.89</v>
      </c>
      <c r="E500" s="13" t="n">
        <f aca="false">IFERROR(MIN(C500,Eingaben!$B$17)*Eingaben!$B$16,0)</f>
        <v>1.938</v>
      </c>
      <c r="F500" s="13" t="n">
        <f aca="false">IFERROR(E500*Eingaben!$B$15,0)</f>
        <v>1.7442</v>
      </c>
      <c r="G500" s="13" t="n">
        <f aca="false">IFERROR(IF(Kalender!A134="",0,J499*(1-Eingaben!$B$20)),0)</f>
        <v>1.561363244</v>
      </c>
      <c r="H500" s="13" t="n">
        <f aca="false">MIN(G500,D500)</f>
        <v>0.89</v>
      </c>
      <c r="I500" s="13" t="n">
        <f aca="false">IFERROR(MIN(F500*Eingaben!$B$19,MAX(0,D500-H500)),0)</f>
        <v>0</v>
      </c>
      <c r="J500" s="13" t="n">
        <f aca="false">IFERROR(MIN(Eingaben!$B$18,MAX(0,F500-I500)),0)</f>
        <v>1.7442</v>
      </c>
      <c r="K500" s="13" t="n">
        <f aca="false">H500+I500</f>
        <v>0.89</v>
      </c>
      <c r="L500" s="13" t="n">
        <f aca="false">MAX(0,D500-K500)</f>
        <v>0</v>
      </c>
      <c r="M500" s="13" t="n">
        <f aca="false">MAX(0,F500-I500-J500)</f>
        <v>0</v>
      </c>
      <c r="N500" s="13" t="n">
        <f aca="false">IF(Kalender!A134="",0,J499-H500)</f>
        <v>0.7032278</v>
      </c>
    </row>
    <row r="501" customFormat="false" ht="16.4" hidden="false" customHeight="false" outlineLevel="0" collapsed="false">
      <c r="A501" s="13" t="str">
        <f aca="false">""</f>
        <v/>
      </c>
      <c r="B501" s="13" t="n">
        <f aca="false">131</f>
        <v>131</v>
      </c>
      <c r="C501" s="13" t="n">
        <f aca="false">IF(Szenarien!$H$9="OK",(IFERROR(SUMIF(Nutzungsprofile!$B$6:$B$11,"Schulbetrieb",Nutzungsprofile!$G$6:$G$11)*Kalender!C135/SUM(Kalender!$C$5:$C$370),0)+IFERROR(SUMIF(Nutzungsprofile!$B$6:$B$11,"Halle",Nutzungsprofile!$G$6:$G$11)*Kalender!D135/SUM(Kalender!$D$5:$D$370),0)+IFERROR(SUMIF(Nutzungsprofile!$B$6:$B$11,"Individuell",Nutzungsprofile!$G$6:$G$11)*Kalender!E135/SUM(Kalender!$E$5:$E$370),0))*Szenarien!$E$9,0)</f>
        <v>2.94</v>
      </c>
      <c r="D501" s="13" t="n">
        <f aca="false">IF(Szenarien!$H$9="OK",(IFERROR(SUMIF(Nutzungsprofile!$B$17:$B$22,"Schulbetrieb",Nutzungsprofile!$G$17:$G$22)*Kalender!C135/SUM(Kalender!$C$5:$C$370),0)+IFERROR(SUMIF(Nutzungsprofile!$B$17:$B$22,"Halle",Nutzungsprofile!$G$17:$G$22)*Kalender!D135/SUM(Kalender!$D$5:$D$370),0)+IFERROR(SUMIF(Nutzungsprofile!$B$17:$B$22,"Individuell",Nutzungsprofile!$G$17:$G$22)*Kalender!E135/SUM(Kalender!$E$5:$E$370),0))*Szenarien!$D$9,0)</f>
        <v>4.94</v>
      </c>
      <c r="E501" s="13" t="n">
        <f aca="false">IFERROR(MIN(C501,Eingaben!$B$17)*Eingaben!$B$16,0)</f>
        <v>2.793</v>
      </c>
      <c r="F501" s="13" t="n">
        <f aca="false">IFERROR(E501*Eingaben!$B$15,0)</f>
        <v>2.5137</v>
      </c>
      <c r="G501" s="13" t="n">
        <f aca="false">IFERROR(IF(Kalender!A135="",0,J500*(1-Eingaben!$B$20)),0)</f>
        <v>1.709316</v>
      </c>
      <c r="H501" s="13" t="n">
        <f aca="false">MIN(G501,D501)</f>
        <v>1.709316</v>
      </c>
      <c r="I501" s="13" t="n">
        <f aca="false">IFERROR(MIN(F501*Eingaben!$B$19,MAX(0,D501-H501)),0)</f>
        <v>1.75959</v>
      </c>
      <c r="J501" s="13" t="n">
        <f aca="false">IFERROR(MIN(Eingaben!$B$18,MAX(0,F501-I501)),0)</f>
        <v>0.75411</v>
      </c>
      <c r="K501" s="13" t="n">
        <f aca="false">H501+I501</f>
        <v>3.468906</v>
      </c>
      <c r="L501" s="13" t="n">
        <f aca="false">MAX(0,D501-K501)</f>
        <v>1.471094</v>
      </c>
      <c r="M501" s="13" t="n">
        <f aca="false">MAX(0,F501-I501-J501)</f>
        <v>0</v>
      </c>
      <c r="N501" s="13" t="n">
        <f aca="false">IF(Kalender!A135="",0,J500-H501)</f>
        <v>0.0348840000000001</v>
      </c>
    </row>
    <row r="502" customFormat="false" ht="16.4" hidden="false" customHeight="false" outlineLevel="0" collapsed="false">
      <c r="A502" s="13" t="str">
        <f aca="false">""</f>
        <v/>
      </c>
      <c r="B502" s="13" t="n">
        <f aca="false">132</f>
        <v>132</v>
      </c>
      <c r="C502" s="13" t="n">
        <f aca="false">IF(Szenarien!$H$9="OK",(IFERROR(SUMIF(Nutzungsprofile!$B$6:$B$11,"Schulbetrieb",Nutzungsprofile!$G$6:$G$11)*Kalender!C136/SUM(Kalender!$C$5:$C$370),0)+IFERROR(SUMIF(Nutzungsprofile!$B$6:$B$11,"Halle",Nutzungsprofile!$G$6:$G$11)*Kalender!D136/SUM(Kalender!$D$5:$D$370),0)+IFERROR(SUMIF(Nutzungsprofile!$B$6:$B$11,"Individuell",Nutzungsprofile!$G$6:$G$11)*Kalender!E136/SUM(Kalender!$E$5:$E$370),0))*Szenarien!$E$9,0)</f>
        <v>2.94</v>
      </c>
      <c r="D502" s="13" t="n">
        <f aca="false">IF(Szenarien!$H$9="OK",(IFERROR(SUMIF(Nutzungsprofile!$B$17:$B$22,"Schulbetrieb",Nutzungsprofile!$G$17:$G$22)*Kalender!C136/SUM(Kalender!$C$5:$C$370),0)+IFERROR(SUMIF(Nutzungsprofile!$B$17:$B$22,"Halle",Nutzungsprofile!$G$17:$G$22)*Kalender!D136/SUM(Kalender!$D$5:$D$370),0)+IFERROR(SUMIF(Nutzungsprofile!$B$17:$B$22,"Individuell",Nutzungsprofile!$G$17:$G$22)*Kalender!E136/SUM(Kalender!$E$5:$E$370),0))*Szenarien!$D$9,0)</f>
        <v>4.94</v>
      </c>
      <c r="E502" s="13" t="n">
        <f aca="false">IFERROR(MIN(C502,Eingaben!$B$17)*Eingaben!$B$16,0)</f>
        <v>2.793</v>
      </c>
      <c r="F502" s="13" t="n">
        <f aca="false">IFERROR(E502*Eingaben!$B$15,0)</f>
        <v>2.5137</v>
      </c>
      <c r="G502" s="13" t="n">
        <f aca="false">IFERROR(IF(Kalender!A136="",0,J501*(1-Eingaben!$B$20)),0)</f>
        <v>0.7390278</v>
      </c>
      <c r="H502" s="13" t="n">
        <f aca="false">MIN(G502,D502)</f>
        <v>0.7390278</v>
      </c>
      <c r="I502" s="13" t="n">
        <f aca="false">IFERROR(MIN(F502*Eingaben!$B$19,MAX(0,D502-H502)),0)</f>
        <v>1.75959</v>
      </c>
      <c r="J502" s="13" t="n">
        <f aca="false">IFERROR(MIN(Eingaben!$B$18,MAX(0,F502-I502)),0)</f>
        <v>0.75411</v>
      </c>
      <c r="K502" s="13" t="n">
        <f aca="false">H502+I502</f>
        <v>2.4986178</v>
      </c>
      <c r="L502" s="13" t="n">
        <f aca="false">MAX(0,D502-K502)</f>
        <v>2.4413822</v>
      </c>
      <c r="M502" s="13" t="n">
        <f aca="false">MAX(0,F502-I502-J502)</f>
        <v>0</v>
      </c>
      <c r="N502" s="13" t="n">
        <f aca="false">IF(Kalender!A136="",0,J501-H502)</f>
        <v>0.0150822</v>
      </c>
    </row>
    <row r="503" customFormat="false" ht="16.4" hidden="false" customHeight="false" outlineLevel="0" collapsed="false">
      <c r="A503" s="13" t="str">
        <f aca="false">""</f>
        <v/>
      </c>
      <c r="B503" s="13" t="n">
        <f aca="false">133</f>
        <v>133</v>
      </c>
      <c r="C503" s="13" t="n">
        <f aca="false">IF(Szenarien!$H$9="OK",(IFERROR(SUMIF(Nutzungsprofile!$B$6:$B$11,"Schulbetrieb",Nutzungsprofile!$G$6:$G$11)*Kalender!C137/SUM(Kalender!$C$5:$C$370),0)+IFERROR(SUMIF(Nutzungsprofile!$B$6:$B$11,"Halle",Nutzungsprofile!$G$6:$G$11)*Kalender!D137/SUM(Kalender!$D$5:$D$370),0)+IFERROR(SUMIF(Nutzungsprofile!$B$6:$B$11,"Individuell",Nutzungsprofile!$G$6:$G$11)*Kalender!E137/SUM(Kalender!$E$5:$E$370),0))*Szenarien!$E$9,0)</f>
        <v>2.94</v>
      </c>
      <c r="D503" s="13" t="n">
        <f aca="false">IF(Szenarien!$H$9="OK",(IFERROR(SUMIF(Nutzungsprofile!$B$17:$B$22,"Schulbetrieb",Nutzungsprofile!$G$17:$G$22)*Kalender!C137/SUM(Kalender!$C$5:$C$370),0)+IFERROR(SUMIF(Nutzungsprofile!$B$17:$B$22,"Halle",Nutzungsprofile!$G$17:$G$22)*Kalender!D137/SUM(Kalender!$D$5:$D$370),0)+IFERROR(SUMIF(Nutzungsprofile!$B$17:$B$22,"Individuell",Nutzungsprofile!$G$17:$G$22)*Kalender!E137/SUM(Kalender!$E$5:$E$370),0))*Szenarien!$D$9,0)</f>
        <v>4.94</v>
      </c>
      <c r="E503" s="13" t="n">
        <f aca="false">IFERROR(MIN(C503,Eingaben!$B$17)*Eingaben!$B$16,0)</f>
        <v>2.793</v>
      </c>
      <c r="F503" s="13" t="n">
        <f aca="false">IFERROR(E503*Eingaben!$B$15,0)</f>
        <v>2.5137</v>
      </c>
      <c r="G503" s="13" t="n">
        <f aca="false">IFERROR(IF(Kalender!A137="",0,J502*(1-Eingaben!$B$20)),0)</f>
        <v>0.7390278</v>
      </c>
      <c r="H503" s="13" t="n">
        <f aca="false">MIN(G503,D503)</f>
        <v>0.7390278</v>
      </c>
      <c r="I503" s="13" t="n">
        <f aca="false">IFERROR(MIN(F503*Eingaben!$B$19,MAX(0,D503-H503)),0)</f>
        <v>1.75959</v>
      </c>
      <c r="J503" s="13" t="n">
        <f aca="false">IFERROR(MIN(Eingaben!$B$18,MAX(0,F503-I503)),0)</f>
        <v>0.75411</v>
      </c>
      <c r="K503" s="13" t="n">
        <f aca="false">H503+I503</f>
        <v>2.4986178</v>
      </c>
      <c r="L503" s="13" t="n">
        <f aca="false">MAX(0,D503-K503)</f>
        <v>2.4413822</v>
      </c>
      <c r="M503" s="13" t="n">
        <f aca="false">MAX(0,F503-I503-J503)</f>
        <v>0</v>
      </c>
      <c r="N503" s="13" t="n">
        <f aca="false">IF(Kalender!A137="",0,J502-H503)</f>
        <v>0.0150822</v>
      </c>
    </row>
    <row r="504" customFormat="false" ht="16.4" hidden="false" customHeight="false" outlineLevel="0" collapsed="false">
      <c r="A504" s="13" t="str">
        <f aca="false">""</f>
        <v/>
      </c>
      <c r="B504" s="13" t="n">
        <f aca="false">134</f>
        <v>134</v>
      </c>
      <c r="C504" s="13" t="n">
        <f aca="false">IF(Szenarien!$H$9="OK",(IFERROR(SUMIF(Nutzungsprofile!$B$6:$B$11,"Schulbetrieb",Nutzungsprofile!$G$6:$G$11)*Kalender!C138/SUM(Kalender!$C$5:$C$370),0)+IFERROR(SUMIF(Nutzungsprofile!$B$6:$B$11,"Halle",Nutzungsprofile!$G$6:$G$11)*Kalender!D138/SUM(Kalender!$D$5:$D$370),0)+IFERROR(SUMIF(Nutzungsprofile!$B$6:$B$11,"Individuell",Nutzungsprofile!$G$6:$G$11)*Kalender!E138/SUM(Kalender!$E$5:$E$370),0))*Szenarien!$E$9,0)</f>
        <v>2.94</v>
      </c>
      <c r="D504" s="13" t="n">
        <f aca="false">IF(Szenarien!$H$9="OK",(IFERROR(SUMIF(Nutzungsprofile!$B$17:$B$22,"Schulbetrieb",Nutzungsprofile!$G$17:$G$22)*Kalender!C138/SUM(Kalender!$C$5:$C$370),0)+IFERROR(SUMIF(Nutzungsprofile!$B$17:$B$22,"Halle",Nutzungsprofile!$G$17:$G$22)*Kalender!D138/SUM(Kalender!$D$5:$D$370),0)+IFERROR(SUMIF(Nutzungsprofile!$B$17:$B$22,"Individuell",Nutzungsprofile!$G$17:$G$22)*Kalender!E138/SUM(Kalender!$E$5:$E$370),0))*Szenarien!$D$9,0)</f>
        <v>4.94</v>
      </c>
      <c r="E504" s="13" t="n">
        <f aca="false">IFERROR(MIN(C504,Eingaben!$B$17)*Eingaben!$B$16,0)</f>
        <v>2.793</v>
      </c>
      <c r="F504" s="13" t="n">
        <f aca="false">IFERROR(E504*Eingaben!$B$15,0)</f>
        <v>2.5137</v>
      </c>
      <c r="G504" s="13" t="n">
        <f aca="false">IFERROR(IF(Kalender!A138="",0,J503*(1-Eingaben!$B$20)),0)</f>
        <v>0.7390278</v>
      </c>
      <c r="H504" s="13" t="n">
        <f aca="false">MIN(G504,D504)</f>
        <v>0.7390278</v>
      </c>
      <c r="I504" s="13" t="n">
        <f aca="false">IFERROR(MIN(F504*Eingaben!$B$19,MAX(0,D504-H504)),0)</f>
        <v>1.75959</v>
      </c>
      <c r="J504" s="13" t="n">
        <f aca="false">IFERROR(MIN(Eingaben!$B$18,MAX(0,F504-I504)),0)</f>
        <v>0.75411</v>
      </c>
      <c r="K504" s="13" t="n">
        <f aca="false">H504+I504</f>
        <v>2.4986178</v>
      </c>
      <c r="L504" s="13" t="n">
        <f aca="false">MAX(0,D504-K504)</f>
        <v>2.4413822</v>
      </c>
      <c r="M504" s="13" t="n">
        <f aca="false">MAX(0,F504-I504-J504)</f>
        <v>0</v>
      </c>
      <c r="N504" s="13" t="n">
        <f aca="false">IF(Kalender!A138="",0,J503-H504)</f>
        <v>0.0150822</v>
      </c>
    </row>
    <row r="505" customFormat="false" ht="16.4" hidden="false" customHeight="false" outlineLevel="0" collapsed="false">
      <c r="A505" s="13" t="str">
        <f aca="false">""</f>
        <v/>
      </c>
      <c r="B505" s="13" t="n">
        <f aca="false">135</f>
        <v>135</v>
      </c>
      <c r="C505" s="13" t="n">
        <f aca="false">IF(Szenarien!$H$9="OK",(IFERROR(SUMIF(Nutzungsprofile!$B$6:$B$11,"Schulbetrieb",Nutzungsprofile!$G$6:$G$11)*Kalender!C139/SUM(Kalender!$C$5:$C$370),0)+IFERROR(SUMIF(Nutzungsprofile!$B$6:$B$11,"Halle",Nutzungsprofile!$G$6:$G$11)*Kalender!D139/SUM(Kalender!$D$5:$D$370),0)+IFERROR(SUMIF(Nutzungsprofile!$B$6:$B$11,"Individuell",Nutzungsprofile!$G$6:$G$11)*Kalender!E139/SUM(Kalender!$E$5:$E$370),0))*Szenarien!$E$9,0)</f>
        <v>2.94</v>
      </c>
      <c r="D505" s="13" t="n">
        <f aca="false">IF(Szenarien!$H$9="OK",(IFERROR(SUMIF(Nutzungsprofile!$B$17:$B$22,"Schulbetrieb",Nutzungsprofile!$G$17:$G$22)*Kalender!C139/SUM(Kalender!$C$5:$C$370),0)+IFERROR(SUMIF(Nutzungsprofile!$B$17:$B$22,"Halle",Nutzungsprofile!$G$17:$G$22)*Kalender!D139/SUM(Kalender!$D$5:$D$370),0)+IFERROR(SUMIF(Nutzungsprofile!$B$17:$B$22,"Individuell",Nutzungsprofile!$G$17:$G$22)*Kalender!E139/SUM(Kalender!$E$5:$E$370),0))*Szenarien!$D$9,0)</f>
        <v>4.94</v>
      </c>
      <c r="E505" s="13" t="n">
        <f aca="false">IFERROR(MIN(C505,Eingaben!$B$17)*Eingaben!$B$16,0)</f>
        <v>2.793</v>
      </c>
      <c r="F505" s="13" t="n">
        <f aca="false">IFERROR(E505*Eingaben!$B$15,0)</f>
        <v>2.5137</v>
      </c>
      <c r="G505" s="13" t="n">
        <f aca="false">IFERROR(IF(Kalender!A139="",0,J504*(1-Eingaben!$B$20)),0)</f>
        <v>0.7390278</v>
      </c>
      <c r="H505" s="13" t="n">
        <f aca="false">MIN(G505,D505)</f>
        <v>0.7390278</v>
      </c>
      <c r="I505" s="13" t="n">
        <f aca="false">IFERROR(MIN(F505*Eingaben!$B$19,MAX(0,D505-H505)),0)</f>
        <v>1.75959</v>
      </c>
      <c r="J505" s="13" t="n">
        <f aca="false">IFERROR(MIN(Eingaben!$B$18,MAX(0,F505-I505)),0)</f>
        <v>0.75411</v>
      </c>
      <c r="K505" s="13" t="n">
        <f aca="false">H505+I505</f>
        <v>2.4986178</v>
      </c>
      <c r="L505" s="13" t="n">
        <f aca="false">MAX(0,D505-K505)</f>
        <v>2.4413822</v>
      </c>
      <c r="M505" s="13" t="n">
        <f aca="false">MAX(0,F505-I505-J505)</f>
        <v>0</v>
      </c>
      <c r="N505" s="13" t="n">
        <f aca="false">IF(Kalender!A139="",0,J504-H505)</f>
        <v>0.0150822</v>
      </c>
    </row>
    <row r="506" customFormat="false" ht="16.4" hidden="false" customHeight="false" outlineLevel="0" collapsed="false">
      <c r="A506" s="13" t="str">
        <f aca="false">""</f>
        <v/>
      </c>
      <c r="B506" s="13" t="n">
        <f aca="false">136</f>
        <v>136</v>
      </c>
      <c r="C506" s="13" t="n">
        <f aca="false">IF(Szenarien!$H$9="OK",(IFERROR(SUMIF(Nutzungsprofile!$B$6:$B$11,"Schulbetrieb",Nutzungsprofile!$G$6:$G$11)*Kalender!C140/SUM(Kalender!$C$5:$C$370),0)+IFERROR(SUMIF(Nutzungsprofile!$B$6:$B$11,"Halle",Nutzungsprofile!$G$6:$G$11)*Kalender!D140/SUM(Kalender!$D$5:$D$370),0)+IFERROR(SUMIF(Nutzungsprofile!$B$6:$B$11,"Individuell",Nutzungsprofile!$G$6:$G$11)*Kalender!E140/SUM(Kalender!$E$5:$E$370),0))*Szenarien!$E$9,0)</f>
        <v>2.04</v>
      </c>
      <c r="D506" s="13" t="n">
        <f aca="false">IF(Szenarien!$H$9="OK",(IFERROR(SUMIF(Nutzungsprofile!$B$17:$B$22,"Schulbetrieb",Nutzungsprofile!$G$17:$G$22)*Kalender!C140/SUM(Kalender!$C$5:$C$370),0)+IFERROR(SUMIF(Nutzungsprofile!$B$17:$B$22,"Halle",Nutzungsprofile!$G$17:$G$22)*Kalender!D140/SUM(Kalender!$D$5:$D$370),0)+IFERROR(SUMIF(Nutzungsprofile!$B$17:$B$22,"Individuell",Nutzungsprofile!$G$17:$G$22)*Kalender!E140/SUM(Kalender!$E$5:$E$370),0))*Szenarien!$D$9,0)</f>
        <v>0.89</v>
      </c>
      <c r="E506" s="13" t="n">
        <f aca="false">IFERROR(MIN(C506,Eingaben!$B$17)*Eingaben!$B$16,0)</f>
        <v>1.938</v>
      </c>
      <c r="F506" s="13" t="n">
        <f aca="false">IFERROR(E506*Eingaben!$B$15,0)</f>
        <v>1.7442</v>
      </c>
      <c r="G506" s="13" t="n">
        <f aca="false">IFERROR(IF(Kalender!A140="",0,J505*(1-Eingaben!$B$20)),0)</f>
        <v>0.7390278</v>
      </c>
      <c r="H506" s="13" t="n">
        <f aca="false">MIN(G506,D506)</f>
        <v>0.7390278</v>
      </c>
      <c r="I506" s="13" t="n">
        <f aca="false">IFERROR(MIN(F506*Eingaben!$B$19,MAX(0,D506-H506)),0)</f>
        <v>0.1509722</v>
      </c>
      <c r="J506" s="13" t="n">
        <f aca="false">IFERROR(MIN(Eingaben!$B$18,MAX(0,F506-I506)),0)</f>
        <v>1.5932278</v>
      </c>
      <c r="K506" s="13" t="n">
        <f aca="false">H506+I506</f>
        <v>0.89</v>
      </c>
      <c r="L506" s="13" t="n">
        <f aca="false">MAX(0,D506-K506)</f>
        <v>0</v>
      </c>
      <c r="M506" s="13" t="n">
        <f aca="false">MAX(0,F506-I506-J506)</f>
        <v>0</v>
      </c>
      <c r="N506" s="13" t="n">
        <f aca="false">IF(Kalender!A140="",0,J505-H506)</f>
        <v>0.0150822</v>
      </c>
    </row>
    <row r="507" customFormat="false" ht="16.4" hidden="false" customHeight="false" outlineLevel="0" collapsed="false">
      <c r="A507" s="13" t="str">
        <f aca="false">""</f>
        <v/>
      </c>
      <c r="B507" s="13" t="n">
        <f aca="false">137</f>
        <v>137</v>
      </c>
      <c r="C507" s="13" t="n">
        <f aca="false">IF(Szenarien!$H$9="OK",(IFERROR(SUMIF(Nutzungsprofile!$B$6:$B$11,"Schulbetrieb",Nutzungsprofile!$G$6:$G$11)*Kalender!C141/SUM(Kalender!$C$5:$C$370),0)+IFERROR(SUMIF(Nutzungsprofile!$B$6:$B$11,"Halle",Nutzungsprofile!$G$6:$G$11)*Kalender!D141/SUM(Kalender!$D$5:$D$370),0)+IFERROR(SUMIF(Nutzungsprofile!$B$6:$B$11,"Individuell",Nutzungsprofile!$G$6:$G$11)*Kalender!E141/SUM(Kalender!$E$5:$E$370),0))*Szenarien!$E$9,0)</f>
        <v>2.04</v>
      </c>
      <c r="D507" s="13" t="n">
        <f aca="false">IF(Szenarien!$H$9="OK",(IFERROR(SUMIF(Nutzungsprofile!$B$17:$B$22,"Schulbetrieb",Nutzungsprofile!$G$17:$G$22)*Kalender!C141/SUM(Kalender!$C$5:$C$370),0)+IFERROR(SUMIF(Nutzungsprofile!$B$17:$B$22,"Halle",Nutzungsprofile!$G$17:$G$22)*Kalender!D141/SUM(Kalender!$D$5:$D$370),0)+IFERROR(SUMIF(Nutzungsprofile!$B$17:$B$22,"Individuell",Nutzungsprofile!$G$17:$G$22)*Kalender!E141/SUM(Kalender!$E$5:$E$370),0))*Szenarien!$D$9,0)</f>
        <v>0.89</v>
      </c>
      <c r="E507" s="13" t="n">
        <f aca="false">IFERROR(MIN(C507,Eingaben!$B$17)*Eingaben!$B$16,0)</f>
        <v>1.938</v>
      </c>
      <c r="F507" s="13" t="n">
        <f aca="false">IFERROR(E507*Eingaben!$B$15,0)</f>
        <v>1.7442</v>
      </c>
      <c r="G507" s="13" t="n">
        <f aca="false">IFERROR(IF(Kalender!A141="",0,J506*(1-Eingaben!$B$20)),0)</f>
        <v>1.561363244</v>
      </c>
      <c r="H507" s="13" t="n">
        <f aca="false">MIN(G507,D507)</f>
        <v>0.89</v>
      </c>
      <c r="I507" s="13" t="n">
        <f aca="false">IFERROR(MIN(F507*Eingaben!$B$19,MAX(0,D507-H507)),0)</f>
        <v>0</v>
      </c>
      <c r="J507" s="13" t="n">
        <f aca="false">IFERROR(MIN(Eingaben!$B$18,MAX(0,F507-I507)),0)</f>
        <v>1.7442</v>
      </c>
      <c r="K507" s="13" t="n">
        <f aca="false">H507+I507</f>
        <v>0.89</v>
      </c>
      <c r="L507" s="13" t="n">
        <f aca="false">MAX(0,D507-K507)</f>
        <v>0</v>
      </c>
      <c r="M507" s="13" t="n">
        <f aca="false">MAX(0,F507-I507-J507)</f>
        <v>0</v>
      </c>
      <c r="N507" s="13" t="n">
        <f aca="false">IF(Kalender!A141="",0,J506-H507)</f>
        <v>0.7032278</v>
      </c>
    </row>
    <row r="508" customFormat="false" ht="16.4" hidden="false" customHeight="false" outlineLevel="0" collapsed="false">
      <c r="A508" s="13" t="str">
        <f aca="false">""</f>
        <v/>
      </c>
      <c r="B508" s="13" t="n">
        <f aca="false">138</f>
        <v>138</v>
      </c>
      <c r="C508" s="13" t="n">
        <f aca="false">IF(Szenarien!$H$9="OK",(IFERROR(SUMIF(Nutzungsprofile!$B$6:$B$11,"Schulbetrieb",Nutzungsprofile!$G$6:$G$11)*Kalender!C142/SUM(Kalender!$C$5:$C$370),0)+IFERROR(SUMIF(Nutzungsprofile!$B$6:$B$11,"Halle",Nutzungsprofile!$G$6:$G$11)*Kalender!D142/SUM(Kalender!$D$5:$D$370),0)+IFERROR(SUMIF(Nutzungsprofile!$B$6:$B$11,"Individuell",Nutzungsprofile!$G$6:$G$11)*Kalender!E142/SUM(Kalender!$E$5:$E$370),0))*Szenarien!$E$9,0)</f>
        <v>2.94</v>
      </c>
      <c r="D508" s="13" t="n">
        <f aca="false">IF(Szenarien!$H$9="OK",(IFERROR(SUMIF(Nutzungsprofile!$B$17:$B$22,"Schulbetrieb",Nutzungsprofile!$G$17:$G$22)*Kalender!C142/SUM(Kalender!$C$5:$C$370),0)+IFERROR(SUMIF(Nutzungsprofile!$B$17:$B$22,"Halle",Nutzungsprofile!$G$17:$G$22)*Kalender!D142/SUM(Kalender!$D$5:$D$370),0)+IFERROR(SUMIF(Nutzungsprofile!$B$17:$B$22,"Individuell",Nutzungsprofile!$G$17:$G$22)*Kalender!E142/SUM(Kalender!$E$5:$E$370),0))*Szenarien!$D$9,0)</f>
        <v>4.94</v>
      </c>
      <c r="E508" s="13" t="n">
        <f aca="false">IFERROR(MIN(C508,Eingaben!$B$17)*Eingaben!$B$16,0)</f>
        <v>2.793</v>
      </c>
      <c r="F508" s="13" t="n">
        <f aca="false">IFERROR(E508*Eingaben!$B$15,0)</f>
        <v>2.5137</v>
      </c>
      <c r="G508" s="13" t="n">
        <f aca="false">IFERROR(IF(Kalender!A142="",0,J507*(1-Eingaben!$B$20)),0)</f>
        <v>1.709316</v>
      </c>
      <c r="H508" s="13" t="n">
        <f aca="false">MIN(G508,D508)</f>
        <v>1.709316</v>
      </c>
      <c r="I508" s="13" t="n">
        <f aca="false">IFERROR(MIN(F508*Eingaben!$B$19,MAX(0,D508-H508)),0)</f>
        <v>1.75959</v>
      </c>
      <c r="J508" s="13" t="n">
        <f aca="false">IFERROR(MIN(Eingaben!$B$18,MAX(0,F508-I508)),0)</f>
        <v>0.75411</v>
      </c>
      <c r="K508" s="13" t="n">
        <f aca="false">H508+I508</f>
        <v>3.468906</v>
      </c>
      <c r="L508" s="13" t="n">
        <f aca="false">MAX(0,D508-K508)</f>
        <v>1.471094</v>
      </c>
      <c r="M508" s="13" t="n">
        <f aca="false">MAX(0,F508-I508-J508)</f>
        <v>0</v>
      </c>
      <c r="N508" s="13" t="n">
        <f aca="false">IF(Kalender!A142="",0,J507-H508)</f>
        <v>0.0348840000000001</v>
      </c>
    </row>
    <row r="509" customFormat="false" ht="16.4" hidden="false" customHeight="false" outlineLevel="0" collapsed="false">
      <c r="A509" s="13" t="str">
        <f aca="false">""</f>
        <v/>
      </c>
      <c r="B509" s="13" t="n">
        <f aca="false">139</f>
        <v>139</v>
      </c>
      <c r="C509" s="13" t="n">
        <f aca="false">IF(Szenarien!$H$9="OK",(IFERROR(SUMIF(Nutzungsprofile!$B$6:$B$11,"Schulbetrieb",Nutzungsprofile!$G$6:$G$11)*Kalender!C143/SUM(Kalender!$C$5:$C$370),0)+IFERROR(SUMIF(Nutzungsprofile!$B$6:$B$11,"Halle",Nutzungsprofile!$G$6:$G$11)*Kalender!D143/SUM(Kalender!$D$5:$D$370),0)+IFERROR(SUMIF(Nutzungsprofile!$B$6:$B$11,"Individuell",Nutzungsprofile!$G$6:$G$11)*Kalender!E143/SUM(Kalender!$E$5:$E$370),0))*Szenarien!$E$9,0)</f>
        <v>2.94</v>
      </c>
      <c r="D509" s="13" t="n">
        <f aca="false">IF(Szenarien!$H$9="OK",(IFERROR(SUMIF(Nutzungsprofile!$B$17:$B$22,"Schulbetrieb",Nutzungsprofile!$G$17:$G$22)*Kalender!C143/SUM(Kalender!$C$5:$C$370),0)+IFERROR(SUMIF(Nutzungsprofile!$B$17:$B$22,"Halle",Nutzungsprofile!$G$17:$G$22)*Kalender!D143/SUM(Kalender!$D$5:$D$370),0)+IFERROR(SUMIF(Nutzungsprofile!$B$17:$B$22,"Individuell",Nutzungsprofile!$G$17:$G$22)*Kalender!E143/SUM(Kalender!$E$5:$E$370),0))*Szenarien!$D$9,0)</f>
        <v>4.94</v>
      </c>
      <c r="E509" s="13" t="n">
        <f aca="false">IFERROR(MIN(C509,Eingaben!$B$17)*Eingaben!$B$16,0)</f>
        <v>2.793</v>
      </c>
      <c r="F509" s="13" t="n">
        <f aca="false">IFERROR(E509*Eingaben!$B$15,0)</f>
        <v>2.5137</v>
      </c>
      <c r="G509" s="13" t="n">
        <f aca="false">IFERROR(IF(Kalender!A143="",0,J508*(1-Eingaben!$B$20)),0)</f>
        <v>0.7390278</v>
      </c>
      <c r="H509" s="13" t="n">
        <f aca="false">MIN(G509,D509)</f>
        <v>0.7390278</v>
      </c>
      <c r="I509" s="13" t="n">
        <f aca="false">IFERROR(MIN(F509*Eingaben!$B$19,MAX(0,D509-H509)),0)</f>
        <v>1.75959</v>
      </c>
      <c r="J509" s="13" t="n">
        <f aca="false">IFERROR(MIN(Eingaben!$B$18,MAX(0,F509-I509)),0)</f>
        <v>0.75411</v>
      </c>
      <c r="K509" s="13" t="n">
        <f aca="false">H509+I509</f>
        <v>2.4986178</v>
      </c>
      <c r="L509" s="13" t="n">
        <f aca="false">MAX(0,D509-K509)</f>
        <v>2.4413822</v>
      </c>
      <c r="M509" s="13" t="n">
        <f aca="false">MAX(0,F509-I509-J509)</f>
        <v>0</v>
      </c>
      <c r="N509" s="13" t="n">
        <f aca="false">IF(Kalender!A143="",0,J508-H509)</f>
        <v>0.0150822</v>
      </c>
    </row>
    <row r="510" customFormat="false" ht="16.4" hidden="false" customHeight="false" outlineLevel="0" collapsed="false">
      <c r="A510" s="13" t="str">
        <f aca="false">""</f>
        <v/>
      </c>
      <c r="B510" s="13" t="n">
        <f aca="false">140</f>
        <v>140</v>
      </c>
      <c r="C510" s="13" t="n">
        <f aca="false">IF(Szenarien!$H$9="OK",(IFERROR(SUMIF(Nutzungsprofile!$B$6:$B$11,"Schulbetrieb",Nutzungsprofile!$G$6:$G$11)*Kalender!C144/SUM(Kalender!$C$5:$C$370),0)+IFERROR(SUMIF(Nutzungsprofile!$B$6:$B$11,"Halle",Nutzungsprofile!$G$6:$G$11)*Kalender!D144/SUM(Kalender!$D$5:$D$370),0)+IFERROR(SUMIF(Nutzungsprofile!$B$6:$B$11,"Individuell",Nutzungsprofile!$G$6:$G$11)*Kalender!E144/SUM(Kalender!$E$5:$E$370),0))*Szenarien!$E$9,0)</f>
        <v>2.94</v>
      </c>
      <c r="D510" s="13" t="n">
        <f aca="false">IF(Szenarien!$H$9="OK",(IFERROR(SUMIF(Nutzungsprofile!$B$17:$B$22,"Schulbetrieb",Nutzungsprofile!$G$17:$G$22)*Kalender!C144/SUM(Kalender!$C$5:$C$370),0)+IFERROR(SUMIF(Nutzungsprofile!$B$17:$B$22,"Halle",Nutzungsprofile!$G$17:$G$22)*Kalender!D144/SUM(Kalender!$D$5:$D$370),0)+IFERROR(SUMIF(Nutzungsprofile!$B$17:$B$22,"Individuell",Nutzungsprofile!$G$17:$G$22)*Kalender!E144/SUM(Kalender!$E$5:$E$370),0))*Szenarien!$D$9,0)</f>
        <v>4.94</v>
      </c>
      <c r="E510" s="13" t="n">
        <f aca="false">IFERROR(MIN(C510,Eingaben!$B$17)*Eingaben!$B$16,0)</f>
        <v>2.793</v>
      </c>
      <c r="F510" s="13" t="n">
        <f aca="false">IFERROR(E510*Eingaben!$B$15,0)</f>
        <v>2.5137</v>
      </c>
      <c r="G510" s="13" t="n">
        <f aca="false">IFERROR(IF(Kalender!A144="",0,J509*(1-Eingaben!$B$20)),0)</f>
        <v>0.7390278</v>
      </c>
      <c r="H510" s="13" t="n">
        <f aca="false">MIN(G510,D510)</f>
        <v>0.7390278</v>
      </c>
      <c r="I510" s="13" t="n">
        <f aca="false">IFERROR(MIN(F510*Eingaben!$B$19,MAX(0,D510-H510)),0)</f>
        <v>1.75959</v>
      </c>
      <c r="J510" s="13" t="n">
        <f aca="false">IFERROR(MIN(Eingaben!$B$18,MAX(0,F510-I510)),0)</f>
        <v>0.75411</v>
      </c>
      <c r="K510" s="13" t="n">
        <f aca="false">H510+I510</f>
        <v>2.4986178</v>
      </c>
      <c r="L510" s="13" t="n">
        <f aca="false">MAX(0,D510-K510)</f>
        <v>2.4413822</v>
      </c>
      <c r="M510" s="13" t="n">
        <f aca="false">MAX(0,F510-I510-J510)</f>
        <v>0</v>
      </c>
      <c r="N510" s="13" t="n">
        <f aca="false">IF(Kalender!A144="",0,J509-H510)</f>
        <v>0.0150822</v>
      </c>
    </row>
    <row r="511" customFormat="false" ht="16.4" hidden="false" customHeight="false" outlineLevel="0" collapsed="false">
      <c r="A511" s="13" t="str">
        <f aca="false">""</f>
        <v/>
      </c>
      <c r="B511" s="13" t="n">
        <f aca="false">141</f>
        <v>141</v>
      </c>
      <c r="C511" s="13" t="n">
        <f aca="false">IF(Szenarien!$H$9="OK",(IFERROR(SUMIF(Nutzungsprofile!$B$6:$B$11,"Schulbetrieb",Nutzungsprofile!$G$6:$G$11)*Kalender!C145/SUM(Kalender!$C$5:$C$370),0)+IFERROR(SUMIF(Nutzungsprofile!$B$6:$B$11,"Halle",Nutzungsprofile!$G$6:$G$11)*Kalender!D145/SUM(Kalender!$D$5:$D$370),0)+IFERROR(SUMIF(Nutzungsprofile!$B$6:$B$11,"Individuell",Nutzungsprofile!$G$6:$G$11)*Kalender!E145/SUM(Kalender!$E$5:$E$370),0))*Szenarien!$E$9,0)</f>
        <v>2.94</v>
      </c>
      <c r="D511" s="13" t="n">
        <f aca="false">IF(Szenarien!$H$9="OK",(IFERROR(SUMIF(Nutzungsprofile!$B$17:$B$22,"Schulbetrieb",Nutzungsprofile!$G$17:$G$22)*Kalender!C145/SUM(Kalender!$C$5:$C$370),0)+IFERROR(SUMIF(Nutzungsprofile!$B$17:$B$22,"Halle",Nutzungsprofile!$G$17:$G$22)*Kalender!D145/SUM(Kalender!$D$5:$D$370),0)+IFERROR(SUMIF(Nutzungsprofile!$B$17:$B$22,"Individuell",Nutzungsprofile!$G$17:$G$22)*Kalender!E145/SUM(Kalender!$E$5:$E$370),0))*Szenarien!$D$9,0)</f>
        <v>4.94</v>
      </c>
      <c r="E511" s="13" t="n">
        <f aca="false">IFERROR(MIN(C511,Eingaben!$B$17)*Eingaben!$B$16,0)</f>
        <v>2.793</v>
      </c>
      <c r="F511" s="13" t="n">
        <f aca="false">IFERROR(E511*Eingaben!$B$15,0)</f>
        <v>2.5137</v>
      </c>
      <c r="G511" s="13" t="n">
        <f aca="false">IFERROR(IF(Kalender!A145="",0,J510*(1-Eingaben!$B$20)),0)</f>
        <v>0.7390278</v>
      </c>
      <c r="H511" s="13" t="n">
        <f aca="false">MIN(G511,D511)</f>
        <v>0.7390278</v>
      </c>
      <c r="I511" s="13" t="n">
        <f aca="false">IFERROR(MIN(F511*Eingaben!$B$19,MAX(0,D511-H511)),0)</f>
        <v>1.75959</v>
      </c>
      <c r="J511" s="13" t="n">
        <f aca="false">IFERROR(MIN(Eingaben!$B$18,MAX(0,F511-I511)),0)</f>
        <v>0.75411</v>
      </c>
      <c r="K511" s="13" t="n">
        <f aca="false">H511+I511</f>
        <v>2.4986178</v>
      </c>
      <c r="L511" s="13" t="n">
        <f aca="false">MAX(0,D511-K511)</f>
        <v>2.4413822</v>
      </c>
      <c r="M511" s="13" t="n">
        <f aca="false">MAX(0,F511-I511-J511)</f>
        <v>0</v>
      </c>
      <c r="N511" s="13" t="n">
        <f aca="false">IF(Kalender!A145="",0,J510-H511)</f>
        <v>0.0150822</v>
      </c>
    </row>
    <row r="512" customFormat="false" ht="16.4" hidden="false" customHeight="false" outlineLevel="0" collapsed="false">
      <c r="A512" s="13" t="str">
        <f aca="false">""</f>
        <v/>
      </c>
      <c r="B512" s="13" t="n">
        <f aca="false">142</f>
        <v>142</v>
      </c>
      <c r="C512" s="13" t="n">
        <f aca="false">IF(Szenarien!$H$9="OK",(IFERROR(SUMIF(Nutzungsprofile!$B$6:$B$11,"Schulbetrieb",Nutzungsprofile!$G$6:$G$11)*Kalender!C146/SUM(Kalender!$C$5:$C$370),0)+IFERROR(SUMIF(Nutzungsprofile!$B$6:$B$11,"Halle",Nutzungsprofile!$G$6:$G$11)*Kalender!D146/SUM(Kalender!$D$5:$D$370),0)+IFERROR(SUMIF(Nutzungsprofile!$B$6:$B$11,"Individuell",Nutzungsprofile!$G$6:$G$11)*Kalender!E146/SUM(Kalender!$E$5:$E$370),0))*Szenarien!$E$9,0)</f>
        <v>2.94</v>
      </c>
      <c r="D512" s="13" t="n">
        <f aca="false">IF(Szenarien!$H$9="OK",(IFERROR(SUMIF(Nutzungsprofile!$B$17:$B$22,"Schulbetrieb",Nutzungsprofile!$G$17:$G$22)*Kalender!C146/SUM(Kalender!$C$5:$C$370),0)+IFERROR(SUMIF(Nutzungsprofile!$B$17:$B$22,"Halle",Nutzungsprofile!$G$17:$G$22)*Kalender!D146/SUM(Kalender!$D$5:$D$370),0)+IFERROR(SUMIF(Nutzungsprofile!$B$17:$B$22,"Individuell",Nutzungsprofile!$G$17:$G$22)*Kalender!E146/SUM(Kalender!$E$5:$E$370),0))*Szenarien!$D$9,0)</f>
        <v>4.94</v>
      </c>
      <c r="E512" s="13" t="n">
        <f aca="false">IFERROR(MIN(C512,Eingaben!$B$17)*Eingaben!$B$16,0)</f>
        <v>2.793</v>
      </c>
      <c r="F512" s="13" t="n">
        <f aca="false">IFERROR(E512*Eingaben!$B$15,0)</f>
        <v>2.5137</v>
      </c>
      <c r="G512" s="13" t="n">
        <f aca="false">IFERROR(IF(Kalender!A146="",0,J511*(1-Eingaben!$B$20)),0)</f>
        <v>0.7390278</v>
      </c>
      <c r="H512" s="13" t="n">
        <f aca="false">MIN(G512,D512)</f>
        <v>0.7390278</v>
      </c>
      <c r="I512" s="13" t="n">
        <f aca="false">IFERROR(MIN(F512*Eingaben!$B$19,MAX(0,D512-H512)),0)</f>
        <v>1.75959</v>
      </c>
      <c r="J512" s="13" t="n">
        <f aca="false">IFERROR(MIN(Eingaben!$B$18,MAX(0,F512-I512)),0)</f>
        <v>0.75411</v>
      </c>
      <c r="K512" s="13" t="n">
        <f aca="false">H512+I512</f>
        <v>2.4986178</v>
      </c>
      <c r="L512" s="13" t="n">
        <f aca="false">MAX(0,D512-K512)</f>
        <v>2.4413822</v>
      </c>
      <c r="M512" s="13" t="n">
        <f aca="false">MAX(0,F512-I512-J512)</f>
        <v>0</v>
      </c>
      <c r="N512" s="13" t="n">
        <f aca="false">IF(Kalender!A146="",0,J511-H512)</f>
        <v>0.0150822</v>
      </c>
    </row>
    <row r="513" customFormat="false" ht="16.4" hidden="false" customHeight="false" outlineLevel="0" collapsed="false">
      <c r="A513" s="13" t="str">
        <f aca="false">""</f>
        <v/>
      </c>
      <c r="B513" s="13" t="n">
        <f aca="false">143</f>
        <v>143</v>
      </c>
      <c r="C513" s="13" t="n">
        <f aca="false">IF(Szenarien!$H$9="OK",(IFERROR(SUMIF(Nutzungsprofile!$B$6:$B$11,"Schulbetrieb",Nutzungsprofile!$G$6:$G$11)*Kalender!C147/SUM(Kalender!$C$5:$C$370),0)+IFERROR(SUMIF(Nutzungsprofile!$B$6:$B$11,"Halle",Nutzungsprofile!$G$6:$G$11)*Kalender!D147/SUM(Kalender!$D$5:$D$370),0)+IFERROR(SUMIF(Nutzungsprofile!$B$6:$B$11,"Individuell",Nutzungsprofile!$G$6:$G$11)*Kalender!E147/SUM(Kalender!$E$5:$E$370),0))*Szenarien!$E$9,0)</f>
        <v>2.04</v>
      </c>
      <c r="D513" s="13" t="n">
        <f aca="false">IF(Szenarien!$H$9="OK",(IFERROR(SUMIF(Nutzungsprofile!$B$17:$B$22,"Schulbetrieb",Nutzungsprofile!$G$17:$G$22)*Kalender!C147/SUM(Kalender!$C$5:$C$370),0)+IFERROR(SUMIF(Nutzungsprofile!$B$17:$B$22,"Halle",Nutzungsprofile!$G$17:$G$22)*Kalender!D147/SUM(Kalender!$D$5:$D$370),0)+IFERROR(SUMIF(Nutzungsprofile!$B$17:$B$22,"Individuell",Nutzungsprofile!$G$17:$G$22)*Kalender!E147/SUM(Kalender!$E$5:$E$370),0))*Szenarien!$D$9,0)</f>
        <v>0.89</v>
      </c>
      <c r="E513" s="13" t="n">
        <f aca="false">IFERROR(MIN(C513,Eingaben!$B$17)*Eingaben!$B$16,0)</f>
        <v>1.938</v>
      </c>
      <c r="F513" s="13" t="n">
        <f aca="false">IFERROR(E513*Eingaben!$B$15,0)</f>
        <v>1.7442</v>
      </c>
      <c r="G513" s="13" t="n">
        <f aca="false">IFERROR(IF(Kalender!A147="",0,J512*(1-Eingaben!$B$20)),0)</f>
        <v>0.7390278</v>
      </c>
      <c r="H513" s="13" t="n">
        <f aca="false">MIN(G513,D513)</f>
        <v>0.7390278</v>
      </c>
      <c r="I513" s="13" t="n">
        <f aca="false">IFERROR(MIN(F513*Eingaben!$B$19,MAX(0,D513-H513)),0)</f>
        <v>0.1509722</v>
      </c>
      <c r="J513" s="13" t="n">
        <f aca="false">IFERROR(MIN(Eingaben!$B$18,MAX(0,F513-I513)),0)</f>
        <v>1.5932278</v>
      </c>
      <c r="K513" s="13" t="n">
        <f aca="false">H513+I513</f>
        <v>0.89</v>
      </c>
      <c r="L513" s="13" t="n">
        <f aca="false">MAX(0,D513-K513)</f>
        <v>0</v>
      </c>
      <c r="M513" s="13" t="n">
        <f aca="false">MAX(0,F513-I513-J513)</f>
        <v>0</v>
      </c>
      <c r="N513" s="13" t="n">
        <f aca="false">IF(Kalender!A147="",0,J512-H513)</f>
        <v>0.0150822</v>
      </c>
    </row>
    <row r="514" customFormat="false" ht="16.4" hidden="false" customHeight="false" outlineLevel="0" collapsed="false">
      <c r="A514" s="13" t="str">
        <f aca="false">""</f>
        <v/>
      </c>
      <c r="B514" s="13" t="n">
        <f aca="false">144</f>
        <v>144</v>
      </c>
      <c r="C514" s="13" t="n">
        <f aca="false">IF(Szenarien!$H$9="OK",(IFERROR(SUMIF(Nutzungsprofile!$B$6:$B$11,"Schulbetrieb",Nutzungsprofile!$G$6:$G$11)*Kalender!C148/SUM(Kalender!$C$5:$C$370),0)+IFERROR(SUMIF(Nutzungsprofile!$B$6:$B$11,"Halle",Nutzungsprofile!$G$6:$G$11)*Kalender!D148/SUM(Kalender!$D$5:$D$370),0)+IFERROR(SUMIF(Nutzungsprofile!$B$6:$B$11,"Individuell",Nutzungsprofile!$G$6:$G$11)*Kalender!E148/SUM(Kalender!$E$5:$E$370),0))*Szenarien!$E$9,0)</f>
        <v>2.04</v>
      </c>
      <c r="D514" s="13" t="n">
        <f aca="false">IF(Szenarien!$H$9="OK",(IFERROR(SUMIF(Nutzungsprofile!$B$17:$B$22,"Schulbetrieb",Nutzungsprofile!$G$17:$G$22)*Kalender!C148/SUM(Kalender!$C$5:$C$370),0)+IFERROR(SUMIF(Nutzungsprofile!$B$17:$B$22,"Halle",Nutzungsprofile!$G$17:$G$22)*Kalender!D148/SUM(Kalender!$D$5:$D$370),0)+IFERROR(SUMIF(Nutzungsprofile!$B$17:$B$22,"Individuell",Nutzungsprofile!$G$17:$G$22)*Kalender!E148/SUM(Kalender!$E$5:$E$370),0))*Szenarien!$D$9,0)</f>
        <v>0.89</v>
      </c>
      <c r="E514" s="13" t="n">
        <f aca="false">IFERROR(MIN(C514,Eingaben!$B$17)*Eingaben!$B$16,0)</f>
        <v>1.938</v>
      </c>
      <c r="F514" s="13" t="n">
        <f aca="false">IFERROR(E514*Eingaben!$B$15,0)</f>
        <v>1.7442</v>
      </c>
      <c r="G514" s="13" t="n">
        <f aca="false">IFERROR(IF(Kalender!A148="",0,J513*(1-Eingaben!$B$20)),0)</f>
        <v>1.561363244</v>
      </c>
      <c r="H514" s="13" t="n">
        <f aca="false">MIN(G514,D514)</f>
        <v>0.89</v>
      </c>
      <c r="I514" s="13" t="n">
        <f aca="false">IFERROR(MIN(F514*Eingaben!$B$19,MAX(0,D514-H514)),0)</f>
        <v>0</v>
      </c>
      <c r="J514" s="13" t="n">
        <f aca="false">IFERROR(MIN(Eingaben!$B$18,MAX(0,F514-I514)),0)</f>
        <v>1.7442</v>
      </c>
      <c r="K514" s="13" t="n">
        <f aca="false">H514+I514</f>
        <v>0.89</v>
      </c>
      <c r="L514" s="13" t="n">
        <f aca="false">MAX(0,D514-K514)</f>
        <v>0</v>
      </c>
      <c r="M514" s="13" t="n">
        <f aca="false">MAX(0,F514-I514-J514)</f>
        <v>0</v>
      </c>
      <c r="N514" s="13" t="n">
        <f aca="false">IF(Kalender!A148="",0,J513-H514)</f>
        <v>0.7032278</v>
      </c>
    </row>
    <row r="515" customFormat="false" ht="16.4" hidden="false" customHeight="false" outlineLevel="0" collapsed="false">
      <c r="A515" s="13" t="str">
        <f aca="false">""</f>
        <v/>
      </c>
      <c r="B515" s="13" t="n">
        <f aca="false">145</f>
        <v>145</v>
      </c>
      <c r="C515" s="13" t="n">
        <f aca="false">IF(Szenarien!$H$9="OK",(IFERROR(SUMIF(Nutzungsprofile!$B$6:$B$11,"Schulbetrieb",Nutzungsprofile!$G$6:$G$11)*Kalender!C149/SUM(Kalender!$C$5:$C$370),0)+IFERROR(SUMIF(Nutzungsprofile!$B$6:$B$11,"Halle",Nutzungsprofile!$G$6:$G$11)*Kalender!D149/SUM(Kalender!$D$5:$D$370),0)+IFERROR(SUMIF(Nutzungsprofile!$B$6:$B$11,"Individuell",Nutzungsprofile!$G$6:$G$11)*Kalender!E149/SUM(Kalender!$E$5:$E$370),0))*Szenarien!$E$9,0)</f>
        <v>2.94</v>
      </c>
      <c r="D515" s="13" t="n">
        <f aca="false">IF(Szenarien!$H$9="OK",(IFERROR(SUMIF(Nutzungsprofile!$B$17:$B$22,"Schulbetrieb",Nutzungsprofile!$G$17:$G$22)*Kalender!C149/SUM(Kalender!$C$5:$C$370),0)+IFERROR(SUMIF(Nutzungsprofile!$B$17:$B$22,"Halle",Nutzungsprofile!$G$17:$G$22)*Kalender!D149/SUM(Kalender!$D$5:$D$370),0)+IFERROR(SUMIF(Nutzungsprofile!$B$17:$B$22,"Individuell",Nutzungsprofile!$G$17:$G$22)*Kalender!E149/SUM(Kalender!$E$5:$E$370),0))*Szenarien!$D$9,0)</f>
        <v>4.94</v>
      </c>
      <c r="E515" s="13" t="n">
        <f aca="false">IFERROR(MIN(C515,Eingaben!$B$17)*Eingaben!$B$16,0)</f>
        <v>2.793</v>
      </c>
      <c r="F515" s="13" t="n">
        <f aca="false">IFERROR(E515*Eingaben!$B$15,0)</f>
        <v>2.5137</v>
      </c>
      <c r="G515" s="13" t="n">
        <f aca="false">IFERROR(IF(Kalender!A149="",0,J514*(1-Eingaben!$B$20)),0)</f>
        <v>1.709316</v>
      </c>
      <c r="H515" s="13" t="n">
        <f aca="false">MIN(G515,D515)</f>
        <v>1.709316</v>
      </c>
      <c r="I515" s="13" t="n">
        <f aca="false">IFERROR(MIN(F515*Eingaben!$B$19,MAX(0,D515-H515)),0)</f>
        <v>1.75959</v>
      </c>
      <c r="J515" s="13" t="n">
        <f aca="false">IFERROR(MIN(Eingaben!$B$18,MAX(0,F515-I515)),0)</f>
        <v>0.75411</v>
      </c>
      <c r="K515" s="13" t="n">
        <f aca="false">H515+I515</f>
        <v>3.468906</v>
      </c>
      <c r="L515" s="13" t="n">
        <f aca="false">MAX(0,D515-K515)</f>
        <v>1.471094</v>
      </c>
      <c r="M515" s="13" t="n">
        <f aca="false">MAX(0,F515-I515-J515)</f>
        <v>0</v>
      </c>
      <c r="N515" s="13" t="n">
        <f aca="false">IF(Kalender!A149="",0,J514-H515)</f>
        <v>0.0348840000000001</v>
      </c>
    </row>
    <row r="516" customFormat="false" ht="16.4" hidden="false" customHeight="false" outlineLevel="0" collapsed="false">
      <c r="A516" s="13" t="str">
        <f aca="false">""</f>
        <v/>
      </c>
      <c r="B516" s="13" t="n">
        <f aca="false">146</f>
        <v>146</v>
      </c>
      <c r="C516" s="13" t="n">
        <f aca="false">IF(Szenarien!$H$9="OK",(IFERROR(SUMIF(Nutzungsprofile!$B$6:$B$11,"Schulbetrieb",Nutzungsprofile!$G$6:$G$11)*Kalender!C150/SUM(Kalender!$C$5:$C$370),0)+IFERROR(SUMIF(Nutzungsprofile!$B$6:$B$11,"Halle",Nutzungsprofile!$G$6:$G$11)*Kalender!D150/SUM(Kalender!$D$5:$D$370),0)+IFERROR(SUMIF(Nutzungsprofile!$B$6:$B$11,"Individuell",Nutzungsprofile!$G$6:$G$11)*Kalender!E150/SUM(Kalender!$E$5:$E$370),0))*Szenarien!$E$9,0)</f>
        <v>2.94</v>
      </c>
      <c r="D516" s="13" t="n">
        <f aca="false">IF(Szenarien!$H$9="OK",(IFERROR(SUMIF(Nutzungsprofile!$B$17:$B$22,"Schulbetrieb",Nutzungsprofile!$G$17:$G$22)*Kalender!C150/SUM(Kalender!$C$5:$C$370),0)+IFERROR(SUMIF(Nutzungsprofile!$B$17:$B$22,"Halle",Nutzungsprofile!$G$17:$G$22)*Kalender!D150/SUM(Kalender!$D$5:$D$370),0)+IFERROR(SUMIF(Nutzungsprofile!$B$17:$B$22,"Individuell",Nutzungsprofile!$G$17:$G$22)*Kalender!E150/SUM(Kalender!$E$5:$E$370),0))*Szenarien!$D$9,0)</f>
        <v>4.94</v>
      </c>
      <c r="E516" s="13" t="n">
        <f aca="false">IFERROR(MIN(C516,Eingaben!$B$17)*Eingaben!$B$16,0)</f>
        <v>2.793</v>
      </c>
      <c r="F516" s="13" t="n">
        <f aca="false">IFERROR(E516*Eingaben!$B$15,0)</f>
        <v>2.5137</v>
      </c>
      <c r="G516" s="13" t="n">
        <f aca="false">IFERROR(IF(Kalender!A150="",0,J515*(1-Eingaben!$B$20)),0)</f>
        <v>0.7390278</v>
      </c>
      <c r="H516" s="13" t="n">
        <f aca="false">MIN(G516,D516)</f>
        <v>0.7390278</v>
      </c>
      <c r="I516" s="13" t="n">
        <f aca="false">IFERROR(MIN(F516*Eingaben!$B$19,MAX(0,D516-H516)),0)</f>
        <v>1.75959</v>
      </c>
      <c r="J516" s="13" t="n">
        <f aca="false">IFERROR(MIN(Eingaben!$B$18,MAX(0,F516-I516)),0)</f>
        <v>0.75411</v>
      </c>
      <c r="K516" s="13" t="n">
        <f aca="false">H516+I516</f>
        <v>2.4986178</v>
      </c>
      <c r="L516" s="13" t="n">
        <f aca="false">MAX(0,D516-K516)</f>
        <v>2.4413822</v>
      </c>
      <c r="M516" s="13" t="n">
        <f aca="false">MAX(0,F516-I516-J516)</f>
        <v>0</v>
      </c>
      <c r="N516" s="13" t="n">
        <f aca="false">IF(Kalender!A150="",0,J515-H516)</f>
        <v>0.0150822</v>
      </c>
    </row>
    <row r="517" customFormat="false" ht="16.4" hidden="false" customHeight="false" outlineLevel="0" collapsed="false">
      <c r="A517" s="13" t="str">
        <f aca="false">""</f>
        <v/>
      </c>
      <c r="B517" s="13" t="n">
        <f aca="false">147</f>
        <v>147</v>
      </c>
      <c r="C517" s="13" t="n">
        <f aca="false">IF(Szenarien!$H$9="OK",(IFERROR(SUMIF(Nutzungsprofile!$B$6:$B$11,"Schulbetrieb",Nutzungsprofile!$G$6:$G$11)*Kalender!C151/SUM(Kalender!$C$5:$C$370),0)+IFERROR(SUMIF(Nutzungsprofile!$B$6:$B$11,"Halle",Nutzungsprofile!$G$6:$G$11)*Kalender!D151/SUM(Kalender!$D$5:$D$370),0)+IFERROR(SUMIF(Nutzungsprofile!$B$6:$B$11,"Individuell",Nutzungsprofile!$G$6:$G$11)*Kalender!E151/SUM(Kalender!$E$5:$E$370),0))*Szenarien!$E$9,0)</f>
        <v>2.94</v>
      </c>
      <c r="D517" s="13" t="n">
        <f aca="false">IF(Szenarien!$H$9="OK",(IFERROR(SUMIF(Nutzungsprofile!$B$17:$B$22,"Schulbetrieb",Nutzungsprofile!$G$17:$G$22)*Kalender!C151/SUM(Kalender!$C$5:$C$370),0)+IFERROR(SUMIF(Nutzungsprofile!$B$17:$B$22,"Halle",Nutzungsprofile!$G$17:$G$22)*Kalender!D151/SUM(Kalender!$D$5:$D$370),0)+IFERROR(SUMIF(Nutzungsprofile!$B$17:$B$22,"Individuell",Nutzungsprofile!$G$17:$G$22)*Kalender!E151/SUM(Kalender!$E$5:$E$370),0))*Szenarien!$D$9,0)</f>
        <v>4.94</v>
      </c>
      <c r="E517" s="13" t="n">
        <f aca="false">IFERROR(MIN(C517,Eingaben!$B$17)*Eingaben!$B$16,0)</f>
        <v>2.793</v>
      </c>
      <c r="F517" s="13" t="n">
        <f aca="false">IFERROR(E517*Eingaben!$B$15,0)</f>
        <v>2.5137</v>
      </c>
      <c r="G517" s="13" t="n">
        <f aca="false">IFERROR(IF(Kalender!A151="",0,J516*(1-Eingaben!$B$20)),0)</f>
        <v>0.7390278</v>
      </c>
      <c r="H517" s="13" t="n">
        <f aca="false">MIN(G517,D517)</f>
        <v>0.7390278</v>
      </c>
      <c r="I517" s="13" t="n">
        <f aca="false">IFERROR(MIN(F517*Eingaben!$B$19,MAX(0,D517-H517)),0)</f>
        <v>1.75959</v>
      </c>
      <c r="J517" s="13" t="n">
        <f aca="false">IFERROR(MIN(Eingaben!$B$18,MAX(0,F517-I517)),0)</f>
        <v>0.75411</v>
      </c>
      <c r="K517" s="13" t="n">
        <f aca="false">H517+I517</f>
        <v>2.4986178</v>
      </c>
      <c r="L517" s="13" t="n">
        <f aca="false">MAX(0,D517-K517)</f>
        <v>2.4413822</v>
      </c>
      <c r="M517" s="13" t="n">
        <f aca="false">MAX(0,F517-I517-J517)</f>
        <v>0</v>
      </c>
      <c r="N517" s="13" t="n">
        <f aca="false">IF(Kalender!A151="",0,J516-H517)</f>
        <v>0.0150822</v>
      </c>
    </row>
    <row r="518" customFormat="false" ht="16.4" hidden="false" customHeight="false" outlineLevel="0" collapsed="false">
      <c r="A518" s="13" t="str">
        <f aca="false">""</f>
        <v/>
      </c>
      <c r="B518" s="13" t="n">
        <f aca="false">148</f>
        <v>148</v>
      </c>
      <c r="C518" s="13" t="n">
        <f aca="false">IF(Szenarien!$H$9="OK",(IFERROR(SUMIF(Nutzungsprofile!$B$6:$B$11,"Schulbetrieb",Nutzungsprofile!$G$6:$G$11)*Kalender!C152/SUM(Kalender!$C$5:$C$370),0)+IFERROR(SUMIF(Nutzungsprofile!$B$6:$B$11,"Halle",Nutzungsprofile!$G$6:$G$11)*Kalender!D152/SUM(Kalender!$D$5:$D$370),0)+IFERROR(SUMIF(Nutzungsprofile!$B$6:$B$11,"Individuell",Nutzungsprofile!$G$6:$G$11)*Kalender!E152/SUM(Kalender!$E$5:$E$370),0))*Szenarien!$E$9,0)</f>
        <v>2.94</v>
      </c>
      <c r="D518" s="13" t="n">
        <f aca="false">IF(Szenarien!$H$9="OK",(IFERROR(SUMIF(Nutzungsprofile!$B$17:$B$22,"Schulbetrieb",Nutzungsprofile!$G$17:$G$22)*Kalender!C152/SUM(Kalender!$C$5:$C$370),0)+IFERROR(SUMIF(Nutzungsprofile!$B$17:$B$22,"Halle",Nutzungsprofile!$G$17:$G$22)*Kalender!D152/SUM(Kalender!$D$5:$D$370),0)+IFERROR(SUMIF(Nutzungsprofile!$B$17:$B$22,"Individuell",Nutzungsprofile!$G$17:$G$22)*Kalender!E152/SUM(Kalender!$E$5:$E$370),0))*Szenarien!$D$9,0)</f>
        <v>4.94</v>
      </c>
      <c r="E518" s="13" t="n">
        <f aca="false">IFERROR(MIN(C518,Eingaben!$B$17)*Eingaben!$B$16,0)</f>
        <v>2.793</v>
      </c>
      <c r="F518" s="13" t="n">
        <f aca="false">IFERROR(E518*Eingaben!$B$15,0)</f>
        <v>2.5137</v>
      </c>
      <c r="G518" s="13" t="n">
        <f aca="false">IFERROR(IF(Kalender!A152="",0,J517*(1-Eingaben!$B$20)),0)</f>
        <v>0.7390278</v>
      </c>
      <c r="H518" s="13" t="n">
        <f aca="false">MIN(G518,D518)</f>
        <v>0.7390278</v>
      </c>
      <c r="I518" s="13" t="n">
        <f aca="false">IFERROR(MIN(F518*Eingaben!$B$19,MAX(0,D518-H518)),0)</f>
        <v>1.75959</v>
      </c>
      <c r="J518" s="13" t="n">
        <f aca="false">IFERROR(MIN(Eingaben!$B$18,MAX(0,F518-I518)),0)</f>
        <v>0.75411</v>
      </c>
      <c r="K518" s="13" t="n">
        <f aca="false">H518+I518</f>
        <v>2.4986178</v>
      </c>
      <c r="L518" s="13" t="n">
        <f aca="false">MAX(0,D518-K518)</f>
        <v>2.4413822</v>
      </c>
      <c r="M518" s="13" t="n">
        <f aca="false">MAX(0,F518-I518-J518)</f>
        <v>0</v>
      </c>
      <c r="N518" s="13" t="n">
        <f aca="false">IF(Kalender!A152="",0,J517-H518)</f>
        <v>0.0150822</v>
      </c>
    </row>
    <row r="519" customFormat="false" ht="16.4" hidden="false" customHeight="false" outlineLevel="0" collapsed="false">
      <c r="A519" s="13" t="str">
        <f aca="false">""</f>
        <v/>
      </c>
      <c r="B519" s="13" t="n">
        <f aca="false">149</f>
        <v>149</v>
      </c>
      <c r="C519" s="13" t="n">
        <f aca="false">IF(Szenarien!$H$9="OK",(IFERROR(SUMIF(Nutzungsprofile!$B$6:$B$11,"Schulbetrieb",Nutzungsprofile!$G$6:$G$11)*Kalender!C153/SUM(Kalender!$C$5:$C$370),0)+IFERROR(SUMIF(Nutzungsprofile!$B$6:$B$11,"Halle",Nutzungsprofile!$G$6:$G$11)*Kalender!D153/SUM(Kalender!$D$5:$D$370),0)+IFERROR(SUMIF(Nutzungsprofile!$B$6:$B$11,"Individuell",Nutzungsprofile!$G$6:$G$11)*Kalender!E153/SUM(Kalender!$E$5:$E$370),0))*Szenarien!$E$9,0)</f>
        <v>2.94</v>
      </c>
      <c r="D519" s="13" t="n">
        <f aca="false">IF(Szenarien!$H$9="OK",(IFERROR(SUMIF(Nutzungsprofile!$B$17:$B$22,"Schulbetrieb",Nutzungsprofile!$G$17:$G$22)*Kalender!C153/SUM(Kalender!$C$5:$C$370),0)+IFERROR(SUMIF(Nutzungsprofile!$B$17:$B$22,"Halle",Nutzungsprofile!$G$17:$G$22)*Kalender!D153/SUM(Kalender!$D$5:$D$370),0)+IFERROR(SUMIF(Nutzungsprofile!$B$17:$B$22,"Individuell",Nutzungsprofile!$G$17:$G$22)*Kalender!E153/SUM(Kalender!$E$5:$E$370),0))*Szenarien!$D$9,0)</f>
        <v>4.94</v>
      </c>
      <c r="E519" s="13" t="n">
        <f aca="false">IFERROR(MIN(C519,Eingaben!$B$17)*Eingaben!$B$16,0)</f>
        <v>2.793</v>
      </c>
      <c r="F519" s="13" t="n">
        <f aca="false">IFERROR(E519*Eingaben!$B$15,0)</f>
        <v>2.5137</v>
      </c>
      <c r="G519" s="13" t="n">
        <f aca="false">IFERROR(IF(Kalender!A153="",0,J518*(1-Eingaben!$B$20)),0)</f>
        <v>0.7390278</v>
      </c>
      <c r="H519" s="13" t="n">
        <f aca="false">MIN(G519,D519)</f>
        <v>0.7390278</v>
      </c>
      <c r="I519" s="13" t="n">
        <f aca="false">IFERROR(MIN(F519*Eingaben!$B$19,MAX(0,D519-H519)),0)</f>
        <v>1.75959</v>
      </c>
      <c r="J519" s="13" t="n">
        <f aca="false">IFERROR(MIN(Eingaben!$B$18,MAX(0,F519-I519)),0)</f>
        <v>0.75411</v>
      </c>
      <c r="K519" s="13" t="n">
        <f aca="false">H519+I519</f>
        <v>2.4986178</v>
      </c>
      <c r="L519" s="13" t="n">
        <f aca="false">MAX(0,D519-K519)</f>
        <v>2.4413822</v>
      </c>
      <c r="M519" s="13" t="n">
        <f aca="false">MAX(0,F519-I519-J519)</f>
        <v>0</v>
      </c>
      <c r="N519" s="13" t="n">
        <f aca="false">IF(Kalender!A153="",0,J518-H519)</f>
        <v>0.0150822</v>
      </c>
    </row>
    <row r="520" customFormat="false" ht="16.4" hidden="false" customHeight="false" outlineLevel="0" collapsed="false">
      <c r="A520" s="13" t="str">
        <f aca="false">""</f>
        <v/>
      </c>
      <c r="B520" s="13" t="n">
        <f aca="false">150</f>
        <v>150</v>
      </c>
      <c r="C520" s="13" t="n">
        <f aca="false">IF(Szenarien!$H$9="OK",(IFERROR(SUMIF(Nutzungsprofile!$B$6:$B$11,"Schulbetrieb",Nutzungsprofile!$G$6:$G$11)*Kalender!C154/SUM(Kalender!$C$5:$C$370),0)+IFERROR(SUMIF(Nutzungsprofile!$B$6:$B$11,"Halle",Nutzungsprofile!$G$6:$G$11)*Kalender!D154/SUM(Kalender!$D$5:$D$370),0)+IFERROR(SUMIF(Nutzungsprofile!$B$6:$B$11,"Individuell",Nutzungsprofile!$G$6:$G$11)*Kalender!E154/SUM(Kalender!$E$5:$E$370),0))*Szenarien!$E$9,0)</f>
        <v>2.04</v>
      </c>
      <c r="D520" s="13" t="n">
        <f aca="false">IF(Szenarien!$H$9="OK",(IFERROR(SUMIF(Nutzungsprofile!$B$17:$B$22,"Schulbetrieb",Nutzungsprofile!$G$17:$G$22)*Kalender!C154/SUM(Kalender!$C$5:$C$370),0)+IFERROR(SUMIF(Nutzungsprofile!$B$17:$B$22,"Halle",Nutzungsprofile!$G$17:$G$22)*Kalender!D154/SUM(Kalender!$D$5:$D$370),0)+IFERROR(SUMIF(Nutzungsprofile!$B$17:$B$22,"Individuell",Nutzungsprofile!$G$17:$G$22)*Kalender!E154/SUM(Kalender!$E$5:$E$370),0))*Szenarien!$D$9,0)</f>
        <v>0.89</v>
      </c>
      <c r="E520" s="13" t="n">
        <f aca="false">IFERROR(MIN(C520,Eingaben!$B$17)*Eingaben!$B$16,0)</f>
        <v>1.938</v>
      </c>
      <c r="F520" s="13" t="n">
        <f aca="false">IFERROR(E520*Eingaben!$B$15,0)</f>
        <v>1.7442</v>
      </c>
      <c r="G520" s="13" t="n">
        <f aca="false">IFERROR(IF(Kalender!A154="",0,J519*(1-Eingaben!$B$20)),0)</f>
        <v>0.7390278</v>
      </c>
      <c r="H520" s="13" t="n">
        <f aca="false">MIN(G520,D520)</f>
        <v>0.7390278</v>
      </c>
      <c r="I520" s="13" t="n">
        <f aca="false">IFERROR(MIN(F520*Eingaben!$B$19,MAX(0,D520-H520)),0)</f>
        <v>0.1509722</v>
      </c>
      <c r="J520" s="13" t="n">
        <f aca="false">IFERROR(MIN(Eingaben!$B$18,MAX(0,F520-I520)),0)</f>
        <v>1.5932278</v>
      </c>
      <c r="K520" s="13" t="n">
        <f aca="false">H520+I520</f>
        <v>0.89</v>
      </c>
      <c r="L520" s="13" t="n">
        <f aca="false">MAX(0,D520-K520)</f>
        <v>0</v>
      </c>
      <c r="M520" s="13" t="n">
        <f aca="false">MAX(0,F520-I520-J520)</f>
        <v>0</v>
      </c>
      <c r="N520" s="13" t="n">
        <f aca="false">IF(Kalender!A154="",0,J519-H520)</f>
        <v>0.0150822</v>
      </c>
    </row>
    <row r="521" customFormat="false" ht="16.4" hidden="false" customHeight="false" outlineLevel="0" collapsed="false">
      <c r="A521" s="13" t="str">
        <f aca="false">""</f>
        <v/>
      </c>
      <c r="B521" s="13" t="n">
        <f aca="false">151</f>
        <v>151</v>
      </c>
      <c r="C521" s="13" t="n">
        <f aca="false">IF(Szenarien!$H$9="OK",(IFERROR(SUMIF(Nutzungsprofile!$B$6:$B$11,"Schulbetrieb",Nutzungsprofile!$G$6:$G$11)*Kalender!C155/SUM(Kalender!$C$5:$C$370),0)+IFERROR(SUMIF(Nutzungsprofile!$B$6:$B$11,"Halle",Nutzungsprofile!$G$6:$G$11)*Kalender!D155/SUM(Kalender!$D$5:$D$370),0)+IFERROR(SUMIF(Nutzungsprofile!$B$6:$B$11,"Individuell",Nutzungsprofile!$G$6:$G$11)*Kalender!E155/SUM(Kalender!$E$5:$E$370),0))*Szenarien!$E$9,0)</f>
        <v>2.04</v>
      </c>
      <c r="D521" s="13" t="n">
        <f aca="false">IF(Szenarien!$H$9="OK",(IFERROR(SUMIF(Nutzungsprofile!$B$17:$B$22,"Schulbetrieb",Nutzungsprofile!$G$17:$G$22)*Kalender!C155/SUM(Kalender!$C$5:$C$370),0)+IFERROR(SUMIF(Nutzungsprofile!$B$17:$B$22,"Halle",Nutzungsprofile!$G$17:$G$22)*Kalender!D155/SUM(Kalender!$D$5:$D$370),0)+IFERROR(SUMIF(Nutzungsprofile!$B$17:$B$22,"Individuell",Nutzungsprofile!$G$17:$G$22)*Kalender!E155/SUM(Kalender!$E$5:$E$370),0))*Szenarien!$D$9,0)</f>
        <v>0.89</v>
      </c>
      <c r="E521" s="13" t="n">
        <f aca="false">IFERROR(MIN(C521,Eingaben!$B$17)*Eingaben!$B$16,0)</f>
        <v>1.938</v>
      </c>
      <c r="F521" s="13" t="n">
        <f aca="false">IFERROR(E521*Eingaben!$B$15,0)</f>
        <v>1.7442</v>
      </c>
      <c r="G521" s="13" t="n">
        <f aca="false">IFERROR(IF(Kalender!A155="",0,J520*(1-Eingaben!$B$20)),0)</f>
        <v>1.561363244</v>
      </c>
      <c r="H521" s="13" t="n">
        <f aca="false">MIN(G521,D521)</f>
        <v>0.89</v>
      </c>
      <c r="I521" s="13" t="n">
        <f aca="false">IFERROR(MIN(F521*Eingaben!$B$19,MAX(0,D521-H521)),0)</f>
        <v>0</v>
      </c>
      <c r="J521" s="13" t="n">
        <f aca="false">IFERROR(MIN(Eingaben!$B$18,MAX(0,F521-I521)),0)</f>
        <v>1.7442</v>
      </c>
      <c r="K521" s="13" t="n">
        <f aca="false">H521+I521</f>
        <v>0.89</v>
      </c>
      <c r="L521" s="13" t="n">
        <f aca="false">MAX(0,D521-K521)</f>
        <v>0</v>
      </c>
      <c r="M521" s="13" t="n">
        <f aca="false">MAX(0,F521-I521-J521)</f>
        <v>0</v>
      </c>
      <c r="N521" s="13" t="n">
        <f aca="false">IF(Kalender!A155="",0,J520-H521)</f>
        <v>0.7032278</v>
      </c>
    </row>
    <row r="522" customFormat="false" ht="16.4" hidden="false" customHeight="false" outlineLevel="0" collapsed="false">
      <c r="A522" s="13" t="str">
        <f aca="false">""</f>
        <v/>
      </c>
      <c r="B522" s="13" t="n">
        <f aca="false">152</f>
        <v>152</v>
      </c>
      <c r="C522" s="13" t="n">
        <f aca="false">IF(Szenarien!$H$9="OK",(IFERROR(SUMIF(Nutzungsprofile!$B$6:$B$11,"Schulbetrieb",Nutzungsprofile!$G$6:$G$11)*Kalender!C156/SUM(Kalender!$C$5:$C$370),0)+IFERROR(SUMIF(Nutzungsprofile!$B$6:$B$11,"Halle",Nutzungsprofile!$G$6:$G$11)*Kalender!D156/SUM(Kalender!$D$5:$D$370),0)+IFERROR(SUMIF(Nutzungsprofile!$B$6:$B$11,"Individuell",Nutzungsprofile!$G$6:$G$11)*Kalender!E156/SUM(Kalender!$E$5:$E$370),0))*Szenarien!$E$9,0)</f>
        <v>2.94</v>
      </c>
      <c r="D522" s="13" t="n">
        <f aca="false">IF(Szenarien!$H$9="OK",(IFERROR(SUMIF(Nutzungsprofile!$B$17:$B$22,"Schulbetrieb",Nutzungsprofile!$G$17:$G$22)*Kalender!C156/SUM(Kalender!$C$5:$C$370),0)+IFERROR(SUMIF(Nutzungsprofile!$B$17:$B$22,"Halle",Nutzungsprofile!$G$17:$G$22)*Kalender!D156/SUM(Kalender!$D$5:$D$370),0)+IFERROR(SUMIF(Nutzungsprofile!$B$17:$B$22,"Individuell",Nutzungsprofile!$G$17:$G$22)*Kalender!E156/SUM(Kalender!$E$5:$E$370),0))*Szenarien!$D$9,0)</f>
        <v>4.94</v>
      </c>
      <c r="E522" s="13" t="n">
        <f aca="false">IFERROR(MIN(C522,Eingaben!$B$17)*Eingaben!$B$16,0)</f>
        <v>2.793</v>
      </c>
      <c r="F522" s="13" t="n">
        <f aca="false">IFERROR(E522*Eingaben!$B$15,0)</f>
        <v>2.5137</v>
      </c>
      <c r="G522" s="13" t="n">
        <f aca="false">IFERROR(IF(Kalender!A156="",0,J521*(1-Eingaben!$B$20)),0)</f>
        <v>1.709316</v>
      </c>
      <c r="H522" s="13" t="n">
        <f aca="false">MIN(G522,D522)</f>
        <v>1.709316</v>
      </c>
      <c r="I522" s="13" t="n">
        <f aca="false">IFERROR(MIN(F522*Eingaben!$B$19,MAX(0,D522-H522)),0)</f>
        <v>1.75959</v>
      </c>
      <c r="J522" s="13" t="n">
        <f aca="false">IFERROR(MIN(Eingaben!$B$18,MAX(0,F522-I522)),0)</f>
        <v>0.75411</v>
      </c>
      <c r="K522" s="13" t="n">
        <f aca="false">H522+I522</f>
        <v>3.468906</v>
      </c>
      <c r="L522" s="13" t="n">
        <f aca="false">MAX(0,D522-K522)</f>
        <v>1.471094</v>
      </c>
      <c r="M522" s="13" t="n">
        <f aca="false">MAX(0,F522-I522-J522)</f>
        <v>0</v>
      </c>
      <c r="N522" s="13" t="n">
        <f aca="false">IF(Kalender!A156="",0,J521-H522)</f>
        <v>0.0348840000000001</v>
      </c>
    </row>
    <row r="523" customFormat="false" ht="16.4" hidden="false" customHeight="false" outlineLevel="0" collapsed="false">
      <c r="A523" s="13" t="str">
        <f aca="false">""</f>
        <v/>
      </c>
      <c r="B523" s="13" t="n">
        <f aca="false">153</f>
        <v>153</v>
      </c>
      <c r="C523" s="13" t="n">
        <f aca="false">IF(Szenarien!$H$9="OK",(IFERROR(SUMIF(Nutzungsprofile!$B$6:$B$11,"Schulbetrieb",Nutzungsprofile!$G$6:$G$11)*Kalender!C157/SUM(Kalender!$C$5:$C$370),0)+IFERROR(SUMIF(Nutzungsprofile!$B$6:$B$11,"Halle",Nutzungsprofile!$G$6:$G$11)*Kalender!D157/SUM(Kalender!$D$5:$D$370),0)+IFERROR(SUMIF(Nutzungsprofile!$B$6:$B$11,"Individuell",Nutzungsprofile!$G$6:$G$11)*Kalender!E157/SUM(Kalender!$E$5:$E$370),0))*Szenarien!$E$9,0)</f>
        <v>2.94</v>
      </c>
      <c r="D523" s="13" t="n">
        <f aca="false">IF(Szenarien!$H$9="OK",(IFERROR(SUMIF(Nutzungsprofile!$B$17:$B$22,"Schulbetrieb",Nutzungsprofile!$G$17:$G$22)*Kalender!C157/SUM(Kalender!$C$5:$C$370),0)+IFERROR(SUMIF(Nutzungsprofile!$B$17:$B$22,"Halle",Nutzungsprofile!$G$17:$G$22)*Kalender!D157/SUM(Kalender!$D$5:$D$370),0)+IFERROR(SUMIF(Nutzungsprofile!$B$17:$B$22,"Individuell",Nutzungsprofile!$G$17:$G$22)*Kalender!E157/SUM(Kalender!$E$5:$E$370),0))*Szenarien!$D$9,0)</f>
        <v>4.94</v>
      </c>
      <c r="E523" s="13" t="n">
        <f aca="false">IFERROR(MIN(C523,Eingaben!$B$17)*Eingaben!$B$16,0)</f>
        <v>2.793</v>
      </c>
      <c r="F523" s="13" t="n">
        <f aca="false">IFERROR(E523*Eingaben!$B$15,0)</f>
        <v>2.5137</v>
      </c>
      <c r="G523" s="13" t="n">
        <f aca="false">IFERROR(IF(Kalender!A157="",0,J522*(1-Eingaben!$B$20)),0)</f>
        <v>0.7390278</v>
      </c>
      <c r="H523" s="13" t="n">
        <f aca="false">MIN(G523,D523)</f>
        <v>0.7390278</v>
      </c>
      <c r="I523" s="13" t="n">
        <f aca="false">IFERROR(MIN(F523*Eingaben!$B$19,MAX(0,D523-H523)),0)</f>
        <v>1.75959</v>
      </c>
      <c r="J523" s="13" t="n">
        <f aca="false">IFERROR(MIN(Eingaben!$B$18,MAX(0,F523-I523)),0)</f>
        <v>0.75411</v>
      </c>
      <c r="K523" s="13" t="n">
        <f aca="false">H523+I523</f>
        <v>2.4986178</v>
      </c>
      <c r="L523" s="13" t="n">
        <f aca="false">MAX(0,D523-K523)</f>
        <v>2.4413822</v>
      </c>
      <c r="M523" s="13" t="n">
        <f aca="false">MAX(0,F523-I523-J523)</f>
        <v>0</v>
      </c>
      <c r="N523" s="13" t="n">
        <f aca="false">IF(Kalender!A157="",0,J522-H523)</f>
        <v>0.0150822</v>
      </c>
    </row>
    <row r="524" customFormat="false" ht="16.4" hidden="false" customHeight="false" outlineLevel="0" collapsed="false">
      <c r="A524" s="13" t="str">
        <f aca="false">""</f>
        <v/>
      </c>
      <c r="B524" s="13" t="n">
        <f aca="false">154</f>
        <v>154</v>
      </c>
      <c r="C524" s="13" t="n">
        <f aca="false">IF(Szenarien!$H$9="OK",(IFERROR(SUMIF(Nutzungsprofile!$B$6:$B$11,"Schulbetrieb",Nutzungsprofile!$G$6:$G$11)*Kalender!C158/SUM(Kalender!$C$5:$C$370),0)+IFERROR(SUMIF(Nutzungsprofile!$B$6:$B$11,"Halle",Nutzungsprofile!$G$6:$G$11)*Kalender!D158/SUM(Kalender!$D$5:$D$370),0)+IFERROR(SUMIF(Nutzungsprofile!$B$6:$B$11,"Individuell",Nutzungsprofile!$G$6:$G$11)*Kalender!E158/SUM(Kalender!$E$5:$E$370),0))*Szenarien!$E$9,0)</f>
        <v>2.94</v>
      </c>
      <c r="D524" s="13" t="n">
        <f aca="false">IF(Szenarien!$H$9="OK",(IFERROR(SUMIF(Nutzungsprofile!$B$17:$B$22,"Schulbetrieb",Nutzungsprofile!$G$17:$G$22)*Kalender!C158/SUM(Kalender!$C$5:$C$370),0)+IFERROR(SUMIF(Nutzungsprofile!$B$17:$B$22,"Halle",Nutzungsprofile!$G$17:$G$22)*Kalender!D158/SUM(Kalender!$D$5:$D$370),0)+IFERROR(SUMIF(Nutzungsprofile!$B$17:$B$22,"Individuell",Nutzungsprofile!$G$17:$G$22)*Kalender!E158/SUM(Kalender!$E$5:$E$370),0))*Szenarien!$D$9,0)</f>
        <v>4.94</v>
      </c>
      <c r="E524" s="13" t="n">
        <f aca="false">IFERROR(MIN(C524,Eingaben!$B$17)*Eingaben!$B$16,0)</f>
        <v>2.793</v>
      </c>
      <c r="F524" s="13" t="n">
        <f aca="false">IFERROR(E524*Eingaben!$B$15,0)</f>
        <v>2.5137</v>
      </c>
      <c r="G524" s="13" t="n">
        <f aca="false">IFERROR(IF(Kalender!A158="",0,J523*(1-Eingaben!$B$20)),0)</f>
        <v>0.7390278</v>
      </c>
      <c r="H524" s="13" t="n">
        <f aca="false">MIN(G524,D524)</f>
        <v>0.7390278</v>
      </c>
      <c r="I524" s="13" t="n">
        <f aca="false">IFERROR(MIN(F524*Eingaben!$B$19,MAX(0,D524-H524)),0)</f>
        <v>1.75959</v>
      </c>
      <c r="J524" s="13" t="n">
        <f aca="false">IFERROR(MIN(Eingaben!$B$18,MAX(0,F524-I524)),0)</f>
        <v>0.75411</v>
      </c>
      <c r="K524" s="13" t="n">
        <f aca="false">H524+I524</f>
        <v>2.4986178</v>
      </c>
      <c r="L524" s="13" t="n">
        <f aca="false">MAX(0,D524-K524)</f>
        <v>2.4413822</v>
      </c>
      <c r="M524" s="13" t="n">
        <f aca="false">MAX(0,F524-I524-J524)</f>
        <v>0</v>
      </c>
      <c r="N524" s="13" t="n">
        <f aca="false">IF(Kalender!A158="",0,J523-H524)</f>
        <v>0.0150822</v>
      </c>
    </row>
    <row r="525" customFormat="false" ht="16.4" hidden="false" customHeight="false" outlineLevel="0" collapsed="false">
      <c r="A525" s="13" t="str">
        <f aca="false">""</f>
        <v/>
      </c>
      <c r="B525" s="13" t="n">
        <f aca="false">155</f>
        <v>155</v>
      </c>
      <c r="C525" s="13" t="n">
        <f aca="false">IF(Szenarien!$H$9="OK",(IFERROR(SUMIF(Nutzungsprofile!$B$6:$B$11,"Schulbetrieb",Nutzungsprofile!$G$6:$G$11)*Kalender!C159/SUM(Kalender!$C$5:$C$370),0)+IFERROR(SUMIF(Nutzungsprofile!$B$6:$B$11,"Halle",Nutzungsprofile!$G$6:$G$11)*Kalender!D159/SUM(Kalender!$D$5:$D$370),0)+IFERROR(SUMIF(Nutzungsprofile!$B$6:$B$11,"Individuell",Nutzungsprofile!$G$6:$G$11)*Kalender!E159/SUM(Kalender!$E$5:$E$370),0))*Szenarien!$E$9,0)</f>
        <v>2.94</v>
      </c>
      <c r="D525" s="13" t="n">
        <f aca="false">IF(Szenarien!$H$9="OK",(IFERROR(SUMIF(Nutzungsprofile!$B$17:$B$22,"Schulbetrieb",Nutzungsprofile!$G$17:$G$22)*Kalender!C159/SUM(Kalender!$C$5:$C$370),0)+IFERROR(SUMIF(Nutzungsprofile!$B$17:$B$22,"Halle",Nutzungsprofile!$G$17:$G$22)*Kalender!D159/SUM(Kalender!$D$5:$D$370),0)+IFERROR(SUMIF(Nutzungsprofile!$B$17:$B$22,"Individuell",Nutzungsprofile!$G$17:$G$22)*Kalender!E159/SUM(Kalender!$E$5:$E$370),0))*Szenarien!$D$9,0)</f>
        <v>4.94</v>
      </c>
      <c r="E525" s="13" t="n">
        <f aca="false">IFERROR(MIN(C525,Eingaben!$B$17)*Eingaben!$B$16,0)</f>
        <v>2.793</v>
      </c>
      <c r="F525" s="13" t="n">
        <f aca="false">IFERROR(E525*Eingaben!$B$15,0)</f>
        <v>2.5137</v>
      </c>
      <c r="G525" s="13" t="n">
        <f aca="false">IFERROR(IF(Kalender!A159="",0,J524*(1-Eingaben!$B$20)),0)</f>
        <v>0.7390278</v>
      </c>
      <c r="H525" s="13" t="n">
        <f aca="false">MIN(G525,D525)</f>
        <v>0.7390278</v>
      </c>
      <c r="I525" s="13" t="n">
        <f aca="false">IFERROR(MIN(F525*Eingaben!$B$19,MAX(0,D525-H525)),0)</f>
        <v>1.75959</v>
      </c>
      <c r="J525" s="13" t="n">
        <f aca="false">IFERROR(MIN(Eingaben!$B$18,MAX(0,F525-I525)),0)</f>
        <v>0.75411</v>
      </c>
      <c r="K525" s="13" t="n">
        <f aca="false">H525+I525</f>
        <v>2.4986178</v>
      </c>
      <c r="L525" s="13" t="n">
        <f aca="false">MAX(0,D525-K525)</f>
        <v>2.4413822</v>
      </c>
      <c r="M525" s="13" t="n">
        <f aca="false">MAX(0,F525-I525-J525)</f>
        <v>0</v>
      </c>
      <c r="N525" s="13" t="n">
        <f aca="false">IF(Kalender!A159="",0,J524-H525)</f>
        <v>0.0150822</v>
      </c>
    </row>
    <row r="526" customFormat="false" ht="16.4" hidden="false" customHeight="false" outlineLevel="0" collapsed="false">
      <c r="A526" s="13" t="str">
        <f aca="false">""</f>
        <v/>
      </c>
      <c r="B526" s="13" t="n">
        <f aca="false">156</f>
        <v>156</v>
      </c>
      <c r="C526" s="13" t="n">
        <f aca="false">IF(Szenarien!$H$9="OK",(IFERROR(SUMIF(Nutzungsprofile!$B$6:$B$11,"Schulbetrieb",Nutzungsprofile!$G$6:$G$11)*Kalender!C160/SUM(Kalender!$C$5:$C$370),0)+IFERROR(SUMIF(Nutzungsprofile!$B$6:$B$11,"Halle",Nutzungsprofile!$G$6:$G$11)*Kalender!D160/SUM(Kalender!$D$5:$D$370),0)+IFERROR(SUMIF(Nutzungsprofile!$B$6:$B$11,"Individuell",Nutzungsprofile!$G$6:$G$11)*Kalender!E160/SUM(Kalender!$E$5:$E$370),0))*Szenarien!$E$9,0)</f>
        <v>2.94</v>
      </c>
      <c r="D526" s="13" t="n">
        <f aca="false">IF(Szenarien!$H$9="OK",(IFERROR(SUMIF(Nutzungsprofile!$B$17:$B$22,"Schulbetrieb",Nutzungsprofile!$G$17:$G$22)*Kalender!C160/SUM(Kalender!$C$5:$C$370),0)+IFERROR(SUMIF(Nutzungsprofile!$B$17:$B$22,"Halle",Nutzungsprofile!$G$17:$G$22)*Kalender!D160/SUM(Kalender!$D$5:$D$370),0)+IFERROR(SUMIF(Nutzungsprofile!$B$17:$B$22,"Individuell",Nutzungsprofile!$G$17:$G$22)*Kalender!E160/SUM(Kalender!$E$5:$E$370),0))*Szenarien!$D$9,0)</f>
        <v>4.94</v>
      </c>
      <c r="E526" s="13" t="n">
        <f aca="false">IFERROR(MIN(C526,Eingaben!$B$17)*Eingaben!$B$16,0)</f>
        <v>2.793</v>
      </c>
      <c r="F526" s="13" t="n">
        <f aca="false">IFERROR(E526*Eingaben!$B$15,0)</f>
        <v>2.5137</v>
      </c>
      <c r="G526" s="13" t="n">
        <f aca="false">IFERROR(IF(Kalender!A160="",0,J525*(1-Eingaben!$B$20)),0)</f>
        <v>0.7390278</v>
      </c>
      <c r="H526" s="13" t="n">
        <f aca="false">MIN(G526,D526)</f>
        <v>0.7390278</v>
      </c>
      <c r="I526" s="13" t="n">
        <f aca="false">IFERROR(MIN(F526*Eingaben!$B$19,MAX(0,D526-H526)),0)</f>
        <v>1.75959</v>
      </c>
      <c r="J526" s="13" t="n">
        <f aca="false">IFERROR(MIN(Eingaben!$B$18,MAX(0,F526-I526)),0)</f>
        <v>0.75411</v>
      </c>
      <c r="K526" s="13" t="n">
        <f aca="false">H526+I526</f>
        <v>2.4986178</v>
      </c>
      <c r="L526" s="13" t="n">
        <f aca="false">MAX(0,D526-K526)</f>
        <v>2.4413822</v>
      </c>
      <c r="M526" s="13" t="n">
        <f aca="false">MAX(0,F526-I526-J526)</f>
        <v>0</v>
      </c>
      <c r="N526" s="13" t="n">
        <f aca="false">IF(Kalender!A160="",0,J525-H526)</f>
        <v>0.0150822</v>
      </c>
    </row>
    <row r="527" customFormat="false" ht="16.4" hidden="false" customHeight="false" outlineLevel="0" collapsed="false">
      <c r="A527" s="13" t="str">
        <f aca="false">""</f>
        <v/>
      </c>
      <c r="B527" s="13" t="n">
        <f aca="false">157</f>
        <v>157</v>
      </c>
      <c r="C527" s="13" t="n">
        <f aca="false">IF(Szenarien!$H$9="OK",(IFERROR(SUMIF(Nutzungsprofile!$B$6:$B$11,"Schulbetrieb",Nutzungsprofile!$G$6:$G$11)*Kalender!C161/SUM(Kalender!$C$5:$C$370),0)+IFERROR(SUMIF(Nutzungsprofile!$B$6:$B$11,"Halle",Nutzungsprofile!$G$6:$G$11)*Kalender!D161/SUM(Kalender!$D$5:$D$370),0)+IFERROR(SUMIF(Nutzungsprofile!$B$6:$B$11,"Individuell",Nutzungsprofile!$G$6:$G$11)*Kalender!E161/SUM(Kalender!$E$5:$E$370),0))*Szenarien!$E$9,0)</f>
        <v>2.04</v>
      </c>
      <c r="D527" s="13" t="n">
        <f aca="false">IF(Szenarien!$H$9="OK",(IFERROR(SUMIF(Nutzungsprofile!$B$17:$B$22,"Schulbetrieb",Nutzungsprofile!$G$17:$G$22)*Kalender!C161/SUM(Kalender!$C$5:$C$370),0)+IFERROR(SUMIF(Nutzungsprofile!$B$17:$B$22,"Halle",Nutzungsprofile!$G$17:$G$22)*Kalender!D161/SUM(Kalender!$D$5:$D$370),0)+IFERROR(SUMIF(Nutzungsprofile!$B$17:$B$22,"Individuell",Nutzungsprofile!$G$17:$G$22)*Kalender!E161/SUM(Kalender!$E$5:$E$370),0))*Szenarien!$D$9,0)</f>
        <v>0.89</v>
      </c>
      <c r="E527" s="13" t="n">
        <f aca="false">IFERROR(MIN(C527,Eingaben!$B$17)*Eingaben!$B$16,0)</f>
        <v>1.938</v>
      </c>
      <c r="F527" s="13" t="n">
        <f aca="false">IFERROR(E527*Eingaben!$B$15,0)</f>
        <v>1.7442</v>
      </c>
      <c r="G527" s="13" t="n">
        <f aca="false">IFERROR(IF(Kalender!A161="",0,J526*(1-Eingaben!$B$20)),0)</f>
        <v>0.7390278</v>
      </c>
      <c r="H527" s="13" t="n">
        <f aca="false">MIN(G527,D527)</f>
        <v>0.7390278</v>
      </c>
      <c r="I527" s="13" t="n">
        <f aca="false">IFERROR(MIN(F527*Eingaben!$B$19,MAX(0,D527-H527)),0)</f>
        <v>0.1509722</v>
      </c>
      <c r="J527" s="13" t="n">
        <f aca="false">IFERROR(MIN(Eingaben!$B$18,MAX(0,F527-I527)),0)</f>
        <v>1.5932278</v>
      </c>
      <c r="K527" s="13" t="n">
        <f aca="false">H527+I527</f>
        <v>0.89</v>
      </c>
      <c r="L527" s="13" t="n">
        <f aca="false">MAX(0,D527-K527)</f>
        <v>0</v>
      </c>
      <c r="M527" s="13" t="n">
        <f aca="false">MAX(0,F527-I527-J527)</f>
        <v>0</v>
      </c>
      <c r="N527" s="13" t="n">
        <f aca="false">IF(Kalender!A161="",0,J526-H527)</f>
        <v>0.0150822</v>
      </c>
    </row>
    <row r="528" customFormat="false" ht="16.4" hidden="false" customHeight="false" outlineLevel="0" collapsed="false">
      <c r="A528" s="13" t="str">
        <f aca="false">""</f>
        <v/>
      </c>
      <c r="B528" s="13" t="n">
        <f aca="false">158</f>
        <v>158</v>
      </c>
      <c r="C528" s="13" t="n">
        <f aca="false">IF(Szenarien!$H$9="OK",(IFERROR(SUMIF(Nutzungsprofile!$B$6:$B$11,"Schulbetrieb",Nutzungsprofile!$G$6:$G$11)*Kalender!C162/SUM(Kalender!$C$5:$C$370),0)+IFERROR(SUMIF(Nutzungsprofile!$B$6:$B$11,"Halle",Nutzungsprofile!$G$6:$G$11)*Kalender!D162/SUM(Kalender!$D$5:$D$370),0)+IFERROR(SUMIF(Nutzungsprofile!$B$6:$B$11,"Individuell",Nutzungsprofile!$G$6:$G$11)*Kalender!E162/SUM(Kalender!$E$5:$E$370),0))*Szenarien!$E$9,0)</f>
        <v>2.04</v>
      </c>
      <c r="D528" s="13" t="n">
        <f aca="false">IF(Szenarien!$H$9="OK",(IFERROR(SUMIF(Nutzungsprofile!$B$17:$B$22,"Schulbetrieb",Nutzungsprofile!$G$17:$G$22)*Kalender!C162/SUM(Kalender!$C$5:$C$370),0)+IFERROR(SUMIF(Nutzungsprofile!$B$17:$B$22,"Halle",Nutzungsprofile!$G$17:$G$22)*Kalender!D162/SUM(Kalender!$D$5:$D$370),0)+IFERROR(SUMIF(Nutzungsprofile!$B$17:$B$22,"Individuell",Nutzungsprofile!$G$17:$G$22)*Kalender!E162/SUM(Kalender!$E$5:$E$370),0))*Szenarien!$D$9,0)</f>
        <v>0.89</v>
      </c>
      <c r="E528" s="13" t="n">
        <f aca="false">IFERROR(MIN(C528,Eingaben!$B$17)*Eingaben!$B$16,0)</f>
        <v>1.938</v>
      </c>
      <c r="F528" s="13" t="n">
        <f aca="false">IFERROR(E528*Eingaben!$B$15,0)</f>
        <v>1.7442</v>
      </c>
      <c r="G528" s="13" t="n">
        <f aca="false">IFERROR(IF(Kalender!A162="",0,J527*(1-Eingaben!$B$20)),0)</f>
        <v>1.561363244</v>
      </c>
      <c r="H528" s="13" t="n">
        <f aca="false">MIN(G528,D528)</f>
        <v>0.89</v>
      </c>
      <c r="I528" s="13" t="n">
        <f aca="false">IFERROR(MIN(F528*Eingaben!$B$19,MAX(0,D528-H528)),0)</f>
        <v>0</v>
      </c>
      <c r="J528" s="13" t="n">
        <f aca="false">IFERROR(MIN(Eingaben!$B$18,MAX(0,F528-I528)),0)</f>
        <v>1.7442</v>
      </c>
      <c r="K528" s="13" t="n">
        <f aca="false">H528+I528</f>
        <v>0.89</v>
      </c>
      <c r="L528" s="13" t="n">
        <f aca="false">MAX(0,D528-K528)</f>
        <v>0</v>
      </c>
      <c r="M528" s="13" t="n">
        <f aca="false">MAX(0,F528-I528-J528)</f>
        <v>0</v>
      </c>
      <c r="N528" s="13" t="n">
        <f aca="false">IF(Kalender!A162="",0,J527-H528)</f>
        <v>0.7032278</v>
      </c>
    </row>
    <row r="529" customFormat="false" ht="16.4" hidden="false" customHeight="false" outlineLevel="0" collapsed="false">
      <c r="A529" s="13" t="str">
        <f aca="false">""</f>
        <v/>
      </c>
      <c r="B529" s="13" t="n">
        <f aca="false">159</f>
        <v>159</v>
      </c>
      <c r="C529" s="13" t="n">
        <f aca="false">IF(Szenarien!$H$9="OK",(IFERROR(SUMIF(Nutzungsprofile!$B$6:$B$11,"Schulbetrieb",Nutzungsprofile!$G$6:$G$11)*Kalender!C163/SUM(Kalender!$C$5:$C$370),0)+IFERROR(SUMIF(Nutzungsprofile!$B$6:$B$11,"Halle",Nutzungsprofile!$G$6:$G$11)*Kalender!D163/SUM(Kalender!$D$5:$D$370),0)+IFERROR(SUMIF(Nutzungsprofile!$B$6:$B$11,"Individuell",Nutzungsprofile!$G$6:$G$11)*Kalender!E163/SUM(Kalender!$E$5:$E$370),0))*Szenarien!$E$9,0)</f>
        <v>2.94</v>
      </c>
      <c r="D529" s="13" t="n">
        <f aca="false">IF(Szenarien!$H$9="OK",(IFERROR(SUMIF(Nutzungsprofile!$B$17:$B$22,"Schulbetrieb",Nutzungsprofile!$G$17:$G$22)*Kalender!C163/SUM(Kalender!$C$5:$C$370),0)+IFERROR(SUMIF(Nutzungsprofile!$B$17:$B$22,"Halle",Nutzungsprofile!$G$17:$G$22)*Kalender!D163/SUM(Kalender!$D$5:$D$370),0)+IFERROR(SUMIF(Nutzungsprofile!$B$17:$B$22,"Individuell",Nutzungsprofile!$G$17:$G$22)*Kalender!E163/SUM(Kalender!$E$5:$E$370),0))*Szenarien!$D$9,0)</f>
        <v>4.94</v>
      </c>
      <c r="E529" s="13" t="n">
        <f aca="false">IFERROR(MIN(C529,Eingaben!$B$17)*Eingaben!$B$16,0)</f>
        <v>2.793</v>
      </c>
      <c r="F529" s="13" t="n">
        <f aca="false">IFERROR(E529*Eingaben!$B$15,0)</f>
        <v>2.5137</v>
      </c>
      <c r="G529" s="13" t="n">
        <f aca="false">IFERROR(IF(Kalender!A163="",0,J528*(1-Eingaben!$B$20)),0)</f>
        <v>1.709316</v>
      </c>
      <c r="H529" s="13" t="n">
        <f aca="false">MIN(G529,D529)</f>
        <v>1.709316</v>
      </c>
      <c r="I529" s="13" t="n">
        <f aca="false">IFERROR(MIN(F529*Eingaben!$B$19,MAX(0,D529-H529)),0)</f>
        <v>1.75959</v>
      </c>
      <c r="J529" s="13" t="n">
        <f aca="false">IFERROR(MIN(Eingaben!$B$18,MAX(0,F529-I529)),0)</f>
        <v>0.75411</v>
      </c>
      <c r="K529" s="13" t="n">
        <f aca="false">H529+I529</f>
        <v>3.468906</v>
      </c>
      <c r="L529" s="13" t="n">
        <f aca="false">MAX(0,D529-K529)</f>
        <v>1.471094</v>
      </c>
      <c r="M529" s="13" t="n">
        <f aca="false">MAX(0,F529-I529-J529)</f>
        <v>0</v>
      </c>
      <c r="N529" s="13" t="n">
        <f aca="false">IF(Kalender!A163="",0,J528-H529)</f>
        <v>0.0348840000000001</v>
      </c>
    </row>
    <row r="530" customFormat="false" ht="16.4" hidden="false" customHeight="false" outlineLevel="0" collapsed="false">
      <c r="A530" s="13" t="str">
        <f aca="false">""</f>
        <v/>
      </c>
      <c r="B530" s="13" t="n">
        <f aca="false">160</f>
        <v>160</v>
      </c>
      <c r="C530" s="13" t="n">
        <f aca="false">IF(Szenarien!$H$9="OK",(IFERROR(SUMIF(Nutzungsprofile!$B$6:$B$11,"Schulbetrieb",Nutzungsprofile!$G$6:$G$11)*Kalender!C164/SUM(Kalender!$C$5:$C$370),0)+IFERROR(SUMIF(Nutzungsprofile!$B$6:$B$11,"Halle",Nutzungsprofile!$G$6:$G$11)*Kalender!D164/SUM(Kalender!$D$5:$D$370),0)+IFERROR(SUMIF(Nutzungsprofile!$B$6:$B$11,"Individuell",Nutzungsprofile!$G$6:$G$11)*Kalender!E164/SUM(Kalender!$E$5:$E$370),0))*Szenarien!$E$9,0)</f>
        <v>2.94</v>
      </c>
      <c r="D530" s="13" t="n">
        <f aca="false">IF(Szenarien!$H$9="OK",(IFERROR(SUMIF(Nutzungsprofile!$B$17:$B$22,"Schulbetrieb",Nutzungsprofile!$G$17:$G$22)*Kalender!C164/SUM(Kalender!$C$5:$C$370),0)+IFERROR(SUMIF(Nutzungsprofile!$B$17:$B$22,"Halle",Nutzungsprofile!$G$17:$G$22)*Kalender!D164/SUM(Kalender!$D$5:$D$370),0)+IFERROR(SUMIF(Nutzungsprofile!$B$17:$B$22,"Individuell",Nutzungsprofile!$G$17:$G$22)*Kalender!E164/SUM(Kalender!$E$5:$E$370),0))*Szenarien!$D$9,0)</f>
        <v>4.94</v>
      </c>
      <c r="E530" s="13" t="n">
        <f aca="false">IFERROR(MIN(C530,Eingaben!$B$17)*Eingaben!$B$16,0)</f>
        <v>2.793</v>
      </c>
      <c r="F530" s="13" t="n">
        <f aca="false">IFERROR(E530*Eingaben!$B$15,0)</f>
        <v>2.5137</v>
      </c>
      <c r="G530" s="13" t="n">
        <f aca="false">IFERROR(IF(Kalender!A164="",0,J529*(1-Eingaben!$B$20)),0)</f>
        <v>0.7390278</v>
      </c>
      <c r="H530" s="13" t="n">
        <f aca="false">MIN(G530,D530)</f>
        <v>0.7390278</v>
      </c>
      <c r="I530" s="13" t="n">
        <f aca="false">IFERROR(MIN(F530*Eingaben!$B$19,MAX(0,D530-H530)),0)</f>
        <v>1.75959</v>
      </c>
      <c r="J530" s="13" t="n">
        <f aca="false">IFERROR(MIN(Eingaben!$B$18,MAX(0,F530-I530)),0)</f>
        <v>0.75411</v>
      </c>
      <c r="K530" s="13" t="n">
        <f aca="false">H530+I530</f>
        <v>2.4986178</v>
      </c>
      <c r="L530" s="13" t="n">
        <f aca="false">MAX(0,D530-K530)</f>
        <v>2.4413822</v>
      </c>
      <c r="M530" s="13" t="n">
        <f aca="false">MAX(0,F530-I530-J530)</f>
        <v>0</v>
      </c>
      <c r="N530" s="13" t="n">
        <f aca="false">IF(Kalender!A164="",0,J529-H530)</f>
        <v>0.0150822</v>
      </c>
    </row>
    <row r="531" customFormat="false" ht="16.4" hidden="false" customHeight="false" outlineLevel="0" collapsed="false">
      <c r="A531" s="13" t="str">
        <f aca="false">""</f>
        <v/>
      </c>
      <c r="B531" s="13" t="n">
        <f aca="false">161</f>
        <v>161</v>
      </c>
      <c r="C531" s="13" t="n">
        <f aca="false">IF(Szenarien!$H$9="OK",(IFERROR(SUMIF(Nutzungsprofile!$B$6:$B$11,"Schulbetrieb",Nutzungsprofile!$G$6:$G$11)*Kalender!C165/SUM(Kalender!$C$5:$C$370),0)+IFERROR(SUMIF(Nutzungsprofile!$B$6:$B$11,"Halle",Nutzungsprofile!$G$6:$G$11)*Kalender!D165/SUM(Kalender!$D$5:$D$370),0)+IFERROR(SUMIF(Nutzungsprofile!$B$6:$B$11,"Individuell",Nutzungsprofile!$G$6:$G$11)*Kalender!E165/SUM(Kalender!$E$5:$E$370),0))*Szenarien!$E$9,0)</f>
        <v>2.94</v>
      </c>
      <c r="D531" s="13" t="n">
        <f aca="false">IF(Szenarien!$H$9="OK",(IFERROR(SUMIF(Nutzungsprofile!$B$17:$B$22,"Schulbetrieb",Nutzungsprofile!$G$17:$G$22)*Kalender!C165/SUM(Kalender!$C$5:$C$370),0)+IFERROR(SUMIF(Nutzungsprofile!$B$17:$B$22,"Halle",Nutzungsprofile!$G$17:$G$22)*Kalender!D165/SUM(Kalender!$D$5:$D$370),0)+IFERROR(SUMIF(Nutzungsprofile!$B$17:$B$22,"Individuell",Nutzungsprofile!$G$17:$G$22)*Kalender!E165/SUM(Kalender!$E$5:$E$370),0))*Szenarien!$D$9,0)</f>
        <v>4.94</v>
      </c>
      <c r="E531" s="13" t="n">
        <f aca="false">IFERROR(MIN(C531,Eingaben!$B$17)*Eingaben!$B$16,0)</f>
        <v>2.793</v>
      </c>
      <c r="F531" s="13" t="n">
        <f aca="false">IFERROR(E531*Eingaben!$B$15,0)</f>
        <v>2.5137</v>
      </c>
      <c r="G531" s="13" t="n">
        <f aca="false">IFERROR(IF(Kalender!A165="",0,J530*(1-Eingaben!$B$20)),0)</f>
        <v>0.7390278</v>
      </c>
      <c r="H531" s="13" t="n">
        <f aca="false">MIN(G531,D531)</f>
        <v>0.7390278</v>
      </c>
      <c r="I531" s="13" t="n">
        <f aca="false">IFERROR(MIN(F531*Eingaben!$B$19,MAX(0,D531-H531)),0)</f>
        <v>1.75959</v>
      </c>
      <c r="J531" s="13" t="n">
        <f aca="false">IFERROR(MIN(Eingaben!$B$18,MAX(0,F531-I531)),0)</f>
        <v>0.75411</v>
      </c>
      <c r="K531" s="13" t="n">
        <f aca="false">H531+I531</f>
        <v>2.4986178</v>
      </c>
      <c r="L531" s="13" t="n">
        <f aca="false">MAX(0,D531-K531)</f>
        <v>2.4413822</v>
      </c>
      <c r="M531" s="13" t="n">
        <f aca="false">MAX(0,F531-I531-J531)</f>
        <v>0</v>
      </c>
      <c r="N531" s="13" t="n">
        <f aca="false">IF(Kalender!A165="",0,J530-H531)</f>
        <v>0.0150822</v>
      </c>
    </row>
    <row r="532" customFormat="false" ht="16.4" hidden="false" customHeight="false" outlineLevel="0" collapsed="false">
      <c r="A532" s="13" t="str">
        <f aca="false">""</f>
        <v/>
      </c>
      <c r="B532" s="13" t="n">
        <f aca="false">162</f>
        <v>162</v>
      </c>
      <c r="C532" s="13" t="n">
        <f aca="false">IF(Szenarien!$H$9="OK",(IFERROR(SUMIF(Nutzungsprofile!$B$6:$B$11,"Schulbetrieb",Nutzungsprofile!$G$6:$G$11)*Kalender!C166/SUM(Kalender!$C$5:$C$370),0)+IFERROR(SUMIF(Nutzungsprofile!$B$6:$B$11,"Halle",Nutzungsprofile!$G$6:$G$11)*Kalender!D166/SUM(Kalender!$D$5:$D$370),0)+IFERROR(SUMIF(Nutzungsprofile!$B$6:$B$11,"Individuell",Nutzungsprofile!$G$6:$G$11)*Kalender!E166/SUM(Kalender!$E$5:$E$370),0))*Szenarien!$E$9,0)</f>
        <v>2.94</v>
      </c>
      <c r="D532" s="13" t="n">
        <f aca="false">IF(Szenarien!$H$9="OK",(IFERROR(SUMIF(Nutzungsprofile!$B$17:$B$22,"Schulbetrieb",Nutzungsprofile!$G$17:$G$22)*Kalender!C166/SUM(Kalender!$C$5:$C$370),0)+IFERROR(SUMIF(Nutzungsprofile!$B$17:$B$22,"Halle",Nutzungsprofile!$G$17:$G$22)*Kalender!D166/SUM(Kalender!$D$5:$D$370),0)+IFERROR(SUMIF(Nutzungsprofile!$B$17:$B$22,"Individuell",Nutzungsprofile!$G$17:$G$22)*Kalender!E166/SUM(Kalender!$E$5:$E$370),0))*Szenarien!$D$9,0)</f>
        <v>4.94</v>
      </c>
      <c r="E532" s="13" t="n">
        <f aca="false">IFERROR(MIN(C532,Eingaben!$B$17)*Eingaben!$B$16,0)</f>
        <v>2.793</v>
      </c>
      <c r="F532" s="13" t="n">
        <f aca="false">IFERROR(E532*Eingaben!$B$15,0)</f>
        <v>2.5137</v>
      </c>
      <c r="G532" s="13" t="n">
        <f aca="false">IFERROR(IF(Kalender!A166="",0,J531*(1-Eingaben!$B$20)),0)</f>
        <v>0.7390278</v>
      </c>
      <c r="H532" s="13" t="n">
        <f aca="false">MIN(G532,D532)</f>
        <v>0.7390278</v>
      </c>
      <c r="I532" s="13" t="n">
        <f aca="false">IFERROR(MIN(F532*Eingaben!$B$19,MAX(0,D532-H532)),0)</f>
        <v>1.75959</v>
      </c>
      <c r="J532" s="13" t="n">
        <f aca="false">IFERROR(MIN(Eingaben!$B$18,MAX(0,F532-I532)),0)</f>
        <v>0.75411</v>
      </c>
      <c r="K532" s="13" t="n">
        <f aca="false">H532+I532</f>
        <v>2.4986178</v>
      </c>
      <c r="L532" s="13" t="n">
        <f aca="false">MAX(0,D532-K532)</f>
        <v>2.4413822</v>
      </c>
      <c r="M532" s="13" t="n">
        <f aca="false">MAX(0,F532-I532-J532)</f>
        <v>0</v>
      </c>
      <c r="N532" s="13" t="n">
        <f aca="false">IF(Kalender!A166="",0,J531-H532)</f>
        <v>0.0150822</v>
      </c>
    </row>
    <row r="533" customFormat="false" ht="16.4" hidden="false" customHeight="false" outlineLevel="0" collapsed="false">
      <c r="A533" s="13" t="str">
        <f aca="false">""</f>
        <v/>
      </c>
      <c r="B533" s="13" t="n">
        <f aca="false">163</f>
        <v>163</v>
      </c>
      <c r="C533" s="13" t="n">
        <f aca="false">IF(Szenarien!$H$9="OK",(IFERROR(SUMIF(Nutzungsprofile!$B$6:$B$11,"Schulbetrieb",Nutzungsprofile!$G$6:$G$11)*Kalender!C167/SUM(Kalender!$C$5:$C$370),0)+IFERROR(SUMIF(Nutzungsprofile!$B$6:$B$11,"Halle",Nutzungsprofile!$G$6:$G$11)*Kalender!D167/SUM(Kalender!$D$5:$D$370),0)+IFERROR(SUMIF(Nutzungsprofile!$B$6:$B$11,"Individuell",Nutzungsprofile!$G$6:$G$11)*Kalender!E167/SUM(Kalender!$E$5:$E$370),0))*Szenarien!$E$9,0)</f>
        <v>2.94</v>
      </c>
      <c r="D533" s="13" t="n">
        <f aca="false">IF(Szenarien!$H$9="OK",(IFERROR(SUMIF(Nutzungsprofile!$B$17:$B$22,"Schulbetrieb",Nutzungsprofile!$G$17:$G$22)*Kalender!C167/SUM(Kalender!$C$5:$C$370),0)+IFERROR(SUMIF(Nutzungsprofile!$B$17:$B$22,"Halle",Nutzungsprofile!$G$17:$G$22)*Kalender!D167/SUM(Kalender!$D$5:$D$370),0)+IFERROR(SUMIF(Nutzungsprofile!$B$17:$B$22,"Individuell",Nutzungsprofile!$G$17:$G$22)*Kalender!E167/SUM(Kalender!$E$5:$E$370),0))*Szenarien!$D$9,0)</f>
        <v>4.94</v>
      </c>
      <c r="E533" s="13" t="n">
        <f aca="false">IFERROR(MIN(C533,Eingaben!$B$17)*Eingaben!$B$16,0)</f>
        <v>2.793</v>
      </c>
      <c r="F533" s="13" t="n">
        <f aca="false">IFERROR(E533*Eingaben!$B$15,0)</f>
        <v>2.5137</v>
      </c>
      <c r="G533" s="13" t="n">
        <f aca="false">IFERROR(IF(Kalender!A167="",0,J532*(1-Eingaben!$B$20)),0)</f>
        <v>0.7390278</v>
      </c>
      <c r="H533" s="13" t="n">
        <f aca="false">MIN(G533,D533)</f>
        <v>0.7390278</v>
      </c>
      <c r="I533" s="13" t="n">
        <f aca="false">IFERROR(MIN(F533*Eingaben!$B$19,MAX(0,D533-H533)),0)</f>
        <v>1.75959</v>
      </c>
      <c r="J533" s="13" t="n">
        <f aca="false">IFERROR(MIN(Eingaben!$B$18,MAX(0,F533-I533)),0)</f>
        <v>0.75411</v>
      </c>
      <c r="K533" s="13" t="n">
        <f aca="false">H533+I533</f>
        <v>2.4986178</v>
      </c>
      <c r="L533" s="13" t="n">
        <f aca="false">MAX(0,D533-K533)</f>
        <v>2.4413822</v>
      </c>
      <c r="M533" s="13" t="n">
        <f aca="false">MAX(0,F533-I533-J533)</f>
        <v>0</v>
      </c>
      <c r="N533" s="13" t="n">
        <f aca="false">IF(Kalender!A167="",0,J532-H533)</f>
        <v>0.0150822</v>
      </c>
    </row>
    <row r="534" customFormat="false" ht="16.4" hidden="false" customHeight="false" outlineLevel="0" collapsed="false">
      <c r="A534" s="13" t="str">
        <f aca="false">""</f>
        <v/>
      </c>
      <c r="B534" s="13" t="n">
        <f aca="false">164</f>
        <v>164</v>
      </c>
      <c r="C534" s="13" t="n">
        <f aca="false">IF(Szenarien!$H$9="OK",(IFERROR(SUMIF(Nutzungsprofile!$B$6:$B$11,"Schulbetrieb",Nutzungsprofile!$G$6:$G$11)*Kalender!C168/SUM(Kalender!$C$5:$C$370),0)+IFERROR(SUMIF(Nutzungsprofile!$B$6:$B$11,"Halle",Nutzungsprofile!$G$6:$G$11)*Kalender!D168/SUM(Kalender!$D$5:$D$370),0)+IFERROR(SUMIF(Nutzungsprofile!$B$6:$B$11,"Individuell",Nutzungsprofile!$G$6:$G$11)*Kalender!E168/SUM(Kalender!$E$5:$E$370),0))*Szenarien!$E$9,0)</f>
        <v>2.04</v>
      </c>
      <c r="D534" s="13" t="n">
        <f aca="false">IF(Szenarien!$H$9="OK",(IFERROR(SUMIF(Nutzungsprofile!$B$17:$B$22,"Schulbetrieb",Nutzungsprofile!$G$17:$G$22)*Kalender!C168/SUM(Kalender!$C$5:$C$370),0)+IFERROR(SUMIF(Nutzungsprofile!$B$17:$B$22,"Halle",Nutzungsprofile!$G$17:$G$22)*Kalender!D168/SUM(Kalender!$D$5:$D$370),0)+IFERROR(SUMIF(Nutzungsprofile!$B$17:$B$22,"Individuell",Nutzungsprofile!$G$17:$G$22)*Kalender!E168/SUM(Kalender!$E$5:$E$370),0))*Szenarien!$D$9,0)</f>
        <v>0.89</v>
      </c>
      <c r="E534" s="13" t="n">
        <f aca="false">IFERROR(MIN(C534,Eingaben!$B$17)*Eingaben!$B$16,0)</f>
        <v>1.938</v>
      </c>
      <c r="F534" s="13" t="n">
        <f aca="false">IFERROR(E534*Eingaben!$B$15,0)</f>
        <v>1.7442</v>
      </c>
      <c r="G534" s="13" t="n">
        <f aca="false">IFERROR(IF(Kalender!A168="",0,J533*(1-Eingaben!$B$20)),0)</f>
        <v>0.7390278</v>
      </c>
      <c r="H534" s="13" t="n">
        <f aca="false">MIN(G534,D534)</f>
        <v>0.7390278</v>
      </c>
      <c r="I534" s="13" t="n">
        <f aca="false">IFERROR(MIN(F534*Eingaben!$B$19,MAX(0,D534-H534)),0)</f>
        <v>0.1509722</v>
      </c>
      <c r="J534" s="13" t="n">
        <f aca="false">IFERROR(MIN(Eingaben!$B$18,MAX(0,F534-I534)),0)</f>
        <v>1.5932278</v>
      </c>
      <c r="K534" s="13" t="n">
        <f aca="false">H534+I534</f>
        <v>0.89</v>
      </c>
      <c r="L534" s="13" t="n">
        <f aca="false">MAX(0,D534-K534)</f>
        <v>0</v>
      </c>
      <c r="M534" s="13" t="n">
        <f aca="false">MAX(0,F534-I534-J534)</f>
        <v>0</v>
      </c>
      <c r="N534" s="13" t="n">
        <f aca="false">IF(Kalender!A168="",0,J533-H534)</f>
        <v>0.0150822</v>
      </c>
    </row>
    <row r="535" customFormat="false" ht="16.4" hidden="false" customHeight="false" outlineLevel="0" collapsed="false">
      <c r="A535" s="13" t="str">
        <f aca="false">""</f>
        <v/>
      </c>
      <c r="B535" s="13" t="n">
        <f aca="false">165</f>
        <v>165</v>
      </c>
      <c r="C535" s="13" t="n">
        <f aca="false">IF(Szenarien!$H$9="OK",(IFERROR(SUMIF(Nutzungsprofile!$B$6:$B$11,"Schulbetrieb",Nutzungsprofile!$G$6:$G$11)*Kalender!C169/SUM(Kalender!$C$5:$C$370),0)+IFERROR(SUMIF(Nutzungsprofile!$B$6:$B$11,"Halle",Nutzungsprofile!$G$6:$G$11)*Kalender!D169/SUM(Kalender!$D$5:$D$370),0)+IFERROR(SUMIF(Nutzungsprofile!$B$6:$B$11,"Individuell",Nutzungsprofile!$G$6:$G$11)*Kalender!E169/SUM(Kalender!$E$5:$E$370),0))*Szenarien!$E$9,0)</f>
        <v>2.04</v>
      </c>
      <c r="D535" s="13" t="n">
        <f aca="false">IF(Szenarien!$H$9="OK",(IFERROR(SUMIF(Nutzungsprofile!$B$17:$B$22,"Schulbetrieb",Nutzungsprofile!$G$17:$G$22)*Kalender!C169/SUM(Kalender!$C$5:$C$370),0)+IFERROR(SUMIF(Nutzungsprofile!$B$17:$B$22,"Halle",Nutzungsprofile!$G$17:$G$22)*Kalender!D169/SUM(Kalender!$D$5:$D$370),0)+IFERROR(SUMIF(Nutzungsprofile!$B$17:$B$22,"Individuell",Nutzungsprofile!$G$17:$G$22)*Kalender!E169/SUM(Kalender!$E$5:$E$370),0))*Szenarien!$D$9,0)</f>
        <v>0.89</v>
      </c>
      <c r="E535" s="13" t="n">
        <f aca="false">IFERROR(MIN(C535,Eingaben!$B$17)*Eingaben!$B$16,0)</f>
        <v>1.938</v>
      </c>
      <c r="F535" s="13" t="n">
        <f aca="false">IFERROR(E535*Eingaben!$B$15,0)</f>
        <v>1.7442</v>
      </c>
      <c r="G535" s="13" t="n">
        <f aca="false">IFERROR(IF(Kalender!A169="",0,J534*(1-Eingaben!$B$20)),0)</f>
        <v>1.561363244</v>
      </c>
      <c r="H535" s="13" t="n">
        <f aca="false">MIN(G535,D535)</f>
        <v>0.89</v>
      </c>
      <c r="I535" s="13" t="n">
        <f aca="false">IFERROR(MIN(F535*Eingaben!$B$19,MAX(0,D535-H535)),0)</f>
        <v>0</v>
      </c>
      <c r="J535" s="13" t="n">
        <f aca="false">IFERROR(MIN(Eingaben!$B$18,MAX(0,F535-I535)),0)</f>
        <v>1.7442</v>
      </c>
      <c r="K535" s="13" t="n">
        <f aca="false">H535+I535</f>
        <v>0.89</v>
      </c>
      <c r="L535" s="13" t="n">
        <f aca="false">MAX(0,D535-K535)</f>
        <v>0</v>
      </c>
      <c r="M535" s="13" t="n">
        <f aca="false">MAX(0,F535-I535-J535)</f>
        <v>0</v>
      </c>
      <c r="N535" s="13" t="n">
        <f aca="false">IF(Kalender!A169="",0,J534-H535)</f>
        <v>0.7032278</v>
      </c>
    </row>
    <row r="536" customFormat="false" ht="16.4" hidden="false" customHeight="false" outlineLevel="0" collapsed="false">
      <c r="A536" s="13" t="str">
        <f aca="false">""</f>
        <v/>
      </c>
      <c r="B536" s="13" t="n">
        <f aca="false">166</f>
        <v>166</v>
      </c>
      <c r="C536" s="13" t="n">
        <f aca="false">IF(Szenarien!$H$9="OK",(IFERROR(SUMIF(Nutzungsprofile!$B$6:$B$11,"Schulbetrieb",Nutzungsprofile!$G$6:$G$11)*Kalender!C170/SUM(Kalender!$C$5:$C$370),0)+IFERROR(SUMIF(Nutzungsprofile!$B$6:$B$11,"Halle",Nutzungsprofile!$G$6:$G$11)*Kalender!D170/SUM(Kalender!$D$5:$D$370),0)+IFERROR(SUMIF(Nutzungsprofile!$B$6:$B$11,"Individuell",Nutzungsprofile!$G$6:$G$11)*Kalender!E170/SUM(Kalender!$E$5:$E$370),0))*Szenarien!$E$9,0)</f>
        <v>2.94</v>
      </c>
      <c r="D536" s="13" t="n">
        <f aca="false">IF(Szenarien!$H$9="OK",(IFERROR(SUMIF(Nutzungsprofile!$B$17:$B$22,"Schulbetrieb",Nutzungsprofile!$G$17:$G$22)*Kalender!C170/SUM(Kalender!$C$5:$C$370),0)+IFERROR(SUMIF(Nutzungsprofile!$B$17:$B$22,"Halle",Nutzungsprofile!$G$17:$G$22)*Kalender!D170/SUM(Kalender!$D$5:$D$370),0)+IFERROR(SUMIF(Nutzungsprofile!$B$17:$B$22,"Individuell",Nutzungsprofile!$G$17:$G$22)*Kalender!E170/SUM(Kalender!$E$5:$E$370),0))*Szenarien!$D$9,0)</f>
        <v>4.94</v>
      </c>
      <c r="E536" s="13" t="n">
        <f aca="false">IFERROR(MIN(C536,Eingaben!$B$17)*Eingaben!$B$16,0)</f>
        <v>2.793</v>
      </c>
      <c r="F536" s="13" t="n">
        <f aca="false">IFERROR(E536*Eingaben!$B$15,0)</f>
        <v>2.5137</v>
      </c>
      <c r="G536" s="13" t="n">
        <f aca="false">IFERROR(IF(Kalender!A170="",0,J535*(1-Eingaben!$B$20)),0)</f>
        <v>1.709316</v>
      </c>
      <c r="H536" s="13" t="n">
        <f aca="false">MIN(G536,D536)</f>
        <v>1.709316</v>
      </c>
      <c r="I536" s="13" t="n">
        <f aca="false">IFERROR(MIN(F536*Eingaben!$B$19,MAX(0,D536-H536)),0)</f>
        <v>1.75959</v>
      </c>
      <c r="J536" s="13" t="n">
        <f aca="false">IFERROR(MIN(Eingaben!$B$18,MAX(0,F536-I536)),0)</f>
        <v>0.75411</v>
      </c>
      <c r="K536" s="13" t="n">
        <f aca="false">H536+I536</f>
        <v>3.468906</v>
      </c>
      <c r="L536" s="13" t="n">
        <f aca="false">MAX(0,D536-K536)</f>
        <v>1.471094</v>
      </c>
      <c r="M536" s="13" t="n">
        <f aca="false">MAX(0,F536-I536-J536)</f>
        <v>0</v>
      </c>
      <c r="N536" s="13" t="n">
        <f aca="false">IF(Kalender!A170="",0,J535-H536)</f>
        <v>0.0348840000000001</v>
      </c>
    </row>
    <row r="537" customFormat="false" ht="16.4" hidden="false" customHeight="false" outlineLevel="0" collapsed="false">
      <c r="A537" s="13" t="str">
        <f aca="false">""</f>
        <v/>
      </c>
      <c r="B537" s="13" t="n">
        <f aca="false">167</f>
        <v>167</v>
      </c>
      <c r="C537" s="13" t="n">
        <f aca="false">IF(Szenarien!$H$9="OK",(IFERROR(SUMIF(Nutzungsprofile!$B$6:$B$11,"Schulbetrieb",Nutzungsprofile!$G$6:$G$11)*Kalender!C171/SUM(Kalender!$C$5:$C$370),0)+IFERROR(SUMIF(Nutzungsprofile!$B$6:$B$11,"Halle",Nutzungsprofile!$G$6:$G$11)*Kalender!D171/SUM(Kalender!$D$5:$D$370),0)+IFERROR(SUMIF(Nutzungsprofile!$B$6:$B$11,"Individuell",Nutzungsprofile!$G$6:$G$11)*Kalender!E171/SUM(Kalender!$E$5:$E$370),0))*Szenarien!$E$9,0)</f>
        <v>2.94</v>
      </c>
      <c r="D537" s="13" t="n">
        <f aca="false">IF(Szenarien!$H$9="OK",(IFERROR(SUMIF(Nutzungsprofile!$B$17:$B$22,"Schulbetrieb",Nutzungsprofile!$G$17:$G$22)*Kalender!C171/SUM(Kalender!$C$5:$C$370),0)+IFERROR(SUMIF(Nutzungsprofile!$B$17:$B$22,"Halle",Nutzungsprofile!$G$17:$G$22)*Kalender!D171/SUM(Kalender!$D$5:$D$370),0)+IFERROR(SUMIF(Nutzungsprofile!$B$17:$B$22,"Individuell",Nutzungsprofile!$G$17:$G$22)*Kalender!E171/SUM(Kalender!$E$5:$E$370),0))*Szenarien!$D$9,0)</f>
        <v>4.94</v>
      </c>
      <c r="E537" s="13" t="n">
        <f aca="false">IFERROR(MIN(C537,Eingaben!$B$17)*Eingaben!$B$16,0)</f>
        <v>2.793</v>
      </c>
      <c r="F537" s="13" t="n">
        <f aca="false">IFERROR(E537*Eingaben!$B$15,0)</f>
        <v>2.5137</v>
      </c>
      <c r="G537" s="13" t="n">
        <f aca="false">IFERROR(IF(Kalender!A171="",0,J536*(1-Eingaben!$B$20)),0)</f>
        <v>0.7390278</v>
      </c>
      <c r="H537" s="13" t="n">
        <f aca="false">MIN(G537,D537)</f>
        <v>0.7390278</v>
      </c>
      <c r="I537" s="13" t="n">
        <f aca="false">IFERROR(MIN(F537*Eingaben!$B$19,MAX(0,D537-H537)),0)</f>
        <v>1.75959</v>
      </c>
      <c r="J537" s="13" t="n">
        <f aca="false">IFERROR(MIN(Eingaben!$B$18,MAX(0,F537-I537)),0)</f>
        <v>0.75411</v>
      </c>
      <c r="K537" s="13" t="n">
        <f aca="false">H537+I537</f>
        <v>2.4986178</v>
      </c>
      <c r="L537" s="13" t="n">
        <f aca="false">MAX(0,D537-K537)</f>
        <v>2.4413822</v>
      </c>
      <c r="M537" s="13" t="n">
        <f aca="false">MAX(0,F537-I537-J537)</f>
        <v>0</v>
      </c>
      <c r="N537" s="13" t="n">
        <f aca="false">IF(Kalender!A171="",0,J536-H537)</f>
        <v>0.0150822</v>
      </c>
    </row>
    <row r="538" customFormat="false" ht="16.4" hidden="false" customHeight="false" outlineLevel="0" collapsed="false">
      <c r="A538" s="13" t="str">
        <f aca="false">""</f>
        <v/>
      </c>
      <c r="B538" s="13" t="n">
        <f aca="false">168</f>
        <v>168</v>
      </c>
      <c r="C538" s="13" t="n">
        <f aca="false">IF(Szenarien!$H$9="OK",(IFERROR(SUMIF(Nutzungsprofile!$B$6:$B$11,"Schulbetrieb",Nutzungsprofile!$G$6:$G$11)*Kalender!C172/SUM(Kalender!$C$5:$C$370),0)+IFERROR(SUMIF(Nutzungsprofile!$B$6:$B$11,"Halle",Nutzungsprofile!$G$6:$G$11)*Kalender!D172/SUM(Kalender!$D$5:$D$370),0)+IFERROR(SUMIF(Nutzungsprofile!$B$6:$B$11,"Individuell",Nutzungsprofile!$G$6:$G$11)*Kalender!E172/SUM(Kalender!$E$5:$E$370),0))*Szenarien!$E$9,0)</f>
        <v>2.94</v>
      </c>
      <c r="D538" s="13" t="n">
        <f aca="false">IF(Szenarien!$H$9="OK",(IFERROR(SUMIF(Nutzungsprofile!$B$17:$B$22,"Schulbetrieb",Nutzungsprofile!$G$17:$G$22)*Kalender!C172/SUM(Kalender!$C$5:$C$370),0)+IFERROR(SUMIF(Nutzungsprofile!$B$17:$B$22,"Halle",Nutzungsprofile!$G$17:$G$22)*Kalender!D172/SUM(Kalender!$D$5:$D$370),0)+IFERROR(SUMIF(Nutzungsprofile!$B$17:$B$22,"Individuell",Nutzungsprofile!$G$17:$G$22)*Kalender!E172/SUM(Kalender!$E$5:$E$370),0))*Szenarien!$D$9,0)</f>
        <v>4.94</v>
      </c>
      <c r="E538" s="13" t="n">
        <f aca="false">IFERROR(MIN(C538,Eingaben!$B$17)*Eingaben!$B$16,0)</f>
        <v>2.793</v>
      </c>
      <c r="F538" s="13" t="n">
        <f aca="false">IFERROR(E538*Eingaben!$B$15,0)</f>
        <v>2.5137</v>
      </c>
      <c r="G538" s="13" t="n">
        <f aca="false">IFERROR(IF(Kalender!A172="",0,J537*(1-Eingaben!$B$20)),0)</f>
        <v>0.7390278</v>
      </c>
      <c r="H538" s="13" t="n">
        <f aca="false">MIN(G538,D538)</f>
        <v>0.7390278</v>
      </c>
      <c r="I538" s="13" t="n">
        <f aca="false">IFERROR(MIN(F538*Eingaben!$B$19,MAX(0,D538-H538)),0)</f>
        <v>1.75959</v>
      </c>
      <c r="J538" s="13" t="n">
        <f aca="false">IFERROR(MIN(Eingaben!$B$18,MAX(0,F538-I538)),0)</f>
        <v>0.75411</v>
      </c>
      <c r="K538" s="13" t="n">
        <f aca="false">H538+I538</f>
        <v>2.4986178</v>
      </c>
      <c r="L538" s="13" t="n">
        <f aca="false">MAX(0,D538-K538)</f>
        <v>2.4413822</v>
      </c>
      <c r="M538" s="13" t="n">
        <f aca="false">MAX(0,F538-I538-J538)</f>
        <v>0</v>
      </c>
      <c r="N538" s="13" t="n">
        <f aca="false">IF(Kalender!A172="",0,J537-H538)</f>
        <v>0.0150822</v>
      </c>
    </row>
    <row r="539" customFormat="false" ht="16.4" hidden="false" customHeight="false" outlineLevel="0" collapsed="false">
      <c r="A539" s="13" t="str">
        <f aca="false">""</f>
        <v/>
      </c>
      <c r="B539" s="13" t="n">
        <f aca="false">169</f>
        <v>169</v>
      </c>
      <c r="C539" s="13" t="n">
        <f aca="false">IF(Szenarien!$H$9="OK",(IFERROR(SUMIF(Nutzungsprofile!$B$6:$B$11,"Schulbetrieb",Nutzungsprofile!$G$6:$G$11)*Kalender!C173/SUM(Kalender!$C$5:$C$370),0)+IFERROR(SUMIF(Nutzungsprofile!$B$6:$B$11,"Halle",Nutzungsprofile!$G$6:$G$11)*Kalender!D173/SUM(Kalender!$D$5:$D$370),0)+IFERROR(SUMIF(Nutzungsprofile!$B$6:$B$11,"Individuell",Nutzungsprofile!$G$6:$G$11)*Kalender!E173/SUM(Kalender!$E$5:$E$370),0))*Szenarien!$E$9,0)</f>
        <v>2.94</v>
      </c>
      <c r="D539" s="13" t="n">
        <f aca="false">IF(Szenarien!$H$9="OK",(IFERROR(SUMIF(Nutzungsprofile!$B$17:$B$22,"Schulbetrieb",Nutzungsprofile!$G$17:$G$22)*Kalender!C173/SUM(Kalender!$C$5:$C$370),0)+IFERROR(SUMIF(Nutzungsprofile!$B$17:$B$22,"Halle",Nutzungsprofile!$G$17:$G$22)*Kalender!D173/SUM(Kalender!$D$5:$D$370),0)+IFERROR(SUMIF(Nutzungsprofile!$B$17:$B$22,"Individuell",Nutzungsprofile!$G$17:$G$22)*Kalender!E173/SUM(Kalender!$E$5:$E$370),0))*Szenarien!$D$9,0)</f>
        <v>4.94</v>
      </c>
      <c r="E539" s="13" t="n">
        <f aca="false">IFERROR(MIN(C539,Eingaben!$B$17)*Eingaben!$B$16,0)</f>
        <v>2.793</v>
      </c>
      <c r="F539" s="13" t="n">
        <f aca="false">IFERROR(E539*Eingaben!$B$15,0)</f>
        <v>2.5137</v>
      </c>
      <c r="G539" s="13" t="n">
        <f aca="false">IFERROR(IF(Kalender!A173="",0,J538*(1-Eingaben!$B$20)),0)</f>
        <v>0.7390278</v>
      </c>
      <c r="H539" s="13" t="n">
        <f aca="false">MIN(G539,D539)</f>
        <v>0.7390278</v>
      </c>
      <c r="I539" s="13" t="n">
        <f aca="false">IFERROR(MIN(F539*Eingaben!$B$19,MAX(0,D539-H539)),0)</f>
        <v>1.75959</v>
      </c>
      <c r="J539" s="13" t="n">
        <f aca="false">IFERROR(MIN(Eingaben!$B$18,MAX(0,F539-I539)),0)</f>
        <v>0.75411</v>
      </c>
      <c r="K539" s="13" t="n">
        <f aca="false">H539+I539</f>
        <v>2.4986178</v>
      </c>
      <c r="L539" s="13" t="n">
        <f aca="false">MAX(0,D539-K539)</f>
        <v>2.4413822</v>
      </c>
      <c r="M539" s="13" t="n">
        <f aca="false">MAX(0,F539-I539-J539)</f>
        <v>0</v>
      </c>
      <c r="N539" s="13" t="n">
        <f aca="false">IF(Kalender!A173="",0,J538-H539)</f>
        <v>0.0150822</v>
      </c>
    </row>
    <row r="540" customFormat="false" ht="16.4" hidden="false" customHeight="false" outlineLevel="0" collapsed="false">
      <c r="A540" s="13" t="str">
        <f aca="false">""</f>
        <v/>
      </c>
      <c r="B540" s="13" t="n">
        <f aca="false">170</f>
        <v>170</v>
      </c>
      <c r="C540" s="13" t="n">
        <f aca="false">IF(Szenarien!$H$9="OK",(IFERROR(SUMIF(Nutzungsprofile!$B$6:$B$11,"Schulbetrieb",Nutzungsprofile!$G$6:$G$11)*Kalender!C174/SUM(Kalender!$C$5:$C$370),0)+IFERROR(SUMIF(Nutzungsprofile!$B$6:$B$11,"Halle",Nutzungsprofile!$G$6:$G$11)*Kalender!D174/SUM(Kalender!$D$5:$D$370),0)+IFERROR(SUMIF(Nutzungsprofile!$B$6:$B$11,"Individuell",Nutzungsprofile!$G$6:$G$11)*Kalender!E174/SUM(Kalender!$E$5:$E$370),0))*Szenarien!$E$9,0)</f>
        <v>2.94</v>
      </c>
      <c r="D540" s="13" t="n">
        <f aca="false">IF(Szenarien!$H$9="OK",(IFERROR(SUMIF(Nutzungsprofile!$B$17:$B$22,"Schulbetrieb",Nutzungsprofile!$G$17:$G$22)*Kalender!C174/SUM(Kalender!$C$5:$C$370),0)+IFERROR(SUMIF(Nutzungsprofile!$B$17:$B$22,"Halle",Nutzungsprofile!$G$17:$G$22)*Kalender!D174/SUM(Kalender!$D$5:$D$370),0)+IFERROR(SUMIF(Nutzungsprofile!$B$17:$B$22,"Individuell",Nutzungsprofile!$G$17:$G$22)*Kalender!E174/SUM(Kalender!$E$5:$E$370),0))*Szenarien!$D$9,0)</f>
        <v>4.94</v>
      </c>
      <c r="E540" s="13" t="n">
        <f aca="false">IFERROR(MIN(C540,Eingaben!$B$17)*Eingaben!$B$16,0)</f>
        <v>2.793</v>
      </c>
      <c r="F540" s="13" t="n">
        <f aca="false">IFERROR(E540*Eingaben!$B$15,0)</f>
        <v>2.5137</v>
      </c>
      <c r="G540" s="13" t="n">
        <f aca="false">IFERROR(IF(Kalender!A174="",0,J539*(1-Eingaben!$B$20)),0)</f>
        <v>0.7390278</v>
      </c>
      <c r="H540" s="13" t="n">
        <f aca="false">MIN(G540,D540)</f>
        <v>0.7390278</v>
      </c>
      <c r="I540" s="13" t="n">
        <f aca="false">IFERROR(MIN(F540*Eingaben!$B$19,MAX(0,D540-H540)),0)</f>
        <v>1.75959</v>
      </c>
      <c r="J540" s="13" t="n">
        <f aca="false">IFERROR(MIN(Eingaben!$B$18,MAX(0,F540-I540)),0)</f>
        <v>0.75411</v>
      </c>
      <c r="K540" s="13" t="n">
        <f aca="false">H540+I540</f>
        <v>2.4986178</v>
      </c>
      <c r="L540" s="13" t="n">
        <f aca="false">MAX(0,D540-K540)</f>
        <v>2.4413822</v>
      </c>
      <c r="M540" s="13" t="n">
        <f aca="false">MAX(0,F540-I540-J540)</f>
        <v>0</v>
      </c>
      <c r="N540" s="13" t="n">
        <f aca="false">IF(Kalender!A174="",0,J539-H540)</f>
        <v>0.0150822</v>
      </c>
    </row>
    <row r="541" customFormat="false" ht="16.4" hidden="false" customHeight="false" outlineLevel="0" collapsed="false">
      <c r="A541" s="13" t="str">
        <f aca="false">""</f>
        <v/>
      </c>
      <c r="B541" s="13" t="n">
        <f aca="false">171</f>
        <v>171</v>
      </c>
      <c r="C541" s="13" t="n">
        <f aca="false">IF(Szenarien!$H$9="OK",(IFERROR(SUMIF(Nutzungsprofile!$B$6:$B$11,"Schulbetrieb",Nutzungsprofile!$G$6:$G$11)*Kalender!C175/SUM(Kalender!$C$5:$C$370),0)+IFERROR(SUMIF(Nutzungsprofile!$B$6:$B$11,"Halle",Nutzungsprofile!$G$6:$G$11)*Kalender!D175/SUM(Kalender!$D$5:$D$370),0)+IFERROR(SUMIF(Nutzungsprofile!$B$6:$B$11,"Individuell",Nutzungsprofile!$G$6:$G$11)*Kalender!E175/SUM(Kalender!$E$5:$E$370),0))*Szenarien!$E$9,0)</f>
        <v>2.04</v>
      </c>
      <c r="D541" s="13" t="n">
        <f aca="false">IF(Szenarien!$H$9="OK",(IFERROR(SUMIF(Nutzungsprofile!$B$17:$B$22,"Schulbetrieb",Nutzungsprofile!$G$17:$G$22)*Kalender!C175/SUM(Kalender!$C$5:$C$370),0)+IFERROR(SUMIF(Nutzungsprofile!$B$17:$B$22,"Halle",Nutzungsprofile!$G$17:$G$22)*Kalender!D175/SUM(Kalender!$D$5:$D$370),0)+IFERROR(SUMIF(Nutzungsprofile!$B$17:$B$22,"Individuell",Nutzungsprofile!$G$17:$G$22)*Kalender!E175/SUM(Kalender!$E$5:$E$370),0))*Szenarien!$D$9,0)</f>
        <v>0.89</v>
      </c>
      <c r="E541" s="13" t="n">
        <f aca="false">IFERROR(MIN(C541,Eingaben!$B$17)*Eingaben!$B$16,0)</f>
        <v>1.938</v>
      </c>
      <c r="F541" s="13" t="n">
        <f aca="false">IFERROR(E541*Eingaben!$B$15,0)</f>
        <v>1.7442</v>
      </c>
      <c r="G541" s="13" t="n">
        <f aca="false">IFERROR(IF(Kalender!A175="",0,J540*(1-Eingaben!$B$20)),0)</f>
        <v>0.7390278</v>
      </c>
      <c r="H541" s="13" t="n">
        <f aca="false">MIN(G541,D541)</f>
        <v>0.7390278</v>
      </c>
      <c r="I541" s="13" t="n">
        <f aca="false">IFERROR(MIN(F541*Eingaben!$B$19,MAX(0,D541-H541)),0)</f>
        <v>0.1509722</v>
      </c>
      <c r="J541" s="13" t="n">
        <f aca="false">IFERROR(MIN(Eingaben!$B$18,MAX(0,F541-I541)),0)</f>
        <v>1.5932278</v>
      </c>
      <c r="K541" s="13" t="n">
        <f aca="false">H541+I541</f>
        <v>0.89</v>
      </c>
      <c r="L541" s="13" t="n">
        <f aca="false">MAX(0,D541-K541)</f>
        <v>0</v>
      </c>
      <c r="M541" s="13" t="n">
        <f aca="false">MAX(0,F541-I541-J541)</f>
        <v>0</v>
      </c>
      <c r="N541" s="13" t="n">
        <f aca="false">IF(Kalender!A175="",0,J540-H541)</f>
        <v>0.0150822</v>
      </c>
    </row>
    <row r="542" customFormat="false" ht="16.4" hidden="false" customHeight="false" outlineLevel="0" collapsed="false">
      <c r="A542" s="13" t="str">
        <f aca="false">""</f>
        <v/>
      </c>
      <c r="B542" s="13" t="n">
        <f aca="false">172</f>
        <v>172</v>
      </c>
      <c r="C542" s="13" t="n">
        <f aca="false">IF(Szenarien!$H$9="OK",(IFERROR(SUMIF(Nutzungsprofile!$B$6:$B$11,"Schulbetrieb",Nutzungsprofile!$G$6:$G$11)*Kalender!C176/SUM(Kalender!$C$5:$C$370),0)+IFERROR(SUMIF(Nutzungsprofile!$B$6:$B$11,"Halle",Nutzungsprofile!$G$6:$G$11)*Kalender!D176/SUM(Kalender!$D$5:$D$370),0)+IFERROR(SUMIF(Nutzungsprofile!$B$6:$B$11,"Individuell",Nutzungsprofile!$G$6:$G$11)*Kalender!E176/SUM(Kalender!$E$5:$E$370),0))*Szenarien!$E$9,0)</f>
        <v>2.04</v>
      </c>
      <c r="D542" s="13" t="n">
        <f aca="false">IF(Szenarien!$H$9="OK",(IFERROR(SUMIF(Nutzungsprofile!$B$17:$B$22,"Schulbetrieb",Nutzungsprofile!$G$17:$G$22)*Kalender!C176/SUM(Kalender!$C$5:$C$370),0)+IFERROR(SUMIF(Nutzungsprofile!$B$17:$B$22,"Halle",Nutzungsprofile!$G$17:$G$22)*Kalender!D176/SUM(Kalender!$D$5:$D$370),0)+IFERROR(SUMIF(Nutzungsprofile!$B$17:$B$22,"Individuell",Nutzungsprofile!$G$17:$G$22)*Kalender!E176/SUM(Kalender!$E$5:$E$370),0))*Szenarien!$D$9,0)</f>
        <v>0.89</v>
      </c>
      <c r="E542" s="13" t="n">
        <f aca="false">IFERROR(MIN(C542,Eingaben!$B$17)*Eingaben!$B$16,0)</f>
        <v>1.938</v>
      </c>
      <c r="F542" s="13" t="n">
        <f aca="false">IFERROR(E542*Eingaben!$B$15,0)</f>
        <v>1.7442</v>
      </c>
      <c r="G542" s="13" t="n">
        <f aca="false">IFERROR(IF(Kalender!A176="",0,J541*(1-Eingaben!$B$20)),0)</f>
        <v>1.561363244</v>
      </c>
      <c r="H542" s="13" t="n">
        <f aca="false">MIN(G542,D542)</f>
        <v>0.89</v>
      </c>
      <c r="I542" s="13" t="n">
        <f aca="false">IFERROR(MIN(F542*Eingaben!$B$19,MAX(0,D542-H542)),0)</f>
        <v>0</v>
      </c>
      <c r="J542" s="13" t="n">
        <f aca="false">IFERROR(MIN(Eingaben!$B$18,MAX(0,F542-I542)),0)</f>
        <v>1.7442</v>
      </c>
      <c r="K542" s="13" t="n">
        <f aca="false">H542+I542</f>
        <v>0.89</v>
      </c>
      <c r="L542" s="13" t="n">
        <f aca="false">MAX(0,D542-K542)</f>
        <v>0</v>
      </c>
      <c r="M542" s="13" t="n">
        <f aca="false">MAX(0,F542-I542-J542)</f>
        <v>0</v>
      </c>
      <c r="N542" s="13" t="n">
        <f aca="false">IF(Kalender!A176="",0,J541-H542)</f>
        <v>0.7032278</v>
      </c>
    </row>
    <row r="543" customFormat="false" ht="16.4" hidden="false" customHeight="false" outlineLevel="0" collapsed="false">
      <c r="A543" s="13" t="str">
        <f aca="false">""</f>
        <v/>
      </c>
      <c r="B543" s="13" t="n">
        <f aca="false">173</f>
        <v>173</v>
      </c>
      <c r="C543" s="13" t="n">
        <f aca="false">IF(Szenarien!$H$9="OK",(IFERROR(SUMIF(Nutzungsprofile!$B$6:$B$11,"Schulbetrieb",Nutzungsprofile!$G$6:$G$11)*Kalender!C177/SUM(Kalender!$C$5:$C$370),0)+IFERROR(SUMIF(Nutzungsprofile!$B$6:$B$11,"Halle",Nutzungsprofile!$G$6:$G$11)*Kalender!D177/SUM(Kalender!$D$5:$D$370),0)+IFERROR(SUMIF(Nutzungsprofile!$B$6:$B$11,"Individuell",Nutzungsprofile!$G$6:$G$11)*Kalender!E177/SUM(Kalender!$E$5:$E$370),0))*Szenarien!$E$9,0)</f>
        <v>2.94</v>
      </c>
      <c r="D543" s="13" t="n">
        <f aca="false">IF(Szenarien!$H$9="OK",(IFERROR(SUMIF(Nutzungsprofile!$B$17:$B$22,"Schulbetrieb",Nutzungsprofile!$G$17:$G$22)*Kalender!C177/SUM(Kalender!$C$5:$C$370),0)+IFERROR(SUMIF(Nutzungsprofile!$B$17:$B$22,"Halle",Nutzungsprofile!$G$17:$G$22)*Kalender!D177/SUM(Kalender!$D$5:$D$370),0)+IFERROR(SUMIF(Nutzungsprofile!$B$17:$B$22,"Individuell",Nutzungsprofile!$G$17:$G$22)*Kalender!E177/SUM(Kalender!$E$5:$E$370),0))*Szenarien!$D$9,0)</f>
        <v>4.94</v>
      </c>
      <c r="E543" s="13" t="n">
        <f aca="false">IFERROR(MIN(C543,Eingaben!$B$17)*Eingaben!$B$16,0)</f>
        <v>2.793</v>
      </c>
      <c r="F543" s="13" t="n">
        <f aca="false">IFERROR(E543*Eingaben!$B$15,0)</f>
        <v>2.5137</v>
      </c>
      <c r="G543" s="13" t="n">
        <f aca="false">IFERROR(IF(Kalender!A177="",0,J542*(1-Eingaben!$B$20)),0)</f>
        <v>1.709316</v>
      </c>
      <c r="H543" s="13" t="n">
        <f aca="false">MIN(G543,D543)</f>
        <v>1.709316</v>
      </c>
      <c r="I543" s="13" t="n">
        <f aca="false">IFERROR(MIN(F543*Eingaben!$B$19,MAX(0,D543-H543)),0)</f>
        <v>1.75959</v>
      </c>
      <c r="J543" s="13" t="n">
        <f aca="false">IFERROR(MIN(Eingaben!$B$18,MAX(0,F543-I543)),0)</f>
        <v>0.75411</v>
      </c>
      <c r="K543" s="13" t="n">
        <f aca="false">H543+I543</f>
        <v>3.468906</v>
      </c>
      <c r="L543" s="13" t="n">
        <f aca="false">MAX(0,D543-K543)</f>
        <v>1.471094</v>
      </c>
      <c r="M543" s="13" t="n">
        <f aca="false">MAX(0,F543-I543-J543)</f>
        <v>0</v>
      </c>
      <c r="N543" s="13" t="n">
        <f aca="false">IF(Kalender!A177="",0,J542-H543)</f>
        <v>0.0348840000000001</v>
      </c>
    </row>
    <row r="544" customFormat="false" ht="16.4" hidden="false" customHeight="false" outlineLevel="0" collapsed="false">
      <c r="A544" s="13" t="str">
        <f aca="false">""</f>
        <v/>
      </c>
      <c r="B544" s="13" t="n">
        <f aca="false">174</f>
        <v>174</v>
      </c>
      <c r="C544" s="13" t="n">
        <f aca="false">IF(Szenarien!$H$9="OK",(IFERROR(SUMIF(Nutzungsprofile!$B$6:$B$11,"Schulbetrieb",Nutzungsprofile!$G$6:$G$11)*Kalender!C178/SUM(Kalender!$C$5:$C$370),0)+IFERROR(SUMIF(Nutzungsprofile!$B$6:$B$11,"Halle",Nutzungsprofile!$G$6:$G$11)*Kalender!D178/SUM(Kalender!$D$5:$D$370),0)+IFERROR(SUMIF(Nutzungsprofile!$B$6:$B$11,"Individuell",Nutzungsprofile!$G$6:$G$11)*Kalender!E178/SUM(Kalender!$E$5:$E$370),0))*Szenarien!$E$9,0)</f>
        <v>2.94</v>
      </c>
      <c r="D544" s="13" t="n">
        <f aca="false">IF(Szenarien!$H$9="OK",(IFERROR(SUMIF(Nutzungsprofile!$B$17:$B$22,"Schulbetrieb",Nutzungsprofile!$G$17:$G$22)*Kalender!C178/SUM(Kalender!$C$5:$C$370),0)+IFERROR(SUMIF(Nutzungsprofile!$B$17:$B$22,"Halle",Nutzungsprofile!$G$17:$G$22)*Kalender!D178/SUM(Kalender!$D$5:$D$370),0)+IFERROR(SUMIF(Nutzungsprofile!$B$17:$B$22,"Individuell",Nutzungsprofile!$G$17:$G$22)*Kalender!E178/SUM(Kalender!$E$5:$E$370),0))*Szenarien!$D$9,0)</f>
        <v>4.94</v>
      </c>
      <c r="E544" s="13" t="n">
        <f aca="false">IFERROR(MIN(C544,Eingaben!$B$17)*Eingaben!$B$16,0)</f>
        <v>2.793</v>
      </c>
      <c r="F544" s="13" t="n">
        <f aca="false">IFERROR(E544*Eingaben!$B$15,0)</f>
        <v>2.5137</v>
      </c>
      <c r="G544" s="13" t="n">
        <f aca="false">IFERROR(IF(Kalender!A178="",0,J543*(1-Eingaben!$B$20)),0)</f>
        <v>0.7390278</v>
      </c>
      <c r="H544" s="13" t="n">
        <f aca="false">MIN(G544,D544)</f>
        <v>0.7390278</v>
      </c>
      <c r="I544" s="13" t="n">
        <f aca="false">IFERROR(MIN(F544*Eingaben!$B$19,MAX(0,D544-H544)),0)</f>
        <v>1.75959</v>
      </c>
      <c r="J544" s="13" t="n">
        <f aca="false">IFERROR(MIN(Eingaben!$B$18,MAX(0,F544-I544)),0)</f>
        <v>0.75411</v>
      </c>
      <c r="K544" s="13" t="n">
        <f aca="false">H544+I544</f>
        <v>2.4986178</v>
      </c>
      <c r="L544" s="13" t="n">
        <f aca="false">MAX(0,D544-K544)</f>
        <v>2.4413822</v>
      </c>
      <c r="M544" s="13" t="n">
        <f aca="false">MAX(0,F544-I544-J544)</f>
        <v>0</v>
      </c>
      <c r="N544" s="13" t="n">
        <f aca="false">IF(Kalender!A178="",0,J543-H544)</f>
        <v>0.0150822</v>
      </c>
    </row>
    <row r="545" customFormat="false" ht="16.4" hidden="false" customHeight="false" outlineLevel="0" collapsed="false">
      <c r="A545" s="13" t="str">
        <f aca="false">""</f>
        <v/>
      </c>
      <c r="B545" s="13" t="n">
        <f aca="false">175</f>
        <v>175</v>
      </c>
      <c r="C545" s="13" t="n">
        <f aca="false">IF(Szenarien!$H$9="OK",(IFERROR(SUMIF(Nutzungsprofile!$B$6:$B$11,"Schulbetrieb",Nutzungsprofile!$G$6:$G$11)*Kalender!C179/SUM(Kalender!$C$5:$C$370),0)+IFERROR(SUMIF(Nutzungsprofile!$B$6:$B$11,"Halle",Nutzungsprofile!$G$6:$G$11)*Kalender!D179/SUM(Kalender!$D$5:$D$370),0)+IFERROR(SUMIF(Nutzungsprofile!$B$6:$B$11,"Individuell",Nutzungsprofile!$G$6:$G$11)*Kalender!E179/SUM(Kalender!$E$5:$E$370),0))*Szenarien!$E$9,0)</f>
        <v>2.94</v>
      </c>
      <c r="D545" s="13" t="n">
        <f aca="false">IF(Szenarien!$H$9="OK",(IFERROR(SUMIF(Nutzungsprofile!$B$17:$B$22,"Schulbetrieb",Nutzungsprofile!$G$17:$G$22)*Kalender!C179/SUM(Kalender!$C$5:$C$370),0)+IFERROR(SUMIF(Nutzungsprofile!$B$17:$B$22,"Halle",Nutzungsprofile!$G$17:$G$22)*Kalender!D179/SUM(Kalender!$D$5:$D$370),0)+IFERROR(SUMIF(Nutzungsprofile!$B$17:$B$22,"Individuell",Nutzungsprofile!$G$17:$G$22)*Kalender!E179/SUM(Kalender!$E$5:$E$370),0))*Szenarien!$D$9,0)</f>
        <v>4.94</v>
      </c>
      <c r="E545" s="13" t="n">
        <f aca="false">IFERROR(MIN(C545,Eingaben!$B$17)*Eingaben!$B$16,0)</f>
        <v>2.793</v>
      </c>
      <c r="F545" s="13" t="n">
        <f aca="false">IFERROR(E545*Eingaben!$B$15,0)</f>
        <v>2.5137</v>
      </c>
      <c r="G545" s="13" t="n">
        <f aca="false">IFERROR(IF(Kalender!A179="",0,J544*(1-Eingaben!$B$20)),0)</f>
        <v>0.7390278</v>
      </c>
      <c r="H545" s="13" t="n">
        <f aca="false">MIN(G545,D545)</f>
        <v>0.7390278</v>
      </c>
      <c r="I545" s="13" t="n">
        <f aca="false">IFERROR(MIN(F545*Eingaben!$B$19,MAX(0,D545-H545)),0)</f>
        <v>1.75959</v>
      </c>
      <c r="J545" s="13" t="n">
        <f aca="false">IFERROR(MIN(Eingaben!$B$18,MAX(0,F545-I545)),0)</f>
        <v>0.75411</v>
      </c>
      <c r="K545" s="13" t="n">
        <f aca="false">H545+I545</f>
        <v>2.4986178</v>
      </c>
      <c r="L545" s="13" t="n">
        <f aca="false">MAX(0,D545-K545)</f>
        <v>2.4413822</v>
      </c>
      <c r="M545" s="13" t="n">
        <f aca="false">MAX(0,F545-I545-J545)</f>
        <v>0</v>
      </c>
      <c r="N545" s="13" t="n">
        <f aca="false">IF(Kalender!A179="",0,J544-H545)</f>
        <v>0.0150822</v>
      </c>
    </row>
    <row r="546" customFormat="false" ht="16.4" hidden="false" customHeight="false" outlineLevel="0" collapsed="false">
      <c r="A546" s="13" t="str">
        <f aca="false">""</f>
        <v/>
      </c>
      <c r="B546" s="13" t="n">
        <f aca="false">176</f>
        <v>176</v>
      </c>
      <c r="C546" s="13" t="n">
        <f aca="false">IF(Szenarien!$H$9="OK",(IFERROR(SUMIF(Nutzungsprofile!$B$6:$B$11,"Schulbetrieb",Nutzungsprofile!$G$6:$G$11)*Kalender!C180/SUM(Kalender!$C$5:$C$370),0)+IFERROR(SUMIF(Nutzungsprofile!$B$6:$B$11,"Halle",Nutzungsprofile!$G$6:$G$11)*Kalender!D180/SUM(Kalender!$D$5:$D$370),0)+IFERROR(SUMIF(Nutzungsprofile!$B$6:$B$11,"Individuell",Nutzungsprofile!$G$6:$G$11)*Kalender!E180/SUM(Kalender!$E$5:$E$370),0))*Szenarien!$E$9,0)</f>
        <v>2.94</v>
      </c>
      <c r="D546" s="13" t="n">
        <f aca="false">IF(Szenarien!$H$9="OK",(IFERROR(SUMIF(Nutzungsprofile!$B$17:$B$22,"Schulbetrieb",Nutzungsprofile!$G$17:$G$22)*Kalender!C180/SUM(Kalender!$C$5:$C$370),0)+IFERROR(SUMIF(Nutzungsprofile!$B$17:$B$22,"Halle",Nutzungsprofile!$G$17:$G$22)*Kalender!D180/SUM(Kalender!$D$5:$D$370),0)+IFERROR(SUMIF(Nutzungsprofile!$B$17:$B$22,"Individuell",Nutzungsprofile!$G$17:$G$22)*Kalender!E180/SUM(Kalender!$E$5:$E$370),0))*Szenarien!$D$9,0)</f>
        <v>4.94</v>
      </c>
      <c r="E546" s="13" t="n">
        <f aca="false">IFERROR(MIN(C546,Eingaben!$B$17)*Eingaben!$B$16,0)</f>
        <v>2.793</v>
      </c>
      <c r="F546" s="13" t="n">
        <f aca="false">IFERROR(E546*Eingaben!$B$15,0)</f>
        <v>2.5137</v>
      </c>
      <c r="G546" s="13" t="n">
        <f aca="false">IFERROR(IF(Kalender!A180="",0,J545*(1-Eingaben!$B$20)),0)</f>
        <v>0.7390278</v>
      </c>
      <c r="H546" s="13" t="n">
        <f aca="false">MIN(G546,D546)</f>
        <v>0.7390278</v>
      </c>
      <c r="I546" s="13" t="n">
        <f aca="false">IFERROR(MIN(F546*Eingaben!$B$19,MAX(0,D546-H546)),0)</f>
        <v>1.75959</v>
      </c>
      <c r="J546" s="13" t="n">
        <f aca="false">IFERROR(MIN(Eingaben!$B$18,MAX(0,F546-I546)),0)</f>
        <v>0.75411</v>
      </c>
      <c r="K546" s="13" t="n">
        <f aca="false">H546+I546</f>
        <v>2.4986178</v>
      </c>
      <c r="L546" s="13" t="n">
        <f aca="false">MAX(0,D546-K546)</f>
        <v>2.4413822</v>
      </c>
      <c r="M546" s="13" t="n">
        <f aca="false">MAX(0,F546-I546-J546)</f>
        <v>0</v>
      </c>
      <c r="N546" s="13" t="n">
        <f aca="false">IF(Kalender!A180="",0,J545-H546)</f>
        <v>0.0150822</v>
      </c>
    </row>
    <row r="547" customFormat="false" ht="16.4" hidden="false" customHeight="false" outlineLevel="0" collapsed="false">
      <c r="A547" s="13" t="str">
        <f aca="false">""</f>
        <v/>
      </c>
      <c r="B547" s="13" t="n">
        <f aca="false">177</f>
        <v>177</v>
      </c>
      <c r="C547" s="13" t="n">
        <f aca="false">IF(Szenarien!$H$9="OK",(IFERROR(SUMIF(Nutzungsprofile!$B$6:$B$11,"Schulbetrieb",Nutzungsprofile!$G$6:$G$11)*Kalender!C181/SUM(Kalender!$C$5:$C$370),0)+IFERROR(SUMIF(Nutzungsprofile!$B$6:$B$11,"Halle",Nutzungsprofile!$G$6:$G$11)*Kalender!D181/SUM(Kalender!$D$5:$D$370),0)+IFERROR(SUMIF(Nutzungsprofile!$B$6:$B$11,"Individuell",Nutzungsprofile!$G$6:$G$11)*Kalender!E181/SUM(Kalender!$E$5:$E$370),0))*Szenarien!$E$9,0)</f>
        <v>2.94</v>
      </c>
      <c r="D547" s="13" t="n">
        <f aca="false">IF(Szenarien!$H$9="OK",(IFERROR(SUMIF(Nutzungsprofile!$B$17:$B$22,"Schulbetrieb",Nutzungsprofile!$G$17:$G$22)*Kalender!C181/SUM(Kalender!$C$5:$C$370),0)+IFERROR(SUMIF(Nutzungsprofile!$B$17:$B$22,"Halle",Nutzungsprofile!$G$17:$G$22)*Kalender!D181/SUM(Kalender!$D$5:$D$370),0)+IFERROR(SUMIF(Nutzungsprofile!$B$17:$B$22,"Individuell",Nutzungsprofile!$G$17:$G$22)*Kalender!E181/SUM(Kalender!$E$5:$E$370),0))*Szenarien!$D$9,0)</f>
        <v>4.94</v>
      </c>
      <c r="E547" s="13" t="n">
        <f aca="false">IFERROR(MIN(C547,Eingaben!$B$17)*Eingaben!$B$16,0)</f>
        <v>2.793</v>
      </c>
      <c r="F547" s="13" t="n">
        <f aca="false">IFERROR(E547*Eingaben!$B$15,0)</f>
        <v>2.5137</v>
      </c>
      <c r="G547" s="13" t="n">
        <f aca="false">IFERROR(IF(Kalender!A181="",0,J546*(1-Eingaben!$B$20)),0)</f>
        <v>0.7390278</v>
      </c>
      <c r="H547" s="13" t="n">
        <f aca="false">MIN(G547,D547)</f>
        <v>0.7390278</v>
      </c>
      <c r="I547" s="13" t="n">
        <f aca="false">IFERROR(MIN(F547*Eingaben!$B$19,MAX(0,D547-H547)),0)</f>
        <v>1.75959</v>
      </c>
      <c r="J547" s="13" t="n">
        <f aca="false">IFERROR(MIN(Eingaben!$B$18,MAX(0,F547-I547)),0)</f>
        <v>0.75411</v>
      </c>
      <c r="K547" s="13" t="n">
        <f aca="false">H547+I547</f>
        <v>2.4986178</v>
      </c>
      <c r="L547" s="13" t="n">
        <f aca="false">MAX(0,D547-K547)</f>
        <v>2.4413822</v>
      </c>
      <c r="M547" s="13" t="n">
        <f aca="false">MAX(0,F547-I547-J547)</f>
        <v>0</v>
      </c>
      <c r="N547" s="13" t="n">
        <f aca="false">IF(Kalender!A181="",0,J546-H547)</f>
        <v>0.0150822</v>
      </c>
    </row>
    <row r="548" customFormat="false" ht="16.4" hidden="false" customHeight="false" outlineLevel="0" collapsed="false">
      <c r="A548" s="13" t="str">
        <f aca="false">""</f>
        <v/>
      </c>
      <c r="B548" s="13" t="n">
        <f aca="false">178</f>
        <v>178</v>
      </c>
      <c r="C548" s="13" t="n">
        <f aca="false">IF(Szenarien!$H$9="OK",(IFERROR(SUMIF(Nutzungsprofile!$B$6:$B$11,"Schulbetrieb",Nutzungsprofile!$G$6:$G$11)*Kalender!C182/SUM(Kalender!$C$5:$C$370),0)+IFERROR(SUMIF(Nutzungsprofile!$B$6:$B$11,"Halle",Nutzungsprofile!$G$6:$G$11)*Kalender!D182/SUM(Kalender!$D$5:$D$370),0)+IFERROR(SUMIF(Nutzungsprofile!$B$6:$B$11,"Individuell",Nutzungsprofile!$G$6:$G$11)*Kalender!E182/SUM(Kalender!$E$5:$E$370),0))*Szenarien!$E$9,0)</f>
        <v>2.04</v>
      </c>
      <c r="D548" s="13" t="n">
        <f aca="false">IF(Szenarien!$H$9="OK",(IFERROR(SUMIF(Nutzungsprofile!$B$17:$B$22,"Schulbetrieb",Nutzungsprofile!$G$17:$G$22)*Kalender!C182/SUM(Kalender!$C$5:$C$370),0)+IFERROR(SUMIF(Nutzungsprofile!$B$17:$B$22,"Halle",Nutzungsprofile!$G$17:$G$22)*Kalender!D182/SUM(Kalender!$D$5:$D$370),0)+IFERROR(SUMIF(Nutzungsprofile!$B$17:$B$22,"Individuell",Nutzungsprofile!$G$17:$G$22)*Kalender!E182/SUM(Kalender!$E$5:$E$370),0))*Szenarien!$D$9,0)</f>
        <v>0.89</v>
      </c>
      <c r="E548" s="13" t="n">
        <f aca="false">IFERROR(MIN(C548,Eingaben!$B$17)*Eingaben!$B$16,0)</f>
        <v>1.938</v>
      </c>
      <c r="F548" s="13" t="n">
        <f aca="false">IFERROR(E548*Eingaben!$B$15,0)</f>
        <v>1.7442</v>
      </c>
      <c r="G548" s="13" t="n">
        <f aca="false">IFERROR(IF(Kalender!A182="",0,J547*(1-Eingaben!$B$20)),0)</f>
        <v>0.7390278</v>
      </c>
      <c r="H548" s="13" t="n">
        <f aca="false">MIN(G548,D548)</f>
        <v>0.7390278</v>
      </c>
      <c r="I548" s="13" t="n">
        <f aca="false">IFERROR(MIN(F548*Eingaben!$B$19,MAX(0,D548-H548)),0)</f>
        <v>0.1509722</v>
      </c>
      <c r="J548" s="13" t="n">
        <f aca="false">IFERROR(MIN(Eingaben!$B$18,MAX(0,F548-I548)),0)</f>
        <v>1.5932278</v>
      </c>
      <c r="K548" s="13" t="n">
        <f aca="false">H548+I548</f>
        <v>0.89</v>
      </c>
      <c r="L548" s="13" t="n">
        <f aca="false">MAX(0,D548-K548)</f>
        <v>0</v>
      </c>
      <c r="M548" s="13" t="n">
        <f aca="false">MAX(0,F548-I548-J548)</f>
        <v>0</v>
      </c>
      <c r="N548" s="13" t="n">
        <f aca="false">IF(Kalender!A182="",0,J547-H548)</f>
        <v>0.0150822</v>
      </c>
    </row>
    <row r="549" customFormat="false" ht="16.4" hidden="false" customHeight="false" outlineLevel="0" collapsed="false">
      <c r="A549" s="13" t="str">
        <f aca="false">""</f>
        <v/>
      </c>
      <c r="B549" s="13" t="n">
        <f aca="false">179</f>
        <v>179</v>
      </c>
      <c r="C549" s="13" t="n">
        <f aca="false">IF(Szenarien!$H$9="OK",(IFERROR(SUMIF(Nutzungsprofile!$B$6:$B$11,"Schulbetrieb",Nutzungsprofile!$G$6:$G$11)*Kalender!C183/SUM(Kalender!$C$5:$C$370),0)+IFERROR(SUMIF(Nutzungsprofile!$B$6:$B$11,"Halle",Nutzungsprofile!$G$6:$G$11)*Kalender!D183/SUM(Kalender!$D$5:$D$370),0)+IFERROR(SUMIF(Nutzungsprofile!$B$6:$B$11,"Individuell",Nutzungsprofile!$G$6:$G$11)*Kalender!E183/SUM(Kalender!$E$5:$E$370),0))*Szenarien!$E$9,0)</f>
        <v>2.04</v>
      </c>
      <c r="D549" s="13" t="n">
        <f aca="false">IF(Szenarien!$H$9="OK",(IFERROR(SUMIF(Nutzungsprofile!$B$17:$B$22,"Schulbetrieb",Nutzungsprofile!$G$17:$G$22)*Kalender!C183/SUM(Kalender!$C$5:$C$370),0)+IFERROR(SUMIF(Nutzungsprofile!$B$17:$B$22,"Halle",Nutzungsprofile!$G$17:$G$22)*Kalender!D183/SUM(Kalender!$D$5:$D$370),0)+IFERROR(SUMIF(Nutzungsprofile!$B$17:$B$22,"Individuell",Nutzungsprofile!$G$17:$G$22)*Kalender!E183/SUM(Kalender!$E$5:$E$370),0))*Szenarien!$D$9,0)</f>
        <v>0.89</v>
      </c>
      <c r="E549" s="13" t="n">
        <f aca="false">IFERROR(MIN(C549,Eingaben!$B$17)*Eingaben!$B$16,0)</f>
        <v>1.938</v>
      </c>
      <c r="F549" s="13" t="n">
        <f aca="false">IFERROR(E549*Eingaben!$B$15,0)</f>
        <v>1.7442</v>
      </c>
      <c r="G549" s="13" t="n">
        <f aca="false">IFERROR(IF(Kalender!A183="",0,J548*(1-Eingaben!$B$20)),0)</f>
        <v>1.561363244</v>
      </c>
      <c r="H549" s="13" t="n">
        <f aca="false">MIN(G549,D549)</f>
        <v>0.89</v>
      </c>
      <c r="I549" s="13" t="n">
        <f aca="false">IFERROR(MIN(F549*Eingaben!$B$19,MAX(0,D549-H549)),0)</f>
        <v>0</v>
      </c>
      <c r="J549" s="13" t="n">
        <f aca="false">IFERROR(MIN(Eingaben!$B$18,MAX(0,F549-I549)),0)</f>
        <v>1.7442</v>
      </c>
      <c r="K549" s="13" t="n">
        <f aca="false">H549+I549</f>
        <v>0.89</v>
      </c>
      <c r="L549" s="13" t="n">
        <f aca="false">MAX(0,D549-K549)</f>
        <v>0</v>
      </c>
      <c r="M549" s="13" t="n">
        <f aca="false">MAX(0,F549-I549-J549)</f>
        <v>0</v>
      </c>
      <c r="N549" s="13" t="n">
        <f aca="false">IF(Kalender!A183="",0,J548-H549)</f>
        <v>0.7032278</v>
      </c>
    </row>
    <row r="550" customFormat="false" ht="16.4" hidden="false" customHeight="false" outlineLevel="0" collapsed="false">
      <c r="A550" s="13" t="str">
        <f aca="false">""</f>
        <v/>
      </c>
      <c r="B550" s="13" t="n">
        <f aca="false">180</f>
        <v>180</v>
      </c>
      <c r="C550" s="13" t="n">
        <f aca="false">IF(Szenarien!$H$9="OK",(IFERROR(SUMIF(Nutzungsprofile!$B$6:$B$11,"Schulbetrieb",Nutzungsprofile!$G$6:$G$11)*Kalender!C184/SUM(Kalender!$C$5:$C$370),0)+IFERROR(SUMIF(Nutzungsprofile!$B$6:$B$11,"Halle",Nutzungsprofile!$G$6:$G$11)*Kalender!D184/SUM(Kalender!$D$5:$D$370),0)+IFERROR(SUMIF(Nutzungsprofile!$B$6:$B$11,"Individuell",Nutzungsprofile!$G$6:$G$11)*Kalender!E184/SUM(Kalender!$E$5:$E$370),0))*Szenarien!$E$9,0)</f>
        <v>2.94</v>
      </c>
      <c r="D550" s="13" t="n">
        <f aca="false">IF(Szenarien!$H$9="OK",(IFERROR(SUMIF(Nutzungsprofile!$B$17:$B$22,"Schulbetrieb",Nutzungsprofile!$G$17:$G$22)*Kalender!C184/SUM(Kalender!$C$5:$C$370),0)+IFERROR(SUMIF(Nutzungsprofile!$B$17:$B$22,"Halle",Nutzungsprofile!$G$17:$G$22)*Kalender!D184/SUM(Kalender!$D$5:$D$370),0)+IFERROR(SUMIF(Nutzungsprofile!$B$17:$B$22,"Individuell",Nutzungsprofile!$G$17:$G$22)*Kalender!E184/SUM(Kalender!$E$5:$E$370),0))*Szenarien!$D$9,0)</f>
        <v>4.94</v>
      </c>
      <c r="E550" s="13" t="n">
        <f aca="false">IFERROR(MIN(C550,Eingaben!$B$17)*Eingaben!$B$16,0)</f>
        <v>2.793</v>
      </c>
      <c r="F550" s="13" t="n">
        <f aca="false">IFERROR(E550*Eingaben!$B$15,0)</f>
        <v>2.5137</v>
      </c>
      <c r="G550" s="13" t="n">
        <f aca="false">IFERROR(IF(Kalender!A184="",0,J549*(1-Eingaben!$B$20)),0)</f>
        <v>1.709316</v>
      </c>
      <c r="H550" s="13" t="n">
        <f aca="false">MIN(G550,D550)</f>
        <v>1.709316</v>
      </c>
      <c r="I550" s="13" t="n">
        <f aca="false">IFERROR(MIN(F550*Eingaben!$B$19,MAX(0,D550-H550)),0)</f>
        <v>1.75959</v>
      </c>
      <c r="J550" s="13" t="n">
        <f aca="false">IFERROR(MIN(Eingaben!$B$18,MAX(0,F550-I550)),0)</f>
        <v>0.75411</v>
      </c>
      <c r="K550" s="13" t="n">
        <f aca="false">H550+I550</f>
        <v>3.468906</v>
      </c>
      <c r="L550" s="13" t="n">
        <f aca="false">MAX(0,D550-K550)</f>
        <v>1.471094</v>
      </c>
      <c r="M550" s="13" t="n">
        <f aca="false">MAX(0,F550-I550-J550)</f>
        <v>0</v>
      </c>
      <c r="N550" s="13" t="n">
        <f aca="false">IF(Kalender!A184="",0,J549-H550)</f>
        <v>0.0348840000000001</v>
      </c>
    </row>
    <row r="551" customFormat="false" ht="16.4" hidden="false" customHeight="false" outlineLevel="0" collapsed="false">
      <c r="A551" s="13" t="str">
        <f aca="false">""</f>
        <v/>
      </c>
      <c r="B551" s="13" t="n">
        <f aca="false">181</f>
        <v>181</v>
      </c>
      <c r="C551" s="13" t="n">
        <f aca="false">IF(Szenarien!$H$9="OK",(IFERROR(SUMIF(Nutzungsprofile!$B$6:$B$11,"Schulbetrieb",Nutzungsprofile!$G$6:$G$11)*Kalender!C185/SUM(Kalender!$C$5:$C$370),0)+IFERROR(SUMIF(Nutzungsprofile!$B$6:$B$11,"Halle",Nutzungsprofile!$G$6:$G$11)*Kalender!D185/SUM(Kalender!$D$5:$D$370),0)+IFERROR(SUMIF(Nutzungsprofile!$B$6:$B$11,"Individuell",Nutzungsprofile!$G$6:$G$11)*Kalender!E185/SUM(Kalender!$E$5:$E$370),0))*Szenarien!$E$9,0)</f>
        <v>2.94</v>
      </c>
      <c r="D551" s="13" t="n">
        <f aca="false">IF(Szenarien!$H$9="OK",(IFERROR(SUMIF(Nutzungsprofile!$B$17:$B$22,"Schulbetrieb",Nutzungsprofile!$G$17:$G$22)*Kalender!C185/SUM(Kalender!$C$5:$C$370),0)+IFERROR(SUMIF(Nutzungsprofile!$B$17:$B$22,"Halle",Nutzungsprofile!$G$17:$G$22)*Kalender!D185/SUM(Kalender!$D$5:$D$370),0)+IFERROR(SUMIF(Nutzungsprofile!$B$17:$B$22,"Individuell",Nutzungsprofile!$G$17:$G$22)*Kalender!E185/SUM(Kalender!$E$5:$E$370),0))*Szenarien!$D$9,0)</f>
        <v>4.94</v>
      </c>
      <c r="E551" s="13" t="n">
        <f aca="false">IFERROR(MIN(C551,Eingaben!$B$17)*Eingaben!$B$16,0)</f>
        <v>2.793</v>
      </c>
      <c r="F551" s="13" t="n">
        <f aca="false">IFERROR(E551*Eingaben!$B$15,0)</f>
        <v>2.5137</v>
      </c>
      <c r="G551" s="13" t="n">
        <f aca="false">IFERROR(IF(Kalender!A185="",0,J550*(1-Eingaben!$B$20)),0)</f>
        <v>0.7390278</v>
      </c>
      <c r="H551" s="13" t="n">
        <f aca="false">MIN(G551,D551)</f>
        <v>0.7390278</v>
      </c>
      <c r="I551" s="13" t="n">
        <f aca="false">IFERROR(MIN(F551*Eingaben!$B$19,MAX(0,D551-H551)),0)</f>
        <v>1.75959</v>
      </c>
      <c r="J551" s="13" t="n">
        <f aca="false">IFERROR(MIN(Eingaben!$B$18,MAX(0,F551-I551)),0)</f>
        <v>0.75411</v>
      </c>
      <c r="K551" s="13" t="n">
        <f aca="false">H551+I551</f>
        <v>2.4986178</v>
      </c>
      <c r="L551" s="13" t="n">
        <f aca="false">MAX(0,D551-K551)</f>
        <v>2.4413822</v>
      </c>
      <c r="M551" s="13" t="n">
        <f aca="false">MAX(0,F551-I551-J551)</f>
        <v>0</v>
      </c>
      <c r="N551" s="13" t="n">
        <f aca="false">IF(Kalender!A185="",0,J550-H551)</f>
        <v>0.0150822</v>
      </c>
    </row>
    <row r="552" customFormat="false" ht="16.4" hidden="false" customHeight="false" outlineLevel="0" collapsed="false">
      <c r="A552" s="13" t="str">
        <f aca="false">""</f>
        <v/>
      </c>
      <c r="B552" s="13" t="n">
        <f aca="false">182</f>
        <v>182</v>
      </c>
      <c r="C552" s="13" t="n">
        <f aca="false">IF(Szenarien!$H$9="OK",(IFERROR(SUMIF(Nutzungsprofile!$B$6:$B$11,"Schulbetrieb",Nutzungsprofile!$G$6:$G$11)*Kalender!C186/SUM(Kalender!$C$5:$C$370),0)+IFERROR(SUMIF(Nutzungsprofile!$B$6:$B$11,"Halle",Nutzungsprofile!$G$6:$G$11)*Kalender!D186/SUM(Kalender!$D$5:$D$370),0)+IFERROR(SUMIF(Nutzungsprofile!$B$6:$B$11,"Individuell",Nutzungsprofile!$G$6:$G$11)*Kalender!E186/SUM(Kalender!$E$5:$E$370),0))*Szenarien!$E$9,0)</f>
        <v>2.04</v>
      </c>
      <c r="D552" s="13" t="n">
        <f aca="false">IF(Szenarien!$H$9="OK",(IFERROR(SUMIF(Nutzungsprofile!$B$17:$B$22,"Schulbetrieb",Nutzungsprofile!$G$17:$G$22)*Kalender!C186/SUM(Kalender!$C$5:$C$370),0)+IFERROR(SUMIF(Nutzungsprofile!$B$17:$B$22,"Halle",Nutzungsprofile!$G$17:$G$22)*Kalender!D186/SUM(Kalender!$D$5:$D$370),0)+IFERROR(SUMIF(Nutzungsprofile!$B$17:$B$22,"Individuell",Nutzungsprofile!$G$17:$G$22)*Kalender!E186/SUM(Kalender!$E$5:$E$370),0))*Szenarien!$D$9,0)</f>
        <v>0.89</v>
      </c>
      <c r="E552" s="13" t="n">
        <f aca="false">IFERROR(MIN(C552,Eingaben!$B$17)*Eingaben!$B$16,0)</f>
        <v>1.938</v>
      </c>
      <c r="F552" s="13" t="n">
        <f aca="false">IFERROR(E552*Eingaben!$B$15,0)</f>
        <v>1.7442</v>
      </c>
      <c r="G552" s="13" t="n">
        <f aca="false">IFERROR(IF(Kalender!A186="",0,J551*(1-Eingaben!$B$20)),0)</f>
        <v>0.7390278</v>
      </c>
      <c r="H552" s="13" t="n">
        <f aca="false">MIN(G552,D552)</f>
        <v>0.7390278</v>
      </c>
      <c r="I552" s="13" t="n">
        <f aca="false">IFERROR(MIN(F552*Eingaben!$B$19,MAX(0,D552-H552)),0)</f>
        <v>0.1509722</v>
      </c>
      <c r="J552" s="13" t="n">
        <f aca="false">IFERROR(MIN(Eingaben!$B$18,MAX(0,F552-I552)),0)</f>
        <v>1.5932278</v>
      </c>
      <c r="K552" s="13" t="n">
        <f aca="false">H552+I552</f>
        <v>0.89</v>
      </c>
      <c r="L552" s="13" t="n">
        <f aca="false">MAX(0,D552-K552)</f>
        <v>0</v>
      </c>
      <c r="M552" s="13" t="n">
        <f aca="false">MAX(0,F552-I552-J552)</f>
        <v>0</v>
      </c>
      <c r="N552" s="13" t="n">
        <f aca="false">IF(Kalender!A186="",0,J551-H552)</f>
        <v>0.0150822</v>
      </c>
    </row>
    <row r="553" customFormat="false" ht="16.4" hidden="false" customHeight="false" outlineLevel="0" collapsed="false">
      <c r="A553" s="13" t="str">
        <f aca="false">""</f>
        <v/>
      </c>
      <c r="B553" s="13" t="n">
        <f aca="false">183</f>
        <v>183</v>
      </c>
      <c r="C553" s="13" t="n">
        <f aca="false">IF(Szenarien!$H$9="OK",(IFERROR(SUMIF(Nutzungsprofile!$B$6:$B$11,"Schulbetrieb",Nutzungsprofile!$G$6:$G$11)*Kalender!C187/SUM(Kalender!$C$5:$C$370),0)+IFERROR(SUMIF(Nutzungsprofile!$B$6:$B$11,"Halle",Nutzungsprofile!$G$6:$G$11)*Kalender!D187/SUM(Kalender!$D$5:$D$370),0)+IFERROR(SUMIF(Nutzungsprofile!$B$6:$B$11,"Individuell",Nutzungsprofile!$G$6:$G$11)*Kalender!E187/SUM(Kalender!$E$5:$E$370),0))*Szenarien!$E$9,0)</f>
        <v>2.04</v>
      </c>
      <c r="D553" s="13" t="n">
        <f aca="false">IF(Szenarien!$H$9="OK",(IFERROR(SUMIF(Nutzungsprofile!$B$17:$B$22,"Schulbetrieb",Nutzungsprofile!$G$17:$G$22)*Kalender!C187/SUM(Kalender!$C$5:$C$370),0)+IFERROR(SUMIF(Nutzungsprofile!$B$17:$B$22,"Halle",Nutzungsprofile!$G$17:$G$22)*Kalender!D187/SUM(Kalender!$D$5:$D$370),0)+IFERROR(SUMIF(Nutzungsprofile!$B$17:$B$22,"Individuell",Nutzungsprofile!$G$17:$G$22)*Kalender!E187/SUM(Kalender!$E$5:$E$370),0))*Szenarien!$D$9,0)</f>
        <v>0.89</v>
      </c>
      <c r="E553" s="13" t="n">
        <f aca="false">IFERROR(MIN(C553,Eingaben!$B$17)*Eingaben!$B$16,0)</f>
        <v>1.938</v>
      </c>
      <c r="F553" s="13" t="n">
        <f aca="false">IFERROR(E553*Eingaben!$B$15,0)</f>
        <v>1.7442</v>
      </c>
      <c r="G553" s="13" t="n">
        <f aca="false">IFERROR(IF(Kalender!A187="",0,J552*(1-Eingaben!$B$20)),0)</f>
        <v>1.561363244</v>
      </c>
      <c r="H553" s="13" t="n">
        <f aca="false">MIN(G553,D553)</f>
        <v>0.89</v>
      </c>
      <c r="I553" s="13" t="n">
        <f aca="false">IFERROR(MIN(F553*Eingaben!$B$19,MAX(0,D553-H553)),0)</f>
        <v>0</v>
      </c>
      <c r="J553" s="13" t="n">
        <f aca="false">IFERROR(MIN(Eingaben!$B$18,MAX(0,F553-I553)),0)</f>
        <v>1.7442</v>
      </c>
      <c r="K553" s="13" t="n">
        <f aca="false">H553+I553</f>
        <v>0.89</v>
      </c>
      <c r="L553" s="13" t="n">
        <f aca="false">MAX(0,D553-K553)</f>
        <v>0</v>
      </c>
      <c r="M553" s="13" t="n">
        <f aca="false">MAX(0,F553-I553-J553)</f>
        <v>0</v>
      </c>
      <c r="N553" s="13" t="n">
        <f aca="false">IF(Kalender!A187="",0,J552-H553)</f>
        <v>0.7032278</v>
      </c>
    </row>
    <row r="554" customFormat="false" ht="16.4" hidden="false" customHeight="false" outlineLevel="0" collapsed="false">
      <c r="A554" s="13" t="str">
        <f aca="false">""</f>
        <v/>
      </c>
      <c r="B554" s="13" t="n">
        <f aca="false">184</f>
        <v>184</v>
      </c>
      <c r="C554" s="13" t="n">
        <f aca="false">IF(Szenarien!$H$9="OK",(IFERROR(SUMIF(Nutzungsprofile!$B$6:$B$11,"Schulbetrieb",Nutzungsprofile!$G$6:$G$11)*Kalender!C188/SUM(Kalender!$C$5:$C$370),0)+IFERROR(SUMIF(Nutzungsprofile!$B$6:$B$11,"Halle",Nutzungsprofile!$G$6:$G$11)*Kalender!D188/SUM(Kalender!$D$5:$D$370),0)+IFERROR(SUMIF(Nutzungsprofile!$B$6:$B$11,"Individuell",Nutzungsprofile!$G$6:$G$11)*Kalender!E188/SUM(Kalender!$E$5:$E$370),0))*Szenarien!$E$9,0)</f>
        <v>2.04</v>
      </c>
      <c r="D554" s="13" t="n">
        <f aca="false">IF(Szenarien!$H$9="OK",(IFERROR(SUMIF(Nutzungsprofile!$B$17:$B$22,"Schulbetrieb",Nutzungsprofile!$G$17:$G$22)*Kalender!C188/SUM(Kalender!$C$5:$C$370),0)+IFERROR(SUMIF(Nutzungsprofile!$B$17:$B$22,"Halle",Nutzungsprofile!$G$17:$G$22)*Kalender!D188/SUM(Kalender!$D$5:$D$370),0)+IFERROR(SUMIF(Nutzungsprofile!$B$17:$B$22,"Individuell",Nutzungsprofile!$G$17:$G$22)*Kalender!E188/SUM(Kalender!$E$5:$E$370),0))*Szenarien!$D$9,0)</f>
        <v>0.89</v>
      </c>
      <c r="E554" s="13" t="n">
        <f aca="false">IFERROR(MIN(C554,Eingaben!$B$17)*Eingaben!$B$16,0)</f>
        <v>1.938</v>
      </c>
      <c r="F554" s="13" t="n">
        <f aca="false">IFERROR(E554*Eingaben!$B$15,0)</f>
        <v>1.7442</v>
      </c>
      <c r="G554" s="13" t="n">
        <f aca="false">IFERROR(IF(Kalender!A188="",0,J553*(1-Eingaben!$B$20)),0)</f>
        <v>1.709316</v>
      </c>
      <c r="H554" s="13" t="n">
        <f aca="false">MIN(G554,D554)</f>
        <v>0.89</v>
      </c>
      <c r="I554" s="13" t="n">
        <f aca="false">IFERROR(MIN(F554*Eingaben!$B$19,MAX(0,D554-H554)),0)</f>
        <v>0</v>
      </c>
      <c r="J554" s="13" t="n">
        <f aca="false">IFERROR(MIN(Eingaben!$B$18,MAX(0,F554-I554)),0)</f>
        <v>1.7442</v>
      </c>
      <c r="K554" s="13" t="n">
        <f aca="false">H554+I554</f>
        <v>0.89</v>
      </c>
      <c r="L554" s="13" t="n">
        <f aca="false">MAX(0,D554-K554)</f>
        <v>0</v>
      </c>
      <c r="M554" s="13" t="n">
        <f aca="false">MAX(0,F554-I554-J554)</f>
        <v>0</v>
      </c>
      <c r="N554" s="13" t="n">
        <f aca="false">IF(Kalender!A188="",0,J553-H554)</f>
        <v>0.8542</v>
      </c>
    </row>
    <row r="555" customFormat="false" ht="16.4" hidden="false" customHeight="false" outlineLevel="0" collapsed="false">
      <c r="A555" s="13" t="str">
        <f aca="false">""</f>
        <v/>
      </c>
      <c r="B555" s="13" t="n">
        <f aca="false">185</f>
        <v>185</v>
      </c>
      <c r="C555" s="13" t="n">
        <f aca="false">IF(Szenarien!$H$9="OK",(IFERROR(SUMIF(Nutzungsprofile!$B$6:$B$11,"Schulbetrieb",Nutzungsprofile!$G$6:$G$11)*Kalender!C189/SUM(Kalender!$C$5:$C$370),0)+IFERROR(SUMIF(Nutzungsprofile!$B$6:$B$11,"Halle",Nutzungsprofile!$G$6:$G$11)*Kalender!D189/SUM(Kalender!$D$5:$D$370),0)+IFERROR(SUMIF(Nutzungsprofile!$B$6:$B$11,"Individuell",Nutzungsprofile!$G$6:$G$11)*Kalender!E189/SUM(Kalender!$E$5:$E$370),0))*Szenarien!$E$9,0)</f>
        <v>2.04</v>
      </c>
      <c r="D555" s="13" t="n">
        <f aca="false">IF(Szenarien!$H$9="OK",(IFERROR(SUMIF(Nutzungsprofile!$B$17:$B$22,"Schulbetrieb",Nutzungsprofile!$G$17:$G$22)*Kalender!C189/SUM(Kalender!$C$5:$C$370),0)+IFERROR(SUMIF(Nutzungsprofile!$B$17:$B$22,"Halle",Nutzungsprofile!$G$17:$G$22)*Kalender!D189/SUM(Kalender!$D$5:$D$370),0)+IFERROR(SUMIF(Nutzungsprofile!$B$17:$B$22,"Individuell",Nutzungsprofile!$G$17:$G$22)*Kalender!E189/SUM(Kalender!$E$5:$E$370),0))*Szenarien!$D$9,0)</f>
        <v>0.89</v>
      </c>
      <c r="E555" s="13" t="n">
        <f aca="false">IFERROR(MIN(C555,Eingaben!$B$17)*Eingaben!$B$16,0)</f>
        <v>1.938</v>
      </c>
      <c r="F555" s="13" t="n">
        <f aca="false">IFERROR(E555*Eingaben!$B$15,0)</f>
        <v>1.7442</v>
      </c>
      <c r="G555" s="13" t="n">
        <f aca="false">IFERROR(IF(Kalender!A189="",0,J554*(1-Eingaben!$B$20)),0)</f>
        <v>1.709316</v>
      </c>
      <c r="H555" s="13" t="n">
        <f aca="false">MIN(G555,D555)</f>
        <v>0.89</v>
      </c>
      <c r="I555" s="13" t="n">
        <f aca="false">IFERROR(MIN(F555*Eingaben!$B$19,MAX(0,D555-H555)),0)</f>
        <v>0</v>
      </c>
      <c r="J555" s="13" t="n">
        <f aca="false">IFERROR(MIN(Eingaben!$B$18,MAX(0,F555-I555)),0)</f>
        <v>1.7442</v>
      </c>
      <c r="K555" s="13" t="n">
        <f aca="false">H555+I555</f>
        <v>0.89</v>
      </c>
      <c r="L555" s="13" t="n">
        <f aca="false">MAX(0,D555-K555)</f>
        <v>0</v>
      </c>
      <c r="M555" s="13" t="n">
        <f aca="false">MAX(0,F555-I555-J555)</f>
        <v>0</v>
      </c>
      <c r="N555" s="13" t="n">
        <f aca="false">IF(Kalender!A189="",0,J554-H555)</f>
        <v>0.8542</v>
      </c>
    </row>
    <row r="556" customFormat="false" ht="16.4" hidden="false" customHeight="false" outlineLevel="0" collapsed="false">
      <c r="A556" s="13" t="str">
        <f aca="false">""</f>
        <v/>
      </c>
      <c r="B556" s="13" t="n">
        <f aca="false">186</f>
        <v>186</v>
      </c>
      <c r="C556" s="13" t="n">
        <f aca="false">IF(Szenarien!$H$9="OK",(IFERROR(SUMIF(Nutzungsprofile!$B$6:$B$11,"Schulbetrieb",Nutzungsprofile!$G$6:$G$11)*Kalender!C190/SUM(Kalender!$C$5:$C$370),0)+IFERROR(SUMIF(Nutzungsprofile!$B$6:$B$11,"Halle",Nutzungsprofile!$G$6:$G$11)*Kalender!D190/SUM(Kalender!$D$5:$D$370),0)+IFERROR(SUMIF(Nutzungsprofile!$B$6:$B$11,"Individuell",Nutzungsprofile!$G$6:$G$11)*Kalender!E190/SUM(Kalender!$E$5:$E$370),0))*Szenarien!$E$9,0)</f>
        <v>2.04</v>
      </c>
      <c r="D556" s="13" t="n">
        <f aca="false">IF(Szenarien!$H$9="OK",(IFERROR(SUMIF(Nutzungsprofile!$B$17:$B$22,"Schulbetrieb",Nutzungsprofile!$G$17:$G$22)*Kalender!C190/SUM(Kalender!$C$5:$C$370),0)+IFERROR(SUMIF(Nutzungsprofile!$B$17:$B$22,"Halle",Nutzungsprofile!$G$17:$G$22)*Kalender!D190/SUM(Kalender!$D$5:$D$370),0)+IFERROR(SUMIF(Nutzungsprofile!$B$17:$B$22,"Individuell",Nutzungsprofile!$G$17:$G$22)*Kalender!E190/SUM(Kalender!$E$5:$E$370),0))*Szenarien!$D$9,0)</f>
        <v>0.89</v>
      </c>
      <c r="E556" s="13" t="n">
        <f aca="false">IFERROR(MIN(C556,Eingaben!$B$17)*Eingaben!$B$16,0)</f>
        <v>1.938</v>
      </c>
      <c r="F556" s="13" t="n">
        <f aca="false">IFERROR(E556*Eingaben!$B$15,0)</f>
        <v>1.7442</v>
      </c>
      <c r="G556" s="13" t="n">
        <f aca="false">IFERROR(IF(Kalender!A190="",0,J555*(1-Eingaben!$B$20)),0)</f>
        <v>1.709316</v>
      </c>
      <c r="H556" s="13" t="n">
        <f aca="false">MIN(G556,D556)</f>
        <v>0.89</v>
      </c>
      <c r="I556" s="13" t="n">
        <f aca="false">IFERROR(MIN(F556*Eingaben!$B$19,MAX(0,D556-H556)),0)</f>
        <v>0</v>
      </c>
      <c r="J556" s="13" t="n">
        <f aca="false">IFERROR(MIN(Eingaben!$B$18,MAX(0,F556-I556)),0)</f>
        <v>1.7442</v>
      </c>
      <c r="K556" s="13" t="n">
        <f aca="false">H556+I556</f>
        <v>0.89</v>
      </c>
      <c r="L556" s="13" t="n">
        <f aca="false">MAX(0,D556-K556)</f>
        <v>0</v>
      </c>
      <c r="M556" s="13" t="n">
        <f aca="false">MAX(0,F556-I556-J556)</f>
        <v>0</v>
      </c>
      <c r="N556" s="13" t="n">
        <f aca="false">IF(Kalender!A190="",0,J555-H556)</f>
        <v>0.8542</v>
      </c>
    </row>
    <row r="557" customFormat="false" ht="16.4" hidden="false" customHeight="false" outlineLevel="0" collapsed="false">
      <c r="A557" s="13" t="str">
        <f aca="false">""</f>
        <v/>
      </c>
      <c r="B557" s="13" t="n">
        <f aca="false">187</f>
        <v>187</v>
      </c>
      <c r="C557" s="13" t="n">
        <f aca="false">IF(Szenarien!$H$9="OK",(IFERROR(SUMIF(Nutzungsprofile!$B$6:$B$11,"Schulbetrieb",Nutzungsprofile!$G$6:$G$11)*Kalender!C191/SUM(Kalender!$C$5:$C$370),0)+IFERROR(SUMIF(Nutzungsprofile!$B$6:$B$11,"Halle",Nutzungsprofile!$G$6:$G$11)*Kalender!D191/SUM(Kalender!$D$5:$D$370),0)+IFERROR(SUMIF(Nutzungsprofile!$B$6:$B$11,"Individuell",Nutzungsprofile!$G$6:$G$11)*Kalender!E191/SUM(Kalender!$E$5:$E$370),0))*Szenarien!$E$9,0)</f>
        <v>2.04</v>
      </c>
      <c r="D557" s="13" t="n">
        <f aca="false">IF(Szenarien!$H$9="OK",(IFERROR(SUMIF(Nutzungsprofile!$B$17:$B$22,"Schulbetrieb",Nutzungsprofile!$G$17:$G$22)*Kalender!C191/SUM(Kalender!$C$5:$C$370),0)+IFERROR(SUMIF(Nutzungsprofile!$B$17:$B$22,"Halle",Nutzungsprofile!$G$17:$G$22)*Kalender!D191/SUM(Kalender!$D$5:$D$370),0)+IFERROR(SUMIF(Nutzungsprofile!$B$17:$B$22,"Individuell",Nutzungsprofile!$G$17:$G$22)*Kalender!E191/SUM(Kalender!$E$5:$E$370),0))*Szenarien!$D$9,0)</f>
        <v>0.89</v>
      </c>
      <c r="E557" s="13" t="n">
        <f aca="false">IFERROR(MIN(C557,Eingaben!$B$17)*Eingaben!$B$16,0)</f>
        <v>1.938</v>
      </c>
      <c r="F557" s="13" t="n">
        <f aca="false">IFERROR(E557*Eingaben!$B$15,0)</f>
        <v>1.7442</v>
      </c>
      <c r="G557" s="13" t="n">
        <f aca="false">IFERROR(IF(Kalender!A191="",0,J556*(1-Eingaben!$B$20)),0)</f>
        <v>1.709316</v>
      </c>
      <c r="H557" s="13" t="n">
        <f aca="false">MIN(G557,D557)</f>
        <v>0.89</v>
      </c>
      <c r="I557" s="13" t="n">
        <f aca="false">IFERROR(MIN(F557*Eingaben!$B$19,MAX(0,D557-H557)),0)</f>
        <v>0</v>
      </c>
      <c r="J557" s="13" t="n">
        <f aca="false">IFERROR(MIN(Eingaben!$B$18,MAX(0,F557-I557)),0)</f>
        <v>1.7442</v>
      </c>
      <c r="K557" s="13" t="n">
        <f aca="false">H557+I557</f>
        <v>0.89</v>
      </c>
      <c r="L557" s="13" t="n">
        <f aca="false">MAX(0,D557-K557)</f>
        <v>0</v>
      </c>
      <c r="M557" s="13" t="n">
        <f aca="false">MAX(0,F557-I557-J557)</f>
        <v>0</v>
      </c>
      <c r="N557" s="13" t="n">
        <f aca="false">IF(Kalender!A191="",0,J556-H557)</f>
        <v>0.8542</v>
      </c>
    </row>
    <row r="558" customFormat="false" ht="16.4" hidden="false" customHeight="false" outlineLevel="0" collapsed="false">
      <c r="A558" s="13" t="str">
        <f aca="false">""</f>
        <v/>
      </c>
      <c r="B558" s="13" t="n">
        <f aca="false">188</f>
        <v>188</v>
      </c>
      <c r="C558" s="13" t="n">
        <f aca="false">IF(Szenarien!$H$9="OK",(IFERROR(SUMIF(Nutzungsprofile!$B$6:$B$11,"Schulbetrieb",Nutzungsprofile!$G$6:$G$11)*Kalender!C192/SUM(Kalender!$C$5:$C$370),0)+IFERROR(SUMIF(Nutzungsprofile!$B$6:$B$11,"Halle",Nutzungsprofile!$G$6:$G$11)*Kalender!D192/SUM(Kalender!$D$5:$D$370),0)+IFERROR(SUMIF(Nutzungsprofile!$B$6:$B$11,"Individuell",Nutzungsprofile!$G$6:$G$11)*Kalender!E192/SUM(Kalender!$E$5:$E$370),0))*Szenarien!$E$9,0)</f>
        <v>2.04</v>
      </c>
      <c r="D558" s="13" t="n">
        <f aca="false">IF(Szenarien!$H$9="OK",(IFERROR(SUMIF(Nutzungsprofile!$B$17:$B$22,"Schulbetrieb",Nutzungsprofile!$G$17:$G$22)*Kalender!C192/SUM(Kalender!$C$5:$C$370),0)+IFERROR(SUMIF(Nutzungsprofile!$B$17:$B$22,"Halle",Nutzungsprofile!$G$17:$G$22)*Kalender!D192/SUM(Kalender!$D$5:$D$370),0)+IFERROR(SUMIF(Nutzungsprofile!$B$17:$B$22,"Individuell",Nutzungsprofile!$G$17:$G$22)*Kalender!E192/SUM(Kalender!$E$5:$E$370),0))*Szenarien!$D$9,0)</f>
        <v>0.89</v>
      </c>
      <c r="E558" s="13" t="n">
        <f aca="false">IFERROR(MIN(C558,Eingaben!$B$17)*Eingaben!$B$16,0)</f>
        <v>1.938</v>
      </c>
      <c r="F558" s="13" t="n">
        <f aca="false">IFERROR(E558*Eingaben!$B$15,0)</f>
        <v>1.7442</v>
      </c>
      <c r="G558" s="13" t="n">
        <f aca="false">IFERROR(IF(Kalender!A192="",0,J557*(1-Eingaben!$B$20)),0)</f>
        <v>1.709316</v>
      </c>
      <c r="H558" s="13" t="n">
        <f aca="false">MIN(G558,D558)</f>
        <v>0.89</v>
      </c>
      <c r="I558" s="13" t="n">
        <f aca="false">IFERROR(MIN(F558*Eingaben!$B$19,MAX(0,D558-H558)),0)</f>
        <v>0</v>
      </c>
      <c r="J558" s="13" t="n">
        <f aca="false">IFERROR(MIN(Eingaben!$B$18,MAX(0,F558-I558)),0)</f>
        <v>1.7442</v>
      </c>
      <c r="K558" s="13" t="n">
        <f aca="false">H558+I558</f>
        <v>0.89</v>
      </c>
      <c r="L558" s="13" t="n">
        <f aca="false">MAX(0,D558-K558)</f>
        <v>0</v>
      </c>
      <c r="M558" s="13" t="n">
        <f aca="false">MAX(0,F558-I558-J558)</f>
        <v>0</v>
      </c>
      <c r="N558" s="13" t="n">
        <f aca="false">IF(Kalender!A192="",0,J557-H558)</f>
        <v>0.8542</v>
      </c>
    </row>
    <row r="559" customFormat="false" ht="16.4" hidden="false" customHeight="false" outlineLevel="0" collapsed="false">
      <c r="A559" s="13" t="str">
        <f aca="false">""</f>
        <v/>
      </c>
      <c r="B559" s="13" t="n">
        <f aca="false">189</f>
        <v>189</v>
      </c>
      <c r="C559" s="13" t="n">
        <f aca="false">IF(Szenarien!$H$9="OK",(IFERROR(SUMIF(Nutzungsprofile!$B$6:$B$11,"Schulbetrieb",Nutzungsprofile!$G$6:$G$11)*Kalender!C193/SUM(Kalender!$C$5:$C$370),0)+IFERROR(SUMIF(Nutzungsprofile!$B$6:$B$11,"Halle",Nutzungsprofile!$G$6:$G$11)*Kalender!D193/SUM(Kalender!$D$5:$D$370),0)+IFERROR(SUMIF(Nutzungsprofile!$B$6:$B$11,"Individuell",Nutzungsprofile!$G$6:$G$11)*Kalender!E193/SUM(Kalender!$E$5:$E$370),0))*Szenarien!$E$9,0)</f>
        <v>2.04</v>
      </c>
      <c r="D559" s="13" t="n">
        <f aca="false">IF(Szenarien!$H$9="OK",(IFERROR(SUMIF(Nutzungsprofile!$B$17:$B$22,"Schulbetrieb",Nutzungsprofile!$G$17:$G$22)*Kalender!C193/SUM(Kalender!$C$5:$C$370),0)+IFERROR(SUMIF(Nutzungsprofile!$B$17:$B$22,"Halle",Nutzungsprofile!$G$17:$G$22)*Kalender!D193/SUM(Kalender!$D$5:$D$370),0)+IFERROR(SUMIF(Nutzungsprofile!$B$17:$B$22,"Individuell",Nutzungsprofile!$G$17:$G$22)*Kalender!E193/SUM(Kalender!$E$5:$E$370),0))*Szenarien!$D$9,0)</f>
        <v>0.89</v>
      </c>
      <c r="E559" s="13" t="n">
        <f aca="false">IFERROR(MIN(C559,Eingaben!$B$17)*Eingaben!$B$16,0)</f>
        <v>1.938</v>
      </c>
      <c r="F559" s="13" t="n">
        <f aca="false">IFERROR(E559*Eingaben!$B$15,0)</f>
        <v>1.7442</v>
      </c>
      <c r="G559" s="13" t="n">
        <f aca="false">IFERROR(IF(Kalender!A193="",0,J558*(1-Eingaben!$B$20)),0)</f>
        <v>1.709316</v>
      </c>
      <c r="H559" s="13" t="n">
        <f aca="false">MIN(G559,D559)</f>
        <v>0.89</v>
      </c>
      <c r="I559" s="13" t="n">
        <f aca="false">IFERROR(MIN(F559*Eingaben!$B$19,MAX(0,D559-H559)),0)</f>
        <v>0</v>
      </c>
      <c r="J559" s="13" t="n">
        <f aca="false">IFERROR(MIN(Eingaben!$B$18,MAX(0,F559-I559)),0)</f>
        <v>1.7442</v>
      </c>
      <c r="K559" s="13" t="n">
        <f aca="false">H559+I559</f>
        <v>0.89</v>
      </c>
      <c r="L559" s="13" t="n">
        <f aca="false">MAX(0,D559-K559)</f>
        <v>0</v>
      </c>
      <c r="M559" s="13" t="n">
        <f aca="false">MAX(0,F559-I559-J559)</f>
        <v>0</v>
      </c>
      <c r="N559" s="13" t="n">
        <f aca="false">IF(Kalender!A193="",0,J558-H559)</f>
        <v>0.8542</v>
      </c>
    </row>
    <row r="560" customFormat="false" ht="16.4" hidden="false" customHeight="false" outlineLevel="0" collapsed="false">
      <c r="A560" s="13" t="str">
        <f aca="false">""</f>
        <v/>
      </c>
      <c r="B560" s="13" t="n">
        <f aca="false">190</f>
        <v>190</v>
      </c>
      <c r="C560" s="13" t="n">
        <f aca="false">IF(Szenarien!$H$9="OK",(IFERROR(SUMIF(Nutzungsprofile!$B$6:$B$11,"Schulbetrieb",Nutzungsprofile!$G$6:$G$11)*Kalender!C194/SUM(Kalender!$C$5:$C$370),0)+IFERROR(SUMIF(Nutzungsprofile!$B$6:$B$11,"Halle",Nutzungsprofile!$G$6:$G$11)*Kalender!D194/SUM(Kalender!$D$5:$D$370),0)+IFERROR(SUMIF(Nutzungsprofile!$B$6:$B$11,"Individuell",Nutzungsprofile!$G$6:$G$11)*Kalender!E194/SUM(Kalender!$E$5:$E$370),0))*Szenarien!$E$9,0)</f>
        <v>2.04</v>
      </c>
      <c r="D560" s="13" t="n">
        <f aca="false">IF(Szenarien!$H$9="OK",(IFERROR(SUMIF(Nutzungsprofile!$B$17:$B$22,"Schulbetrieb",Nutzungsprofile!$G$17:$G$22)*Kalender!C194/SUM(Kalender!$C$5:$C$370),0)+IFERROR(SUMIF(Nutzungsprofile!$B$17:$B$22,"Halle",Nutzungsprofile!$G$17:$G$22)*Kalender!D194/SUM(Kalender!$D$5:$D$370),0)+IFERROR(SUMIF(Nutzungsprofile!$B$17:$B$22,"Individuell",Nutzungsprofile!$G$17:$G$22)*Kalender!E194/SUM(Kalender!$E$5:$E$370),0))*Szenarien!$D$9,0)</f>
        <v>0.89</v>
      </c>
      <c r="E560" s="13" t="n">
        <f aca="false">IFERROR(MIN(C560,Eingaben!$B$17)*Eingaben!$B$16,0)</f>
        <v>1.938</v>
      </c>
      <c r="F560" s="13" t="n">
        <f aca="false">IFERROR(E560*Eingaben!$B$15,0)</f>
        <v>1.7442</v>
      </c>
      <c r="G560" s="13" t="n">
        <f aca="false">IFERROR(IF(Kalender!A194="",0,J559*(1-Eingaben!$B$20)),0)</f>
        <v>1.709316</v>
      </c>
      <c r="H560" s="13" t="n">
        <f aca="false">MIN(G560,D560)</f>
        <v>0.89</v>
      </c>
      <c r="I560" s="13" t="n">
        <f aca="false">IFERROR(MIN(F560*Eingaben!$B$19,MAX(0,D560-H560)),0)</f>
        <v>0</v>
      </c>
      <c r="J560" s="13" t="n">
        <f aca="false">IFERROR(MIN(Eingaben!$B$18,MAX(0,F560-I560)),0)</f>
        <v>1.7442</v>
      </c>
      <c r="K560" s="13" t="n">
        <f aca="false">H560+I560</f>
        <v>0.89</v>
      </c>
      <c r="L560" s="13" t="n">
        <f aca="false">MAX(0,D560-K560)</f>
        <v>0</v>
      </c>
      <c r="M560" s="13" t="n">
        <f aca="false">MAX(0,F560-I560-J560)</f>
        <v>0</v>
      </c>
      <c r="N560" s="13" t="n">
        <f aca="false">IF(Kalender!A194="",0,J559-H560)</f>
        <v>0.8542</v>
      </c>
    </row>
    <row r="561" customFormat="false" ht="16.4" hidden="false" customHeight="false" outlineLevel="0" collapsed="false">
      <c r="A561" s="13" t="str">
        <f aca="false">""</f>
        <v/>
      </c>
      <c r="B561" s="13" t="n">
        <f aca="false">191</f>
        <v>191</v>
      </c>
      <c r="C561" s="13" t="n">
        <f aca="false">IF(Szenarien!$H$9="OK",(IFERROR(SUMIF(Nutzungsprofile!$B$6:$B$11,"Schulbetrieb",Nutzungsprofile!$G$6:$G$11)*Kalender!C195/SUM(Kalender!$C$5:$C$370),0)+IFERROR(SUMIF(Nutzungsprofile!$B$6:$B$11,"Halle",Nutzungsprofile!$G$6:$G$11)*Kalender!D195/SUM(Kalender!$D$5:$D$370),0)+IFERROR(SUMIF(Nutzungsprofile!$B$6:$B$11,"Individuell",Nutzungsprofile!$G$6:$G$11)*Kalender!E195/SUM(Kalender!$E$5:$E$370),0))*Szenarien!$E$9,0)</f>
        <v>2.04</v>
      </c>
      <c r="D561" s="13" t="n">
        <f aca="false">IF(Szenarien!$H$9="OK",(IFERROR(SUMIF(Nutzungsprofile!$B$17:$B$22,"Schulbetrieb",Nutzungsprofile!$G$17:$G$22)*Kalender!C195/SUM(Kalender!$C$5:$C$370),0)+IFERROR(SUMIF(Nutzungsprofile!$B$17:$B$22,"Halle",Nutzungsprofile!$G$17:$G$22)*Kalender!D195/SUM(Kalender!$D$5:$D$370),0)+IFERROR(SUMIF(Nutzungsprofile!$B$17:$B$22,"Individuell",Nutzungsprofile!$G$17:$G$22)*Kalender!E195/SUM(Kalender!$E$5:$E$370),0))*Szenarien!$D$9,0)</f>
        <v>0.89</v>
      </c>
      <c r="E561" s="13" t="n">
        <f aca="false">IFERROR(MIN(C561,Eingaben!$B$17)*Eingaben!$B$16,0)</f>
        <v>1.938</v>
      </c>
      <c r="F561" s="13" t="n">
        <f aca="false">IFERROR(E561*Eingaben!$B$15,0)</f>
        <v>1.7442</v>
      </c>
      <c r="G561" s="13" t="n">
        <f aca="false">IFERROR(IF(Kalender!A195="",0,J560*(1-Eingaben!$B$20)),0)</f>
        <v>1.709316</v>
      </c>
      <c r="H561" s="13" t="n">
        <f aca="false">MIN(G561,D561)</f>
        <v>0.89</v>
      </c>
      <c r="I561" s="13" t="n">
        <f aca="false">IFERROR(MIN(F561*Eingaben!$B$19,MAX(0,D561-H561)),0)</f>
        <v>0</v>
      </c>
      <c r="J561" s="13" t="n">
        <f aca="false">IFERROR(MIN(Eingaben!$B$18,MAX(0,F561-I561)),0)</f>
        <v>1.7442</v>
      </c>
      <c r="K561" s="13" t="n">
        <f aca="false">H561+I561</f>
        <v>0.89</v>
      </c>
      <c r="L561" s="13" t="n">
        <f aca="false">MAX(0,D561-K561)</f>
        <v>0</v>
      </c>
      <c r="M561" s="13" t="n">
        <f aca="false">MAX(0,F561-I561-J561)</f>
        <v>0</v>
      </c>
      <c r="N561" s="13" t="n">
        <f aca="false">IF(Kalender!A195="",0,J560-H561)</f>
        <v>0.8542</v>
      </c>
    </row>
    <row r="562" customFormat="false" ht="16.4" hidden="false" customHeight="false" outlineLevel="0" collapsed="false">
      <c r="A562" s="13" t="str">
        <f aca="false">""</f>
        <v/>
      </c>
      <c r="B562" s="13" t="n">
        <f aca="false">192</f>
        <v>192</v>
      </c>
      <c r="C562" s="13" t="n">
        <f aca="false">IF(Szenarien!$H$9="OK",(IFERROR(SUMIF(Nutzungsprofile!$B$6:$B$11,"Schulbetrieb",Nutzungsprofile!$G$6:$G$11)*Kalender!C196/SUM(Kalender!$C$5:$C$370),0)+IFERROR(SUMIF(Nutzungsprofile!$B$6:$B$11,"Halle",Nutzungsprofile!$G$6:$G$11)*Kalender!D196/SUM(Kalender!$D$5:$D$370),0)+IFERROR(SUMIF(Nutzungsprofile!$B$6:$B$11,"Individuell",Nutzungsprofile!$G$6:$G$11)*Kalender!E196/SUM(Kalender!$E$5:$E$370),0))*Szenarien!$E$9,0)</f>
        <v>2.04</v>
      </c>
      <c r="D562" s="13" t="n">
        <f aca="false">IF(Szenarien!$H$9="OK",(IFERROR(SUMIF(Nutzungsprofile!$B$17:$B$22,"Schulbetrieb",Nutzungsprofile!$G$17:$G$22)*Kalender!C196/SUM(Kalender!$C$5:$C$370),0)+IFERROR(SUMIF(Nutzungsprofile!$B$17:$B$22,"Halle",Nutzungsprofile!$G$17:$G$22)*Kalender!D196/SUM(Kalender!$D$5:$D$370),0)+IFERROR(SUMIF(Nutzungsprofile!$B$17:$B$22,"Individuell",Nutzungsprofile!$G$17:$G$22)*Kalender!E196/SUM(Kalender!$E$5:$E$370),0))*Szenarien!$D$9,0)</f>
        <v>0.89</v>
      </c>
      <c r="E562" s="13" t="n">
        <f aca="false">IFERROR(MIN(C562,Eingaben!$B$17)*Eingaben!$B$16,0)</f>
        <v>1.938</v>
      </c>
      <c r="F562" s="13" t="n">
        <f aca="false">IFERROR(E562*Eingaben!$B$15,0)</f>
        <v>1.7442</v>
      </c>
      <c r="G562" s="13" t="n">
        <f aca="false">IFERROR(IF(Kalender!A196="",0,J561*(1-Eingaben!$B$20)),0)</f>
        <v>1.709316</v>
      </c>
      <c r="H562" s="13" t="n">
        <f aca="false">MIN(G562,D562)</f>
        <v>0.89</v>
      </c>
      <c r="I562" s="13" t="n">
        <f aca="false">IFERROR(MIN(F562*Eingaben!$B$19,MAX(0,D562-H562)),0)</f>
        <v>0</v>
      </c>
      <c r="J562" s="13" t="n">
        <f aca="false">IFERROR(MIN(Eingaben!$B$18,MAX(0,F562-I562)),0)</f>
        <v>1.7442</v>
      </c>
      <c r="K562" s="13" t="n">
        <f aca="false">H562+I562</f>
        <v>0.89</v>
      </c>
      <c r="L562" s="13" t="n">
        <f aca="false">MAX(0,D562-K562)</f>
        <v>0</v>
      </c>
      <c r="M562" s="13" t="n">
        <f aca="false">MAX(0,F562-I562-J562)</f>
        <v>0</v>
      </c>
      <c r="N562" s="13" t="n">
        <f aca="false">IF(Kalender!A196="",0,J561-H562)</f>
        <v>0.8542</v>
      </c>
    </row>
    <row r="563" customFormat="false" ht="16.4" hidden="false" customHeight="false" outlineLevel="0" collapsed="false">
      <c r="A563" s="13" t="str">
        <f aca="false">""</f>
        <v/>
      </c>
      <c r="B563" s="13" t="n">
        <f aca="false">193</f>
        <v>193</v>
      </c>
      <c r="C563" s="13" t="n">
        <f aca="false">IF(Szenarien!$H$9="OK",(IFERROR(SUMIF(Nutzungsprofile!$B$6:$B$11,"Schulbetrieb",Nutzungsprofile!$G$6:$G$11)*Kalender!C197/SUM(Kalender!$C$5:$C$370),0)+IFERROR(SUMIF(Nutzungsprofile!$B$6:$B$11,"Halle",Nutzungsprofile!$G$6:$G$11)*Kalender!D197/SUM(Kalender!$D$5:$D$370),0)+IFERROR(SUMIF(Nutzungsprofile!$B$6:$B$11,"Individuell",Nutzungsprofile!$G$6:$G$11)*Kalender!E197/SUM(Kalender!$E$5:$E$370),0))*Szenarien!$E$9,0)</f>
        <v>2.04</v>
      </c>
      <c r="D563" s="13" t="n">
        <f aca="false">IF(Szenarien!$H$9="OK",(IFERROR(SUMIF(Nutzungsprofile!$B$17:$B$22,"Schulbetrieb",Nutzungsprofile!$G$17:$G$22)*Kalender!C197/SUM(Kalender!$C$5:$C$370),0)+IFERROR(SUMIF(Nutzungsprofile!$B$17:$B$22,"Halle",Nutzungsprofile!$G$17:$G$22)*Kalender!D197/SUM(Kalender!$D$5:$D$370),0)+IFERROR(SUMIF(Nutzungsprofile!$B$17:$B$22,"Individuell",Nutzungsprofile!$G$17:$G$22)*Kalender!E197/SUM(Kalender!$E$5:$E$370),0))*Szenarien!$D$9,0)</f>
        <v>0.89</v>
      </c>
      <c r="E563" s="13" t="n">
        <f aca="false">IFERROR(MIN(C563,Eingaben!$B$17)*Eingaben!$B$16,0)</f>
        <v>1.938</v>
      </c>
      <c r="F563" s="13" t="n">
        <f aca="false">IFERROR(E563*Eingaben!$B$15,0)</f>
        <v>1.7442</v>
      </c>
      <c r="G563" s="13" t="n">
        <f aca="false">IFERROR(IF(Kalender!A197="",0,J562*(1-Eingaben!$B$20)),0)</f>
        <v>1.709316</v>
      </c>
      <c r="H563" s="13" t="n">
        <f aca="false">MIN(G563,D563)</f>
        <v>0.89</v>
      </c>
      <c r="I563" s="13" t="n">
        <f aca="false">IFERROR(MIN(F563*Eingaben!$B$19,MAX(0,D563-H563)),0)</f>
        <v>0</v>
      </c>
      <c r="J563" s="13" t="n">
        <f aca="false">IFERROR(MIN(Eingaben!$B$18,MAX(0,F563-I563)),0)</f>
        <v>1.7442</v>
      </c>
      <c r="K563" s="13" t="n">
        <f aca="false">H563+I563</f>
        <v>0.89</v>
      </c>
      <c r="L563" s="13" t="n">
        <f aca="false">MAX(0,D563-K563)</f>
        <v>0</v>
      </c>
      <c r="M563" s="13" t="n">
        <f aca="false">MAX(0,F563-I563-J563)</f>
        <v>0</v>
      </c>
      <c r="N563" s="13" t="n">
        <f aca="false">IF(Kalender!A197="",0,J562-H563)</f>
        <v>0.8542</v>
      </c>
    </row>
    <row r="564" customFormat="false" ht="16.4" hidden="false" customHeight="false" outlineLevel="0" collapsed="false">
      <c r="A564" s="13" t="str">
        <f aca="false">""</f>
        <v/>
      </c>
      <c r="B564" s="13" t="n">
        <f aca="false">194</f>
        <v>194</v>
      </c>
      <c r="C564" s="13" t="n">
        <f aca="false">IF(Szenarien!$H$9="OK",(IFERROR(SUMIF(Nutzungsprofile!$B$6:$B$11,"Schulbetrieb",Nutzungsprofile!$G$6:$G$11)*Kalender!C198/SUM(Kalender!$C$5:$C$370),0)+IFERROR(SUMIF(Nutzungsprofile!$B$6:$B$11,"Halle",Nutzungsprofile!$G$6:$G$11)*Kalender!D198/SUM(Kalender!$D$5:$D$370),0)+IFERROR(SUMIF(Nutzungsprofile!$B$6:$B$11,"Individuell",Nutzungsprofile!$G$6:$G$11)*Kalender!E198/SUM(Kalender!$E$5:$E$370),0))*Szenarien!$E$9,0)</f>
        <v>2.04</v>
      </c>
      <c r="D564" s="13" t="n">
        <f aca="false">IF(Szenarien!$H$9="OK",(IFERROR(SUMIF(Nutzungsprofile!$B$17:$B$22,"Schulbetrieb",Nutzungsprofile!$G$17:$G$22)*Kalender!C198/SUM(Kalender!$C$5:$C$370),0)+IFERROR(SUMIF(Nutzungsprofile!$B$17:$B$22,"Halle",Nutzungsprofile!$G$17:$G$22)*Kalender!D198/SUM(Kalender!$D$5:$D$370),0)+IFERROR(SUMIF(Nutzungsprofile!$B$17:$B$22,"Individuell",Nutzungsprofile!$G$17:$G$22)*Kalender!E198/SUM(Kalender!$E$5:$E$370),0))*Szenarien!$D$9,0)</f>
        <v>0.89</v>
      </c>
      <c r="E564" s="13" t="n">
        <f aca="false">IFERROR(MIN(C564,Eingaben!$B$17)*Eingaben!$B$16,0)</f>
        <v>1.938</v>
      </c>
      <c r="F564" s="13" t="n">
        <f aca="false">IFERROR(E564*Eingaben!$B$15,0)</f>
        <v>1.7442</v>
      </c>
      <c r="G564" s="13" t="n">
        <f aca="false">IFERROR(IF(Kalender!A198="",0,J563*(1-Eingaben!$B$20)),0)</f>
        <v>1.709316</v>
      </c>
      <c r="H564" s="13" t="n">
        <f aca="false">MIN(G564,D564)</f>
        <v>0.89</v>
      </c>
      <c r="I564" s="13" t="n">
        <f aca="false">IFERROR(MIN(F564*Eingaben!$B$19,MAX(0,D564-H564)),0)</f>
        <v>0</v>
      </c>
      <c r="J564" s="13" t="n">
        <f aca="false">IFERROR(MIN(Eingaben!$B$18,MAX(0,F564-I564)),0)</f>
        <v>1.7442</v>
      </c>
      <c r="K564" s="13" t="n">
        <f aca="false">H564+I564</f>
        <v>0.89</v>
      </c>
      <c r="L564" s="13" t="n">
        <f aca="false">MAX(0,D564-K564)</f>
        <v>0</v>
      </c>
      <c r="M564" s="13" t="n">
        <f aca="false">MAX(0,F564-I564-J564)</f>
        <v>0</v>
      </c>
      <c r="N564" s="13" t="n">
        <f aca="false">IF(Kalender!A198="",0,J563-H564)</f>
        <v>0.8542</v>
      </c>
    </row>
    <row r="565" customFormat="false" ht="16.4" hidden="false" customHeight="false" outlineLevel="0" collapsed="false">
      <c r="A565" s="13" t="str">
        <f aca="false">""</f>
        <v/>
      </c>
      <c r="B565" s="13" t="n">
        <f aca="false">195</f>
        <v>195</v>
      </c>
      <c r="C565" s="13" t="n">
        <f aca="false">IF(Szenarien!$H$9="OK",(IFERROR(SUMIF(Nutzungsprofile!$B$6:$B$11,"Schulbetrieb",Nutzungsprofile!$G$6:$G$11)*Kalender!C199/SUM(Kalender!$C$5:$C$370),0)+IFERROR(SUMIF(Nutzungsprofile!$B$6:$B$11,"Halle",Nutzungsprofile!$G$6:$G$11)*Kalender!D199/SUM(Kalender!$D$5:$D$370),0)+IFERROR(SUMIF(Nutzungsprofile!$B$6:$B$11,"Individuell",Nutzungsprofile!$G$6:$G$11)*Kalender!E199/SUM(Kalender!$E$5:$E$370),0))*Szenarien!$E$9,0)</f>
        <v>2.04</v>
      </c>
      <c r="D565" s="13" t="n">
        <f aca="false">IF(Szenarien!$H$9="OK",(IFERROR(SUMIF(Nutzungsprofile!$B$17:$B$22,"Schulbetrieb",Nutzungsprofile!$G$17:$G$22)*Kalender!C199/SUM(Kalender!$C$5:$C$370),0)+IFERROR(SUMIF(Nutzungsprofile!$B$17:$B$22,"Halle",Nutzungsprofile!$G$17:$G$22)*Kalender!D199/SUM(Kalender!$D$5:$D$370),0)+IFERROR(SUMIF(Nutzungsprofile!$B$17:$B$22,"Individuell",Nutzungsprofile!$G$17:$G$22)*Kalender!E199/SUM(Kalender!$E$5:$E$370),0))*Szenarien!$D$9,0)</f>
        <v>0.89</v>
      </c>
      <c r="E565" s="13" t="n">
        <f aca="false">IFERROR(MIN(C565,Eingaben!$B$17)*Eingaben!$B$16,0)</f>
        <v>1.938</v>
      </c>
      <c r="F565" s="13" t="n">
        <f aca="false">IFERROR(E565*Eingaben!$B$15,0)</f>
        <v>1.7442</v>
      </c>
      <c r="G565" s="13" t="n">
        <f aca="false">IFERROR(IF(Kalender!A199="",0,J564*(1-Eingaben!$B$20)),0)</f>
        <v>1.709316</v>
      </c>
      <c r="H565" s="13" t="n">
        <f aca="false">MIN(G565,D565)</f>
        <v>0.89</v>
      </c>
      <c r="I565" s="13" t="n">
        <f aca="false">IFERROR(MIN(F565*Eingaben!$B$19,MAX(0,D565-H565)),0)</f>
        <v>0</v>
      </c>
      <c r="J565" s="13" t="n">
        <f aca="false">IFERROR(MIN(Eingaben!$B$18,MAX(0,F565-I565)),0)</f>
        <v>1.7442</v>
      </c>
      <c r="K565" s="13" t="n">
        <f aca="false">H565+I565</f>
        <v>0.89</v>
      </c>
      <c r="L565" s="13" t="n">
        <f aca="false">MAX(0,D565-K565)</f>
        <v>0</v>
      </c>
      <c r="M565" s="13" t="n">
        <f aca="false">MAX(0,F565-I565-J565)</f>
        <v>0</v>
      </c>
      <c r="N565" s="13" t="n">
        <f aca="false">IF(Kalender!A199="",0,J564-H565)</f>
        <v>0.8542</v>
      </c>
    </row>
    <row r="566" customFormat="false" ht="16.4" hidden="false" customHeight="false" outlineLevel="0" collapsed="false">
      <c r="A566" s="13" t="str">
        <f aca="false">""</f>
        <v/>
      </c>
      <c r="B566" s="13" t="n">
        <f aca="false">196</f>
        <v>196</v>
      </c>
      <c r="C566" s="13" t="n">
        <f aca="false">IF(Szenarien!$H$9="OK",(IFERROR(SUMIF(Nutzungsprofile!$B$6:$B$11,"Schulbetrieb",Nutzungsprofile!$G$6:$G$11)*Kalender!C200/SUM(Kalender!$C$5:$C$370),0)+IFERROR(SUMIF(Nutzungsprofile!$B$6:$B$11,"Halle",Nutzungsprofile!$G$6:$G$11)*Kalender!D200/SUM(Kalender!$D$5:$D$370),0)+IFERROR(SUMIF(Nutzungsprofile!$B$6:$B$11,"Individuell",Nutzungsprofile!$G$6:$G$11)*Kalender!E200/SUM(Kalender!$E$5:$E$370),0))*Szenarien!$E$9,0)</f>
        <v>2.04</v>
      </c>
      <c r="D566" s="13" t="n">
        <f aca="false">IF(Szenarien!$H$9="OK",(IFERROR(SUMIF(Nutzungsprofile!$B$17:$B$22,"Schulbetrieb",Nutzungsprofile!$G$17:$G$22)*Kalender!C200/SUM(Kalender!$C$5:$C$370),0)+IFERROR(SUMIF(Nutzungsprofile!$B$17:$B$22,"Halle",Nutzungsprofile!$G$17:$G$22)*Kalender!D200/SUM(Kalender!$D$5:$D$370),0)+IFERROR(SUMIF(Nutzungsprofile!$B$17:$B$22,"Individuell",Nutzungsprofile!$G$17:$G$22)*Kalender!E200/SUM(Kalender!$E$5:$E$370),0))*Szenarien!$D$9,0)</f>
        <v>0.89</v>
      </c>
      <c r="E566" s="13" t="n">
        <f aca="false">IFERROR(MIN(C566,Eingaben!$B$17)*Eingaben!$B$16,0)</f>
        <v>1.938</v>
      </c>
      <c r="F566" s="13" t="n">
        <f aca="false">IFERROR(E566*Eingaben!$B$15,0)</f>
        <v>1.7442</v>
      </c>
      <c r="G566" s="13" t="n">
        <f aca="false">IFERROR(IF(Kalender!A200="",0,J565*(1-Eingaben!$B$20)),0)</f>
        <v>1.709316</v>
      </c>
      <c r="H566" s="13" t="n">
        <f aca="false">MIN(G566,D566)</f>
        <v>0.89</v>
      </c>
      <c r="I566" s="13" t="n">
        <f aca="false">IFERROR(MIN(F566*Eingaben!$B$19,MAX(0,D566-H566)),0)</f>
        <v>0</v>
      </c>
      <c r="J566" s="13" t="n">
        <f aca="false">IFERROR(MIN(Eingaben!$B$18,MAX(0,F566-I566)),0)</f>
        <v>1.7442</v>
      </c>
      <c r="K566" s="13" t="n">
        <f aca="false">H566+I566</f>
        <v>0.89</v>
      </c>
      <c r="L566" s="13" t="n">
        <f aca="false">MAX(0,D566-K566)</f>
        <v>0</v>
      </c>
      <c r="M566" s="13" t="n">
        <f aca="false">MAX(0,F566-I566-J566)</f>
        <v>0</v>
      </c>
      <c r="N566" s="13" t="n">
        <f aca="false">IF(Kalender!A200="",0,J565-H566)</f>
        <v>0.8542</v>
      </c>
    </row>
    <row r="567" customFormat="false" ht="16.4" hidden="false" customHeight="false" outlineLevel="0" collapsed="false">
      <c r="A567" s="13" t="str">
        <f aca="false">""</f>
        <v/>
      </c>
      <c r="B567" s="13" t="n">
        <f aca="false">197</f>
        <v>197</v>
      </c>
      <c r="C567" s="13" t="n">
        <f aca="false">IF(Szenarien!$H$9="OK",(IFERROR(SUMIF(Nutzungsprofile!$B$6:$B$11,"Schulbetrieb",Nutzungsprofile!$G$6:$G$11)*Kalender!C201/SUM(Kalender!$C$5:$C$370),0)+IFERROR(SUMIF(Nutzungsprofile!$B$6:$B$11,"Halle",Nutzungsprofile!$G$6:$G$11)*Kalender!D201/SUM(Kalender!$D$5:$D$370),0)+IFERROR(SUMIF(Nutzungsprofile!$B$6:$B$11,"Individuell",Nutzungsprofile!$G$6:$G$11)*Kalender!E201/SUM(Kalender!$E$5:$E$370),0))*Szenarien!$E$9,0)</f>
        <v>2.04</v>
      </c>
      <c r="D567" s="13" t="n">
        <f aca="false">IF(Szenarien!$H$9="OK",(IFERROR(SUMIF(Nutzungsprofile!$B$17:$B$22,"Schulbetrieb",Nutzungsprofile!$G$17:$G$22)*Kalender!C201/SUM(Kalender!$C$5:$C$370),0)+IFERROR(SUMIF(Nutzungsprofile!$B$17:$B$22,"Halle",Nutzungsprofile!$G$17:$G$22)*Kalender!D201/SUM(Kalender!$D$5:$D$370),0)+IFERROR(SUMIF(Nutzungsprofile!$B$17:$B$22,"Individuell",Nutzungsprofile!$G$17:$G$22)*Kalender!E201/SUM(Kalender!$E$5:$E$370),0))*Szenarien!$D$9,0)</f>
        <v>0.89</v>
      </c>
      <c r="E567" s="13" t="n">
        <f aca="false">IFERROR(MIN(C567,Eingaben!$B$17)*Eingaben!$B$16,0)</f>
        <v>1.938</v>
      </c>
      <c r="F567" s="13" t="n">
        <f aca="false">IFERROR(E567*Eingaben!$B$15,0)</f>
        <v>1.7442</v>
      </c>
      <c r="G567" s="13" t="n">
        <f aca="false">IFERROR(IF(Kalender!A201="",0,J566*(1-Eingaben!$B$20)),0)</f>
        <v>1.709316</v>
      </c>
      <c r="H567" s="13" t="n">
        <f aca="false">MIN(G567,D567)</f>
        <v>0.89</v>
      </c>
      <c r="I567" s="13" t="n">
        <f aca="false">IFERROR(MIN(F567*Eingaben!$B$19,MAX(0,D567-H567)),0)</f>
        <v>0</v>
      </c>
      <c r="J567" s="13" t="n">
        <f aca="false">IFERROR(MIN(Eingaben!$B$18,MAX(0,F567-I567)),0)</f>
        <v>1.7442</v>
      </c>
      <c r="K567" s="13" t="n">
        <f aca="false">H567+I567</f>
        <v>0.89</v>
      </c>
      <c r="L567" s="13" t="n">
        <f aca="false">MAX(0,D567-K567)</f>
        <v>0</v>
      </c>
      <c r="M567" s="13" t="n">
        <f aca="false">MAX(0,F567-I567-J567)</f>
        <v>0</v>
      </c>
      <c r="N567" s="13" t="n">
        <f aca="false">IF(Kalender!A201="",0,J566-H567)</f>
        <v>0.8542</v>
      </c>
    </row>
    <row r="568" customFormat="false" ht="16.4" hidden="false" customHeight="false" outlineLevel="0" collapsed="false">
      <c r="A568" s="13" t="str">
        <f aca="false">""</f>
        <v/>
      </c>
      <c r="B568" s="13" t="n">
        <f aca="false">198</f>
        <v>198</v>
      </c>
      <c r="C568" s="13" t="n">
        <f aca="false">IF(Szenarien!$H$9="OK",(IFERROR(SUMIF(Nutzungsprofile!$B$6:$B$11,"Schulbetrieb",Nutzungsprofile!$G$6:$G$11)*Kalender!C202/SUM(Kalender!$C$5:$C$370),0)+IFERROR(SUMIF(Nutzungsprofile!$B$6:$B$11,"Halle",Nutzungsprofile!$G$6:$G$11)*Kalender!D202/SUM(Kalender!$D$5:$D$370),0)+IFERROR(SUMIF(Nutzungsprofile!$B$6:$B$11,"Individuell",Nutzungsprofile!$G$6:$G$11)*Kalender!E202/SUM(Kalender!$E$5:$E$370),0))*Szenarien!$E$9,0)</f>
        <v>2.04</v>
      </c>
      <c r="D568" s="13" t="n">
        <f aca="false">IF(Szenarien!$H$9="OK",(IFERROR(SUMIF(Nutzungsprofile!$B$17:$B$22,"Schulbetrieb",Nutzungsprofile!$G$17:$G$22)*Kalender!C202/SUM(Kalender!$C$5:$C$370),0)+IFERROR(SUMIF(Nutzungsprofile!$B$17:$B$22,"Halle",Nutzungsprofile!$G$17:$G$22)*Kalender!D202/SUM(Kalender!$D$5:$D$370),0)+IFERROR(SUMIF(Nutzungsprofile!$B$17:$B$22,"Individuell",Nutzungsprofile!$G$17:$G$22)*Kalender!E202/SUM(Kalender!$E$5:$E$370),0))*Szenarien!$D$9,0)</f>
        <v>0.89</v>
      </c>
      <c r="E568" s="13" t="n">
        <f aca="false">IFERROR(MIN(C568,Eingaben!$B$17)*Eingaben!$B$16,0)</f>
        <v>1.938</v>
      </c>
      <c r="F568" s="13" t="n">
        <f aca="false">IFERROR(E568*Eingaben!$B$15,0)</f>
        <v>1.7442</v>
      </c>
      <c r="G568" s="13" t="n">
        <f aca="false">IFERROR(IF(Kalender!A202="",0,J567*(1-Eingaben!$B$20)),0)</f>
        <v>1.709316</v>
      </c>
      <c r="H568" s="13" t="n">
        <f aca="false">MIN(G568,D568)</f>
        <v>0.89</v>
      </c>
      <c r="I568" s="13" t="n">
        <f aca="false">IFERROR(MIN(F568*Eingaben!$B$19,MAX(0,D568-H568)),0)</f>
        <v>0</v>
      </c>
      <c r="J568" s="13" t="n">
        <f aca="false">IFERROR(MIN(Eingaben!$B$18,MAX(0,F568-I568)),0)</f>
        <v>1.7442</v>
      </c>
      <c r="K568" s="13" t="n">
        <f aca="false">H568+I568</f>
        <v>0.89</v>
      </c>
      <c r="L568" s="13" t="n">
        <f aca="false">MAX(0,D568-K568)</f>
        <v>0</v>
      </c>
      <c r="M568" s="13" t="n">
        <f aca="false">MAX(0,F568-I568-J568)</f>
        <v>0</v>
      </c>
      <c r="N568" s="13" t="n">
        <f aca="false">IF(Kalender!A202="",0,J567-H568)</f>
        <v>0.8542</v>
      </c>
    </row>
    <row r="569" customFormat="false" ht="16.4" hidden="false" customHeight="false" outlineLevel="0" collapsed="false">
      <c r="A569" s="13" t="str">
        <f aca="false">""</f>
        <v/>
      </c>
      <c r="B569" s="13" t="n">
        <f aca="false">199</f>
        <v>199</v>
      </c>
      <c r="C569" s="13" t="n">
        <f aca="false">IF(Szenarien!$H$9="OK",(IFERROR(SUMIF(Nutzungsprofile!$B$6:$B$11,"Schulbetrieb",Nutzungsprofile!$G$6:$G$11)*Kalender!C203/SUM(Kalender!$C$5:$C$370),0)+IFERROR(SUMIF(Nutzungsprofile!$B$6:$B$11,"Halle",Nutzungsprofile!$G$6:$G$11)*Kalender!D203/SUM(Kalender!$D$5:$D$370),0)+IFERROR(SUMIF(Nutzungsprofile!$B$6:$B$11,"Individuell",Nutzungsprofile!$G$6:$G$11)*Kalender!E203/SUM(Kalender!$E$5:$E$370),0))*Szenarien!$E$9,0)</f>
        <v>2.04</v>
      </c>
      <c r="D569" s="13" t="n">
        <f aca="false">IF(Szenarien!$H$9="OK",(IFERROR(SUMIF(Nutzungsprofile!$B$17:$B$22,"Schulbetrieb",Nutzungsprofile!$G$17:$G$22)*Kalender!C203/SUM(Kalender!$C$5:$C$370),0)+IFERROR(SUMIF(Nutzungsprofile!$B$17:$B$22,"Halle",Nutzungsprofile!$G$17:$G$22)*Kalender!D203/SUM(Kalender!$D$5:$D$370),0)+IFERROR(SUMIF(Nutzungsprofile!$B$17:$B$22,"Individuell",Nutzungsprofile!$G$17:$G$22)*Kalender!E203/SUM(Kalender!$E$5:$E$370),0))*Szenarien!$D$9,0)</f>
        <v>0.89</v>
      </c>
      <c r="E569" s="13" t="n">
        <f aca="false">IFERROR(MIN(C569,Eingaben!$B$17)*Eingaben!$B$16,0)</f>
        <v>1.938</v>
      </c>
      <c r="F569" s="13" t="n">
        <f aca="false">IFERROR(E569*Eingaben!$B$15,0)</f>
        <v>1.7442</v>
      </c>
      <c r="G569" s="13" t="n">
        <f aca="false">IFERROR(IF(Kalender!A203="",0,J568*(1-Eingaben!$B$20)),0)</f>
        <v>1.709316</v>
      </c>
      <c r="H569" s="13" t="n">
        <f aca="false">MIN(G569,D569)</f>
        <v>0.89</v>
      </c>
      <c r="I569" s="13" t="n">
        <f aca="false">IFERROR(MIN(F569*Eingaben!$B$19,MAX(0,D569-H569)),0)</f>
        <v>0</v>
      </c>
      <c r="J569" s="13" t="n">
        <f aca="false">IFERROR(MIN(Eingaben!$B$18,MAX(0,F569-I569)),0)</f>
        <v>1.7442</v>
      </c>
      <c r="K569" s="13" t="n">
        <f aca="false">H569+I569</f>
        <v>0.89</v>
      </c>
      <c r="L569" s="13" t="n">
        <f aca="false">MAX(0,D569-K569)</f>
        <v>0</v>
      </c>
      <c r="M569" s="13" t="n">
        <f aca="false">MAX(0,F569-I569-J569)</f>
        <v>0</v>
      </c>
      <c r="N569" s="13" t="n">
        <f aca="false">IF(Kalender!A203="",0,J568-H569)</f>
        <v>0.8542</v>
      </c>
    </row>
    <row r="570" customFormat="false" ht="16.4" hidden="false" customHeight="false" outlineLevel="0" collapsed="false">
      <c r="A570" s="13" t="str">
        <f aca="false">""</f>
        <v/>
      </c>
      <c r="B570" s="13" t="n">
        <f aca="false">200</f>
        <v>200</v>
      </c>
      <c r="C570" s="13" t="n">
        <f aca="false">IF(Szenarien!$H$9="OK",(IFERROR(SUMIF(Nutzungsprofile!$B$6:$B$11,"Schulbetrieb",Nutzungsprofile!$G$6:$G$11)*Kalender!C204/SUM(Kalender!$C$5:$C$370),0)+IFERROR(SUMIF(Nutzungsprofile!$B$6:$B$11,"Halle",Nutzungsprofile!$G$6:$G$11)*Kalender!D204/SUM(Kalender!$D$5:$D$370),0)+IFERROR(SUMIF(Nutzungsprofile!$B$6:$B$11,"Individuell",Nutzungsprofile!$G$6:$G$11)*Kalender!E204/SUM(Kalender!$E$5:$E$370),0))*Szenarien!$E$9,0)</f>
        <v>2.04</v>
      </c>
      <c r="D570" s="13" t="n">
        <f aca="false">IF(Szenarien!$H$9="OK",(IFERROR(SUMIF(Nutzungsprofile!$B$17:$B$22,"Schulbetrieb",Nutzungsprofile!$G$17:$G$22)*Kalender!C204/SUM(Kalender!$C$5:$C$370),0)+IFERROR(SUMIF(Nutzungsprofile!$B$17:$B$22,"Halle",Nutzungsprofile!$G$17:$G$22)*Kalender!D204/SUM(Kalender!$D$5:$D$370),0)+IFERROR(SUMIF(Nutzungsprofile!$B$17:$B$22,"Individuell",Nutzungsprofile!$G$17:$G$22)*Kalender!E204/SUM(Kalender!$E$5:$E$370),0))*Szenarien!$D$9,0)</f>
        <v>0.89</v>
      </c>
      <c r="E570" s="13" t="n">
        <f aca="false">IFERROR(MIN(C570,Eingaben!$B$17)*Eingaben!$B$16,0)</f>
        <v>1.938</v>
      </c>
      <c r="F570" s="13" t="n">
        <f aca="false">IFERROR(E570*Eingaben!$B$15,0)</f>
        <v>1.7442</v>
      </c>
      <c r="G570" s="13" t="n">
        <f aca="false">IFERROR(IF(Kalender!A204="",0,J569*(1-Eingaben!$B$20)),0)</f>
        <v>1.709316</v>
      </c>
      <c r="H570" s="13" t="n">
        <f aca="false">MIN(G570,D570)</f>
        <v>0.89</v>
      </c>
      <c r="I570" s="13" t="n">
        <f aca="false">IFERROR(MIN(F570*Eingaben!$B$19,MAX(0,D570-H570)),0)</f>
        <v>0</v>
      </c>
      <c r="J570" s="13" t="n">
        <f aca="false">IFERROR(MIN(Eingaben!$B$18,MAX(0,F570-I570)),0)</f>
        <v>1.7442</v>
      </c>
      <c r="K570" s="13" t="n">
        <f aca="false">H570+I570</f>
        <v>0.89</v>
      </c>
      <c r="L570" s="13" t="n">
        <f aca="false">MAX(0,D570-K570)</f>
        <v>0</v>
      </c>
      <c r="M570" s="13" t="n">
        <f aca="false">MAX(0,F570-I570-J570)</f>
        <v>0</v>
      </c>
      <c r="N570" s="13" t="n">
        <f aca="false">IF(Kalender!A204="",0,J569-H570)</f>
        <v>0.8542</v>
      </c>
    </row>
    <row r="571" customFormat="false" ht="16.4" hidden="false" customHeight="false" outlineLevel="0" collapsed="false">
      <c r="A571" s="13" t="str">
        <f aca="false">""</f>
        <v/>
      </c>
      <c r="B571" s="13" t="n">
        <f aca="false">201</f>
        <v>201</v>
      </c>
      <c r="C571" s="13" t="n">
        <f aca="false">IF(Szenarien!$H$9="OK",(IFERROR(SUMIF(Nutzungsprofile!$B$6:$B$11,"Schulbetrieb",Nutzungsprofile!$G$6:$G$11)*Kalender!C205/SUM(Kalender!$C$5:$C$370),0)+IFERROR(SUMIF(Nutzungsprofile!$B$6:$B$11,"Halle",Nutzungsprofile!$G$6:$G$11)*Kalender!D205/SUM(Kalender!$D$5:$D$370),0)+IFERROR(SUMIF(Nutzungsprofile!$B$6:$B$11,"Individuell",Nutzungsprofile!$G$6:$G$11)*Kalender!E205/SUM(Kalender!$E$5:$E$370),0))*Szenarien!$E$9,0)</f>
        <v>2.04</v>
      </c>
      <c r="D571" s="13" t="n">
        <f aca="false">IF(Szenarien!$H$9="OK",(IFERROR(SUMIF(Nutzungsprofile!$B$17:$B$22,"Schulbetrieb",Nutzungsprofile!$G$17:$G$22)*Kalender!C205/SUM(Kalender!$C$5:$C$370),0)+IFERROR(SUMIF(Nutzungsprofile!$B$17:$B$22,"Halle",Nutzungsprofile!$G$17:$G$22)*Kalender!D205/SUM(Kalender!$D$5:$D$370),0)+IFERROR(SUMIF(Nutzungsprofile!$B$17:$B$22,"Individuell",Nutzungsprofile!$G$17:$G$22)*Kalender!E205/SUM(Kalender!$E$5:$E$370),0))*Szenarien!$D$9,0)</f>
        <v>0.89</v>
      </c>
      <c r="E571" s="13" t="n">
        <f aca="false">IFERROR(MIN(C571,Eingaben!$B$17)*Eingaben!$B$16,0)</f>
        <v>1.938</v>
      </c>
      <c r="F571" s="13" t="n">
        <f aca="false">IFERROR(E571*Eingaben!$B$15,0)</f>
        <v>1.7442</v>
      </c>
      <c r="G571" s="13" t="n">
        <f aca="false">IFERROR(IF(Kalender!A205="",0,J570*(1-Eingaben!$B$20)),0)</f>
        <v>1.709316</v>
      </c>
      <c r="H571" s="13" t="n">
        <f aca="false">MIN(G571,D571)</f>
        <v>0.89</v>
      </c>
      <c r="I571" s="13" t="n">
        <f aca="false">IFERROR(MIN(F571*Eingaben!$B$19,MAX(0,D571-H571)),0)</f>
        <v>0</v>
      </c>
      <c r="J571" s="13" t="n">
        <f aca="false">IFERROR(MIN(Eingaben!$B$18,MAX(0,F571-I571)),0)</f>
        <v>1.7442</v>
      </c>
      <c r="K571" s="13" t="n">
        <f aca="false">H571+I571</f>
        <v>0.89</v>
      </c>
      <c r="L571" s="13" t="n">
        <f aca="false">MAX(0,D571-K571)</f>
        <v>0</v>
      </c>
      <c r="M571" s="13" t="n">
        <f aca="false">MAX(0,F571-I571-J571)</f>
        <v>0</v>
      </c>
      <c r="N571" s="13" t="n">
        <f aca="false">IF(Kalender!A205="",0,J570-H571)</f>
        <v>0.8542</v>
      </c>
    </row>
    <row r="572" customFormat="false" ht="16.4" hidden="false" customHeight="false" outlineLevel="0" collapsed="false">
      <c r="A572" s="13" t="str">
        <f aca="false">""</f>
        <v/>
      </c>
      <c r="B572" s="13" t="n">
        <f aca="false">202</f>
        <v>202</v>
      </c>
      <c r="C572" s="13" t="n">
        <f aca="false">IF(Szenarien!$H$9="OK",(IFERROR(SUMIF(Nutzungsprofile!$B$6:$B$11,"Schulbetrieb",Nutzungsprofile!$G$6:$G$11)*Kalender!C206/SUM(Kalender!$C$5:$C$370),0)+IFERROR(SUMIF(Nutzungsprofile!$B$6:$B$11,"Halle",Nutzungsprofile!$G$6:$G$11)*Kalender!D206/SUM(Kalender!$D$5:$D$370),0)+IFERROR(SUMIF(Nutzungsprofile!$B$6:$B$11,"Individuell",Nutzungsprofile!$G$6:$G$11)*Kalender!E206/SUM(Kalender!$E$5:$E$370),0))*Szenarien!$E$9,0)</f>
        <v>2.04</v>
      </c>
      <c r="D572" s="13" t="n">
        <f aca="false">IF(Szenarien!$H$9="OK",(IFERROR(SUMIF(Nutzungsprofile!$B$17:$B$22,"Schulbetrieb",Nutzungsprofile!$G$17:$G$22)*Kalender!C206/SUM(Kalender!$C$5:$C$370),0)+IFERROR(SUMIF(Nutzungsprofile!$B$17:$B$22,"Halle",Nutzungsprofile!$G$17:$G$22)*Kalender!D206/SUM(Kalender!$D$5:$D$370),0)+IFERROR(SUMIF(Nutzungsprofile!$B$17:$B$22,"Individuell",Nutzungsprofile!$G$17:$G$22)*Kalender!E206/SUM(Kalender!$E$5:$E$370),0))*Szenarien!$D$9,0)</f>
        <v>0.89</v>
      </c>
      <c r="E572" s="13" t="n">
        <f aca="false">IFERROR(MIN(C572,Eingaben!$B$17)*Eingaben!$B$16,0)</f>
        <v>1.938</v>
      </c>
      <c r="F572" s="13" t="n">
        <f aca="false">IFERROR(E572*Eingaben!$B$15,0)</f>
        <v>1.7442</v>
      </c>
      <c r="G572" s="13" t="n">
        <f aca="false">IFERROR(IF(Kalender!A206="",0,J571*(1-Eingaben!$B$20)),0)</f>
        <v>1.709316</v>
      </c>
      <c r="H572" s="13" t="n">
        <f aca="false">MIN(G572,D572)</f>
        <v>0.89</v>
      </c>
      <c r="I572" s="13" t="n">
        <f aca="false">IFERROR(MIN(F572*Eingaben!$B$19,MAX(0,D572-H572)),0)</f>
        <v>0</v>
      </c>
      <c r="J572" s="13" t="n">
        <f aca="false">IFERROR(MIN(Eingaben!$B$18,MAX(0,F572-I572)),0)</f>
        <v>1.7442</v>
      </c>
      <c r="K572" s="13" t="n">
        <f aca="false">H572+I572</f>
        <v>0.89</v>
      </c>
      <c r="L572" s="13" t="n">
        <f aca="false">MAX(0,D572-K572)</f>
        <v>0</v>
      </c>
      <c r="M572" s="13" t="n">
        <f aca="false">MAX(0,F572-I572-J572)</f>
        <v>0</v>
      </c>
      <c r="N572" s="13" t="n">
        <f aca="false">IF(Kalender!A206="",0,J571-H572)</f>
        <v>0.8542</v>
      </c>
    </row>
    <row r="573" customFormat="false" ht="16.4" hidden="false" customHeight="false" outlineLevel="0" collapsed="false">
      <c r="A573" s="13" t="str">
        <f aca="false">""</f>
        <v/>
      </c>
      <c r="B573" s="13" t="n">
        <f aca="false">203</f>
        <v>203</v>
      </c>
      <c r="C573" s="13" t="n">
        <f aca="false">IF(Szenarien!$H$9="OK",(IFERROR(SUMIF(Nutzungsprofile!$B$6:$B$11,"Schulbetrieb",Nutzungsprofile!$G$6:$G$11)*Kalender!C207/SUM(Kalender!$C$5:$C$370),0)+IFERROR(SUMIF(Nutzungsprofile!$B$6:$B$11,"Halle",Nutzungsprofile!$G$6:$G$11)*Kalender!D207/SUM(Kalender!$D$5:$D$370),0)+IFERROR(SUMIF(Nutzungsprofile!$B$6:$B$11,"Individuell",Nutzungsprofile!$G$6:$G$11)*Kalender!E207/SUM(Kalender!$E$5:$E$370),0))*Szenarien!$E$9,0)</f>
        <v>2.04</v>
      </c>
      <c r="D573" s="13" t="n">
        <f aca="false">IF(Szenarien!$H$9="OK",(IFERROR(SUMIF(Nutzungsprofile!$B$17:$B$22,"Schulbetrieb",Nutzungsprofile!$G$17:$G$22)*Kalender!C207/SUM(Kalender!$C$5:$C$370),0)+IFERROR(SUMIF(Nutzungsprofile!$B$17:$B$22,"Halle",Nutzungsprofile!$G$17:$G$22)*Kalender!D207/SUM(Kalender!$D$5:$D$370),0)+IFERROR(SUMIF(Nutzungsprofile!$B$17:$B$22,"Individuell",Nutzungsprofile!$G$17:$G$22)*Kalender!E207/SUM(Kalender!$E$5:$E$370),0))*Szenarien!$D$9,0)</f>
        <v>0.89</v>
      </c>
      <c r="E573" s="13" t="n">
        <f aca="false">IFERROR(MIN(C573,Eingaben!$B$17)*Eingaben!$B$16,0)</f>
        <v>1.938</v>
      </c>
      <c r="F573" s="13" t="n">
        <f aca="false">IFERROR(E573*Eingaben!$B$15,0)</f>
        <v>1.7442</v>
      </c>
      <c r="G573" s="13" t="n">
        <f aca="false">IFERROR(IF(Kalender!A207="",0,J572*(1-Eingaben!$B$20)),0)</f>
        <v>1.709316</v>
      </c>
      <c r="H573" s="13" t="n">
        <f aca="false">MIN(G573,D573)</f>
        <v>0.89</v>
      </c>
      <c r="I573" s="13" t="n">
        <f aca="false">IFERROR(MIN(F573*Eingaben!$B$19,MAX(0,D573-H573)),0)</f>
        <v>0</v>
      </c>
      <c r="J573" s="13" t="n">
        <f aca="false">IFERROR(MIN(Eingaben!$B$18,MAX(0,F573-I573)),0)</f>
        <v>1.7442</v>
      </c>
      <c r="K573" s="13" t="n">
        <f aca="false">H573+I573</f>
        <v>0.89</v>
      </c>
      <c r="L573" s="13" t="n">
        <f aca="false">MAX(0,D573-K573)</f>
        <v>0</v>
      </c>
      <c r="M573" s="13" t="n">
        <f aca="false">MAX(0,F573-I573-J573)</f>
        <v>0</v>
      </c>
      <c r="N573" s="13" t="n">
        <f aca="false">IF(Kalender!A207="",0,J572-H573)</f>
        <v>0.8542</v>
      </c>
    </row>
    <row r="574" customFormat="false" ht="16.4" hidden="false" customHeight="false" outlineLevel="0" collapsed="false">
      <c r="A574" s="13" t="str">
        <f aca="false">""</f>
        <v/>
      </c>
      <c r="B574" s="13" t="n">
        <f aca="false">204</f>
        <v>204</v>
      </c>
      <c r="C574" s="13" t="n">
        <f aca="false">IF(Szenarien!$H$9="OK",(IFERROR(SUMIF(Nutzungsprofile!$B$6:$B$11,"Schulbetrieb",Nutzungsprofile!$G$6:$G$11)*Kalender!C208/SUM(Kalender!$C$5:$C$370),0)+IFERROR(SUMIF(Nutzungsprofile!$B$6:$B$11,"Halle",Nutzungsprofile!$G$6:$G$11)*Kalender!D208/SUM(Kalender!$D$5:$D$370),0)+IFERROR(SUMIF(Nutzungsprofile!$B$6:$B$11,"Individuell",Nutzungsprofile!$G$6:$G$11)*Kalender!E208/SUM(Kalender!$E$5:$E$370),0))*Szenarien!$E$9,0)</f>
        <v>2.04</v>
      </c>
      <c r="D574" s="13" t="n">
        <f aca="false">IF(Szenarien!$H$9="OK",(IFERROR(SUMIF(Nutzungsprofile!$B$17:$B$22,"Schulbetrieb",Nutzungsprofile!$G$17:$G$22)*Kalender!C208/SUM(Kalender!$C$5:$C$370),0)+IFERROR(SUMIF(Nutzungsprofile!$B$17:$B$22,"Halle",Nutzungsprofile!$G$17:$G$22)*Kalender!D208/SUM(Kalender!$D$5:$D$370),0)+IFERROR(SUMIF(Nutzungsprofile!$B$17:$B$22,"Individuell",Nutzungsprofile!$G$17:$G$22)*Kalender!E208/SUM(Kalender!$E$5:$E$370),0))*Szenarien!$D$9,0)</f>
        <v>0.89</v>
      </c>
      <c r="E574" s="13" t="n">
        <f aca="false">IFERROR(MIN(C574,Eingaben!$B$17)*Eingaben!$B$16,0)</f>
        <v>1.938</v>
      </c>
      <c r="F574" s="13" t="n">
        <f aca="false">IFERROR(E574*Eingaben!$B$15,0)</f>
        <v>1.7442</v>
      </c>
      <c r="G574" s="13" t="n">
        <f aca="false">IFERROR(IF(Kalender!A208="",0,J573*(1-Eingaben!$B$20)),0)</f>
        <v>1.709316</v>
      </c>
      <c r="H574" s="13" t="n">
        <f aca="false">MIN(G574,D574)</f>
        <v>0.89</v>
      </c>
      <c r="I574" s="13" t="n">
        <f aca="false">IFERROR(MIN(F574*Eingaben!$B$19,MAX(0,D574-H574)),0)</f>
        <v>0</v>
      </c>
      <c r="J574" s="13" t="n">
        <f aca="false">IFERROR(MIN(Eingaben!$B$18,MAX(0,F574-I574)),0)</f>
        <v>1.7442</v>
      </c>
      <c r="K574" s="13" t="n">
        <f aca="false">H574+I574</f>
        <v>0.89</v>
      </c>
      <c r="L574" s="13" t="n">
        <f aca="false">MAX(0,D574-K574)</f>
        <v>0</v>
      </c>
      <c r="M574" s="13" t="n">
        <f aca="false">MAX(0,F574-I574-J574)</f>
        <v>0</v>
      </c>
      <c r="N574" s="13" t="n">
        <f aca="false">IF(Kalender!A208="",0,J573-H574)</f>
        <v>0.8542</v>
      </c>
    </row>
    <row r="575" customFormat="false" ht="16.4" hidden="false" customHeight="false" outlineLevel="0" collapsed="false">
      <c r="A575" s="13" t="str">
        <f aca="false">""</f>
        <v/>
      </c>
      <c r="B575" s="13" t="n">
        <f aca="false">205</f>
        <v>205</v>
      </c>
      <c r="C575" s="13" t="n">
        <f aca="false">IF(Szenarien!$H$9="OK",(IFERROR(SUMIF(Nutzungsprofile!$B$6:$B$11,"Schulbetrieb",Nutzungsprofile!$G$6:$G$11)*Kalender!C209/SUM(Kalender!$C$5:$C$370),0)+IFERROR(SUMIF(Nutzungsprofile!$B$6:$B$11,"Halle",Nutzungsprofile!$G$6:$G$11)*Kalender!D209/SUM(Kalender!$D$5:$D$370),0)+IFERROR(SUMIF(Nutzungsprofile!$B$6:$B$11,"Individuell",Nutzungsprofile!$G$6:$G$11)*Kalender!E209/SUM(Kalender!$E$5:$E$370),0))*Szenarien!$E$9,0)</f>
        <v>2.04</v>
      </c>
      <c r="D575" s="13" t="n">
        <f aca="false">IF(Szenarien!$H$9="OK",(IFERROR(SUMIF(Nutzungsprofile!$B$17:$B$22,"Schulbetrieb",Nutzungsprofile!$G$17:$G$22)*Kalender!C209/SUM(Kalender!$C$5:$C$370),0)+IFERROR(SUMIF(Nutzungsprofile!$B$17:$B$22,"Halle",Nutzungsprofile!$G$17:$G$22)*Kalender!D209/SUM(Kalender!$D$5:$D$370),0)+IFERROR(SUMIF(Nutzungsprofile!$B$17:$B$22,"Individuell",Nutzungsprofile!$G$17:$G$22)*Kalender!E209/SUM(Kalender!$E$5:$E$370),0))*Szenarien!$D$9,0)</f>
        <v>0.89</v>
      </c>
      <c r="E575" s="13" t="n">
        <f aca="false">IFERROR(MIN(C575,Eingaben!$B$17)*Eingaben!$B$16,0)</f>
        <v>1.938</v>
      </c>
      <c r="F575" s="13" t="n">
        <f aca="false">IFERROR(E575*Eingaben!$B$15,0)</f>
        <v>1.7442</v>
      </c>
      <c r="G575" s="13" t="n">
        <f aca="false">IFERROR(IF(Kalender!A209="",0,J574*(1-Eingaben!$B$20)),0)</f>
        <v>1.709316</v>
      </c>
      <c r="H575" s="13" t="n">
        <f aca="false">MIN(G575,D575)</f>
        <v>0.89</v>
      </c>
      <c r="I575" s="13" t="n">
        <f aca="false">IFERROR(MIN(F575*Eingaben!$B$19,MAX(0,D575-H575)),0)</f>
        <v>0</v>
      </c>
      <c r="J575" s="13" t="n">
        <f aca="false">IFERROR(MIN(Eingaben!$B$18,MAX(0,F575-I575)),0)</f>
        <v>1.7442</v>
      </c>
      <c r="K575" s="13" t="n">
        <f aca="false">H575+I575</f>
        <v>0.89</v>
      </c>
      <c r="L575" s="13" t="n">
        <f aca="false">MAX(0,D575-K575)</f>
        <v>0</v>
      </c>
      <c r="M575" s="13" t="n">
        <f aca="false">MAX(0,F575-I575-J575)</f>
        <v>0</v>
      </c>
      <c r="N575" s="13" t="n">
        <f aca="false">IF(Kalender!A209="",0,J574-H575)</f>
        <v>0.8542</v>
      </c>
    </row>
    <row r="576" customFormat="false" ht="16.4" hidden="false" customHeight="false" outlineLevel="0" collapsed="false">
      <c r="A576" s="13" t="str">
        <f aca="false">""</f>
        <v/>
      </c>
      <c r="B576" s="13" t="n">
        <f aca="false">206</f>
        <v>206</v>
      </c>
      <c r="C576" s="13" t="n">
        <f aca="false">IF(Szenarien!$H$9="OK",(IFERROR(SUMIF(Nutzungsprofile!$B$6:$B$11,"Schulbetrieb",Nutzungsprofile!$G$6:$G$11)*Kalender!C210/SUM(Kalender!$C$5:$C$370),0)+IFERROR(SUMIF(Nutzungsprofile!$B$6:$B$11,"Halle",Nutzungsprofile!$G$6:$G$11)*Kalender!D210/SUM(Kalender!$D$5:$D$370),0)+IFERROR(SUMIF(Nutzungsprofile!$B$6:$B$11,"Individuell",Nutzungsprofile!$G$6:$G$11)*Kalender!E210/SUM(Kalender!$E$5:$E$370),0))*Szenarien!$E$9,0)</f>
        <v>2.04</v>
      </c>
      <c r="D576" s="13" t="n">
        <f aca="false">IF(Szenarien!$H$9="OK",(IFERROR(SUMIF(Nutzungsprofile!$B$17:$B$22,"Schulbetrieb",Nutzungsprofile!$G$17:$G$22)*Kalender!C210/SUM(Kalender!$C$5:$C$370),0)+IFERROR(SUMIF(Nutzungsprofile!$B$17:$B$22,"Halle",Nutzungsprofile!$G$17:$G$22)*Kalender!D210/SUM(Kalender!$D$5:$D$370),0)+IFERROR(SUMIF(Nutzungsprofile!$B$17:$B$22,"Individuell",Nutzungsprofile!$G$17:$G$22)*Kalender!E210/SUM(Kalender!$E$5:$E$370),0))*Szenarien!$D$9,0)</f>
        <v>0.89</v>
      </c>
      <c r="E576" s="13" t="n">
        <f aca="false">IFERROR(MIN(C576,Eingaben!$B$17)*Eingaben!$B$16,0)</f>
        <v>1.938</v>
      </c>
      <c r="F576" s="13" t="n">
        <f aca="false">IFERROR(E576*Eingaben!$B$15,0)</f>
        <v>1.7442</v>
      </c>
      <c r="G576" s="13" t="n">
        <f aca="false">IFERROR(IF(Kalender!A210="",0,J575*(1-Eingaben!$B$20)),0)</f>
        <v>1.709316</v>
      </c>
      <c r="H576" s="13" t="n">
        <f aca="false">MIN(G576,D576)</f>
        <v>0.89</v>
      </c>
      <c r="I576" s="13" t="n">
        <f aca="false">IFERROR(MIN(F576*Eingaben!$B$19,MAX(0,D576-H576)),0)</f>
        <v>0</v>
      </c>
      <c r="J576" s="13" t="n">
        <f aca="false">IFERROR(MIN(Eingaben!$B$18,MAX(0,F576-I576)),0)</f>
        <v>1.7442</v>
      </c>
      <c r="K576" s="13" t="n">
        <f aca="false">H576+I576</f>
        <v>0.89</v>
      </c>
      <c r="L576" s="13" t="n">
        <f aca="false">MAX(0,D576-K576)</f>
        <v>0</v>
      </c>
      <c r="M576" s="13" t="n">
        <f aca="false">MAX(0,F576-I576-J576)</f>
        <v>0</v>
      </c>
      <c r="N576" s="13" t="n">
        <f aca="false">IF(Kalender!A210="",0,J575-H576)</f>
        <v>0.8542</v>
      </c>
    </row>
    <row r="577" customFormat="false" ht="16.4" hidden="false" customHeight="false" outlineLevel="0" collapsed="false">
      <c r="A577" s="13" t="str">
        <f aca="false">""</f>
        <v/>
      </c>
      <c r="B577" s="13" t="n">
        <f aca="false">207</f>
        <v>207</v>
      </c>
      <c r="C577" s="13" t="n">
        <f aca="false">IF(Szenarien!$H$9="OK",(IFERROR(SUMIF(Nutzungsprofile!$B$6:$B$11,"Schulbetrieb",Nutzungsprofile!$G$6:$G$11)*Kalender!C211/SUM(Kalender!$C$5:$C$370),0)+IFERROR(SUMIF(Nutzungsprofile!$B$6:$B$11,"Halle",Nutzungsprofile!$G$6:$G$11)*Kalender!D211/SUM(Kalender!$D$5:$D$370),0)+IFERROR(SUMIF(Nutzungsprofile!$B$6:$B$11,"Individuell",Nutzungsprofile!$G$6:$G$11)*Kalender!E211/SUM(Kalender!$E$5:$E$370),0))*Szenarien!$E$9,0)</f>
        <v>2.04</v>
      </c>
      <c r="D577" s="13" t="n">
        <f aca="false">IF(Szenarien!$H$9="OK",(IFERROR(SUMIF(Nutzungsprofile!$B$17:$B$22,"Schulbetrieb",Nutzungsprofile!$G$17:$G$22)*Kalender!C211/SUM(Kalender!$C$5:$C$370),0)+IFERROR(SUMIF(Nutzungsprofile!$B$17:$B$22,"Halle",Nutzungsprofile!$G$17:$G$22)*Kalender!D211/SUM(Kalender!$D$5:$D$370),0)+IFERROR(SUMIF(Nutzungsprofile!$B$17:$B$22,"Individuell",Nutzungsprofile!$G$17:$G$22)*Kalender!E211/SUM(Kalender!$E$5:$E$370),0))*Szenarien!$D$9,0)</f>
        <v>0.89</v>
      </c>
      <c r="E577" s="13" t="n">
        <f aca="false">IFERROR(MIN(C577,Eingaben!$B$17)*Eingaben!$B$16,0)</f>
        <v>1.938</v>
      </c>
      <c r="F577" s="13" t="n">
        <f aca="false">IFERROR(E577*Eingaben!$B$15,0)</f>
        <v>1.7442</v>
      </c>
      <c r="G577" s="13" t="n">
        <f aca="false">IFERROR(IF(Kalender!A211="",0,J576*(1-Eingaben!$B$20)),0)</f>
        <v>1.709316</v>
      </c>
      <c r="H577" s="13" t="n">
        <f aca="false">MIN(G577,D577)</f>
        <v>0.89</v>
      </c>
      <c r="I577" s="13" t="n">
        <f aca="false">IFERROR(MIN(F577*Eingaben!$B$19,MAX(0,D577-H577)),0)</f>
        <v>0</v>
      </c>
      <c r="J577" s="13" t="n">
        <f aca="false">IFERROR(MIN(Eingaben!$B$18,MAX(0,F577-I577)),0)</f>
        <v>1.7442</v>
      </c>
      <c r="K577" s="13" t="n">
        <f aca="false">H577+I577</f>
        <v>0.89</v>
      </c>
      <c r="L577" s="13" t="n">
        <f aca="false">MAX(0,D577-K577)</f>
        <v>0</v>
      </c>
      <c r="M577" s="13" t="n">
        <f aca="false">MAX(0,F577-I577-J577)</f>
        <v>0</v>
      </c>
      <c r="N577" s="13" t="n">
        <f aca="false">IF(Kalender!A211="",0,J576-H577)</f>
        <v>0.8542</v>
      </c>
    </row>
    <row r="578" customFormat="false" ht="16.4" hidden="false" customHeight="false" outlineLevel="0" collapsed="false">
      <c r="A578" s="13" t="str">
        <f aca="false">""</f>
        <v/>
      </c>
      <c r="B578" s="13" t="n">
        <f aca="false">208</f>
        <v>208</v>
      </c>
      <c r="C578" s="13" t="n">
        <f aca="false">IF(Szenarien!$H$9="OK",(IFERROR(SUMIF(Nutzungsprofile!$B$6:$B$11,"Schulbetrieb",Nutzungsprofile!$G$6:$G$11)*Kalender!C212/SUM(Kalender!$C$5:$C$370),0)+IFERROR(SUMIF(Nutzungsprofile!$B$6:$B$11,"Halle",Nutzungsprofile!$G$6:$G$11)*Kalender!D212/SUM(Kalender!$D$5:$D$370),0)+IFERROR(SUMIF(Nutzungsprofile!$B$6:$B$11,"Individuell",Nutzungsprofile!$G$6:$G$11)*Kalender!E212/SUM(Kalender!$E$5:$E$370),0))*Szenarien!$E$9,0)</f>
        <v>2.04</v>
      </c>
      <c r="D578" s="13" t="n">
        <f aca="false">IF(Szenarien!$H$9="OK",(IFERROR(SUMIF(Nutzungsprofile!$B$17:$B$22,"Schulbetrieb",Nutzungsprofile!$G$17:$G$22)*Kalender!C212/SUM(Kalender!$C$5:$C$370),0)+IFERROR(SUMIF(Nutzungsprofile!$B$17:$B$22,"Halle",Nutzungsprofile!$G$17:$G$22)*Kalender!D212/SUM(Kalender!$D$5:$D$370),0)+IFERROR(SUMIF(Nutzungsprofile!$B$17:$B$22,"Individuell",Nutzungsprofile!$G$17:$G$22)*Kalender!E212/SUM(Kalender!$E$5:$E$370),0))*Szenarien!$D$9,0)</f>
        <v>0.89</v>
      </c>
      <c r="E578" s="13" t="n">
        <f aca="false">IFERROR(MIN(C578,Eingaben!$B$17)*Eingaben!$B$16,0)</f>
        <v>1.938</v>
      </c>
      <c r="F578" s="13" t="n">
        <f aca="false">IFERROR(E578*Eingaben!$B$15,0)</f>
        <v>1.7442</v>
      </c>
      <c r="G578" s="13" t="n">
        <f aca="false">IFERROR(IF(Kalender!A212="",0,J577*(1-Eingaben!$B$20)),0)</f>
        <v>1.709316</v>
      </c>
      <c r="H578" s="13" t="n">
        <f aca="false">MIN(G578,D578)</f>
        <v>0.89</v>
      </c>
      <c r="I578" s="13" t="n">
        <f aca="false">IFERROR(MIN(F578*Eingaben!$B$19,MAX(0,D578-H578)),0)</f>
        <v>0</v>
      </c>
      <c r="J578" s="13" t="n">
        <f aca="false">IFERROR(MIN(Eingaben!$B$18,MAX(0,F578-I578)),0)</f>
        <v>1.7442</v>
      </c>
      <c r="K578" s="13" t="n">
        <f aca="false">H578+I578</f>
        <v>0.89</v>
      </c>
      <c r="L578" s="13" t="n">
        <f aca="false">MAX(0,D578-K578)</f>
        <v>0</v>
      </c>
      <c r="M578" s="13" t="n">
        <f aca="false">MAX(0,F578-I578-J578)</f>
        <v>0</v>
      </c>
      <c r="N578" s="13" t="n">
        <f aca="false">IF(Kalender!A212="",0,J577-H578)</f>
        <v>0.8542</v>
      </c>
    </row>
    <row r="579" customFormat="false" ht="16.4" hidden="false" customHeight="false" outlineLevel="0" collapsed="false">
      <c r="A579" s="13" t="str">
        <f aca="false">""</f>
        <v/>
      </c>
      <c r="B579" s="13" t="n">
        <f aca="false">209</f>
        <v>209</v>
      </c>
      <c r="C579" s="13" t="n">
        <f aca="false">IF(Szenarien!$H$9="OK",(IFERROR(SUMIF(Nutzungsprofile!$B$6:$B$11,"Schulbetrieb",Nutzungsprofile!$G$6:$G$11)*Kalender!C213/SUM(Kalender!$C$5:$C$370),0)+IFERROR(SUMIF(Nutzungsprofile!$B$6:$B$11,"Halle",Nutzungsprofile!$G$6:$G$11)*Kalender!D213/SUM(Kalender!$D$5:$D$370),0)+IFERROR(SUMIF(Nutzungsprofile!$B$6:$B$11,"Individuell",Nutzungsprofile!$G$6:$G$11)*Kalender!E213/SUM(Kalender!$E$5:$E$370),0))*Szenarien!$E$9,0)</f>
        <v>2.04</v>
      </c>
      <c r="D579" s="13" t="n">
        <f aca="false">IF(Szenarien!$H$9="OK",(IFERROR(SUMIF(Nutzungsprofile!$B$17:$B$22,"Schulbetrieb",Nutzungsprofile!$G$17:$G$22)*Kalender!C213/SUM(Kalender!$C$5:$C$370),0)+IFERROR(SUMIF(Nutzungsprofile!$B$17:$B$22,"Halle",Nutzungsprofile!$G$17:$G$22)*Kalender!D213/SUM(Kalender!$D$5:$D$370),0)+IFERROR(SUMIF(Nutzungsprofile!$B$17:$B$22,"Individuell",Nutzungsprofile!$G$17:$G$22)*Kalender!E213/SUM(Kalender!$E$5:$E$370),0))*Szenarien!$D$9,0)</f>
        <v>0.89</v>
      </c>
      <c r="E579" s="13" t="n">
        <f aca="false">IFERROR(MIN(C579,Eingaben!$B$17)*Eingaben!$B$16,0)</f>
        <v>1.938</v>
      </c>
      <c r="F579" s="13" t="n">
        <f aca="false">IFERROR(E579*Eingaben!$B$15,0)</f>
        <v>1.7442</v>
      </c>
      <c r="G579" s="13" t="n">
        <f aca="false">IFERROR(IF(Kalender!A213="",0,J578*(1-Eingaben!$B$20)),0)</f>
        <v>1.709316</v>
      </c>
      <c r="H579" s="13" t="n">
        <f aca="false">MIN(G579,D579)</f>
        <v>0.89</v>
      </c>
      <c r="I579" s="13" t="n">
        <f aca="false">IFERROR(MIN(F579*Eingaben!$B$19,MAX(0,D579-H579)),0)</f>
        <v>0</v>
      </c>
      <c r="J579" s="13" t="n">
        <f aca="false">IFERROR(MIN(Eingaben!$B$18,MAX(0,F579-I579)),0)</f>
        <v>1.7442</v>
      </c>
      <c r="K579" s="13" t="n">
        <f aca="false">H579+I579</f>
        <v>0.89</v>
      </c>
      <c r="L579" s="13" t="n">
        <f aca="false">MAX(0,D579-K579)</f>
        <v>0</v>
      </c>
      <c r="M579" s="13" t="n">
        <f aca="false">MAX(0,F579-I579-J579)</f>
        <v>0</v>
      </c>
      <c r="N579" s="13" t="n">
        <f aca="false">IF(Kalender!A213="",0,J578-H579)</f>
        <v>0.8542</v>
      </c>
    </row>
    <row r="580" customFormat="false" ht="16.4" hidden="false" customHeight="false" outlineLevel="0" collapsed="false">
      <c r="A580" s="13" t="str">
        <f aca="false">""</f>
        <v/>
      </c>
      <c r="B580" s="13" t="n">
        <f aca="false">210</f>
        <v>210</v>
      </c>
      <c r="C580" s="13" t="n">
        <f aca="false">IF(Szenarien!$H$9="OK",(IFERROR(SUMIF(Nutzungsprofile!$B$6:$B$11,"Schulbetrieb",Nutzungsprofile!$G$6:$G$11)*Kalender!C214/SUM(Kalender!$C$5:$C$370),0)+IFERROR(SUMIF(Nutzungsprofile!$B$6:$B$11,"Halle",Nutzungsprofile!$G$6:$G$11)*Kalender!D214/SUM(Kalender!$D$5:$D$370),0)+IFERROR(SUMIF(Nutzungsprofile!$B$6:$B$11,"Individuell",Nutzungsprofile!$G$6:$G$11)*Kalender!E214/SUM(Kalender!$E$5:$E$370),0))*Szenarien!$E$9,0)</f>
        <v>2.04</v>
      </c>
      <c r="D580" s="13" t="n">
        <f aca="false">IF(Szenarien!$H$9="OK",(IFERROR(SUMIF(Nutzungsprofile!$B$17:$B$22,"Schulbetrieb",Nutzungsprofile!$G$17:$G$22)*Kalender!C214/SUM(Kalender!$C$5:$C$370),0)+IFERROR(SUMIF(Nutzungsprofile!$B$17:$B$22,"Halle",Nutzungsprofile!$G$17:$G$22)*Kalender!D214/SUM(Kalender!$D$5:$D$370),0)+IFERROR(SUMIF(Nutzungsprofile!$B$17:$B$22,"Individuell",Nutzungsprofile!$G$17:$G$22)*Kalender!E214/SUM(Kalender!$E$5:$E$370),0))*Szenarien!$D$9,0)</f>
        <v>0.89</v>
      </c>
      <c r="E580" s="13" t="n">
        <f aca="false">IFERROR(MIN(C580,Eingaben!$B$17)*Eingaben!$B$16,0)</f>
        <v>1.938</v>
      </c>
      <c r="F580" s="13" t="n">
        <f aca="false">IFERROR(E580*Eingaben!$B$15,0)</f>
        <v>1.7442</v>
      </c>
      <c r="G580" s="13" t="n">
        <f aca="false">IFERROR(IF(Kalender!A214="",0,J579*(1-Eingaben!$B$20)),0)</f>
        <v>1.709316</v>
      </c>
      <c r="H580" s="13" t="n">
        <f aca="false">MIN(G580,D580)</f>
        <v>0.89</v>
      </c>
      <c r="I580" s="13" t="n">
        <f aca="false">IFERROR(MIN(F580*Eingaben!$B$19,MAX(0,D580-H580)),0)</f>
        <v>0</v>
      </c>
      <c r="J580" s="13" t="n">
        <f aca="false">IFERROR(MIN(Eingaben!$B$18,MAX(0,F580-I580)),0)</f>
        <v>1.7442</v>
      </c>
      <c r="K580" s="13" t="n">
        <f aca="false">H580+I580</f>
        <v>0.89</v>
      </c>
      <c r="L580" s="13" t="n">
        <f aca="false">MAX(0,D580-K580)</f>
        <v>0</v>
      </c>
      <c r="M580" s="13" t="n">
        <f aca="false">MAX(0,F580-I580-J580)</f>
        <v>0</v>
      </c>
      <c r="N580" s="13" t="n">
        <f aca="false">IF(Kalender!A214="",0,J579-H580)</f>
        <v>0.8542</v>
      </c>
    </row>
    <row r="581" customFormat="false" ht="16.4" hidden="false" customHeight="false" outlineLevel="0" collapsed="false">
      <c r="A581" s="13" t="str">
        <f aca="false">""</f>
        <v/>
      </c>
      <c r="B581" s="13" t="n">
        <f aca="false">211</f>
        <v>211</v>
      </c>
      <c r="C581" s="13" t="n">
        <f aca="false">IF(Szenarien!$H$9="OK",(IFERROR(SUMIF(Nutzungsprofile!$B$6:$B$11,"Schulbetrieb",Nutzungsprofile!$G$6:$G$11)*Kalender!C215/SUM(Kalender!$C$5:$C$370),0)+IFERROR(SUMIF(Nutzungsprofile!$B$6:$B$11,"Halle",Nutzungsprofile!$G$6:$G$11)*Kalender!D215/SUM(Kalender!$D$5:$D$370),0)+IFERROR(SUMIF(Nutzungsprofile!$B$6:$B$11,"Individuell",Nutzungsprofile!$G$6:$G$11)*Kalender!E215/SUM(Kalender!$E$5:$E$370),0))*Szenarien!$E$9,0)</f>
        <v>2.04</v>
      </c>
      <c r="D581" s="13" t="n">
        <f aca="false">IF(Szenarien!$H$9="OK",(IFERROR(SUMIF(Nutzungsprofile!$B$17:$B$22,"Schulbetrieb",Nutzungsprofile!$G$17:$G$22)*Kalender!C215/SUM(Kalender!$C$5:$C$370),0)+IFERROR(SUMIF(Nutzungsprofile!$B$17:$B$22,"Halle",Nutzungsprofile!$G$17:$G$22)*Kalender!D215/SUM(Kalender!$D$5:$D$370),0)+IFERROR(SUMIF(Nutzungsprofile!$B$17:$B$22,"Individuell",Nutzungsprofile!$G$17:$G$22)*Kalender!E215/SUM(Kalender!$E$5:$E$370),0))*Szenarien!$D$9,0)</f>
        <v>0.89</v>
      </c>
      <c r="E581" s="13" t="n">
        <f aca="false">IFERROR(MIN(C581,Eingaben!$B$17)*Eingaben!$B$16,0)</f>
        <v>1.938</v>
      </c>
      <c r="F581" s="13" t="n">
        <f aca="false">IFERROR(E581*Eingaben!$B$15,0)</f>
        <v>1.7442</v>
      </c>
      <c r="G581" s="13" t="n">
        <f aca="false">IFERROR(IF(Kalender!A215="",0,J580*(1-Eingaben!$B$20)),0)</f>
        <v>1.709316</v>
      </c>
      <c r="H581" s="13" t="n">
        <f aca="false">MIN(G581,D581)</f>
        <v>0.89</v>
      </c>
      <c r="I581" s="13" t="n">
        <f aca="false">IFERROR(MIN(F581*Eingaben!$B$19,MAX(0,D581-H581)),0)</f>
        <v>0</v>
      </c>
      <c r="J581" s="13" t="n">
        <f aca="false">IFERROR(MIN(Eingaben!$B$18,MAX(0,F581-I581)),0)</f>
        <v>1.7442</v>
      </c>
      <c r="K581" s="13" t="n">
        <f aca="false">H581+I581</f>
        <v>0.89</v>
      </c>
      <c r="L581" s="13" t="n">
        <f aca="false">MAX(0,D581-K581)</f>
        <v>0</v>
      </c>
      <c r="M581" s="13" t="n">
        <f aca="false">MAX(0,F581-I581-J581)</f>
        <v>0</v>
      </c>
      <c r="N581" s="13" t="n">
        <f aca="false">IF(Kalender!A215="",0,J580-H581)</f>
        <v>0.8542</v>
      </c>
    </row>
    <row r="582" customFormat="false" ht="16.4" hidden="false" customHeight="false" outlineLevel="0" collapsed="false">
      <c r="A582" s="13" t="str">
        <f aca="false">""</f>
        <v/>
      </c>
      <c r="B582" s="13" t="n">
        <f aca="false">212</f>
        <v>212</v>
      </c>
      <c r="C582" s="13" t="n">
        <f aca="false">IF(Szenarien!$H$9="OK",(IFERROR(SUMIF(Nutzungsprofile!$B$6:$B$11,"Schulbetrieb",Nutzungsprofile!$G$6:$G$11)*Kalender!C216/SUM(Kalender!$C$5:$C$370),0)+IFERROR(SUMIF(Nutzungsprofile!$B$6:$B$11,"Halle",Nutzungsprofile!$G$6:$G$11)*Kalender!D216/SUM(Kalender!$D$5:$D$370),0)+IFERROR(SUMIF(Nutzungsprofile!$B$6:$B$11,"Individuell",Nutzungsprofile!$G$6:$G$11)*Kalender!E216/SUM(Kalender!$E$5:$E$370),0))*Szenarien!$E$9,0)</f>
        <v>2.04</v>
      </c>
      <c r="D582" s="13" t="n">
        <f aca="false">IF(Szenarien!$H$9="OK",(IFERROR(SUMIF(Nutzungsprofile!$B$17:$B$22,"Schulbetrieb",Nutzungsprofile!$G$17:$G$22)*Kalender!C216/SUM(Kalender!$C$5:$C$370),0)+IFERROR(SUMIF(Nutzungsprofile!$B$17:$B$22,"Halle",Nutzungsprofile!$G$17:$G$22)*Kalender!D216/SUM(Kalender!$D$5:$D$370),0)+IFERROR(SUMIF(Nutzungsprofile!$B$17:$B$22,"Individuell",Nutzungsprofile!$G$17:$G$22)*Kalender!E216/SUM(Kalender!$E$5:$E$370),0))*Szenarien!$D$9,0)</f>
        <v>0.89</v>
      </c>
      <c r="E582" s="13" t="n">
        <f aca="false">IFERROR(MIN(C582,Eingaben!$B$17)*Eingaben!$B$16,0)</f>
        <v>1.938</v>
      </c>
      <c r="F582" s="13" t="n">
        <f aca="false">IFERROR(E582*Eingaben!$B$15,0)</f>
        <v>1.7442</v>
      </c>
      <c r="G582" s="13" t="n">
        <f aca="false">IFERROR(IF(Kalender!A216="",0,J581*(1-Eingaben!$B$20)),0)</f>
        <v>1.709316</v>
      </c>
      <c r="H582" s="13" t="n">
        <f aca="false">MIN(G582,D582)</f>
        <v>0.89</v>
      </c>
      <c r="I582" s="13" t="n">
        <f aca="false">IFERROR(MIN(F582*Eingaben!$B$19,MAX(0,D582-H582)),0)</f>
        <v>0</v>
      </c>
      <c r="J582" s="13" t="n">
        <f aca="false">IFERROR(MIN(Eingaben!$B$18,MAX(0,F582-I582)),0)</f>
        <v>1.7442</v>
      </c>
      <c r="K582" s="13" t="n">
        <f aca="false">H582+I582</f>
        <v>0.89</v>
      </c>
      <c r="L582" s="13" t="n">
        <f aca="false">MAX(0,D582-K582)</f>
        <v>0</v>
      </c>
      <c r="M582" s="13" t="n">
        <f aca="false">MAX(0,F582-I582-J582)</f>
        <v>0</v>
      </c>
      <c r="N582" s="13" t="n">
        <f aca="false">IF(Kalender!A216="",0,J581-H582)</f>
        <v>0.8542</v>
      </c>
    </row>
    <row r="583" customFormat="false" ht="16.4" hidden="false" customHeight="false" outlineLevel="0" collapsed="false">
      <c r="A583" s="13" t="str">
        <f aca="false">""</f>
        <v/>
      </c>
      <c r="B583" s="13" t="n">
        <f aca="false">213</f>
        <v>213</v>
      </c>
      <c r="C583" s="13" t="n">
        <f aca="false">IF(Szenarien!$H$9="OK",(IFERROR(SUMIF(Nutzungsprofile!$B$6:$B$11,"Schulbetrieb",Nutzungsprofile!$G$6:$G$11)*Kalender!C217/SUM(Kalender!$C$5:$C$370),0)+IFERROR(SUMIF(Nutzungsprofile!$B$6:$B$11,"Halle",Nutzungsprofile!$G$6:$G$11)*Kalender!D217/SUM(Kalender!$D$5:$D$370),0)+IFERROR(SUMIF(Nutzungsprofile!$B$6:$B$11,"Individuell",Nutzungsprofile!$G$6:$G$11)*Kalender!E217/SUM(Kalender!$E$5:$E$370),0))*Szenarien!$E$9,0)</f>
        <v>2.04</v>
      </c>
      <c r="D583" s="13" t="n">
        <f aca="false">IF(Szenarien!$H$9="OK",(IFERROR(SUMIF(Nutzungsprofile!$B$17:$B$22,"Schulbetrieb",Nutzungsprofile!$G$17:$G$22)*Kalender!C217/SUM(Kalender!$C$5:$C$370),0)+IFERROR(SUMIF(Nutzungsprofile!$B$17:$B$22,"Halle",Nutzungsprofile!$G$17:$G$22)*Kalender!D217/SUM(Kalender!$D$5:$D$370),0)+IFERROR(SUMIF(Nutzungsprofile!$B$17:$B$22,"Individuell",Nutzungsprofile!$G$17:$G$22)*Kalender!E217/SUM(Kalender!$E$5:$E$370),0))*Szenarien!$D$9,0)</f>
        <v>0.89</v>
      </c>
      <c r="E583" s="13" t="n">
        <f aca="false">IFERROR(MIN(C583,Eingaben!$B$17)*Eingaben!$B$16,0)</f>
        <v>1.938</v>
      </c>
      <c r="F583" s="13" t="n">
        <f aca="false">IFERROR(E583*Eingaben!$B$15,0)</f>
        <v>1.7442</v>
      </c>
      <c r="G583" s="13" t="n">
        <f aca="false">IFERROR(IF(Kalender!A217="",0,J582*(1-Eingaben!$B$20)),0)</f>
        <v>1.709316</v>
      </c>
      <c r="H583" s="13" t="n">
        <f aca="false">MIN(G583,D583)</f>
        <v>0.89</v>
      </c>
      <c r="I583" s="13" t="n">
        <f aca="false">IFERROR(MIN(F583*Eingaben!$B$19,MAX(0,D583-H583)),0)</f>
        <v>0</v>
      </c>
      <c r="J583" s="13" t="n">
        <f aca="false">IFERROR(MIN(Eingaben!$B$18,MAX(0,F583-I583)),0)</f>
        <v>1.7442</v>
      </c>
      <c r="K583" s="13" t="n">
        <f aca="false">H583+I583</f>
        <v>0.89</v>
      </c>
      <c r="L583" s="13" t="n">
        <f aca="false">MAX(0,D583-K583)</f>
        <v>0</v>
      </c>
      <c r="M583" s="13" t="n">
        <f aca="false">MAX(0,F583-I583-J583)</f>
        <v>0</v>
      </c>
      <c r="N583" s="13" t="n">
        <f aca="false">IF(Kalender!A217="",0,J582-H583)</f>
        <v>0.8542</v>
      </c>
    </row>
    <row r="584" customFormat="false" ht="16.4" hidden="false" customHeight="false" outlineLevel="0" collapsed="false">
      <c r="A584" s="13" t="str">
        <f aca="false">""</f>
        <v/>
      </c>
      <c r="B584" s="13" t="n">
        <f aca="false">214</f>
        <v>214</v>
      </c>
      <c r="C584" s="13" t="n">
        <f aca="false">IF(Szenarien!$H$9="OK",(IFERROR(SUMIF(Nutzungsprofile!$B$6:$B$11,"Schulbetrieb",Nutzungsprofile!$G$6:$G$11)*Kalender!C218/SUM(Kalender!$C$5:$C$370),0)+IFERROR(SUMIF(Nutzungsprofile!$B$6:$B$11,"Halle",Nutzungsprofile!$G$6:$G$11)*Kalender!D218/SUM(Kalender!$D$5:$D$370),0)+IFERROR(SUMIF(Nutzungsprofile!$B$6:$B$11,"Individuell",Nutzungsprofile!$G$6:$G$11)*Kalender!E218/SUM(Kalender!$E$5:$E$370),0))*Szenarien!$E$9,0)</f>
        <v>2.04</v>
      </c>
      <c r="D584" s="13" t="n">
        <f aca="false">IF(Szenarien!$H$9="OK",(IFERROR(SUMIF(Nutzungsprofile!$B$17:$B$22,"Schulbetrieb",Nutzungsprofile!$G$17:$G$22)*Kalender!C218/SUM(Kalender!$C$5:$C$370),0)+IFERROR(SUMIF(Nutzungsprofile!$B$17:$B$22,"Halle",Nutzungsprofile!$G$17:$G$22)*Kalender!D218/SUM(Kalender!$D$5:$D$370),0)+IFERROR(SUMIF(Nutzungsprofile!$B$17:$B$22,"Individuell",Nutzungsprofile!$G$17:$G$22)*Kalender!E218/SUM(Kalender!$E$5:$E$370),0))*Szenarien!$D$9,0)</f>
        <v>0.89</v>
      </c>
      <c r="E584" s="13" t="n">
        <f aca="false">IFERROR(MIN(C584,Eingaben!$B$17)*Eingaben!$B$16,0)</f>
        <v>1.938</v>
      </c>
      <c r="F584" s="13" t="n">
        <f aca="false">IFERROR(E584*Eingaben!$B$15,0)</f>
        <v>1.7442</v>
      </c>
      <c r="G584" s="13" t="n">
        <f aca="false">IFERROR(IF(Kalender!A218="",0,J583*(1-Eingaben!$B$20)),0)</f>
        <v>1.709316</v>
      </c>
      <c r="H584" s="13" t="n">
        <f aca="false">MIN(G584,D584)</f>
        <v>0.89</v>
      </c>
      <c r="I584" s="13" t="n">
        <f aca="false">IFERROR(MIN(F584*Eingaben!$B$19,MAX(0,D584-H584)),0)</f>
        <v>0</v>
      </c>
      <c r="J584" s="13" t="n">
        <f aca="false">IFERROR(MIN(Eingaben!$B$18,MAX(0,F584-I584)),0)</f>
        <v>1.7442</v>
      </c>
      <c r="K584" s="13" t="n">
        <f aca="false">H584+I584</f>
        <v>0.89</v>
      </c>
      <c r="L584" s="13" t="n">
        <f aca="false">MAX(0,D584-K584)</f>
        <v>0</v>
      </c>
      <c r="M584" s="13" t="n">
        <f aca="false">MAX(0,F584-I584-J584)</f>
        <v>0</v>
      </c>
      <c r="N584" s="13" t="n">
        <f aca="false">IF(Kalender!A218="",0,J583-H584)</f>
        <v>0.8542</v>
      </c>
    </row>
    <row r="585" customFormat="false" ht="16.4" hidden="false" customHeight="false" outlineLevel="0" collapsed="false">
      <c r="A585" s="13" t="str">
        <f aca="false">""</f>
        <v/>
      </c>
      <c r="B585" s="13" t="n">
        <f aca="false">215</f>
        <v>215</v>
      </c>
      <c r="C585" s="13" t="n">
        <f aca="false">IF(Szenarien!$H$9="OK",(IFERROR(SUMIF(Nutzungsprofile!$B$6:$B$11,"Schulbetrieb",Nutzungsprofile!$G$6:$G$11)*Kalender!C219/SUM(Kalender!$C$5:$C$370),0)+IFERROR(SUMIF(Nutzungsprofile!$B$6:$B$11,"Halle",Nutzungsprofile!$G$6:$G$11)*Kalender!D219/SUM(Kalender!$D$5:$D$370),0)+IFERROR(SUMIF(Nutzungsprofile!$B$6:$B$11,"Individuell",Nutzungsprofile!$G$6:$G$11)*Kalender!E219/SUM(Kalender!$E$5:$E$370),0))*Szenarien!$E$9,0)</f>
        <v>2.04</v>
      </c>
      <c r="D585" s="13" t="n">
        <f aca="false">IF(Szenarien!$H$9="OK",(IFERROR(SUMIF(Nutzungsprofile!$B$17:$B$22,"Schulbetrieb",Nutzungsprofile!$G$17:$G$22)*Kalender!C219/SUM(Kalender!$C$5:$C$370),0)+IFERROR(SUMIF(Nutzungsprofile!$B$17:$B$22,"Halle",Nutzungsprofile!$G$17:$G$22)*Kalender!D219/SUM(Kalender!$D$5:$D$370),0)+IFERROR(SUMIF(Nutzungsprofile!$B$17:$B$22,"Individuell",Nutzungsprofile!$G$17:$G$22)*Kalender!E219/SUM(Kalender!$E$5:$E$370),0))*Szenarien!$D$9,0)</f>
        <v>0.89</v>
      </c>
      <c r="E585" s="13" t="n">
        <f aca="false">IFERROR(MIN(C585,Eingaben!$B$17)*Eingaben!$B$16,0)</f>
        <v>1.938</v>
      </c>
      <c r="F585" s="13" t="n">
        <f aca="false">IFERROR(E585*Eingaben!$B$15,0)</f>
        <v>1.7442</v>
      </c>
      <c r="G585" s="13" t="n">
        <f aca="false">IFERROR(IF(Kalender!A219="",0,J584*(1-Eingaben!$B$20)),0)</f>
        <v>1.709316</v>
      </c>
      <c r="H585" s="13" t="n">
        <f aca="false">MIN(G585,D585)</f>
        <v>0.89</v>
      </c>
      <c r="I585" s="13" t="n">
        <f aca="false">IFERROR(MIN(F585*Eingaben!$B$19,MAX(0,D585-H585)),0)</f>
        <v>0</v>
      </c>
      <c r="J585" s="13" t="n">
        <f aca="false">IFERROR(MIN(Eingaben!$B$18,MAX(0,F585-I585)),0)</f>
        <v>1.7442</v>
      </c>
      <c r="K585" s="13" t="n">
        <f aca="false">H585+I585</f>
        <v>0.89</v>
      </c>
      <c r="L585" s="13" t="n">
        <f aca="false">MAX(0,D585-K585)</f>
        <v>0</v>
      </c>
      <c r="M585" s="13" t="n">
        <f aca="false">MAX(0,F585-I585-J585)</f>
        <v>0</v>
      </c>
      <c r="N585" s="13" t="n">
        <f aca="false">IF(Kalender!A219="",0,J584-H585)</f>
        <v>0.8542</v>
      </c>
    </row>
    <row r="586" customFormat="false" ht="16.4" hidden="false" customHeight="false" outlineLevel="0" collapsed="false">
      <c r="A586" s="13" t="str">
        <f aca="false">""</f>
        <v/>
      </c>
      <c r="B586" s="13" t="n">
        <f aca="false">216</f>
        <v>216</v>
      </c>
      <c r="C586" s="13" t="n">
        <f aca="false">IF(Szenarien!$H$9="OK",(IFERROR(SUMIF(Nutzungsprofile!$B$6:$B$11,"Schulbetrieb",Nutzungsprofile!$G$6:$G$11)*Kalender!C220/SUM(Kalender!$C$5:$C$370),0)+IFERROR(SUMIF(Nutzungsprofile!$B$6:$B$11,"Halle",Nutzungsprofile!$G$6:$G$11)*Kalender!D220/SUM(Kalender!$D$5:$D$370),0)+IFERROR(SUMIF(Nutzungsprofile!$B$6:$B$11,"Individuell",Nutzungsprofile!$G$6:$G$11)*Kalender!E220/SUM(Kalender!$E$5:$E$370),0))*Szenarien!$E$9,0)</f>
        <v>2.04</v>
      </c>
      <c r="D586" s="13" t="n">
        <f aca="false">IF(Szenarien!$H$9="OK",(IFERROR(SUMIF(Nutzungsprofile!$B$17:$B$22,"Schulbetrieb",Nutzungsprofile!$G$17:$G$22)*Kalender!C220/SUM(Kalender!$C$5:$C$370),0)+IFERROR(SUMIF(Nutzungsprofile!$B$17:$B$22,"Halle",Nutzungsprofile!$G$17:$G$22)*Kalender!D220/SUM(Kalender!$D$5:$D$370),0)+IFERROR(SUMIF(Nutzungsprofile!$B$17:$B$22,"Individuell",Nutzungsprofile!$G$17:$G$22)*Kalender!E220/SUM(Kalender!$E$5:$E$370),0))*Szenarien!$D$9,0)</f>
        <v>0.89</v>
      </c>
      <c r="E586" s="13" t="n">
        <f aca="false">IFERROR(MIN(C586,Eingaben!$B$17)*Eingaben!$B$16,0)</f>
        <v>1.938</v>
      </c>
      <c r="F586" s="13" t="n">
        <f aca="false">IFERROR(E586*Eingaben!$B$15,0)</f>
        <v>1.7442</v>
      </c>
      <c r="G586" s="13" t="n">
        <f aca="false">IFERROR(IF(Kalender!A220="",0,J585*(1-Eingaben!$B$20)),0)</f>
        <v>1.709316</v>
      </c>
      <c r="H586" s="13" t="n">
        <f aca="false">MIN(G586,D586)</f>
        <v>0.89</v>
      </c>
      <c r="I586" s="13" t="n">
        <f aca="false">IFERROR(MIN(F586*Eingaben!$B$19,MAX(0,D586-H586)),0)</f>
        <v>0</v>
      </c>
      <c r="J586" s="13" t="n">
        <f aca="false">IFERROR(MIN(Eingaben!$B$18,MAX(0,F586-I586)),0)</f>
        <v>1.7442</v>
      </c>
      <c r="K586" s="13" t="n">
        <f aca="false">H586+I586</f>
        <v>0.89</v>
      </c>
      <c r="L586" s="13" t="n">
        <f aca="false">MAX(0,D586-K586)</f>
        <v>0</v>
      </c>
      <c r="M586" s="13" t="n">
        <f aca="false">MAX(0,F586-I586-J586)</f>
        <v>0</v>
      </c>
      <c r="N586" s="13" t="n">
        <f aca="false">IF(Kalender!A220="",0,J585-H586)</f>
        <v>0.8542</v>
      </c>
    </row>
    <row r="587" customFormat="false" ht="16.4" hidden="false" customHeight="false" outlineLevel="0" collapsed="false">
      <c r="A587" s="13" t="str">
        <f aca="false">""</f>
        <v/>
      </c>
      <c r="B587" s="13" t="n">
        <f aca="false">217</f>
        <v>217</v>
      </c>
      <c r="C587" s="13" t="n">
        <f aca="false">IF(Szenarien!$H$9="OK",(IFERROR(SUMIF(Nutzungsprofile!$B$6:$B$11,"Schulbetrieb",Nutzungsprofile!$G$6:$G$11)*Kalender!C221/SUM(Kalender!$C$5:$C$370),0)+IFERROR(SUMIF(Nutzungsprofile!$B$6:$B$11,"Halle",Nutzungsprofile!$G$6:$G$11)*Kalender!D221/SUM(Kalender!$D$5:$D$370),0)+IFERROR(SUMIF(Nutzungsprofile!$B$6:$B$11,"Individuell",Nutzungsprofile!$G$6:$G$11)*Kalender!E221/SUM(Kalender!$E$5:$E$370),0))*Szenarien!$E$9,0)</f>
        <v>2.04</v>
      </c>
      <c r="D587" s="13" t="n">
        <f aca="false">IF(Szenarien!$H$9="OK",(IFERROR(SUMIF(Nutzungsprofile!$B$17:$B$22,"Schulbetrieb",Nutzungsprofile!$G$17:$G$22)*Kalender!C221/SUM(Kalender!$C$5:$C$370),0)+IFERROR(SUMIF(Nutzungsprofile!$B$17:$B$22,"Halle",Nutzungsprofile!$G$17:$G$22)*Kalender!D221/SUM(Kalender!$D$5:$D$370),0)+IFERROR(SUMIF(Nutzungsprofile!$B$17:$B$22,"Individuell",Nutzungsprofile!$G$17:$G$22)*Kalender!E221/SUM(Kalender!$E$5:$E$370),0))*Szenarien!$D$9,0)</f>
        <v>0.89</v>
      </c>
      <c r="E587" s="13" t="n">
        <f aca="false">IFERROR(MIN(C587,Eingaben!$B$17)*Eingaben!$B$16,0)</f>
        <v>1.938</v>
      </c>
      <c r="F587" s="13" t="n">
        <f aca="false">IFERROR(E587*Eingaben!$B$15,0)</f>
        <v>1.7442</v>
      </c>
      <c r="G587" s="13" t="n">
        <f aca="false">IFERROR(IF(Kalender!A221="",0,J586*(1-Eingaben!$B$20)),0)</f>
        <v>1.709316</v>
      </c>
      <c r="H587" s="13" t="n">
        <f aca="false">MIN(G587,D587)</f>
        <v>0.89</v>
      </c>
      <c r="I587" s="13" t="n">
        <f aca="false">IFERROR(MIN(F587*Eingaben!$B$19,MAX(0,D587-H587)),0)</f>
        <v>0</v>
      </c>
      <c r="J587" s="13" t="n">
        <f aca="false">IFERROR(MIN(Eingaben!$B$18,MAX(0,F587-I587)),0)</f>
        <v>1.7442</v>
      </c>
      <c r="K587" s="13" t="n">
        <f aca="false">H587+I587</f>
        <v>0.89</v>
      </c>
      <c r="L587" s="13" t="n">
        <f aca="false">MAX(0,D587-K587)</f>
        <v>0</v>
      </c>
      <c r="M587" s="13" t="n">
        <f aca="false">MAX(0,F587-I587-J587)</f>
        <v>0</v>
      </c>
      <c r="N587" s="13" t="n">
        <f aca="false">IF(Kalender!A221="",0,J586-H587)</f>
        <v>0.8542</v>
      </c>
    </row>
    <row r="588" customFormat="false" ht="16.4" hidden="false" customHeight="false" outlineLevel="0" collapsed="false">
      <c r="A588" s="13" t="str">
        <f aca="false">""</f>
        <v/>
      </c>
      <c r="B588" s="13" t="n">
        <f aca="false">218</f>
        <v>218</v>
      </c>
      <c r="C588" s="13" t="n">
        <f aca="false">IF(Szenarien!$H$9="OK",(IFERROR(SUMIF(Nutzungsprofile!$B$6:$B$11,"Schulbetrieb",Nutzungsprofile!$G$6:$G$11)*Kalender!C222/SUM(Kalender!$C$5:$C$370),0)+IFERROR(SUMIF(Nutzungsprofile!$B$6:$B$11,"Halle",Nutzungsprofile!$G$6:$G$11)*Kalender!D222/SUM(Kalender!$D$5:$D$370),0)+IFERROR(SUMIF(Nutzungsprofile!$B$6:$B$11,"Individuell",Nutzungsprofile!$G$6:$G$11)*Kalender!E222/SUM(Kalender!$E$5:$E$370),0))*Szenarien!$E$9,0)</f>
        <v>2.04</v>
      </c>
      <c r="D588" s="13" t="n">
        <f aca="false">IF(Szenarien!$H$9="OK",(IFERROR(SUMIF(Nutzungsprofile!$B$17:$B$22,"Schulbetrieb",Nutzungsprofile!$G$17:$G$22)*Kalender!C222/SUM(Kalender!$C$5:$C$370),0)+IFERROR(SUMIF(Nutzungsprofile!$B$17:$B$22,"Halle",Nutzungsprofile!$G$17:$G$22)*Kalender!D222/SUM(Kalender!$D$5:$D$370),0)+IFERROR(SUMIF(Nutzungsprofile!$B$17:$B$22,"Individuell",Nutzungsprofile!$G$17:$G$22)*Kalender!E222/SUM(Kalender!$E$5:$E$370),0))*Szenarien!$D$9,0)</f>
        <v>0.89</v>
      </c>
      <c r="E588" s="13" t="n">
        <f aca="false">IFERROR(MIN(C588,Eingaben!$B$17)*Eingaben!$B$16,0)</f>
        <v>1.938</v>
      </c>
      <c r="F588" s="13" t="n">
        <f aca="false">IFERROR(E588*Eingaben!$B$15,0)</f>
        <v>1.7442</v>
      </c>
      <c r="G588" s="13" t="n">
        <f aca="false">IFERROR(IF(Kalender!A222="",0,J587*(1-Eingaben!$B$20)),0)</f>
        <v>1.709316</v>
      </c>
      <c r="H588" s="13" t="n">
        <f aca="false">MIN(G588,D588)</f>
        <v>0.89</v>
      </c>
      <c r="I588" s="13" t="n">
        <f aca="false">IFERROR(MIN(F588*Eingaben!$B$19,MAX(0,D588-H588)),0)</f>
        <v>0</v>
      </c>
      <c r="J588" s="13" t="n">
        <f aca="false">IFERROR(MIN(Eingaben!$B$18,MAX(0,F588-I588)),0)</f>
        <v>1.7442</v>
      </c>
      <c r="K588" s="13" t="n">
        <f aca="false">H588+I588</f>
        <v>0.89</v>
      </c>
      <c r="L588" s="13" t="n">
        <f aca="false">MAX(0,D588-K588)</f>
        <v>0</v>
      </c>
      <c r="M588" s="13" t="n">
        <f aca="false">MAX(0,F588-I588-J588)</f>
        <v>0</v>
      </c>
      <c r="N588" s="13" t="n">
        <f aca="false">IF(Kalender!A222="",0,J587-H588)</f>
        <v>0.8542</v>
      </c>
    </row>
    <row r="589" customFormat="false" ht="16.4" hidden="false" customHeight="false" outlineLevel="0" collapsed="false">
      <c r="A589" s="13" t="str">
        <f aca="false">""</f>
        <v/>
      </c>
      <c r="B589" s="13" t="n">
        <f aca="false">219</f>
        <v>219</v>
      </c>
      <c r="C589" s="13" t="n">
        <f aca="false">IF(Szenarien!$H$9="OK",(IFERROR(SUMIF(Nutzungsprofile!$B$6:$B$11,"Schulbetrieb",Nutzungsprofile!$G$6:$G$11)*Kalender!C223/SUM(Kalender!$C$5:$C$370),0)+IFERROR(SUMIF(Nutzungsprofile!$B$6:$B$11,"Halle",Nutzungsprofile!$G$6:$G$11)*Kalender!D223/SUM(Kalender!$D$5:$D$370),0)+IFERROR(SUMIF(Nutzungsprofile!$B$6:$B$11,"Individuell",Nutzungsprofile!$G$6:$G$11)*Kalender!E223/SUM(Kalender!$E$5:$E$370),0))*Szenarien!$E$9,0)</f>
        <v>2.04</v>
      </c>
      <c r="D589" s="13" t="n">
        <f aca="false">IF(Szenarien!$H$9="OK",(IFERROR(SUMIF(Nutzungsprofile!$B$17:$B$22,"Schulbetrieb",Nutzungsprofile!$G$17:$G$22)*Kalender!C223/SUM(Kalender!$C$5:$C$370),0)+IFERROR(SUMIF(Nutzungsprofile!$B$17:$B$22,"Halle",Nutzungsprofile!$G$17:$G$22)*Kalender!D223/SUM(Kalender!$D$5:$D$370),0)+IFERROR(SUMIF(Nutzungsprofile!$B$17:$B$22,"Individuell",Nutzungsprofile!$G$17:$G$22)*Kalender!E223/SUM(Kalender!$E$5:$E$370),0))*Szenarien!$D$9,0)</f>
        <v>0.89</v>
      </c>
      <c r="E589" s="13" t="n">
        <f aca="false">IFERROR(MIN(C589,Eingaben!$B$17)*Eingaben!$B$16,0)</f>
        <v>1.938</v>
      </c>
      <c r="F589" s="13" t="n">
        <f aca="false">IFERROR(E589*Eingaben!$B$15,0)</f>
        <v>1.7442</v>
      </c>
      <c r="G589" s="13" t="n">
        <f aca="false">IFERROR(IF(Kalender!A223="",0,J588*(1-Eingaben!$B$20)),0)</f>
        <v>1.709316</v>
      </c>
      <c r="H589" s="13" t="n">
        <f aca="false">MIN(G589,D589)</f>
        <v>0.89</v>
      </c>
      <c r="I589" s="13" t="n">
        <f aca="false">IFERROR(MIN(F589*Eingaben!$B$19,MAX(0,D589-H589)),0)</f>
        <v>0</v>
      </c>
      <c r="J589" s="13" t="n">
        <f aca="false">IFERROR(MIN(Eingaben!$B$18,MAX(0,F589-I589)),0)</f>
        <v>1.7442</v>
      </c>
      <c r="K589" s="13" t="n">
        <f aca="false">H589+I589</f>
        <v>0.89</v>
      </c>
      <c r="L589" s="13" t="n">
        <f aca="false">MAX(0,D589-K589)</f>
        <v>0</v>
      </c>
      <c r="M589" s="13" t="n">
        <f aca="false">MAX(0,F589-I589-J589)</f>
        <v>0</v>
      </c>
      <c r="N589" s="13" t="n">
        <f aca="false">IF(Kalender!A223="",0,J588-H589)</f>
        <v>0.8542</v>
      </c>
    </row>
    <row r="590" customFormat="false" ht="16.4" hidden="false" customHeight="false" outlineLevel="0" collapsed="false">
      <c r="A590" s="13" t="str">
        <f aca="false">""</f>
        <v/>
      </c>
      <c r="B590" s="13" t="n">
        <f aca="false">220</f>
        <v>220</v>
      </c>
      <c r="C590" s="13" t="n">
        <f aca="false">IF(Szenarien!$H$9="OK",(IFERROR(SUMIF(Nutzungsprofile!$B$6:$B$11,"Schulbetrieb",Nutzungsprofile!$G$6:$G$11)*Kalender!C224/SUM(Kalender!$C$5:$C$370),0)+IFERROR(SUMIF(Nutzungsprofile!$B$6:$B$11,"Halle",Nutzungsprofile!$G$6:$G$11)*Kalender!D224/SUM(Kalender!$D$5:$D$370),0)+IFERROR(SUMIF(Nutzungsprofile!$B$6:$B$11,"Individuell",Nutzungsprofile!$G$6:$G$11)*Kalender!E224/SUM(Kalender!$E$5:$E$370),0))*Szenarien!$E$9,0)</f>
        <v>2.04</v>
      </c>
      <c r="D590" s="13" t="n">
        <f aca="false">IF(Szenarien!$H$9="OK",(IFERROR(SUMIF(Nutzungsprofile!$B$17:$B$22,"Schulbetrieb",Nutzungsprofile!$G$17:$G$22)*Kalender!C224/SUM(Kalender!$C$5:$C$370),0)+IFERROR(SUMIF(Nutzungsprofile!$B$17:$B$22,"Halle",Nutzungsprofile!$G$17:$G$22)*Kalender!D224/SUM(Kalender!$D$5:$D$370),0)+IFERROR(SUMIF(Nutzungsprofile!$B$17:$B$22,"Individuell",Nutzungsprofile!$G$17:$G$22)*Kalender!E224/SUM(Kalender!$E$5:$E$370),0))*Szenarien!$D$9,0)</f>
        <v>0.89</v>
      </c>
      <c r="E590" s="13" t="n">
        <f aca="false">IFERROR(MIN(C590,Eingaben!$B$17)*Eingaben!$B$16,0)</f>
        <v>1.938</v>
      </c>
      <c r="F590" s="13" t="n">
        <f aca="false">IFERROR(E590*Eingaben!$B$15,0)</f>
        <v>1.7442</v>
      </c>
      <c r="G590" s="13" t="n">
        <f aca="false">IFERROR(IF(Kalender!A224="",0,J589*(1-Eingaben!$B$20)),0)</f>
        <v>1.709316</v>
      </c>
      <c r="H590" s="13" t="n">
        <f aca="false">MIN(G590,D590)</f>
        <v>0.89</v>
      </c>
      <c r="I590" s="13" t="n">
        <f aca="false">IFERROR(MIN(F590*Eingaben!$B$19,MAX(0,D590-H590)),0)</f>
        <v>0</v>
      </c>
      <c r="J590" s="13" t="n">
        <f aca="false">IFERROR(MIN(Eingaben!$B$18,MAX(0,F590-I590)),0)</f>
        <v>1.7442</v>
      </c>
      <c r="K590" s="13" t="n">
        <f aca="false">H590+I590</f>
        <v>0.89</v>
      </c>
      <c r="L590" s="13" t="n">
        <f aca="false">MAX(0,D590-K590)</f>
        <v>0</v>
      </c>
      <c r="M590" s="13" t="n">
        <f aca="false">MAX(0,F590-I590-J590)</f>
        <v>0</v>
      </c>
      <c r="N590" s="13" t="n">
        <f aca="false">IF(Kalender!A224="",0,J589-H590)</f>
        <v>0.8542</v>
      </c>
    </row>
    <row r="591" customFormat="false" ht="16.4" hidden="false" customHeight="false" outlineLevel="0" collapsed="false">
      <c r="A591" s="13" t="str">
        <f aca="false">""</f>
        <v/>
      </c>
      <c r="B591" s="13" t="n">
        <f aca="false">221</f>
        <v>221</v>
      </c>
      <c r="C591" s="13" t="n">
        <f aca="false">IF(Szenarien!$H$9="OK",(IFERROR(SUMIF(Nutzungsprofile!$B$6:$B$11,"Schulbetrieb",Nutzungsprofile!$G$6:$G$11)*Kalender!C225/SUM(Kalender!$C$5:$C$370),0)+IFERROR(SUMIF(Nutzungsprofile!$B$6:$B$11,"Halle",Nutzungsprofile!$G$6:$G$11)*Kalender!D225/SUM(Kalender!$D$5:$D$370),0)+IFERROR(SUMIF(Nutzungsprofile!$B$6:$B$11,"Individuell",Nutzungsprofile!$G$6:$G$11)*Kalender!E225/SUM(Kalender!$E$5:$E$370),0))*Szenarien!$E$9,0)</f>
        <v>2.04</v>
      </c>
      <c r="D591" s="13" t="n">
        <f aca="false">IF(Szenarien!$H$9="OK",(IFERROR(SUMIF(Nutzungsprofile!$B$17:$B$22,"Schulbetrieb",Nutzungsprofile!$G$17:$G$22)*Kalender!C225/SUM(Kalender!$C$5:$C$370),0)+IFERROR(SUMIF(Nutzungsprofile!$B$17:$B$22,"Halle",Nutzungsprofile!$G$17:$G$22)*Kalender!D225/SUM(Kalender!$D$5:$D$370),0)+IFERROR(SUMIF(Nutzungsprofile!$B$17:$B$22,"Individuell",Nutzungsprofile!$G$17:$G$22)*Kalender!E225/SUM(Kalender!$E$5:$E$370),0))*Szenarien!$D$9,0)</f>
        <v>0.89</v>
      </c>
      <c r="E591" s="13" t="n">
        <f aca="false">IFERROR(MIN(C591,Eingaben!$B$17)*Eingaben!$B$16,0)</f>
        <v>1.938</v>
      </c>
      <c r="F591" s="13" t="n">
        <f aca="false">IFERROR(E591*Eingaben!$B$15,0)</f>
        <v>1.7442</v>
      </c>
      <c r="G591" s="13" t="n">
        <f aca="false">IFERROR(IF(Kalender!A225="",0,J590*(1-Eingaben!$B$20)),0)</f>
        <v>1.709316</v>
      </c>
      <c r="H591" s="13" t="n">
        <f aca="false">MIN(G591,D591)</f>
        <v>0.89</v>
      </c>
      <c r="I591" s="13" t="n">
        <f aca="false">IFERROR(MIN(F591*Eingaben!$B$19,MAX(0,D591-H591)),0)</f>
        <v>0</v>
      </c>
      <c r="J591" s="13" t="n">
        <f aca="false">IFERROR(MIN(Eingaben!$B$18,MAX(0,F591-I591)),0)</f>
        <v>1.7442</v>
      </c>
      <c r="K591" s="13" t="n">
        <f aca="false">H591+I591</f>
        <v>0.89</v>
      </c>
      <c r="L591" s="13" t="n">
        <f aca="false">MAX(0,D591-K591)</f>
        <v>0</v>
      </c>
      <c r="M591" s="13" t="n">
        <f aca="false">MAX(0,F591-I591-J591)</f>
        <v>0</v>
      </c>
      <c r="N591" s="13" t="n">
        <f aca="false">IF(Kalender!A225="",0,J590-H591)</f>
        <v>0.8542</v>
      </c>
    </row>
    <row r="592" customFormat="false" ht="16.4" hidden="false" customHeight="false" outlineLevel="0" collapsed="false">
      <c r="A592" s="13" t="str">
        <f aca="false">""</f>
        <v/>
      </c>
      <c r="B592" s="13" t="n">
        <f aca="false">222</f>
        <v>222</v>
      </c>
      <c r="C592" s="13" t="n">
        <f aca="false">IF(Szenarien!$H$9="OK",(IFERROR(SUMIF(Nutzungsprofile!$B$6:$B$11,"Schulbetrieb",Nutzungsprofile!$G$6:$G$11)*Kalender!C226/SUM(Kalender!$C$5:$C$370),0)+IFERROR(SUMIF(Nutzungsprofile!$B$6:$B$11,"Halle",Nutzungsprofile!$G$6:$G$11)*Kalender!D226/SUM(Kalender!$D$5:$D$370),0)+IFERROR(SUMIF(Nutzungsprofile!$B$6:$B$11,"Individuell",Nutzungsprofile!$G$6:$G$11)*Kalender!E226/SUM(Kalender!$E$5:$E$370),0))*Szenarien!$E$9,0)</f>
        <v>2.04</v>
      </c>
      <c r="D592" s="13" t="n">
        <f aca="false">IF(Szenarien!$H$9="OK",(IFERROR(SUMIF(Nutzungsprofile!$B$17:$B$22,"Schulbetrieb",Nutzungsprofile!$G$17:$G$22)*Kalender!C226/SUM(Kalender!$C$5:$C$370),0)+IFERROR(SUMIF(Nutzungsprofile!$B$17:$B$22,"Halle",Nutzungsprofile!$G$17:$G$22)*Kalender!D226/SUM(Kalender!$D$5:$D$370),0)+IFERROR(SUMIF(Nutzungsprofile!$B$17:$B$22,"Individuell",Nutzungsprofile!$G$17:$G$22)*Kalender!E226/SUM(Kalender!$E$5:$E$370),0))*Szenarien!$D$9,0)</f>
        <v>0.89</v>
      </c>
      <c r="E592" s="13" t="n">
        <f aca="false">IFERROR(MIN(C592,Eingaben!$B$17)*Eingaben!$B$16,0)</f>
        <v>1.938</v>
      </c>
      <c r="F592" s="13" t="n">
        <f aca="false">IFERROR(E592*Eingaben!$B$15,0)</f>
        <v>1.7442</v>
      </c>
      <c r="G592" s="13" t="n">
        <f aca="false">IFERROR(IF(Kalender!A226="",0,J591*(1-Eingaben!$B$20)),0)</f>
        <v>1.709316</v>
      </c>
      <c r="H592" s="13" t="n">
        <f aca="false">MIN(G592,D592)</f>
        <v>0.89</v>
      </c>
      <c r="I592" s="13" t="n">
        <f aca="false">IFERROR(MIN(F592*Eingaben!$B$19,MAX(0,D592-H592)),0)</f>
        <v>0</v>
      </c>
      <c r="J592" s="13" t="n">
        <f aca="false">IFERROR(MIN(Eingaben!$B$18,MAX(0,F592-I592)),0)</f>
        <v>1.7442</v>
      </c>
      <c r="K592" s="13" t="n">
        <f aca="false">H592+I592</f>
        <v>0.89</v>
      </c>
      <c r="L592" s="13" t="n">
        <f aca="false">MAX(0,D592-K592)</f>
        <v>0</v>
      </c>
      <c r="M592" s="13" t="n">
        <f aca="false">MAX(0,F592-I592-J592)</f>
        <v>0</v>
      </c>
      <c r="N592" s="13" t="n">
        <f aca="false">IF(Kalender!A226="",0,J591-H592)</f>
        <v>0.8542</v>
      </c>
    </row>
    <row r="593" customFormat="false" ht="16.4" hidden="false" customHeight="false" outlineLevel="0" collapsed="false">
      <c r="A593" s="13" t="str">
        <f aca="false">""</f>
        <v/>
      </c>
      <c r="B593" s="13" t="n">
        <f aca="false">223</f>
        <v>223</v>
      </c>
      <c r="C593" s="13" t="n">
        <f aca="false">IF(Szenarien!$H$9="OK",(IFERROR(SUMIF(Nutzungsprofile!$B$6:$B$11,"Schulbetrieb",Nutzungsprofile!$G$6:$G$11)*Kalender!C227/SUM(Kalender!$C$5:$C$370),0)+IFERROR(SUMIF(Nutzungsprofile!$B$6:$B$11,"Halle",Nutzungsprofile!$G$6:$G$11)*Kalender!D227/SUM(Kalender!$D$5:$D$370),0)+IFERROR(SUMIF(Nutzungsprofile!$B$6:$B$11,"Individuell",Nutzungsprofile!$G$6:$G$11)*Kalender!E227/SUM(Kalender!$E$5:$E$370),0))*Szenarien!$E$9,0)</f>
        <v>2.04</v>
      </c>
      <c r="D593" s="13" t="n">
        <f aca="false">IF(Szenarien!$H$9="OK",(IFERROR(SUMIF(Nutzungsprofile!$B$17:$B$22,"Schulbetrieb",Nutzungsprofile!$G$17:$G$22)*Kalender!C227/SUM(Kalender!$C$5:$C$370),0)+IFERROR(SUMIF(Nutzungsprofile!$B$17:$B$22,"Halle",Nutzungsprofile!$G$17:$G$22)*Kalender!D227/SUM(Kalender!$D$5:$D$370),0)+IFERROR(SUMIF(Nutzungsprofile!$B$17:$B$22,"Individuell",Nutzungsprofile!$G$17:$G$22)*Kalender!E227/SUM(Kalender!$E$5:$E$370),0))*Szenarien!$D$9,0)</f>
        <v>0.89</v>
      </c>
      <c r="E593" s="13" t="n">
        <f aca="false">IFERROR(MIN(C593,Eingaben!$B$17)*Eingaben!$B$16,0)</f>
        <v>1.938</v>
      </c>
      <c r="F593" s="13" t="n">
        <f aca="false">IFERROR(E593*Eingaben!$B$15,0)</f>
        <v>1.7442</v>
      </c>
      <c r="G593" s="13" t="n">
        <f aca="false">IFERROR(IF(Kalender!A227="",0,J592*(1-Eingaben!$B$20)),0)</f>
        <v>1.709316</v>
      </c>
      <c r="H593" s="13" t="n">
        <f aca="false">MIN(G593,D593)</f>
        <v>0.89</v>
      </c>
      <c r="I593" s="13" t="n">
        <f aca="false">IFERROR(MIN(F593*Eingaben!$B$19,MAX(0,D593-H593)),0)</f>
        <v>0</v>
      </c>
      <c r="J593" s="13" t="n">
        <f aca="false">IFERROR(MIN(Eingaben!$B$18,MAX(0,F593-I593)),0)</f>
        <v>1.7442</v>
      </c>
      <c r="K593" s="13" t="n">
        <f aca="false">H593+I593</f>
        <v>0.89</v>
      </c>
      <c r="L593" s="13" t="n">
        <f aca="false">MAX(0,D593-K593)</f>
        <v>0</v>
      </c>
      <c r="M593" s="13" t="n">
        <f aca="false">MAX(0,F593-I593-J593)</f>
        <v>0</v>
      </c>
      <c r="N593" s="13" t="n">
        <f aca="false">IF(Kalender!A227="",0,J592-H593)</f>
        <v>0.8542</v>
      </c>
    </row>
    <row r="594" customFormat="false" ht="16.4" hidden="false" customHeight="false" outlineLevel="0" collapsed="false">
      <c r="A594" s="13" t="str">
        <f aca="false">""</f>
        <v/>
      </c>
      <c r="B594" s="13" t="n">
        <f aca="false">224</f>
        <v>224</v>
      </c>
      <c r="C594" s="13" t="n">
        <f aca="false">IF(Szenarien!$H$9="OK",(IFERROR(SUMIF(Nutzungsprofile!$B$6:$B$11,"Schulbetrieb",Nutzungsprofile!$G$6:$G$11)*Kalender!C228/SUM(Kalender!$C$5:$C$370),0)+IFERROR(SUMIF(Nutzungsprofile!$B$6:$B$11,"Halle",Nutzungsprofile!$G$6:$G$11)*Kalender!D228/SUM(Kalender!$D$5:$D$370),0)+IFERROR(SUMIF(Nutzungsprofile!$B$6:$B$11,"Individuell",Nutzungsprofile!$G$6:$G$11)*Kalender!E228/SUM(Kalender!$E$5:$E$370),0))*Szenarien!$E$9,0)</f>
        <v>2.04</v>
      </c>
      <c r="D594" s="13" t="n">
        <f aca="false">IF(Szenarien!$H$9="OK",(IFERROR(SUMIF(Nutzungsprofile!$B$17:$B$22,"Schulbetrieb",Nutzungsprofile!$G$17:$G$22)*Kalender!C228/SUM(Kalender!$C$5:$C$370),0)+IFERROR(SUMIF(Nutzungsprofile!$B$17:$B$22,"Halle",Nutzungsprofile!$G$17:$G$22)*Kalender!D228/SUM(Kalender!$D$5:$D$370),0)+IFERROR(SUMIF(Nutzungsprofile!$B$17:$B$22,"Individuell",Nutzungsprofile!$G$17:$G$22)*Kalender!E228/SUM(Kalender!$E$5:$E$370),0))*Szenarien!$D$9,0)</f>
        <v>0.89</v>
      </c>
      <c r="E594" s="13" t="n">
        <f aca="false">IFERROR(MIN(C594,Eingaben!$B$17)*Eingaben!$B$16,0)</f>
        <v>1.938</v>
      </c>
      <c r="F594" s="13" t="n">
        <f aca="false">IFERROR(E594*Eingaben!$B$15,0)</f>
        <v>1.7442</v>
      </c>
      <c r="G594" s="13" t="n">
        <f aca="false">IFERROR(IF(Kalender!A228="",0,J593*(1-Eingaben!$B$20)),0)</f>
        <v>1.709316</v>
      </c>
      <c r="H594" s="13" t="n">
        <f aca="false">MIN(G594,D594)</f>
        <v>0.89</v>
      </c>
      <c r="I594" s="13" t="n">
        <f aca="false">IFERROR(MIN(F594*Eingaben!$B$19,MAX(0,D594-H594)),0)</f>
        <v>0</v>
      </c>
      <c r="J594" s="13" t="n">
        <f aca="false">IFERROR(MIN(Eingaben!$B$18,MAX(0,F594-I594)),0)</f>
        <v>1.7442</v>
      </c>
      <c r="K594" s="13" t="n">
        <f aca="false">H594+I594</f>
        <v>0.89</v>
      </c>
      <c r="L594" s="13" t="n">
        <f aca="false">MAX(0,D594-K594)</f>
        <v>0</v>
      </c>
      <c r="M594" s="13" t="n">
        <f aca="false">MAX(0,F594-I594-J594)</f>
        <v>0</v>
      </c>
      <c r="N594" s="13" t="n">
        <f aca="false">IF(Kalender!A228="",0,J593-H594)</f>
        <v>0.8542</v>
      </c>
    </row>
    <row r="595" customFormat="false" ht="16.4" hidden="false" customHeight="false" outlineLevel="0" collapsed="false">
      <c r="A595" s="13" t="str">
        <f aca="false">""</f>
        <v/>
      </c>
      <c r="B595" s="13" t="n">
        <f aca="false">225</f>
        <v>225</v>
      </c>
      <c r="C595" s="13" t="n">
        <f aca="false">IF(Szenarien!$H$9="OK",(IFERROR(SUMIF(Nutzungsprofile!$B$6:$B$11,"Schulbetrieb",Nutzungsprofile!$G$6:$G$11)*Kalender!C229/SUM(Kalender!$C$5:$C$370),0)+IFERROR(SUMIF(Nutzungsprofile!$B$6:$B$11,"Halle",Nutzungsprofile!$G$6:$G$11)*Kalender!D229/SUM(Kalender!$D$5:$D$370),0)+IFERROR(SUMIF(Nutzungsprofile!$B$6:$B$11,"Individuell",Nutzungsprofile!$G$6:$G$11)*Kalender!E229/SUM(Kalender!$E$5:$E$370),0))*Szenarien!$E$9,0)</f>
        <v>2.04</v>
      </c>
      <c r="D595" s="13" t="n">
        <f aca="false">IF(Szenarien!$H$9="OK",(IFERROR(SUMIF(Nutzungsprofile!$B$17:$B$22,"Schulbetrieb",Nutzungsprofile!$G$17:$G$22)*Kalender!C229/SUM(Kalender!$C$5:$C$370),0)+IFERROR(SUMIF(Nutzungsprofile!$B$17:$B$22,"Halle",Nutzungsprofile!$G$17:$G$22)*Kalender!D229/SUM(Kalender!$D$5:$D$370),0)+IFERROR(SUMIF(Nutzungsprofile!$B$17:$B$22,"Individuell",Nutzungsprofile!$G$17:$G$22)*Kalender!E229/SUM(Kalender!$E$5:$E$370),0))*Szenarien!$D$9,0)</f>
        <v>0.89</v>
      </c>
      <c r="E595" s="13" t="n">
        <f aca="false">IFERROR(MIN(C595,Eingaben!$B$17)*Eingaben!$B$16,0)</f>
        <v>1.938</v>
      </c>
      <c r="F595" s="13" t="n">
        <f aca="false">IFERROR(E595*Eingaben!$B$15,0)</f>
        <v>1.7442</v>
      </c>
      <c r="G595" s="13" t="n">
        <f aca="false">IFERROR(IF(Kalender!A229="",0,J594*(1-Eingaben!$B$20)),0)</f>
        <v>1.709316</v>
      </c>
      <c r="H595" s="13" t="n">
        <f aca="false">MIN(G595,D595)</f>
        <v>0.89</v>
      </c>
      <c r="I595" s="13" t="n">
        <f aca="false">IFERROR(MIN(F595*Eingaben!$B$19,MAX(0,D595-H595)),0)</f>
        <v>0</v>
      </c>
      <c r="J595" s="13" t="n">
        <f aca="false">IFERROR(MIN(Eingaben!$B$18,MAX(0,F595-I595)),0)</f>
        <v>1.7442</v>
      </c>
      <c r="K595" s="13" t="n">
        <f aca="false">H595+I595</f>
        <v>0.89</v>
      </c>
      <c r="L595" s="13" t="n">
        <f aca="false">MAX(0,D595-K595)</f>
        <v>0</v>
      </c>
      <c r="M595" s="13" t="n">
        <f aca="false">MAX(0,F595-I595-J595)</f>
        <v>0</v>
      </c>
      <c r="N595" s="13" t="n">
        <f aca="false">IF(Kalender!A229="",0,J594-H595)</f>
        <v>0.8542</v>
      </c>
    </row>
    <row r="596" customFormat="false" ht="16.4" hidden="false" customHeight="false" outlineLevel="0" collapsed="false">
      <c r="A596" s="13" t="str">
        <f aca="false">""</f>
        <v/>
      </c>
      <c r="B596" s="13" t="n">
        <f aca="false">226</f>
        <v>226</v>
      </c>
      <c r="C596" s="13" t="n">
        <f aca="false">IF(Szenarien!$H$9="OK",(IFERROR(SUMIF(Nutzungsprofile!$B$6:$B$11,"Schulbetrieb",Nutzungsprofile!$G$6:$G$11)*Kalender!C230/SUM(Kalender!$C$5:$C$370),0)+IFERROR(SUMIF(Nutzungsprofile!$B$6:$B$11,"Halle",Nutzungsprofile!$G$6:$G$11)*Kalender!D230/SUM(Kalender!$D$5:$D$370),0)+IFERROR(SUMIF(Nutzungsprofile!$B$6:$B$11,"Individuell",Nutzungsprofile!$G$6:$G$11)*Kalender!E230/SUM(Kalender!$E$5:$E$370),0))*Szenarien!$E$9,0)</f>
        <v>2.04</v>
      </c>
      <c r="D596" s="13" t="n">
        <f aca="false">IF(Szenarien!$H$9="OK",(IFERROR(SUMIF(Nutzungsprofile!$B$17:$B$22,"Schulbetrieb",Nutzungsprofile!$G$17:$G$22)*Kalender!C230/SUM(Kalender!$C$5:$C$370),0)+IFERROR(SUMIF(Nutzungsprofile!$B$17:$B$22,"Halle",Nutzungsprofile!$G$17:$G$22)*Kalender!D230/SUM(Kalender!$D$5:$D$370),0)+IFERROR(SUMIF(Nutzungsprofile!$B$17:$B$22,"Individuell",Nutzungsprofile!$G$17:$G$22)*Kalender!E230/SUM(Kalender!$E$5:$E$370),0))*Szenarien!$D$9,0)</f>
        <v>0.89</v>
      </c>
      <c r="E596" s="13" t="n">
        <f aca="false">IFERROR(MIN(C596,Eingaben!$B$17)*Eingaben!$B$16,0)</f>
        <v>1.938</v>
      </c>
      <c r="F596" s="13" t="n">
        <f aca="false">IFERROR(E596*Eingaben!$B$15,0)</f>
        <v>1.7442</v>
      </c>
      <c r="G596" s="13" t="n">
        <f aca="false">IFERROR(IF(Kalender!A230="",0,J595*(1-Eingaben!$B$20)),0)</f>
        <v>1.709316</v>
      </c>
      <c r="H596" s="13" t="n">
        <f aca="false">MIN(G596,D596)</f>
        <v>0.89</v>
      </c>
      <c r="I596" s="13" t="n">
        <f aca="false">IFERROR(MIN(F596*Eingaben!$B$19,MAX(0,D596-H596)),0)</f>
        <v>0</v>
      </c>
      <c r="J596" s="13" t="n">
        <f aca="false">IFERROR(MIN(Eingaben!$B$18,MAX(0,F596-I596)),0)</f>
        <v>1.7442</v>
      </c>
      <c r="K596" s="13" t="n">
        <f aca="false">H596+I596</f>
        <v>0.89</v>
      </c>
      <c r="L596" s="13" t="n">
        <f aca="false">MAX(0,D596-K596)</f>
        <v>0</v>
      </c>
      <c r="M596" s="13" t="n">
        <f aca="false">MAX(0,F596-I596-J596)</f>
        <v>0</v>
      </c>
      <c r="N596" s="13" t="n">
        <f aca="false">IF(Kalender!A230="",0,J595-H596)</f>
        <v>0.8542</v>
      </c>
    </row>
    <row r="597" customFormat="false" ht="16.4" hidden="false" customHeight="false" outlineLevel="0" collapsed="false">
      <c r="A597" s="13" t="str">
        <f aca="false">""</f>
        <v/>
      </c>
      <c r="B597" s="13" t="n">
        <f aca="false">227</f>
        <v>227</v>
      </c>
      <c r="C597" s="13" t="n">
        <f aca="false">IF(Szenarien!$H$9="OK",(IFERROR(SUMIF(Nutzungsprofile!$B$6:$B$11,"Schulbetrieb",Nutzungsprofile!$G$6:$G$11)*Kalender!C231/SUM(Kalender!$C$5:$C$370),0)+IFERROR(SUMIF(Nutzungsprofile!$B$6:$B$11,"Halle",Nutzungsprofile!$G$6:$G$11)*Kalender!D231/SUM(Kalender!$D$5:$D$370),0)+IFERROR(SUMIF(Nutzungsprofile!$B$6:$B$11,"Individuell",Nutzungsprofile!$G$6:$G$11)*Kalender!E231/SUM(Kalender!$E$5:$E$370),0))*Szenarien!$E$9,0)</f>
        <v>2.04</v>
      </c>
      <c r="D597" s="13" t="n">
        <f aca="false">IF(Szenarien!$H$9="OK",(IFERROR(SUMIF(Nutzungsprofile!$B$17:$B$22,"Schulbetrieb",Nutzungsprofile!$G$17:$G$22)*Kalender!C231/SUM(Kalender!$C$5:$C$370),0)+IFERROR(SUMIF(Nutzungsprofile!$B$17:$B$22,"Halle",Nutzungsprofile!$G$17:$G$22)*Kalender!D231/SUM(Kalender!$D$5:$D$370),0)+IFERROR(SUMIF(Nutzungsprofile!$B$17:$B$22,"Individuell",Nutzungsprofile!$G$17:$G$22)*Kalender!E231/SUM(Kalender!$E$5:$E$370),0))*Szenarien!$D$9,0)</f>
        <v>0.89</v>
      </c>
      <c r="E597" s="13" t="n">
        <f aca="false">IFERROR(MIN(C597,Eingaben!$B$17)*Eingaben!$B$16,0)</f>
        <v>1.938</v>
      </c>
      <c r="F597" s="13" t="n">
        <f aca="false">IFERROR(E597*Eingaben!$B$15,0)</f>
        <v>1.7442</v>
      </c>
      <c r="G597" s="13" t="n">
        <f aca="false">IFERROR(IF(Kalender!A231="",0,J596*(1-Eingaben!$B$20)),0)</f>
        <v>1.709316</v>
      </c>
      <c r="H597" s="13" t="n">
        <f aca="false">MIN(G597,D597)</f>
        <v>0.89</v>
      </c>
      <c r="I597" s="13" t="n">
        <f aca="false">IFERROR(MIN(F597*Eingaben!$B$19,MAX(0,D597-H597)),0)</f>
        <v>0</v>
      </c>
      <c r="J597" s="13" t="n">
        <f aca="false">IFERROR(MIN(Eingaben!$B$18,MAX(0,F597-I597)),0)</f>
        <v>1.7442</v>
      </c>
      <c r="K597" s="13" t="n">
        <f aca="false">H597+I597</f>
        <v>0.89</v>
      </c>
      <c r="L597" s="13" t="n">
        <f aca="false">MAX(0,D597-K597)</f>
        <v>0</v>
      </c>
      <c r="M597" s="13" t="n">
        <f aca="false">MAX(0,F597-I597-J597)</f>
        <v>0</v>
      </c>
      <c r="N597" s="13" t="n">
        <f aca="false">IF(Kalender!A231="",0,J596-H597)</f>
        <v>0.8542</v>
      </c>
    </row>
    <row r="598" customFormat="false" ht="16.4" hidden="false" customHeight="false" outlineLevel="0" collapsed="false">
      <c r="A598" s="13" t="str">
        <f aca="false">""</f>
        <v/>
      </c>
      <c r="B598" s="13" t="n">
        <f aca="false">228</f>
        <v>228</v>
      </c>
      <c r="C598" s="13" t="n">
        <f aca="false">IF(Szenarien!$H$9="OK",(IFERROR(SUMIF(Nutzungsprofile!$B$6:$B$11,"Schulbetrieb",Nutzungsprofile!$G$6:$G$11)*Kalender!C232/SUM(Kalender!$C$5:$C$370),0)+IFERROR(SUMIF(Nutzungsprofile!$B$6:$B$11,"Halle",Nutzungsprofile!$G$6:$G$11)*Kalender!D232/SUM(Kalender!$D$5:$D$370),0)+IFERROR(SUMIF(Nutzungsprofile!$B$6:$B$11,"Individuell",Nutzungsprofile!$G$6:$G$11)*Kalender!E232/SUM(Kalender!$E$5:$E$370),0))*Szenarien!$E$9,0)</f>
        <v>2.04</v>
      </c>
      <c r="D598" s="13" t="n">
        <f aca="false">IF(Szenarien!$H$9="OK",(IFERROR(SUMIF(Nutzungsprofile!$B$17:$B$22,"Schulbetrieb",Nutzungsprofile!$G$17:$G$22)*Kalender!C232/SUM(Kalender!$C$5:$C$370),0)+IFERROR(SUMIF(Nutzungsprofile!$B$17:$B$22,"Halle",Nutzungsprofile!$G$17:$G$22)*Kalender!D232/SUM(Kalender!$D$5:$D$370),0)+IFERROR(SUMIF(Nutzungsprofile!$B$17:$B$22,"Individuell",Nutzungsprofile!$G$17:$G$22)*Kalender!E232/SUM(Kalender!$E$5:$E$370),0))*Szenarien!$D$9,0)</f>
        <v>0.89</v>
      </c>
      <c r="E598" s="13" t="n">
        <f aca="false">IFERROR(MIN(C598,Eingaben!$B$17)*Eingaben!$B$16,0)</f>
        <v>1.938</v>
      </c>
      <c r="F598" s="13" t="n">
        <f aca="false">IFERROR(E598*Eingaben!$B$15,0)</f>
        <v>1.7442</v>
      </c>
      <c r="G598" s="13" t="n">
        <f aca="false">IFERROR(IF(Kalender!A232="",0,J597*(1-Eingaben!$B$20)),0)</f>
        <v>1.709316</v>
      </c>
      <c r="H598" s="13" t="n">
        <f aca="false">MIN(G598,D598)</f>
        <v>0.89</v>
      </c>
      <c r="I598" s="13" t="n">
        <f aca="false">IFERROR(MIN(F598*Eingaben!$B$19,MAX(0,D598-H598)),0)</f>
        <v>0</v>
      </c>
      <c r="J598" s="13" t="n">
        <f aca="false">IFERROR(MIN(Eingaben!$B$18,MAX(0,F598-I598)),0)</f>
        <v>1.7442</v>
      </c>
      <c r="K598" s="13" t="n">
        <f aca="false">H598+I598</f>
        <v>0.89</v>
      </c>
      <c r="L598" s="13" t="n">
        <f aca="false">MAX(0,D598-K598)</f>
        <v>0</v>
      </c>
      <c r="M598" s="13" t="n">
        <f aca="false">MAX(0,F598-I598-J598)</f>
        <v>0</v>
      </c>
      <c r="N598" s="13" t="n">
        <f aca="false">IF(Kalender!A232="",0,J597-H598)</f>
        <v>0.8542</v>
      </c>
    </row>
    <row r="599" customFormat="false" ht="16.4" hidden="false" customHeight="false" outlineLevel="0" collapsed="false">
      <c r="A599" s="13" t="str">
        <f aca="false">""</f>
        <v/>
      </c>
      <c r="B599" s="13" t="n">
        <f aca="false">229</f>
        <v>229</v>
      </c>
      <c r="C599" s="13" t="n">
        <f aca="false">IF(Szenarien!$H$9="OK",(IFERROR(SUMIF(Nutzungsprofile!$B$6:$B$11,"Schulbetrieb",Nutzungsprofile!$G$6:$G$11)*Kalender!C233/SUM(Kalender!$C$5:$C$370),0)+IFERROR(SUMIF(Nutzungsprofile!$B$6:$B$11,"Halle",Nutzungsprofile!$G$6:$G$11)*Kalender!D233/SUM(Kalender!$D$5:$D$370),0)+IFERROR(SUMIF(Nutzungsprofile!$B$6:$B$11,"Individuell",Nutzungsprofile!$G$6:$G$11)*Kalender!E233/SUM(Kalender!$E$5:$E$370),0))*Szenarien!$E$9,0)</f>
        <v>2.04</v>
      </c>
      <c r="D599" s="13" t="n">
        <f aca="false">IF(Szenarien!$H$9="OK",(IFERROR(SUMIF(Nutzungsprofile!$B$17:$B$22,"Schulbetrieb",Nutzungsprofile!$G$17:$G$22)*Kalender!C233/SUM(Kalender!$C$5:$C$370),0)+IFERROR(SUMIF(Nutzungsprofile!$B$17:$B$22,"Halle",Nutzungsprofile!$G$17:$G$22)*Kalender!D233/SUM(Kalender!$D$5:$D$370),0)+IFERROR(SUMIF(Nutzungsprofile!$B$17:$B$22,"Individuell",Nutzungsprofile!$G$17:$G$22)*Kalender!E233/SUM(Kalender!$E$5:$E$370),0))*Szenarien!$D$9,0)</f>
        <v>0.89</v>
      </c>
      <c r="E599" s="13" t="n">
        <f aca="false">IFERROR(MIN(C599,Eingaben!$B$17)*Eingaben!$B$16,0)</f>
        <v>1.938</v>
      </c>
      <c r="F599" s="13" t="n">
        <f aca="false">IFERROR(E599*Eingaben!$B$15,0)</f>
        <v>1.7442</v>
      </c>
      <c r="G599" s="13" t="n">
        <f aca="false">IFERROR(IF(Kalender!A233="",0,J598*(1-Eingaben!$B$20)),0)</f>
        <v>1.709316</v>
      </c>
      <c r="H599" s="13" t="n">
        <f aca="false">MIN(G599,D599)</f>
        <v>0.89</v>
      </c>
      <c r="I599" s="13" t="n">
        <f aca="false">IFERROR(MIN(F599*Eingaben!$B$19,MAX(0,D599-H599)),0)</f>
        <v>0</v>
      </c>
      <c r="J599" s="13" t="n">
        <f aca="false">IFERROR(MIN(Eingaben!$B$18,MAX(0,F599-I599)),0)</f>
        <v>1.7442</v>
      </c>
      <c r="K599" s="13" t="n">
        <f aca="false">H599+I599</f>
        <v>0.89</v>
      </c>
      <c r="L599" s="13" t="n">
        <f aca="false">MAX(0,D599-K599)</f>
        <v>0</v>
      </c>
      <c r="M599" s="13" t="n">
        <f aca="false">MAX(0,F599-I599-J599)</f>
        <v>0</v>
      </c>
      <c r="N599" s="13" t="n">
        <f aca="false">IF(Kalender!A233="",0,J598-H599)</f>
        <v>0.8542</v>
      </c>
    </row>
    <row r="600" customFormat="false" ht="16.4" hidden="false" customHeight="false" outlineLevel="0" collapsed="false">
      <c r="A600" s="13" t="str">
        <f aca="false">""</f>
        <v/>
      </c>
      <c r="B600" s="13" t="n">
        <f aca="false">230</f>
        <v>230</v>
      </c>
      <c r="C600" s="13" t="n">
        <f aca="false">IF(Szenarien!$H$9="OK",(IFERROR(SUMIF(Nutzungsprofile!$B$6:$B$11,"Schulbetrieb",Nutzungsprofile!$G$6:$G$11)*Kalender!C234/SUM(Kalender!$C$5:$C$370),0)+IFERROR(SUMIF(Nutzungsprofile!$B$6:$B$11,"Halle",Nutzungsprofile!$G$6:$G$11)*Kalender!D234/SUM(Kalender!$D$5:$D$370),0)+IFERROR(SUMIF(Nutzungsprofile!$B$6:$B$11,"Individuell",Nutzungsprofile!$G$6:$G$11)*Kalender!E234/SUM(Kalender!$E$5:$E$370),0))*Szenarien!$E$9,0)</f>
        <v>2.04</v>
      </c>
      <c r="D600" s="13" t="n">
        <f aca="false">IF(Szenarien!$H$9="OK",(IFERROR(SUMIF(Nutzungsprofile!$B$17:$B$22,"Schulbetrieb",Nutzungsprofile!$G$17:$G$22)*Kalender!C234/SUM(Kalender!$C$5:$C$370),0)+IFERROR(SUMIF(Nutzungsprofile!$B$17:$B$22,"Halle",Nutzungsprofile!$G$17:$G$22)*Kalender!D234/SUM(Kalender!$D$5:$D$370),0)+IFERROR(SUMIF(Nutzungsprofile!$B$17:$B$22,"Individuell",Nutzungsprofile!$G$17:$G$22)*Kalender!E234/SUM(Kalender!$E$5:$E$370),0))*Szenarien!$D$9,0)</f>
        <v>0.89</v>
      </c>
      <c r="E600" s="13" t="n">
        <f aca="false">IFERROR(MIN(C600,Eingaben!$B$17)*Eingaben!$B$16,0)</f>
        <v>1.938</v>
      </c>
      <c r="F600" s="13" t="n">
        <f aca="false">IFERROR(E600*Eingaben!$B$15,0)</f>
        <v>1.7442</v>
      </c>
      <c r="G600" s="13" t="n">
        <f aca="false">IFERROR(IF(Kalender!A234="",0,J599*(1-Eingaben!$B$20)),0)</f>
        <v>1.709316</v>
      </c>
      <c r="H600" s="13" t="n">
        <f aca="false">MIN(G600,D600)</f>
        <v>0.89</v>
      </c>
      <c r="I600" s="13" t="n">
        <f aca="false">IFERROR(MIN(F600*Eingaben!$B$19,MAX(0,D600-H600)),0)</f>
        <v>0</v>
      </c>
      <c r="J600" s="13" t="n">
        <f aca="false">IFERROR(MIN(Eingaben!$B$18,MAX(0,F600-I600)),0)</f>
        <v>1.7442</v>
      </c>
      <c r="K600" s="13" t="n">
        <f aca="false">H600+I600</f>
        <v>0.89</v>
      </c>
      <c r="L600" s="13" t="n">
        <f aca="false">MAX(0,D600-K600)</f>
        <v>0</v>
      </c>
      <c r="M600" s="13" t="n">
        <f aca="false">MAX(0,F600-I600-J600)</f>
        <v>0</v>
      </c>
      <c r="N600" s="13" t="n">
        <f aca="false">IF(Kalender!A234="",0,J599-H600)</f>
        <v>0.8542</v>
      </c>
    </row>
    <row r="601" customFormat="false" ht="16.4" hidden="false" customHeight="false" outlineLevel="0" collapsed="false">
      <c r="A601" s="13" t="str">
        <f aca="false">""</f>
        <v/>
      </c>
      <c r="B601" s="13" t="n">
        <f aca="false">231</f>
        <v>231</v>
      </c>
      <c r="C601" s="13" t="n">
        <f aca="false">IF(Szenarien!$H$9="OK",(IFERROR(SUMIF(Nutzungsprofile!$B$6:$B$11,"Schulbetrieb",Nutzungsprofile!$G$6:$G$11)*Kalender!C235/SUM(Kalender!$C$5:$C$370),0)+IFERROR(SUMIF(Nutzungsprofile!$B$6:$B$11,"Halle",Nutzungsprofile!$G$6:$G$11)*Kalender!D235/SUM(Kalender!$D$5:$D$370),0)+IFERROR(SUMIF(Nutzungsprofile!$B$6:$B$11,"Individuell",Nutzungsprofile!$G$6:$G$11)*Kalender!E235/SUM(Kalender!$E$5:$E$370),0))*Szenarien!$E$9,0)</f>
        <v>2.04</v>
      </c>
      <c r="D601" s="13" t="n">
        <f aca="false">IF(Szenarien!$H$9="OK",(IFERROR(SUMIF(Nutzungsprofile!$B$17:$B$22,"Schulbetrieb",Nutzungsprofile!$G$17:$G$22)*Kalender!C235/SUM(Kalender!$C$5:$C$370),0)+IFERROR(SUMIF(Nutzungsprofile!$B$17:$B$22,"Halle",Nutzungsprofile!$G$17:$G$22)*Kalender!D235/SUM(Kalender!$D$5:$D$370),0)+IFERROR(SUMIF(Nutzungsprofile!$B$17:$B$22,"Individuell",Nutzungsprofile!$G$17:$G$22)*Kalender!E235/SUM(Kalender!$E$5:$E$370),0))*Szenarien!$D$9,0)</f>
        <v>0.89</v>
      </c>
      <c r="E601" s="13" t="n">
        <f aca="false">IFERROR(MIN(C601,Eingaben!$B$17)*Eingaben!$B$16,0)</f>
        <v>1.938</v>
      </c>
      <c r="F601" s="13" t="n">
        <f aca="false">IFERROR(E601*Eingaben!$B$15,0)</f>
        <v>1.7442</v>
      </c>
      <c r="G601" s="13" t="n">
        <f aca="false">IFERROR(IF(Kalender!A235="",0,J600*(1-Eingaben!$B$20)),0)</f>
        <v>1.709316</v>
      </c>
      <c r="H601" s="13" t="n">
        <f aca="false">MIN(G601,D601)</f>
        <v>0.89</v>
      </c>
      <c r="I601" s="13" t="n">
        <f aca="false">IFERROR(MIN(F601*Eingaben!$B$19,MAX(0,D601-H601)),0)</f>
        <v>0</v>
      </c>
      <c r="J601" s="13" t="n">
        <f aca="false">IFERROR(MIN(Eingaben!$B$18,MAX(0,F601-I601)),0)</f>
        <v>1.7442</v>
      </c>
      <c r="K601" s="13" t="n">
        <f aca="false">H601+I601</f>
        <v>0.89</v>
      </c>
      <c r="L601" s="13" t="n">
        <f aca="false">MAX(0,D601-K601)</f>
        <v>0</v>
      </c>
      <c r="M601" s="13" t="n">
        <f aca="false">MAX(0,F601-I601-J601)</f>
        <v>0</v>
      </c>
      <c r="N601" s="13" t="n">
        <f aca="false">IF(Kalender!A235="",0,J600-H601)</f>
        <v>0.8542</v>
      </c>
    </row>
    <row r="602" customFormat="false" ht="16.4" hidden="false" customHeight="false" outlineLevel="0" collapsed="false">
      <c r="A602" s="13" t="str">
        <f aca="false">""</f>
        <v/>
      </c>
      <c r="B602" s="13" t="n">
        <f aca="false">232</f>
        <v>232</v>
      </c>
      <c r="C602" s="13" t="n">
        <f aca="false">IF(Szenarien!$H$9="OK",(IFERROR(SUMIF(Nutzungsprofile!$B$6:$B$11,"Schulbetrieb",Nutzungsprofile!$G$6:$G$11)*Kalender!C236/SUM(Kalender!$C$5:$C$370),0)+IFERROR(SUMIF(Nutzungsprofile!$B$6:$B$11,"Halle",Nutzungsprofile!$G$6:$G$11)*Kalender!D236/SUM(Kalender!$D$5:$D$370),0)+IFERROR(SUMIF(Nutzungsprofile!$B$6:$B$11,"Individuell",Nutzungsprofile!$G$6:$G$11)*Kalender!E236/SUM(Kalender!$E$5:$E$370),0))*Szenarien!$E$9,0)</f>
        <v>2.04</v>
      </c>
      <c r="D602" s="13" t="n">
        <f aca="false">IF(Szenarien!$H$9="OK",(IFERROR(SUMIF(Nutzungsprofile!$B$17:$B$22,"Schulbetrieb",Nutzungsprofile!$G$17:$G$22)*Kalender!C236/SUM(Kalender!$C$5:$C$370),0)+IFERROR(SUMIF(Nutzungsprofile!$B$17:$B$22,"Halle",Nutzungsprofile!$G$17:$G$22)*Kalender!D236/SUM(Kalender!$D$5:$D$370),0)+IFERROR(SUMIF(Nutzungsprofile!$B$17:$B$22,"Individuell",Nutzungsprofile!$G$17:$G$22)*Kalender!E236/SUM(Kalender!$E$5:$E$370),0))*Szenarien!$D$9,0)</f>
        <v>0.89</v>
      </c>
      <c r="E602" s="13" t="n">
        <f aca="false">IFERROR(MIN(C602,Eingaben!$B$17)*Eingaben!$B$16,0)</f>
        <v>1.938</v>
      </c>
      <c r="F602" s="13" t="n">
        <f aca="false">IFERROR(E602*Eingaben!$B$15,0)</f>
        <v>1.7442</v>
      </c>
      <c r="G602" s="13" t="n">
        <f aca="false">IFERROR(IF(Kalender!A236="",0,J601*(1-Eingaben!$B$20)),0)</f>
        <v>1.709316</v>
      </c>
      <c r="H602" s="13" t="n">
        <f aca="false">MIN(G602,D602)</f>
        <v>0.89</v>
      </c>
      <c r="I602" s="13" t="n">
        <f aca="false">IFERROR(MIN(F602*Eingaben!$B$19,MAX(0,D602-H602)),0)</f>
        <v>0</v>
      </c>
      <c r="J602" s="13" t="n">
        <f aca="false">IFERROR(MIN(Eingaben!$B$18,MAX(0,F602-I602)),0)</f>
        <v>1.7442</v>
      </c>
      <c r="K602" s="13" t="n">
        <f aca="false">H602+I602</f>
        <v>0.89</v>
      </c>
      <c r="L602" s="13" t="n">
        <f aca="false">MAX(0,D602-K602)</f>
        <v>0</v>
      </c>
      <c r="M602" s="13" t="n">
        <f aca="false">MAX(0,F602-I602-J602)</f>
        <v>0</v>
      </c>
      <c r="N602" s="13" t="n">
        <f aca="false">IF(Kalender!A236="",0,J601-H602)</f>
        <v>0.8542</v>
      </c>
    </row>
    <row r="603" customFormat="false" ht="16.4" hidden="false" customHeight="false" outlineLevel="0" collapsed="false">
      <c r="A603" s="13" t="str">
        <f aca="false">""</f>
        <v/>
      </c>
      <c r="B603" s="13" t="n">
        <f aca="false">233</f>
        <v>233</v>
      </c>
      <c r="C603" s="13" t="n">
        <f aca="false">IF(Szenarien!$H$9="OK",(IFERROR(SUMIF(Nutzungsprofile!$B$6:$B$11,"Schulbetrieb",Nutzungsprofile!$G$6:$G$11)*Kalender!C237/SUM(Kalender!$C$5:$C$370),0)+IFERROR(SUMIF(Nutzungsprofile!$B$6:$B$11,"Halle",Nutzungsprofile!$G$6:$G$11)*Kalender!D237/SUM(Kalender!$D$5:$D$370),0)+IFERROR(SUMIF(Nutzungsprofile!$B$6:$B$11,"Individuell",Nutzungsprofile!$G$6:$G$11)*Kalender!E237/SUM(Kalender!$E$5:$E$370),0))*Szenarien!$E$9,0)</f>
        <v>2.04</v>
      </c>
      <c r="D603" s="13" t="n">
        <f aca="false">IF(Szenarien!$H$9="OK",(IFERROR(SUMIF(Nutzungsprofile!$B$17:$B$22,"Schulbetrieb",Nutzungsprofile!$G$17:$G$22)*Kalender!C237/SUM(Kalender!$C$5:$C$370),0)+IFERROR(SUMIF(Nutzungsprofile!$B$17:$B$22,"Halle",Nutzungsprofile!$G$17:$G$22)*Kalender!D237/SUM(Kalender!$D$5:$D$370),0)+IFERROR(SUMIF(Nutzungsprofile!$B$17:$B$22,"Individuell",Nutzungsprofile!$G$17:$G$22)*Kalender!E237/SUM(Kalender!$E$5:$E$370),0))*Szenarien!$D$9,0)</f>
        <v>0.89</v>
      </c>
      <c r="E603" s="13" t="n">
        <f aca="false">IFERROR(MIN(C603,Eingaben!$B$17)*Eingaben!$B$16,0)</f>
        <v>1.938</v>
      </c>
      <c r="F603" s="13" t="n">
        <f aca="false">IFERROR(E603*Eingaben!$B$15,0)</f>
        <v>1.7442</v>
      </c>
      <c r="G603" s="13" t="n">
        <f aca="false">IFERROR(IF(Kalender!A237="",0,J602*(1-Eingaben!$B$20)),0)</f>
        <v>1.709316</v>
      </c>
      <c r="H603" s="13" t="n">
        <f aca="false">MIN(G603,D603)</f>
        <v>0.89</v>
      </c>
      <c r="I603" s="13" t="n">
        <f aca="false">IFERROR(MIN(F603*Eingaben!$B$19,MAX(0,D603-H603)),0)</f>
        <v>0</v>
      </c>
      <c r="J603" s="13" t="n">
        <f aca="false">IFERROR(MIN(Eingaben!$B$18,MAX(0,F603-I603)),0)</f>
        <v>1.7442</v>
      </c>
      <c r="K603" s="13" t="n">
        <f aca="false">H603+I603</f>
        <v>0.89</v>
      </c>
      <c r="L603" s="13" t="n">
        <f aca="false">MAX(0,D603-K603)</f>
        <v>0</v>
      </c>
      <c r="M603" s="13" t="n">
        <f aca="false">MAX(0,F603-I603-J603)</f>
        <v>0</v>
      </c>
      <c r="N603" s="13" t="n">
        <f aca="false">IF(Kalender!A237="",0,J602-H603)</f>
        <v>0.8542</v>
      </c>
    </row>
    <row r="604" customFormat="false" ht="16.4" hidden="false" customHeight="false" outlineLevel="0" collapsed="false">
      <c r="A604" s="13" t="str">
        <f aca="false">""</f>
        <v/>
      </c>
      <c r="B604" s="13" t="n">
        <f aca="false">234</f>
        <v>234</v>
      </c>
      <c r="C604" s="13" t="n">
        <f aca="false">IF(Szenarien!$H$9="OK",(IFERROR(SUMIF(Nutzungsprofile!$B$6:$B$11,"Schulbetrieb",Nutzungsprofile!$G$6:$G$11)*Kalender!C238/SUM(Kalender!$C$5:$C$370),0)+IFERROR(SUMIF(Nutzungsprofile!$B$6:$B$11,"Halle",Nutzungsprofile!$G$6:$G$11)*Kalender!D238/SUM(Kalender!$D$5:$D$370),0)+IFERROR(SUMIF(Nutzungsprofile!$B$6:$B$11,"Individuell",Nutzungsprofile!$G$6:$G$11)*Kalender!E238/SUM(Kalender!$E$5:$E$370),0))*Szenarien!$E$9,0)</f>
        <v>2.04</v>
      </c>
      <c r="D604" s="13" t="n">
        <f aca="false">IF(Szenarien!$H$9="OK",(IFERROR(SUMIF(Nutzungsprofile!$B$17:$B$22,"Schulbetrieb",Nutzungsprofile!$G$17:$G$22)*Kalender!C238/SUM(Kalender!$C$5:$C$370),0)+IFERROR(SUMIF(Nutzungsprofile!$B$17:$B$22,"Halle",Nutzungsprofile!$G$17:$G$22)*Kalender!D238/SUM(Kalender!$D$5:$D$370),0)+IFERROR(SUMIF(Nutzungsprofile!$B$17:$B$22,"Individuell",Nutzungsprofile!$G$17:$G$22)*Kalender!E238/SUM(Kalender!$E$5:$E$370),0))*Szenarien!$D$9,0)</f>
        <v>0.89</v>
      </c>
      <c r="E604" s="13" t="n">
        <f aca="false">IFERROR(MIN(C604,Eingaben!$B$17)*Eingaben!$B$16,0)</f>
        <v>1.938</v>
      </c>
      <c r="F604" s="13" t="n">
        <f aca="false">IFERROR(E604*Eingaben!$B$15,0)</f>
        <v>1.7442</v>
      </c>
      <c r="G604" s="13" t="n">
        <f aca="false">IFERROR(IF(Kalender!A238="",0,J603*(1-Eingaben!$B$20)),0)</f>
        <v>1.709316</v>
      </c>
      <c r="H604" s="13" t="n">
        <f aca="false">MIN(G604,D604)</f>
        <v>0.89</v>
      </c>
      <c r="I604" s="13" t="n">
        <f aca="false">IFERROR(MIN(F604*Eingaben!$B$19,MAX(0,D604-H604)),0)</f>
        <v>0</v>
      </c>
      <c r="J604" s="13" t="n">
        <f aca="false">IFERROR(MIN(Eingaben!$B$18,MAX(0,F604-I604)),0)</f>
        <v>1.7442</v>
      </c>
      <c r="K604" s="13" t="n">
        <f aca="false">H604+I604</f>
        <v>0.89</v>
      </c>
      <c r="L604" s="13" t="n">
        <f aca="false">MAX(0,D604-K604)</f>
        <v>0</v>
      </c>
      <c r="M604" s="13" t="n">
        <f aca="false">MAX(0,F604-I604-J604)</f>
        <v>0</v>
      </c>
      <c r="N604" s="13" t="n">
        <f aca="false">IF(Kalender!A238="",0,J603-H604)</f>
        <v>0.8542</v>
      </c>
    </row>
    <row r="605" customFormat="false" ht="16.4" hidden="false" customHeight="false" outlineLevel="0" collapsed="false">
      <c r="A605" s="13" t="str">
        <f aca="false">""</f>
        <v/>
      </c>
      <c r="B605" s="13" t="n">
        <f aca="false">235</f>
        <v>235</v>
      </c>
      <c r="C605" s="13" t="n">
        <f aca="false">IF(Szenarien!$H$9="OK",(IFERROR(SUMIF(Nutzungsprofile!$B$6:$B$11,"Schulbetrieb",Nutzungsprofile!$G$6:$G$11)*Kalender!C239/SUM(Kalender!$C$5:$C$370),0)+IFERROR(SUMIF(Nutzungsprofile!$B$6:$B$11,"Halle",Nutzungsprofile!$G$6:$G$11)*Kalender!D239/SUM(Kalender!$D$5:$D$370),0)+IFERROR(SUMIF(Nutzungsprofile!$B$6:$B$11,"Individuell",Nutzungsprofile!$G$6:$G$11)*Kalender!E239/SUM(Kalender!$E$5:$E$370),0))*Szenarien!$E$9,0)</f>
        <v>2.04</v>
      </c>
      <c r="D605" s="13" t="n">
        <f aca="false">IF(Szenarien!$H$9="OK",(IFERROR(SUMIF(Nutzungsprofile!$B$17:$B$22,"Schulbetrieb",Nutzungsprofile!$G$17:$G$22)*Kalender!C239/SUM(Kalender!$C$5:$C$370),0)+IFERROR(SUMIF(Nutzungsprofile!$B$17:$B$22,"Halle",Nutzungsprofile!$G$17:$G$22)*Kalender!D239/SUM(Kalender!$D$5:$D$370),0)+IFERROR(SUMIF(Nutzungsprofile!$B$17:$B$22,"Individuell",Nutzungsprofile!$G$17:$G$22)*Kalender!E239/SUM(Kalender!$E$5:$E$370),0))*Szenarien!$D$9,0)</f>
        <v>0.89</v>
      </c>
      <c r="E605" s="13" t="n">
        <f aca="false">IFERROR(MIN(C605,Eingaben!$B$17)*Eingaben!$B$16,0)</f>
        <v>1.938</v>
      </c>
      <c r="F605" s="13" t="n">
        <f aca="false">IFERROR(E605*Eingaben!$B$15,0)</f>
        <v>1.7442</v>
      </c>
      <c r="G605" s="13" t="n">
        <f aca="false">IFERROR(IF(Kalender!A239="",0,J604*(1-Eingaben!$B$20)),0)</f>
        <v>1.709316</v>
      </c>
      <c r="H605" s="13" t="n">
        <f aca="false">MIN(G605,D605)</f>
        <v>0.89</v>
      </c>
      <c r="I605" s="13" t="n">
        <f aca="false">IFERROR(MIN(F605*Eingaben!$B$19,MAX(0,D605-H605)),0)</f>
        <v>0</v>
      </c>
      <c r="J605" s="13" t="n">
        <f aca="false">IFERROR(MIN(Eingaben!$B$18,MAX(0,F605-I605)),0)</f>
        <v>1.7442</v>
      </c>
      <c r="K605" s="13" t="n">
        <f aca="false">H605+I605</f>
        <v>0.89</v>
      </c>
      <c r="L605" s="13" t="n">
        <f aca="false">MAX(0,D605-K605)</f>
        <v>0</v>
      </c>
      <c r="M605" s="13" t="n">
        <f aca="false">MAX(0,F605-I605-J605)</f>
        <v>0</v>
      </c>
      <c r="N605" s="13" t="n">
        <f aca="false">IF(Kalender!A239="",0,J604-H605)</f>
        <v>0.8542</v>
      </c>
    </row>
    <row r="606" customFormat="false" ht="16.4" hidden="false" customHeight="false" outlineLevel="0" collapsed="false">
      <c r="A606" s="13" t="str">
        <f aca="false">""</f>
        <v/>
      </c>
      <c r="B606" s="13" t="n">
        <f aca="false">236</f>
        <v>236</v>
      </c>
      <c r="C606" s="13" t="n">
        <f aca="false">IF(Szenarien!$H$9="OK",(IFERROR(SUMIF(Nutzungsprofile!$B$6:$B$11,"Schulbetrieb",Nutzungsprofile!$G$6:$G$11)*Kalender!C240/SUM(Kalender!$C$5:$C$370),0)+IFERROR(SUMIF(Nutzungsprofile!$B$6:$B$11,"Halle",Nutzungsprofile!$G$6:$G$11)*Kalender!D240/SUM(Kalender!$D$5:$D$370),0)+IFERROR(SUMIF(Nutzungsprofile!$B$6:$B$11,"Individuell",Nutzungsprofile!$G$6:$G$11)*Kalender!E240/SUM(Kalender!$E$5:$E$370),0))*Szenarien!$E$9,0)</f>
        <v>2.04</v>
      </c>
      <c r="D606" s="13" t="n">
        <f aca="false">IF(Szenarien!$H$9="OK",(IFERROR(SUMIF(Nutzungsprofile!$B$17:$B$22,"Schulbetrieb",Nutzungsprofile!$G$17:$G$22)*Kalender!C240/SUM(Kalender!$C$5:$C$370),0)+IFERROR(SUMIF(Nutzungsprofile!$B$17:$B$22,"Halle",Nutzungsprofile!$G$17:$G$22)*Kalender!D240/SUM(Kalender!$D$5:$D$370),0)+IFERROR(SUMIF(Nutzungsprofile!$B$17:$B$22,"Individuell",Nutzungsprofile!$G$17:$G$22)*Kalender!E240/SUM(Kalender!$E$5:$E$370),0))*Szenarien!$D$9,0)</f>
        <v>0.89</v>
      </c>
      <c r="E606" s="13" t="n">
        <f aca="false">IFERROR(MIN(C606,Eingaben!$B$17)*Eingaben!$B$16,0)</f>
        <v>1.938</v>
      </c>
      <c r="F606" s="13" t="n">
        <f aca="false">IFERROR(E606*Eingaben!$B$15,0)</f>
        <v>1.7442</v>
      </c>
      <c r="G606" s="13" t="n">
        <f aca="false">IFERROR(IF(Kalender!A240="",0,J605*(1-Eingaben!$B$20)),0)</f>
        <v>1.709316</v>
      </c>
      <c r="H606" s="13" t="n">
        <f aca="false">MIN(G606,D606)</f>
        <v>0.89</v>
      </c>
      <c r="I606" s="13" t="n">
        <f aca="false">IFERROR(MIN(F606*Eingaben!$B$19,MAX(0,D606-H606)),0)</f>
        <v>0</v>
      </c>
      <c r="J606" s="13" t="n">
        <f aca="false">IFERROR(MIN(Eingaben!$B$18,MAX(0,F606-I606)),0)</f>
        <v>1.7442</v>
      </c>
      <c r="K606" s="13" t="n">
        <f aca="false">H606+I606</f>
        <v>0.89</v>
      </c>
      <c r="L606" s="13" t="n">
        <f aca="false">MAX(0,D606-K606)</f>
        <v>0</v>
      </c>
      <c r="M606" s="13" t="n">
        <f aca="false">MAX(0,F606-I606-J606)</f>
        <v>0</v>
      </c>
      <c r="N606" s="13" t="n">
        <f aca="false">IF(Kalender!A240="",0,J605-H606)</f>
        <v>0.8542</v>
      </c>
    </row>
    <row r="607" customFormat="false" ht="16.4" hidden="false" customHeight="false" outlineLevel="0" collapsed="false">
      <c r="A607" s="13" t="str">
        <f aca="false">""</f>
        <v/>
      </c>
      <c r="B607" s="13" t="n">
        <f aca="false">237</f>
        <v>237</v>
      </c>
      <c r="C607" s="13" t="n">
        <f aca="false">IF(Szenarien!$H$9="OK",(IFERROR(SUMIF(Nutzungsprofile!$B$6:$B$11,"Schulbetrieb",Nutzungsprofile!$G$6:$G$11)*Kalender!C241/SUM(Kalender!$C$5:$C$370),0)+IFERROR(SUMIF(Nutzungsprofile!$B$6:$B$11,"Halle",Nutzungsprofile!$G$6:$G$11)*Kalender!D241/SUM(Kalender!$D$5:$D$370),0)+IFERROR(SUMIF(Nutzungsprofile!$B$6:$B$11,"Individuell",Nutzungsprofile!$G$6:$G$11)*Kalender!E241/SUM(Kalender!$E$5:$E$370),0))*Szenarien!$E$9,0)</f>
        <v>2.04</v>
      </c>
      <c r="D607" s="13" t="n">
        <f aca="false">IF(Szenarien!$H$9="OK",(IFERROR(SUMIF(Nutzungsprofile!$B$17:$B$22,"Schulbetrieb",Nutzungsprofile!$G$17:$G$22)*Kalender!C241/SUM(Kalender!$C$5:$C$370),0)+IFERROR(SUMIF(Nutzungsprofile!$B$17:$B$22,"Halle",Nutzungsprofile!$G$17:$G$22)*Kalender!D241/SUM(Kalender!$D$5:$D$370),0)+IFERROR(SUMIF(Nutzungsprofile!$B$17:$B$22,"Individuell",Nutzungsprofile!$G$17:$G$22)*Kalender!E241/SUM(Kalender!$E$5:$E$370),0))*Szenarien!$D$9,0)</f>
        <v>0.89</v>
      </c>
      <c r="E607" s="13" t="n">
        <f aca="false">IFERROR(MIN(C607,Eingaben!$B$17)*Eingaben!$B$16,0)</f>
        <v>1.938</v>
      </c>
      <c r="F607" s="13" t="n">
        <f aca="false">IFERROR(E607*Eingaben!$B$15,0)</f>
        <v>1.7442</v>
      </c>
      <c r="G607" s="13" t="n">
        <f aca="false">IFERROR(IF(Kalender!A241="",0,J606*(1-Eingaben!$B$20)),0)</f>
        <v>1.709316</v>
      </c>
      <c r="H607" s="13" t="n">
        <f aca="false">MIN(G607,D607)</f>
        <v>0.89</v>
      </c>
      <c r="I607" s="13" t="n">
        <f aca="false">IFERROR(MIN(F607*Eingaben!$B$19,MAX(0,D607-H607)),0)</f>
        <v>0</v>
      </c>
      <c r="J607" s="13" t="n">
        <f aca="false">IFERROR(MIN(Eingaben!$B$18,MAX(0,F607-I607)),0)</f>
        <v>1.7442</v>
      </c>
      <c r="K607" s="13" t="n">
        <f aca="false">H607+I607</f>
        <v>0.89</v>
      </c>
      <c r="L607" s="13" t="n">
        <f aca="false">MAX(0,D607-K607)</f>
        <v>0</v>
      </c>
      <c r="M607" s="13" t="n">
        <f aca="false">MAX(0,F607-I607-J607)</f>
        <v>0</v>
      </c>
      <c r="N607" s="13" t="n">
        <f aca="false">IF(Kalender!A241="",0,J606-H607)</f>
        <v>0.8542</v>
      </c>
    </row>
    <row r="608" customFormat="false" ht="16.4" hidden="false" customHeight="false" outlineLevel="0" collapsed="false">
      <c r="A608" s="13" t="str">
        <f aca="false">""</f>
        <v/>
      </c>
      <c r="B608" s="13" t="n">
        <f aca="false">238</f>
        <v>238</v>
      </c>
      <c r="C608" s="13" t="n">
        <f aca="false">IF(Szenarien!$H$9="OK",(IFERROR(SUMIF(Nutzungsprofile!$B$6:$B$11,"Schulbetrieb",Nutzungsprofile!$G$6:$G$11)*Kalender!C242/SUM(Kalender!$C$5:$C$370),0)+IFERROR(SUMIF(Nutzungsprofile!$B$6:$B$11,"Halle",Nutzungsprofile!$G$6:$G$11)*Kalender!D242/SUM(Kalender!$D$5:$D$370),0)+IFERROR(SUMIF(Nutzungsprofile!$B$6:$B$11,"Individuell",Nutzungsprofile!$G$6:$G$11)*Kalender!E242/SUM(Kalender!$E$5:$E$370),0))*Szenarien!$E$9,0)</f>
        <v>2.04</v>
      </c>
      <c r="D608" s="13" t="n">
        <f aca="false">IF(Szenarien!$H$9="OK",(IFERROR(SUMIF(Nutzungsprofile!$B$17:$B$22,"Schulbetrieb",Nutzungsprofile!$G$17:$G$22)*Kalender!C242/SUM(Kalender!$C$5:$C$370),0)+IFERROR(SUMIF(Nutzungsprofile!$B$17:$B$22,"Halle",Nutzungsprofile!$G$17:$G$22)*Kalender!D242/SUM(Kalender!$D$5:$D$370),0)+IFERROR(SUMIF(Nutzungsprofile!$B$17:$B$22,"Individuell",Nutzungsprofile!$G$17:$G$22)*Kalender!E242/SUM(Kalender!$E$5:$E$370),0))*Szenarien!$D$9,0)</f>
        <v>0.89</v>
      </c>
      <c r="E608" s="13" t="n">
        <f aca="false">IFERROR(MIN(C608,Eingaben!$B$17)*Eingaben!$B$16,0)</f>
        <v>1.938</v>
      </c>
      <c r="F608" s="13" t="n">
        <f aca="false">IFERROR(E608*Eingaben!$B$15,0)</f>
        <v>1.7442</v>
      </c>
      <c r="G608" s="13" t="n">
        <f aca="false">IFERROR(IF(Kalender!A242="",0,J607*(1-Eingaben!$B$20)),0)</f>
        <v>1.709316</v>
      </c>
      <c r="H608" s="13" t="n">
        <f aca="false">MIN(G608,D608)</f>
        <v>0.89</v>
      </c>
      <c r="I608" s="13" t="n">
        <f aca="false">IFERROR(MIN(F608*Eingaben!$B$19,MAX(0,D608-H608)),0)</f>
        <v>0</v>
      </c>
      <c r="J608" s="13" t="n">
        <f aca="false">IFERROR(MIN(Eingaben!$B$18,MAX(0,F608-I608)),0)</f>
        <v>1.7442</v>
      </c>
      <c r="K608" s="13" t="n">
        <f aca="false">H608+I608</f>
        <v>0.89</v>
      </c>
      <c r="L608" s="13" t="n">
        <f aca="false">MAX(0,D608-K608)</f>
        <v>0</v>
      </c>
      <c r="M608" s="13" t="n">
        <f aca="false">MAX(0,F608-I608-J608)</f>
        <v>0</v>
      </c>
      <c r="N608" s="13" t="n">
        <f aca="false">IF(Kalender!A242="",0,J607-H608)</f>
        <v>0.8542</v>
      </c>
    </row>
    <row r="609" customFormat="false" ht="16.4" hidden="false" customHeight="false" outlineLevel="0" collapsed="false">
      <c r="A609" s="13" t="str">
        <f aca="false">""</f>
        <v/>
      </c>
      <c r="B609" s="13" t="n">
        <f aca="false">239</f>
        <v>239</v>
      </c>
      <c r="C609" s="13" t="n">
        <f aca="false">IF(Szenarien!$H$9="OK",(IFERROR(SUMIF(Nutzungsprofile!$B$6:$B$11,"Schulbetrieb",Nutzungsprofile!$G$6:$G$11)*Kalender!C243/SUM(Kalender!$C$5:$C$370),0)+IFERROR(SUMIF(Nutzungsprofile!$B$6:$B$11,"Halle",Nutzungsprofile!$G$6:$G$11)*Kalender!D243/SUM(Kalender!$D$5:$D$370),0)+IFERROR(SUMIF(Nutzungsprofile!$B$6:$B$11,"Individuell",Nutzungsprofile!$G$6:$G$11)*Kalender!E243/SUM(Kalender!$E$5:$E$370),0))*Szenarien!$E$9,0)</f>
        <v>2.04</v>
      </c>
      <c r="D609" s="13" t="n">
        <f aca="false">IF(Szenarien!$H$9="OK",(IFERROR(SUMIF(Nutzungsprofile!$B$17:$B$22,"Schulbetrieb",Nutzungsprofile!$G$17:$G$22)*Kalender!C243/SUM(Kalender!$C$5:$C$370),0)+IFERROR(SUMIF(Nutzungsprofile!$B$17:$B$22,"Halle",Nutzungsprofile!$G$17:$G$22)*Kalender!D243/SUM(Kalender!$D$5:$D$370),0)+IFERROR(SUMIF(Nutzungsprofile!$B$17:$B$22,"Individuell",Nutzungsprofile!$G$17:$G$22)*Kalender!E243/SUM(Kalender!$E$5:$E$370),0))*Szenarien!$D$9,0)</f>
        <v>0.89</v>
      </c>
      <c r="E609" s="13" t="n">
        <f aca="false">IFERROR(MIN(C609,Eingaben!$B$17)*Eingaben!$B$16,0)</f>
        <v>1.938</v>
      </c>
      <c r="F609" s="13" t="n">
        <f aca="false">IFERROR(E609*Eingaben!$B$15,0)</f>
        <v>1.7442</v>
      </c>
      <c r="G609" s="13" t="n">
        <f aca="false">IFERROR(IF(Kalender!A243="",0,J608*(1-Eingaben!$B$20)),0)</f>
        <v>1.709316</v>
      </c>
      <c r="H609" s="13" t="n">
        <f aca="false">MIN(G609,D609)</f>
        <v>0.89</v>
      </c>
      <c r="I609" s="13" t="n">
        <f aca="false">IFERROR(MIN(F609*Eingaben!$B$19,MAX(0,D609-H609)),0)</f>
        <v>0</v>
      </c>
      <c r="J609" s="13" t="n">
        <f aca="false">IFERROR(MIN(Eingaben!$B$18,MAX(0,F609-I609)),0)</f>
        <v>1.7442</v>
      </c>
      <c r="K609" s="13" t="n">
        <f aca="false">H609+I609</f>
        <v>0.89</v>
      </c>
      <c r="L609" s="13" t="n">
        <f aca="false">MAX(0,D609-K609)</f>
        <v>0</v>
      </c>
      <c r="M609" s="13" t="n">
        <f aca="false">MAX(0,F609-I609-J609)</f>
        <v>0</v>
      </c>
      <c r="N609" s="13" t="n">
        <f aca="false">IF(Kalender!A243="",0,J608-H609)</f>
        <v>0.8542</v>
      </c>
    </row>
    <row r="610" customFormat="false" ht="16.4" hidden="false" customHeight="false" outlineLevel="0" collapsed="false">
      <c r="A610" s="13" t="str">
        <f aca="false">""</f>
        <v/>
      </c>
      <c r="B610" s="13" t="n">
        <f aca="false">240</f>
        <v>240</v>
      </c>
      <c r="C610" s="13" t="n">
        <f aca="false">IF(Szenarien!$H$9="OK",(IFERROR(SUMIF(Nutzungsprofile!$B$6:$B$11,"Schulbetrieb",Nutzungsprofile!$G$6:$G$11)*Kalender!C244/SUM(Kalender!$C$5:$C$370),0)+IFERROR(SUMIF(Nutzungsprofile!$B$6:$B$11,"Halle",Nutzungsprofile!$G$6:$G$11)*Kalender!D244/SUM(Kalender!$D$5:$D$370),0)+IFERROR(SUMIF(Nutzungsprofile!$B$6:$B$11,"Individuell",Nutzungsprofile!$G$6:$G$11)*Kalender!E244/SUM(Kalender!$E$5:$E$370),0))*Szenarien!$E$9,0)</f>
        <v>2.04</v>
      </c>
      <c r="D610" s="13" t="n">
        <f aca="false">IF(Szenarien!$H$9="OK",(IFERROR(SUMIF(Nutzungsprofile!$B$17:$B$22,"Schulbetrieb",Nutzungsprofile!$G$17:$G$22)*Kalender!C244/SUM(Kalender!$C$5:$C$370),0)+IFERROR(SUMIF(Nutzungsprofile!$B$17:$B$22,"Halle",Nutzungsprofile!$G$17:$G$22)*Kalender!D244/SUM(Kalender!$D$5:$D$370),0)+IFERROR(SUMIF(Nutzungsprofile!$B$17:$B$22,"Individuell",Nutzungsprofile!$G$17:$G$22)*Kalender!E244/SUM(Kalender!$E$5:$E$370),0))*Szenarien!$D$9,0)</f>
        <v>0.89</v>
      </c>
      <c r="E610" s="13" t="n">
        <f aca="false">IFERROR(MIN(C610,Eingaben!$B$17)*Eingaben!$B$16,0)</f>
        <v>1.938</v>
      </c>
      <c r="F610" s="13" t="n">
        <f aca="false">IFERROR(E610*Eingaben!$B$15,0)</f>
        <v>1.7442</v>
      </c>
      <c r="G610" s="13" t="n">
        <f aca="false">IFERROR(IF(Kalender!A244="",0,J609*(1-Eingaben!$B$20)),0)</f>
        <v>1.709316</v>
      </c>
      <c r="H610" s="13" t="n">
        <f aca="false">MIN(G610,D610)</f>
        <v>0.89</v>
      </c>
      <c r="I610" s="13" t="n">
        <f aca="false">IFERROR(MIN(F610*Eingaben!$B$19,MAX(0,D610-H610)),0)</f>
        <v>0</v>
      </c>
      <c r="J610" s="13" t="n">
        <f aca="false">IFERROR(MIN(Eingaben!$B$18,MAX(0,F610-I610)),0)</f>
        <v>1.7442</v>
      </c>
      <c r="K610" s="13" t="n">
        <f aca="false">H610+I610</f>
        <v>0.89</v>
      </c>
      <c r="L610" s="13" t="n">
        <f aca="false">MAX(0,D610-K610)</f>
        <v>0</v>
      </c>
      <c r="M610" s="13" t="n">
        <f aca="false">MAX(0,F610-I610-J610)</f>
        <v>0</v>
      </c>
      <c r="N610" s="13" t="n">
        <f aca="false">IF(Kalender!A244="",0,J609-H610)</f>
        <v>0.8542</v>
      </c>
    </row>
    <row r="611" customFormat="false" ht="16.4" hidden="false" customHeight="false" outlineLevel="0" collapsed="false">
      <c r="A611" s="13" t="str">
        <f aca="false">""</f>
        <v/>
      </c>
      <c r="B611" s="13" t="n">
        <f aca="false">241</f>
        <v>241</v>
      </c>
      <c r="C611" s="13" t="n">
        <f aca="false">IF(Szenarien!$H$9="OK",(IFERROR(SUMIF(Nutzungsprofile!$B$6:$B$11,"Schulbetrieb",Nutzungsprofile!$G$6:$G$11)*Kalender!C245/SUM(Kalender!$C$5:$C$370),0)+IFERROR(SUMIF(Nutzungsprofile!$B$6:$B$11,"Halle",Nutzungsprofile!$G$6:$G$11)*Kalender!D245/SUM(Kalender!$D$5:$D$370),0)+IFERROR(SUMIF(Nutzungsprofile!$B$6:$B$11,"Individuell",Nutzungsprofile!$G$6:$G$11)*Kalender!E245/SUM(Kalender!$E$5:$E$370),0))*Szenarien!$E$9,0)</f>
        <v>2.04</v>
      </c>
      <c r="D611" s="13" t="n">
        <f aca="false">IF(Szenarien!$H$9="OK",(IFERROR(SUMIF(Nutzungsprofile!$B$17:$B$22,"Schulbetrieb",Nutzungsprofile!$G$17:$G$22)*Kalender!C245/SUM(Kalender!$C$5:$C$370),0)+IFERROR(SUMIF(Nutzungsprofile!$B$17:$B$22,"Halle",Nutzungsprofile!$G$17:$G$22)*Kalender!D245/SUM(Kalender!$D$5:$D$370),0)+IFERROR(SUMIF(Nutzungsprofile!$B$17:$B$22,"Individuell",Nutzungsprofile!$G$17:$G$22)*Kalender!E245/SUM(Kalender!$E$5:$E$370),0))*Szenarien!$D$9,0)</f>
        <v>0.89</v>
      </c>
      <c r="E611" s="13" t="n">
        <f aca="false">IFERROR(MIN(C611,Eingaben!$B$17)*Eingaben!$B$16,0)</f>
        <v>1.938</v>
      </c>
      <c r="F611" s="13" t="n">
        <f aca="false">IFERROR(E611*Eingaben!$B$15,0)</f>
        <v>1.7442</v>
      </c>
      <c r="G611" s="13" t="n">
        <f aca="false">IFERROR(IF(Kalender!A245="",0,J610*(1-Eingaben!$B$20)),0)</f>
        <v>1.709316</v>
      </c>
      <c r="H611" s="13" t="n">
        <f aca="false">MIN(G611,D611)</f>
        <v>0.89</v>
      </c>
      <c r="I611" s="13" t="n">
        <f aca="false">IFERROR(MIN(F611*Eingaben!$B$19,MAX(0,D611-H611)),0)</f>
        <v>0</v>
      </c>
      <c r="J611" s="13" t="n">
        <f aca="false">IFERROR(MIN(Eingaben!$B$18,MAX(0,F611-I611)),0)</f>
        <v>1.7442</v>
      </c>
      <c r="K611" s="13" t="n">
        <f aca="false">H611+I611</f>
        <v>0.89</v>
      </c>
      <c r="L611" s="13" t="n">
        <f aca="false">MAX(0,D611-K611)</f>
        <v>0</v>
      </c>
      <c r="M611" s="13" t="n">
        <f aca="false">MAX(0,F611-I611-J611)</f>
        <v>0</v>
      </c>
      <c r="N611" s="13" t="n">
        <f aca="false">IF(Kalender!A245="",0,J610-H611)</f>
        <v>0.8542</v>
      </c>
    </row>
    <row r="612" customFormat="false" ht="16.4" hidden="false" customHeight="false" outlineLevel="0" collapsed="false">
      <c r="A612" s="13" t="str">
        <f aca="false">""</f>
        <v/>
      </c>
      <c r="B612" s="13" t="n">
        <f aca="false">242</f>
        <v>242</v>
      </c>
      <c r="C612" s="13" t="n">
        <f aca="false">IF(Szenarien!$H$9="OK",(IFERROR(SUMIF(Nutzungsprofile!$B$6:$B$11,"Schulbetrieb",Nutzungsprofile!$G$6:$G$11)*Kalender!C246/SUM(Kalender!$C$5:$C$370),0)+IFERROR(SUMIF(Nutzungsprofile!$B$6:$B$11,"Halle",Nutzungsprofile!$G$6:$G$11)*Kalender!D246/SUM(Kalender!$D$5:$D$370),0)+IFERROR(SUMIF(Nutzungsprofile!$B$6:$B$11,"Individuell",Nutzungsprofile!$G$6:$G$11)*Kalender!E246/SUM(Kalender!$E$5:$E$370),0))*Szenarien!$E$9,0)</f>
        <v>2.04</v>
      </c>
      <c r="D612" s="13" t="n">
        <f aca="false">IF(Szenarien!$H$9="OK",(IFERROR(SUMIF(Nutzungsprofile!$B$17:$B$22,"Schulbetrieb",Nutzungsprofile!$G$17:$G$22)*Kalender!C246/SUM(Kalender!$C$5:$C$370),0)+IFERROR(SUMIF(Nutzungsprofile!$B$17:$B$22,"Halle",Nutzungsprofile!$G$17:$G$22)*Kalender!D246/SUM(Kalender!$D$5:$D$370),0)+IFERROR(SUMIF(Nutzungsprofile!$B$17:$B$22,"Individuell",Nutzungsprofile!$G$17:$G$22)*Kalender!E246/SUM(Kalender!$E$5:$E$370),0))*Szenarien!$D$9,0)</f>
        <v>0.89</v>
      </c>
      <c r="E612" s="13" t="n">
        <f aca="false">IFERROR(MIN(C612,Eingaben!$B$17)*Eingaben!$B$16,0)</f>
        <v>1.938</v>
      </c>
      <c r="F612" s="13" t="n">
        <f aca="false">IFERROR(E612*Eingaben!$B$15,0)</f>
        <v>1.7442</v>
      </c>
      <c r="G612" s="13" t="n">
        <f aca="false">IFERROR(IF(Kalender!A246="",0,J611*(1-Eingaben!$B$20)),0)</f>
        <v>1.709316</v>
      </c>
      <c r="H612" s="13" t="n">
        <f aca="false">MIN(G612,D612)</f>
        <v>0.89</v>
      </c>
      <c r="I612" s="13" t="n">
        <f aca="false">IFERROR(MIN(F612*Eingaben!$B$19,MAX(0,D612-H612)),0)</f>
        <v>0</v>
      </c>
      <c r="J612" s="13" t="n">
        <f aca="false">IFERROR(MIN(Eingaben!$B$18,MAX(0,F612-I612)),0)</f>
        <v>1.7442</v>
      </c>
      <c r="K612" s="13" t="n">
        <f aca="false">H612+I612</f>
        <v>0.89</v>
      </c>
      <c r="L612" s="13" t="n">
        <f aca="false">MAX(0,D612-K612)</f>
        <v>0</v>
      </c>
      <c r="M612" s="13" t="n">
        <f aca="false">MAX(0,F612-I612-J612)</f>
        <v>0</v>
      </c>
      <c r="N612" s="13" t="n">
        <f aca="false">IF(Kalender!A246="",0,J611-H612)</f>
        <v>0.8542</v>
      </c>
    </row>
    <row r="613" customFormat="false" ht="16.4" hidden="false" customHeight="false" outlineLevel="0" collapsed="false">
      <c r="A613" s="13" t="str">
        <f aca="false">""</f>
        <v/>
      </c>
      <c r="B613" s="13" t="n">
        <f aca="false">243</f>
        <v>243</v>
      </c>
      <c r="C613" s="13" t="n">
        <f aca="false">IF(Szenarien!$H$9="OK",(IFERROR(SUMIF(Nutzungsprofile!$B$6:$B$11,"Schulbetrieb",Nutzungsprofile!$G$6:$G$11)*Kalender!C247/SUM(Kalender!$C$5:$C$370),0)+IFERROR(SUMIF(Nutzungsprofile!$B$6:$B$11,"Halle",Nutzungsprofile!$G$6:$G$11)*Kalender!D247/SUM(Kalender!$D$5:$D$370),0)+IFERROR(SUMIF(Nutzungsprofile!$B$6:$B$11,"Individuell",Nutzungsprofile!$G$6:$G$11)*Kalender!E247/SUM(Kalender!$E$5:$E$370),0))*Szenarien!$E$9,0)</f>
        <v>2.04</v>
      </c>
      <c r="D613" s="13" t="n">
        <f aca="false">IF(Szenarien!$H$9="OK",(IFERROR(SUMIF(Nutzungsprofile!$B$17:$B$22,"Schulbetrieb",Nutzungsprofile!$G$17:$G$22)*Kalender!C247/SUM(Kalender!$C$5:$C$370),0)+IFERROR(SUMIF(Nutzungsprofile!$B$17:$B$22,"Halle",Nutzungsprofile!$G$17:$G$22)*Kalender!D247/SUM(Kalender!$D$5:$D$370),0)+IFERROR(SUMIF(Nutzungsprofile!$B$17:$B$22,"Individuell",Nutzungsprofile!$G$17:$G$22)*Kalender!E247/SUM(Kalender!$E$5:$E$370),0))*Szenarien!$D$9,0)</f>
        <v>0.89</v>
      </c>
      <c r="E613" s="13" t="n">
        <f aca="false">IFERROR(MIN(C613,Eingaben!$B$17)*Eingaben!$B$16,0)</f>
        <v>1.938</v>
      </c>
      <c r="F613" s="13" t="n">
        <f aca="false">IFERROR(E613*Eingaben!$B$15,0)</f>
        <v>1.7442</v>
      </c>
      <c r="G613" s="13" t="n">
        <f aca="false">IFERROR(IF(Kalender!A247="",0,J612*(1-Eingaben!$B$20)),0)</f>
        <v>1.709316</v>
      </c>
      <c r="H613" s="13" t="n">
        <f aca="false">MIN(G613,D613)</f>
        <v>0.89</v>
      </c>
      <c r="I613" s="13" t="n">
        <f aca="false">IFERROR(MIN(F613*Eingaben!$B$19,MAX(0,D613-H613)),0)</f>
        <v>0</v>
      </c>
      <c r="J613" s="13" t="n">
        <f aca="false">IFERROR(MIN(Eingaben!$B$18,MAX(0,F613-I613)),0)</f>
        <v>1.7442</v>
      </c>
      <c r="K613" s="13" t="n">
        <f aca="false">H613+I613</f>
        <v>0.89</v>
      </c>
      <c r="L613" s="13" t="n">
        <f aca="false">MAX(0,D613-K613)</f>
        <v>0</v>
      </c>
      <c r="M613" s="13" t="n">
        <f aca="false">MAX(0,F613-I613-J613)</f>
        <v>0</v>
      </c>
      <c r="N613" s="13" t="n">
        <f aca="false">IF(Kalender!A247="",0,J612-H613)</f>
        <v>0.8542</v>
      </c>
    </row>
    <row r="614" customFormat="false" ht="16.4" hidden="false" customHeight="false" outlineLevel="0" collapsed="false">
      <c r="A614" s="13" t="str">
        <f aca="false">""</f>
        <v/>
      </c>
      <c r="B614" s="13" t="n">
        <f aca="false">244</f>
        <v>244</v>
      </c>
      <c r="C614" s="13" t="n">
        <f aca="false">IF(Szenarien!$H$9="OK",(IFERROR(SUMIF(Nutzungsprofile!$B$6:$B$11,"Schulbetrieb",Nutzungsprofile!$G$6:$G$11)*Kalender!C248/SUM(Kalender!$C$5:$C$370),0)+IFERROR(SUMIF(Nutzungsprofile!$B$6:$B$11,"Halle",Nutzungsprofile!$G$6:$G$11)*Kalender!D248/SUM(Kalender!$D$5:$D$370),0)+IFERROR(SUMIF(Nutzungsprofile!$B$6:$B$11,"Individuell",Nutzungsprofile!$G$6:$G$11)*Kalender!E248/SUM(Kalender!$E$5:$E$370),0))*Szenarien!$E$9,0)</f>
        <v>2.94</v>
      </c>
      <c r="D614" s="13" t="n">
        <f aca="false">IF(Szenarien!$H$9="OK",(IFERROR(SUMIF(Nutzungsprofile!$B$17:$B$22,"Schulbetrieb",Nutzungsprofile!$G$17:$G$22)*Kalender!C248/SUM(Kalender!$C$5:$C$370),0)+IFERROR(SUMIF(Nutzungsprofile!$B$17:$B$22,"Halle",Nutzungsprofile!$G$17:$G$22)*Kalender!D248/SUM(Kalender!$D$5:$D$370),0)+IFERROR(SUMIF(Nutzungsprofile!$B$17:$B$22,"Individuell",Nutzungsprofile!$G$17:$G$22)*Kalender!E248/SUM(Kalender!$E$5:$E$370),0))*Szenarien!$D$9,0)</f>
        <v>4.94</v>
      </c>
      <c r="E614" s="13" t="n">
        <f aca="false">IFERROR(MIN(C614,Eingaben!$B$17)*Eingaben!$B$16,0)</f>
        <v>2.793</v>
      </c>
      <c r="F614" s="13" t="n">
        <f aca="false">IFERROR(E614*Eingaben!$B$15,0)</f>
        <v>2.5137</v>
      </c>
      <c r="G614" s="13" t="n">
        <f aca="false">IFERROR(IF(Kalender!A248="",0,J613*(1-Eingaben!$B$20)),0)</f>
        <v>1.709316</v>
      </c>
      <c r="H614" s="13" t="n">
        <f aca="false">MIN(G614,D614)</f>
        <v>1.709316</v>
      </c>
      <c r="I614" s="13" t="n">
        <f aca="false">IFERROR(MIN(F614*Eingaben!$B$19,MAX(0,D614-H614)),0)</f>
        <v>1.75959</v>
      </c>
      <c r="J614" s="13" t="n">
        <f aca="false">IFERROR(MIN(Eingaben!$B$18,MAX(0,F614-I614)),0)</f>
        <v>0.75411</v>
      </c>
      <c r="K614" s="13" t="n">
        <f aca="false">H614+I614</f>
        <v>3.468906</v>
      </c>
      <c r="L614" s="13" t="n">
        <f aca="false">MAX(0,D614-K614)</f>
        <v>1.471094</v>
      </c>
      <c r="M614" s="13" t="n">
        <f aca="false">MAX(0,F614-I614-J614)</f>
        <v>0</v>
      </c>
      <c r="N614" s="13" t="n">
        <f aca="false">IF(Kalender!A248="",0,J613-H614)</f>
        <v>0.0348840000000001</v>
      </c>
    </row>
    <row r="615" customFormat="false" ht="16.4" hidden="false" customHeight="false" outlineLevel="0" collapsed="false">
      <c r="A615" s="13" t="str">
        <f aca="false">""</f>
        <v/>
      </c>
      <c r="B615" s="13" t="n">
        <f aca="false">245</f>
        <v>245</v>
      </c>
      <c r="C615" s="13" t="n">
        <f aca="false">IF(Szenarien!$H$9="OK",(IFERROR(SUMIF(Nutzungsprofile!$B$6:$B$11,"Schulbetrieb",Nutzungsprofile!$G$6:$G$11)*Kalender!C249/SUM(Kalender!$C$5:$C$370),0)+IFERROR(SUMIF(Nutzungsprofile!$B$6:$B$11,"Halle",Nutzungsprofile!$G$6:$G$11)*Kalender!D249/SUM(Kalender!$D$5:$D$370),0)+IFERROR(SUMIF(Nutzungsprofile!$B$6:$B$11,"Individuell",Nutzungsprofile!$G$6:$G$11)*Kalender!E249/SUM(Kalender!$E$5:$E$370),0))*Szenarien!$E$9,0)</f>
        <v>2.94</v>
      </c>
      <c r="D615" s="13" t="n">
        <f aca="false">IF(Szenarien!$H$9="OK",(IFERROR(SUMIF(Nutzungsprofile!$B$17:$B$22,"Schulbetrieb",Nutzungsprofile!$G$17:$G$22)*Kalender!C249/SUM(Kalender!$C$5:$C$370),0)+IFERROR(SUMIF(Nutzungsprofile!$B$17:$B$22,"Halle",Nutzungsprofile!$G$17:$G$22)*Kalender!D249/SUM(Kalender!$D$5:$D$370),0)+IFERROR(SUMIF(Nutzungsprofile!$B$17:$B$22,"Individuell",Nutzungsprofile!$G$17:$G$22)*Kalender!E249/SUM(Kalender!$E$5:$E$370),0))*Szenarien!$D$9,0)</f>
        <v>4.94</v>
      </c>
      <c r="E615" s="13" t="n">
        <f aca="false">IFERROR(MIN(C615,Eingaben!$B$17)*Eingaben!$B$16,0)</f>
        <v>2.793</v>
      </c>
      <c r="F615" s="13" t="n">
        <f aca="false">IFERROR(E615*Eingaben!$B$15,0)</f>
        <v>2.5137</v>
      </c>
      <c r="G615" s="13" t="n">
        <f aca="false">IFERROR(IF(Kalender!A249="",0,J614*(1-Eingaben!$B$20)),0)</f>
        <v>0.7390278</v>
      </c>
      <c r="H615" s="13" t="n">
        <f aca="false">MIN(G615,D615)</f>
        <v>0.7390278</v>
      </c>
      <c r="I615" s="13" t="n">
        <f aca="false">IFERROR(MIN(F615*Eingaben!$B$19,MAX(0,D615-H615)),0)</f>
        <v>1.75959</v>
      </c>
      <c r="J615" s="13" t="n">
        <f aca="false">IFERROR(MIN(Eingaben!$B$18,MAX(0,F615-I615)),0)</f>
        <v>0.75411</v>
      </c>
      <c r="K615" s="13" t="n">
        <f aca="false">H615+I615</f>
        <v>2.4986178</v>
      </c>
      <c r="L615" s="13" t="n">
        <f aca="false">MAX(0,D615-K615)</f>
        <v>2.4413822</v>
      </c>
      <c r="M615" s="13" t="n">
        <f aca="false">MAX(0,F615-I615-J615)</f>
        <v>0</v>
      </c>
      <c r="N615" s="13" t="n">
        <f aca="false">IF(Kalender!A249="",0,J614-H615)</f>
        <v>0.0150822</v>
      </c>
    </row>
    <row r="616" customFormat="false" ht="16.4" hidden="false" customHeight="false" outlineLevel="0" collapsed="false">
      <c r="A616" s="13" t="str">
        <f aca="false">""</f>
        <v/>
      </c>
      <c r="B616" s="13" t="n">
        <f aca="false">246</f>
        <v>246</v>
      </c>
      <c r="C616" s="13" t="n">
        <f aca="false">IF(Szenarien!$H$9="OK",(IFERROR(SUMIF(Nutzungsprofile!$B$6:$B$11,"Schulbetrieb",Nutzungsprofile!$G$6:$G$11)*Kalender!C250/SUM(Kalender!$C$5:$C$370),0)+IFERROR(SUMIF(Nutzungsprofile!$B$6:$B$11,"Halle",Nutzungsprofile!$G$6:$G$11)*Kalender!D250/SUM(Kalender!$D$5:$D$370),0)+IFERROR(SUMIF(Nutzungsprofile!$B$6:$B$11,"Individuell",Nutzungsprofile!$G$6:$G$11)*Kalender!E250/SUM(Kalender!$E$5:$E$370),0))*Szenarien!$E$9,0)</f>
        <v>2.94</v>
      </c>
      <c r="D616" s="13" t="n">
        <f aca="false">IF(Szenarien!$H$9="OK",(IFERROR(SUMIF(Nutzungsprofile!$B$17:$B$22,"Schulbetrieb",Nutzungsprofile!$G$17:$G$22)*Kalender!C250/SUM(Kalender!$C$5:$C$370),0)+IFERROR(SUMIF(Nutzungsprofile!$B$17:$B$22,"Halle",Nutzungsprofile!$G$17:$G$22)*Kalender!D250/SUM(Kalender!$D$5:$D$370),0)+IFERROR(SUMIF(Nutzungsprofile!$B$17:$B$22,"Individuell",Nutzungsprofile!$G$17:$G$22)*Kalender!E250/SUM(Kalender!$E$5:$E$370),0))*Szenarien!$D$9,0)</f>
        <v>4.94</v>
      </c>
      <c r="E616" s="13" t="n">
        <f aca="false">IFERROR(MIN(C616,Eingaben!$B$17)*Eingaben!$B$16,0)</f>
        <v>2.793</v>
      </c>
      <c r="F616" s="13" t="n">
        <f aca="false">IFERROR(E616*Eingaben!$B$15,0)</f>
        <v>2.5137</v>
      </c>
      <c r="G616" s="13" t="n">
        <f aca="false">IFERROR(IF(Kalender!A250="",0,J615*(1-Eingaben!$B$20)),0)</f>
        <v>0.7390278</v>
      </c>
      <c r="H616" s="13" t="n">
        <f aca="false">MIN(G616,D616)</f>
        <v>0.7390278</v>
      </c>
      <c r="I616" s="13" t="n">
        <f aca="false">IFERROR(MIN(F616*Eingaben!$B$19,MAX(0,D616-H616)),0)</f>
        <v>1.75959</v>
      </c>
      <c r="J616" s="13" t="n">
        <f aca="false">IFERROR(MIN(Eingaben!$B$18,MAX(0,F616-I616)),0)</f>
        <v>0.75411</v>
      </c>
      <c r="K616" s="13" t="n">
        <f aca="false">H616+I616</f>
        <v>2.4986178</v>
      </c>
      <c r="L616" s="13" t="n">
        <f aca="false">MAX(0,D616-K616)</f>
        <v>2.4413822</v>
      </c>
      <c r="M616" s="13" t="n">
        <f aca="false">MAX(0,F616-I616-J616)</f>
        <v>0</v>
      </c>
      <c r="N616" s="13" t="n">
        <f aca="false">IF(Kalender!A250="",0,J615-H616)</f>
        <v>0.0150822</v>
      </c>
    </row>
    <row r="617" customFormat="false" ht="16.4" hidden="false" customHeight="false" outlineLevel="0" collapsed="false">
      <c r="A617" s="13" t="str">
        <f aca="false">""</f>
        <v/>
      </c>
      <c r="B617" s="13" t="n">
        <f aca="false">247</f>
        <v>247</v>
      </c>
      <c r="C617" s="13" t="n">
        <f aca="false">IF(Szenarien!$H$9="OK",(IFERROR(SUMIF(Nutzungsprofile!$B$6:$B$11,"Schulbetrieb",Nutzungsprofile!$G$6:$G$11)*Kalender!C251/SUM(Kalender!$C$5:$C$370),0)+IFERROR(SUMIF(Nutzungsprofile!$B$6:$B$11,"Halle",Nutzungsprofile!$G$6:$G$11)*Kalender!D251/SUM(Kalender!$D$5:$D$370),0)+IFERROR(SUMIF(Nutzungsprofile!$B$6:$B$11,"Individuell",Nutzungsprofile!$G$6:$G$11)*Kalender!E251/SUM(Kalender!$E$5:$E$370),0))*Szenarien!$E$9,0)</f>
        <v>2.94</v>
      </c>
      <c r="D617" s="13" t="n">
        <f aca="false">IF(Szenarien!$H$9="OK",(IFERROR(SUMIF(Nutzungsprofile!$B$17:$B$22,"Schulbetrieb",Nutzungsprofile!$G$17:$G$22)*Kalender!C251/SUM(Kalender!$C$5:$C$370),0)+IFERROR(SUMIF(Nutzungsprofile!$B$17:$B$22,"Halle",Nutzungsprofile!$G$17:$G$22)*Kalender!D251/SUM(Kalender!$D$5:$D$370),0)+IFERROR(SUMIF(Nutzungsprofile!$B$17:$B$22,"Individuell",Nutzungsprofile!$G$17:$G$22)*Kalender!E251/SUM(Kalender!$E$5:$E$370),0))*Szenarien!$D$9,0)</f>
        <v>4.94</v>
      </c>
      <c r="E617" s="13" t="n">
        <f aca="false">IFERROR(MIN(C617,Eingaben!$B$17)*Eingaben!$B$16,0)</f>
        <v>2.793</v>
      </c>
      <c r="F617" s="13" t="n">
        <f aca="false">IFERROR(E617*Eingaben!$B$15,0)</f>
        <v>2.5137</v>
      </c>
      <c r="G617" s="13" t="n">
        <f aca="false">IFERROR(IF(Kalender!A251="",0,J616*(1-Eingaben!$B$20)),0)</f>
        <v>0.7390278</v>
      </c>
      <c r="H617" s="13" t="n">
        <f aca="false">MIN(G617,D617)</f>
        <v>0.7390278</v>
      </c>
      <c r="I617" s="13" t="n">
        <f aca="false">IFERROR(MIN(F617*Eingaben!$B$19,MAX(0,D617-H617)),0)</f>
        <v>1.75959</v>
      </c>
      <c r="J617" s="13" t="n">
        <f aca="false">IFERROR(MIN(Eingaben!$B$18,MAX(0,F617-I617)),0)</f>
        <v>0.75411</v>
      </c>
      <c r="K617" s="13" t="n">
        <f aca="false">H617+I617</f>
        <v>2.4986178</v>
      </c>
      <c r="L617" s="13" t="n">
        <f aca="false">MAX(0,D617-K617)</f>
        <v>2.4413822</v>
      </c>
      <c r="M617" s="13" t="n">
        <f aca="false">MAX(0,F617-I617-J617)</f>
        <v>0</v>
      </c>
      <c r="N617" s="13" t="n">
        <f aca="false">IF(Kalender!A251="",0,J616-H617)</f>
        <v>0.0150822</v>
      </c>
    </row>
    <row r="618" customFormat="false" ht="16.4" hidden="false" customHeight="false" outlineLevel="0" collapsed="false">
      <c r="A618" s="13" t="str">
        <f aca="false">""</f>
        <v/>
      </c>
      <c r="B618" s="13" t="n">
        <f aca="false">248</f>
        <v>248</v>
      </c>
      <c r="C618" s="13" t="n">
        <f aca="false">IF(Szenarien!$H$9="OK",(IFERROR(SUMIF(Nutzungsprofile!$B$6:$B$11,"Schulbetrieb",Nutzungsprofile!$G$6:$G$11)*Kalender!C252/SUM(Kalender!$C$5:$C$370),0)+IFERROR(SUMIF(Nutzungsprofile!$B$6:$B$11,"Halle",Nutzungsprofile!$G$6:$G$11)*Kalender!D252/SUM(Kalender!$D$5:$D$370),0)+IFERROR(SUMIF(Nutzungsprofile!$B$6:$B$11,"Individuell",Nutzungsprofile!$G$6:$G$11)*Kalender!E252/SUM(Kalender!$E$5:$E$370),0))*Szenarien!$E$9,0)</f>
        <v>2.04</v>
      </c>
      <c r="D618" s="13" t="n">
        <f aca="false">IF(Szenarien!$H$9="OK",(IFERROR(SUMIF(Nutzungsprofile!$B$17:$B$22,"Schulbetrieb",Nutzungsprofile!$G$17:$G$22)*Kalender!C252/SUM(Kalender!$C$5:$C$370),0)+IFERROR(SUMIF(Nutzungsprofile!$B$17:$B$22,"Halle",Nutzungsprofile!$G$17:$G$22)*Kalender!D252/SUM(Kalender!$D$5:$D$370),0)+IFERROR(SUMIF(Nutzungsprofile!$B$17:$B$22,"Individuell",Nutzungsprofile!$G$17:$G$22)*Kalender!E252/SUM(Kalender!$E$5:$E$370),0))*Szenarien!$D$9,0)</f>
        <v>0.89</v>
      </c>
      <c r="E618" s="13" t="n">
        <f aca="false">IFERROR(MIN(C618,Eingaben!$B$17)*Eingaben!$B$16,0)</f>
        <v>1.938</v>
      </c>
      <c r="F618" s="13" t="n">
        <f aca="false">IFERROR(E618*Eingaben!$B$15,0)</f>
        <v>1.7442</v>
      </c>
      <c r="G618" s="13" t="n">
        <f aca="false">IFERROR(IF(Kalender!A252="",0,J617*(1-Eingaben!$B$20)),0)</f>
        <v>0.7390278</v>
      </c>
      <c r="H618" s="13" t="n">
        <f aca="false">MIN(G618,D618)</f>
        <v>0.7390278</v>
      </c>
      <c r="I618" s="13" t="n">
        <f aca="false">IFERROR(MIN(F618*Eingaben!$B$19,MAX(0,D618-H618)),0)</f>
        <v>0.1509722</v>
      </c>
      <c r="J618" s="13" t="n">
        <f aca="false">IFERROR(MIN(Eingaben!$B$18,MAX(0,F618-I618)),0)</f>
        <v>1.5932278</v>
      </c>
      <c r="K618" s="13" t="n">
        <f aca="false">H618+I618</f>
        <v>0.89</v>
      </c>
      <c r="L618" s="13" t="n">
        <f aca="false">MAX(0,D618-K618)</f>
        <v>0</v>
      </c>
      <c r="M618" s="13" t="n">
        <f aca="false">MAX(0,F618-I618-J618)</f>
        <v>0</v>
      </c>
      <c r="N618" s="13" t="n">
        <f aca="false">IF(Kalender!A252="",0,J617-H618)</f>
        <v>0.0150822</v>
      </c>
    </row>
    <row r="619" customFormat="false" ht="16.4" hidden="false" customHeight="false" outlineLevel="0" collapsed="false">
      <c r="A619" s="13" t="str">
        <f aca="false">""</f>
        <v/>
      </c>
      <c r="B619" s="13" t="n">
        <f aca="false">249</f>
        <v>249</v>
      </c>
      <c r="C619" s="13" t="n">
        <f aca="false">IF(Szenarien!$H$9="OK",(IFERROR(SUMIF(Nutzungsprofile!$B$6:$B$11,"Schulbetrieb",Nutzungsprofile!$G$6:$G$11)*Kalender!C253/SUM(Kalender!$C$5:$C$370),0)+IFERROR(SUMIF(Nutzungsprofile!$B$6:$B$11,"Halle",Nutzungsprofile!$G$6:$G$11)*Kalender!D253/SUM(Kalender!$D$5:$D$370),0)+IFERROR(SUMIF(Nutzungsprofile!$B$6:$B$11,"Individuell",Nutzungsprofile!$G$6:$G$11)*Kalender!E253/SUM(Kalender!$E$5:$E$370),0))*Szenarien!$E$9,0)</f>
        <v>2.04</v>
      </c>
      <c r="D619" s="13" t="n">
        <f aca="false">IF(Szenarien!$H$9="OK",(IFERROR(SUMIF(Nutzungsprofile!$B$17:$B$22,"Schulbetrieb",Nutzungsprofile!$G$17:$G$22)*Kalender!C253/SUM(Kalender!$C$5:$C$370),0)+IFERROR(SUMIF(Nutzungsprofile!$B$17:$B$22,"Halle",Nutzungsprofile!$G$17:$G$22)*Kalender!D253/SUM(Kalender!$D$5:$D$370),0)+IFERROR(SUMIF(Nutzungsprofile!$B$17:$B$22,"Individuell",Nutzungsprofile!$G$17:$G$22)*Kalender!E253/SUM(Kalender!$E$5:$E$370),0))*Szenarien!$D$9,0)</f>
        <v>0.89</v>
      </c>
      <c r="E619" s="13" t="n">
        <f aca="false">IFERROR(MIN(C619,Eingaben!$B$17)*Eingaben!$B$16,0)</f>
        <v>1.938</v>
      </c>
      <c r="F619" s="13" t="n">
        <f aca="false">IFERROR(E619*Eingaben!$B$15,0)</f>
        <v>1.7442</v>
      </c>
      <c r="G619" s="13" t="n">
        <f aca="false">IFERROR(IF(Kalender!A253="",0,J618*(1-Eingaben!$B$20)),0)</f>
        <v>1.561363244</v>
      </c>
      <c r="H619" s="13" t="n">
        <f aca="false">MIN(G619,D619)</f>
        <v>0.89</v>
      </c>
      <c r="I619" s="13" t="n">
        <f aca="false">IFERROR(MIN(F619*Eingaben!$B$19,MAX(0,D619-H619)),0)</f>
        <v>0</v>
      </c>
      <c r="J619" s="13" t="n">
        <f aca="false">IFERROR(MIN(Eingaben!$B$18,MAX(0,F619-I619)),0)</f>
        <v>1.7442</v>
      </c>
      <c r="K619" s="13" t="n">
        <f aca="false">H619+I619</f>
        <v>0.89</v>
      </c>
      <c r="L619" s="13" t="n">
        <f aca="false">MAX(0,D619-K619)</f>
        <v>0</v>
      </c>
      <c r="M619" s="13" t="n">
        <f aca="false">MAX(0,F619-I619-J619)</f>
        <v>0</v>
      </c>
      <c r="N619" s="13" t="n">
        <f aca="false">IF(Kalender!A253="",0,J618-H619)</f>
        <v>0.7032278</v>
      </c>
    </row>
    <row r="620" customFormat="false" ht="16.4" hidden="false" customHeight="false" outlineLevel="0" collapsed="false">
      <c r="A620" s="13" t="str">
        <f aca="false">""</f>
        <v/>
      </c>
      <c r="B620" s="13" t="n">
        <f aca="false">250</f>
        <v>250</v>
      </c>
      <c r="C620" s="13" t="n">
        <f aca="false">IF(Szenarien!$H$9="OK",(IFERROR(SUMIF(Nutzungsprofile!$B$6:$B$11,"Schulbetrieb",Nutzungsprofile!$G$6:$G$11)*Kalender!C254/SUM(Kalender!$C$5:$C$370),0)+IFERROR(SUMIF(Nutzungsprofile!$B$6:$B$11,"Halle",Nutzungsprofile!$G$6:$G$11)*Kalender!D254/SUM(Kalender!$D$5:$D$370),0)+IFERROR(SUMIF(Nutzungsprofile!$B$6:$B$11,"Individuell",Nutzungsprofile!$G$6:$G$11)*Kalender!E254/SUM(Kalender!$E$5:$E$370),0))*Szenarien!$E$9,0)</f>
        <v>2.94</v>
      </c>
      <c r="D620" s="13" t="n">
        <f aca="false">IF(Szenarien!$H$9="OK",(IFERROR(SUMIF(Nutzungsprofile!$B$17:$B$22,"Schulbetrieb",Nutzungsprofile!$G$17:$G$22)*Kalender!C254/SUM(Kalender!$C$5:$C$370),0)+IFERROR(SUMIF(Nutzungsprofile!$B$17:$B$22,"Halle",Nutzungsprofile!$G$17:$G$22)*Kalender!D254/SUM(Kalender!$D$5:$D$370),0)+IFERROR(SUMIF(Nutzungsprofile!$B$17:$B$22,"Individuell",Nutzungsprofile!$G$17:$G$22)*Kalender!E254/SUM(Kalender!$E$5:$E$370),0))*Szenarien!$D$9,0)</f>
        <v>4.94</v>
      </c>
      <c r="E620" s="13" t="n">
        <f aca="false">IFERROR(MIN(C620,Eingaben!$B$17)*Eingaben!$B$16,0)</f>
        <v>2.793</v>
      </c>
      <c r="F620" s="13" t="n">
        <f aca="false">IFERROR(E620*Eingaben!$B$15,0)</f>
        <v>2.5137</v>
      </c>
      <c r="G620" s="13" t="n">
        <f aca="false">IFERROR(IF(Kalender!A254="",0,J619*(1-Eingaben!$B$20)),0)</f>
        <v>1.709316</v>
      </c>
      <c r="H620" s="13" t="n">
        <f aca="false">MIN(G620,D620)</f>
        <v>1.709316</v>
      </c>
      <c r="I620" s="13" t="n">
        <f aca="false">IFERROR(MIN(F620*Eingaben!$B$19,MAX(0,D620-H620)),0)</f>
        <v>1.75959</v>
      </c>
      <c r="J620" s="13" t="n">
        <f aca="false">IFERROR(MIN(Eingaben!$B$18,MAX(0,F620-I620)),0)</f>
        <v>0.75411</v>
      </c>
      <c r="K620" s="13" t="n">
        <f aca="false">H620+I620</f>
        <v>3.468906</v>
      </c>
      <c r="L620" s="13" t="n">
        <f aca="false">MAX(0,D620-K620)</f>
        <v>1.471094</v>
      </c>
      <c r="M620" s="13" t="n">
        <f aca="false">MAX(0,F620-I620-J620)</f>
        <v>0</v>
      </c>
      <c r="N620" s="13" t="n">
        <f aca="false">IF(Kalender!A254="",0,J619-H620)</f>
        <v>0.0348840000000001</v>
      </c>
    </row>
    <row r="621" customFormat="false" ht="16.4" hidden="false" customHeight="false" outlineLevel="0" collapsed="false">
      <c r="A621" s="13" t="str">
        <f aca="false">""</f>
        <v/>
      </c>
      <c r="B621" s="13" t="n">
        <f aca="false">251</f>
        <v>251</v>
      </c>
      <c r="C621" s="13" t="n">
        <f aca="false">IF(Szenarien!$H$9="OK",(IFERROR(SUMIF(Nutzungsprofile!$B$6:$B$11,"Schulbetrieb",Nutzungsprofile!$G$6:$G$11)*Kalender!C255/SUM(Kalender!$C$5:$C$370),0)+IFERROR(SUMIF(Nutzungsprofile!$B$6:$B$11,"Halle",Nutzungsprofile!$G$6:$G$11)*Kalender!D255/SUM(Kalender!$D$5:$D$370),0)+IFERROR(SUMIF(Nutzungsprofile!$B$6:$B$11,"Individuell",Nutzungsprofile!$G$6:$G$11)*Kalender!E255/SUM(Kalender!$E$5:$E$370),0))*Szenarien!$E$9,0)</f>
        <v>2.94</v>
      </c>
      <c r="D621" s="13" t="n">
        <f aca="false">IF(Szenarien!$H$9="OK",(IFERROR(SUMIF(Nutzungsprofile!$B$17:$B$22,"Schulbetrieb",Nutzungsprofile!$G$17:$G$22)*Kalender!C255/SUM(Kalender!$C$5:$C$370),0)+IFERROR(SUMIF(Nutzungsprofile!$B$17:$B$22,"Halle",Nutzungsprofile!$G$17:$G$22)*Kalender!D255/SUM(Kalender!$D$5:$D$370),0)+IFERROR(SUMIF(Nutzungsprofile!$B$17:$B$22,"Individuell",Nutzungsprofile!$G$17:$G$22)*Kalender!E255/SUM(Kalender!$E$5:$E$370),0))*Szenarien!$D$9,0)</f>
        <v>4.94</v>
      </c>
      <c r="E621" s="13" t="n">
        <f aca="false">IFERROR(MIN(C621,Eingaben!$B$17)*Eingaben!$B$16,0)</f>
        <v>2.793</v>
      </c>
      <c r="F621" s="13" t="n">
        <f aca="false">IFERROR(E621*Eingaben!$B$15,0)</f>
        <v>2.5137</v>
      </c>
      <c r="G621" s="13" t="n">
        <f aca="false">IFERROR(IF(Kalender!A255="",0,J620*(1-Eingaben!$B$20)),0)</f>
        <v>0.7390278</v>
      </c>
      <c r="H621" s="13" t="n">
        <f aca="false">MIN(G621,D621)</f>
        <v>0.7390278</v>
      </c>
      <c r="I621" s="13" t="n">
        <f aca="false">IFERROR(MIN(F621*Eingaben!$B$19,MAX(0,D621-H621)),0)</f>
        <v>1.75959</v>
      </c>
      <c r="J621" s="13" t="n">
        <f aca="false">IFERROR(MIN(Eingaben!$B$18,MAX(0,F621-I621)),0)</f>
        <v>0.75411</v>
      </c>
      <c r="K621" s="13" t="n">
        <f aca="false">H621+I621</f>
        <v>2.4986178</v>
      </c>
      <c r="L621" s="13" t="n">
        <f aca="false">MAX(0,D621-K621)</f>
        <v>2.4413822</v>
      </c>
      <c r="M621" s="13" t="n">
        <f aca="false">MAX(0,F621-I621-J621)</f>
        <v>0</v>
      </c>
      <c r="N621" s="13" t="n">
        <f aca="false">IF(Kalender!A255="",0,J620-H621)</f>
        <v>0.0150822</v>
      </c>
    </row>
    <row r="622" customFormat="false" ht="16.4" hidden="false" customHeight="false" outlineLevel="0" collapsed="false">
      <c r="A622" s="13" t="str">
        <f aca="false">""</f>
        <v/>
      </c>
      <c r="B622" s="13" t="n">
        <f aca="false">252</f>
        <v>252</v>
      </c>
      <c r="C622" s="13" t="n">
        <f aca="false">IF(Szenarien!$H$9="OK",(IFERROR(SUMIF(Nutzungsprofile!$B$6:$B$11,"Schulbetrieb",Nutzungsprofile!$G$6:$G$11)*Kalender!C256/SUM(Kalender!$C$5:$C$370),0)+IFERROR(SUMIF(Nutzungsprofile!$B$6:$B$11,"Halle",Nutzungsprofile!$G$6:$G$11)*Kalender!D256/SUM(Kalender!$D$5:$D$370),0)+IFERROR(SUMIF(Nutzungsprofile!$B$6:$B$11,"Individuell",Nutzungsprofile!$G$6:$G$11)*Kalender!E256/SUM(Kalender!$E$5:$E$370),0))*Szenarien!$E$9,0)</f>
        <v>2.94</v>
      </c>
      <c r="D622" s="13" t="n">
        <f aca="false">IF(Szenarien!$H$9="OK",(IFERROR(SUMIF(Nutzungsprofile!$B$17:$B$22,"Schulbetrieb",Nutzungsprofile!$G$17:$G$22)*Kalender!C256/SUM(Kalender!$C$5:$C$370),0)+IFERROR(SUMIF(Nutzungsprofile!$B$17:$B$22,"Halle",Nutzungsprofile!$G$17:$G$22)*Kalender!D256/SUM(Kalender!$D$5:$D$370),0)+IFERROR(SUMIF(Nutzungsprofile!$B$17:$B$22,"Individuell",Nutzungsprofile!$G$17:$G$22)*Kalender!E256/SUM(Kalender!$E$5:$E$370),0))*Szenarien!$D$9,0)</f>
        <v>4.94</v>
      </c>
      <c r="E622" s="13" t="n">
        <f aca="false">IFERROR(MIN(C622,Eingaben!$B$17)*Eingaben!$B$16,0)</f>
        <v>2.793</v>
      </c>
      <c r="F622" s="13" t="n">
        <f aca="false">IFERROR(E622*Eingaben!$B$15,0)</f>
        <v>2.5137</v>
      </c>
      <c r="G622" s="13" t="n">
        <f aca="false">IFERROR(IF(Kalender!A256="",0,J621*(1-Eingaben!$B$20)),0)</f>
        <v>0.7390278</v>
      </c>
      <c r="H622" s="13" t="n">
        <f aca="false">MIN(G622,D622)</f>
        <v>0.7390278</v>
      </c>
      <c r="I622" s="13" t="n">
        <f aca="false">IFERROR(MIN(F622*Eingaben!$B$19,MAX(0,D622-H622)),0)</f>
        <v>1.75959</v>
      </c>
      <c r="J622" s="13" t="n">
        <f aca="false">IFERROR(MIN(Eingaben!$B$18,MAX(0,F622-I622)),0)</f>
        <v>0.75411</v>
      </c>
      <c r="K622" s="13" t="n">
        <f aca="false">H622+I622</f>
        <v>2.4986178</v>
      </c>
      <c r="L622" s="13" t="n">
        <f aca="false">MAX(0,D622-K622)</f>
        <v>2.4413822</v>
      </c>
      <c r="M622" s="13" t="n">
        <f aca="false">MAX(0,F622-I622-J622)</f>
        <v>0</v>
      </c>
      <c r="N622" s="13" t="n">
        <f aca="false">IF(Kalender!A256="",0,J621-H622)</f>
        <v>0.0150822</v>
      </c>
    </row>
    <row r="623" customFormat="false" ht="16.4" hidden="false" customHeight="false" outlineLevel="0" collapsed="false">
      <c r="A623" s="13" t="str">
        <f aca="false">""</f>
        <v/>
      </c>
      <c r="B623" s="13" t="n">
        <f aca="false">253</f>
        <v>253</v>
      </c>
      <c r="C623" s="13" t="n">
        <f aca="false">IF(Szenarien!$H$9="OK",(IFERROR(SUMIF(Nutzungsprofile!$B$6:$B$11,"Schulbetrieb",Nutzungsprofile!$G$6:$G$11)*Kalender!C257/SUM(Kalender!$C$5:$C$370),0)+IFERROR(SUMIF(Nutzungsprofile!$B$6:$B$11,"Halle",Nutzungsprofile!$G$6:$G$11)*Kalender!D257/SUM(Kalender!$D$5:$D$370),0)+IFERROR(SUMIF(Nutzungsprofile!$B$6:$B$11,"Individuell",Nutzungsprofile!$G$6:$G$11)*Kalender!E257/SUM(Kalender!$E$5:$E$370),0))*Szenarien!$E$9,0)</f>
        <v>2.94</v>
      </c>
      <c r="D623" s="13" t="n">
        <f aca="false">IF(Szenarien!$H$9="OK",(IFERROR(SUMIF(Nutzungsprofile!$B$17:$B$22,"Schulbetrieb",Nutzungsprofile!$G$17:$G$22)*Kalender!C257/SUM(Kalender!$C$5:$C$370),0)+IFERROR(SUMIF(Nutzungsprofile!$B$17:$B$22,"Halle",Nutzungsprofile!$G$17:$G$22)*Kalender!D257/SUM(Kalender!$D$5:$D$370),0)+IFERROR(SUMIF(Nutzungsprofile!$B$17:$B$22,"Individuell",Nutzungsprofile!$G$17:$G$22)*Kalender!E257/SUM(Kalender!$E$5:$E$370),0))*Szenarien!$D$9,0)</f>
        <v>4.94</v>
      </c>
      <c r="E623" s="13" t="n">
        <f aca="false">IFERROR(MIN(C623,Eingaben!$B$17)*Eingaben!$B$16,0)</f>
        <v>2.793</v>
      </c>
      <c r="F623" s="13" t="n">
        <f aca="false">IFERROR(E623*Eingaben!$B$15,0)</f>
        <v>2.5137</v>
      </c>
      <c r="G623" s="13" t="n">
        <f aca="false">IFERROR(IF(Kalender!A257="",0,J622*(1-Eingaben!$B$20)),0)</f>
        <v>0.7390278</v>
      </c>
      <c r="H623" s="13" t="n">
        <f aca="false">MIN(G623,D623)</f>
        <v>0.7390278</v>
      </c>
      <c r="I623" s="13" t="n">
        <f aca="false">IFERROR(MIN(F623*Eingaben!$B$19,MAX(0,D623-H623)),0)</f>
        <v>1.75959</v>
      </c>
      <c r="J623" s="13" t="n">
        <f aca="false">IFERROR(MIN(Eingaben!$B$18,MAX(0,F623-I623)),0)</f>
        <v>0.75411</v>
      </c>
      <c r="K623" s="13" t="n">
        <f aca="false">H623+I623</f>
        <v>2.4986178</v>
      </c>
      <c r="L623" s="13" t="n">
        <f aca="false">MAX(0,D623-K623)</f>
        <v>2.4413822</v>
      </c>
      <c r="M623" s="13" t="n">
        <f aca="false">MAX(0,F623-I623-J623)</f>
        <v>0</v>
      </c>
      <c r="N623" s="13" t="n">
        <f aca="false">IF(Kalender!A257="",0,J622-H623)</f>
        <v>0.0150822</v>
      </c>
    </row>
    <row r="624" customFormat="false" ht="16.4" hidden="false" customHeight="false" outlineLevel="0" collapsed="false">
      <c r="A624" s="13" t="str">
        <f aca="false">""</f>
        <v/>
      </c>
      <c r="B624" s="13" t="n">
        <f aca="false">254</f>
        <v>254</v>
      </c>
      <c r="C624" s="13" t="n">
        <f aca="false">IF(Szenarien!$H$9="OK",(IFERROR(SUMIF(Nutzungsprofile!$B$6:$B$11,"Schulbetrieb",Nutzungsprofile!$G$6:$G$11)*Kalender!C258/SUM(Kalender!$C$5:$C$370),0)+IFERROR(SUMIF(Nutzungsprofile!$B$6:$B$11,"Halle",Nutzungsprofile!$G$6:$G$11)*Kalender!D258/SUM(Kalender!$D$5:$D$370),0)+IFERROR(SUMIF(Nutzungsprofile!$B$6:$B$11,"Individuell",Nutzungsprofile!$G$6:$G$11)*Kalender!E258/SUM(Kalender!$E$5:$E$370),0))*Szenarien!$E$9,0)</f>
        <v>2.94</v>
      </c>
      <c r="D624" s="13" t="n">
        <f aca="false">IF(Szenarien!$H$9="OK",(IFERROR(SUMIF(Nutzungsprofile!$B$17:$B$22,"Schulbetrieb",Nutzungsprofile!$G$17:$G$22)*Kalender!C258/SUM(Kalender!$C$5:$C$370),0)+IFERROR(SUMIF(Nutzungsprofile!$B$17:$B$22,"Halle",Nutzungsprofile!$G$17:$G$22)*Kalender!D258/SUM(Kalender!$D$5:$D$370),0)+IFERROR(SUMIF(Nutzungsprofile!$B$17:$B$22,"Individuell",Nutzungsprofile!$G$17:$G$22)*Kalender!E258/SUM(Kalender!$E$5:$E$370),0))*Szenarien!$D$9,0)</f>
        <v>4.94</v>
      </c>
      <c r="E624" s="13" t="n">
        <f aca="false">IFERROR(MIN(C624,Eingaben!$B$17)*Eingaben!$B$16,0)</f>
        <v>2.793</v>
      </c>
      <c r="F624" s="13" t="n">
        <f aca="false">IFERROR(E624*Eingaben!$B$15,0)</f>
        <v>2.5137</v>
      </c>
      <c r="G624" s="13" t="n">
        <f aca="false">IFERROR(IF(Kalender!A258="",0,J623*(1-Eingaben!$B$20)),0)</f>
        <v>0.7390278</v>
      </c>
      <c r="H624" s="13" t="n">
        <f aca="false">MIN(G624,D624)</f>
        <v>0.7390278</v>
      </c>
      <c r="I624" s="13" t="n">
        <f aca="false">IFERROR(MIN(F624*Eingaben!$B$19,MAX(0,D624-H624)),0)</f>
        <v>1.75959</v>
      </c>
      <c r="J624" s="13" t="n">
        <f aca="false">IFERROR(MIN(Eingaben!$B$18,MAX(0,F624-I624)),0)</f>
        <v>0.75411</v>
      </c>
      <c r="K624" s="13" t="n">
        <f aca="false">H624+I624</f>
        <v>2.4986178</v>
      </c>
      <c r="L624" s="13" t="n">
        <f aca="false">MAX(0,D624-K624)</f>
        <v>2.4413822</v>
      </c>
      <c r="M624" s="13" t="n">
        <f aca="false">MAX(0,F624-I624-J624)</f>
        <v>0</v>
      </c>
      <c r="N624" s="13" t="n">
        <f aca="false">IF(Kalender!A258="",0,J623-H624)</f>
        <v>0.0150822</v>
      </c>
    </row>
    <row r="625" customFormat="false" ht="16.4" hidden="false" customHeight="false" outlineLevel="0" collapsed="false">
      <c r="A625" s="13" t="str">
        <f aca="false">""</f>
        <v/>
      </c>
      <c r="B625" s="13" t="n">
        <f aca="false">255</f>
        <v>255</v>
      </c>
      <c r="C625" s="13" t="n">
        <f aca="false">IF(Szenarien!$H$9="OK",(IFERROR(SUMIF(Nutzungsprofile!$B$6:$B$11,"Schulbetrieb",Nutzungsprofile!$G$6:$G$11)*Kalender!C259/SUM(Kalender!$C$5:$C$370),0)+IFERROR(SUMIF(Nutzungsprofile!$B$6:$B$11,"Halle",Nutzungsprofile!$G$6:$G$11)*Kalender!D259/SUM(Kalender!$D$5:$D$370),0)+IFERROR(SUMIF(Nutzungsprofile!$B$6:$B$11,"Individuell",Nutzungsprofile!$G$6:$G$11)*Kalender!E259/SUM(Kalender!$E$5:$E$370),0))*Szenarien!$E$9,0)</f>
        <v>2.04</v>
      </c>
      <c r="D625" s="13" t="n">
        <f aca="false">IF(Szenarien!$H$9="OK",(IFERROR(SUMIF(Nutzungsprofile!$B$17:$B$22,"Schulbetrieb",Nutzungsprofile!$G$17:$G$22)*Kalender!C259/SUM(Kalender!$C$5:$C$370),0)+IFERROR(SUMIF(Nutzungsprofile!$B$17:$B$22,"Halle",Nutzungsprofile!$G$17:$G$22)*Kalender!D259/SUM(Kalender!$D$5:$D$370),0)+IFERROR(SUMIF(Nutzungsprofile!$B$17:$B$22,"Individuell",Nutzungsprofile!$G$17:$G$22)*Kalender!E259/SUM(Kalender!$E$5:$E$370),0))*Szenarien!$D$9,0)</f>
        <v>0.89</v>
      </c>
      <c r="E625" s="13" t="n">
        <f aca="false">IFERROR(MIN(C625,Eingaben!$B$17)*Eingaben!$B$16,0)</f>
        <v>1.938</v>
      </c>
      <c r="F625" s="13" t="n">
        <f aca="false">IFERROR(E625*Eingaben!$B$15,0)</f>
        <v>1.7442</v>
      </c>
      <c r="G625" s="13" t="n">
        <f aca="false">IFERROR(IF(Kalender!A259="",0,J624*(1-Eingaben!$B$20)),0)</f>
        <v>0.7390278</v>
      </c>
      <c r="H625" s="13" t="n">
        <f aca="false">MIN(G625,D625)</f>
        <v>0.7390278</v>
      </c>
      <c r="I625" s="13" t="n">
        <f aca="false">IFERROR(MIN(F625*Eingaben!$B$19,MAX(0,D625-H625)),0)</f>
        <v>0.1509722</v>
      </c>
      <c r="J625" s="13" t="n">
        <f aca="false">IFERROR(MIN(Eingaben!$B$18,MAX(0,F625-I625)),0)</f>
        <v>1.5932278</v>
      </c>
      <c r="K625" s="13" t="n">
        <f aca="false">H625+I625</f>
        <v>0.89</v>
      </c>
      <c r="L625" s="13" t="n">
        <f aca="false">MAX(0,D625-K625)</f>
        <v>0</v>
      </c>
      <c r="M625" s="13" t="n">
        <f aca="false">MAX(0,F625-I625-J625)</f>
        <v>0</v>
      </c>
      <c r="N625" s="13" t="n">
        <f aca="false">IF(Kalender!A259="",0,J624-H625)</f>
        <v>0.0150822</v>
      </c>
    </row>
    <row r="626" customFormat="false" ht="16.4" hidden="false" customHeight="false" outlineLevel="0" collapsed="false">
      <c r="A626" s="13" t="str">
        <f aca="false">""</f>
        <v/>
      </c>
      <c r="B626" s="13" t="n">
        <f aca="false">256</f>
        <v>256</v>
      </c>
      <c r="C626" s="13" t="n">
        <f aca="false">IF(Szenarien!$H$9="OK",(IFERROR(SUMIF(Nutzungsprofile!$B$6:$B$11,"Schulbetrieb",Nutzungsprofile!$G$6:$G$11)*Kalender!C260/SUM(Kalender!$C$5:$C$370),0)+IFERROR(SUMIF(Nutzungsprofile!$B$6:$B$11,"Halle",Nutzungsprofile!$G$6:$G$11)*Kalender!D260/SUM(Kalender!$D$5:$D$370),0)+IFERROR(SUMIF(Nutzungsprofile!$B$6:$B$11,"Individuell",Nutzungsprofile!$G$6:$G$11)*Kalender!E260/SUM(Kalender!$E$5:$E$370),0))*Szenarien!$E$9,0)</f>
        <v>2.04</v>
      </c>
      <c r="D626" s="13" t="n">
        <f aca="false">IF(Szenarien!$H$9="OK",(IFERROR(SUMIF(Nutzungsprofile!$B$17:$B$22,"Schulbetrieb",Nutzungsprofile!$G$17:$G$22)*Kalender!C260/SUM(Kalender!$C$5:$C$370),0)+IFERROR(SUMIF(Nutzungsprofile!$B$17:$B$22,"Halle",Nutzungsprofile!$G$17:$G$22)*Kalender!D260/SUM(Kalender!$D$5:$D$370),0)+IFERROR(SUMIF(Nutzungsprofile!$B$17:$B$22,"Individuell",Nutzungsprofile!$G$17:$G$22)*Kalender!E260/SUM(Kalender!$E$5:$E$370),0))*Szenarien!$D$9,0)</f>
        <v>0.89</v>
      </c>
      <c r="E626" s="13" t="n">
        <f aca="false">IFERROR(MIN(C626,Eingaben!$B$17)*Eingaben!$B$16,0)</f>
        <v>1.938</v>
      </c>
      <c r="F626" s="13" t="n">
        <f aca="false">IFERROR(E626*Eingaben!$B$15,0)</f>
        <v>1.7442</v>
      </c>
      <c r="G626" s="13" t="n">
        <f aca="false">IFERROR(IF(Kalender!A260="",0,J625*(1-Eingaben!$B$20)),0)</f>
        <v>1.561363244</v>
      </c>
      <c r="H626" s="13" t="n">
        <f aca="false">MIN(G626,D626)</f>
        <v>0.89</v>
      </c>
      <c r="I626" s="13" t="n">
        <f aca="false">IFERROR(MIN(F626*Eingaben!$B$19,MAX(0,D626-H626)),0)</f>
        <v>0</v>
      </c>
      <c r="J626" s="13" t="n">
        <f aca="false">IFERROR(MIN(Eingaben!$B$18,MAX(0,F626-I626)),0)</f>
        <v>1.7442</v>
      </c>
      <c r="K626" s="13" t="n">
        <f aca="false">H626+I626</f>
        <v>0.89</v>
      </c>
      <c r="L626" s="13" t="n">
        <f aca="false">MAX(0,D626-K626)</f>
        <v>0</v>
      </c>
      <c r="M626" s="13" t="n">
        <f aca="false">MAX(0,F626-I626-J626)</f>
        <v>0</v>
      </c>
      <c r="N626" s="13" t="n">
        <f aca="false">IF(Kalender!A260="",0,J625-H626)</f>
        <v>0.7032278</v>
      </c>
    </row>
    <row r="627" customFormat="false" ht="16.4" hidden="false" customHeight="false" outlineLevel="0" collapsed="false">
      <c r="A627" s="13" t="str">
        <f aca="false">""</f>
        <v/>
      </c>
      <c r="B627" s="13" t="n">
        <f aca="false">257</f>
        <v>257</v>
      </c>
      <c r="C627" s="13" t="n">
        <f aca="false">IF(Szenarien!$H$9="OK",(IFERROR(SUMIF(Nutzungsprofile!$B$6:$B$11,"Schulbetrieb",Nutzungsprofile!$G$6:$G$11)*Kalender!C261/SUM(Kalender!$C$5:$C$370),0)+IFERROR(SUMIF(Nutzungsprofile!$B$6:$B$11,"Halle",Nutzungsprofile!$G$6:$G$11)*Kalender!D261/SUM(Kalender!$D$5:$D$370),0)+IFERROR(SUMIF(Nutzungsprofile!$B$6:$B$11,"Individuell",Nutzungsprofile!$G$6:$G$11)*Kalender!E261/SUM(Kalender!$E$5:$E$370),0))*Szenarien!$E$9,0)</f>
        <v>2.94</v>
      </c>
      <c r="D627" s="13" t="n">
        <f aca="false">IF(Szenarien!$H$9="OK",(IFERROR(SUMIF(Nutzungsprofile!$B$17:$B$22,"Schulbetrieb",Nutzungsprofile!$G$17:$G$22)*Kalender!C261/SUM(Kalender!$C$5:$C$370),0)+IFERROR(SUMIF(Nutzungsprofile!$B$17:$B$22,"Halle",Nutzungsprofile!$G$17:$G$22)*Kalender!D261/SUM(Kalender!$D$5:$D$370),0)+IFERROR(SUMIF(Nutzungsprofile!$B$17:$B$22,"Individuell",Nutzungsprofile!$G$17:$G$22)*Kalender!E261/SUM(Kalender!$E$5:$E$370),0))*Szenarien!$D$9,0)</f>
        <v>4.94</v>
      </c>
      <c r="E627" s="13" t="n">
        <f aca="false">IFERROR(MIN(C627,Eingaben!$B$17)*Eingaben!$B$16,0)</f>
        <v>2.793</v>
      </c>
      <c r="F627" s="13" t="n">
        <f aca="false">IFERROR(E627*Eingaben!$B$15,0)</f>
        <v>2.5137</v>
      </c>
      <c r="G627" s="13" t="n">
        <f aca="false">IFERROR(IF(Kalender!A261="",0,J626*(1-Eingaben!$B$20)),0)</f>
        <v>1.709316</v>
      </c>
      <c r="H627" s="13" t="n">
        <f aca="false">MIN(G627,D627)</f>
        <v>1.709316</v>
      </c>
      <c r="I627" s="13" t="n">
        <f aca="false">IFERROR(MIN(F627*Eingaben!$B$19,MAX(0,D627-H627)),0)</f>
        <v>1.75959</v>
      </c>
      <c r="J627" s="13" t="n">
        <f aca="false">IFERROR(MIN(Eingaben!$B$18,MAX(0,F627-I627)),0)</f>
        <v>0.75411</v>
      </c>
      <c r="K627" s="13" t="n">
        <f aca="false">H627+I627</f>
        <v>3.468906</v>
      </c>
      <c r="L627" s="13" t="n">
        <f aca="false">MAX(0,D627-K627)</f>
        <v>1.471094</v>
      </c>
      <c r="M627" s="13" t="n">
        <f aca="false">MAX(0,F627-I627-J627)</f>
        <v>0</v>
      </c>
      <c r="N627" s="13" t="n">
        <f aca="false">IF(Kalender!A261="",0,J626-H627)</f>
        <v>0.0348840000000001</v>
      </c>
    </row>
    <row r="628" customFormat="false" ht="16.4" hidden="false" customHeight="false" outlineLevel="0" collapsed="false">
      <c r="A628" s="13" t="str">
        <f aca="false">""</f>
        <v/>
      </c>
      <c r="B628" s="13" t="n">
        <f aca="false">258</f>
        <v>258</v>
      </c>
      <c r="C628" s="13" t="n">
        <f aca="false">IF(Szenarien!$H$9="OK",(IFERROR(SUMIF(Nutzungsprofile!$B$6:$B$11,"Schulbetrieb",Nutzungsprofile!$G$6:$G$11)*Kalender!C262/SUM(Kalender!$C$5:$C$370),0)+IFERROR(SUMIF(Nutzungsprofile!$B$6:$B$11,"Halle",Nutzungsprofile!$G$6:$G$11)*Kalender!D262/SUM(Kalender!$D$5:$D$370),0)+IFERROR(SUMIF(Nutzungsprofile!$B$6:$B$11,"Individuell",Nutzungsprofile!$G$6:$G$11)*Kalender!E262/SUM(Kalender!$E$5:$E$370),0))*Szenarien!$E$9,0)</f>
        <v>2.94</v>
      </c>
      <c r="D628" s="13" t="n">
        <f aca="false">IF(Szenarien!$H$9="OK",(IFERROR(SUMIF(Nutzungsprofile!$B$17:$B$22,"Schulbetrieb",Nutzungsprofile!$G$17:$G$22)*Kalender!C262/SUM(Kalender!$C$5:$C$370),0)+IFERROR(SUMIF(Nutzungsprofile!$B$17:$B$22,"Halle",Nutzungsprofile!$G$17:$G$22)*Kalender!D262/SUM(Kalender!$D$5:$D$370),0)+IFERROR(SUMIF(Nutzungsprofile!$B$17:$B$22,"Individuell",Nutzungsprofile!$G$17:$G$22)*Kalender!E262/SUM(Kalender!$E$5:$E$370),0))*Szenarien!$D$9,0)</f>
        <v>4.94</v>
      </c>
      <c r="E628" s="13" t="n">
        <f aca="false">IFERROR(MIN(C628,Eingaben!$B$17)*Eingaben!$B$16,0)</f>
        <v>2.793</v>
      </c>
      <c r="F628" s="13" t="n">
        <f aca="false">IFERROR(E628*Eingaben!$B$15,0)</f>
        <v>2.5137</v>
      </c>
      <c r="G628" s="13" t="n">
        <f aca="false">IFERROR(IF(Kalender!A262="",0,J627*(1-Eingaben!$B$20)),0)</f>
        <v>0.7390278</v>
      </c>
      <c r="H628" s="13" t="n">
        <f aca="false">MIN(G628,D628)</f>
        <v>0.7390278</v>
      </c>
      <c r="I628" s="13" t="n">
        <f aca="false">IFERROR(MIN(F628*Eingaben!$B$19,MAX(0,D628-H628)),0)</f>
        <v>1.75959</v>
      </c>
      <c r="J628" s="13" t="n">
        <f aca="false">IFERROR(MIN(Eingaben!$B$18,MAX(0,F628-I628)),0)</f>
        <v>0.75411</v>
      </c>
      <c r="K628" s="13" t="n">
        <f aca="false">H628+I628</f>
        <v>2.4986178</v>
      </c>
      <c r="L628" s="13" t="n">
        <f aca="false">MAX(0,D628-K628)</f>
        <v>2.4413822</v>
      </c>
      <c r="M628" s="13" t="n">
        <f aca="false">MAX(0,F628-I628-J628)</f>
        <v>0</v>
      </c>
      <c r="N628" s="13" t="n">
        <f aca="false">IF(Kalender!A262="",0,J627-H628)</f>
        <v>0.0150822</v>
      </c>
    </row>
    <row r="629" customFormat="false" ht="16.4" hidden="false" customHeight="false" outlineLevel="0" collapsed="false">
      <c r="A629" s="13" t="str">
        <f aca="false">""</f>
        <v/>
      </c>
      <c r="B629" s="13" t="n">
        <f aca="false">259</f>
        <v>259</v>
      </c>
      <c r="C629" s="13" t="n">
        <f aca="false">IF(Szenarien!$H$9="OK",(IFERROR(SUMIF(Nutzungsprofile!$B$6:$B$11,"Schulbetrieb",Nutzungsprofile!$G$6:$G$11)*Kalender!C263/SUM(Kalender!$C$5:$C$370),0)+IFERROR(SUMIF(Nutzungsprofile!$B$6:$B$11,"Halle",Nutzungsprofile!$G$6:$G$11)*Kalender!D263/SUM(Kalender!$D$5:$D$370),0)+IFERROR(SUMIF(Nutzungsprofile!$B$6:$B$11,"Individuell",Nutzungsprofile!$G$6:$G$11)*Kalender!E263/SUM(Kalender!$E$5:$E$370),0))*Szenarien!$E$9,0)</f>
        <v>2.94</v>
      </c>
      <c r="D629" s="13" t="n">
        <f aca="false">IF(Szenarien!$H$9="OK",(IFERROR(SUMIF(Nutzungsprofile!$B$17:$B$22,"Schulbetrieb",Nutzungsprofile!$G$17:$G$22)*Kalender!C263/SUM(Kalender!$C$5:$C$370),0)+IFERROR(SUMIF(Nutzungsprofile!$B$17:$B$22,"Halle",Nutzungsprofile!$G$17:$G$22)*Kalender!D263/SUM(Kalender!$D$5:$D$370),0)+IFERROR(SUMIF(Nutzungsprofile!$B$17:$B$22,"Individuell",Nutzungsprofile!$G$17:$G$22)*Kalender!E263/SUM(Kalender!$E$5:$E$370),0))*Szenarien!$D$9,0)</f>
        <v>4.94</v>
      </c>
      <c r="E629" s="13" t="n">
        <f aca="false">IFERROR(MIN(C629,Eingaben!$B$17)*Eingaben!$B$16,0)</f>
        <v>2.793</v>
      </c>
      <c r="F629" s="13" t="n">
        <f aca="false">IFERROR(E629*Eingaben!$B$15,0)</f>
        <v>2.5137</v>
      </c>
      <c r="G629" s="13" t="n">
        <f aca="false">IFERROR(IF(Kalender!A263="",0,J628*(1-Eingaben!$B$20)),0)</f>
        <v>0.7390278</v>
      </c>
      <c r="H629" s="13" t="n">
        <f aca="false">MIN(G629,D629)</f>
        <v>0.7390278</v>
      </c>
      <c r="I629" s="13" t="n">
        <f aca="false">IFERROR(MIN(F629*Eingaben!$B$19,MAX(0,D629-H629)),0)</f>
        <v>1.75959</v>
      </c>
      <c r="J629" s="13" t="n">
        <f aca="false">IFERROR(MIN(Eingaben!$B$18,MAX(0,F629-I629)),0)</f>
        <v>0.75411</v>
      </c>
      <c r="K629" s="13" t="n">
        <f aca="false">H629+I629</f>
        <v>2.4986178</v>
      </c>
      <c r="L629" s="13" t="n">
        <f aca="false">MAX(0,D629-K629)</f>
        <v>2.4413822</v>
      </c>
      <c r="M629" s="13" t="n">
        <f aca="false">MAX(0,F629-I629-J629)</f>
        <v>0</v>
      </c>
      <c r="N629" s="13" t="n">
        <f aca="false">IF(Kalender!A263="",0,J628-H629)</f>
        <v>0.0150822</v>
      </c>
    </row>
    <row r="630" customFormat="false" ht="16.4" hidden="false" customHeight="false" outlineLevel="0" collapsed="false">
      <c r="A630" s="13" t="str">
        <f aca="false">""</f>
        <v/>
      </c>
      <c r="B630" s="13" t="n">
        <f aca="false">260</f>
        <v>260</v>
      </c>
      <c r="C630" s="13" t="n">
        <f aca="false">IF(Szenarien!$H$9="OK",(IFERROR(SUMIF(Nutzungsprofile!$B$6:$B$11,"Schulbetrieb",Nutzungsprofile!$G$6:$G$11)*Kalender!C264/SUM(Kalender!$C$5:$C$370),0)+IFERROR(SUMIF(Nutzungsprofile!$B$6:$B$11,"Halle",Nutzungsprofile!$G$6:$G$11)*Kalender!D264/SUM(Kalender!$D$5:$D$370),0)+IFERROR(SUMIF(Nutzungsprofile!$B$6:$B$11,"Individuell",Nutzungsprofile!$G$6:$G$11)*Kalender!E264/SUM(Kalender!$E$5:$E$370),0))*Szenarien!$E$9,0)</f>
        <v>2.94</v>
      </c>
      <c r="D630" s="13" t="n">
        <f aca="false">IF(Szenarien!$H$9="OK",(IFERROR(SUMIF(Nutzungsprofile!$B$17:$B$22,"Schulbetrieb",Nutzungsprofile!$G$17:$G$22)*Kalender!C264/SUM(Kalender!$C$5:$C$370),0)+IFERROR(SUMIF(Nutzungsprofile!$B$17:$B$22,"Halle",Nutzungsprofile!$G$17:$G$22)*Kalender!D264/SUM(Kalender!$D$5:$D$370),0)+IFERROR(SUMIF(Nutzungsprofile!$B$17:$B$22,"Individuell",Nutzungsprofile!$G$17:$G$22)*Kalender!E264/SUM(Kalender!$E$5:$E$370),0))*Szenarien!$D$9,0)</f>
        <v>4.94</v>
      </c>
      <c r="E630" s="13" t="n">
        <f aca="false">IFERROR(MIN(C630,Eingaben!$B$17)*Eingaben!$B$16,0)</f>
        <v>2.793</v>
      </c>
      <c r="F630" s="13" t="n">
        <f aca="false">IFERROR(E630*Eingaben!$B$15,0)</f>
        <v>2.5137</v>
      </c>
      <c r="G630" s="13" t="n">
        <f aca="false">IFERROR(IF(Kalender!A264="",0,J629*(1-Eingaben!$B$20)),0)</f>
        <v>0.7390278</v>
      </c>
      <c r="H630" s="13" t="n">
        <f aca="false">MIN(G630,D630)</f>
        <v>0.7390278</v>
      </c>
      <c r="I630" s="13" t="n">
        <f aca="false">IFERROR(MIN(F630*Eingaben!$B$19,MAX(0,D630-H630)),0)</f>
        <v>1.75959</v>
      </c>
      <c r="J630" s="13" t="n">
        <f aca="false">IFERROR(MIN(Eingaben!$B$18,MAX(0,F630-I630)),0)</f>
        <v>0.75411</v>
      </c>
      <c r="K630" s="13" t="n">
        <f aca="false">H630+I630</f>
        <v>2.4986178</v>
      </c>
      <c r="L630" s="13" t="n">
        <f aca="false">MAX(0,D630-K630)</f>
        <v>2.4413822</v>
      </c>
      <c r="M630" s="13" t="n">
        <f aca="false">MAX(0,F630-I630-J630)</f>
        <v>0</v>
      </c>
      <c r="N630" s="13" t="n">
        <f aca="false">IF(Kalender!A264="",0,J629-H630)</f>
        <v>0.0150822</v>
      </c>
    </row>
    <row r="631" customFormat="false" ht="16.4" hidden="false" customHeight="false" outlineLevel="0" collapsed="false">
      <c r="A631" s="13" t="str">
        <f aca="false">""</f>
        <v/>
      </c>
      <c r="B631" s="13" t="n">
        <f aca="false">261</f>
        <v>261</v>
      </c>
      <c r="C631" s="13" t="n">
        <f aca="false">IF(Szenarien!$H$9="OK",(IFERROR(SUMIF(Nutzungsprofile!$B$6:$B$11,"Schulbetrieb",Nutzungsprofile!$G$6:$G$11)*Kalender!C265/SUM(Kalender!$C$5:$C$370),0)+IFERROR(SUMIF(Nutzungsprofile!$B$6:$B$11,"Halle",Nutzungsprofile!$G$6:$G$11)*Kalender!D265/SUM(Kalender!$D$5:$D$370),0)+IFERROR(SUMIF(Nutzungsprofile!$B$6:$B$11,"Individuell",Nutzungsprofile!$G$6:$G$11)*Kalender!E265/SUM(Kalender!$E$5:$E$370),0))*Szenarien!$E$9,0)</f>
        <v>2.94</v>
      </c>
      <c r="D631" s="13" t="n">
        <f aca="false">IF(Szenarien!$H$9="OK",(IFERROR(SUMIF(Nutzungsprofile!$B$17:$B$22,"Schulbetrieb",Nutzungsprofile!$G$17:$G$22)*Kalender!C265/SUM(Kalender!$C$5:$C$370),0)+IFERROR(SUMIF(Nutzungsprofile!$B$17:$B$22,"Halle",Nutzungsprofile!$G$17:$G$22)*Kalender!D265/SUM(Kalender!$D$5:$D$370),0)+IFERROR(SUMIF(Nutzungsprofile!$B$17:$B$22,"Individuell",Nutzungsprofile!$G$17:$G$22)*Kalender!E265/SUM(Kalender!$E$5:$E$370),0))*Szenarien!$D$9,0)</f>
        <v>4.94</v>
      </c>
      <c r="E631" s="13" t="n">
        <f aca="false">IFERROR(MIN(C631,Eingaben!$B$17)*Eingaben!$B$16,0)</f>
        <v>2.793</v>
      </c>
      <c r="F631" s="13" t="n">
        <f aca="false">IFERROR(E631*Eingaben!$B$15,0)</f>
        <v>2.5137</v>
      </c>
      <c r="G631" s="13" t="n">
        <f aca="false">IFERROR(IF(Kalender!A265="",0,J630*(1-Eingaben!$B$20)),0)</f>
        <v>0.7390278</v>
      </c>
      <c r="H631" s="13" t="n">
        <f aca="false">MIN(G631,D631)</f>
        <v>0.7390278</v>
      </c>
      <c r="I631" s="13" t="n">
        <f aca="false">IFERROR(MIN(F631*Eingaben!$B$19,MAX(0,D631-H631)),0)</f>
        <v>1.75959</v>
      </c>
      <c r="J631" s="13" t="n">
        <f aca="false">IFERROR(MIN(Eingaben!$B$18,MAX(0,F631-I631)),0)</f>
        <v>0.75411</v>
      </c>
      <c r="K631" s="13" t="n">
        <f aca="false">H631+I631</f>
        <v>2.4986178</v>
      </c>
      <c r="L631" s="13" t="n">
        <f aca="false">MAX(0,D631-K631)</f>
        <v>2.4413822</v>
      </c>
      <c r="M631" s="13" t="n">
        <f aca="false">MAX(0,F631-I631-J631)</f>
        <v>0</v>
      </c>
      <c r="N631" s="13" t="n">
        <f aca="false">IF(Kalender!A265="",0,J630-H631)</f>
        <v>0.0150822</v>
      </c>
    </row>
    <row r="632" customFormat="false" ht="16.4" hidden="false" customHeight="false" outlineLevel="0" collapsed="false">
      <c r="A632" s="13" t="str">
        <f aca="false">""</f>
        <v/>
      </c>
      <c r="B632" s="13" t="n">
        <f aca="false">262</f>
        <v>262</v>
      </c>
      <c r="C632" s="13" t="n">
        <f aca="false">IF(Szenarien!$H$9="OK",(IFERROR(SUMIF(Nutzungsprofile!$B$6:$B$11,"Schulbetrieb",Nutzungsprofile!$G$6:$G$11)*Kalender!C266/SUM(Kalender!$C$5:$C$370),0)+IFERROR(SUMIF(Nutzungsprofile!$B$6:$B$11,"Halle",Nutzungsprofile!$G$6:$G$11)*Kalender!D266/SUM(Kalender!$D$5:$D$370),0)+IFERROR(SUMIF(Nutzungsprofile!$B$6:$B$11,"Individuell",Nutzungsprofile!$G$6:$G$11)*Kalender!E266/SUM(Kalender!$E$5:$E$370),0))*Szenarien!$E$9,0)</f>
        <v>2.04</v>
      </c>
      <c r="D632" s="13" t="n">
        <f aca="false">IF(Szenarien!$H$9="OK",(IFERROR(SUMIF(Nutzungsprofile!$B$17:$B$22,"Schulbetrieb",Nutzungsprofile!$G$17:$G$22)*Kalender!C266/SUM(Kalender!$C$5:$C$370),0)+IFERROR(SUMIF(Nutzungsprofile!$B$17:$B$22,"Halle",Nutzungsprofile!$G$17:$G$22)*Kalender!D266/SUM(Kalender!$D$5:$D$370),0)+IFERROR(SUMIF(Nutzungsprofile!$B$17:$B$22,"Individuell",Nutzungsprofile!$G$17:$G$22)*Kalender!E266/SUM(Kalender!$E$5:$E$370),0))*Szenarien!$D$9,0)</f>
        <v>0.89</v>
      </c>
      <c r="E632" s="13" t="n">
        <f aca="false">IFERROR(MIN(C632,Eingaben!$B$17)*Eingaben!$B$16,0)</f>
        <v>1.938</v>
      </c>
      <c r="F632" s="13" t="n">
        <f aca="false">IFERROR(E632*Eingaben!$B$15,0)</f>
        <v>1.7442</v>
      </c>
      <c r="G632" s="13" t="n">
        <f aca="false">IFERROR(IF(Kalender!A266="",0,J631*(1-Eingaben!$B$20)),0)</f>
        <v>0.7390278</v>
      </c>
      <c r="H632" s="13" t="n">
        <f aca="false">MIN(G632,D632)</f>
        <v>0.7390278</v>
      </c>
      <c r="I632" s="13" t="n">
        <f aca="false">IFERROR(MIN(F632*Eingaben!$B$19,MAX(0,D632-H632)),0)</f>
        <v>0.1509722</v>
      </c>
      <c r="J632" s="13" t="n">
        <f aca="false">IFERROR(MIN(Eingaben!$B$18,MAX(0,F632-I632)),0)</f>
        <v>1.5932278</v>
      </c>
      <c r="K632" s="13" t="n">
        <f aca="false">H632+I632</f>
        <v>0.89</v>
      </c>
      <c r="L632" s="13" t="n">
        <f aca="false">MAX(0,D632-K632)</f>
        <v>0</v>
      </c>
      <c r="M632" s="13" t="n">
        <f aca="false">MAX(0,F632-I632-J632)</f>
        <v>0</v>
      </c>
      <c r="N632" s="13" t="n">
        <f aca="false">IF(Kalender!A266="",0,J631-H632)</f>
        <v>0.0150822</v>
      </c>
    </row>
    <row r="633" customFormat="false" ht="16.4" hidden="false" customHeight="false" outlineLevel="0" collapsed="false">
      <c r="A633" s="13" t="str">
        <f aca="false">""</f>
        <v/>
      </c>
      <c r="B633" s="13" t="n">
        <f aca="false">263</f>
        <v>263</v>
      </c>
      <c r="C633" s="13" t="n">
        <f aca="false">IF(Szenarien!$H$9="OK",(IFERROR(SUMIF(Nutzungsprofile!$B$6:$B$11,"Schulbetrieb",Nutzungsprofile!$G$6:$G$11)*Kalender!C267/SUM(Kalender!$C$5:$C$370),0)+IFERROR(SUMIF(Nutzungsprofile!$B$6:$B$11,"Halle",Nutzungsprofile!$G$6:$G$11)*Kalender!D267/SUM(Kalender!$D$5:$D$370),0)+IFERROR(SUMIF(Nutzungsprofile!$B$6:$B$11,"Individuell",Nutzungsprofile!$G$6:$G$11)*Kalender!E267/SUM(Kalender!$E$5:$E$370),0))*Szenarien!$E$9,0)</f>
        <v>2.04</v>
      </c>
      <c r="D633" s="13" t="n">
        <f aca="false">IF(Szenarien!$H$9="OK",(IFERROR(SUMIF(Nutzungsprofile!$B$17:$B$22,"Schulbetrieb",Nutzungsprofile!$G$17:$G$22)*Kalender!C267/SUM(Kalender!$C$5:$C$370),0)+IFERROR(SUMIF(Nutzungsprofile!$B$17:$B$22,"Halle",Nutzungsprofile!$G$17:$G$22)*Kalender!D267/SUM(Kalender!$D$5:$D$370),0)+IFERROR(SUMIF(Nutzungsprofile!$B$17:$B$22,"Individuell",Nutzungsprofile!$G$17:$G$22)*Kalender!E267/SUM(Kalender!$E$5:$E$370),0))*Szenarien!$D$9,0)</f>
        <v>0.89</v>
      </c>
      <c r="E633" s="13" t="n">
        <f aca="false">IFERROR(MIN(C633,Eingaben!$B$17)*Eingaben!$B$16,0)</f>
        <v>1.938</v>
      </c>
      <c r="F633" s="13" t="n">
        <f aca="false">IFERROR(E633*Eingaben!$B$15,0)</f>
        <v>1.7442</v>
      </c>
      <c r="G633" s="13" t="n">
        <f aca="false">IFERROR(IF(Kalender!A267="",0,J632*(1-Eingaben!$B$20)),0)</f>
        <v>1.561363244</v>
      </c>
      <c r="H633" s="13" t="n">
        <f aca="false">MIN(G633,D633)</f>
        <v>0.89</v>
      </c>
      <c r="I633" s="13" t="n">
        <f aca="false">IFERROR(MIN(F633*Eingaben!$B$19,MAX(0,D633-H633)),0)</f>
        <v>0</v>
      </c>
      <c r="J633" s="13" t="n">
        <f aca="false">IFERROR(MIN(Eingaben!$B$18,MAX(0,F633-I633)),0)</f>
        <v>1.7442</v>
      </c>
      <c r="K633" s="13" t="n">
        <f aca="false">H633+I633</f>
        <v>0.89</v>
      </c>
      <c r="L633" s="13" t="n">
        <f aca="false">MAX(0,D633-K633)</f>
        <v>0</v>
      </c>
      <c r="M633" s="13" t="n">
        <f aca="false">MAX(0,F633-I633-J633)</f>
        <v>0</v>
      </c>
      <c r="N633" s="13" t="n">
        <f aca="false">IF(Kalender!A267="",0,J632-H633)</f>
        <v>0.7032278</v>
      </c>
    </row>
    <row r="634" customFormat="false" ht="16.4" hidden="false" customHeight="false" outlineLevel="0" collapsed="false">
      <c r="A634" s="13" t="str">
        <f aca="false">""</f>
        <v/>
      </c>
      <c r="B634" s="13" t="n">
        <f aca="false">264</f>
        <v>264</v>
      </c>
      <c r="C634" s="13" t="n">
        <f aca="false">IF(Szenarien!$H$9="OK",(IFERROR(SUMIF(Nutzungsprofile!$B$6:$B$11,"Schulbetrieb",Nutzungsprofile!$G$6:$G$11)*Kalender!C268/SUM(Kalender!$C$5:$C$370),0)+IFERROR(SUMIF(Nutzungsprofile!$B$6:$B$11,"Halle",Nutzungsprofile!$G$6:$G$11)*Kalender!D268/SUM(Kalender!$D$5:$D$370),0)+IFERROR(SUMIF(Nutzungsprofile!$B$6:$B$11,"Individuell",Nutzungsprofile!$G$6:$G$11)*Kalender!E268/SUM(Kalender!$E$5:$E$370),0))*Szenarien!$E$9,0)</f>
        <v>2.94</v>
      </c>
      <c r="D634" s="13" t="n">
        <f aca="false">IF(Szenarien!$H$9="OK",(IFERROR(SUMIF(Nutzungsprofile!$B$17:$B$22,"Schulbetrieb",Nutzungsprofile!$G$17:$G$22)*Kalender!C268/SUM(Kalender!$C$5:$C$370),0)+IFERROR(SUMIF(Nutzungsprofile!$B$17:$B$22,"Halle",Nutzungsprofile!$G$17:$G$22)*Kalender!D268/SUM(Kalender!$D$5:$D$370),0)+IFERROR(SUMIF(Nutzungsprofile!$B$17:$B$22,"Individuell",Nutzungsprofile!$G$17:$G$22)*Kalender!E268/SUM(Kalender!$E$5:$E$370),0))*Szenarien!$D$9,0)</f>
        <v>4.94</v>
      </c>
      <c r="E634" s="13" t="n">
        <f aca="false">IFERROR(MIN(C634,Eingaben!$B$17)*Eingaben!$B$16,0)</f>
        <v>2.793</v>
      </c>
      <c r="F634" s="13" t="n">
        <f aca="false">IFERROR(E634*Eingaben!$B$15,0)</f>
        <v>2.5137</v>
      </c>
      <c r="G634" s="13" t="n">
        <f aca="false">IFERROR(IF(Kalender!A268="",0,J633*(1-Eingaben!$B$20)),0)</f>
        <v>1.709316</v>
      </c>
      <c r="H634" s="13" t="n">
        <f aca="false">MIN(G634,D634)</f>
        <v>1.709316</v>
      </c>
      <c r="I634" s="13" t="n">
        <f aca="false">IFERROR(MIN(F634*Eingaben!$B$19,MAX(0,D634-H634)),0)</f>
        <v>1.75959</v>
      </c>
      <c r="J634" s="13" t="n">
        <f aca="false">IFERROR(MIN(Eingaben!$B$18,MAX(0,F634-I634)),0)</f>
        <v>0.75411</v>
      </c>
      <c r="K634" s="13" t="n">
        <f aca="false">H634+I634</f>
        <v>3.468906</v>
      </c>
      <c r="L634" s="13" t="n">
        <f aca="false">MAX(0,D634-K634)</f>
        <v>1.471094</v>
      </c>
      <c r="M634" s="13" t="n">
        <f aca="false">MAX(0,F634-I634-J634)</f>
        <v>0</v>
      </c>
      <c r="N634" s="13" t="n">
        <f aca="false">IF(Kalender!A268="",0,J633-H634)</f>
        <v>0.0348840000000001</v>
      </c>
    </row>
    <row r="635" customFormat="false" ht="16.4" hidden="false" customHeight="false" outlineLevel="0" collapsed="false">
      <c r="A635" s="13" t="str">
        <f aca="false">""</f>
        <v/>
      </c>
      <c r="B635" s="13" t="n">
        <f aca="false">265</f>
        <v>265</v>
      </c>
      <c r="C635" s="13" t="n">
        <f aca="false">IF(Szenarien!$H$9="OK",(IFERROR(SUMIF(Nutzungsprofile!$B$6:$B$11,"Schulbetrieb",Nutzungsprofile!$G$6:$G$11)*Kalender!C269/SUM(Kalender!$C$5:$C$370),0)+IFERROR(SUMIF(Nutzungsprofile!$B$6:$B$11,"Halle",Nutzungsprofile!$G$6:$G$11)*Kalender!D269/SUM(Kalender!$D$5:$D$370),0)+IFERROR(SUMIF(Nutzungsprofile!$B$6:$B$11,"Individuell",Nutzungsprofile!$G$6:$G$11)*Kalender!E269/SUM(Kalender!$E$5:$E$370),0))*Szenarien!$E$9,0)</f>
        <v>2.94</v>
      </c>
      <c r="D635" s="13" t="n">
        <f aca="false">IF(Szenarien!$H$9="OK",(IFERROR(SUMIF(Nutzungsprofile!$B$17:$B$22,"Schulbetrieb",Nutzungsprofile!$G$17:$G$22)*Kalender!C269/SUM(Kalender!$C$5:$C$370),0)+IFERROR(SUMIF(Nutzungsprofile!$B$17:$B$22,"Halle",Nutzungsprofile!$G$17:$G$22)*Kalender!D269/SUM(Kalender!$D$5:$D$370),0)+IFERROR(SUMIF(Nutzungsprofile!$B$17:$B$22,"Individuell",Nutzungsprofile!$G$17:$G$22)*Kalender!E269/SUM(Kalender!$E$5:$E$370),0))*Szenarien!$D$9,0)</f>
        <v>4.94</v>
      </c>
      <c r="E635" s="13" t="n">
        <f aca="false">IFERROR(MIN(C635,Eingaben!$B$17)*Eingaben!$B$16,0)</f>
        <v>2.793</v>
      </c>
      <c r="F635" s="13" t="n">
        <f aca="false">IFERROR(E635*Eingaben!$B$15,0)</f>
        <v>2.5137</v>
      </c>
      <c r="G635" s="13" t="n">
        <f aca="false">IFERROR(IF(Kalender!A269="",0,J634*(1-Eingaben!$B$20)),0)</f>
        <v>0.7390278</v>
      </c>
      <c r="H635" s="13" t="n">
        <f aca="false">MIN(G635,D635)</f>
        <v>0.7390278</v>
      </c>
      <c r="I635" s="13" t="n">
        <f aca="false">IFERROR(MIN(F635*Eingaben!$B$19,MAX(0,D635-H635)),0)</f>
        <v>1.75959</v>
      </c>
      <c r="J635" s="13" t="n">
        <f aca="false">IFERROR(MIN(Eingaben!$B$18,MAX(0,F635-I635)),0)</f>
        <v>0.75411</v>
      </c>
      <c r="K635" s="13" t="n">
        <f aca="false">H635+I635</f>
        <v>2.4986178</v>
      </c>
      <c r="L635" s="13" t="n">
        <f aca="false">MAX(0,D635-K635)</f>
        <v>2.4413822</v>
      </c>
      <c r="M635" s="13" t="n">
        <f aca="false">MAX(0,F635-I635-J635)</f>
        <v>0</v>
      </c>
      <c r="N635" s="13" t="n">
        <f aca="false">IF(Kalender!A269="",0,J634-H635)</f>
        <v>0.0150822</v>
      </c>
    </row>
    <row r="636" customFormat="false" ht="16.4" hidden="false" customHeight="false" outlineLevel="0" collapsed="false">
      <c r="A636" s="13" t="str">
        <f aca="false">""</f>
        <v/>
      </c>
      <c r="B636" s="13" t="n">
        <f aca="false">266</f>
        <v>266</v>
      </c>
      <c r="C636" s="13" t="n">
        <f aca="false">IF(Szenarien!$H$9="OK",(IFERROR(SUMIF(Nutzungsprofile!$B$6:$B$11,"Schulbetrieb",Nutzungsprofile!$G$6:$G$11)*Kalender!C270/SUM(Kalender!$C$5:$C$370),0)+IFERROR(SUMIF(Nutzungsprofile!$B$6:$B$11,"Halle",Nutzungsprofile!$G$6:$G$11)*Kalender!D270/SUM(Kalender!$D$5:$D$370),0)+IFERROR(SUMIF(Nutzungsprofile!$B$6:$B$11,"Individuell",Nutzungsprofile!$G$6:$G$11)*Kalender!E270/SUM(Kalender!$E$5:$E$370),0))*Szenarien!$E$9,0)</f>
        <v>2.94</v>
      </c>
      <c r="D636" s="13" t="n">
        <f aca="false">IF(Szenarien!$H$9="OK",(IFERROR(SUMIF(Nutzungsprofile!$B$17:$B$22,"Schulbetrieb",Nutzungsprofile!$G$17:$G$22)*Kalender!C270/SUM(Kalender!$C$5:$C$370),0)+IFERROR(SUMIF(Nutzungsprofile!$B$17:$B$22,"Halle",Nutzungsprofile!$G$17:$G$22)*Kalender!D270/SUM(Kalender!$D$5:$D$370),0)+IFERROR(SUMIF(Nutzungsprofile!$B$17:$B$22,"Individuell",Nutzungsprofile!$G$17:$G$22)*Kalender!E270/SUM(Kalender!$E$5:$E$370),0))*Szenarien!$D$9,0)</f>
        <v>4.94</v>
      </c>
      <c r="E636" s="13" t="n">
        <f aca="false">IFERROR(MIN(C636,Eingaben!$B$17)*Eingaben!$B$16,0)</f>
        <v>2.793</v>
      </c>
      <c r="F636" s="13" t="n">
        <f aca="false">IFERROR(E636*Eingaben!$B$15,0)</f>
        <v>2.5137</v>
      </c>
      <c r="G636" s="13" t="n">
        <f aca="false">IFERROR(IF(Kalender!A270="",0,J635*(1-Eingaben!$B$20)),0)</f>
        <v>0.7390278</v>
      </c>
      <c r="H636" s="13" t="n">
        <f aca="false">MIN(G636,D636)</f>
        <v>0.7390278</v>
      </c>
      <c r="I636" s="13" t="n">
        <f aca="false">IFERROR(MIN(F636*Eingaben!$B$19,MAX(0,D636-H636)),0)</f>
        <v>1.75959</v>
      </c>
      <c r="J636" s="13" t="n">
        <f aca="false">IFERROR(MIN(Eingaben!$B$18,MAX(0,F636-I636)),0)</f>
        <v>0.75411</v>
      </c>
      <c r="K636" s="13" t="n">
        <f aca="false">H636+I636</f>
        <v>2.4986178</v>
      </c>
      <c r="L636" s="13" t="n">
        <f aca="false">MAX(0,D636-K636)</f>
        <v>2.4413822</v>
      </c>
      <c r="M636" s="13" t="n">
        <f aca="false">MAX(0,F636-I636-J636)</f>
        <v>0</v>
      </c>
      <c r="N636" s="13" t="n">
        <f aca="false">IF(Kalender!A270="",0,J635-H636)</f>
        <v>0.0150822</v>
      </c>
    </row>
    <row r="637" customFormat="false" ht="16.4" hidden="false" customHeight="false" outlineLevel="0" collapsed="false">
      <c r="A637" s="13" t="str">
        <f aca="false">""</f>
        <v/>
      </c>
      <c r="B637" s="13" t="n">
        <f aca="false">267</f>
        <v>267</v>
      </c>
      <c r="C637" s="13" t="n">
        <f aca="false">IF(Szenarien!$H$9="OK",(IFERROR(SUMIF(Nutzungsprofile!$B$6:$B$11,"Schulbetrieb",Nutzungsprofile!$G$6:$G$11)*Kalender!C271/SUM(Kalender!$C$5:$C$370),0)+IFERROR(SUMIF(Nutzungsprofile!$B$6:$B$11,"Halle",Nutzungsprofile!$G$6:$G$11)*Kalender!D271/SUM(Kalender!$D$5:$D$370),0)+IFERROR(SUMIF(Nutzungsprofile!$B$6:$B$11,"Individuell",Nutzungsprofile!$G$6:$G$11)*Kalender!E271/SUM(Kalender!$E$5:$E$370),0))*Szenarien!$E$9,0)</f>
        <v>2.94</v>
      </c>
      <c r="D637" s="13" t="n">
        <f aca="false">IF(Szenarien!$H$9="OK",(IFERROR(SUMIF(Nutzungsprofile!$B$17:$B$22,"Schulbetrieb",Nutzungsprofile!$G$17:$G$22)*Kalender!C271/SUM(Kalender!$C$5:$C$370),0)+IFERROR(SUMIF(Nutzungsprofile!$B$17:$B$22,"Halle",Nutzungsprofile!$G$17:$G$22)*Kalender!D271/SUM(Kalender!$D$5:$D$370),0)+IFERROR(SUMIF(Nutzungsprofile!$B$17:$B$22,"Individuell",Nutzungsprofile!$G$17:$G$22)*Kalender!E271/SUM(Kalender!$E$5:$E$370),0))*Szenarien!$D$9,0)</f>
        <v>4.94</v>
      </c>
      <c r="E637" s="13" t="n">
        <f aca="false">IFERROR(MIN(C637,Eingaben!$B$17)*Eingaben!$B$16,0)</f>
        <v>2.793</v>
      </c>
      <c r="F637" s="13" t="n">
        <f aca="false">IFERROR(E637*Eingaben!$B$15,0)</f>
        <v>2.5137</v>
      </c>
      <c r="G637" s="13" t="n">
        <f aca="false">IFERROR(IF(Kalender!A271="",0,J636*(1-Eingaben!$B$20)),0)</f>
        <v>0.7390278</v>
      </c>
      <c r="H637" s="13" t="n">
        <f aca="false">MIN(G637,D637)</f>
        <v>0.7390278</v>
      </c>
      <c r="I637" s="13" t="n">
        <f aca="false">IFERROR(MIN(F637*Eingaben!$B$19,MAX(0,D637-H637)),0)</f>
        <v>1.75959</v>
      </c>
      <c r="J637" s="13" t="n">
        <f aca="false">IFERROR(MIN(Eingaben!$B$18,MAX(0,F637-I637)),0)</f>
        <v>0.75411</v>
      </c>
      <c r="K637" s="13" t="n">
        <f aca="false">H637+I637</f>
        <v>2.4986178</v>
      </c>
      <c r="L637" s="13" t="n">
        <f aca="false">MAX(0,D637-K637)</f>
        <v>2.4413822</v>
      </c>
      <c r="M637" s="13" t="n">
        <f aca="false">MAX(0,F637-I637-J637)</f>
        <v>0</v>
      </c>
      <c r="N637" s="13" t="n">
        <f aca="false">IF(Kalender!A271="",0,J636-H637)</f>
        <v>0.0150822</v>
      </c>
    </row>
    <row r="638" customFormat="false" ht="16.4" hidden="false" customHeight="false" outlineLevel="0" collapsed="false">
      <c r="A638" s="13" t="str">
        <f aca="false">""</f>
        <v/>
      </c>
      <c r="B638" s="13" t="n">
        <f aca="false">268</f>
        <v>268</v>
      </c>
      <c r="C638" s="13" t="n">
        <f aca="false">IF(Szenarien!$H$9="OK",(IFERROR(SUMIF(Nutzungsprofile!$B$6:$B$11,"Schulbetrieb",Nutzungsprofile!$G$6:$G$11)*Kalender!C272/SUM(Kalender!$C$5:$C$370),0)+IFERROR(SUMIF(Nutzungsprofile!$B$6:$B$11,"Halle",Nutzungsprofile!$G$6:$G$11)*Kalender!D272/SUM(Kalender!$D$5:$D$370),0)+IFERROR(SUMIF(Nutzungsprofile!$B$6:$B$11,"Individuell",Nutzungsprofile!$G$6:$G$11)*Kalender!E272/SUM(Kalender!$E$5:$E$370),0))*Szenarien!$E$9,0)</f>
        <v>2.94</v>
      </c>
      <c r="D638" s="13" t="n">
        <f aca="false">IF(Szenarien!$H$9="OK",(IFERROR(SUMIF(Nutzungsprofile!$B$17:$B$22,"Schulbetrieb",Nutzungsprofile!$G$17:$G$22)*Kalender!C272/SUM(Kalender!$C$5:$C$370),0)+IFERROR(SUMIF(Nutzungsprofile!$B$17:$B$22,"Halle",Nutzungsprofile!$G$17:$G$22)*Kalender!D272/SUM(Kalender!$D$5:$D$370),0)+IFERROR(SUMIF(Nutzungsprofile!$B$17:$B$22,"Individuell",Nutzungsprofile!$G$17:$G$22)*Kalender!E272/SUM(Kalender!$E$5:$E$370),0))*Szenarien!$D$9,0)</f>
        <v>4.94</v>
      </c>
      <c r="E638" s="13" t="n">
        <f aca="false">IFERROR(MIN(C638,Eingaben!$B$17)*Eingaben!$B$16,0)</f>
        <v>2.793</v>
      </c>
      <c r="F638" s="13" t="n">
        <f aca="false">IFERROR(E638*Eingaben!$B$15,0)</f>
        <v>2.5137</v>
      </c>
      <c r="G638" s="13" t="n">
        <f aca="false">IFERROR(IF(Kalender!A272="",0,J637*(1-Eingaben!$B$20)),0)</f>
        <v>0.7390278</v>
      </c>
      <c r="H638" s="13" t="n">
        <f aca="false">MIN(G638,D638)</f>
        <v>0.7390278</v>
      </c>
      <c r="I638" s="13" t="n">
        <f aca="false">IFERROR(MIN(F638*Eingaben!$B$19,MAX(0,D638-H638)),0)</f>
        <v>1.75959</v>
      </c>
      <c r="J638" s="13" t="n">
        <f aca="false">IFERROR(MIN(Eingaben!$B$18,MAX(0,F638-I638)),0)</f>
        <v>0.75411</v>
      </c>
      <c r="K638" s="13" t="n">
        <f aca="false">H638+I638</f>
        <v>2.4986178</v>
      </c>
      <c r="L638" s="13" t="n">
        <f aca="false">MAX(0,D638-K638)</f>
        <v>2.4413822</v>
      </c>
      <c r="M638" s="13" t="n">
        <f aca="false">MAX(0,F638-I638-J638)</f>
        <v>0</v>
      </c>
      <c r="N638" s="13" t="n">
        <f aca="false">IF(Kalender!A272="",0,J637-H638)</f>
        <v>0.0150822</v>
      </c>
    </row>
    <row r="639" customFormat="false" ht="16.4" hidden="false" customHeight="false" outlineLevel="0" collapsed="false">
      <c r="A639" s="13" t="str">
        <f aca="false">""</f>
        <v/>
      </c>
      <c r="B639" s="13" t="n">
        <f aca="false">269</f>
        <v>269</v>
      </c>
      <c r="C639" s="13" t="n">
        <f aca="false">IF(Szenarien!$H$9="OK",(IFERROR(SUMIF(Nutzungsprofile!$B$6:$B$11,"Schulbetrieb",Nutzungsprofile!$G$6:$G$11)*Kalender!C273/SUM(Kalender!$C$5:$C$370),0)+IFERROR(SUMIF(Nutzungsprofile!$B$6:$B$11,"Halle",Nutzungsprofile!$G$6:$G$11)*Kalender!D273/SUM(Kalender!$D$5:$D$370),0)+IFERROR(SUMIF(Nutzungsprofile!$B$6:$B$11,"Individuell",Nutzungsprofile!$G$6:$G$11)*Kalender!E273/SUM(Kalender!$E$5:$E$370),0))*Szenarien!$E$9,0)</f>
        <v>2.04</v>
      </c>
      <c r="D639" s="13" t="n">
        <f aca="false">IF(Szenarien!$H$9="OK",(IFERROR(SUMIF(Nutzungsprofile!$B$17:$B$22,"Schulbetrieb",Nutzungsprofile!$G$17:$G$22)*Kalender!C273/SUM(Kalender!$C$5:$C$370),0)+IFERROR(SUMIF(Nutzungsprofile!$B$17:$B$22,"Halle",Nutzungsprofile!$G$17:$G$22)*Kalender!D273/SUM(Kalender!$D$5:$D$370),0)+IFERROR(SUMIF(Nutzungsprofile!$B$17:$B$22,"Individuell",Nutzungsprofile!$G$17:$G$22)*Kalender!E273/SUM(Kalender!$E$5:$E$370),0))*Szenarien!$D$9,0)</f>
        <v>0.89</v>
      </c>
      <c r="E639" s="13" t="n">
        <f aca="false">IFERROR(MIN(C639,Eingaben!$B$17)*Eingaben!$B$16,0)</f>
        <v>1.938</v>
      </c>
      <c r="F639" s="13" t="n">
        <f aca="false">IFERROR(E639*Eingaben!$B$15,0)</f>
        <v>1.7442</v>
      </c>
      <c r="G639" s="13" t="n">
        <f aca="false">IFERROR(IF(Kalender!A273="",0,J638*(1-Eingaben!$B$20)),0)</f>
        <v>0.7390278</v>
      </c>
      <c r="H639" s="13" t="n">
        <f aca="false">MIN(G639,D639)</f>
        <v>0.7390278</v>
      </c>
      <c r="I639" s="13" t="n">
        <f aca="false">IFERROR(MIN(F639*Eingaben!$B$19,MAX(0,D639-H639)),0)</f>
        <v>0.1509722</v>
      </c>
      <c r="J639" s="13" t="n">
        <f aca="false">IFERROR(MIN(Eingaben!$B$18,MAX(0,F639-I639)),0)</f>
        <v>1.5932278</v>
      </c>
      <c r="K639" s="13" t="n">
        <f aca="false">H639+I639</f>
        <v>0.89</v>
      </c>
      <c r="L639" s="13" t="n">
        <f aca="false">MAX(0,D639-K639)</f>
        <v>0</v>
      </c>
      <c r="M639" s="13" t="n">
        <f aca="false">MAX(0,F639-I639-J639)</f>
        <v>0</v>
      </c>
      <c r="N639" s="13" t="n">
        <f aca="false">IF(Kalender!A273="",0,J638-H639)</f>
        <v>0.0150822</v>
      </c>
    </row>
    <row r="640" customFormat="false" ht="16.4" hidden="false" customHeight="false" outlineLevel="0" collapsed="false">
      <c r="A640" s="13" t="str">
        <f aca="false">""</f>
        <v/>
      </c>
      <c r="B640" s="13" t="n">
        <f aca="false">270</f>
        <v>270</v>
      </c>
      <c r="C640" s="13" t="n">
        <f aca="false">IF(Szenarien!$H$9="OK",(IFERROR(SUMIF(Nutzungsprofile!$B$6:$B$11,"Schulbetrieb",Nutzungsprofile!$G$6:$G$11)*Kalender!C274/SUM(Kalender!$C$5:$C$370),0)+IFERROR(SUMIF(Nutzungsprofile!$B$6:$B$11,"Halle",Nutzungsprofile!$G$6:$G$11)*Kalender!D274/SUM(Kalender!$D$5:$D$370),0)+IFERROR(SUMIF(Nutzungsprofile!$B$6:$B$11,"Individuell",Nutzungsprofile!$G$6:$G$11)*Kalender!E274/SUM(Kalender!$E$5:$E$370),0))*Szenarien!$E$9,0)</f>
        <v>2.04</v>
      </c>
      <c r="D640" s="13" t="n">
        <f aca="false">IF(Szenarien!$H$9="OK",(IFERROR(SUMIF(Nutzungsprofile!$B$17:$B$22,"Schulbetrieb",Nutzungsprofile!$G$17:$G$22)*Kalender!C274/SUM(Kalender!$C$5:$C$370),0)+IFERROR(SUMIF(Nutzungsprofile!$B$17:$B$22,"Halle",Nutzungsprofile!$G$17:$G$22)*Kalender!D274/SUM(Kalender!$D$5:$D$370),0)+IFERROR(SUMIF(Nutzungsprofile!$B$17:$B$22,"Individuell",Nutzungsprofile!$G$17:$G$22)*Kalender!E274/SUM(Kalender!$E$5:$E$370),0))*Szenarien!$D$9,0)</f>
        <v>0.89</v>
      </c>
      <c r="E640" s="13" t="n">
        <f aca="false">IFERROR(MIN(C640,Eingaben!$B$17)*Eingaben!$B$16,0)</f>
        <v>1.938</v>
      </c>
      <c r="F640" s="13" t="n">
        <f aca="false">IFERROR(E640*Eingaben!$B$15,0)</f>
        <v>1.7442</v>
      </c>
      <c r="G640" s="13" t="n">
        <f aca="false">IFERROR(IF(Kalender!A274="",0,J639*(1-Eingaben!$B$20)),0)</f>
        <v>1.561363244</v>
      </c>
      <c r="H640" s="13" t="n">
        <f aca="false">MIN(G640,D640)</f>
        <v>0.89</v>
      </c>
      <c r="I640" s="13" t="n">
        <f aca="false">IFERROR(MIN(F640*Eingaben!$B$19,MAX(0,D640-H640)),0)</f>
        <v>0</v>
      </c>
      <c r="J640" s="13" t="n">
        <f aca="false">IFERROR(MIN(Eingaben!$B$18,MAX(0,F640-I640)),0)</f>
        <v>1.7442</v>
      </c>
      <c r="K640" s="13" t="n">
        <f aca="false">H640+I640</f>
        <v>0.89</v>
      </c>
      <c r="L640" s="13" t="n">
        <f aca="false">MAX(0,D640-K640)</f>
        <v>0</v>
      </c>
      <c r="M640" s="13" t="n">
        <f aca="false">MAX(0,F640-I640-J640)</f>
        <v>0</v>
      </c>
      <c r="N640" s="13" t="n">
        <f aca="false">IF(Kalender!A274="",0,J639-H640)</f>
        <v>0.7032278</v>
      </c>
    </row>
    <row r="641" customFormat="false" ht="16.4" hidden="false" customHeight="false" outlineLevel="0" collapsed="false">
      <c r="A641" s="13" t="str">
        <f aca="false">""</f>
        <v/>
      </c>
      <c r="B641" s="13" t="n">
        <f aca="false">271</f>
        <v>271</v>
      </c>
      <c r="C641" s="13" t="n">
        <f aca="false">IF(Szenarien!$H$9="OK",(IFERROR(SUMIF(Nutzungsprofile!$B$6:$B$11,"Schulbetrieb",Nutzungsprofile!$G$6:$G$11)*Kalender!C275/SUM(Kalender!$C$5:$C$370),0)+IFERROR(SUMIF(Nutzungsprofile!$B$6:$B$11,"Halle",Nutzungsprofile!$G$6:$G$11)*Kalender!D275/SUM(Kalender!$D$5:$D$370),0)+IFERROR(SUMIF(Nutzungsprofile!$B$6:$B$11,"Individuell",Nutzungsprofile!$G$6:$G$11)*Kalender!E275/SUM(Kalender!$E$5:$E$370),0))*Szenarien!$E$9,0)</f>
        <v>2.94</v>
      </c>
      <c r="D641" s="13" t="n">
        <f aca="false">IF(Szenarien!$H$9="OK",(IFERROR(SUMIF(Nutzungsprofile!$B$17:$B$22,"Schulbetrieb",Nutzungsprofile!$G$17:$G$22)*Kalender!C275/SUM(Kalender!$C$5:$C$370),0)+IFERROR(SUMIF(Nutzungsprofile!$B$17:$B$22,"Halle",Nutzungsprofile!$G$17:$G$22)*Kalender!D275/SUM(Kalender!$D$5:$D$370),0)+IFERROR(SUMIF(Nutzungsprofile!$B$17:$B$22,"Individuell",Nutzungsprofile!$G$17:$G$22)*Kalender!E275/SUM(Kalender!$E$5:$E$370),0))*Szenarien!$D$9,0)</f>
        <v>4.94</v>
      </c>
      <c r="E641" s="13" t="n">
        <f aca="false">IFERROR(MIN(C641,Eingaben!$B$17)*Eingaben!$B$16,0)</f>
        <v>2.793</v>
      </c>
      <c r="F641" s="13" t="n">
        <f aca="false">IFERROR(E641*Eingaben!$B$15,0)</f>
        <v>2.5137</v>
      </c>
      <c r="G641" s="13" t="n">
        <f aca="false">IFERROR(IF(Kalender!A275="",0,J640*(1-Eingaben!$B$20)),0)</f>
        <v>1.709316</v>
      </c>
      <c r="H641" s="13" t="n">
        <f aca="false">MIN(G641,D641)</f>
        <v>1.709316</v>
      </c>
      <c r="I641" s="13" t="n">
        <f aca="false">IFERROR(MIN(F641*Eingaben!$B$19,MAX(0,D641-H641)),0)</f>
        <v>1.75959</v>
      </c>
      <c r="J641" s="13" t="n">
        <f aca="false">IFERROR(MIN(Eingaben!$B$18,MAX(0,F641-I641)),0)</f>
        <v>0.75411</v>
      </c>
      <c r="K641" s="13" t="n">
        <f aca="false">H641+I641</f>
        <v>3.468906</v>
      </c>
      <c r="L641" s="13" t="n">
        <f aca="false">MAX(0,D641-K641)</f>
        <v>1.471094</v>
      </c>
      <c r="M641" s="13" t="n">
        <f aca="false">MAX(0,F641-I641-J641)</f>
        <v>0</v>
      </c>
      <c r="N641" s="13" t="n">
        <f aca="false">IF(Kalender!A275="",0,J640-H641)</f>
        <v>0.0348840000000001</v>
      </c>
    </row>
    <row r="642" customFormat="false" ht="16.4" hidden="false" customHeight="false" outlineLevel="0" collapsed="false">
      <c r="A642" s="13" t="str">
        <f aca="false">""</f>
        <v/>
      </c>
      <c r="B642" s="13" t="n">
        <f aca="false">272</f>
        <v>272</v>
      </c>
      <c r="C642" s="13" t="n">
        <f aca="false">IF(Szenarien!$H$9="OK",(IFERROR(SUMIF(Nutzungsprofile!$B$6:$B$11,"Schulbetrieb",Nutzungsprofile!$G$6:$G$11)*Kalender!C276/SUM(Kalender!$C$5:$C$370),0)+IFERROR(SUMIF(Nutzungsprofile!$B$6:$B$11,"Halle",Nutzungsprofile!$G$6:$G$11)*Kalender!D276/SUM(Kalender!$D$5:$D$370),0)+IFERROR(SUMIF(Nutzungsprofile!$B$6:$B$11,"Individuell",Nutzungsprofile!$G$6:$G$11)*Kalender!E276/SUM(Kalender!$E$5:$E$370),0))*Szenarien!$E$9,0)</f>
        <v>2.94</v>
      </c>
      <c r="D642" s="13" t="n">
        <f aca="false">IF(Szenarien!$H$9="OK",(IFERROR(SUMIF(Nutzungsprofile!$B$17:$B$22,"Schulbetrieb",Nutzungsprofile!$G$17:$G$22)*Kalender!C276/SUM(Kalender!$C$5:$C$370),0)+IFERROR(SUMIF(Nutzungsprofile!$B$17:$B$22,"Halle",Nutzungsprofile!$G$17:$G$22)*Kalender!D276/SUM(Kalender!$D$5:$D$370),0)+IFERROR(SUMIF(Nutzungsprofile!$B$17:$B$22,"Individuell",Nutzungsprofile!$G$17:$G$22)*Kalender!E276/SUM(Kalender!$E$5:$E$370),0))*Szenarien!$D$9,0)</f>
        <v>4.94</v>
      </c>
      <c r="E642" s="13" t="n">
        <f aca="false">IFERROR(MIN(C642,Eingaben!$B$17)*Eingaben!$B$16,0)</f>
        <v>2.793</v>
      </c>
      <c r="F642" s="13" t="n">
        <f aca="false">IFERROR(E642*Eingaben!$B$15,0)</f>
        <v>2.5137</v>
      </c>
      <c r="G642" s="13" t="n">
        <f aca="false">IFERROR(IF(Kalender!A276="",0,J641*(1-Eingaben!$B$20)),0)</f>
        <v>0.7390278</v>
      </c>
      <c r="H642" s="13" t="n">
        <f aca="false">MIN(G642,D642)</f>
        <v>0.7390278</v>
      </c>
      <c r="I642" s="13" t="n">
        <f aca="false">IFERROR(MIN(F642*Eingaben!$B$19,MAX(0,D642-H642)),0)</f>
        <v>1.75959</v>
      </c>
      <c r="J642" s="13" t="n">
        <f aca="false">IFERROR(MIN(Eingaben!$B$18,MAX(0,F642-I642)),0)</f>
        <v>0.75411</v>
      </c>
      <c r="K642" s="13" t="n">
        <f aca="false">H642+I642</f>
        <v>2.4986178</v>
      </c>
      <c r="L642" s="13" t="n">
        <f aca="false">MAX(0,D642-K642)</f>
        <v>2.4413822</v>
      </c>
      <c r="M642" s="13" t="n">
        <f aca="false">MAX(0,F642-I642-J642)</f>
        <v>0</v>
      </c>
      <c r="N642" s="13" t="n">
        <f aca="false">IF(Kalender!A276="",0,J641-H642)</f>
        <v>0.0150822</v>
      </c>
    </row>
    <row r="643" customFormat="false" ht="16.4" hidden="false" customHeight="false" outlineLevel="0" collapsed="false">
      <c r="A643" s="13" t="str">
        <f aca="false">""</f>
        <v/>
      </c>
      <c r="B643" s="13" t="n">
        <f aca="false">273</f>
        <v>273</v>
      </c>
      <c r="C643" s="13" t="n">
        <f aca="false">IF(Szenarien!$H$9="OK",(IFERROR(SUMIF(Nutzungsprofile!$B$6:$B$11,"Schulbetrieb",Nutzungsprofile!$G$6:$G$11)*Kalender!C277/SUM(Kalender!$C$5:$C$370),0)+IFERROR(SUMIF(Nutzungsprofile!$B$6:$B$11,"Halle",Nutzungsprofile!$G$6:$G$11)*Kalender!D277/SUM(Kalender!$D$5:$D$370),0)+IFERROR(SUMIF(Nutzungsprofile!$B$6:$B$11,"Individuell",Nutzungsprofile!$G$6:$G$11)*Kalender!E277/SUM(Kalender!$E$5:$E$370),0))*Szenarien!$E$9,0)</f>
        <v>2.94</v>
      </c>
      <c r="D643" s="13" t="n">
        <f aca="false">IF(Szenarien!$H$9="OK",(IFERROR(SUMIF(Nutzungsprofile!$B$17:$B$22,"Schulbetrieb",Nutzungsprofile!$G$17:$G$22)*Kalender!C277/SUM(Kalender!$C$5:$C$370),0)+IFERROR(SUMIF(Nutzungsprofile!$B$17:$B$22,"Halle",Nutzungsprofile!$G$17:$G$22)*Kalender!D277/SUM(Kalender!$D$5:$D$370),0)+IFERROR(SUMIF(Nutzungsprofile!$B$17:$B$22,"Individuell",Nutzungsprofile!$G$17:$G$22)*Kalender!E277/SUM(Kalender!$E$5:$E$370),0))*Szenarien!$D$9,0)</f>
        <v>4.94</v>
      </c>
      <c r="E643" s="13" t="n">
        <f aca="false">IFERROR(MIN(C643,Eingaben!$B$17)*Eingaben!$B$16,0)</f>
        <v>2.793</v>
      </c>
      <c r="F643" s="13" t="n">
        <f aca="false">IFERROR(E643*Eingaben!$B$15,0)</f>
        <v>2.5137</v>
      </c>
      <c r="G643" s="13" t="n">
        <f aca="false">IFERROR(IF(Kalender!A277="",0,J642*(1-Eingaben!$B$20)),0)</f>
        <v>0.7390278</v>
      </c>
      <c r="H643" s="13" t="n">
        <f aca="false">MIN(G643,D643)</f>
        <v>0.7390278</v>
      </c>
      <c r="I643" s="13" t="n">
        <f aca="false">IFERROR(MIN(F643*Eingaben!$B$19,MAX(0,D643-H643)),0)</f>
        <v>1.75959</v>
      </c>
      <c r="J643" s="13" t="n">
        <f aca="false">IFERROR(MIN(Eingaben!$B$18,MAX(0,F643-I643)),0)</f>
        <v>0.75411</v>
      </c>
      <c r="K643" s="13" t="n">
        <f aca="false">H643+I643</f>
        <v>2.4986178</v>
      </c>
      <c r="L643" s="13" t="n">
        <f aca="false">MAX(0,D643-K643)</f>
        <v>2.4413822</v>
      </c>
      <c r="M643" s="13" t="n">
        <f aca="false">MAX(0,F643-I643-J643)</f>
        <v>0</v>
      </c>
      <c r="N643" s="13" t="n">
        <f aca="false">IF(Kalender!A277="",0,J642-H643)</f>
        <v>0.0150822</v>
      </c>
    </row>
    <row r="644" customFormat="false" ht="16.4" hidden="false" customHeight="false" outlineLevel="0" collapsed="false">
      <c r="A644" s="13" t="str">
        <f aca="false">""</f>
        <v/>
      </c>
      <c r="B644" s="13" t="n">
        <f aca="false">274</f>
        <v>274</v>
      </c>
      <c r="C644" s="13" t="n">
        <f aca="false">IF(Szenarien!$H$9="OK",(IFERROR(SUMIF(Nutzungsprofile!$B$6:$B$11,"Schulbetrieb",Nutzungsprofile!$G$6:$G$11)*Kalender!C278/SUM(Kalender!$C$5:$C$370),0)+IFERROR(SUMIF(Nutzungsprofile!$B$6:$B$11,"Halle",Nutzungsprofile!$G$6:$G$11)*Kalender!D278/SUM(Kalender!$D$5:$D$370),0)+IFERROR(SUMIF(Nutzungsprofile!$B$6:$B$11,"Individuell",Nutzungsprofile!$G$6:$G$11)*Kalender!E278/SUM(Kalender!$E$5:$E$370),0))*Szenarien!$E$9,0)</f>
        <v>2.94</v>
      </c>
      <c r="D644" s="13" t="n">
        <f aca="false">IF(Szenarien!$H$9="OK",(IFERROR(SUMIF(Nutzungsprofile!$B$17:$B$22,"Schulbetrieb",Nutzungsprofile!$G$17:$G$22)*Kalender!C278/SUM(Kalender!$C$5:$C$370),0)+IFERROR(SUMIF(Nutzungsprofile!$B$17:$B$22,"Halle",Nutzungsprofile!$G$17:$G$22)*Kalender!D278/SUM(Kalender!$D$5:$D$370),0)+IFERROR(SUMIF(Nutzungsprofile!$B$17:$B$22,"Individuell",Nutzungsprofile!$G$17:$G$22)*Kalender!E278/SUM(Kalender!$E$5:$E$370),0))*Szenarien!$D$9,0)</f>
        <v>4.94</v>
      </c>
      <c r="E644" s="13" t="n">
        <f aca="false">IFERROR(MIN(C644,Eingaben!$B$17)*Eingaben!$B$16,0)</f>
        <v>2.793</v>
      </c>
      <c r="F644" s="13" t="n">
        <f aca="false">IFERROR(E644*Eingaben!$B$15,0)</f>
        <v>2.5137</v>
      </c>
      <c r="G644" s="13" t="n">
        <f aca="false">IFERROR(IF(Kalender!A278="",0,J643*(1-Eingaben!$B$20)),0)</f>
        <v>0.7390278</v>
      </c>
      <c r="H644" s="13" t="n">
        <f aca="false">MIN(G644,D644)</f>
        <v>0.7390278</v>
      </c>
      <c r="I644" s="13" t="n">
        <f aca="false">IFERROR(MIN(F644*Eingaben!$B$19,MAX(0,D644-H644)),0)</f>
        <v>1.75959</v>
      </c>
      <c r="J644" s="13" t="n">
        <f aca="false">IFERROR(MIN(Eingaben!$B$18,MAX(0,F644-I644)),0)</f>
        <v>0.75411</v>
      </c>
      <c r="K644" s="13" t="n">
        <f aca="false">H644+I644</f>
        <v>2.4986178</v>
      </c>
      <c r="L644" s="13" t="n">
        <f aca="false">MAX(0,D644-K644)</f>
        <v>2.4413822</v>
      </c>
      <c r="M644" s="13" t="n">
        <f aca="false">MAX(0,F644-I644-J644)</f>
        <v>0</v>
      </c>
      <c r="N644" s="13" t="n">
        <f aca="false">IF(Kalender!A278="",0,J643-H644)</f>
        <v>0.0150822</v>
      </c>
    </row>
    <row r="645" customFormat="false" ht="16.4" hidden="false" customHeight="false" outlineLevel="0" collapsed="false">
      <c r="A645" s="13" t="str">
        <f aca="false">""</f>
        <v/>
      </c>
      <c r="B645" s="13" t="n">
        <f aca="false">275</f>
        <v>275</v>
      </c>
      <c r="C645" s="13" t="n">
        <f aca="false">IF(Szenarien!$H$9="OK",(IFERROR(SUMIF(Nutzungsprofile!$B$6:$B$11,"Schulbetrieb",Nutzungsprofile!$G$6:$G$11)*Kalender!C279/SUM(Kalender!$C$5:$C$370),0)+IFERROR(SUMIF(Nutzungsprofile!$B$6:$B$11,"Halle",Nutzungsprofile!$G$6:$G$11)*Kalender!D279/SUM(Kalender!$D$5:$D$370),0)+IFERROR(SUMIF(Nutzungsprofile!$B$6:$B$11,"Individuell",Nutzungsprofile!$G$6:$G$11)*Kalender!E279/SUM(Kalender!$E$5:$E$370),0))*Szenarien!$E$9,0)</f>
        <v>2.94</v>
      </c>
      <c r="D645" s="13" t="n">
        <f aca="false">IF(Szenarien!$H$9="OK",(IFERROR(SUMIF(Nutzungsprofile!$B$17:$B$22,"Schulbetrieb",Nutzungsprofile!$G$17:$G$22)*Kalender!C279/SUM(Kalender!$C$5:$C$370),0)+IFERROR(SUMIF(Nutzungsprofile!$B$17:$B$22,"Halle",Nutzungsprofile!$G$17:$G$22)*Kalender!D279/SUM(Kalender!$D$5:$D$370),0)+IFERROR(SUMIF(Nutzungsprofile!$B$17:$B$22,"Individuell",Nutzungsprofile!$G$17:$G$22)*Kalender!E279/SUM(Kalender!$E$5:$E$370),0))*Szenarien!$D$9,0)</f>
        <v>4.94</v>
      </c>
      <c r="E645" s="13" t="n">
        <f aca="false">IFERROR(MIN(C645,Eingaben!$B$17)*Eingaben!$B$16,0)</f>
        <v>2.793</v>
      </c>
      <c r="F645" s="13" t="n">
        <f aca="false">IFERROR(E645*Eingaben!$B$15,0)</f>
        <v>2.5137</v>
      </c>
      <c r="G645" s="13" t="n">
        <f aca="false">IFERROR(IF(Kalender!A279="",0,J644*(1-Eingaben!$B$20)),0)</f>
        <v>0.7390278</v>
      </c>
      <c r="H645" s="13" t="n">
        <f aca="false">MIN(G645,D645)</f>
        <v>0.7390278</v>
      </c>
      <c r="I645" s="13" t="n">
        <f aca="false">IFERROR(MIN(F645*Eingaben!$B$19,MAX(0,D645-H645)),0)</f>
        <v>1.75959</v>
      </c>
      <c r="J645" s="13" t="n">
        <f aca="false">IFERROR(MIN(Eingaben!$B$18,MAX(0,F645-I645)),0)</f>
        <v>0.75411</v>
      </c>
      <c r="K645" s="13" t="n">
        <f aca="false">H645+I645</f>
        <v>2.4986178</v>
      </c>
      <c r="L645" s="13" t="n">
        <f aca="false">MAX(0,D645-K645)</f>
        <v>2.4413822</v>
      </c>
      <c r="M645" s="13" t="n">
        <f aca="false">MAX(0,F645-I645-J645)</f>
        <v>0</v>
      </c>
      <c r="N645" s="13" t="n">
        <f aca="false">IF(Kalender!A279="",0,J644-H645)</f>
        <v>0.0150822</v>
      </c>
    </row>
    <row r="646" customFormat="false" ht="16.4" hidden="false" customHeight="false" outlineLevel="0" collapsed="false">
      <c r="A646" s="13" t="str">
        <f aca="false">""</f>
        <v/>
      </c>
      <c r="B646" s="13" t="n">
        <f aca="false">276</f>
        <v>276</v>
      </c>
      <c r="C646" s="13" t="n">
        <f aca="false">IF(Szenarien!$H$9="OK",(IFERROR(SUMIF(Nutzungsprofile!$B$6:$B$11,"Schulbetrieb",Nutzungsprofile!$G$6:$G$11)*Kalender!C280/SUM(Kalender!$C$5:$C$370),0)+IFERROR(SUMIF(Nutzungsprofile!$B$6:$B$11,"Halle",Nutzungsprofile!$G$6:$G$11)*Kalender!D280/SUM(Kalender!$D$5:$D$370),0)+IFERROR(SUMIF(Nutzungsprofile!$B$6:$B$11,"Individuell",Nutzungsprofile!$G$6:$G$11)*Kalender!E280/SUM(Kalender!$E$5:$E$370),0))*Szenarien!$E$9,0)</f>
        <v>2.04</v>
      </c>
      <c r="D646" s="13" t="n">
        <f aca="false">IF(Szenarien!$H$9="OK",(IFERROR(SUMIF(Nutzungsprofile!$B$17:$B$22,"Schulbetrieb",Nutzungsprofile!$G$17:$G$22)*Kalender!C280/SUM(Kalender!$C$5:$C$370),0)+IFERROR(SUMIF(Nutzungsprofile!$B$17:$B$22,"Halle",Nutzungsprofile!$G$17:$G$22)*Kalender!D280/SUM(Kalender!$D$5:$D$370),0)+IFERROR(SUMIF(Nutzungsprofile!$B$17:$B$22,"Individuell",Nutzungsprofile!$G$17:$G$22)*Kalender!E280/SUM(Kalender!$E$5:$E$370),0))*Szenarien!$D$9,0)</f>
        <v>0.89</v>
      </c>
      <c r="E646" s="13" t="n">
        <f aca="false">IFERROR(MIN(C646,Eingaben!$B$17)*Eingaben!$B$16,0)</f>
        <v>1.938</v>
      </c>
      <c r="F646" s="13" t="n">
        <f aca="false">IFERROR(E646*Eingaben!$B$15,0)</f>
        <v>1.7442</v>
      </c>
      <c r="G646" s="13" t="n">
        <f aca="false">IFERROR(IF(Kalender!A280="",0,J645*(1-Eingaben!$B$20)),0)</f>
        <v>0.7390278</v>
      </c>
      <c r="H646" s="13" t="n">
        <f aca="false">MIN(G646,D646)</f>
        <v>0.7390278</v>
      </c>
      <c r="I646" s="13" t="n">
        <f aca="false">IFERROR(MIN(F646*Eingaben!$B$19,MAX(0,D646-H646)),0)</f>
        <v>0.1509722</v>
      </c>
      <c r="J646" s="13" t="n">
        <f aca="false">IFERROR(MIN(Eingaben!$B$18,MAX(0,F646-I646)),0)</f>
        <v>1.5932278</v>
      </c>
      <c r="K646" s="13" t="n">
        <f aca="false">H646+I646</f>
        <v>0.89</v>
      </c>
      <c r="L646" s="13" t="n">
        <f aca="false">MAX(0,D646-K646)</f>
        <v>0</v>
      </c>
      <c r="M646" s="13" t="n">
        <f aca="false">MAX(0,F646-I646-J646)</f>
        <v>0</v>
      </c>
      <c r="N646" s="13" t="n">
        <f aca="false">IF(Kalender!A280="",0,J645-H646)</f>
        <v>0.0150822</v>
      </c>
    </row>
    <row r="647" customFormat="false" ht="16.4" hidden="false" customHeight="false" outlineLevel="0" collapsed="false">
      <c r="A647" s="13" t="str">
        <f aca="false">""</f>
        <v/>
      </c>
      <c r="B647" s="13" t="n">
        <f aca="false">277</f>
        <v>277</v>
      </c>
      <c r="C647" s="13" t="n">
        <f aca="false">IF(Szenarien!$H$9="OK",(IFERROR(SUMIF(Nutzungsprofile!$B$6:$B$11,"Schulbetrieb",Nutzungsprofile!$G$6:$G$11)*Kalender!C281/SUM(Kalender!$C$5:$C$370),0)+IFERROR(SUMIF(Nutzungsprofile!$B$6:$B$11,"Halle",Nutzungsprofile!$G$6:$G$11)*Kalender!D281/SUM(Kalender!$D$5:$D$370),0)+IFERROR(SUMIF(Nutzungsprofile!$B$6:$B$11,"Individuell",Nutzungsprofile!$G$6:$G$11)*Kalender!E281/SUM(Kalender!$E$5:$E$370),0))*Szenarien!$E$9,0)</f>
        <v>2.04</v>
      </c>
      <c r="D647" s="13" t="n">
        <f aca="false">IF(Szenarien!$H$9="OK",(IFERROR(SUMIF(Nutzungsprofile!$B$17:$B$22,"Schulbetrieb",Nutzungsprofile!$G$17:$G$22)*Kalender!C281/SUM(Kalender!$C$5:$C$370),0)+IFERROR(SUMIF(Nutzungsprofile!$B$17:$B$22,"Halle",Nutzungsprofile!$G$17:$G$22)*Kalender!D281/SUM(Kalender!$D$5:$D$370),0)+IFERROR(SUMIF(Nutzungsprofile!$B$17:$B$22,"Individuell",Nutzungsprofile!$G$17:$G$22)*Kalender!E281/SUM(Kalender!$E$5:$E$370),0))*Szenarien!$D$9,0)</f>
        <v>0.89</v>
      </c>
      <c r="E647" s="13" t="n">
        <f aca="false">IFERROR(MIN(C647,Eingaben!$B$17)*Eingaben!$B$16,0)</f>
        <v>1.938</v>
      </c>
      <c r="F647" s="13" t="n">
        <f aca="false">IFERROR(E647*Eingaben!$B$15,0)</f>
        <v>1.7442</v>
      </c>
      <c r="G647" s="13" t="n">
        <f aca="false">IFERROR(IF(Kalender!A281="",0,J646*(1-Eingaben!$B$20)),0)</f>
        <v>1.561363244</v>
      </c>
      <c r="H647" s="13" t="n">
        <f aca="false">MIN(G647,D647)</f>
        <v>0.89</v>
      </c>
      <c r="I647" s="13" t="n">
        <f aca="false">IFERROR(MIN(F647*Eingaben!$B$19,MAX(0,D647-H647)),0)</f>
        <v>0</v>
      </c>
      <c r="J647" s="13" t="n">
        <f aca="false">IFERROR(MIN(Eingaben!$B$18,MAX(0,F647-I647)),0)</f>
        <v>1.7442</v>
      </c>
      <c r="K647" s="13" t="n">
        <f aca="false">H647+I647</f>
        <v>0.89</v>
      </c>
      <c r="L647" s="13" t="n">
        <f aca="false">MAX(0,D647-K647)</f>
        <v>0</v>
      </c>
      <c r="M647" s="13" t="n">
        <f aca="false">MAX(0,F647-I647-J647)</f>
        <v>0</v>
      </c>
      <c r="N647" s="13" t="n">
        <f aca="false">IF(Kalender!A281="",0,J646-H647)</f>
        <v>0.7032278</v>
      </c>
    </row>
    <row r="648" customFormat="false" ht="16.4" hidden="false" customHeight="false" outlineLevel="0" collapsed="false">
      <c r="A648" s="13" t="str">
        <f aca="false">""</f>
        <v/>
      </c>
      <c r="B648" s="13" t="n">
        <f aca="false">278</f>
        <v>278</v>
      </c>
      <c r="C648" s="13" t="n">
        <f aca="false">IF(Szenarien!$H$9="OK",(IFERROR(SUMIF(Nutzungsprofile!$B$6:$B$11,"Schulbetrieb",Nutzungsprofile!$G$6:$G$11)*Kalender!C282/SUM(Kalender!$C$5:$C$370),0)+IFERROR(SUMIF(Nutzungsprofile!$B$6:$B$11,"Halle",Nutzungsprofile!$G$6:$G$11)*Kalender!D282/SUM(Kalender!$D$5:$D$370),0)+IFERROR(SUMIF(Nutzungsprofile!$B$6:$B$11,"Individuell",Nutzungsprofile!$G$6:$G$11)*Kalender!E282/SUM(Kalender!$E$5:$E$370),0))*Szenarien!$E$9,0)</f>
        <v>2.94</v>
      </c>
      <c r="D648" s="13" t="n">
        <f aca="false">IF(Szenarien!$H$9="OK",(IFERROR(SUMIF(Nutzungsprofile!$B$17:$B$22,"Schulbetrieb",Nutzungsprofile!$G$17:$G$22)*Kalender!C282/SUM(Kalender!$C$5:$C$370),0)+IFERROR(SUMIF(Nutzungsprofile!$B$17:$B$22,"Halle",Nutzungsprofile!$G$17:$G$22)*Kalender!D282/SUM(Kalender!$D$5:$D$370),0)+IFERROR(SUMIF(Nutzungsprofile!$B$17:$B$22,"Individuell",Nutzungsprofile!$G$17:$G$22)*Kalender!E282/SUM(Kalender!$E$5:$E$370),0))*Szenarien!$D$9,0)</f>
        <v>4.94</v>
      </c>
      <c r="E648" s="13" t="n">
        <f aca="false">IFERROR(MIN(C648,Eingaben!$B$17)*Eingaben!$B$16,0)</f>
        <v>2.793</v>
      </c>
      <c r="F648" s="13" t="n">
        <f aca="false">IFERROR(E648*Eingaben!$B$15,0)</f>
        <v>2.5137</v>
      </c>
      <c r="G648" s="13" t="n">
        <f aca="false">IFERROR(IF(Kalender!A282="",0,J647*(1-Eingaben!$B$20)),0)</f>
        <v>1.709316</v>
      </c>
      <c r="H648" s="13" t="n">
        <f aca="false">MIN(G648,D648)</f>
        <v>1.709316</v>
      </c>
      <c r="I648" s="13" t="n">
        <f aca="false">IFERROR(MIN(F648*Eingaben!$B$19,MAX(0,D648-H648)),0)</f>
        <v>1.75959</v>
      </c>
      <c r="J648" s="13" t="n">
        <f aca="false">IFERROR(MIN(Eingaben!$B$18,MAX(0,F648-I648)),0)</f>
        <v>0.75411</v>
      </c>
      <c r="K648" s="13" t="n">
        <f aca="false">H648+I648</f>
        <v>3.468906</v>
      </c>
      <c r="L648" s="13" t="n">
        <f aca="false">MAX(0,D648-K648)</f>
        <v>1.471094</v>
      </c>
      <c r="M648" s="13" t="n">
        <f aca="false">MAX(0,F648-I648-J648)</f>
        <v>0</v>
      </c>
      <c r="N648" s="13" t="n">
        <f aca="false">IF(Kalender!A282="",0,J647-H648)</f>
        <v>0.0348840000000001</v>
      </c>
    </row>
    <row r="649" customFormat="false" ht="16.4" hidden="false" customHeight="false" outlineLevel="0" collapsed="false">
      <c r="A649" s="13" t="str">
        <f aca="false">""</f>
        <v/>
      </c>
      <c r="B649" s="13" t="n">
        <f aca="false">279</f>
        <v>279</v>
      </c>
      <c r="C649" s="13" t="n">
        <f aca="false">IF(Szenarien!$H$9="OK",(IFERROR(SUMIF(Nutzungsprofile!$B$6:$B$11,"Schulbetrieb",Nutzungsprofile!$G$6:$G$11)*Kalender!C283/SUM(Kalender!$C$5:$C$370),0)+IFERROR(SUMIF(Nutzungsprofile!$B$6:$B$11,"Halle",Nutzungsprofile!$G$6:$G$11)*Kalender!D283/SUM(Kalender!$D$5:$D$370),0)+IFERROR(SUMIF(Nutzungsprofile!$B$6:$B$11,"Individuell",Nutzungsprofile!$G$6:$G$11)*Kalender!E283/SUM(Kalender!$E$5:$E$370),0))*Szenarien!$E$9,0)</f>
        <v>2.94</v>
      </c>
      <c r="D649" s="13" t="n">
        <f aca="false">IF(Szenarien!$H$9="OK",(IFERROR(SUMIF(Nutzungsprofile!$B$17:$B$22,"Schulbetrieb",Nutzungsprofile!$G$17:$G$22)*Kalender!C283/SUM(Kalender!$C$5:$C$370),0)+IFERROR(SUMIF(Nutzungsprofile!$B$17:$B$22,"Halle",Nutzungsprofile!$G$17:$G$22)*Kalender!D283/SUM(Kalender!$D$5:$D$370),0)+IFERROR(SUMIF(Nutzungsprofile!$B$17:$B$22,"Individuell",Nutzungsprofile!$G$17:$G$22)*Kalender!E283/SUM(Kalender!$E$5:$E$370),0))*Szenarien!$D$9,0)</f>
        <v>4.94</v>
      </c>
      <c r="E649" s="13" t="n">
        <f aca="false">IFERROR(MIN(C649,Eingaben!$B$17)*Eingaben!$B$16,0)</f>
        <v>2.793</v>
      </c>
      <c r="F649" s="13" t="n">
        <f aca="false">IFERROR(E649*Eingaben!$B$15,0)</f>
        <v>2.5137</v>
      </c>
      <c r="G649" s="13" t="n">
        <f aca="false">IFERROR(IF(Kalender!A283="",0,J648*(1-Eingaben!$B$20)),0)</f>
        <v>0.7390278</v>
      </c>
      <c r="H649" s="13" t="n">
        <f aca="false">MIN(G649,D649)</f>
        <v>0.7390278</v>
      </c>
      <c r="I649" s="13" t="n">
        <f aca="false">IFERROR(MIN(F649*Eingaben!$B$19,MAX(0,D649-H649)),0)</f>
        <v>1.75959</v>
      </c>
      <c r="J649" s="13" t="n">
        <f aca="false">IFERROR(MIN(Eingaben!$B$18,MAX(0,F649-I649)),0)</f>
        <v>0.75411</v>
      </c>
      <c r="K649" s="13" t="n">
        <f aca="false">H649+I649</f>
        <v>2.4986178</v>
      </c>
      <c r="L649" s="13" t="n">
        <f aca="false">MAX(0,D649-K649)</f>
        <v>2.4413822</v>
      </c>
      <c r="M649" s="13" t="n">
        <f aca="false">MAX(0,F649-I649-J649)</f>
        <v>0</v>
      </c>
      <c r="N649" s="13" t="n">
        <f aca="false">IF(Kalender!A283="",0,J648-H649)</f>
        <v>0.0150822</v>
      </c>
    </row>
    <row r="650" customFormat="false" ht="16.4" hidden="false" customHeight="false" outlineLevel="0" collapsed="false">
      <c r="A650" s="13" t="str">
        <f aca="false">""</f>
        <v/>
      </c>
      <c r="B650" s="13" t="n">
        <f aca="false">280</f>
        <v>280</v>
      </c>
      <c r="C650" s="13" t="n">
        <f aca="false">IF(Szenarien!$H$9="OK",(IFERROR(SUMIF(Nutzungsprofile!$B$6:$B$11,"Schulbetrieb",Nutzungsprofile!$G$6:$G$11)*Kalender!C284/SUM(Kalender!$C$5:$C$370),0)+IFERROR(SUMIF(Nutzungsprofile!$B$6:$B$11,"Halle",Nutzungsprofile!$G$6:$G$11)*Kalender!D284/SUM(Kalender!$D$5:$D$370),0)+IFERROR(SUMIF(Nutzungsprofile!$B$6:$B$11,"Individuell",Nutzungsprofile!$G$6:$G$11)*Kalender!E284/SUM(Kalender!$E$5:$E$370),0))*Szenarien!$E$9,0)</f>
        <v>2.94</v>
      </c>
      <c r="D650" s="13" t="n">
        <f aca="false">IF(Szenarien!$H$9="OK",(IFERROR(SUMIF(Nutzungsprofile!$B$17:$B$22,"Schulbetrieb",Nutzungsprofile!$G$17:$G$22)*Kalender!C284/SUM(Kalender!$C$5:$C$370),0)+IFERROR(SUMIF(Nutzungsprofile!$B$17:$B$22,"Halle",Nutzungsprofile!$G$17:$G$22)*Kalender!D284/SUM(Kalender!$D$5:$D$370),0)+IFERROR(SUMIF(Nutzungsprofile!$B$17:$B$22,"Individuell",Nutzungsprofile!$G$17:$G$22)*Kalender!E284/SUM(Kalender!$E$5:$E$370),0))*Szenarien!$D$9,0)</f>
        <v>4.94</v>
      </c>
      <c r="E650" s="13" t="n">
        <f aca="false">IFERROR(MIN(C650,Eingaben!$B$17)*Eingaben!$B$16,0)</f>
        <v>2.793</v>
      </c>
      <c r="F650" s="13" t="n">
        <f aca="false">IFERROR(E650*Eingaben!$B$15,0)</f>
        <v>2.5137</v>
      </c>
      <c r="G650" s="13" t="n">
        <f aca="false">IFERROR(IF(Kalender!A284="",0,J649*(1-Eingaben!$B$20)),0)</f>
        <v>0.7390278</v>
      </c>
      <c r="H650" s="13" t="n">
        <f aca="false">MIN(G650,D650)</f>
        <v>0.7390278</v>
      </c>
      <c r="I650" s="13" t="n">
        <f aca="false">IFERROR(MIN(F650*Eingaben!$B$19,MAX(0,D650-H650)),0)</f>
        <v>1.75959</v>
      </c>
      <c r="J650" s="13" t="n">
        <f aca="false">IFERROR(MIN(Eingaben!$B$18,MAX(0,F650-I650)),0)</f>
        <v>0.75411</v>
      </c>
      <c r="K650" s="13" t="n">
        <f aca="false">H650+I650</f>
        <v>2.4986178</v>
      </c>
      <c r="L650" s="13" t="n">
        <f aca="false">MAX(0,D650-K650)</f>
        <v>2.4413822</v>
      </c>
      <c r="M650" s="13" t="n">
        <f aca="false">MAX(0,F650-I650-J650)</f>
        <v>0</v>
      </c>
      <c r="N650" s="13" t="n">
        <f aca="false">IF(Kalender!A284="",0,J649-H650)</f>
        <v>0.0150822</v>
      </c>
    </row>
    <row r="651" customFormat="false" ht="16.4" hidden="false" customHeight="false" outlineLevel="0" collapsed="false">
      <c r="A651" s="13" t="str">
        <f aca="false">""</f>
        <v/>
      </c>
      <c r="B651" s="13" t="n">
        <f aca="false">281</f>
        <v>281</v>
      </c>
      <c r="C651" s="13" t="n">
        <f aca="false">IF(Szenarien!$H$9="OK",(IFERROR(SUMIF(Nutzungsprofile!$B$6:$B$11,"Schulbetrieb",Nutzungsprofile!$G$6:$G$11)*Kalender!C285/SUM(Kalender!$C$5:$C$370),0)+IFERROR(SUMIF(Nutzungsprofile!$B$6:$B$11,"Halle",Nutzungsprofile!$G$6:$G$11)*Kalender!D285/SUM(Kalender!$D$5:$D$370),0)+IFERROR(SUMIF(Nutzungsprofile!$B$6:$B$11,"Individuell",Nutzungsprofile!$G$6:$G$11)*Kalender!E285/SUM(Kalender!$E$5:$E$370),0))*Szenarien!$E$9,0)</f>
        <v>0.9</v>
      </c>
      <c r="D651" s="13" t="n">
        <f aca="false">IF(Szenarien!$H$9="OK",(IFERROR(SUMIF(Nutzungsprofile!$B$17:$B$22,"Schulbetrieb",Nutzungsprofile!$G$17:$G$22)*Kalender!C285/SUM(Kalender!$C$5:$C$370),0)+IFERROR(SUMIF(Nutzungsprofile!$B$17:$B$22,"Halle",Nutzungsprofile!$G$17:$G$22)*Kalender!D285/SUM(Kalender!$D$5:$D$370),0)+IFERROR(SUMIF(Nutzungsprofile!$B$17:$B$22,"Individuell",Nutzungsprofile!$G$17:$G$22)*Kalender!E285/SUM(Kalender!$E$5:$E$370),0))*Szenarien!$D$9,0)</f>
        <v>4.05</v>
      </c>
      <c r="E651" s="13" t="n">
        <f aca="false">IFERROR(MIN(C651,Eingaben!$B$17)*Eingaben!$B$16,0)</f>
        <v>0.855</v>
      </c>
      <c r="F651" s="13" t="n">
        <f aca="false">IFERROR(E651*Eingaben!$B$15,0)</f>
        <v>0.7695</v>
      </c>
      <c r="G651" s="13" t="n">
        <f aca="false">IFERROR(IF(Kalender!A285="",0,J650*(1-Eingaben!$B$20)),0)</f>
        <v>0.7390278</v>
      </c>
      <c r="H651" s="13" t="n">
        <f aca="false">MIN(G651,D651)</f>
        <v>0.7390278</v>
      </c>
      <c r="I651" s="13" t="n">
        <f aca="false">IFERROR(MIN(F651*Eingaben!$B$19,MAX(0,D651-H651)),0)</f>
        <v>0.53865</v>
      </c>
      <c r="J651" s="13" t="n">
        <f aca="false">IFERROR(MIN(Eingaben!$B$18,MAX(0,F651-I651)),0)</f>
        <v>0.23085</v>
      </c>
      <c r="K651" s="13" t="n">
        <f aca="false">H651+I651</f>
        <v>1.2776778</v>
      </c>
      <c r="L651" s="13" t="n">
        <f aca="false">MAX(0,D651-K651)</f>
        <v>2.7723222</v>
      </c>
      <c r="M651" s="13" t="n">
        <f aca="false">MAX(0,F651-I651-J651)</f>
        <v>0</v>
      </c>
      <c r="N651" s="13" t="n">
        <f aca="false">IF(Kalender!A285="",0,J650-H651)</f>
        <v>0.0150822</v>
      </c>
    </row>
    <row r="652" customFormat="false" ht="16.4" hidden="false" customHeight="false" outlineLevel="0" collapsed="false">
      <c r="A652" s="13" t="str">
        <f aca="false">""</f>
        <v/>
      </c>
      <c r="B652" s="13" t="n">
        <f aca="false">282</f>
        <v>282</v>
      </c>
      <c r="C652" s="13" t="n">
        <f aca="false">IF(Szenarien!$H$9="OK",(IFERROR(SUMIF(Nutzungsprofile!$B$6:$B$11,"Schulbetrieb",Nutzungsprofile!$G$6:$G$11)*Kalender!C286/SUM(Kalender!$C$5:$C$370),0)+IFERROR(SUMIF(Nutzungsprofile!$B$6:$B$11,"Halle",Nutzungsprofile!$G$6:$G$11)*Kalender!D286/SUM(Kalender!$D$5:$D$370),0)+IFERROR(SUMIF(Nutzungsprofile!$B$6:$B$11,"Individuell",Nutzungsprofile!$G$6:$G$11)*Kalender!E286/SUM(Kalender!$E$5:$E$370),0))*Szenarien!$E$9,0)</f>
        <v>0.9</v>
      </c>
      <c r="D652" s="13" t="n">
        <f aca="false">IF(Szenarien!$H$9="OK",(IFERROR(SUMIF(Nutzungsprofile!$B$17:$B$22,"Schulbetrieb",Nutzungsprofile!$G$17:$G$22)*Kalender!C286/SUM(Kalender!$C$5:$C$370),0)+IFERROR(SUMIF(Nutzungsprofile!$B$17:$B$22,"Halle",Nutzungsprofile!$G$17:$G$22)*Kalender!D286/SUM(Kalender!$D$5:$D$370),0)+IFERROR(SUMIF(Nutzungsprofile!$B$17:$B$22,"Individuell",Nutzungsprofile!$G$17:$G$22)*Kalender!E286/SUM(Kalender!$E$5:$E$370),0))*Szenarien!$D$9,0)</f>
        <v>4.05</v>
      </c>
      <c r="E652" s="13" t="n">
        <f aca="false">IFERROR(MIN(C652,Eingaben!$B$17)*Eingaben!$B$16,0)</f>
        <v>0.855</v>
      </c>
      <c r="F652" s="13" t="n">
        <f aca="false">IFERROR(E652*Eingaben!$B$15,0)</f>
        <v>0.7695</v>
      </c>
      <c r="G652" s="13" t="n">
        <f aca="false">IFERROR(IF(Kalender!A286="",0,J651*(1-Eingaben!$B$20)),0)</f>
        <v>0.226233</v>
      </c>
      <c r="H652" s="13" t="n">
        <f aca="false">MIN(G652,D652)</f>
        <v>0.226233</v>
      </c>
      <c r="I652" s="13" t="n">
        <f aca="false">IFERROR(MIN(F652*Eingaben!$B$19,MAX(0,D652-H652)),0)</f>
        <v>0.53865</v>
      </c>
      <c r="J652" s="13" t="n">
        <f aca="false">IFERROR(MIN(Eingaben!$B$18,MAX(0,F652-I652)),0)</f>
        <v>0.23085</v>
      </c>
      <c r="K652" s="13" t="n">
        <f aca="false">H652+I652</f>
        <v>0.764883</v>
      </c>
      <c r="L652" s="13" t="n">
        <f aca="false">MAX(0,D652-K652)</f>
        <v>3.285117</v>
      </c>
      <c r="M652" s="13" t="n">
        <f aca="false">MAX(0,F652-I652-J652)</f>
        <v>0</v>
      </c>
      <c r="N652" s="13" t="n">
        <f aca="false">IF(Kalender!A286="",0,J651-H652)</f>
        <v>0.00461700000000001</v>
      </c>
    </row>
    <row r="653" customFormat="false" ht="16.4" hidden="false" customHeight="false" outlineLevel="0" collapsed="false">
      <c r="A653" s="13" t="str">
        <f aca="false">""</f>
        <v/>
      </c>
      <c r="B653" s="13" t="n">
        <f aca="false">283</f>
        <v>283</v>
      </c>
      <c r="C653" s="13" t="n">
        <f aca="false">IF(Szenarien!$H$9="OK",(IFERROR(SUMIF(Nutzungsprofile!$B$6:$B$11,"Schulbetrieb",Nutzungsprofile!$G$6:$G$11)*Kalender!C287/SUM(Kalender!$C$5:$C$370),0)+IFERROR(SUMIF(Nutzungsprofile!$B$6:$B$11,"Halle",Nutzungsprofile!$G$6:$G$11)*Kalender!D287/SUM(Kalender!$D$5:$D$370),0)+IFERROR(SUMIF(Nutzungsprofile!$B$6:$B$11,"Individuell",Nutzungsprofile!$G$6:$G$11)*Kalender!E287/SUM(Kalender!$E$5:$E$370),0))*Szenarien!$E$9,0)</f>
        <v>0</v>
      </c>
      <c r="D653" s="13" t="n">
        <f aca="false">IF(Szenarien!$H$9="OK",(IFERROR(SUMIF(Nutzungsprofile!$B$17:$B$22,"Schulbetrieb",Nutzungsprofile!$G$17:$G$22)*Kalender!C287/SUM(Kalender!$C$5:$C$370),0)+IFERROR(SUMIF(Nutzungsprofile!$B$17:$B$22,"Halle",Nutzungsprofile!$G$17:$G$22)*Kalender!D287/SUM(Kalender!$D$5:$D$370),0)+IFERROR(SUMIF(Nutzungsprofile!$B$17:$B$22,"Individuell",Nutzungsprofile!$G$17:$G$22)*Kalender!E287/SUM(Kalender!$E$5:$E$370),0))*Szenarien!$D$9,0)</f>
        <v>0</v>
      </c>
      <c r="E653" s="13" t="n">
        <f aca="false">IFERROR(MIN(C653,Eingaben!$B$17)*Eingaben!$B$16,0)</f>
        <v>0</v>
      </c>
      <c r="F653" s="13" t="n">
        <f aca="false">IFERROR(E653*Eingaben!$B$15,0)</f>
        <v>0</v>
      </c>
      <c r="G653" s="13" t="n">
        <f aca="false">IFERROR(IF(Kalender!A287="",0,J652*(1-Eingaben!$B$20)),0)</f>
        <v>0.226233</v>
      </c>
      <c r="H653" s="13" t="n">
        <f aca="false">MIN(G653,D653)</f>
        <v>0</v>
      </c>
      <c r="I653" s="13" t="n">
        <f aca="false">IFERROR(MIN(F653*Eingaben!$B$19,MAX(0,D653-H653)),0)</f>
        <v>0</v>
      </c>
      <c r="J653" s="13" t="n">
        <f aca="false">IFERROR(MIN(Eingaben!$B$18,MAX(0,F653-I653)),0)</f>
        <v>0</v>
      </c>
      <c r="K653" s="13" t="n">
        <f aca="false">H653+I653</f>
        <v>0</v>
      </c>
      <c r="L653" s="13" t="n">
        <f aca="false">MAX(0,D653-K653)</f>
        <v>0</v>
      </c>
      <c r="M653" s="13" t="n">
        <f aca="false">MAX(0,F653-I653-J653)</f>
        <v>0</v>
      </c>
      <c r="N653" s="13" t="n">
        <f aca="false">IF(Kalender!A287="",0,J652-H653)</f>
        <v>0.23085</v>
      </c>
    </row>
    <row r="654" customFormat="false" ht="16.4" hidden="false" customHeight="false" outlineLevel="0" collapsed="false">
      <c r="A654" s="13" t="str">
        <f aca="false">""</f>
        <v/>
      </c>
      <c r="B654" s="13" t="n">
        <f aca="false">284</f>
        <v>284</v>
      </c>
      <c r="C654" s="13" t="n">
        <f aca="false">IF(Szenarien!$H$9="OK",(IFERROR(SUMIF(Nutzungsprofile!$B$6:$B$11,"Schulbetrieb",Nutzungsprofile!$G$6:$G$11)*Kalender!C288/SUM(Kalender!$C$5:$C$370),0)+IFERROR(SUMIF(Nutzungsprofile!$B$6:$B$11,"Halle",Nutzungsprofile!$G$6:$G$11)*Kalender!D288/SUM(Kalender!$D$5:$D$370),0)+IFERROR(SUMIF(Nutzungsprofile!$B$6:$B$11,"Individuell",Nutzungsprofile!$G$6:$G$11)*Kalender!E288/SUM(Kalender!$E$5:$E$370),0))*Szenarien!$E$9,0)</f>
        <v>0</v>
      </c>
      <c r="D654" s="13" t="n">
        <f aca="false">IF(Szenarien!$H$9="OK",(IFERROR(SUMIF(Nutzungsprofile!$B$17:$B$22,"Schulbetrieb",Nutzungsprofile!$G$17:$G$22)*Kalender!C288/SUM(Kalender!$C$5:$C$370),0)+IFERROR(SUMIF(Nutzungsprofile!$B$17:$B$22,"Halle",Nutzungsprofile!$G$17:$G$22)*Kalender!D288/SUM(Kalender!$D$5:$D$370),0)+IFERROR(SUMIF(Nutzungsprofile!$B$17:$B$22,"Individuell",Nutzungsprofile!$G$17:$G$22)*Kalender!E288/SUM(Kalender!$E$5:$E$370),0))*Szenarien!$D$9,0)</f>
        <v>0</v>
      </c>
      <c r="E654" s="13" t="n">
        <f aca="false">IFERROR(MIN(C654,Eingaben!$B$17)*Eingaben!$B$16,0)</f>
        <v>0</v>
      </c>
      <c r="F654" s="13" t="n">
        <f aca="false">IFERROR(E654*Eingaben!$B$15,0)</f>
        <v>0</v>
      </c>
      <c r="G654" s="13" t="n">
        <f aca="false">IFERROR(IF(Kalender!A288="",0,J653*(1-Eingaben!$B$20)),0)</f>
        <v>0</v>
      </c>
      <c r="H654" s="13" t="n">
        <f aca="false">MIN(G654,D654)</f>
        <v>0</v>
      </c>
      <c r="I654" s="13" t="n">
        <f aca="false">IFERROR(MIN(F654*Eingaben!$B$19,MAX(0,D654-H654)),0)</f>
        <v>0</v>
      </c>
      <c r="J654" s="13" t="n">
        <f aca="false">IFERROR(MIN(Eingaben!$B$18,MAX(0,F654-I654)),0)</f>
        <v>0</v>
      </c>
      <c r="K654" s="13" t="n">
        <f aca="false">H654+I654</f>
        <v>0</v>
      </c>
      <c r="L654" s="13" t="n">
        <f aca="false">MAX(0,D654-K654)</f>
        <v>0</v>
      </c>
      <c r="M654" s="13" t="n">
        <f aca="false">MAX(0,F654-I654-J654)</f>
        <v>0</v>
      </c>
      <c r="N654" s="13" t="n">
        <f aca="false">IF(Kalender!A288="",0,J653-H654)</f>
        <v>0</v>
      </c>
    </row>
    <row r="655" customFormat="false" ht="16.4" hidden="false" customHeight="false" outlineLevel="0" collapsed="false">
      <c r="A655" s="13" t="str">
        <f aca="false">""</f>
        <v/>
      </c>
      <c r="B655" s="13" t="n">
        <f aca="false">285</f>
        <v>285</v>
      </c>
      <c r="C655" s="13" t="n">
        <f aca="false">IF(Szenarien!$H$9="OK",(IFERROR(SUMIF(Nutzungsprofile!$B$6:$B$11,"Schulbetrieb",Nutzungsprofile!$G$6:$G$11)*Kalender!C289/SUM(Kalender!$C$5:$C$370),0)+IFERROR(SUMIF(Nutzungsprofile!$B$6:$B$11,"Halle",Nutzungsprofile!$G$6:$G$11)*Kalender!D289/SUM(Kalender!$D$5:$D$370),0)+IFERROR(SUMIF(Nutzungsprofile!$B$6:$B$11,"Individuell",Nutzungsprofile!$G$6:$G$11)*Kalender!E289/SUM(Kalender!$E$5:$E$370),0))*Szenarien!$E$9,0)</f>
        <v>0.9</v>
      </c>
      <c r="D655" s="13" t="n">
        <f aca="false">IF(Szenarien!$H$9="OK",(IFERROR(SUMIF(Nutzungsprofile!$B$17:$B$22,"Schulbetrieb",Nutzungsprofile!$G$17:$G$22)*Kalender!C289/SUM(Kalender!$C$5:$C$370),0)+IFERROR(SUMIF(Nutzungsprofile!$B$17:$B$22,"Halle",Nutzungsprofile!$G$17:$G$22)*Kalender!D289/SUM(Kalender!$D$5:$D$370),0)+IFERROR(SUMIF(Nutzungsprofile!$B$17:$B$22,"Individuell",Nutzungsprofile!$G$17:$G$22)*Kalender!E289/SUM(Kalender!$E$5:$E$370),0))*Szenarien!$D$9,0)</f>
        <v>4.05</v>
      </c>
      <c r="E655" s="13" t="n">
        <f aca="false">IFERROR(MIN(C655,Eingaben!$B$17)*Eingaben!$B$16,0)</f>
        <v>0.855</v>
      </c>
      <c r="F655" s="13" t="n">
        <f aca="false">IFERROR(E655*Eingaben!$B$15,0)</f>
        <v>0.7695</v>
      </c>
      <c r="G655" s="13" t="n">
        <f aca="false">IFERROR(IF(Kalender!A289="",0,J654*(1-Eingaben!$B$20)),0)</f>
        <v>0</v>
      </c>
      <c r="H655" s="13" t="n">
        <f aca="false">MIN(G655,D655)</f>
        <v>0</v>
      </c>
      <c r="I655" s="13" t="n">
        <f aca="false">IFERROR(MIN(F655*Eingaben!$B$19,MAX(0,D655-H655)),0)</f>
        <v>0.53865</v>
      </c>
      <c r="J655" s="13" t="n">
        <f aca="false">IFERROR(MIN(Eingaben!$B$18,MAX(0,F655-I655)),0)</f>
        <v>0.23085</v>
      </c>
      <c r="K655" s="13" t="n">
        <f aca="false">H655+I655</f>
        <v>0.53865</v>
      </c>
      <c r="L655" s="13" t="n">
        <f aca="false">MAX(0,D655-K655)</f>
        <v>3.51135</v>
      </c>
      <c r="M655" s="13" t="n">
        <f aca="false">MAX(0,F655-I655-J655)</f>
        <v>0</v>
      </c>
      <c r="N655" s="13" t="n">
        <f aca="false">IF(Kalender!A289="",0,J654-H655)</f>
        <v>0</v>
      </c>
    </row>
    <row r="656" customFormat="false" ht="16.4" hidden="false" customHeight="false" outlineLevel="0" collapsed="false">
      <c r="A656" s="13" t="str">
        <f aca="false">""</f>
        <v/>
      </c>
      <c r="B656" s="13" t="n">
        <f aca="false">286</f>
        <v>286</v>
      </c>
      <c r="C656" s="13" t="n">
        <f aca="false">IF(Szenarien!$H$9="OK",(IFERROR(SUMIF(Nutzungsprofile!$B$6:$B$11,"Schulbetrieb",Nutzungsprofile!$G$6:$G$11)*Kalender!C290/SUM(Kalender!$C$5:$C$370),0)+IFERROR(SUMIF(Nutzungsprofile!$B$6:$B$11,"Halle",Nutzungsprofile!$G$6:$G$11)*Kalender!D290/SUM(Kalender!$D$5:$D$370),0)+IFERROR(SUMIF(Nutzungsprofile!$B$6:$B$11,"Individuell",Nutzungsprofile!$G$6:$G$11)*Kalender!E290/SUM(Kalender!$E$5:$E$370),0))*Szenarien!$E$9,0)</f>
        <v>0.9</v>
      </c>
      <c r="D656" s="13" t="n">
        <f aca="false">IF(Szenarien!$H$9="OK",(IFERROR(SUMIF(Nutzungsprofile!$B$17:$B$22,"Schulbetrieb",Nutzungsprofile!$G$17:$G$22)*Kalender!C290/SUM(Kalender!$C$5:$C$370),0)+IFERROR(SUMIF(Nutzungsprofile!$B$17:$B$22,"Halle",Nutzungsprofile!$G$17:$G$22)*Kalender!D290/SUM(Kalender!$D$5:$D$370),0)+IFERROR(SUMIF(Nutzungsprofile!$B$17:$B$22,"Individuell",Nutzungsprofile!$G$17:$G$22)*Kalender!E290/SUM(Kalender!$E$5:$E$370),0))*Szenarien!$D$9,0)</f>
        <v>4.05</v>
      </c>
      <c r="E656" s="13" t="n">
        <f aca="false">IFERROR(MIN(C656,Eingaben!$B$17)*Eingaben!$B$16,0)</f>
        <v>0.855</v>
      </c>
      <c r="F656" s="13" t="n">
        <f aca="false">IFERROR(E656*Eingaben!$B$15,0)</f>
        <v>0.7695</v>
      </c>
      <c r="G656" s="13" t="n">
        <f aca="false">IFERROR(IF(Kalender!A290="",0,J655*(1-Eingaben!$B$20)),0)</f>
        <v>0.226233</v>
      </c>
      <c r="H656" s="13" t="n">
        <f aca="false">MIN(G656,D656)</f>
        <v>0.226233</v>
      </c>
      <c r="I656" s="13" t="n">
        <f aca="false">IFERROR(MIN(F656*Eingaben!$B$19,MAX(0,D656-H656)),0)</f>
        <v>0.53865</v>
      </c>
      <c r="J656" s="13" t="n">
        <f aca="false">IFERROR(MIN(Eingaben!$B$18,MAX(0,F656-I656)),0)</f>
        <v>0.23085</v>
      </c>
      <c r="K656" s="13" t="n">
        <f aca="false">H656+I656</f>
        <v>0.764883</v>
      </c>
      <c r="L656" s="13" t="n">
        <f aca="false">MAX(0,D656-K656)</f>
        <v>3.285117</v>
      </c>
      <c r="M656" s="13" t="n">
        <f aca="false">MAX(0,F656-I656-J656)</f>
        <v>0</v>
      </c>
      <c r="N656" s="13" t="n">
        <f aca="false">IF(Kalender!A290="",0,J655-H656)</f>
        <v>0.00461700000000001</v>
      </c>
    </row>
    <row r="657" customFormat="false" ht="16.4" hidden="false" customHeight="false" outlineLevel="0" collapsed="false">
      <c r="A657" s="13" t="str">
        <f aca="false">""</f>
        <v/>
      </c>
      <c r="B657" s="13" t="n">
        <f aca="false">287</f>
        <v>287</v>
      </c>
      <c r="C657" s="13" t="n">
        <f aca="false">IF(Szenarien!$H$9="OK",(IFERROR(SUMIF(Nutzungsprofile!$B$6:$B$11,"Schulbetrieb",Nutzungsprofile!$G$6:$G$11)*Kalender!C291/SUM(Kalender!$C$5:$C$370),0)+IFERROR(SUMIF(Nutzungsprofile!$B$6:$B$11,"Halle",Nutzungsprofile!$G$6:$G$11)*Kalender!D291/SUM(Kalender!$D$5:$D$370),0)+IFERROR(SUMIF(Nutzungsprofile!$B$6:$B$11,"Individuell",Nutzungsprofile!$G$6:$G$11)*Kalender!E291/SUM(Kalender!$E$5:$E$370),0))*Szenarien!$E$9,0)</f>
        <v>0.9</v>
      </c>
      <c r="D657" s="13" t="n">
        <f aca="false">IF(Szenarien!$H$9="OK",(IFERROR(SUMIF(Nutzungsprofile!$B$17:$B$22,"Schulbetrieb",Nutzungsprofile!$G$17:$G$22)*Kalender!C291/SUM(Kalender!$C$5:$C$370),0)+IFERROR(SUMIF(Nutzungsprofile!$B$17:$B$22,"Halle",Nutzungsprofile!$G$17:$G$22)*Kalender!D291/SUM(Kalender!$D$5:$D$370),0)+IFERROR(SUMIF(Nutzungsprofile!$B$17:$B$22,"Individuell",Nutzungsprofile!$G$17:$G$22)*Kalender!E291/SUM(Kalender!$E$5:$E$370),0))*Szenarien!$D$9,0)</f>
        <v>4.05</v>
      </c>
      <c r="E657" s="13" t="n">
        <f aca="false">IFERROR(MIN(C657,Eingaben!$B$17)*Eingaben!$B$16,0)</f>
        <v>0.855</v>
      </c>
      <c r="F657" s="13" t="n">
        <f aca="false">IFERROR(E657*Eingaben!$B$15,0)</f>
        <v>0.7695</v>
      </c>
      <c r="G657" s="13" t="n">
        <f aca="false">IFERROR(IF(Kalender!A291="",0,J656*(1-Eingaben!$B$20)),0)</f>
        <v>0.226233</v>
      </c>
      <c r="H657" s="13" t="n">
        <f aca="false">MIN(G657,D657)</f>
        <v>0.226233</v>
      </c>
      <c r="I657" s="13" t="n">
        <f aca="false">IFERROR(MIN(F657*Eingaben!$B$19,MAX(0,D657-H657)),0)</f>
        <v>0.53865</v>
      </c>
      <c r="J657" s="13" t="n">
        <f aca="false">IFERROR(MIN(Eingaben!$B$18,MAX(0,F657-I657)),0)</f>
        <v>0.23085</v>
      </c>
      <c r="K657" s="13" t="n">
        <f aca="false">H657+I657</f>
        <v>0.764883</v>
      </c>
      <c r="L657" s="13" t="n">
        <f aca="false">MAX(0,D657-K657)</f>
        <v>3.285117</v>
      </c>
      <c r="M657" s="13" t="n">
        <f aca="false">MAX(0,F657-I657-J657)</f>
        <v>0</v>
      </c>
      <c r="N657" s="13" t="n">
        <f aca="false">IF(Kalender!A291="",0,J656-H657)</f>
        <v>0.00461700000000001</v>
      </c>
    </row>
    <row r="658" customFormat="false" ht="16.4" hidden="false" customHeight="false" outlineLevel="0" collapsed="false">
      <c r="A658" s="13" t="str">
        <f aca="false">""</f>
        <v/>
      </c>
      <c r="B658" s="13" t="n">
        <f aca="false">288</f>
        <v>288</v>
      </c>
      <c r="C658" s="13" t="n">
        <f aca="false">IF(Szenarien!$H$9="OK",(IFERROR(SUMIF(Nutzungsprofile!$B$6:$B$11,"Schulbetrieb",Nutzungsprofile!$G$6:$G$11)*Kalender!C292/SUM(Kalender!$C$5:$C$370),0)+IFERROR(SUMIF(Nutzungsprofile!$B$6:$B$11,"Halle",Nutzungsprofile!$G$6:$G$11)*Kalender!D292/SUM(Kalender!$D$5:$D$370),0)+IFERROR(SUMIF(Nutzungsprofile!$B$6:$B$11,"Individuell",Nutzungsprofile!$G$6:$G$11)*Kalender!E292/SUM(Kalender!$E$5:$E$370),0))*Szenarien!$E$9,0)</f>
        <v>0.9</v>
      </c>
      <c r="D658" s="13" t="n">
        <f aca="false">IF(Szenarien!$H$9="OK",(IFERROR(SUMIF(Nutzungsprofile!$B$17:$B$22,"Schulbetrieb",Nutzungsprofile!$G$17:$G$22)*Kalender!C292/SUM(Kalender!$C$5:$C$370),0)+IFERROR(SUMIF(Nutzungsprofile!$B$17:$B$22,"Halle",Nutzungsprofile!$G$17:$G$22)*Kalender!D292/SUM(Kalender!$D$5:$D$370),0)+IFERROR(SUMIF(Nutzungsprofile!$B$17:$B$22,"Individuell",Nutzungsprofile!$G$17:$G$22)*Kalender!E292/SUM(Kalender!$E$5:$E$370),0))*Szenarien!$D$9,0)</f>
        <v>4.05</v>
      </c>
      <c r="E658" s="13" t="n">
        <f aca="false">IFERROR(MIN(C658,Eingaben!$B$17)*Eingaben!$B$16,0)</f>
        <v>0.855</v>
      </c>
      <c r="F658" s="13" t="n">
        <f aca="false">IFERROR(E658*Eingaben!$B$15,0)</f>
        <v>0.7695</v>
      </c>
      <c r="G658" s="13" t="n">
        <f aca="false">IFERROR(IF(Kalender!A292="",0,J657*(1-Eingaben!$B$20)),0)</f>
        <v>0.226233</v>
      </c>
      <c r="H658" s="13" t="n">
        <f aca="false">MIN(G658,D658)</f>
        <v>0.226233</v>
      </c>
      <c r="I658" s="13" t="n">
        <f aca="false">IFERROR(MIN(F658*Eingaben!$B$19,MAX(0,D658-H658)),0)</f>
        <v>0.53865</v>
      </c>
      <c r="J658" s="13" t="n">
        <f aca="false">IFERROR(MIN(Eingaben!$B$18,MAX(0,F658-I658)),0)</f>
        <v>0.23085</v>
      </c>
      <c r="K658" s="13" t="n">
        <f aca="false">H658+I658</f>
        <v>0.764883</v>
      </c>
      <c r="L658" s="13" t="n">
        <f aca="false">MAX(0,D658-K658)</f>
        <v>3.285117</v>
      </c>
      <c r="M658" s="13" t="n">
        <f aca="false">MAX(0,F658-I658-J658)</f>
        <v>0</v>
      </c>
      <c r="N658" s="13" t="n">
        <f aca="false">IF(Kalender!A292="",0,J657-H658)</f>
        <v>0.00461700000000001</v>
      </c>
    </row>
    <row r="659" customFormat="false" ht="16.4" hidden="false" customHeight="false" outlineLevel="0" collapsed="false">
      <c r="A659" s="13" t="str">
        <f aca="false">""</f>
        <v/>
      </c>
      <c r="B659" s="13" t="n">
        <f aca="false">289</f>
        <v>289</v>
      </c>
      <c r="C659" s="13" t="n">
        <f aca="false">IF(Szenarien!$H$9="OK",(IFERROR(SUMIF(Nutzungsprofile!$B$6:$B$11,"Schulbetrieb",Nutzungsprofile!$G$6:$G$11)*Kalender!C293/SUM(Kalender!$C$5:$C$370),0)+IFERROR(SUMIF(Nutzungsprofile!$B$6:$B$11,"Halle",Nutzungsprofile!$G$6:$G$11)*Kalender!D293/SUM(Kalender!$D$5:$D$370),0)+IFERROR(SUMIF(Nutzungsprofile!$B$6:$B$11,"Individuell",Nutzungsprofile!$G$6:$G$11)*Kalender!E293/SUM(Kalender!$E$5:$E$370),0))*Szenarien!$E$9,0)</f>
        <v>0.9</v>
      </c>
      <c r="D659" s="13" t="n">
        <f aca="false">IF(Szenarien!$H$9="OK",(IFERROR(SUMIF(Nutzungsprofile!$B$17:$B$22,"Schulbetrieb",Nutzungsprofile!$G$17:$G$22)*Kalender!C293/SUM(Kalender!$C$5:$C$370),0)+IFERROR(SUMIF(Nutzungsprofile!$B$17:$B$22,"Halle",Nutzungsprofile!$G$17:$G$22)*Kalender!D293/SUM(Kalender!$D$5:$D$370),0)+IFERROR(SUMIF(Nutzungsprofile!$B$17:$B$22,"Individuell",Nutzungsprofile!$G$17:$G$22)*Kalender!E293/SUM(Kalender!$E$5:$E$370),0))*Szenarien!$D$9,0)</f>
        <v>4.05</v>
      </c>
      <c r="E659" s="13" t="n">
        <f aca="false">IFERROR(MIN(C659,Eingaben!$B$17)*Eingaben!$B$16,0)</f>
        <v>0.855</v>
      </c>
      <c r="F659" s="13" t="n">
        <f aca="false">IFERROR(E659*Eingaben!$B$15,0)</f>
        <v>0.7695</v>
      </c>
      <c r="G659" s="13" t="n">
        <f aca="false">IFERROR(IF(Kalender!A293="",0,J658*(1-Eingaben!$B$20)),0)</f>
        <v>0.226233</v>
      </c>
      <c r="H659" s="13" t="n">
        <f aca="false">MIN(G659,D659)</f>
        <v>0.226233</v>
      </c>
      <c r="I659" s="13" t="n">
        <f aca="false">IFERROR(MIN(F659*Eingaben!$B$19,MAX(0,D659-H659)),0)</f>
        <v>0.53865</v>
      </c>
      <c r="J659" s="13" t="n">
        <f aca="false">IFERROR(MIN(Eingaben!$B$18,MAX(0,F659-I659)),0)</f>
        <v>0.23085</v>
      </c>
      <c r="K659" s="13" t="n">
        <f aca="false">H659+I659</f>
        <v>0.764883</v>
      </c>
      <c r="L659" s="13" t="n">
        <f aca="false">MAX(0,D659-K659)</f>
        <v>3.285117</v>
      </c>
      <c r="M659" s="13" t="n">
        <f aca="false">MAX(0,F659-I659-J659)</f>
        <v>0</v>
      </c>
      <c r="N659" s="13" t="n">
        <f aca="false">IF(Kalender!A293="",0,J658-H659)</f>
        <v>0.00461700000000001</v>
      </c>
    </row>
    <row r="660" customFormat="false" ht="16.4" hidden="false" customHeight="false" outlineLevel="0" collapsed="false">
      <c r="A660" s="13" t="str">
        <f aca="false">""</f>
        <v/>
      </c>
      <c r="B660" s="13" t="n">
        <f aca="false">290</f>
        <v>290</v>
      </c>
      <c r="C660" s="13" t="n">
        <f aca="false">IF(Szenarien!$H$9="OK",(IFERROR(SUMIF(Nutzungsprofile!$B$6:$B$11,"Schulbetrieb",Nutzungsprofile!$G$6:$G$11)*Kalender!C294/SUM(Kalender!$C$5:$C$370),0)+IFERROR(SUMIF(Nutzungsprofile!$B$6:$B$11,"Halle",Nutzungsprofile!$G$6:$G$11)*Kalender!D294/SUM(Kalender!$D$5:$D$370),0)+IFERROR(SUMIF(Nutzungsprofile!$B$6:$B$11,"Individuell",Nutzungsprofile!$G$6:$G$11)*Kalender!E294/SUM(Kalender!$E$5:$E$370),0))*Szenarien!$E$9,0)</f>
        <v>0</v>
      </c>
      <c r="D660" s="13" t="n">
        <f aca="false">IF(Szenarien!$H$9="OK",(IFERROR(SUMIF(Nutzungsprofile!$B$17:$B$22,"Schulbetrieb",Nutzungsprofile!$G$17:$G$22)*Kalender!C294/SUM(Kalender!$C$5:$C$370),0)+IFERROR(SUMIF(Nutzungsprofile!$B$17:$B$22,"Halle",Nutzungsprofile!$G$17:$G$22)*Kalender!D294/SUM(Kalender!$D$5:$D$370),0)+IFERROR(SUMIF(Nutzungsprofile!$B$17:$B$22,"Individuell",Nutzungsprofile!$G$17:$G$22)*Kalender!E294/SUM(Kalender!$E$5:$E$370),0))*Szenarien!$D$9,0)</f>
        <v>0</v>
      </c>
      <c r="E660" s="13" t="n">
        <f aca="false">IFERROR(MIN(C660,Eingaben!$B$17)*Eingaben!$B$16,0)</f>
        <v>0</v>
      </c>
      <c r="F660" s="13" t="n">
        <f aca="false">IFERROR(E660*Eingaben!$B$15,0)</f>
        <v>0</v>
      </c>
      <c r="G660" s="13" t="n">
        <f aca="false">IFERROR(IF(Kalender!A294="",0,J659*(1-Eingaben!$B$20)),0)</f>
        <v>0.226233</v>
      </c>
      <c r="H660" s="13" t="n">
        <f aca="false">MIN(G660,D660)</f>
        <v>0</v>
      </c>
      <c r="I660" s="13" t="n">
        <f aca="false">IFERROR(MIN(F660*Eingaben!$B$19,MAX(0,D660-H660)),0)</f>
        <v>0</v>
      </c>
      <c r="J660" s="13" t="n">
        <f aca="false">IFERROR(MIN(Eingaben!$B$18,MAX(0,F660-I660)),0)</f>
        <v>0</v>
      </c>
      <c r="K660" s="13" t="n">
        <f aca="false">H660+I660</f>
        <v>0</v>
      </c>
      <c r="L660" s="13" t="n">
        <f aca="false">MAX(0,D660-K660)</f>
        <v>0</v>
      </c>
      <c r="M660" s="13" t="n">
        <f aca="false">MAX(0,F660-I660-J660)</f>
        <v>0</v>
      </c>
      <c r="N660" s="13" t="n">
        <f aca="false">IF(Kalender!A294="",0,J659-H660)</f>
        <v>0.23085</v>
      </c>
    </row>
    <row r="661" customFormat="false" ht="16.4" hidden="false" customHeight="false" outlineLevel="0" collapsed="false">
      <c r="A661" s="13" t="str">
        <f aca="false">""</f>
        <v/>
      </c>
      <c r="B661" s="13" t="n">
        <f aca="false">291</f>
        <v>291</v>
      </c>
      <c r="C661" s="13" t="n">
        <f aca="false">IF(Szenarien!$H$9="OK",(IFERROR(SUMIF(Nutzungsprofile!$B$6:$B$11,"Schulbetrieb",Nutzungsprofile!$G$6:$G$11)*Kalender!C295/SUM(Kalender!$C$5:$C$370),0)+IFERROR(SUMIF(Nutzungsprofile!$B$6:$B$11,"Halle",Nutzungsprofile!$G$6:$G$11)*Kalender!D295/SUM(Kalender!$D$5:$D$370),0)+IFERROR(SUMIF(Nutzungsprofile!$B$6:$B$11,"Individuell",Nutzungsprofile!$G$6:$G$11)*Kalender!E295/SUM(Kalender!$E$5:$E$370),0))*Szenarien!$E$9,0)</f>
        <v>0</v>
      </c>
      <c r="D661" s="13" t="n">
        <f aca="false">IF(Szenarien!$H$9="OK",(IFERROR(SUMIF(Nutzungsprofile!$B$17:$B$22,"Schulbetrieb",Nutzungsprofile!$G$17:$G$22)*Kalender!C295/SUM(Kalender!$C$5:$C$370),0)+IFERROR(SUMIF(Nutzungsprofile!$B$17:$B$22,"Halle",Nutzungsprofile!$G$17:$G$22)*Kalender!D295/SUM(Kalender!$D$5:$D$370),0)+IFERROR(SUMIF(Nutzungsprofile!$B$17:$B$22,"Individuell",Nutzungsprofile!$G$17:$G$22)*Kalender!E295/SUM(Kalender!$E$5:$E$370),0))*Szenarien!$D$9,0)</f>
        <v>0</v>
      </c>
      <c r="E661" s="13" t="n">
        <f aca="false">IFERROR(MIN(C661,Eingaben!$B$17)*Eingaben!$B$16,0)</f>
        <v>0</v>
      </c>
      <c r="F661" s="13" t="n">
        <f aca="false">IFERROR(E661*Eingaben!$B$15,0)</f>
        <v>0</v>
      </c>
      <c r="G661" s="13" t="n">
        <f aca="false">IFERROR(IF(Kalender!A295="",0,J660*(1-Eingaben!$B$20)),0)</f>
        <v>0</v>
      </c>
      <c r="H661" s="13" t="n">
        <f aca="false">MIN(G661,D661)</f>
        <v>0</v>
      </c>
      <c r="I661" s="13" t="n">
        <f aca="false">IFERROR(MIN(F661*Eingaben!$B$19,MAX(0,D661-H661)),0)</f>
        <v>0</v>
      </c>
      <c r="J661" s="13" t="n">
        <f aca="false">IFERROR(MIN(Eingaben!$B$18,MAX(0,F661-I661)),0)</f>
        <v>0</v>
      </c>
      <c r="K661" s="13" t="n">
        <f aca="false">H661+I661</f>
        <v>0</v>
      </c>
      <c r="L661" s="13" t="n">
        <f aca="false">MAX(0,D661-K661)</f>
        <v>0</v>
      </c>
      <c r="M661" s="13" t="n">
        <f aca="false">MAX(0,F661-I661-J661)</f>
        <v>0</v>
      </c>
      <c r="N661" s="13" t="n">
        <f aca="false">IF(Kalender!A295="",0,J660-H661)</f>
        <v>0</v>
      </c>
    </row>
    <row r="662" customFormat="false" ht="16.4" hidden="false" customHeight="false" outlineLevel="0" collapsed="false">
      <c r="A662" s="13" t="str">
        <f aca="false">""</f>
        <v/>
      </c>
      <c r="B662" s="13" t="n">
        <f aca="false">292</f>
        <v>292</v>
      </c>
      <c r="C662" s="13" t="n">
        <f aca="false">IF(Szenarien!$H$9="OK",(IFERROR(SUMIF(Nutzungsprofile!$B$6:$B$11,"Schulbetrieb",Nutzungsprofile!$G$6:$G$11)*Kalender!C296/SUM(Kalender!$C$5:$C$370),0)+IFERROR(SUMIF(Nutzungsprofile!$B$6:$B$11,"Halle",Nutzungsprofile!$G$6:$G$11)*Kalender!D296/SUM(Kalender!$D$5:$D$370),0)+IFERROR(SUMIF(Nutzungsprofile!$B$6:$B$11,"Individuell",Nutzungsprofile!$G$6:$G$11)*Kalender!E296/SUM(Kalender!$E$5:$E$370),0))*Szenarien!$E$9,0)</f>
        <v>0.9</v>
      </c>
      <c r="D662" s="13" t="n">
        <f aca="false">IF(Szenarien!$H$9="OK",(IFERROR(SUMIF(Nutzungsprofile!$B$17:$B$22,"Schulbetrieb",Nutzungsprofile!$G$17:$G$22)*Kalender!C296/SUM(Kalender!$C$5:$C$370),0)+IFERROR(SUMIF(Nutzungsprofile!$B$17:$B$22,"Halle",Nutzungsprofile!$G$17:$G$22)*Kalender!D296/SUM(Kalender!$D$5:$D$370),0)+IFERROR(SUMIF(Nutzungsprofile!$B$17:$B$22,"Individuell",Nutzungsprofile!$G$17:$G$22)*Kalender!E296/SUM(Kalender!$E$5:$E$370),0))*Szenarien!$D$9,0)</f>
        <v>4.05</v>
      </c>
      <c r="E662" s="13" t="n">
        <f aca="false">IFERROR(MIN(C662,Eingaben!$B$17)*Eingaben!$B$16,0)</f>
        <v>0.855</v>
      </c>
      <c r="F662" s="13" t="n">
        <f aca="false">IFERROR(E662*Eingaben!$B$15,0)</f>
        <v>0.7695</v>
      </c>
      <c r="G662" s="13" t="n">
        <f aca="false">IFERROR(IF(Kalender!A296="",0,J661*(1-Eingaben!$B$20)),0)</f>
        <v>0</v>
      </c>
      <c r="H662" s="13" t="n">
        <f aca="false">MIN(G662,D662)</f>
        <v>0</v>
      </c>
      <c r="I662" s="13" t="n">
        <f aca="false">IFERROR(MIN(F662*Eingaben!$B$19,MAX(0,D662-H662)),0)</f>
        <v>0.53865</v>
      </c>
      <c r="J662" s="13" t="n">
        <f aca="false">IFERROR(MIN(Eingaben!$B$18,MAX(0,F662-I662)),0)</f>
        <v>0.23085</v>
      </c>
      <c r="K662" s="13" t="n">
        <f aca="false">H662+I662</f>
        <v>0.53865</v>
      </c>
      <c r="L662" s="13" t="n">
        <f aca="false">MAX(0,D662-K662)</f>
        <v>3.51135</v>
      </c>
      <c r="M662" s="13" t="n">
        <f aca="false">MAX(0,F662-I662-J662)</f>
        <v>0</v>
      </c>
      <c r="N662" s="13" t="n">
        <f aca="false">IF(Kalender!A296="",0,J661-H662)</f>
        <v>0</v>
      </c>
    </row>
    <row r="663" customFormat="false" ht="16.4" hidden="false" customHeight="false" outlineLevel="0" collapsed="false">
      <c r="A663" s="13" t="str">
        <f aca="false">""</f>
        <v/>
      </c>
      <c r="B663" s="13" t="n">
        <f aca="false">293</f>
        <v>293</v>
      </c>
      <c r="C663" s="13" t="n">
        <f aca="false">IF(Szenarien!$H$9="OK",(IFERROR(SUMIF(Nutzungsprofile!$B$6:$B$11,"Schulbetrieb",Nutzungsprofile!$G$6:$G$11)*Kalender!C297/SUM(Kalender!$C$5:$C$370),0)+IFERROR(SUMIF(Nutzungsprofile!$B$6:$B$11,"Halle",Nutzungsprofile!$G$6:$G$11)*Kalender!D297/SUM(Kalender!$D$5:$D$370),0)+IFERROR(SUMIF(Nutzungsprofile!$B$6:$B$11,"Individuell",Nutzungsprofile!$G$6:$G$11)*Kalender!E297/SUM(Kalender!$E$5:$E$370),0))*Szenarien!$E$9,0)</f>
        <v>0.9</v>
      </c>
      <c r="D663" s="13" t="n">
        <f aca="false">IF(Szenarien!$H$9="OK",(IFERROR(SUMIF(Nutzungsprofile!$B$17:$B$22,"Schulbetrieb",Nutzungsprofile!$G$17:$G$22)*Kalender!C297/SUM(Kalender!$C$5:$C$370),0)+IFERROR(SUMIF(Nutzungsprofile!$B$17:$B$22,"Halle",Nutzungsprofile!$G$17:$G$22)*Kalender!D297/SUM(Kalender!$D$5:$D$370),0)+IFERROR(SUMIF(Nutzungsprofile!$B$17:$B$22,"Individuell",Nutzungsprofile!$G$17:$G$22)*Kalender!E297/SUM(Kalender!$E$5:$E$370),0))*Szenarien!$D$9,0)</f>
        <v>4.05</v>
      </c>
      <c r="E663" s="13" t="n">
        <f aca="false">IFERROR(MIN(C663,Eingaben!$B$17)*Eingaben!$B$16,0)</f>
        <v>0.855</v>
      </c>
      <c r="F663" s="13" t="n">
        <f aca="false">IFERROR(E663*Eingaben!$B$15,0)</f>
        <v>0.7695</v>
      </c>
      <c r="G663" s="13" t="n">
        <f aca="false">IFERROR(IF(Kalender!A297="",0,J662*(1-Eingaben!$B$20)),0)</f>
        <v>0.226233</v>
      </c>
      <c r="H663" s="13" t="n">
        <f aca="false">MIN(G663,D663)</f>
        <v>0.226233</v>
      </c>
      <c r="I663" s="13" t="n">
        <f aca="false">IFERROR(MIN(F663*Eingaben!$B$19,MAX(0,D663-H663)),0)</f>
        <v>0.53865</v>
      </c>
      <c r="J663" s="13" t="n">
        <f aca="false">IFERROR(MIN(Eingaben!$B$18,MAX(0,F663-I663)),0)</f>
        <v>0.23085</v>
      </c>
      <c r="K663" s="13" t="n">
        <f aca="false">H663+I663</f>
        <v>0.764883</v>
      </c>
      <c r="L663" s="13" t="n">
        <f aca="false">MAX(0,D663-K663)</f>
        <v>3.285117</v>
      </c>
      <c r="M663" s="13" t="n">
        <f aca="false">MAX(0,F663-I663-J663)</f>
        <v>0</v>
      </c>
      <c r="N663" s="13" t="n">
        <f aca="false">IF(Kalender!A297="",0,J662-H663)</f>
        <v>0.00461700000000001</v>
      </c>
    </row>
    <row r="664" customFormat="false" ht="16.4" hidden="false" customHeight="false" outlineLevel="0" collapsed="false">
      <c r="A664" s="13" t="str">
        <f aca="false">""</f>
        <v/>
      </c>
      <c r="B664" s="13" t="n">
        <f aca="false">294</f>
        <v>294</v>
      </c>
      <c r="C664" s="13" t="n">
        <f aca="false">IF(Szenarien!$H$9="OK",(IFERROR(SUMIF(Nutzungsprofile!$B$6:$B$11,"Schulbetrieb",Nutzungsprofile!$G$6:$G$11)*Kalender!C298/SUM(Kalender!$C$5:$C$370),0)+IFERROR(SUMIF(Nutzungsprofile!$B$6:$B$11,"Halle",Nutzungsprofile!$G$6:$G$11)*Kalender!D298/SUM(Kalender!$D$5:$D$370),0)+IFERROR(SUMIF(Nutzungsprofile!$B$6:$B$11,"Individuell",Nutzungsprofile!$G$6:$G$11)*Kalender!E298/SUM(Kalender!$E$5:$E$370),0))*Szenarien!$E$9,0)</f>
        <v>0.9</v>
      </c>
      <c r="D664" s="13" t="n">
        <f aca="false">IF(Szenarien!$H$9="OK",(IFERROR(SUMIF(Nutzungsprofile!$B$17:$B$22,"Schulbetrieb",Nutzungsprofile!$G$17:$G$22)*Kalender!C298/SUM(Kalender!$C$5:$C$370),0)+IFERROR(SUMIF(Nutzungsprofile!$B$17:$B$22,"Halle",Nutzungsprofile!$G$17:$G$22)*Kalender!D298/SUM(Kalender!$D$5:$D$370),0)+IFERROR(SUMIF(Nutzungsprofile!$B$17:$B$22,"Individuell",Nutzungsprofile!$G$17:$G$22)*Kalender!E298/SUM(Kalender!$E$5:$E$370),0))*Szenarien!$D$9,0)</f>
        <v>4.05</v>
      </c>
      <c r="E664" s="13" t="n">
        <f aca="false">IFERROR(MIN(C664,Eingaben!$B$17)*Eingaben!$B$16,0)</f>
        <v>0.855</v>
      </c>
      <c r="F664" s="13" t="n">
        <f aca="false">IFERROR(E664*Eingaben!$B$15,0)</f>
        <v>0.7695</v>
      </c>
      <c r="G664" s="13" t="n">
        <f aca="false">IFERROR(IF(Kalender!A298="",0,J663*(1-Eingaben!$B$20)),0)</f>
        <v>0.226233</v>
      </c>
      <c r="H664" s="13" t="n">
        <f aca="false">MIN(G664,D664)</f>
        <v>0.226233</v>
      </c>
      <c r="I664" s="13" t="n">
        <f aca="false">IFERROR(MIN(F664*Eingaben!$B$19,MAX(0,D664-H664)),0)</f>
        <v>0.53865</v>
      </c>
      <c r="J664" s="13" t="n">
        <f aca="false">IFERROR(MIN(Eingaben!$B$18,MAX(0,F664-I664)),0)</f>
        <v>0.23085</v>
      </c>
      <c r="K664" s="13" t="n">
        <f aca="false">H664+I664</f>
        <v>0.764883</v>
      </c>
      <c r="L664" s="13" t="n">
        <f aca="false">MAX(0,D664-K664)</f>
        <v>3.285117</v>
      </c>
      <c r="M664" s="13" t="n">
        <f aca="false">MAX(0,F664-I664-J664)</f>
        <v>0</v>
      </c>
      <c r="N664" s="13" t="n">
        <f aca="false">IF(Kalender!A298="",0,J663-H664)</f>
        <v>0.00461700000000001</v>
      </c>
    </row>
    <row r="665" customFormat="false" ht="16.4" hidden="false" customHeight="false" outlineLevel="0" collapsed="false">
      <c r="A665" s="13" t="str">
        <f aca="false">""</f>
        <v/>
      </c>
      <c r="B665" s="13" t="n">
        <f aca="false">295</f>
        <v>295</v>
      </c>
      <c r="C665" s="13" t="n">
        <f aca="false">IF(Szenarien!$H$9="OK",(IFERROR(SUMIF(Nutzungsprofile!$B$6:$B$11,"Schulbetrieb",Nutzungsprofile!$G$6:$G$11)*Kalender!C299/SUM(Kalender!$C$5:$C$370),0)+IFERROR(SUMIF(Nutzungsprofile!$B$6:$B$11,"Halle",Nutzungsprofile!$G$6:$G$11)*Kalender!D299/SUM(Kalender!$D$5:$D$370),0)+IFERROR(SUMIF(Nutzungsprofile!$B$6:$B$11,"Individuell",Nutzungsprofile!$G$6:$G$11)*Kalender!E299/SUM(Kalender!$E$5:$E$370),0))*Szenarien!$E$9,0)</f>
        <v>0.9</v>
      </c>
      <c r="D665" s="13" t="n">
        <f aca="false">IF(Szenarien!$H$9="OK",(IFERROR(SUMIF(Nutzungsprofile!$B$17:$B$22,"Schulbetrieb",Nutzungsprofile!$G$17:$G$22)*Kalender!C299/SUM(Kalender!$C$5:$C$370),0)+IFERROR(SUMIF(Nutzungsprofile!$B$17:$B$22,"Halle",Nutzungsprofile!$G$17:$G$22)*Kalender!D299/SUM(Kalender!$D$5:$D$370),0)+IFERROR(SUMIF(Nutzungsprofile!$B$17:$B$22,"Individuell",Nutzungsprofile!$G$17:$G$22)*Kalender!E299/SUM(Kalender!$E$5:$E$370),0))*Szenarien!$D$9,0)</f>
        <v>4.05</v>
      </c>
      <c r="E665" s="13" t="n">
        <f aca="false">IFERROR(MIN(C665,Eingaben!$B$17)*Eingaben!$B$16,0)</f>
        <v>0.855</v>
      </c>
      <c r="F665" s="13" t="n">
        <f aca="false">IFERROR(E665*Eingaben!$B$15,0)</f>
        <v>0.7695</v>
      </c>
      <c r="G665" s="13" t="n">
        <f aca="false">IFERROR(IF(Kalender!A299="",0,J664*(1-Eingaben!$B$20)),0)</f>
        <v>0.226233</v>
      </c>
      <c r="H665" s="13" t="n">
        <f aca="false">MIN(G665,D665)</f>
        <v>0.226233</v>
      </c>
      <c r="I665" s="13" t="n">
        <f aca="false">IFERROR(MIN(F665*Eingaben!$B$19,MAX(0,D665-H665)),0)</f>
        <v>0.53865</v>
      </c>
      <c r="J665" s="13" t="n">
        <f aca="false">IFERROR(MIN(Eingaben!$B$18,MAX(0,F665-I665)),0)</f>
        <v>0.23085</v>
      </c>
      <c r="K665" s="13" t="n">
        <f aca="false">H665+I665</f>
        <v>0.764883</v>
      </c>
      <c r="L665" s="13" t="n">
        <f aca="false">MAX(0,D665-K665)</f>
        <v>3.285117</v>
      </c>
      <c r="M665" s="13" t="n">
        <f aca="false">MAX(0,F665-I665-J665)</f>
        <v>0</v>
      </c>
      <c r="N665" s="13" t="n">
        <f aca="false">IF(Kalender!A299="",0,J664-H665)</f>
        <v>0.00461700000000001</v>
      </c>
    </row>
    <row r="666" customFormat="false" ht="16.4" hidden="false" customHeight="false" outlineLevel="0" collapsed="false">
      <c r="A666" s="13" t="str">
        <f aca="false">""</f>
        <v/>
      </c>
      <c r="B666" s="13" t="n">
        <f aca="false">296</f>
        <v>296</v>
      </c>
      <c r="C666" s="13" t="n">
        <f aca="false">IF(Szenarien!$H$9="OK",(IFERROR(SUMIF(Nutzungsprofile!$B$6:$B$11,"Schulbetrieb",Nutzungsprofile!$G$6:$G$11)*Kalender!C300/SUM(Kalender!$C$5:$C$370),0)+IFERROR(SUMIF(Nutzungsprofile!$B$6:$B$11,"Halle",Nutzungsprofile!$G$6:$G$11)*Kalender!D300/SUM(Kalender!$D$5:$D$370),0)+IFERROR(SUMIF(Nutzungsprofile!$B$6:$B$11,"Individuell",Nutzungsprofile!$G$6:$G$11)*Kalender!E300/SUM(Kalender!$E$5:$E$370),0))*Szenarien!$E$9,0)</f>
        <v>0.9</v>
      </c>
      <c r="D666" s="13" t="n">
        <f aca="false">IF(Szenarien!$H$9="OK",(IFERROR(SUMIF(Nutzungsprofile!$B$17:$B$22,"Schulbetrieb",Nutzungsprofile!$G$17:$G$22)*Kalender!C300/SUM(Kalender!$C$5:$C$370),0)+IFERROR(SUMIF(Nutzungsprofile!$B$17:$B$22,"Halle",Nutzungsprofile!$G$17:$G$22)*Kalender!D300/SUM(Kalender!$D$5:$D$370),0)+IFERROR(SUMIF(Nutzungsprofile!$B$17:$B$22,"Individuell",Nutzungsprofile!$G$17:$G$22)*Kalender!E300/SUM(Kalender!$E$5:$E$370),0))*Szenarien!$D$9,0)</f>
        <v>4.05</v>
      </c>
      <c r="E666" s="13" t="n">
        <f aca="false">IFERROR(MIN(C666,Eingaben!$B$17)*Eingaben!$B$16,0)</f>
        <v>0.855</v>
      </c>
      <c r="F666" s="13" t="n">
        <f aca="false">IFERROR(E666*Eingaben!$B$15,0)</f>
        <v>0.7695</v>
      </c>
      <c r="G666" s="13" t="n">
        <f aca="false">IFERROR(IF(Kalender!A300="",0,J665*(1-Eingaben!$B$20)),0)</f>
        <v>0.226233</v>
      </c>
      <c r="H666" s="13" t="n">
        <f aca="false">MIN(G666,D666)</f>
        <v>0.226233</v>
      </c>
      <c r="I666" s="13" t="n">
        <f aca="false">IFERROR(MIN(F666*Eingaben!$B$19,MAX(0,D666-H666)),0)</f>
        <v>0.53865</v>
      </c>
      <c r="J666" s="13" t="n">
        <f aca="false">IFERROR(MIN(Eingaben!$B$18,MAX(0,F666-I666)),0)</f>
        <v>0.23085</v>
      </c>
      <c r="K666" s="13" t="n">
        <f aca="false">H666+I666</f>
        <v>0.764883</v>
      </c>
      <c r="L666" s="13" t="n">
        <f aca="false">MAX(0,D666-K666)</f>
        <v>3.285117</v>
      </c>
      <c r="M666" s="13" t="n">
        <f aca="false">MAX(0,F666-I666-J666)</f>
        <v>0</v>
      </c>
      <c r="N666" s="13" t="n">
        <f aca="false">IF(Kalender!A300="",0,J665-H666)</f>
        <v>0.00461700000000001</v>
      </c>
    </row>
    <row r="667" customFormat="false" ht="16.4" hidden="false" customHeight="false" outlineLevel="0" collapsed="false">
      <c r="A667" s="13" t="str">
        <f aca="false">""</f>
        <v/>
      </c>
      <c r="B667" s="13" t="n">
        <f aca="false">297</f>
        <v>297</v>
      </c>
      <c r="C667" s="13" t="n">
        <f aca="false">IF(Szenarien!$H$9="OK",(IFERROR(SUMIF(Nutzungsprofile!$B$6:$B$11,"Schulbetrieb",Nutzungsprofile!$G$6:$G$11)*Kalender!C301/SUM(Kalender!$C$5:$C$370),0)+IFERROR(SUMIF(Nutzungsprofile!$B$6:$B$11,"Halle",Nutzungsprofile!$G$6:$G$11)*Kalender!D301/SUM(Kalender!$D$5:$D$370),0)+IFERROR(SUMIF(Nutzungsprofile!$B$6:$B$11,"Individuell",Nutzungsprofile!$G$6:$G$11)*Kalender!E301/SUM(Kalender!$E$5:$E$370),0))*Szenarien!$E$9,0)</f>
        <v>0</v>
      </c>
      <c r="D667" s="13" t="n">
        <f aca="false">IF(Szenarien!$H$9="OK",(IFERROR(SUMIF(Nutzungsprofile!$B$17:$B$22,"Schulbetrieb",Nutzungsprofile!$G$17:$G$22)*Kalender!C301/SUM(Kalender!$C$5:$C$370),0)+IFERROR(SUMIF(Nutzungsprofile!$B$17:$B$22,"Halle",Nutzungsprofile!$G$17:$G$22)*Kalender!D301/SUM(Kalender!$D$5:$D$370),0)+IFERROR(SUMIF(Nutzungsprofile!$B$17:$B$22,"Individuell",Nutzungsprofile!$G$17:$G$22)*Kalender!E301/SUM(Kalender!$E$5:$E$370),0))*Szenarien!$D$9,0)</f>
        <v>0</v>
      </c>
      <c r="E667" s="13" t="n">
        <f aca="false">IFERROR(MIN(C667,Eingaben!$B$17)*Eingaben!$B$16,0)</f>
        <v>0</v>
      </c>
      <c r="F667" s="13" t="n">
        <f aca="false">IFERROR(E667*Eingaben!$B$15,0)</f>
        <v>0</v>
      </c>
      <c r="G667" s="13" t="n">
        <f aca="false">IFERROR(IF(Kalender!A301="",0,J666*(1-Eingaben!$B$20)),0)</f>
        <v>0.226233</v>
      </c>
      <c r="H667" s="13" t="n">
        <f aca="false">MIN(G667,D667)</f>
        <v>0</v>
      </c>
      <c r="I667" s="13" t="n">
        <f aca="false">IFERROR(MIN(F667*Eingaben!$B$19,MAX(0,D667-H667)),0)</f>
        <v>0</v>
      </c>
      <c r="J667" s="13" t="n">
        <f aca="false">IFERROR(MIN(Eingaben!$B$18,MAX(0,F667-I667)),0)</f>
        <v>0</v>
      </c>
      <c r="K667" s="13" t="n">
        <f aca="false">H667+I667</f>
        <v>0</v>
      </c>
      <c r="L667" s="13" t="n">
        <f aca="false">MAX(0,D667-K667)</f>
        <v>0</v>
      </c>
      <c r="M667" s="13" t="n">
        <f aca="false">MAX(0,F667-I667-J667)</f>
        <v>0</v>
      </c>
      <c r="N667" s="13" t="n">
        <f aca="false">IF(Kalender!A301="",0,J666-H667)</f>
        <v>0.23085</v>
      </c>
    </row>
    <row r="668" customFormat="false" ht="16.4" hidden="false" customHeight="false" outlineLevel="0" collapsed="false">
      <c r="A668" s="13" t="str">
        <f aca="false">""</f>
        <v/>
      </c>
      <c r="B668" s="13" t="n">
        <f aca="false">298</f>
        <v>298</v>
      </c>
      <c r="C668" s="13" t="n">
        <f aca="false">IF(Szenarien!$H$9="OK",(IFERROR(SUMIF(Nutzungsprofile!$B$6:$B$11,"Schulbetrieb",Nutzungsprofile!$G$6:$G$11)*Kalender!C302/SUM(Kalender!$C$5:$C$370),0)+IFERROR(SUMIF(Nutzungsprofile!$B$6:$B$11,"Halle",Nutzungsprofile!$G$6:$G$11)*Kalender!D302/SUM(Kalender!$D$5:$D$370),0)+IFERROR(SUMIF(Nutzungsprofile!$B$6:$B$11,"Individuell",Nutzungsprofile!$G$6:$G$11)*Kalender!E302/SUM(Kalender!$E$5:$E$370),0))*Szenarien!$E$9,0)</f>
        <v>0</v>
      </c>
      <c r="D668" s="13" t="n">
        <f aca="false">IF(Szenarien!$H$9="OK",(IFERROR(SUMIF(Nutzungsprofile!$B$17:$B$22,"Schulbetrieb",Nutzungsprofile!$G$17:$G$22)*Kalender!C302/SUM(Kalender!$C$5:$C$370),0)+IFERROR(SUMIF(Nutzungsprofile!$B$17:$B$22,"Halle",Nutzungsprofile!$G$17:$G$22)*Kalender!D302/SUM(Kalender!$D$5:$D$370),0)+IFERROR(SUMIF(Nutzungsprofile!$B$17:$B$22,"Individuell",Nutzungsprofile!$G$17:$G$22)*Kalender!E302/SUM(Kalender!$E$5:$E$370),0))*Szenarien!$D$9,0)</f>
        <v>0</v>
      </c>
      <c r="E668" s="13" t="n">
        <f aca="false">IFERROR(MIN(C668,Eingaben!$B$17)*Eingaben!$B$16,0)</f>
        <v>0</v>
      </c>
      <c r="F668" s="13" t="n">
        <f aca="false">IFERROR(E668*Eingaben!$B$15,0)</f>
        <v>0</v>
      </c>
      <c r="G668" s="13" t="n">
        <f aca="false">IFERROR(IF(Kalender!A302="",0,J667*(1-Eingaben!$B$20)),0)</f>
        <v>0</v>
      </c>
      <c r="H668" s="13" t="n">
        <f aca="false">MIN(G668,D668)</f>
        <v>0</v>
      </c>
      <c r="I668" s="13" t="n">
        <f aca="false">IFERROR(MIN(F668*Eingaben!$B$19,MAX(0,D668-H668)),0)</f>
        <v>0</v>
      </c>
      <c r="J668" s="13" t="n">
        <f aca="false">IFERROR(MIN(Eingaben!$B$18,MAX(0,F668-I668)),0)</f>
        <v>0</v>
      </c>
      <c r="K668" s="13" t="n">
        <f aca="false">H668+I668</f>
        <v>0</v>
      </c>
      <c r="L668" s="13" t="n">
        <f aca="false">MAX(0,D668-K668)</f>
        <v>0</v>
      </c>
      <c r="M668" s="13" t="n">
        <f aca="false">MAX(0,F668-I668-J668)</f>
        <v>0</v>
      </c>
      <c r="N668" s="13" t="n">
        <f aca="false">IF(Kalender!A302="",0,J667-H668)</f>
        <v>0</v>
      </c>
    </row>
    <row r="669" customFormat="false" ht="16.4" hidden="false" customHeight="false" outlineLevel="0" collapsed="false">
      <c r="A669" s="13" t="str">
        <f aca="false">""</f>
        <v/>
      </c>
      <c r="B669" s="13" t="n">
        <f aca="false">299</f>
        <v>299</v>
      </c>
      <c r="C669" s="13" t="n">
        <f aca="false">IF(Szenarien!$H$9="OK",(IFERROR(SUMIF(Nutzungsprofile!$B$6:$B$11,"Schulbetrieb",Nutzungsprofile!$G$6:$G$11)*Kalender!C303/SUM(Kalender!$C$5:$C$370),0)+IFERROR(SUMIF(Nutzungsprofile!$B$6:$B$11,"Halle",Nutzungsprofile!$G$6:$G$11)*Kalender!D303/SUM(Kalender!$D$5:$D$370),0)+IFERROR(SUMIF(Nutzungsprofile!$B$6:$B$11,"Individuell",Nutzungsprofile!$G$6:$G$11)*Kalender!E303/SUM(Kalender!$E$5:$E$370),0))*Szenarien!$E$9,0)</f>
        <v>0.9</v>
      </c>
      <c r="D669" s="13" t="n">
        <f aca="false">IF(Szenarien!$H$9="OK",(IFERROR(SUMIF(Nutzungsprofile!$B$17:$B$22,"Schulbetrieb",Nutzungsprofile!$G$17:$G$22)*Kalender!C303/SUM(Kalender!$C$5:$C$370),0)+IFERROR(SUMIF(Nutzungsprofile!$B$17:$B$22,"Halle",Nutzungsprofile!$G$17:$G$22)*Kalender!D303/SUM(Kalender!$D$5:$D$370),0)+IFERROR(SUMIF(Nutzungsprofile!$B$17:$B$22,"Individuell",Nutzungsprofile!$G$17:$G$22)*Kalender!E303/SUM(Kalender!$E$5:$E$370),0))*Szenarien!$D$9,0)</f>
        <v>4.05</v>
      </c>
      <c r="E669" s="13" t="n">
        <f aca="false">IFERROR(MIN(C669,Eingaben!$B$17)*Eingaben!$B$16,0)</f>
        <v>0.855</v>
      </c>
      <c r="F669" s="13" t="n">
        <f aca="false">IFERROR(E669*Eingaben!$B$15,0)</f>
        <v>0.7695</v>
      </c>
      <c r="G669" s="13" t="n">
        <f aca="false">IFERROR(IF(Kalender!A303="",0,J668*(1-Eingaben!$B$20)),0)</f>
        <v>0</v>
      </c>
      <c r="H669" s="13" t="n">
        <f aca="false">MIN(G669,D669)</f>
        <v>0</v>
      </c>
      <c r="I669" s="13" t="n">
        <f aca="false">IFERROR(MIN(F669*Eingaben!$B$19,MAX(0,D669-H669)),0)</f>
        <v>0.53865</v>
      </c>
      <c r="J669" s="13" t="n">
        <f aca="false">IFERROR(MIN(Eingaben!$B$18,MAX(0,F669-I669)),0)</f>
        <v>0.23085</v>
      </c>
      <c r="K669" s="13" t="n">
        <f aca="false">H669+I669</f>
        <v>0.53865</v>
      </c>
      <c r="L669" s="13" t="n">
        <f aca="false">MAX(0,D669-K669)</f>
        <v>3.51135</v>
      </c>
      <c r="M669" s="13" t="n">
        <f aca="false">MAX(0,F669-I669-J669)</f>
        <v>0</v>
      </c>
      <c r="N669" s="13" t="n">
        <f aca="false">IF(Kalender!A303="",0,J668-H669)</f>
        <v>0</v>
      </c>
    </row>
    <row r="670" customFormat="false" ht="16.4" hidden="false" customHeight="false" outlineLevel="0" collapsed="false">
      <c r="A670" s="13" t="str">
        <f aca="false">""</f>
        <v/>
      </c>
      <c r="B670" s="13" t="n">
        <f aca="false">300</f>
        <v>300</v>
      </c>
      <c r="C670" s="13" t="n">
        <f aca="false">IF(Szenarien!$H$9="OK",(IFERROR(SUMIF(Nutzungsprofile!$B$6:$B$11,"Schulbetrieb",Nutzungsprofile!$G$6:$G$11)*Kalender!C304/SUM(Kalender!$C$5:$C$370),0)+IFERROR(SUMIF(Nutzungsprofile!$B$6:$B$11,"Halle",Nutzungsprofile!$G$6:$G$11)*Kalender!D304/SUM(Kalender!$D$5:$D$370),0)+IFERROR(SUMIF(Nutzungsprofile!$B$6:$B$11,"Individuell",Nutzungsprofile!$G$6:$G$11)*Kalender!E304/SUM(Kalender!$E$5:$E$370),0))*Szenarien!$E$9,0)</f>
        <v>0.9</v>
      </c>
      <c r="D670" s="13" t="n">
        <f aca="false">IF(Szenarien!$H$9="OK",(IFERROR(SUMIF(Nutzungsprofile!$B$17:$B$22,"Schulbetrieb",Nutzungsprofile!$G$17:$G$22)*Kalender!C304/SUM(Kalender!$C$5:$C$370),0)+IFERROR(SUMIF(Nutzungsprofile!$B$17:$B$22,"Halle",Nutzungsprofile!$G$17:$G$22)*Kalender!D304/SUM(Kalender!$D$5:$D$370),0)+IFERROR(SUMIF(Nutzungsprofile!$B$17:$B$22,"Individuell",Nutzungsprofile!$G$17:$G$22)*Kalender!E304/SUM(Kalender!$E$5:$E$370),0))*Szenarien!$D$9,0)</f>
        <v>4.05</v>
      </c>
      <c r="E670" s="13" t="n">
        <f aca="false">IFERROR(MIN(C670,Eingaben!$B$17)*Eingaben!$B$16,0)</f>
        <v>0.855</v>
      </c>
      <c r="F670" s="13" t="n">
        <f aca="false">IFERROR(E670*Eingaben!$B$15,0)</f>
        <v>0.7695</v>
      </c>
      <c r="G670" s="13" t="n">
        <f aca="false">IFERROR(IF(Kalender!A304="",0,J669*(1-Eingaben!$B$20)),0)</f>
        <v>0.226233</v>
      </c>
      <c r="H670" s="13" t="n">
        <f aca="false">MIN(G670,D670)</f>
        <v>0.226233</v>
      </c>
      <c r="I670" s="13" t="n">
        <f aca="false">IFERROR(MIN(F670*Eingaben!$B$19,MAX(0,D670-H670)),0)</f>
        <v>0.53865</v>
      </c>
      <c r="J670" s="13" t="n">
        <f aca="false">IFERROR(MIN(Eingaben!$B$18,MAX(0,F670-I670)),0)</f>
        <v>0.23085</v>
      </c>
      <c r="K670" s="13" t="n">
        <f aca="false">H670+I670</f>
        <v>0.764883</v>
      </c>
      <c r="L670" s="13" t="n">
        <f aca="false">MAX(0,D670-K670)</f>
        <v>3.285117</v>
      </c>
      <c r="M670" s="13" t="n">
        <f aca="false">MAX(0,F670-I670-J670)</f>
        <v>0</v>
      </c>
      <c r="N670" s="13" t="n">
        <f aca="false">IF(Kalender!A304="",0,J669-H670)</f>
        <v>0.00461700000000001</v>
      </c>
    </row>
    <row r="671" customFormat="false" ht="16.4" hidden="false" customHeight="false" outlineLevel="0" collapsed="false">
      <c r="A671" s="13" t="str">
        <f aca="false">""</f>
        <v/>
      </c>
      <c r="B671" s="13" t="n">
        <f aca="false">301</f>
        <v>301</v>
      </c>
      <c r="C671" s="13" t="n">
        <f aca="false">IF(Szenarien!$H$9="OK",(IFERROR(SUMIF(Nutzungsprofile!$B$6:$B$11,"Schulbetrieb",Nutzungsprofile!$G$6:$G$11)*Kalender!C305/SUM(Kalender!$C$5:$C$370),0)+IFERROR(SUMIF(Nutzungsprofile!$B$6:$B$11,"Halle",Nutzungsprofile!$G$6:$G$11)*Kalender!D305/SUM(Kalender!$D$5:$D$370),0)+IFERROR(SUMIF(Nutzungsprofile!$B$6:$B$11,"Individuell",Nutzungsprofile!$G$6:$G$11)*Kalender!E305/SUM(Kalender!$E$5:$E$370),0))*Szenarien!$E$9,0)</f>
        <v>0.9</v>
      </c>
      <c r="D671" s="13" t="n">
        <f aca="false">IF(Szenarien!$H$9="OK",(IFERROR(SUMIF(Nutzungsprofile!$B$17:$B$22,"Schulbetrieb",Nutzungsprofile!$G$17:$G$22)*Kalender!C305/SUM(Kalender!$C$5:$C$370),0)+IFERROR(SUMIF(Nutzungsprofile!$B$17:$B$22,"Halle",Nutzungsprofile!$G$17:$G$22)*Kalender!D305/SUM(Kalender!$D$5:$D$370),0)+IFERROR(SUMIF(Nutzungsprofile!$B$17:$B$22,"Individuell",Nutzungsprofile!$G$17:$G$22)*Kalender!E305/SUM(Kalender!$E$5:$E$370),0))*Szenarien!$D$9,0)</f>
        <v>4.05</v>
      </c>
      <c r="E671" s="13" t="n">
        <f aca="false">IFERROR(MIN(C671,Eingaben!$B$17)*Eingaben!$B$16,0)</f>
        <v>0.855</v>
      </c>
      <c r="F671" s="13" t="n">
        <f aca="false">IFERROR(E671*Eingaben!$B$15,0)</f>
        <v>0.7695</v>
      </c>
      <c r="G671" s="13" t="n">
        <f aca="false">IFERROR(IF(Kalender!A305="",0,J670*(1-Eingaben!$B$20)),0)</f>
        <v>0.226233</v>
      </c>
      <c r="H671" s="13" t="n">
        <f aca="false">MIN(G671,D671)</f>
        <v>0.226233</v>
      </c>
      <c r="I671" s="13" t="n">
        <f aca="false">IFERROR(MIN(F671*Eingaben!$B$19,MAX(0,D671-H671)),0)</f>
        <v>0.53865</v>
      </c>
      <c r="J671" s="13" t="n">
        <f aca="false">IFERROR(MIN(Eingaben!$B$18,MAX(0,F671-I671)),0)</f>
        <v>0.23085</v>
      </c>
      <c r="K671" s="13" t="n">
        <f aca="false">H671+I671</f>
        <v>0.764883</v>
      </c>
      <c r="L671" s="13" t="n">
        <f aca="false">MAX(0,D671-K671)</f>
        <v>3.285117</v>
      </c>
      <c r="M671" s="13" t="n">
        <f aca="false">MAX(0,F671-I671-J671)</f>
        <v>0</v>
      </c>
      <c r="N671" s="13" t="n">
        <f aca="false">IF(Kalender!A305="",0,J670-H671)</f>
        <v>0.00461700000000001</v>
      </c>
    </row>
    <row r="672" customFormat="false" ht="16.4" hidden="false" customHeight="false" outlineLevel="0" collapsed="false">
      <c r="A672" s="13" t="str">
        <f aca="false">""</f>
        <v/>
      </c>
      <c r="B672" s="13" t="n">
        <f aca="false">302</f>
        <v>302</v>
      </c>
      <c r="C672" s="13" t="n">
        <f aca="false">IF(Szenarien!$H$9="OK",(IFERROR(SUMIF(Nutzungsprofile!$B$6:$B$11,"Schulbetrieb",Nutzungsprofile!$G$6:$G$11)*Kalender!C306/SUM(Kalender!$C$5:$C$370),0)+IFERROR(SUMIF(Nutzungsprofile!$B$6:$B$11,"Halle",Nutzungsprofile!$G$6:$G$11)*Kalender!D306/SUM(Kalender!$D$5:$D$370),0)+IFERROR(SUMIF(Nutzungsprofile!$B$6:$B$11,"Individuell",Nutzungsprofile!$G$6:$G$11)*Kalender!E306/SUM(Kalender!$E$5:$E$370),0))*Szenarien!$E$9,0)</f>
        <v>0.9</v>
      </c>
      <c r="D672" s="13" t="n">
        <f aca="false">IF(Szenarien!$H$9="OK",(IFERROR(SUMIF(Nutzungsprofile!$B$17:$B$22,"Schulbetrieb",Nutzungsprofile!$G$17:$G$22)*Kalender!C306/SUM(Kalender!$C$5:$C$370),0)+IFERROR(SUMIF(Nutzungsprofile!$B$17:$B$22,"Halle",Nutzungsprofile!$G$17:$G$22)*Kalender!D306/SUM(Kalender!$D$5:$D$370),0)+IFERROR(SUMIF(Nutzungsprofile!$B$17:$B$22,"Individuell",Nutzungsprofile!$G$17:$G$22)*Kalender!E306/SUM(Kalender!$E$5:$E$370),0))*Szenarien!$D$9,0)</f>
        <v>4.05</v>
      </c>
      <c r="E672" s="13" t="n">
        <f aca="false">IFERROR(MIN(C672,Eingaben!$B$17)*Eingaben!$B$16,0)</f>
        <v>0.855</v>
      </c>
      <c r="F672" s="13" t="n">
        <f aca="false">IFERROR(E672*Eingaben!$B$15,0)</f>
        <v>0.7695</v>
      </c>
      <c r="G672" s="13" t="n">
        <f aca="false">IFERROR(IF(Kalender!A306="",0,J671*(1-Eingaben!$B$20)),0)</f>
        <v>0.226233</v>
      </c>
      <c r="H672" s="13" t="n">
        <f aca="false">MIN(G672,D672)</f>
        <v>0.226233</v>
      </c>
      <c r="I672" s="13" t="n">
        <f aca="false">IFERROR(MIN(F672*Eingaben!$B$19,MAX(0,D672-H672)),0)</f>
        <v>0.53865</v>
      </c>
      <c r="J672" s="13" t="n">
        <f aca="false">IFERROR(MIN(Eingaben!$B$18,MAX(0,F672-I672)),0)</f>
        <v>0.23085</v>
      </c>
      <c r="K672" s="13" t="n">
        <f aca="false">H672+I672</f>
        <v>0.764883</v>
      </c>
      <c r="L672" s="13" t="n">
        <f aca="false">MAX(0,D672-K672)</f>
        <v>3.285117</v>
      </c>
      <c r="M672" s="13" t="n">
        <f aca="false">MAX(0,F672-I672-J672)</f>
        <v>0</v>
      </c>
      <c r="N672" s="13" t="n">
        <f aca="false">IF(Kalender!A306="",0,J671-H672)</f>
        <v>0.00461700000000001</v>
      </c>
    </row>
    <row r="673" customFormat="false" ht="16.4" hidden="false" customHeight="false" outlineLevel="0" collapsed="false">
      <c r="A673" s="13" t="str">
        <f aca="false">""</f>
        <v/>
      </c>
      <c r="B673" s="13" t="n">
        <f aca="false">303</f>
        <v>303</v>
      </c>
      <c r="C673" s="13" t="n">
        <f aca="false">IF(Szenarien!$H$9="OK",(IFERROR(SUMIF(Nutzungsprofile!$B$6:$B$11,"Schulbetrieb",Nutzungsprofile!$G$6:$G$11)*Kalender!C307/SUM(Kalender!$C$5:$C$370),0)+IFERROR(SUMIF(Nutzungsprofile!$B$6:$B$11,"Halle",Nutzungsprofile!$G$6:$G$11)*Kalender!D307/SUM(Kalender!$D$5:$D$370),0)+IFERROR(SUMIF(Nutzungsprofile!$B$6:$B$11,"Individuell",Nutzungsprofile!$G$6:$G$11)*Kalender!E307/SUM(Kalender!$E$5:$E$370),0))*Szenarien!$E$9,0)</f>
        <v>0.9</v>
      </c>
      <c r="D673" s="13" t="n">
        <f aca="false">IF(Szenarien!$H$9="OK",(IFERROR(SUMIF(Nutzungsprofile!$B$17:$B$22,"Schulbetrieb",Nutzungsprofile!$G$17:$G$22)*Kalender!C307/SUM(Kalender!$C$5:$C$370),0)+IFERROR(SUMIF(Nutzungsprofile!$B$17:$B$22,"Halle",Nutzungsprofile!$G$17:$G$22)*Kalender!D307/SUM(Kalender!$D$5:$D$370),0)+IFERROR(SUMIF(Nutzungsprofile!$B$17:$B$22,"Individuell",Nutzungsprofile!$G$17:$G$22)*Kalender!E307/SUM(Kalender!$E$5:$E$370),0))*Szenarien!$D$9,0)</f>
        <v>4.05</v>
      </c>
      <c r="E673" s="13" t="n">
        <f aca="false">IFERROR(MIN(C673,Eingaben!$B$17)*Eingaben!$B$16,0)</f>
        <v>0.855</v>
      </c>
      <c r="F673" s="13" t="n">
        <f aca="false">IFERROR(E673*Eingaben!$B$15,0)</f>
        <v>0.7695</v>
      </c>
      <c r="G673" s="13" t="n">
        <f aca="false">IFERROR(IF(Kalender!A307="",0,J672*(1-Eingaben!$B$20)),0)</f>
        <v>0.226233</v>
      </c>
      <c r="H673" s="13" t="n">
        <f aca="false">MIN(G673,D673)</f>
        <v>0.226233</v>
      </c>
      <c r="I673" s="13" t="n">
        <f aca="false">IFERROR(MIN(F673*Eingaben!$B$19,MAX(0,D673-H673)),0)</f>
        <v>0.53865</v>
      </c>
      <c r="J673" s="13" t="n">
        <f aca="false">IFERROR(MIN(Eingaben!$B$18,MAX(0,F673-I673)),0)</f>
        <v>0.23085</v>
      </c>
      <c r="K673" s="13" t="n">
        <f aca="false">H673+I673</f>
        <v>0.764883</v>
      </c>
      <c r="L673" s="13" t="n">
        <f aca="false">MAX(0,D673-K673)</f>
        <v>3.285117</v>
      </c>
      <c r="M673" s="13" t="n">
        <f aca="false">MAX(0,F673-I673-J673)</f>
        <v>0</v>
      </c>
      <c r="N673" s="13" t="n">
        <f aca="false">IF(Kalender!A307="",0,J672-H673)</f>
        <v>0.00461700000000001</v>
      </c>
    </row>
    <row r="674" customFormat="false" ht="16.4" hidden="false" customHeight="false" outlineLevel="0" collapsed="false">
      <c r="A674" s="13" t="str">
        <f aca="false">""</f>
        <v/>
      </c>
      <c r="B674" s="13" t="n">
        <f aca="false">304</f>
        <v>304</v>
      </c>
      <c r="C674" s="13" t="n">
        <f aca="false">IF(Szenarien!$H$9="OK",(IFERROR(SUMIF(Nutzungsprofile!$B$6:$B$11,"Schulbetrieb",Nutzungsprofile!$G$6:$G$11)*Kalender!C308/SUM(Kalender!$C$5:$C$370),0)+IFERROR(SUMIF(Nutzungsprofile!$B$6:$B$11,"Halle",Nutzungsprofile!$G$6:$G$11)*Kalender!D308/SUM(Kalender!$D$5:$D$370),0)+IFERROR(SUMIF(Nutzungsprofile!$B$6:$B$11,"Individuell",Nutzungsprofile!$G$6:$G$11)*Kalender!E308/SUM(Kalender!$E$5:$E$370),0))*Szenarien!$E$9,0)</f>
        <v>0</v>
      </c>
      <c r="D674" s="13" t="n">
        <f aca="false">IF(Szenarien!$H$9="OK",(IFERROR(SUMIF(Nutzungsprofile!$B$17:$B$22,"Schulbetrieb",Nutzungsprofile!$G$17:$G$22)*Kalender!C308/SUM(Kalender!$C$5:$C$370),0)+IFERROR(SUMIF(Nutzungsprofile!$B$17:$B$22,"Halle",Nutzungsprofile!$G$17:$G$22)*Kalender!D308/SUM(Kalender!$D$5:$D$370),0)+IFERROR(SUMIF(Nutzungsprofile!$B$17:$B$22,"Individuell",Nutzungsprofile!$G$17:$G$22)*Kalender!E308/SUM(Kalender!$E$5:$E$370),0))*Szenarien!$D$9,0)</f>
        <v>0</v>
      </c>
      <c r="E674" s="13" t="n">
        <f aca="false">IFERROR(MIN(C674,Eingaben!$B$17)*Eingaben!$B$16,0)</f>
        <v>0</v>
      </c>
      <c r="F674" s="13" t="n">
        <f aca="false">IFERROR(E674*Eingaben!$B$15,0)</f>
        <v>0</v>
      </c>
      <c r="G674" s="13" t="n">
        <f aca="false">IFERROR(IF(Kalender!A308="",0,J673*(1-Eingaben!$B$20)),0)</f>
        <v>0.226233</v>
      </c>
      <c r="H674" s="13" t="n">
        <f aca="false">MIN(G674,D674)</f>
        <v>0</v>
      </c>
      <c r="I674" s="13" t="n">
        <f aca="false">IFERROR(MIN(F674*Eingaben!$B$19,MAX(0,D674-H674)),0)</f>
        <v>0</v>
      </c>
      <c r="J674" s="13" t="n">
        <f aca="false">IFERROR(MIN(Eingaben!$B$18,MAX(0,F674-I674)),0)</f>
        <v>0</v>
      </c>
      <c r="K674" s="13" t="n">
        <f aca="false">H674+I674</f>
        <v>0</v>
      </c>
      <c r="L674" s="13" t="n">
        <f aca="false">MAX(0,D674-K674)</f>
        <v>0</v>
      </c>
      <c r="M674" s="13" t="n">
        <f aca="false">MAX(0,F674-I674-J674)</f>
        <v>0</v>
      </c>
      <c r="N674" s="13" t="n">
        <f aca="false">IF(Kalender!A308="",0,J673-H674)</f>
        <v>0.23085</v>
      </c>
    </row>
    <row r="675" customFormat="false" ht="16.4" hidden="false" customHeight="false" outlineLevel="0" collapsed="false">
      <c r="A675" s="13" t="str">
        <f aca="false">""</f>
        <v/>
      </c>
      <c r="B675" s="13" t="n">
        <f aca="false">305</f>
        <v>305</v>
      </c>
      <c r="C675" s="13" t="n">
        <f aca="false">IF(Szenarien!$H$9="OK",(IFERROR(SUMIF(Nutzungsprofile!$B$6:$B$11,"Schulbetrieb",Nutzungsprofile!$G$6:$G$11)*Kalender!C309/SUM(Kalender!$C$5:$C$370),0)+IFERROR(SUMIF(Nutzungsprofile!$B$6:$B$11,"Halle",Nutzungsprofile!$G$6:$G$11)*Kalender!D309/SUM(Kalender!$D$5:$D$370),0)+IFERROR(SUMIF(Nutzungsprofile!$B$6:$B$11,"Individuell",Nutzungsprofile!$G$6:$G$11)*Kalender!E309/SUM(Kalender!$E$5:$E$370),0))*Szenarien!$E$9,0)</f>
        <v>0</v>
      </c>
      <c r="D675" s="13" t="n">
        <f aca="false">IF(Szenarien!$H$9="OK",(IFERROR(SUMIF(Nutzungsprofile!$B$17:$B$22,"Schulbetrieb",Nutzungsprofile!$G$17:$G$22)*Kalender!C309/SUM(Kalender!$C$5:$C$370),0)+IFERROR(SUMIF(Nutzungsprofile!$B$17:$B$22,"Halle",Nutzungsprofile!$G$17:$G$22)*Kalender!D309/SUM(Kalender!$D$5:$D$370),0)+IFERROR(SUMIF(Nutzungsprofile!$B$17:$B$22,"Individuell",Nutzungsprofile!$G$17:$G$22)*Kalender!E309/SUM(Kalender!$E$5:$E$370),0))*Szenarien!$D$9,0)</f>
        <v>0</v>
      </c>
      <c r="E675" s="13" t="n">
        <f aca="false">IFERROR(MIN(C675,Eingaben!$B$17)*Eingaben!$B$16,0)</f>
        <v>0</v>
      </c>
      <c r="F675" s="13" t="n">
        <f aca="false">IFERROR(E675*Eingaben!$B$15,0)</f>
        <v>0</v>
      </c>
      <c r="G675" s="13" t="n">
        <f aca="false">IFERROR(IF(Kalender!A309="",0,J674*(1-Eingaben!$B$20)),0)</f>
        <v>0</v>
      </c>
      <c r="H675" s="13" t="n">
        <f aca="false">MIN(G675,D675)</f>
        <v>0</v>
      </c>
      <c r="I675" s="13" t="n">
        <f aca="false">IFERROR(MIN(F675*Eingaben!$B$19,MAX(0,D675-H675)),0)</f>
        <v>0</v>
      </c>
      <c r="J675" s="13" t="n">
        <f aca="false">IFERROR(MIN(Eingaben!$B$18,MAX(0,F675-I675)),0)</f>
        <v>0</v>
      </c>
      <c r="K675" s="13" t="n">
        <f aca="false">H675+I675</f>
        <v>0</v>
      </c>
      <c r="L675" s="13" t="n">
        <f aca="false">MAX(0,D675-K675)</f>
        <v>0</v>
      </c>
      <c r="M675" s="13" t="n">
        <f aca="false">MAX(0,F675-I675-J675)</f>
        <v>0</v>
      </c>
      <c r="N675" s="13" t="n">
        <f aca="false">IF(Kalender!A309="",0,J674-H675)</f>
        <v>0</v>
      </c>
    </row>
    <row r="676" customFormat="false" ht="16.4" hidden="false" customHeight="false" outlineLevel="0" collapsed="false">
      <c r="A676" s="13" t="str">
        <f aca="false">""</f>
        <v/>
      </c>
      <c r="B676" s="13" t="n">
        <f aca="false">306</f>
        <v>306</v>
      </c>
      <c r="C676" s="13" t="n">
        <f aca="false">IF(Szenarien!$H$9="OK",(IFERROR(SUMIF(Nutzungsprofile!$B$6:$B$11,"Schulbetrieb",Nutzungsprofile!$G$6:$G$11)*Kalender!C310/SUM(Kalender!$C$5:$C$370),0)+IFERROR(SUMIF(Nutzungsprofile!$B$6:$B$11,"Halle",Nutzungsprofile!$G$6:$G$11)*Kalender!D310/SUM(Kalender!$D$5:$D$370),0)+IFERROR(SUMIF(Nutzungsprofile!$B$6:$B$11,"Individuell",Nutzungsprofile!$G$6:$G$11)*Kalender!E310/SUM(Kalender!$E$5:$E$370),0))*Szenarien!$E$9,0)</f>
        <v>0.9</v>
      </c>
      <c r="D676" s="13" t="n">
        <f aca="false">IF(Szenarien!$H$9="OK",(IFERROR(SUMIF(Nutzungsprofile!$B$17:$B$22,"Schulbetrieb",Nutzungsprofile!$G$17:$G$22)*Kalender!C310/SUM(Kalender!$C$5:$C$370),0)+IFERROR(SUMIF(Nutzungsprofile!$B$17:$B$22,"Halle",Nutzungsprofile!$G$17:$G$22)*Kalender!D310/SUM(Kalender!$D$5:$D$370),0)+IFERROR(SUMIF(Nutzungsprofile!$B$17:$B$22,"Individuell",Nutzungsprofile!$G$17:$G$22)*Kalender!E310/SUM(Kalender!$E$5:$E$370),0))*Szenarien!$D$9,0)</f>
        <v>4.05</v>
      </c>
      <c r="E676" s="13" t="n">
        <f aca="false">IFERROR(MIN(C676,Eingaben!$B$17)*Eingaben!$B$16,0)</f>
        <v>0.855</v>
      </c>
      <c r="F676" s="13" t="n">
        <f aca="false">IFERROR(E676*Eingaben!$B$15,0)</f>
        <v>0.7695</v>
      </c>
      <c r="G676" s="13" t="n">
        <f aca="false">IFERROR(IF(Kalender!A310="",0,J675*(1-Eingaben!$B$20)),0)</f>
        <v>0</v>
      </c>
      <c r="H676" s="13" t="n">
        <f aca="false">MIN(G676,D676)</f>
        <v>0</v>
      </c>
      <c r="I676" s="13" t="n">
        <f aca="false">IFERROR(MIN(F676*Eingaben!$B$19,MAX(0,D676-H676)),0)</f>
        <v>0.53865</v>
      </c>
      <c r="J676" s="13" t="n">
        <f aca="false">IFERROR(MIN(Eingaben!$B$18,MAX(0,F676-I676)),0)</f>
        <v>0.23085</v>
      </c>
      <c r="K676" s="13" t="n">
        <f aca="false">H676+I676</f>
        <v>0.53865</v>
      </c>
      <c r="L676" s="13" t="n">
        <f aca="false">MAX(0,D676-K676)</f>
        <v>3.51135</v>
      </c>
      <c r="M676" s="13" t="n">
        <f aca="false">MAX(0,F676-I676-J676)</f>
        <v>0</v>
      </c>
      <c r="N676" s="13" t="n">
        <f aca="false">IF(Kalender!A310="",0,J675-H676)</f>
        <v>0</v>
      </c>
    </row>
    <row r="677" customFormat="false" ht="16.4" hidden="false" customHeight="false" outlineLevel="0" collapsed="false">
      <c r="A677" s="13" t="str">
        <f aca="false">""</f>
        <v/>
      </c>
      <c r="B677" s="13" t="n">
        <f aca="false">307</f>
        <v>307</v>
      </c>
      <c r="C677" s="13" t="n">
        <f aca="false">IF(Szenarien!$H$9="OK",(IFERROR(SUMIF(Nutzungsprofile!$B$6:$B$11,"Schulbetrieb",Nutzungsprofile!$G$6:$G$11)*Kalender!C311/SUM(Kalender!$C$5:$C$370),0)+IFERROR(SUMIF(Nutzungsprofile!$B$6:$B$11,"Halle",Nutzungsprofile!$G$6:$G$11)*Kalender!D311/SUM(Kalender!$D$5:$D$370),0)+IFERROR(SUMIF(Nutzungsprofile!$B$6:$B$11,"Individuell",Nutzungsprofile!$G$6:$G$11)*Kalender!E311/SUM(Kalender!$E$5:$E$370),0))*Szenarien!$E$9,0)</f>
        <v>0.9</v>
      </c>
      <c r="D677" s="13" t="n">
        <f aca="false">IF(Szenarien!$H$9="OK",(IFERROR(SUMIF(Nutzungsprofile!$B$17:$B$22,"Schulbetrieb",Nutzungsprofile!$G$17:$G$22)*Kalender!C311/SUM(Kalender!$C$5:$C$370),0)+IFERROR(SUMIF(Nutzungsprofile!$B$17:$B$22,"Halle",Nutzungsprofile!$G$17:$G$22)*Kalender!D311/SUM(Kalender!$D$5:$D$370),0)+IFERROR(SUMIF(Nutzungsprofile!$B$17:$B$22,"Individuell",Nutzungsprofile!$G$17:$G$22)*Kalender!E311/SUM(Kalender!$E$5:$E$370),0))*Szenarien!$D$9,0)</f>
        <v>4.05</v>
      </c>
      <c r="E677" s="13" t="n">
        <f aca="false">IFERROR(MIN(C677,Eingaben!$B$17)*Eingaben!$B$16,0)</f>
        <v>0.855</v>
      </c>
      <c r="F677" s="13" t="n">
        <f aca="false">IFERROR(E677*Eingaben!$B$15,0)</f>
        <v>0.7695</v>
      </c>
      <c r="G677" s="13" t="n">
        <f aca="false">IFERROR(IF(Kalender!A311="",0,J676*(1-Eingaben!$B$20)),0)</f>
        <v>0.226233</v>
      </c>
      <c r="H677" s="13" t="n">
        <f aca="false">MIN(G677,D677)</f>
        <v>0.226233</v>
      </c>
      <c r="I677" s="13" t="n">
        <f aca="false">IFERROR(MIN(F677*Eingaben!$B$19,MAX(0,D677-H677)),0)</f>
        <v>0.53865</v>
      </c>
      <c r="J677" s="13" t="n">
        <f aca="false">IFERROR(MIN(Eingaben!$B$18,MAX(0,F677-I677)),0)</f>
        <v>0.23085</v>
      </c>
      <c r="K677" s="13" t="n">
        <f aca="false">H677+I677</f>
        <v>0.764883</v>
      </c>
      <c r="L677" s="13" t="n">
        <f aca="false">MAX(0,D677-K677)</f>
        <v>3.285117</v>
      </c>
      <c r="M677" s="13" t="n">
        <f aca="false">MAX(0,F677-I677-J677)</f>
        <v>0</v>
      </c>
      <c r="N677" s="13" t="n">
        <f aca="false">IF(Kalender!A311="",0,J676-H677)</f>
        <v>0.00461700000000001</v>
      </c>
    </row>
    <row r="678" customFormat="false" ht="16.4" hidden="false" customHeight="false" outlineLevel="0" collapsed="false">
      <c r="A678" s="13" t="str">
        <f aca="false">""</f>
        <v/>
      </c>
      <c r="B678" s="13" t="n">
        <f aca="false">308</f>
        <v>308</v>
      </c>
      <c r="C678" s="13" t="n">
        <f aca="false">IF(Szenarien!$H$9="OK",(IFERROR(SUMIF(Nutzungsprofile!$B$6:$B$11,"Schulbetrieb",Nutzungsprofile!$G$6:$G$11)*Kalender!C312/SUM(Kalender!$C$5:$C$370),0)+IFERROR(SUMIF(Nutzungsprofile!$B$6:$B$11,"Halle",Nutzungsprofile!$G$6:$G$11)*Kalender!D312/SUM(Kalender!$D$5:$D$370),0)+IFERROR(SUMIF(Nutzungsprofile!$B$6:$B$11,"Individuell",Nutzungsprofile!$G$6:$G$11)*Kalender!E312/SUM(Kalender!$E$5:$E$370),0))*Szenarien!$E$9,0)</f>
        <v>0.9</v>
      </c>
      <c r="D678" s="13" t="n">
        <f aca="false">IF(Szenarien!$H$9="OK",(IFERROR(SUMIF(Nutzungsprofile!$B$17:$B$22,"Schulbetrieb",Nutzungsprofile!$G$17:$G$22)*Kalender!C312/SUM(Kalender!$C$5:$C$370),0)+IFERROR(SUMIF(Nutzungsprofile!$B$17:$B$22,"Halle",Nutzungsprofile!$G$17:$G$22)*Kalender!D312/SUM(Kalender!$D$5:$D$370),0)+IFERROR(SUMIF(Nutzungsprofile!$B$17:$B$22,"Individuell",Nutzungsprofile!$G$17:$G$22)*Kalender!E312/SUM(Kalender!$E$5:$E$370),0))*Szenarien!$D$9,0)</f>
        <v>4.05</v>
      </c>
      <c r="E678" s="13" t="n">
        <f aca="false">IFERROR(MIN(C678,Eingaben!$B$17)*Eingaben!$B$16,0)</f>
        <v>0.855</v>
      </c>
      <c r="F678" s="13" t="n">
        <f aca="false">IFERROR(E678*Eingaben!$B$15,0)</f>
        <v>0.7695</v>
      </c>
      <c r="G678" s="13" t="n">
        <f aca="false">IFERROR(IF(Kalender!A312="",0,J677*(1-Eingaben!$B$20)),0)</f>
        <v>0.226233</v>
      </c>
      <c r="H678" s="13" t="n">
        <f aca="false">MIN(G678,D678)</f>
        <v>0.226233</v>
      </c>
      <c r="I678" s="13" t="n">
        <f aca="false">IFERROR(MIN(F678*Eingaben!$B$19,MAX(0,D678-H678)),0)</f>
        <v>0.53865</v>
      </c>
      <c r="J678" s="13" t="n">
        <f aca="false">IFERROR(MIN(Eingaben!$B$18,MAX(0,F678-I678)),0)</f>
        <v>0.23085</v>
      </c>
      <c r="K678" s="13" t="n">
        <f aca="false">H678+I678</f>
        <v>0.764883</v>
      </c>
      <c r="L678" s="13" t="n">
        <f aca="false">MAX(0,D678-K678)</f>
        <v>3.285117</v>
      </c>
      <c r="M678" s="13" t="n">
        <f aca="false">MAX(0,F678-I678-J678)</f>
        <v>0</v>
      </c>
      <c r="N678" s="13" t="n">
        <f aca="false">IF(Kalender!A312="",0,J677-H678)</f>
        <v>0.00461700000000001</v>
      </c>
    </row>
    <row r="679" customFormat="false" ht="16.4" hidden="false" customHeight="false" outlineLevel="0" collapsed="false">
      <c r="A679" s="13" t="str">
        <f aca="false">""</f>
        <v/>
      </c>
      <c r="B679" s="13" t="n">
        <f aca="false">309</f>
        <v>309</v>
      </c>
      <c r="C679" s="13" t="n">
        <f aca="false">IF(Szenarien!$H$9="OK",(IFERROR(SUMIF(Nutzungsprofile!$B$6:$B$11,"Schulbetrieb",Nutzungsprofile!$G$6:$G$11)*Kalender!C313/SUM(Kalender!$C$5:$C$370),0)+IFERROR(SUMIF(Nutzungsprofile!$B$6:$B$11,"Halle",Nutzungsprofile!$G$6:$G$11)*Kalender!D313/SUM(Kalender!$D$5:$D$370),0)+IFERROR(SUMIF(Nutzungsprofile!$B$6:$B$11,"Individuell",Nutzungsprofile!$G$6:$G$11)*Kalender!E313/SUM(Kalender!$E$5:$E$370),0))*Szenarien!$E$9,0)</f>
        <v>0.9</v>
      </c>
      <c r="D679" s="13" t="n">
        <f aca="false">IF(Szenarien!$H$9="OK",(IFERROR(SUMIF(Nutzungsprofile!$B$17:$B$22,"Schulbetrieb",Nutzungsprofile!$G$17:$G$22)*Kalender!C313/SUM(Kalender!$C$5:$C$370),0)+IFERROR(SUMIF(Nutzungsprofile!$B$17:$B$22,"Halle",Nutzungsprofile!$G$17:$G$22)*Kalender!D313/SUM(Kalender!$D$5:$D$370),0)+IFERROR(SUMIF(Nutzungsprofile!$B$17:$B$22,"Individuell",Nutzungsprofile!$G$17:$G$22)*Kalender!E313/SUM(Kalender!$E$5:$E$370),0))*Szenarien!$D$9,0)</f>
        <v>4.05</v>
      </c>
      <c r="E679" s="13" t="n">
        <f aca="false">IFERROR(MIN(C679,Eingaben!$B$17)*Eingaben!$B$16,0)</f>
        <v>0.855</v>
      </c>
      <c r="F679" s="13" t="n">
        <f aca="false">IFERROR(E679*Eingaben!$B$15,0)</f>
        <v>0.7695</v>
      </c>
      <c r="G679" s="13" t="n">
        <f aca="false">IFERROR(IF(Kalender!A313="",0,J678*(1-Eingaben!$B$20)),0)</f>
        <v>0.226233</v>
      </c>
      <c r="H679" s="13" t="n">
        <f aca="false">MIN(G679,D679)</f>
        <v>0.226233</v>
      </c>
      <c r="I679" s="13" t="n">
        <f aca="false">IFERROR(MIN(F679*Eingaben!$B$19,MAX(0,D679-H679)),0)</f>
        <v>0.53865</v>
      </c>
      <c r="J679" s="13" t="n">
        <f aca="false">IFERROR(MIN(Eingaben!$B$18,MAX(0,F679-I679)),0)</f>
        <v>0.23085</v>
      </c>
      <c r="K679" s="13" t="n">
        <f aca="false">H679+I679</f>
        <v>0.764883</v>
      </c>
      <c r="L679" s="13" t="n">
        <f aca="false">MAX(0,D679-K679)</f>
        <v>3.285117</v>
      </c>
      <c r="M679" s="13" t="n">
        <f aca="false">MAX(0,F679-I679-J679)</f>
        <v>0</v>
      </c>
      <c r="N679" s="13" t="n">
        <f aca="false">IF(Kalender!A313="",0,J678-H679)</f>
        <v>0.00461700000000001</v>
      </c>
    </row>
    <row r="680" customFormat="false" ht="16.4" hidden="false" customHeight="false" outlineLevel="0" collapsed="false">
      <c r="A680" s="13" t="str">
        <f aca="false">""</f>
        <v/>
      </c>
      <c r="B680" s="13" t="n">
        <f aca="false">310</f>
        <v>310</v>
      </c>
      <c r="C680" s="13" t="n">
        <f aca="false">IF(Szenarien!$H$9="OK",(IFERROR(SUMIF(Nutzungsprofile!$B$6:$B$11,"Schulbetrieb",Nutzungsprofile!$G$6:$G$11)*Kalender!C314/SUM(Kalender!$C$5:$C$370),0)+IFERROR(SUMIF(Nutzungsprofile!$B$6:$B$11,"Halle",Nutzungsprofile!$G$6:$G$11)*Kalender!D314/SUM(Kalender!$D$5:$D$370),0)+IFERROR(SUMIF(Nutzungsprofile!$B$6:$B$11,"Individuell",Nutzungsprofile!$G$6:$G$11)*Kalender!E314/SUM(Kalender!$E$5:$E$370),0))*Szenarien!$E$9,0)</f>
        <v>0.9</v>
      </c>
      <c r="D680" s="13" t="n">
        <f aca="false">IF(Szenarien!$H$9="OK",(IFERROR(SUMIF(Nutzungsprofile!$B$17:$B$22,"Schulbetrieb",Nutzungsprofile!$G$17:$G$22)*Kalender!C314/SUM(Kalender!$C$5:$C$370),0)+IFERROR(SUMIF(Nutzungsprofile!$B$17:$B$22,"Halle",Nutzungsprofile!$G$17:$G$22)*Kalender!D314/SUM(Kalender!$D$5:$D$370),0)+IFERROR(SUMIF(Nutzungsprofile!$B$17:$B$22,"Individuell",Nutzungsprofile!$G$17:$G$22)*Kalender!E314/SUM(Kalender!$E$5:$E$370),0))*Szenarien!$D$9,0)</f>
        <v>4.05</v>
      </c>
      <c r="E680" s="13" t="n">
        <f aca="false">IFERROR(MIN(C680,Eingaben!$B$17)*Eingaben!$B$16,0)</f>
        <v>0.855</v>
      </c>
      <c r="F680" s="13" t="n">
        <f aca="false">IFERROR(E680*Eingaben!$B$15,0)</f>
        <v>0.7695</v>
      </c>
      <c r="G680" s="13" t="n">
        <f aca="false">IFERROR(IF(Kalender!A314="",0,J679*(1-Eingaben!$B$20)),0)</f>
        <v>0.226233</v>
      </c>
      <c r="H680" s="13" t="n">
        <f aca="false">MIN(G680,D680)</f>
        <v>0.226233</v>
      </c>
      <c r="I680" s="13" t="n">
        <f aca="false">IFERROR(MIN(F680*Eingaben!$B$19,MAX(0,D680-H680)),0)</f>
        <v>0.53865</v>
      </c>
      <c r="J680" s="13" t="n">
        <f aca="false">IFERROR(MIN(Eingaben!$B$18,MAX(0,F680-I680)),0)</f>
        <v>0.23085</v>
      </c>
      <c r="K680" s="13" t="n">
        <f aca="false">H680+I680</f>
        <v>0.764883</v>
      </c>
      <c r="L680" s="13" t="n">
        <f aca="false">MAX(0,D680-K680)</f>
        <v>3.285117</v>
      </c>
      <c r="M680" s="13" t="n">
        <f aca="false">MAX(0,F680-I680-J680)</f>
        <v>0</v>
      </c>
      <c r="N680" s="13" t="n">
        <f aca="false">IF(Kalender!A314="",0,J679-H680)</f>
        <v>0.00461700000000001</v>
      </c>
    </row>
    <row r="681" customFormat="false" ht="16.4" hidden="false" customHeight="false" outlineLevel="0" collapsed="false">
      <c r="A681" s="13" t="str">
        <f aca="false">""</f>
        <v/>
      </c>
      <c r="B681" s="13" t="n">
        <f aca="false">311</f>
        <v>311</v>
      </c>
      <c r="C681" s="13" t="n">
        <f aca="false">IF(Szenarien!$H$9="OK",(IFERROR(SUMIF(Nutzungsprofile!$B$6:$B$11,"Schulbetrieb",Nutzungsprofile!$G$6:$G$11)*Kalender!C315/SUM(Kalender!$C$5:$C$370),0)+IFERROR(SUMIF(Nutzungsprofile!$B$6:$B$11,"Halle",Nutzungsprofile!$G$6:$G$11)*Kalender!D315/SUM(Kalender!$D$5:$D$370),0)+IFERROR(SUMIF(Nutzungsprofile!$B$6:$B$11,"Individuell",Nutzungsprofile!$G$6:$G$11)*Kalender!E315/SUM(Kalender!$E$5:$E$370),0))*Szenarien!$E$9,0)</f>
        <v>0</v>
      </c>
      <c r="D681" s="13" t="n">
        <f aca="false">IF(Szenarien!$H$9="OK",(IFERROR(SUMIF(Nutzungsprofile!$B$17:$B$22,"Schulbetrieb",Nutzungsprofile!$G$17:$G$22)*Kalender!C315/SUM(Kalender!$C$5:$C$370),0)+IFERROR(SUMIF(Nutzungsprofile!$B$17:$B$22,"Halle",Nutzungsprofile!$G$17:$G$22)*Kalender!D315/SUM(Kalender!$D$5:$D$370),0)+IFERROR(SUMIF(Nutzungsprofile!$B$17:$B$22,"Individuell",Nutzungsprofile!$G$17:$G$22)*Kalender!E315/SUM(Kalender!$E$5:$E$370),0))*Szenarien!$D$9,0)</f>
        <v>0</v>
      </c>
      <c r="E681" s="13" t="n">
        <f aca="false">IFERROR(MIN(C681,Eingaben!$B$17)*Eingaben!$B$16,0)</f>
        <v>0</v>
      </c>
      <c r="F681" s="13" t="n">
        <f aca="false">IFERROR(E681*Eingaben!$B$15,0)</f>
        <v>0</v>
      </c>
      <c r="G681" s="13" t="n">
        <f aca="false">IFERROR(IF(Kalender!A315="",0,J680*(1-Eingaben!$B$20)),0)</f>
        <v>0.226233</v>
      </c>
      <c r="H681" s="13" t="n">
        <f aca="false">MIN(G681,D681)</f>
        <v>0</v>
      </c>
      <c r="I681" s="13" t="n">
        <f aca="false">IFERROR(MIN(F681*Eingaben!$B$19,MAX(0,D681-H681)),0)</f>
        <v>0</v>
      </c>
      <c r="J681" s="13" t="n">
        <f aca="false">IFERROR(MIN(Eingaben!$B$18,MAX(0,F681-I681)),0)</f>
        <v>0</v>
      </c>
      <c r="K681" s="13" t="n">
        <f aca="false">H681+I681</f>
        <v>0</v>
      </c>
      <c r="L681" s="13" t="n">
        <f aca="false">MAX(0,D681-K681)</f>
        <v>0</v>
      </c>
      <c r="M681" s="13" t="n">
        <f aca="false">MAX(0,F681-I681-J681)</f>
        <v>0</v>
      </c>
      <c r="N681" s="13" t="n">
        <f aca="false">IF(Kalender!A315="",0,J680-H681)</f>
        <v>0.23085</v>
      </c>
    </row>
    <row r="682" customFormat="false" ht="16.4" hidden="false" customHeight="false" outlineLevel="0" collapsed="false">
      <c r="A682" s="13" t="str">
        <f aca="false">""</f>
        <v/>
      </c>
      <c r="B682" s="13" t="n">
        <f aca="false">312</f>
        <v>312</v>
      </c>
      <c r="C682" s="13" t="n">
        <f aca="false">IF(Szenarien!$H$9="OK",(IFERROR(SUMIF(Nutzungsprofile!$B$6:$B$11,"Schulbetrieb",Nutzungsprofile!$G$6:$G$11)*Kalender!C316/SUM(Kalender!$C$5:$C$370),0)+IFERROR(SUMIF(Nutzungsprofile!$B$6:$B$11,"Halle",Nutzungsprofile!$G$6:$G$11)*Kalender!D316/SUM(Kalender!$D$5:$D$370),0)+IFERROR(SUMIF(Nutzungsprofile!$B$6:$B$11,"Individuell",Nutzungsprofile!$G$6:$G$11)*Kalender!E316/SUM(Kalender!$E$5:$E$370),0))*Szenarien!$E$9,0)</f>
        <v>0</v>
      </c>
      <c r="D682" s="13" t="n">
        <f aca="false">IF(Szenarien!$H$9="OK",(IFERROR(SUMIF(Nutzungsprofile!$B$17:$B$22,"Schulbetrieb",Nutzungsprofile!$G$17:$G$22)*Kalender!C316/SUM(Kalender!$C$5:$C$370),0)+IFERROR(SUMIF(Nutzungsprofile!$B$17:$B$22,"Halle",Nutzungsprofile!$G$17:$G$22)*Kalender!D316/SUM(Kalender!$D$5:$D$370),0)+IFERROR(SUMIF(Nutzungsprofile!$B$17:$B$22,"Individuell",Nutzungsprofile!$G$17:$G$22)*Kalender!E316/SUM(Kalender!$E$5:$E$370),0))*Szenarien!$D$9,0)</f>
        <v>0</v>
      </c>
      <c r="E682" s="13" t="n">
        <f aca="false">IFERROR(MIN(C682,Eingaben!$B$17)*Eingaben!$B$16,0)</f>
        <v>0</v>
      </c>
      <c r="F682" s="13" t="n">
        <f aca="false">IFERROR(E682*Eingaben!$B$15,0)</f>
        <v>0</v>
      </c>
      <c r="G682" s="13" t="n">
        <f aca="false">IFERROR(IF(Kalender!A316="",0,J681*(1-Eingaben!$B$20)),0)</f>
        <v>0</v>
      </c>
      <c r="H682" s="13" t="n">
        <f aca="false">MIN(G682,D682)</f>
        <v>0</v>
      </c>
      <c r="I682" s="13" t="n">
        <f aca="false">IFERROR(MIN(F682*Eingaben!$B$19,MAX(0,D682-H682)),0)</f>
        <v>0</v>
      </c>
      <c r="J682" s="13" t="n">
        <f aca="false">IFERROR(MIN(Eingaben!$B$18,MAX(0,F682-I682)),0)</f>
        <v>0</v>
      </c>
      <c r="K682" s="13" t="n">
        <f aca="false">H682+I682</f>
        <v>0</v>
      </c>
      <c r="L682" s="13" t="n">
        <f aca="false">MAX(0,D682-K682)</f>
        <v>0</v>
      </c>
      <c r="M682" s="13" t="n">
        <f aca="false">MAX(0,F682-I682-J682)</f>
        <v>0</v>
      </c>
      <c r="N682" s="13" t="n">
        <f aca="false">IF(Kalender!A316="",0,J681-H682)</f>
        <v>0</v>
      </c>
    </row>
    <row r="683" customFormat="false" ht="16.4" hidden="false" customHeight="false" outlineLevel="0" collapsed="false">
      <c r="A683" s="13" t="str">
        <f aca="false">""</f>
        <v/>
      </c>
      <c r="B683" s="13" t="n">
        <f aca="false">313</f>
        <v>313</v>
      </c>
      <c r="C683" s="13" t="n">
        <f aca="false">IF(Szenarien!$H$9="OK",(IFERROR(SUMIF(Nutzungsprofile!$B$6:$B$11,"Schulbetrieb",Nutzungsprofile!$G$6:$G$11)*Kalender!C317/SUM(Kalender!$C$5:$C$370),0)+IFERROR(SUMIF(Nutzungsprofile!$B$6:$B$11,"Halle",Nutzungsprofile!$G$6:$G$11)*Kalender!D317/SUM(Kalender!$D$5:$D$370),0)+IFERROR(SUMIF(Nutzungsprofile!$B$6:$B$11,"Individuell",Nutzungsprofile!$G$6:$G$11)*Kalender!E317/SUM(Kalender!$E$5:$E$370),0))*Szenarien!$E$9,0)</f>
        <v>0.9</v>
      </c>
      <c r="D683" s="13" t="n">
        <f aca="false">IF(Szenarien!$H$9="OK",(IFERROR(SUMIF(Nutzungsprofile!$B$17:$B$22,"Schulbetrieb",Nutzungsprofile!$G$17:$G$22)*Kalender!C317/SUM(Kalender!$C$5:$C$370),0)+IFERROR(SUMIF(Nutzungsprofile!$B$17:$B$22,"Halle",Nutzungsprofile!$G$17:$G$22)*Kalender!D317/SUM(Kalender!$D$5:$D$370),0)+IFERROR(SUMIF(Nutzungsprofile!$B$17:$B$22,"Individuell",Nutzungsprofile!$G$17:$G$22)*Kalender!E317/SUM(Kalender!$E$5:$E$370),0))*Szenarien!$D$9,0)</f>
        <v>4.05</v>
      </c>
      <c r="E683" s="13" t="n">
        <f aca="false">IFERROR(MIN(C683,Eingaben!$B$17)*Eingaben!$B$16,0)</f>
        <v>0.855</v>
      </c>
      <c r="F683" s="13" t="n">
        <f aca="false">IFERROR(E683*Eingaben!$B$15,0)</f>
        <v>0.7695</v>
      </c>
      <c r="G683" s="13" t="n">
        <f aca="false">IFERROR(IF(Kalender!A317="",0,J682*(1-Eingaben!$B$20)),0)</f>
        <v>0</v>
      </c>
      <c r="H683" s="13" t="n">
        <f aca="false">MIN(G683,D683)</f>
        <v>0</v>
      </c>
      <c r="I683" s="13" t="n">
        <f aca="false">IFERROR(MIN(F683*Eingaben!$B$19,MAX(0,D683-H683)),0)</f>
        <v>0.53865</v>
      </c>
      <c r="J683" s="13" t="n">
        <f aca="false">IFERROR(MIN(Eingaben!$B$18,MAX(0,F683-I683)),0)</f>
        <v>0.23085</v>
      </c>
      <c r="K683" s="13" t="n">
        <f aca="false">H683+I683</f>
        <v>0.53865</v>
      </c>
      <c r="L683" s="13" t="n">
        <f aca="false">MAX(0,D683-K683)</f>
        <v>3.51135</v>
      </c>
      <c r="M683" s="13" t="n">
        <f aca="false">MAX(0,F683-I683-J683)</f>
        <v>0</v>
      </c>
      <c r="N683" s="13" t="n">
        <f aca="false">IF(Kalender!A317="",0,J682-H683)</f>
        <v>0</v>
      </c>
    </row>
    <row r="684" customFormat="false" ht="16.4" hidden="false" customHeight="false" outlineLevel="0" collapsed="false">
      <c r="A684" s="13" t="str">
        <f aca="false">""</f>
        <v/>
      </c>
      <c r="B684" s="13" t="n">
        <f aca="false">314</f>
        <v>314</v>
      </c>
      <c r="C684" s="13" t="n">
        <f aca="false">IF(Szenarien!$H$9="OK",(IFERROR(SUMIF(Nutzungsprofile!$B$6:$B$11,"Schulbetrieb",Nutzungsprofile!$G$6:$G$11)*Kalender!C318/SUM(Kalender!$C$5:$C$370),0)+IFERROR(SUMIF(Nutzungsprofile!$B$6:$B$11,"Halle",Nutzungsprofile!$G$6:$G$11)*Kalender!D318/SUM(Kalender!$D$5:$D$370),0)+IFERROR(SUMIF(Nutzungsprofile!$B$6:$B$11,"Individuell",Nutzungsprofile!$G$6:$G$11)*Kalender!E318/SUM(Kalender!$E$5:$E$370),0))*Szenarien!$E$9,0)</f>
        <v>0.9</v>
      </c>
      <c r="D684" s="13" t="n">
        <f aca="false">IF(Szenarien!$H$9="OK",(IFERROR(SUMIF(Nutzungsprofile!$B$17:$B$22,"Schulbetrieb",Nutzungsprofile!$G$17:$G$22)*Kalender!C318/SUM(Kalender!$C$5:$C$370),0)+IFERROR(SUMIF(Nutzungsprofile!$B$17:$B$22,"Halle",Nutzungsprofile!$G$17:$G$22)*Kalender!D318/SUM(Kalender!$D$5:$D$370),0)+IFERROR(SUMIF(Nutzungsprofile!$B$17:$B$22,"Individuell",Nutzungsprofile!$G$17:$G$22)*Kalender!E318/SUM(Kalender!$E$5:$E$370),0))*Szenarien!$D$9,0)</f>
        <v>4.05</v>
      </c>
      <c r="E684" s="13" t="n">
        <f aca="false">IFERROR(MIN(C684,Eingaben!$B$17)*Eingaben!$B$16,0)</f>
        <v>0.855</v>
      </c>
      <c r="F684" s="13" t="n">
        <f aca="false">IFERROR(E684*Eingaben!$B$15,0)</f>
        <v>0.7695</v>
      </c>
      <c r="G684" s="13" t="n">
        <f aca="false">IFERROR(IF(Kalender!A318="",0,J683*(1-Eingaben!$B$20)),0)</f>
        <v>0.226233</v>
      </c>
      <c r="H684" s="13" t="n">
        <f aca="false">MIN(G684,D684)</f>
        <v>0.226233</v>
      </c>
      <c r="I684" s="13" t="n">
        <f aca="false">IFERROR(MIN(F684*Eingaben!$B$19,MAX(0,D684-H684)),0)</f>
        <v>0.53865</v>
      </c>
      <c r="J684" s="13" t="n">
        <f aca="false">IFERROR(MIN(Eingaben!$B$18,MAX(0,F684-I684)),0)</f>
        <v>0.23085</v>
      </c>
      <c r="K684" s="13" t="n">
        <f aca="false">H684+I684</f>
        <v>0.764883</v>
      </c>
      <c r="L684" s="13" t="n">
        <f aca="false">MAX(0,D684-K684)</f>
        <v>3.285117</v>
      </c>
      <c r="M684" s="13" t="n">
        <f aca="false">MAX(0,F684-I684-J684)</f>
        <v>0</v>
      </c>
      <c r="N684" s="13" t="n">
        <f aca="false">IF(Kalender!A318="",0,J683-H684)</f>
        <v>0.00461700000000001</v>
      </c>
    </row>
    <row r="685" customFormat="false" ht="16.4" hidden="false" customHeight="false" outlineLevel="0" collapsed="false">
      <c r="A685" s="13" t="str">
        <f aca="false">""</f>
        <v/>
      </c>
      <c r="B685" s="13" t="n">
        <f aca="false">315</f>
        <v>315</v>
      </c>
      <c r="C685" s="13" t="n">
        <f aca="false">IF(Szenarien!$H$9="OK",(IFERROR(SUMIF(Nutzungsprofile!$B$6:$B$11,"Schulbetrieb",Nutzungsprofile!$G$6:$G$11)*Kalender!C319/SUM(Kalender!$C$5:$C$370),0)+IFERROR(SUMIF(Nutzungsprofile!$B$6:$B$11,"Halle",Nutzungsprofile!$G$6:$G$11)*Kalender!D319/SUM(Kalender!$D$5:$D$370),0)+IFERROR(SUMIF(Nutzungsprofile!$B$6:$B$11,"Individuell",Nutzungsprofile!$G$6:$G$11)*Kalender!E319/SUM(Kalender!$E$5:$E$370),0))*Szenarien!$E$9,0)</f>
        <v>0.9</v>
      </c>
      <c r="D685" s="13" t="n">
        <f aca="false">IF(Szenarien!$H$9="OK",(IFERROR(SUMIF(Nutzungsprofile!$B$17:$B$22,"Schulbetrieb",Nutzungsprofile!$G$17:$G$22)*Kalender!C319/SUM(Kalender!$C$5:$C$370),0)+IFERROR(SUMIF(Nutzungsprofile!$B$17:$B$22,"Halle",Nutzungsprofile!$G$17:$G$22)*Kalender!D319/SUM(Kalender!$D$5:$D$370),0)+IFERROR(SUMIF(Nutzungsprofile!$B$17:$B$22,"Individuell",Nutzungsprofile!$G$17:$G$22)*Kalender!E319/SUM(Kalender!$E$5:$E$370),0))*Szenarien!$D$9,0)</f>
        <v>4.05</v>
      </c>
      <c r="E685" s="13" t="n">
        <f aca="false">IFERROR(MIN(C685,Eingaben!$B$17)*Eingaben!$B$16,0)</f>
        <v>0.855</v>
      </c>
      <c r="F685" s="13" t="n">
        <f aca="false">IFERROR(E685*Eingaben!$B$15,0)</f>
        <v>0.7695</v>
      </c>
      <c r="G685" s="13" t="n">
        <f aca="false">IFERROR(IF(Kalender!A319="",0,J684*(1-Eingaben!$B$20)),0)</f>
        <v>0.226233</v>
      </c>
      <c r="H685" s="13" t="n">
        <f aca="false">MIN(G685,D685)</f>
        <v>0.226233</v>
      </c>
      <c r="I685" s="13" t="n">
        <f aca="false">IFERROR(MIN(F685*Eingaben!$B$19,MAX(0,D685-H685)),0)</f>
        <v>0.53865</v>
      </c>
      <c r="J685" s="13" t="n">
        <f aca="false">IFERROR(MIN(Eingaben!$B$18,MAX(0,F685-I685)),0)</f>
        <v>0.23085</v>
      </c>
      <c r="K685" s="13" t="n">
        <f aca="false">H685+I685</f>
        <v>0.764883</v>
      </c>
      <c r="L685" s="13" t="n">
        <f aca="false">MAX(0,D685-K685)</f>
        <v>3.285117</v>
      </c>
      <c r="M685" s="13" t="n">
        <f aca="false">MAX(0,F685-I685-J685)</f>
        <v>0</v>
      </c>
      <c r="N685" s="13" t="n">
        <f aca="false">IF(Kalender!A319="",0,J684-H685)</f>
        <v>0.00461700000000001</v>
      </c>
    </row>
    <row r="686" customFormat="false" ht="16.4" hidden="false" customHeight="false" outlineLevel="0" collapsed="false">
      <c r="A686" s="13" t="str">
        <f aca="false">""</f>
        <v/>
      </c>
      <c r="B686" s="13" t="n">
        <f aca="false">316</f>
        <v>316</v>
      </c>
      <c r="C686" s="13" t="n">
        <f aca="false">IF(Szenarien!$H$9="OK",(IFERROR(SUMIF(Nutzungsprofile!$B$6:$B$11,"Schulbetrieb",Nutzungsprofile!$G$6:$G$11)*Kalender!C320/SUM(Kalender!$C$5:$C$370),0)+IFERROR(SUMIF(Nutzungsprofile!$B$6:$B$11,"Halle",Nutzungsprofile!$G$6:$G$11)*Kalender!D320/SUM(Kalender!$D$5:$D$370),0)+IFERROR(SUMIF(Nutzungsprofile!$B$6:$B$11,"Individuell",Nutzungsprofile!$G$6:$G$11)*Kalender!E320/SUM(Kalender!$E$5:$E$370),0))*Szenarien!$E$9,0)</f>
        <v>0.9</v>
      </c>
      <c r="D686" s="13" t="n">
        <f aca="false">IF(Szenarien!$H$9="OK",(IFERROR(SUMIF(Nutzungsprofile!$B$17:$B$22,"Schulbetrieb",Nutzungsprofile!$G$17:$G$22)*Kalender!C320/SUM(Kalender!$C$5:$C$370),0)+IFERROR(SUMIF(Nutzungsprofile!$B$17:$B$22,"Halle",Nutzungsprofile!$G$17:$G$22)*Kalender!D320/SUM(Kalender!$D$5:$D$370),0)+IFERROR(SUMIF(Nutzungsprofile!$B$17:$B$22,"Individuell",Nutzungsprofile!$G$17:$G$22)*Kalender!E320/SUM(Kalender!$E$5:$E$370),0))*Szenarien!$D$9,0)</f>
        <v>4.05</v>
      </c>
      <c r="E686" s="13" t="n">
        <f aca="false">IFERROR(MIN(C686,Eingaben!$B$17)*Eingaben!$B$16,0)</f>
        <v>0.855</v>
      </c>
      <c r="F686" s="13" t="n">
        <f aca="false">IFERROR(E686*Eingaben!$B$15,0)</f>
        <v>0.7695</v>
      </c>
      <c r="G686" s="13" t="n">
        <f aca="false">IFERROR(IF(Kalender!A320="",0,J685*(1-Eingaben!$B$20)),0)</f>
        <v>0.226233</v>
      </c>
      <c r="H686" s="13" t="n">
        <f aca="false">MIN(G686,D686)</f>
        <v>0.226233</v>
      </c>
      <c r="I686" s="13" t="n">
        <f aca="false">IFERROR(MIN(F686*Eingaben!$B$19,MAX(0,D686-H686)),0)</f>
        <v>0.53865</v>
      </c>
      <c r="J686" s="13" t="n">
        <f aca="false">IFERROR(MIN(Eingaben!$B$18,MAX(0,F686-I686)),0)</f>
        <v>0.23085</v>
      </c>
      <c r="K686" s="13" t="n">
        <f aca="false">H686+I686</f>
        <v>0.764883</v>
      </c>
      <c r="L686" s="13" t="n">
        <f aca="false">MAX(0,D686-K686)</f>
        <v>3.285117</v>
      </c>
      <c r="M686" s="13" t="n">
        <f aca="false">MAX(0,F686-I686-J686)</f>
        <v>0</v>
      </c>
      <c r="N686" s="13" t="n">
        <f aca="false">IF(Kalender!A320="",0,J685-H686)</f>
        <v>0.00461700000000001</v>
      </c>
    </row>
    <row r="687" customFormat="false" ht="16.4" hidden="false" customHeight="false" outlineLevel="0" collapsed="false">
      <c r="A687" s="13" t="str">
        <f aca="false">""</f>
        <v/>
      </c>
      <c r="B687" s="13" t="n">
        <f aca="false">317</f>
        <v>317</v>
      </c>
      <c r="C687" s="13" t="n">
        <f aca="false">IF(Szenarien!$H$9="OK",(IFERROR(SUMIF(Nutzungsprofile!$B$6:$B$11,"Schulbetrieb",Nutzungsprofile!$G$6:$G$11)*Kalender!C321/SUM(Kalender!$C$5:$C$370),0)+IFERROR(SUMIF(Nutzungsprofile!$B$6:$B$11,"Halle",Nutzungsprofile!$G$6:$G$11)*Kalender!D321/SUM(Kalender!$D$5:$D$370),0)+IFERROR(SUMIF(Nutzungsprofile!$B$6:$B$11,"Individuell",Nutzungsprofile!$G$6:$G$11)*Kalender!E321/SUM(Kalender!$E$5:$E$370),0))*Szenarien!$E$9,0)</f>
        <v>0.9</v>
      </c>
      <c r="D687" s="13" t="n">
        <f aca="false">IF(Szenarien!$H$9="OK",(IFERROR(SUMIF(Nutzungsprofile!$B$17:$B$22,"Schulbetrieb",Nutzungsprofile!$G$17:$G$22)*Kalender!C321/SUM(Kalender!$C$5:$C$370),0)+IFERROR(SUMIF(Nutzungsprofile!$B$17:$B$22,"Halle",Nutzungsprofile!$G$17:$G$22)*Kalender!D321/SUM(Kalender!$D$5:$D$370),0)+IFERROR(SUMIF(Nutzungsprofile!$B$17:$B$22,"Individuell",Nutzungsprofile!$G$17:$G$22)*Kalender!E321/SUM(Kalender!$E$5:$E$370),0))*Szenarien!$D$9,0)</f>
        <v>4.05</v>
      </c>
      <c r="E687" s="13" t="n">
        <f aca="false">IFERROR(MIN(C687,Eingaben!$B$17)*Eingaben!$B$16,0)</f>
        <v>0.855</v>
      </c>
      <c r="F687" s="13" t="n">
        <f aca="false">IFERROR(E687*Eingaben!$B$15,0)</f>
        <v>0.7695</v>
      </c>
      <c r="G687" s="13" t="n">
        <f aca="false">IFERROR(IF(Kalender!A321="",0,J686*(1-Eingaben!$B$20)),0)</f>
        <v>0.226233</v>
      </c>
      <c r="H687" s="13" t="n">
        <f aca="false">MIN(G687,D687)</f>
        <v>0.226233</v>
      </c>
      <c r="I687" s="13" t="n">
        <f aca="false">IFERROR(MIN(F687*Eingaben!$B$19,MAX(0,D687-H687)),0)</f>
        <v>0.53865</v>
      </c>
      <c r="J687" s="13" t="n">
        <f aca="false">IFERROR(MIN(Eingaben!$B$18,MAX(0,F687-I687)),0)</f>
        <v>0.23085</v>
      </c>
      <c r="K687" s="13" t="n">
        <f aca="false">H687+I687</f>
        <v>0.764883</v>
      </c>
      <c r="L687" s="13" t="n">
        <f aca="false">MAX(0,D687-K687)</f>
        <v>3.285117</v>
      </c>
      <c r="M687" s="13" t="n">
        <f aca="false">MAX(0,F687-I687-J687)</f>
        <v>0</v>
      </c>
      <c r="N687" s="13" t="n">
        <f aca="false">IF(Kalender!A321="",0,J686-H687)</f>
        <v>0.00461700000000001</v>
      </c>
    </row>
    <row r="688" customFormat="false" ht="16.4" hidden="false" customHeight="false" outlineLevel="0" collapsed="false">
      <c r="A688" s="13" t="str">
        <f aca="false">""</f>
        <v/>
      </c>
      <c r="B688" s="13" t="n">
        <f aca="false">318</f>
        <v>318</v>
      </c>
      <c r="C688" s="13" t="n">
        <f aca="false">IF(Szenarien!$H$9="OK",(IFERROR(SUMIF(Nutzungsprofile!$B$6:$B$11,"Schulbetrieb",Nutzungsprofile!$G$6:$G$11)*Kalender!C322/SUM(Kalender!$C$5:$C$370),0)+IFERROR(SUMIF(Nutzungsprofile!$B$6:$B$11,"Halle",Nutzungsprofile!$G$6:$G$11)*Kalender!D322/SUM(Kalender!$D$5:$D$370),0)+IFERROR(SUMIF(Nutzungsprofile!$B$6:$B$11,"Individuell",Nutzungsprofile!$G$6:$G$11)*Kalender!E322/SUM(Kalender!$E$5:$E$370),0))*Szenarien!$E$9,0)</f>
        <v>0</v>
      </c>
      <c r="D688" s="13" t="n">
        <f aca="false">IF(Szenarien!$H$9="OK",(IFERROR(SUMIF(Nutzungsprofile!$B$17:$B$22,"Schulbetrieb",Nutzungsprofile!$G$17:$G$22)*Kalender!C322/SUM(Kalender!$C$5:$C$370),0)+IFERROR(SUMIF(Nutzungsprofile!$B$17:$B$22,"Halle",Nutzungsprofile!$G$17:$G$22)*Kalender!D322/SUM(Kalender!$D$5:$D$370),0)+IFERROR(SUMIF(Nutzungsprofile!$B$17:$B$22,"Individuell",Nutzungsprofile!$G$17:$G$22)*Kalender!E322/SUM(Kalender!$E$5:$E$370),0))*Szenarien!$D$9,0)</f>
        <v>0</v>
      </c>
      <c r="E688" s="13" t="n">
        <f aca="false">IFERROR(MIN(C688,Eingaben!$B$17)*Eingaben!$B$16,0)</f>
        <v>0</v>
      </c>
      <c r="F688" s="13" t="n">
        <f aca="false">IFERROR(E688*Eingaben!$B$15,0)</f>
        <v>0</v>
      </c>
      <c r="G688" s="13" t="n">
        <f aca="false">IFERROR(IF(Kalender!A322="",0,J687*(1-Eingaben!$B$20)),0)</f>
        <v>0.226233</v>
      </c>
      <c r="H688" s="13" t="n">
        <f aca="false">MIN(G688,D688)</f>
        <v>0</v>
      </c>
      <c r="I688" s="13" t="n">
        <f aca="false">IFERROR(MIN(F688*Eingaben!$B$19,MAX(0,D688-H688)),0)</f>
        <v>0</v>
      </c>
      <c r="J688" s="13" t="n">
        <f aca="false">IFERROR(MIN(Eingaben!$B$18,MAX(0,F688-I688)),0)</f>
        <v>0</v>
      </c>
      <c r="K688" s="13" t="n">
        <f aca="false">H688+I688</f>
        <v>0</v>
      </c>
      <c r="L688" s="13" t="n">
        <f aca="false">MAX(0,D688-K688)</f>
        <v>0</v>
      </c>
      <c r="M688" s="13" t="n">
        <f aca="false">MAX(0,F688-I688-J688)</f>
        <v>0</v>
      </c>
      <c r="N688" s="13" t="n">
        <f aca="false">IF(Kalender!A322="",0,J687-H688)</f>
        <v>0.23085</v>
      </c>
    </row>
    <row r="689" customFormat="false" ht="16.4" hidden="false" customHeight="false" outlineLevel="0" collapsed="false">
      <c r="A689" s="13" t="str">
        <f aca="false">""</f>
        <v/>
      </c>
      <c r="B689" s="13" t="n">
        <f aca="false">319</f>
        <v>319</v>
      </c>
      <c r="C689" s="13" t="n">
        <f aca="false">IF(Szenarien!$H$9="OK",(IFERROR(SUMIF(Nutzungsprofile!$B$6:$B$11,"Schulbetrieb",Nutzungsprofile!$G$6:$G$11)*Kalender!C323/SUM(Kalender!$C$5:$C$370),0)+IFERROR(SUMIF(Nutzungsprofile!$B$6:$B$11,"Halle",Nutzungsprofile!$G$6:$G$11)*Kalender!D323/SUM(Kalender!$D$5:$D$370),0)+IFERROR(SUMIF(Nutzungsprofile!$B$6:$B$11,"Individuell",Nutzungsprofile!$G$6:$G$11)*Kalender!E323/SUM(Kalender!$E$5:$E$370),0))*Szenarien!$E$9,0)</f>
        <v>0</v>
      </c>
      <c r="D689" s="13" t="n">
        <f aca="false">IF(Szenarien!$H$9="OK",(IFERROR(SUMIF(Nutzungsprofile!$B$17:$B$22,"Schulbetrieb",Nutzungsprofile!$G$17:$G$22)*Kalender!C323/SUM(Kalender!$C$5:$C$370),0)+IFERROR(SUMIF(Nutzungsprofile!$B$17:$B$22,"Halle",Nutzungsprofile!$G$17:$G$22)*Kalender!D323/SUM(Kalender!$D$5:$D$370),0)+IFERROR(SUMIF(Nutzungsprofile!$B$17:$B$22,"Individuell",Nutzungsprofile!$G$17:$G$22)*Kalender!E323/SUM(Kalender!$E$5:$E$370),0))*Szenarien!$D$9,0)</f>
        <v>0</v>
      </c>
      <c r="E689" s="13" t="n">
        <f aca="false">IFERROR(MIN(C689,Eingaben!$B$17)*Eingaben!$B$16,0)</f>
        <v>0</v>
      </c>
      <c r="F689" s="13" t="n">
        <f aca="false">IFERROR(E689*Eingaben!$B$15,0)</f>
        <v>0</v>
      </c>
      <c r="G689" s="13" t="n">
        <f aca="false">IFERROR(IF(Kalender!A323="",0,J688*(1-Eingaben!$B$20)),0)</f>
        <v>0</v>
      </c>
      <c r="H689" s="13" t="n">
        <f aca="false">MIN(G689,D689)</f>
        <v>0</v>
      </c>
      <c r="I689" s="13" t="n">
        <f aca="false">IFERROR(MIN(F689*Eingaben!$B$19,MAX(0,D689-H689)),0)</f>
        <v>0</v>
      </c>
      <c r="J689" s="13" t="n">
        <f aca="false">IFERROR(MIN(Eingaben!$B$18,MAX(0,F689-I689)),0)</f>
        <v>0</v>
      </c>
      <c r="K689" s="13" t="n">
        <f aca="false">H689+I689</f>
        <v>0</v>
      </c>
      <c r="L689" s="13" t="n">
        <f aca="false">MAX(0,D689-K689)</f>
        <v>0</v>
      </c>
      <c r="M689" s="13" t="n">
        <f aca="false">MAX(0,F689-I689-J689)</f>
        <v>0</v>
      </c>
      <c r="N689" s="13" t="n">
        <f aca="false">IF(Kalender!A323="",0,J688-H689)</f>
        <v>0</v>
      </c>
    </row>
    <row r="690" customFormat="false" ht="16.4" hidden="false" customHeight="false" outlineLevel="0" collapsed="false">
      <c r="A690" s="13" t="str">
        <f aca="false">""</f>
        <v/>
      </c>
      <c r="B690" s="13" t="n">
        <f aca="false">320</f>
        <v>320</v>
      </c>
      <c r="C690" s="13" t="n">
        <f aca="false">IF(Szenarien!$H$9="OK",(IFERROR(SUMIF(Nutzungsprofile!$B$6:$B$11,"Schulbetrieb",Nutzungsprofile!$G$6:$G$11)*Kalender!C324/SUM(Kalender!$C$5:$C$370),0)+IFERROR(SUMIF(Nutzungsprofile!$B$6:$B$11,"Halle",Nutzungsprofile!$G$6:$G$11)*Kalender!D324/SUM(Kalender!$D$5:$D$370),0)+IFERROR(SUMIF(Nutzungsprofile!$B$6:$B$11,"Individuell",Nutzungsprofile!$G$6:$G$11)*Kalender!E324/SUM(Kalender!$E$5:$E$370),0))*Szenarien!$E$9,0)</f>
        <v>0.9</v>
      </c>
      <c r="D690" s="13" t="n">
        <f aca="false">IF(Szenarien!$H$9="OK",(IFERROR(SUMIF(Nutzungsprofile!$B$17:$B$22,"Schulbetrieb",Nutzungsprofile!$G$17:$G$22)*Kalender!C324/SUM(Kalender!$C$5:$C$370),0)+IFERROR(SUMIF(Nutzungsprofile!$B$17:$B$22,"Halle",Nutzungsprofile!$G$17:$G$22)*Kalender!D324/SUM(Kalender!$D$5:$D$370),0)+IFERROR(SUMIF(Nutzungsprofile!$B$17:$B$22,"Individuell",Nutzungsprofile!$G$17:$G$22)*Kalender!E324/SUM(Kalender!$E$5:$E$370),0))*Szenarien!$D$9,0)</f>
        <v>4.05</v>
      </c>
      <c r="E690" s="13" t="n">
        <f aca="false">IFERROR(MIN(C690,Eingaben!$B$17)*Eingaben!$B$16,0)</f>
        <v>0.855</v>
      </c>
      <c r="F690" s="13" t="n">
        <f aca="false">IFERROR(E690*Eingaben!$B$15,0)</f>
        <v>0.7695</v>
      </c>
      <c r="G690" s="13" t="n">
        <f aca="false">IFERROR(IF(Kalender!A324="",0,J689*(1-Eingaben!$B$20)),0)</f>
        <v>0</v>
      </c>
      <c r="H690" s="13" t="n">
        <f aca="false">MIN(G690,D690)</f>
        <v>0</v>
      </c>
      <c r="I690" s="13" t="n">
        <f aca="false">IFERROR(MIN(F690*Eingaben!$B$19,MAX(0,D690-H690)),0)</f>
        <v>0.53865</v>
      </c>
      <c r="J690" s="13" t="n">
        <f aca="false">IFERROR(MIN(Eingaben!$B$18,MAX(0,F690-I690)),0)</f>
        <v>0.23085</v>
      </c>
      <c r="K690" s="13" t="n">
        <f aca="false">H690+I690</f>
        <v>0.53865</v>
      </c>
      <c r="L690" s="13" t="n">
        <f aca="false">MAX(0,D690-K690)</f>
        <v>3.51135</v>
      </c>
      <c r="M690" s="13" t="n">
        <f aca="false">MAX(0,F690-I690-J690)</f>
        <v>0</v>
      </c>
      <c r="N690" s="13" t="n">
        <f aca="false">IF(Kalender!A324="",0,J689-H690)</f>
        <v>0</v>
      </c>
    </row>
    <row r="691" customFormat="false" ht="16.4" hidden="false" customHeight="false" outlineLevel="0" collapsed="false">
      <c r="A691" s="13" t="str">
        <f aca="false">""</f>
        <v/>
      </c>
      <c r="B691" s="13" t="n">
        <f aca="false">321</f>
        <v>321</v>
      </c>
      <c r="C691" s="13" t="n">
        <f aca="false">IF(Szenarien!$H$9="OK",(IFERROR(SUMIF(Nutzungsprofile!$B$6:$B$11,"Schulbetrieb",Nutzungsprofile!$G$6:$G$11)*Kalender!C325/SUM(Kalender!$C$5:$C$370),0)+IFERROR(SUMIF(Nutzungsprofile!$B$6:$B$11,"Halle",Nutzungsprofile!$G$6:$G$11)*Kalender!D325/SUM(Kalender!$D$5:$D$370),0)+IFERROR(SUMIF(Nutzungsprofile!$B$6:$B$11,"Individuell",Nutzungsprofile!$G$6:$G$11)*Kalender!E325/SUM(Kalender!$E$5:$E$370),0))*Szenarien!$E$9,0)</f>
        <v>0.9</v>
      </c>
      <c r="D691" s="13" t="n">
        <f aca="false">IF(Szenarien!$H$9="OK",(IFERROR(SUMIF(Nutzungsprofile!$B$17:$B$22,"Schulbetrieb",Nutzungsprofile!$G$17:$G$22)*Kalender!C325/SUM(Kalender!$C$5:$C$370),0)+IFERROR(SUMIF(Nutzungsprofile!$B$17:$B$22,"Halle",Nutzungsprofile!$G$17:$G$22)*Kalender!D325/SUM(Kalender!$D$5:$D$370),0)+IFERROR(SUMIF(Nutzungsprofile!$B$17:$B$22,"Individuell",Nutzungsprofile!$G$17:$G$22)*Kalender!E325/SUM(Kalender!$E$5:$E$370),0))*Szenarien!$D$9,0)</f>
        <v>4.05</v>
      </c>
      <c r="E691" s="13" t="n">
        <f aca="false">IFERROR(MIN(C691,Eingaben!$B$17)*Eingaben!$B$16,0)</f>
        <v>0.855</v>
      </c>
      <c r="F691" s="13" t="n">
        <f aca="false">IFERROR(E691*Eingaben!$B$15,0)</f>
        <v>0.7695</v>
      </c>
      <c r="G691" s="13" t="n">
        <f aca="false">IFERROR(IF(Kalender!A325="",0,J690*(1-Eingaben!$B$20)),0)</f>
        <v>0.226233</v>
      </c>
      <c r="H691" s="13" t="n">
        <f aca="false">MIN(G691,D691)</f>
        <v>0.226233</v>
      </c>
      <c r="I691" s="13" t="n">
        <f aca="false">IFERROR(MIN(F691*Eingaben!$B$19,MAX(0,D691-H691)),0)</f>
        <v>0.53865</v>
      </c>
      <c r="J691" s="13" t="n">
        <f aca="false">IFERROR(MIN(Eingaben!$B$18,MAX(0,F691-I691)),0)</f>
        <v>0.23085</v>
      </c>
      <c r="K691" s="13" t="n">
        <f aca="false">H691+I691</f>
        <v>0.764883</v>
      </c>
      <c r="L691" s="13" t="n">
        <f aca="false">MAX(0,D691-K691)</f>
        <v>3.285117</v>
      </c>
      <c r="M691" s="13" t="n">
        <f aca="false">MAX(0,F691-I691-J691)</f>
        <v>0</v>
      </c>
      <c r="N691" s="13" t="n">
        <f aca="false">IF(Kalender!A325="",0,J690-H691)</f>
        <v>0.00461700000000001</v>
      </c>
    </row>
    <row r="692" customFormat="false" ht="16.4" hidden="false" customHeight="false" outlineLevel="0" collapsed="false">
      <c r="A692" s="13" t="str">
        <f aca="false">""</f>
        <v/>
      </c>
      <c r="B692" s="13" t="n">
        <f aca="false">322</f>
        <v>322</v>
      </c>
      <c r="C692" s="13" t="n">
        <f aca="false">IF(Szenarien!$H$9="OK",(IFERROR(SUMIF(Nutzungsprofile!$B$6:$B$11,"Schulbetrieb",Nutzungsprofile!$G$6:$G$11)*Kalender!C326/SUM(Kalender!$C$5:$C$370),0)+IFERROR(SUMIF(Nutzungsprofile!$B$6:$B$11,"Halle",Nutzungsprofile!$G$6:$G$11)*Kalender!D326/SUM(Kalender!$D$5:$D$370),0)+IFERROR(SUMIF(Nutzungsprofile!$B$6:$B$11,"Individuell",Nutzungsprofile!$G$6:$G$11)*Kalender!E326/SUM(Kalender!$E$5:$E$370),0))*Szenarien!$E$9,0)</f>
        <v>0.9</v>
      </c>
      <c r="D692" s="13" t="n">
        <f aca="false">IF(Szenarien!$H$9="OK",(IFERROR(SUMIF(Nutzungsprofile!$B$17:$B$22,"Schulbetrieb",Nutzungsprofile!$G$17:$G$22)*Kalender!C326/SUM(Kalender!$C$5:$C$370),0)+IFERROR(SUMIF(Nutzungsprofile!$B$17:$B$22,"Halle",Nutzungsprofile!$G$17:$G$22)*Kalender!D326/SUM(Kalender!$D$5:$D$370),0)+IFERROR(SUMIF(Nutzungsprofile!$B$17:$B$22,"Individuell",Nutzungsprofile!$G$17:$G$22)*Kalender!E326/SUM(Kalender!$E$5:$E$370),0))*Szenarien!$D$9,0)</f>
        <v>4.05</v>
      </c>
      <c r="E692" s="13" t="n">
        <f aca="false">IFERROR(MIN(C692,Eingaben!$B$17)*Eingaben!$B$16,0)</f>
        <v>0.855</v>
      </c>
      <c r="F692" s="13" t="n">
        <f aca="false">IFERROR(E692*Eingaben!$B$15,0)</f>
        <v>0.7695</v>
      </c>
      <c r="G692" s="13" t="n">
        <f aca="false">IFERROR(IF(Kalender!A326="",0,J691*(1-Eingaben!$B$20)),0)</f>
        <v>0.226233</v>
      </c>
      <c r="H692" s="13" t="n">
        <f aca="false">MIN(G692,D692)</f>
        <v>0.226233</v>
      </c>
      <c r="I692" s="13" t="n">
        <f aca="false">IFERROR(MIN(F692*Eingaben!$B$19,MAX(0,D692-H692)),0)</f>
        <v>0.53865</v>
      </c>
      <c r="J692" s="13" t="n">
        <f aca="false">IFERROR(MIN(Eingaben!$B$18,MAX(0,F692-I692)),0)</f>
        <v>0.23085</v>
      </c>
      <c r="K692" s="13" t="n">
        <f aca="false">H692+I692</f>
        <v>0.764883</v>
      </c>
      <c r="L692" s="13" t="n">
        <f aca="false">MAX(0,D692-K692)</f>
        <v>3.285117</v>
      </c>
      <c r="M692" s="13" t="n">
        <f aca="false">MAX(0,F692-I692-J692)</f>
        <v>0</v>
      </c>
      <c r="N692" s="13" t="n">
        <f aca="false">IF(Kalender!A326="",0,J691-H692)</f>
        <v>0.00461700000000001</v>
      </c>
    </row>
    <row r="693" customFormat="false" ht="16.4" hidden="false" customHeight="false" outlineLevel="0" collapsed="false">
      <c r="A693" s="13" t="str">
        <f aca="false">""</f>
        <v/>
      </c>
      <c r="B693" s="13" t="n">
        <f aca="false">323</f>
        <v>323</v>
      </c>
      <c r="C693" s="13" t="n">
        <f aca="false">IF(Szenarien!$H$9="OK",(IFERROR(SUMIF(Nutzungsprofile!$B$6:$B$11,"Schulbetrieb",Nutzungsprofile!$G$6:$G$11)*Kalender!C327/SUM(Kalender!$C$5:$C$370),0)+IFERROR(SUMIF(Nutzungsprofile!$B$6:$B$11,"Halle",Nutzungsprofile!$G$6:$G$11)*Kalender!D327/SUM(Kalender!$D$5:$D$370),0)+IFERROR(SUMIF(Nutzungsprofile!$B$6:$B$11,"Individuell",Nutzungsprofile!$G$6:$G$11)*Kalender!E327/SUM(Kalender!$E$5:$E$370),0))*Szenarien!$E$9,0)</f>
        <v>0.9</v>
      </c>
      <c r="D693" s="13" t="n">
        <f aca="false">IF(Szenarien!$H$9="OK",(IFERROR(SUMIF(Nutzungsprofile!$B$17:$B$22,"Schulbetrieb",Nutzungsprofile!$G$17:$G$22)*Kalender!C327/SUM(Kalender!$C$5:$C$370),0)+IFERROR(SUMIF(Nutzungsprofile!$B$17:$B$22,"Halle",Nutzungsprofile!$G$17:$G$22)*Kalender!D327/SUM(Kalender!$D$5:$D$370),0)+IFERROR(SUMIF(Nutzungsprofile!$B$17:$B$22,"Individuell",Nutzungsprofile!$G$17:$G$22)*Kalender!E327/SUM(Kalender!$E$5:$E$370),0))*Szenarien!$D$9,0)</f>
        <v>4.05</v>
      </c>
      <c r="E693" s="13" t="n">
        <f aca="false">IFERROR(MIN(C693,Eingaben!$B$17)*Eingaben!$B$16,0)</f>
        <v>0.855</v>
      </c>
      <c r="F693" s="13" t="n">
        <f aca="false">IFERROR(E693*Eingaben!$B$15,0)</f>
        <v>0.7695</v>
      </c>
      <c r="G693" s="13" t="n">
        <f aca="false">IFERROR(IF(Kalender!A327="",0,J692*(1-Eingaben!$B$20)),0)</f>
        <v>0.226233</v>
      </c>
      <c r="H693" s="13" t="n">
        <f aca="false">MIN(G693,D693)</f>
        <v>0.226233</v>
      </c>
      <c r="I693" s="13" t="n">
        <f aca="false">IFERROR(MIN(F693*Eingaben!$B$19,MAX(0,D693-H693)),0)</f>
        <v>0.53865</v>
      </c>
      <c r="J693" s="13" t="n">
        <f aca="false">IFERROR(MIN(Eingaben!$B$18,MAX(0,F693-I693)),0)</f>
        <v>0.23085</v>
      </c>
      <c r="K693" s="13" t="n">
        <f aca="false">H693+I693</f>
        <v>0.764883</v>
      </c>
      <c r="L693" s="13" t="n">
        <f aca="false">MAX(0,D693-K693)</f>
        <v>3.285117</v>
      </c>
      <c r="M693" s="13" t="n">
        <f aca="false">MAX(0,F693-I693-J693)</f>
        <v>0</v>
      </c>
      <c r="N693" s="13" t="n">
        <f aca="false">IF(Kalender!A327="",0,J692-H693)</f>
        <v>0.00461700000000001</v>
      </c>
    </row>
    <row r="694" customFormat="false" ht="16.4" hidden="false" customHeight="false" outlineLevel="0" collapsed="false">
      <c r="A694" s="13" t="str">
        <f aca="false">""</f>
        <v/>
      </c>
      <c r="B694" s="13" t="n">
        <f aca="false">324</f>
        <v>324</v>
      </c>
      <c r="C694" s="13" t="n">
        <f aca="false">IF(Szenarien!$H$9="OK",(IFERROR(SUMIF(Nutzungsprofile!$B$6:$B$11,"Schulbetrieb",Nutzungsprofile!$G$6:$G$11)*Kalender!C328/SUM(Kalender!$C$5:$C$370),0)+IFERROR(SUMIF(Nutzungsprofile!$B$6:$B$11,"Halle",Nutzungsprofile!$G$6:$G$11)*Kalender!D328/SUM(Kalender!$D$5:$D$370),0)+IFERROR(SUMIF(Nutzungsprofile!$B$6:$B$11,"Individuell",Nutzungsprofile!$G$6:$G$11)*Kalender!E328/SUM(Kalender!$E$5:$E$370),0))*Szenarien!$E$9,0)</f>
        <v>0.9</v>
      </c>
      <c r="D694" s="13" t="n">
        <f aca="false">IF(Szenarien!$H$9="OK",(IFERROR(SUMIF(Nutzungsprofile!$B$17:$B$22,"Schulbetrieb",Nutzungsprofile!$G$17:$G$22)*Kalender!C328/SUM(Kalender!$C$5:$C$370),0)+IFERROR(SUMIF(Nutzungsprofile!$B$17:$B$22,"Halle",Nutzungsprofile!$G$17:$G$22)*Kalender!D328/SUM(Kalender!$D$5:$D$370),0)+IFERROR(SUMIF(Nutzungsprofile!$B$17:$B$22,"Individuell",Nutzungsprofile!$G$17:$G$22)*Kalender!E328/SUM(Kalender!$E$5:$E$370),0))*Szenarien!$D$9,0)</f>
        <v>4.05</v>
      </c>
      <c r="E694" s="13" t="n">
        <f aca="false">IFERROR(MIN(C694,Eingaben!$B$17)*Eingaben!$B$16,0)</f>
        <v>0.855</v>
      </c>
      <c r="F694" s="13" t="n">
        <f aca="false">IFERROR(E694*Eingaben!$B$15,0)</f>
        <v>0.7695</v>
      </c>
      <c r="G694" s="13" t="n">
        <f aca="false">IFERROR(IF(Kalender!A328="",0,J693*(1-Eingaben!$B$20)),0)</f>
        <v>0.226233</v>
      </c>
      <c r="H694" s="13" t="n">
        <f aca="false">MIN(G694,D694)</f>
        <v>0.226233</v>
      </c>
      <c r="I694" s="13" t="n">
        <f aca="false">IFERROR(MIN(F694*Eingaben!$B$19,MAX(0,D694-H694)),0)</f>
        <v>0.53865</v>
      </c>
      <c r="J694" s="13" t="n">
        <f aca="false">IFERROR(MIN(Eingaben!$B$18,MAX(0,F694-I694)),0)</f>
        <v>0.23085</v>
      </c>
      <c r="K694" s="13" t="n">
        <f aca="false">H694+I694</f>
        <v>0.764883</v>
      </c>
      <c r="L694" s="13" t="n">
        <f aca="false">MAX(0,D694-K694)</f>
        <v>3.285117</v>
      </c>
      <c r="M694" s="13" t="n">
        <f aca="false">MAX(0,F694-I694-J694)</f>
        <v>0</v>
      </c>
      <c r="N694" s="13" t="n">
        <f aca="false">IF(Kalender!A328="",0,J693-H694)</f>
        <v>0.00461700000000001</v>
      </c>
    </row>
    <row r="695" customFormat="false" ht="16.4" hidden="false" customHeight="false" outlineLevel="0" collapsed="false">
      <c r="A695" s="13" t="str">
        <f aca="false">""</f>
        <v/>
      </c>
      <c r="B695" s="13" t="n">
        <f aca="false">325</f>
        <v>325</v>
      </c>
      <c r="C695" s="13" t="n">
        <f aca="false">IF(Szenarien!$H$9="OK",(IFERROR(SUMIF(Nutzungsprofile!$B$6:$B$11,"Schulbetrieb",Nutzungsprofile!$G$6:$G$11)*Kalender!C329/SUM(Kalender!$C$5:$C$370),0)+IFERROR(SUMIF(Nutzungsprofile!$B$6:$B$11,"Halle",Nutzungsprofile!$G$6:$G$11)*Kalender!D329/SUM(Kalender!$D$5:$D$370),0)+IFERROR(SUMIF(Nutzungsprofile!$B$6:$B$11,"Individuell",Nutzungsprofile!$G$6:$G$11)*Kalender!E329/SUM(Kalender!$E$5:$E$370),0))*Szenarien!$E$9,0)</f>
        <v>0</v>
      </c>
      <c r="D695" s="13" t="n">
        <f aca="false">IF(Szenarien!$H$9="OK",(IFERROR(SUMIF(Nutzungsprofile!$B$17:$B$22,"Schulbetrieb",Nutzungsprofile!$G$17:$G$22)*Kalender!C329/SUM(Kalender!$C$5:$C$370),0)+IFERROR(SUMIF(Nutzungsprofile!$B$17:$B$22,"Halle",Nutzungsprofile!$G$17:$G$22)*Kalender!D329/SUM(Kalender!$D$5:$D$370),0)+IFERROR(SUMIF(Nutzungsprofile!$B$17:$B$22,"Individuell",Nutzungsprofile!$G$17:$G$22)*Kalender!E329/SUM(Kalender!$E$5:$E$370),0))*Szenarien!$D$9,0)</f>
        <v>0</v>
      </c>
      <c r="E695" s="13" t="n">
        <f aca="false">IFERROR(MIN(C695,Eingaben!$B$17)*Eingaben!$B$16,0)</f>
        <v>0</v>
      </c>
      <c r="F695" s="13" t="n">
        <f aca="false">IFERROR(E695*Eingaben!$B$15,0)</f>
        <v>0</v>
      </c>
      <c r="G695" s="13" t="n">
        <f aca="false">IFERROR(IF(Kalender!A329="",0,J694*(1-Eingaben!$B$20)),0)</f>
        <v>0.226233</v>
      </c>
      <c r="H695" s="13" t="n">
        <f aca="false">MIN(G695,D695)</f>
        <v>0</v>
      </c>
      <c r="I695" s="13" t="n">
        <f aca="false">IFERROR(MIN(F695*Eingaben!$B$19,MAX(0,D695-H695)),0)</f>
        <v>0</v>
      </c>
      <c r="J695" s="13" t="n">
        <f aca="false">IFERROR(MIN(Eingaben!$B$18,MAX(0,F695-I695)),0)</f>
        <v>0</v>
      </c>
      <c r="K695" s="13" t="n">
        <f aca="false">H695+I695</f>
        <v>0</v>
      </c>
      <c r="L695" s="13" t="n">
        <f aca="false">MAX(0,D695-K695)</f>
        <v>0</v>
      </c>
      <c r="M695" s="13" t="n">
        <f aca="false">MAX(0,F695-I695-J695)</f>
        <v>0</v>
      </c>
      <c r="N695" s="13" t="n">
        <f aca="false">IF(Kalender!A329="",0,J694-H695)</f>
        <v>0.23085</v>
      </c>
    </row>
    <row r="696" customFormat="false" ht="16.4" hidden="false" customHeight="false" outlineLevel="0" collapsed="false">
      <c r="A696" s="13" t="str">
        <f aca="false">""</f>
        <v/>
      </c>
      <c r="B696" s="13" t="n">
        <f aca="false">326</f>
        <v>326</v>
      </c>
      <c r="C696" s="13" t="n">
        <f aca="false">IF(Szenarien!$H$9="OK",(IFERROR(SUMIF(Nutzungsprofile!$B$6:$B$11,"Schulbetrieb",Nutzungsprofile!$G$6:$G$11)*Kalender!C330/SUM(Kalender!$C$5:$C$370),0)+IFERROR(SUMIF(Nutzungsprofile!$B$6:$B$11,"Halle",Nutzungsprofile!$G$6:$G$11)*Kalender!D330/SUM(Kalender!$D$5:$D$370),0)+IFERROR(SUMIF(Nutzungsprofile!$B$6:$B$11,"Individuell",Nutzungsprofile!$G$6:$G$11)*Kalender!E330/SUM(Kalender!$E$5:$E$370),0))*Szenarien!$E$9,0)</f>
        <v>0</v>
      </c>
      <c r="D696" s="13" t="n">
        <f aca="false">IF(Szenarien!$H$9="OK",(IFERROR(SUMIF(Nutzungsprofile!$B$17:$B$22,"Schulbetrieb",Nutzungsprofile!$G$17:$G$22)*Kalender!C330/SUM(Kalender!$C$5:$C$370),0)+IFERROR(SUMIF(Nutzungsprofile!$B$17:$B$22,"Halle",Nutzungsprofile!$G$17:$G$22)*Kalender!D330/SUM(Kalender!$D$5:$D$370),0)+IFERROR(SUMIF(Nutzungsprofile!$B$17:$B$22,"Individuell",Nutzungsprofile!$G$17:$G$22)*Kalender!E330/SUM(Kalender!$E$5:$E$370),0))*Szenarien!$D$9,0)</f>
        <v>0</v>
      </c>
      <c r="E696" s="13" t="n">
        <f aca="false">IFERROR(MIN(C696,Eingaben!$B$17)*Eingaben!$B$16,0)</f>
        <v>0</v>
      </c>
      <c r="F696" s="13" t="n">
        <f aca="false">IFERROR(E696*Eingaben!$B$15,0)</f>
        <v>0</v>
      </c>
      <c r="G696" s="13" t="n">
        <f aca="false">IFERROR(IF(Kalender!A330="",0,J695*(1-Eingaben!$B$20)),0)</f>
        <v>0</v>
      </c>
      <c r="H696" s="13" t="n">
        <f aca="false">MIN(G696,D696)</f>
        <v>0</v>
      </c>
      <c r="I696" s="13" t="n">
        <f aca="false">IFERROR(MIN(F696*Eingaben!$B$19,MAX(0,D696-H696)),0)</f>
        <v>0</v>
      </c>
      <c r="J696" s="13" t="n">
        <f aca="false">IFERROR(MIN(Eingaben!$B$18,MAX(0,F696-I696)),0)</f>
        <v>0</v>
      </c>
      <c r="K696" s="13" t="n">
        <f aca="false">H696+I696</f>
        <v>0</v>
      </c>
      <c r="L696" s="13" t="n">
        <f aca="false">MAX(0,D696-K696)</f>
        <v>0</v>
      </c>
      <c r="M696" s="13" t="n">
        <f aca="false">MAX(0,F696-I696-J696)</f>
        <v>0</v>
      </c>
      <c r="N696" s="13" t="n">
        <f aca="false">IF(Kalender!A330="",0,J695-H696)</f>
        <v>0</v>
      </c>
    </row>
    <row r="697" customFormat="false" ht="16.4" hidden="false" customHeight="false" outlineLevel="0" collapsed="false">
      <c r="A697" s="13" t="str">
        <f aca="false">""</f>
        <v/>
      </c>
      <c r="B697" s="13" t="n">
        <f aca="false">327</f>
        <v>327</v>
      </c>
      <c r="C697" s="13" t="n">
        <f aca="false">IF(Szenarien!$H$9="OK",(IFERROR(SUMIF(Nutzungsprofile!$B$6:$B$11,"Schulbetrieb",Nutzungsprofile!$G$6:$G$11)*Kalender!C331/SUM(Kalender!$C$5:$C$370),0)+IFERROR(SUMIF(Nutzungsprofile!$B$6:$B$11,"Halle",Nutzungsprofile!$G$6:$G$11)*Kalender!D331/SUM(Kalender!$D$5:$D$370),0)+IFERROR(SUMIF(Nutzungsprofile!$B$6:$B$11,"Individuell",Nutzungsprofile!$G$6:$G$11)*Kalender!E331/SUM(Kalender!$E$5:$E$370),0))*Szenarien!$E$9,0)</f>
        <v>0.9</v>
      </c>
      <c r="D697" s="13" t="n">
        <f aca="false">IF(Szenarien!$H$9="OK",(IFERROR(SUMIF(Nutzungsprofile!$B$17:$B$22,"Schulbetrieb",Nutzungsprofile!$G$17:$G$22)*Kalender!C331/SUM(Kalender!$C$5:$C$370),0)+IFERROR(SUMIF(Nutzungsprofile!$B$17:$B$22,"Halle",Nutzungsprofile!$G$17:$G$22)*Kalender!D331/SUM(Kalender!$D$5:$D$370),0)+IFERROR(SUMIF(Nutzungsprofile!$B$17:$B$22,"Individuell",Nutzungsprofile!$G$17:$G$22)*Kalender!E331/SUM(Kalender!$E$5:$E$370),0))*Szenarien!$D$9,0)</f>
        <v>4.05</v>
      </c>
      <c r="E697" s="13" t="n">
        <f aca="false">IFERROR(MIN(C697,Eingaben!$B$17)*Eingaben!$B$16,0)</f>
        <v>0.855</v>
      </c>
      <c r="F697" s="13" t="n">
        <f aca="false">IFERROR(E697*Eingaben!$B$15,0)</f>
        <v>0.7695</v>
      </c>
      <c r="G697" s="13" t="n">
        <f aca="false">IFERROR(IF(Kalender!A331="",0,J696*(1-Eingaben!$B$20)),0)</f>
        <v>0</v>
      </c>
      <c r="H697" s="13" t="n">
        <f aca="false">MIN(G697,D697)</f>
        <v>0</v>
      </c>
      <c r="I697" s="13" t="n">
        <f aca="false">IFERROR(MIN(F697*Eingaben!$B$19,MAX(0,D697-H697)),0)</f>
        <v>0.53865</v>
      </c>
      <c r="J697" s="13" t="n">
        <f aca="false">IFERROR(MIN(Eingaben!$B$18,MAX(0,F697-I697)),0)</f>
        <v>0.23085</v>
      </c>
      <c r="K697" s="13" t="n">
        <f aca="false">H697+I697</f>
        <v>0.53865</v>
      </c>
      <c r="L697" s="13" t="n">
        <f aca="false">MAX(0,D697-K697)</f>
        <v>3.51135</v>
      </c>
      <c r="M697" s="13" t="n">
        <f aca="false">MAX(0,F697-I697-J697)</f>
        <v>0</v>
      </c>
      <c r="N697" s="13" t="n">
        <f aca="false">IF(Kalender!A331="",0,J696-H697)</f>
        <v>0</v>
      </c>
    </row>
    <row r="698" customFormat="false" ht="16.4" hidden="false" customHeight="false" outlineLevel="0" collapsed="false">
      <c r="A698" s="13" t="str">
        <f aca="false">""</f>
        <v/>
      </c>
      <c r="B698" s="13" t="n">
        <f aca="false">328</f>
        <v>328</v>
      </c>
      <c r="C698" s="13" t="n">
        <f aca="false">IF(Szenarien!$H$9="OK",(IFERROR(SUMIF(Nutzungsprofile!$B$6:$B$11,"Schulbetrieb",Nutzungsprofile!$G$6:$G$11)*Kalender!C332/SUM(Kalender!$C$5:$C$370),0)+IFERROR(SUMIF(Nutzungsprofile!$B$6:$B$11,"Halle",Nutzungsprofile!$G$6:$G$11)*Kalender!D332/SUM(Kalender!$D$5:$D$370),0)+IFERROR(SUMIF(Nutzungsprofile!$B$6:$B$11,"Individuell",Nutzungsprofile!$G$6:$G$11)*Kalender!E332/SUM(Kalender!$E$5:$E$370),0))*Szenarien!$E$9,0)</f>
        <v>0.9</v>
      </c>
      <c r="D698" s="13" t="n">
        <f aca="false">IF(Szenarien!$H$9="OK",(IFERROR(SUMIF(Nutzungsprofile!$B$17:$B$22,"Schulbetrieb",Nutzungsprofile!$G$17:$G$22)*Kalender!C332/SUM(Kalender!$C$5:$C$370),0)+IFERROR(SUMIF(Nutzungsprofile!$B$17:$B$22,"Halle",Nutzungsprofile!$G$17:$G$22)*Kalender!D332/SUM(Kalender!$D$5:$D$370),0)+IFERROR(SUMIF(Nutzungsprofile!$B$17:$B$22,"Individuell",Nutzungsprofile!$G$17:$G$22)*Kalender!E332/SUM(Kalender!$E$5:$E$370),0))*Szenarien!$D$9,0)</f>
        <v>4.05</v>
      </c>
      <c r="E698" s="13" t="n">
        <f aca="false">IFERROR(MIN(C698,Eingaben!$B$17)*Eingaben!$B$16,0)</f>
        <v>0.855</v>
      </c>
      <c r="F698" s="13" t="n">
        <f aca="false">IFERROR(E698*Eingaben!$B$15,0)</f>
        <v>0.7695</v>
      </c>
      <c r="G698" s="13" t="n">
        <f aca="false">IFERROR(IF(Kalender!A332="",0,J697*(1-Eingaben!$B$20)),0)</f>
        <v>0.226233</v>
      </c>
      <c r="H698" s="13" t="n">
        <f aca="false">MIN(G698,D698)</f>
        <v>0.226233</v>
      </c>
      <c r="I698" s="13" t="n">
        <f aca="false">IFERROR(MIN(F698*Eingaben!$B$19,MAX(0,D698-H698)),0)</f>
        <v>0.53865</v>
      </c>
      <c r="J698" s="13" t="n">
        <f aca="false">IFERROR(MIN(Eingaben!$B$18,MAX(0,F698-I698)),0)</f>
        <v>0.23085</v>
      </c>
      <c r="K698" s="13" t="n">
        <f aca="false">H698+I698</f>
        <v>0.764883</v>
      </c>
      <c r="L698" s="13" t="n">
        <f aca="false">MAX(0,D698-K698)</f>
        <v>3.285117</v>
      </c>
      <c r="M698" s="13" t="n">
        <f aca="false">MAX(0,F698-I698-J698)</f>
        <v>0</v>
      </c>
      <c r="N698" s="13" t="n">
        <f aca="false">IF(Kalender!A332="",0,J697-H698)</f>
        <v>0.00461700000000001</v>
      </c>
    </row>
    <row r="699" customFormat="false" ht="16.4" hidden="false" customHeight="false" outlineLevel="0" collapsed="false">
      <c r="A699" s="13" t="str">
        <f aca="false">""</f>
        <v/>
      </c>
      <c r="B699" s="13" t="n">
        <f aca="false">329</f>
        <v>329</v>
      </c>
      <c r="C699" s="13" t="n">
        <f aca="false">IF(Szenarien!$H$9="OK",(IFERROR(SUMIF(Nutzungsprofile!$B$6:$B$11,"Schulbetrieb",Nutzungsprofile!$G$6:$G$11)*Kalender!C333/SUM(Kalender!$C$5:$C$370),0)+IFERROR(SUMIF(Nutzungsprofile!$B$6:$B$11,"Halle",Nutzungsprofile!$G$6:$G$11)*Kalender!D333/SUM(Kalender!$D$5:$D$370),0)+IFERROR(SUMIF(Nutzungsprofile!$B$6:$B$11,"Individuell",Nutzungsprofile!$G$6:$G$11)*Kalender!E333/SUM(Kalender!$E$5:$E$370),0))*Szenarien!$E$9,0)</f>
        <v>0</v>
      </c>
      <c r="D699" s="13" t="n">
        <f aca="false">IF(Szenarien!$H$9="OK",(IFERROR(SUMIF(Nutzungsprofile!$B$17:$B$22,"Schulbetrieb",Nutzungsprofile!$G$17:$G$22)*Kalender!C333/SUM(Kalender!$C$5:$C$370),0)+IFERROR(SUMIF(Nutzungsprofile!$B$17:$B$22,"Halle",Nutzungsprofile!$G$17:$G$22)*Kalender!D333/SUM(Kalender!$D$5:$D$370),0)+IFERROR(SUMIF(Nutzungsprofile!$B$17:$B$22,"Individuell",Nutzungsprofile!$G$17:$G$22)*Kalender!E333/SUM(Kalender!$E$5:$E$370),0))*Szenarien!$D$9,0)</f>
        <v>0</v>
      </c>
      <c r="E699" s="13" t="n">
        <f aca="false">IFERROR(MIN(C699,Eingaben!$B$17)*Eingaben!$B$16,0)</f>
        <v>0</v>
      </c>
      <c r="F699" s="13" t="n">
        <f aca="false">IFERROR(E699*Eingaben!$B$15,0)</f>
        <v>0</v>
      </c>
      <c r="G699" s="13" t="n">
        <f aca="false">IFERROR(IF(Kalender!A333="",0,J698*(1-Eingaben!$B$20)),0)</f>
        <v>0.226233</v>
      </c>
      <c r="H699" s="13" t="n">
        <f aca="false">MIN(G699,D699)</f>
        <v>0</v>
      </c>
      <c r="I699" s="13" t="n">
        <f aca="false">IFERROR(MIN(F699*Eingaben!$B$19,MAX(0,D699-H699)),0)</f>
        <v>0</v>
      </c>
      <c r="J699" s="13" t="n">
        <f aca="false">IFERROR(MIN(Eingaben!$B$18,MAX(0,F699-I699)),0)</f>
        <v>0</v>
      </c>
      <c r="K699" s="13" t="n">
        <f aca="false">H699+I699</f>
        <v>0</v>
      </c>
      <c r="L699" s="13" t="n">
        <f aca="false">MAX(0,D699-K699)</f>
        <v>0</v>
      </c>
      <c r="M699" s="13" t="n">
        <f aca="false">MAX(0,F699-I699-J699)</f>
        <v>0</v>
      </c>
      <c r="N699" s="13" t="n">
        <f aca="false">IF(Kalender!A333="",0,J698-H699)</f>
        <v>0.23085</v>
      </c>
    </row>
    <row r="700" customFormat="false" ht="16.4" hidden="false" customHeight="false" outlineLevel="0" collapsed="false">
      <c r="A700" s="13" t="str">
        <f aca="false">""</f>
        <v/>
      </c>
      <c r="B700" s="13" t="n">
        <f aca="false">330</f>
        <v>330</v>
      </c>
      <c r="C700" s="13" t="n">
        <f aca="false">IF(Szenarien!$H$9="OK",(IFERROR(SUMIF(Nutzungsprofile!$B$6:$B$11,"Schulbetrieb",Nutzungsprofile!$G$6:$G$11)*Kalender!C334/SUM(Kalender!$C$5:$C$370),0)+IFERROR(SUMIF(Nutzungsprofile!$B$6:$B$11,"Halle",Nutzungsprofile!$G$6:$G$11)*Kalender!D334/SUM(Kalender!$D$5:$D$370),0)+IFERROR(SUMIF(Nutzungsprofile!$B$6:$B$11,"Individuell",Nutzungsprofile!$G$6:$G$11)*Kalender!E334/SUM(Kalender!$E$5:$E$370),0))*Szenarien!$E$9,0)</f>
        <v>0</v>
      </c>
      <c r="D700" s="13" t="n">
        <f aca="false">IF(Szenarien!$H$9="OK",(IFERROR(SUMIF(Nutzungsprofile!$B$17:$B$22,"Schulbetrieb",Nutzungsprofile!$G$17:$G$22)*Kalender!C334/SUM(Kalender!$C$5:$C$370),0)+IFERROR(SUMIF(Nutzungsprofile!$B$17:$B$22,"Halle",Nutzungsprofile!$G$17:$G$22)*Kalender!D334/SUM(Kalender!$D$5:$D$370),0)+IFERROR(SUMIF(Nutzungsprofile!$B$17:$B$22,"Individuell",Nutzungsprofile!$G$17:$G$22)*Kalender!E334/SUM(Kalender!$E$5:$E$370),0))*Szenarien!$D$9,0)</f>
        <v>0</v>
      </c>
      <c r="E700" s="13" t="n">
        <f aca="false">IFERROR(MIN(C700,Eingaben!$B$17)*Eingaben!$B$16,0)</f>
        <v>0</v>
      </c>
      <c r="F700" s="13" t="n">
        <f aca="false">IFERROR(E700*Eingaben!$B$15,0)</f>
        <v>0</v>
      </c>
      <c r="G700" s="13" t="n">
        <f aca="false">IFERROR(IF(Kalender!A334="",0,J699*(1-Eingaben!$B$20)),0)</f>
        <v>0</v>
      </c>
      <c r="H700" s="13" t="n">
        <f aca="false">MIN(G700,D700)</f>
        <v>0</v>
      </c>
      <c r="I700" s="13" t="n">
        <f aca="false">IFERROR(MIN(F700*Eingaben!$B$19,MAX(0,D700-H700)),0)</f>
        <v>0</v>
      </c>
      <c r="J700" s="13" t="n">
        <f aca="false">IFERROR(MIN(Eingaben!$B$18,MAX(0,F700-I700)),0)</f>
        <v>0</v>
      </c>
      <c r="K700" s="13" t="n">
        <f aca="false">H700+I700</f>
        <v>0</v>
      </c>
      <c r="L700" s="13" t="n">
        <f aca="false">MAX(0,D700-K700)</f>
        <v>0</v>
      </c>
      <c r="M700" s="13" t="n">
        <f aca="false">MAX(0,F700-I700-J700)</f>
        <v>0</v>
      </c>
      <c r="N700" s="13" t="n">
        <f aca="false">IF(Kalender!A334="",0,J699-H700)</f>
        <v>0</v>
      </c>
    </row>
    <row r="701" customFormat="false" ht="16.4" hidden="false" customHeight="false" outlineLevel="0" collapsed="false">
      <c r="A701" s="13" t="str">
        <f aca="false">""</f>
        <v/>
      </c>
      <c r="B701" s="13" t="n">
        <f aca="false">331</f>
        <v>331</v>
      </c>
      <c r="C701" s="13" t="n">
        <f aca="false">IF(Szenarien!$H$9="OK",(IFERROR(SUMIF(Nutzungsprofile!$B$6:$B$11,"Schulbetrieb",Nutzungsprofile!$G$6:$G$11)*Kalender!C335/SUM(Kalender!$C$5:$C$370),0)+IFERROR(SUMIF(Nutzungsprofile!$B$6:$B$11,"Halle",Nutzungsprofile!$G$6:$G$11)*Kalender!D335/SUM(Kalender!$D$5:$D$370),0)+IFERROR(SUMIF(Nutzungsprofile!$B$6:$B$11,"Individuell",Nutzungsprofile!$G$6:$G$11)*Kalender!E335/SUM(Kalender!$E$5:$E$370),0))*Szenarien!$E$9,0)</f>
        <v>0</v>
      </c>
      <c r="D701" s="13" t="n">
        <f aca="false">IF(Szenarien!$H$9="OK",(IFERROR(SUMIF(Nutzungsprofile!$B$17:$B$22,"Schulbetrieb",Nutzungsprofile!$G$17:$G$22)*Kalender!C335/SUM(Kalender!$C$5:$C$370),0)+IFERROR(SUMIF(Nutzungsprofile!$B$17:$B$22,"Halle",Nutzungsprofile!$G$17:$G$22)*Kalender!D335/SUM(Kalender!$D$5:$D$370),0)+IFERROR(SUMIF(Nutzungsprofile!$B$17:$B$22,"Individuell",Nutzungsprofile!$G$17:$G$22)*Kalender!E335/SUM(Kalender!$E$5:$E$370),0))*Szenarien!$D$9,0)</f>
        <v>0</v>
      </c>
      <c r="E701" s="13" t="n">
        <f aca="false">IFERROR(MIN(C701,Eingaben!$B$17)*Eingaben!$B$16,0)</f>
        <v>0</v>
      </c>
      <c r="F701" s="13" t="n">
        <f aca="false">IFERROR(E701*Eingaben!$B$15,0)</f>
        <v>0</v>
      </c>
      <c r="G701" s="13" t="n">
        <f aca="false">IFERROR(IF(Kalender!A335="",0,J700*(1-Eingaben!$B$20)),0)</f>
        <v>0</v>
      </c>
      <c r="H701" s="13" t="n">
        <f aca="false">MIN(G701,D701)</f>
        <v>0</v>
      </c>
      <c r="I701" s="13" t="n">
        <f aca="false">IFERROR(MIN(F701*Eingaben!$B$19,MAX(0,D701-H701)),0)</f>
        <v>0</v>
      </c>
      <c r="J701" s="13" t="n">
        <f aca="false">IFERROR(MIN(Eingaben!$B$18,MAX(0,F701-I701)),0)</f>
        <v>0</v>
      </c>
      <c r="K701" s="13" t="n">
        <f aca="false">H701+I701</f>
        <v>0</v>
      </c>
      <c r="L701" s="13" t="n">
        <f aca="false">MAX(0,D701-K701)</f>
        <v>0</v>
      </c>
      <c r="M701" s="13" t="n">
        <f aca="false">MAX(0,F701-I701-J701)</f>
        <v>0</v>
      </c>
      <c r="N701" s="13" t="n">
        <f aca="false">IF(Kalender!A335="",0,J700-H701)</f>
        <v>0</v>
      </c>
    </row>
    <row r="702" customFormat="false" ht="16.4" hidden="false" customHeight="false" outlineLevel="0" collapsed="false">
      <c r="A702" s="13" t="str">
        <f aca="false">""</f>
        <v/>
      </c>
      <c r="B702" s="13" t="n">
        <f aca="false">332</f>
        <v>332</v>
      </c>
      <c r="C702" s="13" t="n">
        <f aca="false">IF(Szenarien!$H$9="OK",(IFERROR(SUMIF(Nutzungsprofile!$B$6:$B$11,"Schulbetrieb",Nutzungsprofile!$G$6:$G$11)*Kalender!C336/SUM(Kalender!$C$5:$C$370),0)+IFERROR(SUMIF(Nutzungsprofile!$B$6:$B$11,"Halle",Nutzungsprofile!$G$6:$G$11)*Kalender!D336/SUM(Kalender!$D$5:$D$370),0)+IFERROR(SUMIF(Nutzungsprofile!$B$6:$B$11,"Individuell",Nutzungsprofile!$G$6:$G$11)*Kalender!E336/SUM(Kalender!$E$5:$E$370),0))*Szenarien!$E$9,0)</f>
        <v>0</v>
      </c>
      <c r="D702" s="13" t="n">
        <f aca="false">IF(Szenarien!$H$9="OK",(IFERROR(SUMIF(Nutzungsprofile!$B$17:$B$22,"Schulbetrieb",Nutzungsprofile!$G$17:$G$22)*Kalender!C336/SUM(Kalender!$C$5:$C$370),0)+IFERROR(SUMIF(Nutzungsprofile!$B$17:$B$22,"Halle",Nutzungsprofile!$G$17:$G$22)*Kalender!D336/SUM(Kalender!$D$5:$D$370),0)+IFERROR(SUMIF(Nutzungsprofile!$B$17:$B$22,"Individuell",Nutzungsprofile!$G$17:$G$22)*Kalender!E336/SUM(Kalender!$E$5:$E$370),0))*Szenarien!$D$9,0)</f>
        <v>0</v>
      </c>
      <c r="E702" s="13" t="n">
        <f aca="false">IFERROR(MIN(C702,Eingaben!$B$17)*Eingaben!$B$16,0)</f>
        <v>0</v>
      </c>
      <c r="F702" s="13" t="n">
        <f aca="false">IFERROR(E702*Eingaben!$B$15,0)</f>
        <v>0</v>
      </c>
      <c r="G702" s="13" t="n">
        <f aca="false">IFERROR(IF(Kalender!A336="",0,J701*(1-Eingaben!$B$20)),0)</f>
        <v>0</v>
      </c>
      <c r="H702" s="13" t="n">
        <f aca="false">MIN(G702,D702)</f>
        <v>0</v>
      </c>
      <c r="I702" s="13" t="n">
        <f aca="false">IFERROR(MIN(F702*Eingaben!$B$19,MAX(0,D702-H702)),0)</f>
        <v>0</v>
      </c>
      <c r="J702" s="13" t="n">
        <f aca="false">IFERROR(MIN(Eingaben!$B$18,MAX(0,F702-I702)),0)</f>
        <v>0</v>
      </c>
      <c r="K702" s="13" t="n">
        <f aca="false">H702+I702</f>
        <v>0</v>
      </c>
      <c r="L702" s="13" t="n">
        <f aca="false">MAX(0,D702-K702)</f>
        <v>0</v>
      </c>
      <c r="M702" s="13" t="n">
        <f aca="false">MAX(0,F702-I702-J702)</f>
        <v>0</v>
      </c>
      <c r="N702" s="13" t="n">
        <f aca="false">IF(Kalender!A336="",0,J701-H702)</f>
        <v>0</v>
      </c>
    </row>
    <row r="703" customFormat="false" ht="16.4" hidden="false" customHeight="false" outlineLevel="0" collapsed="false">
      <c r="A703" s="13" t="str">
        <f aca="false">""</f>
        <v/>
      </c>
      <c r="B703" s="13" t="n">
        <f aca="false">333</f>
        <v>333</v>
      </c>
      <c r="C703" s="13" t="n">
        <f aca="false">IF(Szenarien!$H$9="OK",(IFERROR(SUMIF(Nutzungsprofile!$B$6:$B$11,"Schulbetrieb",Nutzungsprofile!$G$6:$G$11)*Kalender!C337/SUM(Kalender!$C$5:$C$370),0)+IFERROR(SUMIF(Nutzungsprofile!$B$6:$B$11,"Halle",Nutzungsprofile!$G$6:$G$11)*Kalender!D337/SUM(Kalender!$D$5:$D$370),0)+IFERROR(SUMIF(Nutzungsprofile!$B$6:$B$11,"Individuell",Nutzungsprofile!$G$6:$G$11)*Kalender!E337/SUM(Kalender!$E$5:$E$370),0))*Szenarien!$E$9,0)</f>
        <v>0</v>
      </c>
      <c r="D703" s="13" t="n">
        <f aca="false">IF(Szenarien!$H$9="OK",(IFERROR(SUMIF(Nutzungsprofile!$B$17:$B$22,"Schulbetrieb",Nutzungsprofile!$G$17:$G$22)*Kalender!C337/SUM(Kalender!$C$5:$C$370),0)+IFERROR(SUMIF(Nutzungsprofile!$B$17:$B$22,"Halle",Nutzungsprofile!$G$17:$G$22)*Kalender!D337/SUM(Kalender!$D$5:$D$370),0)+IFERROR(SUMIF(Nutzungsprofile!$B$17:$B$22,"Individuell",Nutzungsprofile!$G$17:$G$22)*Kalender!E337/SUM(Kalender!$E$5:$E$370),0))*Szenarien!$D$9,0)</f>
        <v>0</v>
      </c>
      <c r="E703" s="13" t="n">
        <f aca="false">IFERROR(MIN(C703,Eingaben!$B$17)*Eingaben!$B$16,0)</f>
        <v>0</v>
      </c>
      <c r="F703" s="13" t="n">
        <f aca="false">IFERROR(E703*Eingaben!$B$15,0)</f>
        <v>0</v>
      </c>
      <c r="G703" s="13" t="n">
        <f aca="false">IFERROR(IF(Kalender!A337="",0,J702*(1-Eingaben!$B$20)),0)</f>
        <v>0</v>
      </c>
      <c r="H703" s="13" t="n">
        <f aca="false">MIN(G703,D703)</f>
        <v>0</v>
      </c>
      <c r="I703" s="13" t="n">
        <f aca="false">IFERROR(MIN(F703*Eingaben!$B$19,MAX(0,D703-H703)),0)</f>
        <v>0</v>
      </c>
      <c r="J703" s="13" t="n">
        <f aca="false">IFERROR(MIN(Eingaben!$B$18,MAX(0,F703-I703)),0)</f>
        <v>0</v>
      </c>
      <c r="K703" s="13" t="n">
        <f aca="false">H703+I703</f>
        <v>0</v>
      </c>
      <c r="L703" s="13" t="n">
        <f aca="false">MAX(0,D703-K703)</f>
        <v>0</v>
      </c>
      <c r="M703" s="13" t="n">
        <f aca="false">MAX(0,F703-I703-J703)</f>
        <v>0</v>
      </c>
      <c r="N703" s="13" t="n">
        <f aca="false">IF(Kalender!A337="",0,J702-H703)</f>
        <v>0</v>
      </c>
    </row>
    <row r="704" customFormat="false" ht="16.4" hidden="false" customHeight="false" outlineLevel="0" collapsed="false">
      <c r="A704" s="13" t="str">
        <f aca="false">""</f>
        <v/>
      </c>
      <c r="B704" s="13" t="n">
        <f aca="false">334</f>
        <v>334</v>
      </c>
      <c r="C704" s="13" t="n">
        <f aca="false">IF(Szenarien!$H$9="OK",(IFERROR(SUMIF(Nutzungsprofile!$B$6:$B$11,"Schulbetrieb",Nutzungsprofile!$G$6:$G$11)*Kalender!C338/SUM(Kalender!$C$5:$C$370),0)+IFERROR(SUMIF(Nutzungsprofile!$B$6:$B$11,"Halle",Nutzungsprofile!$G$6:$G$11)*Kalender!D338/SUM(Kalender!$D$5:$D$370),0)+IFERROR(SUMIF(Nutzungsprofile!$B$6:$B$11,"Individuell",Nutzungsprofile!$G$6:$G$11)*Kalender!E338/SUM(Kalender!$E$5:$E$370),0))*Szenarien!$E$9,0)</f>
        <v>0</v>
      </c>
      <c r="D704" s="13" t="n">
        <f aca="false">IF(Szenarien!$H$9="OK",(IFERROR(SUMIF(Nutzungsprofile!$B$17:$B$22,"Schulbetrieb",Nutzungsprofile!$G$17:$G$22)*Kalender!C338/SUM(Kalender!$C$5:$C$370),0)+IFERROR(SUMIF(Nutzungsprofile!$B$17:$B$22,"Halle",Nutzungsprofile!$G$17:$G$22)*Kalender!D338/SUM(Kalender!$D$5:$D$370),0)+IFERROR(SUMIF(Nutzungsprofile!$B$17:$B$22,"Individuell",Nutzungsprofile!$G$17:$G$22)*Kalender!E338/SUM(Kalender!$E$5:$E$370),0))*Szenarien!$D$9,0)</f>
        <v>0</v>
      </c>
      <c r="E704" s="13" t="n">
        <f aca="false">IFERROR(MIN(C704,Eingaben!$B$17)*Eingaben!$B$16,0)</f>
        <v>0</v>
      </c>
      <c r="F704" s="13" t="n">
        <f aca="false">IFERROR(E704*Eingaben!$B$15,0)</f>
        <v>0</v>
      </c>
      <c r="G704" s="13" t="n">
        <f aca="false">IFERROR(IF(Kalender!A338="",0,J703*(1-Eingaben!$B$20)),0)</f>
        <v>0</v>
      </c>
      <c r="H704" s="13" t="n">
        <f aca="false">MIN(G704,D704)</f>
        <v>0</v>
      </c>
      <c r="I704" s="13" t="n">
        <f aca="false">IFERROR(MIN(F704*Eingaben!$B$19,MAX(0,D704-H704)),0)</f>
        <v>0</v>
      </c>
      <c r="J704" s="13" t="n">
        <f aca="false">IFERROR(MIN(Eingaben!$B$18,MAX(0,F704-I704)),0)</f>
        <v>0</v>
      </c>
      <c r="K704" s="13" t="n">
        <f aca="false">H704+I704</f>
        <v>0</v>
      </c>
      <c r="L704" s="13" t="n">
        <f aca="false">MAX(0,D704-K704)</f>
        <v>0</v>
      </c>
      <c r="M704" s="13" t="n">
        <f aca="false">MAX(0,F704-I704-J704)</f>
        <v>0</v>
      </c>
      <c r="N704" s="13" t="n">
        <f aca="false">IF(Kalender!A338="",0,J703-H704)</f>
        <v>0</v>
      </c>
    </row>
    <row r="705" customFormat="false" ht="16.4" hidden="false" customHeight="false" outlineLevel="0" collapsed="false">
      <c r="A705" s="13" t="str">
        <f aca="false">""</f>
        <v/>
      </c>
      <c r="B705" s="13" t="n">
        <f aca="false">335</f>
        <v>335</v>
      </c>
      <c r="C705" s="13" t="n">
        <f aca="false">IF(Szenarien!$H$9="OK",(IFERROR(SUMIF(Nutzungsprofile!$B$6:$B$11,"Schulbetrieb",Nutzungsprofile!$G$6:$G$11)*Kalender!C339/SUM(Kalender!$C$5:$C$370),0)+IFERROR(SUMIF(Nutzungsprofile!$B$6:$B$11,"Halle",Nutzungsprofile!$G$6:$G$11)*Kalender!D339/SUM(Kalender!$D$5:$D$370),0)+IFERROR(SUMIF(Nutzungsprofile!$B$6:$B$11,"Individuell",Nutzungsprofile!$G$6:$G$11)*Kalender!E339/SUM(Kalender!$E$5:$E$370),0))*Szenarien!$E$9,0)</f>
        <v>0</v>
      </c>
      <c r="D705" s="13" t="n">
        <f aca="false">IF(Szenarien!$H$9="OK",(IFERROR(SUMIF(Nutzungsprofile!$B$17:$B$22,"Schulbetrieb",Nutzungsprofile!$G$17:$G$22)*Kalender!C339/SUM(Kalender!$C$5:$C$370),0)+IFERROR(SUMIF(Nutzungsprofile!$B$17:$B$22,"Halle",Nutzungsprofile!$G$17:$G$22)*Kalender!D339/SUM(Kalender!$D$5:$D$370),0)+IFERROR(SUMIF(Nutzungsprofile!$B$17:$B$22,"Individuell",Nutzungsprofile!$G$17:$G$22)*Kalender!E339/SUM(Kalender!$E$5:$E$370),0))*Szenarien!$D$9,0)</f>
        <v>0</v>
      </c>
      <c r="E705" s="13" t="n">
        <f aca="false">IFERROR(MIN(C705,Eingaben!$B$17)*Eingaben!$B$16,0)</f>
        <v>0</v>
      </c>
      <c r="F705" s="13" t="n">
        <f aca="false">IFERROR(E705*Eingaben!$B$15,0)</f>
        <v>0</v>
      </c>
      <c r="G705" s="13" t="n">
        <f aca="false">IFERROR(IF(Kalender!A339="",0,J704*(1-Eingaben!$B$20)),0)</f>
        <v>0</v>
      </c>
      <c r="H705" s="13" t="n">
        <f aca="false">MIN(G705,D705)</f>
        <v>0</v>
      </c>
      <c r="I705" s="13" t="n">
        <f aca="false">IFERROR(MIN(F705*Eingaben!$B$19,MAX(0,D705-H705)),0)</f>
        <v>0</v>
      </c>
      <c r="J705" s="13" t="n">
        <f aca="false">IFERROR(MIN(Eingaben!$B$18,MAX(0,F705-I705)),0)</f>
        <v>0</v>
      </c>
      <c r="K705" s="13" t="n">
        <f aca="false">H705+I705</f>
        <v>0</v>
      </c>
      <c r="L705" s="13" t="n">
        <f aca="false">MAX(0,D705-K705)</f>
        <v>0</v>
      </c>
      <c r="M705" s="13" t="n">
        <f aca="false">MAX(0,F705-I705-J705)</f>
        <v>0</v>
      </c>
      <c r="N705" s="13" t="n">
        <f aca="false">IF(Kalender!A339="",0,J704-H705)</f>
        <v>0</v>
      </c>
    </row>
    <row r="706" customFormat="false" ht="16.4" hidden="false" customHeight="false" outlineLevel="0" collapsed="false">
      <c r="A706" s="13" t="str">
        <f aca="false">""</f>
        <v/>
      </c>
      <c r="B706" s="13" t="n">
        <f aca="false">336</f>
        <v>336</v>
      </c>
      <c r="C706" s="13" t="n">
        <f aca="false">IF(Szenarien!$H$9="OK",(IFERROR(SUMIF(Nutzungsprofile!$B$6:$B$11,"Schulbetrieb",Nutzungsprofile!$G$6:$G$11)*Kalender!C340/SUM(Kalender!$C$5:$C$370),0)+IFERROR(SUMIF(Nutzungsprofile!$B$6:$B$11,"Halle",Nutzungsprofile!$G$6:$G$11)*Kalender!D340/SUM(Kalender!$D$5:$D$370),0)+IFERROR(SUMIF(Nutzungsprofile!$B$6:$B$11,"Individuell",Nutzungsprofile!$G$6:$G$11)*Kalender!E340/SUM(Kalender!$E$5:$E$370),0))*Szenarien!$E$9,0)</f>
        <v>0</v>
      </c>
      <c r="D706" s="13" t="n">
        <f aca="false">IF(Szenarien!$H$9="OK",(IFERROR(SUMIF(Nutzungsprofile!$B$17:$B$22,"Schulbetrieb",Nutzungsprofile!$G$17:$G$22)*Kalender!C340/SUM(Kalender!$C$5:$C$370),0)+IFERROR(SUMIF(Nutzungsprofile!$B$17:$B$22,"Halle",Nutzungsprofile!$G$17:$G$22)*Kalender!D340/SUM(Kalender!$D$5:$D$370),0)+IFERROR(SUMIF(Nutzungsprofile!$B$17:$B$22,"Individuell",Nutzungsprofile!$G$17:$G$22)*Kalender!E340/SUM(Kalender!$E$5:$E$370),0))*Szenarien!$D$9,0)</f>
        <v>0</v>
      </c>
      <c r="E706" s="13" t="n">
        <f aca="false">IFERROR(MIN(C706,Eingaben!$B$17)*Eingaben!$B$16,0)</f>
        <v>0</v>
      </c>
      <c r="F706" s="13" t="n">
        <f aca="false">IFERROR(E706*Eingaben!$B$15,0)</f>
        <v>0</v>
      </c>
      <c r="G706" s="13" t="n">
        <f aca="false">IFERROR(IF(Kalender!A340="",0,J705*(1-Eingaben!$B$20)),0)</f>
        <v>0</v>
      </c>
      <c r="H706" s="13" t="n">
        <f aca="false">MIN(G706,D706)</f>
        <v>0</v>
      </c>
      <c r="I706" s="13" t="n">
        <f aca="false">IFERROR(MIN(F706*Eingaben!$B$19,MAX(0,D706-H706)),0)</f>
        <v>0</v>
      </c>
      <c r="J706" s="13" t="n">
        <f aca="false">IFERROR(MIN(Eingaben!$B$18,MAX(0,F706-I706)),0)</f>
        <v>0</v>
      </c>
      <c r="K706" s="13" t="n">
        <f aca="false">H706+I706</f>
        <v>0</v>
      </c>
      <c r="L706" s="13" t="n">
        <f aca="false">MAX(0,D706-K706)</f>
        <v>0</v>
      </c>
      <c r="M706" s="13" t="n">
        <f aca="false">MAX(0,F706-I706-J706)</f>
        <v>0</v>
      </c>
      <c r="N706" s="13" t="n">
        <f aca="false">IF(Kalender!A340="",0,J705-H706)</f>
        <v>0</v>
      </c>
    </row>
    <row r="707" customFormat="false" ht="16.4" hidden="false" customHeight="false" outlineLevel="0" collapsed="false">
      <c r="A707" s="13" t="str">
        <f aca="false">""</f>
        <v/>
      </c>
      <c r="B707" s="13" t="n">
        <f aca="false">337</f>
        <v>337</v>
      </c>
      <c r="C707" s="13" t="n">
        <f aca="false">IF(Szenarien!$H$9="OK",(IFERROR(SUMIF(Nutzungsprofile!$B$6:$B$11,"Schulbetrieb",Nutzungsprofile!$G$6:$G$11)*Kalender!C341/SUM(Kalender!$C$5:$C$370),0)+IFERROR(SUMIF(Nutzungsprofile!$B$6:$B$11,"Halle",Nutzungsprofile!$G$6:$G$11)*Kalender!D341/SUM(Kalender!$D$5:$D$370),0)+IFERROR(SUMIF(Nutzungsprofile!$B$6:$B$11,"Individuell",Nutzungsprofile!$G$6:$G$11)*Kalender!E341/SUM(Kalender!$E$5:$E$370),0))*Szenarien!$E$9,0)</f>
        <v>0</v>
      </c>
      <c r="D707" s="13" t="n">
        <f aca="false">IF(Szenarien!$H$9="OK",(IFERROR(SUMIF(Nutzungsprofile!$B$17:$B$22,"Schulbetrieb",Nutzungsprofile!$G$17:$G$22)*Kalender!C341/SUM(Kalender!$C$5:$C$370),0)+IFERROR(SUMIF(Nutzungsprofile!$B$17:$B$22,"Halle",Nutzungsprofile!$G$17:$G$22)*Kalender!D341/SUM(Kalender!$D$5:$D$370),0)+IFERROR(SUMIF(Nutzungsprofile!$B$17:$B$22,"Individuell",Nutzungsprofile!$G$17:$G$22)*Kalender!E341/SUM(Kalender!$E$5:$E$370),0))*Szenarien!$D$9,0)</f>
        <v>0</v>
      </c>
      <c r="E707" s="13" t="n">
        <f aca="false">IFERROR(MIN(C707,Eingaben!$B$17)*Eingaben!$B$16,0)</f>
        <v>0</v>
      </c>
      <c r="F707" s="13" t="n">
        <f aca="false">IFERROR(E707*Eingaben!$B$15,0)</f>
        <v>0</v>
      </c>
      <c r="G707" s="13" t="n">
        <f aca="false">IFERROR(IF(Kalender!A341="",0,J706*(1-Eingaben!$B$20)),0)</f>
        <v>0</v>
      </c>
      <c r="H707" s="13" t="n">
        <f aca="false">MIN(G707,D707)</f>
        <v>0</v>
      </c>
      <c r="I707" s="13" t="n">
        <f aca="false">IFERROR(MIN(F707*Eingaben!$B$19,MAX(0,D707-H707)),0)</f>
        <v>0</v>
      </c>
      <c r="J707" s="13" t="n">
        <f aca="false">IFERROR(MIN(Eingaben!$B$18,MAX(0,F707-I707)),0)</f>
        <v>0</v>
      </c>
      <c r="K707" s="13" t="n">
        <f aca="false">H707+I707</f>
        <v>0</v>
      </c>
      <c r="L707" s="13" t="n">
        <f aca="false">MAX(0,D707-K707)</f>
        <v>0</v>
      </c>
      <c r="M707" s="13" t="n">
        <f aca="false">MAX(0,F707-I707-J707)</f>
        <v>0</v>
      </c>
      <c r="N707" s="13" t="n">
        <f aca="false">IF(Kalender!A341="",0,J706-H707)</f>
        <v>0</v>
      </c>
    </row>
    <row r="708" customFormat="false" ht="16.4" hidden="false" customHeight="false" outlineLevel="0" collapsed="false">
      <c r="A708" s="13" t="str">
        <f aca="false">""</f>
        <v/>
      </c>
      <c r="B708" s="13" t="n">
        <f aca="false">338</f>
        <v>338</v>
      </c>
      <c r="C708" s="13" t="n">
        <f aca="false">IF(Szenarien!$H$9="OK",(IFERROR(SUMIF(Nutzungsprofile!$B$6:$B$11,"Schulbetrieb",Nutzungsprofile!$G$6:$G$11)*Kalender!C342/SUM(Kalender!$C$5:$C$370),0)+IFERROR(SUMIF(Nutzungsprofile!$B$6:$B$11,"Halle",Nutzungsprofile!$G$6:$G$11)*Kalender!D342/SUM(Kalender!$D$5:$D$370),0)+IFERROR(SUMIF(Nutzungsprofile!$B$6:$B$11,"Individuell",Nutzungsprofile!$G$6:$G$11)*Kalender!E342/SUM(Kalender!$E$5:$E$370),0))*Szenarien!$E$9,0)</f>
        <v>0</v>
      </c>
      <c r="D708" s="13" t="n">
        <f aca="false">IF(Szenarien!$H$9="OK",(IFERROR(SUMIF(Nutzungsprofile!$B$17:$B$22,"Schulbetrieb",Nutzungsprofile!$G$17:$G$22)*Kalender!C342/SUM(Kalender!$C$5:$C$370),0)+IFERROR(SUMIF(Nutzungsprofile!$B$17:$B$22,"Halle",Nutzungsprofile!$G$17:$G$22)*Kalender!D342/SUM(Kalender!$D$5:$D$370),0)+IFERROR(SUMIF(Nutzungsprofile!$B$17:$B$22,"Individuell",Nutzungsprofile!$G$17:$G$22)*Kalender!E342/SUM(Kalender!$E$5:$E$370),0))*Szenarien!$D$9,0)</f>
        <v>0</v>
      </c>
      <c r="E708" s="13" t="n">
        <f aca="false">IFERROR(MIN(C708,Eingaben!$B$17)*Eingaben!$B$16,0)</f>
        <v>0</v>
      </c>
      <c r="F708" s="13" t="n">
        <f aca="false">IFERROR(E708*Eingaben!$B$15,0)</f>
        <v>0</v>
      </c>
      <c r="G708" s="13" t="n">
        <f aca="false">IFERROR(IF(Kalender!A342="",0,J707*(1-Eingaben!$B$20)),0)</f>
        <v>0</v>
      </c>
      <c r="H708" s="13" t="n">
        <f aca="false">MIN(G708,D708)</f>
        <v>0</v>
      </c>
      <c r="I708" s="13" t="n">
        <f aca="false">IFERROR(MIN(F708*Eingaben!$B$19,MAX(0,D708-H708)),0)</f>
        <v>0</v>
      </c>
      <c r="J708" s="13" t="n">
        <f aca="false">IFERROR(MIN(Eingaben!$B$18,MAX(0,F708-I708)),0)</f>
        <v>0</v>
      </c>
      <c r="K708" s="13" t="n">
        <f aca="false">H708+I708</f>
        <v>0</v>
      </c>
      <c r="L708" s="13" t="n">
        <f aca="false">MAX(0,D708-K708)</f>
        <v>0</v>
      </c>
      <c r="M708" s="13" t="n">
        <f aca="false">MAX(0,F708-I708-J708)</f>
        <v>0</v>
      </c>
      <c r="N708" s="13" t="n">
        <f aca="false">IF(Kalender!A342="",0,J707-H708)</f>
        <v>0</v>
      </c>
    </row>
    <row r="709" customFormat="false" ht="16.4" hidden="false" customHeight="false" outlineLevel="0" collapsed="false">
      <c r="A709" s="13" t="str">
        <f aca="false">""</f>
        <v/>
      </c>
      <c r="B709" s="13" t="n">
        <f aca="false">339</f>
        <v>339</v>
      </c>
      <c r="C709" s="13" t="n">
        <f aca="false">IF(Szenarien!$H$9="OK",(IFERROR(SUMIF(Nutzungsprofile!$B$6:$B$11,"Schulbetrieb",Nutzungsprofile!$G$6:$G$11)*Kalender!C343/SUM(Kalender!$C$5:$C$370),0)+IFERROR(SUMIF(Nutzungsprofile!$B$6:$B$11,"Halle",Nutzungsprofile!$G$6:$G$11)*Kalender!D343/SUM(Kalender!$D$5:$D$370),0)+IFERROR(SUMIF(Nutzungsprofile!$B$6:$B$11,"Individuell",Nutzungsprofile!$G$6:$G$11)*Kalender!E343/SUM(Kalender!$E$5:$E$370),0))*Szenarien!$E$9,0)</f>
        <v>0</v>
      </c>
      <c r="D709" s="13" t="n">
        <f aca="false">IF(Szenarien!$H$9="OK",(IFERROR(SUMIF(Nutzungsprofile!$B$17:$B$22,"Schulbetrieb",Nutzungsprofile!$G$17:$G$22)*Kalender!C343/SUM(Kalender!$C$5:$C$370),0)+IFERROR(SUMIF(Nutzungsprofile!$B$17:$B$22,"Halle",Nutzungsprofile!$G$17:$G$22)*Kalender!D343/SUM(Kalender!$D$5:$D$370),0)+IFERROR(SUMIF(Nutzungsprofile!$B$17:$B$22,"Individuell",Nutzungsprofile!$G$17:$G$22)*Kalender!E343/SUM(Kalender!$E$5:$E$370),0))*Szenarien!$D$9,0)</f>
        <v>0</v>
      </c>
      <c r="E709" s="13" t="n">
        <f aca="false">IFERROR(MIN(C709,Eingaben!$B$17)*Eingaben!$B$16,0)</f>
        <v>0</v>
      </c>
      <c r="F709" s="13" t="n">
        <f aca="false">IFERROR(E709*Eingaben!$B$15,0)</f>
        <v>0</v>
      </c>
      <c r="G709" s="13" t="n">
        <f aca="false">IFERROR(IF(Kalender!A343="",0,J708*(1-Eingaben!$B$20)),0)</f>
        <v>0</v>
      </c>
      <c r="H709" s="13" t="n">
        <f aca="false">MIN(G709,D709)</f>
        <v>0</v>
      </c>
      <c r="I709" s="13" t="n">
        <f aca="false">IFERROR(MIN(F709*Eingaben!$B$19,MAX(0,D709-H709)),0)</f>
        <v>0</v>
      </c>
      <c r="J709" s="13" t="n">
        <f aca="false">IFERROR(MIN(Eingaben!$B$18,MAX(0,F709-I709)),0)</f>
        <v>0</v>
      </c>
      <c r="K709" s="13" t="n">
        <f aca="false">H709+I709</f>
        <v>0</v>
      </c>
      <c r="L709" s="13" t="n">
        <f aca="false">MAX(0,D709-K709)</f>
        <v>0</v>
      </c>
      <c r="M709" s="13" t="n">
        <f aca="false">MAX(0,F709-I709-J709)</f>
        <v>0</v>
      </c>
      <c r="N709" s="13" t="n">
        <f aca="false">IF(Kalender!A343="",0,J708-H709)</f>
        <v>0</v>
      </c>
    </row>
    <row r="710" customFormat="false" ht="16.4" hidden="false" customHeight="false" outlineLevel="0" collapsed="false">
      <c r="A710" s="13" t="str">
        <f aca="false">""</f>
        <v/>
      </c>
      <c r="B710" s="13" t="n">
        <f aca="false">340</f>
        <v>340</v>
      </c>
      <c r="C710" s="13" t="n">
        <f aca="false">IF(Szenarien!$H$9="OK",(IFERROR(SUMIF(Nutzungsprofile!$B$6:$B$11,"Schulbetrieb",Nutzungsprofile!$G$6:$G$11)*Kalender!C344/SUM(Kalender!$C$5:$C$370),0)+IFERROR(SUMIF(Nutzungsprofile!$B$6:$B$11,"Halle",Nutzungsprofile!$G$6:$G$11)*Kalender!D344/SUM(Kalender!$D$5:$D$370),0)+IFERROR(SUMIF(Nutzungsprofile!$B$6:$B$11,"Individuell",Nutzungsprofile!$G$6:$G$11)*Kalender!E344/SUM(Kalender!$E$5:$E$370),0))*Szenarien!$E$9,0)</f>
        <v>0</v>
      </c>
      <c r="D710" s="13" t="n">
        <f aca="false">IF(Szenarien!$H$9="OK",(IFERROR(SUMIF(Nutzungsprofile!$B$17:$B$22,"Schulbetrieb",Nutzungsprofile!$G$17:$G$22)*Kalender!C344/SUM(Kalender!$C$5:$C$370),0)+IFERROR(SUMIF(Nutzungsprofile!$B$17:$B$22,"Halle",Nutzungsprofile!$G$17:$G$22)*Kalender!D344/SUM(Kalender!$D$5:$D$370),0)+IFERROR(SUMIF(Nutzungsprofile!$B$17:$B$22,"Individuell",Nutzungsprofile!$G$17:$G$22)*Kalender!E344/SUM(Kalender!$E$5:$E$370),0))*Szenarien!$D$9,0)</f>
        <v>0</v>
      </c>
      <c r="E710" s="13" t="n">
        <f aca="false">IFERROR(MIN(C710,Eingaben!$B$17)*Eingaben!$B$16,0)</f>
        <v>0</v>
      </c>
      <c r="F710" s="13" t="n">
        <f aca="false">IFERROR(E710*Eingaben!$B$15,0)</f>
        <v>0</v>
      </c>
      <c r="G710" s="13" t="n">
        <f aca="false">IFERROR(IF(Kalender!A344="",0,J709*(1-Eingaben!$B$20)),0)</f>
        <v>0</v>
      </c>
      <c r="H710" s="13" t="n">
        <f aca="false">MIN(G710,D710)</f>
        <v>0</v>
      </c>
      <c r="I710" s="13" t="n">
        <f aca="false">IFERROR(MIN(F710*Eingaben!$B$19,MAX(0,D710-H710)),0)</f>
        <v>0</v>
      </c>
      <c r="J710" s="13" t="n">
        <f aca="false">IFERROR(MIN(Eingaben!$B$18,MAX(0,F710-I710)),0)</f>
        <v>0</v>
      </c>
      <c r="K710" s="13" t="n">
        <f aca="false">H710+I710</f>
        <v>0</v>
      </c>
      <c r="L710" s="13" t="n">
        <f aca="false">MAX(0,D710-K710)</f>
        <v>0</v>
      </c>
      <c r="M710" s="13" t="n">
        <f aca="false">MAX(0,F710-I710-J710)</f>
        <v>0</v>
      </c>
      <c r="N710" s="13" t="n">
        <f aca="false">IF(Kalender!A344="",0,J709-H710)</f>
        <v>0</v>
      </c>
    </row>
    <row r="711" customFormat="false" ht="16.4" hidden="false" customHeight="false" outlineLevel="0" collapsed="false">
      <c r="A711" s="13" t="str">
        <f aca="false">""</f>
        <v/>
      </c>
      <c r="B711" s="13" t="n">
        <f aca="false">341</f>
        <v>341</v>
      </c>
      <c r="C711" s="13" t="n">
        <f aca="false">IF(Szenarien!$H$9="OK",(IFERROR(SUMIF(Nutzungsprofile!$B$6:$B$11,"Schulbetrieb",Nutzungsprofile!$G$6:$G$11)*Kalender!C345/SUM(Kalender!$C$5:$C$370),0)+IFERROR(SUMIF(Nutzungsprofile!$B$6:$B$11,"Halle",Nutzungsprofile!$G$6:$G$11)*Kalender!D345/SUM(Kalender!$D$5:$D$370),0)+IFERROR(SUMIF(Nutzungsprofile!$B$6:$B$11,"Individuell",Nutzungsprofile!$G$6:$G$11)*Kalender!E345/SUM(Kalender!$E$5:$E$370),0))*Szenarien!$E$9,0)</f>
        <v>0</v>
      </c>
      <c r="D711" s="13" t="n">
        <f aca="false">IF(Szenarien!$H$9="OK",(IFERROR(SUMIF(Nutzungsprofile!$B$17:$B$22,"Schulbetrieb",Nutzungsprofile!$G$17:$G$22)*Kalender!C345/SUM(Kalender!$C$5:$C$370),0)+IFERROR(SUMIF(Nutzungsprofile!$B$17:$B$22,"Halle",Nutzungsprofile!$G$17:$G$22)*Kalender!D345/SUM(Kalender!$D$5:$D$370),0)+IFERROR(SUMIF(Nutzungsprofile!$B$17:$B$22,"Individuell",Nutzungsprofile!$G$17:$G$22)*Kalender!E345/SUM(Kalender!$E$5:$E$370),0))*Szenarien!$D$9,0)</f>
        <v>0</v>
      </c>
      <c r="E711" s="13" t="n">
        <f aca="false">IFERROR(MIN(C711,Eingaben!$B$17)*Eingaben!$B$16,0)</f>
        <v>0</v>
      </c>
      <c r="F711" s="13" t="n">
        <f aca="false">IFERROR(E711*Eingaben!$B$15,0)</f>
        <v>0</v>
      </c>
      <c r="G711" s="13" t="n">
        <f aca="false">IFERROR(IF(Kalender!A345="",0,J710*(1-Eingaben!$B$20)),0)</f>
        <v>0</v>
      </c>
      <c r="H711" s="13" t="n">
        <f aca="false">MIN(G711,D711)</f>
        <v>0</v>
      </c>
      <c r="I711" s="13" t="n">
        <f aca="false">IFERROR(MIN(F711*Eingaben!$B$19,MAX(0,D711-H711)),0)</f>
        <v>0</v>
      </c>
      <c r="J711" s="13" t="n">
        <f aca="false">IFERROR(MIN(Eingaben!$B$18,MAX(0,F711-I711)),0)</f>
        <v>0</v>
      </c>
      <c r="K711" s="13" t="n">
        <f aca="false">H711+I711</f>
        <v>0</v>
      </c>
      <c r="L711" s="13" t="n">
        <f aca="false">MAX(0,D711-K711)</f>
        <v>0</v>
      </c>
      <c r="M711" s="13" t="n">
        <f aca="false">MAX(0,F711-I711-J711)</f>
        <v>0</v>
      </c>
      <c r="N711" s="13" t="n">
        <f aca="false">IF(Kalender!A345="",0,J710-H711)</f>
        <v>0</v>
      </c>
    </row>
    <row r="712" customFormat="false" ht="16.4" hidden="false" customHeight="false" outlineLevel="0" collapsed="false">
      <c r="A712" s="13" t="str">
        <f aca="false">""</f>
        <v/>
      </c>
      <c r="B712" s="13" t="n">
        <f aca="false">342</f>
        <v>342</v>
      </c>
      <c r="C712" s="13" t="n">
        <f aca="false">IF(Szenarien!$H$9="OK",(IFERROR(SUMIF(Nutzungsprofile!$B$6:$B$11,"Schulbetrieb",Nutzungsprofile!$G$6:$G$11)*Kalender!C346/SUM(Kalender!$C$5:$C$370),0)+IFERROR(SUMIF(Nutzungsprofile!$B$6:$B$11,"Halle",Nutzungsprofile!$G$6:$G$11)*Kalender!D346/SUM(Kalender!$D$5:$D$370),0)+IFERROR(SUMIF(Nutzungsprofile!$B$6:$B$11,"Individuell",Nutzungsprofile!$G$6:$G$11)*Kalender!E346/SUM(Kalender!$E$5:$E$370),0))*Szenarien!$E$9,0)</f>
        <v>0</v>
      </c>
      <c r="D712" s="13" t="n">
        <f aca="false">IF(Szenarien!$H$9="OK",(IFERROR(SUMIF(Nutzungsprofile!$B$17:$B$22,"Schulbetrieb",Nutzungsprofile!$G$17:$G$22)*Kalender!C346/SUM(Kalender!$C$5:$C$370),0)+IFERROR(SUMIF(Nutzungsprofile!$B$17:$B$22,"Halle",Nutzungsprofile!$G$17:$G$22)*Kalender!D346/SUM(Kalender!$D$5:$D$370),0)+IFERROR(SUMIF(Nutzungsprofile!$B$17:$B$22,"Individuell",Nutzungsprofile!$G$17:$G$22)*Kalender!E346/SUM(Kalender!$E$5:$E$370),0))*Szenarien!$D$9,0)</f>
        <v>0</v>
      </c>
      <c r="E712" s="13" t="n">
        <f aca="false">IFERROR(MIN(C712,Eingaben!$B$17)*Eingaben!$B$16,0)</f>
        <v>0</v>
      </c>
      <c r="F712" s="13" t="n">
        <f aca="false">IFERROR(E712*Eingaben!$B$15,0)</f>
        <v>0</v>
      </c>
      <c r="G712" s="13" t="n">
        <f aca="false">IFERROR(IF(Kalender!A346="",0,J711*(1-Eingaben!$B$20)),0)</f>
        <v>0</v>
      </c>
      <c r="H712" s="13" t="n">
        <f aca="false">MIN(G712,D712)</f>
        <v>0</v>
      </c>
      <c r="I712" s="13" t="n">
        <f aca="false">IFERROR(MIN(F712*Eingaben!$B$19,MAX(0,D712-H712)),0)</f>
        <v>0</v>
      </c>
      <c r="J712" s="13" t="n">
        <f aca="false">IFERROR(MIN(Eingaben!$B$18,MAX(0,F712-I712)),0)</f>
        <v>0</v>
      </c>
      <c r="K712" s="13" t="n">
        <f aca="false">H712+I712</f>
        <v>0</v>
      </c>
      <c r="L712" s="13" t="n">
        <f aca="false">MAX(0,D712-K712)</f>
        <v>0</v>
      </c>
      <c r="M712" s="13" t="n">
        <f aca="false">MAX(0,F712-I712-J712)</f>
        <v>0</v>
      </c>
      <c r="N712" s="13" t="n">
        <f aca="false">IF(Kalender!A346="",0,J711-H712)</f>
        <v>0</v>
      </c>
    </row>
    <row r="713" customFormat="false" ht="16.4" hidden="false" customHeight="false" outlineLevel="0" collapsed="false">
      <c r="A713" s="13" t="str">
        <f aca="false">""</f>
        <v/>
      </c>
      <c r="B713" s="13" t="n">
        <f aca="false">343</f>
        <v>343</v>
      </c>
      <c r="C713" s="13" t="n">
        <f aca="false">IF(Szenarien!$H$9="OK",(IFERROR(SUMIF(Nutzungsprofile!$B$6:$B$11,"Schulbetrieb",Nutzungsprofile!$G$6:$G$11)*Kalender!C347/SUM(Kalender!$C$5:$C$370),0)+IFERROR(SUMIF(Nutzungsprofile!$B$6:$B$11,"Halle",Nutzungsprofile!$G$6:$G$11)*Kalender!D347/SUM(Kalender!$D$5:$D$370),0)+IFERROR(SUMIF(Nutzungsprofile!$B$6:$B$11,"Individuell",Nutzungsprofile!$G$6:$G$11)*Kalender!E347/SUM(Kalender!$E$5:$E$370),0))*Szenarien!$E$9,0)</f>
        <v>0</v>
      </c>
      <c r="D713" s="13" t="n">
        <f aca="false">IF(Szenarien!$H$9="OK",(IFERROR(SUMIF(Nutzungsprofile!$B$17:$B$22,"Schulbetrieb",Nutzungsprofile!$G$17:$G$22)*Kalender!C347/SUM(Kalender!$C$5:$C$370),0)+IFERROR(SUMIF(Nutzungsprofile!$B$17:$B$22,"Halle",Nutzungsprofile!$G$17:$G$22)*Kalender!D347/SUM(Kalender!$D$5:$D$370),0)+IFERROR(SUMIF(Nutzungsprofile!$B$17:$B$22,"Individuell",Nutzungsprofile!$G$17:$G$22)*Kalender!E347/SUM(Kalender!$E$5:$E$370),0))*Szenarien!$D$9,0)</f>
        <v>0</v>
      </c>
      <c r="E713" s="13" t="n">
        <f aca="false">IFERROR(MIN(C713,Eingaben!$B$17)*Eingaben!$B$16,0)</f>
        <v>0</v>
      </c>
      <c r="F713" s="13" t="n">
        <f aca="false">IFERROR(E713*Eingaben!$B$15,0)</f>
        <v>0</v>
      </c>
      <c r="G713" s="13" t="n">
        <f aca="false">IFERROR(IF(Kalender!A347="",0,J712*(1-Eingaben!$B$20)),0)</f>
        <v>0</v>
      </c>
      <c r="H713" s="13" t="n">
        <f aca="false">MIN(G713,D713)</f>
        <v>0</v>
      </c>
      <c r="I713" s="13" t="n">
        <f aca="false">IFERROR(MIN(F713*Eingaben!$B$19,MAX(0,D713-H713)),0)</f>
        <v>0</v>
      </c>
      <c r="J713" s="13" t="n">
        <f aca="false">IFERROR(MIN(Eingaben!$B$18,MAX(0,F713-I713)),0)</f>
        <v>0</v>
      </c>
      <c r="K713" s="13" t="n">
        <f aca="false">H713+I713</f>
        <v>0</v>
      </c>
      <c r="L713" s="13" t="n">
        <f aca="false">MAX(0,D713-K713)</f>
        <v>0</v>
      </c>
      <c r="M713" s="13" t="n">
        <f aca="false">MAX(0,F713-I713-J713)</f>
        <v>0</v>
      </c>
      <c r="N713" s="13" t="n">
        <f aca="false">IF(Kalender!A347="",0,J712-H713)</f>
        <v>0</v>
      </c>
    </row>
    <row r="714" customFormat="false" ht="16.4" hidden="false" customHeight="false" outlineLevel="0" collapsed="false">
      <c r="A714" s="13" t="str">
        <f aca="false">""</f>
        <v/>
      </c>
      <c r="B714" s="13" t="n">
        <f aca="false">344</f>
        <v>344</v>
      </c>
      <c r="C714" s="13" t="n">
        <f aca="false">IF(Szenarien!$H$9="OK",(IFERROR(SUMIF(Nutzungsprofile!$B$6:$B$11,"Schulbetrieb",Nutzungsprofile!$G$6:$G$11)*Kalender!C348/SUM(Kalender!$C$5:$C$370),0)+IFERROR(SUMIF(Nutzungsprofile!$B$6:$B$11,"Halle",Nutzungsprofile!$G$6:$G$11)*Kalender!D348/SUM(Kalender!$D$5:$D$370),0)+IFERROR(SUMIF(Nutzungsprofile!$B$6:$B$11,"Individuell",Nutzungsprofile!$G$6:$G$11)*Kalender!E348/SUM(Kalender!$E$5:$E$370),0))*Szenarien!$E$9,0)</f>
        <v>0</v>
      </c>
      <c r="D714" s="13" t="n">
        <f aca="false">IF(Szenarien!$H$9="OK",(IFERROR(SUMIF(Nutzungsprofile!$B$17:$B$22,"Schulbetrieb",Nutzungsprofile!$G$17:$G$22)*Kalender!C348/SUM(Kalender!$C$5:$C$370),0)+IFERROR(SUMIF(Nutzungsprofile!$B$17:$B$22,"Halle",Nutzungsprofile!$G$17:$G$22)*Kalender!D348/SUM(Kalender!$D$5:$D$370),0)+IFERROR(SUMIF(Nutzungsprofile!$B$17:$B$22,"Individuell",Nutzungsprofile!$G$17:$G$22)*Kalender!E348/SUM(Kalender!$E$5:$E$370),0))*Szenarien!$D$9,0)</f>
        <v>0</v>
      </c>
      <c r="E714" s="13" t="n">
        <f aca="false">IFERROR(MIN(C714,Eingaben!$B$17)*Eingaben!$B$16,0)</f>
        <v>0</v>
      </c>
      <c r="F714" s="13" t="n">
        <f aca="false">IFERROR(E714*Eingaben!$B$15,0)</f>
        <v>0</v>
      </c>
      <c r="G714" s="13" t="n">
        <f aca="false">IFERROR(IF(Kalender!A348="",0,J713*(1-Eingaben!$B$20)),0)</f>
        <v>0</v>
      </c>
      <c r="H714" s="13" t="n">
        <f aca="false">MIN(G714,D714)</f>
        <v>0</v>
      </c>
      <c r="I714" s="13" t="n">
        <f aca="false">IFERROR(MIN(F714*Eingaben!$B$19,MAX(0,D714-H714)),0)</f>
        <v>0</v>
      </c>
      <c r="J714" s="13" t="n">
        <f aca="false">IFERROR(MIN(Eingaben!$B$18,MAX(0,F714-I714)),0)</f>
        <v>0</v>
      </c>
      <c r="K714" s="13" t="n">
        <f aca="false">H714+I714</f>
        <v>0</v>
      </c>
      <c r="L714" s="13" t="n">
        <f aca="false">MAX(0,D714-K714)</f>
        <v>0</v>
      </c>
      <c r="M714" s="13" t="n">
        <f aca="false">MAX(0,F714-I714-J714)</f>
        <v>0</v>
      </c>
      <c r="N714" s="13" t="n">
        <f aca="false">IF(Kalender!A348="",0,J713-H714)</f>
        <v>0</v>
      </c>
    </row>
    <row r="715" customFormat="false" ht="16.4" hidden="false" customHeight="false" outlineLevel="0" collapsed="false">
      <c r="A715" s="13" t="str">
        <f aca="false">""</f>
        <v/>
      </c>
      <c r="B715" s="13" t="n">
        <f aca="false">345</f>
        <v>345</v>
      </c>
      <c r="C715" s="13" t="n">
        <f aca="false">IF(Szenarien!$H$9="OK",(IFERROR(SUMIF(Nutzungsprofile!$B$6:$B$11,"Schulbetrieb",Nutzungsprofile!$G$6:$G$11)*Kalender!C349/SUM(Kalender!$C$5:$C$370),0)+IFERROR(SUMIF(Nutzungsprofile!$B$6:$B$11,"Halle",Nutzungsprofile!$G$6:$G$11)*Kalender!D349/SUM(Kalender!$D$5:$D$370),0)+IFERROR(SUMIF(Nutzungsprofile!$B$6:$B$11,"Individuell",Nutzungsprofile!$G$6:$G$11)*Kalender!E349/SUM(Kalender!$E$5:$E$370),0))*Szenarien!$E$9,0)</f>
        <v>0</v>
      </c>
      <c r="D715" s="13" t="n">
        <f aca="false">IF(Szenarien!$H$9="OK",(IFERROR(SUMIF(Nutzungsprofile!$B$17:$B$22,"Schulbetrieb",Nutzungsprofile!$G$17:$G$22)*Kalender!C349/SUM(Kalender!$C$5:$C$370),0)+IFERROR(SUMIF(Nutzungsprofile!$B$17:$B$22,"Halle",Nutzungsprofile!$G$17:$G$22)*Kalender!D349/SUM(Kalender!$D$5:$D$370),0)+IFERROR(SUMIF(Nutzungsprofile!$B$17:$B$22,"Individuell",Nutzungsprofile!$G$17:$G$22)*Kalender!E349/SUM(Kalender!$E$5:$E$370),0))*Szenarien!$D$9,0)</f>
        <v>0</v>
      </c>
      <c r="E715" s="13" t="n">
        <f aca="false">IFERROR(MIN(C715,Eingaben!$B$17)*Eingaben!$B$16,0)</f>
        <v>0</v>
      </c>
      <c r="F715" s="13" t="n">
        <f aca="false">IFERROR(E715*Eingaben!$B$15,0)</f>
        <v>0</v>
      </c>
      <c r="G715" s="13" t="n">
        <f aca="false">IFERROR(IF(Kalender!A349="",0,J714*(1-Eingaben!$B$20)),0)</f>
        <v>0</v>
      </c>
      <c r="H715" s="13" t="n">
        <f aca="false">MIN(G715,D715)</f>
        <v>0</v>
      </c>
      <c r="I715" s="13" t="n">
        <f aca="false">IFERROR(MIN(F715*Eingaben!$B$19,MAX(0,D715-H715)),0)</f>
        <v>0</v>
      </c>
      <c r="J715" s="13" t="n">
        <f aca="false">IFERROR(MIN(Eingaben!$B$18,MAX(0,F715-I715)),0)</f>
        <v>0</v>
      </c>
      <c r="K715" s="13" t="n">
        <f aca="false">H715+I715</f>
        <v>0</v>
      </c>
      <c r="L715" s="13" t="n">
        <f aca="false">MAX(0,D715-K715)</f>
        <v>0</v>
      </c>
      <c r="M715" s="13" t="n">
        <f aca="false">MAX(0,F715-I715-J715)</f>
        <v>0</v>
      </c>
      <c r="N715" s="13" t="n">
        <f aca="false">IF(Kalender!A349="",0,J714-H715)</f>
        <v>0</v>
      </c>
    </row>
    <row r="716" customFormat="false" ht="16.4" hidden="false" customHeight="false" outlineLevel="0" collapsed="false">
      <c r="A716" s="13" t="str">
        <f aca="false">""</f>
        <v/>
      </c>
      <c r="B716" s="13" t="n">
        <f aca="false">346</f>
        <v>346</v>
      </c>
      <c r="C716" s="13" t="n">
        <f aca="false">IF(Szenarien!$H$9="OK",(IFERROR(SUMIF(Nutzungsprofile!$B$6:$B$11,"Schulbetrieb",Nutzungsprofile!$G$6:$G$11)*Kalender!C350/SUM(Kalender!$C$5:$C$370),0)+IFERROR(SUMIF(Nutzungsprofile!$B$6:$B$11,"Halle",Nutzungsprofile!$G$6:$G$11)*Kalender!D350/SUM(Kalender!$D$5:$D$370),0)+IFERROR(SUMIF(Nutzungsprofile!$B$6:$B$11,"Individuell",Nutzungsprofile!$G$6:$G$11)*Kalender!E350/SUM(Kalender!$E$5:$E$370),0))*Szenarien!$E$9,0)</f>
        <v>0</v>
      </c>
      <c r="D716" s="13" t="n">
        <f aca="false">IF(Szenarien!$H$9="OK",(IFERROR(SUMIF(Nutzungsprofile!$B$17:$B$22,"Schulbetrieb",Nutzungsprofile!$G$17:$G$22)*Kalender!C350/SUM(Kalender!$C$5:$C$370),0)+IFERROR(SUMIF(Nutzungsprofile!$B$17:$B$22,"Halle",Nutzungsprofile!$G$17:$G$22)*Kalender!D350/SUM(Kalender!$D$5:$D$370),0)+IFERROR(SUMIF(Nutzungsprofile!$B$17:$B$22,"Individuell",Nutzungsprofile!$G$17:$G$22)*Kalender!E350/SUM(Kalender!$E$5:$E$370),0))*Szenarien!$D$9,0)</f>
        <v>0</v>
      </c>
      <c r="E716" s="13" t="n">
        <f aca="false">IFERROR(MIN(C716,Eingaben!$B$17)*Eingaben!$B$16,0)</f>
        <v>0</v>
      </c>
      <c r="F716" s="13" t="n">
        <f aca="false">IFERROR(E716*Eingaben!$B$15,0)</f>
        <v>0</v>
      </c>
      <c r="G716" s="13" t="n">
        <f aca="false">IFERROR(IF(Kalender!A350="",0,J715*(1-Eingaben!$B$20)),0)</f>
        <v>0</v>
      </c>
      <c r="H716" s="13" t="n">
        <f aca="false">MIN(G716,D716)</f>
        <v>0</v>
      </c>
      <c r="I716" s="13" t="n">
        <f aca="false">IFERROR(MIN(F716*Eingaben!$B$19,MAX(0,D716-H716)),0)</f>
        <v>0</v>
      </c>
      <c r="J716" s="13" t="n">
        <f aca="false">IFERROR(MIN(Eingaben!$B$18,MAX(0,F716-I716)),0)</f>
        <v>0</v>
      </c>
      <c r="K716" s="13" t="n">
        <f aca="false">H716+I716</f>
        <v>0</v>
      </c>
      <c r="L716" s="13" t="n">
        <f aca="false">MAX(0,D716-K716)</f>
        <v>0</v>
      </c>
      <c r="M716" s="13" t="n">
        <f aca="false">MAX(0,F716-I716-J716)</f>
        <v>0</v>
      </c>
      <c r="N716" s="13" t="n">
        <f aca="false">IF(Kalender!A350="",0,J715-H716)</f>
        <v>0</v>
      </c>
    </row>
    <row r="717" customFormat="false" ht="16.4" hidden="false" customHeight="false" outlineLevel="0" collapsed="false">
      <c r="A717" s="13" t="str">
        <f aca="false">""</f>
        <v/>
      </c>
      <c r="B717" s="13" t="n">
        <f aca="false">347</f>
        <v>347</v>
      </c>
      <c r="C717" s="13" t="n">
        <f aca="false">IF(Szenarien!$H$9="OK",(IFERROR(SUMIF(Nutzungsprofile!$B$6:$B$11,"Schulbetrieb",Nutzungsprofile!$G$6:$G$11)*Kalender!C351/SUM(Kalender!$C$5:$C$370),0)+IFERROR(SUMIF(Nutzungsprofile!$B$6:$B$11,"Halle",Nutzungsprofile!$G$6:$G$11)*Kalender!D351/SUM(Kalender!$D$5:$D$370),0)+IFERROR(SUMIF(Nutzungsprofile!$B$6:$B$11,"Individuell",Nutzungsprofile!$G$6:$G$11)*Kalender!E351/SUM(Kalender!$E$5:$E$370),0))*Szenarien!$E$9,0)</f>
        <v>0</v>
      </c>
      <c r="D717" s="13" t="n">
        <f aca="false">IF(Szenarien!$H$9="OK",(IFERROR(SUMIF(Nutzungsprofile!$B$17:$B$22,"Schulbetrieb",Nutzungsprofile!$G$17:$G$22)*Kalender!C351/SUM(Kalender!$C$5:$C$370),0)+IFERROR(SUMIF(Nutzungsprofile!$B$17:$B$22,"Halle",Nutzungsprofile!$G$17:$G$22)*Kalender!D351/SUM(Kalender!$D$5:$D$370),0)+IFERROR(SUMIF(Nutzungsprofile!$B$17:$B$22,"Individuell",Nutzungsprofile!$G$17:$G$22)*Kalender!E351/SUM(Kalender!$E$5:$E$370),0))*Szenarien!$D$9,0)</f>
        <v>0</v>
      </c>
      <c r="E717" s="13" t="n">
        <f aca="false">IFERROR(MIN(C717,Eingaben!$B$17)*Eingaben!$B$16,0)</f>
        <v>0</v>
      </c>
      <c r="F717" s="13" t="n">
        <f aca="false">IFERROR(E717*Eingaben!$B$15,0)</f>
        <v>0</v>
      </c>
      <c r="G717" s="13" t="n">
        <f aca="false">IFERROR(IF(Kalender!A351="",0,J716*(1-Eingaben!$B$20)),0)</f>
        <v>0</v>
      </c>
      <c r="H717" s="13" t="n">
        <f aca="false">MIN(G717,D717)</f>
        <v>0</v>
      </c>
      <c r="I717" s="13" t="n">
        <f aca="false">IFERROR(MIN(F717*Eingaben!$B$19,MAX(0,D717-H717)),0)</f>
        <v>0</v>
      </c>
      <c r="J717" s="13" t="n">
        <f aca="false">IFERROR(MIN(Eingaben!$B$18,MAX(0,F717-I717)),0)</f>
        <v>0</v>
      </c>
      <c r="K717" s="13" t="n">
        <f aca="false">H717+I717</f>
        <v>0</v>
      </c>
      <c r="L717" s="13" t="n">
        <f aca="false">MAX(0,D717-K717)</f>
        <v>0</v>
      </c>
      <c r="M717" s="13" t="n">
        <f aca="false">MAX(0,F717-I717-J717)</f>
        <v>0</v>
      </c>
      <c r="N717" s="13" t="n">
        <f aca="false">IF(Kalender!A351="",0,J716-H717)</f>
        <v>0</v>
      </c>
    </row>
    <row r="718" customFormat="false" ht="16.4" hidden="false" customHeight="false" outlineLevel="0" collapsed="false">
      <c r="A718" s="13" t="str">
        <f aca="false">""</f>
        <v/>
      </c>
      <c r="B718" s="13" t="n">
        <f aca="false">348</f>
        <v>348</v>
      </c>
      <c r="C718" s="13" t="n">
        <f aca="false">IF(Szenarien!$H$9="OK",(IFERROR(SUMIF(Nutzungsprofile!$B$6:$B$11,"Schulbetrieb",Nutzungsprofile!$G$6:$G$11)*Kalender!C352/SUM(Kalender!$C$5:$C$370),0)+IFERROR(SUMIF(Nutzungsprofile!$B$6:$B$11,"Halle",Nutzungsprofile!$G$6:$G$11)*Kalender!D352/SUM(Kalender!$D$5:$D$370),0)+IFERROR(SUMIF(Nutzungsprofile!$B$6:$B$11,"Individuell",Nutzungsprofile!$G$6:$G$11)*Kalender!E352/SUM(Kalender!$E$5:$E$370),0))*Szenarien!$E$9,0)</f>
        <v>0</v>
      </c>
      <c r="D718" s="13" t="n">
        <f aca="false">IF(Szenarien!$H$9="OK",(IFERROR(SUMIF(Nutzungsprofile!$B$17:$B$22,"Schulbetrieb",Nutzungsprofile!$G$17:$G$22)*Kalender!C352/SUM(Kalender!$C$5:$C$370),0)+IFERROR(SUMIF(Nutzungsprofile!$B$17:$B$22,"Halle",Nutzungsprofile!$G$17:$G$22)*Kalender!D352/SUM(Kalender!$D$5:$D$370),0)+IFERROR(SUMIF(Nutzungsprofile!$B$17:$B$22,"Individuell",Nutzungsprofile!$G$17:$G$22)*Kalender!E352/SUM(Kalender!$E$5:$E$370),0))*Szenarien!$D$9,0)</f>
        <v>0</v>
      </c>
      <c r="E718" s="13" t="n">
        <f aca="false">IFERROR(MIN(C718,Eingaben!$B$17)*Eingaben!$B$16,0)</f>
        <v>0</v>
      </c>
      <c r="F718" s="13" t="n">
        <f aca="false">IFERROR(E718*Eingaben!$B$15,0)</f>
        <v>0</v>
      </c>
      <c r="G718" s="13" t="n">
        <f aca="false">IFERROR(IF(Kalender!A352="",0,J717*(1-Eingaben!$B$20)),0)</f>
        <v>0</v>
      </c>
      <c r="H718" s="13" t="n">
        <f aca="false">MIN(G718,D718)</f>
        <v>0</v>
      </c>
      <c r="I718" s="13" t="n">
        <f aca="false">IFERROR(MIN(F718*Eingaben!$B$19,MAX(0,D718-H718)),0)</f>
        <v>0</v>
      </c>
      <c r="J718" s="13" t="n">
        <f aca="false">IFERROR(MIN(Eingaben!$B$18,MAX(0,F718-I718)),0)</f>
        <v>0</v>
      </c>
      <c r="K718" s="13" t="n">
        <f aca="false">H718+I718</f>
        <v>0</v>
      </c>
      <c r="L718" s="13" t="n">
        <f aca="false">MAX(0,D718-K718)</f>
        <v>0</v>
      </c>
      <c r="M718" s="13" t="n">
        <f aca="false">MAX(0,F718-I718-J718)</f>
        <v>0</v>
      </c>
      <c r="N718" s="13" t="n">
        <f aca="false">IF(Kalender!A352="",0,J717-H718)</f>
        <v>0</v>
      </c>
    </row>
    <row r="719" customFormat="false" ht="16.4" hidden="false" customHeight="false" outlineLevel="0" collapsed="false">
      <c r="A719" s="13" t="str">
        <f aca="false">""</f>
        <v/>
      </c>
      <c r="B719" s="13" t="n">
        <f aca="false">349</f>
        <v>349</v>
      </c>
      <c r="C719" s="13" t="n">
        <f aca="false">IF(Szenarien!$H$9="OK",(IFERROR(SUMIF(Nutzungsprofile!$B$6:$B$11,"Schulbetrieb",Nutzungsprofile!$G$6:$G$11)*Kalender!C353/SUM(Kalender!$C$5:$C$370),0)+IFERROR(SUMIF(Nutzungsprofile!$B$6:$B$11,"Halle",Nutzungsprofile!$G$6:$G$11)*Kalender!D353/SUM(Kalender!$D$5:$D$370),0)+IFERROR(SUMIF(Nutzungsprofile!$B$6:$B$11,"Individuell",Nutzungsprofile!$G$6:$G$11)*Kalender!E353/SUM(Kalender!$E$5:$E$370),0))*Szenarien!$E$9,0)</f>
        <v>0</v>
      </c>
      <c r="D719" s="13" t="n">
        <f aca="false">IF(Szenarien!$H$9="OK",(IFERROR(SUMIF(Nutzungsprofile!$B$17:$B$22,"Schulbetrieb",Nutzungsprofile!$G$17:$G$22)*Kalender!C353/SUM(Kalender!$C$5:$C$370),0)+IFERROR(SUMIF(Nutzungsprofile!$B$17:$B$22,"Halle",Nutzungsprofile!$G$17:$G$22)*Kalender!D353/SUM(Kalender!$D$5:$D$370),0)+IFERROR(SUMIF(Nutzungsprofile!$B$17:$B$22,"Individuell",Nutzungsprofile!$G$17:$G$22)*Kalender!E353/SUM(Kalender!$E$5:$E$370),0))*Szenarien!$D$9,0)</f>
        <v>0</v>
      </c>
      <c r="E719" s="13" t="n">
        <f aca="false">IFERROR(MIN(C719,Eingaben!$B$17)*Eingaben!$B$16,0)</f>
        <v>0</v>
      </c>
      <c r="F719" s="13" t="n">
        <f aca="false">IFERROR(E719*Eingaben!$B$15,0)</f>
        <v>0</v>
      </c>
      <c r="G719" s="13" t="n">
        <f aca="false">IFERROR(IF(Kalender!A353="",0,J718*(1-Eingaben!$B$20)),0)</f>
        <v>0</v>
      </c>
      <c r="H719" s="13" t="n">
        <f aca="false">MIN(G719,D719)</f>
        <v>0</v>
      </c>
      <c r="I719" s="13" t="n">
        <f aca="false">IFERROR(MIN(F719*Eingaben!$B$19,MAX(0,D719-H719)),0)</f>
        <v>0</v>
      </c>
      <c r="J719" s="13" t="n">
        <f aca="false">IFERROR(MIN(Eingaben!$B$18,MAX(0,F719-I719)),0)</f>
        <v>0</v>
      </c>
      <c r="K719" s="13" t="n">
        <f aca="false">H719+I719</f>
        <v>0</v>
      </c>
      <c r="L719" s="13" t="n">
        <f aca="false">MAX(0,D719-K719)</f>
        <v>0</v>
      </c>
      <c r="M719" s="13" t="n">
        <f aca="false">MAX(0,F719-I719-J719)</f>
        <v>0</v>
      </c>
      <c r="N719" s="13" t="n">
        <f aca="false">IF(Kalender!A353="",0,J718-H719)</f>
        <v>0</v>
      </c>
    </row>
    <row r="720" customFormat="false" ht="16.4" hidden="false" customHeight="false" outlineLevel="0" collapsed="false">
      <c r="A720" s="13" t="str">
        <f aca="false">""</f>
        <v/>
      </c>
      <c r="B720" s="13" t="n">
        <f aca="false">350</f>
        <v>350</v>
      </c>
      <c r="C720" s="13" t="n">
        <f aca="false">IF(Szenarien!$H$9="OK",(IFERROR(SUMIF(Nutzungsprofile!$B$6:$B$11,"Schulbetrieb",Nutzungsprofile!$G$6:$G$11)*Kalender!C354/SUM(Kalender!$C$5:$C$370),0)+IFERROR(SUMIF(Nutzungsprofile!$B$6:$B$11,"Halle",Nutzungsprofile!$G$6:$G$11)*Kalender!D354/SUM(Kalender!$D$5:$D$370),0)+IFERROR(SUMIF(Nutzungsprofile!$B$6:$B$11,"Individuell",Nutzungsprofile!$G$6:$G$11)*Kalender!E354/SUM(Kalender!$E$5:$E$370),0))*Szenarien!$E$9,0)</f>
        <v>0</v>
      </c>
      <c r="D720" s="13" t="n">
        <f aca="false">IF(Szenarien!$H$9="OK",(IFERROR(SUMIF(Nutzungsprofile!$B$17:$B$22,"Schulbetrieb",Nutzungsprofile!$G$17:$G$22)*Kalender!C354/SUM(Kalender!$C$5:$C$370),0)+IFERROR(SUMIF(Nutzungsprofile!$B$17:$B$22,"Halle",Nutzungsprofile!$G$17:$G$22)*Kalender!D354/SUM(Kalender!$D$5:$D$370),0)+IFERROR(SUMIF(Nutzungsprofile!$B$17:$B$22,"Individuell",Nutzungsprofile!$G$17:$G$22)*Kalender!E354/SUM(Kalender!$E$5:$E$370),0))*Szenarien!$D$9,0)</f>
        <v>0</v>
      </c>
      <c r="E720" s="13" t="n">
        <f aca="false">IFERROR(MIN(C720,Eingaben!$B$17)*Eingaben!$B$16,0)</f>
        <v>0</v>
      </c>
      <c r="F720" s="13" t="n">
        <f aca="false">IFERROR(E720*Eingaben!$B$15,0)</f>
        <v>0</v>
      </c>
      <c r="G720" s="13" t="n">
        <f aca="false">IFERROR(IF(Kalender!A354="",0,J719*(1-Eingaben!$B$20)),0)</f>
        <v>0</v>
      </c>
      <c r="H720" s="13" t="n">
        <f aca="false">MIN(G720,D720)</f>
        <v>0</v>
      </c>
      <c r="I720" s="13" t="n">
        <f aca="false">IFERROR(MIN(F720*Eingaben!$B$19,MAX(0,D720-H720)),0)</f>
        <v>0</v>
      </c>
      <c r="J720" s="13" t="n">
        <f aca="false">IFERROR(MIN(Eingaben!$B$18,MAX(0,F720-I720)),0)</f>
        <v>0</v>
      </c>
      <c r="K720" s="13" t="n">
        <f aca="false">H720+I720</f>
        <v>0</v>
      </c>
      <c r="L720" s="13" t="n">
        <f aca="false">MAX(0,D720-K720)</f>
        <v>0</v>
      </c>
      <c r="M720" s="13" t="n">
        <f aca="false">MAX(0,F720-I720-J720)</f>
        <v>0</v>
      </c>
      <c r="N720" s="13" t="n">
        <f aca="false">IF(Kalender!A354="",0,J719-H720)</f>
        <v>0</v>
      </c>
    </row>
    <row r="721" customFormat="false" ht="16.4" hidden="false" customHeight="false" outlineLevel="0" collapsed="false">
      <c r="A721" s="13" t="str">
        <f aca="false">""</f>
        <v/>
      </c>
      <c r="B721" s="13" t="n">
        <f aca="false">351</f>
        <v>351</v>
      </c>
      <c r="C721" s="13" t="n">
        <f aca="false">IF(Szenarien!$H$9="OK",(IFERROR(SUMIF(Nutzungsprofile!$B$6:$B$11,"Schulbetrieb",Nutzungsprofile!$G$6:$G$11)*Kalender!C355/SUM(Kalender!$C$5:$C$370),0)+IFERROR(SUMIF(Nutzungsprofile!$B$6:$B$11,"Halle",Nutzungsprofile!$G$6:$G$11)*Kalender!D355/SUM(Kalender!$D$5:$D$370),0)+IFERROR(SUMIF(Nutzungsprofile!$B$6:$B$11,"Individuell",Nutzungsprofile!$G$6:$G$11)*Kalender!E355/SUM(Kalender!$E$5:$E$370),0))*Szenarien!$E$9,0)</f>
        <v>0</v>
      </c>
      <c r="D721" s="13" t="n">
        <f aca="false">IF(Szenarien!$H$9="OK",(IFERROR(SUMIF(Nutzungsprofile!$B$17:$B$22,"Schulbetrieb",Nutzungsprofile!$G$17:$G$22)*Kalender!C355/SUM(Kalender!$C$5:$C$370),0)+IFERROR(SUMIF(Nutzungsprofile!$B$17:$B$22,"Halle",Nutzungsprofile!$G$17:$G$22)*Kalender!D355/SUM(Kalender!$D$5:$D$370),0)+IFERROR(SUMIF(Nutzungsprofile!$B$17:$B$22,"Individuell",Nutzungsprofile!$G$17:$G$22)*Kalender!E355/SUM(Kalender!$E$5:$E$370),0))*Szenarien!$D$9,0)</f>
        <v>0</v>
      </c>
      <c r="E721" s="13" t="n">
        <f aca="false">IFERROR(MIN(C721,Eingaben!$B$17)*Eingaben!$B$16,0)</f>
        <v>0</v>
      </c>
      <c r="F721" s="13" t="n">
        <f aca="false">IFERROR(E721*Eingaben!$B$15,0)</f>
        <v>0</v>
      </c>
      <c r="G721" s="13" t="n">
        <f aca="false">IFERROR(IF(Kalender!A355="",0,J720*(1-Eingaben!$B$20)),0)</f>
        <v>0</v>
      </c>
      <c r="H721" s="13" t="n">
        <f aca="false">MIN(G721,D721)</f>
        <v>0</v>
      </c>
      <c r="I721" s="13" t="n">
        <f aca="false">IFERROR(MIN(F721*Eingaben!$B$19,MAX(0,D721-H721)),0)</f>
        <v>0</v>
      </c>
      <c r="J721" s="13" t="n">
        <f aca="false">IFERROR(MIN(Eingaben!$B$18,MAX(0,F721-I721)),0)</f>
        <v>0</v>
      </c>
      <c r="K721" s="13" t="n">
        <f aca="false">H721+I721</f>
        <v>0</v>
      </c>
      <c r="L721" s="13" t="n">
        <f aca="false">MAX(0,D721-K721)</f>
        <v>0</v>
      </c>
      <c r="M721" s="13" t="n">
        <f aca="false">MAX(0,F721-I721-J721)</f>
        <v>0</v>
      </c>
      <c r="N721" s="13" t="n">
        <f aca="false">IF(Kalender!A355="",0,J720-H721)</f>
        <v>0</v>
      </c>
    </row>
    <row r="722" customFormat="false" ht="16.4" hidden="false" customHeight="false" outlineLevel="0" collapsed="false">
      <c r="A722" s="13" t="str">
        <f aca="false">""</f>
        <v/>
      </c>
      <c r="B722" s="13" t="n">
        <f aca="false">352</f>
        <v>352</v>
      </c>
      <c r="C722" s="13" t="n">
        <f aca="false">IF(Szenarien!$H$9="OK",(IFERROR(SUMIF(Nutzungsprofile!$B$6:$B$11,"Schulbetrieb",Nutzungsprofile!$G$6:$G$11)*Kalender!C356/SUM(Kalender!$C$5:$C$370),0)+IFERROR(SUMIF(Nutzungsprofile!$B$6:$B$11,"Halle",Nutzungsprofile!$G$6:$G$11)*Kalender!D356/SUM(Kalender!$D$5:$D$370),0)+IFERROR(SUMIF(Nutzungsprofile!$B$6:$B$11,"Individuell",Nutzungsprofile!$G$6:$G$11)*Kalender!E356/SUM(Kalender!$E$5:$E$370),0))*Szenarien!$E$9,0)</f>
        <v>0</v>
      </c>
      <c r="D722" s="13" t="n">
        <f aca="false">IF(Szenarien!$H$9="OK",(IFERROR(SUMIF(Nutzungsprofile!$B$17:$B$22,"Schulbetrieb",Nutzungsprofile!$G$17:$G$22)*Kalender!C356/SUM(Kalender!$C$5:$C$370),0)+IFERROR(SUMIF(Nutzungsprofile!$B$17:$B$22,"Halle",Nutzungsprofile!$G$17:$G$22)*Kalender!D356/SUM(Kalender!$D$5:$D$370),0)+IFERROR(SUMIF(Nutzungsprofile!$B$17:$B$22,"Individuell",Nutzungsprofile!$G$17:$G$22)*Kalender!E356/SUM(Kalender!$E$5:$E$370),0))*Szenarien!$D$9,0)</f>
        <v>0</v>
      </c>
      <c r="E722" s="13" t="n">
        <f aca="false">IFERROR(MIN(C722,Eingaben!$B$17)*Eingaben!$B$16,0)</f>
        <v>0</v>
      </c>
      <c r="F722" s="13" t="n">
        <f aca="false">IFERROR(E722*Eingaben!$B$15,0)</f>
        <v>0</v>
      </c>
      <c r="G722" s="13" t="n">
        <f aca="false">IFERROR(IF(Kalender!A356="",0,J721*(1-Eingaben!$B$20)),0)</f>
        <v>0</v>
      </c>
      <c r="H722" s="13" t="n">
        <f aca="false">MIN(G722,D722)</f>
        <v>0</v>
      </c>
      <c r="I722" s="13" t="n">
        <f aca="false">IFERROR(MIN(F722*Eingaben!$B$19,MAX(0,D722-H722)),0)</f>
        <v>0</v>
      </c>
      <c r="J722" s="13" t="n">
        <f aca="false">IFERROR(MIN(Eingaben!$B$18,MAX(0,F722-I722)),0)</f>
        <v>0</v>
      </c>
      <c r="K722" s="13" t="n">
        <f aca="false">H722+I722</f>
        <v>0</v>
      </c>
      <c r="L722" s="13" t="n">
        <f aca="false">MAX(0,D722-K722)</f>
        <v>0</v>
      </c>
      <c r="M722" s="13" t="n">
        <f aca="false">MAX(0,F722-I722-J722)</f>
        <v>0</v>
      </c>
      <c r="N722" s="13" t="n">
        <f aca="false">IF(Kalender!A356="",0,J721-H722)</f>
        <v>0</v>
      </c>
    </row>
    <row r="723" customFormat="false" ht="16.4" hidden="false" customHeight="false" outlineLevel="0" collapsed="false">
      <c r="A723" s="13" t="str">
        <f aca="false">""</f>
        <v/>
      </c>
      <c r="B723" s="13" t="n">
        <f aca="false">353</f>
        <v>353</v>
      </c>
      <c r="C723" s="13" t="n">
        <f aca="false">IF(Szenarien!$H$9="OK",(IFERROR(SUMIF(Nutzungsprofile!$B$6:$B$11,"Schulbetrieb",Nutzungsprofile!$G$6:$G$11)*Kalender!C357/SUM(Kalender!$C$5:$C$370),0)+IFERROR(SUMIF(Nutzungsprofile!$B$6:$B$11,"Halle",Nutzungsprofile!$G$6:$G$11)*Kalender!D357/SUM(Kalender!$D$5:$D$370),0)+IFERROR(SUMIF(Nutzungsprofile!$B$6:$B$11,"Individuell",Nutzungsprofile!$G$6:$G$11)*Kalender!E357/SUM(Kalender!$E$5:$E$370),0))*Szenarien!$E$9,0)</f>
        <v>0</v>
      </c>
      <c r="D723" s="13" t="n">
        <f aca="false">IF(Szenarien!$H$9="OK",(IFERROR(SUMIF(Nutzungsprofile!$B$17:$B$22,"Schulbetrieb",Nutzungsprofile!$G$17:$G$22)*Kalender!C357/SUM(Kalender!$C$5:$C$370),0)+IFERROR(SUMIF(Nutzungsprofile!$B$17:$B$22,"Halle",Nutzungsprofile!$G$17:$G$22)*Kalender!D357/SUM(Kalender!$D$5:$D$370),0)+IFERROR(SUMIF(Nutzungsprofile!$B$17:$B$22,"Individuell",Nutzungsprofile!$G$17:$G$22)*Kalender!E357/SUM(Kalender!$E$5:$E$370),0))*Szenarien!$D$9,0)</f>
        <v>0</v>
      </c>
      <c r="E723" s="13" t="n">
        <f aca="false">IFERROR(MIN(C723,Eingaben!$B$17)*Eingaben!$B$16,0)</f>
        <v>0</v>
      </c>
      <c r="F723" s="13" t="n">
        <f aca="false">IFERROR(E723*Eingaben!$B$15,0)</f>
        <v>0</v>
      </c>
      <c r="G723" s="13" t="n">
        <f aca="false">IFERROR(IF(Kalender!A357="",0,J722*(1-Eingaben!$B$20)),0)</f>
        <v>0</v>
      </c>
      <c r="H723" s="13" t="n">
        <f aca="false">MIN(G723,D723)</f>
        <v>0</v>
      </c>
      <c r="I723" s="13" t="n">
        <f aca="false">IFERROR(MIN(F723*Eingaben!$B$19,MAX(0,D723-H723)),0)</f>
        <v>0</v>
      </c>
      <c r="J723" s="13" t="n">
        <f aca="false">IFERROR(MIN(Eingaben!$B$18,MAX(0,F723-I723)),0)</f>
        <v>0</v>
      </c>
      <c r="K723" s="13" t="n">
        <f aca="false">H723+I723</f>
        <v>0</v>
      </c>
      <c r="L723" s="13" t="n">
        <f aca="false">MAX(0,D723-K723)</f>
        <v>0</v>
      </c>
      <c r="M723" s="13" t="n">
        <f aca="false">MAX(0,F723-I723-J723)</f>
        <v>0</v>
      </c>
      <c r="N723" s="13" t="n">
        <f aca="false">IF(Kalender!A357="",0,J722-H723)</f>
        <v>0</v>
      </c>
    </row>
    <row r="724" customFormat="false" ht="16.4" hidden="false" customHeight="false" outlineLevel="0" collapsed="false">
      <c r="A724" s="13" t="str">
        <f aca="false">""</f>
        <v/>
      </c>
      <c r="B724" s="13" t="n">
        <f aca="false">354</f>
        <v>354</v>
      </c>
      <c r="C724" s="13" t="n">
        <f aca="false">IF(Szenarien!$H$9="OK",(IFERROR(SUMIF(Nutzungsprofile!$B$6:$B$11,"Schulbetrieb",Nutzungsprofile!$G$6:$G$11)*Kalender!C358/SUM(Kalender!$C$5:$C$370),0)+IFERROR(SUMIF(Nutzungsprofile!$B$6:$B$11,"Halle",Nutzungsprofile!$G$6:$G$11)*Kalender!D358/SUM(Kalender!$D$5:$D$370),0)+IFERROR(SUMIF(Nutzungsprofile!$B$6:$B$11,"Individuell",Nutzungsprofile!$G$6:$G$11)*Kalender!E358/SUM(Kalender!$E$5:$E$370),0))*Szenarien!$E$9,0)</f>
        <v>0</v>
      </c>
      <c r="D724" s="13" t="n">
        <f aca="false">IF(Szenarien!$H$9="OK",(IFERROR(SUMIF(Nutzungsprofile!$B$17:$B$22,"Schulbetrieb",Nutzungsprofile!$G$17:$G$22)*Kalender!C358/SUM(Kalender!$C$5:$C$370),0)+IFERROR(SUMIF(Nutzungsprofile!$B$17:$B$22,"Halle",Nutzungsprofile!$G$17:$G$22)*Kalender!D358/SUM(Kalender!$D$5:$D$370),0)+IFERROR(SUMIF(Nutzungsprofile!$B$17:$B$22,"Individuell",Nutzungsprofile!$G$17:$G$22)*Kalender!E358/SUM(Kalender!$E$5:$E$370),0))*Szenarien!$D$9,0)</f>
        <v>0</v>
      </c>
      <c r="E724" s="13" t="n">
        <f aca="false">IFERROR(MIN(C724,Eingaben!$B$17)*Eingaben!$B$16,0)</f>
        <v>0</v>
      </c>
      <c r="F724" s="13" t="n">
        <f aca="false">IFERROR(E724*Eingaben!$B$15,0)</f>
        <v>0</v>
      </c>
      <c r="G724" s="13" t="n">
        <f aca="false">IFERROR(IF(Kalender!A358="",0,J723*(1-Eingaben!$B$20)),0)</f>
        <v>0</v>
      </c>
      <c r="H724" s="13" t="n">
        <f aca="false">MIN(G724,D724)</f>
        <v>0</v>
      </c>
      <c r="I724" s="13" t="n">
        <f aca="false">IFERROR(MIN(F724*Eingaben!$B$19,MAX(0,D724-H724)),0)</f>
        <v>0</v>
      </c>
      <c r="J724" s="13" t="n">
        <f aca="false">IFERROR(MIN(Eingaben!$B$18,MAX(0,F724-I724)),0)</f>
        <v>0</v>
      </c>
      <c r="K724" s="13" t="n">
        <f aca="false">H724+I724</f>
        <v>0</v>
      </c>
      <c r="L724" s="13" t="n">
        <f aca="false">MAX(0,D724-K724)</f>
        <v>0</v>
      </c>
      <c r="M724" s="13" t="n">
        <f aca="false">MAX(0,F724-I724-J724)</f>
        <v>0</v>
      </c>
      <c r="N724" s="13" t="n">
        <f aca="false">IF(Kalender!A358="",0,J723-H724)</f>
        <v>0</v>
      </c>
    </row>
    <row r="725" customFormat="false" ht="16.4" hidden="false" customHeight="false" outlineLevel="0" collapsed="false">
      <c r="A725" s="13" t="str">
        <f aca="false">""</f>
        <v/>
      </c>
      <c r="B725" s="13" t="n">
        <f aca="false">355</f>
        <v>355</v>
      </c>
      <c r="C725" s="13" t="n">
        <f aca="false">IF(Szenarien!$H$9="OK",(IFERROR(SUMIF(Nutzungsprofile!$B$6:$B$11,"Schulbetrieb",Nutzungsprofile!$G$6:$G$11)*Kalender!C359/SUM(Kalender!$C$5:$C$370),0)+IFERROR(SUMIF(Nutzungsprofile!$B$6:$B$11,"Halle",Nutzungsprofile!$G$6:$G$11)*Kalender!D359/SUM(Kalender!$D$5:$D$370),0)+IFERROR(SUMIF(Nutzungsprofile!$B$6:$B$11,"Individuell",Nutzungsprofile!$G$6:$G$11)*Kalender!E359/SUM(Kalender!$E$5:$E$370),0))*Szenarien!$E$9,0)</f>
        <v>0</v>
      </c>
      <c r="D725" s="13" t="n">
        <f aca="false">IF(Szenarien!$H$9="OK",(IFERROR(SUMIF(Nutzungsprofile!$B$17:$B$22,"Schulbetrieb",Nutzungsprofile!$G$17:$G$22)*Kalender!C359/SUM(Kalender!$C$5:$C$370),0)+IFERROR(SUMIF(Nutzungsprofile!$B$17:$B$22,"Halle",Nutzungsprofile!$G$17:$G$22)*Kalender!D359/SUM(Kalender!$D$5:$D$370),0)+IFERROR(SUMIF(Nutzungsprofile!$B$17:$B$22,"Individuell",Nutzungsprofile!$G$17:$G$22)*Kalender!E359/SUM(Kalender!$E$5:$E$370),0))*Szenarien!$D$9,0)</f>
        <v>0</v>
      </c>
      <c r="E725" s="13" t="n">
        <f aca="false">IFERROR(MIN(C725,Eingaben!$B$17)*Eingaben!$B$16,0)</f>
        <v>0</v>
      </c>
      <c r="F725" s="13" t="n">
        <f aca="false">IFERROR(E725*Eingaben!$B$15,0)</f>
        <v>0</v>
      </c>
      <c r="G725" s="13" t="n">
        <f aca="false">IFERROR(IF(Kalender!A359="",0,J724*(1-Eingaben!$B$20)),0)</f>
        <v>0</v>
      </c>
      <c r="H725" s="13" t="n">
        <f aca="false">MIN(G725,D725)</f>
        <v>0</v>
      </c>
      <c r="I725" s="13" t="n">
        <f aca="false">IFERROR(MIN(F725*Eingaben!$B$19,MAX(0,D725-H725)),0)</f>
        <v>0</v>
      </c>
      <c r="J725" s="13" t="n">
        <f aca="false">IFERROR(MIN(Eingaben!$B$18,MAX(0,F725-I725)),0)</f>
        <v>0</v>
      </c>
      <c r="K725" s="13" t="n">
        <f aca="false">H725+I725</f>
        <v>0</v>
      </c>
      <c r="L725" s="13" t="n">
        <f aca="false">MAX(0,D725-K725)</f>
        <v>0</v>
      </c>
      <c r="M725" s="13" t="n">
        <f aca="false">MAX(0,F725-I725-J725)</f>
        <v>0</v>
      </c>
      <c r="N725" s="13" t="n">
        <f aca="false">IF(Kalender!A359="",0,J724-H725)</f>
        <v>0</v>
      </c>
    </row>
    <row r="726" customFormat="false" ht="16.4" hidden="false" customHeight="false" outlineLevel="0" collapsed="false">
      <c r="A726" s="13" t="str">
        <f aca="false">""</f>
        <v/>
      </c>
      <c r="B726" s="13" t="n">
        <f aca="false">356</f>
        <v>356</v>
      </c>
      <c r="C726" s="13" t="n">
        <f aca="false">IF(Szenarien!$H$9="OK",(IFERROR(SUMIF(Nutzungsprofile!$B$6:$B$11,"Schulbetrieb",Nutzungsprofile!$G$6:$G$11)*Kalender!C360/SUM(Kalender!$C$5:$C$370),0)+IFERROR(SUMIF(Nutzungsprofile!$B$6:$B$11,"Halle",Nutzungsprofile!$G$6:$G$11)*Kalender!D360/SUM(Kalender!$D$5:$D$370),0)+IFERROR(SUMIF(Nutzungsprofile!$B$6:$B$11,"Individuell",Nutzungsprofile!$G$6:$G$11)*Kalender!E360/SUM(Kalender!$E$5:$E$370),0))*Szenarien!$E$9,0)</f>
        <v>0</v>
      </c>
      <c r="D726" s="13" t="n">
        <f aca="false">IF(Szenarien!$H$9="OK",(IFERROR(SUMIF(Nutzungsprofile!$B$17:$B$22,"Schulbetrieb",Nutzungsprofile!$G$17:$G$22)*Kalender!C360/SUM(Kalender!$C$5:$C$370),0)+IFERROR(SUMIF(Nutzungsprofile!$B$17:$B$22,"Halle",Nutzungsprofile!$G$17:$G$22)*Kalender!D360/SUM(Kalender!$D$5:$D$370),0)+IFERROR(SUMIF(Nutzungsprofile!$B$17:$B$22,"Individuell",Nutzungsprofile!$G$17:$G$22)*Kalender!E360/SUM(Kalender!$E$5:$E$370),0))*Szenarien!$D$9,0)</f>
        <v>0</v>
      </c>
      <c r="E726" s="13" t="n">
        <f aca="false">IFERROR(MIN(C726,Eingaben!$B$17)*Eingaben!$B$16,0)</f>
        <v>0</v>
      </c>
      <c r="F726" s="13" t="n">
        <f aca="false">IFERROR(E726*Eingaben!$B$15,0)</f>
        <v>0</v>
      </c>
      <c r="G726" s="13" t="n">
        <f aca="false">IFERROR(IF(Kalender!A360="",0,J725*(1-Eingaben!$B$20)),0)</f>
        <v>0</v>
      </c>
      <c r="H726" s="13" t="n">
        <f aca="false">MIN(G726,D726)</f>
        <v>0</v>
      </c>
      <c r="I726" s="13" t="n">
        <f aca="false">IFERROR(MIN(F726*Eingaben!$B$19,MAX(0,D726-H726)),0)</f>
        <v>0</v>
      </c>
      <c r="J726" s="13" t="n">
        <f aca="false">IFERROR(MIN(Eingaben!$B$18,MAX(0,F726-I726)),0)</f>
        <v>0</v>
      </c>
      <c r="K726" s="13" t="n">
        <f aca="false">H726+I726</f>
        <v>0</v>
      </c>
      <c r="L726" s="13" t="n">
        <f aca="false">MAX(0,D726-K726)</f>
        <v>0</v>
      </c>
      <c r="M726" s="13" t="n">
        <f aca="false">MAX(0,F726-I726-J726)</f>
        <v>0</v>
      </c>
      <c r="N726" s="13" t="n">
        <f aca="false">IF(Kalender!A360="",0,J725-H726)</f>
        <v>0</v>
      </c>
    </row>
    <row r="727" customFormat="false" ht="16.4" hidden="false" customHeight="false" outlineLevel="0" collapsed="false">
      <c r="A727" s="13" t="str">
        <f aca="false">""</f>
        <v/>
      </c>
      <c r="B727" s="13" t="n">
        <f aca="false">357</f>
        <v>357</v>
      </c>
      <c r="C727" s="13" t="n">
        <f aca="false">IF(Szenarien!$H$9="OK",(IFERROR(SUMIF(Nutzungsprofile!$B$6:$B$11,"Schulbetrieb",Nutzungsprofile!$G$6:$G$11)*Kalender!C361/SUM(Kalender!$C$5:$C$370),0)+IFERROR(SUMIF(Nutzungsprofile!$B$6:$B$11,"Halle",Nutzungsprofile!$G$6:$G$11)*Kalender!D361/SUM(Kalender!$D$5:$D$370),0)+IFERROR(SUMIF(Nutzungsprofile!$B$6:$B$11,"Individuell",Nutzungsprofile!$G$6:$G$11)*Kalender!E361/SUM(Kalender!$E$5:$E$370),0))*Szenarien!$E$9,0)</f>
        <v>0</v>
      </c>
      <c r="D727" s="13" t="n">
        <f aca="false">IF(Szenarien!$H$9="OK",(IFERROR(SUMIF(Nutzungsprofile!$B$17:$B$22,"Schulbetrieb",Nutzungsprofile!$G$17:$G$22)*Kalender!C361/SUM(Kalender!$C$5:$C$370),0)+IFERROR(SUMIF(Nutzungsprofile!$B$17:$B$22,"Halle",Nutzungsprofile!$G$17:$G$22)*Kalender!D361/SUM(Kalender!$D$5:$D$370),0)+IFERROR(SUMIF(Nutzungsprofile!$B$17:$B$22,"Individuell",Nutzungsprofile!$G$17:$G$22)*Kalender!E361/SUM(Kalender!$E$5:$E$370),0))*Szenarien!$D$9,0)</f>
        <v>0</v>
      </c>
      <c r="E727" s="13" t="n">
        <f aca="false">IFERROR(MIN(C727,Eingaben!$B$17)*Eingaben!$B$16,0)</f>
        <v>0</v>
      </c>
      <c r="F727" s="13" t="n">
        <f aca="false">IFERROR(E727*Eingaben!$B$15,0)</f>
        <v>0</v>
      </c>
      <c r="G727" s="13" t="n">
        <f aca="false">IFERROR(IF(Kalender!A361="",0,J726*(1-Eingaben!$B$20)),0)</f>
        <v>0</v>
      </c>
      <c r="H727" s="13" t="n">
        <f aca="false">MIN(G727,D727)</f>
        <v>0</v>
      </c>
      <c r="I727" s="13" t="n">
        <f aca="false">IFERROR(MIN(F727*Eingaben!$B$19,MAX(0,D727-H727)),0)</f>
        <v>0</v>
      </c>
      <c r="J727" s="13" t="n">
        <f aca="false">IFERROR(MIN(Eingaben!$B$18,MAX(0,F727-I727)),0)</f>
        <v>0</v>
      </c>
      <c r="K727" s="13" t="n">
        <f aca="false">H727+I727</f>
        <v>0</v>
      </c>
      <c r="L727" s="13" t="n">
        <f aca="false">MAX(0,D727-K727)</f>
        <v>0</v>
      </c>
      <c r="M727" s="13" t="n">
        <f aca="false">MAX(0,F727-I727-J727)</f>
        <v>0</v>
      </c>
      <c r="N727" s="13" t="n">
        <f aca="false">IF(Kalender!A361="",0,J726-H727)</f>
        <v>0</v>
      </c>
    </row>
    <row r="728" customFormat="false" ht="16.4" hidden="false" customHeight="false" outlineLevel="0" collapsed="false">
      <c r="A728" s="13" t="str">
        <f aca="false">""</f>
        <v/>
      </c>
      <c r="B728" s="13" t="n">
        <f aca="false">358</f>
        <v>358</v>
      </c>
      <c r="C728" s="13" t="n">
        <f aca="false">IF(Szenarien!$H$9="OK",(IFERROR(SUMIF(Nutzungsprofile!$B$6:$B$11,"Schulbetrieb",Nutzungsprofile!$G$6:$G$11)*Kalender!C362/SUM(Kalender!$C$5:$C$370),0)+IFERROR(SUMIF(Nutzungsprofile!$B$6:$B$11,"Halle",Nutzungsprofile!$G$6:$G$11)*Kalender!D362/SUM(Kalender!$D$5:$D$370),0)+IFERROR(SUMIF(Nutzungsprofile!$B$6:$B$11,"Individuell",Nutzungsprofile!$G$6:$G$11)*Kalender!E362/SUM(Kalender!$E$5:$E$370),0))*Szenarien!$E$9,0)</f>
        <v>0</v>
      </c>
      <c r="D728" s="13" t="n">
        <f aca="false">IF(Szenarien!$H$9="OK",(IFERROR(SUMIF(Nutzungsprofile!$B$17:$B$22,"Schulbetrieb",Nutzungsprofile!$G$17:$G$22)*Kalender!C362/SUM(Kalender!$C$5:$C$370),0)+IFERROR(SUMIF(Nutzungsprofile!$B$17:$B$22,"Halle",Nutzungsprofile!$G$17:$G$22)*Kalender!D362/SUM(Kalender!$D$5:$D$370),0)+IFERROR(SUMIF(Nutzungsprofile!$B$17:$B$22,"Individuell",Nutzungsprofile!$G$17:$G$22)*Kalender!E362/SUM(Kalender!$E$5:$E$370),0))*Szenarien!$D$9,0)</f>
        <v>0</v>
      </c>
      <c r="E728" s="13" t="n">
        <f aca="false">IFERROR(MIN(C728,Eingaben!$B$17)*Eingaben!$B$16,0)</f>
        <v>0</v>
      </c>
      <c r="F728" s="13" t="n">
        <f aca="false">IFERROR(E728*Eingaben!$B$15,0)</f>
        <v>0</v>
      </c>
      <c r="G728" s="13" t="n">
        <f aca="false">IFERROR(IF(Kalender!A362="",0,J727*(1-Eingaben!$B$20)),0)</f>
        <v>0</v>
      </c>
      <c r="H728" s="13" t="n">
        <f aca="false">MIN(G728,D728)</f>
        <v>0</v>
      </c>
      <c r="I728" s="13" t="n">
        <f aca="false">IFERROR(MIN(F728*Eingaben!$B$19,MAX(0,D728-H728)),0)</f>
        <v>0</v>
      </c>
      <c r="J728" s="13" t="n">
        <f aca="false">IFERROR(MIN(Eingaben!$B$18,MAX(0,F728-I728)),0)</f>
        <v>0</v>
      </c>
      <c r="K728" s="13" t="n">
        <f aca="false">H728+I728</f>
        <v>0</v>
      </c>
      <c r="L728" s="13" t="n">
        <f aca="false">MAX(0,D728-K728)</f>
        <v>0</v>
      </c>
      <c r="M728" s="13" t="n">
        <f aca="false">MAX(0,F728-I728-J728)</f>
        <v>0</v>
      </c>
      <c r="N728" s="13" t="n">
        <f aca="false">IF(Kalender!A362="",0,J727-H728)</f>
        <v>0</v>
      </c>
    </row>
    <row r="729" customFormat="false" ht="16.4" hidden="false" customHeight="false" outlineLevel="0" collapsed="false">
      <c r="A729" s="13" t="str">
        <f aca="false">""</f>
        <v/>
      </c>
      <c r="B729" s="13" t="n">
        <f aca="false">359</f>
        <v>359</v>
      </c>
      <c r="C729" s="13" t="n">
        <f aca="false">IF(Szenarien!$H$9="OK",(IFERROR(SUMIF(Nutzungsprofile!$B$6:$B$11,"Schulbetrieb",Nutzungsprofile!$G$6:$G$11)*Kalender!C363/SUM(Kalender!$C$5:$C$370),0)+IFERROR(SUMIF(Nutzungsprofile!$B$6:$B$11,"Halle",Nutzungsprofile!$G$6:$G$11)*Kalender!D363/SUM(Kalender!$D$5:$D$370),0)+IFERROR(SUMIF(Nutzungsprofile!$B$6:$B$11,"Individuell",Nutzungsprofile!$G$6:$G$11)*Kalender!E363/SUM(Kalender!$E$5:$E$370),0))*Szenarien!$E$9,0)</f>
        <v>0</v>
      </c>
      <c r="D729" s="13" t="n">
        <f aca="false">IF(Szenarien!$H$9="OK",(IFERROR(SUMIF(Nutzungsprofile!$B$17:$B$22,"Schulbetrieb",Nutzungsprofile!$G$17:$G$22)*Kalender!C363/SUM(Kalender!$C$5:$C$370),0)+IFERROR(SUMIF(Nutzungsprofile!$B$17:$B$22,"Halle",Nutzungsprofile!$G$17:$G$22)*Kalender!D363/SUM(Kalender!$D$5:$D$370),0)+IFERROR(SUMIF(Nutzungsprofile!$B$17:$B$22,"Individuell",Nutzungsprofile!$G$17:$G$22)*Kalender!E363/SUM(Kalender!$E$5:$E$370),0))*Szenarien!$D$9,0)</f>
        <v>0</v>
      </c>
      <c r="E729" s="13" t="n">
        <f aca="false">IFERROR(MIN(C729,Eingaben!$B$17)*Eingaben!$B$16,0)</f>
        <v>0</v>
      </c>
      <c r="F729" s="13" t="n">
        <f aca="false">IFERROR(E729*Eingaben!$B$15,0)</f>
        <v>0</v>
      </c>
      <c r="G729" s="13" t="n">
        <f aca="false">IFERROR(IF(Kalender!A363="",0,J728*(1-Eingaben!$B$20)),0)</f>
        <v>0</v>
      </c>
      <c r="H729" s="13" t="n">
        <f aca="false">MIN(G729,D729)</f>
        <v>0</v>
      </c>
      <c r="I729" s="13" t="n">
        <f aca="false">IFERROR(MIN(F729*Eingaben!$B$19,MAX(0,D729-H729)),0)</f>
        <v>0</v>
      </c>
      <c r="J729" s="13" t="n">
        <f aca="false">IFERROR(MIN(Eingaben!$B$18,MAX(0,F729-I729)),0)</f>
        <v>0</v>
      </c>
      <c r="K729" s="13" t="n">
        <f aca="false">H729+I729</f>
        <v>0</v>
      </c>
      <c r="L729" s="13" t="n">
        <f aca="false">MAX(0,D729-K729)</f>
        <v>0</v>
      </c>
      <c r="M729" s="13" t="n">
        <f aca="false">MAX(0,F729-I729-J729)</f>
        <v>0</v>
      </c>
      <c r="N729" s="13" t="n">
        <f aca="false">IF(Kalender!A363="",0,J728-H729)</f>
        <v>0</v>
      </c>
    </row>
    <row r="730" customFormat="false" ht="16.4" hidden="false" customHeight="false" outlineLevel="0" collapsed="false">
      <c r="A730" s="13" t="str">
        <f aca="false">""</f>
        <v/>
      </c>
      <c r="B730" s="13" t="n">
        <f aca="false">360</f>
        <v>360</v>
      </c>
      <c r="C730" s="13" t="n">
        <f aca="false">IF(Szenarien!$H$9="OK",(IFERROR(SUMIF(Nutzungsprofile!$B$6:$B$11,"Schulbetrieb",Nutzungsprofile!$G$6:$G$11)*Kalender!C364/SUM(Kalender!$C$5:$C$370),0)+IFERROR(SUMIF(Nutzungsprofile!$B$6:$B$11,"Halle",Nutzungsprofile!$G$6:$G$11)*Kalender!D364/SUM(Kalender!$D$5:$D$370),0)+IFERROR(SUMIF(Nutzungsprofile!$B$6:$B$11,"Individuell",Nutzungsprofile!$G$6:$G$11)*Kalender!E364/SUM(Kalender!$E$5:$E$370),0))*Szenarien!$E$9,0)</f>
        <v>0</v>
      </c>
      <c r="D730" s="13" t="n">
        <f aca="false">IF(Szenarien!$H$9="OK",(IFERROR(SUMIF(Nutzungsprofile!$B$17:$B$22,"Schulbetrieb",Nutzungsprofile!$G$17:$G$22)*Kalender!C364/SUM(Kalender!$C$5:$C$370),0)+IFERROR(SUMIF(Nutzungsprofile!$B$17:$B$22,"Halle",Nutzungsprofile!$G$17:$G$22)*Kalender!D364/SUM(Kalender!$D$5:$D$370),0)+IFERROR(SUMIF(Nutzungsprofile!$B$17:$B$22,"Individuell",Nutzungsprofile!$G$17:$G$22)*Kalender!E364/SUM(Kalender!$E$5:$E$370),0))*Szenarien!$D$9,0)</f>
        <v>0</v>
      </c>
      <c r="E730" s="13" t="n">
        <f aca="false">IFERROR(MIN(C730,Eingaben!$B$17)*Eingaben!$B$16,0)</f>
        <v>0</v>
      </c>
      <c r="F730" s="13" t="n">
        <f aca="false">IFERROR(E730*Eingaben!$B$15,0)</f>
        <v>0</v>
      </c>
      <c r="G730" s="13" t="n">
        <f aca="false">IFERROR(IF(Kalender!A364="",0,J729*(1-Eingaben!$B$20)),0)</f>
        <v>0</v>
      </c>
      <c r="H730" s="13" t="n">
        <f aca="false">MIN(G730,D730)</f>
        <v>0</v>
      </c>
      <c r="I730" s="13" t="n">
        <f aca="false">IFERROR(MIN(F730*Eingaben!$B$19,MAX(0,D730-H730)),0)</f>
        <v>0</v>
      </c>
      <c r="J730" s="13" t="n">
        <f aca="false">IFERROR(MIN(Eingaben!$B$18,MAX(0,F730-I730)),0)</f>
        <v>0</v>
      </c>
      <c r="K730" s="13" t="n">
        <f aca="false">H730+I730</f>
        <v>0</v>
      </c>
      <c r="L730" s="13" t="n">
        <f aca="false">MAX(0,D730-K730)</f>
        <v>0</v>
      </c>
      <c r="M730" s="13" t="n">
        <f aca="false">MAX(0,F730-I730-J730)</f>
        <v>0</v>
      </c>
      <c r="N730" s="13" t="n">
        <f aca="false">IF(Kalender!A364="",0,J729-H730)</f>
        <v>0</v>
      </c>
    </row>
    <row r="731" customFormat="false" ht="16.4" hidden="false" customHeight="false" outlineLevel="0" collapsed="false">
      <c r="A731" s="13" t="str">
        <f aca="false">""</f>
        <v/>
      </c>
      <c r="B731" s="13" t="n">
        <f aca="false">361</f>
        <v>361</v>
      </c>
      <c r="C731" s="13" t="n">
        <f aca="false">IF(Szenarien!$H$9="OK",(IFERROR(SUMIF(Nutzungsprofile!$B$6:$B$11,"Schulbetrieb",Nutzungsprofile!$G$6:$G$11)*Kalender!C365/SUM(Kalender!$C$5:$C$370),0)+IFERROR(SUMIF(Nutzungsprofile!$B$6:$B$11,"Halle",Nutzungsprofile!$G$6:$G$11)*Kalender!D365/SUM(Kalender!$D$5:$D$370),0)+IFERROR(SUMIF(Nutzungsprofile!$B$6:$B$11,"Individuell",Nutzungsprofile!$G$6:$G$11)*Kalender!E365/SUM(Kalender!$E$5:$E$370),0))*Szenarien!$E$9,0)</f>
        <v>0</v>
      </c>
      <c r="D731" s="13" t="n">
        <f aca="false">IF(Szenarien!$H$9="OK",(IFERROR(SUMIF(Nutzungsprofile!$B$17:$B$22,"Schulbetrieb",Nutzungsprofile!$G$17:$G$22)*Kalender!C365/SUM(Kalender!$C$5:$C$370),0)+IFERROR(SUMIF(Nutzungsprofile!$B$17:$B$22,"Halle",Nutzungsprofile!$G$17:$G$22)*Kalender!D365/SUM(Kalender!$D$5:$D$370),0)+IFERROR(SUMIF(Nutzungsprofile!$B$17:$B$22,"Individuell",Nutzungsprofile!$G$17:$G$22)*Kalender!E365/SUM(Kalender!$E$5:$E$370),0))*Szenarien!$D$9,0)</f>
        <v>0</v>
      </c>
      <c r="E731" s="13" t="n">
        <f aca="false">IFERROR(MIN(C731,Eingaben!$B$17)*Eingaben!$B$16,0)</f>
        <v>0</v>
      </c>
      <c r="F731" s="13" t="n">
        <f aca="false">IFERROR(E731*Eingaben!$B$15,0)</f>
        <v>0</v>
      </c>
      <c r="G731" s="13" t="n">
        <f aca="false">IFERROR(IF(Kalender!A365="",0,J730*(1-Eingaben!$B$20)),0)</f>
        <v>0</v>
      </c>
      <c r="H731" s="13" t="n">
        <f aca="false">MIN(G731,D731)</f>
        <v>0</v>
      </c>
      <c r="I731" s="13" t="n">
        <f aca="false">IFERROR(MIN(F731*Eingaben!$B$19,MAX(0,D731-H731)),0)</f>
        <v>0</v>
      </c>
      <c r="J731" s="13" t="n">
        <f aca="false">IFERROR(MIN(Eingaben!$B$18,MAX(0,F731-I731)),0)</f>
        <v>0</v>
      </c>
      <c r="K731" s="13" t="n">
        <f aca="false">H731+I731</f>
        <v>0</v>
      </c>
      <c r="L731" s="13" t="n">
        <f aca="false">MAX(0,D731-K731)</f>
        <v>0</v>
      </c>
      <c r="M731" s="13" t="n">
        <f aca="false">MAX(0,F731-I731-J731)</f>
        <v>0</v>
      </c>
      <c r="N731" s="13" t="n">
        <f aca="false">IF(Kalender!A365="",0,J730-H731)</f>
        <v>0</v>
      </c>
    </row>
    <row r="732" customFormat="false" ht="16.4" hidden="false" customHeight="false" outlineLevel="0" collapsed="false">
      <c r="A732" s="13" t="str">
        <f aca="false">""</f>
        <v/>
      </c>
      <c r="B732" s="13" t="n">
        <f aca="false">362</f>
        <v>362</v>
      </c>
      <c r="C732" s="13" t="n">
        <f aca="false">IF(Szenarien!$H$9="OK",(IFERROR(SUMIF(Nutzungsprofile!$B$6:$B$11,"Schulbetrieb",Nutzungsprofile!$G$6:$G$11)*Kalender!C366/SUM(Kalender!$C$5:$C$370),0)+IFERROR(SUMIF(Nutzungsprofile!$B$6:$B$11,"Halle",Nutzungsprofile!$G$6:$G$11)*Kalender!D366/SUM(Kalender!$D$5:$D$370),0)+IFERROR(SUMIF(Nutzungsprofile!$B$6:$B$11,"Individuell",Nutzungsprofile!$G$6:$G$11)*Kalender!E366/SUM(Kalender!$E$5:$E$370),0))*Szenarien!$E$9,0)</f>
        <v>0</v>
      </c>
      <c r="D732" s="13" t="n">
        <f aca="false">IF(Szenarien!$H$9="OK",(IFERROR(SUMIF(Nutzungsprofile!$B$17:$B$22,"Schulbetrieb",Nutzungsprofile!$G$17:$G$22)*Kalender!C366/SUM(Kalender!$C$5:$C$370),0)+IFERROR(SUMIF(Nutzungsprofile!$B$17:$B$22,"Halle",Nutzungsprofile!$G$17:$G$22)*Kalender!D366/SUM(Kalender!$D$5:$D$370),0)+IFERROR(SUMIF(Nutzungsprofile!$B$17:$B$22,"Individuell",Nutzungsprofile!$G$17:$G$22)*Kalender!E366/SUM(Kalender!$E$5:$E$370),0))*Szenarien!$D$9,0)</f>
        <v>0</v>
      </c>
      <c r="E732" s="13" t="n">
        <f aca="false">IFERROR(MIN(C732,Eingaben!$B$17)*Eingaben!$B$16,0)</f>
        <v>0</v>
      </c>
      <c r="F732" s="13" t="n">
        <f aca="false">IFERROR(E732*Eingaben!$B$15,0)</f>
        <v>0</v>
      </c>
      <c r="G732" s="13" t="n">
        <f aca="false">IFERROR(IF(Kalender!A366="",0,J731*(1-Eingaben!$B$20)),0)</f>
        <v>0</v>
      </c>
      <c r="H732" s="13" t="n">
        <f aca="false">MIN(G732,D732)</f>
        <v>0</v>
      </c>
      <c r="I732" s="13" t="n">
        <f aca="false">IFERROR(MIN(F732*Eingaben!$B$19,MAX(0,D732-H732)),0)</f>
        <v>0</v>
      </c>
      <c r="J732" s="13" t="n">
        <f aca="false">IFERROR(MIN(Eingaben!$B$18,MAX(0,F732-I732)),0)</f>
        <v>0</v>
      </c>
      <c r="K732" s="13" t="n">
        <f aca="false">H732+I732</f>
        <v>0</v>
      </c>
      <c r="L732" s="13" t="n">
        <f aca="false">MAX(0,D732-K732)</f>
        <v>0</v>
      </c>
      <c r="M732" s="13" t="n">
        <f aca="false">MAX(0,F732-I732-J732)</f>
        <v>0</v>
      </c>
      <c r="N732" s="13" t="n">
        <f aca="false">IF(Kalender!A366="",0,J731-H732)</f>
        <v>0</v>
      </c>
    </row>
    <row r="733" customFormat="false" ht="16.4" hidden="false" customHeight="false" outlineLevel="0" collapsed="false">
      <c r="A733" s="13" t="str">
        <f aca="false">""</f>
        <v/>
      </c>
      <c r="B733" s="13" t="n">
        <f aca="false">363</f>
        <v>363</v>
      </c>
      <c r="C733" s="13" t="n">
        <f aca="false">IF(Szenarien!$H$9="OK",(IFERROR(SUMIF(Nutzungsprofile!$B$6:$B$11,"Schulbetrieb",Nutzungsprofile!$G$6:$G$11)*Kalender!C367/SUM(Kalender!$C$5:$C$370),0)+IFERROR(SUMIF(Nutzungsprofile!$B$6:$B$11,"Halle",Nutzungsprofile!$G$6:$G$11)*Kalender!D367/SUM(Kalender!$D$5:$D$370),0)+IFERROR(SUMIF(Nutzungsprofile!$B$6:$B$11,"Individuell",Nutzungsprofile!$G$6:$G$11)*Kalender!E367/SUM(Kalender!$E$5:$E$370),0))*Szenarien!$E$9,0)</f>
        <v>0</v>
      </c>
      <c r="D733" s="13" t="n">
        <f aca="false">IF(Szenarien!$H$9="OK",(IFERROR(SUMIF(Nutzungsprofile!$B$17:$B$22,"Schulbetrieb",Nutzungsprofile!$G$17:$G$22)*Kalender!C367/SUM(Kalender!$C$5:$C$370),0)+IFERROR(SUMIF(Nutzungsprofile!$B$17:$B$22,"Halle",Nutzungsprofile!$G$17:$G$22)*Kalender!D367/SUM(Kalender!$D$5:$D$370),0)+IFERROR(SUMIF(Nutzungsprofile!$B$17:$B$22,"Individuell",Nutzungsprofile!$G$17:$G$22)*Kalender!E367/SUM(Kalender!$E$5:$E$370),0))*Szenarien!$D$9,0)</f>
        <v>0</v>
      </c>
      <c r="E733" s="13" t="n">
        <f aca="false">IFERROR(MIN(C733,Eingaben!$B$17)*Eingaben!$B$16,0)</f>
        <v>0</v>
      </c>
      <c r="F733" s="13" t="n">
        <f aca="false">IFERROR(E733*Eingaben!$B$15,0)</f>
        <v>0</v>
      </c>
      <c r="G733" s="13" t="n">
        <f aca="false">IFERROR(IF(Kalender!A367="",0,J732*(1-Eingaben!$B$20)),0)</f>
        <v>0</v>
      </c>
      <c r="H733" s="13" t="n">
        <f aca="false">MIN(G733,D733)</f>
        <v>0</v>
      </c>
      <c r="I733" s="13" t="n">
        <f aca="false">IFERROR(MIN(F733*Eingaben!$B$19,MAX(0,D733-H733)),0)</f>
        <v>0</v>
      </c>
      <c r="J733" s="13" t="n">
        <f aca="false">IFERROR(MIN(Eingaben!$B$18,MAX(0,F733-I733)),0)</f>
        <v>0</v>
      </c>
      <c r="K733" s="13" t="n">
        <f aca="false">H733+I733</f>
        <v>0</v>
      </c>
      <c r="L733" s="13" t="n">
        <f aca="false">MAX(0,D733-K733)</f>
        <v>0</v>
      </c>
      <c r="M733" s="13" t="n">
        <f aca="false">MAX(0,F733-I733-J733)</f>
        <v>0</v>
      </c>
      <c r="N733" s="13" t="n">
        <f aca="false">IF(Kalender!A367="",0,J732-H733)</f>
        <v>0</v>
      </c>
    </row>
    <row r="734" customFormat="false" ht="16.4" hidden="false" customHeight="false" outlineLevel="0" collapsed="false">
      <c r="A734" s="13" t="str">
        <f aca="false">""</f>
        <v/>
      </c>
      <c r="B734" s="13" t="n">
        <f aca="false">364</f>
        <v>364</v>
      </c>
      <c r="C734" s="13" t="n">
        <f aca="false">IF(Szenarien!$H$9="OK",(IFERROR(SUMIF(Nutzungsprofile!$B$6:$B$11,"Schulbetrieb",Nutzungsprofile!$G$6:$G$11)*Kalender!C368/SUM(Kalender!$C$5:$C$370),0)+IFERROR(SUMIF(Nutzungsprofile!$B$6:$B$11,"Halle",Nutzungsprofile!$G$6:$G$11)*Kalender!D368/SUM(Kalender!$D$5:$D$370),0)+IFERROR(SUMIF(Nutzungsprofile!$B$6:$B$11,"Individuell",Nutzungsprofile!$G$6:$G$11)*Kalender!E368/SUM(Kalender!$E$5:$E$370),0))*Szenarien!$E$9,0)</f>
        <v>0</v>
      </c>
      <c r="D734" s="13" t="n">
        <f aca="false">IF(Szenarien!$H$9="OK",(IFERROR(SUMIF(Nutzungsprofile!$B$17:$B$22,"Schulbetrieb",Nutzungsprofile!$G$17:$G$22)*Kalender!C368/SUM(Kalender!$C$5:$C$370),0)+IFERROR(SUMIF(Nutzungsprofile!$B$17:$B$22,"Halle",Nutzungsprofile!$G$17:$G$22)*Kalender!D368/SUM(Kalender!$D$5:$D$370),0)+IFERROR(SUMIF(Nutzungsprofile!$B$17:$B$22,"Individuell",Nutzungsprofile!$G$17:$G$22)*Kalender!E368/SUM(Kalender!$E$5:$E$370),0))*Szenarien!$D$9,0)</f>
        <v>0</v>
      </c>
      <c r="E734" s="13" t="n">
        <f aca="false">IFERROR(MIN(C734,Eingaben!$B$17)*Eingaben!$B$16,0)</f>
        <v>0</v>
      </c>
      <c r="F734" s="13" t="n">
        <f aca="false">IFERROR(E734*Eingaben!$B$15,0)</f>
        <v>0</v>
      </c>
      <c r="G734" s="13" t="n">
        <f aca="false">IFERROR(IF(Kalender!A368="",0,J733*(1-Eingaben!$B$20)),0)</f>
        <v>0</v>
      </c>
      <c r="H734" s="13" t="n">
        <f aca="false">MIN(G734,D734)</f>
        <v>0</v>
      </c>
      <c r="I734" s="13" t="n">
        <f aca="false">IFERROR(MIN(F734*Eingaben!$B$19,MAX(0,D734-H734)),0)</f>
        <v>0</v>
      </c>
      <c r="J734" s="13" t="n">
        <f aca="false">IFERROR(MIN(Eingaben!$B$18,MAX(0,F734-I734)),0)</f>
        <v>0</v>
      </c>
      <c r="K734" s="13" t="n">
        <f aca="false">H734+I734</f>
        <v>0</v>
      </c>
      <c r="L734" s="13" t="n">
        <f aca="false">MAX(0,D734-K734)</f>
        <v>0</v>
      </c>
      <c r="M734" s="13" t="n">
        <f aca="false">MAX(0,F734-I734-J734)</f>
        <v>0</v>
      </c>
      <c r="N734" s="13" t="n">
        <f aca="false">IF(Kalender!A368="",0,J733-H734)</f>
        <v>0</v>
      </c>
    </row>
    <row r="735" customFormat="false" ht="16.4" hidden="false" customHeight="false" outlineLevel="0" collapsed="false">
      <c r="A735" s="13" t="str">
        <f aca="false">""</f>
        <v/>
      </c>
      <c r="B735" s="13" t="n">
        <f aca="false">365</f>
        <v>365</v>
      </c>
      <c r="C735" s="13" t="n">
        <f aca="false">IF(Szenarien!$H$9="OK",(IFERROR(SUMIF(Nutzungsprofile!$B$6:$B$11,"Schulbetrieb",Nutzungsprofile!$G$6:$G$11)*Kalender!C369/SUM(Kalender!$C$5:$C$370),0)+IFERROR(SUMIF(Nutzungsprofile!$B$6:$B$11,"Halle",Nutzungsprofile!$G$6:$G$11)*Kalender!D369/SUM(Kalender!$D$5:$D$370),0)+IFERROR(SUMIF(Nutzungsprofile!$B$6:$B$11,"Individuell",Nutzungsprofile!$G$6:$G$11)*Kalender!E369/SUM(Kalender!$E$5:$E$370),0))*Szenarien!$E$9,0)</f>
        <v>0</v>
      </c>
      <c r="D735" s="13" t="n">
        <f aca="false">IF(Szenarien!$H$9="OK",(IFERROR(SUMIF(Nutzungsprofile!$B$17:$B$22,"Schulbetrieb",Nutzungsprofile!$G$17:$G$22)*Kalender!C369/SUM(Kalender!$C$5:$C$370),0)+IFERROR(SUMIF(Nutzungsprofile!$B$17:$B$22,"Halle",Nutzungsprofile!$G$17:$G$22)*Kalender!D369/SUM(Kalender!$D$5:$D$370),0)+IFERROR(SUMIF(Nutzungsprofile!$B$17:$B$22,"Individuell",Nutzungsprofile!$G$17:$G$22)*Kalender!E369/SUM(Kalender!$E$5:$E$370),0))*Szenarien!$D$9,0)</f>
        <v>0</v>
      </c>
      <c r="E735" s="13" t="n">
        <f aca="false">IFERROR(MIN(C735,Eingaben!$B$17)*Eingaben!$B$16,0)</f>
        <v>0</v>
      </c>
      <c r="F735" s="13" t="n">
        <f aca="false">IFERROR(E735*Eingaben!$B$15,0)</f>
        <v>0</v>
      </c>
      <c r="G735" s="13" t="n">
        <f aca="false">IFERROR(IF(Kalender!A369="",0,J734*(1-Eingaben!$B$20)),0)</f>
        <v>0</v>
      </c>
      <c r="H735" s="13" t="n">
        <f aca="false">MIN(G735,D735)</f>
        <v>0</v>
      </c>
      <c r="I735" s="13" t="n">
        <f aca="false">IFERROR(MIN(F735*Eingaben!$B$19,MAX(0,D735-H735)),0)</f>
        <v>0</v>
      </c>
      <c r="J735" s="13" t="n">
        <f aca="false">IFERROR(MIN(Eingaben!$B$18,MAX(0,F735-I735)),0)</f>
        <v>0</v>
      </c>
      <c r="K735" s="13" t="n">
        <f aca="false">H735+I735</f>
        <v>0</v>
      </c>
      <c r="L735" s="13" t="n">
        <f aca="false">MAX(0,D735-K735)</f>
        <v>0</v>
      </c>
      <c r="M735" s="13" t="n">
        <f aca="false">MAX(0,F735-I735-J735)</f>
        <v>0</v>
      </c>
      <c r="N735" s="13" t="n">
        <f aca="false">IF(Kalender!A369="",0,J734-H735)</f>
        <v>0</v>
      </c>
    </row>
    <row r="736" customFormat="false" ht="16.4" hidden="false" customHeight="false" outlineLevel="0" collapsed="false">
      <c r="A736" s="13" t="str">
        <f aca="false">""</f>
        <v/>
      </c>
      <c r="B736" s="13" t="n">
        <f aca="false">366</f>
        <v>366</v>
      </c>
      <c r="C736" s="13" t="n">
        <f aca="false">IF(Szenarien!$H$9="OK",(IFERROR(SUMIF(Nutzungsprofile!$B$6:$B$11,"Schulbetrieb",Nutzungsprofile!$G$6:$G$11)*Kalender!C370/SUM(Kalender!$C$5:$C$370),0)+IFERROR(SUMIF(Nutzungsprofile!$B$6:$B$11,"Halle",Nutzungsprofile!$G$6:$G$11)*Kalender!D370/SUM(Kalender!$D$5:$D$370),0)+IFERROR(SUMIF(Nutzungsprofile!$B$6:$B$11,"Individuell",Nutzungsprofile!$G$6:$G$11)*Kalender!E370/SUM(Kalender!$E$5:$E$370),0))*Szenarien!$E$9,0)</f>
        <v>0</v>
      </c>
      <c r="D736" s="13" t="n">
        <f aca="false">IF(Szenarien!$H$9="OK",(IFERROR(SUMIF(Nutzungsprofile!$B$17:$B$22,"Schulbetrieb",Nutzungsprofile!$G$17:$G$22)*Kalender!C370/SUM(Kalender!$C$5:$C$370),0)+IFERROR(SUMIF(Nutzungsprofile!$B$17:$B$22,"Halle",Nutzungsprofile!$G$17:$G$22)*Kalender!D370/SUM(Kalender!$D$5:$D$370),0)+IFERROR(SUMIF(Nutzungsprofile!$B$17:$B$22,"Individuell",Nutzungsprofile!$G$17:$G$22)*Kalender!E370/SUM(Kalender!$E$5:$E$370),0))*Szenarien!$D$9,0)</f>
        <v>0</v>
      </c>
      <c r="E736" s="13" t="n">
        <f aca="false">IFERROR(MIN(C736,Eingaben!$B$17)*Eingaben!$B$16,0)</f>
        <v>0</v>
      </c>
      <c r="F736" s="13" t="n">
        <f aca="false">IFERROR(E736*Eingaben!$B$15,0)</f>
        <v>0</v>
      </c>
      <c r="G736" s="13" t="n">
        <f aca="false">IFERROR(IF(Kalender!A370="",0,J735*(1-Eingaben!$B$20)),0)</f>
        <v>0</v>
      </c>
      <c r="H736" s="13" t="n">
        <f aca="false">MIN(G736,D736)</f>
        <v>0</v>
      </c>
      <c r="I736" s="13" t="n">
        <f aca="false">IFERROR(MIN(F736*Eingaben!$B$19,MAX(0,D736-H736)),0)</f>
        <v>0</v>
      </c>
      <c r="J736" s="13" t="n">
        <f aca="false">IFERROR(MIN(Eingaben!$B$18,MAX(0,F736-I736)),0)</f>
        <v>0</v>
      </c>
      <c r="K736" s="13" t="n">
        <f aca="false">H736+I736</f>
        <v>0</v>
      </c>
      <c r="L736" s="13" t="n">
        <f aca="false">MAX(0,D736-K736)</f>
        <v>0</v>
      </c>
      <c r="M736" s="13" t="n">
        <f aca="false">MAX(0,F736-I736-J736)</f>
        <v>0</v>
      </c>
      <c r="N736" s="13" t="n">
        <f aca="false">IF(Kalender!A370="",0,J735-H736)</f>
        <v>0</v>
      </c>
    </row>
    <row r="737" customFormat="false" ht="16.4" hidden="false" customHeight="false" outlineLevel="0" collapsed="false">
      <c r="A737" s="13" t="str">
        <f aca="false">"Optimistisch"</f>
        <v>Optimistisch</v>
      </c>
      <c r="B737" s="13" t="n">
        <f aca="false">1</f>
        <v>1</v>
      </c>
      <c r="C737" s="13" t="n">
        <f aca="false">IF(Szenarien!$H$10="OK",(IFERROR(SUMIF(Nutzungsprofile!$B$6:$B$11,"Schulbetrieb",Nutzungsprofile!$G$6:$G$11)*Kalender!C5/SUM(Kalender!$C$5:$C$370),0)+IFERROR(SUMIF(Nutzungsprofile!$B$6:$B$11,"Halle",Nutzungsprofile!$G$6:$G$11)*Kalender!D5/SUM(Kalender!$D$5:$D$370),0)+IFERROR(SUMIF(Nutzungsprofile!$B$6:$B$11,"Individuell",Nutzungsprofile!$G$6:$G$11)*Kalender!E5/SUM(Kalender!$E$5:$E$370),0))*Szenarien!$E$10,0)</f>
        <v>3.528</v>
      </c>
      <c r="D737" s="13" t="n">
        <f aca="false">IF(Szenarien!$H$10="OK",(IFERROR(SUMIF(Nutzungsprofile!$B$17:$B$22,"Schulbetrieb",Nutzungsprofile!$G$17:$G$22)*Kalender!C5/SUM(Kalender!$C$5:$C$370),0)+IFERROR(SUMIF(Nutzungsprofile!$B$17:$B$22,"Halle",Nutzungsprofile!$G$17:$G$22)*Kalender!D5/SUM(Kalender!$D$5:$D$370),0)+IFERROR(SUMIF(Nutzungsprofile!$B$17:$B$22,"Individuell",Nutzungsprofile!$G$17:$G$22)*Kalender!E5/SUM(Kalender!$E$5:$E$370),0))*Szenarien!$D$10,0)</f>
        <v>5.434</v>
      </c>
      <c r="E737" s="13" t="n">
        <f aca="false">IFERROR(MIN(C737,Eingaben!$B$17)*Eingaben!$B$16,0)</f>
        <v>3.3516</v>
      </c>
      <c r="F737" s="13" t="n">
        <f aca="false">IFERROR(E737*Eingaben!$B$15,0)</f>
        <v>3.01644</v>
      </c>
      <c r="G737" s="13" t="n">
        <f aca="false">0</f>
        <v>0</v>
      </c>
      <c r="H737" s="13" t="n">
        <f aca="false">MIN(G737,D737)</f>
        <v>0</v>
      </c>
      <c r="I737" s="13" t="n">
        <f aca="false">IFERROR(MIN(F737*Eingaben!$B$19,MAX(0,D737-H737)),0)</f>
        <v>2.111508</v>
      </c>
      <c r="J737" s="13" t="n">
        <f aca="false">IFERROR(MIN(Eingaben!$B$18,MAX(0,F737-I737)),0)</f>
        <v>0.904932</v>
      </c>
      <c r="K737" s="13" t="n">
        <f aca="false">H737+I737</f>
        <v>2.111508</v>
      </c>
      <c r="L737" s="13" t="n">
        <f aca="false">MAX(0,D737-K737)</f>
        <v>3.322492</v>
      </c>
      <c r="M737" s="13" t="n">
        <f aca="false">MAX(0,F737-I737-J737)</f>
        <v>0</v>
      </c>
      <c r="N737" s="13" t="n">
        <f aca="false">0</f>
        <v>0</v>
      </c>
    </row>
    <row r="738" customFormat="false" ht="16.4" hidden="false" customHeight="false" outlineLevel="0" collapsed="false">
      <c r="A738" s="13" t="str">
        <f aca="false">""</f>
        <v/>
      </c>
      <c r="B738" s="13" t="n">
        <f aca="false">2</f>
        <v>2</v>
      </c>
      <c r="C738" s="13" t="n">
        <f aca="false">IF(Szenarien!$H$10="OK",(IFERROR(SUMIF(Nutzungsprofile!$B$6:$B$11,"Schulbetrieb",Nutzungsprofile!$G$6:$G$11)*Kalender!C6/SUM(Kalender!$C$5:$C$370),0)+IFERROR(SUMIF(Nutzungsprofile!$B$6:$B$11,"Halle",Nutzungsprofile!$G$6:$G$11)*Kalender!D6/SUM(Kalender!$D$5:$D$370),0)+IFERROR(SUMIF(Nutzungsprofile!$B$6:$B$11,"Individuell",Nutzungsprofile!$G$6:$G$11)*Kalender!E6/SUM(Kalender!$E$5:$E$370),0))*Szenarien!$E$10,0)</f>
        <v>3.528</v>
      </c>
      <c r="D738" s="13" t="n">
        <f aca="false">IF(Szenarien!$H$10="OK",(IFERROR(SUMIF(Nutzungsprofile!$B$17:$B$22,"Schulbetrieb",Nutzungsprofile!$G$17:$G$22)*Kalender!C6/SUM(Kalender!$C$5:$C$370),0)+IFERROR(SUMIF(Nutzungsprofile!$B$17:$B$22,"Halle",Nutzungsprofile!$G$17:$G$22)*Kalender!D6/SUM(Kalender!$D$5:$D$370),0)+IFERROR(SUMIF(Nutzungsprofile!$B$17:$B$22,"Individuell",Nutzungsprofile!$G$17:$G$22)*Kalender!E6/SUM(Kalender!$E$5:$E$370),0))*Szenarien!$D$10,0)</f>
        <v>5.434</v>
      </c>
      <c r="E738" s="13" t="n">
        <f aca="false">IFERROR(MIN(C738,Eingaben!$B$17)*Eingaben!$B$16,0)</f>
        <v>3.3516</v>
      </c>
      <c r="F738" s="13" t="n">
        <f aca="false">IFERROR(E738*Eingaben!$B$15,0)</f>
        <v>3.01644</v>
      </c>
      <c r="G738" s="13" t="n">
        <f aca="false">IFERROR(IF(Kalender!A6="",0,J737*(1-Eingaben!$B$20)),0)</f>
        <v>0.88683336</v>
      </c>
      <c r="H738" s="13" t="n">
        <f aca="false">MIN(G738,D738)</f>
        <v>0.88683336</v>
      </c>
      <c r="I738" s="13" t="n">
        <f aca="false">IFERROR(MIN(F738*Eingaben!$B$19,MAX(0,D738-H738)),0)</f>
        <v>2.111508</v>
      </c>
      <c r="J738" s="13" t="n">
        <f aca="false">IFERROR(MIN(Eingaben!$B$18,MAX(0,F738-I738)),0)</f>
        <v>0.904932</v>
      </c>
      <c r="K738" s="13" t="n">
        <f aca="false">H738+I738</f>
        <v>2.99834136</v>
      </c>
      <c r="L738" s="13" t="n">
        <f aca="false">MAX(0,D738-K738)</f>
        <v>2.43565864</v>
      </c>
      <c r="M738" s="13" t="n">
        <f aca="false">MAX(0,F738-I738-J738)</f>
        <v>0</v>
      </c>
      <c r="N738" s="13" t="n">
        <f aca="false">IF(Kalender!A6="",0,J737-H738)</f>
        <v>0.0180986400000001</v>
      </c>
    </row>
    <row r="739" customFormat="false" ht="16.4" hidden="false" customHeight="false" outlineLevel="0" collapsed="false">
      <c r="A739" s="13" t="str">
        <f aca="false">""</f>
        <v/>
      </c>
      <c r="B739" s="13" t="n">
        <f aca="false">3</f>
        <v>3</v>
      </c>
      <c r="C739" s="13" t="n">
        <f aca="false">IF(Szenarien!$H$10="OK",(IFERROR(SUMIF(Nutzungsprofile!$B$6:$B$11,"Schulbetrieb",Nutzungsprofile!$G$6:$G$11)*Kalender!C7/SUM(Kalender!$C$5:$C$370),0)+IFERROR(SUMIF(Nutzungsprofile!$B$6:$B$11,"Halle",Nutzungsprofile!$G$6:$G$11)*Kalender!D7/SUM(Kalender!$D$5:$D$370),0)+IFERROR(SUMIF(Nutzungsprofile!$B$6:$B$11,"Individuell",Nutzungsprofile!$G$6:$G$11)*Kalender!E7/SUM(Kalender!$E$5:$E$370),0))*Szenarien!$E$10,0)</f>
        <v>2.448</v>
      </c>
      <c r="D739" s="13" t="n">
        <f aca="false">IF(Szenarien!$H$10="OK",(IFERROR(SUMIF(Nutzungsprofile!$B$17:$B$22,"Schulbetrieb",Nutzungsprofile!$G$17:$G$22)*Kalender!C7/SUM(Kalender!$C$5:$C$370),0)+IFERROR(SUMIF(Nutzungsprofile!$B$17:$B$22,"Halle",Nutzungsprofile!$G$17:$G$22)*Kalender!D7/SUM(Kalender!$D$5:$D$370),0)+IFERROR(SUMIF(Nutzungsprofile!$B$17:$B$22,"Individuell",Nutzungsprofile!$G$17:$G$22)*Kalender!E7/SUM(Kalender!$E$5:$E$370),0))*Szenarien!$D$10,0)</f>
        <v>0.979</v>
      </c>
      <c r="E739" s="13" t="n">
        <f aca="false">IFERROR(MIN(C739,Eingaben!$B$17)*Eingaben!$B$16,0)</f>
        <v>2.3256</v>
      </c>
      <c r="F739" s="13" t="n">
        <f aca="false">IFERROR(E739*Eingaben!$B$15,0)</f>
        <v>2.09304</v>
      </c>
      <c r="G739" s="13" t="n">
        <f aca="false">IFERROR(IF(Kalender!A7="",0,J738*(1-Eingaben!$B$20)),0)</f>
        <v>0.88683336</v>
      </c>
      <c r="H739" s="13" t="n">
        <f aca="false">MIN(G739,D739)</f>
        <v>0.88683336</v>
      </c>
      <c r="I739" s="13" t="n">
        <f aca="false">IFERROR(MIN(F739*Eingaben!$B$19,MAX(0,D739-H739)),0)</f>
        <v>0.0921666400000001</v>
      </c>
      <c r="J739" s="13" t="n">
        <f aca="false">IFERROR(MIN(Eingaben!$B$18,MAX(0,F739-I739)),0)</f>
        <v>2</v>
      </c>
      <c r="K739" s="13" t="n">
        <f aca="false">H739+I739</f>
        <v>0.979</v>
      </c>
      <c r="L739" s="13" t="n">
        <f aca="false">MAX(0,D739-K739)</f>
        <v>0</v>
      </c>
      <c r="M739" s="13" t="n">
        <f aca="false">MAX(0,F739-I739-J739)</f>
        <v>0.000873359999999934</v>
      </c>
      <c r="N739" s="13" t="n">
        <f aca="false">IF(Kalender!A7="",0,J738-H739)</f>
        <v>0.0180986400000001</v>
      </c>
    </row>
    <row r="740" customFormat="false" ht="16.4" hidden="false" customHeight="false" outlineLevel="0" collapsed="false">
      <c r="A740" s="13" t="str">
        <f aca="false">""</f>
        <v/>
      </c>
      <c r="B740" s="13" t="n">
        <f aca="false">4</f>
        <v>4</v>
      </c>
      <c r="C740" s="13" t="n">
        <f aca="false">IF(Szenarien!$H$10="OK",(IFERROR(SUMIF(Nutzungsprofile!$B$6:$B$11,"Schulbetrieb",Nutzungsprofile!$G$6:$G$11)*Kalender!C8/SUM(Kalender!$C$5:$C$370),0)+IFERROR(SUMIF(Nutzungsprofile!$B$6:$B$11,"Halle",Nutzungsprofile!$G$6:$G$11)*Kalender!D8/SUM(Kalender!$D$5:$D$370),0)+IFERROR(SUMIF(Nutzungsprofile!$B$6:$B$11,"Individuell",Nutzungsprofile!$G$6:$G$11)*Kalender!E8/SUM(Kalender!$E$5:$E$370),0))*Szenarien!$E$10,0)</f>
        <v>2.448</v>
      </c>
      <c r="D740" s="13" t="n">
        <f aca="false">IF(Szenarien!$H$10="OK",(IFERROR(SUMIF(Nutzungsprofile!$B$17:$B$22,"Schulbetrieb",Nutzungsprofile!$G$17:$G$22)*Kalender!C8/SUM(Kalender!$C$5:$C$370),0)+IFERROR(SUMIF(Nutzungsprofile!$B$17:$B$22,"Halle",Nutzungsprofile!$G$17:$G$22)*Kalender!D8/SUM(Kalender!$D$5:$D$370),0)+IFERROR(SUMIF(Nutzungsprofile!$B$17:$B$22,"Individuell",Nutzungsprofile!$G$17:$G$22)*Kalender!E8/SUM(Kalender!$E$5:$E$370),0))*Szenarien!$D$10,0)</f>
        <v>0.979</v>
      </c>
      <c r="E740" s="13" t="n">
        <f aca="false">IFERROR(MIN(C740,Eingaben!$B$17)*Eingaben!$B$16,0)</f>
        <v>2.3256</v>
      </c>
      <c r="F740" s="13" t="n">
        <f aca="false">IFERROR(E740*Eingaben!$B$15,0)</f>
        <v>2.09304</v>
      </c>
      <c r="G740" s="13" t="n">
        <f aca="false">IFERROR(IF(Kalender!A8="",0,J739*(1-Eingaben!$B$20)),0)</f>
        <v>1.96</v>
      </c>
      <c r="H740" s="13" t="n">
        <f aca="false">MIN(G740,D740)</f>
        <v>0.979</v>
      </c>
      <c r="I740" s="13" t="n">
        <f aca="false">IFERROR(MIN(F740*Eingaben!$B$19,MAX(0,D740-H740)),0)</f>
        <v>0</v>
      </c>
      <c r="J740" s="13" t="n">
        <f aca="false">IFERROR(MIN(Eingaben!$B$18,MAX(0,F740-I740)),0)</f>
        <v>2</v>
      </c>
      <c r="K740" s="13" t="n">
        <f aca="false">H740+I740</f>
        <v>0.979</v>
      </c>
      <c r="L740" s="13" t="n">
        <f aca="false">MAX(0,D740-K740)</f>
        <v>0</v>
      </c>
      <c r="M740" s="13" t="n">
        <f aca="false">MAX(0,F740-I740-J740)</f>
        <v>0.0930399999999998</v>
      </c>
      <c r="N740" s="13" t="n">
        <f aca="false">IF(Kalender!A8="",0,J739-H740)</f>
        <v>1.021</v>
      </c>
    </row>
    <row r="741" customFormat="false" ht="16.4" hidden="false" customHeight="false" outlineLevel="0" collapsed="false">
      <c r="A741" s="13" t="str">
        <f aca="false">""</f>
        <v/>
      </c>
      <c r="B741" s="13" t="n">
        <f aca="false">5</f>
        <v>5</v>
      </c>
      <c r="C741" s="13" t="n">
        <f aca="false">IF(Szenarien!$H$10="OK",(IFERROR(SUMIF(Nutzungsprofile!$B$6:$B$11,"Schulbetrieb",Nutzungsprofile!$G$6:$G$11)*Kalender!C9/SUM(Kalender!$C$5:$C$370),0)+IFERROR(SUMIF(Nutzungsprofile!$B$6:$B$11,"Halle",Nutzungsprofile!$G$6:$G$11)*Kalender!D9/SUM(Kalender!$D$5:$D$370),0)+IFERROR(SUMIF(Nutzungsprofile!$B$6:$B$11,"Individuell",Nutzungsprofile!$G$6:$G$11)*Kalender!E9/SUM(Kalender!$E$5:$E$370),0))*Szenarien!$E$10,0)</f>
        <v>3.528</v>
      </c>
      <c r="D741" s="13" t="n">
        <f aca="false">IF(Szenarien!$H$10="OK",(IFERROR(SUMIF(Nutzungsprofile!$B$17:$B$22,"Schulbetrieb",Nutzungsprofile!$G$17:$G$22)*Kalender!C9/SUM(Kalender!$C$5:$C$370),0)+IFERROR(SUMIF(Nutzungsprofile!$B$17:$B$22,"Halle",Nutzungsprofile!$G$17:$G$22)*Kalender!D9/SUM(Kalender!$D$5:$D$370),0)+IFERROR(SUMIF(Nutzungsprofile!$B$17:$B$22,"Individuell",Nutzungsprofile!$G$17:$G$22)*Kalender!E9/SUM(Kalender!$E$5:$E$370),0))*Szenarien!$D$10,0)</f>
        <v>5.434</v>
      </c>
      <c r="E741" s="13" t="n">
        <f aca="false">IFERROR(MIN(C741,Eingaben!$B$17)*Eingaben!$B$16,0)</f>
        <v>3.3516</v>
      </c>
      <c r="F741" s="13" t="n">
        <f aca="false">IFERROR(E741*Eingaben!$B$15,0)</f>
        <v>3.01644</v>
      </c>
      <c r="G741" s="13" t="n">
        <f aca="false">IFERROR(IF(Kalender!A9="",0,J740*(1-Eingaben!$B$20)),0)</f>
        <v>1.96</v>
      </c>
      <c r="H741" s="13" t="n">
        <f aca="false">MIN(G741,D741)</f>
        <v>1.96</v>
      </c>
      <c r="I741" s="13" t="n">
        <f aca="false">IFERROR(MIN(F741*Eingaben!$B$19,MAX(0,D741-H741)),0)</f>
        <v>2.111508</v>
      </c>
      <c r="J741" s="13" t="n">
        <f aca="false">IFERROR(MIN(Eingaben!$B$18,MAX(0,F741-I741)),0)</f>
        <v>0.904932</v>
      </c>
      <c r="K741" s="13" t="n">
        <f aca="false">H741+I741</f>
        <v>4.071508</v>
      </c>
      <c r="L741" s="13" t="n">
        <f aca="false">MAX(0,D741-K741)</f>
        <v>1.362492</v>
      </c>
      <c r="M741" s="13" t="n">
        <f aca="false">MAX(0,F741-I741-J741)</f>
        <v>0</v>
      </c>
      <c r="N741" s="13" t="n">
        <f aca="false">IF(Kalender!A9="",0,J740-H741)</f>
        <v>0.04</v>
      </c>
    </row>
    <row r="742" customFormat="false" ht="16.4" hidden="false" customHeight="false" outlineLevel="0" collapsed="false">
      <c r="A742" s="13" t="str">
        <f aca="false">""</f>
        <v/>
      </c>
      <c r="B742" s="13" t="n">
        <f aca="false">6</f>
        <v>6</v>
      </c>
      <c r="C742" s="13" t="n">
        <f aca="false">IF(Szenarien!$H$10="OK",(IFERROR(SUMIF(Nutzungsprofile!$B$6:$B$11,"Schulbetrieb",Nutzungsprofile!$G$6:$G$11)*Kalender!C10/SUM(Kalender!$C$5:$C$370),0)+IFERROR(SUMIF(Nutzungsprofile!$B$6:$B$11,"Halle",Nutzungsprofile!$G$6:$G$11)*Kalender!D10/SUM(Kalender!$D$5:$D$370),0)+IFERROR(SUMIF(Nutzungsprofile!$B$6:$B$11,"Individuell",Nutzungsprofile!$G$6:$G$11)*Kalender!E10/SUM(Kalender!$E$5:$E$370),0))*Szenarien!$E$10,0)</f>
        <v>3.528</v>
      </c>
      <c r="D742" s="13" t="n">
        <f aca="false">IF(Szenarien!$H$10="OK",(IFERROR(SUMIF(Nutzungsprofile!$B$17:$B$22,"Schulbetrieb",Nutzungsprofile!$G$17:$G$22)*Kalender!C10/SUM(Kalender!$C$5:$C$370),0)+IFERROR(SUMIF(Nutzungsprofile!$B$17:$B$22,"Halle",Nutzungsprofile!$G$17:$G$22)*Kalender!D10/SUM(Kalender!$D$5:$D$370),0)+IFERROR(SUMIF(Nutzungsprofile!$B$17:$B$22,"Individuell",Nutzungsprofile!$G$17:$G$22)*Kalender!E10/SUM(Kalender!$E$5:$E$370),0))*Szenarien!$D$10,0)</f>
        <v>5.434</v>
      </c>
      <c r="E742" s="13" t="n">
        <f aca="false">IFERROR(MIN(C742,Eingaben!$B$17)*Eingaben!$B$16,0)</f>
        <v>3.3516</v>
      </c>
      <c r="F742" s="13" t="n">
        <f aca="false">IFERROR(E742*Eingaben!$B$15,0)</f>
        <v>3.01644</v>
      </c>
      <c r="G742" s="13" t="n">
        <f aca="false">IFERROR(IF(Kalender!A10="",0,J741*(1-Eingaben!$B$20)),0)</f>
        <v>0.88683336</v>
      </c>
      <c r="H742" s="13" t="n">
        <f aca="false">MIN(G742,D742)</f>
        <v>0.88683336</v>
      </c>
      <c r="I742" s="13" t="n">
        <f aca="false">IFERROR(MIN(F742*Eingaben!$B$19,MAX(0,D742-H742)),0)</f>
        <v>2.111508</v>
      </c>
      <c r="J742" s="13" t="n">
        <f aca="false">IFERROR(MIN(Eingaben!$B$18,MAX(0,F742-I742)),0)</f>
        <v>0.904932</v>
      </c>
      <c r="K742" s="13" t="n">
        <f aca="false">H742+I742</f>
        <v>2.99834136</v>
      </c>
      <c r="L742" s="13" t="n">
        <f aca="false">MAX(0,D742-K742)</f>
        <v>2.43565864</v>
      </c>
      <c r="M742" s="13" t="n">
        <f aca="false">MAX(0,F742-I742-J742)</f>
        <v>0</v>
      </c>
      <c r="N742" s="13" t="n">
        <f aca="false">IF(Kalender!A10="",0,J741-H742)</f>
        <v>0.0180986400000001</v>
      </c>
    </row>
    <row r="743" customFormat="false" ht="16.4" hidden="false" customHeight="false" outlineLevel="0" collapsed="false">
      <c r="A743" s="13" t="str">
        <f aca="false">""</f>
        <v/>
      </c>
      <c r="B743" s="13" t="n">
        <f aca="false">7</f>
        <v>7</v>
      </c>
      <c r="C743" s="13" t="n">
        <f aca="false">IF(Szenarien!$H$10="OK",(IFERROR(SUMIF(Nutzungsprofile!$B$6:$B$11,"Schulbetrieb",Nutzungsprofile!$G$6:$G$11)*Kalender!C11/SUM(Kalender!$C$5:$C$370),0)+IFERROR(SUMIF(Nutzungsprofile!$B$6:$B$11,"Halle",Nutzungsprofile!$G$6:$G$11)*Kalender!D11/SUM(Kalender!$D$5:$D$370),0)+IFERROR(SUMIF(Nutzungsprofile!$B$6:$B$11,"Individuell",Nutzungsprofile!$G$6:$G$11)*Kalender!E11/SUM(Kalender!$E$5:$E$370),0))*Szenarien!$E$10,0)</f>
        <v>3.528</v>
      </c>
      <c r="D743" s="13" t="n">
        <f aca="false">IF(Szenarien!$H$10="OK",(IFERROR(SUMIF(Nutzungsprofile!$B$17:$B$22,"Schulbetrieb",Nutzungsprofile!$G$17:$G$22)*Kalender!C11/SUM(Kalender!$C$5:$C$370),0)+IFERROR(SUMIF(Nutzungsprofile!$B$17:$B$22,"Halle",Nutzungsprofile!$G$17:$G$22)*Kalender!D11/SUM(Kalender!$D$5:$D$370),0)+IFERROR(SUMIF(Nutzungsprofile!$B$17:$B$22,"Individuell",Nutzungsprofile!$G$17:$G$22)*Kalender!E11/SUM(Kalender!$E$5:$E$370),0))*Szenarien!$D$10,0)</f>
        <v>5.434</v>
      </c>
      <c r="E743" s="13" t="n">
        <f aca="false">IFERROR(MIN(C743,Eingaben!$B$17)*Eingaben!$B$16,0)</f>
        <v>3.3516</v>
      </c>
      <c r="F743" s="13" t="n">
        <f aca="false">IFERROR(E743*Eingaben!$B$15,0)</f>
        <v>3.01644</v>
      </c>
      <c r="G743" s="13" t="n">
        <f aca="false">IFERROR(IF(Kalender!A11="",0,J742*(1-Eingaben!$B$20)),0)</f>
        <v>0.88683336</v>
      </c>
      <c r="H743" s="13" t="n">
        <f aca="false">MIN(G743,D743)</f>
        <v>0.88683336</v>
      </c>
      <c r="I743" s="13" t="n">
        <f aca="false">IFERROR(MIN(F743*Eingaben!$B$19,MAX(0,D743-H743)),0)</f>
        <v>2.111508</v>
      </c>
      <c r="J743" s="13" t="n">
        <f aca="false">IFERROR(MIN(Eingaben!$B$18,MAX(0,F743-I743)),0)</f>
        <v>0.904932</v>
      </c>
      <c r="K743" s="13" t="n">
        <f aca="false">H743+I743</f>
        <v>2.99834136</v>
      </c>
      <c r="L743" s="13" t="n">
        <f aca="false">MAX(0,D743-K743)</f>
        <v>2.43565864</v>
      </c>
      <c r="M743" s="13" t="n">
        <f aca="false">MAX(0,F743-I743-J743)</f>
        <v>0</v>
      </c>
      <c r="N743" s="13" t="n">
        <f aca="false">IF(Kalender!A11="",0,J742-H743)</f>
        <v>0.0180986400000001</v>
      </c>
    </row>
    <row r="744" customFormat="false" ht="16.4" hidden="false" customHeight="false" outlineLevel="0" collapsed="false">
      <c r="A744" s="13" t="str">
        <f aca="false">""</f>
        <v/>
      </c>
      <c r="B744" s="13" t="n">
        <f aca="false">8</f>
        <v>8</v>
      </c>
      <c r="C744" s="13" t="n">
        <f aca="false">IF(Szenarien!$H$10="OK",(IFERROR(SUMIF(Nutzungsprofile!$B$6:$B$11,"Schulbetrieb",Nutzungsprofile!$G$6:$G$11)*Kalender!C12/SUM(Kalender!$C$5:$C$370),0)+IFERROR(SUMIF(Nutzungsprofile!$B$6:$B$11,"Halle",Nutzungsprofile!$G$6:$G$11)*Kalender!D12/SUM(Kalender!$D$5:$D$370),0)+IFERROR(SUMIF(Nutzungsprofile!$B$6:$B$11,"Individuell",Nutzungsprofile!$G$6:$G$11)*Kalender!E12/SUM(Kalender!$E$5:$E$370),0))*Szenarien!$E$10,0)</f>
        <v>3.528</v>
      </c>
      <c r="D744" s="13" t="n">
        <f aca="false">IF(Szenarien!$H$10="OK",(IFERROR(SUMIF(Nutzungsprofile!$B$17:$B$22,"Schulbetrieb",Nutzungsprofile!$G$17:$G$22)*Kalender!C12/SUM(Kalender!$C$5:$C$370),0)+IFERROR(SUMIF(Nutzungsprofile!$B$17:$B$22,"Halle",Nutzungsprofile!$G$17:$G$22)*Kalender!D12/SUM(Kalender!$D$5:$D$370),0)+IFERROR(SUMIF(Nutzungsprofile!$B$17:$B$22,"Individuell",Nutzungsprofile!$G$17:$G$22)*Kalender!E12/SUM(Kalender!$E$5:$E$370),0))*Szenarien!$D$10,0)</f>
        <v>5.434</v>
      </c>
      <c r="E744" s="13" t="n">
        <f aca="false">IFERROR(MIN(C744,Eingaben!$B$17)*Eingaben!$B$16,0)</f>
        <v>3.3516</v>
      </c>
      <c r="F744" s="13" t="n">
        <f aca="false">IFERROR(E744*Eingaben!$B$15,0)</f>
        <v>3.01644</v>
      </c>
      <c r="G744" s="13" t="n">
        <f aca="false">IFERROR(IF(Kalender!A12="",0,J743*(1-Eingaben!$B$20)),0)</f>
        <v>0.88683336</v>
      </c>
      <c r="H744" s="13" t="n">
        <f aca="false">MIN(G744,D744)</f>
        <v>0.88683336</v>
      </c>
      <c r="I744" s="13" t="n">
        <f aca="false">IFERROR(MIN(F744*Eingaben!$B$19,MAX(0,D744-H744)),0)</f>
        <v>2.111508</v>
      </c>
      <c r="J744" s="13" t="n">
        <f aca="false">IFERROR(MIN(Eingaben!$B$18,MAX(0,F744-I744)),0)</f>
        <v>0.904932</v>
      </c>
      <c r="K744" s="13" t="n">
        <f aca="false">H744+I744</f>
        <v>2.99834136</v>
      </c>
      <c r="L744" s="13" t="n">
        <f aca="false">MAX(0,D744-K744)</f>
        <v>2.43565864</v>
      </c>
      <c r="M744" s="13" t="n">
        <f aca="false">MAX(0,F744-I744-J744)</f>
        <v>0</v>
      </c>
      <c r="N744" s="13" t="n">
        <f aca="false">IF(Kalender!A12="",0,J743-H744)</f>
        <v>0.0180986400000001</v>
      </c>
    </row>
    <row r="745" customFormat="false" ht="16.4" hidden="false" customHeight="false" outlineLevel="0" collapsed="false">
      <c r="A745" s="13" t="str">
        <f aca="false">""</f>
        <v/>
      </c>
      <c r="B745" s="13" t="n">
        <f aca="false">9</f>
        <v>9</v>
      </c>
      <c r="C745" s="13" t="n">
        <f aca="false">IF(Szenarien!$H$10="OK",(IFERROR(SUMIF(Nutzungsprofile!$B$6:$B$11,"Schulbetrieb",Nutzungsprofile!$G$6:$G$11)*Kalender!C13/SUM(Kalender!$C$5:$C$370),0)+IFERROR(SUMIF(Nutzungsprofile!$B$6:$B$11,"Halle",Nutzungsprofile!$G$6:$G$11)*Kalender!D13/SUM(Kalender!$D$5:$D$370),0)+IFERROR(SUMIF(Nutzungsprofile!$B$6:$B$11,"Individuell",Nutzungsprofile!$G$6:$G$11)*Kalender!E13/SUM(Kalender!$E$5:$E$370),0))*Szenarien!$E$10,0)</f>
        <v>3.528</v>
      </c>
      <c r="D745" s="13" t="n">
        <f aca="false">IF(Szenarien!$H$10="OK",(IFERROR(SUMIF(Nutzungsprofile!$B$17:$B$22,"Schulbetrieb",Nutzungsprofile!$G$17:$G$22)*Kalender!C13/SUM(Kalender!$C$5:$C$370),0)+IFERROR(SUMIF(Nutzungsprofile!$B$17:$B$22,"Halle",Nutzungsprofile!$G$17:$G$22)*Kalender!D13/SUM(Kalender!$D$5:$D$370),0)+IFERROR(SUMIF(Nutzungsprofile!$B$17:$B$22,"Individuell",Nutzungsprofile!$G$17:$G$22)*Kalender!E13/SUM(Kalender!$E$5:$E$370),0))*Szenarien!$D$10,0)</f>
        <v>5.434</v>
      </c>
      <c r="E745" s="13" t="n">
        <f aca="false">IFERROR(MIN(C745,Eingaben!$B$17)*Eingaben!$B$16,0)</f>
        <v>3.3516</v>
      </c>
      <c r="F745" s="13" t="n">
        <f aca="false">IFERROR(E745*Eingaben!$B$15,0)</f>
        <v>3.01644</v>
      </c>
      <c r="G745" s="13" t="n">
        <f aca="false">IFERROR(IF(Kalender!A13="",0,J744*(1-Eingaben!$B$20)),0)</f>
        <v>0.88683336</v>
      </c>
      <c r="H745" s="13" t="n">
        <f aca="false">MIN(G745,D745)</f>
        <v>0.88683336</v>
      </c>
      <c r="I745" s="13" t="n">
        <f aca="false">IFERROR(MIN(F745*Eingaben!$B$19,MAX(0,D745-H745)),0)</f>
        <v>2.111508</v>
      </c>
      <c r="J745" s="13" t="n">
        <f aca="false">IFERROR(MIN(Eingaben!$B$18,MAX(0,F745-I745)),0)</f>
        <v>0.904932</v>
      </c>
      <c r="K745" s="13" t="n">
        <f aca="false">H745+I745</f>
        <v>2.99834136</v>
      </c>
      <c r="L745" s="13" t="n">
        <f aca="false">MAX(0,D745-K745)</f>
        <v>2.43565864</v>
      </c>
      <c r="M745" s="13" t="n">
        <f aca="false">MAX(0,F745-I745-J745)</f>
        <v>0</v>
      </c>
      <c r="N745" s="13" t="n">
        <f aca="false">IF(Kalender!A13="",0,J744-H745)</f>
        <v>0.0180986400000001</v>
      </c>
    </row>
    <row r="746" customFormat="false" ht="16.4" hidden="false" customHeight="false" outlineLevel="0" collapsed="false">
      <c r="A746" s="13" t="str">
        <f aca="false">""</f>
        <v/>
      </c>
      <c r="B746" s="13" t="n">
        <f aca="false">10</f>
        <v>10</v>
      </c>
      <c r="C746" s="13" t="n">
        <f aca="false">IF(Szenarien!$H$10="OK",(IFERROR(SUMIF(Nutzungsprofile!$B$6:$B$11,"Schulbetrieb",Nutzungsprofile!$G$6:$G$11)*Kalender!C14/SUM(Kalender!$C$5:$C$370),0)+IFERROR(SUMIF(Nutzungsprofile!$B$6:$B$11,"Halle",Nutzungsprofile!$G$6:$G$11)*Kalender!D14/SUM(Kalender!$D$5:$D$370),0)+IFERROR(SUMIF(Nutzungsprofile!$B$6:$B$11,"Individuell",Nutzungsprofile!$G$6:$G$11)*Kalender!E14/SUM(Kalender!$E$5:$E$370),0))*Szenarien!$E$10,0)</f>
        <v>2.448</v>
      </c>
      <c r="D746" s="13" t="n">
        <f aca="false">IF(Szenarien!$H$10="OK",(IFERROR(SUMIF(Nutzungsprofile!$B$17:$B$22,"Schulbetrieb",Nutzungsprofile!$G$17:$G$22)*Kalender!C14/SUM(Kalender!$C$5:$C$370),0)+IFERROR(SUMIF(Nutzungsprofile!$B$17:$B$22,"Halle",Nutzungsprofile!$G$17:$G$22)*Kalender!D14/SUM(Kalender!$D$5:$D$370),0)+IFERROR(SUMIF(Nutzungsprofile!$B$17:$B$22,"Individuell",Nutzungsprofile!$G$17:$G$22)*Kalender!E14/SUM(Kalender!$E$5:$E$370),0))*Szenarien!$D$10,0)</f>
        <v>0.979</v>
      </c>
      <c r="E746" s="13" t="n">
        <f aca="false">IFERROR(MIN(C746,Eingaben!$B$17)*Eingaben!$B$16,0)</f>
        <v>2.3256</v>
      </c>
      <c r="F746" s="13" t="n">
        <f aca="false">IFERROR(E746*Eingaben!$B$15,0)</f>
        <v>2.09304</v>
      </c>
      <c r="G746" s="13" t="n">
        <f aca="false">IFERROR(IF(Kalender!A14="",0,J745*(1-Eingaben!$B$20)),0)</f>
        <v>0.88683336</v>
      </c>
      <c r="H746" s="13" t="n">
        <f aca="false">MIN(G746,D746)</f>
        <v>0.88683336</v>
      </c>
      <c r="I746" s="13" t="n">
        <f aca="false">IFERROR(MIN(F746*Eingaben!$B$19,MAX(0,D746-H746)),0)</f>
        <v>0.0921666400000001</v>
      </c>
      <c r="J746" s="13" t="n">
        <f aca="false">IFERROR(MIN(Eingaben!$B$18,MAX(0,F746-I746)),0)</f>
        <v>2</v>
      </c>
      <c r="K746" s="13" t="n">
        <f aca="false">H746+I746</f>
        <v>0.979</v>
      </c>
      <c r="L746" s="13" t="n">
        <f aca="false">MAX(0,D746-K746)</f>
        <v>0</v>
      </c>
      <c r="M746" s="13" t="n">
        <f aca="false">MAX(0,F746-I746-J746)</f>
        <v>0.000873359999999934</v>
      </c>
      <c r="N746" s="13" t="n">
        <f aca="false">IF(Kalender!A14="",0,J745-H746)</f>
        <v>0.0180986400000001</v>
      </c>
    </row>
    <row r="747" customFormat="false" ht="16.4" hidden="false" customHeight="false" outlineLevel="0" collapsed="false">
      <c r="A747" s="13" t="str">
        <f aca="false">""</f>
        <v/>
      </c>
      <c r="B747" s="13" t="n">
        <f aca="false">11</f>
        <v>11</v>
      </c>
      <c r="C747" s="13" t="n">
        <f aca="false">IF(Szenarien!$H$10="OK",(IFERROR(SUMIF(Nutzungsprofile!$B$6:$B$11,"Schulbetrieb",Nutzungsprofile!$G$6:$G$11)*Kalender!C15/SUM(Kalender!$C$5:$C$370),0)+IFERROR(SUMIF(Nutzungsprofile!$B$6:$B$11,"Halle",Nutzungsprofile!$G$6:$G$11)*Kalender!D15/SUM(Kalender!$D$5:$D$370),0)+IFERROR(SUMIF(Nutzungsprofile!$B$6:$B$11,"Individuell",Nutzungsprofile!$G$6:$G$11)*Kalender!E15/SUM(Kalender!$E$5:$E$370),0))*Szenarien!$E$10,0)</f>
        <v>2.448</v>
      </c>
      <c r="D747" s="13" t="n">
        <f aca="false">IF(Szenarien!$H$10="OK",(IFERROR(SUMIF(Nutzungsprofile!$B$17:$B$22,"Schulbetrieb",Nutzungsprofile!$G$17:$G$22)*Kalender!C15/SUM(Kalender!$C$5:$C$370),0)+IFERROR(SUMIF(Nutzungsprofile!$B$17:$B$22,"Halle",Nutzungsprofile!$G$17:$G$22)*Kalender!D15/SUM(Kalender!$D$5:$D$370),0)+IFERROR(SUMIF(Nutzungsprofile!$B$17:$B$22,"Individuell",Nutzungsprofile!$G$17:$G$22)*Kalender!E15/SUM(Kalender!$E$5:$E$370),0))*Szenarien!$D$10,0)</f>
        <v>0.979</v>
      </c>
      <c r="E747" s="13" t="n">
        <f aca="false">IFERROR(MIN(C747,Eingaben!$B$17)*Eingaben!$B$16,0)</f>
        <v>2.3256</v>
      </c>
      <c r="F747" s="13" t="n">
        <f aca="false">IFERROR(E747*Eingaben!$B$15,0)</f>
        <v>2.09304</v>
      </c>
      <c r="G747" s="13" t="n">
        <f aca="false">IFERROR(IF(Kalender!A15="",0,J746*(1-Eingaben!$B$20)),0)</f>
        <v>1.96</v>
      </c>
      <c r="H747" s="13" t="n">
        <f aca="false">MIN(G747,D747)</f>
        <v>0.979</v>
      </c>
      <c r="I747" s="13" t="n">
        <f aca="false">IFERROR(MIN(F747*Eingaben!$B$19,MAX(0,D747-H747)),0)</f>
        <v>0</v>
      </c>
      <c r="J747" s="13" t="n">
        <f aca="false">IFERROR(MIN(Eingaben!$B$18,MAX(0,F747-I747)),0)</f>
        <v>2</v>
      </c>
      <c r="K747" s="13" t="n">
        <f aca="false">H747+I747</f>
        <v>0.979</v>
      </c>
      <c r="L747" s="13" t="n">
        <f aca="false">MAX(0,D747-K747)</f>
        <v>0</v>
      </c>
      <c r="M747" s="13" t="n">
        <f aca="false">MAX(0,F747-I747-J747)</f>
        <v>0.0930399999999998</v>
      </c>
      <c r="N747" s="13" t="n">
        <f aca="false">IF(Kalender!A15="",0,J746-H747)</f>
        <v>1.021</v>
      </c>
    </row>
    <row r="748" customFormat="false" ht="16.4" hidden="false" customHeight="false" outlineLevel="0" collapsed="false">
      <c r="A748" s="13" t="str">
        <f aca="false">""</f>
        <v/>
      </c>
      <c r="B748" s="13" t="n">
        <f aca="false">12</f>
        <v>12</v>
      </c>
      <c r="C748" s="13" t="n">
        <f aca="false">IF(Szenarien!$H$10="OK",(IFERROR(SUMIF(Nutzungsprofile!$B$6:$B$11,"Schulbetrieb",Nutzungsprofile!$G$6:$G$11)*Kalender!C16/SUM(Kalender!$C$5:$C$370),0)+IFERROR(SUMIF(Nutzungsprofile!$B$6:$B$11,"Halle",Nutzungsprofile!$G$6:$G$11)*Kalender!D16/SUM(Kalender!$D$5:$D$370),0)+IFERROR(SUMIF(Nutzungsprofile!$B$6:$B$11,"Individuell",Nutzungsprofile!$G$6:$G$11)*Kalender!E16/SUM(Kalender!$E$5:$E$370),0))*Szenarien!$E$10,0)</f>
        <v>3.528</v>
      </c>
      <c r="D748" s="13" t="n">
        <f aca="false">IF(Szenarien!$H$10="OK",(IFERROR(SUMIF(Nutzungsprofile!$B$17:$B$22,"Schulbetrieb",Nutzungsprofile!$G$17:$G$22)*Kalender!C16/SUM(Kalender!$C$5:$C$370),0)+IFERROR(SUMIF(Nutzungsprofile!$B$17:$B$22,"Halle",Nutzungsprofile!$G$17:$G$22)*Kalender!D16/SUM(Kalender!$D$5:$D$370),0)+IFERROR(SUMIF(Nutzungsprofile!$B$17:$B$22,"Individuell",Nutzungsprofile!$G$17:$G$22)*Kalender!E16/SUM(Kalender!$E$5:$E$370),0))*Szenarien!$D$10,0)</f>
        <v>5.434</v>
      </c>
      <c r="E748" s="13" t="n">
        <f aca="false">IFERROR(MIN(C748,Eingaben!$B$17)*Eingaben!$B$16,0)</f>
        <v>3.3516</v>
      </c>
      <c r="F748" s="13" t="n">
        <f aca="false">IFERROR(E748*Eingaben!$B$15,0)</f>
        <v>3.01644</v>
      </c>
      <c r="G748" s="13" t="n">
        <f aca="false">IFERROR(IF(Kalender!A16="",0,J747*(1-Eingaben!$B$20)),0)</f>
        <v>1.96</v>
      </c>
      <c r="H748" s="13" t="n">
        <f aca="false">MIN(G748,D748)</f>
        <v>1.96</v>
      </c>
      <c r="I748" s="13" t="n">
        <f aca="false">IFERROR(MIN(F748*Eingaben!$B$19,MAX(0,D748-H748)),0)</f>
        <v>2.111508</v>
      </c>
      <c r="J748" s="13" t="n">
        <f aca="false">IFERROR(MIN(Eingaben!$B$18,MAX(0,F748-I748)),0)</f>
        <v>0.904932</v>
      </c>
      <c r="K748" s="13" t="n">
        <f aca="false">H748+I748</f>
        <v>4.071508</v>
      </c>
      <c r="L748" s="13" t="n">
        <f aca="false">MAX(0,D748-K748)</f>
        <v>1.362492</v>
      </c>
      <c r="M748" s="13" t="n">
        <f aca="false">MAX(0,F748-I748-J748)</f>
        <v>0</v>
      </c>
      <c r="N748" s="13" t="n">
        <f aca="false">IF(Kalender!A16="",0,J747-H748)</f>
        <v>0.04</v>
      </c>
    </row>
    <row r="749" customFormat="false" ht="16.4" hidden="false" customHeight="false" outlineLevel="0" collapsed="false">
      <c r="A749" s="13" t="str">
        <f aca="false">""</f>
        <v/>
      </c>
      <c r="B749" s="13" t="n">
        <f aca="false">13</f>
        <v>13</v>
      </c>
      <c r="C749" s="13" t="n">
        <f aca="false">IF(Szenarien!$H$10="OK",(IFERROR(SUMIF(Nutzungsprofile!$B$6:$B$11,"Schulbetrieb",Nutzungsprofile!$G$6:$G$11)*Kalender!C17/SUM(Kalender!$C$5:$C$370),0)+IFERROR(SUMIF(Nutzungsprofile!$B$6:$B$11,"Halle",Nutzungsprofile!$G$6:$G$11)*Kalender!D17/SUM(Kalender!$D$5:$D$370),0)+IFERROR(SUMIF(Nutzungsprofile!$B$6:$B$11,"Individuell",Nutzungsprofile!$G$6:$G$11)*Kalender!E17/SUM(Kalender!$E$5:$E$370),0))*Szenarien!$E$10,0)</f>
        <v>3.528</v>
      </c>
      <c r="D749" s="13" t="n">
        <f aca="false">IF(Szenarien!$H$10="OK",(IFERROR(SUMIF(Nutzungsprofile!$B$17:$B$22,"Schulbetrieb",Nutzungsprofile!$G$17:$G$22)*Kalender!C17/SUM(Kalender!$C$5:$C$370),0)+IFERROR(SUMIF(Nutzungsprofile!$B$17:$B$22,"Halle",Nutzungsprofile!$G$17:$G$22)*Kalender!D17/SUM(Kalender!$D$5:$D$370),0)+IFERROR(SUMIF(Nutzungsprofile!$B$17:$B$22,"Individuell",Nutzungsprofile!$G$17:$G$22)*Kalender!E17/SUM(Kalender!$E$5:$E$370),0))*Szenarien!$D$10,0)</f>
        <v>5.434</v>
      </c>
      <c r="E749" s="13" t="n">
        <f aca="false">IFERROR(MIN(C749,Eingaben!$B$17)*Eingaben!$B$16,0)</f>
        <v>3.3516</v>
      </c>
      <c r="F749" s="13" t="n">
        <f aca="false">IFERROR(E749*Eingaben!$B$15,0)</f>
        <v>3.01644</v>
      </c>
      <c r="G749" s="13" t="n">
        <f aca="false">IFERROR(IF(Kalender!A17="",0,J748*(1-Eingaben!$B$20)),0)</f>
        <v>0.88683336</v>
      </c>
      <c r="H749" s="13" t="n">
        <f aca="false">MIN(G749,D749)</f>
        <v>0.88683336</v>
      </c>
      <c r="I749" s="13" t="n">
        <f aca="false">IFERROR(MIN(F749*Eingaben!$B$19,MAX(0,D749-H749)),0)</f>
        <v>2.111508</v>
      </c>
      <c r="J749" s="13" t="n">
        <f aca="false">IFERROR(MIN(Eingaben!$B$18,MAX(0,F749-I749)),0)</f>
        <v>0.904932</v>
      </c>
      <c r="K749" s="13" t="n">
        <f aca="false">H749+I749</f>
        <v>2.99834136</v>
      </c>
      <c r="L749" s="13" t="n">
        <f aca="false">MAX(0,D749-K749)</f>
        <v>2.43565864</v>
      </c>
      <c r="M749" s="13" t="n">
        <f aca="false">MAX(0,F749-I749-J749)</f>
        <v>0</v>
      </c>
      <c r="N749" s="13" t="n">
        <f aca="false">IF(Kalender!A17="",0,J748-H749)</f>
        <v>0.0180986400000001</v>
      </c>
    </row>
    <row r="750" customFormat="false" ht="16.4" hidden="false" customHeight="false" outlineLevel="0" collapsed="false">
      <c r="A750" s="13" t="str">
        <f aca="false">""</f>
        <v/>
      </c>
      <c r="B750" s="13" t="n">
        <f aca="false">14</f>
        <v>14</v>
      </c>
      <c r="C750" s="13" t="n">
        <f aca="false">IF(Szenarien!$H$10="OK",(IFERROR(SUMIF(Nutzungsprofile!$B$6:$B$11,"Schulbetrieb",Nutzungsprofile!$G$6:$G$11)*Kalender!C18/SUM(Kalender!$C$5:$C$370),0)+IFERROR(SUMIF(Nutzungsprofile!$B$6:$B$11,"Halle",Nutzungsprofile!$G$6:$G$11)*Kalender!D18/SUM(Kalender!$D$5:$D$370),0)+IFERROR(SUMIF(Nutzungsprofile!$B$6:$B$11,"Individuell",Nutzungsprofile!$G$6:$G$11)*Kalender!E18/SUM(Kalender!$E$5:$E$370),0))*Szenarien!$E$10,0)</f>
        <v>3.528</v>
      </c>
      <c r="D750" s="13" t="n">
        <f aca="false">IF(Szenarien!$H$10="OK",(IFERROR(SUMIF(Nutzungsprofile!$B$17:$B$22,"Schulbetrieb",Nutzungsprofile!$G$17:$G$22)*Kalender!C18/SUM(Kalender!$C$5:$C$370),0)+IFERROR(SUMIF(Nutzungsprofile!$B$17:$B$22,"Halle",Nutzungsprofile!$G$17:$G$22)*Kalender!D18/SUM(Kalender!$D$5:$D$370),0)+IFERROR(SUMIF(Nutzungsprofile!$B$17:$B$22,"Individuell",Nutzungsprofile!$G$17:$G$22)*Kalender!E18/SUM(Kalender!$E$5:$E$370),0))*Szenarien!$D$10,0)</f>
        <v>5.434</v>
      </c>
      <c r="E750" s="13" t="n">
        <f aca="false">IFERROR(MIN(C750,Eingaben!$B$17)*Eingaben!$B$16,0)</f>
        <v>3.3516</v>
      </c>
      <c r="F750" s="13" t="n">
        <f aca="false">IFERROR(E750*Eingaben!$B$15,0)</f>
        <v>3.01644</v>
      </c>
      <c r="G750" s="13" t="n">
        <f aca="false">IFERROR(IF(Kalender!A18="",0,J749*(1-Eingaben!$B$20)),0)</f>
        <v>0.88683336</v>
      </c>
      <c r="H750" s="13" t="n">
        <f aca="false">MIN(G750,D750)</f>
        <v>0.88683336</v>
      </c>
      <c r="I750" s="13" t="n">
        <f aca="false">IFERROR(MIN(F750*Eingaben!$B$19,MAX(0,D750-H750)),0)</f>
        <v>2.111508</v>
      </c>
      <c r="J750" s="13" t="n">
        <f aca="false">IFERROR(MIN(Eingaben!$B$18,MAX(0,F750-I750)),0)</f>
        <v>0.904932</v>
      </c>
      <c r="K750" s="13" t="n">
        <f aca="false">H750+I750</f>
        <v>2.99834136</v>
      </c>
      <c r="L750" s="13" t="n">
        <f aca="false">MAX(0,D750-K750)</f>
        <v>2.43565864</v>
      </c>
      <c r="M750" s="13" t="n">
        <f aca="false">MAX(0,F750-I750-J750)</f>
        <v>0</v>
      </c>
      <c r="N750" s="13" t="n">
        <f aca="false">IF(Kalender!A18="",0,J749-H750)</f>
        <v>0.0180986400000001</v>
      </c>
    </row>
    <row r="751" customFormat="false" ht="16.4" hidden="false" customHeight="false" outlineLevel="0" collapsed="false">
      <c r="A751" s="13" t="str">
        <f aca="false">""</f>
        <v/>
      </c>
      <c r="B751" s="13" t="n">
        <f aca="false">15</f>
        <v>15</v>
      </c>
      <c r="C751" s="13" t="n">
        <f aca="false">IF(Szenarien!$H$10="OK",(IFERROR(SUMIF(Nutzungsprofile!$B$6:$B$11,"Schulbetrieb",Nutzungsprofile!$G$6:$G$11)*Kalender!C19/SUM(Kalender!$C$5:$C$370),0)+IFERROR(SUMIF(Nutzungsprofile!$B$6:$B$11,"Halle",Nutzungsprofile!$G$6:$G$11)*Kalender!D19/SUM(Kalender!$D$5:$D$370),0)+IFERROR(SUMIF(Nutzungsprofile!$B$6:$B$11,"Individuell",Nutzungsprofile!$G$6:$G$11)*Kalender!E19/SUM(Kalender!$E$5:$E$370),0))*Szenarien!$E$10,0)</f>
        <v>3.528</v>
      </c>
      <c r="D751" s="13" t="n">
        <f aca="false">IF(Szenarien!$H$10="OK",(IFERROR(SUMIF(Nutzungsprofile!$B$17:$B$22,"Schulbetrieb",Nutzungsprofile!$G$17:$G$22)*Kalender!C19/SUM(Kalender!$C$5:$C$370),0)+IFERROR(SUMIF(Nutzungsprofile!$B$17:$B$22,"Halle",Nutzungsprofile!$G$17:$G$22)*Kalender!D19/SUM(Kalender!$D$5:$D$370),0)+IFERROR(SUMIF(Nutzungsprofile!$B$17:$B$22,"Individuell",Nutzungsprofile!$G$17:$G$22)*Kalender!E19/SUM(Kalender!$E$5:$E$370),0))*Szenarien!$D$10,0)</f>
        <v>5.434</v>
      </c>
      <c r="E751" s="13" t="n">
        <f aca="false">IFERROR(MIN(C751,Eingaben!$B$17)*Eingaben!$B$16,0)</f>
        <v>3.3516</v>
      </c>
      <c r="F751" s="13" t="n">
        <f aca="false">IFERROR(E751*Eingaben!$B$15,0)</f>
        <v>3.01644</v>
      </c>
      <c r="G751" s="13" t="n">
        <f aca="false">IFERROR(IF(Kalender!A19="",0,J750*(1-Eingaben!$B$20)),0)</f>
        <v>0.88683336</v>
      </c>
      <c r="H751" s="13" t="n">
        <f aca="false">MIN(G751,D751)</f>
        <v>0.88683336</v>
      </c>
      <c r="I751" s="13" t="n">
        <f aca="false">IFERROR(MIN(F751*Eingaben!$B$19,MAX(0,D751-H751)),0)</f>
        <v>2.111508</v>
      </c>
      <c r="J751" s="13" t="n">
        <f aca="false">IFERROR(MIN(Eingaben!$B$18,MAX(0,F751-I751)),0)</f>
        <v>0.904932</v>
      </c>
      <c r="K751" s="13" t="n">
        <f aca="false">H751+I751</f>
        <v>2.99834136</v>
      </c>
      <c r="L751" s="13" t="n">
        <f aca="false">MAX(0,D751-K751)</f>
        <v>2.43565864</v>
      </c>
      <c r="M751" s="13" t="n">
        <f aca="false">MAX(0,F751-I751-J751)</f>
        <v>0</v>
      </c>
      <c r="N751" s="13" t="n">
        <f aca="false">IF(Kalender!A19="",0,J750-H751)</f>
        <v>0.0180986400000001</v>
      </c>
    </row>
    <row r="752" customFormat="false" ht="16.4" hidden="false" customHeight="false" outlineLevel="0" collapsed="false">
      <c r="A752" s="13" t="str">
        <f aca="false">""</f>
        <v/>
      </c>
      <c r="B752" s="13" t="n">
        <f aca="false">16</f>
        <v>16</v>
      </c>
      <c r="C752" s="13" t="n">
        <f aca="false">IF(Szenarien!$H$10="OK",(IFERROR(SUMIF(Nutzungsprofile!$B$6:$B$11,"Schulbetrieb",Nutzungsprofile!$G$6:$G$11)*Kalender!C20/SUM(Kalender!$C$5:$C$370),0)+IFERROR(SUMIF(Nutzungsprofile!$B$6:$B$11,"Halle",Nutzungsprofile!$G$6:$G$11)*Kalender!D20/SUM(Kalender!$D$5:$D$370),0)+IFERROR(SUMIF(Nutzungsprofile!$B$6:$B$11,"Individuell",Nutzungsprofile!$G$6:$G$11)*Kalender!E20/SUM(Kalender!$E$5:$E$370),0))*Szenarien!$E$10,0)</f>
        <v>3.528</v>
      </c>
      <c r="D752" s="13" t="n">
        <f aca="false">IF(Szenarien!$H$10="OK",(IFERROR(SUMIF(Nutzungsprofile!$B$17:$B$22,"Schulbetrieb",Nutzungsprofile!$G$17:$G$22)*Kalender!C20/SUM(Kalender!$C$5:$C$370),0)+IFERROR(SUMIF(Nutzungsprofile!$B$17:$B$22,"Halle",Nutzungsprofile!$G$17:$G$22)*Kalender!D20/SUM(Kalender!$D$5:$D$370),0)+IFERROR(SUMIF(Nutzungsprofile!$B$17:$B$22,"Individuell",Nutzungsprofile!$G$17:$G$22)*Kalender!E20/SUM(Kalender!$E$5:$E$370),0))*Szenarien!$D$10,0)</f>
        <v>5.434</v>
      </c>
      <c r="E752" s="13" t="n">
        <f aca="false">IFERROR(MIN(C752,Eingaben!$B$17)*Eingaben!$B$16,0)</f>
        <v>3.3516</v>
      </c>
      <c r="F752" s="13" t="n">
        <f aca="false">IFERROR(E752*Eingaben!$B$15,0)</f>
        <v>3.01644</v>
      </c>
      <c r="G752" s="13" t="n">
        <f aca="false">IFERROR(IF(Kalender!A20="",0,J751*(1-Eingaben!$B$20)),0)</f>
        <v>0.88683336</v>
      </c>
      <c r="H752" s="13" t="n">
        <f aca="false">MIN(G752,D752)</f>
        <v>0.88683336</v>
      </c>
      <c r="I752" s="13" t="n">
        <f aca="false">IFERROR(MIN(F752*Eingaben!$B$19,MAX(0,D752-H752)),0)</f>
        <v>2.111508</v>
      </c>
      <c r="J752" s="13" t="n">
        <f aca="false">IFERROR(MIN(Eingaben!$B$18,MAX(0,F752-I752)),0)</f>
        <v>0.904932</v>
      </c>
      <c r="K752" s="13" t="n">
        <f aca="false">H752+I752</f>
        <v>2.99834136</v>
      </c>
      <c r="L752" s="13" t="n">
        <f aca="false">MAX(0,D752-K752)</f>
        <v>2.43565864</v>
      </c>
      <c r="M752" s="13" t="n">
        <f aca="false">MAX(0,F752-I752-J752)</f>
        <v>0</v>
      </c>
      <c r="N752" s="13" t="n">
        <f aca="false">IF(Kalender!A20="",0,J751-H752)</f>
        <v>0.0180986400000001</v>
      </c>
    </row>
    <row r="753" customFormat="false" ht="16.4" hidden="false" customHeight="false" outlineLevel="0" collapsed="false">
      <c r="A753" s="13" t="str">
        <f aca="false">""</f>
        <v/>
      </c>
      <c r="B753" s="13" t="n">
        <f aca="false">17</f>
        <v>17</v>
      </c>
      <c r="C753" s="13" t="n">
        <f aca="false">IF(Szenarien!$H$10="OK",(IFERROR(SUMIF(Nutzungsprofile!$B$6:$B$11,"Schulbetrieb",Nutzungsprofile!$G$6:$G$11)*Kalender!C21/SUM(Kalender!$C$5:$C$370),0)+IFERROR(SUMIF(Nutzungsprofile!$B$6:$B$11,"Halle",Nutzungsprofile!$G$6:$G$11)*Kalender!D21/SUM(Kalender!$D$5:$D$370),0)+IFERROR(SUMIF(Nutzungsprofile!$B$6:$B$11,"Individuell",Nutzungsprofile!$G$6:$G$11)*Kalender!E21/SUM(Kalender!$E$5:$E$370),0))*Szenarien!$E$10,0)</f>
        <v>2.448</v>
      </c>
      <c r="D753" s="13" t="n">
        <f aca="false">IF(Szenarien!$H$10="OK",(IFERROR(SUMIF(Nutzungsprofile!$B$17:$B$22,"Schulbetrieb",Nutzungsprofile!$G$17:$G$22)*Kalender!C21/SUM(Kalender!$C$5:$C$370),0)+IFERROR(SUMIF(Nutzungsprofile!$B$17:$B$22,"Halle",Nutzungsprofile!$G$17:$G$22)*Kalender!D21/SUM(Kalender!$D$5:$D$370),0)+IFERROR(SUMIF(Nutzungsprofile!$B$17:$B$22,"Individuell",Nutzungsprofile!$G$17:$G$22)*Kalender!E21/SUM(Kalender!$E$5:$E$370),0))*Szenarien!$D$10,0)</f>
        <v>0.979</v>
      </c>
      <c r="E753" s="13" t="n">
        <f aca="false">IFERROR(MIN(C753,Eingaben!$B$17)*Eingaben!$B$16,0)</f>
        <v>2.3256</v>
      </c>
      <c r="F753" s="13" t="n">
        <f aca="false">IFERROR(E753*Eingaben!$B$15,0)</f>
        <v>2.09304</v>
      </c>
      <c r="G753" s="13" t="n">
        <f aca="false">IFERROR(IF(Kalender!A21="",0,J752*(1-Eingaben!$B$20)),0)</f>
        <v>0.88683336</v>
      </c>
      <c r="H753" s="13" t="n">
        <f aca="false">MIN(G753,D753)</f>
        <v>0.88683336</v>
      </c>
      <c r="I753" s="13" t="n">
        <f aca="false">IFERROR(MIN(F753*Eingaben!$B$19,MAX(0,D753-H753)),0)</f>
        <v>0.0921666400000001</v>
      </c>
      <c r="J753" s="13" t="n">
        <f aca="false">IFERROR(MIN(Eingaben!$B$18,MAX(0,F753-I753)),0)</f>
        <v>2</v>
      </c>
      <c r="K753" s="13" t="n">
        <f aca="false">H753+I753</f>
        <v>0.979</v>
      </c>
      <c r="L753" s="13" t="n">
        <f aca="false">MAX(0,D753-K753)</f>
        <v>0</v>
      </c>
      <c r="M753" s="13" t="n">
        <f aca="false">MAX(0,F753-I753-J753)</f>
        <v>0.000873359999999934</v>
      </c>
      <c r="N753" s="13" t="n">
        <f aca="false">IF(Kalender!A21="",0,J752-H753)</f>
        <v>0.0180986400000001</v>
      </c>
    </row>
    <row r="754" customFormat="false" ht="16.4" hidden="false" customHeight="false" outlineLevel="0" collapsed="false">
      <c r="A754" s="13" t="str">
        <f aca="false">""</f>
        <v/>
      </c>
      <c r="B754" s="13" t="n">
        <f aca="false">18</f>
        <v>18</v>
      </c>
      <c r="C754" s="13" t="n">
        <f aca="false">IF(Szenarien!$H$10="OK",(IFERROR(SUMIF(Nutzungsprofile!$B$6:$B$11,"Schulbetrieb",Nutzungsprofile!$G$6:$G$11)*Kalender!C22/SUM(Kalender!$C$5:$C$370),0)+IFERROR(SUMIF(Nutzungsprofile!$B$6:$B$11,"Halle",Nutzungsprofile!$G$6:$G$11)*Kalender!D22/SUM(Kalender!$D$5:$D$370),0)+IFERROR(SUMIF(Nutzungsprofile!$B$6:$B$11,"Individuell",Nutzungsprofile!$G$6:$G$11)*Kalender!E22/SUM(Kalender!$E$5:$E$370),0))*Szenarien!$E$10,0)</f>
        <v>2.448</v>
      </c>
      <c r="D754" s="13" t="n">
        <f aca="false">IF(Szenarien!$H$10="OK",(IFERROR(SUMIF(Nutzungsprofile!$B$17:$B$22,"Schulbetrieb",Nutzungsprofile!$G$17:$G$22)*Kalender!C22/SUM(Kalender!$C$5:$C$370),0)+IFERROR(SUMIF(Nutzungsprofile!$B$17:$B$22,"Halle",Nutzungsprofile!$G$17:$G$22)*Kalender!D22/SUM(Kalender!$D$5:$D$370),0)+IFERROR(SUMIF(Nutzungsprofile!$B$17:$B$22,"Individuell",Nutzungsprofile!$G$17:$G$22)*Kalender!E22/SUM(Kalender!$E$5:$E$370),0))*Szenarien!$D$10,0)</f>
        <v>0.979</v>
      </c>
      <c r="E754" s="13" t="n">
        <f aca="false">IFERROR(MIN(C754,Eingaben!$B$17)*Eingaben!$B$16,0)</f>
        <v>2.3256</v>
      </c>
      <c r="F754" s="13" t="n">
        <f aca="false">IFERROR(E754*Eingaben!$B$15,0)</f>
        <v>2.09304</v>
      </c>
      <c r="G754" s="13" t="n">
        <f aca="false">IFERROR(IF(Kalender!A22="",0,J753*(1-Eingaben!$B$20)),0)</f>
        <v>1.96</v>
      </c>
      <c r="H754" s="13" t="n">
        <f aca="false">MIN(G754,D754)</f>
        <v>0.979</v>
      </c>
      <c r="I754" s="13" t="n">
        <f aca="false">IFERROR(MIN(F754*Eingaben!$B$19,MAX(0,D754-H754)),0)</f>
        <v>0</v>
      </c>
      <c r="J754" s="13" t="n">
        <f aca="false">IFERROR(MIN(Eingaben!$B$18,MAX(0,F754-I754)),0)</f>
        <v>2</v>
      </c>
      <c r="K754" s="13" t="n">
        <f aca="false">H754+I754</f>
        <v>0.979</v>
      </c>
      <c r="L754" s="13" t="n">
        <f aca="false">MAX(0,D754-K754)</f>
        <v>0</v>
      </c>
      <c r="M754" s="13" t="n">
        <f aca="false">MAX(0,F754-I754-J754)</f>
        <v>0.0930399999999998</v>
      </c>
      <c r="N754" s="13" t="n">
        <f aca="false">IF(Kalender!A22="",0,J753-H754)</f>
        <v>1.021</v>
      </c>
    </row>
    <row r="755" customFormat="false" ht="16.4" hidden="false" customHeight="false" outlineLevel="0" collapsed="false">
      <c r="A755" s="13" t="str">
        <f aca="false">""</f>
        <v/>
      </c>
      <c r="B755" s="13" t="n">
        <f aca="false">19</f>
        <v>19</v>
      </c>
      <c r="C755" s="13" t="n">
        <f aca="false">IF(Szenarien!$H$10="OK",(IFERROR(SUMIF(Nutzungsprofile!$B$6:$B$11,"Schulbetrieb",Nutzungsprofile!$G$6:$G$11)*Kalender!C23/SUM(Kalender!$C$5:$C$370),0)+IFERROR(SUMIF(Nutzungsprofile!$B$6:$B$11,"Halle",Nutzungsprofile!$G$6:$G$11)*Kalender!D23/SUM(Kalender!$D$5:$D$370),0)+IFERROR(SUMIF(Nutzungsprofile!$B$6:$B$11,"Individuell",Nutzungsprofile!$G$6:$G$11)*Kalender!E23/SUM(Kalender!$E$5:$E$370),0))*Szenarien!$E$10,0)</f>
        <v>3.528</v>
      </c>
      <c r="D755" s="13" t="n">
        <f aca="false">IF(Szenarien!$H$10="OK",(IFERROR(SUMIF(Nutzungsprofile!$B$17:$B$22,"Schulbetrieb",Nutzungsprofile!$G$17:$G$22)*Kalender!C23/SUM(Kalender!$C$5:$C$370),0)+IFERROR(SUMIF(Nutzungsprofile!$B$17:$B$22,"Halle",Nutzungsprofile!$G$17:$G$22)*Kalender!D23/SUM(Kalender!$D$5:$D$370),0)+IFERROR(SUMIF(Nutzungsprofile!$B$17:$B$22,"Individuell",Nutzungsprofile!$G$17:$G$22)*Kalender!E23/SUM(Kalender!$E$5:$E$370),0))*Szenarien!$D$10,0)</f>
        <v>5.434</v>
      </c>
      <c r="E755" s="13" t="n">
        <f aca="false">IFERROR(MIN(C755,Eingaben!$B$17)*Eingaben!$B$16,0)</f>
        <v>3.3516</v>
      </c>
      <c r="F755" s="13" t="n">
        <f aca="false">IFERROR(E755*Eingaben!$B$15,0)</f>
        <v>3.01644</v>
      </c>
      <c r="G755" s="13" t="n">
        <f aca="false">IFERROR(IF(Kalender!A23="",0,J754*(1-Eingaben!$B$20)),0)</f>
        <v>1.96</v>
      </c>
      <c r="H755" s="13" t="n">
        <f aca="false">MIN(G755,D755)</f>
        <v>1.96</v>
      </c>
      <c r="I755" s="13" t="n">
        <f aca="false">IFERROR(MIN(F755*Eingaben!$B$19,MAX(0,D755-H755)),0)</f>
        <v>2.111508</v>
      </c>
      <c r="J755" s="13" t="n">
        <f aca="false">IFERROR(MIN(Eingaben!$B$18,MAX(0,F755-I755)),0)</f>
        <v>0.904932</v>
      </c>
      <c r="K755" s="13" t="n">
        <f aca="false">H755+I755</f>
        <v>4.071508</v>
      </c>
      <c r="L755" s="13" t="n">
        <f aca="false">MAX(0,D755-K755)</f>
        <v>1.362492</v>
      </c>
      <c r="M755" s="13" t="n">
        <f aca="false">MAX(0,F755-I755-J755)</f>
        <v>0</v>
      </c>
      <c r="N755" s="13" t="n">
        <f aca="false">IF(Kalender!A23="",0,J754-H755)</f>
        <v>0.04</v>
      </c>
    </row>
    <row r="756" customFormat="false" ht="16.4" hidden="false" customHeight="false" outlineLevel="0" collapsed="false">
      <c r="A756" s="13" t="str">
        <f aca="false">""</f>
        <v/>
      </c>
      <c r="B756" s="13" t="n">
        <f aca="false">20</f>
        <v>20</v>
      </c>
      <c r="C756" s="13" t="n">
        <f aca="false">IF(Szenarien!$H$10="OK",(IFERROR(SUMIF(Nutzungsprofile!$B$6:$B$11,"Schulbetrieb",Nutzungsprofile!$G$6:$G$11)*Kalender!C24/SUM(Kalender!$C$5:$C$370),0)+IFERROR(SUMIF(Nutzungsprofile!$B$6:$B$11,"Halle",Nutzungsprofile!$G$6:$G$11)*Kalender!D24/SUM(Kalender!$D$5:$D$370),0)+IFERROR(SUMIF(Nutzungsprofile!$B$6:$B$11,"Individuell",Nutzungsprofile!$G$6:$G$11)*Kalender!E24/SUM(Kalender!$E$5:$E$370),0))*Szenarien!$E$10,0)</f>
        <v>3.528</v>
      </c>
      <c r="D756" s="13" t="n">
        <f aca="false">IF(Szenarien!$H$10="OK",(IFERROR(SUMIF(Nutzungsprofile!$B$17:$B$22,"Schulbetrieb",Nutzungsprofile!$G$17:$G$22)*Kalender!C24/SUM(Kalender!$C$5:$C$370),0)+IFERROR(SUMIF(Nutzungsprofile!$B$17:$B$22,"Halle",Nutzungsprofile!$G$17:$G$22)*Kalender!D24/SUM(Kalender!$D$5:$D$370),0)+IFERROR(SUMIF(Nutzungsprofile!$B$17:$B$22,"Individuell",Nutzungsprofile!$G$17:$G$22)*Kalender!E24/SUM(Kalender!$E$5:$E$370),0))*Szenarien!$D$10,0)</f>
        <v>5.434</v>
      </c>
      <c r="E756" s="13" t="n">
        <f aca="false">IFERROR(MIN(C756,Eingaben!$B$17)*Eingaben!$B$16,0)</f>
        <v>3.3516</v>
      </c>
      <c r="F756" s="13" t="n">
        <f aca="false">IFERROR(E756*Eingaben!$B$15,0)</f>
        <v>3.01644</v>
      </c>
      <c r="G756" s="13" t="n">
        <f aca="false">IFERROR(IF(Kalender!A24="",0,J755*(1-Eingaben!$B$20)),0)</f>
        <v>0.88683336</v>
      </c>
      <c r="H756" s="13" t="n">
        <f aca="false">MIN(G756,D756)</f>
        <v>0.88683336</v>
      </c>
      <c r="I756" s="13" t="n">
        <f aca="false">IFERROR(MIN(F756*Eingaben!$B$19,MAX(0,D756-H756)),0)</f>
        <v>2.111508</v>
      </c>
      <c r="J756" s="13" t="n">
        <f aca="false">IFERROR(MIN(Eingaben!$B$18,MAX(0,F756-I756)),0)</f>
        <v>0.904932</v>
      </c>
      <c r="K756" s="13" t="n">
        <f aca="false">H756+I756</f>
        <v>2.99834136</v>
      </c>
      <c r="L756" s="13" t="n">
        <f aca="false">MAX(0,D756-K756)</f>
        <v>2.43565864</v>
      </c>
      <c r="M756" s="13" t="n">
        <f aca="false">MAX(0,F756-I756-J756)</f>
        <v>0</v>
      </c>
      <c r="N756" s="13" t="n">
        <f aca="false">IF(Kalender!A24="",0,J755-H756)</f>
        <v>0.0180986400000001</v>
      </c>
    </row>
    <row r="757" customFormat="false" ht="16.4" hidden="false" customHeight="false" outlineLevel="0" collapsed="false">
      <c r="A757" s="13" t="str">
        <f aca="false">""</f>
        <v/>
      </c>
      <c r="B757" s="13" t="n">
        <f aca="false">21</f>
        <v>21</v>
      </c>
      <c r="C757" s="13" t="n">
        <f aca="false">IF(Szenarien!$H$10="OK",(IFERROR(SUMIF(Nutzungsprofile!$B$6:$B$11,"Schulbetrieb",Nutzungsprofile!$G$6:$G$11)*Kalender!C25/SUM(Kalender!$C$5:$C$370),0)+IFERROR(SUMIF(Nutzungsprofile!$B$6:$B$11,"Halle",Nutzungsprofile!$G$6:$G$11)*Kalender!D25/SUM(Kalender!$D$5:$D$370),0)+IFERROR(SUMIF(Nutzungsprofile!$B$6:$B$11,"Individuell",Nutzungsprofile!$G$6:$G$11)*Kalender!E25/SUM(Kalender!$E$5:$E$370),0))*Szenarien!$E$10,0)</f>
        <v>3.528</v>
      </c>
      <c r="D757" s="13" t="n">
        <f aca="false">IF(Szenarien!$H$10="OK",(IFERROR(SUMIF(Nutzungsprofile!$B$17:$B$22,"Schulbetrieb",Nutzungsprofile!$G$17:$G$22)*Kalender!C25/SUM(Kalender!$C$5:$C$370),0)+IFERROR(SUMIF(Nutzungsprofile!$B$17:$B$22,"Halle",Nutzungsprofile!$G$17:$G$22)*Kalender!D25/SUM(Kalender!$D$5:$D$370),0)+IFERROR(SUMIF(Nutzungsprofile!$B$17:$B$22,"Individuell",Nutzungsprofile!$G$17:$G$22)*Kalender!E25/SUM(Kalender!$E$5:$E$370),0))*Szenarien!$D$10,0)</f>
        <v>5.434</v>
      </c>
      <c r="E757" s="13" t="n">
        <f aca="false">IFERROR(MIN(C757,Eingaben!$B$17)*Eingaben!$B$16,0)</f>
        <v>3.3516</v>
      </c>
      <c r="F757" s="13" t="n">
        <f aca="false">IFERROR(E757*Eingaben!$B$15,0)</f>
        <v>3.01644</v>
      </c>
      <c r="G757" s="13" t="n">
        <f aca="false">IFERROR(IF(Kalender!A25="",0,J756*(1-Eingaben!$B$20)),0)</f>
        <v>0.88683336</v>
      </c>
      <c r="H757" s="13" t="n">
        <f aca="false">MIN(G757,D757)</f>
        <v>0.88683336</v>
      </c>
      <c r="I757" s="13" t="n">
        <f aca="false">IFERROR(MIN(F757*Eingaben!$B$19,MAX(0,D757-H757)),0)</f>
        <v>2.111508</v>
      </c>
      <c r="J757" s="13" t="n">
        <f aca="false">IFERROR(MIN(Eingaben!$B$18,MAX(0,F757-I757)),0)</f>
        <v>0.904932</v>
      </c>
      <c r="K757" s="13" t="n">
        <f aca="false">H757+I757</f>
        <v>2.99834136</v>
      </c>
      <c r="L757" s="13" t="n">
        <f aca="false">MAX(0,D757-K757)</f>
        <v>2.43565864</v>
      </c>
      <c r="M757" s="13" t="n">
        <f aca="false">MAX(0,F757-I757-J757)</f>
        <v>0</v>
      </c>
      <c r="N757" s="13" t="n">
        <f aca="false">IF(Kalender!A25="",0,J756-H757)</f>
        <v>0.0180986400000001</v>
      </c>
    </row>
    <row r="758" customFormat="false" ht="16.4" hidden="false" customHeight="false" outlineLevel="0" collapsed="false">
      <c r="A758" s="13" t="str">
        <f aca="false">""</f>
        <v/>
      </c>
      <c r="B758" s="13" t="n">
        <f aca="false">22</f>
        <v>22</v>
      </c>
      <c r="C758" s="13" t="n">
        <f aca="false">IF(Szenarien!$H$10="OK",(IFERROR(SUMIF(Nutzungsprofile!$B$6:$B$11,"Schulbetrieb",Nutzungsprofile!$G$6:$G$11)*Kalender!C26/SUM(Kalender!$C$5:$C$370),0)+IFERROR(SUMIF(Nutzungsprofile!$B$6:$B$11,"Halle",Nutzungsprofile!$G$6:$G$11)*Kalender!D26/SUM(Kalender!$D$5:$D$370),0)+IFERROR(SUMIF(Nutzungsprofile!$B$6:$B$11,"Individuell",Nutzungsprofile!$G$6:$G$11)*Kalender!E26/SUM(Kalender!$E$5:$E$370),0))*Szenarien!$E$10,0)</f>
        <v>3.528</v>
      </c>
      <c r="D758" s="13" t="n">
        <f aca="false">IF(Szenarien!$H$10="OK",(IFERROR(SUMIF(Nutzungsprofile!$B$17:$B$22,"Schulbetrieb",Nutzungsprofile!$G$17:$G$22)*Kalender!C26/SUM(Kalender!$C$5:$C$370),0)+IFERROR(SUMIF(Nutzungsprofile!$B$17:$B$22,"Halle",Nutzungsprofile!$G$17:$G$22)*Kalender!D26/SUM(Kalender!$D$5:$D$370),0)+IFERROR(SUMIF(Nutzungsprofile!$B$17:$B$22,"Individuell",Nutzungsprofile!$G$17:$G$22)*Kalender!E26/SUM(Kalender!$E$5:$E$370),0))*Szenarien!$D$10,0)</f>
        <v>5.434</v>
      </c>
      <c r="E758" s="13" t="n">
        <f aca="false">IFERROR(MIN(C758,Eingaben!$B$17)*Eingaben!$B$16,0)</f>
        <v>3.3516</v>
      </c>
      <c r="F758" s="13" t="n">
        <f aca="false">IFERROR(E758*Eingaben!$B$15,0)</f>
        <v>3.01644</v>
      </c>
      <c r="G758" s="13" t="n">
        <f aca="false">IFERROR(IF(Kalender!A26="",0,J757*(1-Eingaben!$B$20)),0)</f>
        <v>0.88683336</v>
      </c>
      <c r="H758" s="13" t="n">
        <f aca="false">MIN(G758,D758)</f>
        <v>0.88683336</v>
      </c>
      <c r="I758" s="13" t="n">
        <f aca="false">IFERROR(MIN(F758*Eingaben!$B$19,MAX(0,D758-H758)),0)</f>
        <v>2.111508</v>
      </c>
      <c r="J758" s="13" t="n">
        <f aca="false">IFERROR(MIN(Eingaben!$B$18,MAX(0,F758-I758)),0)</f>
        <v>0.904932</v>
      </c>
      <c r="K758" s="13" t="n">
        <f aca="false">H758+I758</f>
        <v>2.99834136</v>
      </c>
      <c r="L758" s="13" t="n">
        <f aca="false">MAX(0,D758-K758)</f>
        <v>2.43565864</v>
      </c>
      <c r="M758" s="13" t="n">
        <f aca="false">MAX(0,F758-I758-J758)</f>
        <v>0</v>
      </c>
      <c r="N758" s="13" t="n">
        <f aca="false">IF(Kalender!A26="",0,J757-H758)</f>
        <v>0.0180986400000001</v>
      </c>
    </row>
    <row r="759" customFormat="false" ht="16.4" hidden="false" customHeight="false" outlineLevel="0" collapsed="false">
      <c r="A759" s="13" t="str">
        <f aca="false">""</f>
        <v/>
      </c>
      <c r="B759" s="13" t="n">
        <f aca="false">23</f>
        <v>23</v>
      </c>
      <c r="C759" s="13" t="n">
        <f aca="false">IF(Szenarien!$H$10="OK",(IFERROR(SUMIF(Nutzungsprofile!$B$6:$B$11,"Schulbetrieb",Nutzungsprofile!$G$6:$G$11)*Kalender!C27/SUM(Kalender!$C$5:$C$370),0)+IFERROR(SUMIF(Nutzungsprofile!$B$6:$B$11,"Halle",Nutzungsprofile!$G$6:$G$11)*Kalender!D27/SUM(Kalender!$D$5:$D$370),0)+IFERROR(SUMIF(Nutzungsprofile!$B$6:$B$11,"Individuell",Nutzungsprofile!$G$6:$G$11)*Kalender!E27/SUM(Kalender!$E$5:$E$370),0))*Szenarien!$E$10,0)</f>
        <v>3.528</v>
      </c>
      <c r="D759" s="13" t="n">
        <f aca="false">IF(Szenarien!$H$10="OK",(IFERROR(SUMIF(Nutzungsprofile!$B$17:$B$22,"Schulbetrieb",Nutzungsprofile!$G$17:$G$22)*Kalender!C27/SUM(Kalender!$C$5:$C$370),0)+IFERROR(SUMIF(Nutzungsprofile!$B$17:$B$22,"Halle",Nutzungsprofile!$G$17:$G$22)*Kalender!D27/SUM(Kalender!$D$5:$D$370),0)+IFERROR(SUMIF(Nutzungsprofile!$B$17:$B$22,"Individuell",Nutzungsprofile!$G$17:$G$22)*Kalender!E27/SUM(Kalender!$E$5:$E$370),0))*Szenarien!$D$10,0)</f>
        <v>5.434</v>
      </c>
      <c r="E759" s="13" t="n">
        <f aca="false">IFERROR(MIN(C759,Eingaben!$B$17)*Eingaben!$B$16,0)</f>
        <v>3.3516</v>
      </c>
      <c r="F759" s="13" t="n">
        <f aca="false">IFERROR(E759*Eingaben!$B$15,0)</f>
        <v>3.01644</v>
      </c>
      <c r="G759" s="13" t="n">
        <f aca="false">IFERROR(IF(Kalender!A27="",0,J758*(1-Eingaben!$B$20)),0)</f>
        <v>0.88683336</v>
      </c>
      <c r="H759" s="13" t="n">
        <f aca="false">MIN(G759,D759)</f>
        <v>0.88683336</v>
      </c>
      <c r="I759" s="13" t="n">
        <f aca="false">IFERROR(MIN(F759*Eingaben!$B$19,MAX(0,D759-H759)),0)</f>
        <v>2.111508</v>
      </c>
      <c r="J759" s="13" t="n">
        <f aca="false">IFERROR(MIN(Eingaben!$B$18,MAX(0,F759-I759)),0)</f>
        <v>0.904932</v>
      </c>
      <c r="K759" s="13" t="n">
        <f aca="false">H759+I759</f>
        <v>2.99834136</v>
      </c>
      <c r="L759" s="13" t="n">
        <f aca="false">MAX(0,D759-K759)</f>
        <v>2.43565864</v>
      </c>
      <c r="M759" s="13" t="n">
        <f aca="false">MAX(0,F759-I759-J759)</f>
        <v>0</v>
      </c>
      <c r="N759" s="13" t="n">
        <f aca="false">IF(Kalender!A27="",0,J758-H759)</f>
        <v>0.0180986400000001</v>
      </c>
    </row>
    <row r="760" customFormat="false" ht="16.4" hidden="false" customHeight="false" outlineLevel="0" collapsed="false">
      <c r="A760" s="13" t="str">
        <f aca="false">""</f>
        <v/>
      </c>
      <c r="B760" s="13" t="n">
        <f aca="false">24</f>
        <v>24</v>
      </c>
      <c r="C760" s="13" t="n">
        <f aca="false">IF(Szenarien!$H$10="OK",(IFERROR(SUMIF(Nutzungsprofile!$B$6:$B$11,"Schulbetrieb",Nutzungsprofile!$G$6:$G$11)*Kalender!C28/SUM(Kalender!$C$5:$C$370),0)+IFERROR(SUMIF(Nutzungsprofile!$B$6:$B$11,"Halle",Nutzungsprofile!$G$6:$G$11)*Kalender!D28/SUM(Kalender!$D$5:$D$370),0)+IFERROR(SUMIF(Nutzungsprofile!$B$6:$B$11,"Individuell",Nutzungsprofile!$G$6:$G$11)*Kalender!E28/SUM(Kalender!$E$5:$E$370),0))*Szenarien!$E$10,0)</f>
        <v>2.448</v>
      </c>
      <c r="D760" s="13" t="n">
        <f aca="false">IF(Szenarien!$H$10="OK",(IFERROR(SUMIF(Nutzungsprofile!$B$17:$B$22,"Schulbetrieb",Nutzungsprofile!$G$17:$G$22)*Kalender!C28/SUM(Kalender!$C$5:$C$370),0)+IFERROR(SUMIF(Nutzungsprofile!$B$17:$B$22,"Halle",Nutzungsprofile!$G$17:$G$22)*Kalender!D28/SUM(Kalender!$D$5:$D$370),0)+IFERROR(SUMIF(Nutzungsprofile!$B$17:$B$22,"Individuell",Nutzungsprofile!$G$17:$G$22)*Kalender!E28/SUM(Kalender!$E$5:$E$370),0))*Szenarien!$D$10,0)</f>
        <v>0.979</v>
      </c>
      <c r="E760" s="13" t="n">
        <f aca="false">IFERROR(MIN(C760,Eingaben!$B$17)*Eingaben!$B$16,0)</f>
        <v>2.3256</v>
      </c>
      <c r="F760" s="13" t="n">
        <f aca="false">IFERROR(E760*Eingaben!$B$15,0)</f>
        <v>2.09304</v>
      </c>
      <c r="G760" s="13" t="n">
        <f aca="false">IFERROR(IF(Kalender!A28="",0,J759*(1-Eingaben!$B$20)),0)</f>
        <v>0.88683336</v>
      </c>
      <c r="H760" s="13" t="n">
        <f aca="false">MIN(G760,D760)</f>
        <v>0.88683336</v>
      </c>
      <c r="I760" s="13" t="n">
        <f aca="false">IFERROR(MIN(F760*Eingaben!$B$19,MAX(0,D760-H760)),0)</f>
        <v>0.0921666400000001</v>
      </c>
      <c r="J760" s="13" t="n">
        <f aca="false">IFERROR(MIN(Eingaben!$B$18,MAX(0,F760-I760)),0)</f>
        <v>2</v>
      </c>
      <c r="K760" s="13" t="n">
        <f aca="false">H760+I760</f>
        <v>0.979</v>
      </c>
      <c r="L760" s="13" t="n">
        <f aca="false">MAX(0,D760-K760)</f>
        <v>0</v>
      </c>
      <c r="M760" s="13" t="n">
        <f aca="false">MAX(0,F760-I760-J760)</f>
        <v>0.000873359999999934</v>
      </c>
      <c r="N760" s="13" t="n">
        <f aca="false">IF(Kalender!A28="",0,J759-H760)</f>
        <v>0.0180986400000001</v>
      </c>
    </row>
    <row r="761" customFormat="false" ht="16.4" hidden="false" customHeight="false" outlineLevel="0" collapsed="false">
      <c r="A761" s="13" t="str">
        <f aca="false">""</f>
        <v/>
      </c>
      <c r="B761" s="13" t="n">
        <f aca="false">25</f>
        <v>25</v>
      </c>
      <c r="C761" s="13" t="n">
        <f aca="false">IF(Szenarien!$H$10="OK",(IFERROR(SUMIF(Nutzungsprofile!$B$6:$B$11,"Schulbetrieb",Nutzungsprofile!$G$6:$G$11)*Kalender!C29/SUM(Kalender!$C$5:$C$370),0)+IFERROR(SUMIF(Nutzungsprofile!$B$6:$B$11,"Halle",Nutzungsprofile!$G$6:$G$11)*Kalender!D29/SUM(Kalender!$D$5:$D$370),0)+IFERROR(SUMIF(Nutzungsprofile!$B$6:$B$11,"Individuell",Nutzungsprofile!$G$6:$G$11)*Kalender!E29/SUM(Kalender!$E$5:$E$370),0))*Szenarien!$E$10,0)</f>
        <v>2.448</v>
      </c>
      <c r="D761" s="13" t="n">
        <f aca="false">IF(Szenarien!$H$10="OK",(IFERROR(SUMIF(Nutzungsprofile!$B$17:$B$22,"Schulbetrieb",Nutzungsprofile!$G$17:$G$22)*Kalender!C29/SUM(Kalender!$C$5:$C$370),0)+IFERROR(SUMIF(Nutzungsprofile!$B$17:$B$22,"Halle",Nutzungsprofile!$G$17:$G$22)*Kalender!D29/SUM(Kalender!$D$5:$D$370),0)+IFERROR(SUMIF(Nutzungsprofile!$B$17:$B$22,"Individuell",Nutzungsprofile!$G$17:$G$22)*Kalender!E29/SUM(Kalender!$E$5:$E$370),0))*Szenarien!$D$10,0)</f>
        <v>0.979</v>
      </c>
      <c r="E761" s="13" t="n">
        <f aca="false">IFERROR(MIN(C761,Eingaben!$B$17)*Eingaben!$B$16,0)</f>
        <v>2.3256</v>
      </c>
      <c r="F761" s="13" t="n">
        <f aca="false">IFERROR(E761*Eingaben!$B$15,0)</f>
        <v>2.09304</v>
      </c>
      <c r="G761" s="13" t="n">
        <f aca="false">IFERROR(IF(Kalender!A29="",0,J760*(1-Eingaben!$B$20)),0)</f>
        <v>1.96</v>
      </c>
      <c r="H761" s="13" t="n">
        <f aca="false">MIN(G761,D761)</f>
        <v>0.979</v>
      </c>
      <c r="I761" s="13" t="n">
        <f aca="false">IFERROR(MIN(F761*Eingaben!$B$19,MAX(0,D761-H761)),0)</f>
        <v>0</v>
      </c>
      <c r="J761" s="13" t="n">
        <f aca="false">IFERROR(MIN(Eingaben!$B$18,MAX(0,F761-I761)),0)</f>
        <v>2</v>
      </c>
      <c r="K761" s="13" t="n">
        <f aca="false">H761+I761</f>
        <v>0.979</v>
      </c>
      <c r="L761" s="13" t="n">
        <f aca="false">MAX(0,D761-K761)</f>
        <v>0</v>
      </c>
      <c r="M761" s="13" t="n">
        <f aca="false">MAX(0,F761-I761-J761)</f>
        <v>0.0930399999999998</v>
      </c>
      <c r="N761" s="13" t="n">
        <f aca="false">IF(Kalender!A29="",0,J760-H761)</f>
        <v>1.021</v>
      </c>
    </row>
    <row r="762" customFormat="false" ht="16.4" hidden="false" customHeight="false" outlineLevel="0" collapsed="false">
      <c r="A762" s="13" t="str">
        <f aca="false">""</f>
        <v/>
      </c>
      <c r="B762" s="13" t="n">
        <f aca="false">26</f>
        <v>26</v>
      </c>
      <c r="C762" s="13" t="n">
        <f aca="false">IF(Szenarien!$H$10="OK",(IFERROR(SUMIF(Nutzungsprofile!$B$6:$B$11,"Schulbetrieb",Nutzungsprofile!$G$6:$G$11)*Kalender!C30/SUM(Kalender!$C$5:$C$370),0)+IFERROR(SUMIF(Nutzungsprofile!$B$6:$B$11,"Halle",Nutzungsprofile!$G$6:$G$11)*Kalender!D30/SUM(Kalender!$D$5:$D$370),0)+IFERROR(SUMIF(Nutzungsprofile!$B$6:$B$11,"Individuell",Nutzungsprofile!$G$6:$G$11)*Kalender!E30/SUM(Kalender!$E$5:$E$370),0))*Szenarien!$E$10,0)</f>
        <v>3.528</v>
      </c>
      <c r="D762" s="13" t="n">
        <f aca="false">IF(Szenarien!$H$10="OK",(IFERROR(SUMIF(Nutzungsprofile!$B$17:$B$22,"Schulbetrieb",Nutzungsprofile!$G$17:$G$22)*Kalender!C30/SUM(Kalender!$C$5:$C$370),0)+IFERROR(SUMIF(Nutzungsprofile!$B$17:$B$22,"Halle",Nutzungsprofile!$G$17:$G$22)*Kalender!D30/SUM(Kalender!$D$5:$D$370),0)+IFERROR(SUMIF(Nutzungsprofile!$B$17:$B$22,"Individuell",Nutzungsprofile!$G$17:$G$22)*Kalender!E30/SUM(Kalender!$E$5:$E$370),0))*Szenarien!$D$10,0)</f>
        <v>5.434</v>
      </c>
      <c r="E762" s="13" t="n">
        <f aca="false">IFERROR(MIN(C762,Eingaben!$B$17)*Eingaben!$B$16,0)</f>
        <v>3.3516</v>
      </c>
      <c r="F762" s="13" t="n">
        <f aca="false">IFERROR(E762*Eingaben!$B$15,0)</f>
        <v>3.01644</v>
      </c>
      <c r="G762" s="13" t="n">
        <f aca="false">IFERROR(IF(Kalender!A30="",0,J761*(1-Eingaben!$B$20)),0)</f>
        <v>1.96</v>
      </c>
      <c r="H762" s="13" t="n">
        <f aca="false">MIN(G762,D762)</f>
        <v>1.96</v>
      </c>
      <c r="I762" s="13" t="n">
        <f aca="false">IFERROR(MIN(F762*Eingaben!$B$19,MAX(0,D762-H762)),0)</f>
        <v>2.111508</v>
      </c>
      <c r="J762" s="13" t="n">
        <f aca="false">IFERROR(MIN(Eingaben!$B$18,MAX(0,F762-I762)),0)</f>
        <v>0.904932</v>
      </c>
      <c r="K762" s="13" t="n">
        <f aca="false">H762+I762</f>
        <v>4.071508</v>
      </c>
      <c r="L762" s="13" t="n">
        <f aca="false">MAX(0,D762-K762)</f>
        <v>1.362492</v>
      </c>
      <c r="M762" s="13" t="n">
        <f aca="false">MAX(0,F762-I762-J762)</f>
        <v>0</v>
      </c>
      <c r="N762" s="13" t="n">
        <f aca="false">IF(Kalender!A30="",0,J761-H762)</f>
        <v>0.04</v>
      </c>
    </row>
    <row r="763" customFormat="false" ht="16.4" hidden="false" customHeight="false" outlineLevel="0" collapsed="false">
      <c r="A763" s="13" t="str">
        <f aca="false">""</f>
        <v/>
      </c>
      <c r="B763" s="13" t="n">
        <f aca="false">27</f>
        <v>27</v>
      </c>
      <c r="C763" s="13" t="n">
        <f aca="false">IF(Szenarien!$H$10="OK",(IFERROR(SUMIF(Nutzungsprofile!$B$6:$B$11,"Schulbetrieb",Nutzungsprofile!$G$6:$G$11)*Kalender!C31/SUM(Kalender!$C$5:$C$370),0)+IFERROR(SUMIF(Nutzungsprofile!$B$6:$B$11,"Halle",Nutzungsprofile!$G$6:$G$11)*Kalender!D31/SUM(Kalender!$D$5:$D$370),0)+IFERROR(SUMIF(Nutzungsprofile!$B$6:$B$11,"Individuell",Nutzungsprofile!$G$6:$G$11)*Kalender!E31/SUM(Kalender!$E$5:$E$370),0))*Szenarien!$E$10,0)</f>
        <v>3.528</v>
      </c>
      <c r="D763" s="13" t="n">
        <f aca="false">IF(Szenarien!$H$10="OK",(IFERROR(SUMIF(Nutzungsprofile!$B$17:$B$22,"Schulbetrieb",Nutzungsprofile!$G$17:$G$22)*Kalender!C31/SUM(Kalender!$C$5:$C$370),0)+IFERROR(SUMIF(Nutzungsprofile!$B$17:$B$22,"Halle",Nutzungsprofile!$G$17:$G$22)*Kalender!D31/SUM(Kalender!$D$5:$D$370),0)+IFERROR(SUMIF(Nutzungsprofile!$B$17:$B$22,"Individuell",Nutzungsprofile!$G$17:$G$22)*Kalender!E31/SUM(Kalender!$E$5:$E$370),0))*Szenarien!$D$10,0)</f>
        <v>5.434</v>
      </c>
      <c r="E763" s="13" t="n">
        <f aca="false">IFERROR(MIN(C763,Eingaben!$B$17)*Eingaben!$B$16,0)</f>
        <v>3.3516</v>
      </c>
      <c r="F763" s="13" t="n">
        <f aca="false">IFERROR(E763*Eingaben!$B$15,0)</f>
        <v>3.01644</v>
      </c>
      <c r="G763" s="13" t="n">
        <f aca="false">IFERROR(IF(Kalender!A31="",0,J762*(1-Eingaben!$B$20)),0)</f>
        <v>0.88683336</v>
      </c>
      <c r="H763" s="13" t="n">
        <f aca="false">MIN(G763,D763)</f>
        <v>0.88683336</v>
      </c>
      <c r="I763" s="13" t="n">
        <f aca="false">IFERROR(MIN(F763*Eingaben!$B$19,MAX(0,D763-H763)),0)</f>
        <v>2.111508</v>
      </c>
      <c r="J763" s="13" t="n">
        <f aca="false">IFERROR(MIN(Eingaben!$B$18,MAX(0,F763-I763)),0)</f>
        <v>0.904932</v>
      </c>
      <c r="K763" s="13" t="n">
        <f aca="false">H763+I763</f>
        <v>2.99834136</v>
      </c>
      <c r="L763" s="13" t="n">
        <f aca="false">MAX(0,D763-K763)</f>
        <v>2.43565864</v>
      </c>
      <c r="M763" s="13" t="n">
        <f aca="false">MAX(0,F763-I763-J763)</f>
        <v>0</v>
      </c>
      <c r="N763" s="13" t="n">
        <f aca="false">IF(Kalender!A31="",0,J762-H763)</f>
        <v>0.0180986400000001</v>
      </c>
    </row>
    <row r="764" customFormat="false" ht="16.4" hidden="false" customHeight="false" outlineLevel="0" collapsed="false">
      <c r="A764" s="13" t="str">
        <f aca="false">""</f>
        <v/>
      </c>
      <c r="B764" s="13" t="n">
        <f aca="false">28</f>
        <v>28</v>
      </c>
      <c r="C764" s="13" t="n">
        <f aca="false">IF(Szenarien!$H$10="OK",(IFERROR(SUMIF(Nutzungsprofile!$B$6:$B$11,"Schulbetrieb",Nutzungsprofile!$G$6:$G$11)*Kalender!C32/SUM(Kalender!$C$5:$C$370),0)+IFERROR(SUMIF(Nutzungsprofile!$B$6:$B$11,"Halle",Nutzungsprofile!$G$6:$G$11)*Kalender!D32/SUM(Kalender!$D$5:$D$370),0)+IFERROR(SUMIF(Nutzungsprofile!$B$6:$B$11,"Individuell",Nutzungsprofile!$G$6:$G$11)*Kalender!E32/SUM(Kalender!$E$5:$E$370),0))*Szenarien!$E$10,0)</f>
        <v>3.528</v>
      </c>
      <c r="D764" s="13" t="n">
        <f aca="false">IF(Szenarien!$H$10="OK",(IFERROR(SUMIF(Nutzungsprofile!$B$17:$B$22,"Schulbetrieb",Nutzungsprofile!$G$17:$G$22)*Kalender!C32/SUM(Kalender!$C$5:$C$370),0)+IFERROR(SUMIF(Nutzungsprofile!$B$17:$B$22,"Halle",Nutzungsprofile!$G$17:$G$22)*Kalender!D32/SUM(Kalender!$D$5:$D$370),0)+IFERROR(SUMIF(Nutzungsprofile!$B$17:$B$22,"Individuell",Nutzungsprofile!$G$17:$G$22)*Kalender!E32/SUM(Kalender!$E$5:$E$370),0))*Szenarien!$D$10,0)</f>
        <v>5.434</v>
      </c>
      <c r="E764" s="13" t="n">
        <f aca="false">IFERROR(MIN(C764,Eingaben!$B$17)*Eingaben!$B$16,0)</f>
        <v>3.3516</v>
      </c>
      <c r="F764" s="13" t="n">
        <f aca="false">IFERROR(E764*Eingaben!$B$15,0)</f>
        <v>3.01644</v>
      </c>
      <c r="G764" s="13" t="n">
        <f aca="false">IFERROR(IF(Kalender!A32="",0,J763*(1-Eingaben!$B$20)),0)</f>
        <v>0.88683336</v>
      </c>
      <c r="H764" s="13" t="n">
        <f aca="false">MIN(G764,D764)</f>
        <v>0.88683336</v>
      </c>
      <c r="I764" s="13" t="n">
        <f aca="false">IFERROR(MIN(F764*Eingaben!$B$19,MAX(0,D764-H764)),0)</f>
        <v>2.111508</v>
      </c>
      <c r="J764" s="13" t="n">
        <f aca="false">IFERROR(MIN(Eingaben!$B$18,MAX(0,F764-I764)),0)</f>
        <v>0.904932</v>
      </c>
      <c r="K764" s="13" t="n">
        <f aca="false">H764+I764</f>
        <v>2.99834136</v>
      </c>
      <c r="L764" s="13" t="n">
        <f aca="false">MAX(0,D764-K764)</f>
        <v>2.43565864</v>
      </c>
      <c r="M764" s="13" t="n">
        <f aca="false">MAX(0,F764-I764-J764)</f>
        <v>0</v>
      </c>
      <c r="N764" s="13" t="n">
        <f aca="false">IF(Kalender!A32="",0,J763-H764)</f>
        <v>0.0180986400000001</v>
      </c>
    </row>
    <row r="765" customFormat="false" ht="16.4" hidden="false" customHeight="false" outlineLevel="0" collapsed="false">
      <c r="A765" s="13" t="str">
        <f aca="false">""</f>
        <v/>
      </c>
      <c r="B765" s="13" t="n">
        <f aca="false">29</f>
        <v>29</v>
      </c>
      <c r="C765" s="13" t="n">
        <f aca="false">IF(Szenarien!$H$10="OK",(IFERROR(SUMIF(Nutzungsprofile!$B$6:$B$11,"Schulbetrieb",Nutzungsprofile!$G$6:$G$11)*Kalender!C33/SUM(Kalender!$C$5:$C$370),0)+IFERROR(SUMIF(Nutzungsprofile!$B$6:$B$11,"Halle",Nutzungsprofile!$G$6:$G$11)*Kalender!D33/SUM(Kalender!$D$5:$D$370),0)+IFERROR(SUMIF(Nutzungsprofile!$B$6:$B$11,"Individuell",Nutzungsprofile!$G$6:$G$11)*Kalender!E33/SUM(Kalender!$E$5:$E$370),0))*Szenarien!$E$10,0)</f>
        <v>3.528</v>
      </c>
      <c r="D765" s="13" t="n">
        <f aca="false">IF(Szenarien!$H$10="OK",(IFERROR(SUMIF(Nutzungsprofile!$B$17:$B$22,"Schulbetrieb",Nutzungsprofile!$G$17:$G$22)*Kalender!C33/SUM(Kalender!$C$5:$C$370),0)+IFERROR(SUMIF(Nutzungsprofile!$B$17:$B$22,"Halle",Nutzungsprofile!$G$17:$G$22)*Kalender!D33/SUM(Kalender!$D$5:$D$370),0)+IFERROR(SUMIF(Nutzungsprofile!$B$17:$B$22,"Individuell",Nutzungsprofile!$G$17:$G$22)*Kalender!E33/SUM(Kalender!$E$5:$E$370),0))*Szenarien!$D$10,0)</f>
        <v>5.434</v>
      </c>
      <c r="E765" s="13" t="n">
        <f aca="false">IFERROR(MIN(C765,Eingaben!$B$17)*Eingaben!$B$16,0)</f>
        <v>3.3516</v>
      </c>
      <c r="F765" s="13" t="n">
        <f aca="false">IFERROR(E765*Eingaben!$B$15,0)</f>
        <v>3.01644</v>
      </c>
      <c r="G765" s="13" t="n">
        <f aca="false">IFERROR(IF(Kalender!A33="",0,J764*(1-Eingaben!$B$20)),0)</f>
        <v>0.88683336</v>
      </c>
      <c r="H765" s="13" t="n">
        <f aca="false">MIN(G765,D765)</f>
        <v>0.88683336</v>
      </c>
      <c r="I765" s="13" t="n">
        <f aca="false">IFERROR(MIN(F765*Eingaben!$B$19,MAX(0,D765-H765)),0)</f>
        <v>2.111508</v>
      </c>
      <c r="J765" s="13" t="n">
        <f aca="false">IFERROR(MIN(Eingaben!$B$18,MAX(0,F765-I765)),0)</f>
        <v>0.904932</v>
      </c>
      <c r="K765" s="13" t="n">
        <f aca="false">H765+I765</f>
        <v>2.99834136</v>
      </c>
      <c r="L765" s="13" t="n">
        <f aca="false">MAX(0,D765-K765)</f>
        <v>2.43565864</v>
      </c>
      <c r="M765" s="13" t="n">
        <f aca="false">MAX(0,F765-I765-J765)</f>
        <v>0</v>
      </c>
      <c r="N765" s="13" t="n">
        <f aca="false">IF(Kalender!A33="",0,J764-H765)</f>
        <v>0.0180986400000001</v>
      </c>
    </row>
    <row r="766" customFormat="false" ht="16.4" hidden="false" customHeight="false" outlineLevel="0" collapsed="false">
      <c r="A766" s="13" t="str">
        <f aca="false">""</f>
        <v/>
      </c>
      <c r="B766" s="13" t="n">
        <f aca="false">30</f>
        <v>30</v>
      </c>
      <c r="C766" s="13" t="n">
        <f aca="false">IF(Szenarien!$H$10="OK",(IFERROR(SUMIF(Nutzungsprofile!$B$6:$B$11,"Schulbetrieb",Nutzungsprofile!$G$6:$G$11)*Kalender!C34/SUM(Kalender!$C$5:$C$370),0)+IFERROR(SUMIF(Nutzungsprofile!$B$6:$B$11,"Halle",Nutzungsprofile!$G$6:$G$11)*Kalender!D34/SUM(Kalender!$D$5:$D$370),0)+IFERROR(SUMIF(Nutzungsprofile!$B$6:$B$11,"Individuell",Nutzungsprofile!$G$6:$G$11)*Kalender!E34/SUM(Kalender!$E$5:$E$370),0))*Szenarien!$E$10,0)</f>
        <v>3.528</v>
      </c>
      <c r="D766" s="13" t="n">
        <f aca="false">IF(Szenarien!$H$10="OK",(IFERROR(SUMIF(Nutzungsprofile!$B$17:$B$22,"Schulbetrieb",Nutzungsprofile!$G$17:$G$22)*Kalender!C34/SUM(Kalender!$C$5:$C$370),0)+IFERROR(SUMIF(Nutzungsprofile!$B$17:$B$22,"Halle",Nutzungsprofile!$G$17:$G$22)*Kalender!D34/SUM(Kalender!$D$5:$D$370),0)+IFERROR(SUMIF(Nutzungsprofile!$B$17:$B$22,"Individuell",Nutzungsprofile!$G$17:$G$22)*Kalender!E34/SUM(Kalender!$E$5:$E$370),0))*Szenarien!$D$10,0)</f>
        <v>5.434</v>
      </c>
      <c r="E766" s="13" t="n">
        <f aca="false">IFERROR(MIN(C766,Eingaben!$B$17)*Eingaben!$B$16,0)</f>
        <v>3.3516</v>
      </c>
      <c r="F766" s="13" t="n">
        <f aca="false">IFERROR(E766*Eingaben!$B$15,0)</f>
        <v>3.01644</v>
      </c>
      <c r="G766" s="13" t="n">
        <f aca="false">IFERROR(IF(Kalender!A34="",0,J765*(1-Eingaben!$B$20)),0)</f>
        <v>0.88683336</v>
      </c>
      <c r="H766" s="13" t="n">
        <f aca="false">MIN(G766,D766)</f>
        <v>0.88683336</v>
      </c>
      <c r="I766" s="13" t="n">
        <f aca="false">IFERROR(MIN(F766*Eingaben!$B$19,MAX(0,D766-H766)),0)</f>
        <v>2.111508</v>
      </c>
      <c r="J766" s="13" t="n">
        <f aca="false">IFERROR(MIN(Eingaben!$B$18,MAX(0,F766-I766)),0)</f>
        <v>0.904932</v>
      </c>
      <c r="K766" s="13" t="n">
        <f aca="false">H766+I766</f>
        <v>2.99834136</v>
      </c>
      <c r="L766" s="13" t="n">
        <f aca="false">MAX(0,D766-K766)</f>
        <v>2.43565864</v>
      </c>
      <c r="M766" s="13" t="n">
        <f aca="false">MAX(0,F766-I766-J766)</f>
        <v>0</v>
      </c>
      <c r="N766" s="13" t="n">
        <f aca="false">IF(Kalender!A34="",0,J765-H766)</f>
        <v>0.0180986400000001</v>
      </c>
    </row>
    <row r="767" customFormat="false" ht="16.4" hidden="false" customHeight="false" outlineLevel="0" collapsed="false">
      <c r="A767" s="13" t="str">
        <f aca="false">""</f>
        <v/>
      </c>
      <c r="B767" s="13" t="n">
        <f aca="false">31</f>
        <v>31</v>
      </c>
      <c r="C767" s="13" t="n">
        <f aca="false">IF(Szenarien!$H$10="OK",(IFERROR(SUMIF(Nutzungsprofile!$B$6:$B$11,"Schulbetrieb",Nutzungsprofile!$G$6:$G$11)*Kalender!C35/SUM(Kalender!$C$5:$C$370),0)+IFERROR(SUMIF(Nutzungsprofile!$B$6:$B$11,"Halle",Nutzungsprofile!$G$6:$G$11)*Kalender!D35/SUM(Kalender!$D$5:$D$370),0)+IFERROR(SUMIF(Nutzungsprofile!$B$6:$B$11,"Individuell",Nutzungsprofile!$G$6:$G$11)*Kalender!E35/SUM(Kalender!$E$5:$E$370),0))*Szenarien!$E$10,0)</f>
        <v>2.448</v>
      </c>
      <c r="D767" s="13" t="n">
        <f aca="false">IF(Szenarien!$H$10="OK",(IFERROR(SUMIF(Nutzungsprofile!$B$17:$B$22,"Schulbetrieb",Nutzungsprofile!$G$17:$G$22)*Kalender!C35/SUM(Kalender!$C$5:$C$370),0)+IFERROR(SUMIF(Nutzungsprofile!$B$17:$B$22,"Halle",Nutzungsprofile!$G$17:$G$22)*Kalender!D35/SUM(Kalender!$D$5:$D$370),0)+IFERROR(SUMIF(Nutzungsprofile!$B$17:$B$22,"Individuell",Nutzungsprofile!$G$17:$G$22)*Kalender!E35/SUM(Kalender!$E$5:$E$370),0))*Szenarien!$D$10,0)</f>
        <v>0.979</v>
      </c>
      <c r="E767" s="13" t="n">
        <f aca="false">IFERROR(MIN(C767,Eingaben!$B$17)*Eingaben!$B$16,0)</f>
        <v>2.3256</v>
      </c>
      <c r="F767" s="13" t="n">
        <f aca="false">IFERROR(E767*Eingaben!$B$15,0)</f>
        <v>2.09304</v>
      </c>
      <c r="G767" s="13" t="n">
        <f aca="false">IFERROR(IF(Kalender!A35="",0,J766*(1-Eingaben!$B$20)),0)</f>
        <v>0.88683336</v>
      </c>
      <c r="H767" s="13" t="n">
        <f aca="false">MIN(G767,D767)</f>
        <v>0.88683336</v>
      </c>
      <c r="I767" s="13" t="n">
        <f aca="false">IFERROR(MIN(F767*Eingaben!$B$19,MAX(0,D767-H767)),0)</f>
        <v>0.0921666400000001</v>
      </c>
      <c r="J767" s="13" t="n">
        <f aca="false">IFERROR(MIN(Eingaben!$B$18,MAX(0,F767-I767)),0)</f>
        <v>2</v>
      </c>
      <c r="K767" s="13" t="n">
        <f aca="false">H767+I767</f>
        <v>0.979</v>
      </c>
      <c r="L767" s="13" t="n">
        <f aca="false">MAX(0,D767-K767)</f>
        <v>0</v>
      </c>
      <c r="M767" s="13" t="n">
        <f aca="false">MAX(0,F767-I767-J767)</f>
        <v>0.000873359999999934</v>
      </c>
      <c r="N767" s="13" t="n">
        <f aca="false">IF(Kalender!A35="",0,J766-H767)</f>
        <v>0.0180986400000001</v>
      </c>
    </row>
    <row r="768" customFormat="false" ht="16.4" hidden="false" customHeight="false" outlineLevel="0" collapsed="false">
      <c r="A768" s="13" t="str">
        <f aca="false">""</f>
        <v/>
      </c>
      <c r="B768" s="13" t="n">
        <f aca="false">32</f>
        <v>32</v>
      </c>
      <c r="C768" s="13" t="n">
        <f aca="false">IF(Szenarien!$H$10="OK",(IFERROR(SUMIF(Nutzungsprofile!$B$6:$B$11,"Schulbetrieb",Nutzungsprofile!$G$6:$G$11)*Kalender!C36/SUM(Kalender!$C$5:$C$370),0)+IFERROR(SUMIF(Nutzungsprofile!$B$6:$B$11,"Halle",Nutzungsprofile!$G$6:$G$11)*Kalender!D36/SUM(Kalender!$D$5:$D$370),0)+IFERROR(SUMIF(Nutzungsprofile!$B$6:$B$11,"Individuell",Nutzungsprofile!$G$6:$G$11)*Kalender!E36/SUM(Kalender!$E$5:$E$370),0))*Szenarien!$E$10,0)</f>
        <v>2.448</v>
      </c>
      <c r="D768" s="13" t="n">
        <f aca="false">IF(Szenarien!$H$10="OK",(IFERROR(SUMIF(Nutzungsprofile!$B$17:$B$22,"Schulbetrieb",Nutzungsprofile!$G$17:$G$22)*Kalender!C36/SUM(Kalender!$C$5:$C$370),0)+IFERROR(SUMIF(Nutzungsprofile!$B$17:$B$22,"Halle",Nutzungsprofile!$G$17:$G$22)*Kalender!D36/SUM(Kalender!$D$5:$D$370),0)+IFERROR(SUMIF(Nutzungsprofile!$B$17:$B$22,"Individuell",Nutzungsprofile!$G$17:$G$22)*Kalender!E36/SUM(Kalender!$E$5:$E$370),0))*Szenarien!$D$10,0)</f>
        <v>0.979</v>
      </c>
      <c r="E768" s="13" t="n">
        <f aca="false">IFERROR(MIN(C768,Eingaben!$B$17)*Eingaben!$B$16,0)</f>
        <v>2.3256</v>
      </c>
      <c r="F768" s="13" t="n">
        <f aca="false">IFERROR(E768*Eingaben!$B$15,0)</f>
        <v>2.09304</v>
      </c>
      <c r="G768" s="13" t="n">
        <f aca="false">IFERROR(IF(Kalender!A36="",0,J767*(1-Eingaben!$B$20)),0)</f>
        <v>1.96</v>
      </c>
      <c r="H768" s="13" t="n">
        <f aca="false">MIN(G768,D768)</f>
        <v>0.979</v>
      </c>
      <c r="I768" s="13" t="n">
        <f aca="false">IFERROR(MIN(F768*Eingaben!$B$19,MAX(0,D768-H768)),0)</f>
        <v>0</v>
      </c>
      <c r="J768" s="13" t="n">
        <f aca="false">IFERROR(MIN(Eingaben!$B$18,MAX(0,F768-I768)),0)</f>
        <v>2</v>
      </c>
      <c r="K768" s="13" t="n">
        <f aca="false">H768+I768</f>
        <v>0.979</v>
      </c>
      <c r="L768" s="13" t="n">
        <f aca="false">MAX(0,D768-K768)</f>
        <v>0</v>
      </c>
      <c r="M768" s="13" t="n">
        <f aca="false">MAX(0,F768-I768-J768)</f>
        <v>0.0930399999999998</v>
      </c>
      <c r="N768" s="13" t="n">
        <f aca="false">IF(Kalender!A36="",0,J767-H768)</f>
        <v>1.021</v>
      </c>
    </row>
    <row r="769" customFormat="false" ht="16.4" hidden="false" customHeight="false" outlineLevel="0" collapsed="false">
      <c r="A769" s="13" t="str">
        <f aca="false">""</f>
        <v/>
      </c>
      <c r="B769" s="13" t="n">
        <f aca="false">33</f>
        <v>33</v>
      </c>
      <c r="C769" s="13" t="n">
        <f aca="false">IF(Szenarien!$H$10="OK",(IFERROR(SUMIF(Nutzungsprofile!$B$6:$B$11,"Schulbetrieb",Nutzungsprofile!$G$6:$G$11)*Kalender!C37/SUM(Kalender!$C$5:$C$370),0)+IFERROR(SUMIF(Nutzungsprofile!$B$6:$B$11,"Halle",Nutzungsprofile!$G$6:$G$11)*Kalender!D37/SUM(Kalender!$D$5:$D$370),0)+IFERROR(SUMIF(Nutzungsprofile!$B$6:$B$11,"Individuell",Nutzungsprofile!$G$6:$G$11)*Kalender!E37/SUM(Kalender!$E$5:$E$370),0))*Szenarien!$E$10,0)</f>
        <v>3.528</v>
      </c>
      <c r="D769" s="13" t="n">
        <f aca="false">IF(Szenarien!$H$10="OK",(IFERROR(SUMIF(Nutzungsprofile!$B$17:$B$22,"Schulbetrieb",Nutzungsprofile!$G$17:$G$22)*Kalender!C37/SUM(Kalender!$C$5:$C$370),0)+IFERROR(SUMIF(Nutzungsprofile!$B$17:$B$22,"Halle",Nutzungsprofile!$G$17:$G$22)*Kalender!D37/SUM(Kalender!$D$5:$D$370),0)+IFERROR(SUMIF(Nutzungsprofile!$B$17:$B$22,"Individuell",Nutzungsprofile!$G$17:$G$22)*Kalender!E37/SUM(Kalender!$E$5:$E$370),0))*Szenarien!$D$10,0)</f>
        <v>5.434</v>
      </c>
      <c r="E769" s="13" t="n">
        <f aca="false">IFERROR(MIN(C769,Eingaben!$B$17)*Eingaben!$B$16,0)</f>
        <v>3.3516</v>
      </c>
      <c r="F769" s="13" t="n">
        <f aca="false">IFERROR(E769*Eingaben!$B$15,0)</f>
        <v>3.01644</v>
      </c>
      <c r="G769" s="13" t="n">
        <f aca="false">IFERROR(IF(Kalender!A37="",0,J768*(1-Eingaben!$B$20)),0)</f>
        <v>1.96</v>
      </c>
      <c r="H769" s="13" t="n">
        <f aca="false">MIN(G769,D769)</f>
        <v>1.96</v>
      </c>
      <c r="I769" s="13" t="n">
        <f aca="false">IFERROR(MIN(F769*Eingaben!$B$19,MAX(0,D769-H769)),0)</f>
        <v>2.111508</v>
      </c>
      <c r="J769" s="13" t="n">
        <f aca="false">IFERROR(MIN(Eingaben!$B$18,MAX(0,F769-I769)),0)</f>
        <v>0.904932</v>
      </c>
      <c r="K769" s="13" t="n">
        <f aca="false">H769+I769</f>
        <v>4.071508</v>
      </c>
      <c r="L769" s="13" t="n">
        <f aca="false">MAX(0,D769-K769)</f>
        <v>1.362492</v>
      </c>
      <c r="M769" s="13" t="n">
        <f aca="false">MAX(0,F769-I769-J769)</f>
        <v>0</v>
      </c>
      <c r="N769" s="13" t="n">
        <f aca="false">IF(Kalender!A37="",0,J768-H769)</f>
        <v>0.04</v>
      </c>
    </row>
    <row r="770" customFormat="false" ht="16.4" hidden="false" customHeight="false" outlineLevel="0" collapsed="false">
      <c r="A770" s="13" t="str">
        <f aca="false">""</f>
        <v/>
      </c>
      <c r="B770" s="13" t="n">
        <f aca="false">34</f>
        <v>34</v>
      </c>
      <c r="C770" s="13" t="n">
        <f aca="false">IF(Szenarien!$H$10="OK",(IFERROR(SUMIF(Nutzungsprofile!$B$6:$B$11,"Schulbetrieb",Nutzungsprofile!$G$6:$G$11)*Kalender!C38/SUM(Kalender!$C$5:$C$370),0)+IFERROR(SUMIF(Nutzungsprofile!$B$6:$B$11,"Halle",Nutzungsprofile!$G$6:$G$11)*Kalender!D38/SUM(Kalender!$D$5:$D$370),0)+IFERROR(SUMIF(Nutzungsprofile!$B$6:$B$11,"Individuell",Nutzungsprofile!$G$6:$G$11)*Kalender!E38/SUM(Kalender!$E$5:$E$370),0))*Szenarien!$E$10,0)</f>
        <v>3.528</v>
      </c>
      <c r="D770" s="13" t="n">
        <f aca="false">IF(Szenarien!$H$10="OK",(IFERROR(SUMIF(Nutzungsprofile!$B$17:$B$22,"Schulbetrieb",Nutzungsprofile!$G$17:$G$22)*Kalender!C38/SUM(Kalender!$C$5:$C$370),0)+IFERROR(SUMIF(Nutzungsprofile!$B$17:$B$22,"Halle",Nutzungsprofile!$G$17:$G$22)*Kalender!D38/SUM(Kalender!$D$5:$D$370),0)+IFERROR(SUMIF(Nutzungsprofile!$B$17:$B$22,"Individuell",Nutzungsprofile!$G$17:$G$22)*Kalender!E38/SUM(Kalender!$E$5:$E$370),0))*Szenarien!$D$10,0)</f>
        <v>5.434</v>
      </c>
      <c r="E770" s="13" t="n">
        <f aca="false">IFERROR(MIN(C770,Eingaben!$B$17)*Eingaben!$B$16,0)</f>
        <v>3.3516</v>
      </c>
      <c r="F770" s="13" t="n">
        <f aca="false">IFERROR(E770*Eingaben!$B$15,0)</f>
        <v>3.01644</v>
      </c>
      <c r="G770" s="13" t="n">
        <f aca="false">IFERROR(IF(Kalender!A38="",0,J769*(1-Eingaben!$B$20)),0)</f>
        <v>0.88683336</v>
      </c>
      <c r="H770" s="13" t="n">
        <f aca="false">MIN(G770,D770)</f>
        <v>0.88683336</v>
      </c>
      <c r="I770" s="13" t="n">
        <f aca="false">IFERROR(MIN(F770*Eingaben!$B$19,MAX(0,D770-H770)),0)</f>
        <v>2.111508</v>
      </c>
      <c r="J770" s="13" t="n">
        <f aca="false">IFERROR(MIN(Eingaben!$B$18,MAX(0,F770-I770)),0)</f>
        <v>0.904932</v>
      </c>
      <c r="K770" s="13" t="n">
        <f aca="false">H770+I770</f>
        <v>2.99834136</v>
      </c>
      <c r="L770" s="13" t="n">
        <f aca="false">MAX(0,D770-K770)</f>
        <v>2.43565864</v>
      </c>
      <c r="M770" s="13" t="n">
        <f aca="false">MAX(0,F770-I770-J770)</f>
        <v>0</v>
      </c>
      <c r="N770" s="13" t="n">
        <f aca="false">IF(Kalender!A38="",0,J769-H770)</f>
        <v>0.0180986400000001</v>
      </c>
    </row>
    <row r="771" customFormat="false" ht="16.4" hidden="false" customHeight="false" outlineLevel="0" collapsed="false">
      <c r="A771" s="13" t="str">
        <f aca="false">""</f>
        <v/>
      </c>
      <c r="B771" s="13" t="n">
        <f aca="false">35</f>
        <v>35</v>
      </c>
      <c r="C771" s="13" t="n">
        <f aca="false">IF(Szenarien!$H$10="OK",(IFERROR(SUMIF(Nutzungsprofile!$B$6:$B$11,"Schulbetrieb",Nutzungsprofile!$G$6:$G$11)*Kalender!C39/SUM(Kalender!$C$5:$C$370),0)+IFERROR(SUMIF(Nutzungsprofile!$B$6:$B$11,"Halle",Nutzungsprofile!$G$6:$G$11)*Kalender!D39/SUM(Kalender!$D$5:$D$370),0)+IFERROR(SUMIF(Nutzungsprofile!$B$6:$B$11,"Individuell",Nutzungsprofile!$G$6:$G$11)*Kalender!E39/SUM(Kalender!$E$5:$E$370),0))*Szenarien!$E$10,0)</f>
        <v>3.528</v>
      </c>
      <c r="D771" s="13" t="n">
        <f aca="false">IF(Szenarien!$H$10="OK",(IFERROR(SUMIF(Nutzungsprofile!$B$17:$B$22,"Schulbetrieb",Nutzungsprofile!$G$17:$G$22)*Kalender!C39/SUM(Kalender!$C$5:$C$370),0)+IFERROR(SUMIF(Nutzungsprofile!$B$17:$B$22,"Halle",Nutzungsprofile!$G$17:$G$22)*Kalender!D39/SUM(Kalender!$D$5:$D$370),0)+IFERROR(SUMIF(Nutzungsprofile!$B$17:$B$22,"Individuell",Nutzungsprofile!$G$17:$G$22)*Kalender!E39/SUM(Kalender!$E$5:$E$370),0))*Szenarien!$D$10,0)</f>
        <v>5.434</v>
      </c>
      <c r="E771" s="13" t="n">
        <f aca="false">IFERROR(MIN(C771,Eingaben!$B$17)*Eingaben!$B$16,0)</f>
        <v>3.3516</v>
      </c>
      <c r="F771" s="13" t="n">
        <f aca="false">IFERROR(E771*Eingaben!$B$15,0)</f>
        <v>3.01644</v>
      </c>
      <c r="G771" s="13" t="n">
        <f aca="false">IFERROR(IF(Kalender!A39="",0,J770*(1-Eingaben!$B$20)),0)</f>
        <v>0.88683336</v>
      </c>
      <c r="H771" s="13" t="n">
        <f aca="false">MIN(G771,D771)</f>
        <v>0.88683336</v>
      </c>
      <c r="I771" s="13" t="n">
        <f aca="false">IFERROR(MIN(F771*Eingaben!$B$19,MAX(0,D771-H771)),0)</f>
        <v>2.111508</v>
      </c>
      <c r="J771" s="13" t="n">
        <f aca="false">IFERROR(MIN(Eingaben!$B$18,MAX(0,F771-I771)),0)</f>
        <v>0.904932</v>
      </c>
      <c r="K771" s="13" t="n">
        <f aca="false">H771+I771</f>
        <v>2.99834136</v>
      </c>
      <c r="L771" s="13" t="n">
        <f aca="false">MAX(0,D771-K771)</f>
        <v>2.43565864</v>
      </c>
      <c r="M771" s="13" t="n">
        <f aca="false">MAX(0,F771-I771-J771)</f>
        <v>0</v>
      </c>
      <c r="N771" s="13" t="n">
        <f aca="false">IF(Kalender!A39="",0,J770-H771)</f>
        <v>0.0180986400000001</v>
      </c>
    </row>
    <row r="772" customFormat="false" ht="16.4" hidden="false" customHeight="false" outlineLevel="0" collapsed="false">
      <c r="A772" s="13" t="str">
        <f aca="false">""</f>
        <v/>
      </c>
      <c r="B772" s="13" t="n">
        <f aca="false">36</f>
        <v>36</v>
      </c>
      <c r="C772" s="13" t="n">
        <f aca="false">IF(Szenarien!$H$10="OK",(IFERROR(SUMIF(Nutzungsprofile!$B$6:$B$11,"Schulbetrieb",Nutzungsprofile!$G$6:$G$11)*Kalender!C40/SUM(Kalender!$C$5:$C$370),0)+IFERROR(SUMIF(Nutzungsprofile!$B$6:$B$11,"Halle",Nutzungsprofile!$G$6:$G$11)*Kalender!D40/SUM(Kalender!$D$5:$D$370),0)+IFERROR(SUMIF(Nutzungsprofile!$B$6:$B$11,"Individuell",Nutzungsprofile!$G$6:$G$11)*Kalender!E40/SUM(Kalender!$E$5:$E$370),0))*Szenarien!$E$10,0)</f>
        <v>3.528</v>
      </c>
      <c r="D772" s="13" t="n">
        <f aca="false">IF(Szenarien!$H$10="OK",(IFERROR(SUMIF(Nutzungsprofile!$B$17:$B$22,"Schulbetrieb",Nutzungsprofile!$G$17:$G$22)*Kalender!C40/SUM(Kalender!$C$5:$C$370),0)+IFERROR(SUMIF(Nutzungsprofile!$B$17:$B$22,"Halle",Nutzungsprofile!$G$17:$G$22)*Kalender!D40/SUM(Kalender!$D$5:$D$370),0)+IFERROR(SUMIF(Nutzungsprofile!$B$17:$B$22,"Individuell",Nutzungsprofile!$G$17:$G$22)*Kalender!E40/SUM(Kalender!$E$5:$E$370),0))*Szenarien!$D$10,0)</f>
        <v>5.434</v>
      </c>
      <c r="E772" s="13" t="n">
        <f aca="false">IFERROR(MIN(C772,Eingaben!$B$17)*Eingaben!$B$16,0)</f>
        <v>3.3516</v>
      </c>
      <c r="F772" s="13" t="n">
        <f aca="false">IFERROR(E772*Eingaben!$B$15,0)</f>
        <v>3.01644</v>
      </c>
      <c r="G772" s="13" t="n">
        <f aca="false">IFERROR(IF(Kalender!A40="",0,J771*(1-Eingaben!$B$20)),0)</f>
        <v>0.88683336</v>
      </c>
      <c r="H772" s="13" t="n">
        <f aca="false">MIN(G772,D772)</f>
        <v>0.88683336</v>
      </c>
      <c r="I772" s="13" t="n">
        <f aca="false">IFERROR(MIN(F772*Eingaben!$B$19,MAX(0,D772-H772)),0)</f>
        <v>2.111508</v>
      </c>
      <c r="J772" s="13" t="n">
        <f aca="false">IFERROR(MIN(Eingaben!$B$18,MAX(0,F772-I772)),0)</f>
        <v>0.904932</v>
      </c>
      <c r="K772" s="13" t="n">
        <f aca="false">H772+I772</f>
        <v>2.99834136</v>
      </c>
      <c r="L772" s="13" t="n">
        <f aca="false">MAX(0,D772-K772)</f>
        <v>2.43565864</v>
      </c>
      <c r="M772" s="13" t="n">
        <f aca="false">MAX(0,F772-I772-J772)</f>
        <v>0</v>
      </c>
      <c r="N772" s="13" t="n">
        <f aca="false">IF(Kalender!A40="",0,J771-H772)</f>
        <v>0.0180986400000001</v>
      </c>
    </row>
    <row r="773" customFormat="false" ht="16.4" hidden="false" customHeight="false" outlineLevel="0" collapsed="false">
      <c r="A773" s="13" t="str">
        <f aca="false">""</f>
        <v/>
      </c>
      <c r="B773" s="13" t="n">
        <f aca="false">37</f>
        <v>37</v>
      </c>
      <c r="C773" s="13" t="n">
        <f aca="false">IF(Szenarien!$H$10="OK",(IFERROR(SUMIF(Nutzungsprofile!$B$6:$B$11,"Schulbetrieb",Nutzungsprofile!$G$6:$G$11)*Kalender!C41/SUM(Kalender!$C$5:$C$370),0)+IFERROR(SUMIF(Nutzungsprofile!$B$6:$B$11,"Halle",Nutzungsprofile!$G$6:$G$11)*Kalender!D41/SUM(Kalender!$D$5:$D$370),0)+IFERROR(SUMIF(Nutzungsprofile!$B$6:$B$11,"Individuell",Nutzungsprofile!$G$6:$G$11)*Kalender!E41/SUM(Kalender!$E$5:$E$370),0))*Szenarien!$E$10,0)</f>
        <v>3.528</v>
      </c>
      <c r="D773" s="13" t="n">
        <f aca="false">IF(Szenarien!$H$10="OK",(IFERROR(SUMIF(Nutzungsprofile!$B$17:$B$22,"Schulbetrieb",Nutzungsprofile!$G$17:$G$22)*Kalender!C41/SUM(Kalender!$C$5:$C$370),0)+IFERROR(SUMIF(Nutzungsprofile!$B$17:$B$22,"Halle",Nutzungsprofile!$G$17:$G$22)*Kalender!D41/SUM(Kalender!$D$5:$D$370),0)+IFERROR(SUMIF(Nutzungsprofile!$B$17:$B$22,"Individuell",Nutzungsprofile!$G$17:$G$22)*Kalender!E41/SUM(Kalender!$E$5:$E$370),0))*Szenarien!$D$10,0)</f>
        <v>5.434</v>
      </c>
      <c r="E773" s="13" t="n">
        <f aca="false">IFERROR(MIN(C773,Eingaben!$B$17)*Eingaben!$B$16,0)</f>
        <v>3.3516</v>
      </c>
      <c r="F773" s="13" t="n">
        <f aca="false">IFERROR(E773*Eingaben!$B$15,0)</f>
        <v>3.01644</v>
      </c>
      <c r="G773" s="13" t="n">
        <f aca="false">IFERROR(IF(Kalender!A41="",0,J772*(1-Eingaben!$B$20)),0)</f>
        <v>0.88683336</v>
      </c>
      <c r="H773" s="13" t="n">
        <f aca="false">MIN(G773,D773)</f>
        <v>0.88683336</v>
      </c>
      <c r="I773" s="13" t="n">
        <f aca="false">IFERROR(MIN(F773*Eingaben!$B$19,MAX(0,D773-H773)),0)</f>
        <v>2.111508</v>
      </c>
      <c r="J773" s="13" t="n">
        <f aca="false">IFERROR(MIN(Eingaben!$B$18,MAX(0,F773-I773)),0)</f>
        <v>0.904932</v>
      </c>
      <c r="K773" s="13" t="n">
        <f aca="false">H773+I773</f>
        <v>2.99834136</v>
      </c>
      <c r="L773" s="13" t="n">
        <f aca="false">MAX(0,D773-K773)</f>
        <v>2.43565864</v>
      </c>
      <c r="M773" s="13" t="n">
        <f aca="false">MAX(0,F773-I773-J773)</f>
        <v>0</v>
      </c>
      <c r="N773" s="13" t="n">
        <f aca="false">IF(Kalender!A41="",0,J772-H773)</f>
        <v>0.0180986400000001</v>
      </c>
    </row>
    <row r="774" customFormat="false" ht="16.4" hidden="false" customHeight="false" outlineLevel="0" collapsed="false">
      <c r="A774" s="13" t="str">
        <f aca="false">""</f>
        <v/>
      </c>
      <c r="B774" s="13" t="n">
        <f aca="false">38</f>
        <v>38</v>
      </c>
      <c r="C774" s="13" t="n">
        <f aca="false">IF(Szenarien!$H$10="OK",(IFERROR(SUMIF(Nutzungsprofile!$B$6:$B$11,"Schulbetrieb",Nutzungsprofile!$G$6:$G$11)*Kalender!C42/SUM(Kalender!$C$5:$C$370),0)+IFERROR(SUMIF(Nutzungsprofile!$B$6:$B$11,"Halle",Nutzungsprofile!$G$6:$G$11)*Kalender!D42/SUM(Kalender!$D$5:$D$370),0)+IFERROR(SUMIF(Nutzungsprofile!$B$6:$B$11,"Individuell",Nutzungsprofile!$G$6:$G$11)*Kalender!E42/SUM(Kalender!$E$5:$E$370),0))*Szenarien!$E$10,0)</f>
        <v>2.448</v>
      </c>
      <c r="D774" s="13" t="n">
        <f aca="false">IF(Szenarien!$H$10="OK",(IFERROR(SUMIF(Nutzungsprofile!$B$17:$B$22,"Schulbetrieb",Nutzungsprofile!$G$17:$G$22)*Kalender!C42/SUM(Kalender!$C$5:$C$370),0)+IFERROR(SUMIF(Nutzungsprofile!$B$17:$B$22,"Halle",Nutzungsprofile!$G$17:$G$22)*Kalender!D42/SUM(Kalender!$D$5:$D$370),0)+IFERROR(SUMIF(Nutzungsprofile!$B$17:$B$22,"Individuell",Nutzungsprofile!$G$17:$G$22)*Kalender!E42/SUM(Kalender!$E$5:$E$370),0))*Szenarien!$D$10,0)</f>
        <v>0.979</v>
      </c>
      <c r="E774" s="13" t="n">
        <f aca="false">IFERROR(MIN(C774,Eingaben!$B$17)*Eingaben!$B$16,0)</f>
        <v>2.3256</v>
      </c>
      <c r="F774" s="13" t="n">
        <f aca="false">IFERROR(E774*Eingaben!$B$15,0)</f>
        <v>2.09304</v>
      </c>
      <c r="G774" s="13" t="n">
        <f aca="false">IFERROR(IF(Kalender!A42="",0,J773*(1-Eingaben!$B$20)),0)</f>
        <v>0.88683336</v>
      </c>
      <c r="H774" s="13" t="n">
        <f aca="false">MIN(G774,D774)</f>
        <v>0.88683336</v>
      </c>
      <c r="I774" s="13" t="n">
        <f aca="false">IFERROR(MIN(F774*Eingaben!$B$19,MAX(0,D774-H774)),0)</f>
        <v>0.0921666400000001</v>
      </c>
      <c r="J774" s="13" t="n">
        <f aca="false">IFERROR(MIN(Eingaben!$B$18,MAX(0,F774-I774)),0)</f>
        <v>2</v>
      </c>
      <c r="K774" s="13" t="n">
        <f aca="false">H774+I774</f>
        <v>0.979</v>
      </c>
      <c r="L774" s="13" t="n">
        <f aca="false">MAX(0,D774-K774)</f>
        <v>0</v>
      </c>
      <c r="M774" s="13" t="n">
        <f aca="false">MAX(0,F774-I774-J774)</f>
        <v>0.000873359999999934</v>
      </c>
      <c r="N774" s="13" t="n">
        <f aca="false">IF(Kalender!A42="",0,J773-H774)</f>
        <v>0.0180986400000001</v>
      </c>
    </row>
    <row r="775" customFormat="false" ht="16.4" hidden="false" customHeight="false" outlineLevel="0" collapsed="false">
      <c r="A775" s="13" t="str">
        <f aca="false">""</f>
        <v/>
      </c>
      <c r="B775" s="13" t="n">
        <f aca="false">39</f>
        <v>39</v>
      </c>
      <c r="C775" s="13" t="n">
        <f aca="false">IF(Szenarien!$H$10="OK",(IFERROR(SUMIF(Nutzungsprofile!$B$6:$B$11,"Schulbetrieb",Nutzungsprofile!$G$6:$G$11)*Kalender!C43/SUM(Kalender!$C$5:$C$370),0)+IFERROR(SUMIF(Nutzungsprofile!$B$6:$B$11,"Halle",Nutzungsprofile!$G$6:$G$11)*Kalender!D43/SUM(Kalender!$D$5:$D$370),0)+IFERROR(SUMIF(Nutzungsprofile!$B$6:$B$11,"Individuell",Nutzungsprofile!$G$6:$G$11)*Kalender!E43/SUM(Kalender!$E$5:$E$370),0))*Szenarien!$E$10,0)</f>
        <v>2.448</v>
      </c>
      <c r="D775" s="13" t="n">
        <f aca="false">IF(Szenarien!$H$10="OK",(IFERROR(SUMIF(Nutzungsprofile!$B$17:$B$22,"Schulbetrieb",Nutzungsprofile!$G$17:$G$22)*Kalender!C43/SUM(Kalender!$C$5:$C$370),0)+IFERROR(SUMIF(Nutzungsprofile!$B$17:$B$22,"Halle",Nutzungsprofile!$G$17:$G$22)*Kalender!D43/SUM(Kalender!$D$5:$D$370),0)+IFERROR(SUMIF(Nutzungsprofile!$B$17:$B$22,"Individuell",Nutzungsprofile!$G$17:$G$22)*Kalender!E43/SUM(Kalender!$E$5:$E$370),0))*Szenarien!$D$10,0)</f>
        <v>0.979</v>
      </c>
      <c r="E775" s="13" t="n">
        <f aca="false">IFERROR(MIN(C775,Eingaben!$B$17)*Eingaben!$B$16,0)</f>
        <v>2.3256</v>
      </c>
      <c r="F775" s="13" t="n">
        <f aca="false">IFERROR(E775*Eingaben!$B$15,0)</f>
        <v>2.09304</v>
      </c>
      <c r="G775" s="13" t="n">
        <f aca="false">IFERROR(IF(Kalender!A43="",0,J774*(1-Eingaben!$B$20)),0)</f>
        <v>1.96</v>
      </c>
      <c r="H775" s="13" t="n">
        <f aca="false">MIN(G775,D775)</f>
        <v>0.979</v>
      </c>
      <c r="I775" s="13" t="n">
        <f aca="false">IFERROR(MIN(F775*Eingaben!$B$19,MAX(0,D775-H775)),0)</f>
        <v>0</v>
      </c>
      <c r="J775" s="13" t="n">
        <f aca="false">IFERROR(MIN(Eingaben!$B$18,MAX(0,F775-I775)),0)</f>
        <v>2</v>
      </c>
      <c r="K775" s="13" t="n">
        <f aca="false">H775+I775</f>
        <v>0.979</v>
      </c>
      <c r="L775" s="13" t="n">
        <f aca="false">MAX(0,D775-K775)</f>
        <v>0</v>
      </c>
      <c r="M775" s="13" t="n">
        <f aca="false">MAX(0,F775-I775-J775)</f>
        <v>0.0930399999999998</v>
      </c>
      <c r="N775" s="13" t="n">
        <f aca="false">IF(Kalender!A43="",0,J774-H775)</f>
        <v>1.021</v>
      </c>
    </row>
    <row r="776" customFormat="false" ht="16.4" hidden="false" customHeight="false" outlineLevel="0" collapsed="false">
      <c r="A776" s="13" t="str">
        <f aca="false">""</f>
        <v/>
      </c>
      <c r="B776" s="13" t="n">
        <f aca="false">40</f>
        <v>40</v>
      </c>
      <c r="C776" s="13" t="n">
        <f aca="false">IF(Szenarien!$H$10="OK",(IFERROR(SUMIF(Nutzungsprofile!$B$6:$B$11,"Schulbetrieb",Nutzungsprofile!$G$6:$G$11)*Kalender!C44/SUM(Kalender!$C$5:$C$370),0)+IFERROR(SUMIF(Nutzungsprofile!$B$6:$B$11,"Halle",Nutzungsprofile!$G$6:$G$11)*Kalender!D44/SUM(Kalender!$D$5:$D$370),0)+IFERROR(SUMIF(Nutzungsprofile!$B$6:$B$11,"Individuell",Nutzungsprofile!$G$6:$G$11)*Kalender!E44/SUM(Kalender!$E$5:$E$370),0))*Szenarien!$E$10,0)</f>
        <v>3.528</v>
      </c>
      <c r="D776" s="13" t="n">
        <f aca="false">IF(Szenarien!$H$10="OK",(IFERROR(SUMIF(Nutzungsprofile!$B$17:$B$22,"Schulbetrieb",Nutzungsprofile!$G$17:$G$22)*Kalender!C44/SUM(Kalender!$C$5:$C$370),0)+IFERROR(SUMIF(Nutzungsprofile!$B$17:$B$22,"Halle",Nutzungsprofile!$G$17:$G$22)*Kalender!D44/SUM(Kalender!$D$5:$D$370),0)+IFERROR(SUMIF(Nutzungsprofile!$B$17:$B$22,"Individuell",Nutzungsprofile!$G$17:$G$22)*Kalender!E44/SUM(Kalender!$E$5:$E$370),0))*Szenarien!$D$10,0)</f>
        <v>5.434</v>
      </c>
      <c r="E776" s="13" t="n">
        <f aca="false">IFERROR(MIN(C776,Eingaben!$B$17)*Eingaben!$B$16,0)</f>
        <v>3.3516</v>
      </c>
      <c r="F776" s="13" t="n">
        <f aca="false">IFERROR(E776*Eingaben!$B$15,0)</f>
        <v>3.01644</v>
      </c>
      <c r="G776" s="13" t="n">
        <f aca="false">IFERROR(IF(Kalender!A44="",0,J775*(1-Eingaben!$B$20)),0)</f>
        <v>1.96</v>
      </c>
      <c r="H776" s="13" t="n">
        <f aca="false">MIN(G776,D776)</f>
        <v>1.96</v>
      </c>
      <c r="I776" s="13" t="n">
        <f aca="false">IFERROR(MIN(F776*Eingaben!$B$19,MAX(0,D776-H776)),0)</f>
        <v>2.111508</v>
      </c>
      <c r="J776" s="13" t="n">
        <f aca="false">IFERROR(MIN(Eingaben!$B$18,MAX(0,F776-I776)),0)</f>
        <v>0.904932</v>
      </c>
      <c r="K776" s="13" t="n">
        <f aca="false">H776+I776</f>
        <v>4.071508</v>
      </c>
      <c r="L776" s="13" t="n">
        <f aca="false">MAX(0,D776-K776)</f>
        <v>1.362492</v>
      </c>
      <c r="M776" s="13" t="n">
        <f aca="false">MAX(0,F776-I776-J776)</f>
        <v>0</v>
      </c>
      <c r="N776" s="13" t="n">
        <f aca="false">IF(Kalender!A44="",0,J775-H776)</f>
        <v>0.04</v>
      </c>
    </row>
    <row r="777" customFormat="false" ht="16.4" hidden="false" customHeight="false" outlineLevel="0" collapsed="false">
      <c r="A777" s="13" t="str">
        <f aca="false">""</f>
        <v/>
      </c>
      <c r="B777" s="13" t="n">
        <f aca="false">41</f>
        <v>41</v>
      </c>
      <c r="C777" s="13" t="n">
        <f aca="false">IF(Szenarien!$H$10="OK",(IFERROR(SUMIF(Nutzungsprofile!$B$6:$B$11,"Schulbetrieb",Nutzungsprofile!$G$6:$G$11)*Kalender!C45/SUM(Kalender!$C$5:$C$370),0)+IFERROR(SUMIF(Nutzungsprofile!$B$6:$B$11,"Halle",Nutzungsprofile!$G$6:$G$11)*Kalender!D45/SUM(Kalender!$D$5:$D$370),0)+IFERROR(SUMIF(Nutzungsprofile!$B$6:$B$11,"Individuell",Nutzungsprofile!$G$6:$G$11)*Kalender!E45/SUM(Kalender!$E$5:$E$370),0))*Szenarien!$E$10,0)</f>
        <v>3.528</v>
      </c>
      <c r="D777" s="13" t="n">
        <f aca="false">IF(Szenarien!$H$10="OK",(IFERROR(SUMIF(Nutzungsprofile!$B$17:$B$22,"Schulbetrieb",Nutzungsprofile!$G$17:$G$22)*Kalender!C45/SUM(Kalender!$C$5:$C$370),0)+IFERROR(SUMIF(Nutzungsprofile!$B$17:$B$22,"Halle",Nutzungsprofile!$G$17:$G$22)*Kalender!D45/SUM(Kalender!$D$5:$D$370),0)+IFERROR(SUMIF(Nutzungsprofile!$B$17:$B$22,"Individuell",Nutzungsprofile!$G$17:$G$22)*Kalender!E45/SUM(Kalender!$E$5:$E$370),0))*Szenarien!$D$10,0)</f>
        <v>5.434</v>
      </c>
      <c r="E777" s="13" t="n">
        <f aca="false">IFERROR(MIN(C777,Eingaben!$B$17)*Eingaben!$B$16,0)</f>
        <v>3.3516</v>
      </c>
      <c r="F777" s="13" t="n">
        <f aca="false">IFERROR(E777*Eingaben!$B$15,0)</f>
        <v>3.01644</v>
      </c>
      <c r="G777" s="13" t="n">
        <f aca="false">IFERROR(IF(Kalender!A45="",0,J776*(1-Eingaben!$B$20)),0)</f>
        <v>0.88683336</v>
      </c>
      <c r="H777" s="13" t="n">
        <f aca="false">MIN(G777,D777)</f>
        <v>0.88683336</v>
      </c>
      <c r="I777" s="13" t="n">
        <f aca="false">IFERROR(MIN(F777*Eingaben!$B$19,MAX(0,D777-H777)),0)</f>
        <v>2.111508</v>
      </c>
      <c r="J777" s="13" t="n">
        <f aca="false">IFERROR(MIN(Eingaben!$B$18,MAX(0,F777-I777)),0)</f>
        <v>0.904932</v>
      </c>
      <c r="K777" s="13" t="n">
        <f aca="false">H777+I777</f>
        <v>2.99834136</v>
      </c>
      <c r="L777" s="13" t="n">
        <f aca="false">MAX(0,D777-K777)</f>
        <v>2.43565864</v>
      </c>
      <c r="M777" s="13" t="n">
        <f aca="false">MAX(0,F777-I777-J777)</f>
        <v>0</v>
      </c>
      <c r="N777" s="13" t="n">
        <f aca="false">IF(Kalender!A45="",0,J776-H777)</f>
        <v>0.0180986400000001</v>
      </c>
    </row>
    <row r="778" customFormat="false" ht="16.4" hidden="false" customHeight="false" outlineLevel="0" collapsed="false">
      <c r="A778" s="13" t="str">
        <f aca="false">""</f>
        <v/>
      </c>
      <c r="B778" s="13" t="n">
        <f aca="false">42</f>
        <v>42</v>
      </c>
      <c r="C778" s="13" t="n">
        <f aca="false">IF(Szenarien!$H$10="OK",(IFERROR(SUMIF(Nutzungsprofile!$B$6:$B$11,"Schulbetrieb",Nutzungsprofile!$G$6:$G$11)*Kalender!C46/SUM(Kalender!$C$5:$C$370),0)+IFERROR(SUMIF(Nutzungsprofile!$B$6:$B$11,"Halle",Nutzungsprofile!$G$6:$G$11)*Kalender!D46/SUM(Kalender!$D$5:$D$370),0)+IFERROR(SUMIF(Nutzungsprofile!$B$6:$B$11,"Individuell",Nutzungsprofile!$G$6:$G$11)*Kalender!E46/SUM(Kalender!$E$5:$E$370),0))*Szenarien!$E$10,0)</f>
        <v>3.528</v>
      </c>
      <c r="D778" s="13" t="n">
        <f aca="false">IF(Szenarien!$H$10="OK",(IFERROR(SUMIF(Nutzungsprofile!$B$17:$B$22,"Schulbetrieb",Nutzungsprofile!$G$17:$G$22)*Kalender!C46/SUM(Kalender!$C$5:$C$370),0)+IFERROR(SUMIF(Nutzungsprofile!$B$17:$B$22,"Halle",Nutzungsprofile!$G$17:$G$22)*Kalender!D46/SUM(Kalender!$D$5:$D$370),0)+IFERROR(SUMIF(Nutzungsprofile!$B$17:$B$22,"Individuell",Nutzungsprofile!$G$17:$G$22)*Kalender!E46/SUM(Kalender!$E$5:$E$370),0))*Szenarien!$D$10,0)</f>
        <v>5.434</v>
      </c>
      <c r="E778" s="13" t="n">
        <f aca="false">IFERROR(MIN(C778,Eingaben!$B$17)*Eingaben!$B$16,0)</f>
        <v>3.3516</v>
      </c>
      <c r="F778" s="13" t="n">
        <f aca="false">IFERROR(E778*Eingaben!$B$15,0)</f>
        <v>3.01644</v>
      </c>
      <c r="G778" s="13" t="n">
        <f aca="false">IFERROR(IF(Kalender!A46="",0,J777*(1-Eingaben!$B$20)),0)</f>
        <v>0.88683336</v>
      </c>
      <c r="H778" s="13" t="n">
        <f aca="false">MIN(G778,D778)</f>
        <v>0.88683336</v>
      </c>
      <c r="I778" s="13" t="n">
        <f aca="false">IFERROR(MIN(F778*Eingaben!$B$19,MAX(0,D778-H778)),0)</f>
        <v>2.111508</v>
      </c>
      <c r="J778" s="13" t="n">
        <f aca="false">IFERROR(MIN(Eingaben!$B$18,MAX(0,F778-I778)),0)</f>
        <v>0.904932</v>
      </c>
      <c r="K778" s="13" t="n">
        <f aca="false">H778+I778</f>
        <v>2.99834136</v>
      </c>
      <c r="L778" s="13" t="n">
        <f aca="false">MAX(0,D778-K778)</f>
        <v>2.43565864</v>
      </c>
      <c r="M778" s="13" t="n">
        <f aca="false">MAX(0,F778-I778-J778)</f>
        <v>0</v>
      </c>
      <c r="N778" s="13" t="n">
        <f aca="false">IF(Kalender!A46="",0,J777-H778)</f>
        <v>0.0180986400000001</v>
      </c>
    </row>
    <row r="779" customFormat="false" ht="16.4" hidden="false" customHeight="false" outlineLevel="0" collapsed="false">
      <c r="A779" s="13" t="str">
        <f aca="false">""</f>
        <v/>
      </c>
      <c r="B779" s="13" t="n">
        <f aca="false">43</f>
        <v>43</v>
      </c>
      <c r="C779" s="13" t="n">
        <f aca="false">IF(Szenarien!$H$10="OK",(IFERROR(SUMIF(Nutzungsprofile!$B$6:$B$11,"Schulbetrieb",Nutzungsprofile!$G$6:$G$11)*Kalender!C47/SUM(Kalender!$C$5:$C$370),0)+IFERROR(SUMIF(Nutzungsprofile!$B$6:$B$11,"Halle",Nutzungsprofile!$G$6:$G$11)*Kalender!D47/SUM(Kalender!$D$5:$D$370),0)+IFERROR(SUMIF(Nutzungsprofile!$B$6:$B$11,"Individuell",Nutzungsprofile!$G$6:$G$11)*Kalender!E47/SUM(Kalender!$E$5:$E$370),0))*Szenarien!$E$10,0)</f>
        <v>3.528</v>
      </c>
      <c r="D779" s="13" t="n">
        <f aca="false">IF(Szenarien!$H$10="OK",(IFERROR(SUMIF(Nutzungsprofile!$B$17:$B$22,"Schulbetrieb",Nutzungsprofile!$G$17:$G$22)*Kalender!C47/SUM(Kalender!$C$5:$C$370),0)+IFERROR(SUMIF(Nutzungsprofile!$B$17:$B$22,"Halle",Nutzungsprofile!$G$17:$G$22)*Kalender!D47/SUM(Kalender!$D$5:$D$370),0)+IFERROR(SUMIF(Nutzungsprofile!$B$17:$B$22,"Individuell",Nutzungsprofile!$G$17:$G$22)*Kalender!E47/SUM(Kalender!$E$5:$E$370),0))*Szenarien!$D$10,0)</f>
        <v>5.434</v>
      </c>
      <c r="E779" s="13" t="n">
        <f aca="false">IFERROR(MIN(C779,Eingaben!$B$17)*Eingaben!$B$16,0)</f>
        <v>3.3516</v>
      </c>
      <c r="F779" s="13" t="n">
        <f aca="false">IFERROR(E779*Eingaben!$B$15,0)</f>
        <v>3.01644</v>
      </c>
      <c r="G779" s="13" t="n">
        <f aca="false">IFERROR(IF(Kalender!A47="",0,J778*(1-Eingaben!$B$20)),0)</f>
        <v>0.88683336</v>
      </c>
      <c r="H779" s="13" t="n">
        <f aca="false">MIN(G779,D779)</f>
        <v>0.88683336</v>
      </c>
      <c r="I779" s="13" t="n">
        <f aca="false">IFERROR(MIN(F779*Eingaben!$B$19,MAX(0,D779-H779)),0)</f>
        <v>2.111508</v>
      </c>
      <c r="J779" s="13" t="n">
        <f aca="false">IFERROR(MIN(Eingaben!$B$18,MAX(0,F779-I779)),0)</f>
        <v>0.904932</v>
      </c>
      <c r="K779" s="13" t="n">
        <f aca="false">H779+I779</f>
        <v>2.99834136</v>
      </c>
      <c r="L779" s="13" t="n">
        <f aca="false">MAX(0,D779-K779)</f>
        <v>2.43565864</v>
      </c>
      <c r="M779" s="13" t="n">
        <f aca="false">MAX(0,F779-I779-J779)</f>
        <v>0</v>
      </c>
      <c r="N779" s="13" t="n">
        <f aca="false">IF(Kalender!A47="",0,J778-H779)</f>
        <v>0.0180986400000001</v>
      </c>
    </row>
    <row r="780" customFormat="false" ht="16.4" hidden="false" customHeight="false" outlineLevel="0" collapsed="false">
      <c r="A780" s="13" t="str">
        <f aca="false">""</f>
        <v/>
      </c>
      <c r="B780" s="13" t="n">
        <f aca="false">44</f>
        <v>44</v>
      </c>
      <c r="C780" s="13" t="n">
        <f aca="false">IF(Szenarien!$H$10="OK",(IFERROR(SUMIF(Nutzungsprofile!$B$6:$B$11,"Schulbetrieb",Nutzungsprofile!$G$6:$G$11)*Kalender!C48/SUM(Kalender!$C$5:$C$370),0)+IFERROR(SUMIF(Nutzungsprofile!$B$6:$B$11,"Halle",Nutzungsprofile!$G$6:$G$11)*Kalender!D48/SUM(Kalender!$D$5:$D$370),0)+IFERROR(SUMIF(Nutzungsprofile!$B$6:$B$11,"Individuell",Nutzungsprofile!$G$6:$G$11)*Kalender!E48/SUM(Kalender!$E$5:$E$370),0))*Szenarien!$E$10,0)</f>
        <v>3.528</v>
      </c>
      <c r="D780" s="13" t="n">
        <f aca="false">IF(Szenarien!$H$10="OK",(IFERROR(SUMIF(Nutzungsprofile!$B$17:$B$22,"Schulbetrieb",Nutzungsprofile!$G$17:$G$22)*Kalender!C48/SUM(Kalender!$C$5:$C$370),0)+IFERROR(SUMIF(Nutzungsprofile!$B$17:$B$22,"Halle",Nutzungsprofile!$G$17:$G$22)*Kalender!D48/SUM(Kalender!$D$5:$D$370),0)+IFERROR(SUMIF(Nutzungsprofile!$B$17:$B$22,"Individuell",Nutzungsprofile!$G$17:$G$22)*Kalender!E48/SUM(Kalender!$E$5:$E$370),0))*Szenarien!$D$10,0)</f>
        <v>5.434</v>
      </c>
      <c r="E780" s="13" t="n">
        <f aca="false">IFERROR(MIN(C780,Eingaben!$B$17)*Eingaben!$B$16,0)</f>
        <v>3.3516</v>
      </c>
      <c r="F780" s="13" t="n">
        <f aca="false">IFERROR(E780*Eingaben!$B$15,0)</f>
        <v>3.01644</v>
      </c>
      <c r="G780" s="13" t="n">
        <f aca="false">IFERROR(IF(Kalender!A48="",0,J779*(1-Eingaben!$B$20)),0)</f>
        <v>0.88683336</v>
      </c>
      <c r="H780" s="13" t="n">
        <f aca="false">MIN(G780,D780)</f>
        <v>0.88683336</v>
      </c>
      <c r="I780" s="13" t="n">
        <f aca="false">IFERROR(MIN(F780*Eingaben!$B$19,MAX(0,D780-H780)),0)</f>
        <v>2.111508</v>
      </c>
      <c r="J780" s="13" t="n">
        <f aca="false">IFERROR(MIN(Eingaben!$B$18,MAX(0,F780-I780)),0)</f>
        <v>0.904932</v>
      </c>
      <c r="K780" s="13" t="n">
        <f aca="false">H780+I780</f>
        <v>2.99834136</v>
      </c>
      <c r="L780" s="13" t="n">
        <f aca="false">MAX(0,D780-K780)</f>
        <v>2.43565864</v>
      </c>
      <c r="M780" s="13" t="n">
        <f aca="false">MAX(0,F780-I780-J780)</f>
        <v>0</v>
      </c>
      <c r="N780" s="13" t="n">
        <f aca="false">IF(Kalender!A48="",0,J779-H780)</f>
        <v>0.0180986400000001</v>
      </c>
    </row>
    <row r="781" customFormat="false" ht="16.4" hidden="false" customHeight="false" outlineLevel="0" collapsed="false">
      <c r="A781" s="13" t="str">
        <f aca="false">""</f>
        <v/>
      </c>
      <c r="B781" s="13" t="n">
        <f aca="false">45</f>
        <v>45</v>
      </c>
      <c r="C781" s="13" t="n">
        <f aca="false">IF(Szenarien!$H$10="OK",(IFERROR(SUMIF(Nutzungsprofile!$B$6:$B$11,"Schulbetrieb",Nutzungsprofile!$G$6:$G$11)*Kalender!C49/SUM(Kalender!$C$5:$C$370),0)+IFERROR(SUMIF(Nutzungsprofile!$B$6:$B$11,"Halle",Nutzungsprofile!$G$6:$G$11)*Kalender!D49/SUM(Kalender!$D$5:$D$370),0)+IFERROR(SUMIF(Nutzungsprofile!$B$6:$B$11,"Individuell",Nutzungsprofile!$G$6:$G$11)*Kalender!E49/SUM(Kalender!$E$5:$E$370),0))*Szenarien!$E$10,0)</f>
        <v>2.448</v>
      </c>
      <c r="D781" s="13" t="n">
        <f aca="false">IF(Szenarien!$H$10="OK",(IFERROR(SUMIF(Nutzungsprofile!$B$17:$B$22,"Schulbetrieb",Nutzungsprofile!$G$17:$G$22)*Kalender!C49/SUM(Kalender!$C$5:$C$370),0)+IFERROR(SUMIF(Nutzungsprofile!$B$17:$B$22,"Halle",Nutzungsprofile!$G$17:$G$22)*Kalender!D49/SUM(Kalender!$D$5:$D$370),0)+IFERROR(SUMIF(Nutzungsprofile!$B$17:$B$22,"Individuell",Nutzungsprofile!$G$17:$G$22)*Kalender!E49/SUM(Kalender!$E$5:$E$370),0))*Szenarien!$D$10,0)</f>
        <v>0.979</v>
      </c>
      <c r="E781" s="13" t="n">
        <f aca="false">IFERROR(MIN(C781,Eingaben!$B$17)*Eingaben!$B$16,0)</f>
        <v>2.3256</v>
      </c>
      <c r="F781" s="13" t="n">
        <f aca="false">IFERROR(E781*Eingaben!$B$15,0)</f>
        <v>2.09304</v>
      </c>
      <c r="G781" s="13" t="n">
        <f aca="false">IFERROR(IF(Kalender!A49="",0,J780*(1-Eingaben!$B$20)),0)</f>
        <v>0.88683336</v>
      </c>
      <c r="H781" s="13" t="n">
        <f aca="false">MIN(G781,D781)</f>
        <v>0.88683336</v>
      </c>
      <c r="I781" s="13" t="n">
        <f aca="false">IFERROR(MIN(F781*Eingaben!$B$19,MAX(0,D781-H781)),0)</f>
        <v>0.0921666400000001</v>
      </c>
      <c r="J781" s="13" t="n">
        <f aca="false">IFERROR(MIN(Eingaben!$B$18,MAX(0,F781-I781)),0)</f>
        <v>2</v>
      </c>
      <c r="K781" s="13" t="n">
        <f aca="false">H781+I781</f>
        <v>0.979</v>
      </c>
      <c r="L781" s="13" t="n">
        <f aca="false">MAX(0,D781-K781)</f>
        <v>0</v>
      </c>
      <c r="M781" s="13" t="n">
        <f aca="false">MAX(0,F781-I781-J781)</f>
        <v>0.000873359999999934</v>
      </c>
      <c r="N781" s="13" t="n">
        <f aca="false">IF(Kalender!A49="",0,J780-H781)</f>
        <v>0.0180986400000001</v>
      </c>
    </row>
    <row r="782" customFormat="false" ht="16.4" hidden="false" customHeight="false" outlineLevel="0" collapsed="false">
      <c r="A782" s="13" t="str">
        <f aca="false">""</f>
        <v/>
      </c>
      <c r="B782" s="13" t="n">
        <f aca="false">46</f>
        <v>46</v>
      </c>
      <c r="C782" s="13" t="n">
        <f aca="false">IF(Szenarien!$H$10="OK",(IFERROR(SUMIF(Nutzungsprofile!$B$6:$B$11,"Schulbetrieb",Nutzungsprofile!$G$6:$G$11)*Kalender!C50/SUM(Kalender!$C$5:$C$370),0)+IFERROR(SUMIF(Nutzungsprofile!$B$6:$B$11,"Halle",Nutzungsprofile!$G$6:$G$11)*Kalender!D50/SUM(Kalender!$D$5:$D$370),0)+IFERROR(SUMIF(Nutzungsprofile!$B$6:$B$11,"Individuell",Nutzungsprofile!$G$6:$G$11)*Kalender!E50/SUM(Kalender!$E$5:$E$370),0))*Szenarien!$E$10,0)</f>
        <v>2.448</v>
      </c>
      <c r="D782" s="13" t="n">
        <f aca="false">IF(Szenarien!$H$10="OK",(IFERROR(SUMIF(Nutzungsprofile!$B$17:$B$22,"Schulbetrieb",Nutzungsprofile!$G$17:$G$22)*Kalender!C50/SUM(Kalender!$C$5:$C$370),0)+IFERROR(SUMIF(Nutzungsprofile!$B$17:$B$22,"Halle",Nutzungsprofile!$G$17:$G$22)*Kalender!D50/SUM(Kalender!$D$5:$D$370),0)+IFERROR(SUMIF(Nutzungsprofile!$B$17:$B$22,"Individuell",Nutzungsprofile!$G$17:$G$22)*Kalender!E50/SUM(Kalender!$E$5:$E$370),0))*Szenarien!$D$10,0)</f>
        <v>0.979</v>
      </c>
      <c r="E782" s="13" t="n">
        <f aca="false">IFERROR(MIN(C782,Eingaben!$B$17)*Eingaben!$B$16,0)</f>
        <v>2.3256</v>
      </c>
      <c r="F782" s="13" t="n">
        <f aca="false">IFERROR(E782*Eingaben!$B$15,0)</f>
        <v>2.09304</v>
      </c>
      <c r="G782" s="13" t="n">
        <f aca="false">IFERROR(IF(Kalender!A50="",0,J781*(1-Eingaben!$B$20)),0)</f>
        <v>1.96</v>
      </c>
      <c r="H782" s="13" t="n">
        <f aca="false">MIN(G782,D782)</f>
        <v>0.979</v>
      </c>
      <c r="I782" s="13" t="n">
        <f aca="false">IFERROR(MIN(F782*Eingaben!$B$19,MAX(0,D782-H782)),0)</f>
        <v>0</v>
      </c>
      <c r="J782" s="13" t="n">
        <f aca="false">IFERROR(MIN(Eingaben!$B$18,MAX(0,F782-I782)),0)</f>
        <v>2</v>
      </c>
      <c r="K782" s="13" t="n">
        <f aca="false">H782+I782</f>
        <v>0.979</v>
      </c>
      <c r="L782" s="13" t="n">
        <f aca="false">MAX(0,D782-K782)</f>
        <v>0</v>
      </c>
      <c r="M782" s="13" t="n">
        <f aca="false">MAX(0,F782-I782-J782)</f>
        <v>0.0930399999999998</v>
      </c>
      <c r="N782" s="13" t="n">
        <f aca="false">IF(Kalender!A50="",0,J781-H782)</f>
        <v>1.021</v>
      </c>
    </row>
    <row r="783" customFormat="false" ht="16.4" hidden="false" customHeight="false" outlineLevel="0" collapsed="false">
      <c r="A783" s="13" t="str">
        <f aca="false">""</f>
        <v/>
      </c>
      <c r="B783" s="13" t="n">
        <f aca="false">47</f>
        <v>47</v>
      </c>
      <c r="C783" s="13" t="n">
        <f aca="false">IF(Szenarien!$H$10="OK",(IFERROR(SUMIF(Nutzungsprofile!$B$6:$B$11,"Schulbetrieb",Nutzungsprofile!$G$6:$G$11)*Kalender!C51/SUM(Kalender!$C$5:$C$370),0)+IFERROR(SUMIF(Nutzungsprofile!$B$6:$B$11,"Halle",Nutzungsprofile!$G$6:$G$11)*Kalender!D51/SUM(Kalender!$D$5:$D$370),0)+IFERROR(SUMIF(Nutzungsprofile!$B$6:$B$11,"Individuell",Nutzungsprofile!$G$6:$G$11)*Kalender!E51/SUM(Kalender!$E$5:$E$370),0))*Szenarien!$E$10,0)</f>
        <v>3.528</v>
      </c>
      <c r="D783" s="13" t="n">
        <f aca="false">IF(Szenarien!$H$10="OK",(IFERROR(SUMIF(Nutzungsprofile!$B$17:$B$22,"Schulbetrieb",Nutzungsprofile!$G$17:$G$22)*Kalender!C51/SUM(Kalender!$C$5:$C$370),0)+IFERROR(SUMIF(Nutzungsprofile!$B$17:$B$22,"Halle",Nutzungsprofile!$G$17:$G$22)*Kalender!D51/SUM(Kalender!$D$5:$D$370),0)+IFERROR(SUMIF(Nutzungsprofile!$B$17:$B$22,"Individuell",Nutzungsprofile!$G$17:$G$22)*Kalender!E51/SUM(Kalender!$E$5:$E$370),0))*Szenarien!$D$10,0)</f>
        <v>5.434</v>
      </c>
      <c r="E783" s="13" t="n">
        <f aca="false">IFERROR(MIN(C783,Eingaben!$B$17)*Eingaben!$B$16,0)</f>
        <v>3.3516</v>
      </c>
      <c r="F783" s="13" t="n">
        <f aca="false">IFERROR(E783*Eingaben!$B$15,0)</f>
        <v>3.01644</v>
      </c>
      <c r="G783" s="13" t="n">
        <f aca="false">IFERROR(IF(Kalender!A51="",0,J782*(1-Eingaben!$B$20)),0)</f>
        <v>1.96</v>
      </c>
      <c r="H783" s="13" t="n">
        <f aca="false">MIN(G783,D783)</f>
        <v>1.96</v>
      </c>
      <c r="I783" s="13" t="n">
        <f aca="false">IFERROR(MIN(F783*Eingaben!$B$19,MAX(0,D783-H783)),0)</f>
        <v>2.111508</v>
      </c>
      <c r="J783" s="13" t="n">
        <f aca="false">IFERROR(MIN(Eingaben!$B$18,MAX(0,F783-I783)),0)</f>
        <v>0.904932</v>
      </c>
      <c r="K783" s="13" t="n">
        <f aca="false">H783+I783</f>
        <v>4.071508</v>
      </c>
      <c r="L783" s="13" t="n">
        <f aca="false">MAX(0,D783-K783)</f>
        <v>1.362492</v>
      </c>
      <c r="M783" s="13" t="n">
        <f aca="false">MAX(0,F783-I783-J783)</f>
        <v>0</v>
      </c>
      <c r="N783" s="13" t="n">
        <f aca="false">IF(Kalender!A51="",0,J782-H783)</f>
        <v>0.04</v>
      </c>
    </row>
    <row r="784" customFormat="false" ht="16.4" hidden="false" customHeight="false" outlineLevel="0" collapsed="false">
      <c r="A784" s="13" t="str">
        <f aca="false">""</f>
        <v/>
      </c>
      <c r="B784" s="13" t="n">
        <f aca="false">48</f>
        <v>48</v>
      </c>
      <c r="C784" s="13" t="n">
        <f aca="false">IF(Szenarien!$H$10="OK",(IFERROR(SUMIF(Nutzungsprofile!$B$6:$B$11,"Schulbetrieb",Nutzungsprofile!$G$6:$G$11)*Kalender!C52/SUM(Kalender!$C$5:$C$370),0)+IFERROR(SUMIF(Nutzungsprofile!$B$6:$B$11,"Halle",Nutzungsprofile!$G$6:$G$11)*Kalender!D52/SUM(Kalender!$D$5:$D$370),0)+IFERROR(SUMIF(Nutzungsprofile!$B$6:$B$11,"Individuell",Nutzungsprofile!$G$6:$G$11)*Kalender!E52/SUM(Kalender!$E$5:$E$370),0))*Szenarien!$E$10,0)</f>
        <v>3.528</v>
      </c>
      <c r="D784" s="13" t="n">
        <f aca="false">IF(Szenarien!$H$10="OK",(IFERROR(SUMIF(Nutzungsprofile!$B$17:$B$22,"Schulbetrieb",Nutzungsprofile!$G$17:$G$22)*Kalender!C52/SUM(Kalender!$C$5:$C$370),0)+IFERROR(SUMIF(Nutzungsprofile!$B$17:$B$22,"Halle",Nutzungsprofile!$G$17:$G$22)*Kalender!D52/SUM(Kalender!$D$5:$D$370),0)+IFERROR(SUMIF(Nutzungsprofile!$B$17:$B$22,"Individuell",Nutzungsprofile!$G$17:$G$22)*Kalender!E52/SUM(Kalender!$E$5:$E$370),0))*Szenarien!$D$10,0)</f>
        <v>5.434</v>
      </c>
      <c r="E784" s="13" t="n">
        <f aca="false">IFERROR(MIN(C784,Eingaben!$B$17)*Eingaben!$B$16,0)</f>
        <v>3.3516</v>
      </c>
      <c r="F784" s="13" t="n">
        <f aca="false">IFERROR(E784*Eingaben!$B$15,0)</f>
        <v>3.01644</v>
      </c>
      <c r="G784" s="13" t="n">
        <f aca="false">IFERROR(IF(Kalender!A52="",0,J783*(1-Eingaben!$B$20)),0)</f>
        <v>0.88683336</v>
      </c>
      <c r="H784" s="13" t="n">
        <f aca="false">MIN(G784,D784)</f>
        <v>0.88683336</v>
      </c>
      <c r="I784" s="13" t="n">
        <f aca="false">IFERROR(MIN(F784*Eingaben!$B$19,MAX(0,D784-H784)),0)</f>
        <v>2.111508</v>
      </c>
      <c r="J784" s="13" t="n">
        <f aca="false">IFERROR(MIN(Eingaben!$B$18,MAX(0,F784-I784)),0)</f>
        <v>0.904932</v>
      </c>
      <c r="K784" s="13" t="n">
        <f aca="false">H784+I784</f>
        <v>2.99834136</v>
      </c>
      <c r="L784" s="13" t="n">
        <f aca="false">MAX(0,D784-K784)</f>
        <v>2.43565864</v>
      </c>
      <c r="M784" s="13" t="n">
        <f aca="false">MAX(0,F784-I784-J784)</f>
        <v>0</v>
      </c>
      <c r="N784" s="13" t="n">
        <f aca="false">IF(Kalender!A52="",0,J783-H784)</f>
        <v>0.0180986400000001</v>
      </c>
    </row>
    <row r="785" customFormat="false" ht="16.4" hidden="false" customHeight="false" outlineLevel="0" collapsed="false">
      <c r="A785" s="13" t="str">
        <f aca="false">""</f>
        <v/>
      </c>
      <c r="B785" s="13" t="n">
        <f aca="false">49</f>
        <v>49</v>
      </c>
      <c r="C785" s="13" t="n">
        <f aca="false">IF(Szenarien!$H$10="OK",(IFERROR(SUMIF(Nutzungsprofile!$B$6:$B$11,"Schulbetrieb",Nutzungsprofile!$G$6:$G$11)*Kalender!C53/SUM(Kalender!$C$5:$C$370),0)+IFERROR(SUMIF(Nutzungsprofile!$B$6:$B$11,"Halle",Nutzungsprofile!$G$6:$G$11)*Kalender!D53/SUM(Kalender!$D$5:$D$370),0)+IFERROR(SUMIF(Nutzungsprofile!$B$6:$B$11,"Individuell",Nutzungsprofile!$G$6:$G$11)*Kalender!E53/SUM(Kalender!$E$5:$E$370),0))*Szenarien!$E$10,0)</f>
        <v>3.528</v>
      </c>
      <c r="D785" s="13" t="n">
        <f aca="false">IF(Szenarien!$H$10="OK",(IFERROR(SUMIF(Nutzungsprofile!$B$17:$B$22,"Schulbetrieb",Nutzungsprofile!$G$17:$G$22)*Kalender!C53/SUM(Kalender!$C$5:$C$370),0)+IFERROR(SUMIF(Nutzungsprofile!$B$17:$B$22,"Halle",Nutzungsprofile!$G$17:$G$22)*Kalender!D53/SUM(Kalender!$D$5:$D$370),0)+IFERROR(SUMIF(Nutzungsprofile!$B$17:$B$22,"Individuell",Nutzungsprofile!$G$17:$G$22)*Kalender!E53/SUM(Kalender!$E$5:$E$370),0))*Szenarien!$D$10,0)</f>
        <v>5.434</v>
      </c>
      <c r="E785" s="13" t="n">
        <f aca="false">IFERROR(MIN(C785,Eingaben!$B$17)*Eingaben!$B$16,0)</f>
        <v>3.3516</v>
      </c>
      <c r="F785" s="13" t="n">
        <f aca="false">IFERROR(E785*Eingaben!$B$15,0)</f>
        <v>3.01644</v>
      </c>
      <c r="G785" s="13" t="n">
        <f aca="false">IFERROR(IF(Kalender!A53="",0,J784*(1-Eingaben!$B$20)),0)</f>
        <v>0.88683336</v>
      </c>
      <c r="H785" s="13" t="n">
        <f aca="false">MIN(G785,D785)</f>
        <v>0.88683336</v>
      </c>
      <c r="I785" s="13" t="n">
        <f aca="false">IFERROR(MIN(F785*Eingaben!$B$19,MAX(0,D785-H785)),0)</f>
        <v>2.111508</v>
      </c>
      <c r="J785" s="13" t="n">
        <f aca="false">IFERROR(MIN(Eingaben!$B$18,MAX(0,F785-I785)),0)</f>
        <v>0.904932</v>
      </c>
      <c r="K785" s="13" t="n">
        <f aca="false">H785+I785</f>
        <v>2.99834136</v>
      </c>
      <c r="L785" s="13" t="n">
        <f aca="false">MAX(0,D785-K785)</f>
        <v>2.43565864</v>
      </c>
      <c r="M785" s="13" t="n">
        <f aca="false">MAX(0,F785-I785-J785)</f>
        <v>0</v>
      </c>
      <c r="N785" s="13" t="n">
        <f aca="false">IF(Kalender!A53="",0,J784-H785)</f>
        <v>0.0180986400000001</v>
      </c>
    </row>
    <row r="786" customFormat="false" ht="16.4" hidden="false" customHeight="false" outlineLevel="0" collapsed="false">
      <c r="A786" s="13" t="str">
        <f aca="false">""</f>
        <v/>
      </c>
      <c r="B786" s="13" t="n">
        <f aca="false">50</f>
        <v>50</v>
      </c>
      <c r="C786" s="13" t="n">
        <f aca="false">IF(Szenarien!$H$10="OK",(IFERROR(SUMIF(Nutzungsprofile!$B$6:$B$11,"Schulbetrieb",Nutzungsprofile!$G$6:$G$11)*Kalender!C54/SUM(Kalender!$C$5:$C$370),0)+IFERROR(SUMIF(Nutzungsprofile!$B$6:$B$11,"Halle",Nutzungsprofile!$G$6:$G$11)*Kalender!D54/SUM(Kalender!$D$5:$D$370),0)+IFERROR(SUMIF(Nutzungsprofile!$B$6:$B$11,"Individuell",Nutzungsprofile!$G$6:$G$11)*Kalender!E54/SUM(Kalender!$E$5:$E$370),0))*Szenarien!$E$10,0)</f>
        <v>3.528</v>
      </c>
      <c r="D786" s="13" t="n">
        <f aca="false">IF(Szenarien!$H$10="OK",(IFERROR(SUMIF(Nutzungsprofile!$B$17:$B$22,"Schulbetrieb",Nutzungsprofile!$G$17:$G$22)*Kalender!C54/SUM(Kalender!$C$5:$C$370),0)+IFERROR(SUMIF(Nutzungsprofile!$B$17:$B$22,"Halle",Nutzungsprofile!$G$17:$G$22)*Kalender!D54/SUM(Kalender!$D$5:$D$370),0)+IFERROR(SUMIF(Nutzungsprofile!$B$17:$B$22,"Individuell",Nutzungsprofile!$G$17:$G$22)*Kalender!E54/SUM(Kalender!$E$5:$E$370),0))*Szenarien!$D$10,0)</f>
        <v>5.434</v>
      </c>
      <c r="E786" s="13" t="n">
        <f aca="false">IFERROR(MIN(C786,Eingaben!$B$17)*Eingaben!$B$16,0)</f>
        <v>3.3516</v>
      </c>
      <c r="F786" s="13" t="n">
        <f aca="false">IFERROR(E786*Eingaben!$B$15,0)</f>
        <v>3.01644</v>
      </c>
      <c r="G786" s="13" t="n">
        <f aca="false">IFERROR(IF(Kalender!A54="",0,J785*(1-Eingaben!$B$20)),0)</f>
        <v>0.88683336</v>
      </c>
      <c r="H786" s="13" t="n">
        <f aca="false">MIN(G786,D786)</f>
        <v>0.88683336</v>
      </c>
      <c r="I786" s="13" t="n">
        <f aca="false">IFERROR(MIN(F786*Eingaben!$B$19,MAX(0,D786-H786)),0)</f>
        <v>2.111508</v>
      </c>
      <c r="J786" s="13" t="n">
        <f aca="false">IFERROR(MIN(Eingaben!$B$18,MAX(0,F786-I786)),0)</f>
        <v>0.904932</v>
      </c>
      <c r="K786" s="13" t="n">
        <f aca="false">H786+I786</f>
        <v>2.99834136</v>
      </c>
      <c r="L786" s="13" t="n">
        <f aca="false">MAX(0,D786-K786)</f>
        <v>2.43565864</v>
      </c>
      <c r="M786" s="13" t="n">
        <f aca="false">MAX(0,F786-I786-J786)</f>
        <v>0</v>
      </c>
      <c r="N786" s="13" t="n">
        <f aca="false">IF(Kalender!A54="",0,J785-H786)</f>
        <v>0.0180986400000001</v>
      </c>
    </row>
    <row r="787" customFormat="false" ht="16.4" hidden="false" customHeight="false" outlineLevel="0" collapsed="false">
      <c r="A787" s="13" t="str">
        <f aca="false">""</f>
        <v/>
      </c>
      <c r="B787" s="13" t="n">
        <f aca="false">51</f>
        <v>51</v>
      </c>
      <c r="C787" s="13" t="n">
        <f aca="false">IF(Szenarien!$H$10="OK",(IFERROR(SUMIF(Nutzungsprofile!$B$6:$B$11,"Schulbetrieb",Nutzungsprofile!$G$6:$G$11)*Kalender!C55/SUM(Kalender!$C$5:$C$370),0)+IFERROR(SUMIF(Nutzungsprofile!$B$6:$B$11,"Halle",Nutzungsprofile!$G$6:$G$11)*Kalender!D55/SUM(Kalender!$D$5:$D$370),0)+IFERROR(SUMIF(Nutzungsprofile!$B$6:$B$11,"Individuell",Nutzungsprofile!$G$6:$G$11)*Kalender!E55/SUM(Kalender!$E$5:$E$370),0))*Szenarien!$E$10,0)</f>
        <v>3.528</v>
      </c>
      <c r="D787" s="13" t="n">
        <f aca="false">IF(Szenarien!$H$10="OK",(IFERROR(SUMIF(Nutzungsprofile!$B$17:$B$22,"Schulbetrieb",Nutzungsprofile!$G$17:$G$22)*Kalender!C55/SUM(Kalender!$C$5:$C$370),0)+IFERROR(SUMIF(Nutzungsprofile!$B$17:$B$22,"Halle",Nutzungsprofile!$G$17:$G$22)*Kalender!D55/SUM(Kalender!$D$5:$D$370),0)+IFERROR(SUMIF(Nutzungsprofile!$B$17:$B$22,"Individuell",Nutzungsprofile!$G$17:$G$22)*Kalender!E55/SUM(Kalender!$E$5:$E$370),0))*Szenarien!$D$10,0)</f>
        <v>5.434</v>
      </c>
      <c r="E787" s="13" t="n">
        <f aca="false">IFERROR(MIN(C787,Eingaben!$B$17)*Eingaben!$B$16,0)</f>
        <v>3.3516</v>
      </c>
      <c r="F787" s="13" t="n">
        <f aca="false">IFERROR(E787*Eingaben!$B$15,0)</f>
        <v>3.01644</v>
      </c>
      <c r="G787" s="13" t="n">
        <f aca="false">IFERROR(IF(Kalender!A55="",0,J786*(1-Eingaben!$B$20)),0)</f>
        <v>0.88683336</v>
      </c>
      <c r="H787" s="13" t="n">
        <f aca="false">MIN(G787,D787)</f>
        <v>0.88683336</v>
      </c>
      <c r="I787" s="13" t="n">
        <f aca="false">IFERROR(MIN(F787*Eingaben!$B$19,MAX(0,D787-H787)),0)</f>
        <v>2.111508</v>
      </c>
      <c r="J787" s="13" t="n">
        <f aca="false">IFERROR(MIN(Eingaben!$B$18,MAX(0,F787-I787)),0)</f>
        <v>0.904932</v>
      </c>
      <c r="K787" s="13" t="n">
        <f aca="false">H787+I787</f>
        <v>2.99834136</v>
      </c>
      <c r="L787" s="13" t="n">
        <f aca="false">MAX(0,D787-K787)</f>
        <v>2.43565864</v>
      </c>
      <c r="M787" s="13" t="n">
        <f aca="false">MAX(0,F787-I787-J787)</f>
        <v>0</v>
      </c>
      <c r="N787" s="13" t="n">
        <f aca="false">IF(Kalender!A55="",0,J786-H787)</f>
        <v>0.0180986400000001</v>
      </c>
    </row>
    <row r="788" customFormat="false" ht="16.4" hidden="false" customHeight="false" outlineLevel="0" collapsed="false">
      <c r="A788" s="13" t="str">
        <f aca="false">""</f>
        <v/>
      </c>
      <c r="B788" s="13" t="n">
        <f aca="false">52</f>
        <v>52</v>
      </c>
      <c r="C788" s="13" t="n">
        <f aca="false">IF(Szenarien!$H$10="OK",(IFERROR(SUMIF(Nutzungsprofile!$B$6:$B$11,"Schulbetrieb",Nutzungsprofile!$G$6:$G$11)*Kalender!C56/SUM(Kalender!$C$5:$C$370),0)+IFERROR(SUMIF(Nutzungsprofile!$B$6:$B$11,"Halle",Nutzungsprofile!$G$6:$G$11)*Kalender!D56/SUM(Kalender!$D$5:$D$370),0)+IFERROR(SUMIF(Nutzungsprofile!$B$6:$B$11,"Individuell",Nutzungsprofile!$G$6:$G$11)*Kalender!E56/SUM(Kalender!$E$5:$E$370),0))*Szenarien!$E$10,0)</f>
        <v>2.448</v>
      </c>
      <c r="D788" s="13" t="n">
        <f aca="false">IF(Szenarien!$H$10="OK",(IFERROR(SUMIF(Nutzungsprofile!$B$17:$B$22,"Schulbetrieb",Nutzungsprofile!$G$17:$G$22)*Kalender!C56/SUM(Kalender!$C$5:$C$370),0)+IFERROR(SUMIF(Nutzungsprofile!$B$17:$B$22,"Halle",Nutzungsprofile!$G$17:$G$22)*Kalender!D56/SUM(Kalender!$D$5:$D$370),0)+IFERROR(SUMIF(Nutzungsprofile!$B$17:$B$22,"Individuell",Nutzungsprofile!$G$17:$G$22)*Kalender!E56/SUM(Kalender!$E$5:$E$370),0))*Szenarien!$D$10,0)</f>
        <v>0.979</v>
      </c>
      <c r="E788" s="13" t="n">
        <f aca="false">IFERROR(MIN(C788,Eingaben!$B$17)*Eingaben!$B$16,0)</f>
        <v>2.3256</v>
      </c>
      <c r="F788" s="13" t="n">
        <f aca="false">IFERROR(E788*Eingaben!$B$15,0)</f>
        <v>2.09304</v>
      </c>
      <c r="G788" s="13" t="n">
        <f aca="false">IFERROR(IF(Kalender!A56="",0,J787*(1-Eingaben!$B$20)),0)</f>
        <v>0.88683336</v>
      </c>
      <c r="H788" s="13" t="n">
        <f aca="false">MIN(G788,D788)</f>
        <v>0.88683336</v>
      </c>
      <c r="I788" s="13" t="n">
        <f aca="false">IFERROR(MIN(F788*Eingaben!$B$19,MAX(0,D788-H788)),0)</f>
        <v>0.0921666400000001</v>
      </c>
      <c r="J788" s="13" t="n">
        <f aca="false">IFERROR(MIN(Eingaben!$B$18,MAX(0,F788-I788)),0)</f>
        <v>2</v>
      </c>
      <c r="K788" s="13" t="n">
        <f aca="false">H788+I788</f>
        <v>0.979</v>
      </c>
      <c r="L788" s="13" t="n">
        <f aca="false">MAX(0,D788-K788)</f>
        <v>0</v>
      </c>
      <c r="M788" s="13" t="n">
        <f aca="false">MAX(0,F788-I788-J788)</f>
        <v>0.000873359999999934</v>
      </c>
      <c r="N788" s="13" t="n">
        <f aca="false">IF(Kalender!A56="",0,J787-H788)</f>
        <v>0.0180986400000001</v>
      </c>
    </row>
    <row r="789" customFormat="false" ht="16.4" hidden="false" customHeight="false" outlineLevel="0" collapsed="false">
      <c r="A789" s="13" t="str">
        <f aca="false">""</f>
        <v/>
      </c>
      <c r="B789" s="13" t="n">
        <f aca="false">53</f>
        <v>53</v>
      </c>
      <c r="C789" s="13" t="n">
        <f aca="false">IF(Szenarien!$H$10="OK",(IFERROR(SUMIF(Nutzungsprofile!$B$6:$B$11,"Schulbetrieb",Nutzungsprofile!$G$6:$G$11)*Kalender!C57/SUM(Kalender!$C$5:$C$370),0)+IFERROR(SUMIF(Nutzungsprofile!$B$6:$B$11,"Halle",Nutzungsprofile!$G$6:$G$11)*Kalender!D57/SUM(Kalender!$D$5:$D$370),0)+IFERROR(SUMIF(Nutzungsprofile!$B$6:$B$11,"Individuell",Nutzungsprofile!$G$6:$G$11)*Kalender!E57/SUM(Kalender!$E$5:$E$370),0))*Szenarien!$E$10,0)</f>
        <v>2.448</v>
      </c>
      <c r="D789" s="13" t="n">
        <f aca="false">IF(Szenarien!$H$10="OK",(IFERROR(SUMIF(Nutzungsprofile!$B$17:$B$22,"Schulbetrieb",Nutzungsprofile!$G$17:$G$22)*Kalender!C57/SUM(Kalender!$C$5:$C$370),0)+IFERROR(SUMIF(Nutzungsprofile!$B$17:$B$22,"Halle",Nutzungsprofile!$G$17:$G$22)*Kalender!D57/SUM(Kalender!$D$5:$D$370),0)+IFERROR(SUMIF(Nutzungsprofile!$B$17:$B$22,"Individuell",Nutzungsprofile!$G$17:$G$22)*Kalender!E57/SUM(Kalender!$E$5:$E$370),0))*Szenarien!$D$10,0)</f>
        <v>0.979</v>
      </c>
      <c r="E789" s="13" t="n">
        <f aca="false">IFERROR(MIN(C789,Eingaben!$B$17)*Eingaben!$B$16,0)</f>
        <v>2.3256</v>
      </c>
      <c r="F789" s="13" t="n">
        <f aca="false">IFERROR(E789*Eingaben!$B$15,0)</f>
        <v>2.09304</v>
      </c>
      <c r="G789" s="13" t="n">
        <f aca="false">IFERROR(IF(Kalender!A57="",0,J788*(1-Eingaben!$B$20)),0)</f>
        <v>1.96</v>
      </c>
      <c r="H789" s="13" t="n">
        <f aca="false">MIN(G789,D789)</f>
        <v>0.979</v>
      </c>
      <c r="I789" s="13" t="n">
        <f aca="false">IFERROR(MIN(F789*Eingaben!$B$19,MAX(0,D789-H789)),0)</f>
        <v>0</v>
      </c>
      <c r="J789" s="13" t="n">
        <f aca="false">IFERROR(MIN(Eingaben!$B$18,MAX(0,F789-I789)),0)</f>
        <v>2</v>
      </c>
      <c r="K789" s="13" t="n">
        <f aca="false">H789+I789</f>
        <v>0.979</v>
      </c>
      <c r="L789" s="13" t="n">
        <f aca="false">MAX(0,D789-K789)</f>
        <v>0</v>
      </c>
      <c r="M789" s="13" t="n">
        <f aca="false">MAX(0,F789-I789-J789)</f>
        <v>0.0930399999999998</v>
      </c>
      <c r="N789" s="13" t="n">
        <f aca="false">IF(Kalender!A57="",0,J788-H789)</f>
        <v>1.021</v>
      </c>
    </row>
    <row r="790" customFormat="false" ht="16.4" hidden="false" customHeight="false" outlineLevel="0" collapsed="false">
      <c r="A790" s="13" t="str">
        <f aca="false">""</f>
        <v/>
      </c>
      <c r="B790" s="13" t="n">
        <f aca="false">54</f>
        <v>54</v>
      </c>
      <c r="C790" s="13" t="n">
        <f aca="false">IF(Szenarien!$H$10="OK",(IFERROR(SUMIF(Nutzungsprofile!$B$6:$B$11,"Schulbetrieb",Nutzungsprofile!$G$6:$G$11)*Kalender!C58/SUM(Kalender!$C$5:$C$370),0)+IFERROR(SUMIF(Nutzungsprofile!$B$6:$B$11,"Halle",Nutzungsprofile!$G$6:$G$11)*Kalender!D58/SUM(Kalender!$D$5:$D$370),0)+IFERROR(SUMIF(Nutzungsprofile!$B$6:$B$11,"Individuell",Nutzungsprofile!$G$6:$G$11)*Kalender!E58/SUM(Kalender!$E$5:$E$370),0))*Szenarien!$E$10,0)</f>
        <v>3.528</v>
      </c>
      <c r="D790" s="13" t="n">
        <f aca="false">IF(Szenarien!$H$10="OK",(IFERROR(SUMIF(Nutzungsprofile!$B$17:$B$22,"Schulbetrieb",Nutzungsprofile!$G$17:$G$22)*Kalender!C58/SUM(Kalender!$C$5:$C$370),0)+IFERROR(SUMIF(Nutzungsprofile!$B$17:$B$22,"Halle",Nutzungsprofile!$G$17:$G$22)*Kalender!D58/SUM(Kalender!$D$5:$D$370),0)+IFERROR(SUMIF(Nutzungsprofile!$B$17:$B$22,"Individuell",Nutzungsprofile!$G$17:$G$22)*Kalender!E58/SUM(Kalender!$E$5:$E$370),0))*Szenarien!$D$10,0)</f>
        <v>5.434</v>
      </c>
      <c r="E790" s="13" t="n">
        <f aca="false">IFERROR(MIN(C790,Eingaben!$B$17)*Eingaben!$B$16,0)</f>
        <v>3.3516</v>
      </c>
      <c r="F790" s="13" t="n">
        <f aca="false">IFERROR(E790*Eingaben!$B$15,0)</f>
        <v>3.01644</v>
      </c>
      <c r="G790" s="13" t="n">
        <f aca="false">IFERROR(IF(Kalender!A58="",0,J789*(1-Eingaben!$B$20)),0)</f>
        <v>1.96</v>
      </c>
      <c r="H790" s="13" t="n">
        <f aca="false">MIN(G790,D790)</f>
        <v>1.96</v>
      </c>
      <c r="I790" s="13" t="n">
        <f aca="false">IFERROR(MIN(F790*Eingaben!$B$19,MAX(0,D790-H790)),0)</f>
        <v>2.111508</v>
      </c>
      <c r="J790" s="13" t="n">
        <f aca="false">IFERROR(MIN(Eingaben!$B$18,MAX(0,F790-I790)),0)</f>
        <v>0.904932</v>
      </c>
      <c r="K790" s="13" t="n">
        <f aca="false">H790+I790</f>
        <v>4.071508</v>
      </c>
      <c r="L790" s="13" t="n">
        <f aca="false">MAX(0,D790-K790)</f>
        <v>1.362492</v>
      </c>
      <c r="M790" s="13" t="n">
        <f aca="false">MAX(0,F790-I790-J790)</f>
        <v>0</v>
      </c>
      <c r="N790" s="13" t="n">
        <f aca="false">IF(Kalender!A58="",0,J789-H790)</f>
        <v>0.04</v>
      </c>
    </row>
    <row r="791" customFormat="false" ht="16.4" hidden="false" customHeight="false" outlineLevel="0" collapsed="false">
      <c r="A791" s="13" t="str">
        <f aca="false">""</f>
        <v/>
      </c>
      <c r="B791" s="13" t="n">
        <f aca="false">55</f>
        <v>55</v>
      </c>
      <c r="C791" s="13" t="n">
        <f aca="false">IF(Szenarien!$H$10="OK",(IFERROR(SUMIF(Nutzungsprofile!$B$6:$B$11,"Schulbetrieb",Nutzungsprofile!$G$6:$G$11)*Kalender!C59/SUM(Kalender!$C$5:$C$370),0)+IFERROR(SUMIF(Nutzungsprofile!$B$6:$B$11,"Halle",Nutzungsprofile!$G$6:$G$11)*Kalender!D59/SUM(Kalender!$D$5:$D$370),0)+IFERROR(SUMIF(Nutzungsprofile!$B$6:$B$11,"Individuell",Nutzungsprofile!$G$6:$G$11)*Kalender!E59/SUM(Kalender!$E$5:$E$370),0))*Szenarien!$E$10,0)</f>
        <v>3.528</v>
      </c>
      <c r="D791" s="13" t="n">
        <f aca="false">IF(Szenarien!$H$10="OK",(IFERROR(SUMIF(Nutzungsprofile!$B$17:$B$22,"Schulbetrieb",Nutzungsprofile!$G$17:$G$22)*Kalender!C59/SUM(Kalender!$C$5:$C$370),0)+IFERROR(SUMIF(Nutzungsprofile!$B$17:$B$22,"Halle",Nutzungsprofile!$G$17:$G$22)*Kalender!D59/SUM(Kalender!$D$5:$D$370),0)+IFERROR(SUMIF(Nutzungsprofile!$B$17:$B$22,"Individuell",Nutzungsprofile!$G$17:$G$22)*Kalender!E59/SUM(Kalender!$E$5:$E$370),0))*Szenarien!$D$10,0)</f>
        <v>5.434</v>
      </c>
      <c r="E791" s="13" t="n">
        <f aca="false">IFERROR(MIN(C791,Eingaben!$B$17)*Eingaben!$B$16,0)</f>
        <v>3.3516</v>
      </c>
      <c r="F791" s="13" t="n">
        <f aca="false">IFERROR(E791*Eingaben!$B$15,0)</f>
        <v>3.01644</v>
      </c>
      <c r="G791" s="13" t="n">
        <f aca="false">IFERROR(IF(Kalender!A59="",0,J790*(1-Eingaben!$B$20)),0)</f>
        <v>0.88683336</v>
      </c>
      <c r="H791" s="13" t="n">
        <f aca="false">MIN(G791,D791)</f>
        <v>0.88683336</v>
      </c>
      <c r="I791" s="13" t="n">
        <f aca="false">IFERROR(MIN(F791*Eingaben!$B$19,MAX(0,D791-H791)),0)</f>
        <v>2.111508</v>
      </c>
      <c r="J791" s="13" t="n">
        <f aca="false">IFERROR(MIN(Eingaben!$B$18,MAX(0,F791-I791)),0)</f>
        <v>0.904932</v>
      </c>
      <c r="K791" s="13" t="n">
        <f aca="false">H791+I791</f>
        <v>2.99834136</v>
      </c>
      <c r="L791" s="13" t="n">
        <f aca="false">MAX(0,D791-K791)</f>
        <v>2.43565864</v>
      </c>
      <c r="M791" s="13" t="n">
        <f aca="false">MAX(0,F791-I791-J791)</f>
        <v>0</v>
      </c>
      <c r="N791" s="13" t="n">
        <f aca="false">IF(Kalender!A59="",0,J790-H791)</f>
        <v>0.0180986400000001</v>
      </c>
    </row>
    <row r="792" customFormat="false" ht="16.4" hidden="false" customHeight="false" outlineLevel="0" collapsed="false">
      <c r="A792" s="13" t="str">
        <f aca="false">""</f>
        <v/>
      </c>
      <c r="B792" s="13" t="n">
        <f aca="false">56</f>
        <v>56</v>
      </c>
      <c r="C792" s="13" t="n">
        <f aca="false">IF(Szenarien!$H$10="OK",(IFERROR(SUMIF(Nutzungsprofile!$B$6:$B$11,"Schulbetrieb",Nutzungsprofile!$G$6:$G$11)*Kalender!C60/SUM(Kalender!$C$5:$C$370),0)+IFERROR(SUMIF(Nutzungsprofile!$B$6:$B$11,"Halle",Nutzungsprofile!$G$6:$G$11)*Kalender!D60/SUM(Kalender!$D$5:$D$370),0)+IFERROR(SUMIF(Nutzungsprofile!$B$6:$B$11,"Individuell",Nutzungsprofile!$G$6:$G$11)*Kalender!E60/SUM(Kalender!$E$5:$E$370),0))*Szenarien!$E$10,0)</f>
        <v>3.528</v>
      </c>
      <c r="D792" s="13" t="n">
        <f aca="false">IF(Szenarien!$H$10="OK",(IFERROR(SUMIF(Nutzungsprofile!$B$17:$B$22,"Schulbetrieb",Nutzungsprofile!$G$17:$G$22)*Kalender!C60/SUM(Kalender!$C$5:$C$370),0)+IFERROR(SUMIF(Nutzungsprofile!$B$17:$B$22,"Halle",Nutzungsprofile!$G$17:$G$22)*Kalender!D60/SUM(Kalender!$D$5:$D$370),0)+IFERROR(SUMIF(Nutzungsprofile!$B$17:$B$22,"Individuell",Nutzungsprofile!$G$17:$G$22)*Kalender!E60/SUM(Kalender!$E$5:$E$370),0))*Szenarien!$D$10,0)</f>
        <v>5.434</v>
      </c>
      <c r="E792" s="13" t="n">
        <f aca="false">IFERROR(MIN(C792,Eingaben!$B$17)*Eingaben!$B$16,0)</f>
        <v>3.3516</v>
      </c>
      <c r="F792" s="13" t="n">
        <f aca="false">IFERROR(E792*Eingaben!$B$15,0)</f>
        <v>3.01644</v>
      </c>
      <c r="G792" s="13" t="n">
        <f aca="false">IFERROR(IF(Kalender!A60="",0,J791*(1-Eingaben!$B$20)),0)</f>
        <v>0.88683336</v>
      </c>
      <c r="H792" s="13" t="n">
        <f aca="false">MIN(G792,D792)</f>
        <v>0.88683336</v>
      </c>
      <c r="I792" s="13" t="n">
        <f aca="false">IFERROR(MIN(F792*Eingaben!$B$19,MAX(0,D792-H792)),0)</f>
        <v>2.111508</v>
      </c>
      <c r="J792" s="13" t="n">
        <f aca="false">IFERROR(MIN(Eingaben!$B$18,MAX(0,F792-I792)),0)</f>
        <v>0.904932</v>
      </c>
      <c r="K792" s="13" t="n">
        <f aca="false">H792+I792</f>
        <v>2.99834136</v>
      </c>
      <c r="L792" s="13" t="n">
        <f aca="false">MAX(0,D792-K792)</f>
        <v>2.43565864</v>
      </c>
      <c r="M792" s="13" t="n">
        <f aca="false">MAX(0,F792-I792-J792)</f>
        <v>0</v>
      </c>
      <c r="N792" s="13" t="n">
        <f aca="false">IF(Kalender!A60="",0,J791-H792)</f>
        <v>0.0180986400000001</v>
      </c>
    </row>
    <row r="793" customFormat="false" ht="16.4" hidden="false" customHeight="false" outlineLevel="0" collapsed="false">
      <c r="A793" s="13" t="str">
        <f aca="false">""</f>
        <v/>
      </c>
      <c r="B793" s="13" t="n">
        <f aca="false">57</f>
        <v>57</v>
      </c>
      <c r="C793" s="13" t="n">
        <f aca="false">IF(Szenarien!$H$10="OK",(IFERROR(SUMIF(Nutzungsprofile!$B$6:$B$11,"Schulbetrieb",Nutzungsprofile!$G$6:$G$11)*Kalender!C61/SUM(Kalender!$C$5:$C$370),0)+IFERROR(SUMIF(Nutzungsprofile!$B$6:$B$11,"Halle",Nutzungsprofile!$G$6:$G$11)*Kalender!D61/SUM(Kalender!$D$5:$D$370),0)+IFERROR(SUMIF(Nutzungsprofile!$B$6:$B$11,"Individuell",Nutzungsprofile!$G$6:$G$11)*Kalender!E61/SUM(Kalender!$E$5:$E$370),0))*Szenarien!$E$10,0)</f>
        <v>3.528</v>
      </c>
      <c r="D793" s="13" t="n">
        <f aca="false">IF(Szenarien!$H$10="OK",(IFERROR(SUMIF(Nutzungsprofile!$B$17:$B$22,"Schulbetrieb",Nutzungsprofile!$G$17:$G$22)*Kalender!C61/SUM(Kalender!$C$5:$C$370),0)+IFERROR(SUMIF(Nutzungsprofile!$B$17:$B$22,"Halle",Nutzungsprofile!$G$17:$G$22)*Kalender!D61/SUM(Kalender!$D$5:$D$370),0)+IFERROR(SUMIF(Nutzungsprofile!$B$17:$B$22,"Individuell",Nutzungsprofile!$G$17:$G$22)*Kalender!E61/SUM(Kalender!$E$5:$E$370),0))*Szenarien!$D$10,0)</f>
        <v>5.434</v>
      </c>
      <c r="E793" s="13" t="n">
        <f aca="false">IFERROR(MIN(C793,Eingaben!$B$17)*Eingaben!$B$16,0)</f>
        <v>3.3516</v>
      </c>
      <c r="F793" s="13" t="n">
        <f aca="false">IFERROR(E793*Eingaben!$B$15,0)</f>
        <v>3.01644</v>
      </c>
      <c r="G793" s="13" t="n">
        <f aca="false">IFERROR(IF(Kalender!A61="",0,J792*(1-Eingaben!$B$20)),0)</f>
        <v>0.88683336</v>
      </c>
      <c r="H793" s="13" t="n">
        <f aca="false">MIN(G793,D793)</f>
        <v>0.88683336</v>
      </c>
      <c r="I793" s="13" t="n">
        <f aca="false">IFERROR(MIN(F793*Eingaben!$B$19,MAX(0,D793-H793)),0)</f>
        <v>2.111508</v>
      </c>
      <c r="J793" s="13" t="n">
        <f aca="false">IFERROR(MIN(Eingaben!$B$18,MAX(0,F793-I793)),0)</f>
        <v>0.904932</v>
      </c>
      <c r="K793" s="13" t="n">
        <f aca="false">H793+I793</f>
        <v>2.99834136</v>
      </c>
      <c r="L793" s="13" t="n">
        <f aca="false">MAX(0,D793-K793)</f>
        <v>2.43565864</v>
      </c>
      <c r="M793" s="13" t="n">
        <f aca="false">MAX(0,F793-I793-J793)</f>
        <v>0</v>
      </c>
      <c r="N793" s="13" t="n">
        <f aca="false">IF(Kalender!A61="",0,J792-H793)</f>
        <v>0.0180986400000001</v>
      </c>
    </row>
    <row r="794" customFormat="false" ht="16.4" hidden="false" customHeight="false" outlineLevel="0" collapsed="false">
      <c r="A794" s="13" t="str">
        <f aca="false">""</f>
        <v/>
      </c>
      <c r="B794" s="13" t="n">
        <f aca="false">58</f>
        <v>58</v>
      </c>
      <c r="C794" s="13" t="n">
        <f aca="false">IF(Szenarien!$H$10="OK",(IFERROR(SUMIF(Nutzungsprofile!$B$6:$B$11,"Schulbetrieb",Nutzungsprofile!$G$6:$G$11)*Kalender!C62/SUM(Kalender!$C$5:$C$370),0)+IFERROR(SUMIF(Nutzungsprofile!$B$6:$B$11,"Halle",Nutzungsprofile!$G$6:$G$11)*Kalender!D62/SUM(Kalender!$D$5:$D$370),0)+IFERROR(SUMIF(Nutzungsprofile!$B$6:$B$11,"Individuell",Nutzungsprofile!$G$6:$G$11)*Kalender!E62/SUM(Kalender!$E$5:$E$370),0))*Szenarien!$E$10,0)</f>
        <v>3.528</v>
      </c>
      <c r="D794" s="13" t="n">
        <f aca="false">IF(Szenarien!$H$10="OK",(IFERROR(SUMIF(Nutzungsprofile!$B$17:$B$22,"Schulbetrieb",Nutzungsprofile!$G$17:$G$22)*Kalender!C62/SUM(Kalender!$C$5:$C$370),0)+IFERROR(SUMIF(Nutzungsprofile!$B$17:$B$22,"Halle",Nutzungsprofile!$G$17:$G$22)*Kalender!D62/SUM(Kalender!$D$5:$D$370),0)+IFERROR(SUMIF(Nutzungsprofile!$B$17:$B$22,"Individuell",Nutzungsprofile!$G$17:$G$22)*Kalender!E62/SUM(Kalender!$E$5:$E$370),0))*Szenarien!$D$10,0)</f>
        <v>5.434</v>
      </c>
      <c r="E794" s="13" t="n">
        <f aca="false">IFERROR(MIN(C794,Eingaben!$B$17)*Eingaben!$B$16,0)</f>
        <v>3.3516</v>
      </c>
      <c r="F794" s="13" t="n">
        <f aca="false">IFERROR(E794*Eingaben!$B$15,0)</f>
        <v>3.01644</v>
      </c>
      <c r="G794" s="13" t="n">
        <f aca="false">IFERROR(IF(Kalender!A62="",0,J793*(1-Eingaben!$B$20)),0)</f>
        <v>0.88683336</v>
      </c>
      <c r="H794" s="13" t="n">
        <f aca="false">MIN(G794,D794)</f>
        <v>0.88683336</v>
      </c>
      <c r="I794" s="13" t="n">
        <f aca="false">IFERROR(MIN(F794*Eingaben!$B$19,MAX(0,D794-H794)),0)</f>
        <v>2.111508</v>
      </c>
      <c r="J794" s="13" t="n">
        <f aca="false">IFERROR(MIN(Eingaben!$B$18,MAX(0,F794-I794)),0)</f>
        <v>0.904932</v>
      </c>
      <c r="K794" s="13" t="n">
        <f aca="false">H794+I794</f>
        <v>2.99834136</v>
      </c>
      <c r="L794" s="13" t="n">
        <f aca="false">MAX(0,D794-K794)</f>
        <v>2.43565864</v>
      </c>
      <c r="M794" s="13" t="n">
        <f aca="false">MAX(0,F794-I794-J794)</f>
        <v>0</v>
      </c>
      <c r="N794" s="13" t="n">
        <f aca="false">IF(Kalender!A62="",0,J793-H794)</f>
        <v>0.0180986400000001</v>
      </c>
    </row>
    <row r="795" customFormat="false" ht="16.4" hidden="false" customHeight="false" outlineLevel="0" collapsed="false">
      <c r="A795" s="13" t="str">
        <f aca="false">""</f>
        <v/>
      </c>
      <c r="B795" s="13" t="n">
        <f aca="false">59</f>
        <v>59</v>
      </c>
      <c r="C795" s="13" t="n">
        <f aca="false">IF(Szenarien!$H$10="OK",(IFERROR(SUMIF(Nutzungsprofile!$B$6:$B$11,"Schulbetrieb",Nutzungsprofile!$G$6:$G$11)*Kalender!C63/SUM(Kalender!$C$5:$C$370),0)+IFERROR(SUMIF(Nutzungsprofile!$B$6:$B$11,"Halle",Nutzungsprofile!$G$6:$G$11)*Kalender!D63/SUM(Kalender!$D$5:$D$370),0)+IFERROR(SUMIF(Nutzungsprofile!$B$6:$B$11,"Individuell",Nutzungsprofile!$G$6:$G$11)*Kalender!E63/SUM(Kalender!$E$5:$E$370),0))*Szenarien!$E$10,0)</f>
        <v>2.448</v>
      </c>
      <c r="D795" s="13" t="n">
        <f aca="false">IF(Szenarien!$H$10="OK",(IFERROR(SUMIF(Nutzungsprofile!$B$17:$B$22,"Schulbetrieb",Nutzungsprofile!$G$17:$G$22)*Kalender!C63/SUM(Kalender!$C$5:$C$370),0)+IFERROR(SUMIF(Nutzungsprofile!$B$17:$B$22,"Halle",Nutzungsprofile!$G$17:$G$22)*Kalender!D63/SUM(Kalender!$D$5:$D$370),0)+IFERROR(SUMIF(Nutzungsprofile!$B$17:$B$22,"Individuell",Nutzungsprofile!$G$17:$G$22)*Kalender!E63/SUM(Kalender!$E$5:$E$370),0))*Szenarien!$D$10,0)</f>
        <v>0.979</v>
      </c>
      <c r="E795" s="13" t="n">
        <f aca="false">IFERROR(MIN(C795,Eingaben!$B$17)*Eingaben!$B$16,0)</f>
        <v>2.3256</v>
      </c>
      <c r="F795" s="13" t="n">
        <f aca="false">IFERROR(E795*Eingaben!$B$15,0)</f>
        <v>2.09304</v>
      </c>
      <c r="G795" s="13" t="n">
        <f aca="false">IFERROR(IF(Kalender!A63="",0,J794*(1-Eingaben!$B$20)),0)</f>
        <v>0.88683336</v>
      </c>
      <c r="H795" s="13" t="n">
        <f aca="false">MIN(G795,D795)</f>
        <v>0.88683336</v>
      </c>
      <c r="I795" s="13" t="n">
        <f aca="false">IFERROR(MIN(F795*Eingaben!$B$19,MAX(0,D795-H795)),0)</f>
        <v>0.0921666400000001</v>
      </c>
      <c r="J795" s="13" t="n">
        <f aca="false">IFERROR(MIN(Eingaben!$B$18,MAX(0,F795-I795)),0)</f>
        <v>2</v>
      </c>
      <c r="K795" s="13" t="n">
        <f aca="false">H795+I795</f>
        <v>0.979</v>
      </c>
      <c r="L795" s="13" t="n">
        <f aca="false">MAX(0,D795-K795)</f>
        <v>0</v>
      </c>
      <c r="M795" s="13" t="n">
        <f aca="false">MAX(0,F795-I795-J795)</f>
        <v>0.000873359999999934</v>
      </c>
      <c r="N795" s="13" t="n">
        <f aca="false">IF(Kalender!A63="",0,J794-H795)</f>
        <v>0.0180986400000001</v>
      </c>
    </row>
    <row r="796" customFormat="false" ht="16.4" hidden="false" customHeight="false" outlineLevel="0" collapsed="false">
      <c r="A796" s="13" t="str">
        <f aca="false">""</f>
        <v/>
      </c>
      <c r="B796" s="13" t="n">
        <f aca="false">60</f>
        <v>60</v>
      </c>
      <c r="C796" s="13" t="n">
        <f aca="false">IF(Szenarien!$H$10="OK",(IFERROR(SUMIF(Nutzungsprofile!$B$6:$B$11,"Schulbetrieb",Nutzungsprofile!$G$6:$G$11)*Kalender!C64/SUM(Kalender!$C$5:$C$370),0)+IFERROR(SUMIF(Nutzungsprofile!$B$6:$B$11,"Halle",Nutzungsprofile!$G$6:$G$11)*Kalender!D64/SUM(Kalender!$D$5:$D$370),0)+IFERROR(SUMIF(Nutzungsprofile!$B$6:$B$11,"Individuell",Nutzungsprofile!$G$6:$G$11)*Kalender!E64/SUM(Kalender!$E$5:$E$370),0))*Szenarien!$E$10,0)</f>
        <v>2.448</v>
      </c>
      <c r="D796" s="13" t="n">
        <f aca="false">IF(Szenarien!$H$10="OK",(IFERROR(SUMIF(Nutzungsprofile!$B$17:$B$22,"Schulbetrieb",Nutzungsprofile!$G$17:$G$22)*Kalender!C64/SUM(Kalender!$C$5:$C$370),0)+IFERROR(SUMIF(Nutzungsprofile!$B$17:$B$22,"Halle",Nutzungsprofile!$G$17:$G$22)*Kalender!D64/SUM(Kalender!$D$5:$D$370),0)+IFERROR(SUMIF(Nutzungsprofile!$B$17:$B$22,"Individuell",Nutzungsprofile!$G$17:$G$22)*Kalender!E64/SUM(Kalender!$E$5:$E$370),0))*Szenarien!$D$10,0)</f>
        <v>0.979</v>
      </c>
      <c r="E796" s="13" t="n">
        <f aca="false">IFERROR(MIN(C796,Eingaben!$B$17)*Eingaben!$B$16,0)</f>
        <v>2.3256</v>
      </c>
      <c r="F796" s="13" t="n">
        <f aca="false">IFERROR(E796*Eingaben!$B$15,0)</f>
        <v>2.09304</v>
      </c>
      <c r="G796" s="13" t="n">
        <f aca="false">IFERROR(IF(Kalender!A64="",0,J795*(1-Eingaben!$B$20)),0)</f>
        <v>1.96</v>
      </c>
      <c r="H796" s="13" t="n">
        <f aca="false">MIN(G796,D796)</f>
        <v>0.979</v>
      </c>
      <c r="I796" s="13" t="n">
        <f aca="false">IFERROR(MIN(F796*Eingaben!$B$19,MAX(0,D796-H796)),0)</f>
        <v>0</v>
      </c>
      <c r="J796" s="13" t="n">
        <f aca="false">IFERROR(MIN(Eingaben!$B$18,MAX(0,F796-I796)),0)</f>
        <v>2</v>
      </c>
      <c r="K796" s="13" t="n">
        <f aca="false">H796+I796</f>
        <v>0.979</v>
      </c>
      <c r="L796" s="13" t="n">
        <f aca="false">MAX(0,D796-K796)</f>
        <v>0</v>
      </c>
      <c r="M796" s="13" t="n">
        <f aca="false">MAX(0,F796-I796-J796)</f>
        <v>0.0930399999999998</v>
      </c>
      <c r="N796" s="13" t="n">
        <f aca="false">IF(Kalender!A64="",0,J795-H796)</f>
        <v>1.021</v>
      </c>
    </row>
    <row r="797" customFormat="false" ht="16.4" hidden="false" customHeight="false" outlineLevel="0" collapsed="false">
      <c r="A797" s="13" t="str">
        <f aca="false">""</f>
        <v/>
      </c>
      <c r="B797" s="13" t="n">
        <f aca="false">61</f>
        <v>61</v>
      </c>
      <c r="C797" s="13" t="n">
        <f aca="false">IF(Szenarien!$H$10="OK",(IFERROR(SUMIF(Nutzungsprofile!$B$6:$B$11,"Schulbetrieb",Nutzungsprofile!$G$6:$G$11)*Kalender!C65/SUM(Kalender!$C$5:$C$370),0)+IFERROR(SUMIF(Nutzungsprofile!$B$6:$B$11,"Halle",Nutzungsprofile!$G$6:$G$11)*Kalender!D65/SUM(Kalender!$D$5:$D$370),0)+IFERROR(SUMIF(Nutzungsprofile!$B$6:$B$11,"Individuell",Nutzungsprofile!$G$6:$G$11)*Kalender!E65/SUM(Kalender!$E$5:$E$370),0))*Szenarien!$E$10,0)</f>
        <v>3.528</v>
      </c>
      <c r="D797" s="13" t="n">
        <f aca="false">IF(Szenarien!$H$10="OK",(IFERROR(SUMIF(Nutzungsprofile!$B$17:$B$22,"Schulbetrieb",Nutzungsprofile!$G$17:$G$22)*Kalender!C65/SUM(Kalender!$C$5:$C$370),0)+IFERROR(SUMIF(Nutzungsprofile!$B$17:$B$22,"Halle",Nutzungsprofile!$G$17:$G$22)*Kalender!D65/SUM(Kalender!$D$5:$D$370),0)+IFERROR(SUMIF(Nutzungsprofile!$B$17:$B$22,"Individuell",Nutzungsprofile!$G$17:$G$22)*Kalender!E65/SUM(Kalender!$E$5:$E$370),0))*Szenarien!$D$10,0)</f>
        <v>5.434</v>
      </c>
      <c r="E797" s="13" t="n">
        <f aca="false">IFERROR(MIN(C797,Eingaben!$B$17)*Eingaben!$B$16,0)</f>
        <v>3.3516</v>
      </c>
      <c r="F797" s="13" t="n">
        <f aca="false">IFERROR(E797*Eingaben!$B$15,0)</f>
        <v>3.01644</v>
      </c>
      <c r="G797" s="13" t="n">
        <f aca="false">IFERROR(IF(Kalender!A65="",0,J796*(1-Eingaben!$B$20)),0)</f>
        <v>1.96</v>
      </c>
      <c r="H797" s="13" t="n">
        <f aca="false">MIN(G797,D797)</f>
        <v>1.96</v>
      </c>
      <c r="I797" s="13" t="n">
        <f aca="false">IFERROR(MIN(F797*Eingaben!$B$19,MAX(0,D797-H797)),0)</f>
        <v>2.111508</v>
      </c>
      <c r="J797" s="13" t="n">
        <f aca="false">IFERROR(MIN(Eingaben!$B$18,MAX(0,F797-I797)),0)</f>
        <v>0.904932</v>
      </c>
      <c r="K797" s="13" t="n">
        <f aca="false">H797+I797</f>
        <v>4.071508</v>
      </c>
      <c r="L797" s="13" t="n">
        <f aca="false">MAX(0,D797-K797)</f>
        <v>1.362492</v>
      </c>
      <c r="M797" s="13" t="n">
        <f aca="false">MAX(0,F797-I797-J797)</f>
        <v>0</v>
      </c>
      <c r="N797" s="13" t="n">
        <f aca="false">IF(Kalender!A65="",0,J796-H797)</f>
        <v>0.04</v>
      </c>
    </row>
    <row r="798" customFormat="false" ht="16.4" hidden="false" customHeight="false" outlineLevel="0" collapsed="false">
      <c r="A798" s="13" t="str">
        <f aca="false">""</f>
        <v/>
      </c>
      <c r="B798" s="13" t="n">
        <f aca="false">62</f>
        <v>62</v>
      </c>
      <c r="C798" s="13" t="n">
        <f aca="false">IF(Szenarien!$H$10="OK",(IFERROR(SUMIF(Nutzungsprofile!$B$6:$B$11,"Schulbetrieb",Nutzungsprofile!$G$6:$G$11)*Kalender!C66/SUM(Kalender!$C$5:$C$370),0)+IFERROR(SUMIF(Nutzungsprofile!$B$6:$B$11,"Halle",Nutzungsprofile!$G$6:$G$11)*Kalender!D66/SUM(Kalender!$D$5:$D$370),0)+IFERROR(SUMIF(Nutzungsprofile!$B$6:$B$11,"Individuell",Nutzungsprofile!$G$6:$G$11)*Kalender!E66/SUM(Kalender!$E$5:$E$370),0))*Szenarien!$E$10,0)</f>
        <v>3.528</v>
      </c>
      <c r="D798" s="13" t="n">
        <f aca="false">IF(Szenarien!$H$10="OK",(IFERROR(SUMIF(Nutzungsprofile!$B$17:$B$22,"Schulbetrieb",Nutzungsprofile!$G$17:$G$22)*Kalender!C66/SUM(Kalender!$C$5:$C$370),0)+IFERROR(SUMIF(Nutzungsprofile!$B$17:$B$22,"Halle",Nutzungsprofile!$G$17:$G$22)*Kalender!D66/SUM(Kalender!$D$5:$D$370),0)+IFERROR(SUMIF(Nutzungsprofile!$B$17:$B$22,"Individuell",Nutzungsprofile!$G$17:$G$22)*Kalender!E66/SUM(Kalender!$E$5:$E$370),0))*Szenarien!$D$10,0)</f>
        <v>5.434</v>
      </c>
      <c r="E798" s="13" t="n">
        <f aca="false">IFERROR(MIN(C798,Eingaben!$B$17)*Eingaben!$B$16,0)</f>
        <v>3.3516</v>
      </c>
      <c r="F798" s="13" t="n">
        <f aca="false">IFERROR(E798*Eingaben!$B$15,0)</f>
        <v>3.01644</v>
      </c>
      <c r="G798" s="13" t="n">
        <f aca="false">IFERROR(IF(Kalender!A66="",0,J797*(1-Eingaben!$B$20)),0)</f>
        <v>0.88683336</v>
      </c>
      <c r="H798" s="13" t="n">
        <f aca="false">MIN(G798,D798)</f>
        <v>0.88683336</v>
      </c>
      <c r="I798" s="13" t="n">
        <f aca="false">IFERROR(MIN(F798*Eingaben!$B$19,MAX(0,D798-H798)),0)</f>
        <v>2.111508</v>
      </c>
      <c r="J798" s="13" t="n">
        <f aca="false">IFERROR(MIN(Eingaben!$B$18,MAX(0,F798-I798)),0)</f>
        <v>0.904932</v>
      </c>
      <c r="K798" s="13" t="n">
        <f aca="false">H798+I798</f>
        <v>2.99834136</v>
      </c>
      <c r="L798" s="13" t="n">
        <f aca="false">MAX(0,D798-K798)</f>
        <v>2.43565864</v>
      </c>
      <c r="M798" s="13" t="n">
        <f aca="false">MAX(0,F798-I798-J798)</f>
        <v>0</v>
      </c>
      <c r="N798" s="13" t="n">
        <f aca="false">IF(Kalender!A66="",0,J797-H798)</f>
        <v>0.0180986400000001</v>
      </c>
    </row>
    <row r="799" customFormat="false" ht="16.4" hidden="false" customHeight="false" outlineLevel="0" collapsed="false">
      <c r="A799" s="13" t="str">
        <f aca="false">""</f>
        <v/>
      </c>
      <c r="B799" s="13" t="n">
        <f aca="false">63</f>
        <v>63</v>
      </c>
      <c r="C799" s="13" t="n">
        <f aca="false">IF(Szenarien!$H$10="OK",(IFERROR(SUMIF(Nutzungsprofile!$B$6:$B$11,"Schulbetrieb",Nutzungsprofile!$G$6:$G$11)*Kalender!C67/SUM(Kalender!$C$5:$C$370),0)+IFERROR(SUMIF(Nutzungsprofile!$B$6:$B$11,"Halle",Nutzungsprofile!$G$6:$G$11)*Kalender!D67/SUM(Kalender!$D$5:$D$370),0)+IFERROR(SUMIF(Nutzungsprofile!$B$6:$B$11,"Individuell",Nutzungsprofile!$G$6:$G$11)*Kalender!E67/SUM(Kalender!$E$5:$E$370),0))*Szenarien!$E$10,0)</f>
        <v>3.528</v>
      </c>
      <c r="D799" s="13" t="n">
        <f aca="false">IF(Szenarien!$H$10="OK",(IFERROR(SUMIF(Nutzungsprofile!$B$17:$B$22,"Schulbetrieb",Nutzungsprofile!$G$17:$G$22)*Kalender!C67/SUM(Kalender!$C$5:$C$370),0)+IFERROR(SUMIF(Nutzungsprofile!$B$17:$B$22,"Halle",Nutzungsprofile!$G$17:$G$22)*Kalender!D67/SUM(Kalender!$D$5:$D$370),0)+IFERROR(SUMIF(Nutzungsprofile!$B$17:$B$22,"Individuell",Nutzungsprofile!$G$17:$G$22)*Kalender!E67/SUM(Kalender!$E$5:$E$370),0))*Szenarien!$D$10,0)</f>
        <v>5.434</v>
      </c>
      <c r="E799" s="13" t="n">
        <f aca="false">IFERROR(MIN(C799,Eingaben!$B$17)*Eingaben!$B$16,0)</f>
        <v>3.3516</v>
      </c>
      <c r="F799" s="13" t="n">
        <f aca="false">IFERROR(E799*Eingaben!$B$15,0)</f>
        <v>3.01644</v>
      </c>
      <c r="G799" s="13" t="n">
        <f aca="false">IFERROR(IF(Kalender!A67="",0,J798*(1-Eingaben!$B$20)),0)</f>
        <v>0.88683336</v>
      </c>
      <c r="H799" s="13" t="n">
        <f aca="false">MIN(G799,D799)</f>
        <v>0.88683336</v>
      </c>
      <c r="I799" s="13" t="n">
        <f aca="false">IFERROR(MIN(F799*Eingaben!$B$19,MAX(0,D799-H799)),0)</f>
        <v>2.111508</v>
      </c>
      <c r="J799" s="13" t="n">
        <f aca="false">IFERROR(MIN(Eingaben!$B$18,MAX(0,F799-I799)),0)</f>
        <v>0.904932</v>
      </c>
      <c r="K799" s="13" t="n">
        <f aca="false">H799+I799</f>
        <v>2.99834136</v>
      </c>
      <c r="L799" s="13" t="n">
        <f aca="false">MAX(0,D799-K799)</f>
        <v>2.43565864</v>
      </c>
      <c r="M799" s="13" t="n">
        <f aca="false">MAX(0,F799-I799-J799)</f>
        <v>0</v>
      </c>
      <c r="N799" s="13" t="n">
        <f aca="false">IF(Kalender!A67="",0,J798-H799)</f>
        <v>0.0180986400000001</v>
      </c>
    </row>
    <row r="800" customFormat="false" ht="16.4" hidden="false" customHeight="false" outlineLevel="0" collapsed="false">
      <c r="A800" s="13" t="str">
        <f aca="false">""</f>
        <v/>
      </c>
      <c r="B800" s="13" t="n">
        <f aca="false">64</f>
        <v>64</v>
      </c>
      <c r="C800" s="13" t="n">
        <f aca="false">IF(Szenarien!$H$10="OK",(IFERROR(SUMIF(Nutzungsprofile!$B$6:$B$11,"Schulbetrieb",Nutzungsprofile!$G$6:$G$11)*Kalender!C68/SUM(Kalender!$C$5:$C$370),0)+IFERROR(SUMIF(Nutzungsprofile!$B$6:$B$11,"Halle",Nutzungsprofile!$G$6:$G$11)*Kalender!D68/SUM(Kalender!$D$5:$D$370),0)+IFERROR(SUMIF(Nutzungsprofile!$B$6:$B$11,"Individuell",Nutzungsprofile!$G$6:$G$11)*Kalender!E68/SUM(Kalender!$E$5:$E$370),0))*Szenarien!$E$10,0)</f>
        <v>3.528</v>
      </c>
      <c r="D800" s="13" t="n">
        <f aca="false">IF(Szenarien!$H$10="OK",(IFERROR(SUMIF(Nutzungsprofile!$B$17:$B$22,"Schulbetrieb",Nutzungsprofile!$G$17:$G$22)*Kalender!C68/SUM(Kalender!$C$5:$C$370),0)+IFERROR(SUMIF(Nutzungsprofile!$B$17:$B$22,"Halle",Nutzungsprofile!$G$17:$G$22)*Kalender!D68/SUM(Kalender!$D$5:$D$370),0)+IFERROR(SUMIF(Nutzungsprofile!$B$17:$B$22,"Individuell",Nutzungsprofile!$G$17:$G$22)*Kalender!E68/SUM(Kalender!$E$5:$E$370),0))*Szenarien!$D$10,0)</f>
        <v>5.434</v>
      </c>
      <c r="E800" s="13" t="n">
        <f aca="false">IFERROR(MIN(C800,Eingaben!$B$17)*Eingaben!$B$16,0)</f>
        <v>3.3516</v>
      </c>
      <c r="F800" s="13" t="n">
        <f aca="false">IFERROR(E800*Eingaben!$B$15,0)</f>
        <v>3.01644</v>
      </c>
      <c r="G800" s="13" t="n">
        <f aca="false">IFERROR(IF(Kalender!A68="",0,J799*(1-Eingaben!$B$20)),0)</f>
        <v>0.88683336</v>
      </c>
      <c r="H800" s="13" t="n">
        <f aca="false">MIN(G800,D800)</f>
        <v>0.88683336</v>
      </c>
      <c r="I800" s="13" t="n">
        <f aca="false">IFERROR(MIN(F800*Eingaben!$B$19,MAX(0,D800-H800)),0)</f>
        <v>2.111508</v>
      </c>
      <c r="J800" s="13" t="n">
        <f aca="false">IFERROR(MIN(Eingaben!$B$18,MAX(0,F800-I800)),0)</f>
        <v>0.904932</v>
      </c>
      <c r="K800" s="13" t="n">
        <f aca="false">H800+I800</f>
        <v>2.99834136</v>
      </c>
      <c r="L800" s="13" t="n">
        <f aca="false">MAX(0,D800-K800)</f>
        <v>2.43565864</v>
      </c>
      <c r="M800" s="13" t="n">
        <f aca="false">MAX(0,F800-I800-J800)</f>
        <v>0</v>
      </c>
      <c r="N800" s="13" t="n">
        <f aca="false">IF(Kalender!A68="",0,J799-H800)</f>
        <v>0.0180986400000001</v>
      </c>
    </row>
    <row r="801" customFormat="false" ht="16.4" hidden="false" customHeight="false" outlineLevel="0" collapsed="false">
      <c r="A801" s="13" t="str">
        <f aca="false">""</f>
        <v/>
      </c>
      <c r="B801" s="13" t="n">
        <f aca="false">65</f>
        <v>65</v>
      </c>
      <c r="C801" s="13" t="n">
        <f aca="false">IF(Szenarien!$H$10="OK",(IFERROR(SUMIF(Nutzungsprofile!$B$6:$B$11,"Schulbetrieb",Nutzungsprofile!$G$6:$G$11)*Kalender!C69/SUM(Kalender!$C$5:$C$370),0)+IFERROR(SUMIF(Nutzungsprofile!$B$6:$B$11,"Halle",Nutzungsprofile!$G$6:$G$11)*Kalender!D69/SUM(Kalender!$D$5:$D$370),0)+IFERROR(SUMIF(Nutzungsprofile!$B$6:$B$11,"Individuell",Nutzungsprofile!$G$6:$G$11)*Kalender!E69/SUM(Kalender!$E$5:$E$370),0))*Szenarien!$E$10,0)</f>
        <v>3.528</v>
      </c>
      <c r="D801" s="13" t="n">
        <f aca="false">IF(Szenarien!$H$10="OK",(IFERROR(SUMIF(Nutzungsprofile!$B$17:$B$22,"Schulbetrieb",Nutzungsprofile!$G$17:$G$22)*Kalender!C69/SUM(Kalender!$C$5:$C$370),0)+IFERROR(SUMIF(Nutzungsprofile!$B$17:$B$22,"Halle",Nutzungsprofile!$G$17:$G$22)*Kalender!D69/SUM(Kalender!$D$5:$D$370),0)+IFERROR(SUMIF(Nutzungsprofile!$B$17:$B$22,"Individuell",Nutzungsprofile!$G$17:$G$22)*Kalender!E69/SUM(Kalender!$E$5:$E$370),0))*Szenarien!$D$10,0)</f>
        <v>5.434</v>
      </c>
      <c r="E801" s="13" t="n">
        <f aca="false">IFERROR(MIN(C801,Eingaben!$B$17)*Eingaben!$B$16,0)</f>
        <v>3.3516</v>
      </c>
      <c r="F801" s="13" t="n">
        <f aca="false">IFERROR(E801*Eingaben!$B$15,0)</f>
        <v>3.01644</v>
      </c>
      <c r="G801" s="13" t="n">
        <f aca="false">IFERROR(IF(Kalender!A69="",0,J800*(1-Eingaben!$B$20)),0)</f>
        <v>0.88683336</v>
      </c>
      <c r="H801" s="13" t="n">
        <f aca="false">MIN(G801,D801)</f>
        <v>0.88683336</v>
      </c>
      <c r="I801" s="13" t="n">
        <f aca="false">IFERROR(MIN(F801*Eingaben!$B$19,MAX(0,D801-H801)),0)</f>
        <v>2.111508</v>
      </c>
      <c r="J801" s="13" t="n">
        <f aca="false">IFERROR(MIN(Eingaben!$B$18,MAX(0,F801-I801)),0)</f>
        <v>0.904932</v>
      </c>
      <c r="K801" s="13" t="n">
        <f aca="false">H801+I801</f>
        <v>2.99834136</v>
      </c>
      <c r="L801" s="13" t="n">
        <f aca="false">MAX(0,D801-K801)</f>
        <v>2.43565864</v>
      </c>
      <c r="M801" s="13" t="n">
        <f aca="false">MAX(0,F801-I801-J801)</f>
        <v>0</v>
      </c>
      <c r="N801" s="13" t="n">
        <f aca="false">IF(Kalender!A69="",0,J800-H801)</f>
        <v>0.0180986400000001</v>
      </c>
    </row>
    <row r="802" customFormat="false" ht="16.4" hidden="false" customHeight="false" outlineLevel="0" collapsed="false">
      <c r="A802" s="13" t="str">
        <f aca="false">""</f>
        <v/>
      </c>
      <c r="B802" s="13" t="n">
        <f aca="false">66</f>
        <v>66</v>
      </c>
      <c r="C802" s="13" t="n">
        <f aca="false">IF(Szenarien!$H$10="OK",(IFERROR(SUMIF(Nutzungsprofile!$B$6:$B$11,"Schulbetrieb",Nutzungsprofile!$G$6:$G$11)*Kalender!C70/SUM(Kalender!$C$5:$C$370),0)+IFERROR(SUMIF(Nutzungsprofile!$B$6:$B$11,"Halle",Nutzungsprofile!$G$6:$G$11)*Kalender!D70/SUM(Kalender!$D$5:$D$370),0)+IFERROR(SUMIF(Nutzungsprofile!$B$6:$B$11,"Individuell",Nutzungsprofile!$G$6:$G$11)*Kalender!E70/SUM(Kalender!$E$5:$E$370),0))*Szenarien!$E$10,0)</f>
        <v>2.448</v>
      </c>
      <c r="D802" s="13" t="n">
        <f aca="false">IF(Szenarien!$H$10="OK",(IFERROR(SUMIF(Nutzungsprofile!$B$17:$B$22,"Schulbetrieb",Nutzungsprofile!$G$17:$G$22)*Kalender!C70/SUM(Kalender!$C$5:$C$370),0)+IFERROR(SUMIF(Nutzungsprofile!$B$17:$B$22,"Halle",Nutzungsprofile!$G$17:$G$22)*Kalender!D70/SUM(Kalender!$D$5:$D$370),0)+IFERROR(SUMIF(Nutzungsprofile!$B$17:$B$22,"Individuell",Nutzungsprofile!$G$17:$G$22)*Kalender!E70/SUM(Kalender!$E$5:$E$370),0))*Szenarien!$D$10,0)</f>
        <v>0.979</v>
      </c>
      <c r="E802" s="13" t="n">
        <f aca="false">IFERROR(MIN(C802,Eingaben!$B$17)*Eingaben!$B$16,0)</f>
        <v>2.3256</v>
      </c>
      <c r="F802" s="13" t="n">
        <f aca="false">IFERROR(E802*Eingaben!$B$15,0)</f>
        <v>2.09304</v>
      </c>
      <c r="G802" s="13" t="n">
        <f aca="false">IFERROR(IF(Kalender!A70="",0,J801*(1-Eingaben!$B$20)),0)</f>
        <v>0.88683336</v>
      </c>
      <c r="H802" s="13" t="n">
        <f aca="false">MIN(G802,D802)</f>
        <v>0.88683336</v>
      </c>
      <c r="I802" s="13" t="n">
        <f aca="false">IFERROR(MIN(F802*Eingaben!$B$19,MAX(0,D802-H802)),0)</f>
        <v>0.0921666400000001</v>
      </c>
      <c r="J802" s="13" t="n">
        <f aca="false">IFERROR(MIN(Eingaben!$B$18,MAX(0,F802-I802)),0)</f>
        <v>2</v>
      </c>
      <c r="K802" s="13" t="n">
        <f aca="false">H802+I802</f>
        <v>0.979</v>
      </c>
      <c r="L802" s="13" t="n">
        <f aca="false">MAX(0,D802-K802)</f>
        <v>0</v>
      </c>
      <c r="M802" s="13" t="n">
        <f aca="false">MAX(0,F802-I802-J802)</f>
        <v>0.000873359999999934</v>
      </c>
      <c r="N802" s="13" t="n">
        <f aca="false">IF(Kalender!A70="",0,J801-H802)</f>
        <v>0.0180986400000001</v>
      </c>
    </row>
    <row r="803" customFormat="false" ht="16.4" hidden="false" customHeight="false" outlineLevel="0" collapsed="false">
      <c r="A803" s="13" t="str">
        <f aca="false">""</f>
        <v/>
      </c>
      <c r="B803" s="13" t="n">
        <f aca="false">67</f>
        <v>67</v>
      </c>
      <c r="C803" s="13" t="n">
        <f aca="false">IF(Szenarien!$H$10="OK",(IFERROR(SUMIF(Nutzungsprofile!$B$6:$B$11,"Schulbetrieb",Nutzungsprofile!$G$6:$G$11)*Kalender!C71/SUM(Kalender!$C$5:$C$370),0)+IFERROR(SUMIF(Nutzungsprofile!$B$6:$B$11,"Halle",Nutzungsprofile!$G$6:$G$11)*Kalender!D71/SUM(Kalender!$D$5:$D$370),0)+IFERROR(SUMIF(Nutzungsprofile!$B$6:$B$11,"Individuell",Nutzungsprofile!$G$6:$G$11)*Kalender!E71/SUM(Kalender!$E$5:$E$370),0))*Szenarien!$E$10,0)</f>
        <v>2.448</v>
      </c>
      <c r="D803" s="13" t="n">
        <f aca="false">IF(Szenarien!$H$10="OK",(IFERROR(SUMIF(Nutzungsprofile!$B$17:$B$22,"Schulbetrieb",Nutzungsprofile!$G$17:$G$22)*Kalender!C71/SUM(Kalender!$C$5:$C$370),0)+IFERROR(SUMIF(Nutzungsprofile!$B$17:$B$22,"Halle",Nutzungsprofile!$G$17:$G$22)*Kalender!D71/SUM(Kalender!$D$5:$D$370),0)+IFERROR(SUMIF(Nutzungsprofile!$B$17:$B$22,"Individuell",Nutzungsprofile!$G$17:$G$22)*Kalender!E71/SUM(Kalender!$E$5:$E$370),0))*Szenarien!$D$10,0)</f>
        <v>0.979</v>
      </c>
      <c r="E803" s="13" t="n">
        <f aca="false">IFERROR(MIN(C803,Eingaben!$B$17)*Eingaben!$B$16,0)</f>
        <v>2.3256</v>
      </c>
      <c r="F803" s="13" t="n">
        <f aca="false">IFERROR(E803*Eingaben!$B$15,0)</f>
        <v>2.09304</v>
      </c>
      <c r="G803" s="13" t="n">
        <f aca="false">IFERROR(IF(Kalender!A71="",0,J802*(1-Eingaben!$B$20)),0)</f>
        <v>1.96</v>
      </c>
      <c r="H803" s="13" t="n">
        <f aca="false">MIN(G803,D803)</f>
        <v>0.979</v>
      </c>
      <c r="I803" s="13" t="n">
        <f aca="false">IFERROR(MIN(F803*Eingaben!$B$19,MAX(0,D803-H803)),0)</f>
        <v>0</v>
      </c>
      <c r="J803" s="13" t="n">
        <f aca="false">IFERROR(MIN(Eingaben!$B$18,MAX(0,F803-I803)),0)</f>
        <v>2</v>
      </c>
      <c r="K803" s="13" t="n">
        <f aca="false">H803+I803</f>
        <v>0.979</v>
      </c>
      <c r="L803" s="13" t="n">
        <f aca="false">MAX(0,D803-K803)</f>
        <v>0</v>
      </c>
      <c r="M803" s="13" t="n">
        <f aca="false">MAX(0,F803-I803-J803)</f>
        <v>0.0930399999999998</v>
      </c>
      <c r="N803" s="13" t="n">
        <f aca="false">IF(Kalender!A71="",0,J802-H803)</f>
        <v>1.021</v>
      </c>
    </row>
    <row r="804" customFormat="false" ht="16.4" hidden="false" customHeight="false" outlineLevel="0" collapsed="false">
      <c r="A804" s="13" t="str">
        <f aca="false">""</f>
        <v/>
      </c>
      <c r="B804" s="13" t="n">
        <f aca="false">68</f>
        <v>68</v>
      </c>
      <c r="C804" s="13" t="n">
        <f aca="false">IF(Szenarien!$H$10="OK",(IFERROR(SUMIF(Nutzungsprofile!$B$6:$B$11,"Schulbetrieb",Nutzungsprofile!$G$6:$G$11)*Kalender!C72/SUM(Kalender!$C$5:$C$370),0)+IFERROR(SUMIF(Nutzungsprofile!$B$6:$B$11,"Halle",Nutzungsprofile!$G$6:$G$11)*Kalender!D72/SUM(Kalender!$D$5:$D$370),0)+IFERROR(SUMIF(Nutzungsprofile!$B$6:$B$11,"Individuell",Nutzungsprofile!$G$6:$G$11)*Kalender!E72/SUM(Kalender!$E$5:$E$370),0))*Szenarien!$E$10,0)</f>
        <v>3.528</v>
      </c>
      <c r="D804" s="13" t="n">
        <f aca="false">IF(Szenarien!$H$10="OK",(IFERROR(SUMIF(Nutzungsprofile!$B$17:$B$22,"Schulbetrieb",Nutzungsprofile!$G$17:$G$22)*Kalender!C72/SUM(Kalender!$C$5:$C$370),0)+IFERROR(SUMIF(Nutzungsprofile!$B$17:$B$22,"Halle",Nutzungsprofile!$G$17:$G$22)*Kalender!D72/SUM(Kalender!$D$5:$D$370),0)+IFERROR(SUMIF(Nutzungsprofile!$B$17:$B$22,"Individuell",Nutzungsprofile!$G$17:$G$22)*Kalender!E72/SUM(Kalender!$E$5:$E$370),0))*Szenarien!$D$10,0)</f>
        <v>5.434</v>
      </c>
      <c r="E804" s="13" t="n">
        <f aca="false">IFERROR(MIN(C804,Eingaben!$B$17)*Eingaben!$B$16,0)</f>
        <v>3.3516</v>
      </c>
      <c r="F804" s="13" t="n">
        <f aca="false">IFERROR(E804*Eingaben!$B$15,0)</f>
        <v>3.01644</v>
      </c>
      <c r="G804" s="13" t="n">
        <f aca="false">IFERROR(IF(Kalender!A72="",0,J803*(1-Eingaben!$B$20)),0)</f>
        <v>1.96</v>
      </c>
      <c r="H804" s="13" t="n">
        <f aca="false">MIN(G804,D804)</f>
        <v>1.96</v>
      </c>
      <c r="I804" s="13" t="n">
        <f aca="false">IFERROR(MIN(F804*Eingaben!$B$19,MAX(0,D804-H804)),0)</f>
        <v>2.111508</v>
      </c>
      <c r="J804" s="13" t="n">
        <f aca="false">IFERROR(MIN(Eingaben!$B$18,MAX(0,F804-I804)),0)</f>
        <v>0.904932</v>
      </c>
      <c r="K804" s="13" t="n">
        <f aca="false">H804+I804</f>
        <v>4.071508</v>
      </c>
      <c r="L804" s="13" t="n">
        <f aca="false">MAX(0,D804-K804)</f>
        <v>1.362492</v>
      </c>
      <c r="M804" s="13" t="n">
        <f aca="false">MAX(0,F804-I804-J804)</f>
        <v>0</v>
      </c>
      <c r="N804" s="13" t="n">
        <f aca="false">IF(Kalender!A72="",0,J803-H804)</f>
        <v>0.04</v>
      </c>
    </row>
    <row r="805" customFormat="false" ht="16.4" hidden="false" customHeight="false" outlineLevel="0" collapsed="false">
      <c r="A805" s="13" t="str">
        <f aca="false">""</f>
        <v/>
      </c>
      <c r="B805" s="13" t="n">
        <f aca="false">69</f>
        <v>69</v>
      </c>
      <c r="C805" s="13" t="n">
        <f aca="false">IF(Szenarien!$H$10="OK",(IFERROR(SUMIF(Nutzungsprofile!$B$6:$B$11,"Schulbetrieb",Nutzungsprofile!$G$6:$G$11)*Kalender!C73/SUM(Kalender!$C$5:$C$370),0)+IFERROR(SUMIF(Nutzungsprofile!$B$6:$B$11,"Halle",Nutzungsprofile!$G$6:$G$11)*Kalender!D73/SUM(Kalender!$D$5:$D$370),0)+IFERROR(SUMIF(Nutzungsprofile!$B$6:$B$11,"Individuell",Nutzungsprofile!$G$6:$G$11)*Kalender!E73/SUM(Kalender!$E$5:$E$370),0))*Szenarien!$E$10,0)</f>
        <v>3.528</v>
      </c>
      <c r="D805" s="13" t="n">
        <f aca="false">IF(Szenarien!$H$10="OK",(IFERROR(SUMIF(Nutzungsprofile!$B$17:$B$22,"Schulbetrieb",Nutzungsprofile!$G$17:$G$22)*Kalender!C73/SUM(Kalender!$C$5:$C$370),0)+IFERROR(SUMIF(Nutzungsprofile!$B$17:$B$22,"Halle",Nutzungsprofile!$G$17:$G$22)*Kalender!D73/SUM(Kalender!$D$5:$D$370),0)+IFERROR(SUMIF(Nutzungsprofile!$B$17:$B$22,"Individuell",Nutzungsprofile!$G$17:$G$22)*Kalender!E73/SUM(Kalender!$E$5:$E$370),0))*Szenarien!$D$10,0)</f>
        <v>5.434</v>
      </c>
      <c r="E805" s="13" t="n">
        <f aca="false">IFERROR(MIN(C805,Eingaben!$B$17)*Eingaben!$B$16,0)</f>
        <v>3.3516</v>
      </c>
      <c r="F805" s="13" t="n">
        <f aca="false">IFERROR(E805*Eingaben!$B$15,0)</f>
        <v>3.01644</v>
      </c>
      <c r="G805" s="13" t="n">
        <f aca="false">IFERROR(IF(Kalender!A73="",0,J804*(1-Eingaben!$B$20)),0)</f>
        <v>0.88683336</v>
      </c>
      <c r="H805" s="13" t="n">
        <f aca="false">MIN(G805,D805)</f>
        <v>0.88683336</v>
      </c>
      <c r="I805" s="13" t="n">
        <f aca="false">IFERROR(MIN(F805*Eingaben!$B$19,MAX(0,D805-H805)),0)</f>
        <v>2.111508</v>
      </c>
      <c r="J805" s="13" t="n">
        <f aca="false">IFERROR(MIN(Eingaben!$B$18,MAX(0,F805-I805)),0)</f>
        <v>0.904932</v>
      </c>
      <c r="K805" s="13" t="n">
        <f aca="false">H805+I805</f>
        <v>2.99834136</v>
      </c>
      <c r="L805" s="13" t="n">
        <f aca="false">MAX(0,D805-K805)</f>
        <v>2.43565864</v>
      </c>
      <c r="M805" s="13" t="n">
        <f aca="false">MAX(0,F805-I805-J805)</f>
        <v>0</v>
      </c>
      <c r="N805" s="13" t="n">
        <f aca="false">IF(Kalender!A73="",0,J804-H805)</f>
        <v>0.0180986400000001</v>
      </c>
    </row>
    <row r="806" customFormat="false" ht="16.4" hidden="false" customHeight="false" outlineLevel="0" collapsed="false">
      <c r="A806" s="13" t="str">
        <f aca="false">""</f>
        <v/>
      </c>
      <c r="B806" s="13" t="n">
        <f aca="false">70</f>
        <v>70</v>
      </c>
      <c r="C806" s="13" t="n">
        <f aca="false">IF(Szenarien!$H$10="OK",(IFERROR(SUMIF(Nutzungsprofile!$B$6:$B$11,"Schulbetrieb",Nutzungsprofile!$G$6:$G$11)*Kalender!C74/SUM(Kalender!$C$5:$C$370),0)+IFERROR(SUMIF(Nutzungsprofile!$B$6:$B$11,"Halle",Nutzungsprofile!$G$6:$G$11)*Kalender!D74/SUM(Kalender!$D$5:$D$370),0)+IFERROR(SUMIF(Nutzungsprofile!$B$6:$B$11,"Individuell",Nutzungsprofile!$G$6:$G$11)*Kalender!E74/SUM(Kalender!$E$5:$E$370),0))*Szenarien!$E$10,0)</f>
        <v>3.528</v>
      </c>
      <c r="D806" s="13" t="n">
        <f aca="false">IF(Szenarien!$H$10="OK",(IFERROR(SUMIF(Nutzungsprofile!$B$17:$B$22,"Schulbetrieb",Nutzungsprofile!$G$17:$G$22)*Kalender!C74/SUM(Kalender!$C$5:$C$370),0)+IFERROR(SUMIF(Nutzungsprofile!$B$17:$B$22,"Halle",Nutzungsprofile!$G$17:$G$22)*Kalender!D74/SUM(Kalender!$D$5:$D$370),0)+IFERROR(SUMIF(Nutzungsprofile!$B$17:$B$22,"Individuell",Nutzungsprofile!$G$17:$G$22)*Kalender!E74/SUM(Kalender!$E$5:$E$370),0))*Szenarien!$D$10,0)</f>
        <v>5.434</v>
      </c>
      <c r="E806" s="13" t="n">
        <f aca="false">IFERROR(MIN(C806,Eingaben!$B$17)*Eingaben!$B$16,0)</f>
        <v>3.3516</v>
      </c>
      <c r="F806" s="13" t="n">
        <f aca="false">IFERROR(E806*Eingaben!$B$15,0)</f>
        <v>3.01644</v>
      </c>
      <c r="G806" s="13" t="n">
        <f aca="false">IFERROR(IF(Kalender!A74="",0,J805*(1-Eingaben!$B$20)),0)</f>
        <v>0.88683336</v>
      </c>
      <c r="H806" s="13" t="n">
        <f aca="false">MIN(G806,D806)</f>
        <v>0.88683336</v>
      </c>
      <c r="I806" s="13" t="n">
        <f aca="false">IFERROR(MIN(F806*Eingaben!$B$19,MAX(0,D806-H806)),0)</f>
        <v>2.111508</v>
      </c>
      <c r="J806" s="13" t="n">
        <f aca="false">IFERROR(MIN(Eingaben!$B$18,MAX(0,F806-I806)),0)</f>
        <v>0.904932</v>
      </c>
      <c r="K806" s="13" t="n">
        <f aca="false">H806+I806</f>
        <v>2.99834136</v>
      </c>
      <c r="L806" s="13" t="n">
        <f aca="false">MAX(0,D806-K806)</f>
        <v>2.43565864</v>
      </c>
      <c r="M806" s="13" t="n">
        <f aca="false">MAX(0,F806-I806-J806)</f>
        <v>0</v>
      </c>
      <c r="N806" s="13" t="n">
        <f aca="false">IF(Kalender!A74="",0,J805-H806)</f>
        <v>0.0180986400000001</v>
      </c>
    </row>
    <row r="807" customFormat="false" ht="16.4" hidden="false" customHeight="false" outlineLevel="0" collapsed="false">
      <c r="A807" s="13" t="str">
        <f aca="false">""</f>
        <v/>
      </c>
      <c r="B807" s="13" t="n">
        <f aca="false">71</f>
        <v>71</v>
      </c>
      <c r="C807" s="13" t="n">
        <f aca="false">IF(Szenarien!$H$10="OK",(IFERROR(SUMIF(Nutzungsprofile!$B$6:$B$11,"Schulbetrieb",Nutzungsprofile!$G$6:$G$11)*Kalender!C75/SUM(Kalender!$C$5:$C$370),0)+IFERROR(SUMIF(Nutzungsprofile!$B$6:$B$11,"Halle",Nutzungsprofile!$G$6:$G$11)*Kalender!D75/SUM(Kalender!$D$5:$D$370),0)+IFERROR(SUMIF(Nutzungsprofile!$B$6:$B$11,"Individuell",Nutzungsprofile!$G$6:$G$11)*Kalender!E75/SUM(Kalender!$E$5:$E$370),0))*Szenarien!$E$10,0)</f>
        <v>3.528</v>
      </c>
      <c r="D807" s="13" t="n">
        <f aca="false">IF(Szenarien!$H$10="OK",(IFERROR(SUMIF(Nutzungsprofile!$B$17:$B$22,"Schulbetrieb",Nutzungsprofile!$G$17:$G$22)*Kalender!C75/SUM(Kalender!$C$5:$C$370),0)+IFERROR(SUMIF(Nutzungsprofile!$B$17:$B$22,"Halle",Nutzungsprofile!$G$17:$G$22)*Kalender!D75/SUM(Kalender!$D$5:$D$370),0)+IFERROR(SUMIF(Nutzungsprofile!$B$17:$B$22,"Individuell",Nutzungsprofile!$G$17:$G$22)*Kalender!E75/SUM(Kalender!$E$5:$E$370),0))*Szenarien!$D$10,0)</f>
        <v>5.434</v>
      </c>
      <c r="E807" s="13" t="n">
        <f aca="false">IFERROR(MIN(C807,Eingaben!$B$17)*Eingaben!$B$16,0)</f>
        <v>3.3516</v>
      </c>
      <c r="F807" s="13" t="n">
        <f aca="false">IFERROR(E807*Eingaben!$B$15,0)</f>
        <v>3.01644</v>
      </c>
      <c r="G807" s="13" t="n">
        <f aca="false">IFERROR(IF(Kalender!A75="",0,J806*(1-Eingaben!$B$20)),0)</f>
        <v>0.88683336</v>
      </c>
      <c r="H807" s="13" t="n">
        <f aca="false">MIN(G807,D807)</f>
        <v>0.88683336</v>
      </c>
      <c r="I807" s="13" t="n">
        <f aca="false">IFERROR(MIN(F807*Eingaben!$B$19,MAX(0,D807-H807)),0)</f>
        <v>2.111508</v>
      </c>
      <c r="J807" s="13" t="n">
        <f aca="false">IFERROR(MIN(Eingaben!$B$18,MAX(0,F807-I807)),0)</f>
        <v>0.904932</v>
      </c>
      <c r="K807" s="13" t="n">
        <f aca="false">H807+I807</f>
        <v>2.99834136</v>
      </c>
      <c r="L807" s="13" t="n">
        <f aca="false">MAX(0,D807-K807)</f>
        <v>2.43565864</v>
      </c>
      <c r="M807" s="13" t="n">
        <f aca="false">MAX(0,F807-I807-J807)</f>
        <v>0</v>
      </c>
      <c r="N807" s="13" t="n">
        <f aca="false">IF(Kalender!A75="",0,J806-H807)</f>
        <v>0.0180986400000001</v>
      </c>
    </row>
    <row r="808" customFormat="false" ht="16.4" hidden="false" customHeight="false" outlineLevel="0" collapsed="false">
      <c r="A808" s="13" t="str">
        <f aca="false">""</f>
        <v/>
      </c>
      <c r="B808" s="13" t="n">
        <f aca="false">72</f>
        <v>72</v>
      </c>
      <c r="C808" s="13" t="n">
        <f aca="false">IF(Szenarien!$H$10="OK",(IFERROR(SUMIF(Nutzungsprofile!$B$6:$B$11,"Schulbetrieb",Nutzungsprofile!$G$6:$G$11)*Kalender!C76/SUM(Kalender!$C$5:$C$370),0)+IFERROR(SUMIF(Nutzungsprofile!$B$6:$B$11,"Halle",Nutzungsprofile!$G$6:$G$11)*Kalender!D76/SUM(Kalender!$D$5:$D$370),0)+IFERROR(SUMIF(Nutzungsprofile!$B$6:$B$11,"Individuell",Nutzungsprofile!$G$6:$G$11)*Kalender!E76/SUM(Kalender!$E$5:$E$370),0))*Szenarien!$E$10,0)</f>
        <v>3.528</v>
      </c>
      <c r="D808" s="13" t="n">
        <f aca="false">IF(Szenarien!$H$10="OK",(IFERROR(SUMIF(Nutzungsprofile!$B$17:$B$22,"Schulbetrieb",Nutzungsprofile!$G$17:$G$22)*Kalender!C76/SUM(Kalender!$C$5:$C$370),0)+IFERROR(SUMIF(Nutzungsprofile!$B$17:$B$22,"Halle",Nutzungsprofile!$G$17:$G$22)*Kalender!D76/SUM(Kalender!$D$5:$D$370),0)+IFERROR(SUMIF(Nutzungsprofile!$B$17:$B$22,"Individuell",Nutzungsprofile!$G$17:$G$22)*Kalender!E76/SUM(Kalender!$E$5:$E$370),0))*Szenarien!$D$10,0)</f>
        <v>5.434</v>
      </c>
      <c r="E808" s="13" t="n">
        <f aca="false">IFERROR(MIN(C808,Eingaben!$B$17)*Eingaben!$B$16,0)</f>
        <v>3.3516</v>
      </c>
      <c r="F808" s="13" t="n">
        <f aca="false">IFERROR(E808*Eingaben!$B$15,0)</f>
        <v>3.01644</v>
      </c>
      <c r="G808" s="13" t="n">
        <f aca="false">IFERROR(IF(Kalender!A76="",0,J807*(1-Eingaben!$B$20)),0)</f>
        <v>0.88683336</v>
      </c>
      <c r="H808" s="13" t="n">
        <f aca="false">MIN(G808,D808)</f>
        <v>0.88683336</v>
      </c>
      <c r="I808" s="13" t="n">
        <f aca="false">IFERROR(MIN(F808*Eingaben!$B$19,MAX(0,D808-H808)),0)</f>
        <v>2.111508</v>
      </c>
      <c r="J808" s="13" t="n">
        <f aca="false">IFERROR(MIN(Eingaben!$B$18,MAX(0,F808-I808)),0)</f>
        <v>0.904932</v>
      </c>
      <c r="K808" s="13" t="n">
        <f aca="false">H808+I808</f>
        <v>2.99834136</v>
      </c>
      <c r="L808" s="13" t="n">
        <f aca="false">MAX(0,D808-K808)</f>
        <v>2.43565864</v>
      </c>
      <c r="M808" s="13" t="n">
        <f aca="false">MAX(0,F808-I808-J808)</f>
        <v>0</v>
      </c>
      <c r="N808" s="13" t="n">
        <f aca="false">IF(Kalender!A76="",0,J807-H808)</f>
        <v>0.0180986400000001</v>
      </c>
    </row>
    <row r="809" customFormat="false" ht="16.4" hidden="false" customHeight="false" outlineLevel="0" collapsed="false">
      <c r="A809" s="13" t="str">
        <f aca="false">""</f>
        <v/>
      </c>
      <c r="B809" s="13" t="n">
        <f aca="false">73</f>
        <v>73</v>
      </c>
      <c r="C809" s="13" t="n">
        <f aca="false">IF(Szenarien!$H$10="OK",(IFERROR(SUMIF(Nutzungsprofile!$B$6:$B$11,"Schulbetrieb",Nutzungsprofile!$G$6:$G$11)*Kalender!C77/SUM(Kalender!$C$5:$C$370),0)+IFERROR(SUMIF(Nutzungsprofile!$B$6:$B$11,"Halle",Nutzungsprofile!$G$6:$G$11)*Kalender!D77/SUM(Kalender!$D$5:$D$370),0)+IFERROR(SUMIF(Nutzungsprofile!$B$6:$B$11,"Individuell",Nutzungsprofile!$G$6:$G$11)*Kalender!E77/SUM(Kalender!$E$5:$E$370),0))*Szenarien!$E$10,0)</f>
        <v>2.448</v>
      </c>
      <c r="D809" s="13" t="n">
        <f aca="false">IF(Szenarien!$H$10="OK",(IFERROR(SUMIF(Nutzungsprofile!$B$17:$B$22,"Schulbetrieb",Nutzungsprofile!$G$17:$G$22)*Kalender!C77/SUM(Kalender!$C$5:$C$370),0)+IFERROR(SUMIF(Nutzungsprofile!$B$17:$B$22,"Halle",Nutzungsprofile!$G$17:$G$22)*Kalender!D77/SUM(Kalender!$D$5:$D$370),0)+IFERROR(SUMIF(Nutzungsprofile!$B$17:$B$22,"Individuell",Nutzungsprofile!$G$17:$G$22)*Kalender!E77/SUM(Kalender!$E$5:$E$370),0))*Szenarien!$D$10,0)</f>
        <v>0.979</v>
      </c>
      <c r="E809" s="13" t="n">
        <f aca="false">IFERROR(MIN(C809,Eingaben!$B$17)*Eingaben!$B$16,0)</f>
        <v>2.3256</v>
      </c>
      <c r="F809" s="13" t="n">
        <f aca="false">IFERROR(E809*Eingaben!$B$15,0)</f>
        <v>2.09304</v>
      </c>
      <c r="G809" s="13" t="n">
        <f aca="false">IFERROR(IF(Kalender!A77="",0,J808*(1-Eingaben!$B$20)),0)</f>
        <v>0.88683336</v>
      </c>
      <c r="H809" s="13" t="n">
        <f aca="false">MIN(G809,D809)</f>
        <v>0.88683336</v>
      </c>
      <c r="I809" s="13" t="n">
        <f aca="false">IFERROR(MIN(F809*Eingaben!$B$19,MAX(0,D809-H809)),0)</f>
        <v>0.0921666400000001</v>
      </c>
      <c r="J809" s="13" t="n">
        <f aca="false">IFERROR(MIN(Eingaben!$B$18,MAX(0,F809-I809)),0)</f>
        <v>2</v>
      </c>
      <c r="K809" s="13" t="n">
        <f aca="false">H809+I809</f>
        <v>0.979</v>
      </c>
      <c r="L809" s="13" t="n">
        <f aca="false">MAX(0,D809-K809)</f>
        <v>0</v>
      </c>
      <c r="M809" s="13" t="n">
        <f aca="false">MAX(0,F809-I809-J809)</f>
        <v>0.000873359999999934</v>
      </c>
      <c r="N809" s="13" t="n">
        <f aca="false">IF(Kalender!A77="",0,J808-H809)</f>
        <v>0.0180986400000001</v>
      </c>
    </row>
    <row r="810" customFormat="false" ht="16.4" hidden="false" customHeight="false" outlineLevel="0" collapsed="false">
      <c r="A810" s="13" t="str">
        <f aca="false">""</f>
        <v/>
      </c>
      <c r="B810" s="13" t="n">
        <f aca="false">74</f>
        <v>74</v>
      </c>
      <c r="C810" s="13" t="n">
        <f aca="false">IF(Szenarien!$H$10="OK",(IFERROR(SUMIF(Nutzungsprofile!$B$6:$B$11,"Schulbetrieb",Nutzungsprofile!$G$6:$G$11)*Kalender!C78/SUM(Kalender!$C$5:$C$370),0)+IFERROR(SUMIF(Nutzungsprofile!$B$6:$B$11,"Halle",Nutzungsprofile!$G$6:$G$11)*Kalender!D78/SUM(Kalender!$D$5:$D$370),0)+IFERROR(SUMIF(Nutzungsprofile!$B$6:$B$11,"Individuell",Nutzungsprofile!$G$6:$G$11)*Kalender!E78/SUM(Kalender!$E$5:$E$370),0))*Szenarien!$E$10,0)</f>
        <v>2.448</v>
      </c>
      <c r="D810" s="13" t="n">
        <f aca="false">IF(Szenarien!$H$10="OK",(IFERROR(SUMIF(Nutzungsprofile!$B$17:$B$22,"Schulbetrieb",Nutzungsprofile!$G$17:$G$22)*Kalender!C78/SUM(Kalender!$C$5:$C$370),0)+IFERROR(SUMIF(Nutzungsprofile!$B$17:$B$22,"Halle",Nutzungsprofile!$G$17:$G$22)*Kalender!D78/SUM(Kalender!$D$5:$D$370),0)+IFERROR(SUMIF(Nutzungsprofile!$B$17:$B$22,"Individuell",Nutzungsprofile!$G$17:$G$22)*Kalender!E78/SUM(Kalender!$E$5:$E$370),0))*Szenarien!$D$10,0)</f>
        <v>0.979</v>
      </c>
      <c r="E810" s="13" t="n">
        <f aca="false">IFERROR(MIN(C810,Eingaben!$B$17)*Eingaben!$B$16,0)</f>
        <v>2.3256</v>
      </c>
      <c r="F810" s="13" t="n">
        <f aca="false">IFERROR(E810*Eingaben!$B$15,0)</f>
        <v>2.09304</v>
      </c>
      <c r="G810" s="13" t="n">
        <f aca="false">IFERROR(IF(Kalender!A78="",0,J809*(1-Eingaben!$B$20)),0)</f>
        <v>1.96</v>
      </c>
      <c r="H810" s="13" t="n">
        <f aca="false">MIN(G810,D810)</f>
        <v>0.979</v>
      </c>
      <c r="I810" s="13" t="n">
        <f aca="false">IFERROR(MIN(F810*Eingaben!$B$19,MAX(0,D810-H810)),0)</f>
        <v>0</v>
      </c>
      <c r="J810" s="13" t="n">
        <f aca="false">IFERROR(MIN(Eingaben!$B$18,MAX(0,F810-I810)),0)</f>
        <v>2</v>
      </c>
      <c r="K810" s="13" t="n">
        <f aca="false">H810+I810</f>
        <v>0.979</v>
      </c>
      <c r="L810" s="13" t="n">
        <f aca="false">MAX(0,D810-K810)</f>
        <v>0</v>
      </c>
      <c r="M810" s="13" t="n">
        <f aca="false">MAX(0,F810-I810-J810)</f>
        <v>0.0930399999999998</v>
      </c>
      <c r="N810" s="13" t="n">
        <f aca="false">IF(Kalender!A78="",0,J809-H810)</f>
        <v>1.021</v>
      </c>
    </row>
    <row r="811" customFormat="false" ht="16.4" hidden="false" customHeight="false" outlineLevel="0" collapsed="false">
      <c r="A811" s="13" t="str">
        <f aca="false">""</f>
        <v/>
      </c>
      <c r="B811" s="13" t="n">
        <f aca="false">75</f>
        <v>75</v>
      </c>
      <c r="C811" s="13" t="n">
        <f aca="false">IF(Szenarien!$H$10="OK",(IFERROR(SUMIF(Nutzungsprofile!$B$6:$B$11,"Schulbetrieb",Nutzungsprofile!$G$6:$G$11)*Kalender!C79/SUM(Kalender!$C$5:$C$370),0)+IFERROR(SUMIF(Nutzungsprofile!$B$6:$B$11,"Halle",Nutzungsprofile!$G$6:$G$11)*Kalender!D79/SUM(Kalender!$D$5:$D$370),0)+IFERROR(SUMIF(Nutzungsprofile!$B$6:$B$11,"Individuell",Nutzungsprofile!$G$6:$G$11)*Kalender!E79/SUM(Kalender!$E$5:$E$370),0))*Szenarien!$E$10,0)</f>
        <v>3.528</v>
      </c>
      <c r="D811" s="13" t="n">
        <f aca="false">IF(Szenarien!$H$10="OK",(IFERROR(SUMIF(Nutzungsprofile!$B$17:$B$22,"Schulbetrieb",Nutzungsprofile!$G$17:$G$22)*Kalender!C79/SUM(Kalender!$C$5:$C$370),0)+IFERROR(SUMIF(Nutzungsprofile!$B$17:$B$22,"Halle",Nutzungsprofile!$G$17:$G$22)*Kalender!D79/SUM(Kalender!$D$5:$D$370),0)+IFERROR(SUMIF(Nutzungsprofile!$B$17:$B$22,"Individuell",Nutzungsprofile!$G$17:$G$22)*Kalender!E79/SUM(Kalender!$E$5:$E$370),0))*Szenarien!$D$10,0)</f>
        <v>5.434</v>
      </c>
      <c r="E811" s="13" t="n">
        <f aca="false">IFERROR(MIN(C811,Eingaben!$B$17)*Eingaben!$B$16,0)</f>
        <v>3.3516</v>
      </c>
      <c r="F811" s="13" t="n">
        <f aca="false">IFERROR(E811*Eingaben!$B$15,0)</f>
        <v>3.01644</v>
      </c>
      <c r="G811" s="13" t="n">
        <f aca="false">IFERROR(IF(Kalender!A79="",0,J810*(1-Eingaben!$B$20)),0)</f>
        <v>1.96</v>
      </c>
      <c r="H811" s="13" t="n">
        <f aca="false">MIN(G811,D811)</f>
        <v>1.96</v>
      </c>
      <c r="I811" s="13" t="n">
        <f aca="false">IFERROR(MIN(F811*Eingaben!$B$19,MAX(0,D811-H811)),0)</f>
        <v>2.111508</v>
      </c>
      <c r="J811" s="13" t="n">
        <f aca="false">IFERROR(MIN(Eingaben!$B$18,MAX(0,F811-I811)),0)</f>
        <v>0.904932</v>
      </c>
      <c r="K811" s="13" t="n">
        <f aca="false">H811+I811</f>
        <v>4.071508</v>
      </c>
      <c r="L811" s="13" t="n">
        <f aca="false">MAX(0,D811-K811)</f>
        <v>1.362492</v>
      </c>
      <c r="M811" s="13" t="n">
        <f aca="false">MAX(0,F811-I811-J811)</f>
        <v>0</v>
      </c>
      <c r="N811" s="13" t="n">
        <f aca="false">IF(Kalender!A79="",0,J810-H811)</f>
        <v>0.04</v>
      </c>
    </row>
    <row r="812" customFormat="false" ht="16.4" hidden="false" customHeight="false" outlineLevel="0" collapsed="false">
      <c r="A812" s="13" t="str">
        <f aca="false">""</f>
        <v/>
      </c>
      <c r="B812" s="13" t="n">
        <f aca="false">76</f>
        <v>76</v>
      </c>
      <c r="C812" s="13" t="n">
        <f aca="false">IF(Szenarien!$H$10="OK",(IFERROR(SUMIF(Nutzungsprofile!$B$6:$B$11,"Schulbetrieb",Nutzungsprofile!$G$6:$G$11)*Kalender!C80/SUM(Kalender!$C$5:$C$370),0)+IFERROR(SUMIF(Nutzungsprofile!$B$6:$B$11,"Halle",Nutzungsprofile!$G$6:$G$11)*Kalender!D80/SUM(Kalender!$D$5:$D$370),0)+IFERROR(SUMIF(Nutzungsprofile!$B$6:$B$11,"Individuell",Nutzungsprofile!$G$6:$G$11)*Kalender!E80/SUM(Kalender!$E$5:$E$370),0))*Szenarien!$E$10,0)</f>
        <v>3.528</v>
      </c>
      <c r="D812" s="13" t="n">
        <f aca="false">IF(Szenarien!$H$10="OK",(IFERROR(SUMIF(Nutzungsprofile!$B$17:$B$22,"Schulbetrieb",Nutzungsprofile!$G$17:$G$22)*Kalender!C80/SUM(Kalender!$C$5:$C$370),0)+IFERROR(SUMIF(Nutzungsprofile!$B$17:$B$22,"Halle",Nutzungsprofile!$G$17:$G$22)*Kalender!D80/SUM(Kalender!$D$5:$D$370),0)+IFERROR(SUMIF(Nutzungsprofile!$B$17:$B$22,"Individuell",Nutzungsprofile!$G$17:$G$22)*Kalender!E80/SUM(Kalender!$E$5:$E$370),0))*Szenarien!$D$10,0)</f>
        <v>5.434</v>
      </c>
      <c r="E812" s="13" t="n">
        <f aca="false">IFERROR(MIN(C812,Eingaben!$B$17)*Eingaben!$B$16,0)</f>
        <v>3.3516</v>
      </c>
      <c r="F812" s="13" t="n">
        <f aca="false">IFERROR(E812*Eingaben!$B$15,0)</f>
        <v>3.01644</v>
      </c>
      <c r="G812" s="13" t="n">
        <f aca="false">IFERROR(IF(Kalender!A80="",0,J811*(1-Eingaben!$B$20)),0)</f>
        <v>0.88683336</v>
      </c>
      <c r="H812" s="13" t="n">
        <f aca="false">MIN(G812,D812)</f>
        <v>0.88683336</v>
      </c>
      <c r="I812" s="13" t="n">
        <f aca="false">IFERROR(MIN(F812*Eingaben!$B$19,MAX(0,D812-H812)),0)</f>
        <v>2.111508</v>
      </c>
      <c r="J812" s="13" t="n">
        <f aca="false">IFERROR(MIN(Eingaben!$B$18,MAX(0,F812-I812)),0)</f>
        <v>0.904932</v>
      </c>
      <c r="K812" s="13" t="n">
        <f aca="false">H812+I812</f>
        <v>2.99834136</v>
      </c>
      <c r="L812" s="13" t="n">
        <f aca="false">MAX(0,D812-K812)</f>
        <v>2.43565864</v>
      </c>
      <c r="M812" s="13" t="n">
        <f aca="false">MAX(0,F812-I812-J812)</f>
        <v>0</v>
      </c>
      <c r="N812" s="13" t="n">
        <f aca="false">IF(Kalender!A80="",0,J811-H812)</f>
        <v>0.0180986400000001</v>
      </c>
    </row>
    <row r="813" customFormat="false" ht="16.4" hidden="false" customHeight="false" outlineLevel="0" collapsed="false">
      <c r="A813" s="13" t="str">
        <f aca="false">""</f>
        <v/>
      </c>
      <c r="B813" s="13" t="n">
        <f aca="false">77</f>
        <v>77</v>
      </c>
      <c r="C813" s="13" t="n">
        <f aca="false">IF(Szenarien!$H$10="OK",(IFERROR(SUMIF(Nutzungsprofile!$B$6:$B$11,"Schulbetrieb",Nutzungsprofile!$G$6:$G$11)*Kalender!C81/SUM(Kalender!$C$5:$C$370),0)+IFERROR(SUMIF(Nutzungsprofile!$B$6:$B$11,"Halle",Nutzungsprofile!$G$6:$G$11)*Kalender!D81/SUM(Kalender!$D$5:$D$370),0)+IFERROR(SUMIF(Nutzungsprofile!$B$6:$B$11,"Individuell",Nutzungsprofile!$G$6:$G$11)*Kalender!E81/SUM(Kalender!$E$5:$E$370),0))*Szenarien!$E$10,0)</f>
        <v>3.528</v>
      </c>
      <c r="D813" s="13" t="n">
        <f aca="false">IF(Szenarien!$H$10="OK",(IFERROR(SUMIF(Nutzungsprofile!$B$17:$B$22,"Schulbetrieb",Nutzungsprofile!$G$17:$G$22)*Kalender!C81/SUM(Kalender!$C$5:$C$370),0)+IFERROR(SUMIF(Nutzungsprofile!$B$17:$B$22,"Halle",Nutzungsprofile!$G$17:$G$22)*Kalender!D81/SUM(Kalender!$D$5:$D$370),0)+IFERROR(SUMIF(Nutzungsprofile!$B$17:$B$22,"Individuell",Nutzungsprofile!$G$17:$G$22)*Kalender!E81/SUM(Kalender!$E$5:$E$370),0))*Szenarien!$D$10,0)</f>
        <v>5.434</v>
      </c>
      <c r="E813" s="13" t="n">
        <f aca="false">IFERROR(MIN(C813,Eingaben!$B$17)*Eingaben!$B$16,0)</f>
        <v>3.3516</v>
      </c>
      <c r="F813" s="13" t="n">
        <f aca="false">IFERROR(E813*Eingaben!$B$15,0)</f>
        <v>3.01644</v>
      </c>
      <c r="G813" s="13" t="n">
        <f aca="false">IFERROR(IF(Kalender!A81="",0,J812*(1-Eingaben!$B$20)),0)</f>
        <v>0.88683336</v>
      </c>
      <c r="H813" s="13" t="n">
        <f aca="false">MIN(G813,D813)</f>
        <v>0.88683336</v>
      </c>
      <c r="I813" s="13" t="n">
        <f aca="false">IFERROR(MIN(F813*Eingaben!$B$19,MAX(0,D813-H813)),0)</f>
        <v>2.111508</v>
      </c>
      <c r="J813" s="13" t="n">
        <f aca="false">IFERROR(MIN(Eingaben!$B$18,MAX(0,F813-I813)),0)</f>
        <v>0.904932</v>
      </c>
      <c r="K813" s="13" t="n">
        <f aca="false">H813+I813</f>
        <v>2.99834136</v>
      </c>
      <c r="L813" s="13" t="n">
        <f aca="false">MAX(0,D813-K813)</f>
        <v>2.43565864</v>
      </c>
      <c r="M813" s="13" t="n">
        <f aca="false">MAX(0,F813-I813-J813)</f>
        <v>0</v>
      </c>
      <c r="N813" s="13" t="n">
        <f aca="false">IF(Kalender!A81="",0,J812-H813)</f>
        <v>0.0180986400000001</v>
      </c>
    </row>
    <row r="814" customFormat="false" ht="16.4" hidden="false" customHeight="false" outlineLevel="0" collapsed="false">
      <c r="A814" s="13" t="str">
        <f aca="false">""</f>
        <v/>
      </c>
      <c r="B814" s="13" t="n">
        <f aca="false">78</f>
        <v>78</v>
      </c>
      <c r="C814" s="13" t="n">
        <f aca="false">IF(Szenarien!$H$10="OK",(IFERROR(SUMIF(Nutzungsprofile!$B$6:$B$11,"Schulbetrieb",Nutzungsprofile!$G$6:$G$11)*Kalender!C82/SUM(Kalender!$C$5:$C$370),0)+IFERROR(SUMIF(Nutzungsprofile!$B$6:$B$11,"Halle",Nutzungsprofile!$G$6:$G$11)*Kalender!D82/SUM(Kalender!$D$5:$D$370),0)+IFERROR(SUMIF(Nutzungsprofile!$B$6:$B$11,"Individuell",Nutzungsprofile!$G$6:$G$11)*Kalender!E82/SUM(Kalender!$E$5:$E$370),0))*Szenarien!$E$10,0)</f>
        <v>3.528</v>
      </c>
      <c r="D814" s="13" t="n">
        <f aca="false">IF(Szenarien!$H$10="OK",(IFERROR(SUMIF(Nutzungsprofile!$B$17:$B$22,"Schulbetrieb",Nutzungsprofile!$G$17:$G$22)*Kalender!C82/SUM(Kalender!$C$5:$C$370),0)+IFERROR(SUMIF(Nutzungsprofile!$B$17:$B$22,"Halle",Nutzungsprofile!$G$17:$G$22)*Kalender!D82/SUM(Kalender!$D$5:$D$370),0)+IFERROR(SUMIF(Nutzungsprofile!$B$17:$B$22,"Individuell",Nutzungsprofile!$G$17:$G$22)*Kalender!E82/SUM(Kalender!$E$5:$E$370),0))*Szenarien!$D$10,0)</f>
        <v>5.434</v>
      </c>
      <c r="E814" s="13" t="n">
        <f aca="false">IFERROR(MIN(C814,Eingaben!$B$17)*Eingaben!$B$16,0)</f>
        <v>3.3516</v>
      </c>
      <c r="F814" s="13" t="n">
        <f aca="false">IFERROR(E814*Eingaben!$B$15,0)</f>
        <v>3.01644</v>
      </c>
      <c r="G814" s="13" t="n">
        <f aca="false">IFERROR(IF(Kalender!A82="",0,J813*(1-Eingaben!$B$20)),0)</f>
        <v>0.88683336</v>
      </c>
      <c r="H814" s="13" t="n">
        <f aca="false">MIN(G814,D814)</f>
        <v>0.88683336</v>
      </c>
      <c r="I814" s="13" t="n">
        <f aca="false">IFERROR(MIN(F814*Eingaben!$B$19,MAX(0,D814-H814)),0)</f>
        <v>2.111508</v>
      </c>
      <c r="J814" s="13" t="n">
        <f aca="false">IFERROR(MIN(Eingaben!$B$18,MAX(0,F814-I814)),0)</f>
        <v>0.904932</v>
      </c>
      <c r="K814" s="13" t="n">
        <f aca="false">H814+I814</f>
        <v>2.99834136</v>
      </c>
      <c r="L814" s="13" t="n">
        <f aca="false">MAX(0,D814-K814)</f>
        <v>2.43565864</v>
      </c>
      <c r="M814" s="13" t="n">
        <f aca="false">MAX(0,F814-I814-J814)</f>
        <v>0</v>
      </c>
      <c r="N814" s="13" t="n">
        <f aca="false">IF(Kalender!A82="",0,J813-H814)</f>
        <v>0.0180986400000001</v>
      </c>
    </row>
    <row r="815" customFormat="false" ht="16.4" hidden="false" customHeight="false" outlineLevel="0" collapsed="false">
      <c r="A815" s="13" t="str">
        <f aca="false">""</f>
        <v/>
      </c>
      <c r="B815" s="13" t="n">
        <f aca="false">79</f>
        <v>79</v>
      </c>
      <c r="C815" s="13" t="n">
        <f aca="false">IF(Szenarien!$H$10="OK",(IFERROR(SUMIF(Nutzungsprofile!$B$6:$B$11,"Schulbetrieb",Nutzungsprofile!$G$6:$G$11)*Kalender!C83/SUM(Kalender!$C$5:$C$370),0)+IFERROR(SUMIF(Nutzungsprofile!$B$6:$B$11,"Halle",Nutzungsprofile!$G$6:$G$11)*Kalender!D83/SUM(Kalender!$D$5:$D$370),0)+IFERROR(SUMIF(Nutzungsprofile!$B$6:$B$11,"Individuell",Nutzungsprofile!$G$6:$G$11)*Kalender!E83/SUM(Kalender!$E$5:$E$370),0))*Szenarien!$E$10,0)</f>
        <v>3.528</v>
      </c>
      <c r="D815" s="13" t="n">
        <f aca="false">IF(Szenarien!$H$10="OK",(IFERROR(SUMIF(Nutzungsprofile!$B$17:$B$22,"Schulbetrieb",Nutzungsprofile!$G$17:$G$22)*Kalender!C83/SUM(Kalender!$C$5:$C$370),0)+IFERROR(SUMIF(Nutzungsprofile!$B$17:$B$22,"Halle",Nutzungsprofile!$G$17:$G$22)*Kalender!D83/SUM(Kalender!$D$5:$D$370),0)+IFERROR(SUMIF(Nutzungsprofile!$B$17:$B$22,"Individuell",Nutzungsprofile!$G$17:$G$22)*Kalender!E83/SUM(Kalender!$E$5:$E$370),0))*Szenarien!$D$10,0)</f>
        <v>5.434</v>
      </c>
      <c r="E815" s="13" t="n">
        <f aca="false">IFERROR(MIN(C815,Eingaben!$B$17)*Eingaben!$B$16,0)</f>
        <v>3.3516</v>
      </c>
      <c r="F815" s="13" t="n">
        <f aca="false">IFERROR(E815*Eingaben!$B$15,0)</f>
        <v>3.01644</v>
      </c>
      <c r="G815" s="13" t="n">
        <f aca="false">IFERROR(IF(Kalender!A83="",0,J814*(1-Eingaben!$B$20)),0)</f>
        <v>0.88683336</v>
      </c>
      <c r="H815" s="13" t="n">
        <f aca="false">MIN(G815,D815)</f>
        <v>0.88683336</v>
      </c>
      <c r="I815" s="13" t="n">
        <f aca="false">IFERROR(MIN(F815*Eingaben!$B$19,MAX(0,D815-H815)),0)</f>
        <v>2.111508</v>
      </c>
      <c r="J815" s="13" t="n">
        <f aca="false">IFERROR(MIN(Eingaben!$B$18,MAX(0,F815-I815)),0)</f>
        <v>0.904932</v>
      </c>
      <c r="K815" s="13" t="n">
        <f aca="false">H815+I815</f>
        <v>2.99834136</v>
      </c>
      <c r="L815" s="13" t="n">
        <f aca="false">MAX(0,D815-K815)</f>
        <v>2.43565864</v>
      </c>
      <c r="M815" s="13" t="n">
        <f aca="false">MAX(0,F815-I815-J815)</f>
        <v>0</v>
      </c>
      <c r="N815" s="13" t="n">
        <f aca="false">IF(Kalender!A83="",0,J814-H815)</f>
        <v>0.0180986400000001</v>
      </c>
    </row>
    <row r="816" customFormat="false" ht="16.4" hidden="false" customHeight="false" outlineLevel="0" collapsed="false">
      <c r="A816" s="13" t="str">
        <f aca="false">""</f>
        <v/>
      </c>
      <c r="B816" s="13" t="n">
        <f aca="false">80</f>
        <v>80</v>
      </c>
      <c r="C816" s="13" t="n">
        <f aca="false">IF(Szenarien!$H$10="OK",(IFERROR(SUMIF(Nutzungsprofile!$B$6:$B$11,"Schulbetrieb",Nutzungsprofile!$G$6:$G$11)*Kalender!C84/SUM(Kalender!$C$5:$C$370),0)+IFERROR(SUMIF(Nutzungsprofile!$B$6:$B$11,"Halle",Nutzungsprofile!$G$6:$G$11)*Kalender!D84/SUM(Kalender!$D$5:$D$370),0)+IFERROR(SUMIF(Nutzungsprofile!$B$6:$B$11,"Individuell",Nutzungsprofile!$G$6:$G$11)*Kalender!E84/SUM(Kalender!$E$5:$E$370),0))*Szenarien!$E$10,0)</f>
        <v>2.448</v>
      </c>
      <c r="D816" s="13" t="n">
        <f aca="false">IF(Szenarien!$H$10="OK",(IFERROR(SUMIF(Nutzungsprofile!$B$17:$B$22,"Schulbetrieb",Nutzungsprofile!$G$17:$G$22)*Kalender!C84/SUM(Kalender!$C$5:$C$370),0)+IFERROR(SUMIF(Nutzungsprofile!$B$17:$B$22,"Halle",Nutzungsprofile!$G$17:$G$22)*Kalender!D84/SUM(Kalender!$D$5:$D$370),0)+IFERROR(SUMIF(Nutzungsprofile!$B$17:$B$22,"Individuell",Nutzungsprofile!$G$17:$G$22)*Kalender!E84/SUM(Kalender!$E$5:$E$370),0))*Szenarien!$D$10,0)</f>
        <v>0.979</v>
      </c>
      <c r="E816" s="13" t="n">
        <f aca="false">IFERROR(MIN(C816,Eingaben!$B$17)*Eingaben!$B$16,0)</f>
        <v>2.3256</v>
      </c>
      <c r="F816" s="13" t="n">
        <f aca="false">IFERROR(E816*Eingaben!$B$15,0)</f>
        <v>2.09304</v>
      </c>
      <c r="G816" s="13" t="n">
        <f aca="false">IFERROR(IF(Kalender!A84="",0,J815*(1-Eingaben!$B$20)),0)</f>
        <v>0.88683336</v>
      </c>
      <c r="H816" s="13" t="n">
        <f aca="false">MIN(G816,D816)</f>
        <v>0.88683336</v>
      </c>
      <c r="I816" s="13" t="n">
        <f aca="false">IFERROR(MIN(F816*Eingaben!$B$19,MAX(0,D816-H816)),0)</f>
        <v>0.0921666400000001</v>
      </c>
      <c r="J816" s="13" t="n">
        <f aca="false">IFERROR(MIN(Eingaben!$B$18,MAX(0,F816-I816)),0)</f>
        <v>2</v>
      </c>
      <c r="K816" s="13" t="n">
        <f aca="false">H816+I816</f>
        <v>0.979</v>
      </c>
      <c r="L816" s="13" t="n">
        <f aca="false">MAX(0,D816-K816)</f>
        <v>0</v>
      </c>
      <c r="M816" s="13" t="n">
        <f aca="false">MAX(0,F816-I816-J816)</f>
        <v>0.000873359999999934</v>
      </c>
      <c r="N816" s="13" t="n">
        <f aca="false">IF(Kalender!A84="",0,J815-H816)</f>
        <v>0.0180986400000001</v>
      </c>
    </row>
    <row r="817" customFormat="false" ht="16.4" hidden="false" customHeight="false" outlineLevel="0" collapsed="false">
      <c r="A817" s="13" t="str">
        <f aca="false">""</f>
        <v/>
      </c>
      <c r="B817" s="13" t="n">
        <f aca="false">81</f>
        <v>81</v>
      </c>
      <c r="C817" s="13" t="n">
        <f aca="false">IF(Szenarien!$H$10="OK",(IFERROR(SUMIF(Nutzungsprofile!$B$6:$B$11,"Schulbetrieb",Nutzungsprofile!$G$6:$G$11)*Kalender!C85/SUM(Kalender!$C$5:$C$370),0)+IFERROR(SUMIF(Nutzungsprofile!$B$6:$B$11,"Halle",Nutzungsprofile!$G$6:$G$11)*Kalender!D85/SUM(Kalender!$D$5:$D$370),0)+IFERROR(SUMIF(Nutzungsprofile!$B$6:$B$11,"Individuell",Nutzungsprofile!$G$6:$G$11)*Kalender!E85/SUM(Kalender!$E$5:$E$370),0))*Szenarien!$E$10,0)</f>
        <v>2.448</v>
      </c>
      <c r="D817" s="13" t="n">
        <f aca="false">IF(Szenarien!$H$10="OK",(IFERROR(SUMIF(Nutzungsprofile!$B$17:$B$22,"Schulbetrieb",Nutzungsprofile!$G$17:$G$22)*Kalender!C85/SUM(Kalender!$C$5:$C$370),0)+IFERROR(SUMIF(Nutzungsprofile!$B$17:$B$22,"Halle",Nutzungsprofile!$G$17:$G$22)*Kalender!D85/SUM(Kalender!$D$5:$D$370),0)+IFERROR(SUMIF(Nutzungsprofile!$B$17:$B$22,"Individuell",Nutzungsprofile!$G$17:$G$22)*Kalender!E85/SUM(Kalender!$E$5:$E$370),0))*Szenarien!$D$10,0)</f>
        <v>0.979</v>
      </c>
      <c r="E817" s="13" t="n">
        <f aca="false">IFERROR(MIN(C817,Eingaben!$B$17)*Eingaben!$B$16,0)</f>
        <v>2.3256</v>
      </c>
      <c r="F817" s="13" t="n">
        <f aca="false">IFERROR(E817*Eingaben!$B$15,0)</f>
        <v>2.09304</v>
      </c>
      <c r="G817" s="13" t="n">
        <f aca="false">IFERROR(IF(Kalender!A85="",0,J816*(1-Eingaben!$B$20)),0)</f>
        <v>1.96</v>
      </c>
      <c r="H817" s="13" t="n">
        <f aca="false">MIN(G817,D817)</f>
        <v>0.979</v>
      </c>
      <c r="I817" s="13" t="n">
        <f aca="false">IFERROR(MIN(F817*Eingaben!$B$19,MAX(0,D817-H817)),0)</f>
        <v>0</v>
      </c>
      <c r="J817" s="13" t="n">
        <f aca="false">IFERROR(MIN(Eingaben!$B$18,MAX(0,F817-I817)),0)</f>
        <v>2</v>
      </c>
      <c r="K817" s="13" t="n">
        <f aca="false">H817+I817</f>
        <v>0.979</v>
      </c>
      <c r="L817" s="13" t="n">
        <f aca="false">MAX(0,D817-K817)</f>
        <v>0</v>
      </c>
      <c r="M817" s="13" t="n">
        <f aca="false">MAX(0,F817-I817-J817)</f>
        <v>0.0930399999999998</v>
      </c>
      <c r="N817" s="13" t="n">
        <f aca="false">IF(Kalender!A85="",0,J816-H817)</f>
        <v>1.021</v>
      </c>
    </row>
    <row r="818" customFormat="false" ht="16.4" hidden="false" customHeight="false" outlineLevel="0" collapsed="false">
      <c r="A818" s="13" t="str">
        <f aca="false">""</f>
        <v/>
      </c>
      <c r="B818" s="13" t="n">
        <f aca="false">82</f>
        <v>82</v>
      </c>
      <c r="C818" s="13" t="n">
        <f aca="false">IF(Szenarien!$H$10="OK",(IFERROR(SUMIF(Nutzungsprofile!$B$6:$B$11,"Schulbetrieb",Nutzungsprofile!$G$6:$G$11)*Kalender!C86/SUM(Kalender!$C$5:$C$370),0)+IFERROR(SUMIF(Nutzungsprofile!$B$6:$B$11,"Halle",Nutzungsprofile!$G$6:$G$11)*Kalender!D86/SUM(Kalender!$D$5:$D$370),0)+IFERROR(SUMIF(Nutzungsprofile!$B$6:$B$11,"Individuell",Nutzungsprofile!$G$6:$G$11)*Kalender!E86/SUM(Kalender!$E$5:$E$370),0))*Szenarien!$E$10,0)</f>
        <v>3.528</v>
      </c>
      <c r="D818" s="13" t="n">
        <f aca="false">IF(Szenarien!$H$10="OK",(IFERROR(SUMIF(Nutzungsprofile!$B$17:$B$22,"Schulbetrieb",Nutzungsprofile!$G$17:$G$22)*Kalender!C86/SUM(Kalender!$C$5:$C$370),0)+IFERROR(SUMIF(Nutzungsprofile!$B$17:$B$22,"Halle",Nutzungsprofile!$G$17:$G$22)*Kalender!D86/SUM(Kalender!$D$5:$D$370),0)+IFERROR(SUMIF(Nutzungsprofile!$B$17:$B$22,"Individuell",Nutzungsprofile!$G$17:$G$22)*Kalender!E86/SUM(Kalender!$E$5:$E$370),0))*Szenarien!$D$10,0)</f>
        <v>5.434</v>
      </c>
      <c r="E818" s="13" t="n">
        <f aca="false">IFERROR(MIN(C818,Eingaben!$B$17)*Eingaben!$B$16,0)</f>
        <v>3.3516</v>
      </c>
      <c r="F818" s="13" t="n">
        <f aca="false">IFERROR(E818*Eingaben!$B$15,0)</f>
        <v>3.01644</v>
      </c>
      <c r="G818" s="13" t="n">
        <f aca="false">IFERROR(IF(Kalender!A86="",0,J817*(1-Eingaben!$B$20)),0)</f>
        <v>1.96</v>
      </c>
      <c r="H818" s="13" t="n">
        <f aca="false">MIN(G818,D818)</f>
        <v>1.96</v>
      </c>
      <c r="I818" s="13" t="n">
        <f aca="false">IFERROR(MIN(F818*Eingaben!$B$19,MAX(0,D818-H818)),0)</f>
        <v>2.111508</v>
      </c>
      <c r="J818" s="13" t="n">
        <f aca="false">IFERROR(MIN(Eingaben!$B$18,MAX(0,F818-I818)),0)</f>
        <v>0.904932</v>
      </c>
      <c r="K818" s="13" t="n">
        <f aca="false">H818+I818</f>
        <v>4.071508</v>
      </c>
      <c r="L818" s="13" t="n">
        <f aca="false">MAX(0,D818-K818)</f>
        <v>1.362492</v>
      </c>
      <c r="M818" s="13" t="n">
        <f aca="false">MAX(0,F818-I818-J818)</f>
        <v>0</v>
      </c>
      <c r="N818" s="13" t="n">
        <f aca="false">IF(Kalender!A86="",0,J817-H818)</f>
        <v>0.04</v>
      </c>
    </row>
    <row r="819" customFormat="false" ht="16.4" hidden="false" customHeight="false" outlineLevel="0" collapsed="false">
      <c r="A819" s="13" t="str">
        <f aca="false">""</f>
        <v/>
      </c>
      <c r="B819" s="13" t="n">
        <f aca="false">83</f>
        <v>83</v>
      </c>
      <c r="C819" s="13" t="n">
        <f aca="false">IF(Szenarien!$H$10="OK",(IFERROR(SUMIF(Nutzungsprofile!$B$6:$B$11,"Schulbetrieb",Nutzungsprofile!$G$6:$G$11)*Kalender!C87/SUM(Kalender!$C$5:$C$370),0)+IFERROR(SUMIF(Nutzungsprofile!$B$6:$B$11,"Halle",Nutzungsprofile!$G$6:$G$11)*Kalender!D87/SUM(Kalender!$D$5:$D$370),0)+IFERROR(SUMIF(Nutzungsprofile!$B$6:$B$11,"Individuell",Nutzungsprofile!$G$6:$G$11)*Kalender!E87/SUM(Kalender!$E$5:$E$370),0))*Szenarien!$E$10,0)</f>
        <v>3.528</v>
      </c>
      <c r="D819" s="13" t="n">
        <f aca="false">IF(Szenarien!$H$10="OK",(IFERROR(SUMIF(Nutzungsprofile!$B$17:$B$22,"Schulbetrieb",Nutzungsprofile!$G$17:$G$22)*Kalender!C87/SUM(Kalender!$C$5:$C$370),0)+IFERROR(SUMIF(Nutzungsprofile!$B$17:$B$22,"Halle",Nutzungsprofile!$G$17:$G$22)*Kalender!D87/SUM(Kalender!$D$5:$D$370),0)+IFERROR(SUMIF(Nutzungsprofile!$B$17:$B$22,"Individuell",Nutzungsprofile!$G$17:$G$22)*Kalender!E87/SUM(Kalender!$E$5:$E$370),0))*Szenarien!$D$10,0)</f>
        <v>5.434</v>
      </c>
      <c r="E819" s="13" t="n">
        <f aca="false">IFERROR(MIN(C819,Eingaben!$B$17)*Eingaben!$B$16,0)</f>
        <v>3.3516</v>
      </c>
      <c r="F819" s="13" t="n">
        <f aca="false">IFERROR(E819*Eingaben!$B$15,0)</f>
        <v>3.01644</v>
      </c>
      <c r="G819" s="13" t="n">
        <f aca="false">IFERROR(IF(Kalender!A87="",0,J818*(1-Eingaben!$B$20)),0)</f>
        <v>0.88683336</v>
      </c>
      <c r="H819" s="13" t="n">
        <f aca="false">MIN(G819,D819)</f>
        <v>0.88683336</v>
      </c>
      <c r="I819" s="13" t="n">
        <f aca="false">IFERROR(MIN(F819*Eingaben!$B$19,MAX(0,D819-H819)),0)</f>
        <v>2.111508</v>
      </c>
      <c r="J819" s="13" t="n">
        <f aca="false">IFERROR(MIN(Eingaben!$B$18,MAX(0,F819-I819)),0)</f>
        <v>0.904932</v>
      </c>
      <c r="K819" s="13" t="n">
        <f aca="false">H819+I819</f>
        <v>2.99834136</v>
      </c>
      <c r="L819" s="13" t="n">
        <f aca="false">MAX(0,D819-K819)</f>
        <v>2.43565864</v>
      </c>
      <c r="M819" s="13" t="n">
        <f aca="false">MAX(0,F819-I819-J819)</f>
        <v>0</v>
      </c>
      <c r="N819" s="13" t="n">
        <f aca="false">IF(Kalender!A87="",0,J818-H819)</f>
        <v>0.0180986400000001</v>
      </c>
    </row>
    <row r="820" customFormat="false" ht="16.4" hidden="false" customHeight="false" outlineLevel="0" collapsed="false">
      <c r="A820" s="13" t="str">
        <f aca="false">""</f>
        <v/>
      </c>
      <c r="B820" s="13" t="n">
        <f aca="false">84</f>
        <v>84</v>
      </c>
      <c r="C820" s="13" t="n">
        <f aca="false">IF(Szenarien!$H$10="OK",(IFERROR(SUMIF(Nutzungsprofile!$B$6:$B$11,"Schulbetrieb",Nutzungsprofile!$G$6:$G$11)*Kalender!C88/SUM(Kalender!$C$5:$C$370),0)+IFERROR(SUMIF(Nutzungsprofile!$B$6:$B$11,"Halle",Nutzungsprofile!$G$6:$G$11)*Kalender!D88/SUM(Kalender!$D$5:$D$370),0)+IFERROR(SUMIF(Nutzungsprofile!$B$6:$B$11,"Individuell",Nutzungsprofile!$G$6:$G$11)*Kalender!E88/SUM(Kalender!$E$5:$E$370),0))*Szenarien!$E$10,0)</f>
        <v>3.528</v>
      </c>
      <c r="D820" s="13" t="n">
        <f aca="false">IF(Szenarien!$H$10="OK",(IFERROR(SUMIF(Nutzungsprofile!$B$17:$B$22,"Schulbetrieb",Nutzungsprofile!$G$17:$G$22)*Kalender!C88/SUM(Kalender!$C$5:$C$370),0)+IFERROR(SUMIF(Nutzungsprofile!$B$17:$B$22,"Halle",Nutzungsprofile!$G$17:$G$22)*Kalender!D88/SUM(Kalender!$D$5:$D$370),0)+IFERROR(SUMIF(Nutzungsprofile!$B$17:$B$22,"Individuell",Nutzungsprofile!$G$17:$G$22)*Kalender!E88/SUM(Kalender!$E$5:$E$370),0))*Szenarien!$D$10,0)</f>
        <v>5.434</v>
      </c>
      <c r="E820" s="13" t="n">
        <f aca="false">IFERROR(MIN(C820,Eingaben!$B$17)*Eingaben!$B$16,0)</f>
        <v>3.3516</v>
      </c>
      <c r="F820" s="13" t="n">
        <f aca="false">IFERROR(E820*Eingaben!$B$15,0)</f>
        <v>3.01644</v>
      </c>
      <c r="G820" s="13" t="n">
        <f aca="false">IFERROR(IF(Kalender!A88="",0,J819*(1-Eingaben!$B$20)),0)</f>
        <v>0.88683336</v>
      </c>
      <c r="H820" s="13" t="n">
        <f aca="false">MIN(G820,D820)</f>
        <v>0.88683336</v>
      </c>
      <c r="I820" s="13" t="n">
        <f aca="false">IFERROR(MIN(F820*Eingaben!$B$19,MAX(0,D820-H820)),0)</f>
        <v>2.111508</v>
      </c>
      <c r="J820" s="13" t="n">
        <f aca="false">IFERROR(MIN(Eingaben!$B$18,MAX(0,F820-I820)),0)</f>
        <v>0.904932</v>
      </c>
      <c r="K820" s="13" t="n">
        <f aca="false">H820+I820</f>
        <v>2.99834136</v>
      </c>
      <c r="L820" s="13" t="n">
        <f aca="false">MAX(0,D820-K820)</f>
        <v>2.43565864</v>
      </c>
      <c r="M820" s="13" t="n">
        <f aca="false">MAX(0,F820-I820-J820)</f>
        <v>0</v>
      </c>
      <c r="N820" s="13" t="n">
        <f aca="false">IF(Kalender!A88="",0,J819-H820)</f>
        <v>0.0180986400000001</v>
      </c>
    </row>
    <row r="821" customFormat="false" ht="16.4" hidden="false" customHeight="false" outlineLevel="0" collapsed="false">
      <c r="A821" s="13" t="str">
        <f aca="false">""</f>
        <v/>
      </c>
      <c r="B821" s="13" t="n">
        <f aca="false">85</f>
        <v>85</v>
      </c>
      <c r="C821" s="13" t="n">
        <f aca="false">IF(Szenarien!$H$10="OK",(IFERROR(SUMIF(Nutzungsprofile!$B$6:$B$11,"Schulbetrieb",Nutzungsprofile!$G$6:$G$11)*Kalender!C89/SUM(Kalender!$C$5:$C$370),0)+IFERROR(SUMIF(Nutzungsprofile!$B$6:$B$11,"Halle",Nutzungsprofile!$G$6:$G$11)*Kalender!D89/SUM(Kalender!$D$5:$D$370),0)+IFERROR(SUMIF(Nutzungsprofile!$B$6:$B$11,"Individuell",Nutzungsprofile!$G$6:$G$11)*Kalender!E89/SUM(Kalender!$E$5:$E$370),0))*Szenarien!$E$10,0)</f>
        <v>3.528</v>
      </c>
      <c r="D821" s="13" t="n">
        <f aca="false">IF(Szenarien!$H$10="OK",(IFERROR(SUMIF(Nutzungsprofile!$B$17:$B$22,"Schulbetrieb",Nutzungsprofile!$G$17:$G$22)*Kalender!C89/SUM(Kalender!$C$5:$C$370),0)+IFERROR(SUMIF(Nutzungsprofile!$B$17:$B$22,"Halle",Nutzungsprofile!$G$17:$G$22)*Kalender!D89/SUM(Kalender!$D$5:$D$370),0)+IFERROR(SUMIF(Nutzungsprofile!$B$17:$B$22,"Individuell",Nutzungsprofile!$G$17:$G$22)*Kalender!E89/SUM(Kalender!$E$5:$E$370),0))*Szenarien!$D$10,0)</f>
        <v>5.434</v>
      </c>
      <c r="E821" s="13" t="n">
        <f aca="false">IFERROR(MIN(C821,Eingaben!$B$17)*Eingaben!$B$16,0)</f>
        <v>3.3516</v>
      </c>
      <c r="F821" s="13" t="n">
        <f aca="false">IFERROR(E821*Eingaben!$B$15,0)</f>
        <v>3.01644</v>
      </c>
      <c r="G821" s="13" t="n">
        <f aca="false">IFERROR(IF(Kalender!A89="",0,J820*(1-Eingaben!$B$20)),0)</f>
        <v>0.88683336</v>
      </c>
      <c r="H821" s="13" t="n">
        <f aca="false">MIN(G821,D821)</f>
        <v>0.88683336</v>
      </c>
      <c r="I821" s="13" t="n">
        <f aca="false">IFERROR(MIN(F821*Eingaben!$B$19,MAX(0,D821-H821)),0)</f>
        <v>2.111508</v>
      </c>
      <c r="J821" s="13" t="n">
        <f aca="false">IFERROR(MIN(Eingaben!$B$18,MAX(0,F821-I821)),0)</f>
        <v>0.904932</v>
      </c>
      <c r="K821" s="13" t="n">
        <f aca="false">H821+I821</f>
        <v>2.99834136</v>
      </c>
      <c r="L821" s="13" t="n">
        <f aca="false">MAX(0,D821-K821)</f>
        <v>2.43565864</v>
      </c>
      <c r="M821" s="13" t="n">
        <f aca="false">MAX(0,F821-I821-J821)</f>
        <v>0</v>
      </c>
      <c r="N821" s="13" t="n">
        <f aca="false">IF(Kalender!A89="",0,J820-H821)</f>
        <v>0.0180986400000001</v>
      </c>
    </row>
    <row r="822" customFormat="false" ht="16.4" hidden="false" customHeight="false" outlineLevel="0" collapsed="false">
      <c r="A822" s="13" t="str">
        <f aca="false">""</f>
        <v/>
      </c>
      <c r="B822" s="13" t="n">
        <f aca="false">86</f>
        <v>86</v>
      </c>
      <c r="C822" s="13" t="n">
        <f aca="false">IF(Szenarien!$H$10="OK",(IFERROR(SUMIF(Nutzungsprofile!$B$6:$B$11,"Schulbetrieb",Nutzungsprofile!$G$6:$G$11)*Kalender!C90/SUM(Kalender!$C$5:$C$370),0)+IFERROR(SUMIF(Nutzungsprofile!$B$6:$B$11,"Halle",Nutzungsprofile!$G$6:$G$11)*Kalender!D90/SUM(Kalender!$D$5:$D$370),0)+IFERROR(SUMIF(Nutzungsprofile!$B$6:$B$11,"Individuell",Nutzungsprofile!$G$6:$G$11)*Kalender!E90/SUM(Kalender!$E$5:$E$370),0))*Szenarien!$E$10,0)</f>
        <v>3.528</v>
      </c>
      <c r="D822" s="13" t="n">
        <f aca="false">IF(Szenarien!$H$10="OK",(IFERROR(SUMIF(Nutzungsprofile!$B$17:$B$22,"Schulbetrieb",Nutzungsprofile!$G$17:$G$22)*Kalender!C90/SUM(Kalender!$C$5:$C$370),0)+IFERROR(SUMIF(Nutzungsprofile!$B$17:$B$22,"Halle",Nutzungsprofile!$G$17:$G$22)*Kalender!D90/SUM(Kalender!$D$5:$D$370),0)+IFERROR(SUMIF(Nutzungsprofile!$B$17:$B$22,"Individuell",Nutzungsprofile!$G$17:$G$22)*Kalender!E90/SUM(Kalender!$E$5:$E$370),0))*Szenarien!$D$10,0)</f>
        <v>5.434</v>
      </c>
      <c r="E822" s="13" t="n">
        <f aca="false">IFERROR(MIN(C822,Eingaben!$B$17)*Eingaben!$B$16,0)</f>
        <v>3.3516</v>
      </c>
      <c r="F822" s="13" t="n">
        <f aca="false">IFERROR(E822*Eingaben!$B$15,0)</f>
        <v>3.01644</v>
      </c>
      <c r="G822" s="13" t="n">
        <f aca="false">IFERROR(IF(Kalender!A90="",0,J821*(1-Eingaben!$B$20)),0)</f>
        <v>0.88683336</v>
      </c>
      <c r="H822" s="13" t="n">
        <f aca="false">MIN(G822,D822)</f>
        <v>0.88683336</v>
      </c>
      <c r="I822" s="13" t="n">
        <f aca="false">IFERROR(MIN(F822*Eingaben!$B$19,MAX(0,D822-H822)),0)</f>
        <v>2.111508</v>
      </c>
      <c r="J822" s="13" t="n">
        <f aca="false">IFERROR(MIN(Eingaben!$B$18,MAX(0,F822-I822)),0)</f>
        <v>0.904932</v>
      </c>
      <c r="K822" s="13" t="n">
        <f aca="false">H822+I822</f>
        <v>2.99834136</v>
      </c>
      <c r="L822" s="13" t="n">
        <f aca="false">MAX(0,D822-K822)</f>
        <v>2.43565864</v>
      </c>
      <c r="M822" s="13" t="n">
        <f aca="false">MAX(0,F822-I822-J822)</f>
        <v>0</v>
      </c>
      <c r="N822" s="13" t="n">
        <f aca="false">IF(Kalender!A90="",0,J821-H822)</f>
        <v>0.0180986400000001</v>
      </c>
    </row>
    <row r="823" customFormat="false" ht="16.4" hidden="false" customHeight="false" outlineLevel="0" collapsed="false">
      <c r="A823" s="13" t="str">
        <f aca="false">""</f>
        <v/>
      </c>
      <c r="B823" s="13" t="n">
        <f aca="false">87</f>
        <v>87</v>
      </c>
      <c r="C823" s="13" t="n">
        <f aca="false">IF(Szenarien!$H$10="OK",(IFERROR(SUMIF(Nutzungsprofile!$B$6:$B$11,"Schulbetrieb",Nutzungsprofile!$G$6:$G$11)*Kalender!C91/SUM(Kalender!$C$5:$C$370),0)+IFERROR(SUMIF(Nutzungsprofile!$B$6:$B$11,"Halle",Nutzungsprofile!$G$6:$G$11)*Kalender!D91/SUM(Kalender!$D$5:$D$370),0)+IFERROR(SUMIF(Nutzungsprofile!$B$6:$B$11,"Individuell",Nutzungsprofile!$G$6:$G$11)*Kalender!E91/SUM(Kalender!$E$5:$E$370),0))*Szenarien!$E$10,0)</f>
        <v>2.448</v>
      </c>
      <c r="D823" s="13" t="n">
        <f aca="false">IF(Szenarien!$H$10="OK",(IFERROR(SUMIF(Nutzungsprofile!$B$17:$B$22,"Schulbetrieb",Nutzungsprofile!$G$17:$G$22)*Kalender!C91/SUM(Kalender!$C$5:$C$370),0)+IFERROR(SUMIF(Nutzungsprofile!$B$17:$B$22,"Halle",Nutzungsprofile!$G$17:$G$22)*Kalender!D91/SUM(Kalender!$D$5:$D$370),0)+IFERROR(SUMIF(Nutzungsprofile!$B$17:$B$22,"Individuell",Nutzungsprofile!$G$17:$G$22)*Kalender!E91/SUM(Kalender!$E$5:$E$370),0))*Szenarien!$D$10,0)</f>
        <v>0.979</v>
      </c>
      <c r="E823" s="13" t="n">
        <f aca="false">IFERROR(MIN(C823,Eingaben!$B$17)*Eingaben!$B$16,0)</f>
        <v>2.3256</v>
      </c>
      <c r="F823" s="13" t="n">
        <f aca="false">IFERROR(E823*Eingaben!$B$15,0)</f>
        <v>2.09304</v>
      </c>
      <c r="G823" s="13" t="n">
        <f aca="false">IFERROR(IF(Kalender!A91="",0,J822*(1-Eingaben!$B$20)),0)</f>
        <v>0.88683336</v>
      </c>
      <c r="H823" s="13" t="n">
        <f aca="false">MIN(G823,D823)</f>
        <v>0.88683336</v>
      </c>
      <c r="I823" s="13" t="n">
        <f aca="false">IFERROR(MIN(F823*Eingaben!$B$19,MAX(0,D823-H823)),0)</f>
        <v>0.0921666400000001</v>
      </c>
      <c r="J823" s="13" t="n">
        <f aca="false">IFERROR(MIN(Eingaben!$B$18,MAX(0,F823-I823)),0)</f>
        <v>2</v>
      </c>
      <c r="K823" s="13" t="n">
        <f aca="false">H823+I823</f>
        <v>0.979</v>
      </c>
      <c r="L823" s="13" t="n">
        <f aca="false">MAX(0,D823-K823)</f>
        <v>0</v>
      </c>
      <c r="M823" s="13" t="n">
        <f aca="false">MAX(0,F823-I823-J823)</f>
        <v>0.000873359999999934</v>
      </c>
      <c r="N823" s="13" t="n">
        <f aca="false">IF(Kalender!A91="",0,J822-H823)</f>
        <v>0.0180986400000001</v>
      </c>
    </row>
    <row r="824" customFormat="false" ht="16.4" hidden="false" customHeight="false" outlineLevel="0" collapsed="false">
      <c r="A824" s="13" t="str">
        <f aca="false">""</f>
        <v/>
      </c>
      <c r="B824" s="13" t="n">
        <f aca="false">88</f>
        <v>88</v>
      </c>
      <c r="C824" s="13" t="n">
        <f aca="false">IF(Szenarien!$H$10="OK",(IFERROR(SUMIF(Nutzungsprofile!$B$6:$B$11,"Schulbetrieb",Nutzungsprofile!$G$6:$G$11)*Kalender!C92/SUM(Kalender!$C$5:$C$370),0)+IFERROR(SUMIF(Nutzungsprofile!$B$6:$B$11,"Halle",Nutzungsprofile!$G$6:$G$11)*Kalender!D92/SUM(Kalender!$D$5:$D$370),0)+IFERROR(SUMIF(Nutzungsprofile!$B$6:$B$11,"Individuell",Nutzungsprofile!$G$6:$G$11)*Kalender!E92/SUM(Kalender!$E$5:$E$370),0))*Szenarien!$E$10,0)</f>
        <v>2.448</v>
      </c>
      <c r="D824" s="13" t="n">
        <f aca="false">IF(Szenarien!$H$10="OK",(IFERROR(SUMIF(Nutzungsprofile!$B$17:$B$22,"Schulbetrieb",Nutzungsprofile!$G$17:$G$22)*Kalender!C92/SUM(Kalender!$C$5:$C$370),0)+IFERROR(SUMIF(Nutzungsprofile!$B$17:$B$22,"Halle",Nutzungsprofile!$G$17:$G$22)*Kalender!D92/SUM(Kalender!$D$5:$D$370),0)+IFERROR(SUMIF(Nutzungsprofile!$B$17:$B$22,"Individuell",Nutzungsprofile!$G$17:$G$22)*Kalender!E92/SUM(Kalender!$E$5:$E$370),0))*Szenarien!$D$10,0)</f>
        <v>0.979</v>
      </c>
      <c r="E824" s="13" t="n">
        <f aca="false">IFERROR(MIN(C824,Eingaben!$B$17)*Eingaben!$B$16,0)</f>
        <v>2.3256</v>
      </c>
      <c r="F824" s="13" t="n">
        <f aca="false">IFERROR(E824*Eingaben!$B$15,0)</f>
        <v>2.09304</v>
      </c>
      <c r="G824" s="13" t="n">
        <f aca="false">IFERROR(IF(Kalender!A92="",0,J823*(1-Eingaben!$B$20)),0)</f>
        <v>1.96</v>
      </c>
      <c r="H824" s="13" t="n">
        <f aca="false">MIN(G824,D824)</f>
        <v>0.979</v>
      </c>
      <c r="I824" s="13" t="n">
        <f aca="false">IFERROR(MIN(F824*Eingaben!$B$19,MAX(0,D824-H824)),0)</f>
        <v>0</v>
      </c>
      <c r="J824" s="13" t="n">
        <f aca="false">IFERROR(MIN(Eingaben!$B$18,MAX(0,F824-I824)),0)</f>
        <v>2</v>
      </c>
      <c r="K824" s="13" t="n">
        <f aca="false">H824+I824</f>
        <v>0.979</v>
      </c>
      <c r="L824" s="13" t="n">
        <f aca="false">MAX(0,D824-K824)</f>
        <v>0</v>
      </c>
      <c r="M824" s="13" t="n">
        <f aca="false">MAX(0,F824-I824-J824)</f>
        <v>0.0930399999999998</v>
      </c>
      <c r="N824" s="13" t="n">
        <f aca="false">IF(Kalender!A92="",0,J823-H824)</f>
        <v>1.021</v>
      </c>
    </row>
    <row r="825" customFormat="false" ht="16.4" hidden="false" customHeight="false" outlineLevel="0" collapsed="false">
      <c r="A825" s="13" t="str">
        <f aca="false">""</f>
        <v/>
      </c>
      <c r="B825" s="13" t="n">
        <f aca="false">89</f>
        <v>89</v>
      </c>
      <c r="C825" s="13" t="n">
        <f aca="false">IF(Szenarien!$H$10="OK",(IFERROR(SUMIF(Nutzungsprofile!$B$6:$B$11,"Schulbetrieb",Nutzungsprofile!$G$6:$G$11)*Kalender!C93/SUM(Kalender!$C$5:$C$370),0)+IFERROR(SUMIF(Nutzungsprofile!$B$6:$B$11,"Halle",Nutzungsprofile!$G$6:$G$11)*Kalender!D93/SUM(Kalender!$D$5:$D$370),0)+IFERROR(SUMIF(Nutzungsprofile!$B$6:$B$11,"Individuell",Nutzungsprofile!$G$6:$G$11)*Kalender!E93/SUM(Kalender!$E$5:$E$370),0))*Szenarien!$E$10,0)</f>
        <v>3.528</v>
      </c>
      <c r="D825" s="13" t="n">
        <f aca="false">IF(Szenarien!$H$10="OK",(IFERROR(SUMIF(Nutzungsprofile!$B$17:$B$22,"Schulbetrieb",Nutzungsprofile!$G$17:$G$22)*Kalender!C93/SUM(Kalender!$C$5:$C$370),0)+IFERROR(SUMIF(Nutzungsprofile!$B$17:$B$22,"Halle",Nutzungsprofile!$G$17:$G$22)*Kalender!D93/SUM(Kalender!$D$5:$D$370),0)+IFERROR(SUMIF(Nutzungsprofile!$B$17:$B$22,"Individuell",Nutzungsprofile!$G$17:$G$22)*Kalender!E93/SUM(Kalender!$E$5:$E$370),0))*Szenarien!$D$10,0)</f>
        <v>5.434</v>
      </c>
      <c r="E825" s="13" t="n">
        <f aca="false">IFERROR(MIN(C825,Eingaben!$B$17)*Eingaben!$B$16,0)</f>
        <v>3.3516</v>
      </c>
      <c r="F825" s="13" t="n">
        <f aca="false">IFERROR(E825*Eingaben!$B$15,0)</f>
        <v>3.01644</v>
      </c>
      <c r="G825" s="13" t="n">
        <f aca="false">IFERROR(IF(Kalender!A93="",0,J824*(1-Eingaben!$B$20)),0)</f>
        <v>1.96</v>
      </c>
      <c r="H825" s="13" t="n">
        <f aca="false">MIN(G825,D825)</f>
        <v>1.96</v>
      </c>
      <c r="I825" s="13" t="n">
        <f aca="false">IFERROR(MIN(F825*Eingaben!$B$19,MAX(0,D825-H825)),0)</f>
        <v>2.111508</v>
      </c>
      <c r="J825" s="13" t="n">
        <f aca="false">IFERROR(MIN(Eingaben!$B$18,MAX(0,F825-I825)),0)</f>
        <v>0.904932</v>
      </c>
      <c r="K825" s="13" t="n">
        <f aca="false">H825+I825</f>
        <v>4.071508</v>
      </c>
      <c r="L825" s="13" t="n">
        <f aca="false">MAX(0,D825-K825)</f>
        <v>1.362492</v>
      </c>
      <c r="M825" s="13" t="n">
        <f aca="false">MAX(0,F825-I825-J825)</f>
        <v>0</v>
      </c>
      <c r="N825" s="13" t="n">
        <f aca="false">IF(Kalender!A93="",0,J824-H825)</f>
        <v>0.04</v>
      </c>
    </row>
    <row r="826" customFormat="false" ht="16.4" hidden="false" customHeight="false" outlineLevel="0" collapsed="false">
      <c r="A826" s="13" t="str">
        <f aca="false">""</f>
        <v/>
      </c>
      <c r="B826" s="13" t="n">
        <f aca="false">90</f>
        <v>90</v>
      </c>
      <c r="C826" s="13" t="n">
        <f aca="false">IF(Szenarien!$H$10="OK",(IFERROR(SUMIF(Nutzungsprofile!$B$6:$B$11,"Schulbetrieb",Nutzungsprofile!$G$6:$G$11)*Kalender!C94/SUM(Kalender!$C$5:$C$370),0)+IFERROR(SUMIF(Nutzungsprofile!$B$6:$B$11,"Halle",Nutzungsprofile!$G$6:$G$11)*Kalender!D94/SUM(Kalender!$D$5:$D$370),0)+IFERROR(SUMIF(Nutzungsprofile!$B$6:$B$11,"Individuell",Nutzungsprofile!$G$6:$G$11)*Kalender!E94/SUM(Kalender!$E$5:$E$370),0))*Szenarien!$E$10,0)</f>
        <v>3.528</v>
      </c>
      <c r="D826" s="13" t="n">
        <f aca="false">IF(Szenarien!$H$10="OK",(IFERROR(SUMIF(Nutzungsprofile!$B$17:$B$22,"Schulbetrieb",Nutzungsprofile!$G$17:$G$22)*Kalender!C94/SUM(Kalender!$C$5:$C$370),0)+IFERROR(SUMIF(Nutzungsprofile!$B$17:$B$22,"Halle",Nutzungsprofile!$G$17:$G$22)*Kalender!D94/SUM(Kalender!$D$5:$D$370),0)+IFERROR(SUMIF(Nutzungsprofile!$B$17:$B$22,"Individuell",Nutzungsprofile!$G$17:$G$22)*Kalender!E94/SUM(Kalender!$E$5:$E$370),0))*Szenarien!$D$10,0)</f>
        <v>5.434</v>
      </c>
      <c r="E826" s="13" t="n">
        <f aca="false">IFERROR(MIN(C826,Eingaben!$B$17)*Eingaben!$B$16,0)</f>
        <v>3.3516</v>
      </c>
      <c r="F826" s="13" t="n">
        <f aca="false">IFERROR(E826*Eingaben!$B$15,0)</f>
        <v>3.01644</v>
      </c>
      <c r="G826" s="13" t="n">
        <f aca="false">IFERROR(IF(Kalender!A94="",0,J825*(1-Eingaben!$B$20)),0)</f>
        <v>0.88683336</v>
      </c>
      <c r="H826" s="13" t="n">
        <f aca="false">MIN(G826,D826)</f>
        <v>0.88683336</v>
      </c>
      <c r="I826" s="13" t="n">
        <f aca="false">IFERROR(MIN(F826*Eingaben!$B$19,MAX(0,D826-H826)),0)</f>
        <v>2.111508</v>
      </c>
      <c r="J826" s="13" t="n">
        <f aca="false">IFERROR(MIN(Eingaben!$B$18,MAX(0,F826-I826)),0)</f>
        <v>0.904932</v>
      </c>
      <c r="K826" s="13" t="n">
        <f aca="false">H826+I826</f>
        <v>2.99834136</v>
      </c>
      <c r="L826" s="13" t="n">
        <f aca="false">MAX(0,D826-K826)</f>
        <v>2.43565864</v>
      </c>
      <c r="M826" s="13" t="n">
        <f aca="false">MAX(0,F826-I826-J826)</f>
        <v>0</v>
      </c>
      <c r="N826" s="13" t="n">
        <f aca="false">IF(Kalender!A94="",0,J825-H826)</f>
        <v>0.0180986400000001</v>
      </c>
    </row>
    <row r="827" customFormat="false" ht="16.4" hidden="false" customHeight="false" outlineLevel="0" collapsed="false">
      <c r="A827" s="13" t="str">
        <f aca="false">""</f>
        <v/>
      </c>
      <c r="B827" s="13" t="n">
        <f aca="false">91</f>
        <v>91</v>
      </c>
      <c r="C827" s="13" t="n">
        <f aca="false">IF(Szenarien!$H$10="OK",(IFERROR(SUMIF(Nutzungsprofile!$B$6:$B$11,"Schulbetrieb",Nutzungsprofile!$G$6:$G$11)*Kalender!C95/SUM(Kalender!$C$5:$C$370),0)+IFERROR(SUMIF(Nutzungsprofile!$B$6:$B$11,"Halle",Nutzungsprofile!$G$6:$G$11)*Kalender!D95/SUM(Kalender!$D$5:$D$370),0)+IFERROR(SUMIF(Nutzungsprofile!$B$6:$B$11,"Individuell",Nutzungsprofile!$G$6:$G$11)*Kalender!E95/SUM(Kalender!$E$5:$E$370),0))*Szenarien!$E$10,0)</f>
        <v>3.528</v>
      </c>
      <c r="D827" s="13" t="n">
        <f aca="false">IF(Szenarien!$H$10="OK",(IFERROR(SUMIF(Nutzungsprofile!$B$17:$B$22,"Schulbetrieb",Nutzungsprofile!$G$17:$G$22)*Kalender!C95/SUM(Kalender!$C$5:$C$370),0)+IFERROR(SUMIF(Nutzungsprofile!$B$17:$B$22,"Halle",Nutzungsprofile!$G$17:$G$22)*Kalender!D95/SUM(Kalender!$D$5:$D$370),0)+IFERROR(SUMIF(Nutzungsprofile!$B$17:$B$22,"Individuell",Nutzungsprofile!$G$17:$G$22)*Kalender!E95/SUM(Kalender!$E$5:$E$370),0))*Szenarien!$D$10,0)</f>
        <v>5.434</v>
      </c>
      <c r="E827" s="13" t="n">
        <f aca="false">IFERROR(MIN(C827,Eingaben!$B$17)*Eingaben!$B$16,0)</f>
        <v>3.3516</v>
      </c>
      <c r="F827" s="13" t="n">
        <f aca="false">IFERROR(E827*Eingaben!$B$15,0)</f>
        <v>3.01644</v>
      </c>
      <c r="G827" s="13" t="n">
        <f aca="false">IFERROR(IF(Kalender!A95="",0,J826*(1-Eingaben!$B$20)),0)</f>
        <v>0.88683336</v>
      </c>
      <c r="H827" s="13" t="n">
        <f aca="false">MIN(G827,D827)</f>
        <v>0.88683336</v>
      </c>
      <c r="I827" s="13" t="n">
        <f aca="false">IFERROR(MIN(F827*Eingaben!$B$19,MAX(0,D827-H827)),0)</f>
        <v>2.111508</v>
      </c>
      <c r="J827" s="13" t="n">
        <f aca="false">IFERROR(MIN(Eingaben!$B$18,MAX(0,F827-I827)),0)</f>
        <v>0.904932</v>
      </c>
      <c r="K827" s="13" t="n">
        <f aca="false">H827+I827</f>
        <v>2.99834136</v>
      </c>
      <c r="L827" s="13" t="n">
        <f aca="false">MAX(0,D827-K827)</f>
        <v>2.43565864</v>
      </c>
      <c r="M827" s="13" t="n">
        <f aca="false">MAX(0,F827-I827-J827)</f>
        <v>0</v>
      </c>
      <c r="N827" s="13" t="n">
        <f aca="false">IF(Kalender!A95="",0,J826-H827)</f>
        <v>0.0180986400000001</v>
      </c>
    </row>
    <row r="828" customFormat="false" ht="16.4" hidden="false" customHeight="false" outlineLevel="0" collapsed="false">
      <c r="A828" s="13" t="str">
        <f aca="false">""</f>
        <v/>
      </c>
      <c r="B828" s="13" t="n">
        <f aca="false">92</f>
        <v>92</v>
      </c>
      <c r="C828" s="13" t="n">
        <f aca="false">IF(Szenarien!$H$10="OK",(IFERROR(SUMIF(Nutzungsprofile!$B$6:$B$11,"Schulbetrieb",Nutzungsprofile!$G$6:$G$11)*Kalender!C96/SUM(Kalender!$C$5:$C$370),0)+IFERROR(SUMIF(Nutzungsprofile!$B$6:$B$11,"Halle",Nutzungsprofile!$G$6:$G$11)*Kalender!D96/SUM(Kalender!$D$5:$D$370),0)+IFERROR(SUMIF(Nutzungsprofile!$B$6:$B$11,"Individuell",Nutzungsprofile!$G$6:$G$11)*Kalender!E96/SUM(Kalender!$E$5:$E$370),0))*Szenarien!$E$10,0)</f>
        <v>3.528</v>
      </c>
      <c r="D828" s="13" t="n">
        <f aca="false">IF(Szenarien!$H$10="OK",(IFERROR(SUMIF(Nutzungsprofile!$B$17:$B$22,"Schulbetrieb",Nutzungsprofile!$G$17:$G$22)*Kalender!C96/SUM(Kalender!$C$5:$C$370),0)+IFERROR(SUMIF(Nutzungsprofile!$B$17:$B$22,"Halle",Nutzungsprofile!$G$17:$G$22)*Kalender!D96/SUM(Kalender!$D$5:$D$370),0)+IFERROR(SUMIF(Nutzungsprofile!$B$17:$B$22,"Individuell",Nutzungsprofile!$G$17:$G$22)*Kalender!E96/SUM(Kalender!$E$5:$E$370),0))*Szenarien!$D$10,0)</f>
        <v>5.434</v>
      </c>
      <c r="E828" s="13" t="n">
        <f aca="false">IFERROR(MIN(C828,Eingaben!$B$17)*Eingaben!$B$16,0)</f>
        <v>3.3516</v>
      </c>
      <c r="F828" s="13" t="n">
        <f aca="false">IFERROR(E828*Eingaben!$B$15,0)</f>
        <v>3.01644</v>
      </c>
      <c r="G828" s="13" t="n">
        <f aca="false">IFERROR(IF(Kalender!A96="",0,J827*(1-Eingaben!$B$20)),0)</f>
        <v>0.88683336</v>
      </c>
      <c r="H828" s="13" t="n">
        <f aca="false">MIN(G828,D828)</f>
        <v>0.88683336</v>
      </c>
      <c r="I828" s="13" t="n">
        <f aca="false">IFERROR(MIN(F828*Eingaben!$B$19,MAX(0,D828-H828)),0)</f>
        <v>2.111508</v>
      </c>
      <c r="J828" s="13" t="n">
        <f aca="false">IFERROR(MIN(Eingaben!$B$18,MAX(0,F828-I828)),0)</f>
        <v>0.904932</v>
      </c>
      <c r="K828" s="13" t="n">
        <f aca="false">H828+I828</f>
        <v>2.99834136</v>
      </c>
      <c r="L828" s="13" t="n">
        <f aca="false">MAX(0,D828-K828)</f>
        <v>2.43565864</v>
      </c>
      <c r="M828" s="13" t="n">
        <f aca="false">MAX(0,F828-I828-J828)</f>
        <v>0</v>
      </c>
      <c r="N828" s="13" t="n">
        <f aca="false">IF(Kalender!A96="",0,J827-H828)</f>
        <v>0.0180986400000001</v>
      </c>
    </row>
    <row r="829" customFormat="false" ht="16.4" hidden="false" customHeight="false" outlineLevel="0" collapsed="false">
      <c r="A829" s="13" t="str">
        <f aca="false">""</f>
        <v/>
      </c>
      <c r="B829" s="13" t="n">
        <f aca="false">93</f>
        <v>93</v>
      </c>
      <c r="C829" s="13" t="n">
        <f aca="false">IF(Szenarien!$H$10="OK",(IFERROR(SUMIF(Nutzungsprofile!$B$6:$B$11,"Schulbetrieb",Nutzungsprofile!$G$6:$G$11)*Kalender!C97/SUM(Kalender!$C$5:$C$370),0)+IFERROR(SUMIF(Nutzungsprofile!$B$6:$B$11,"Halle",Nutzungsprofile!$G$6:$G$11)*Kalender!D97/SUM(Kalender!$D$5:$D$370),0)+IFERROR(SUMIF(Nutzungsprofile!$B$6:$B$11,"Individuell",Nutzungsprofile!$G$6:$G$11)*Kalender!E97/SUM(Kalender!$E$5:$E$370),0))*Szenarien!$E$10,0)</f>
        <v>3.528</v>
      </c>
      <c r="D829" s="13" t="n">
        <f aca="false">IF(Szenarien!$H$10="OK",(IFERROR(SUMIF(Nutzungsprofile!$B$17:$B$22,"Schulbetrieb",Nutzungsprofile!$G$17:$G$22)*Kalender!C97/SUM(Kalender!$C$5:$C$370),0)+IFERROR(SUMIF(Nutzungsprofile!$B$17:$B$22,"Halle",Nutzungsprofile!$G$17:$G$22)*Kalender!D97/SUM(Kalender!$D$5:$D$370),0)+IFERROR(SUMIF(Nutzungsprofile!$B$17:$B$22,"Individuell",Nutzungsprofile!$G$17:$G$22)*Kalender!E97/SUM(Kalender!$E$5:$E$370),0))*Szenarien!$D$10,0)</f>
        <v>5.434</v>
      </c>
      <c r="E829" s="13" t="n">
        <f aca="false">IFERROR(MIN(C829,Eingaben!$B$17)*Eingaben!$B$16,0)</f>
        <v>3.3516</v>
      </c>
      <c r="F829" s="13" t="n">
        <f aca="false">IFERROR(E829*Eingaben!$B$15,0)</f>
        <v>3.01644</v>
      </c>
      <c r="G829" s="13" t="n">
        <f aca="false">IFERROR(IF(Kalender!A97="",0,J828*(1-Eingaben!$B$20)),0)</f>
        <v>0.88683336</v>
      </c>
      <c r="H829" s="13" t="n">
        <f aca="false">MIN(G829,D829)</f>
        <v>0.88683336</v>
      </c>
      <c r="I829" s="13" t="n">
        <f aca="false">IFERROR(MIN(F829*Eingaben!$B$19,MAX(0,D829-H829)),0)</f>
        <v>2.111508</v>
      </c>
      <c r="J829" s="13" t="n">
        <f aca="false">IFERROR(MIN(Eingaben!$B$18,MAX(0,F829-I829)),0)</f>
        <v>0.904932</v>
      </c>
      <c r="K829" s="13" t="n">
        <f aca="false">H829+I829</f>
        <v>2.99834136</v>
      </c>
      <c r="L829" s="13" t="n">
        <f aca="false">MAX(0,D829-K829)</f>
        <v>2.43565864</v>
      </c>
      <c r="M829" s="13" t="n">
        <f aca="false">MAX(0,F829-I829-J829)</f>
        <v>0</v>
      </c>
      <c r="N829" s="13" t="n">
        <f aca="false">IF(Kalender!A97="",0,J828-H829)</f>
        <v>0.0180986400000001</v>
      </c>
    </row>
    <row r="830" customFormat="false" ht="16.4" hidden="false" customHeight="false" outlineLevel="0" collapsed="false">
      <c r="A830" s="13" t="str">
        <f aca="false">""</f>
        <v/>
      </c>
      <c r="B830" s="13" t="n">
        <f aca="false">94</f>
        <v>94</v>
      </c>
      <c r="C830" s="13" t="n">
        <f aca="false">IF(Szenarien!$H$10="OK",(IFERROR(SUMIF(Nutzungsprofile!$B$6:$B$11,"Schulbetrieb",Nutzungsprofile!$G$6:$G$11)*Kalender!C98/SUM(Kalender!$C$5:$C$370),0)+IFERROR(SUMIF(Nutzungsprofile!$B$6:$B$11,"Halle",Nutzungsprofile!$G$6:$G$11)*Kalender!D98/SUM(Kalender!$D$5:$D$370),0)+IFERROR(SUMIF(Nutzungsprofile!$B$6:$B$11,"Individuell",Nutzungsprofile!$G$6:$G$11)*Kalender!E98/SUM(Kalender!$E$5:$E$370),0))*Szenarien!$E$10,0)</f>
        <v>2.448</v>
      </c>
      <c r="D830" s="13" t="n">
        <f aca="false">IF(Szenarien!$H$10="OK",(IFERROR(SUMIF(Nutzungsprofile!$B$17:$B$22,"Schulbetrieb",Nutzungsprofile!$G$17:$G$22)*Kalender!C98/SUM(Kalender!$C$5:$C$370),0)+IFERROR(SUMIF(Nutzungsprofile!$B$17:$B$22,"Halle",Nutzungsprofile!$G$17:$G$22)*Kalender!D98/SUM(Kalender!$D$5:$D$370),0)+IFERROR(SUMIF(Nutzungsprofile!$B$17:$B$22,"Individuell",Nutzungsprofile!$G$17:$G$22)*Kalender!E98/SUM(Kalender!$E$5:$E$370),0))*Szenarien!$D$10,0)</f>
        <v>0.979</v>
      </c>
      <c r="E830" s="13" t="n">
        <f aca="false">IFERROR(MIN(C830,Eingaben!$B$17)*Eingaben!$B$16,0)</f>
        <v>2.3256</v>
      </c>
      <c r="F830" s="13" t="n">
        <f aca="false">IFERROR(E830*Eingaben!$B$15,0)</f>
        <v>2.09304</v>
      </c>
      <c r="G830" s="13" t="n">
        <f aca="false">IFERROR(IF(Kalender!A98="",0,J829*(1-Eingaben!$B$20)),0)</f>
        <v>0.88683336</v>
      </c>
      <c r="H830" s="13" t="n">
        <f aca="false">MIN(G830,D830)</f>
        <v>0.88683336</v>
      </c>
      <c r="I830" s="13" t="n">
        <f aca="false">IFERROR(MIN(F830*Eingaben!$B$19,MAX(0,D830-H830)),0)</f>
        <v>0.0921666400000001</v>
      </c>
      <c r="J830" s="13" t="n">
        <f aca="false">IFERROR(MIN(Eingaben!$B$18,MAX(0,F830-I830)),0)</f>
        <v>2</v>
      </c>
      <c r="K830" s="13" t="n">
        <f aca="false">H830+I830</f>
        <v>0.979</v>
      </c>
      <c r="L830" s="13" t="n">
        <f aca="false">MAX(0,D830-K830)</f>
        <v>0</v>
      </c>
      <c r="M830" s="13" t="n">
        <f aca="false">MAX(0,F830-I830-J830)</f>
        <v>0.000873359999999934</v>
      </c>
      <c r="N830" s="13" t="n">
        <f aca="false">IF(Kalender!A98="",0,J829-H830)</f>
        <v>0.0180986400000001</v>
      </c>
    </row>
    <row r="831" customFormat="false" ht="16.4" hidden="false" customHeight="false" outlineLevel="0" collapsed="false">
      <c r="A831" s="13" t="str">
        <f aca="false">""</f>
        <v/>
      </c>
      <c r="B831" s="13" t="n">
        <f aca="false">95</f>
        <v>95</v>
      </c>
      <c r="C831" s="13" t="n">
        <f aca="false">IF(Szenarien!$H$10="OK",(IFERROR(SUMIF(Nutzungsprofile!$B$6:$B$11,"Schulbetrieb",Nutzungsprofile!$G$6:$G$11)*Kalender!C99/SUM(Kalender!$C$5:$C$370),0)+IFERROR(SUMIF(Nutzungsprofile!$B$6:$B$11,"Halle",Nutzungsprofile!$G$6:$G$11)*Kalender!D99/SUM(Kalender!$D$5:$D$370),0)+IFERROR(SUMIF(Nutzungsprofile!$B$6:$B$11,"Individuell",Nutzungsprofile!$G$6:$G$11)*Kalender!E99/SUM(Kalender!$E$5:$E$370),0))*Szenarien!$E$10,0)</f>
        <v>2.448</v>
      </c>
      <c r="D831" s="13" t="n">
        <f aca="false">IF(Szenarien!$H$10="OK",(IFERROR(SUMIF(Nutzungsprofile!$B$17:$B$22,"Schulbetrieb",Nutzungsprofile!$G$17:$G$22)*Kalender!C99/SUM(Kalender!$C$5:$C$370),0)+IFERROR(SUMIF(Nutzungsprofile!$B$17:$B$22,"Halle",Nutzungsprofile!$G$17:$G$22)*Kalender!D99/SUM(Kalender!$D$5:$D$370),0)+IFERROR(SUMIF(Nutzungsprofile!$B$17:$B$22,"Individuell",Nutzungsprofile!$G$17:$G$22)*Kalender!E99/SUM(Kalender!$E$5:$E$370),0))*Szenarien!$D$10,0)</f>
        <v>0.979</v>
      </c>
      <c r="E831" s="13" t="n">
        <f aca="false">IFERROR(MIN(C831,Eingaben!$B$17)*Eingaben!$B$16,0)</f>
        <v>2.3256</v>
      </c>
      <c r="F831" s="13" t="n">
        <f aca="false">IFERROR(E831*Eingaben!$B$15,0)</f>
        <v>2.09304</v>
      </c>
      <c r="G831" s="13" t="n">
        <f aca="false">IFERROR(IF(Kalender!A99="",0,J830*(1-Eingaben!$B$20)),0)</f>
        <v>1.96</v>
      </c>
      <c r="H831" s="13" t="n">
        <f aca="false">MIN(G831,D831)</f>
        <v>0.979</v>
      </c>
      <c r="I831" s="13" t="n">
        <f aca="false">IFERROR(MIN(F831*Eingaben!$B$19,MAX(0,D831-H831)),0)</f>
        <v>0</v>
      </c>
      <c r="J831" s="13" t="n">
        <f aca="false">IFERROR(MIN(Eingaben!$B$18,MAX(0,F831-I831)),0)</f>
        <v>2</v>
      </c>
      <c r="K831" s="13" t="n">
        <f aca="false">H831+I831</f>
        <v>0.979</v>
      </c>
      <c r="L831" s="13" t="n">
        <f aca="false">MAX(0,D831-K831)</f>
        <v>0</v>
      </c>
      <c r="M831" s="13" t="n">
        <f aca="false">MAX(0,F831-I831-J831)</f>
        <v>0.0930399999999998</v>
      </c>
      <c r="N831" s="13" t="n">
        <f aca="false">IF(Kalender!A99="",0,J830-H831)</f>
        <v>1.021</v>
      </c>
    </row>
    <row r="832" customFormat="false" ht="16.4" hidden="false" customHeight="false" outlineLevel="0" collapsed="false">
      <c r="A832" s="13" t="str">
        <f aca="false">""</f>
        <v/>
      </c>
      <c r="B832" s="13" t="n">
        <f aca="false">96</f>
        <v>96</v>
      </c>
      <c r="C832" s="13" t="n">
        <f aca="false">IF(Szenarien!$H$10="OK",(IFERROR(SUMIF(Nutzungsprofile!$B$6:$B$11,"Schulbetrieb",Nutzungsprofile!$G$6:$G$11)*Kalender!C100/SUM(Kalender!$C$5:$C$370),0)+IFERROR(SUMIF(Nutzungsprofile!$B$6:$B$11,"Halle",Nutzungsprofile!$G$6:$G$11)*Kalender!D100/SUM(Kalender!$D$5:$D$370),0)+IFERROR(SUMIF(Nutzungsprofile!$B$6:$B$11,"Individuell",Nutzungsprofile!$G$6:$G$11)*Kalender!E100/SUM(Kalender!$E$5:$E$370),0))*Szenarien!$E$10,0)</f>
        <v>3.528</v>
      </c>
      <c r="D832" s="13" t="n">
        <f aca="false">IF(Szenarien!$H$10="OK",(IFERROR(SUMIF(Nutzungsprofile!$B$17:$B$22,"Schulbetrieb",Nutzungsprofile!$G$17:$G$22)*Kalender!C100/SUM(Kalender!$C$5:$C$370),0)+IFERROR(SUMIF(Nutzungsprofile!$B$17:$B$22,"Halle",Nutzungsprofile!$G$17:$G$22)*Kalender!D100/SUM(Kalender!$D$5:$D$370),0)+IFERROR(SUMIF(Nutzungsprofile!$B$17:$B$22,"Individuell",Nutzungsprofile!$G$17:$G$22)*Kalender!E100/SUM(Kalender!$E$5:$E$370),0))*Szenarien!$D$10,0)</f>
        <v>5.434</v>
      </c>
      <c r="E832" s="13" t="n">
        <f aca="false">IFERROR(MIN(C832,Eingaben!$B$17)*Eingaben!$B$16,0)</f>
        <v>3.3516</v>
      </c>
      <c r="F832" s="13" t="n">
        <f aca="false">IFERROR(E832*Eingaben!$B$15,0)</f>
        <v>3.01644</v>
      </c>
      <c r="G832" s="13" t="n">
        <f aca="false">IFERROR(IF(Kalender!A100="",0,J831*(1-Eingaben!$B$20)),0)</f>
        <v>1.96</v>
      </c>
      <c r="H832" s="13" t="n">
        <f aca="false">MIN(G832,D832)</f>
        <v>1.96</v>
      </c>
      <c r="I832" s="13" t="n">
        <f aca="false">IFERROR(MIN(F832*Eingaben!$B$19,MAX(0,D832-H832)),0)</f>
        <v>2.111508</v>
      </c>
      <c r="J832" s="13" t="n">
        <f aca="false">IFERROR(MIN(Eingaben!$B$18,MAX(0,F832-I832)),0)</f>
        <v>0.904932</v>
      </c>
      <c r="K832" s="13" t="n">
        <f aca="false">H832+I832</f>
        <v>4.071508</v>
      </c>
      <c r="L832" s="13" t="n">
        <f aca="false">MAX(0,D832-K832)</f>
        <v>1.362492</v>
      </c>
      <c r="M832" s="13" t="n">
        <f aca="false">MAX(0,F832-I832-J832)</f>
        <v>0</v>
      </c>
      <c r="N832" s="13" t="n">
        <f aca="false">IF(Kalender!A100="",0,J831-H832)</f>
        <v>0.04</v>
      </c>
    </row>
    <row r="833" customFormat="false" ht="16.4" hidden="false" customHeight="false" outlineLevel="0" collapsed="false">
      <c r="A833" s="13" t="str">
        <f aca="false">""</f>
        <v/>
      </c>
      <c r="B833" s="13" t="n">
        <f aca="false">97</f>
        <v>97</v>
      </c>
      <c r="C833" s="13" t="n">
        <f aca="false">IF(Szenarien!$H$10="OK",(IFERROR(SUMIF(Nutzungsprofile!$B$6:$B$11,"Schulbetrieb",Nutzungsprofile!$G$6:$G$11)*Kalender!C101/SUM(Kalender!$C$5:$C$370),0)+IFERROR(SUMIF(Nutzungsprofile!$B$6:$B$11,"Halle",Nutzungsprofile!$G$6:$G$11)*Kalender!D101/SUM(Kalender!$D$5:$D$370),0)+IFERROR(SUMIF(Nutzungsprofile!$B$6:$B$11,"Individuell",Nutzungsprofile!$G$6:$G$11)*Kalender!E101/SUM(Kalender!$E$5:$E$370),0))*Szenarien!$E$10,0)</f>
        <v>3.528</v>
      </c>
      <c r="D833" s="13" t="n">
        <f aca="false">IF(Szenarien!$H$10="OK",(IFERROR(SUMIF(Nutzungsprofile!$B$17:$B$22,"Schulbetrieb",Nutzungsprofile!$G$17:$G$22)*Kalender!C101/SUM(Kalender!$C$5:$C$370),0)+IFERROR(SUMIF(Nutzungsprofile!$B$17:$B$22,"Halle",Nutzungsprofile!$G$17:$G$22)*Kalender!D101/SUM(Kalender!$D$5:$D$370),0)+IFERROR(SUMIF(Nutzungsprofile!$B$17:$B$22,"Individuell",Nutzungsprofile!$G$17:$G$22)*Kalender!E101/SUM(Kalender!$E$5:$E$370),0))*Szenarien!$D$10,0)</f>
        <v>5.434</v>
      </c>
      <c r="E833" s="13" t="n">
        <f aca="false">IFERROR(MIN(C833,Eingaben!$B$17)*Eingaben!$B$16,0)</f>
        <v>3.3516</v>
      </c>
      <c r="F833" s="13" t="n">
        <f aca="false">IFERROR(E833*Eingaben!$B$15,0)</f>
        <v>3.01644</v>
      </c>
      <c r="G833" s="13" t="n">
        <f aca="false">IFERROR(IF(Kalender!A101="",0,J832*(1-Eingaben!$B$20)),0)</f>
        <v>0.88683336</v>
      </c>
      <c r="H833" s="13" t="n">
        <f aca="false">MIN(G833,D833)</f>
        <v>0.88683336</v>
      </c>
      <c r="I833" s="13" t="n">
        <f aca="false">IFERROR(MIN(F833*Eingaben!$B$19,MAX(0,D833-H833)),0)</f>
        <v>2.111508</v>
      </c>
      <c r="J833" s="13" t="n">
        <f aca="false">IFERROR(MIN(Eingaben!$B$18,MAX(0,F833-I833)),0)</f>
        <v>0.904932</v>
      </c>
      <c r="K833" s="13" t="n">
        <f aca="false">H833+I833</f>
        <v>2.99834136</v>
      </c>
      <c r="L833" s="13" t="n">
        <f aca="false">MAX(0,D833-K833)</f>
        <v>2.43565864</v>
      </c>
      <c r="M833" s="13" t="n">
        <f aca="false">MAX(0,F833-I833-J833)</f>
        <v>0</v>
      </c>
      <c r="N833" s="13" t="n">
        <f aca="false">IF(Kalender!A101="",0,J832-H833)</f>
        <v>0.0180986400000001</v>
      </c>
    </row>
    <row r="834" customFormat="false" ht="16.4" hidden="false" customHeight="false" outlineLevel="0" collapsed="false">
      <c r="A834" s="13" t="str">
        <f aca="false">""</f>
        <v/>
      </c>
      <c r="B834" s="13" t="n">
        <f aca="false">98</f>
        <v>98</v>
      </c>
      <c r="C834" s="13" t="n">
        <f aca="false">IF(Szenarien!$H$10="OK",(IFERROR(SUMIF(Nutzungsprofile!$B$6:$B$11,"Schulbetrieb",Nutzungsprofile!$G$6:$G$11)*Kalender!C102/SUM(Kalender!$C$5:$C$370),0)+IFERROR(SUMIF(Nutzungsprofile!$B$6:$B$11,"Halle",Nutzungsprofile!$G$6:$G$11)*Kalender!D102/SUM(Kalender!$D$5:$D$370),0)+IFERROR(SUMIF(Nutzungsprofile!$B$6:$B$11,"Individuell",Nutzungsprofile!$G$6:$G$11)*Kalender!E102/SUM(Kalender!$E$5:$E$370),0))*Szenarien!$E$10,0)</f>
        <v>3.528</v>
      </c>
      <c r="D834" s="13" t="n">
        <f aca="false">IF(Szenarien!$H$10="OK",(IFERROR(SUMIF(Nutzungsprofile!$B$17:$B$22,"Schulbetrieb",Nutzungsprofile!$G$17:$G$22)*Kalender!C102/SUM(Kalender!$C$5:$C$370),0)+IFERROR(SUMIF(Nutzungsprofile!$B$17:$B$22,"Halle",Nutzungsprofile!$G$17:$G$22)*Kalender!D102/SUM(Kalender!$D$5:$D$370),0)+IFERROR(SUMIF(Nutzungsprofile!$B$17:$B$22,"Individuell",Nutzungsprofile!$G$17:$G$22)*Kalender!E102/SUM(Kalender!$E$5:$E$370),0))*Szenarien!$D$10,0)</f>
        <v>5.434</v>
      </c>
      <c r="E834" s="13" t="n">
        <f aca="false">IFERROR(MIN(C834,Eingaben!$B$17)*Eingaben!$B$16,0)</f>
        <v>3.3516</v>
      </c>
      <c r="F834" s="13" t="n">
        <f aca="false">IFERROR(E834*Eingaben!$B$15,0)</f>
        <v>3.01644</v>
      </c>
      <c r="G834" s="13" t="n">
        <f aca="false">IFERROR(IF(Kalender!A102="",0,J833*(1-Eingaben!$B$20)),0)</f>
        <v>0.88683336</v>
      </c>
      <c r="H834" s="13" t="n">
        <f aca="false">MIN(G834,D834)</f>
        <v>0.88683336</v>
      </c>
      <c r="I834" s="13" t="n">
        <f aca="false">IFERROR(MIN(F834*Eingaben!$B$19,MAX(0,D834-H834)),0)</f>
        <v>2.111508</v>
      </c>
      <c r="J834" s="13" t="n">
        <f aca="false">IFERROR(MIN(Eingaben!$B$18,MAX(0,F834-I834)),0)</f>
        <v>0.904932</v>
      </c>
      <c r="K834" s="13" t="n">
        <f aca="false">H834+I834</f>
        <v>2.99834136</v>
      </c>
      <c r="L834" s="13" t="n">
        <f aca="false">MAX(0,D834-K834)</f>
        <v>2.43565864</v>
      </c>
      <c r="M834" s="13" t="n">
        <f aca="false">MAX(0,F834-I834-J834)</f>
        <v>0</v>
      </c>
      <c r="N834" s="13" t="n">
        <f aca="false">IF(Kalender!A102="",0,J833-H834)</f>
        <v>0.0180986400000001</v>
      </c>
    </row>
    <row r="835" customFormat="false" ht="16.4" hidden="false" customHeight="false" outlineLevel="0" collapsed="false">
      <c r="A835" s="13" t="str">
        <f aca="false">""</f>
        <v/>
      </c>
      <c r="B835" s="13" t="n">
        <f aca="false">99</f>
        <v>99</v>
      </c>
      <c r="C835" s="13" t="n">
        <f aca="false">IF(Szenarien!$H$10="OK",(IFERROR(SUMIF(Nutzungsprofile!$B$6:$B$11,"Schulbetrieb",Nutzungsprofile!$G$6:$G$11)*Kalender!C103/SUM(Kalender!$C$5:$C$370),0)+IFERROR(SUMIF(Nutzungsprofile!$B$6:$B$11,"Halle",Nutzungsprofile!$G$6:$G$11)*Kalender!D103/SUM(Kalender!$D$5:$D$370),0)+IFERROR(SUMIF(Nutzungsprofile!$B$6:$B$11,"Individuell",Nutzungsprofile!$G$6:$G$11)*Kalender!E103/SUM(Kalender!$E$5:$E$370),0))*Szenarien!$E$10,0)</f>
        <v>3.528</v>
      </c>
      <c r="D835" s="13" t="n">
        <f aca="false">IF(Szenarien!$H$10="OK",(IFERROR(SUMIF(Nutzungsprofile!$B$17:$B$22,"Schulbetrieb",Nutzungsprofile!$G$17:$G$22)*Kalender!C103/SUM(Kalender!$C$5:$C$370),0)+IFERROR(SUMIF(Nutzungsprofile!$B$17:$B$22,"Halle",Nutzungsprofile!$G$17:$G$22)*Kalender!D103/SUM(Kalender!$D$5:$D$370),0)+IFERROR(SUMIF(Nutzungsprofile!$B$17:$B$22,"Individuell",Nutzungsprofile!$G$17:$G$22)*Kalender!E103/SUM(Kalender!$E$5:$E$370),0))*Szenarien!$D$10,0)</f>
        <v>5.434</v>
      </c>
      <c r="E835" s="13" t="n">
        <f aca="false">IFERROR(MIN(C835,Eingaben!$B$17)*Eingaben!$B$16,0)</f>
        <v>3.3516</v>
      </c>
      <c r="F835" s="13" t="n">
        <f aca="false">IFERROR(E835*Eingaben!$B$15,0)</f>
        <v>3.01644</v>
      </c>
      <c r="G835" s="13" t="n">
        <f aca="false">IFERROR(IF(Kalender!A103="",0,J834*(1-Eingaben!$B$20)),0)</f>
        <v>0.88683336</v>
      </c>
      <c r="H835" s="13" t="n">
        <f aca="false">MIN(G835,D835)</f>
        <v>0.88683336</v>
      </c>
      <c r="I835" s="13" t="n">
        <f aca="false">IFERROR(MIN(F835*Eingaben!$B$19,MAX(0,D835-H835)),0)</f>
        <v>2.111508</v>
      </c>
      <c r="J835" s="13" t="n">
        <f aca="false">IFERROR(MIN(Eingaben!$B$18,MAX(0,F835-I835)),0)</f>
        <v>0.904932</v>
      </c>
      <c r="K835" s="13" t="n">
        <f aca="false">H835+I835</f>
        <v>2.99834136</v>
      </c>
      <c r="L835" s="13" t="n">
        <f aca="false">MAX(0,D835-K835)</f>
        <v>2.43565864</v>
      </c>
      <c r="M835" s="13" t="n">
        <f aca="false">MAX(0,F835-I835-J835)</f>
        <v>0</v>
      </c>
      <c r="N835" s="13" t="n">
        <f aca="false">IF(Kalender!A103="",0,J834-H835)</f>
        <v>0.0180986400000001</v>
      </c>
    </row>
    <row r="836" customFormat="false" ht="16.4" hidden="false" customHeight="false" outlineLevel="0" collapsed="false">
      <c r="A836" s="13" t="str">
        <f aca="false">""</f>
        <v/>
      </c>
      <c r="B836" s="13" t="n">
        <f aca="false">100</f>
        <v>100</v>
      </c>
      <c r="C836" s="13" t="n">
        <f aca="false">IF(Szenarien!$H$10="OK",(IFERROR(SUMIF(Nutzungsprofile!$B$6:$B$11,"Schulbetrieb",Nutzungsprofile!$G$6:$G$11)*Kalender!C104/SUM(Kalender!$C$5:$C$370),0)+IFERROR(SUMIF(Nutzungsprofile!$B$6:$B$11,"Halle",Nutzungsprofile!$G$6:$G$11)*Kalender!D104/SUM(Kalender!$D$5:$D$370),0)+IFERROR(SUMIF(Nutzungsprofile!$B$6:$B$11,"Individuell",Nutzungsprofile!$G$6:$G$11)*Kalender!E104/SUM(Kalender!$E$5:$E$370),0))*Szenarien!$E$10,0)</f>
        <v>3.528</v>
      </c>
      <c r="D836" s="13" t="n">
        <f aca="false">IF(Szenarien!$H$10="OK",(IFERROR(SUMIF(Nutzungsprofile!$B$17:$B$22,"Schulbetrieb",Nutzungsprofile!$G$17:$G$22)*Kalender!C104/SUM(Kalender!$C$5:$C$370),0)+IFERROR(SUMIF(Nutzungsprofile!$B$17:$B$22,"Halle",Nutzungsprofile!$G$17:$G$22)*Kalender!D104/SUM(Kalender!$D$5:$D$370),0)+IFERROR(SUMIF(Nutzungsprofile!$B$17:$B$22,"Individuell",Nutzungsprofile!$G$17:$G$22)*Kalender!E104/SUM(Kalender!$E$5:$E$370),0))*Szenarien!$D$10,0)</f>
        <v>5.434</v>
      </c>
      <c r="E836" s="13" t="n">
        <f aca="false">IFERROR(MIN(C836,Eingaben!$B$17)*Eingaben!$B$16,0)</f>
        <v>3.3516</v>
      </c>
      <c r="F836" s="13" t="n">
        <f aca="false">IFERROR(E836*Eingaben!$B$15,0)</f>
        <v>3.01644</v>
      </c>
      <c r="G836" s="13" t="n">
        <f aca="false">IFERROR(IF(Kalender!A104="",0,J835*(1-Eingaben!$B$20)),0)</f>
        <v>0.88683336</v>
      </c>
      <c r="H836" s="13" t="n">
        <f aca="false">MIN(G836,D836)</f>
        <v>0.88683336</v>
      </c>
      <c r="I836" s="13" t="n">
        <f aca="false">IFERROR(MIN(F836*Eingaben!$B$19,MAX(0,D836-H836)),0)</f>
        <v>2.111508</v>
      </c>
      <c r="J836" s="13" t="n">
        <f aca="false">IFERROR(MIN(Eingaben!$B$18,MAX(0,F836-I836)),0)</f>
        <v>0.904932</v>
      </c>
      <c r="K836" s="13" t="n">
        <f aca="false">H836+I836</f>
        <v>2.99834136</v>
      </c>
      <c r="L836" s="13" t="n">
        <f aca="false">MAX(0,D836-K836)</f>
        <v>2.43565864</v>
      </c>
      <c r="M836" s="13" t="n">
        <f aca="false">MAX(0,F836-I836-J836)</f>
        <v>0</v>
      </c>
      <c r="N836" s="13" t="n">
        <f aca="false">IF(Kalender!A104="",0,J835-H836)</f>
        <v>0.0180986400000001</v>
      </c>
    </row>
    <row r="837" customFormat="false" ht="16.4" hidden="false" customHeight="false" outlineLevel="0" collapsed="false">
      <c r="A837" s="13" t="str">
        <f aca="false">""</f>
        <v/>
      </c>
      <c r="B837" s="13" t="n">
        <f aca="false">101</f>
        <v>101</v>
      </c>
      <c r="C837" s="13" t="n">
        <f aca="false">IF(Szenarien!$H$10="OK",(IFERROR(SUMIF(Nutzungsprofile!$B$6:$B$11,"Schulbetrieb",Nutzungsprofile!$G$6:$G$11)*Kalender!C105/SUM(Kalender!$C$5:$C$370),0)+IFERROR(SUMIF(Nutzungsprofile!$B$6:$B$11,"Halle",Nutzungsprofile!$G$6:$G$11)*Kalender!D105/SUM(Kalender!$D$5:$D$370),0)+IFERROR(SUMIF(Nutzungsprofile!$B$6:$B$11,"Individuell",Nutzungsprofile!$G$6:$G$11)*Kalender!E105/SUM(Kalender!$E$5:$E$370),0))*Szenarien!$E$10,0)</f>
        <v>2.448</v>
      </c>
      <c r="D837" s="13" t="n">
        <f aca="false">IF(Szenarien!$H$10="OK",(IFERROR(SUMIF(Nutzungsprofile!$B$17:$B$22,"Schulbetrieb",Nutzungsprofile!$G$17:$G$22)*Kalender!C105/SUM(Kalender!$C$5:$C$370),0)+IFERROR(SUMIF(Nutzungsprofile!$B$17:$B$22,"Halle",Nutzungsprofile!$G$17:$G$22)*Kalender!D105/SUM(Kalender!$D$5:$D$370),0)+IFERROR(SUMIF(Nutzungsprofile!$B$17:$B$22,"Individuell",Nutzungsprofile!$G$17:$G$22)*Kalender!E105/SUM(Kalender!$E$5:$E$370),0))*Szenarien!$D$10,0)</f>
        <v>0.979</v>
      </c>
      <c r="E837" s="13" t="n">
        <f aca="false">IFERROR(MIN(C837,Eingaben!$B$17)*Eingaben!$B$16,0)</f>
        <v>2.3256</v>
      </c>
      <c r="F837" s="13" t="n">
        <f aca="false">IFERROR(E837*Eingaben!$B$15,0)</f>
        <v>2.09304</v>
      </c>
      <c r="G837" s="13" t="n">
        <f aca="false">IFERROR(IF(Kalender!A105="",0,J836*(1-Eingaben!$B$20)),0)</f>
        <v>0.88683336</v>
      </c>
      <c r="H837" s="13" t="n">
        <f aca="false">MIN(G837,D837)</f>
        <v>0.88683336</v>
      </c>
      <c r="I837" s="13" t="n">
        <f aca="false">IFERROR(MIN(F837*Eingaben!$B$19,MAX(0,D837-H837)),0)</f>
        <v>0.0921666400000001</v>
      </c>
      <c r="J837" s="13" t="n">
        <f aca="false">IFERROR(MIN(Eingaben!$B$18,MAX(0,F837-I837)),0)</f>
        <v>2</v>
      </c>
      <c r="K837" s="13" t="n">
        <f aca="false">H837+I837</f>
        <v>0.979</v>
      </c>
      <c r="L837" s="13" t="n">
        <f aca="false">MAX(0,D837-K837)</f>
        <v>0</v>
      </c>
      <c r="M837" s="13" t="n">
        <f aca="false">MAX(0,F837-I837-J837)</f>
        <v>0.000873359999999934</v>
      </c>
      <c r="N837" s="13" t="n">
        <f aca="false">IF(Kalender!A105="",0,J836-H837)</f>
        <v>0.0180986400000001</v>
      </c>
    </row>
    <row r="838" customFormat="false" ht="16.4" hidden="false" customHeight="false" outlineLevel="0" collapsed="false">
      <c r="A838" s="13" t="str">
        <f aca="false">""</f>
        <v/>
      </c>
      <c r="B838" s="13" t="n">
        <f aca="false">102</f>
        <v>102</v>
      </c>
      <c r="C838" s="13" t="n">
        <f aca="false">IF(Szenarien!$H$10="OK",(IFERROR(SUMIF(Nutzungsprofile!$B$6:$B$11,"Schulbetrieb",Nutzungsprofile!$G$6:$G$11)*Kalender!C106/SUM(Kalender!$C$5:$C$370),0)+IFERROR(SUMIF(Nutzungsprofile!$B$6:$B$11,"Halle",Nutzungsprofile!$G$6:$G$11)*Kalender!D106/SUM(Kalender!$D$5:$D$370),0)+IFERROR(SUMIF(Nutzungsprofile!$B$6:$B$11,"Individuell",Nutzungsprofile!$G$6:$G$11)*Kalender!E106/SUM(Kalender!$E$5:$E$370),0))*Szenarien!$E$10,0)</f>
        <v>2.448</v>
      </c>
      <c r="D838" s="13" t="n">
        <f aca="false">IF(Szenarien!$H$10="OK",(IFERROR(SUMIF(Nutzungsprofile!$B$17:$B$22,"Schulbetrieb",Nutzungsprofile!$G$17:$G$22)*Kalender!C106/SUM(Kalender!$C$5:$C$370),0)+IFERROR(SUMIF(Nutzungsprofile!$B$17:$B$22,"Halle",Nutzungsprofile!$G$17:$G$22)*Kalender!D106/SUM(Kalender!$D$5:$D$370),0)+IFERROR(SUMIF(Nutzungsprofile!$B$17:$B$22,"Individuell",Nutzungsprofile!$G$17:$G$22)*Kalender!E106/SUM(Kalender!$E$5:$E$370),0))*Szenarien!$D$10,0)</f>
        <v>0.979</v>
      </c>
      <c r="E838" s="13" t="n">
        <f aca="false">IFERROR(MIN(C838,Eingaben!$B$17)*Eingaben!$B$16,0)</f>
        <v>2.3256</v>
      </c>
      <c r="F838" s="13" t="n">
        <f aca="false">IFERROR(E838*Eingaben!$B$15,0)</f>
        <v>2.09304</v>
      </c>
      <c r="G838" s="13" t="n">
        <f aca="false">IFERROR(IF(Kalender!A106="",0,J837*(1-Eingaben!$B$20)),0)</f>
        <v>1.96</v>
      </c>
      <c r="H838" s="13" t="n">
        <f aca="false">MIN(G838,D838)</f>
        <v>0.979</v>
      </c>
      <c r="I838" s="13" t="n">
        <f aca="false">IFERROR(MIN(F838*Eingaben!$B$19,MAX(0,D838-H838)),0)</f>
        <v>0</v>
      </c>
      <c r="J838" s="13" t="n">
        <f aca="false">IFERROR(MIN(Eingaben!$B$18,MAX(0,F838-I838)),0)</f>
        <v>2</v>
      </c>
      <c r="K838" s="13" t="n">
        <f aca="false">H838+I838</f>
        <v>0.979</v>
      </c>
      <c r="L838" s="13" t="n">
        <f aca="false">MAX(0,D838-K838)</f>
        <v>0</v>
      </c>
      <c r="M838" s="13" t="n">
        <f aca="false">MAX(0,F838-I838-J838)</f>
        <v>0.0930399999999998</v>
      </c>
      <c r="N838" s="13" t="n">
        <f aca="false">IF(Kalender!A106="",0,J837-H838)</f>
        <v>1.021</v>
      </c>
    </row>
    <row r="839" customFormat="false" ht="16.4" hidden="false" customHeight="false" outlineLevel="0" collapsed="false">
      <c r="A839" s="13" t="str">
        <f aca="false">""</f>
        <v/>
      </c>
      <c r="B839" s="13" t="n">
        <f aca="false">103</f>
        <v>103</v>
      </c>
      <c r="C839" s="13" t="n">
        <f aca="false">IF(Szenarien!$H$10="OK",(IFERROR(SUMIF(Nutzungsprofile!$B$6:$B$11,"Schulbetrieb",Nutzungsprofile!$G$6:$G$11)*Kalender!C107/SUM(Kalender!$C$5:$C$370),0)+IFERROR(SUMIF(Nutzungsprofile!$B$6:$B$11,"Halle",Nutzungsprofile!$G$6:$G$11)*Kalender!D107/SUM(Kalender!$D$5:$D$370),0)+IFERROR(SUMIF(Nutzungsprofile!$B$6:$B$11,"Individuell",Nutzungsprofile!$G$6:$G$11)*Kalender!E107/SUM(Kalender!$E$5:$E$370),0))*Szenarien!$E$10,0)</f>
        <v>3.528</v>
      </c>
      <c r="D839" s="13" t="n">
        <f aca="false">IF(Szenarien!$H$10="OK",(IFERROR(SUMIF(Nutzungsprofile!$B$17:$B$22,"Schulbetrieb",Nutzungsprofile!$G$17:$G$22)*Kalender!C107/SUM(Kalender!$C$5:$C$370),0)+IFERROR(SUMIF(Nutzungsprofile!$B$17:$B$22,"Halle",Nutzungsprofile!$G$17:$G$22)*Kalender!D107/SUM(Kalender!$D$5:$D$370),0)+IFERROR(SUMIF(Nutzungsprofile!$B$17:$B$22,"Individuell",Nutzungsprofile!$G$17:$G$22)*Kalender!E107/SUM(Kalender!$E$5:$E$370),0))*Szenarien!$D$10,0)</f>
        <v>5.434</v>
      </c>
      <c r="E839" s="13" t="n">
        <f aca="false">IFERROR(MIN(C839,Eingaben!$B$17)*Eingaben!$B$16,0)</f>
        <v>3.3516</v>
      </c>
      <c r="F839" s="13" t="n">
        <f aca="false">IFERROR(E839*Eingaben!$B$15,0)</f>
        <v>3.01644</v>
      </c>
      <c r="G839" s="13" t="n">
        <f aca="false">IFERROR(IF(Kalender!A107="",0,J838*(1-Eingaben!$B$20)),0)</f>
        <v>1.96</v>
      </c>
      <c r="H839" s="13" t="n">
        <f aca="false">MIN(G839,D839)</f>
        <v>1.96</v>
      </c>
      <c r="I839" s="13" t="n">
        <f aca="false">IFERROR(MIN(F839*Eingaben!$B$19,MAX(0,D839-H839)),0)</f>
        <v>2.111508</v>
      </c>
      <c r="J839" s="13" t="n">
        <f aca="false">IFERROR(MIN(Eingaben!$B$18,MAX(0,F839-I839)),0)</f>
        <v>0.904932</v>
      </c>
      <c r="K839" s="13" t="n">
        <f aca="false">H839+I839</f>
        <v>4.071508</v>
      </c>
      <c r="L839" s="13" t="n">
        <f aca="false">MAX(0,D839-K839)</f>
        <v>1.362492</v>
      </c>
      <c r="M839" s="13" t="n">
        <f aca="false">MAX(0,F839-I839-J839)</f>
        <v>0</v>
      </c>
      <c r="N839" s="13" t="n">
        <f aca="false">IF(Kalender!A107="",0,J838-H839)</f>
        <v>0.04</v>
      </c>
    </row>
    <row r="840" customFormat="false" ht="16.4" hidden="false" customHeight="false" outlineLevel="0" collapsed="false">
      <c r="A840" s="13" t="str">
        <f aca="false">""</f>
        <v/>
      </c>
      <c r="B840" s="13" t="n">
        <f aca="false">104</f>
        <v>104</v>
      </c>
      <c r="C840" s="13" t="n">
        <f aca="false">IF(Szenarien!$H$10="OK",(IFERROR(SUMIF(Nutzungsprofile!$B$6:$B$11,"Schulbetrieb",Nutzungsprofile!$G$6:$G$11)*Kalender!C108/SUM(Kalender!$C$5:$C$370),0)+IFERROR(SUMIF(Nutzungsprofile!$B$6:$B$11,"Halle",Nutzungsprofile!$G$6:$G$11)*Kalender!D108/SUM(Kalender!$D$5:$D$370),0)+IFERROR(SUMIF(Nutzungsprofile!$B$6:$B$11,"Individuell",Nutzungsprofile!$G$6:$G$11)*Kalender!E108/SUM(Kalender!$E$5:$E$370),0))*Szenarien!$E$10,0)</f>
        <v>3.528</v>
      </c>
      <c r="D840" s="13" t="n">
        <f aca="false">IF(Szenarien!$H$10="OK",(IFERROR(SUMIF(Nutzungsprofile!$B$17:$B$22,"Schulbetrieb",Nutzungsprofile!$G$17:$G$22)*Kalender!C108/SUM(Kalender!$C$5:$C$370),0)+IFERROR(SUMIF(Nutzungsprofile!$B$17:$B$22,"Halle",Nutzungsprofile!$G$17:$G$22)*Kalender!D108/SUM(Kalender!$D$5:$D$370),0)+IFERROR(SUMIF(Nutzungsprofile!$B$17:$B$22,"Individuell",Nutzungsprofile!$G$17:$G$22)*Kalender!E108/SUM(Kalender!$E$5:$E$370),0))*Szenarien!$D$10,0)</f>
        <v>5.434</v>
      </c>
      <c r="E840" s="13" t="n">
        <f aca="false">IFERROR(MIN(C840,Eingaben!$B$17)*Eingaben!$B$16,0)</f>
        <v>3.3516</v>
      </c>
      <c r="F840" s="13" t="n">
        <f aca="false">IFERROR(E840*Eingaben!$B$15,0)</f>
        <v>3.01644</v>
      </c>
      <c r="G840" s="13" t="n">
        <f aca="false">IFERROR(IF(Kalender!A108="",0,J839*(1-Eingaben!$B$20)),0)</f>
        <v>0.88683336</v>
      </c>
      <c r="H840" s="13" t="n">
        <f aca="false">MIN(G840,D840)</f>
        <v>0.88683336</v>
      </c>
      <c r="I840" s="13" t="n">
        <f aca="false">IFERROR(MIN(F840*Eingaben!$B$19,MAX(0,D840-H840)),0)</f>
        <v>2.111508</v>
      </c>
      <c r="J840" s="13" t="n">
        <f aca="false">IFERROR(MIN(Eingaben!$B$18,MAX(0,F840-I840)),0)</f>
        <v>0.904932</v>
      </c>
      <c r="K840" s="13" t="n">
        <f aca="false">H840+I840</f>
        <v>2.99834136</v>
      </c>
      <c r="L840" s="13" t="n">
        <f aca="false">MAX(0,D840-K840)</f>
        <v>2.43565864</v>
      </c>
      <c r="M840" s="13" t="n">
        <f aca="false">MAX(0,F840-I840-J840)</f>
        <v>0</v>
      </c>
      <c r="N840" s="13" t="n">
        <f aca="false">IF(Kalender!A108="",0,J839-H840)</f>
        <v>0.0180986400000001</v>
      </c>
    </row>
    <row r="841" customFormat="false" ht="16.4" hidden="false" customHeight="false" outlineLevel="0" collapsed="false">
      <c r="A841" s="13" t="str">
        <f aca="false">""</f>
        <v/>
      </c>
      <c r="B841" s="13" t="n">
        <f aca="false">105</f>
        <v>105</v>
      </c>
      <c r="C841" s="13" t="n">
        <f aca="false">IF(Szenarien!$H$10="OK",(IFERROR(SUMIF(Nutzungsprofile!$B$6:$B$11,"Schulbetrieb",Nutzungsprofile!$G$6:$G$11)*Kalender!C109/SUM(Kalender!$C$5:$C$370),0)+IFERROR(SUMIF(Nutzungsprofile!$B$6:$B$11,"Halle",Nutzungsprofile!$G$6:$G$11)*Kalender!D109/SUM(Kalender!$D$5:$D$370),0)+IFERROR(SUMIF(Nutzungsprofile!$B$6:$B$11,"Individuell",Nutzungsprofile!$G$6:$G$11)*Kalender!E109/SUM(Kalender!$E$5:$E$370),0))*Szenarien!$E$10,0)</f>
        <v>3.528</v>
      </c>
      <c r="D841" s="13" t="n">
        <f aca="false">IF(Szenarien!$H$10="OK",(IFERROR(SUMIF(Nutzungsprofile!$B$17:$B$22,"Schulbetrieb",Nutzungsprofile!$G$17:$G$22)*Kalender!C109/SUM(Kalender!$C$5:$C$370),0)+IFERROR(SUMIF(Nutzungsprofile!$B$17:$B$22,"Halle",Nutzungsprofile!$G$17:$G$22)*Kalender!D109/SUM(Kalender!$D$5:$D$370),0)+IFERROR(SUMIF(Nutzungsprofile!$B$17:$B$22,"Individuell",Nutzungsprofile!$G$17:$G$22)*Kalender!E109/SUM(Kalender!$E$5:$E$370),0))*Szenarien!$D$10,0)</f>
        <v>5.434</v>
      </c>
      <c r="E841" s="13" t="n">
        <f aca="false">IFERROR(MIN(C841,Eingaben!$B$17)*Eingaben!$B$16,0)</f>
        <v>3.3516</v>
      </c>
      <c r="F841" s="13" t="n">
        <f aca="false">IFERROR(E841*Eingaben!$B$15,0)</f>
        <v>3.01644</v>
      </c>
      <c r="G841" s="13" t="n">
        <f aca="false">IFERROR(IF(Kalender!A109="",0,J840*(1-Eingaben!$B$20)),0)</f>
        <v>0.88683336</v>
      </c>
      <c r="H841" s="13" t="n">
        <f aca="false">MIN(G841,D841)</f>
        <v>0.88683336</v>
      </c>
      <c r="I841" s="13" t="n">
        <f aca="false">IFERROR(MIN(F841*Eingaben!$B$19,MAX(0,D841-H841)),0)</f>
        <v>2.111508</v>
      </c>
      <c r="J841" s="13" t="n">
        <f aca="false">IFERROR(MIN(Eingaben!$B$18,MAX(0,F841-I841)),0)</f>
        <v>0.904932</v>
      </c>
      <c r="K841" s="13" t="n">
        <f aca="false">H841+I841</f>
        <v>2.99834136</v>
      </c>
      <c r="L841" s="13" t="n">
        <f aca="false">MAX(0,D841-K841)</f>
        <v>2.43565864</v>
      </c>
      <c r="M841" s="13" t="n">
        <f aca="false">MAX(0,F841-I841-J841)</f>
        <v>0</v>
      </c>
      <c r="N841" s="13" t="n">
        <f aca="false">IF(Kalender!A109="",0,J840-H841)</f>
        <v>0.0180986400000001</v>
      </c>
    </row>
    <row r="842" customFormat="false" ht="16.4" hidden="false" customHeight="false" outlineLevel="0" collapsed="false">
      <c r="A842" s="13" t="str">
        <f aca="false">""</f>
        <v/>
      </c>
      <c r="B842" s="13" t="n">
        <f aca="false">106</f>
        <v>106</v>
      </c>
      <c r="C842" s="13" t="n">
        <f aca="false">IF(Szenarien!$H$10="OK",(IFERROR(SUMIF(Nutzungsprofile!$B$6:$B$11,"Schulbetrieb",Nutzungsprofile!$G$6:$G$11)*Kalender!C110/SUM(Kalender!$C$5:$C$370),0)+IFERROR(SUMIF(Nutzungsprofile!$B$6:$B$11,"Halle",Nutzungsprofile!$G$6:$G$11)*Kalender!D110/SUM(Kalender!$D$5:$D$370),0)+IFERROR(SUMIF(Nutzungsprofile!$B$6:$B$11,"Individuell",Nutzungsprofile!$G$6:$G$11)*Kalender!E110/SUM(Kalender!$E$5:$E$370),0))*Szenarien!$E$10,0)</f>
        <v>3.528</v>
      </c>
      <c r="D842" s="13" t="n">
        <f aca="false">IF(Szenarien!$H$10="OK",(IFERROR(SUMIF(Nutzungsprofile!$B$17:$B$22,"Schulbetrieb",Nutzungsprofile!$G$17:$G$22)*Kalender!C110/SUM(Kalender!$C$5:$C$370),0)+IFERROR(SUMIF(Nutzungsprofile!$B$17:$B$22,"Halle",Nutzungsprofile!$G$17:$G$22)*Kalender!D110/SUM(Kalender!$D$5:$D$370),0)+IFERROR(SUMIF(Nutzungsprofile!$B$17:$B$22,"Individuell",Nutzungsprofile!$G$17:$G$22)*Kalender!E110/SUM(Kalender!$E$5:$E$370),0))*Szenarien!$D$10,0)</f>
        <v>5.434</v>
      </c>
      <c r="E842" s="13" t="n">
        <f aca="false">IFERROR(MIN(C842,Eingaben!$B$17)*Eingaben!$B$16,0)</f>
        <v>3.3516</v>
      </c>
      <c r="F842" s="13" t="n">
        <f aca="false">IFERROR(E842*Eingaben!$B$15,0)</f>
        <v>3.01644</v>
      </c>
      <c r="G842" s="13" t="n">
        <f aca="false">IFERROR(IF(Kalender!A110="",0,J841*(1-Eingaben!$B$20)),0)</f>
        <v>0.88683336</v>
      </c>
      <c r="H842" s="13" t="n">
        <f aca="false">MIN(G842,D842)</f>
        <v>0.88683336</v>
      </c>
      <c r="I842" s="13" t="n">
        <f aca="false">IFERROR(MIN(F842*Eingaben!$B$19,MAX(0,D842-H842)),0)</f>
        <v>2.111508</v>
      </c>
      <c r="J842" s="13" t="n">
        <f aca="false">IFERROR(MIN(Eingaben!$B$18,MAX(0,F842-I842)),0)</f>
        <v>0.904932</v>
      </c>
      <c r="K842" s="13" t="n">
        <f aca="false">H842+I842</f>
        <v>2.99834136</v>
      </c>
      <c r="L842" s="13" t="n">
        <f aca="false">MAX(0,D842-K842)</f>
        <v>2.43565864</v>
      </c>
      <c r="M842" s="13" t="n">
        <f aca="false">MAX(0,F842-I842-J842)</f>
        <v>0</v>
      </c>
      <c r="N842" s="13" t="n">
        <f aca="false">IF(Kalender!A110="",0,J841-H842)</f>
        <v>0.0180986400000001</v>
      </c>
    </row>
    <row r="843" customFormat="false" ht="16.4" hidden="false" customHeight="false" outlineLevel="0" collapsed="false">
      <c r="A843" s="13" t="str">
        <f aca="false">""</f>
        <v/>
      </c>
      <c r="B843" s="13" t="n">
        <f aca="false">107</f>
        <v>107</v>
      </c>
      <c r="C843" s="13" t="n">
        <f aca="false">IF(Szenarien!$H$10="OK",(IFERROR(SUMIF(Nutzungsprofile!$B$6:$B$11,"Schulbetrieb",Nutzungsprofile!$G$6:$G$11)*Kalender!C111/SUM(Kalender!$C$5:$C$370),0)+IFERROR(SUMIF(Nutzungsprofile!$B$6:$B$11,"Halle",Nutzungsprofile!$G$6:$G$11)*Kalender!D111/SUM(Kalender!$D$5:$D$370),0)+IFERROR(SUMIF(Nutzungsprofile!$B$6:$B$11,"Individuell",Nutzungsprofile!$G$6:$G$11)*Kalender!E111/SUM(Kalender!$E$5:$E$370),0))*Szenarien!$E$10,0)</f>
        <v>3.528</v>
      </c>
      <c r="D843" s="13" t="n">
        <f aca="false">IF(Szenarien!$H$10="OK",(IFERROR(SUMIF(Nutzungsprofile!$B$17:$B$22,"Schulbetrieb",Nutzungsprofile!$G$17:$G$22)*Kalender!C111/SUM(Kalender!$C$5:$C$370),0)+IFERROR(SUMIF(Nutzungsprofile!$B$17:$B$22,"Halle",Nutzungsprofile!$G$17:$G$22)*Kalender!D111/SUM(Kalender!$D$5:$D$370),0)+IFERROR(SUMIF(Nutzungsprofile!$B$17:$B$22,"Individuell",Nutzungsprofile!$G$17:$G$22)*Kalender!E111/SUM(Kalender!$E$5:$E$370),0))*Szenarien!$D$10,0)</f>
        <v>5.434</v>
      </c>
      <c r="E843" s="13" t="n">
        <f aca="false">IFERROR(MIN(C843,Eingaben!$B$17)*Eingaben!$B$16,0)</f>
        <v>3.3516</v>
      </c>
      <c r="F843" s="13" t="n">
        <f aca="false">IFERROR(E843*Eingaben!$B$15,0)</f>
        <v>3.01644</v>
      </c>
      <c r="G843" s="13" t="n">
        <f aca="false">IFERROR(IF(Kalender!A111="",0,J842*(1-Eingaben!$B$20)),0)</f>
        <v>0.88683336</v>
      </c>
      <c r="H843" s="13" t="n">
        <f aca="false">MIN(G843,D843)</f>
        <v>0.88683336</v>
      </c>
      <c r="I843" s="13" t="n">
        <f aca="false">IFERROR(MIN(F843*Eingaben!$B$19,MAX(0,D843-H843)),0)</f>
        <v>2.111508</v>
      </c>
      <c r="J843" s="13" t="n">
        <f aca="false">IFERROR(MIN(Eingaben!$B$18,MAX(0,F843-I843)),0)</f>
        <v>0.904932</v>
      </c>
      <c r="K843" s="13" t="n">
        <f aca="false">H843+I843</f>
        <v>2.99834136</v>
      </c>
      <c r="L843" s="13" t="n">
        <f aca="false">MAX(0,D843-K843)</f>
        <v>2.43565864</v>
      </c>
      <c r="M843" s="13" t="n">
        <f aca="false">MAX(0,F843-I843-J843)</f>
        <v>0</v>
      </c>
      <c r="N843" s="13" t="n">
        <f aca="false">IF(Kalender!A111="",0,J842-H843)</f>
        <v>0.0180986400000001</v>
      </c>
    </row>
    <row r="844" customFormat="false" ht="16.4" hidden="false" customHeight="false" outlineLevel="0" collapsed="false">
      <c r="A844" s="13" t="str">
        <f aca="false">""</f>
        <v/>
      </c>
      <c r="B844" s="13" t="n">
        <f aca="false">108</f>
        <v>108</v>
      </c>
      <c r="C844" s="13" t="n">
        <f aca="false">IF(Szenarien!$H$10="OK",(IFERROR(SUMIF(Nutzungsprofile!$B$6:$B$11,"Schulbetrieb",Nutzungsprofile!$G$6:$G$11)*Kalender!C112/SUM(Kalender!$C$5:$C$370),0)+IFERROR(SUMIF(Nutzungsprofile!$B$6:$B$11,"Halle",Nutzungsprofile!$G$6:$G$11)*Kalender!D112/SUM(Kalender!$D$5:$D$370),0)+IFERROR(SUMIF(Nutzungsprofile!$B$6:$B$11,"Individuell",Nutzungsprofile!$G$6:$G$11)*Kalender!E112/SUM(Kalender!$E$5:$E$370),0))*Szenarien!$E$10,0)</f>
        <v>2.448</v>
      </c>
      <c r="D844" s="13" t="n">
        <f aca="false">IF(Szenarien!$H$10="OK",(IFERROR(SUMIF(Nutzungsprofile!$B$17:$B$22,"Schulbetrieb",Nutzungsprofile!$G$17:$G$22)*Kalender!C112/SUM(Kalender!$C$5:$C$370),0)+IFERROR(SUMIF(Nutzungsprofile!$B$17:$B$22,"Halle",Nutzungsprofile!$G$17:$G$22)*Kalender!D112/SUM(Kalender!$D$5:$D$370),0)+IFERROR(SUMIF(Nutzungsprofile!$B$17:$B$22,"Individuell",Nutzungsprofile!$G$17:$G$22)*Kalender!E112/SUM(Kalender!$E$5:$E$370),0))*Szenarien!$D$10,0)</f>
        <v>0.979</v>
      </c>
      <c r="E844" s="13" t="n">
        <f aca="false">IFERROR(MIN(C844,Eingaben!$B$17)*Eingaben!$B$16,0)</f>
        <v>2.3256</v>
      </c>
      <c r="F844" s="13" t="n">
        <f aca="false">IFERROR(E844*Eingaben!$B$15,0)</f>
        <v>2.09304</v>
      </c>
      <c r="G844" s="13" t="n">
        <f aca="false">IFERROR(IF(Kalender!A112="",0,J843*(1-Eingaben!$B$20)),0)</f>
        <v>0.88683336</v>
      </c>
      <c r="H844" s="13" t="n">
        <f aca="false">MIN(G844,D844)</f>
        <v>0.88683336</v>
      </c>
      <c r="I844" s="13" t="n">
        <f aca="false">IFERROR(MIN(F844*Eingaben!$B$19,MAX(0,D844-H844)),0)</f>
        <v>0.0921666400000001</v>
      </c>
      <c r="J844" s="13" t="n">
        <f aca="false">IFERROR(MIN(Eingaben!$B$18,MAX(0,F844-I844)),0)</f>
        <v>2</v>
      </c>
      <c r="K844" s="13" t="n">
        <f aca="false">H844+I844</f>
        <v>0.979</v>
      </c>
      <c r="L844" s="13" t="n">
        <f aca="false">MAX(0,D844-K844)</f>
        <v>0</v>
      </c>
      <c r="M844" s="13" t="n">
        <f aca="false">MAX(0,F844-I844-J844)</f>
        <v>0.000873359999999934</v>
      </c>
      <c r="N844" s="13" t="n">
        <f aca="false">IF(Kalender!A112="",0,J843-H844)</f>
        <v>0.0180986400000001</v>
      </c>
    </row>
    <row r="845" customFormat="false" ht="16.4" hidden="false" customHeight="false" outlineLevel="0" collapsed="false">
      <c r="A845" s="13" t="str">
        <f aca="false">""</f>
        <v/>
      </c>
      <c r="B845" s="13" t="n">
        <f aca="false">109</f>
        <v>109</v>
      </c>
      <c r="C845" s="13" t="n">
        <f aca="false">IF(Szenarien!$H$10="OK",(IFERROR(SUMIF(Nutzungsprofile!$B$6:$B$11,"Schulbetrieb",Nutzungsprofile!$G$6:$G$11)*Kalender!C113/SUM(Kalender!$C$5:$C$370),0)+IFERROR(SUMIF(Nutzungsprofile!$B$6:$B$11,"Halle",Nutzungsprofile!$G$6:$G$11)*Kalender!D113/SUM(Kalender!$D$5:$D$370),0)+IFERROR(SUMIF(Nutzungsprofile!$B$6:$B$11,"Individuell",Nutzungsprofile!$G$6:$G$11)*Kalender!E113/SUM(Kalender!$E$5:$E$370),0))*Szenarien!$E$10,0)</f>
        <v>2.448</v>
      </c>
      <c r="D845" s="13" t="n">
        <f aca="false">IF(Szenarien!$H$10="OK",(IFERROR(SUMIF(Nutzungsprofile!$B$17:$B$22,"Schulbetrieb",Nutzungsprofile!$G$17:$G$22)*Kalender!C113/SUM(Kalender!$C$5:$C$370),0)+IFERROR(SUMIF(Nutzungsprofile!$B$17:$B$22,"Halle",Nutzungsprofile!$G$17:$G$22)*Kalender!D113/SUM(Kalender!$D$5:$D$370),0)+IFERROR(SUMIF(Nutzungsprofile!$B$17:$B$22,"Individuell",Nutzungsprofile!$G$17:$G$22)*Kalender!E113/SUM(Kalender!$E$5:$E$370),0))*Szenarien!$D$10,0)</f>
        <v>0.979</v>
      </c>
      <c r="E845" s="13" t="n">
        <f aca="false">IFERROR(MIN(C845,Eingaben!$B$17)*Eingaben!$B$16,0)</f>
        <v>2.3256</v>
      </c>
      <c r="F845" s="13" t="n">
        <f aca="false">IFERROR(E845*Eingaben!$B$15,0)</f>
        <v>2.09304</v>
      </c>
      <c r="G845" s="13" t="n">
        <f aca="false">IFERROR(IF(Kalender!A113="",0,J844*(1-Eingaben!$B$20)),0)</f>
        <v>1.96</v>
      </c>
      <c r="H845" s="13" t="n">
        <f aca="false">MIN(G845,D845)</f>
        <v>0.979</v>
      </c>
      <c r="I845" s="13" t="n">
        <f aca="false">IFERROR(MIN(F845*Eingaben!$B$19,MAX(0,D845-H845)),0)</f>
        <v>0</v>
      </c>
      <c r="J845" s="13" t="n">
        <f aca="false">IFERROR(MIN(Eingaben!$B$18,MAX(0,F845-I845)),0)</f>
        <v>2</v>
      </c>
      <c r="K845" s="13" t="n">
        <f aca="false">H845+I845</f>
        <v>0.979</v>
      </c>
      <c r="L845" s="13" t="n">
        <f aca="false">MAX(0,D845-K845)</f>
        <v>0</v>
      </c>
      <c r="M845" s="13" t="n">
        <f aca="false">MAX(0,F845-I845-J845)</f>
        <v>0.0930399999999998</v>
      </c>
      <c r="N845" s="13" t="n">
        <f aca="false">IF(Kalender!A113="",0,J844-H845)</f>
        <v>1.021</v>
      </c>
    </row>
    <row r="846" customFormat="false" ht="16.4" hidden="false" customHeight="false" outlineLevel="0" collapsed="false">
      <c r="A846" s="13" t="str">
        <f aca="false">""</f>
        <v/>
      </c>
      <c r="B846" s="13" t="n">
        <f aca="false">110</f>
        <v>110</v>
      </c>
      <c r="C846" s="13" t="n">
        <f aca="false">IF(Szenarien!$H$10="OK",(IFERROR(SUMIF(Nutzungsprofile!$B$6:$B$11,"Schulbetrieb",Nutzungsprofile!$G$6:$G$11)*Kalender!C114/SUM(Kalender!$C$5:$C$370),0)+IFERROR(SUMIF(Nutzungsprofile!$B$6:$B$11,"Halle",Nutzungsprofile!$G$6:$G$11)*Kalender!D114/SUM(Kalender!$D$5:$D$370),0)+IFERROR(SUMIF(Nutzungsprofile!$B$6:$B$11,"Individuell",Nutzungsprofile!$G$6:$G$11)*Kalender!E114/SUM(Kalender!$E$5:$E$370),0))*Szenarien!$E$10,0)</f>
        <v>3.528</v>
      </c>
      <c r="D846" s="13" t="n">
        <f aca="false">IF(Szenarien!$H$10="OK",(IFERROR(SUMIF(Nutzungsprofile!$B$17:$B$22,"Schulbetrieb",Nutzungsprofile!$G$17:$G$22)*Kalender!C114/SUM(Kalender!$C$5:$C$370),0)+IFERROR(SUMIF(Nutzungsprofile!$B$17:$B$22,"Halle",Nutzungsprofile!$G$17:$G$22)*Kalender!D114/SUM(Kalender!$D$5:$D$370),0)+IFERROR(SUMIF(Nutzungsprofile!$B$17:$B$22,"Individuell",Nutzungsprofile!$G$17:$G$22)*Kalender!E114/SUM(Kalender!$E$5:$E$370),0))*Szenarien!$D$10,0)</f>
        <v>5.434</v>
      </c>
      <c r="E846" s="13" t="n">
        <f aca="false">IFERROR(MIN(C846,Eingaben!$B$17)*Eingaben!$B$16,0)</f>
        <v>3.3516</v>
      </c>
      <c r="F846" s="13" t="n">
        <f aca="false">IFERROR(E846*Eingaben!$B$15,0)</f>
        <v>3.01644</v>
      </c>
      <c r="G846" s="13" t="n">
        <f aca="false">IFERROR(IF(Kalender!A114="",0,J845*(1-Eingaben!$B$20)),0)</f>
        <v>1.96</v>
      </c>
      <c r="H846" s="13" t="n">
        <f aca="false">MIN(G846,D846)</f>
        <v>1.96</v>
      </c>
      <c r="I846" s="13" t="n">
        <f aca="false">IFERROR(MIN(F846*Eingaben!$B$19,MAX(0,D846-H846)),0)</f>
        <v>2.111508</v>
      </c>
      <c r="J846" s="13" t="n">
        <f aca="false">IFERROR(MIN(Eingaben!$B$18,MAX(0,F846-I846)),0)</f>
        <v>0.904932</v>
      </c>
      <c r="K846" s="13" t="n">
        <f aca="false">H846+I846</f>
        <v>4.071508</v>
      </c>
      <c r="L846" s="13" t="n">
        <f aca="false">MAX(0,D846-K846)</f>
        <v>1.362492</v>
      </c>
      <c r="M846" s="13" t="n">
        <f aca="false">MAX(0,F846-I846-J846)</f>
        <v>0</v>
      </c>
      <c r="N846" s="13" t="n">
        <f aca="false">IF(Kalender!A114="",0,J845-H846)</f>
        <v>0.04</v>
      </c>
    </row>
    <row r="847" customFormat="false" ht="16.4" hidden="false" customHeight="false" outlineLevel="0" collapsed="false">
      <c r="A847" s="13" t="str">
        <f aca="false">""</f>
        <v/>
      </c>
      <c r="B847" s="13" t="n">
        <f aca="false">111</f>
        <v>111</v>
      </c>
      <c r="C847" s="13" t="n">
        <f aca="false">IF(Szenarien!$H$10="OK",(IFERROR(SUMIF(Nutzungsprofile!$B$6:$B$11,"Schulbetrieb",Nutzungsprofile!$G$6:$G$11)*Kalender!C115/SUM(Kalender!$C$5:$C$370),0)+IFERROR(SUMIF(Nutzungsprofile!$B$6:$B$11,"Halle",Nutzungsprofile!$G$6:$G$11)*Kalender!D115/SUM(Kalender!$D$5:$D$370),0)+IFERROR(SUMIF(Nutzungsprofile!$B$6:$B$11,"Individuell",Nutzungsprofile!$G$6:$G$11)*Kalender!E115/SUM(Kalender!$E$5:$E$370),0))*Szenarien!$E$10,0)</f>
        <v>3.528</v>
      </c>
      <c r="D847" s="13" t="n">
        <f aca="false">IF(Szenarien!$H$10="OK",(IFERROR(SUMIF(Nutzungsprofile!$B$17:$B$22,"Schulbetrieb",Nutzungsprofile!$G$17:$G$22)*Kalender!C115/SUM(Kalender!$C$5:$C$370),0)+IFERROR(SUMIF(Nutzungsprofile!$B$17:$B$22,"Halle",Nutzungsprofile!$G$17:$G$22)*Kalender!D115/SUM(Kalender!$D$5:$D$370),0)+IFERROR(SUMIF(Nutzungsprofile!$B$17:$B$22,"Individuell",Nutzungsprofile!$G$17:$G$22)*Kalender!E115/SUM(Kalender!$E$5:$E$370),0))*Szenarien!$D$10,0)</f>
        <v>5.434</v>
      </c>
      <c r="E847" s="13" t="n">
        <f aca="false">IFERROR(MIN(C847,Eingaben!$B$17)*Eingaben!$B$16,0)</f>
        <v>3.3516</v>
      </c>
      <c r="F847" s="13" t="n">
        <f aca="false">IFERROR(E847*Eingaben!$B$15,0)</f>
        <v>3.01644</v>
      </c>
      <c r="G847" s="13" t="n">
        <f aca="false">IFERROR(IF(Kalender!A115="",0,J846*(1-Eingaben!$B$20)),0)</f>
        <v>0.88683336</v>
      </c>
      <c r="H847" s="13" t="n">
        <f aca="false">MIN(G847,D847)</f>
        <v>0.88683336</v>
      </c>
      <c r="I847" s="13" t="n">
        <f aca="false">IFERROR(MIN(F847*Eingaben!$B$19,MAX(0,D847-H847)),0)</f>
        <v>2.111508</v>
      </c>
      <c r="J847" s="13" t="n">
        <f aca="false">IFERROR(MIN(Eingaben!$B$18,MAX(0,F847-I847)),0)</f>
        <v>0.904932</v>
      </c>
      <c r="K847" s="13" t="n">
        <f aca="false">H847+I847</f>
        <v>2.99834136</v>
      </c>
      <c r="L847" s="13" t="n">
        <f aca="false">MAX(0,D847-K847)</f>
        <v>2.43565864</v>
      </c>
      <c r="M847" s="13" t="n">
        <f aca="false">MAX(0,F847-I847-J847)</f>
        <v>0</v>
      </c>
      <c r="N847" s="13" t="n">
        <f aca="false">IF(Kalender!A115="",0,J846-H847)</f>
        <v>0.0180986400000001</v>
      </c>
    </row>
    <row r="848" customFormat="false" ht="16.4" hidden="false" customHeight="false" outlineLevel="0" collapsed="false">
      <c r="A848" s="13" t="str">
        <f aca="false">""</f>
        <v/>
      </c>
      <c r="B848" s="13" t="n">
        <f aca="false">112</f>
        <v>112</v>
      </c>
      <c r="C848" s="13" t="n">
        <f aca="false">IF(Szenarien!$H$10="OK",(IFERROR(SUMIF(Nutzungsprofile!$B$6:$B$11,"Schulbetrieb",Nutzungsprofile!$G$6:$G$11)*Kalender!C116/SUM(Kalender!$C$5:$C$370),0)+IFERROR(SUMIF(Nutzungsprofile!$B$6:$B$11,"Halle",Nutzungsprofile!$G$6:$G$11)*Kalender!D116/SUM(Kalender!$D$5:$D$370),0)+IFERROR(SUMIF(Nutzungsprofile!$B$6:$B$11,"Individuell",Nutzungsprofile!$G$6:$G$11)*Kalender!E116/SUM(Kalender!$E$5:$E$370),0))*Szenarien!$E$10,0)</f>
        <v>3.528</v>
      </c>
      <c r="D848" s="13" t="n">
        <f aca="false">IF(Szenarien!$H$10="OK",(IFERROR(SUMIF(Nutzungsprofile!$B$17:$B$22,"Schulbetrieb",Nutzungsprofile!$G$17:$G$22)*Kalender!C116/SUM(Kalender!$C$5:$C$370),0)+IFERROR(SUMIF(Nutzungsprofile!$B$17:$B$22,"Halle",Nutzungsprofile!$G$17:$G$22)*Kalender!D116/SUM(Kalender!$D$5:$D$370),0)+IFERROR(SUMIF(Nutzungsprofile!$B$17:$B$22,"Individuell",Nutzungsprofile!$G$17:$G$22)*Kalender!E116/SUM(Kalender!$E$5:$E$370),0))*Szenarien!$D$10,0)</f>
        <v>5.434</v>
      </c>
      <c r="E848" s="13" t="n">
        <f aca="false">IFERROR(MIN(C848,Eingaben!$B$17)*Eingaben!$B$16,0)</f>
        <v>3.3516</v>
      </c>
      <c r="F848" s="13" t="n">
        <f aca="false">IFERROR(E848*Eingaben!$B$15,0)</f>
        <v>3.01644</v>
      </c>
      <c r="G848" s="13" t="n">
        <f aca="false">IFERROR(IF(Kalender!A116="",0,J847*(1-Eingaben!$B$20)),0)</f>
        <v>0.88683336</v>
      </c>
      <c r="H848" s="13" t="n">
        <f aca="false">MIN(G848,D848)</f>
        <v>0.88683336</v>
      </c>
      <c r="I848" s="13" t="n">
        <f aca="false">IFERROR(MIN(F848*Eingaben!$B$19,MAX(0,D848-H848)),0)</f>
        <v>2.111508</v>
      </c>
      <c r="J848" s="13" t="n">
        <f aca="false">IFERROR(MIN(Eingaben!$B$18,MAX(0,F848-I848)),0)</f>
        <v>0.904932</v>
      </c>
      <c r="K848" s="13" t="n">
        <f aca="false">H848+I848</f>
        <v>2.99834136</v>
      </c>
      <c r="L848" s="13" t="n">
        <f aca="false">MAX(0,D848-K848)</f>
        <v>2.43565864</v>
      </c>
      <c r="M848" s="13" t="n">
        <f aca="false">MAX(0,F848-I848-J848)</f>
        <v>0</v>
      </c>
      <c r="N848" s="13" t="n">
        <f aca="false">IF(Kalender!A116="",0,J847-H848)</f>
        <v>0.0180986400000001</v>
      </c>
    </row>
    <row r="849" customFormat="false" ht="16.4" hidden="false" customHeight="false" outlineLevel="0" collapsed="false">
      <c r="A849" s="13" t="str">
        <f aca="false">""</f>
        <v/>
      </c>
      <c r="B849" s="13" t="n">
        <f aca="false">113</f>
        <v>113</v>
      </c>
      <c r="C849" s="13" t="n">
        <f aca="false">IF(Szenarien!$H$10="OK",(IFERROR(SUMIF(Nutzungsprofile!$B$6:$B$11,"Schulbetrieb",Nutzungsprofile!$G$6:$G$11)*Kalender!C117/SUM(Kalender!$C$5:$C$370),0)+IFERROR(SUMIF(Nutzungsprofile!$B$6:$B$11,"Halle",Nutzungsprofile!$G$6:$G$11)*Kalender!D117/SUM(Kalender!$D$5:$D$370),0)+IFERROR(SUMIF(Nutzungsprofile!$B$6:$B$11,"Individuell",Nutzungsprofile!$G$6:$G$11)*Kalender!E117/SUM(Kalender!$E$5:$E$370),0))*Szenarien!$E$10,0)</f>
        <v>3.528</v>
      </c>
      <c r="D849" s="13" t="n">
        <f aca="false">IF(Szenarien!$H$10="OK",(IFERROR(SUMIF(Nutzungsprofile!$B$17:$B$22,"Schulbetrieb",Nutzungsprofile!$G$17:$G$22)*Kalender!C117/SUM(Kalender!$C$5:$C$370),0)+IFERROR(SUMIF(Nutzungsprofile!$B$17:$B$22,"Halle",Nutzungsprofile!$G$17:$G$22)*Kalender!D117/SUM(Kalender!$D$5:$D$370),0)+IFERROR(SUMIF(Nutzungsprofile!$B$17:$B$22,"Individuell",Nutzungsprofile!$G$17:$G$22)*Kalender!E117/SUM(Kalender!$E$5:$E$370),0))*Szenarien!$D$10,0)</f>
        <v>5.434</v>
      </c>
      <c r="E849" s="13" t="n">
        <f aca="false">IFERROR(MIN(C849,Eingaben!$B$17)*Eingaben!$B$16,0)</f>
        <v>3.3516</v>
      </c>
      <c r="F849" s="13" t="n">
        <f aca="false">IFERROR(E849*Eingaben!$B$15,0)</f>
        <v>3.01644</v>
      </c>
      <c r="G849" s="13" t="n">
        <f aca="false">IFERROR(IF(Kalender!A117="",0,J848*(1-Eingaben!$B$20)),0)</f>
        <v>0.88683336</v>
      </c>
      <c r="H849" s="13" t="n">
        <f aca="false">MIN(G849,D849)</f>
        <v>0.88683336</v>
      </c>
      <c r="I849" s="13" t="n">
        <f aca="false">IFERROR(MIN(F849*Eingaben!$B$19,MAX(0,D849-H849)),0)</f>
        <v>2.111508</v>
      </c>
      <c r="J849" s="13" t="n">
        <f aca="false">IFERROR(MIN(Eingaben!$B$18,MAX(0,F849-I849)),0)</f>
        <v>0.904932</v>
      </c>
      <c r="K849" s="13" t="n">
        <f aca="false">H849+I849</f>
        <v>2.99834136</v>
      </c>
      <c r="L849" s="13" t="n">
        <f aca="false">MAX(0,D849-K849)</f>
        <v>2.43565864</v>
      </c>
      <c r="M849" s="13" t="n">
        <f aca="false">MAX(0,F849-I849-J849)</f>
        <v>0</v>
      </c>
      <c r="N849" s="13" t="n">
        <f aca="false">IF(Kalender!A117="",0,J848-H849)</f>
        <v>0.0180986400000001</v>
      </c>
    </row>
    <row r="850" customFormat="false" ht="16.4" hidden="false" customHeight="false" outlineLevel="0" collapsed="false">
      <c r="A850" s="13" t="str">
        <f aca="false">""</f>
        <v/>
      </c>
      <c r="B850" s="13" t="n">
        <f aca="false">114</f>
        <v>114</v>
      </c>
      <c r="C850" s="13" t="n">
        <f aca="false">IF(Szenarien!$H$10="OK",(IFERROR(SUMIF(Nutzungsprofile!$B$6:$B$11,"Schulbetrieb",Nutzungsprofile!$G$6:$G$11)*Kalender!C118/SUM(Kalender!$C$5:$C$370),0)+IFERROR(SUMIF(Nutzungsprofile!$B$6:$B$11,"Halle",Nutzungsprofile!$G$6:$G$11)*Kalender!D118/SUM(Kalender!$D$5:$D$370),0)+IFERROR(SUMIF(Nutzungsprofile!$B$6:$B$11,"Individuell",Nutzungsprofile!$G$6:$G$11)*Kalender!E118/SUM(Kalender!$E$5:$E$370),0))*Szenarien!$E$10,0)</f>
        <v>3.528</v>
      </c>
      <c r="D850" s="13" t="n">
        <f aca="false">IF(Szenarien!$H$10="OK",(IFERROR(SUMIF(Nutzungsprofile!$B$17:$B$22,"Schulbetrieb",Nutzungsprofile!$G$17:$G$22)*Kalender!C118/SUM(Kalender!$C$5:$C$370),0)+IFERROR(SUMIF(Nutzungsprofile!$B$17:$B$22,"Halle",Nutzungsprofile!$G$17:$G$22)*Kalender!D118/SUM(Kalender!$D$5:$D$370),0)+IFERROR(SUMIF(Nutzungsprofile!$B$17:$B$22,"Individuell",Nutzungsprofile!$G$17:$G$22)*Kalender!E118/SUM(Kalender!$E$5:$E$370),0))*Szenarien!$D$10,0)</f>
        <v>5.434</v>
      </c>
      <c r="E850" s="13" t="n">
        <f aca="false">IFERROR(MIN(C850,Eingaben!$B$17)*Eingaben!$B$16,0)</f>
        <v>3.3516</v>
      </c>
      <c r="F850" s="13" t="n">
        <f aca="false">IFERROR(E850*Eingaben!$B$15,0)</f>
        <v>3.01644</v>
      </c>
      <c r="G850" s="13" t="n">
        <f aca="false">IFERROR(IF(Kalender!A118="",0,J849*(1-Eingaben!$B$20)),0)</f>
        <v>0.88683336</v>
      </c>
      <c r="H850" s="13" t="n">
        <f aca="false">MIN(G850,D850)</f>
        <v>0.88683336</v>
      </c>
      <c r="I850" s="13" t="n">
        <f aca="false">IFERROR(MIN(F850*Eingaben!$B$19,MAX(0,D850-H850)),0)</f>
        <v>2.111508</v>
      </c>
      <c r="J850" s="13" t="n">
        <f aca="false">IFERROR(MIN(Eingaben!$B$18,MAX(0,F850-I850)),0)</f>
        <v>0.904932</v>
      </c>
      <c r="K850" s="13" t="n">
        <f aca="false">H850+I850</f>
        <v>2.99834136</v>
      </c>
      <c r="L850" s="13" t="n">
        <f aca="false">MAX(0,D850-K850)</f>
        <v>2.43565864</v>
      </c>
      <c r="M850" s="13" t="n">
        <f aca="false">MAX(0,F850-I850-J850)</f>
        <v>0</v>
      </c>
      <c r="N850" s="13" t="n">
        <f aca="false">IF(Kalender!A118="",0,J849-H850)</f>
        <v>0.0180986400000001</v>
      </c>
    </row>
    <row r="851" customFormat="false" ht="16.4" hidden="false" customHeight="false" outlineLevel="0" collapsed="false">
      <c r="A851" s="13" t="str">
        <f aca="false">""</f>
        <v/>
      </c>
      <c r="B851" s="13" t="n">
        <f aca="false">115</f>
        <v>115</v>
      </c>
      <c r="C851" s="13" t="n">
        <f aca="false">IF(Szenarien!$H$10="OK",(IFERROR(SUMIF(Nutzungsprofile!$B$6:$B$11,"Schulbetrieb",Nutzungsprofile!$G$6:$G$11)*Kalender!C119/SUM(Kalender!$C$5:$C$370),0)+IFERROR(SUMIF(Nutzungsprofile!$B$6:$B$11,"Halle",Nutzungsprofile!$G$6:$G$11)*Kalender!D119/SUM(Kalender!$D$5:$D$370),0)+IFERROR(SUMIF(Nutzungsprofile!$B$6:$B$11,"Individuell",Nutzungsprofile!$G$6:$G$11)*Kalender!E119/SUM(Kalender!$E$5:$E$370),0))*Szenarien!$E$10,0)</f>
        <v>2.448</v>
      </c>
      <c r="D851" s="13" t="n">
        <f aca="false">IF(Szenarien!$H$10="OK",(IFERROR(SUMIF(Nutzungsprofile!$B$17:$B$22,"Schulbetrieb",Nutzungsprofile!$G$17:$G$22)*Kalender!C119/SUM(Kalender!$C$5:$C$370),0)+IFERROR(SUMIF(Nutzungsprofile!$B$17:$B$22,"Halle",Nutzungsprofile!$G$17:$G$22)*Kalender!D119/SUM(Kalender!$D$5:$D$370),0)+IFERROR(SUMIF(Nutzungsprofile!$B$17:$B$22,"Individuell",Nutzungsprofile!$G$17:$G$22)*Kalender!E119/SUM(Kalender!$E$5:$E$370),0))*Szenarien!$D$10,0)</f>
        <v>0.979</v>
      </c>
      <c r="E851" s="13" t="n">
        <f aca="false">IFERROR(MIN(C851,Eingaben!$B$17)*Eingaben!$B$16,0)</f>
        <v>2.3256</v>
      </c>
      <c r="F851" s="13" t="n">
        <f aca="false">IFERROR(E851*Eingaben!$B$15,0)</f>
        <v>2.09304</v>
      </c>
      <c r="G851" s="13" t="n">
        <f aca="false">IFERROR(IF(Kalender!A119="",0,J850*(1-Eingaben!$B$20)),0)</f>
        <v>0.88683336</v>
      </c>
      <c r="H851" s="13" t="n">
        <f aca="false">MIN(G851,D851)</f>
        <v>0.88683336</v>
      </c>
      <c r="I851" s="13" t="n">
        <f aca="false">IFERROR(MIN(F851*Eingaben!$B$19,MAX(0,D851-H851)),0)</f>
        <v>0.0921666400000001</v>
      </c>
      <c r="J851" s="13" t="n">
        <f aca="false">IFERROR(MIN(Eingaben!$B$18,MAX(0,F851-I851)),0)</f>
        <v>2</v>
      </c>
      <c r="K851" s="13" t="n">
        <f aca="false">H851+I851</f>
        <v>0.979</v>
      </c>
      <c r="L851" s="13" t="n">
        <f aca="false">MAX(0,D851-K851)</f>
        <v>0</v>
      </c>
      <c r="M851" s="13" t="n">
        <f aca="false">MAX(0,F851-I851-J851)</f>
        <v>0.000873359999999934</v>
      </c>
      <c r="N851" s="13" t="n">
        <f aca="false">IF(Kalender!A119="",0,J850-H851)</f>
        <v>0.0180986400000001</v>
      </c>
    </row>
    <row r="852" customFormat="false" ht="16.4" hidden="false" customHeight="false" outlineLevel="0" collapsed="false">
      <c r="A852" s="13" t="str">
        <f aca="false">""</f>
        <v/>
      </c>
      <c r="B852" s="13" t="n">
        <f aca="false">116</f>
        <v>116</v>
      </c>
      <c r="C852" s="13" t="n">
        <f aca="false">IF(Szenarien!$H$10="OK",(IFERROR(SUMIF(Nutzungsprofile!$B$6:$B$11,"Schulbetrieb",Nutzungsprofile!$G$6:$G$11)*Kalender!C120/SUM(Kalender!$C$5:$C$370),0)+IFERROR(SUMIF(Nutzungsprofile!$B$6:$B$11,"Halle",Nutzungsprofile!$G$6:$G$11)*Kalender!D120/SUM(Kalender!$D$5:$D$370),0)+IFERROR(SUMIF(Nutzungsprofile!$B$6:$B$11,"Individuell",Nutzungsprofile!$G$6:$G$11)*Kalender!E120/SUM(Kalender!$E$5:$E$370),0))*Szenarien!$E$10,0)</f>
        <v>2.448</v>
      </c>
      <c r="D852" s="13" t="n">
        <f aca="false">IF(Szenarien!$H$10="OK",(IFERROR(SUMIF(Nutzungsprofile!$B$17:$B$22,"Schulbetrieb",Nutzungsprofile!$G$17:$G$22)*Kalender!C120/SUM(Kalender!$C$5:$C$370),0)+IFERROR(SUMIF(Nutzungsprofile!$B$17:$B$22,"Halle",Nutzungsprofile!$G$17:$G$22)*Kalender!D120/SUM(Kalender!$D$5:$D$370),0)+IFERROR(SUMIF(Nutzungsprofile!$B$17:$B$22,"Individuell",Nutzungsprofile!$G$17:$G$22)*Kalender!E120/SUM(Kalender!$E$5:$E$370),0))*Szenarien!$D$10,0)</f>
        <v>0.979</v>
      </c>
      <c r="E852" s="13" t="n">
        <f aca="false">IFERROR(MIN(C852,Eingaben!$B$17)*Eingaben!$B$16,0)</f>
        <v>2.3256</v>
      </c>
      <c r="F852" s="13" t="n">
        <f aca="false">IFERROR(E852*Eingaben!$B$15,0)</f>
        <v>2.09304</v>
      </c>
      <c r="G852" s="13" t="n">
        <f aca="false">IFERROR(IF(Kalender!A120="",0,J851*(1-Eingaben!$B$20)),0)</f>
        <v>1.96</v>
      </c>
      <c r="H852" s="13" t="n">
        <f aca="false">MIN(G852,D852)</f>
        <v>0.979</v>
      </c>
      <c r="I852" s="13" t="n">
        <f aca="false">IFERROR(MIN(F852*Eingaben!$B$19,MAX(0,D852-H852)),0)</f>
        <v>0</v>
      </c>
      <c r="J852" s="13" t="n">
        <f aca="false">IFERROR(MIN(Eingaben!$B$18,MAX(0,F852-I852)),0)</f>
        <v>2</v>
      </c>
      <c r="K852" s="13" t="n">
        <f aca="false">H852+I852</f>
        <v>0.979</v>
      </c>
      <c r="L852" s="13" t="n">
        <f aca="false">MAX(0,D852-K852)</f>
        <v>0</v>
      </c>
      <c r="M852" s="13" t="n">
        <f aca="false">MAX(0,F852-I852-J852)</f>
        <v>0.0930399999999998</v>
      </c>
      <c r="N852" s="13" t="n">
        <f aca="false">IF(Kalender!A120="",0,J851-H852)</f>
        <v>1.021</v>
      </c>
    </row>
    <row r="853" customFormat="false" ht="16.4" hidden="false" customHeight="false" outlineLevel="0" collapsed="false">
      <c r="A853" s="13" t="str">
        <f aca="false">""</f>
        <v/>
      </c>
      <c r="B853" s="13" t="n">
        <f aca="false">117</f>
        <v>117</v>
      </c>
      <c r="C853" s="13" t="n">
        <f aca="false">IF(Szenarien!$H$10="OK",(IFERROR(SUMIF(Nutzungsprofile!$B$6:$B$11,"Schulbetrieb",Nutzungsprofile!$G$6:$G$11)*Kalender!C121/SUM(Kalender!$C$5:$C$370),0)+IFERROR(SUMIF(Nutzungsprofile!$B$6:$B$11,"Halle",Nutzungsprofile!$G$6:$G$11)*Kalender!D121/SUM(Kalender!$D$5:$D$370),0)+IFERROR(SUMIF(Nutzungsprofile!$B$6:$B$11,"Individuell",Nutzungsprofile!$G$6:$G$11)*Kalender!E121/SUM(Kalender!$E$5:$E$370),0))*Szenarien!$E$10,0)</f>
        <v>3.528</v>
      </c>
      <c r="D853" s="13" t="n">
        <f aca="false">IF(Szenarien!$H$10="OK",(IFERROR(SUMIF(Nutzungsprofile!$B$17:$B$22,"Schulbetrieb",Nutzungsprofile!$G$17:$G$22)*Kalender!C121/SUM(Kalender!$C$5:$C$370),0)+IFERROR(SUMIF(Nutzungsprofile!$B$17:$B$22,"Halle",Nutzungsprofile!$G$17:$G$22)*Kalender!D121/SUM(Kalender!$D$5:$D$370),0)+IFERROR(SUMIF(Nutzungsprofile!$B$17:$B$22,"Individuell",Nutzungsprofile!$G$17:$G$22)*Kalender!E121/SUM(Kalender!$E$5:$E$370),0))*Szenarien!$D$10,0)</f>
        <v>5.434</v>
      </c>
      <c r="E853" s="13" t="n">
        <f aca="false">IFERROR(MIN(C853,Eingaben!$B$17)*Eingaben!$B$16,0)</f>
        <v>3.3516</v>
      </c>
      <c r="F853" s="13" t="n">
        <f aca="false">IFERROR(E853*Eingaben!$B$15,0)</f>
        <v>3.01644</v>
      </c>
      <c r="G853" s="13" t="n">
        <f aca="false">IFERROR(IF(Kalender!A121="",0,J852*(1-Eingaben!$B$20)),0)</f>
        <v>1.96</v>
      </c>
      <c r="H853" s="13" t="n">
        <f aca="false">MIN(G853,D853)</f>
        <v>1.96</v>
      </c>
      <c r="I853" s="13" t="n">
        <f aca="false">IFERROR(MIN(F853*Eingaben!$B$19,MAX(0,D853-H853)),0)</f>
        <v>2.111508</v>
      </c>
      <c r="J853" s="13" t="n">
        <f aca="false">IFERROR(MIN(Eingaben!$B$18,MAX(0,F853-I853)),0)</f>
        <v>0.904932</v>
      </c>
      <c r="K853" s="13" t="n">
        <f aca="false">H853+I853</f>
        <v>4.071508</v>
      </c>
      <c r="L853" s="13" t="n">
        <f aca="false">MAX(0,D853-K853)</f>
        <v>1.362492</v>
      </c>
      <c r="M853" s="13" t="n">
        <f aca="false">MAX(0,F853-I853-J853)</f>
        <v>0</v>
      </c>
      <c r="N853" s="13" t="n">
        <f aca="false">IF(Kalender!A121="",0,J852-H853)</f>
        <v>0.04</v>
      </c>
    </row>
    <row r="854" customFormat="false" ht="16.4" hidden="false" customHeight="false" outlineLevel="0" collapsed="false">
      <c r="A854" s="13" t="str">
        <f aca="false">""</f>
        <v/>
      </c>
      <c r="B854" s="13" t="n">
        <f aca="false">118</f>
        <v>118</v>
      </c>
      <c r="C854" s="13" t="n">
        <f aca="false">IF(Szenarien!$H$10="OK",(IFERROR(SUMIF(Nutzungsprofile!$B$6:$B$11,"Schulbetrieb",Nutzungsprofile!$G$6:$G$11)*Kalender!C122/SUM(Kalender!$C$5:$C$370),0)+IFERROR(SUMIF(Nutzungsprofile!$B$6:$B$11,"Halle",Nutzungsprofile!$G$6:$G$11)*Kalender!D122/SUM(Kalender!$D$5:$D$370),0)+IFERROR(SUMIF(Nutzungsprofile!$B$6:$B$11,"Individuell",Nutzungsprofile!$G$6:$G$11)*Kalender!E122/SUM(Kalender!$E$5:$E$370),0))*Szenarien!$E$10,0)</f>
        <v>3.528</v>
      </c>
      <c r="D854" s="13" t="n">
        <f aca="false">IF(Szenarien!$H$10="OK",(IFERROR(SUMIF(Nutzungsprofile!$B$17:$B$22,"Schulbetrieb",Nutzungsprofile!$G$17:$G$22)*Kalender!C122/SUM(Kalender!$C$5:$C$370),0)+IFERROR(SUMIF(Nutzungsprofile!$B$17:$B$22,"Halle",Nutzungsprofile!$G$17:$G$22)*Kalender!D122/SUM(Kalender!$D$5:$D$370),0)+IFERROR(SUMIF(Nutzungsprofile!$B$17:$B$22,"Individuell",Nutzungsprofile!$G$17:$G$22)*Kalender!E122/SUM(Kalender!$E$5:$E$370),0))*Szenarien!$D$10,0)</f>
        <v>5.434</v>
      </c>
      <c r="E854" s="13" t="n">
        <f aca="false">IFERROR(MIN(C854,Eingaben!$B$17)*Eingaben!$B$16,0)</f>
        <v>3.3516</v>
      </c>
      <c r="F854" s="13" t="n">
        <f aca="false">IFERROR(E854*Eingaben!$B$15,0)</f>
        <v>3.01644</v>
      </c>
      <c r="G854" s="13" t="n">
        <f aca="false">IFERROR(IF(Kalender!A122="",0,J853*(1-Eingaben!$B$20)),0)</f>
        <v>0.88683336</v>
      </c>
      <c r="H854" s="13" t="n">
        <f aca="false">MIN(G854,D854)</f>
        <v>0.88683336</v>
      </c>
      <c r="I854" s="13" t="n">
        <f aca="false">IFERROR(MIN(F854*Eingaben!$B$19,MAX(0,D854-H854)),0)</f>
        <v>2.111508</v>
      </c>
      <c r="J854" s="13" t="n">
        <f aca="false">IFERROR(MIN(Eingaben!$B$18,MAX(0,F854-I854)),0)</f>
        <v>0.904932</v>
      </c>
      <c r="K854" s="13" t="n">
        <f aca="false">H854+I854</f>
        <v>2.99834136</v>
      </c>
      <c r="L854" s="13" t="n">
        <f aca="false">MAX(0,D854-K854)</f>
        <v>2.43565864</v>
      </c>
      <c r="M854" s="13" t="n">
        <f aca="false">MAX(0,F854-I854-J854)</f>
        <v>0</v>
      </c>
      <c r="N854" s="13" t="n">
        <f aca="false">IF(Kalender!A122="",0,J853-H854)</f>
        <v>0.0180986400000001</v>
      </c>
    </row>
    <row r="855" customFormat="false" ht="16.4" hidden="false" customHeight="false" outlineLevel="0" collapsed="false">
      <c r="A855" s="13" t="str">
        <f aca="false">""</f>
        <v/>
      </c>
      <c r="B855" s="13" t="n">
        <f aca="false">119</f>
        <v>119</v>
      </c>
      <c r="C855" s="13" t="n">
        <f aca="false">IF(Szenarien!$H$10="OK",(IFERROR(SUMIF(Nutzungsprofile!$B$6:$B$11,"Schulbetrieb",Nutzungsprofile!$G$6:$G$11)*Kalender!C123/SUM(Kalender!$C$5:$C$370),0)+IFERROR(SUMIF(Nutzungsprofile!$B$6:$B$11,"Halle",Nutzungsprofile!$G$6:$G$11)*Kalender!D123/SUM(Kalender!$D$5:$D$370),0)+IFERROR(SUMIF(Nutzungsprofile!$B$6:$B$11,"Individuell",Nutzungsprofile!$G$6:$G$11)*Kalender!E123/SUM(Kalender!$E$5:$E$370),0))*Szenarien!$E$10,0)</f>
        <v>3.528</v>
      </c>
      <c r="D855" s="13" t="n">
        <f aca="false">IF(Szenarien!$H$10="OK",(IFERROR(SUMIF(Nutzungsprofile!$B$17:$B$22,"Schulbetrieb",Nutzungsprofile!$G$17:$G$22)*Kalender!C123/SUM(Kalender!$C$5:$C$370),0)+IFERROR(SUMIF(Nutzungsprofile!$B$17:$B$22,"Halle",Nutzungsprofile!$G$17:$G$22)*Kalender!D123/SUM(Kalender!$D$5:$D$370),0)+IFERROR(SUMIF(Nutzungsprofile!$B$17:$B$22,"Individuell",Nutzungsprofile!$G$17:$G$22)*Kalender!E123/SUM(Kalender!$E$5:$E$370),0))*Szenarien!$D$10,0)</f>
        <v>5.434</v>
      </c>
      <c r="E855" s="13" t="n">
        <f aca="false">IFERROR(MIN(C855,Eingaben!$B$17)*Eingaben!$B$16,0)</f>
        <v>3.3516</v>
      </c>
      <c r="F855" s="13" t="n">
        <f aca="false">IFERROR(E855*Eingaben!$B$15,0)</f>
        <v>3.01644</v>
      </c>
      <c r="G855" s="13" t="n">
        <f aca="false">IFERROR(IF(Kalender!A123="",0,J854*(1-Eingaben!$B$20)),0)</f>
        <v>0.88683336</v>
      </c>
      <c r="H855" s="13" t="n">
        <f aca="false">MIN(G855,D855)</f>
        <v>0.88683336</v>
      </c>
      <c r="I855" s="13" t="n">
        <f aca="false">IFERROR(MIN(F855*Eingaben!$B$19,MAX(0,D855-H855)),0)</f>
        <v>2.111508</v>
      </c>
      <c r="J855" s="13" t="n">
        <f aca="false">IFERROR(MIN(Eingaben!$B$18,MAX(0,F855-I855)),0)</f>
        <v>0.904932</v>
      </c>
      <c r="K855" s="13" t="n">
        <f aca="false">H855+I855</f>
        <v>2.99834136</v>
      </c>
      <c r="L855" s="13" t="n">
        <f aca="false">MAX(0,D855-K855)</f>
        <v>2.43565864</v>
      </c>
      <c r="M855" s="13" t="n">
        <f aca="false">MAX(0,F855-I855-J855)</f>
        <v>0</v>
      </c>
      <c r="N855" s="13" t="n">
        <f aca="false">IF(Kalender!A123="",0,J854-H855)</f>
        <v>0.0180986400000001</v>
      </c>
    </row>
    <row r="856" customFormat="false" ht="16.4" hidden="false" customHeight="false" outlineLevel="0" collapsed="false">
      <c r="A856" s="13" t="str">
        <f aca="false">""</f>
        <v/>
      </c>
      <c r="B856" s="13" t="n">
        <f aca="false">120</f>
        <v>120</v>
      </c>
      <c r="C856" s="13" t="n">
        <f aca="false">IF(Szenarien!$H$10="OK",(IFERROR(SUMIF(Nutzungsprofile!$B$6:$B$11,"Schulbetrieb",Nutzungsprofile!$G$6:$G$11)*Kalender!C124/SUM(Kalender!$C$5:$C$370),0)+IFERROR(SUMIF(Nutzungsprofile!$B$6:$B$11,"Halle",Nutzungsprofile!$G$6:$G$11)*Kalender!D124/SUM(Kalender!$D$5:$D$370),0)+IFERROR(SUMIF(Nutzungsprofile!$B$6:$B$11,"Individuell",Nutzungsprofile!$G$6:$G$11)*Kalender!E124/SUM(Kalender!$E$5:$E$370),0))*Szenarien!$E$10,0)</f>
        <v>3.528</v>
      </c>
      <c r="D856" s="13" t="n">
        <f aca="false">IF(Szenarien!$H$10="OK",(IFERROR(SUMIF(Nutzungsprofile!$B$17:$B$22,"Schulbetrieb",Nutzungsprofile!$G$17:$G$22)*Kalender!C124/SUM(Kalender!$C$5:$C$370),0)+IFERROR(SUMIF(Nutzungsprofile!$B$17:$B$22,"Halle",Nutzungsprofile!$G$17:$G$22)*Kalender!D124/SUM(Kalender!$D$5:$D$370),0)+IFERROR(SUMIF(Nutzungsprofile!$B$17:$B$22,"Individuell",Nutzungsprofile!$G$17:$G$22)*Kalender!E124/SUM(Kalender!$E$5:$E$370),0))*Szenarien!$D$10,0)</f>
        <v>5.434</v>
      </c>
      <c r="E856" s="13" t="n">
        <f aca="false">IFERROR(MIN(C856,Eingaben!$B$17)*Eingaben!$B$16,0)</f>
        <v>3.3516</v>
      </c>
      <c r="F856" s="13" t="n">
        <f aca="false">IFERROR(E856*Eingaben!$B$15,0)</f>
        <v>3.01644</v>
      </c>
      <c r="G856" s="13" t="n">
        <f aca="false">IFERROR(IF(Kalender!A124="",0,J855*(1-Eingaben!$B$20)),0)</f>
        <v>0.88683336</v>
      </c>
      <c r="H856" s="13" t="n">
        <f aca="false">MIN(G856,D856)</f>
        <v>0.88683336</v>
      </c>
      <c r="I856" s="13" t="n">
        <f aca="false">IFERROR(MIN(F856*Eingaben!$B$19,MAX(0,D856-H856)),0)</f>
        <v>2.111508</v>
      </c>
      <c r="J856" s="13" t="n">
        <f aca="false">IFERROR(MIN(Eingaben!$B$18,MAX(0,F856-I856)),0)</f>
        <v>0.904932</v>
      </c>
      <c r="K856" s="13" t="n">
        <f aca="false">H856+I856</f>
        <v>2.99834136</v>
      </c>
      <c r="L856" s="13" t="n">
        <f aca="false">MAX(0,D856-K856)</f>
        <v>2.43565864</v>
      </c>
      <c r="M856" s="13" t="n">
        <f aca="false">MAX(0,F856-I856-J856)</f>
        <v>0</v>
      </c>
      <c r="N856" s="13" t="n">
        <f aca="false">IF(Kalender!A124="",0,J855-H856)</f>
        <v>0.0180986400000001</v>
      </c>
    </row>
    <row r="857" customFormat="false" ht="16.4" hidden="false" customHeight="false" outlineLevel="0" collapsed="false">
      <c r="A857" s="13" t="str">
        <f aca="false">""</f>
        <v/>
      </c>
      <c r="B857" s="13" t="n">
        <f aca="false">121</f>
        <v>121</v>
      </c>
      <c r="C857" s="13" t="n">
        <f aca="false">IF(Szenarien!$H$10="OK",(IFERROR(SUMIF(Nutzungsprofile!$B$6:$B$11,"Schulbetrieb",Nutzungsprofile!$G$6:$G$11)*Kalender!C125/SUM(Kalender!$C$5:$C$370),0)+IFERROR(SUMIF(Nutzungsprofile!$B$6:$B$11,"Halle",Nutzungsprofile!$G$6:$G$11)*Kalender!D125/SUM(Kalender!$D$5:$D$370),0)+IFERROR(SUMIF(Nutzungsprofile!$B$6:$B$11,"Individuell",Nutzungsprofile!$G$6:$G$11)*Kalender!E125/SUM(Kalender!$E$5:$E$370),0))*Szenarien!$E$10,0)</f>
        <v>3.528</v>
      </c>
      <c r="D857" s="13" t="n">
        <f aca="false">IF(Szenarien!$H$10="OK",(IFERROR(SUMIF(Nutzungsprofile!$B$17:$B$22,"Schulbetrieb",Nutzungsprofile!$G$17:$G$22)*Kalender!C125/SUM(Kalender!$C$5:$C$370),0)+IFERROR(SUMIF(Nutzungsprofile!$B$17:$B$22,"Halle",Nutzungsprofile!$G$17:$G$22)*Kalender!D125/SUM(Kalender!$D$5:$D$370),0)+IFERROR(SUMIF(Nutzungsprofile!$B$17:$B$22,"Individuell",Nutzungsprofile!$G$17:$G$22)*Kalender!E125/SUM(Kalender!$E$5:$E$370),0))*Szenarien!$D$10,0)</f>
        <v>5.434</v>
      </c>
      <c r="E857" s="13" t="n">
        <f aca="false">IFERROR(MIN(C857,Eingaben!$B$17)*Eingaben!$B$16,0)</f>
        <v>3.3516</v>
      </c>
      <c r="F857" s="13" t="n">
        <f aca="false">IFERROR(E857*Eingaben!$B$15,0)</f>
        <v>3.01644</v>
      </c>
      <c r="G857" s="13" t="n">
        <f aca="false">IFERROR(IF(Kalender!A125="",0,J856*(1-Eingaben!$B$20)),0)</f>
        <v>0.88683336</v>
      </c>
      <c r="H857" s="13" t="n">
        <f aca="false">MIN(G857,D857)</f>
        <v>0.88683336</v>
      </c>
      <c r="I857" s="13" t="n">
        <f aca="false">IFERROR(MIN(F857*Eingaben!$B$19,MAX(0,D857-H857)),0)</f>
        <v>2.111508</v>
      </c>
      <c r="J857" s="13" t="n">
        <f aca="false">IFERROR(MIN(Eingaben!$B$18,MAX(0,F857-I857)),0)</f>
        <v>0.904932</v>
      </c>
      <c r="K857" s="13" t="n">
        <f aca="false">H857+I857</f>
        <v>2.99834136</v>
      </c>
      <c r="L857" s="13" t="n">
        <f aca="false">MAX(0,D857-K857)</f>
        <v>2.43565864</v>
      </c>
      <c r="M857" s="13" t="n">
        <f aca="false">MAX(0,F857-I857-J857)</f>
        <v>0</v>
      </c>
      <c r="N857" s="13" t="n">
        <f aca="false">IF(Kalender!A125="",0,J856-H857)</f>
        <v>0.0180986400000001</v>
      </c>
    </row>
    <row r="858" customFormat="false" ht="16.4" hidden="false" customHeight="false" outlineLevel="0" collapsed="false">
      <c r="A858" s="13" t="str">
        <f aca="false">""</f>
        <v/>
      </c>
      <c r="B858" s="13" t="n">
        <f aca="false">122</f>
        <v>122</v>
      </c>
      <c r="C858" s="13" t="n">
        <f aca="false">IF(Szenarien!$H$10="OK",(IFERROR(SUMIF(Nutzungsprofile!$B$6:$B$11,"Schulbetrieb",Nutzungsprofile!$G$6:$G$11)*Kalender!C126/SUM(Kalender!$C$5:$C$370),0)+IFERROR(SUMIF(Nutzungsprofile!$B$6:$B$11,"Halle",Nutzungsprofile!$G$6:$G$11)*Kalender!D126/SUM(Kalender!$D$5:$D$370),0)+IFERROR(SUMIF(Nutzungsprofile!$B$6:$B$11,"Individuell",Nutzungsprofile!$G$6:$G$11)*Kalender!E126/SUM(Kalender!$E$5:$E$370),0))*Szenarien!$E$10,0)</f>
        <v>2.448</v>
      </c>
      <c r="D858" s="13" t="n">
        <f aca="false">IF(Szenarien!$H$10="OK",(IFERROR(SUMIF(Nutzungsprofile!$B$17:$B$22,"Schulbetrieb",Nutzungsprofile!$G$17:$G$22)*Kalender!C126/SUM(Kalender!$C$5:$C$370),0)+IFERROR(SUMIF(Nutzungsprofile!$B$17:$B$22,"Halle",Nutzungsprofile!$G$17:$G$22)*Kalender!D126/SUM(Kalender!$D$5:$D$370),0)+IFERROR(SUMIF(Nutzungsprofile!$B$17:$B$22,"Individuell",Nutzungsprofile!$G$17:$G$22)*Kalender!E126/SUM(Kalender!$E$5:$E$370),0))*Szenarien!$D$10,0)</f>
        <v>0.979</v>
      </c>
      <c r="E858" s="13" t="n">
        <f aca="false">IFERROR(MIN(C858,Eingaben!$B$17)*Eingaben!$B$16,0)</f>
        <v>2.3256</v>
      </c>
      <c r="F858" s="13" t="n">
        <f aca="false">IFERROR(E858*Eingaben!$B$15,0)</f>
        <v>2.09304</v>
      </c>
      <c r="G858" s="13" t="n">
        <f aca="false">IFERROR(IF(Kalender!A126="",0,J857*(1-Eingaben!$B$20)),0)</f>
        <v>0.88683336</v>
      </c>
      <c r="H858" s="13" t="n">
        <f aca="false">MIN(G858,D858)</f>
        <v>0.88683336</v>
      </c>
      <c r="I858" s="13" t="n">
        <f aca="false">IFERROR(MIN(F858*Eingaben!$B$19,MAX(0,D858-H858)),0)</f>
        <v>0.0921666400000001</v>
      </c>
      <c r="J858" s="13" t="n">
        <f aca="false">IFERROR(MIN(Eingaben!$B$18,MAX(0,F858-I858)),0)</f>
        <v>2</v>
      </c>
      <c r="K858" s="13" t="n">
        <f aca="false">H858+I858</f>
        <v>0.979</v>
      </c>
      <c r="L858" s="13" t="n">
        <f aca="false">MAX(0,D858-K858)</f>
        <v>0</v>
      </c>
      <c r="M858" s="13" t="n">
        <f aca="false">MAX(0,F858-I858-J858)</f>
        <v>0.000873359999999934</v>
      </c>
      <c r="N858" s="13" t="n">
        <f aca="false">IF(Kalender!A126="",0,J857-H858)</f>
        <v>0.0180986400000001</v>
      </c>
    </row>
    <row r="859" customFormat="false" ht="16.4" hidden="false" customHeight="false" outlineLevel="0" collapsed="false">
      <c r="A859" s="13" t="str">
        <f aca="false">""</f>
        <v/>
      </c>
      <c r="B859" s="13" t="n">
        <f aca="false">123</f>
        <v>123</v>
      </c>
      <c r="C859" s="13" t="n">
        <f aca="false">IF(Szenarien!$H$10="OK",(IFERROR(SUMIF(Nutzungsprofile!$B$6:$B$11,"Schulbetrieb",Nutzungsprofile!$G$6:$G$11)*Kalender!C127/SUM(Kalender!$C$5:$C$370),0)+IFERROR(SUMIF(Nutzungsprofile!$B$6:$B$11,"Halle",Nutzungsprofile!$G$6:$G$11)*Kalender!D127/SUM(Kalender!$D$5:$D$370),0)+IFERROR(SUMIF(Nutzungsprofile!$B$6:$B$11,"Individuell",Nutzungsprofile!$G$6:$G$11)*Kalender!E127/SUM(Kalender!$E$5:$E$370),0))*Szenarien!$E$10,0)</f>
        <v>2.448</v>
      </c>
      <c r="D859" s="13" t="n">
        <f aca="false">IF(Szenarien!$H$10="OK",(IFERROR(SUMIF(Nutzungsprofile!$B$17:$B$22,"Schulbetrieb",Nutzungsprofile!$G$17:$G$22)*Kalender!C127/SUM(Kalender!$C$5:$C$370),0)+IFERROR(SUMIF(Nutzungsprofile!$B$17:$B$22,"Halle",Nutzungsprofile!$G$17:$G$22)*Kalender!D127/SUM(Kalender!$D$5:$D$370),0)+IFERROR(SUMIF(Nutzungsprofile!$B$17:$B$22,"Individuell",Nutzungsprofile!$G$17:$G$22)*Kalender!E127/SUM(Kalender!$E$5:$E$370),0))*Szenarien!$D$10,0)</f>
        <v>0.979</v>
      </c>
      <c r="E859" s="13" t="n">
        <f aca="false">IFERROR(MIN(C859,Eingaben!$B$17)*Eingaben!$B$16,0)</f>
        <v>2.3256</v>
      </c>
      <c r="F859" s="13" t="n">
        <f aca="false">IFERROR(E859*Eingaben!$B$15,0)</f>
        <v>2.09304</v>
      </c>
      <c r="G859" s="13" t="n">
        <f aca="false">IFERROR(IF(Kalender!A127="",0,J858*(1-Eingaben!$B$20)),0)</f>
        <v>1.96</v>
      </c>
      <c r="H859" s="13" t="n">
        <f aca="false">MIN(G859,D859)</f>
        <v>0.979</v>
      </c>
      <c r="I859" s="13" t="n">
        <f aca="false">IFERROR(MIN(F859*Eingaben!$B$19,MAX(0,D859-H859)),0)</f>
        <v>0</v>
      </c>
      <c r="J859" s="13" t="n">
        <f aca="false">IFERROR(MIN(Eingaben!$B$18,MAX(0,F859-I859)),0)</f>
        <v>2</v>
      </c>
      <c r="K859" s="13" t="n">
        <f aca="false">H859+I859</f>
        <v>0.979</v>
      </c>
      <c r="L859" s="13" t="n">
        <f aca="false">MAX(0,D859-K859)</f>
        <v>0</v>
      </c>
      <c r="M859" s="13" t="n">
        <f aca="false">MAX(0,F859-I859-J859)</f>
        <v>0.0930399999999998</v>
      </c>
      <c r="N859" s="13" t="n">
        <f aca="false">IF(Kalender!A127="",0,J858-H859)</f>
        <v>1.021</v>
      </c>
    </row>
    <row r="860" customFormat="false" ht="16.4" hidden="false" customHeight="false" outlineLevel="0" collapsed="false">
      <c r="A860" s="13" t="str">
        <f aca="false">""</f>
        <v/>
      </c>
      <c r="B860" s="13" t="n">
        <f aca="false">124</f>
        <v>124</v>
      </c>
      <c r="C860" s="13" t="n">
        <f aca="false">IF(Szenarien!$H$10="OK",(IFERROR(SUMIF(Nutzungsprofile!$B$6:$B$11,"Schulbetrieb",Nutzungsprofile!$G$6:$G$11)*Kalender!C128/SUM(Kalender!$C$5:$C$370),0)+IFERROR(SUMIF(Nutzungsprofile!$B$6:$B$11,"Halle",Nutzungsprofile!$G$6:$G$11)*Kalender!D128/SUM(Kalender!$D$5:$D$370),0)+IFERROR(SUMIF(Nutzungsprofile!$B$6:$B$11,"Individuell",Nutzungsprofile!$G$6:$G$11)*Kalender!E128/SUM(Kalender!$E$5:$E$370),0))*Szenarien!$E$10,0)</f>
        <v>3.528</v>
      </c>
      <c r="D860" s="13" t="n">
        <f aca="false">IF(Szenarien!$H$10="OK",(IFERROR(SUMIF(Nutzungsprofile!$B$17:$B$22,"Schulbetrieb",Nutzungsprofile!$G$17:$G$22)*Kalender!C128/SUM(Kalender!$C$5:$C$370),0)+IFERROR(SUMIF(Nutzungsprofile!$B$17:$B$22,"Halle",Nutzungsprofile!$G$17:$G$22)*Kalender!D128/SUM(Kalender!$D$5:$D$370),0)+IFERROR(SUMIF(Nutzungsprofile!$B$17:$B$22,"Individuell",Nutzungsprofile!$G$17:$G$22)*Kalender!E128/SUM(Kalender!$E$5:$E$370),0))*Szenarien!$D$10,0)</f>
        <v>5.434</v>
      </c>
      <c r="E860" s="13" t="n">
        <f aca="false">IFERROR(MIN(C860,Eingaben!$B$17)*Eingaben!$B$16,0)</f>
        <v>3.3516</v>
      </c>
      <c r="F860" s="13" t="n">
        <f aca="false">IFERROR(E860*Eingaben!$B$15,0)</f>
        <v>3.01644</v>
      </c>
      <c r="G860" s="13" t="n">
        <f aca="false">IFERROR(IF(Kalender!A128="",0,J859*(1-Eingaben!$B$20)),0)</f>
        <v>1.96</v>
      </c>
      <c r="H860" s="13" t="n">
        <f aca="false">MIN(G860,D860)</f>
        <v>1.96</v>
      </c>
      <c r="I860" s="13" t="n">
        <f aca="false">IFERROR(MIN(F860*Eingaben!$B$19,MAX(0,D860-H860)),0)</f>
        <v>2.111508</v>
      </c>
      <c r="J860" s="13" t="n">
        <f aca="false">IFERROR(MIN(Eingaben!$B$18,MAX(0,F860-I860)),0)</f>
        <v>0.904932</v>
      </c>
      <c r="K860" s="13" t="n">
        <f aca="false">H860+I860</f>
        <v>4.071508</v>
      </c>
      <c r="L860" s="13" t="n">
        <f aca="false">MAX(0,D860-K860)</f>
        <v>1.362492</v>
      </c>
      <c r="M860" s="13" t="n">
        <f aca="false">MAX(0,F860-I860-J860)</f>
        <v>0</v>
      </c>
      <c r="N860" s="13" t="n">
        <f aca="false">IF(Kalender!A128="",0,J859-H860)</f>
        <v>0.04</v>
      </c>
    </row>
    <row r="861" customFormat="false" ht="16.4" hidden="false" customHeight="false" outlineLevel="0" collapsed="false">
      <c r="A861" s="13" t="str">
        <f aca="false">""</f>
        <v/>
      </c>
      <c r="B861" s="13" t="n">
        <f aca="false">125</f>
        <v>125</v>
      </c>
      <c r="C861" s="13" t="n">
        <f aca="false">IF(Szenarien!$H$10="OK",(IFERROR(SUMIF(Nutzungsprofile!$B$6:$B$11,"Schulbetrieb",Nutzungsprofile!$G$6:$G$11)*Kalender!C129/SUM(Kalender!$C$5:$C$370),0)+IFERROR(SUMIF(Nutzungsprofile!$B$6:$B$11,"Halle",Nutzungsprofile!$G$6:$G$11)*Kalender!D129/SUM(Kalender!$D$5:$D$370),0)+IFERROR(SUMIF(Nutzungsprofile!$B$6:$B$11,"Individuell",Nutzungsprofile!$G$6:$G$11)*Kalender!E129/SUM(Kalender!$E$5:$E$370),0))*Szenarien!$E$10,0)</f>
        <v>3.528</v>
      </c>
      <c r="D861" s="13" t="n">
        <f aca="false">IF(Szenarien!$H$10="OK",(IFERROR(SUMIF(Nutzungsprofile!$B$17:$B$22,"Schulbetrieb",Nutzungsprofile!$G$17:$G$22)*Kalender!C129/SUM(Kalender!$C$5:$C$370),0)+IFERROR(SUMIF(Nutzungsprofile!$B$17:$B$22,"Halle",Nutzungsprofile!$G$17:$G$22)*Kalender!D129/SUM(Kalender!$D$5:$D$370),0)+IFERROR(SUMIF(Nutzungsprofile!$B$17:$B$22,"Individuell",Nutzungsprofile!$G$17:$G$22)*Kalender!E129/SUM(Kalender!$E$5:$E$370),0))*Szenarien!$D$10,0)</f>
        <v>5.434</v>
      </c>
      <c r="E861" s="13" t="n">
        <f aca="false">IFERROR(MIN(C861,Eingaben!$B$17)*Eingaben!$B$16,0)</f>
        <v>3.3516</v>
      </c>
      <c r="F861" s="13" t="n">
        <f aca="false">IFERROR(E861*Eingaben!$B$15,0)</f>
        <v>3.01644</v>
      </c>
      <c r="G861" s="13" t="n">
        <f aca="false">IFERROR(IF(Kalender!A129="",0,J860*(1-Eingaben!$B$20)),0)</f>
        <v>0.88683336</v>
      </c>
      <c r="H861" s="13" t="n">
        <f aca="false">MIN(G861,D861)</f>
        <v>0.88683336</v>
      </c>
      <c r="I861" s="13" t="n">
        <f aca="false">IFERROR(MIN(F861*Eingaben!$B$19,MAX(0,D861-H861)),0)</f>
        <v>2.111508</v>
      </c>
      <c r="J861" s="13" t="n">
        <f aca="false">IFERROR(MIN(Eingaben!$B$18,MAX(0,F861-I861)),0)</f>
        <v>0.904932</v>
      </c>
      <c r="K861" s="13" t="n">
        <f aca="false">H861+I861</f>
        <v>2.99834136</v>
      </c>
      <c r="L861" s="13" t="n">
        <f aca="false">MAX(0,D861-K861)</f>
        <v>2.43565864</v>
      </c>
      <c r="M861" s="13" t="n">
        <f aca="false">MAX(0,F861-I861-J861)</f>
        <v>0</v>
      </c>
      <c r="N861" s="13" t="n">
        <f aca="false">IF(Kalender!A129="",0,J860-H861)</f>
        <v>0.0180986400000001</v>
      </c>
    </row>
    <row r="862" customFormat="false" ht="16.4" hidden="false" customHeight="false" outlineLevel="0" collapsed="false">
      <c r="A862" s="13" t="str">
        <f aca="false">""</f>
        <v/>
      </c>
      <c r="B862" s="13" t="n">
        <f aca="false">126</f>
        <v>126</v>
      </c>
      <c r="C862" s="13" t="n">
        <f aca="false">IF(Szenarien!$H$10="OK",(IFERROR(SUMIF(Nutzungsprofile!$B$6:$B$11,"Schulbetrieb",Nutzungsprofile!$G$6:$G$11)*Kalender!C130/SUM(Kalender!$C$5:$C$370),0)+IFERROR(SUMIF(Nutzungsprofile!$B$6:$B$11,"Halle",Nutzungsprofile!$G$6:$G$11)*Kalender!D130/SUM(Kalender!$D$5:$D$370),0)+IFERROR(SUMIF(Nutzungsprofile!$B$6:$B$11,"Individuell",Nutzungsprofile!$G$6:$G$11)*Kalender!E130/SUM(Kalender!$E$5:$E$370),0))*Szenarien!$E$10,0)</f>
        <v>3.528</v>
      </c>
      <c r="D862" s="13" t="n">
        <f aca="false">IF(Szenarien!$H$10="OK",(IFERROR(SUMIF(Nutzungsprofile!$B$17:$B$22,"Schulbetrieb",Nutzungsprofile!$G$17:$G$22)*Kalender!C130/SUM(Kalender!$C$5:$C$370),0)+IFERROR(SUMIF(Nutzungsprofile!$B$17:$B$22,"Halle",Nutzungsprofile!$G$17:$G$22)*Kalender!D130/SUM(Kalender!$D$5:$D$370),0)+IFERROR(SUMIF(Nutzungsprofile!$B$17:$B$22,"Individuell",Nutzungsprofile!$G$17:$G$22)*Kalender!E130/SUM(Kalender!$E$5:$E$370),0))*Szenarien!$D$10,0)</f>
        <v>5.434</v>
      </c>
      <c r="E862" s="13" t="n">
        <f aca="false">IFERROR(MIN(C862,Eingaben!$B$17)*Eingaben!$B$16,0)</f>
        <v>3.3516</v>
      </c>
      <c r="F862" s="13" t="n">
        <f aca="false">IFERROR(E862*Eingaben!$B$15,0)</f>
        <v>3.01644</v>
      </c>
      <c r="G862" s="13" t="n">
        <f aca="false">IFERROR(IF(Kalender!A130="",0,J861*(1-Eingaben!$B$20)),0)</f>
        <v>0.88683336</v>
      </c>
      <c r="H862" s="13" t="n">
        <f aca="false">MIN(G862,D862)</f>
        <v>0.88683336</v>
      </c>
      <c r="I862" s="13" t="n">
        <f aca="false">IFERROR(MIN(F862*Eingaben!$B$19,MAX(0,D862-H862)),0)</f>
        <v>2.111508</v>
      </c>
      <c r="J862" s="13" t="n">
        <f aca="false">IFERROR(MIN(Eingaben!$B$18,MAX(0,F862-I862)),0)</f>
        <v>0.904932</v>
      </c>
      <c r="K862" s="13" t="n">
        <f aca="false">H862+I862</f>
        <v>2.99834136</v>
      </c>
      <c r="L862" s="13" t="n">
        <f aca="false">MAX(0,D862-K862)</f>
        <v>2.43565864</v>
      </c>
      <c r="M862" s="13" t="n">
        <f aca="false">MAX(0,F862-I862-J862)</f>
        <v>0</v>
      </c>
      <c r="N862" s="13" t="n">
        <f aca="false">IF(Kalender!A130="",0,J861-H862)</f>
        <v>0.0180986400000001</v>
      </c>
    </row>
    <row r="863" customFormat="false" ht="16.4" hidden="false" customHeight="false" outlineLevel="0" collapsed="false">
      <c r="A863" s="13" t="str">
        <f aca="false">""</f>
        <v/>
      </c>
      <c r="B863" s="13" t="n">
        <f aca="false">127</f>
        <v>127</v>
      </c>
      <c r="C863" s="13" t="n">
        <f aca="false">IF(Szenarien!$H$10="OK",(IFERROR(SUMIF(Nutzungsprofile!$B$6:$B$11,"Schulbetrieb",Nutzungsprofile!$G$6:$G$11)*Kalender!C131/SUM(Kalender!$C$5:$C$370),0)+IFERROR(SUMIF(Nutzungsprofile!$B$6:$B$11,"Halle",Nutzungsprofile!$G$6:$G$11)*Kalender!D131/SUM(Kalender!$D$5:$D$370),0)+IFERROR(SUMIF(Nutzungsprofile!$B$6:$B$11,"Individuell",Nutzungsprofile!$G$6:$G$11)*Kalender!E131/SUM(Kalender!$E$5:$E$370),0))*Szenarien!$E$10,0)</f>
        <v>3.528</v>
      </c>
      <c r="D863" s="13" t="n">
        <f aca="false">IF(Szenarien!$H$10="OK",(IFERROR(SUMIF(Nutzungsprofile!$B$17:$B$22,"Schulbetrieb",Nutzungsprofile!$G$17:$G$22)*Kalender!C131/SUM(Kalender!$C$5:$C$370),0)+IFERROR(SUMIF(Nutzungsprofile!$B$17:$B$22,"Halle",Nutzungsprofile!$G$17:$G$22)*Kalender!D131/SUM(Kalender!$D$5:$D$370),0)+IFERROR(SUMIF(Nutzungsprofile!$B$17:$B$22,"Individuell",Nutzungsprofile!$G$17:$G$22)*Kalender!E131/SUM(Kalender!$E$5:$E$370),0))*Szenarien!$D$10,0)</f>
        <v>5.434</v>
      </c>
      <c r="E863" s="13" t="n">
        <f aca="false">IFERROR(MIN(C863,Eingaben!$B$17)*Eingaben!$B$16,0)</f>
        <v>3.3516</v>
      </c>
      <c r="F863" s="13" t="n">
        <f aca="false">IFERROR(E863*Eingaben!$B$15,0)</f>
        <v>3.01644</v>
      </c>
      <c r="G863" s="13" t="n">
        <f aca="false">IFERROR(IF(Kalender!A131="",0,J862*(1-Eingaben!$B$20)),0)</f>
        <v>0.88683336</v>
      </c>
      <c r="H863" s="13" t="n">
        <f aca="false">MIN(G863,D863)</f>
        <v>0.88683336</v>
      </c>
      <c r="I863" s="13" t="n">
        <f aca="false">IFERROR(MIN(F863*Eingaben!$B$19,MAX(0,D863-H863)),0)</f>
        <v>2.111508</v>
      </c>
      <c r="J863" s="13" t="n">
        <f aca="false">IFERROR(MIN(Eingaben!$B$18,MAX(0,F863-I863)),0)</f>
        <v>0.904932</v>
      </c>
      <c r="K863" s="13" t="n">
        <f aca="false">H863+I863</f>
        <v>2.99834136</v>
      </c>
      <c r="L863" s="13" t="n">
        <f aca="false">MAX(0,D863-K863)</f>
        <v>2.43565864</v>
      </c>
      <c r="M863" s="13" t="n">
        <f aca="false">MAX(0,F863-I863-J863)</f>
        <v>0</v>
      </c>
      <c r="N863" s="13" t="n">
        <f aca="false">IF(Kalender!A131="",0,J862-H863)</f>
        <v>0.0180986400000001</v>
      </c>
    </row>
    <row r="864" customFormat="false" ht="16.4" hidden="false" customHeight="false" outlineLevel="0" collapsed="false">
      <c r="A864" s="13" t="str">
        <f aca="false">""</f>
        <v/>
      </c>
      <c r="B864" s="13" t="n">
        <f aca="false">128</f>
        <v>128</v>
      </c>
      <c r="C864" s="13" t="n">
        <f aca="false">IF(Szenarien!$H$10="OK",(IFERROR(SUMIF(Nutzungsprofile!$B$6:$B$11,"Schulbetrieb",Nutzungsprofile!$G$6:$G$11)*Kalender!C132/SUM(Kalender!$C$5:$C$370),0)+IFERROR(SUMIF(Nutzungsprofile!$B$6:$B$11,"Halle",Nutzungsprofile!$G$6:$G$11)*Kalender!D132/SUM(Kalender!$D$5:$D$370),0)+IFERROR(SUMIF(Nutzungsprofile!$B$6:$B$11,"Individuell",Nutzungsprofile!$G$6:$G$11)*Kalender!E132/SUM(Kalender!$E$5:$E$370),0))*Szenarien!$E$10,0)</f>
        <v>3.528</v>
      </c>
      <c r="D864" s="13" t="n">
        <f aca="false">IF(Szenarien!$H$10="OK",(IFERROR(SUMIF(Nutzungsprofile!$B$17:$B$22,"Schulbetrieb",Nutzungsprofile!$G$17:$G$22)*Kalender!C132/SUM(Kalender!$C$5:$C$370),0)+IFERROR(SUMIF(Nutzungsprofile!$B$17:$B$22,"Halle",Nutzungsprofile!$G$17:$G$22)*Kalender!D132/SUM(Kalender!$D$5:$D$370),0)+IFERROR(SUMIF(Nutzungsprofile!$B$17:$B$22,"Individuell",Nutzungsprofile!$G$17:$G$22)*Kalender!E132/SUM(Kalender!$E$5:$E$370),0))*Szenarien!$D$10,0)</f>
        <v>5.434</v>
      </c>
      <c r="E864" s="13" t="n">
        <f aca="false">IFERROR(MIN(C864,Eingaben!$B$17)*Eingaben!$B$16,0)</f>
        <v>3.3516</v>
      </c>
      <c r="F864" s="13" t="n">
        <f aca="false">IFERROR(E864*Eingaben!$B$15,0)</f>
        <v>3.01644</v>
      </c>
      <c r="G864" s="13" t="n">
        <f aca="false">IFERROR(IF(Kalender!A132="",0,J863*(1-Eingaben!$B$20)),0)</f>
        <v>0.88683336</v>
      </c>
      <c r="H864" s="13" t="n">
        <f aca="false">MIN(G864,D864)</f>
        <v>0.88683336</v>
      </c>
      <c r="I864" s="13" t="n">
        <f aca="false">IFERROR(MIN(F864*Eingaben!$B$19,MAX(0,D864-H864)),0)</f>
        <v>2.111508</v>
      </c>
      <c r="J864" s="13" t="n">
        <f aca="false">IFERROR(MIN(Eingaben!$B$18,MAX(0,F864-I864)),0)</f>
        <v>0.904932</v>
      </c>
      <c r="K864" s="13" t="n">
        <f aca="false">H864+I864</f>
        <v>2.99834136</v>
      </c>
      <c r="L864" s="13" t="n">
        <f aca="false">MAX(0,D864-K864)</f>
        <v>2.43565864</v>
      </c>
      <c r="M864" s="13" t="n">
        <f aca="false">MAX(0,F864-I864-J864)</f>
        <v>0</v>
      </c>
      <c r="N864" s="13" t="n">
        <f aca="false">IF(Kalender!A132="",0,J863-H864)</f>
        <v>0.0180986400000001</v>
      </c>
    </row>
    <row r="865" customFormat="false" ht="16.4" hidden="false" customHeight="false" outlineLevel="0" collapsed="false">
      <c r="A865" s="13" t="str">
        <f aca="false">""</f>
        <v/>
      </c>
      <c r="B865" s="13" t="n">
        <f aca="false">129</f>
        <v>129</v>
      </c>
      <c r="C865" s="13" t="n">
        <f aca="false">IF(Szenarien!$H$10="OK",(IFERROR(SUMIF(Nutzungsprofile!$B$6:$B$11,"Schulbetrieb",Nutzungsprofile!$G$6:$G$11)*Kalender!C133/SUM(Kalender!$C$5:$C$370),0)+IFERROR(SUMIF(Nutzungsprofile!$B$6:$B$11,"Halle",Nutzungsprofile!$G$6:$G$11)*Kalender!D133/SUM(Kalender!$D$5:$D$370),0)+IFERROR(SUMIF(Nutzungsprofile!$B$6:$B$11,"Individuell",Nutzungsprofile!$G$6:$G$11)*Kalender!E133/SUM(Kalender!$E$5:$E$370),0))*Szenarien!$E$10,0)</f>
        <v>2.448</v>
      </c>
      <c r="D865" s="13" t="n">
        <f aca="false">IF(Szenarien!$H$10="OK",(IFERROR(SUMIF(Nutzungsprofile!$B$17:$B$22,"Schulbetrieb",Nutzungsprofile!$G$17:$G$22)*Kalender!C133/SUM(Kalender!$C$5:$C$370),0)+IFERROR(SUMIF(Nutzungsprofile!$B$17:$B$22,"Halle",Nutzungsprofile!$G$17:$G$22)*Kalender!D133/SUM(Kalender!$D$5:$D$370),0)+IFERROR(SUMIF(Nutzungsprofile!$B$17:$B$22,"Individuell",Nutzungsprofile!$G$17:$G$22)*Kalender!E133/SUM(Kalender!$E$5:$E$370),0))*Szenarien!$D$10,0)</f>
        <v>0.979</v>
      </c>
      <c r="E865" s="13" t="n">
        <f aca="false">IFERROR(MIN(C865,Eingaben!$B$17)*Eingaben!$B$16,0)</f>
        <v>2.3256</v>
      </c>
      <c r="F865" s="13" t="n">
        <f aca="false">IFERROR(E865*Eingaben!$B$15,0)</f>
        <v>2.09304</v>
      </c>
      <c r="G865" s="13" t="n">
        <f aca="false">IFERROR(IF(Kalender!A133="",0,J864*(1-Eingaben!$B$20)),0)</f>
        <v>0.88683336</v>
      </c>
      <c r="H865" s="13" t="n">
        <f aca="false">MIN(G865,D865)</f>
        <v>0.88683336</v>
      </c>
      <c r="I865" s="13" t="n">
        <f aca="false">IFERROR(MIN(F865*Eingaben!$B$19,MAX(0,D865-H865)),0)</f>
        <v>0.0921666400000001</v>
      </c>
      <c r="J865" s="13" t="n">
        <f aca="false">IFERROR(MIN(Eingaben!$B$18,MAX(0,F865-I865)),0)</f>
        <v>2</v>
      </c>
      <c r="K865" s="13" t="n">
        <f aca="false">H865+I865</f>
        <v>0.979</v>
      </c>
      <c r="L865" s="13" t="n">
        <f aca="false">MAX(0,D865-K865)</f>
        <v>0</v>
      </c>
      <c r="M865" s="13" t="n">
        <f aca="false">MAX(0,F865-I865-J865)</f>
        <v>0.000873359999999934</v>
      </c>
      <c r="N865" s="13" t="n">
        <f aca="false">IF(Kalender!A133="",0,J864-H865)</f>
        <v>0.0180986400000001</v>
      </c>
    </row>
    <row r="866" customFormat="false" ht="16.4" hidden="false" customHeight="false" outlineLevel="0" collapsed="false">
      <c r="A866" s="13" t="str">
        <f aca="false">""</f>
        <v/>
      </c>
      <c r="B866" s="13" t="n">
        <f aca="false">130</f>
        <v>130</v>
      </c>
      <c r="C866" s="13" t="n">
        <f aca="false">IF(Szenarien!$H$10="OK",(IFERROR(SUMIF(Nutzungsprofile!$B$6:$B$11,"Schulbetrieb",Nutzungsprofile!$G$6:$G$11)*Kalender!C134/SUM(Kalender!$C$5:$C$370),0)+IFERROR(SUMIF(Nutzungsprofile!$B$6:$B$11,"Halle",Nutzungsprofile!$G$6:$G$11)*Kalender!D134/SUM(Kalender!$D$5:$D$370),0)+IFERROR(SUMIF(Nutzungsprofile!$B$6:$B$11,"Individuell",Nutzungsprofile!$G$6:$G$11)*Kalender!E134/SUM(Kalender!$E$5:$E$370),0))*Szenarien!$E$10,0)</f>
        <v>2.448</v>
      </c>
      <c r="D866" s="13" t="n">
        <f aca="false">IF(Szenarien!$H$10="OK",(IFERROR(SUMIF(Nutzungsprofile!$B$17:$B$22,"Schulbetrieb",Nutzungsprofile!$G$17:$G$22)*Kalender!C134/SUM(Kalender!$C$5:$C$370),0)+IFERROR(SUMIF(Nutzungsprofile!$B$17:$B$22,"Halle",Nutzungsprofile!$G$17:$G$22)*Kalender!D134/SUM(Kalender!$D$5:$D$370),0)+IFERROR(SUMIF(Nutzungsprofile!$B$17:$B$22,"Individuell",Nutzungsprofile!$G$17:$G$22)*Kalender!E134/SUM(Kalender!$E$5:$E$370),0))*Szenarien!$D$10,0)</f>
        <v>0.979</v>
      </c>
      <c r="E866" s="13" t="n">
        <f aca="false">IFERROR(MIN(C866,Eingaben!$B$17)*Eingaben!$B$16,0)</f>
        <v>2.3256</v>
      </c>
      <c r="F866" s="13" t="n">
        <f aca="false">IFERROR(E866*Eingaben!$B$15,0)</f>
        <v>2.09304</v>
      </c>
      <c r="G866" s="13" t="n">
        <f aca="false">IFERROR(IF(Kalender!A134="",0,J865*(1-Eingaben!$B$20)),0)</f>
        <v>1.96</v>
      </c>
      <c r="H866" s="13" t="n">
        <f aca="false">MIN(G866,D866)</f>
        <v>0.979</v>
      </c>
      <c r="I866" s="13" t="n">
        <f aca="false">IFERROR(MIN(F866*Eingaben!$B$19,MAX(0,D866-H866)),0)</f>
        <v>0</v>
      </c>
      <c r="J866" s="13" t="n">
        <f aca="false">IFERROR(MIN(Eingaben!$B$18,MAX(0,F866-I866)),0)</f>
        <v>2</v>
      </c>
      <c r="K866" s="13" t="n">
        <f aca="false">H866+I866</f>
        <v>0.979</v>
      </c>
      <c r="L866" s="13" t="n">
        <f aca="false">MAX(0,D866-K866)</f>
        <v>0</v>
      </c>
      <c r="M866" s="13" t="n">
        <f aca="false">MAX(0,F866-I866-J866)</f>
        <v>0.0930399999999998</v>
      </c>
      <c r="N866" s="13" t="n">
        <f aca="false">IF(Kalender!A134="",0,J865-H866)</f>
        <v>1.021</v>
      </c>
    </row>
    <row r="867" customFormat="false" ht="16.4" hidden="false" customHeight="false" outlineLevel="0" collapsed="false">
      <c r="A867" s="13" t="str">
        <f aca="false">""</f>
        <v/>
      </c>
      <c r="B867" s="13" t="n">
        <f aca="false">131</f>
        <v>131</v>
      </c>
      <c r="C867" s="13" t="n">
        <f aca="false">IF(Szenarien!$H$10="OK",(IFERROR(SUMIF(Nutzungsprofile!$B$6:$B$11,"Schulbetrieb",Nutzungsprofile!$G$6:$G$11)*Kalender!C135/SUM(Kalender!$C$5:$C$370),0)+IFERROR(SUMIF(Nutzungsprofile!$B$6:$B$11,"Halle",Nutzungsprofile!$G$6:$G$11)*Kalender!D135/SUM(Kalender!$D$5:$D$370),0)+IFERROR(SUMIF(Nutzungsprofile!$B$6:$B$11,"Individuell",Nutzungsprofile!$G$6:$G$11)*Kalender!E135/SUM(Kalender!$E$5:$E$370),0))*Szenarien!$E$10,0)</f>
        <v>3.528</v>
      </c>
      <c r="D867" s="13" t="n">
        <f aca="false">IF(Szenarien!$H$10="OK",(IFERROR(SUMIF(Nutzungsprofile!$B$17:$B$22,"Schulbetrieb",Nutzungsprofile!$G$17:$G$22)*Kalender!C135/SUM(Kalender!$C$5:$C$370),0)+IFERROR(SUMIF(Nutzungsprofile!$B$17:$B$22,"Halle",Nutzungsprofile!$G$17:$G$22)*Kalender!D135/SUM(Kalender!$D$5:$D$370),0)+IFERROR(SUMIF(Nutzungsprofile!$B$17:$B$22,"Individuell",Nutzungsprofile!$G$17:$G$22)*Kalender!E135/SUM(Kalender!$E$5:$E$370),0))*Szenarien!$D$10,0)</f>
        <v>5.434</v>
      </c>
      <c r="E867" s="13" t="n">
        <f aca="false">IFERROR(MIN(C867,Eingaben!$B$17)*Eingaben!$B$16,0)</f>
        <v>3.3516</v>
      </c>
      <c r="F867" s="13" t="n">
        <f aca="false">IFERROR(E867*Eingaben!$B$15,0)</f>
        <v>3.01644</v>
      </c>
      <c r="G867" s="13" t="n">
        <f aca="false">IFERROR(IF(Kalender!A135="",0,J866*(1-Eingaben!$B$20)),0)</f>
        <v>1.96</v>
      </c>
      <c r="H867" s="13" t="n">
        <f aca="false">MIN(G867,D867)</f>
        <v>1.96</v>
      </c>
      <c r="I867" s="13" t="n">
        <f aca="false">IFERROR(MIN(F867*Eingaben!$B$19,MAX(0,D867-H867)),0)</f>
        <v>2.111508</v>
      </c>
      <c r="J867" s="13" t="n">
        <f aca="false">IFERROR(MIN(Eingaben!$B$18,MAX(0,F867-I867)),0)</f>
        <v>0.904932</v>
      </c>
      <c r="K867" s="13" t="n">
        <f aca="false">H867+I867</f>
        <v>4.071508</v>
      </c>
      <c r="L867" s="13" t="n">
        <f aca="false">MAX(0,D867-K867)</f>
        <v>1.362492</v>
      </c>
      <c r="M867" s="13" t="n">
        <f aca="false">MAX(0,F867-I867-J867)</f>
        <v>0</v>
      </c>
      <c r="N867" s="13" t="n">
        <f aca="false">IF(Kalender!A135="",0,J866-H867)</f>
        <v>0.04</v>
      </c>
    </row>
    <row r="868" customFormat="false" ht="16.4" hidden="false" customHeight="false" outlineLevel="0" collapsed="false">
      <c r="A868" s="13" t="str">
        <f aca="false">""</f>
        <v/>
      </c>
      <c r="B868" s="13" t="n">
        <f aca="false">132</f>
        <v>132</v>
      </c>
      <c r="C868" s="13" t="n">
        <f aca="false">IF(Szenarien!$H$10="OK",(IFERROR(SUMIF(Nutzungsprofile!$B$6:$B$11,"Schulbetrieb",Nutzungsprofile!$G$6:$G$11)*Kalender!C136/SUM(Kalender!$C$5:$C$370),0)+IFERROR(SUMIF(Nutzungsprofile!$B$6:$B$11,"Halle",Nutzungsprofile!$G$6:$G$11)*Kalender!D136/SUM(Kalender!$D$5:$D$370),0)+IFERROR(SUMIF(Nutzungsprofile!$B$6:$B$11,"Individuell",Nutzungsprofile!$G$6:$G$11)*Kalender!E136/SUM(Kalender!$E$5:$E$370),0))*Szenarien!$E$10,0)</f>
        <v>3.528</v>
      </c>
      <c r="D868" s="13" t="n">
        <f aca="false">IF(Szenarien!$H$10="OK",(IFERROR(SUMIF(Nutzungsprofile!$B$17:$B$22,"Schulbetrieb",Nutzungsprofile!$G$17:$G$22)*Kalender!C136/SUM(Kalender!$C$5:$C$370),0)+IFERROR(SUMIF(Nutzungsprofile!$B$17:$B$22,"Halle",Nutzungsprofile!$G$17:$G$22)*Kalender!D136/SUM(Kalender!$D$5:$D$370),0)+IFERROR(SUMIF(Nutzungsprofile!$B$17:$B$22,"Individuell",Nutzungsprofile!$G$17:$G$22)*Kalender!E136/SUM(Kalender!$E$5:$E$370),0))*Szenarien!$D$10,0)</f>
        <v>5.434</v>
      </c>
      <c r="E868" s="13" t="n">
        <f aca="false">IFERROR(MIN(C868,Eingaben!$B$17)*Eingaben!$B$16,0)</f>
        <v>3.3516</v>
      </c>
      <c r="F868" s="13" t="n">
        <f aca="false">IFERROR(E868*Eingaben!$B$15,0)</f>
        <v>3.01644</v>
      </c>
      <c r="G868" s="13" t="n">
        <f aca="false">IFERROR(IF(Kalender!A136="",0,J867*(1-Eingaben!$B$20)),0)</f>
        <v>0.88683336</v>
      </c>
      <c r="H868" s="13" t="n">
        <f aca="false">MIN(G868,D868)</f>
        <v>0.88683336</v>
      </c>
      <c r="I868" s="13" t="n">
        <f aca="false">IFERROR(MIN(F868*Eingaben!$B$19,MAX(0,D868-H868)),0)</f>
        <v>2.111508</v>
      </c>
      <c r="J868" s="13" t="n">
        <f aca="false">IFERROR(MIN(Eingaben!$B$18,MAX(0,F868-I868)),0)</f>
        <v>0.904932</v>
      </c>
      <c r="K868" s="13" t="n">
        <f aca="false">H868+I868</f>
        <v>2.99834136</v>
      </c>
      <c r="L868" s="13" t="n">
        <f aca="false">MAX(0,D868-K868)</f>
        <v>2.43565864</v>
      </c>
      <c r="M868" s="13" t="n">
        <f aca="false">MAX(0,F868-I868-J868)</f>
        <v>0</v>
      </c>
      <c r="N868" s="13" t="n">
        <f aca="false">IF(Kalender!A136="",0,J867-H868)</f>
        <v>0.0180986400000001</v>
      </c>
    </row>
    <row r="869" customFormat="false" ht="16.4" hidden="false" customHeight="false" outlineLevel="0" collapsed="false">
      <c r="A869" s="13" t="str">
        <f aca="false">""</f>
        <v/>
      </c>
      <c r="B869" s="13" t="n">
        <f aca="false">133</f>
        <v>133</v>
      </c>
      <c r="C869" s="13" t="n">
        <f aca="false">IF(Szenarien!$H$10="OK",(IFERROR(SUMIF(Nutzungsprofile!$B$6:$B$11,"Schulbetrieb",Nutzungsprofile!$G$6:$G$11)*Kalender!C137/SUM(Kalender!$C$5:$C$370),0)+IFERROR(SUMIF(Nutzungsprofile!$B$6:$B$11,"Halle",Nutzungsprofile!$G$6:$G$11)*Kalender!D137/SUM(Kalender!$D$5:$D$370),0)+IFERROR(SUMIF(Nutzungsprofile!$B$6:$B$11,"Individuell",Nutzungsprofile!$G$6:$G$11)*Kalender!E137/SUM(Kalender!$E$5:$E$370),0))*Szenarien!$E$10,0)</f>
        <v>3.528</v>
      </c>
      <c r="D869" s="13" t="n">
        <f aca="false">IF(Szenarien!$H$10="OK",(IFERROR(SUMIF(Nutzungsprofile!$B$17:$B$22,"Schulbetrieb",Nutzungsprofile!$G$17:$G$22)*Kalender!C137/SUM(Kalender!$C$5:$C$370),0)+IFERROR(SUMIF(Nutzungsprofile!$B$17:$B$22,"Halle",Nutzungsprofile!$G$17:$G$22)*Kalender!D137/SUM(Kalender!$D$5:$D$370),0)+IFERROR(SUMIF(Nutzungsprofile!$B$17:$B$22,"Individuell",Nutzungsprofile!$G$17:$G$22)*Kalender!E137/SUM(Kalender!$E$5:$E$370),0))*Szenarien!$D$10,0)</f>
        <v>5.434</v>
      </c>
      <c r="E869" s="13" t="n">
        <f aca="false">IFERROR(MIN(C869,Eingaben!$B$17)*Eingaben!$B$16,0)</f>
        <v>3.3516</v>
      </c>
      <c r="F869" s="13" t="n">
        <f aca="false">IFERROR(E869*Eingaben!$B$15,0)</f>
        <v>3.01644</v>
      </c>
      <c r="G869" s="13" t="n">
        <f aca="false">IFERROR(IF(Kalender!A137="",0,J868*(1-Eingaben!$B$20)),0)</f>
        <v>0.88683336</v>
      </c>
      <c r="H869" s="13" t="n">
        <f aca="false">MIN(G869,D869)</f>
        <v>0.88683336</v>
      </c>
      <c r="I869" s="13" t="n">
        <f aca="false">IFERROR(MIN(F869*Eingaben!$B$19,MAX(0,D869-H869)),0)</f>
        <v>2.111508</v>
      </c>
      <c r="J869" s="13" t="n">
        <f aca="false">IFERROR(MIN(Eingaben!$B$18,MAX(0,F869-I869)),0)</f>
        <v>0.904932</v>
      </c>
      <c r="K869" s="13" t="n">
        <f aca="false">H869+I869</f>
        <v>2.99834136</v>
      </c>
      <c r="L869" s="13" t="n">
        <f aca="false">MAX(0,D869-K869)</f>
        <v>2.43565864</v>
      </c>
      <c r="M869" s="13" t="n">
        <f aca="false">MAX(0,F869-I869-J869)</f>
        <v>0</v>
      </c>
      <c r="N869" s="13" t="n">
        <f aca="false">IF(Kalender!A137="",0,J868-H869)</f>
        <v>0.0180986400000001</v>
      </c>
    </row>
    <row r="870" customFormat="false" ht="16.4" hidden="false" customHeight="false" outlineLevel="0" collapsed="false">
      <c r="A870" s="13" t="str">
        <f aca="false">""</f>
        <v/>
      </c>
      <c r="B870" s="13" t="n">
        <f aca="false">134</f>
        <v>134</v>
      </c>
      <c r="C870" s="13" t="n">
        <f aca="false">IF(Szenarien!$H$10="OK",(IFERROR(SUMIF(Nutzungsprofile!$B$6:$B$11,"Schulbetrieb",Nutzungsprofile!$G$6:$G$11)*Kalender!C138/SUM(Kalender!$C$5:$C$370),0)+IFERROR(SUMIF(Nutzungsprofile!$B$6:$B$11,"Halle",Nutzungsprofile!$G$6:$G$11)*Kalender!D138/SUM(Kalender!$D$5:$D$370),0)+IFERROR(SUMIF(Nutzungsprofile!$B$6:$B$11,"Individuell",Nutzungsprofile!$G$6:$G$11)*Kalender!E138/SUM(Kalender!$E$5:$E$370),0))*Szenarien!$E$10,0)</f>
        <v>3.528</v>
      </c>
      <c r="D870" s="13" t="n">
        <f aca="false">IF(Szenarien!$H$10="OK",(IFERROR(SUMIF(Nutzungsprofile!$B$17:$B$22,"Schulbetrieb",Nutzungsprofile!$G$17:$G$22)*Kalender!C138/SUM(Kalender!$C$5:$C$370),0)+IFERROR(SUMIF(Nutzungsprofile!$B$17:$B$22,"Halle",Nutzungsprofile!$G$17:$G$22)*Kalender!D138/SUM(Kalender!$D$5:$D$370),0)+IFERROR(SUMIF(Nutzungsprofile!$B$17:$B$22,"Individuell",Nutzungsprofile!$G$17:$G$22)*Kalender!E138/SUM(Kalender!$E$5:$E$370),0))*Szenarien!$D$10,0)</f>
        <v>5.434</v>
      </c>
      <c r="E870" s="13" t="n">
        <f aca="false">IFERROR(MIN(C870,Eingaben!$B$17)*Eingaben!$B$16,0)</f>
        <v>3.3516</v>
      </c>
      <c r="F870" s="13" t="n">
        <f aca="false">IFERROR(E870*Eingaben!$B$15,0)</f>
        <v>3.01644</v>
      </c>
      <c r="G870" s="13" t="n">
        <f aca="false">IFERROR(IF(Kalender!A138="",0,J869*(1-Eingaben!$B$20)),0)</f>
        <v>0.88683336</v>
      </c>
      <c r="H870" s="13" t="n">
        <f aca="false">MIN(G870,D870)</f>
        <v>0.88683336</v>
      </c>
      <c r="I870" s="13" t="n">
        <f aca="false">IFERROR(MIN(F870*Eingaben!$B$19,MAX(0,D870-H870)),0)</f>
        <v>2.111508</v>
      </c>
      <c r="J870" s="13" t="n">
        <f aca="false">IFERROR(MIN(Eingaben!$B$18,MAX(0,F870-I870)),0)</f>
        <v>0.904932</v>
      </c>
      <c r="K870" s="13" t="n">
        <f aca="false">H870+I870</f>
        <v>2.99834136</v>
      </c>
      <c r="L870" s="13" t="n">
        <f aca="false">MAX(0,D870-K870)</f>
        <v>2.43565864</v>
      </c>
      <c r="M870" s="13" t="n">
        <f aca="false">MAX(0,F870-I870-J870)</f>
        <v>0</v>
      </c>
      <c r="N870" s="13" t="n">
        <f aca="false">IF(Kalender!A138="",0,J869-H870)</f>
        <v>0.0180986400000001</v>
      </c>
    </row>
    <row r="871" customFormat="false" ht="16.4" hidden="false" customHeight="false" outlineLevel="0" collapsed="false">
      <c r="A871" s="13" t="str">
        <f aca="false">""</f>
        <v/>
      </c>
      <c r="B871" s="13" t="n">
        <f aca="false">135</f>
        <v>135</v>
      </c>
      <c r="C871" s="13" t="n">
        <f aca="false">IF(Szenarien!$H$10="OK",(IFERROR(SUMIF(Nutzungsprofile!$B$6:$B$11,"Schulbetrieb",Nutzungsprofile!$G$6:$G$11)*Kalender!C139/SUM(Kalender!$C$5:$C$370),0)+IFERROR(SUMIF(Nutzungsprofile!$B$6:$B$11,"Halle",Nutzungsprofile!$G$6:$G$11)*Kalender!D139/SUM(Kalender!$D$5:$D$370),0)+IFERROR(SUMIF(Nutzungsprofile!$B$6:$B$11,"Individuell",Nutzungsprofile!$G$6:$G$11)*Kalender!E139/SUM(Kalender!$E$5:$E$370),0))*Szenarien!$E$10,0)</f>
        <v>3.528</v>
      </c>
      <c r="D871" s="13" t="n">
        <f aca="false">IF(Szenarien!$H$10="OK",(IFERROR(SUMIF(Nutzungsprofile!$B$17:$B$22,"Schulbetrieb",Nutzungsprofile!$G$17:$G$22)*Kalender!C139/SUM(Kalender!$C$5:$C$370),0)+IFERROR(SUMIF(Nutzungsprofile!$B$17:$B$22,"Halle",Nutzungsprofile!$G$17:$G$22)*Kalender!D139/SUM(Kalender!$D$5:$D$370),0)+IFERROR(SUMIF(Nutzungsprofile!$B$17:$B$22,"Individuell",Nutzungsprofile!$G$17:$G$22)*Kalender!E139/SUM(Kalender!$E$5:$E$370),0))*Szenarien!$D$10,0)</f>
        <v>5.434</v>
      </c>
      <c r="E871" s="13" t="n">
        <f aca="false">IFERROR(MIN(C871,Eingaben!$B$17)*Eingaben!$B$16,0)</f>
        <v>3.3516</v>
      </c>
      <c r="F871" s="13" t="n">
        <f aca="false">IFERROR(E871*Eingaben!$B$15,0)</f>
        <v>3.01644</v>
      </c>
      <c r="G871" s="13" t="n">
        <f aca="false">IFERROR(IF(Kalender!A139="",0,J870*(1-Eingaben!$B$20)),0)</f>
        <v>0.88683336</v>
      </c>
      <c r="H871" s="13" t="n">
        <f aca="false">MIN(G871,D871)</f>
        <v>0.88683336</v>
      </c>
      <c r="I871" s="13" t="n">
        <f aca="false">IFERROR(MIN(F871*Eingaben!$B$19,MAX(0,D871-H871)),0)</f>
        <v>2.111508</v>
      </c>
      <c r="J871" s="13" t="n">
        <f aca="false">IFERROR(MIN(Eingaben!$B$18,MAX(0,F871-I871)),0)</f>
        <v>0.904932</v>
      </c>
      <c r="K871" s="13" t="n">
        <f aca="false">H871+I871</f>
        <v>2.99834136</v>
      </c>
      <c r="L871" s="13" t="n">
        <f aca="false">MAX(0,D871-K871)</f>
        <v>2.43565864</v>
      </c>
      <c r="M871" s="13" t="n">
        <f aca="false">MAX(0,F871-I871-J871)</f>
        <v>0</v>
      </c>
      <c r="N871" s="13" t="n">
        <f aca="false">IF(Kalender!A139="",0,J870-H871)</f>
        <v>0.0180986400000001</v>
      </c>
    </row>
    <row r="872" customFormat="false" ht="16.4" hidden="false" customHeight="false" outlineLevel="0" collapsed="false">
      <c r="A872" s="13" t="str">
        <f aca="false">""</f>
        <v/>
      </c>
      <c r="B872" s="13" t="n">
        <f aca="false">136</f>
        <v>136</v>
      </c>
      <c r="C872" s="13" t="n">
        <f aca="false">IF(Szenarien!$H$10="OK",(IFERROR(SUMIF(Nutzungsprofile!$B$6:$B$11,"Schulbetrieb",Nutzungsprofile!$G$6:$G$11)*Kalender!C140/SUM(Kalender!$C$5:$C$370),0)+IFERROR(SUMIF(Nutzungsprofile!$B$6:$B$11,"Halle",Nutzungsprofile!$G$6:$G$11)*Kalender!D140/SUM(Kalender!$D$5:$D$370),0)+IFERROR(SUMIF(Nutzungsprofile!$B$6:$B$11,"Individuell",Nutzungsprofile!$G$6:$G$11)*Kalender!E140/SUM(Kalender!$E$5:$E$370),0))*Szenarien!$E$10,0)</f>
        <v>2.448</v>
      </c>
      <c r="D872" s="13" t="n">
        <f aca="false">IF(Szenarien!$H$10="OK",(IFERROR(SUMIF(Nutzungsprofile!$B$17:$B$22,"Schulbetrieb",Nutzungsprofile!$G$17:$G$22)*Kalender!C140/SUM(Kalender!$C$5:$C$370),0)+IFERROR(SUMIF(Nutzungsprofile!$B$17:$B$22,"Halle",Nutzungsprofile!$G$17:$G$22)*Kalender!D140/SUM(Kalender!$D$5:$D$370),0)+IFERROR(SUMIF(Nutzungsprofile!$B$17:$B$22,"Individuell",Nutzungsprofile!$G$17:$G$22)*Kalender!E140/SUM(Kalender!$E$5:$E$370),0))*Szenarien!$D$10,0)</f>
        <v>0.979</v>
      </c>
      <c r="E872" s="13" t="n">
        <f aca="false">IFERROR(MIN(C872,Eingaben!$B$17)*Eingaben!$B$16,0)</f>
        <v>2.3256</v>
      </c>
      <c r="F872" s="13" t="n">
        <f aca="false">IFERROR(E872*Eingaben!$B$15,0)</f>
        <v>2.09304</v>
      </c>
      <c r="G872" s="13" t="n">
        <f aca="false">IFERROR(IF(Kalender!A140="",0,J871*(1-Eingaben!$B$20)),0)</f>
        <v>0.88683336</v>
      </c>
      <c r="H872" s="13" t="n">
        <f aca="false">MIN(G872,D872)</f>
        <v>0.88683336</v>
      </c>
      <c r="I872" s="13" t="n">
        <f aca="false">IFERROR(MIN(F872*Eingaben!$B$19,MAX(0,D872-H872)),0)</f>
        <v>0.0921666400000001</v>
      </c>
      <c r="J872" s="13" t="n">
        <f aca="false">IFERROR(MIN(Eingaben!$B$18,MAX(0,F872-I872)),0)</f>
        <v>2</v>
      </c>
      <c r="K872" s="13" t="n">
        <f aca="false">H872+I872</f>
        <v>0.979</v>
      </c>
      <c r="L872" s="13" t="n">
        <f aca="false">MAX(0,D872-K872)</f>
        <v>0</v>
      </c>
      <c r="M872" s="13" t="n">
        <f aca="false">MAX(0,F872-I872-J872)</f>
        <v>0.000873359999999934</v>
      </c>
      <c r="N872" s="13" t="n">
        <f aca="false">IF(Kalender!A140="",0,J871-H872)</f>
        <v>0.0180986400000001</v>
      </c>
    </row>
    <row r="873" customFormat="false" ht="16.4" hidden="false" customHeight="false" outlineLevel="0" collapsed="false">
      <c r="A873" s="13" t="str">
        <f aca="false">""</f>
        <v/>
      </c>
      <c r="B873" s="13" t="n">
        <f aca="false">137</f>
        <v>137</v>
      </c>
      <c r="C873" s="13" t="n">
        <f aca="false">IF(Szenarien!$H$10="OK",(IFERROR(SUMIF(Nutzungsprofile!$B$6:$B$11,"Schulbetrieb",Nutzungsprofile!$G$6:$G$11)*Kalender!C141/SUM(Kalender!$C$5:$C$370),0)+IFERROR(SUMIF(Nutzungsprofile!$B$6:$B$11,"Halle",Nutzungsprofile!$G$6:$G$11)*Kalender!D141/SUM(Kalender!$D$5:$D$370),0)+IFERROR(SUMIF(Nutzungsprofile!$B$6:$B$11,"Individuell",Nutzungsprofile!$G$6:$G$11)*Kalender!E141/SUM(Kalender!$E$5:$E$370),0))*Szenarien!$E$10,0)</f>
        <v>2.448</v>
      </c>
      <c r="D873" s="13" t="n">
        <f aca="false">IF(Szenarien!$H$10="OK",(IFERROR(SUMIF(Nutzungsprofile!$B$17:$B$22,"Schulbetrieb",Nutzungsprofile!$G$17:$G$22)*Kalender!C141/SUM(Kalender!$C$5:$C$370),0)+IFERROR(SUMIF(Nutzungsprofile!$B$17:$B$22,"Halle",Nutzungsprofile!$G$17:$G$22)*Kalender!D141/SUM(Kalender!$D$5:$D$370),0)+IFERROR(SUMIF(Nutzungsprofile!$B$17:$B$22,"Individuell",Nutzungsprofile!$G$17:$G$22)*Kalender!E141/SUM(Kalender!$E$5:$E$370),0))*Szenarien!$D$10,0)</f>
        <v>0.979</v>
      </c>
      <c r="E873" s="13" t="n">
        <f aca="false">IFERROR(MIN(C873,Eingaben!$B$17)*Eingaben!$B$16,0)</f>
        <v>2.3256</v>
      </c>
      <c r="F873" s="13" t="n">
        <f aca="false">IFERROR(E873*Eingaben!$B$15,0)</f>
        <v>2.09304</v>
      </c>
      <c r="G873" s="13" t="n">
        <f aca="false">IFERROR(IF(Kalender!A141="",0,J872*(1-Eingaben!$B$20)),0)</f>
        <v>1.96</v>
      </c>
      <c r="H873" s="13" t="n">
        <f aca="false">MIN(G873,D873)</f>
        <v>0.979</v>
      </c>
      <c r="I873" s="13" t="n">
        <f aca="false">IFERROR(MIN(F873*Eingaben!$B$19,MAX(0,D873-H873)),0)</f>
        <v>0</v>
      </c>
      <c r="J873" s="13" t="n">
        <f aca="false">IFERROR(MIN(Eingaben!$B$18,MAX(0,F873-I873)),0)</f>
        <v>2</v>
      </c>
      <c r="K873" s="13" t="n">
        <f aca="false">H873+I873</f>
        <v>0.979</v>
      </c>
      <c r="L873" s="13" t="n">
        <f aca="false">MAX(0,D873-K873)</f>
        <v>0</v>
      </c>
      <c r="M873" s="13" t="n">
        <f aca="false">MAX(0,F873-I873-J873)</f>
        <v>0.0930399999999998</v>
      </c>
      <c r="N873" s="13" t="n">
        <f aca="false">IF(Kalender!A141="",0,J872-H873)</f>
        <v>1.021</v>
      </c>
    </row>
    <row r="874" customFormat="false" ht="16.4" hidden="false" customHeight="false" outlineLevel="0" collapsed="false">
      <c r="A874" s="13" t="str">
        <f aca="false">""</f>
        <v/>
      </c>
      <c r="B874" s="13" t="n">
        <f aca="false">138</f>
        <v>138</v>
      </c>
      <c r="C874" s="13" t="n">
        <f aca="false">IF(Szenarien!$H$10="OK",(IFERROR(SUMIF(Nutzungsprofile!$B$6:$B$11,"Schulbetrieb",Nutzungsprofile!$G$6:$G$11)*Kalender!C142/SUM(Kalender!$C$5:$C$370),0)+IFERROR(SUMIF(Nutzungsprofile!$B$6:$B$11,"Halle",Nutzungsprofile!$G$6:$G$11)*Kalender!D142/SUM(Kalender!$D$5:$D$370),0)+IFERROR(SUMIF(Nutzungsprofile!$B$6:$B$11,"Individuell",Nutzungsprofile!$G$6:$G$11)*Kalender!E142/SUM(Kalender!$E$5:$E$370),0))*Szenarien!$E$10,0)</f>
        <v>3.528</v>
      </c>
      <c r="D874" s="13" t="n">
        <f aca="false">IF(Szenarien!$H$10="OK",(IFERROR(SUMIF(Nutzungsprofile!$B$17:$B$22,"Schulbetrieb",Nutzungsprofile!$G$17:$G$22)*Kalender!C142/SUM(Kalender!$C$5:$C$370),0)+IFERROR(SUMIF(Nutzungsprofile!$B$17:$B$22,"Halle",Nutzungsprofile!$G$17:$G$22)*Kalender!D142/SUM(Kalender!$D$5:$D$370),0)+IFERROR(SUMIF(Nutzungsprofile!$B$17:$B$22,"Individuell",Nutzungsprofile!$G$17:$G$22)*Kalender!E142/SUM(Kalender!$E$5:$E$370),0))*Szenarien!$D$10,0)</f>
        <v>5.434</v>
      </c>
      <c r="E874" s="13" t="n">
        <f aca="false">IFERROR(MIN(C874,Eingaben!$B$17)*Eingaben!$B$16,0)</f>
        <v>3.3516</v>
      </c>
      <c r="F874" s="13" t="n">
        <f aca="false">IFERROR(E874*Eingaben!$B$15,0)</f>
        <v>3.01644</v>
      </c>
      <c r="G874" s="13" t="n">
        <f aca="false">IFERROR(IF(Kalender!A142="",0,J873*(1-Eingaben!$B$20)),0)</f>
        <v>1.96</v>
      </c>
      <c r="H874" s="13" t="n">
        <f aca="false">MIN(G874,D874)</f>
        <v>1.96</v>
      </c>
      <c r="I874" s="13" t="n">
        <f aca="false">IFERROR(MIN(F874*Eingaben!$B$19,MAX(0,D874-H874)),0)</f>
        <v>2.111508</v>
      </c>
      <c r="J874" s="13" t="n">
        <f aca="false">IFERROR(MIN(Eingaben!$B$18,MAX(0,F874-I874)),0)</f>
        <v>0.904932</v>
      </c>
      <c r="K874" s="13" t="n">
        <f aca="false">H874+I874</f>
        <v>4.071508</v>
      </c>
      <c r="L874" s="13" t="n">
        <f aca="false">MAX(0,D874-K874)</f>
        <v>1.362492</v>
      </c>
      <c r="M874" s="13" t="n">
        <f aca="false">MAX(0,F874-I874-J874)</f>
        <v>0</v>
      </c>
      <c r="N874" s="13" t="n">
        <f aca="false">IF(Kalender!A142="",0,J873-H874)</f>
        <v>0.04</v>
      </c>
    </row>
    <row r="875" customFormat="false" ht="16.4" hidden="false" customHeight="false" outlineLevel="0" collapsed="false">
      <c r="A875" s="13" t="str">
        <f aca="false">""</f>
        <v/>
      </c>
      <c r="B875" s="13" t="n">
        <f aca="false">139</f>
        <v>139</v>
      </c>
      <c r="C875" s="13" t="n">
        <f aca="false">IF(Szenarien!$H$10="OK",(IFERROR(SUMIF(Nutzungsprofile!$B$6:$B$11,"Schulbetrieb",Nutzungsprofile!$G$6:$G$11)*Kalender!C143/SUM(Kalender!$C$5:$C$370),0)+IFERROR(SUMIF(Nutzungsprofile!$B$6:$B$11,"Halle",Nutzungsprofile!$G$6:$G$11)*Kalender!D143/SUM(Kalender!$D$5:$D$370),0)+IFERROR(SUMIF(Nutzungsprofile!$B$6:$B$11,"Individuell",Nutzungsprofile!$G$6:$G$11)*Kalender!E143/SUM(Kalender!$E$5:$E$370),0))*Szenarien!$E$10,0)</f>
        <v>3.528</v>
      </c>
      <c r="D875" s="13" t="n">
        <f aca="false">IF(Szenarien!$H$10="OK",(IFERROR(SUMIF(Nutzungsprofile!$B$17:$B$22,"Schulbetrieb",Nutzungsprofile!$G$17:$G$22)*Kalender!C143/SUM(Kalender!$C$5:$C$370),0)+IFERROR(SUMIF(Nutzungsprofile!$B$17:$B$22,"Halle",Nutzungsprofile!$G$17:$G$22)*Kalender!D143/SUM(Kalender!$D$5:$D$370),0)+IFERROR(SUMIF(Nutzungsprofile!$B$17:$B$22,"Individuell",Nutzungsprofile!$G$17:$G$22)*Kalender!E143/SUM(Kalender!$E$5:$E$370),0))*Szenarien!$D$10,0)</f>
        <v>5.434</v>
      </c>
      <c r="E875" s="13" t="n">
        <f aca="false">IFERROR(MIN(C875,Eingaben!$B$17)*Eingaben!$B$16,0)</f>
        <v>3.3516</v>
      </c>
      <c r="F875" s="13" t="n">
        <f aca="false">IFERROR(E875*Eingaben!$B$15,0)</f>
        <v>3.01644</v>
      </c>
      <c r="G875" s="13" t="n">
        <f aca="false">IFERROR(IF(Kalender!A143="",0,J874*(1-Eingaben!$B$20)),0)</f>
        <v>0.88683336</v>
      </c>
      <c r="H875" s="13" t="n">
        <f aca="false">MIN(G875,D875)</f>
        <v>0.88683336</v>
      </c>
      <c r="I875" s="13" t="n">
        <f aca="false">IFERROR(MIN(F875*Eingaben!$B$19,MAX(0,D875-H875)),0)</f>
        <v>2.111508</v>
      </c>
      <c r="J875" s="13" t="n">
        <f aca="false">IFERROR(MIN(Eingaben!$B$18,MAX(0,F875-I875)),0)</f>
        <v>0.904932</v>
      </c>
      <c r="K875" s="13" t="n">
        <f aca="false">H875+I875</f>
        <v>2.99834136</v>
      </c>
      <c r="L875" s="13" t="n">
        <f aca="false">MAX(0,D875-K875)</f>
        <v>2.43565864</v>
      </c>
      <c r="M875" s="13" t="n">
        <f aca="false">MAX(0,F875-I875-J875)</f>
        <v>0</v>
      </c>
      <c r="N875" s="13" t="n">
        <f aca="false">IF(Kalender!A143="",0,J874-H875)</f>
        <v>0.0180986400000001</v>
      </c>
    </row>
    <row r="876" customFormat="false" ht="16.4" hidden="false" customHeight="false" outlineLevel="0" collapsed="false">
      <c r="A876" s="13" t="str">
        <f aca="false">""</f>
        <v/>
      </c>
      <c r="B876" s="13" t="n">
        <f aca="false">140</f>
        <v>140</v>
      </c>
      <c r="C876" s="13" t="n">
        <f aca="false">IF(Szenarien!$H$10="OK",(IFERROR(SUMIF(Nutzungsprofile!$B$6:$B$11,"Schulbetrieb",Nutzungsprofile!$G$6:$G$11)*Kalender!C144/SUM(Kalender!$C$5:$C$370),0)+IFERROR(SUMIF(Nutzungsprofile!$B$6:$B$11,"Halle",Nutzungsprofile!$G$6:$G$11)*Kalender!D144/SUM(Kalender!$D$5:$D$370),0)+IFERROR(SUMIF(Nutzungsprofile!$B$6:$B$11,"Individuell",Nutzungsprofile!$G$6:$G$11)*Kalender!E144/SUM(Kalender!$E$5:$E$370),0))*Szenarien!$E$10,0)</f>
        <v>3.528</v>
      </c>
      <c r="D876" s="13" t="n">
        <f aca="false">IF(Szenarien!$H$10="OK",(IFERROR(SUMIF(Nutzungsprofile!$B$17:$B$22,"Schulbetrieb",Nutzungsprofile!$G$17:$G$22)*Kalender!C144/SUM(Kalender!$C$5:$C$370),0)+IFERROR(SUMIF(Nutzungsprofile!$B$17:$B$22,"Halle",Nutzungsprofile!$G$17:$G$22)*Kalender!D144/SUM(Kalender!$D$5:$D$370),0)+IFERROR(SUMIF(Nutzungsprofile!$B$17:$B$22,"Individuell",Nutzungsprofile!$G$17:$G$22)*Kalender!E144/SUM(Kalender!$E$5:$E$370),0))*Szenarien!$D$10,0)</f>
        <v>5.434</v>
      </c>
      <c r="E876" s="13" t="n">
        <f aca="false">IFERROR(MIN(C876,Eingaben!$B$17)*Eingaben!$B$16,0)</f>
        <v>3.3516</v>
      </c>
      <c r="F876" s="13" t="n">
        <f aca="false">IFERROR(E876*Eingaben!$B$15,0)</f>
        <v>3.01644</v>
      </c>
      <c r="G876" s="13" t="n">
        <f aca="false">IFERROR(IF(Kalender!A144="",0,J875*(1-Eingaben!$B$20)),0)</f>
        <v>0.88683336</v>
      </c>
      <c r="H876" s="13" t="n">
        <f aca="false">MIN(G876,D876)</f>
        <v>0.88683336</v>
      </c>
      <c r="I876" s="13" t="n">
        <f aca="false">IFERROR(MIN(F876*Eingaben!$B$19,MAX(0,D876-H876)),0)</f>
        <v>2.111508</v>
      </c>
      <c r="J876" s="13" t="n">
        <f aca="false">IFERROR(MIN(Eingaben!$B$18,MAX(0,F876-I876)),0)</f>
        <v>0.904932</v>
      </c>
      <c r="K876" s="13" t="n">
        <f aca="false">H876+I876</f>
        <v>2.99834136</v>
      </c>
      <c r="L876" s="13" t="n">
        <f aca="false">MAX(0,D876-K876)</f>
        <v>2.43565864</v>
      </c>
      <c r="M876" s="13" t="n">
        <f aca="false">MAX(0,F876-I876-J876)</f>
        <v>0</v>
      </c>
      <c r="N876" s="13" t="n">
        <f aca="false">IF(Kalender!A144="",0,J875-H876)</f>
        <v>0.0180986400000001</v>
      </c>
    </row>
    <row r="877" customFormat="false" ht="16.4" hidden="false" customHeight="false" outlineLevel="0" collapsed="false">
      <c r="A877" s="13" t="str">
        <f aca="false">""</f>
        <v/>
      </c>
      <c r="B877" s="13" t="n">
        <f aca="false">141</f>
        <v>141</v>
      </c>
      <c r="C877" s="13" t="n">
        <f aca="false">IF(Szenarien!$H$10="OK",(IFERROR(SUMIF(Nutzungsprofile!$B$6:$B$11,"Schulbetrieb",Nutzungsprofile!$G$6:$G$11)*Kalender!C145/SUM(Kalender!$C$5:$C$370),0)+IFERROR(SUMIF(Nutzungsprofile!$B$6:$B$11,"Halle",Nutzungsprofile!$G$6:$G$11)*Kalender!D145/SUM(Kalender!$D$5:$D$370),0)+IFERROR(SUMIF(Nutzungsprofile!$B$6:$B$11,"Individuell",Nutzungsprofile!$G$6:$G$11)*Kalender!E145/SUM(Kalender!$E$5:$E$370),0))*Szenarien!$E$10,0)</f>
        <v>3.528</v>
      </c>
      <c r="D877" s="13" t="n">
        <f aca="false">IF(Szenarien!$H$10="OK",(IFERROR(SUMIF(Nutzungsprofile!$B$17:$B$22,"Schulbetrieb",Nutzungsprofile!$G$17:$G$22)*Kalender!C145/SUM(Kalender!$C$5:$C$370),0)+IFERROR(SUMIF(Nutzungsprofile!$B$17:$B$22,"Halle",Nutzungsprofile!$G$17:$G$22)*Kalender!D145/SUM(Kalender!$D$5:$D$370),0)+IFERROR(SUMIF(Nutzungsprofile!$B$17:$B$22,"Individuell",Nutzungsprofile!$G$17:$G$22)*Kalender!E145/SUM(Kalender!$E$5:$E$370),0))*Szenarien!$D$10,0)</f>
        <v>5.434</v>
      </c>
      <c r="E877" s="13" t="n">
        <f aca="false">IFERROR(MIN(C877,Eingaben!$B$17)*Eingaben!$B$16,0)</f>
        <v>3.3516</v>
      </c>
      <c r="F877" s="13" t="n">
        <f aca="false">IFERROR(E877*Eingaben!$B$15,0)</f>
        <v>3.01644</v>
      </c>
      <c r="G877" s="13" t="n">
        <f aca="false">IFERROR(IF(Kalender!A145="",0,J876*(1-Eingaben!$B$20)),0)</f>
        <v>0.88683336</v>
      </c>
      <c r="H877" s="13" t="n">
        <f aca="false">MIN(G877,D877)</f>
        <v>0.88683336</v>
      </c>
      <c r="I877" s="13" t="n">
        <f aca="false">IFERROR(MIN(F877*Eingaben!$B$19,MAX(0,D877-H877)),0)</f>
        <v>2.111508</v>
      </c>
      <c r="J877" s="13" t="n">
        <f aca="false">IFERROR(MIN(Eingaben!$B$18,MAX(0,F877-I877)),0)</f>
        <v>0.904932</v>
      </c>
      <c r="K877" s="13" t="n">
        <f aca="false">H877+I877</f>
        <v>2.99834136</v>
      </c>
      <c r="L877" s="13" t="n">
        <f aca="false">MAX(0,D877-K877)</f>
        <v>2.43565864</v>
      </c>
      <c r="M877" s="13" t="n">
        <f aca="false">MAX(0,F877-I877-J877)</f>
        <v>0</v>
      </c>
      <c r="N877" s="13" t="n">
        <f aca="false">IF(Kalender!A145="",0,J876-H877)</f>
        <v>0.0180986400000001</v>
      </c>
    </row>
    <row r="878" customFormat="false" ht="16.4" hidden="false" customHeight="false" outlineLevel="0" collapsed="false">
      <c r="A878" s="13" t="str">
        <f aca="false">""</f>
        <v/>
      </c>
      <c r="B878" s="13" t="n">
        <f aca="false">142</f>
        <v>142</v>
      </c>
      <c r="C878" s="13" t="n">
        <f aca="false">IF(Szenarien!$H$10="OK",(IFERROR(SUMIF(Nutzungsprofile!$B$6:$B$11,"Schulbetrieb",Nutzungsprofile!$G$6:$G$11)*Kalender!C146/SUM(Kalender!$C$5:$C$370),0)+IFERROR(SUMIF(Nutzungsprofile!$B$6:$B$11,"Halle",Nutzungsprofile!$G$6:$G$11)*Kalender!D146/SUM(Kalender!$D$5:$D$370),0)+IFERROR(SUMIF(Nutzungsprofile!$B$6:$B$11,"Individuell",Nutzungsprofile!$G$6:$G$11)*Kalender!E146/SUM(Kalender!$E$5:$E$370),0))*Szenarien!$E$10,0)</f>
        <v>3.528</v>
      </c>
      <c r="D878" s="13" t="n">
        <f aca="false">IF(Szenarien!$H$10="OK",(IFERROR(SUMIF(Nutzungsprofile!$B$17:$B$22,"Schulbetrieb",Nutzungsprofile!$G$17:$G$22)*Kalender!C146/SUM(Kalender!$C$5:$C$370),0)+IFERROR(SUMIF(Nutzungsprofile!$B$17:$B$22,"Halle",Nutzungsprofile!$G$17:$G$22)*Kalender!D146/SUM(Kalender!$D$5:$D$370),0)+IFERROR(SUMIF(Nutzungsprofile!$B$17:$B$22,"Individuell",Nutzungsprofile!$G$17:$G$22)*Kalender!E146/SUM(Kalender!$E$5:$E$370),0))*Szenarien!$D$10,0)</f>
        <v>5.434</v>
      </c>
      <c r="E878" s="13" t="n">
        <f aca="false">IFERROR(MIN(C878,Eingaben!$B$17)*Eingaben!$B$16,0)</f>
        <v>3.3516</v>
      </c>
      <c r="F878" s="13" t="n">
        <f aca="false">IFERROR(E878*Eingaben!$B$15,0)</f>
        <v>3.01644</v>
      </c>
      <c r="G878" s="13" t="n">
        <f aca="false">IFERROR(IF(Kalender!A146="",0,J877*(1-Eingaben!$B$20)),0)</f>
        <v>0.88683336</v>
      </c>
      <c r="H878" s="13" t="n">
        <f aca="false">MIN(G878,D878)</f>
        <v>0.88683336</v>
      </c>
      <c r="I878" s="13" t="n">
        <f aca="false">IFERROR(MIN(F878*Eingaben!$B$19,MAX(0,D878-H878)),0)</f>
        <v>2.111508</v>
      </c>
      <c r="J878" s="13" t="n">
        <f aca="false">IFERROR(MIN(Eingaben!$B$18,MAX(0,F878-I878)),0)</f>
        <v>0.904932</v>
      </c>
      <c r="K878" s="13" t="n">
        <f aca="false">H878+I878</f>
        <v>2.99834136</v>
      </c>
      <c r="L878" s="13" t="n">
        <f aca="false">MAX(0,D878-K878)</f>
        <v>2.43565864</v>
      </c>
      <c r="M878" s="13" t="n">
        <f aca="false">MAX(0,F878-I878-J878)</f>
        <v>0</v>
      </c>
      <c r="N878" s="13" t="n">
        <f aca="false">IF(Kalender!A146="",0,J877-H878)</f>
        <v>0.0180986400000001</v>
      </c>
    </row>
    <row r="879" customFormat="false" ht="16.4" hidden="false" customHeight="false" outlineLevel="0" collapsed="false">
      <c r="A879" s="13" t="str">
        <f aca="false">""</f>
        <v/>
      </c>
      <c r="B879" s="13" t="n">
        <f aca="false">143</f>
        <v>143</v>
      </c>
      <c r="C879" s="13" t="n">
        <f aca="false">IF(Szenarien!$H$10="OK",(IFERROR(SUMIF(Nutzungsprofile!$B$6:$B$11,"Schulbetrieb",Nutzungsprofile!$G$6:$G$11)*Kalender!C147/SUM(Kalender!$C$5:$C$370),0)+IFERROR(SUMIF(Nutzungsprofile!$B$6:$B$11,"Halle",Nutzungsprofile!$G$6:$G$11)*Kalender!D147/SUM(Kalender!$D$5:$D$370),0)+IFERROR(SUMIF(Nutzungsprofile!$B$6:$B$11,"Individuell",Nutzungsprofile!$G$6:$G$11)*Kalender!E147/SUM(Kalender!$E$5:$E$370),0))*Szenarien!$E$10,0)</f>
        <v>2.448</v>
      </c>
      <c r="D879" s="13" t="n">
        <f aca="false">IF(Szenarien!$H$10="OK",(IFERROR(SUMIF(Nutzungsprofile!$B$17:$B$22,"Schulbetrieb",Nutzungsprofile!$G$17:$G$22)*Kalender!C147/SUM(Kalender!$C$5:$C$370),0)+IFERROR(SUMIF(Nutzungsprofile!$B$17:$B$22,"Halle",Nutzungsprofile!$G$17:$G$22)*Kalender!D147/SUM(Kalender!$D$5:$D$370),0)+IFERROR(SUMIF(Nutzungsprofile!$B$17:$B$22,"Individuell",Nutzungsprofile!$G$17:$G$22)*Kalender!E147/SUM(Kalender!$E$5:$E$370),0))*Szenarien!$D$10,0)</f>
        <v>0.979</v>
      </c>
      <c r="E879" s="13" t="n">
        <f aca="false">IFERROR(MIN(C879,Eingaben!$B$17)*Eingaben!$B$16,0)</f>
        <v>2.3256</v>
      </c>
      <c r="F879" s="13" t="n">
        <f aca="false">IFERROR(E879*Eingaben!$B$15,0)</f>
        <v>2.09304</v>
      </c>
      <c r="G879" s="13" t="n">
        <f aca="false">IFERROR(IF(Kalender!A147="",0,J878*(1-Eingaben!$B$20)),0)</f>
        <v>0.88683336</v>
      </c>
      <c r="H879" s="13" t="n">
        <f aca="false">MIN(G879,D879)</f>
        <v>0.88683336</v>
      </c>
      <c r="I879" s="13" t="n">
        <f aca="false">IFERROR(MIN(F879*Eingaben!$B$19,MAX(0,D879-H879)),0)</f>
        <v>0.0921666400000001</v>
      </c>
      <c r="J879" s="13" t="n">
        <f aca="false">IFERROR(MIN(Eingaben!$B$18,MAX(0,F879-I879)),0)</f>
        <v>2</v>
      </c>
      <c r="K879" s="13" t="n">
        <f aca="false">H879+I879</f>
        <v>0.979</v>
      </c>
      <c r="L879" s="13" t="n">
        <f aca="false">MAX(0,D879-K879)</f>
        <v>0</v>
      </c>
      <c r="M879" s="13" t="n">
        <f aca="false">MAX(0,F879-I879-J879)</f>
        <v>0.000873359999999934</v>
      </c>
      <c r="N879" s="13" t="n">
        <f aca="false">IF(Kalender!A147="",0,J878-H879)</f>
        <v>0.0180986400000001</v>
      </c>
    </row>
    <row r="880" customFormat="false" ht="16.4" hidden="false" customHeight="false" outlineLevel="0" collapsed="false">
      <c r="A880" s="13" t="str">
        <f aca="false">""</f>
        <v/>
      </c>
      <c r="B880" s="13" t="n">
        <f aca="false">144</f>
        <v>144</v>
      </c>
      <c r="C880" s="13" t="n">
        <f aca="false">IF(Szenarien!$H$10="OK",(IFERROR(SUMIF(Nutzungsprofile!$B$6:$B$11,"Schulbetrieb",Nutzungsprofile!$G$6:$G$11)*Kalender!C148/SUM(Kalender!$C$5:$C$370),0)+IFERROR(SUMIF(Nutzungsprofile!$B$6:$B$11,"Halle",Nutzungsprofile!$G$6:$G$11)*Kalender!D148/SUM(Kalender!$D$5:$D$370),0)+IFERROR(SUMIF(Nutzungsprofile!$B$6:$B$11,"Individuell",Nutzungsprofile!$G$6:$G$11)*Kalender!E148/SUM(Kalender!$E$5:$E$370),0))*Szenarien!$E$10,0)</f>
        <v>2.448</v>
      </c>
      <c r="D880" s="13" t="n">
        <f aca="false">IF(Szenarien!$H$10="OK",(IFERROR(SUMIF(Nutzungsprofile!$B$17:$B$22,"Schulbetrieb",Nutzungsprofile!$G$17:$G$22)*Kalender!C148/SUM(Kalender!$C$5:$C$370),0)+IFERROR(SUMIF(Nutzungsprofile!$B$17:$B$22,"Halle",Nutzungsprofile!$G$17:$G$22)*Kalender!D148/SUM(Kalender!$D$5:$D$370),0)+IFERROR(SUMIF(Nutzungsprofile!$B$17:$B$22,"Individuell",Nutzungsprofile!$G$17:$G$22)*Kalender!E148/SUM(Kalender!$E$5:$E$370),0))*Szenarien!$D$10,0)</f>
        <v>0.979</v>
      </c>
      <c r="E880" s="13" t="n">
        <f aca="false">IFERROR(MIN(C880,Eingaben!$B$17)*Eingaben!$B$16,0)</f>
        <v>2.3256</v>
      </c>
      <c r="F880" s="13" t="n">
        <f aca="false">IFERROR(E880*Eingaben!$B$15,0)</f>
        <v>2.09304</v>
      </c>
      <c r="G880" s="13" t="n">
        <f aca="false">IFERROR(IF(Kalender!A148="",0,J879*(1-Eingaben!$B$20)),0)</f>
        <v>1.96</v>
      </c>
      <c r="H880" s="13" t="n">
        <f aca="false">MIN(G880,D880)</f>
        <v>0.979</v>
      </c>
      <c r="I880" s="13" t="n">
        <f aca="false">IFERROR(MIN(F880*Eingaben!$B$19,MAX(0,D880-H880)),0)</f>
        <v>0</v>
      </c>
      <c r="J880" s="13" t="n">
        <f aca="false">IFERROR(MIN(Eingaben!$B$18,MAX(0,F880-I880)),0)</f>
        <v>2</v>
      </c>
      <c r="K880" s="13" t="n">
        <f aca="false">H880+I880</f>
        <v>0.979</v>
      </c>
      <c r="L880" s="13" t="n">
        <f aca="false">MAX(0,D880-K880)</f>
        <v>0</v>
      </c>
      <c r="M880" s="13" t="n">
        <f aca="false">MAX(0,F880-I880-J880)</f>
        <v>0.0930399999999998</v>
      </c>
      <c r="N880" s="13" t="n">
        <f aca="false">IF(Kalender!A148="",0,J879-H880)</f>
        <v>1.021</v>
      </c>
    </row>
    <row r="881" customFormat="false" ht="16.4" hidden="false" customHeight="false" outlineLevel="0" collapsed="false">
      <c r="A881" s="13" t="str">
        <f aca="false">""</f>
        <v/>
      </c>
      <c r="B881" s="13" t="n">
        <f aca="false">145</f>
        <v>145</v>
      </c>
      <c r="C881" s="13" t="n">
        <f aca="false">IF(Szenarien!$H$10="OK",(IFERROR(SUMIF(Nutzungsprofile!$B$6:$B$11,"Schulbetrieb",Nutzungsprofile!$G$6:$G$11)*Kalender!C149/SUM(Kalender!$C$5:$C$370),0)+IFERROR(SUMIF(Nutzungsprofile!$B$6:$B$11,"Halle",Nutzungsprofile!$G$6:$G$11)*Kalender!D149/SUM(Kalender!$D$5:$D$370),0)+IFERROR(SUMIF(Nutzungsprofile!$B$6:$B$11,"Individuell",Nutzungsprofile!$G$6:$G$11)*Kalender!E149/SUM(Kalender!$E$5:$E$370),0))*Szenarien!$E$10,0)</f>
        <v>3.528</v>
      </c>
      <c r="D881" s="13" t="n">
        <f aca="false">IF(Szenarien!$H$10="OK",(IFERROR(SUMIF(Nutzungsprofile!$B$17:$B$22,"Schulbetrieb",Nutzungsprofile!$G$17:$G$22)*Kalender!C149/SUM(Kalender!$C$5:$C$370),0)+IFERROR(SUMIF(Nutzungsprofile!$B$17:$B$22,"Halle",Nutzungsprofile!$G$17:$G$22)*Kalender!D149/SUM(Kalender!$D$5:$D$370),0)+IFERROR(SUMIF(Nutzungsprofile!$B$17:$B$22,"Individuell",Nutzungsprofile!$G$17:$G$22)*Kalender!E149/SUM(Kalender!$E$5:$E$370),0))*Szenarien!$D$10,0)</f>
        <v>5.434</v>
      </c>
      <c r="E881" s="13" t="n">
        <f aca="false">IFERROR(MIN(C881,Eingaben!$B$17)*Eingaben!$B$16,0)</f>
        <v>3.3516</v>
      </c>
      <c r="F881" s="13" t="n">
        <f aca="false">IFERROR(E881*Eingaben!$B$15,0)</f>
        <v>3.01644</v>
      </c>
      <c r="G881" s="13" t="n">
        <f aca="false">IFERROR(IF(Kalender!A149="",0,J880*(1-Eingaben!$B$20)),0)</f>
        <v>1.96</v>
      </c>
      <c r="H881" s="13" t="n">
        <f aca="false">MIN(G881,D881)</f>
        <v>1.96</v>
      </c>
      <c r="I881" s="13" t="n">
        <f aca="false">IFERROR(MIN(F881*Eingaben!$B$19,MAX(0,D881-H881)),0)</f>
        <v>2.111508</v>
      </c>
      <c r="J881" s="13" t="n">
        <f aca="false">IFERROR(MIN(Eingaben!$B$18,MAX(0,F881-I881)),0)</f>
        <v>0.904932</v>
      </c>
      <c r="K881" s="13" t="n">
        <f aca="false">H881+I881</f>
        <v>4.071508</v>
      </c>
      <c r="L881" s="13" t="n">
        <f aca="false">MAX(0,D881-K881)</f>
        <v>1.362492</v>
      </c>
      <c r="M881" s="13" t="n">
        <f aca="false">MAX(0,F881-I881-J881)</f>
        <v>0</v>
      </c>
      <c r="N881" s="13" t="n">
        <f aca="false">IF(Kalender!A149="",0,J880-H881)</f>
        <v>0.04</v>
      </c>
    </row>
    <row r="882" customFormat="false" ht="16.4" hidden="false" customHeight="false" outlineLevel="0" collapsed="false">
      <c r="A882" s="13" t="str">
        <f aca="false">""</f>
        <v/>
      </c>
      <c r="B882" s="13" t="n">
        <f aca="false">146</f>
        <v>146</v>
      </c>
      <c r="C882" s="13" t="n">
        <f aca="false">IF(Szenarien!$H$10="OK",(IFERROR(SUMIF(Nutzungsprofile!$B$6:$B$11,"Schulbetrieb",Nutzungsprofile!$G$6:$G$11)*Kalender!C150/SUM(Kalender!$C$5:$C$370),0)+IFERROR(SUMIF(Nutzungsprofile!$B$6:$B$11,"Halle",Nutzungsprofile!$G$6:$G$11)*Kalender!D150/SUM(Kalender!$D$5:$D$370),0)+IFERROR(SUMIF(Nutzungsprofile!$B$6:$B$11,"Individuell",Nutzungsprofile!$G$6:$G$11)*Kalender!E150/SUM(Kalender!$E$5:$E$370),0))*Szenarien!$E$10,0)</f>
        <v>3.528</v>
      </c>
      <c r="D882" s="13" t="n">
        <f aca="false">IF(Szenarien!$H$10="OK",(IFERROR(SUMIF(Nutzungsprofile!$B$17:$B$22,"Schulbetrieb",Nutzungsprofile!$G$17:$G$22)*Kalender!C150/SUM(Kalender!$C$5:$C$370),0)+IFERROR(SUMIF(Nutzungsprofile!$B$17:$B$22,"Halle",Nutzungsprofile!$G$17:$G$22)*Kalender!D150/SUM(Kalender!$D$5:$D$370),0)+IFERROR(SUMIF(Nutzungsprofile!$B$17:$B$22,"Individuell",Nutzungsprofile!$G$17:$G$22)*Kalender!E150/SUM(Kalender!$E$5:$E$370),0))*Szenarien!$D$10,0)</f>
        <v>5.434</v>
      </c>
      <c r="E882" s="13" t="n">
        <f aca="false">IFERROR(MIN(C882,Eingaben!$B$17)*Eingaben!$B$16,0)</f>
        <v>3.3516</v>
      </c>
      <c r="F882" s="13" t="n">
        <f aca="false">IFERROR(E882*Eingaben!$B$15,0)</f>
        <v>3.01644</v>
      </c>
      <c r="G882" s="13" t="n">
        <f aca="false">IFERROR(IF(Kalender!A150="",0,J881*(1-Eingaben!$B$20)),0)</f>
        <v>0.88683336</v>
      </c>
      <c r="H882" s="13" t="n">
        <f aca="false">MIN(G882,D882)</f>
        <v>0.88683336</v>
      </c>
      <c r="I882" s="13" t="n">
        <f aca="false">IFERROR(MIN(F882*Eingaben!$B$19,MAX(0,D882-H882)),0)</f>
        <v>2.111508</v>
      </c>
      <c r="J882" s="13" t="n">
        <f aca="false">IFERROR(MIN(Eingaben!$B$18,MAX(0,F882-I882)),0)</f>
        <v>0.904932</v>
      </c>
      <c r="K882" s="13" t="n">
        <f aca="false">H882+I882</f>
        <v>2.99834136</v>
      </c>
      <c r="L882" s="13" t="n">
        <f aca="false">MAX(0,D882-K882)</f>
        <v>2.43565864</v>
      </c>
      <c r="M882" s="13" t="n">
        <f aca="false">MAX(0,F882-I882-J882)</f>
        <v>0</v>
      </c>
      <c r="N882" s="13" t="n">
        <f aca="false">IF(Kalender!A150="",0,J881-H882)</f>
        <v>0.0180986400000001</v>
      </c>
    </row>
    <row r="883" customFormat="false" ht="16.4" hidden="false" customHeight="false" outlineLevel="0" collapsed="false">
      <c r="A883" s="13" t="str">
        <f aca="false">""</f>
        <v/>
      </c>
      <c r="B883" s="13" t="n">
        <f aca="false">147</f>
        <v>147</v>
      </c>
      <c r="C883" s="13" t="n">
        <f aca="false">IF(Szenarien!$H$10="OK",(IFERROR(SUMIF(Nutzungsprofile!$B$6:$B$11,"Schulbetrieb",Nutzungsprofile!$G$6:$G$11)*Kalender!C151/SUM(Kalender!$C$5:$C$370),0)+IFERROR(SUMIF(Nutzungsprofile!$B$6:$B$11,"Halle",Nutzungsprofile!$G$6:$G$11)*Kalender!D151/SUM(Kalender!$D$5:$D$370),0)+IFERROR(SUMIF(Nutzungsprofile!$B$6:$B$11,"Individuell",Nutzungsprofile!$G$6:$G$11)*Kalender!E151/SUM(Kalender!$E$5:$E$370),0))*Szenarien!$E$10,0)</f>
        <v>3.528</v>
      </c>
      <c r="D883" s="13" t="n">
        <f aca="false">IF(Szenarien!$H$10="OK",(IFERROR(SUMIF(Nutzungsprofile!$B$17:$B$22,"Schulbetrieb",Nutzungsprofile!$G$17:$G$22)*Kalender!C151/SUM(Kalender!$C$5:$C$370),0)+IFERROR(SUMIF(Nutzungsprofile!$B$17:$B$22,"Halle",Nutzungsprofile!$G$17:$G$22)*Kalender!D151/SUM(Kalender!$D$5:$D$370),0)+IFERROR(SUMIF(Nutzungsprofile!$B$17:$B$22,"Individuell",Nutzungsprofile!$G$17:$G$22)*Kalender!E151/SUM(Kalender!$E$5:$E$370),0))*Szenarien!$D$10,0)</f>
        <v>5.434</v>
      </c>
      <c r="E883" s="13" t="n">
        <f aca="false">IFERROR(MIN(C883,Eingaben!$B$17)*Eingaben!$B$16,0)</f>
        <v>3.3516</v>
      </c>
      <c r="F883" s="13" t="n">
        <f aca="false">IFERROR(E883*Eingaben!$B$15,0)</f>
        <v>3.01644</v>
      </c>
      <c r="G883" s="13" t="n">
        <f aca="false">IFERROR(IF(Kalender!A151="",0,J882*(1-Eingaben!$B$20)),0)</f>
        <v>0.88683336</v>
      </c>
      <c r="H883" s="13" t="n">
        <f aca="false">MIN(G883,D883)</f>
        <v>0.88683336</v>
      </c>
      <c r="I883" s="13" t="n">
        <f aca="false">IFERROR(MIN(F883*Eingaben!$B$19,MAX(0,D883-H883)),0)</f>
        <v>2.111508</v>
      </c>
      <c r="J883" s="13" t="n">
        <f aca="false">IFERROR(MIN(Eingaben!$B$18,MAX(0,F883-I883)),0)</f>
        <v>0.904932</v>
      </c>
      <c r="K883" s="13" t="n">
        <f aca="false">H883+I883</f>
        <v>2.99834136</v>
      </c>
      <c r="L883" s="13" t="n">
        <f aca="false">MAX(0,D883-K883)</f>
        <v>2.43565864</v>
      </c>
      <c r="M883" s="13" t="n">
        <f aca="false">MAX(0,F883-I883-J883)</f>
        <v>0</v>
      </c>
      <c r="N883" s="13" t="n">
        <f aca="false">IF(Kalender!A151="",0,J882-H883)</f>
        <v>0.0180986400000001</v>
      </c>
    </row>
    <row r="884" customFormat="false" ht="16.4" hidden="false" customHeight="false" outlineLevel="0" collapsed="false">
      <c r="A884" s="13" t="str">
        <f aca="false">""</f>
        <v/>
      </c>
      <c r="B884" s="13" t="n">
        <f aca="false">148</f>
        <v>148</v>
      </c>
      <c r="C884" s="13" t="n">
        <f aca="false">IF(Szenarien!$H$10="OK",(IFERROR(SUMIF(Nutzungsprofile!$B$6:$B$11,"Schulbetrieb",Nutzungsprofile!$G$6:$G$11)*Kalender!C152/SUM(Kalender!$C$5:$C$370),0)+IFERROR(SUMIF(Nutzungsprofile!$B$6:$B$11,"Halle",Nutzungsprofile!$G$6:$G$11)*Kalender!D152/SUM(Kalender!$D$5:$D$370),0)+IFERROR(SUMIF(Nutzungsprofile!$B$6:$B$11,"Individuell",Nutzungsprofile!$G$6:$G$11)*Kalender!E152/SUM(Kalender!$E$5:$E$370),0))*Szenarien!$E$10,0)</f>
        <v>3.528</v>
      </c>
      <c r="D884" s="13" t="n">
        <f aca="false">IF(Szenarien!$H$10="OK",(IFERROR(SUMIF(Nutzungsprofile!$B$17:$B$22,"Schulbetrieb",Nutzungsprofile!$G$17:$G$22)*Kalender!C152/SUM(Kalender!$C$5:$C$370),0)+IFERROR(SUMIF(Nutzungsprofile!$B$17:$B$22,"Halle",Nutzungsprofile!$G$17:$G$22)*Kalender!D152/SUM(Kalender!$D$5:$D$370),0)+IFERROR(SUMIF(Nutzungsprofile!$B$17:$B$22,"Individuell",Nutzungsprofile!$G$17:$G$22)*Kalender!E152/SUM(Kalender!$E$5:$E$370),0))*Szenarien!$D$10,0)</f>
        <v>5.434</v>
      </c>
      <c r="E884" s="13" t="n">
        <f aca="false">IFERROR(MIN(C884,Eingaben!$B$17)*Eingaben!$B$16,0)</f>
        <v>3.3516</v>
      </c>
      <c r="F884" s="13" t="n">
        <f aca="false">IFERROR(E884*Eingaben!$B$15,0)</f>
        <v>3.01644</v>
      </c>
      <c r="G884" s="13" t="n">
        <f aca="false">IFERROR(IF(Kalender!A152="",0,J883*(1-Eingaben!$B$20)),0)</f>
        <v>0.88683336</v>
      </c>
      <c r="H884" s="13" t="n">
        <f aca="false">MIN(G884,D884)</f>
        <v>0.88683336</v>
      </c>
      <c r="I884" s="13" t="n">
        <f aca="false">IFERROR(MIN(F884*Eingaben!$B$19,MAX(0,D884-H884)),0)</f>
        <v>2.111508</v>
      </c>
      <c r="J884" s="13" t="n">
        <f aca="false">IFERROR(MIN(Eingaben!$B$18,MAX(0,F884-I884)),0)</f>
        <v>0.904932</v>
      </c>
      <c r="K884" s="13" t="n">
        <f aca="false">H884+I884</f>
        <v>2.99834136</v>
      </c>
      <c r="L884" s="13" t="n">
        <f aca="false">MAX(0,D884-K884)</f>
        <v>2.43565864</v>
      </c>
      <c r="M884" s="13" t="n">
        <f aca="false">MAX(0,F884-I884-J884)</f>
        <v>0</v>
      </c>
      <c r="N884" s="13" t="n">
        <f aca="false">IF(Kalender!A152="",0,J883-H884)</f>
        <v>0.0180986400000001</v>
      </c>
    </row>
    <row r="885" customFormat="false" ht="16.4" hidden="false" customHeight="false" outlineLevel="0" collapsed="false">
      <c r="A885" s="13" t="str">
        <f aca="false">""</f>
        <v/>
      </c>
      <c r="B885" s="13" t="n">
        <f aca="false">149</f>
        <v>149</v>
      </c>
      <c r="C885" s="13" t="n">
        <f aca="false">IF(Szenarien!$H$10="OK",(IFERROR(SUMIF(Nutzungsprofile!$B$6:$B$11,"Schulbetrieb",Nutzungsprofile!$G$6:$G$11)*Kalender!C153/SUM(Kalender!$C$5:$C$370),0)+IFERROR(SUMIF(Nutzungsprofile!$B$6:$B$11,"Halle",Nutzungsprofile!$G$6:$G$11)*Kalender!D153/SUM(Kalender!$D$5:$D$370),0)+IFERROR(SUMIF(Nutzungsprofile!$B$6:$B$11,"Individuell",Nutzungsprofile!$G$6:$G$11)*Kalender!E153/SUM(Kalender!$E$5:$E$370),0))*Szenarien!$E$10,0)</f>
        <v>3.528</v>
      </c>
      <c r="D885" s="13" t="n">
        <f aca="false">IF(Szenarien!$H$10="OK",(IFERROR(SUMIF(Nutzungsprofile!$B$17:$B$22,"Schulbetrieb",Nutzungsprofile!$G$17:$G$22)*Kalender!C153/SUM(Kalender!$C$5:$C$370),0)+IFERROR(SUMIF(Nutzungsprofile!$B$17:$B$22,"Halle",Nutzungsprofile!$G$17:$G$22)*Kalender!D153/SUM(Kalender!$D$5:$D$370),0)+IFERROR(SUMIF(Nutzungsprofile!$B$17:$B$22,"Individuell",Nutzungsprofile!$G$17:$G$22)*Kalender!E153/SUM(Kalender!$E$5:$E$370),0))*Szenarien!$D$10,0)</f>
        <v>5.434</v>
      </c>
      <c r="E885" s="13" t="n">
        <f aca="false">IFERROR(MIN(C885,Eingaben!$B$17)*Eingaben!$B$16,0)</f>
        <v>3.3516</v>
      </c>
      <c r="F885" s="13" t="n">
        <f aca="false">IFERROR(E885*Eingaben!$B$15,0)</f>
        <v>3.01644</v>
      </c>
      <c r="G885" s="13" t="n">
        <f aca="false">IFERROR(IF(Kalender!A153="",0,J884*(1-Eingaben!$B$20)),0)</f>
        <v>0.88683336</v>
      </c>
      <c r="H885" s="13" t="n">
        <f aca="false">MIN(G885,D885)</f>
        <v>0.88683336</v>
      </c>
      <c r="I885" s="13" t="n">
        <f aca="false">IFERROR(MIN(F885*Eingaben!$B$19,MAX(0,D885-H885)),0)</f>
        <v>2.111508</v>
      </c>
      <c r="J885" s="13" t="n">
        <f aca="false">IFERROR(MIN(Eingaben!$B$18,MAX(0,F885-I885)),0)</f>
        <v>0.904932</v>
      </c>
      <c r="K885" s="13" t="n">
        <f aca="false">H885+I885</f>
        <v>2.99834136</v>
      </c>
      <c r="L885" s="13" t="n">
        <f aca="false">MAX(0,D885-K885)</f>
        <v>2.43565864</v>
      </c>
      <c r="M885" s="13" t="n">
        <f aca="false">MAX(0,F885-I885-J885)</f>
        <v>0</v>
      </c>
      <c r="N885" s="13" t="n">
        <f aca="false">IF(Kalender!A153="",0,J884-H885)</f>
        <v>0.0180986400000001</v>
      </c>
    </row>
    <row r="886" customFormat="false" ht="16.4" hidden="false" customHeight="false" outlineLevel="0" collapsed="false">
      <c r="A886" s="13" t="str">
        <f aca="false">""</f>
        <v/>
      </c>
      <c r="B886" s="13" t="n">
        <f aca="false">150</f>
        <v>150</v>
      </c>
      <c r="C886" s="13" t="n">
        <f aca="false">IF(Szenarien!$H$10="OK",(IFERROR(SUMIF(Nutzungsprofile!$B$6:$B$11,"Schulbetrieb",Nutzungsprofile!$G$6:$G$11)*Kalender!C154/SUM(Kalender!$C$5:$C$370),0)+IFERROR(SUMIF(Nutzungsprofile!$B$6:$B$11,"Halle",Nutzungsprofile!$G$6:$G$11)*Kalender!D154/SUM(Kalender!$D$5:$D$370),0)+IFERROR(SUMIF(Nutzungsprofile!$B$6:$B$11,"Individuell",Nutzungsprofile!$G$6:$G$11)*Kalender!E154/SUM(Kalender!$E$5:$E$370),0))*Szenarien!$E$10,0)</f>
        <v>2.448</v>
      </c>
      <c r="D886" s="13" t="n">
        <f aca="false">IF(Szenarien!$H$10="OK",(IFERROR(SUMIF(Nutzungsprofile!$B$17:$B$22,"Schulbetrieb",Nutzungsprofile!$G$17:$G$22)*Kalender!C154/SUM(Kalender!$C$5:$C$370),0)+IFERROR(SUMIF(Nutzungsprofile!$B$17:$B$22,"Halle",Nutzungsprofile!$G$17:$G$22)*Kalender!D154/SUM(Kalender!$D$5:$D$370),0)+IFERROR(SUMIF(Nutzungsprofile!$B$17:$B$22,"Individuell",Nutzungsprofile!$G$17:$G$22)*Kalender!E154/SUM(Kalender!$E$5:$E$370),0))*Szenarien!$D$10,0)</f>
        <v>0.979</v>
      </c>
      <c r="E886" s="13" t="n">
        <f aca="false">IFERROR(MIN(C886,Eingaben!$B$17)*Eingaben!$B$16,0)</f>
        <v>2.3256</v>
      </c>
      <c r="F886" s="13" t="n">
        <f aca="false">IFERROR(E886*Eingaben!$B$15,0)</f>
        <v>2.09304</v>
      </c>
      <c r="G886" s="13" t="n">
        <f aca="false">IFERROR(IF(Kalender!A154="",0,J885*(1-Eingaben!$B$20)),0)</f>
        <v>0.88683336</v>
      </c>
      <c r="H886" s="13" t="n">
        <f aca="false">MIN(G886,D886)</f>
        <v>0.88683336</v>
      </c>
      <c r="I886" s="13" t="n">
        <f aca="false">IFERROR(MIN(F886*Eingaben!$B$19,MAX(0,D886-H886)),0)</f>
        <v>0.0921666400000001</v>
      </c>
      <c r="J886" s="13" t="n">
        <f aca="false">IFERROR(MIN(Eingaben!$B$18,MAX(0,F886-I886)),0)</f>
        <v>2</v>
      </c>
      <c r="K886" s="13" t="n">
        <f aca="false">H886+I886</f>
        <v>0.979</v>
      </c>
      <c r="L886" s="13" t="n">
        <f aca="false">MAX(0,D886-K886)</f>
        <v>0</v>
      </c>
      <c r="M886" s="13" t="n">
        <f aca="false">MAX(0,F886-I886-J886)</f>
        <v>0.000873359999999934</v>
      </c>
      <c r="N886" s="13" t="n">
        <f aca="false">IF(Kalender!A154="",0,J885-H886)</f>
        <v>0.0180986400000001</v>
      </c>
    </row>
    <row r="887" customFormat="false" ht="16.4" hidden="false" customHeight="false" outlineLevel="0" collapsed="false">
      <c r="A887" s="13" t="str">
        <f aca="false">""</f>
        <v/>
      </c>
      <c r="B887" s="13" t="n">
        <f aca="false">151</f>
        <v>151</v>
      </c>
      <c r="C887" s="13" t="n">
        <f aca="false">IF(Szenarien!$H$10="OK",(IFERROR(SUMIF(Nutzungsprofile!$B$6:$B$11,"Schulbetrieb",Nutzungsprofile!$G$6:$G$11)*Kalender!C155/SUM(Kalender!$C$5:$C$370),0)+IFERROR(SUMIF(Nutzungsprofile!$B$6:$B$11,"Halle",Nutzungsprofile!$G$6:$G$11)*Kalender!D155/SUM(Kalender!$D$5:$D$370),0)+IFERROR(SUMIF(Nutzungsprofile!$B$6:$B$11,"Individuell",Nutzungsprofile!$G$6:$G$11)*Kalender!E155/SUM(Kalender!$E$5:$E$370),0))*Szenarien!$E$10,0)</f>
        <v>2.448</v>
      </c>
      <c r="D887" s="13" t="n">
        <f aca="false">IF(Szenarien!$H$10="OK",(IFERROR(SUMIF(Nutzungsprofile!$B$17:$B$22,"Schulbetrieb",Nutzungsprofile!$G$17:$G$22)*Kalender!C155/SUM(Kalender!$C$5:$C$370),0)+IFERROR(SUMIF(Nutzungsprofile!$B$17:$B$22,"Halle",Nutzungsprofile!$G$17:$G$22)*Kalender!D155/SUM(Kalender!$D$5:$D$370),0)+IFERROR(SUMIF(Nutzungsprofile!$B$17:$B$22,"Individuell",Nutzungsprofile!$G$17:$G$22)*Kalender!E155/SUM(Kalender!$E$5:$E$370),0))*Szenarien!$D$10,0)</f>
        <v>0.979</v>
      </c>
      <c r="E887" s="13" t="n">
        <f aca="false">IFERROR(MIN(C887,Eingaben!$B$17)*Eingaben!$B$16,0)</f>
        <v>2.3256</v>
      </c>
      <c r="F887" s="13" t="n">
        <f aca="false">IFERROR(E887*Eingaben!$B$15,0)</f>
        <v>2.09304</v>
      </c>
      <c r="G887" s="13" t="n">
        <f aca="false">IFERROR(IF(Kalender!A155="",0,J886*(1-Eingaben!$B$20)),0)</f>
        <v>1.96</v>
      </c>
      <c r="H887" s="13" t="n">
        <f aca="false">MIN(G887,D887)</f>
        <v>0.979</v>
      </c>
      <c r="I887" s="13" t="n">
        <f aca="false">IFERROR(MIN(F887*Eingaben!$B$19,MAX(0,D887-H887)),0)</f>
        <v>0</v>
      </c>
      <c r="J887" s="13" t="n">
        <f aca="false">IFERROR(MIN(Eingaben!$B$18,MAX(0,F887-I887)),0)</f>
        <v>2</v>
      </c>
      <c r="K887" s="13" t="n">
        <f aca="false">H887+I887</f>
        <v>0.979</v>
      </c>
      <c r="L887" s="13" t="n">
        <f aca="false">MAX(0,D887-K887)</f>
        <v>0</v>
      </c>
      <c r="M887" s="13" t="n">
        <f aca="false">MAX(0,F887-I887-J887)</f>
        <v>0.0930399999999998</v>
      </c>
      <c r="N887" s="13" t="n">
        <f aca="false">IF(Kalender!A155="",0,J886-H887)</f>
        <v>1.021</v>
      </c>
    </row>
    <row r="888" customFormat="false" ht="16.4" hidden="false" customHeight="false" outlineLevel="0" collapsed="false">
      <c r="A888" s="13" t="str">
        <f aca="false">""</f>
        <v/>
      </c>
      <c r="B888" s="13" t="n">
        <f aca="false">152</f>
        <v>152</v>
      </c>
      <c r="C888" s="13" t="n">
        <f aca="false">IF(Szenarien!$H$10="OK",(IFERROR(SUMIF(Nutzungsprofile!$B$6:$B$11,"Schulbetrieb",Nutzungsprofile!$G$6:$G$11)*Kalender!C156/SUM(Kalender!$C$5:$C$370),0)+IFERROR(SUMIF(Nutzungsprofile!$B$6:$B$11,"Halle",Nutzungsprofile!$G$6:$G$11)*Kalender!D156/SUM(Kalender!$D$5:$D$370),0)+IFERROR(SUMIF(Nutzungsprofile!$B$6:$B$11,"Individuell",Nutzungsprofile!$G$6:$G$11)*Kalender!E156/SUM(Kalender!$E$5:$E$370),0))*Szenarien!$E$10,0)</f>
        <v>3.528</v>
      </c>
      <c r="D888" s="13" t="n">
        <f aca="false">IF(Szenarien!$H$10="OK",(IFERROR(SUMIF(Nutzungsprofile!$B$17:$B$22,"Schulbetrieb",Nutzungsprofile!$G$17:$G$22)*Kalender!C156/SUM(Kalender!$C$5:$C$370),0)+IFERROR(SUMIF(Nutzungsprofile!$B$17:$B$22,"Halle",Nutzungsprofile!$G$17:$G$22)*Kalender!D156/SUM(Kalender!$D$5:$D$370),0)+IFERROR(SUMIF(Nutzungsprofile!$B$17:$B$22,"Individuell",Nutzungsprofile!$G$17:$G$22)*Kalender!E156/SUM(Kalender!$E$5:$E$370),0))*Szenarien!$D$10,0)</f>
        <v>5.434</v>
      </c>
      <c r="E888" s="13" t="n">
        <f aca="false">IFERROR(MIN(C888,Eingaben!$B$17)*Eingaben!$B$16,0)</f>
        <v>3.3516</v>
      </c>
      <c r="F888" s="13" t="n">
        <f aca="false">IFERROR(E888*Eingaben!$B$15,0)</f>
        <v>3.01644</v>
      </c>
      <c r="G888" s="13" t="n">
        <f aca="false">IFERROR(IF(Kalender!A156="",0,J887*(1-Eingaben!$B$20)),0)</f>
        <v>1.96</v>
      </c>
      <c r="H888" s="13" t="n">
        <f aca="false">MIN(G888,D888)</f>
        <v>1.96</v>
      </c>
      <c r="I888" s="13" t="n">
        <f aca="false">IFERROR(MIN(F888*Eingaben!$B$19,MAX(0,D888-H888)),0)</f>
        <v>2.111508</v>
      </c>
      <c r="J888" s="13" t="n">
        <f aca="false">IFERROR(MIN(Eingaben!$B$18,MAX(0,F888-I888)),0)</f>
        <v>0.904932</v>
      </c>
      <c r="K888" s="13" t="n">
        <f aca="false">H888+I888</f>
        <v>4.071508</v>
      </c>
      <c r="L888" s="13" t="n">
        <f aca="false">MAX(0,D888-K888)</f>
        <v>1.362492</v>
      </c>
      <c r="M888" s="13" t="n">
        <f aca="false">MAX(0,F888-I888-J888)</f>
        <v>0</v>
      </c>
      <c r="N888" s="13" t="n">
        <f aca="false">IF(Kalender!A156="",0,J887-H888)</f>
        <v>0.04</v>
      </c>
    </row>
    <row r="889" customFormat="false" ht="16.4" hidden="false" customHeight="false" outlineLevel="0" collapsed="false">
      <c r="A889" s="13" t="str">
        <f aca="false">""</f>
        <v/>
      </c>
      <c r="B889" s="13" t="n">
        <f aca="false">153</f>
        <v>153</v>
      </c>
      <c r="C889" s="13" t="n">
        <f aca="false">IF(Szenarien!$H$10="OK",(IFERROR(SUMIF(Nutzungsprofile!$B$6:$B$11,"Schulbetrieb",Nutzungsprofile!$G$6:$G$11)*Kalender!C157/SUM(Kalender!$C$5:$C$370),0)+IFERROR(SUMIF(Nutzungsprofile!$B$6:$B$11,"Halle",Nutzungsprofile!$G$6:$G$11)*Kalender!D157/SUM(Kalender!$D$5:$D$370),0)+IFERROR(SUMIF(Nutzungsprofile!$B$6:$B$11,"Individuell",Nutzungsprofile!$G$6:$G$11)*Kalender!E157/SUM(Kalender!$E$5:$E$370),0))*Szenarien!$E$10,0)</f>
        <v>3.528</v>
      </c>
      <c r="D889" s="13" t="n">
        <f aca="false">IF(Szenarien!$H$10="OK",(IFERROR(SUMIF(Nutzungsprofile!$B$17:$B$22,"Schulbetrieb",Nutzungsprofile!$G$17:$G$22)*Kalender!C157/SUM(Kalender!$C$5:$C$370),0)+IFERROR(SUMIF(Nutzungsprofile!$B$17:$B$22,"Halle",Nutzungsprofile!$G$17:$G$22)*Kalender!D157/SUM(Kalender!$D$5:$D$370),0)+IFERROR(SUMIF(Nutzungsprofile!$B$17:$B$22,"Individuell",Nutzungsprofile!$G$17:$G$22)*Kalender!E157/SUM(Kalender!$E$5:$E$370),0))*Szenarien!$D$10,0)</f>
        <v>5.434</v>
      </c>
      <c r="E889" s="13" t="n">
        <f aca="false">IFERROR(MIN(C889,Eingaben!$B$17)*Eingaben!$B$16,0)</f>
        <v>3.3516</v>
      </c>
      <c r="F889" s="13" t="n">
        <f aca="false">IFERROR(E889*Eingaben!$B$15,0)</f>
        <v>3.01644</v>
      </c>
      <c r="G889" s="13" t="n">
        <f aca="false">IFERROR(IF(Kalender!A157="",0,J888*(1-Eingaben!$B$20)),0)</f>
        <v>0.88683336</v>
      </c>
      <c r="H889" s="13" t="n">
        <f aca="false">MIN(G889,D889)</f>
        <v>0.88683336</v>
      </c>
      <c r="I889" s="13" t="n">
        <f aca="false">IFERROR(MIN(F889*Eingaben!$B$19,MAX(0,D889-H889)),0)</f>
        <v>2.111508</v>
      </c>
      <c r="J889" s="13" t="n">
        <f aca="false">IFERROR(MIN(Eingaben!$B$18,MAX(0,F889-I889)),0)</f>
        <v>0.904932</v>
      </c>
      <c r="K889" s="13" t="n">
        <f aca="false">H889+I889</f>
        <v>2.99834136</v>
      </c>
      <c r="L889" s="13" t="n">
        <f aca="false">MAX(0,D889-K889)</f>
        <v>2.43565864</v>
      </c>
      <c r="M889" s="13" t="n">
        <f aca="false">MAX(0,F889-I889-J889)</f>
        <v>0</v>
      </c>
      <c r="N889" s="13" t="n">
        <f aca="false">IF(Kalender!A157="",0,J888-H889)</f>
        <v>0.0180986400000001</v>
      </c>
    </row>
    <row r="890" customFormat="false" ht="16.4" hidden="false" customHeight="false" outlineLevel="0" collapsed="false">
      <c r="A890" s="13" t="str">
        <f aca="false">""</f>
        <v/>
      </c>
      <c r="B890" s="13" t="n">
        <f aca="false">154</f>
        <v>154</v>
      </c>
      <c r="C890" s="13" t="n">
        <f aca="false">IF(Szenarien!$H$10="OK",(IFERROR(SUMIF(Nutzungsprofile!$B$6:$B$11,"Schulbetrieb",Nutzungsprofile!$G$6:$G$11)*Kalender!C158/SUM(Kalender!$C$5:$C$370),0)+IFERROR(SUMIF(Nutzungsprofile!$B$6:$B$11,"Halle",Nutzungsprofile!$G$6:$G$11)*Kalender!D158/SUM(Kalender!$D$5:$D$370),0)+IFERROR(SUMIF(Nutzungsprofile!$B$6:$B$11,"Individuell",Nutzungsprofile!$G$6:$G$11)*Kalender!E158/SUM(Kalender!$E$5:$E$370),0))*Szenarien!$E$10,0)</f>
        <v>3.528</v>
      </c>
      <c r="D890" s="13" t="n">
        <f aca="false">IF(Szenarien!$H$10="OK",(IFERROR(SUMIF(Nutzungsprofile!$B$17:$B$22,"Schulbetrieb",Nutzungsprofile!$G$17:$G$22)*Kalender!C158/SUM(Kalender!$C$5:$C$370),0)+IFERROR(SUMIF(Nutzungsprofile!$B$17:$B$22,"Halle",Nutzungsprofile!$G$17:$G$22)*Kalender!D158/SUM(Kalender!$D$5:$D$370),0)+IFERROR(SUMIF(Nutzungsprofile!$B$17:$B$22,"Individuell",Nutzungsprofile!$G$17:$G$22)*Kalender!E158/SUM(Kalender!$E$5:$E$370),0))*Szenarien!$D$10,0)</f>
        <v>5.434</v>
      </c>
      <c r="E890" s="13" t="n">
        <f aca="false">IFERROR(MIN(C890,Eingaben!$B$17)*Eingaben!$B$16,0)</f>
        <v>3.3516</v>
      </c>
      <c r="F890" s="13" t="n">
        <f aca="false">IFERROR(E890*Eingaben!$B$15,0)</f>
        <v>3.01644</v>
      </c>
      <c r="G890" s="13" t="n">
        <f aca="false">IFERROR(IF(Kalender!A158="",0,J889*(1-Eingaben!$B$20)),0)</f>
        <v>0.88683336</v>
      </c>
      <c r="H890" s="13" t="n">
        <f aca="false">MIN(G890,D890)</f>
        <v>0.88683336</v>
      </c>
      <c r="I890" s="13" t="n">
        <f aca="false">IFERROR(MIN(F890*Eingaben!$B$19,MAX(0,D890-H890)),0)</f>
        <v>2.111508</v>
      </c>
      <c r="J890" s="13" t="n">
        <f aca="false">IFERROR(MIN(Eingaben!$B$18,MAX(0,F890-I890)),0)</f>
        <v>0.904932</v>
      </c>
      <c r="K890" s="13" t="n">
        <f aca="false">H890+I890</f>
        <v>2.99834136</v>
      </c>
      <c r="L890" s="13" t="n">
        <f aca="false">MAX(0,D890-K890)</f>
        <v>2.43565864</v>
      </c>
      <c r="M890" s="13" t="n">
        <f aca="false">MAX(0,F890-I890-J890)</f>
        <v>0</v>
      </c>
      <c r="N890" s="13" t="n">
        <f aca="false">IF(Kalender!A158="",0,J889-H890)</f>
        <v>0.0180986400000001</v>
      </c>
    </row>
    <row r="891" customFormat="false" ht="16.4" hidden="false" customHeight="false" outlineLevel="0" collapsed="false">
      <c r="A891" s="13" t="str">
        <f aca="false">""</f>
        <v/>
      </c>
      <c r="B891" s="13" t="n">
        <f aca="false">155</f>
        <v>155</v>
      </c>
      <c r="C891" s="13" t="n">
        <f aca="false">IF(Szenarien!$H$10="OK",(IFERROR(SUMIF(Nutzungsprofile!$B$6:$B$11,"Schulbetrieb",Nutzungsprofile!$G$6:$G$11)*Kalender!C159/SUM(Kalender!$C$5:$C$370),0)+IFERROR(SUMIF(Nutzungsprofile!$B$6:$B$11,"Halle",Nutzungsprofile!$G$6:$G$11)*Kalender!D159/SUM(Kalender!$D$5:$D$370),0)+IFERROR(SUMIF(Nutzungsprofile!$B$6:$B$11,"Individuell",Nutzungsprofile!$G$6:$G$11)*Kalender!E159/SUM(Kalender!$E$5:$E$370),0))*Szenarien!$E$10,0)</f>
        <v>3.528</v>
      </c>
      <c r="D891" s="13" t="n">
        <f aca="false">IF(Szenarien!$H$10="OK",(IFERROR(SUMIF(Nutzungsprofile!$B$17:$B$22,"Schulbetrieb",Nutzungsprofile!$G$17:$G$22)*Kalender!C159/SUM(Kalender!$C$5:$C$370),0)+IFERROR(SUMIF(Nutzungsprofile!$B$17:$B$22,"Halle",Nutzungsprofile!$G$17:$G$22)*Kalender!D159/SUM(Kalender!$D$5:$D$370),0)+IFERROR(SUMIF(Nutzungsprofile!$B$17:$B$22,"Individuell",Nutzungsprofile!$G$17:$G$22)*Kalender!E159/SUM(Kalender!$E$5:$E$370),0))*Szenarien!$D$10,0)</f>
        <v>5.434</v>
      </c>
      <c r="E891" s="13" t="n">
        <f aca="false">IFERROR(MIN(C891,Eingaben!$B$17)*Eingaben!$B$16,0)</f>
        <v>3.3516</v>
      </c>
      <c r="F891" s="13" t="n">
        <f aca="false">IFERROR(E891*Eingaben!$B$15,0)</f>
        <v>3.01644</v>
      </c>
      <c r="G891" s="13" t="n">
        <f aca="false">IFERROR(IF(Kalender!A159="",0,J890*(1-Eingaben!$B$20)),0)</f>
        <v>0.88683336</v>
      </c>
      <c r="H891" s="13" t="n">
        <f aca="false">MIN(G891,D891)</f>
        <v>0.88683336</v>
      </c>
      <c r="I891" s="13" t="n">
        <f aca="false">IFERROR(MIN(F891*Eingaben!$B$19,MAX(0,D891-H891)),0)</f>
        <v>2.111508</v>
      </c>
      <c r="J891" s="13" t="n">
        <f aca="false">IFERROR(MIN(Eingaben!$B$18,MAX(0,F891-I891)),0)</f>
        <v>0.904932</v>
      </c>
      <c r="K891" s="13" t="n">
        <f aca="false">H891+I891</f>
        <v>2.99834136</v>
      </c>
      <c r="L891" s="13" t="n">
        <f aca="false">MAX(0,D891-K891)</f>
        <v>2.43565864</v>
      </c>
      <c r="M891" s="13" t="n">
        <f aca="false">MAX(0,F891-I891-J891)</f>
        <v>0</v>
      </c>
      <c r="N891" s="13" t="n">
        <f aca="false">IF(Kalender!A159="",0,J890-H891)</f>
        <v>0.0180986400000001</v>
      </c>
    </row>
    <row r="892" customFormat="false" ht="16.4" hidden="false" customHeight="false" outlineLevel="0" collapsed="false">
      <c r="A892" s="13" t="str">
        <f aca="false">""</f>
        <v/>
      </c>
      <c r="B892" s="13" t="n">
        <f aca="false">156</f>
        <v>156</v>
      </c>
      <c r="C892" s="13" t="n">
        <f aca="false">IF(Szenarien!$H$10="OK",(IFERROR(SUMIF(Nutzungsprofile!$B$6:$B$11,"Schulbetrieb",Nutzungsprofile!$G$6:$G$11)*Kalender!C160/SUM(Kalender!$C$5:$C$370),0)+IFERROR(SUMIF(Nutzungsprofile!$B$6:$B$11,"Halle",Nutzungsprofile!$G$6:$G$11)*Kalender!D160/SUM(Kalender!$D$5:$D$370),0)+IFERROR(SUMIF(Nutzungsprofile!$B$6:$B$11,"Individuell",Nutzungsprofile!$G$6:$G$11)*Kalender!E160/SUM(Kalender!$E$5:$E$370),0))*Szenarien!$E$10,0)</f>
        <v>3.528</v>
      </c>
      <c r="D892" s="13" t="n">
        <f aca="false">IF(Szenarien!$H$10="OK",(IFERROR(SUMIF(Nutzungsprofile!$B$17:$B$22,"Schulbetrieb",Nutzungsprofile!$G$17:$G$22)*Kalender!C160/SUM(Kalender!$C$5:$C$370),0)+IFERROR(SUMIF(Nutzungsprofile!$B$17:$B$22,"Halle",Nutzungsprofile!$G$17:$G$22)*Kalender!D160/SUM(Kalender!$D$5:$D$370),0)+IFERROR(SUMIF(Nutzungsprofile!$B$17:$B$22,"Individuell",Nutzungsprofile!$G$17:$G$22)*Kalender!E160/SUM(Kalender!$E$5:$E$370),0))*Szenarien!$D$10,0)</f>
        <v>5.434</v>
      </c>
      <c r="E892" s="13" t="n">
        <f aca="false">IFERROR(MIN(C892,Eingaben!$B$17)*Eingaben!$B$16,0)</f>
        <v>3.3516</v>
      </c>
      <c r="F892" s="13" t="n">
        <f aca="false">IFERROR(E892*Eingaben!$B$15,0)</f>
        <v>3.01644</v>
      </c>
      <c r="G892" s="13" t="n">
        <f aca="false">IFERROR(IF(Kalender!A160="",0,J891*(1-Eingaben!$B$20)),0)</f>
        <v>0.88683336</v>
      </c>
      <c r="H892" s="13" t="n">
        <f aca="false">MIN(G892,D892)</f>
        <v>0.88683336</v>
      </c>
      <c r="I892" s="13" t="n">
        <f aca="false">IFERROR(MIN(F892*Eingaben!$B$19,MAX(0,D892-H892)),0)</f>
        <v>2.111508</v>
      </c>
      <c r="J892" s="13" t="n">
        <f aca="false">IFERROR(MIN(Eingaben!$B$18,MAX(0,F892-I892)),0)</f>
        <v>0.904932</v>
      </c>
      <c r="K892" s="13" t="n">
        <f aca="false">H892+I892</f>
        <v>2.99834136</v>
      </c>
      <c r="L892" s="13" t="n">
        <f aca="false">MAX(0,D892-K892)</f>
        <v>2.43565864</v>
      </c>
      <c r="M892" s="13" t="n">
        <f aca="false">MAX(0,F892-I892-J892)</f>
        <v>0</v>
      </c>
      <c r="N892" s="13" t="n">
        <f aca="false">IF(Kalender!A160="",0,J891-H892)</f>
        <v>0.0180986400000001</v>
      </c>
    </row>
    <row r="893" customFormat="false" ht="16.4" hidden="false" customHeight="false" outlineLevel="0" collapsed="false">
      <c r="A893" s="13" t="str">
        <f aca="false">""</f>
        <v/>
      </c>
      <c r="B893" s="13" t="n">
        <f aca="false">157</f>
        <v>157</v>
      </c>
      <c r="C893" s="13" t="n">
        <f aca="false">IF(Szenarien!$H$10="OK",(IFERROR(SUMIF(Nutzungsprofile!$B$6:$B$11,"Schulbetrieb",Nutzungsprofile!$G$6:$G$11)*Kalender!C161/SUM(Kalender!$C$5:$C$370),0)+IFERROR(SUMIF(Nutzungsprofile!$B$6:$B$11,"Halle",Nutzungsprofile!$G$6:$G$11)*Kalender!D161/SUM(Kalender!$D$5:$D$370),0)+IFERROR(SUMIF(Nutzungsprofile!$B$6:$B$11,"Individuell",Nutzungsprofile!$G$6:$G$11)*Kalender!E161/SUM(Kalender!$E$5:$E$370),0))*Szenarien!$E$10,0)</f>
        <v>2.448</v>
      </c>
      <c r="D893" s="13" t="n">
        <f aca="false">IF(Szenarien!$H$10="OK",(IFERROR(SUMIF(Nutzungsprofile!$B$17:$B$22,"Schulbetrieb",Nutzungsprofile!$G$17:$G$22)*Kalender!C161/SUM(Kalender!$C$5:$C$370),0)+IFERROR(SUMIF(Nutzungsprofile!$B$17:$B$22,"Halle",Nutzungsprofile!$G$17:$G$22)*Kalender!D161/SUM(Kalender!$D$5:$D$370),0)+IFERROR(SUMIF(Nutzungsprofile!$B$17:$B$22,"Individuell",Nutzungsprofile!$G$17:$G$22)*Kalender!E161/SUM(Kalender!$E$5:$E$370),0))*Szenarien!$D$10,0)</f>
        <v>0.979</v>
      </c>
      <c r="E893" s="13" t="n">
        <f aca="false">IFERROR(MIN(C893,Eingaben!$B$17)*Eingaben!$B$16,0)</f>
        <v>2.3256</v>
      </c>
      <c r="F893" s="13" t="n">
        <f aca="false">IFERROR(E893*Eingaben!$B$15,0)</f>
        <v>2.09304</v>
      </c>
      <c r="G893" s="13" t="n">
        <f aca="false">IFERROR(IF(Kalender!A161="",0,J892*(1-Eingaben!$B$20)),0)</f>
        <v>0.88683336</v>
      </c>
      <c r="H893" s="13" t="n">
        <f aca="false">MIN(G893,D893)</f>
        <v>0.88683336</v>
      </c>
      <c r="I893" s="13" t="n">
        <f aca="false">IFERROR(MIN(F893*Eingaben!$B$19,MAX(0,D893-H893)),0)</f>
        <v>0.0921666400000001</v>
      </c>
      <c r="J893" s="13" t="n">
        <f aca="false">IFERROR(MIN(Eingaben!$B$18,MAX(0,F893-I893)),0)</f>
        <v>2</v>
      </c>
      <c r="K893" s="13" t="n">
        <f aca="false">H893+I893</f>
        <v>0.979</v>
      </c>
      <c r="L893" s="13" t="n">
        <f aca="false">MAX(0,D893-K893)</f>
        <v>0</v>
      </c>
      <c r="M893" s="13" t="n">
        <f aca="false">MAX(0,F893-I893-J893)</f>
        <v>0.000873359999999934</v>
      </c>
      <c r="N893" s="13" t="n">
        <f aca="false">IF(Kalender!A161="",0,J892-H893)</f>
        <v>0.0180986400000001</v>
      </c>
    </row>
    <row r="894" customFormat="false" ht="16.4" hidden="false" customHeight="false" outlineLevel="0" collapsed="false">
      <c r="A894" s="13" t="str">
        <f aca="false">""</f>
        <v/>
      </c>
      <c r="B894" s="13" t="n">
        <f aca="false">158</f>
        <v>158</v>
      </c>
      <c r="C894" s="13" t="n">
        <f aca="false">IF(Szenarien!$H$10="OK",(IFERROR(SUMIF(Nutzungsprofile!$B$6:$B$11,"Schulbetrieb",Nutzungsprofile!$G$6:$G$11)*Kalender!C162/SUM(Kalender!$C$5:$C$370),0)+IFERROR(SUMIF(Nutzungsprofile!$B$6:$B$11,"Halle",Nutzungsprofile!$G$6:$G$11)*Kalender!D162/SUM(Kalender!$D$5:$D$370),0)+IFERROR(SUMIF(Nutzungsprofile!$B$6:$B$11,"Individuell",Nutzungsprofile!$G$6:$G$11)*Kalender!E162/SUM(Kalender!$E$5:$E$370),0))*Szenarien!$E$10,0)</f>
        <v>2.448</v>
      </c>
      <c r="D894" s="13" t="n">
        <f aca="false">IF(Szenarien!$H$10="OK",(IFERROR(SUMIF(Nutzungsprofile!$B$17:$B$22,"Schulbetrieb",Nutzungsprofile!$G$17:$G$22)*Kalender!C162/SUM(Kalender!$C$5:$C$370),0)+IFERROR(SUMIF(Nutzungsprofile!$B$17:$B$22,"Halle",Nutzungsprofile!$G$17:$G$22)*Kalender!D162/SUM(Kalender!$D$5:$D$370),0)+IFERROR(SUMIF(Nutzungsprofile!$B$17:$B$22,"Individuell",Nutzungsprofile!$G$17:$G$22)*Kalender!E162/SUM(Kalender!$E$5:$E$370),0))*Szenarien!$D$10,0)</f>
        <v>0.979</v>
      </c>
      <c r="E894" s="13" t="n">
        <f aca="false">IFERROR(MIN(C894,Eingaben!$B$17)*Eingaben!$B$16,0)</f>
        <v>2.3256</v>
      </c>
      <c r="F894" s="13" t="n">
        <f aca="false">IFERROR(E894*Eingaben!$B$15,0)</f>
        <v>2.09304</v>
      </c>
      <c r="G894" s="13" t="n">
        <f aca="false">IFERROR(IF(Kalender!A162="",0,J893*(1-Eingaben!$B$20)),0)</f>
        <v>1.96</v>
      </c>
      <c r="H894" s="13" t="n">
        <f aca="false">MIN(G894,D894)</f>
        <v>0.979</v>
      </c>
      <c r="I894" s="13" t="n">
        <f aca="false">IFERROR(MIN(F894*Eingaben!$B$19,MAX(0,D894-H894)),0)</f>
        <v>0</v>
      </c>
      <c r="J894" s="13" t="n">
        <f aca="false">IFERROR(MIN(Eingaben!$B$18,MAX(0,F894-I894)),0)</f>
        <v>2</v>
      </c>
      <c r="K894" s="13" t="n">
        <f aca="false">H894+I894</f>
        <v>0.979</v>
      </c>
      <c r="L894" s="13" t="n">
        <f aca="false">MAX(0,D894-K894)</f>
        <v>0</v>
      </c>
      <c r="M894" s="13" t="n">
        <f aca="false">MAX(0,F894-I894-J894)</f>
        <v>0.0930399999999998</v>
      </c>
      <c r="N894" s="13" t="n">
        <f aca="false">IF(Kalender!A162="",0,J893-H894)</f>
        <v>1.021</v>
      </c>
    </row>
    <row r="895" customFormat="false" ht="16.4" hidden="false" customHeight="false" outlineLevel="0" collapsed="false">
      <c r="A895" s="13" t="str">
        <f aca="false">""</f>
        <v/>
      </c>
      <c r="B895" s="13" t="n">
        <f aca="false">159</f>
        <v>159</v>
      </c>
      <c r="C895" s="13" t="n">
        <f aca="false">IF(Szenarien!$H$10="OK",(IFERROR(SUMIF(Nutzungsprofile!$B$6:$B$11,"Schulbetrieb",Nutzungsprofile!$G$6:$G$11)*Kalender!C163/SUM(Kalender!$C$5:$C$370),0)+IFERROR(SUMIF(Nutzungsprofile!$B$6:$B$11,"Halle",Nutzungsprofile!$G$6:$G$11)*Kalender!D163/SUM(Kalender!$D$5:$D$370),0)+IFERROR(SUMIF(Nutzungsprofile!$B$6:$B$11,"Individuell",Nutzungsprofile!$G$6:$G$11)*Kalender!E163/SUM(Kalender!$E$5:$E$370),0))*Szenarien!$E$10,0)</f>
        <v>3.528</v>
      </c>
      <c r="D895" s="13" t="n">
        <f aca="false">IF(Szenarien!$H$10="OK",(IFERROR(SUMIF(Nutzungsprofile!$B$17:$B$22,"Schulbetrieb",Nutzungsprofile!$G$17:$G$22)*Kalender!C163/SUM(Kalender!$C$5:$C$370),0)+IFERROR(SUMIF(Nutzungsprofile!$B$17:$B$22,"Halle",Nutzungsprofile!$G$17:$G$22)*Kalender!D163/SUM(Kalender!$D$5:$D$370),0)+IFERROR(SUMIF(Nutzungsprofile!$B$17:$B$22,"Individuell",Nutzungsprofile!$G$17:$G$22)*Kalender!E163/SUM(Kalender!$E$5:$E$370),0))*Szenarien!$D$10,0)</f>
        <v>5.434</v>
      </c>
      <c r="E895" s="13" t="n">
        <f aca="false">IFERROR(MIN(C895,Eingaben!$B$17)*Eingaben!$B$16,0)</f>
        <v>3.3516</v>
      </c>
      <c r="F895" s="13" t="n">
        <f aca="false">IFERROR(E895*Eingaben!$B$15,0)</f>
        <v>3.01644</v>
      </c>
      <c r="G895" s="13" t="n">
        <f aca="false">IFERROR(IF(Kalender!A163="",0,J894*(1-Eingaben!$B$20)),0)</f>
        <v>1.96</v>
      </c>
      <c r="H895" s="13" t="n">
        <f aca="false">MIN(G895,D895)</f>
        <v>1.96</v>
      </c>
      <c r="I895" s="13" t="n">
        <f aca="false">IFERROR(MIN(F895*Eingaben!$B$19,MAX(0,D895-H895)),0)</f>
        <v>2.111508</v>
      </c>
      <c r="J895" s="13" t="n">
        <f aca="false">IFERROR(MIN(Eingaben!$B$18,MAX(0,F895-I895)),0)</f>
        <v>0.904932</v>
      </c>
      <c r="K895" s="13" t="n">
        <f aca="false">H895+I895</f>
        <v>4.071508</v>
      </c>
      <c r="L895" s="13" t="n">
        <f aca="false">MAX(0,D895-K895)</f>
        <v>1.362492</v>
      </c>
      <c r="M895" s="13" t="n">
        <f aca="false">MAX(0,F895-I895-J895)</f>
        <v>0</v>
      </c>
      <c r="N895" s="13" t="n">
        <f aca="false">IF(Kalender!A163="",0,J894-H895)</f>
        <v>0.04</v>
      </c>
    </row>
    <row r="896" customFormat="false" ht="16.4" hidden="false" customHeight="false" outlineLevel="0" collapsed="false">
      <c r="A896" s="13" t="str">
        <f aca="false">""</f>
        <v/>
      </c>
      <c r="B896" s="13" t="n">
        <f aca="false">160</f>
        <v>160</v>
      </c>
      <c r="C896" s="13" t="n">
        <f aca="false">IF(Szenarien!$H$10="OK",(IFERROR(SUMIF(Nutzungsprofile!$B$6:$B$11,"Schulbetrieb",Nutzungsprofile!$G$6:$G$11)*Kalender!C164/SUM(Kalender!$C$5:$C$370),0)+IFERROR(SUMIF(Nutzungsprofile!$B$6:$B$11,"Halle",Nutzungsprofile!$G$6:$G$11)*Kalender!D164/SUM(Kalender!$D$5:$D$370),0)+IFERROR(SUMIF(Nutzungsprofile!$B$6:$B$11,"Individuell",Nutzungsprofile!$G$6:$G$11)*Kalender!E164/SUM(Kalender!$E$5:$E$370),0))*Szenarien!$E$10,0)</f>
        <v>3.528</v>
      </c>
      <c r="D896" s="13" t="n">
        <f aca="false">IF(Szenarien!$H$10="OK",(IFERROR(SUMIF(Nutzungsprofile!$B$17:$B$22,"Schulbetrieb",Nutzungsprofile!$G$17:$G$22)*Kalender!C164/SUM(Kalender!$C$5:$C$370),0)+IFERROR(SUMIF(Nutzungsprofile!$B$17:$B$22,"Halle",Nutzungsprofile!$G$17:$G$22)*Kalender!D164/SUM(Kalender!$D$5:$D$370),0)+IFERROR(SUMIF(Nutzungsprofile!$B$17:$B$22,"Individuell",Nutzungsprofile!$G$17:$G$22)*Kalender!E164/SUM(Kalender!$E$5:$E$370),0))*Szenarien!$D$10,0)</f>
        <v>5.434</v>
      </c>
      <c r="E896" s="13" t="n">
        <f aca="false">IFERROR(MIN(C896,Eingaben!$B$17)*Eingaben!$B$16,0)</f>
        <v>3.3516</v>
      </c>
      <c r="F896" s="13" t="n">
        <f aca="false">IFERROR(E896*Eingaben!$B$15,0)</f>
        <v>3.01644</v>
      </c>
      <c r="G896" s="13" t="n">
        <f aca="false">IFERROR(IF(Kalender!A164="",0,J895*(1-Eingaben!$B$20)),0)</f>
        <v>0.88683336</v>
      </c>
      <c r="H896" s="13" t="n">
        <f aca="false">MIN(G896,D896)</f>
        <v>0.88683336</v>
      </c>
      <c r="I896" s="13" t="n">
        <f aca="false">IFERROR(MIN(F896*Eingaben!$B$19,MAX(0,D896-H896)),0)</f>
        <v>2.111508</v>
      </c>
      <c r="J896" s="13" t="n">
        <f aca="false">IFERROR(MIN(Eingaben!$B$18,MAX(0,F896-I896)),0)</f>
        <v>0.904932</v>
      </c>
      <c r="K896" s="13" t="n">
        <f aca="false">H896+I896</f>
        <v>2.99834136</v>
      </c>
      <c r="L896" s="13" t="n">
        <f aca="false">MAX(0,D896-K896)</f>
        <v>2.43565864</v>
      </c>
      <c r="M896" s="13" t="n">
        <f aca="false">MAX(0,F896-I896-J896)</f>
        <v>0</v>
      </c>
      <c r="N896" s="13" t="n">
        <f aca="false">IF(Kalender!A164="",0,J895-H896)</f>
        <v>0.0180986400000001</v>
      </c>
    </row>
    <row r="897" customFormat="false" ht="16.4" hidden="false" customHeight="false" outlineLevel="0" collapsed="false">
      <c r="A897" s="13" t="str">
        <f aca="false">""</f>
        <v/>
      </c>
      <c r="B897" s="13" t="n">
        <f aca="false">161</f>
        <v>161</v>
      </c>
      <c r="C897" s="13" t="n">
        <f aca="false">IF(Szenarien!$H$10="OK",(IFERROR(SUMIF(Nutzungsprofile!$B$6:$B$11,"Schulbetrieb",Nutzungsprofile!$G$6:$G$11)*Kalender!C165/SUM(Kalender!$C$5:$C$370),0)+IFERROR(SUMIF(Nutzungsprofile!$B$6:$B$11,"Halle",Nutzungsprofile!$G$6:$G$11)*Kalender!D165/SUM(Kalender!$D$5:$D$370),0)+IFERROR(SUMIF(Nutzungsprofile!$B$6:$B$11,"Individuell",Nutzungsprofile!$G$6:$G$11)*Kalender!E165/SUM(Kalender!$E$5:$E$370),0))*Szenarien!$E$10,0)</f>
        <v>3.528</v>
      </c>
      <c r="D897" s="13" t="n">
        <f aca="false">IF(Szenarien!$H$10="OK",(IFERROR(SUMIF(Nutzungsprofile!$B$17:$B$22,"Schulbetrieb",Nutzungsprofile!$G$17:$G$22)*Kalender!C165/SUM(Kalender!$C$5:$C$370),0)+IFERROR(SUMIF(Nutzungsprofile!$B$17:$B$22,"Halle",Nutzungsprofile!$G$17:$G$22)*Kalender!D165/SUM(Kalender!$D$5:$D$370),0)+IFERROR(SUMIF(Nutzungsprofile!$B$17:$B$22,"Individuell",Nutzungsprofile!$G$17:$G$22)*Kalender!E165/SUM(Kalender!$E$5:$E$370),0))*Szenarien!$D$10,0)</f>
        <v>5.434</v>
      </c>
      <c r="E897" s="13" t="n">
        <f aca="false">IFERROR(MIN(C897,Eingaben!$B$17)*Eingaben!$B$16,0)</f>
        <v>3.3516</v>
      </c>
      <c r="F897" s="13" t="n">
        <f aca="false">IFERROR(E897*Eingaben!$B$15,0)</f>
        <v>3.01644</v>
      </c>
      <c r="G897" s="13" t="n">
        <f aca="false">IFERROR(IF(Kalender!A165="",0,J896*(1-Eingaben!$B$20)),0)</f>
        <v>0.88683336</v>
      </c>
      <c r="H897" s="13" t="n">
        <f aca="false">MIN(G897,D897)</f>
        <v>0.88683336</v>
      </c>
      <c r="I897" s="13" t="n">
        <f aca="false">IFERROR(MIN(F897*Eingaben!$B$19,MAX(0,D897-H897)),0)</f>
        <v>2.111508</v>
      </c>
      <c r="J897" s="13" t="n">
        <f aca="false">IFERROR(MIN(Eingaben!$B$18,MAX(0,F897-I897)),0)</f>
        <v>0.904932</v>
      </c>
      <c r="K897" s="13" t="n">
        <f aca="false">H897+I897</f>
        <v>2.99834136</v>
      </c>
      <c r="L897" s="13" t="n">
        <f aca="false">MAX(0,D897-K897)</f>
        <v>2.43565864</v>
      </c>
      <c r="M897" s="13" t="n">
        <f aca="false">MAX(0,F897-I897-J897)</f>
        <v>0</v>
      </c>
      <c r="N897" s="13" t="n">
        <f aca="false">IF(Kalender!A165="",0,J896-H897)</f>
        <v>0.0180986400000001</v>
      </c>
    </row>
    <row r="898" customFormat="false" ht="16.4" hidden="false" customHeight="false" outlineLevel="0" collapsed="false">
      <c r="A898" s="13" t="str">
        <f aca="false">""</f>
        <v/>
      </c>
      <c r="B898" s="13" t="n">
        <f aca="false">162</f>
        <v>162</v>
      </c>
      <c r="C898" s="13" t="n">
        <f aca="false">IF(Szenarien!$H$10="OK",(IFERROR(SUMIF(Nutzungsprofile!$B$6:$B$11,"Schulbetrieb",Nutzungsprofile!$G$6:$G$11)*Kalender!C166/SUM(Kalender!$C$5:$C$370),0)+IFERROR(SUMIF(Nutzungsprofile!$B$6:$B$11,"Halle",Nutzungsprofile!$G$6:$G$11)*Kalender!D166/SUM(Kalender!$D$5:$D$370),0)+IFERROR(SUMIF(Nutzungsprofile!$B$6:$B$11,"Individuell",Nutzungsprofile!$G$6:$G$11)*Kalender!E166/SUM(Kalender!$E$5:$E$370),0))*Szenarien!$E$10,0)</f>
        <v>3.528</v>
      </c>
      <c r="D898" s="13" t="n">
        <f aca="false">IF(Szenarien!$H$10="OK",(IFERROR(SUMIF(Nutzungsprofile!$B$17:$B$22,"Schulbetrieb",Nutzungsprofile!$G$17:$G$22)*Kalender!C166/SUM(Kalender!$C$5:$C$370),0)+IFERROR(SUMIF(Nutzungsprofile!$B$17:$B$22,"Halle",Nutzungsprofile!$G$17:$G$22)*Kalender!D166/SUM(Kalender!$D$5:$D$370),0)+IFERROR(SUMIF(Nutzungsprofile!$B$17:$B$22,"Individuell",Nutzungsprofile!$G$17:$G$22)*Kalender!E166/SUM(Kalender!$E$5:$E$370),0))*Szenarien!$D$10,0)</f>
        <v>5.434</v>
      </c>
      <c r="E898" s="13" t="n">
        <f aca="false">IFERROR(MIN(C898,Eingaben!$B$17)*Eingaben!$B$16,0)</f>
        <v>3.3516</v>
      </c>
      <c r="F898" s="13" t="n">
        <f aca="false">IFERROR(E898*Eingaben!$B$15,0)</f>
        <v>3.01644</v>
      </c>
      <c r="G898" s="13" t="n">
        <f aca="false">IFERROR(IF(Kalender!A166="",0,J897*(1-Eingaben!$B$20)),0)</f>
        <v>0.88683336</v>
      </c>
      <c r="H898" s="13" t="n">
        <f aca="false">MIN(G898,D898)</f>
        <v>0.88683336</v>
      </c>
      <c r="I898" s="13" t="n">
        <f aca="false">IFERROR(MIN(F898*Eingaben!$B$19,MAX(0,D898-H898)),0)</f>
        <v>2.111508</v>
      </c>
      <c r="J898" s="13" t="n">
        <f aca="false">IFERROR(MIN(Eingaben!$B$18,MAX(0,F898-I898)),0)</f>
        <v>0.904932</v>
      </c>
      <c r="K898" s="13" t="n">
        <f aca="false">H898+I898</f>
        <v>2.99834136</v>
      </c>
      <c r="L898" s="13" t="n">
        <f aca="false">MAX(0,D898-K898)</f>
        <v>2.43565864</v>
      </c>
      <c r="M898" s="13" t="n">
        <f aca="false">MAX(0,F898-I898-J898)</f>
        <v>0</v>
      </c>
      <c r="N898" s="13" t="n">
        <f aca="false">IF(Kalender!A166="",0,J897-H898)</f>
        <v>0.0180986400000001</v>
      </c>
    </row>
    <row r="899" customFormat="false" ht="16.4" hidden="false" customHeight="false" outlineLevel="0" collapsed="false">
      <c r="A899" s="13" t="str">
        <f aca="false">""</f>
        <v/>
      </c>
      <c r="B899" s="13" t="n">
        <f aca="false">163</f>
        <v>163</v>
      </c>
      <c r="C899" s="13" t="n">
        <f aca="false">IF(Szenarien!$H$10="OK",(IFERROR(SUMIF(Nutzungsprofile!$B$6:$B$11,"Schulbetrieb",Nutzungsprofile!$G$6:$G$11)*Kalender!C167/SUM(Kalender!$C$5:$C$370),0)+IFERROR(SUMIF(Nutzungsprofile!$B$6:$B$11,"Halle",Nutzungsprofile!$G$6:$G$11)*Kalender!D167/SUM(Kalender!$D$5:$D$370),0)+IFERROR(SUMIF(Nutzungsprofile!$B$6:$B$11,"Individuell",Nutzungsprofile!$G$6:$G$11)*Kalender!E167/SUM(Kalender!$E$5:$E$370),0))*Szenarien!$E$10,0)</f>
        <v>3.528</v>
      </c>
      <c r="D899" s="13" t="n">
        <f aca="false">IF(Szenarien!$H$10="OK",(IFERROR(SUMIF(Nutzungsprofile!$B$17:$B$22,"Schulbetrieb",Nutzungsprofile!$G$17:$G$22)*Kalender!C167/SUM(Kalender!$C$5:$C$370),0)+IFERROR(SUMIF(Nutzungsprofile!$B$17:$B$22,"Halle",Nutzungsprofile!$G$17:$G$22)*Kalender!D167/SUM(Kalender!$D$5:$D$370),0)+IFERROR(SUMIF(Nutzungsprofile!$B$17:$B$22,"Individuell",Nutzungsprofile!$G$17:$G$22)*Kalender!E167/SUM(Kalender!$E$5:$E$370),0))*Szenarien!$D$10,0)</f>
        <v>5.434</v>
      </c>
      <c r="E899" s="13" t="n">
        <f aca="false">IFERROR(MIN(C899,Eingaben!$B$17)*Eingaben!$B$16,0)</f>
        <v>3.3516</v>
      </c>
      <c r="F899" s="13" t="n">
        <f aca="false">IFERROR(E899*Eingaben!$B$15,0)</f>
        <v>3.01644</v>
      </c>
      <c r="G899" s="13" t="n">
        <f aca="false">IFERROR(IF(Kalender!A167="",0,J898*(1-Eingaben!$B$20)),0)</f>
        <v>0.88683336</v>
      </c>
      <c r="H899" s="13" t="n">
        <f aca="false">MIN(G899,D899)</f>
        <v>0.88683336</v>
      </c>
      <c r="I899" s="13" t="n">
        <f aca="false">IFERROR(MIN(F899*Eingaben!$B$19,MAX(0,D899-H899)),0)</f>
        <v>2.111508</v>
      </c>
      <c r="J899" s="13" t="n">
        <f aca="false">IFERROR(MIN(Eingaben!$B$18,MAX(0,F899-I899)),0)</f>
        <v>0.904932</v>
      </c>
      <c r="K899" s="13" t="n">
        <f aca="false">H899+I899</f>
        <v>2.99834136</v>
      </c>
      <c r="L899" s="13" t="n">
        <f aca="false">MAX(0,D899-K899)</f>
        <v>2.43565864</v>
      </c>
      <c r="M899" s="13" t="n">
        <f aca="false">MAX(0,F899-I899-J899)</f>
        <v>0</v>
      </c>
      <c r="N899" s="13" t="n">
        <f aca="false">IF(Kalender!A167="",0,J898-H899)</f>
        <v>0.0180986400000001</v>
      </c>
    </row>
    <row r="900" customFormat="false" ht="16.4" hidden="false" customHeight="false" outlineLevel="0" collapsed="false">
      <c r="A900" s="13" t="str">
        <f aca="false">""</f>
        <v/>
      </c>
      <c r="B900" s="13" t="n">
        <f aca="false">164</f>
        <v>164</v>
      </c>
      <c r="C900" s="13" t="n">
        <f aca="false">IF(Szenarien!$H$10="OK",(IFERROR(SUMIF(Nutzungsprofile!$B$6:$B$11,"Schulbetrieb",Nutzungsprofile!$G$6:$G$11)*Kalender!C168/SUM(Kalender!$C$5:$C$370),0)+IFERROR(SUMIF(Nutzungsprofile!$B$6:$B$11,"Halle",Nutzungsprofile!$G$6:$G$11)*Kalender!D168/SUM(Kalender!$D$5:$D$370),0)+IFERROR(SUMIF(Nutzungsprofile!$B$6:$B$11,"Individuell",Nutzungsprofile!$G$6:$G$11)*Kalender!E168/SUM(Kalender!$E$5:$E$370),0))*Szenarien!$E$10,0)</f>
        <v>2.448</v>
      </c>
      <c r="D900" s="13" t="n">
        <f aca="false">IF(Szenarien!$H$10="OK",(IFERROR(SUMIF(Nutzungsprofile!$B$17:$B$22,"Schulbetrieb",Nutzungsprofile!$G$17:$G$22)*Kalender!C168/SUM(Kalender!$C$5:$C$370),0)+IFERROR(SUMIF(Nutzungsprofile!$B$17:$B$22,"Halle",Nutzungsprofile!$G$17:$G$22)*Kalender!D168/SUM(Kalender!$D$5:$D$370),0)+IFERROR(SUMIF(Nutzungsprofile!$B$17:$B$22,"Individuell",Nutzungsprofile!$G$17:$G$22)*Kalender!E168/SUM(Kalender!$E$5:$E$370),0))*Szenarien!$D$10,0)</f>
        <v>0.979</v>
      </c>
      <c r="E900" s="13" t="n">
        <f aca="false">IFERROR(MIN(C900,Eingaben!$B$17)*Eingaben!$B$16,0)</f>
        <v>2.3256</v>
      </c>
      <c r="F900" s="13" t="n">
        <f aca="false">IFERROR(E900*Eingaben!$B$15,0)</f>
        <v>2.09304</v>
      </c>
      <c r="G900" s="13" t="n">
        <f aca="false">IFERROR(IF(Kalender!A168="",0,J899*(1-Eingaben!$B$20)),0)</f>
        <v>0.88683336</v>
      </c>
      <c r="H900" s="13" t="n">
        <f aca="false">MIN(G900,D900)</f>
        <v>0.88683336</v>
      </c>
      <c r="I900" s="13" t="n">
        <f aca="false">IFERROR(MIN(F900*Eingaben!$B$19,MAX(0,D900-H900)),0)</f>
        <v>0.0921666400000001</v>
      </c>
      <c r="J900" s="13" t="n">
        <f aca="false">IFERROR(MIN(Eingaben!$B$18,MAX(0,F900-I900)),0)</f>
        <v>2</v>
      </c>
      <c r="K900" s="13" t="n">
        <f aca="false">H900+I900</f>
        <v>0.979</v>
      </c>
      <c r="L900" s="13" t="n">
        <f aca="false">MAX(0,D900-K900)</f>
        <v>0</v>
      </c>
      <c r="M900" s="13" t="n">
        <f aca="false">MAX(0,F900-I900-J900)</f>
        <v>0.000873359999999934</v>
      </c>
      <c r="N900" s="13" t="n">
        <f aca="false">IF(Kalender!A168="",0,J899-H900)</f>
        <v>0.0180986400000001</v>
      </c>
    </row>
    <row r="901" customFormat="false" ht="16.4" hidden="false" customHeight="false" outlineLevel="0" collapsed="false">
      <c r="A901" s="13" t="str">
        <f aca="false">""</f>
        <v/>
      </c>
      <c r="B901" s="13" t="n">
        <f aca="false">165</f>
        <v>165</v>
      </c>
      <c r="C901" s="13" t="n">
        <f aca="false">IF(Szenarien!$H$10="OK",(IFERROR(SUMIF(Nutzungsprofile!$B$6:$B$11,"Schulbetrieb",Nutzungsprofile!$G$6:$G$11)*Kalender!C169/SUM(Kalender!$C$5:$C$370),0)+IFERROR(SUMIF(Nutzungsprofile!$B$6:$B$11,"Halle",Nutzungsprofile!$G$6:$G$11)*Kalender!D169/SUM(Kalender!$D$5:$D$370),0)+IFERROR(SUMIF(Nutzungsprofile!$B$6:$B$11,"Individuell",Nutzungsprofile!$G$6:$G$11)*Kalender!E169/SUM(Kalender!$E$5:$E$370),0))*Szenarien!$E$10,0)</f>
        <v>2.448</v>
      </c>
      <c r="D901" s="13" t="n">
        <f aca="false">IF(Szenarien!$H$10="OK",(IFERROR(SUMIF(Nutzungsprofile!$B$17:$B$22,"Schulbetrieb",Nutzungsprofile!$G$17:$G$22)*Kalender!C169/SUM(Kalender!$C$5:$C$370),0)+IFERROR(SUMIF(Nutzungsprofile!$B$17:$B$22,"Halle",Nutzungsprofile!$G$17:$G$22)*Kalender!D169/SUM(Kalender!$D$5:$D$370),0)+IFERROR(SUMIF(Nutzungsprofile!$B$17:$B$22,"Individuell",Nutzungsprofile!$G$17:$G$22)*Kalender!E169/SUM(Kalender!$E$5:$E$370),0))*Szenarien!$D$10,0)</f>
        <v>0.979</v>
      </c>
      <c r="E901" s="13" t="n">
        <f aca="false">IFERROR(MIN(C901,Eingaben!$B$17)*Eingaben!$B$16,0)</f>
        <v>2.3256</v>
      </c>
      <c r="F901" s="13" t="n">
        <f aca="false">IFERROR(E901*Eingaben!$B$15,0)</f>
        <v>2.09304</v>
      </c>
      <c r="G901" s="13" t="n">
        <f aca="false">IFERROR(IF(Kalender!A169="",0,J900*(1-Eingaben!$B$20)),0)</f>
        <v>1.96</v>
      </c>
      <c r="H901" s="13" t="n">
        <f aca="false">MIN(G901,D901)</f>
        <v>0.979</v>
      </c>
      <c r="I901" s="13" t="n">
        <f aca="false">IFERROR(MIN(F901*Eingaben!$B$19,MAX(0,D901-H901)),0)</f>
        <v>0</v>
      </c>
      <c r="J901" s="13" t="n">
        <f aca="false">IFERROR(MIN(Eingaben!$B$18,MAX(0,F901-I901)),0)</f>
        <v>2</v>
      </c>
      <c r="K901" s="13" t="n">
        <f aca="false">H901+I901</f>
        <v>0.979</v>
      </c>
      <c r="L901" s="13" t="n">
        <f aca="false">MAX(0,D901-K901)</f>
        <v>0</v>
      </c>
      <c r="M901" s="13" t="n">
        <f aca="false">MAX(0,F901-I901-J901)</f>
        <v>0.0930399999999998</v>
      </c>
      <c r="N901" s="13" t="n">
        <f aca="false">IF(Kalender!A169="",0,J900-H901)</f>
        <v>1.021</v>
      </c>
    </row>
    <row r="902" customFormat="false" ht="16.4" hidden="false" customHeight="false" outlineLevel="0" collapsed="false">
      <c r="A902" s="13" t="str">
        <f aca="false">""</f>
        <v/>
      </c>
      <c r="B902" s="13" t="n">
        <f aca="false">166</f>
        <v>166</v>
      </c>
      <c r="C902" s="13" t="n">
        <f aca="false">IF(Szenarien!$H$10="OK",(IFERROR(SUMIF(Nutzungsprofile!$B$6:$B$11,"Schulbetrieb",Nutzungsprofile!$G$6:$G$11)*Kalender!C170/SUM(Kalender!$C$5:$C$370),0)+IFERROR(SUMIF(Nutzungsprofile!$B$6:$B$11,"Halle",Nutzungsprofile!$G$6:$G$11)*Kalender!D170/SUM(Kalender!$D$5:$D$370),0)+IFERROR(SUMIF(Nutzungsprofile!$B$6:$B$11,"Individuell",Nutzungsprofile!$G$6:$G$11)*Kalender!E170/SUM(Kalender!$E$5:$E$370),0))*Szenarien!$E$10,0)</f>
        <v>3.528</v>
      </c>
      <c r="D902" s="13" t="n">
        <f aca="false">IF(Szenarien!$H$10="OK",(IFERROR(SUMIF(Nutzungsprofile!$B$17:$B$22,"Schulbetrieb",Nutzungsprofile!$G$17:$G$22)*Kalender!C170/SUM(Kalender!$C$5:$C$370),0)+IFERROR(SUMIF(Nutzungsprofile!$B$17:$B$22,"Halle",Nutzungsprofile!$G$17:$G$22)*Kalender!D170/SUM(Kalender!$D$5:$D$370),0)+IFERROR(SUMIF(Nutzungsprofile!$B$17:$B$22,"Individuell",Nutzungsprofile!$G$17:$G$22)*Kalender!E170/SUM(Kalender!$E$5:$E$370),0))*Szenarien!$D$10,0)</f>
        <v>5.434</v>
      </c>
      <c r="E902" s="13" t="n">
        <f aca="false">IFERROR(MIN(C902,Eingaben!$B$17)*Eingaben!$B$16,0)</f>
        <v>3.3516</v>
      </c>
      <c r="F902" s="13" t="n">
        <f aca="false">IFERROR(E902*Eingaben!$B$15,0)</f>
        <v>3.01644</v>
      </c>
      <c r="G902" s="13" t="n">
        <f aca="false">IFERROR(IF(Kalender!A170="",0,J901*(1-Eingaben!$B$20)),0)</f>
        <v>1.96</v>
      </c>
      <c r="H902" s="13" t="n">
        <f aca="false">MIN(G902,D902)</f>
        <v>1.96</v>
      </c>
      <c r="I902" s="13" t="n">
        <f aca="false">IFERROR(MIN(F902*Eingaben!$B$19,MAX(0,D902-H902)),0)</f>
        <v>2.111508</v>
      </c>
      <c r="J902" s="13" t="n">
        <f aca="false">IFERROR(MIN(Eingaben!$B$18,MAX(0,F902-I902)),0)</f>
        <v>0.904932</v>
      </c>
      <c r="K902" s="13" t="n">
        <f aca="false">H902+I902</f>
        <v>4.071508</v>
      </c>
      <c r="L902" s="13" t="n">
        <f aca="false">MAX(0,D902-K902)</f>
        <v>1.362492</v>
      </c>
      <c r="M902" s="13" t="n">
        <f aca="false">MAX(0,F902-I902-J902)</f>
        <v>0</v>
      </c>
      <c r="N902" s="13" t="n">
        <f aca="false">IF(Kalender!A170="",0,J901-H902)</f>
        <v>0.04</v>
      </c>
    </row>
    <row r="903" customFormat="false" ht="16.4" hidden="false" customHeight="false" outlineLevel="0" collapsed="false">
      <c r="A903" s="13" t="str">
        <f aca="false">""</f>
        <v/>
      </c>
      <c r="B903" s="13" t="n">
        <f aca="false">167</f>
        <v>167</v>
      </c>
      <c r="C903" s="13" t="n">
        <f aca="false">IF(Szenarien!$H$10="OK",(IFERROR(SUMIF(Nutzungsprofile!$B$6:$B$11,"Schulbetrieb",Nutzungsprofile!$G$6:$G$11)*Kalender!C171/SUM(Kalender!$C$5:$C$370),0)+IFERROR(SUMIF(Nutzungsprofile!$B$6:$B$11,"Halle",Nutzungsprofile!$G$6:$G$11)*Kalender!D171/SUM(Kalender!$D$5:$D$370),0)+IFERROR(SUMIF(Nutzungsprofile!$B$6:$B$11,"Individuell",Nutzungsprofile!$G$6:$G$11)*Kalender!E171/SUM(Kalender!$E$5:$E$370),0))*Szenarien!$E$10,0)</f>
        <v>3.528</v>
      </c>
      <c r="D903" s="13" t="n">
        <f aca="false">IF(Szenarien!$H$10="OK",(IFERROR(SUMIF(Nutzungsprofile!$B$17:$B$22,"Schulbetrieb",Nutzungsprofile!$G$17:$G$22)*Kalender!C171/SUM(Kalender!$C$5:$C$370),0)+IFERROR(SUMIF(Nutzungsprofile!$B$17:$B$22,"Halle",Nutzungsprofile!$G$17:$G$22)*Kalender!D171/SUM(Kalender!$D$5:$D$370),0)+IFERROR(SUMIF(Nutzungsprofile!$B$17:$B$22,"Individuell",Nutzungsprofile!$G$17:$G$22)*Kalender!E171/SUM(Kalender!$E$5:$E$370),0))*Szenarien!$D$10,0)</f>
        <v>5.434</v>
      </c>
      <c r="E903" s="13" t="n">
        <f aca="false">IFERROR(MIN(C903,Eingaben!$B$17)*Eingaben!$B$16,0)</f>
        <v>3.3516</v>
      </c>
      <c r="F903" s="13" t="n">
        <f aca="false">IFERROR(E903*Eingaben!$B$15,0)</f>
        <v>3.01644</v>
      </c>
      <c r="G903" s="13" t="n">
        <f aca="false">IFERROR(IF(Kalender!A171="",0,J902*(1-Eingaben!$B$20)),0)</f>
        <v>0.88683336</v>
      </c>
      <c r="H903" s="13" t="n">
        <f aca="false">MIN(G903,D903)</f>
        <v>0.88683336</v>
      </c>
      <c r="I903" s="13" t="n">
        <f aca="false">IFERROR(MIN(F903*Eingaben!$B$19,MAX(0,D903-H903)),0)</f>
        <v>2.111508</v>
      </c>
      <c r="J903" s="13" t="n">
        <f aca="false">IFERROR(MIN(Eingaben!$B$18,MAX(0,F903-I903)),0)</f>
        <v>0.904932</v>
      </c>
      <c r="K903" s="13" t="n">
        <f aca="false">H903+I903</f>
        <v>2.99834136</v>
      </c>
      <c r="L903" s="13" t="n">
        <f aca="false">MAX(0,D903-K903)</f>
        <v>2.43565864</v>
      </c>
      <c r="M903" s="13" t="n">
        <f aca="false">MAX(0,F903-I903-J903)</f>
        <v>0</v>
      </c>
      <c r="N903" s="13" t="n">
        <f aca="false">IF(Kalender!A171="",0,J902-H903)</f>
        <v>0.0180986400000001</v>
      </c>
    </row>
    <row r="904" customFormat="false" ht="16.4" hidden="false" customHeight="false" outlineLevel="0" collapsed="false">
      <c r="A904" s="13" t="str">
        <f aca="false">""</f>
        <v/>
      </c>
      <c r="B904" s="13" t="n">
        <f aca="false">168</f>
        <v>168</v>
      </c>
      <c r="C904" s="13" t="n">
        <f aca="false">IF(Szenarien!$H$10="OK",(IFERROR(SUMIF(Nutzungsprofile!$B$6:$B$11,"Schulbetrieb",Nutzungsprofile!$G$6:$G$11)*Kalender!C172/SUM(Kalender!$C$5:$C$370),0)+IFERROR(SUMIF(Nutzungsprofile!$B$6:$B$11,"Halle",Nutzungsprofile!$G$6:$G$11)*Kalender!D172/SUM(Kalender!$D$5:$D$370),0)+IFERROR(SUMIF(Nutzungsprofile!$B$6:$B$11,"Individuell",Nutzungsprofile!$G$6:$G$11)*Kalender!E172/SUM(Kalender!$E$5:$E$370),0))*Szenarien!$E$10,0)</f>
        <v>3.528</v>
      </c>
      <c r="D904" s="13" t="n">
        <f aca="false">IF(Szenarien!$H$10="OK",(IFERROR(SUMIF(Nutzungsprofile!$B$17:$B$22,"Schulbetrieb",Nutzungsprofile!$G$17:$G$22)*Kalender!C172/SUM(Kalender!$C$5:$C$370),0)+IFERROR(SUMIF(Nutzungsprofile!$B$17:$B$22,"Halle",Nutzungsprofile!$G$17:$G$22)*Kalender!D172/SUM(Kalender!$D$5:$D$370),0)+IFERROR(SUMIF(Nutzungsprofile!$B$17:$B$22,"Individuell",Nutzungsprofile!$G$17:$G$22)*Kalender!E172/SUM(Kalender!$E$5:$E$370),0))*Szenarien!$D$10,0)</f>
        <v>5.434</v>
      </c>
      <c r="E904" s="13" t="n">
        <f aca="false">IFERROR(MIN(C904,Eingaben!$B$17)*Eingaben!$B$16,0)</f>
        <v>3.3516</v>
      </c>
      <c r="F904" s="13" t="n">
        <f aca="false">IFERROR(E904*Eingaben!$B$15,0)</f>
        <v>3.01644</v>
      </c>
      <c r="G904" s="13" t="n">
        <f aca="false">IFERROR(IF(Kalender!A172="",0,J903*(1-Eingaben!$B$20)),0)</f>
        <v>0.88683336</v>
      </c>
      <c r="H904" s="13" t="n">
        <f aca="false">MIN(G904,D904)</f>
        <v>0.88683336</v>
      </c>
      <c r="I904" s="13" t="n">
        <f aca="false">IFERROR(MIN(F904*Eingaben!$B$19,MAX(0,D904-H904)),0)</f>
        <v>2.111508</v>
      </c>
      <c r="J904" s="13" t="n">
        <f aca="false">IFERROR(MIN(Eingaben!$B$18,MAX(0,F904-I904)),0)</f>
        <v>0.904932</v>
      </c>
      <c r="K904" s="13" t="n">
        <f aca="false">H904+I904</f>
        <v>2.99834136</v>
      </c>
      <c r="L904" s="13" t="n">
        <f aca="false">MAX(0,D904-K904)</f>
        <v>2.43565864</v>
      </c>
      <c r="M904" s="13" t="n">
        <f aca="false">MAX(0,F904-I904-J904)</f>
        <v>0</v>
      </c>
      <c r="N904" s="13" t="n">
        <f aca="false">IF(Kalender!A172="",0,J903-H904)</f>
        <v>0.0180986400000001</v>
      </c>
    </row>
    <row r="905" customFormat="false" ht="16.4" hidden="false" customHeight="false" outlineLevel="0" collapsed="false">
      <c r="A905" s="13" t="str">
        <f aca="false">""</f>
        <v/>
      </c>
      <c r="B905" s="13" t="n">
        <f aca="false">169</f>
        <v>169</v>
      </c>
      <c r="C905" s="13" t="n">
        <f aca="false">IF(Szenarien!$H$10="OK",(IFERROR(SUMIF(Nutzungsprofile!$B$6:$B$11,"Schulbetrieb",Nutzungsprofile!$G$6:$G$11)*Kalender!C173/SUM(Kalender!$C$5:$C$370),0)+IFERROR(SUMIF(Nutzungsprofile!$B$6:$B$11,"Halle",Nutzungsprofile!$G$6:$G$11)*Kalender!D173/SUM(Kalender!$D$5:$D$370),0)+IFERROR(SUMIF(Nutzungsprofile!$B$6:$B$11,"Individuell",Nutzungsprofile!$G$6:$G$11)*Kalender!E173/SUM(Kalender!$E$5:$E$370),0))*Szenarien!$E$10,0)</f>
        <v>3.528</v>
      </c>
      <c r="D905" s="13" t="n">
        <f aca="false">IF(Szenarien!$H$10="OK",(IFERROR(SUMIF(Nutzungsprofile!$B$17:$B$22,"Schulbetrieb",Nutzungsprofile!$G$17:$G$22)*Kalender!C173/SUM(Kalender!$C$5:$C$370),0)+IFERROR(SUMIF(Nutzungsprofile!$B$17:$B$22,"Halle",Nutzungsprofile!$G$17:$G$22)*Kalender!D173/SUM(Kalender!$D$5:$D$370),0)+IFERROR(SUMIF(Nutzungsprofile!$B$17:$B$22,"Individuell",Nutzungsprofile!$G$17:$G$22)*Kalender!E173/SUM(Kalender!$E$5:$E$370),0))*Szenarien!$D$10,0)</f>
        <v>5.434</v>
      </c>
      <c r="E905" s="13" t="n">
        <f aca="false">IFERROR(MIN(C905,Eingaben!$B$17)*Eingaben!$B$16,0)</f>
        <v>3.3516</v>
      </c>
      <c r="F905" s="13" t="n">
        <f aca="false">IFERROR(E905*Eingaben!$B$15,0)</f>
        <v>3.01644</v>
      </c>
      <c r="G905" s="13" t="n">
        <f aca="false">IFERROR(IF(Kalender!A173="",0,J904*(1-Eingaben!$B$20)),0)</f>
        <v>0.88683336</v>
      </c>
      <c r="H905" s="13" t="n">
        <f aca="false">MIN(G905,D905)</f>
        <v>0.88683336</v>
      </c>
      <c r="I905" s="13" t="n">
        <f aca="false">IFERROR(MIN(F905*Eingaben!$B$19,MAX(0,D905-H905)),0)</f>
        <v>2.111508</v>
      </c>
      <c r="J905" s="13" t="n">
        <f aca="false">IFERROR(MIN(Eingaben!$B$18,MAX(0,F905-I905)),0)</f>
        <v>0.904932</v>
      </c>
      <c r="K905" s="13" t="n">
        <f aca="false">H905+I905</f>
        <v>2.99834136</v>
      </c>
      <c r="L905" s="13" t="n">
        <f aca="false">MAX(0,D905-K905)</f>
        <v>2.43565864</v>
      </c>
      <c r="M905" s="13" t="n">
        <f aca="false">MAX(0,F905-I905-J905)</f>
        <v>0</v>
      </c>
      <c r="N905" s="13" t="n">
        <f aca="false">IF(Kalender!A173="",0,J904-H905)</f>
        <v>0.0180986400000001</v>
      </c>
    </row>
    <row r="906" customFormat="false" ht="16.4" hidden="false" customHeight="false" outlineLevel="0" collapsed="false">
      <c r="A906" s="13" t="str">
        <f aca="false">""</f>
        <v/>
      </c>
      <c r="B906" s="13" t="n">
        <f aca="false">170</f>
        <v>170</v>
      </c>
      <c r="C906" s="13" t="n">
        <f aca="false">IF(Szenarien!$H$10="OK",(IFERROR(SUMIF(Nutzungsprofile!$B$6:$B$11,"Schulbetrieb",Nutzungsprofile!$G$6:$G$11)*Kalender!C174/SUM(Kalender!$C$5:$C$370),0)+IFERROR(SUMIF(Nutzungsprofile!$B$6:$B$11,"Halle",Nutzungsprofile!$G$6:$G$11)*Kalender!D174/SUM(Kalender!$D$5:$D$370),0)+IFERROR(SUMIF(Nutzungsprofile!$B$6:$B$11,"Individuell",Nutzungsprofile!$G$6:$G$11)*Kalender!E174/SUM(Kalender!$E$5:$E$370),0))*Szenarien!$E$10,0)</f>
        <v>3.528</v>
      </c>
      <c r="D906" s="13" t="n">
        <f aca="false">IF(Szenarien!$H$10="OK",(IFERROR(SUMIF(Nutzungsprofile!$B$17:$B$22,"Schulbetrieb",Nutzungsprofile!$G$17:$G$22)*Kalender!C174/SUM(Kalender!$C$5:$C$370),0)+IFERROR(SUMIF(Nutzungsprofile!$B$17:$B$22,"Halle",Nutzungsprofile!$G$17:$G$22)*Kalender!D174/SUM(Kalender!$D$5:$D$370),0)+IFERROR(SUMIF(Nutzungsprofile!$B$17:$B$22,"Individuell",Nutzungsprofile!$G$17:$G$22)*Kalender!E174/SUM(Kalender!$E$5:$E$370),0))*Szenarien!$D$10,0)</f>
        <v>5.434</v>
      </c>
      <c r="E906" s="13" t="n">
        <f aca="false">IFERROR(MIN(C906,Eingaben!$B$17)*Eingaben!$B$16,0)</f>
        <v>3.3516</v>
      </c>
      <c r="F906" s="13" t="n">
        <f aca="false">IFERROR(E906*Eingaben!$B$15,0)</f>
        <v>3.01644</v>
      </c>
      <c r="G906" s="13" t="n">
        <f aca="false">IFERROR(IF(Kalender!A174="",0,J905*(1-Eingaben!$B$20)),0)</f>
        <v>0.88683336</v>
      </c>
      <c r="H906" s="13" t="n">
        <f aca="false">MIN(G906,D906)</f>
        <v>0.88683336</v>
      </c>
      <c r="I906" s="13" t="n">
        <f aca="false">IFERROR(MIN(F906*Eingaben!$B$19,MAX(0,D906-H906)),0)</f>
        <v>2.111508</v>
      </c>
      <c r="J906" s="13" t="n">
        <f aca="false">IFERROR(MIN(Eingaben!$B$18,MAX(0,F906-I906)),0)</f>
        <v>0.904932</v>
      </c>
      <c r="K906" s="13" t="n">
        <f aca="false">H906+I906</f>
        <v>2.99834136</v>
      </c>
      <c r="L906" s="13" t="n">
        <f aca="false">MAX(0,D906-K906)</f>
        <v>2.43565864</v>
      </c>
      <c r="M906" s="13" t="n">
        <f aca="false">MAX(0,F906-I906-J906)</f>
        <v>0</v>
      </c>
      <c r="N906" s="13" t="n">
        <f aca="false">IF(Kalender!A174="",0,J905-H906)</f>
        <v>0.0180986400000001</v>
      </c>
    </row>
    <row r="907" customFormat="false" ht="16.4" hidden="false" customHeight="false" outlineLevel="0" collapsed="false">
      <c r="A907" s="13" t="str">
        <f aca="false">""</f>
        <v/>
      </c>
      <c r="B907" s="13" t="n">
        <f aca="false">171</f>
        <v>171</v>
      </c>
      <c r="C907" s="13" t="n">
        <f aca="false">IF(Szenarien!$H$10="OK",(IFERROR(SUMIF(Nutzungsprofile!$B$6:$B$11,"Schulbetrieb",Nutzungsprofile!$G$6:$G$11)*Kalender!C175/SUM(Kalender!$C$5:$C$370),0)+IFERROR(SUMIF(Nutzungsprofile!$B$6:$B$11,"Halle",Nutzungsprofile!$G$6:$G$11)*Kalender!D175/SUM(Kalender!$D$5:$D$370),0)+IFERROR(SUMIF(Nutzungsprofile!$B$6:$B$11,"Individuell",Nutzungsprofile!$G$6:$G$11)*Kalender!E175/SUM(Kalender!$E$5:$E$370),0))*Szenarien!$E$10,0)</f>
        <v>2.448</v>
      </c>
      <c r="D907" s="13" t="n">
        <f aca="false">IF(Szenarien!$H$10="OK",(IFERROR(SUMIF(Nutzungsprofile!$B$17:$B$22,"Schulbetrieb",Nutzungsprofile!$G$17:$G$22)*Kalender!C175/SUM(Kalender!$C$5:$C$370),0)+IFERROR(SUMIF(Nutzungsprofile!$B$17:$B$22,"Halle",Nutzungsprofile!$G$17:$G$22)*Kalender!D175/SUM(Kalender!$D$5:$D$370),0)+IFERROR(SUMIF(Nutzungsprofile!$B$17:$B$22,"Individuell",Nutzungsprofile!$G$17:$G$22)*Kalender!E175/SUM(Kalender!$E$5:$E$370),0))*Szenarien!$D$10,0)</f>
        <v>0.979</v>
      </c>
      <c r="E907" s="13" t="n">
        <f aca="false">IFERROR(MIN(C907,Eingaben!$B$17)*Eingaben!$B$16,0)</f>
        <v>2.3256</v>
      </c>
      <c r="F907" s="13" t="n">
        <f aca="false">IFERROR(E907*Eingaben!$B$15,0)</f>
        <v>2.09304</v>
      </c>
      <c r="G907" s="13" t="n">
        <f aca="false">IFERROR(IF(Kalender!A175="",0,J906*(1-Eingaben!$B$20)),0)</f>
        <v>0.88683336</v>
      </c>
      <c r="H907" s="13" t="n">
        <f aca="false">MIN(G907,D907)</f>
        <v>0.88683336</v>
      </c>
      <c r="I907" s="13" t="n">
        <f aca="false">IFERROR(MIN(F907*Eingaben!$B$19,MAX(0,D907-H907)),0)</f>
        <v>0.0921666400000001</v>
      </c>
      <c r="J907" s="13" t="n">
        <f aca="false">IFERROR(MIN(Eingaben!$B$18,MAX(0,F907-I907)),0)</f>
        <v>2</v>
      </c>
      <c r="K907" s="13" t="n">
        <f aca="false">H907+I907</f>
        <v>0.979</v>
      </c>
      <c r="L907" s="13" t="n">
        <f aca="false">MAX(0,D907-K907)</f>
        <v>0</v>
      </c>
      <c r="M907" s="13" t="n">
        <f aca="false">MAX(0,F907-I907-J907)</f>
        <v>0.000873359999999934</v>
      </c>
      <c r="N907" s="13" t="n">
        <f aca="false">IF(Kalender!A175="",0,J906-H907)</f>
        <v>0.0180986400000001</v>
      </c>
    </row>
    <row r="908" customFormat="false" ht="16.4" hidden="false" customHeight="false" outlineLevel="0" collapsed="false">
      <c r="A908" s="13" t="str">
        <f aca="false">""</f>
        <v/>
      </c>
      <c r="B908" s="13" t="n">
        <f aca="false">172</f>
        <v>172</v>
      </c>
      <c r="C908" s="13" t="n">
        <f aca="false">IF(Szenarien!$H$10="OK",(IFERROR(SUMIF(Nutzungsprofile!$B$6:$B$11,"Schulbetrieb",Nutzungsprofile!$G$6:$G$11)*Kalender!C176/SUM(Kalender!$C$5:$C$370),0)+IFERROR(SUMIF(Nutzungsprofile!$B$6:$B$11,"Halle",Nutzungsprofile!$G$6:$G$11)*Kalender!D176/SUM(Kalender!$D$5:$D$370),0)+IFERROR(SUMIF(Nutzungsprofile!$B$6:$B$11,"Individuell",Nutzungsprofile!$G$6:$G$11)*Kalender!E176/SUM(Kalender!$E$5:$E$370),0))*Szenarien!$E$10,0)</f>
        <v>2.448</v>
      </c>
      <c r="D908" s="13" t="n">
        <f aca="false">IF(Szenarien!$H$10="OK",(IFERROR(SUMIF(Nutzungsprofile!$B$17:$B$22,"Schulbetrieb",Nutzungsprofile!$G$17:$G$22)*Kalender!C176/SUM(Kalender!$C$5:$C$370),0)+IFERROR(SUMIF(Nutzungsprofile!$B$17:$B$22,"Halle",Nutzungsprofile!$G$17:$G$22)*Kalender!D176/SUM(Kalender!$D$5:$D$370),0)+IFERROR(SUMIF(Nutzungsprofile!$B$17:$B$22,"Individuell",Nutzungsprofile!$G$17:$G$22)*Kalender!E176/SUM(Kalender!$E$5:$E$370),0))*Szenarien!$D$10,0)</f>
        <v>0.979</v>
      </c>
      <c r="E908" s="13" t="n">
        <f aca="false">IFERROR(MIN(C908,Eingaben!$B$17)*Eingaben!$B$16,0)</f>
        <v>2.3256</v>
      </c>
      <c r="F908" s="13" t="n">
        <f aca="false">IFERROR(E908*Eingaben!$B$15,0)</f>
        <v>2.09304</v>
      </c>
      <c r="G908" s="13" t="n">
        <f aca="false">IFERROR(IF(Kalender!A176="",0,J907*(1-Eingaben!$B$20)),0)</f>
        <v>1.96</v>
      </c>
      <c r="H908" s="13" t="n">
        <f aca="false">MIN(G908,D908)</f>
        <v>0.979</v>
      </c>
      <c r="I908" s="13" t="n">
        <f aca="false">IFERROR(MIN(F908*Eingaben!$B$19,MAX(0,D908-H908)),0)</f>
        <v>0</v>
      </c>
      <c r="J908" s="13" t="n">
        <f aca="false">IFERROR(MIN(Eingaben!$B$18,MAX(0,F908-I908)),0)</f>
        <v>2</v>
      </c>
      <c r="K908" s="13" t="n">
        <f aca="false">H908+I908</f>
        <v>0.979</v>
      </c>
      <c r="L908" s="13" t="n">
        <f aca="false">MAX(0,D908-K908)</f>
        <v>0</v>
      </c>
      <c r="M908" s="13" t="n">
        <f aca="false">MAX(0,F908-I908-J908)</f>
        <v>0.0930399999999998</v>
      </c>
      <c r="N908" s="13" t="n">
        <f aca="false">IF(Kalender!A176="",0,J907-H908)</f>
        <v>1.021</v>
      </c>
    </row>
    <row r="909" customFormat="false" ht="16.4" hidden="false" customHeight="false" outlineLevel="0" collapsed="false">
      <c r="A909" s="13" t="str">
        <f aca="false">""</f>
        <v/>
      </c>
      <c r="B909" s="13" t="n">
        <f aca="false">173</f>
        <v>173</v>
      </c>
      <c r="C909" s="13" t="n">
        <f aca="false">IF(Szenarien!$H$10="OK",(IFERROR(SUMIF(Nutzungsprofile!$B$6:$B$11,"Schulbetrieb",Nutzungsprofile!$G$6:$G$11)*Kalender!C177/SUM(Kalender!$C$5:$C$370),0)+IFERROR(SUMIF(Nutzungsprofile!$B$6:$B$11,"Halle",Nutzungsprofile!$G$6:$G$11)*Kalender!D177/SUM(Kalender!$D$5:$D$370),0)+IFERROR(SUMIF(Nutzungsprofile!$B$6:$B$11,"Individuell",Nutzungsprofile!$G$6:$G$11)*Kalender!E177/SUM(Kalender!$E$5:$E$370),0))*Szenarien!$E$10,0)</f>
        <v>3.528</v>
      </c>
      <c r="D909" s="13" t="n">
        <f aca="false">IF(Szenarien!$H$10="OK",(IFERROR(SUMIF(Nutzungsprofile!$B$17:$B$22,"Schulbetrieb",Nutzungsprofile!$G$17:$G$22)*Kalender!C177/SUM(Kalender!$C$5:$C$370),0)+IFERROR(SUMIF(Nutzungsprofile!$B$17:$B$22,"Halle",Nutzungsprofile!$G$17:$G$22)*Kalender!D177/SUM(Kalender!$D$5:$D$370),0)+IFERROR(SUMIF(Nutzungsprofile!$B$17:$B$22,"Individuell",Nutzungsprofile!$G$17:$G$22)*Kalender!E177/SUM(Kalender!$E$5:$E$370),0))*Szenarien!$D$10,0)</f>
        <v>5.434</v>
      </c>
      <c r="E909" s="13" t="n">
        <f aca="false">IFERROR(MIN(C909,Eingaben!$B$17)*Eingaben!$B$16,0)</f>
        <v>3.3516</v>
      </c>
      <c r="F909" s="13" t="n">
        <f aca="false">IFERROR(E909*Eingaben!$B$15,0)</f>
        <v>3.01644</v>
      </c>
      <c r="G909" s="13" t="n">
        <f aca="false">IFERROR(IF(Kalender!A177="",0,J908*(1-Eingaben!$B$20)),0)</f>
        <v>1.96</v>
      </c>
      <c r="H909" s="13" t="n">
        <f aca="false">MIN(G909,D909)</f>
        <v>1.96</v>
      </c>
      <c r="I909" s="13" t="n">
        <f aca="false">IFERROR(MIN(F909*Eingaben!$B$19,MAX(0,D909-H909)),0)</f>
        <v>2.111508</v>
      </c>
      <c r="J909" s="13" t="n">
        <f aca="false">IFERROR(MIN(Eingaben!$B$18,MAX(0,F909-I909)),0)</f>
        <v>0.904932</v>
      </c>
      <c r="K909" s="13" t="n">
        <f aca="false">H909+I909</f>
        <v>4.071508</v>
      </c>
      <c r="L909" s="13" t="n">
        <f aca="false">MAX(0,D909-K909)</f>
        <v>1.362492</v>
      </c>
      <c r="M909" s="13" t="n">
        <f aca="false">MAX(0,F909-I909-J909)</f>
        <v>0</v>
      </c>
      <c r="N909" s="13" t="n">
        <f aca="false">IF(Kalender!A177="",0,J908-H909)</f>
        <v>0.04</v>
      </c>
    </row>
    <row r="910" customFormat="false" ht="16.4" hidden="false" customHeight="false" outlineLevel="0" collapsed="false">
      <c r="A910" s="13" t="str">
        <f aca="false">""</f>
        <v/>
      </c>
      <c r="B910" s="13" t="n">
        <f aca="false">174</f>
        <v>174</v>
      </c>
      <c r="C910" s="13" t="n">
        <f aca="false">IF(Szenarien!$H$10="OK",(IFERROR(SUMIF(Nutzungsprofile!$B$6:$B$11,"Schulbetrieb",Nutzungsprofile!$G$6:$G$11)*Kalender!C178/SUM(Kalender!$C$5:$C$370),0)+IFERROR(SUMIF(Nutzungsprofile!$B$6:$B$11,"Halle",Nutzungsprofile!$G$6:$G$11)*Kalender!D178/SUM(Kalender!$D$5:$D$370),0)+IFERROR(SUMIF(Nutzungsprofile!$B$6:$B$11,"Individuell",Nutzungsprofile!$G$6:$G$11)*Kalender!E178/SUM(Kalender!$E$5:$E$370),0))*Szenarien!$E$10,0)</f>
        <v>3.528</v>
      </c>
      <c r="D910" s="13" t="n">
        <f aca="false">IF(Szenarien!$H$10="OK",(IFERROR(SUMIF(Nutzungsprofile!$B$17:$B$22,"Schulbetrieb",Nutzungsprofile!$G$17:$G$22)*Kalender!C178/SUM(Kalender!$C$5:$C$370),0)+IFERROR(SUMIF(Nutzungsprofile!$B$17:$B$22,"Halle",Nutzungsprofile!$G$17:$G$22)*Kalender!D178/SUM(Kalender!$D$5:$D$370),0)+IFERROR(SUMIF(Nutzungsprofile!$B$17:$B$22,"Individuell",Nutzungsprofile!$G$17:$G$22)*Kalender!E178/SUM(Kalender!$E$5:$E$370),0))*Szenarien!$D$10,0)</f>
        <v>5.434</v>
      </c>
      <c r="E910" s="13" t="n">
        <f aca="false">IFERROR(MIN(C910,Eingaben!$B$17)*Eingaben!$B$16,0)</f>
        <v>3.3516</v>
      </c>
      <c r="F910" s="13" t="n">
        <f aca="false">IFERROR(E910*Eingaben!$B$15,0)</f>
        <v>3.01644</v>
      </c>
      <c r="G910" s="13" t="n">
        <f aca="false">IFERROR(IF(Kalender!A178="",0,J909*(1-Eingaben!$B$20)),0)</f>
        <v>0.88683336</v>
      </c>
      <c r="H910" s="13" t="n">
        <f aca="false">MIN(G910,D910)</f>
        <v>0.88683336</v>
      </c>
      <c r="I910" s="13" t="n">
        <f aca="false">IFERROR(MIN(F910*Eingaben!$B$19,MAX(0,D910-H910)),0)</f>
        <v>2.111508</v>
      </c>
      <c r="J910" s="13" t="n">
        <f aca="false">IFERROR(MIN(Eingaben!$B$18,MAX(0,F910-I910)),0)</f>
        <v>0.904932</v>
      </c>
      <c r="K910" s="13" t="n">
        <f aca="false">H910+I910</f>
        <v>2.99834136</v>
      </c>
      <c r="L910" s="13" t="n">
        <f aca="false">MAX(0,D910-K910)</f>
        <v>2.43565864</v>
      </c>
      <c r="M910" s="13" t="n">
        <f aca="false">MAX(0,F910-I910-J910)</f>
        <v>0</v>
      </c>
      <c r="N910" s="13" t="n">
        <f aca="false">IF(Kalender!A178="",0,J909-H910)</f>
        <v>0.0180986400000001</v>
      </c>
    </row>
    <row r="911" customFormat="false" ht="16.4" hidden="false" customHeight="false" outlineLevel="0" collapsed="false">
      <c r="A911" s="13" t="str">
        <f aca="false">""</f>
        <v/>
      </c>
      <c r="B911" s="13" t="n">
        <f aca="false">175</f>
        <v>175</v>
      </c>
      <c r="C911" s="13" t="n">
        <f aca="false">IF(Szenarien!$H$10="OK",(IFERROR(SUMIF(Nutzungsprofile!$B$6:$B$11,"Schulbetrieb",Nutzungsprofile!$G$6:$G$11)*Kalender!C179/SUM(Kalender!$C$5:$C$370),0)+IFERROR(SUMIF(Nutzungsprofile!$B$6:$B$11,"Halle",Nutzungsprofile!$G$6:$G$11)*Kalender!D179/SUM(Kalender!$D$5:$D$370),0)+IFERROR(SUMIF(Nutzungsprofile!$B$6:$B$11,"Individuell",Nutzungsprofile!$G$6:$G$11)*Kalender!E179/SUM(Kalender!$E$5:$E$370),0))*Szenarien!$E$10,0)</f>
        <v>3.528</v>
      </c>
      <c r="D911" s="13" t="n">
        <f aca="false">IF(Szenarien!$H$10="OK",(IFERROR(SUMIF(Nutzungsprofile!$B$17:$B$22,"Schulbetrieb",Nutzungsprofile!$G$17:$G$22)*Kalender!C179/SUM(Kalender!$C$5:$C$370),0)+IFERROR(SUMIF(Nutzungsprofile!$B$17:$B$22,"Halle",Nutzungsprofile!$G$17:$G$22)*Kalender!D179/SUM(Kalender!$D$5:$D$370),0)+IFERROR(SUMIF(Nutzungsprofile!$B$17:$B$22,"Individuell",Nutzungsprofile!$G$17:$G$22)*Kalender!E179/SUM(Kalender!$E$5:$E$370),0))*Szenarien!$D$10,0)</f>
        <v>5.434</v>
      </c>
      <c r="E911" s="13" t="n">
        <f aca="false">IFERROR(MIN(C911,Eingaben!$B$17)*Eingaben!$B$16,0)</f>
        <v>3.3516</v>
      </c>
      <c r="F911" s="13" t="n">
        <f aca="false">IFERROR(E911*Eingaben!$B$15,0)</f>
        <v>3.01644</v>
      </c>
      <c r="G911" s="13" t="n">
        <f aca="false">IFERROR(IF(Kalender!A179="",0,J910*(1-Eingaben!$B$20)),0)</f>
        <v>0.88683336</v>
      </c>
      <c r="H911" s="13" t="n">
        <f aca="false">MIN(G911,D911)</f>
        <v>0.88683336</v>
      </c>
      <c r="I911" s="13" t="n">
        <f aca="false">IFERROR(MIN(F911*Eingaben!$B$19,MAX(0,D911-H911)),0)</f>
        <v>2.111508</v>
      </c>
      <c r="J911" s="13" t="n">
        <f aca="false">IFERROR(MIN(Eingaben!$B$18,MAX(0,F911-I911)),0)</f>
        <v>0.904932</v>
      </c>
      <c r="K911" s="13" t="n">
        <f aca="false">H911+I911</f>
        <v>2.99834136</v>
      </c>
      <c r="L911" s="13" t="n">
        <f aca="false">MAX(0,D911-K911)</f>
        <v>2.43565864</v>
      </c>
      <c r="M911" s="13" t="n">
        <f aca="false">MAX(0,F911-I911-J911)</f>
        <v>0</v>
      </c>
      <c r="N911" s="13" t="n">
        <f aca="false">IF(Kalender!A179="",0,J910-H911)</f>
        <v>0.0180986400000001</v>
      </c>
    </row>
    <row r="912" customFormat="false" ht="16.4" hidden="false" customHeight="false" outlineLevel="0" collapsed="false">
      <c r="A912" s="13" t="str">
        <f aca="false">""</f>
        <v/>
      </c>
      <c r="B912" s="13" t="n">
        <f aca="false">176</f>
        <v>176</v>
      </c>
      <c r="C912" s="13" t="n">
        <f aca="false">IF(Szenarien!$H$10="OK",(IFERROR(SUMIF(Nutzungsprofile!$B$6:$B$11,"Schulbetrieb",Nutzungsprofile!$G$6:$G$11)*Kalender!C180/SUM(Kalender!$C$5:$C$370),0)+IFERROR(SUMIF(Nutzungsprofile!$B$6:$B$11,"Halle",Nutzungsprofile!$G$6:$G$11)*Kalender!D180/SUM(Kalender!$D$5:$D$370),0)+IFERROR(SUMIF(Nutzungsprofile!$B$6:$B$11,"Individuell",Nutzungsprofile!$G$6:$G$11)*Kalender!E180/SUM(Kalender!$E$5:$E$370),0))*Szenarien!$E$10,0)</f>
        <v>3.528</v>
      </c>
      <c r="D912" s="13" t="n">
        <f aca="false">IF(Szenarien!$H$10="OK",(IFERROR(SUMIF(Nutzungsprofile!$B$17:$B$22,"Schulbetrieb",Nutzungsprofile!$G$17:$G$22)*Kalender!C180/SUM(Kalender!$C$5:$C$370),0)+IFERROR(SUMIF(Nutzungsprofile!$B$17:$B$22,"Halle",Nutzungsprofile!$G$17:$G$22)*Kalender!D180/SUM(Kalender!$D$5:$D$370),0)+IFERROR(SUMIF(Nutzungsprofile!$B$17:$B$22,"Individuell",Nutzungsprofile!$G$17:$G$22)*Kalender!E180/SUM(Kalender!$E$5:$E$370),0))*Szenarien!$D$10,0)</f>
        <v>5.434</v>
      </c>
      <c r="E912" s="13" t="n">
        <f aca="false">IFERROR(MIN(C912,Eingaben!$B$17)*Eingaben!$B$16,0)</f>
        <v>3.3516</v>
      </c>
      <c r="F912" s="13" t="n">
        <f aca="false">IFERROR(E912*Eingaben!$B$15,0)</f>
        <v>3.01644</v>
      </c>
      <c r="G912" s="13" t="n">
        <f aca="false">IFERROR(IF(Kalender!A180="",0,J911*(1-Eingaben!$B$20)),0)</f>
        <v>0.88683336</v>
      </c>
      <c r="H912" s="13" t="n">
        <f aca="false">MIN(G912,D912)</f>
        <v>0.88683336</v>
      </c>
      <c r="I912" s="13" t="n">
        <f aca="false">IFERROR(MIN(F912*Eingaben!$B$19,MAX(0,D912-H912)),0)</f>
        <v>2.111508</v>
      </c>
      <c r="J912" s="13" t="n">
        <f aca="false">IFERROR(MIN(Eingaben!$B$18,MAX(0,F912-I912)),0)</f>
        <v>0.904932</v>
      </c>
      <c r="K912" s="13" t="n">
        <f aca="false">H912+I912</f>
        <v>2.99834136</v>
      </c>
      <c r="L912" s="13" t="n">
        <f aca="false">MAX(0,D912-K912)</f>
        <v>2.43565864</v>
      </c>
      <c r="M912" s="13" t="n">
        <f aca="false">MAX(0,F912-I912-J912)</f>
        <v>0</v>
      </c>
      <c r="N912" s="13" t="n">
        <f aca="false">IF(Kalender!A180="",0,J911-H912)</f>
        <v>0.0180986400000001</v>
      </c>
    </row>
    <row r="913" customFormat="false" ht="16.4" hidden="false" customHeight="false" outlineLevel="0" collapsed="false">
      <c r="A913" s="13" t="str">
        <f aca="false">""</f>
        <v/>
      </c>
      <c r="B913" s="13" t="n">
        <f aca="false">177</f>
        <v>177</v>
      </c>
      <c r="C913" s="13" t="n">
        <f aca="false">IF(Szenarien!$H$10="OK",(IFERROR(SUMIF(Nutzungsprofile!$B$6:$B$11,"Schulbetrieb",Nutzungsprofile!$G$6:$G$11)*Kalender!C181/SUM(Kalender!$C$5:$C$370),0)+IFERROR(SUMIF(Nutzungsprofile!$B$6:$B$11,"Halle",Nutzungsprofile!$G$6:$G$11)*Kalender!D181/SUM(Kalender!$D$5:$D$370),0)+IFERROR(SUMIF(Nutzungsprofile!$B$6:$B$11,"Individuell",Nutzungsprofile!$G$6:$G$11)*Kalender!E181/SUM(Kalender!$E$5:$E$370),0))*Szenarien!$E$10,0)</f>
        <v>3.528</v>
      </c>
      <c r="D913" s="13" t="n">
        <f aca="false">IF(Szenarien!$H$10="OK",(IFERROR(SUMIF(Nutzungsprofile!$B$17:$B$22,"Schulbetrieb",Nutzungsprofile!$G$17:$G$22)*Kalender!C181/SUM(Kalender!$C$5:$C$370),0)+IFERROR(SUMIF(Nutzungsprofile!$B$17:$B$22,"Halle",Nutzungsprofile!$G$17:$G$22)*Kalender!D181/SUM(Kalender!$D$5:$D$370),0)+IFERROR(SUMIF(Nutzungsprofile!$B$17:$B$22,"Individuell",Nutzungsprofile!$G$17:$G$22)*Kalender!E181/SUM(Kalender!$E$5:$E$370),0))*Szenarien!$D$10,0)</f>
        <v>5.434</v>
      </c>
      <c r="E913" s="13" t="n">
        <f aca="false">IFERROR(MIN(C913,Eingaben!$B$17)*Eingaben!$B$16,0)</f>
        <v>3.3516</v>
      </c>
      <c r="F913" s="13" t="n">
        <f aca="false">IFERROR(E913*Eingaben!$B$15,0)</f>
        <v>3.01644</v>
      </c>
      <c r="G913" s="13" t="n">
        <f aca="false">IFERROR(IF(Kalender!A181="",0,J912*(1-Eingaben!$B$20)),0)</f>
        <v>0.88683336</v>
      </c>
      <c r="H913" s="13" t="n">
        <f aca="false">MIN(G913,D913)</f>
        <v>0.88683336</v>
      </c>
      <c r="I913" s="13" t="n">
        <f aca="false">IFERROR(MIN(F913*Eingaben!$B$19,MAX(0,D913-H913)),0)</f>
        <v>2.111508</v>
      </c>
      <c r="J913" s="13" t="n">
        <f aca="false">IFERROR(MIN(Eingaben!$B$18,MAX(0,F913-I913)),0)</f>
        <v>0.904932</v>
      </c>
      <c r="K913" s="13" t="n">
        <f aca="false">H913+I913</f>
        <v>2.99834136</v>
      </c>
      <c r="L913" s="13" t="n">
        <f aca="false">MAX(0,D913-K913)</f>
        <v>2.43565864</v>
      </c>
      <c r="M913" s="13" t="n">
        <f aca="false">MAX(0,F913-I913-J913)</f>
        <v>0</v>
      </c>
      <c r="N913" s="13" t="n">
        <f aca="false">IF(Kalender!A181="",0,J912-H913)</f>
        <v>0.0180986400000001</v>
      </c>
    </row>
    <row r="914" customFormat="false" ht="16.4" hidden="false" customHeight="false" outlineLevel="0" collapsed="false">
      <c r="A914" s="13" t="str">
        <f aca="false">""</f>
        <v/>
      </c>
      <c r="B914" s="13" t="n">
        <f aca="false">178</f>
        <v>178</v>
      </c>
      <c r="C914" s="13" t="n">
        <f aca="false">IF(Szenarien!$H$10="OK",(IFERROR(SUMIF(Nutzungsprofile!$B$6:$B$11,"Schulbetrieb",Nutzungsprofile!$G$6:$G$11)*Kalender!C182/SUM(Kalender!$C$5:$C$370),0)+IFERROR(SUMIF(Nutzungsprofile!$B$6:$B$11,"Halle",Nutzungsprofile!$G$6:$G$11)*Kalender!D182/SUM(Kalender!$D$5:$D$370),0)+IFERROR(SUMIF(Nutzungsprofile!$B$6:$B$11,"Individuell",Nutzungsprofile!$G$6:$G$11)*Kalender!E182/SUM(Kalender!$E$5:$E$370),0))*Szenarien!$E$10,0)</f>
        <v>2.448</v>
      </c>
      <c r="D914" s="13" t="n">
        <f aca="false">IF(Szenarien!$H$10="OK",(IFERROR(SUMIF(Nutzungsprofile!$B$17:$B$22,"Schulbetrieb",Nutzungsprofile!$G$17:$G$22)*Kalender!C182/SUM(Kalender!$C$5:$C$370),0)+IFERROR(SUMIF(Nutzungsprofile!$B$17:$B$22,"Halle",Nutzungsprofile!$G$17:$G$22)*Kalender!D182/SUM(Kalender!$D$5:$D$370),0)+IFERROR(SUMIF(Nutzungsprofile!$B$17:$B$22,"Individuell",Nutzungsprofile!$G$17:$G$22)*Kalender!E182/SUM(Kalender!$E$5:$E$370),0))*Szenarien!$D$10,0)</f>
        <v>0.979</v>
      </c>
      <c r="E914" s="13" t="n">
        <f aca="false">IFERROR(MIN(C914,Eingaben!$B$17)*Eingaben!$B$16,0)</f>
        <v>2.3256</v>
      </c>
      <c r="F914" s="13" t="n">
        <f aca="false">IFERROR(E914*Eingaben!$B$15,0)</f>
        <v>2.09304</v>
      </c>
      <c r="G914" s="13" t="n">
        <f aca="false">IFERROR(IF(Kalender!A182="",0,J913*(1-Eingaben!$B$20)),0)</f>
        <v>0.88683336</v>
      </c>
      <c r="H914" s="13" t="n">
        <f aca="false">MIN(G914,D914)</f>
        <v>0.88683336</v>
      </c>
      <c r="I914" s="13" t="n">
        <f aca="false">IFERROR(MIN(F914*Eingaben!$B$19,MAX(0,D914-H914)),0)</f>
        <v>0.0921666400000001</v>
      </c>
      <c r="J914" s="13" t="n">
        <f aca="false">IFERROR(MIN(Eingaben!$B$18,MAX(0,F914-I914)),0)</f>
        <v>2</v>
      </c>
      <c r="K914" s="13" t="n">
        <f aca="false">H914+I914</f>
        <v>0.979</v>
      </c>
      <c r="L914" s="13" t="n">
        <f aca="false">MAX(0,D914-K914)</f>
        <v>0</v>
      </c>
      <c r="M914" s="13" t="n">
        <f aca="false">MAX(0,F914-I914-J914)</f>
        <v>0.000873359999999934</v>
      </c>
      <c r="N914" s="13" t="n">
        <f aca="false">IF(Kalender!A182="",0,J913-H914)</f>
        <v>0.0180986400000001</v>
      </c>
    </row>
    <row r="915" customFormat="false" ht="16.4" hidden="false" customHeight="false" outlineLevel="0" collapsed="false">
      <c r="A915" s="13" t="str">
        <f aca="false">""</f>
        <v/>
      </c>
      <c r="B915" s="13" t="n">
        <f aca="false">179</f>
        <v>179</v>
      </c>
      <c r="C915" s="13" t="n">
        <f aca="false">IF(Szenarien!$H$10="OK",(IFERROR(SUMIF(Nutzungsprofile!$B$6:$B$11,"Schulbetrieb",Nutzungsprofile!$G$6:$G$11)*Kalender!C183/SUM(Kalender!$C$5:$C$370),0)+IFERROR(SUMIF(Nutzungsprofile!$B$6:$B$11,"Halle",Nutzungsprofile!$G$6:$G$11)*Kalender!D183/SUM(Kalender!$D$5:$D$370),0)+IFERROR(SUMIF(Nutzungsprofile!$B$6:$B$11,"Individuell",Nutzungsprofile!$G$6:$G$11)*Kalender!E183/SUM(Kalender!$E$5:$E$370),0))*Szenarien!$E$10,0)</f>
        <v>2.448</v>
      </c>
      <c r="D915" s="13" t="n">
        <f aca="false">IF(Szenarien!$H$10="OK",(IFERROR(SUMIF(Nutzungsprofile!$B$17:$B$22,"Schulbetrieb",Nutzungsprofile!$G$17:$G$22)*Kalender!C183/SUM(Kalender!$C$5:$C$370),0)+IFERROR(SUMIF(Nutzungsprofile!$B$17:$B$22,"Halle",Nutzungsprofile!$G$17:$G$22)*Kalender!D183/SUM(Kalender!$D$5:$D$370),0)+IFERROR(SUMIF(Nutzungsprofile!$B$17:$B$22,"Individuell",Nutzungsprofile!$G$17:$G$22)*Kalender!E183/SUM(Kalender!$E$5:$E$370),0))*Szenarien!$D$10,0)</f>
        <v>0.979</v>
      </c>
      <c r="E915" s="13" t="n">
        <f aca="false">IFERROR(MIN(C915,Eingaben!$B$17)*Eingaben!$B$16,0)</f>
        <v>2.3256</v>
      </c>
      <c r="F915" s="13" t="n">
        <f aca="false">IFERROR(E915*Eingaben!$B$15,0)</f>
        <v>2.09304</v>
      </c>
      <c r="G915" s="13" t="n">
        <f aca="false">IFERROR(IF(Kalender!A183="",0,J914*(1-Eingaben!$B$20)),0)</f>
        <v>1.96</v>
      </c>
      <c r="H915" s="13" t="n">
        <f aca="false">MIN(G915,D915)</f>
        <v>0.979</v>
      </c>
      <c r="I915" s="13" t="n">
        <f aca="false">IFERROR(MIN(F915*Eingaben!$B$19,MAX(0,D915-H915)),0)</f>
        <v>0</v>
      </c>
      <c r="J915" s="13" t="n">
        <f aca="false">IFERROR(MIN(Eingaben!$B$18,MAX(0,F915-I915)),0)</f>
        <v>2</v>
      </c>
      <c r="K915" s="13" t="n">
        <f aca="false">H915+I915</f>
        <v>0.979</v>
      </c>
      <c r="L915" s="13" t="n">
        <f aca="false">MAX(0,D915-K915)</f>
        <v>0</v>
      </c>
      <c r="M915" s="13" t="n">
        <f aca="false">MAX(0,F915-I915-J915)</f>
        <v>0.0930399999999998</v>
      </c>
      <c r="N915" s="13" t="n">
        <f aca="false">IF(Kalender!A183="",0,J914-H915)</f>
        <v>1.021</v>
      </c>
    </row>
    <row r="916" customFormat="false" ht="16.4" hidden="false" customHeight="false" outlineLevel="0" collapsed="false">
      <c r="A916" s="13" t="str">
        <f aca="false">""</f>
        <v/>
      </c>
      <c r="B916" s="13" t="n">
        <f aca="false">180</f>
        <v>180</v>
      </c>
      <c r="C916" s="13" t="n">
        <f aca="false">IF(Szenarien!$H$10="OK",(IFERROR(SUMIF(Nutzungsprofile!$B$6:$B$11,"Schulbetrieb",Nutzungsprofile!$G$6:$G$11)*Kalender!C184/SUM(Kalender!$C$5:$C$370),0)+IFERROR(SUMIF(Nutzungsprofile!$B$6:$B$11,"Halle",Nutzungsprofile!$G$6:$G$11)*Kalender!D184/SUM(Kalender!$D$5:$D$370),0)+IFERROR(SUMIF(Nutzungsprofile!$B$6:$B$11,"Individuell",Nutzungsprofile!$G$6:$G$11)*Kalender!E184/SUM(Kalender!$E$5:$E$370),0))*Szenarien!$E$10,0)</f>
        <v>3.528</v>
      </c>
      <c r="D916" s="13" t="n">
        <f aca="false">IF(Szenarien!$H$10="OK",(IFERROR(SUMIF(Nutzungsprofile!$B$17:$B$22,"Schulbetrieb",Nutzungsprofile!$G$17:$G$22)*Kalender!C184/SUM(Kalender!$C$5:$C$370),0)+IFERROR(SUMIF(Nutzungsprofile!$B$17:$B$22,"Halle",Nutzungsprofile!$G$17:$G$22)*Kalender!D184/SUM(Kalender!$D$5:$D$370),0)+IFERROR(SUMIF(Nutzungsprofile!$B$17:$B$22,"Individuell",Nutzungsprofile!$G$17:$G$22)*Kalender!E184/SUM(Kalender!$E$5:$E$370),0))*Szenarien!$D$10,0)</f>
        <v>5.434</v>
      </c>
      <c r="E916" s="13" t="n">
        <f aca="false">IFERROR(MIN(C916,Eingaben!$B$17)*Eingaben!$B$16,0)</f>
        <v>3.3516</v>
      </c>
      <c r="F916" s="13" t="n">
        <f aca="false">IFERROR(E916*Eingaben!$B$15,0)</f>
        <v>3.01644</v>
      </c>
      <c r="G916" s="13" t="n">
        <f aca="false">IFERROR(IF(Kalender!A184="",0,J915*(1-Eingaben!$B$20)),0)</f>
        <v>1.96</v>
      </c>
      <c r="H916" s="13" t="n">
        <f aca="false">MIN(G916,D916)</f>
        <v>1.96</v>
      </c>
      <c r="I916" s="13" t="n">
        <f aca="false">IFERROR(MIN(F916*Eingaben!$B$19,MAX(0,D916-H916)),0)</f>
        <v>2.111508</v>
      </c>
      <c r="J916" s="13" t="n">
        <f aca="false">IFERROR(MIN(Eingaben!$B$18,MAX(0,F916-I916)),0)</f>
        <v>0.904932</v>
      </c>
      <c r="K916" s="13" t="n">
        <f aca="false">H916+I916</f>
        <v>4.071508</v>
      </c>
      <c r="L916" s="13" t="n">
        <f aca="false">MAX(0,D916-K916)</f>
        <v>1.362492</v>
      </c>
      <c r="M916" s="13" t="n">
        <f aca="false">MAX(0,F916-I916-J916)</f>
        <v>0</v>
      </c>
      <c r="N916" s="13" t="n">
        <f aca="false">IF(Kalender!A184="",0,J915-H916)</f>
        <v>0.04</v>
      </c>
    </row>
    <row r="917" customFormat="false" ht="16.4" hidden="false" customHeight="false" outlineLevel="0" collapsed="false">
      <c r="A917" s="13" t="str">
        <f aca="false">""</f>
        <v/>
      </c>
      <c r="B917" s="13" t="n">
        <f aca="false">181</f>
        <v>181</v>
      </c>
      <c r="C917" s="13" t="n">
        <f aca="false">IF(Szenarien!$H$10="OK",(IFERROR(SUMIF(Nutzungsprofile!$B$6:$B$11,"Schulbetrieb",Nutzungsprofile!$G$6:$G$11)*Kalender!C185/SUM(Kalender!$C$5:$C$370),0)+IFERROR(SUMIF(Nutzungsprofile!$B$6:$B$11,"Halle",Nutzungsprofile!$G$6:$G$11)*Kalender!D185/SUM(Kalender!$D$5:$D$370),0)+IFERROR(SUMIF(Nutzungsprofile!$B$6:$B$11,"Individuell",Nutzungsprofile!$G$6:$G$11)*Kalender!E185/SUM(Kalender!$E$5:$E$370),0))*Szenarien!$E$10,0)</f>
        <v>3.528</v>
      </c>
      <c r="D917" s="13" t="n">
        <f aca="false">IF(Szenarien!$H$10="OK",(IFERROR(SUMIF(Nutzungsprofile!$B$17:$B$22,"Schulbetrieb",Nutzungsprofile!$G$17:$G$22)*Kalender!C185/SUM(Kalender!$C$5:$C$370),0)+IFERROR(SUMIF(Nutzungsprofile!$B$17:$B$22,"Halle",Nutzungsprofile!$G$17:$G$22)*Kalender!D185/SUM(Kalender!$D$5:$D$370),0)+IFERROR(SUMIF(Nutzungsprofile!$B$17:$B$22,"Individuell",Nutzungsprofile!$G$17:$G$22)*Kalender!E185/SUM(Kalender!$E$5:$E$370),0))*Szenarien!$D$10,0)</f>
        <v>5.434</v>
      </c>
      <c r="E917" s="13" t="n">
        <f aca="false">IFERROR(MIN(C917,Eingaben!$B$17)*Eingaben!$B$16,0)</f>
        <v>3.3516</v>
      </c>
      <c r="F917" s="13" t="n">
        <f aca="false">IFERROR(E917*Eingaben!$B$15,0)</f>
        <v>3.01644</v>
      </c>
      <c r="G917" s="13" t="n">
        <f aca="false">IFERROR(IF(Kalender!A185="",0,J916*(1-Eingaben!$B$20)),0)</f>
        <v>0.88683336</v>
      </c>
      <c r="H917" s="13" t="n">
        <f aca="false">MIN(G917,D917)</f>
        <v>0.88683336</v>
      </c>
      <c r="I917" s="13" t="n">
        <f aca="false">IFERROR(MIN(F917*Eingaben!$B$19,MAX(0,D917-H917)),0)</f>
        <v>2.111508</v>
      </c>
      <c r="J917" s="13" t="n">
        <f aca="false">IFERROR(MIN(Eingaben!$B$18,MAX(0,F917-I917)),0)</f>
        <v>0.904932</v>
      </c>
      <c r="K917" s="13" t="n">
        <f aca="false">H917+I917</f>
        <v>2.99834136</v>
      </c>
      <c r="L917" s="13" t="n">
        <f aca="false">MAX(0,D917-K917)</f>
        <v>2.43565864</v>
      </c>
      <c r="M917" s="13" t="n">
        <f aca="false">MAX(0,F917-I917-J917)</f>
        <v>0</v>
      </c>
      <c r="N917" s="13" t="n">
        <f aca="false">IF(Kalender!A185="",0,J916-H917)</f>
        <v>0.0180986400000001</v>
      </c>
    </row>
    <row r="918" customFormat="false" ht="16.4" hidden="false" customHeight="false" outlineLevel="0" collapsed="false">
      <c r="A918" s="13" t="str">
        <f aca="false">""</f>
        <v/>
      </c>
      <c r="B918" s="13" t="n">
        <f aca="false">182</f>
        <v>182</v>
      </c>
      <c r="C918" s="13" t="n">
        <f aca="false">IF(Szenarien!$H$10="OK",(IFERROR(SUMIF(Nutzungsprofile!$B$6:$B$11,"Schulbetrieb",Nutzungsprofile!$G$6:$G$11)*Kalender!C186/SUM(Kalender!$C$5:$C$370),0)+IFERROR(SUMIF(Nutzungsprofile!$B$6:$B$11,"Halle",Nutzungsprofile!$G$6:$G$11)*Kalender!D186/SUM(Kalender!$D$5:$D$370),0)+IFERROR(SUMIF(Nutzungsprofile!$B$6:$B$11,"Individuell",Nutzungsprofile!$G$6:$G$11)*Kalender!E186/SUM(Kalender!$E$5:$E$370),0))*Szenarien!$E$10,0)</f>
        <v>2.448</v>
      </c>
      <c r="D918" s="13" t="n">
        <f aca="false">IF(Szenarien!$H$10="OK",(IFERROR(SUMIF(Nutzungsprofile!$B$17:$B$22,"Schulbetrieb",Nutzungsprofile!$G$17:$G$22)*Kalender!C186/SUM(Kalender!$C$5:$C$370),0)+IFERROR(SUMIF(Nutzungsprofile!$B$17:$B$22,"Halle",Nutzungsprofile!$G$17:$G$22)*Kalender!D186/SUM(Kalender!$D$5:$D$370),0)+IFERROR(SUMIF(Nutzungsprofile!$B$17:$B$22,"Individuell",Nutzungsprofile!$G$17:$G$22)*Kalender!E186/SUM(Kalender!$E$5:$E$370),0))*Szenarien!$D$10,0)</f>
        <v>0.979</v>
      </c>
      <c r="E918" s="13" t="n">
        <f aca="false">IFERROR(MIN(C918,Eingaben!$B$17)*Eingaben!$B$16,0)</f>
        <v>2.3256</v>
      </c>
      <c r="F918" s="13" t="n">
        <f aca="false">IFERROR(E918*Eingaben!$B$15,0)</f>
        <v>2.09304</v>
      </c>
      <c r="G918" s="13" t="n">
        <f aca="false">IFERROR(IF(Kalender!A186="",0,J917*(1-Eingaben!$B$20)),0)</f>
        <v>0.88683336</v>
      </c>
      <c r="H918" s="13" t="n">
        <f aca="false">MIN(G918,D918)</f>
        <v>0.88683336</v>
      </c>
      <c r="I918" s="13" t="n">
        <f aca="false">IFERROR(MIN(F918*Eingaben!$B$19,MAX(0,D918-H918)),0)</f>
        <v>0.0921666400000001</v>
      </c>
      <c r="J918" s="13" t="n">
        <f aca="false">IFERROR(MIN(Eingaben!$B$18,MAX(0,F918-I918)),0)</f>
        <v>2</v>
      </c>
      <c r="K918" s="13" t="n">
        <f aca="false">H918+I918</f>
        <v>0.979</v>
      </c>
      <c r="L918" s="13" t="n">
        <f aca="false">MAX(0,D918-K918)</f>
        <v>0</v>
      </c>
      <c r="M918" s="13" t="n">
        <f aca="false">MAX(0,F918-I918-J918)</f>
        <v>0.000873359999999934</v>
      </c>
      <c r="N918" s="13" t="n">
        <f aca="false">IF(Kalender!A186="",0,J917-H918)</f>
        <v>0.0180986400000001</v>
      </c>
    </row>
    <row r="919" customFormat="false" ht="16.4" hidden="false" customHeight="false" outlineLevel="0" collapsed="false">
      <c r="A919" s="13" t="str">
        <f aca="false">""</f>
        <v/>
      </c>
      <c r="B919" s="13" t="n">
        <f aca="false">183</f>
        <v>183</v>
      </c>
      <c r="C919" s="13" t="n">
        <f aca="false">IF(Szenarien!$H$10="OK",(IFERROR(SUMIF(Nutzungsprofile!$B$6:$B$11,"Schulbetrieb",Nutzungsprofile!$G$6:$G$11)*Kalender!C187/SUM(Kalender!$C$5:$C$370),0)+IFERROR(SUMIF(Nutzungsprofile!$B$6:$B$11,"Halle",Nutzungsprofile!$G$6:$G$11)*Kalender!D187/SUM(Kalender!$D$5:$D$370),0)+IFERROR(SUMIF(Nutzungsprofile!$B$6:$B$11,"Individuell",Nutzungsprofile!$G$6:$G$11)*Kalender!E187/SUM(Kalender!$E$5:$E$370),0))*Szenarien!$E$10,0)</f>
        <v>2.448</v>
      </c>
      <c r="D919" s="13" t="n">
        <f aca="false">IF(Szenarien!$H$10="OK",(IFERROR(SUMIF(Nutzungsprofile!$B$17:$B$22,"Schulbetrieb",Nutzungsprofile!$G$17:$G$22)*Kalender!C187/SUM(Kalender!$C$5:$C$370),0)+IFERROR(SUMIF(Nutzungsprofile!$B$17:$B$22,"Halle",Nutzungsprofile!$G$17:$G$22)*Kalender!D187/SUM(Kalender!$D$5:$D$370),0)+IFERROR(SUMIF(Nutzungsprofile!$B$17:$B$22,"Individuell",Nutzungsprofile!$G$17:$G$22)*Kalender!E187/SUM(Kalender!$E$5:$E$370),0))*Szenarien!$D$10,0)</f>
        <v>0.979</v>
      </c>
      <c r="E919" s="13" t="n">
        <f aca="false">IFERROR(MIN(C919,Eingaben!$B$17)*Eingaben!$B$16,0)</f>
        <v>2.3256</v>
      </c>
      <c r="F919" s="13" t="n">
        <f aca="false">IFERROR(E919*Eingaben!$B$15,0)</f>
        <v>2.09304</v>
      </c>
      <c r="G919" s="13" t="n">
        <f aca="false">IFERROR(IF(Kalender!A187="",0,J918*(1-Eingaben!$B$20)),0)</f>
        <v>1.96</v>
      </c>
      <c r="H919" s="13" t="n">
        <f aca="false">MIN(G919,D919)</f>
        <v>0.979</v>
      </c>
      <c r="I919" s="13" t="n">
        <f aca="false">IFERROR(MIN(F919*Eingaben!$B$19,MAX(0,D919-H919)),0)</f>
        <v>0</v>
      </c>
      <c r="J919" s="13" t="n">
        <f aca="false">IFERROR(MIN(Eingaben!$B$18,MAX(0,F919-I919)),0)</f>
        <v>2</v>
      </c>
      <c r="K919" s="13" t="n">
        <f aca="false">H919+I919</f>
        <v>0.979</v>
      </c>
      <c r="L919" s="13" t="n">
        <f aca="false">MAX(0,D919-K919)</f>
        <v>0</v>
      </c>
      <c r="M919" s="13" t="n">
        <f aca="false">MAX(0,F919-I919-J919)</f>
        <v>0.0930399999999998</v>
      </c>
      <c r="N919" s="13" t="n">
        <f aca="false">IF(Kalender!A187="",0,J918-H919)</f>
        <v>1.021</v>
      </c>
    </row>
    <row r="920" customFormat="false" ht="16.4" hidden="false" customHeight="false" outlineLevel="0" collapsed="false">
      <c r="A920" s="13" t="str">
        <f aca="false">""</f>
        <v/>
      </c>
      <c r="B920" s="13" t="n">
        <f aca="false">184</f>
        <v>184</v>
      </c>
      <c r="C920" s="13" t="n">
        <f aca="false">IF(Szenarien!$H$10="OK",(IFERROR(SUMIF(Nutzungsprofile!$B$6:$B$11,"Schulbetrieb",Nutzungsprofile!$G$6:$G$11)*Kalender!C188/SUM(Kalender!$C$5:$C$370),0)+IFERROR(SUMIF(Nutzungsprofile!$B$6:$B$11,"Halle",Nutzungsprofile!$G$6:$G$11)*Kalender!D188/SUM(Kalender!$D$5:$D$370),0)+IFERROR(SUMIF(Nutzungsprofile!$B$6:$B$11,"Individuell",Nutzungsprofile!$G$6:$G$11)*Kalender!E188/SUM(Kalender!$E$5:$E$370),0))*Szenarien!$E$10,0)</f>
        <v>2.448</v>
      </c>
      <c r="D920" s="13" t="n">
        <f aca="false">IF(Szenarien!$H$10="OK",(IFERROR(SUMIF(Nutzungsprofile!$B$17:$B$22,"Schulbetrieb",Nutzungsprofile!$G$17:$G$22)*Kalender!C188/SUM(Kalender!$C$5:$C$370),0)+IFERROR(SUMIF(Nutzungsprofile!$B$17:$B$22,"Halle",Nutzungsprofile!$G$17:$G$22)*Kalender!D188/SUM(Kalender!$D$5:$D$370),0)+IFERROR(SUMIF(Nutzungsprofile!$B$17:$B$22,"Individuell",Nutzungsprofile!$G$17:$G$22)*Kalender!E188/SUM(Kalender!$E$5:$E$370),0))*Szenarien!$D$10,0)</f>
        <v>0.979</v>
      </c>
      <c r="E920" s="13" t="n">
        <f aca="false">IFERROR(MIN(C920,Eingaben!$B$17)*Eingaben!$B$16,0)</f>
        <v>2.3256</v>
      </c>
      <c r="F920" s="13" t="n">
        <f aca="false">IFERROR(E920*Eingaben!$B$15,0)</f>
        <v>2.09304</v>
      </c>
      <c r="G920" s="13" t="n">
        <f aca="false">IFERROR(IF(Kalender!A188="",0,J919*(1-Eingaben!$B$20)),0)</f>
        <v>1.96</v>
      </c>
      <c r="H920" s="13" t="n">
        <f aca="false">MIN(G920,D920)</f>
        <v>0.979</v>
      </c>
      <c r="I920" s="13" t="n">
        <f aca="false">IFERROR(MIN(F920*Eingaben!$B$19,MAX(0,D920-H920)),0)</f>
        <v>0</v>
      </c>
      <c r="J920" s="13" t="n">
        <f aca="false">IFERROR(MIN(Eingaben!$B$18,MAX(0,F920-I920)),0)</f>
        <v>2</v>
      </c>
      <c r="K920" s="13" t="n">
        <f aca="false">H920+I920</f>
        <v>0.979</v>
      </c>
      <c r="L920" s="13" t="n">
        <f aca="false">MAX(0,D920-K920)</f>
        <v>0</v>
      </c>
      <c r="M920" s="13" t="n">
        <f aca="false">MAX(0,F920-I920-J920)</f>
        <v>0.0930399999999998</v>
      </c>
      <c r="N920" s="13" t="n">
        <f aca="false">IF(Kalender!A188="",0,J919-H920)</f>
        <v>1.021</v>
      </c>
    </row>
    <row r="921" customFormat="false" ht="16.4" hidden="false" customHeight="false" outlineLevel="0" collapsed="false">
      <c r="A921" s="13" t="str">
        <f aca="false">""</f>
        <v/>
      </c>
      <c r="B921" s="13" t="n">
        <f aca="false">185</f>
        <v>185</v>
      </c>
      <c r="C921" s="13" t="n">
        <f aca="false">IF(Szenarien!$H$10="OK",(IFERROR(SUMIF(Nutzungsprofile!$B$6:$B$11,"Schulbetrieb",Nutzungsprofile!$G$6:$G$11)*Kalender!C189/SUM(Kalender!$C$5:$C$370),0)+IFERROR(SUMIF(Nutzungsprofile!$B$6:$B$11,"Halle",Nutzungsprofile!$G$6:$G$11)*Kalender!D189/SUM(Kalender!$D$5:$D$370),0)+IFERROR(SUMIF(Nutzungsprofile!$B$6:$B$11,"Individuell",Nutzungsprofile!$G$6:$G$11)*Kalender!E189/SUM(Kalender!$E$5:$E$370),0))*Szenarien!$E$10,0)</f>
        <v>2.448</v>
      </c>
      <c r="D921" s="13" t="n">
        <f aca="false">IF(Szenarien!$H$10="OK",(IFERROR(SUMIF(Nutzungsprofile!$B$17:$B$22,"Schulbetrieb",Nutzungsprofile!$G$17:$G$22)*Kalender!C189/SUM(Kalender!$C$5:$C$370),0)+IFERROR(SUMIF(Nutzungsprofile!$B$17:$B$22,"Halle",Nutzungsprofile!$G$17:$G$22)*Kalender!D189/SUM(Kalender!$D$5:$D$370),0)+IFERROR(SUMIF(Nutzungsprofile!$B$17:$B$22,"Individuell",Nutzungsprofile!$G$17:$G$22)*Kalender!E189/SUM(Kalender!$E$5:$E$370),0))*Szenarien!$D$10,0)</f>
        <v>0.979</v>
      </c>
      <c r="E921" s="13" t="n">
        <f aca="false">IFERROR(MIN(C921,Eingaben!$B$17)*Eingaben!$B$16,0)</f>
        <v>2.3256</v>
      </c>
      <c r="F921" s="13" t="n">
        <f aca="false">IFERROR(E921*Eingaben!$B$15,0)</f>
        <v>2.09304</v>
      </c>
      <c r="G921" s="13" t="n">
        <f aca="false">IFERROR(IF(Kalender!A189="",0,J920*(1-Eingaben!$B$20)),0)</f>
        <v>1.96</v>
      </c>
      <c r="H921" s="13" t="n">
        <f aca="false">MIN(G921,D921)</f>
        <v>0.979</v>
      </c>
      <c r="I921" s="13" t="n">
        <f aca="false">IFERROR(MIN(F921*Eingaben!$B$19,MAX(0,D921-H921)),0)</f>
        <v>0</v>
      </c>
      <c r="J921" s="13" t="n">
        <f aca="false">IFERROR(MIN(Eingaben!$B$18,MAX(0,F921-I921)),0)</f>
        <v>2</v>
      </c>
      <c r="K921" s="13" t="n">
        <f aca="false">H921+I921</f>
        <v>0.979</v>
      </c>
      <c r="L921" s="13" t="n">
        <f aca="false">MAX(0,D921-K921)</f>
        <v>0</v>
      </c>
      <c r="M921" s="13" t="n">
        <f aca="false">MAX(0,F921-I921-J921)</f>
        <v>0.0930399999999998</v>
      </c>
      <c r="N921" s="13" t="n">
        <f aca="false">IF(Kalender!A189="",0,J920-H921)</f>
        <v>1.021</v>
      </c>
    </row>
    <row r="922" customFormat="false" ht="16.4" hidden="false" customHeight="false" outlineLevel="0" collapsed="false">
      <c r="A922" s="13" t="str">
        <f aca="false">""</f>
        <v/>
      </c>
      <c r="B922" s="13" t="n">
        <f aca="false">186</f>
        <v>186</v>
      </c>
      <c r="C922" s="13" t="n">
        <f aca="false">IF(Szenarien!$H$10="OK",(IFERROR(SUMIF(Nutzungsprofile!$B$6:$B$11,"Schulbetrieb",Nutzungsprofile!$G$6:$G$11)*Kalender!C190/SUM(Kalender!$C$5:$C$370),0)+IFERROR(SUMIF(Nutzungsprofile!$B$6:$B$11,"Halle",Nutzungsprofile!$G$6:$G$11)*Kalender!D190/SUM(Kalender!$D$5:$D$370),0)+IFERROR(SUMIF(Nutzungsprofile!$B$6:$B$11,"Individuell",Nutzungsprofile!$G$6:$G$11)*Kalender!E190/SUM(Kalender!$E$5:$E$370),0))*Szenarien!$E$10,0)</f>
        <v>2.448</v>
      </c>
      <c r="D922" s="13" t="n">
        <f aca="false">IF(Szenarien!$H$10="OK",(IFERROR(SUMIF(Nutzungsprofile!$B$17:$B$22,"Schulbetrieb",Nutzungsprofile!$G$17:$G$22)*Kalender!C190/SUM(Kalender!$C$5:$C$370),0)+IFERROR(SUMIF(Nutzungsprofile!$B$17:$B$22,"Halle",Nutzungsprofile!$G$17:$G$22)*Kalender!D190/SUM(Kalender!$D$5:$D$370),0)+IFERROR(SUMIF(Nutzungsprofile!$B$17:$B$22,"Individuell",Nutzungsprofile!$G$17:$G$22)*Kalender!E190/SUM(Kalender!$E$5:$E$370),0))*Szenarien!$D$10,0)</f>
        <v>0.979</v>
      </c>
      <c r="E922" s="13" t="n">
        <f aca="false">IFERROR(MIN(C922,Eingaben!$B$17)*Eingaben!$B$16,0)</f>
        <v>2.3256</v>
      </c>
      <c r="F922" s="13" t="n">
        <f aca="false">IFERROR(E922*Eingaben!$B$15,0)</f>
        <v>2.09304</v>
      </c>
      <c r="G922" s="13" t="n">
        <f aca="false">IFERROR(IF(Kalender!A190="",0,J921*(1-Eingaben!$B$20)),0)</f>
        <v>1.96</v>
      </c>
      <c r="H922" s="13" t="n">
        <f aca="false">MIN(G922,D922)</f>
        <v>0.979</v>
      </c>
      <c r="I922" s="13" t="n">
        <f aca="false">IFERROR(MIN(F922*Eingaben!$B$19,MAX(0,D922-H922)),0)</f>
        <v>0</v>
      </c>
      <c r="J922" s="13" t="n">
        <f aca="false">IFERROR(MIN(Eingaben!$B$18,MAX(0,F922-I922)),0)</f>
        <v>2</v>
      </c>
      <c r="K922" s="13" t="n">
        <f aca="false">H922+I922</f>
        <v>0.979</v>
      </c>
      <c r="L922" s="13" t="n">
        <f aca="false">MAX(0,D922-K922)</f>
        <v>0</v>
      </c>
      <c r="M922" s="13" t="n">
        <f aca="false">MAX(0,F922-I922-J922)</f>
        <v>0.0930399999999998</v>
      </c>
      <c r="N922" s="13" t="n">
        <f aca="false">IF(Kalender!A190="",0,J921-H922)</f>
        <v>1.021</v>
      </c>
    </row>
    <row r="923" customFormat="false" ht="16.4" hidden="false" customHeight="false" outlineLevel="0" collapsed="false">
      <c r="A923" s="13" t="str">
        <f aca="false">""</f>
        <v/>
      </c>
      <c r="B923" s="13" t="n">
        <f aca="false">187</f>
        <v>187</v>
      </c>
      <c r="C923" s="13" t="n">
        <f aca="false">IF(Szenarien!$H$10="OK",(IFERROR(SUMIF(Nutzungsprofile!$B$6:$B$11,"Schulbetrieb",Nutzungsprofile!$G$6:$G$11)*Kalender!C191/SUM(Kalender!$C$5:$C$370),0)+IFERROR(SUMIF(Nutzungsprofile!$B$6:$B$11,"Halle",Nutzungsprofile!$G$6:$G$11)*Kalender!D191/SUM(Kalender!$D$5:$D$370),0)+IFERROR(SUMIF(Nutzungsprofile!$B$6:$B$11,"Individuell",Nutzungsprofile!$G$6:$G$11)*Kalender!E191/SUM(Kalender!$E$5:$E$370),0))*Szenarien!$E$10,0)</f>
        <v>2.448</v>
      </c>
      <c r="D923" s="13" t="n">
        <f aca="false">IF(Szenarien!$H$10="OK",(IFERROR(SUMIF(Nutzungsprofile!$B$17:$B$22,"Schulbetrieb",Nutzungsprofile!$G$17:$G$22)*Kalender!C191/SUM(Kalender!$C$5:$C$370),0)+IFERROR(SUMIF(Nutzungsprofile!$B$17:$B$22,"Halle",Nutzungsprofile!$G$17:$G$22)*Kalender!D191/SUM(Kalender!$D$5:$D$370),0)+IFERROR(SUMIF(Nutzungsprofile!$B$17:$B$22,"Individuell",Nutzungsprofile!$G$17:$G$22)*Kalender!E191/SUM(Kalender!$E$5:$E$370),0))*Szenarien!$D$10,0)</f>
        <v>0.979</v>
      </c>
      <c r="E923" s="13" t="n">
        <f aca="false">IFERROR(MIN(C923,Eingaben!$B$17)*Eingaben!$B$16,0)</f>
        <v>2.3256</v>
      </c>
      <c r="F923" s="13" t="n">
        <f aca="false">IFERROR(E923*Eingaben!$B$15,0)</f>
        <v>2.09304</v>
      </c>
      <c r="G923" s="13" t="n">
        <f aca="false">IFERROR(IF(Kalender!A191="",0,J922*(1-Eingaben!$B$20)),0)</f>
        <v>1.96</v>
      </c>
      <c r="H923" s="13" t="n">
        <f aca="false">MIN(G923,D923)</f>
        <v>0.979</v>
      </c>
      <c r="I923" s="13" t="n">
        <f aca="false">IFERROR(MIN(F923*Eingaben!$B$19,MAX(0,D923-H923)),0)</f>
        <v>0</v>
      </c>
      <c r="J923" s="13" t="n">
        <f aca="false">IFERROR(MIN(Eingaben!$B$18,MAX(0,F923-I923)),0)</f>
        <v>2</v>
      </c>
      <c r="K923" s="13" t="n">
        <f aca="false">H923+I923</f>
        <v>0.979</v>
      </c>
      <c r="L923" s="13" t="n">
        <f aca="false">MAX(0,D923-K923)</f>
        <v>0</v>
      </c>
      <c r="M923" s="13" t="n">
        <f aca="false">MAX(0,F923-I923-J923)</f>
        <v>0.0930399999999998</v>
      </c>
      <c r="N923" s="13" t="n">
        <f aca="false">IF(Kalender!A191="",0,J922-H923)</f>
        <v>1.021</v>
      </c>
    </row>
    <row r="924" customFormat="false" ht="16.4" hidden="false" customHeight="false" outlineLevel="0" collapsed="false">
      <c r="A924" s="13" t="str">
        <f aca="false">""</f>
        <v/>
      </c>
      <c r="B924" s="13" t="n">
        <f aca="false">188</f>
        <v>188</v>
      </c>
      <c r="C924" s="13" t="n">
        <f aca="false">IF(Szenarien!$H$10="OK",(IFERROR(SUMIF(Nutzungsprofile!$B$6:$B$11,"Schulbetrieb",Nutzungsprofile!$G$6:$G$11)*Kalender!C192/SUM(Kalender!$C$5:$C$370),0)+IFERROR(SUMIF(Nutzungsprofile!$B$6:$B$11,"Halle",Nutzungsprofile!$G$6:$G$11)*Kalender!D192/SUM(Kalender!$D$5:$D$370),0)+IFERROR(SUMIF(Nutzungsprofile!$B$6:$B$11,"Individuell",Nutzungsprofile!$G$6:$G$11)*Kalender!E192/SUM(Kalender!$E$5:$E$370),0))*Szenarien!$E$10,0)</f>
        <v>2.448</v>
      </c>
      <c r="D924" s="13" t="n">
        <f aca="false">IF(Szenarien!$H$10="OK",(IFERROR(SUMIF(Nutzungsprofile!$B$17:$B$22,"Schulbetrieb",Nutzungsprofile!$G$17:$G$22)*Kalender!C192/SUM(Kalender!$C$5:$C$370),0)+IFERROR(SUMIF(Nutzungsprofile!$B$17:$B$22,"Halle",Nutzungsprofile!$G$17:$G$22)*Kalender!D192/SUM(Kalender!$D$5:$D$370),0)+IFERROR(SUMIF(Nutzungsprofile!$B$17:$B$22,"Individuell",Nutzungsprofile!$G$17:$G$22)*Kalender!E192/SUM(Kalender!$E$5:$E$370),0))*Szenarien!$D$10,0)</f>
        <v>0.979</v>
      </c>
      <c r="E924" s="13" t="n">
        <f aca="false">IFERROR(MIN(C924,Eingaben!$B$17)*Eingaben!$B$16,0)</f>
        <v>2.3256</v>
      </c>
      <c r="F924" s="13" t="n">
        <f aca="false">IFERROR(E924*Eingaben!$B$15,0)</f>
        <v>2.09304</v>
      </c>
      <c r="G924" s="13" t="n">
        <f aca="false">IFERROR(IF(Kalender!A192="",0,J923*(1-Eingaben!$B$20)),0)</f>
        <v>1.96</v>
      </c>
      <c r="H924" s="13" t="n">
        <f aca="false">MIN(G924,D924)</f>
        <v>0.979</v>
      </c>
      <c r="I924" s="13" t="n">
        <f aca="false">IFERROR(MIN(F924*Eingaben!$B$19,MAX(0,D924-H924)),0)</f>
        <v>0</v>
      </c>
      <c r="J924" s="13" t="n">
        <f aca="false">IFERROR(MIN(Eingaben!$B$18,MAX(0,F924-I924)),0)</f>
        <v>2</v>
      </c>
      <c r="K924" s="13" t="n">
        <f aca="false">H924+I924</f>
        <v>0.979</v>
      </c>
      <c r="L924" s="13" t="n">
        <f aca="false">MAX(0,D924-K924)</f>
        <v>0</v>
      </c>
      <c r="M924" s="13" t="n">
        <f aca="false">MAX(0,F924-I924-J924)</f>
        <v>0.0930399999999998</v>
      </c>
      <c r="N924" s="13" t="n">
        <f aca="false">IF(Kalender!A192="",0,J923-H924)</f>
        <v>1.021</v>
      </c>
    </row>
    <row r="925" customFormat="false" ht="16.4" hidden="false" customHeight="false" outlineLevel="0" collapsed="false">
      <c r="A925" s="13" t="str">
        <f aca="false">""</f>
        <v/>
      </c>
      <c r="B925" s="13" t="n">
        <f aca="false">189</f>
        <v>189</v>
      </c>
      <c r="C925" s="13" t="n">
        <f aca="false">IF(Szenarien!$H$10="OK",(IFERROR(SUMIF(Nutzungsprofile!$B$6:$B$11,"Schulbetrieb",Nutzungsprofile!$G$6:$G$11)*Kalender!C193/SUM(Kalender!$C$5:$C$370),0)+IFERROR(SUMIF(Nutzungsprofile!$B$6:$B$11,"Halle",Nutzungsprofile!$G$6:$G$11)*Kalender!D193/SUM(Kalender!$D$5:$D$370),0)+IFERROR(SUMIF(Nutzungsprofile!$B$6:$B$11,"Individuell",Nutzungsprofile!$G$6:$G$11)*Kalender!E193/SUM(Kalender!$E$5:$E$370),0))*Szenarien!$E$10,0)</f>
        <v>2.448</v>
      </c>
      <c r="D925" s="13" t="n">
        <f aca="false">IF(Szenarien!$H$10="OK",(IFERROR(SUMIF(Nutzungsprofile!$B$17:$B$22,"Schulbetrieb",Nutzungsprofile!$G$17:$G$22)*Kalender!C193/SUM(Kalender!$C$5:$C$370),0)+IFERROR(SUMIF(Nutzungsprofile!$B$17:$B$22,"Halle",Nutzungsprofile!$G$17:$G$22)*Kalender!D193/SUM(Kalender!$D$5:$D$370),0)+IFERROR(SUMIF(Nutzungsprofile!$B$17:$B$22,"Individuell",Nutzungsprofile!$G$17:$G$22)*Kalender!E193/SUM(Kalender!$E$5:$E$370),0))*Szenarien!$D$10,0)</f>
        <v>0.979</v>
      </c>
      <c r="E925" s="13" t="n">
        <f aca="false">IFERROR(MIN(C925,Eingaben!$B$17)*Eingaben!$B$16,0)</f>
        <v>2.3256</v>
      </c>
      <c r="F925" s="13" t="n">
        <f aca="false">IFERROR(E925*Eingaben!$B$15,0)</f>
        <v>2.09304</v>
      </c>
      <c r="G925" s="13" t="n">
        <f aca="false">IFERROR(IF(Kalender!A193="",0,J924*(1-Eingaben!$B$20)),0)</f>
        <v>1.96</v>
      </c>
      <c r="H925" s="13" t="n">
        <f aca="false">MIN(G925,D925)</f>
        <v>0.979</v>
      </c>
      <c r="I925" s="13" t="n">
        <f aca="false">IFERROR(MIN(F925*Eingaben!$B$19,MAX(0,D925-H925)),0)</f>
        <v>0</v>
      </c>
      <c r="J925" s="13" t="n">
        <f aca="false">IFERROR(MIN(Eingaben!$B$18,MAX(0,F925-I925)),0)</f>
        <v>2</v>
      </c>
      <c r="K925" s="13" t="n">
        <f aca="false">H925+I925</f>
        <v>0.979</v>
      </c>
      <c r="L925" s="13" t="n">
        <f aca="false">MAX(0,D925-K925)</f>
        <v>0</v>
      </c>
      <c r="M925" s="13" t="n">
        <f aca="false">MAX(0,F925-I925-J925)</f>
        <v>0.0930399999999998</v>
      </c>
      <c r="N925" s="13" t="n">
        <f aca="false">IF(Kalender!A193="",0,J924-H925)</f>
        <v>1.021</v>
      </c>
    </row>
    <row r="926" customFormat="false" ht="16.4" hidden="false" customHeight="false" outlineLevel="0" collapsed="false">
      <c r="A926" s="13" t="str">
        <f aca="false">""</f>
        <v/>
      </c>
      <c r="B926" s="13" t="n">
        <f aca="false">190</f>
        <v>190</v>
      </c>
      <c r="C926" s="13" t="n">
        <f aca="false">IF(Szenarien!$H$10="OK",(IFERROR(SUMIF(Nutzungsprofile!$B$6:$B$11,"Schulbetrieb",Nutzungsprofile!$G$6:$G$11)*Kalender!C194/SUM(Kalender!$C$5:$C$370),0)+IFERROR(SUMIF(Nutzungsprofile!$B$6:$B$11,"Halle",Nutzungsprofile!$G$6:$G$11)*Kalender!D194/SUM(Kalender!$D$5:$D$370),0)+IFERROR(SUMIF(Nutzungsprofile!$B$6:$B$11,"Individuell",Nutzungsprofile!$G$6:$G$11)*Kalender!E194/SUM(Kalender!$E$5:$E$370),0))*Szenarien!$E$10,0)</f>
        <v>2.448</v>
      </c>
      <c r="D926" s="13" t="n">
        <f aca="false">IF(Szenarien!$H$10="OK",(IFERROR(SUMIF(Nutzungsprofile!$B$17:$B$22,"Schulbetrieb",Nutzungsprofile!$G$17:$G$22)*Kalender!C194/SUM(Kalender!$C$5:$C$370),0)+IFERROR(SUMIF(Nutzungsprofile!$B$17:$B$22,"Halle",Nutzungsprofile!$G$17:$G$22)*Kalender!D194/SUM(Kalender!$D$5:$D$370),0)+IFERROR(SUMIF(Nutzungsprofile!$B$17:$B$22,"Individuell",Nutzungsprofile!$G$17:$G$22)*Kalender!E194/SUM(Kalender!$E$5:$E$370),0))*Szenarien!$D$10,0)</f>
        <v>0.979</v>
      </c>
      <c r="E926" s="13" t="n">
        <f aca="false">IFERROR(MIN(C926,Eingaben!$B$17)*Eingaben!$B$16,0)</f>
        <v>2.3256</v>
      </c>
      <c r="F926" s="13" t="n">
        <f aca="false">IFERROR(E926*Eingaben!$B$15,0)</f>
        <v>2.09304</v>
      </c>
      <c r="G926" s="13" t="n">
        <f aca="false">IFERROR(IF(Kalender!A194="",0,J925*(1-Eingaben!$B$20)),0)</f>
        <v>1.96</v>
      </c>
      <c r="H926" s="13" t="n">
        <f aca="false">MIN(G926,D926)</f>
        <v>0.979</v>
      </c>
      <c r="I926" s="13" t="n">
        <f aca="false">IFERROR(MIN(F926*Eingaben!$B$19,MAX(0,D926-H926)),0)</f>
        <v>0</v>
      </c>
      <c r="J926" s="13" t="n">
        <f aca="false">IFERROR(MIN(Eingaben!$B$18,MAX(0,F926-I926)),0)</f>
        <v>2</v>
      </c>
      <c r="K926" s="13" t="n">
        <f aca="false">H926+I926</f>
        <v>0.979</v>
      </c>
      <c r="L926" s="13" t="n">
        <f aca="false">MAX(0,D926-K926)</f>
        <v>0</v>
      </c>
      <c r="M926" s="13" t="n">
        <f aca="false">MAX(0,F926-I926-J926)</f>
        <v>0.0930399999999998</v>
      </c>
      <c r="N926" s="13" t="n">
        <f aca="false">IF(Kalender!A194="",0,J925-H926)</f>
        <v>1.021</v>
      </c>
    </row>
    <row r="927" customFormat="false" ht="16.4" hidden="false" customHeight="false" outlineLevel="0" collapsed="false">
      <c r="A927" s="13" t="str">
        <f aca="false">""</f>
        <v/>
      </c>
      <c r="B927" s="13" t="n">
        <f aca="false">191</f>
        <v>191</v>
      </c>
      <c r="C927" s="13" t="n">
        <f aca="false">IF(Szenarien!$H$10="OK",(IFERROR(SUMIF(Nutzungsprofile!$B$6:$B$11,"Schulbetrieb",Nutzungsprofile!$G$6:$G$11)*Kalender!C195/SUM(Kalender!$C$5:$C$370),0)+IFERROR(SUMIF(Nutzungsprofile!$B$6:$B$11,"Halle",Nutzungsprofile!$G$6:$G$11)*Kalender!D195/SUM(Kalender!$D$5:$D$370),0)+IFERROR(SUMIF(Nutzungsprofile!$B$6:$B$11,"Individuell",Nutzungsprofile!$G$6:$G$11)*Kalender!E195/SUM(Kalender!$E$5:$E$370),0))*Szenarien!$E$10,0)</f>
        <v>2.448</v>
      </c>
      <c r="D927" s="13" t="n">
        <f aca="false">IF(Szenarien!$H$10="OK",(IFERROR(SUMIF(Nutzungsprofile!$B$17:$B$22,"Schulbetrieb",Nutzungsprofile!$G$17:$G$22)*Kalender!C195/SUM(Kalender!$C$5:$C$370),0)+IFERROR(SUMIF(Nutzungsprofile!$B$17:$B$22,"Halle",Nutzungsprofile!$G$17:$G$22)*Kalender!D195/SUM(Kalender!$D$5:$D$370),0)+IFERROR(SUMIF(Nutzungsprofile!$B$17:$B$22,"Individuell",Nutzungsprofile!$G$17:$G$22)*Kalender!E195/SUM(Kalender!$E$5:$E$370),0))*Szenarien!$D$10,0)</f>
        <v>0.979</v>
      </c>
      <c r="E927" s="13" t="n">
        <f aca="false">IFERROR(MIN(C927,Eingaben!$B$17)*Eingaben!$B$16,0)</f>
        <v>2.3256</v>
      </c>
      <c r="F927" s="13" t="n">
        <f aca="false">IFERROR(E927*Eingaben!$B$15,0)</f>
        <v>2.09304</v>
      </c>
      <c r="G927" s="13" t="n">
        <f aca="false">IFERROR(IF(Kalender!A195="",0,J926*(1-Eingaben!$B$20)),0)</f>
        <v>1.96</v>
      </c>
      <c r="H927" s="13" t="n">
        <f aca="false">MIN(G927,D927)</f>
        <v>0.979</v>
      </c>
      <c r="I927" s="13" t="n">
        <f aca="false">IFERROR(MIN(F927*Eingaben!$B$19,MAX(0,D927-H927)),0)</f>
        <v>0</v>
      </c>
      <c r="J927" s="13" t="n">
        <f aca="false">IFERROR(MIN(Eingaben!$B$18,MAX(0,F927-I927)),0)</f>
        <v>2</v>
      </c>
      <c r="K927" s="13" t="n">
        <f aca="false">H927+I927</f>
        <v>0.979</v>
      </c>
      <c r="L927" s="13" t="n">
        <f aca="false">MAX(0,D927-K927)</f>
        <v>0</v>
      </c>
      <c r="M927" s="13" t="n">
        <f aca="false">MAX(0,F927-I927-J927)</f>
        <v>0.0930399999999998</v>
      </c>
      <c r="N927" s="13" t="n">
        <f aca="false">IF(Kalender!A195="",0,J926-H927)</f>
        <v>1.021</v>
      </c>
    </row>
    <row r="928" customFormat="false" ht="16.4" hidden="false" customHeight="false" outlineLevel="0" collapsed="false">
      <c r="A928" s="13" t="str">
        <f aca="false">""</f>
        <v/>
      </c>
      <c r="B928" s="13" t="n">
        <f aca="false">192</f>
        <v>192</v>
      </c>
      <c r="C928" s="13" t="n">
        <f aca="false">IF(Szenarien!$H$10="OK",(IFERROR(SUMIF(Nutzungsprofile!$B$6:$B$11,"Schulbetrieb",Nutzungsprofile!$G$6:$G$11)*Kalender!C196/SUM(Kalender!$C$5:$C$370),0)+IFERROR(SUMIF(Nutzungsprofile!$B$6:$B$11,"Halle",Nutzungsprofile!$G$6:$G$11)*Kalender!D196/SUM(Kalender!$D$5:$D$370),0)+IFERROR(SUMIF(Nutzungsprofile!$B$6:$B$11,"Individuell",Nutzungsprofile!$G$6:$G$11)*Kalender!E196/SUM(Kalender!$E$5:$E$370),0))*Szenarien!$E$10,0)</f>
        <v>2.448</v>
      </c>
      <c r="D928" s="13" t="n">
        <f aca="false">IF(Szenarien!$H$10="OK",(IFERROR(SUMIF(Nutzungsprofile!$B$17:$B$22,"Schulbetrieb",Nutzungsprofile!$G$17:$G$22)*Kalender!C196/SUM(Kalender!$C$5:$C$370),0)+IFERROR(SUMIF(Nutzungsprofile!$B$17:$B$22,"Halle",Nutzungsprofile!$G$17:$G$22)*Kalender!D196/SUM(Kalender!$D$5:$D$370),0)+IFERROR(SUMIF(Nutzungsprofile!$B$17:$B$22,"Individuell",Nutzungsprofile!$G$17:$G$22)*Kalender!E196/SUM(Kalender!$E$5:$E$370),0))*Szenarien!$D$10,0)</f>
        <v>0.979</v>
      </c>
      <c r="E928" s="13" t="n">
        <f aca="false">IFERROR(MIN(C928,Eingaben!$B$17)*Eingaben!$B$16,0)</f>
        <v>2.3256</v>
      </c>
      <c r="F928" s="13" t="n">
        <f aca="false">IFERROR(E928*Eingaben!$B$15,0)</f>
        <v>2.09304</v>
      </c>
      <c r="G928" s="13" t="n">
        <f aca="false">IFERROR(IF(Kalender!A196="",0,J927*(1-Eingaben!$B$20)),0)</f>
        <v>1.96</v>
      </c>
      <c r="H928" s="13" t="n">
        <f aca="false">MIN(G928,D928)</f>
        <v>0.979</v>
      </c>
      <c r="I928" s="13" t="n">
        <f aca="false">IFERROR(MIN(F928*Eingaben!$B$19,MAX(0,D928-H928)),0)</f>
        <v>0</v>
      </c>
      <c r="J928" s="13" t="n">
        <f aca="false">IFERROR(MIN(Eingaben!$B$18,MAX(0,F928-I928)),0)</f>
        <v>2</v>
      </c>
      <c r="K928" s="13" t="n">
        <f aca="false">H928+I928</f>
        <v>0.979</v>
      </c>
      <c r="L928" s="13" t="n">
        <f aca="false">MAX(0,D928-K928)</f>
        <v>0</v>
      </c>
      <c r="M928" s="13" t="n">
        <f aca="false">MAX(0,F928-I928-J928)</f>
        <v>0.0930399999999998</v>
      </c>
      <c r="N928" s="13" t="n">
        <f aca="false">IF(Kalender!A196="",0,J927-H928)</f>
        <v>1.021</v>
      </c>
    </row>
    <row r="929" customFormat="false" ht="16.4" hidden="false" customHeight="false" outlineLevel="0" collapsed="false">
      <c r="A929" s="13" t="str">
        <f aca="false">""</f>
        <v/>
      </c>
      <c r="B929" s="13" t="n">
        <f aca="false">193</f>
        <v>193</v>
      </c>
      <c r="C929" s="13" t="n">
        <f aca="false">IF(Szenarien!$H$10="OK",(IFERROR(SUMIF(Nutzungsprofile!$B$6:$B$11,"Schulbetrieb",Nutzungsprofile!$G$6:$G$11)*Kalender!C197/SUM(Kalender!$C$5:$C$370),0)+IFERROR(SUMIF(Nutzungsprofile!$B$6:$B$11,"Halle",Nutzungsprofile!$G$6:$G$11)*Kalender!D197/SUM(Kalender!$D$5:$D$370),0)+IFERROR(SUMIF(Nutzungsprofile!$B$6:$B$11,"Individuell",Nutzungsprofile!$G$6:$G$11)*Kalender!E197/SUM(Kalender!$E$5:$E$370),0))*Szenarien!$E$10,0)</f>
        <v>2.448</v>
      </c>
      <c r="D929" s="13" t="n">
        <f aca="false">IF(Szenarien!$H$10="OK",(IFERROR(SUMIF(Nutzungsprofile!$B$17:$B$22,"Schulbetrieb",Nutzungsprofile!$G$17:$G$22)*Kalender!C197/SUM(Kalender!$C$5:$C$370),0)+IFERROR(SUMIF(Nutzungsprofile!$B$17:$B$22,"Halle",Nutzungsprofile!$G$17:$G$22)*Kalender!D197/SUM(Kalender!$D$5:$D$370),0)+IFERROR(SUMIF(Nutzungsprofile!$B$17:$B$22,"Individuell",Nutzungsprofile!$G$17:$G$22)*Kalender!E197/SUM(Kalender!$E$5:$E$370),0))*Szenarien!$D$10,0)</f>
        <v>0.979</v>
      </c>
      <c r="E929" s="13" t="n">
        <f aca="false">IFERROR(MIN(C929,Eingaben!$B$17)*Eingaben!$B$16,0)</f>
        <v>2.3256</v>
      </c>
      <c r="F929" s="13" t="n">
        <f aca="false">IFERROR(E929*Eingaben!$B$15,0)</f>
        <v>2.09304</v>
      </c>
      <c r="G929" s="13" t="n">
        <f aca="false">IFERROR(IF(Kalender!A197="",0,J928*(1-Eingaben!$B$20)),0)</f>
        <v>1.96</v>
      </c>
      <c r="H929" s="13" t="n">
        <f aca="false">MIN(G929,D929)</f>
        <v>0.979</v>
      </c>
      <c r="I929" s="13" t="n">
        <f aca="false">IFERROR(MIN(F929*Eingaben!$B$19,MAX(0,D929-H929)),0)</f>
        <v>0</v>
      </c>
      <c r="J929" s="13" t="n">
        <f aca="false">IFERROR(MIN(Eingaben!$B$18,MAX(0,F929-I929)),0)</f>
        <v>2</v>
      </c>
      <c r="K929" s="13" t="n">
        <f aca="false">H929+I929</f>
        <v>0.979</v>
      </c>
      <c r="L929" s="13" t="n">
        <f aca="false">MAX(0,D929-K929)</f>
        <v>0</v>
      </c>
      <c r="M929" s="13" t="n">
        <f aca="false">MAX(0,F929-I929-J929)</f>
        <v>0.0930399999999998</v>
      </c>
      <c r="N929" s="13" t="n">
        <f aca="false">IF(Kalender!A197="",0,J928-H929)</f>
        <v>1.021</v>
      </c>
    </row>
    <row r="930" customFormat="false" ht="16.4" hidden="false" customHeight="false" outlineLevel="0" collapsed="false">
      <c r="A930" s="13" t="str">
        <f aca="false">""</f>
        <v/>
      </c>
      <c r="B930" s="13" t="n">
        <f aca="false">194</f>
        <v>194</v>
      </c>
      <c r="C930" s="13" t="n">
        <f aca="false">IF(Szenarien!$H$10="OK",(IFERROR(SUMIF(Nutzungsprofile!$B$6:$B$11,"Schulbetrieb",Nutzungsprofile!$G$6:$G$11)*Kalender!C198/SUM(Kalender!$C$5:$C$370),0)+IFERROR(SUMIF(Nutzungsprofile!$B$6:$B$11,"Halle",Nutzungsprofile!$G$6:$G$11)*Kalender!D198/SUM(Kalender!$D$5:$D$370),0)+IFERROR(SUMIF(Nutzungsprofile!$B$6:$B$11,"Individuell",Nutzungsprofile!$G$6:$G$11)*Kalender!E198/SUM(Kalender!$E$5:$E$370),0))*Szenarien!$E$10,0)</f>
        <v>2.448</v>
      </c>
      <c r="D930" s="13" t="n">
        <f aca="false">IF(Szenarien!$H$10="OK",(IFERROR(SUMIF(Nutzungsprofile!$B$17:$B$22,"Schulbetrieb",Nutzungsprofile!$G$17:$G$22)*Kalender!C198/SUM(Kalender!$C$5:$C$370),0)+IFERROR(SUMIF(Nutzungsprofile!$B$17:$B$22,"Halle",Nutzungsprofile!$G$17:$G$22)*Kalender!D198/SUM(Kalender!$D$5:$D$370),0)+IFERROR(SUMIF(Nutzungsprofile!$B$17:$B$22,"Individuell",Nutzungsprofile!$G$17:$G$22)*Kalender!E198/SUM(Kalender!$E$5:$E$370),0))*Szenarien!$D$10,0)</f>
        <v>0.979</v>
      </c>
      <c r="E930" s="13" t="n">
        <f aca="false">IFERROR(MIN(C930,Eingaben!$B$17)*Eingaben!$B$16,0)</f>
        <v>2.3256</v>
      </c>
      <c r="F930" s="13" t="n">
        <f aca="false">IFERROR(E930*Eingaben!$B$15,0)</f>
        <v>2.09304</v>
      </c>
      <c r="G930" s="13" t="n">
        <f aca="false">IFERROR(IF(Kalender!A198="",0,J929*(1-Eingaben!$B$20)),0)</f>
        <v>1.96</v>
      </c>
      <c r="H930" s="13" t="n">
        <f aca="false">MIN(G930,D930)</f>
        <v>0.979</v>
      </c>
      <c r="I930" s="13" t="n">
        <f aca="false">IFERROR(MIN(F930*Eingaben!$B$19,MAX(0,D930-H930)),0)</f>
        <v>0</v>
      </c>
      <c r="J930" s="13" t="n">
        <f aca="false">IFERROR(MIN(Eingaben!$B$18,MAX(0,F930-I930)),0)</f>
        <v>2</v>
      </c>
      <c r="K930" s="13" t="n">
        <f aca="false">H930+I930</f>
        <v>0.979</v>
      </c>
      <c r="L930" s="13" t="n">
        <f aca="false">MAX(0,D930-K930)</f>
        <v>0</v>
      </c>
      <c r="M930" s="13" t="n">
        <f aca="false">MAX(0,F930-I930-J930)</f>
        <v>0.0930399999999998</v>
      </c>
      <c r="N930" s="13" t="n">
        <f aca="false">IF(Kalender!A198="",0,J929-H930)</f>
        <v>1.021</v>
      </c>
    </row>
    <row r="931" customFormat="false" ht="16.4" hidden="false" customHeight="false" outlineLevel="0" collapsed="false">
      <c r="A931" s="13" t="str">
        <f aca="false">""</f>
        <v/>
      </c>
      <c r="B931" s="13" t="n">
        <f aca="false">195</f>
        <v>195</v>
      </c>
      <c r="C931" s="13" t="n">
        <f aca="false">IF(Szenarien!$H$10="OK",(IFERROR(SUMIF(Nutzungsprofile!$B$6:$B$11,"Schulbetrieb",Nutzungsprofile!$G$6:$G$11)*Kalender!C199/SUM(Kalender!$C$5:$C$370),0)+IFERROR(SUMIF(Nutzungsprofile!$B$6:$B$11,"Halle",Nutzungsprofile!$G$6:$G$11)*Kalender!D199/SUM(Kalender!$D$5:$D$370),0)+IFERROR(SUMIF(Nutzungsprofile!$B$6:$B$11,"Individuell",Nutzungsprofile!$G$6:$G$11)*Kalender!E199/SUM(Kalender!$E$5:$E$370),0))*Szenarien!$E$10,0)</f>
        <v>2.448</v>
      </c>
      <c r="D931" s="13" t="n">
        <f aca="false">IF(Szenarien!$H$10="OK",(IFERROR(SUMIF(Nutzungsprofile!$B$17:$B$22,"Schulbetrieb",Nutzungsprofile!$G$17:$G$22)*Kalender!C199/SUM(Kalender!$C$5:$C$370),0)+IFERROR(SUMIF(Nutzungsprofile!$B$17:$B$22,"Halle",Nutzungsprofile!$G$17:$G$22)*Kalender!D199/SUM(Kalender!$D$5:$D$370),0)+IFERROR(SUMIF(Nutzungsprofile!$B$17:$B$22,"Individuell",Nutzungsprofile!$G$17:$G$22)*Kalender!E199/SUM(Kalender!$E$5:$E$370),0))*Szenarien!$D$10,0)</f>
        <v>0.979</v>
      </c>
      <c r="E931" s="13" t="n">
        <f aca="false">IFERROR(MIN(C931,Eingaben!$B$17)*Eingaben!$B$16,0)</f>
        <v>2.3256</v>
      </c>
      <c r="F931" s="13" t="n">
        <f aca="false">IFERROR(E931*Eingaben!$B$15,0)</f>
        <v>2.09304</v>
      </c>
      <c r="G931" s="13" t="n">
        <f aca="false">IFERROR(IF(Kalender!A199="",0,J930*(1-Eingaben!$B$20)),0)</f>
        <v>1.96</v>
      </c>
      <c r="H931" s="13" t="n">
        <f aca="false">MIN(G931,D931)</f>
        <v>0.979</v>
      </c>
      <c r="I931" s="13" t="n">
        <f aca="false">IFERROR(MIN(F931*Eingaben!$B$19,MAX(0,D931-H931)),0)</f>
        <v>0</v>
      </c>
      <c r="J931" s="13" t="n">
        <f aca="false">IFERROR(MIN(Eingaben!$B$18,MAX(0,F931-I931)),0)</f>
        <v>2</v>
      </c>
      <c r="K931" s="13" t="n">
        <f aca="false">H931+I931</f>
        <v>0.979</v>
      </c>
      <c r="L931" s="13" t="n">
        <f aca="false">MAX(0,D931-K931)</f>
        <v>0</v>
      </c>
      <c r="M931" s="13" t="n">
        <f aca="false">MAX(0,F931-I931-J931)</f>
        <v>0.0930399999999998</v>
      </c>
      <c r="N931" s="13" t="n">
        <f aca="false">IF(Kalender!A199="",0,J930-H931)</f>
        <v>1.021</v>
      </c>
    </row>
    <row r="932" customFormat="false" ht="16.4" hidden="false" customHeight="false" outlineLevel="0" collapsed="false">
      <c r="A932" s="13" t="str">
        <f aca="false">""</f>
        <v/>
      </c>
      <c r="B932" s="13" t="n">
        <f aca="false">196</f>
        <v>196</v>
      </c>
      <c r="C932" s="13" t="n">
        <f aca="false">IF(Szenarien!$H$10="OK",(IFERROR(SUMIF(Nutzungsprofile!$B$6:$B$11,"Schulbetrieb",Nutzungsprofile!$G$6:$G$11)*Kalender!C200/SUM(Kalender!$C$5:$C$370),0)+IFERROR(SUMIF(Nutzungsprofile!$B$6:$B$11,"Halle",Nutzungsprofile!$G$6:$G$11)*Kalender!D200/SUM(Kalender!$D$5:$D$370),0)+IFERROR(SUMIF(Nutzungsprofile!$B$6:$B$11,"Individuell",Nutzungsprofile!$G$6:$G$11)*Kalender!E200/SUM(Kalender!$E$5:$E$370),0))*Szenarien!$E$10,0)</f>
        <v>2.448</v>
      </c>
      <c r="D932" s="13" t="n">
        <f aca="false">IF(Szenarien!$H$10="OK",(IFERROR(SUMIF(Nutzungsprofile!$B$17:$B$22,"Schulbetrieb",Nutzungsprofile!$G$17:$G$22)*Kalender!C200/SUM(Kalender!$C$5:$C$370),0)+IFERROR(SUMIF(Nutzungsprofile!$B$17:$B$22,"Halle",Nutzungsprofile!$G$17:$G$22)*Kalender!D200/SUM(Kalender!$D$5:$D$370),0)+IFERROR(SUMIF(Nutzungsprofile!$B$17:$B$22,"Individuell",Nutzungsprofile!$G$17:$G$22)*Kalender!E200/SUM(Kalender!$E$5:$E$370),0))*Szenarien!$D$10,0)</f>
        <v>0.979</v>
      </c>
      <c r="E932" s="13" t="n">
        <f aca="false">IFERROR(MIN(C932,Eingaben!$B$17)*Eingaben!$B$16,0)</f>
        <v>2.3256</v>
      </c>
      <c r="F932" s="13" t="n">
        <f aca="false">IFERROR(E932*Eingaben!$B$15,0)</f>
        <v>2.09304</v>
      </c>
      <c r="G932" s="13" t="n">
        <f aca="false">IFERROR(IF(Kalender!A200="",0,J931*(1-Eingaben!$B$20)),0)</f>
        <v>1.96</v>
      </c>
      <c r="H932" s="13" t="n">
        <f aca="false">MIN(G932,D932)</f>
        <v>0.979</v>
      </c>
      <c r="I932" s="13" t="n">
        <f aca="false">IFERROR(MIN(F932*Eingaben!$B$19,MAX(0,D932-H932)),0)</f>
        <v>0</v>
      </c>
      <c r="J932" s="13" t="n">
        <f aca="false">IFERROR(MIN(Eingaben!$B$18,MAX(0,F932-I932)),0)</f>
        <v>2</v>
      </c>
      <c r="K932" s="13" t="n">
        <f aca="false">H932+I932</f>
        <v>0.979</v>
      </c>
      <c r="L932" s="13" t="n">
        <f aca="false">MAX(0,D932-K932)</f>
        <v>0</v>
      </c>
      <c r="M932" s="13" t="n">
        <f aca="false">MAX(0,F932-I932-J932)</f>
        <v>0.0930399999999998</v>
      </c>
      <c r="N932" s="13" t="n">
        <f aca="false">IF(Kalender!A200="",0,J931-H932)</f>
        <v>1.021</v>
      </c>
    </row>
    <row r="933" customFormat="false" ht="16.4" hidden="false" customHeight="false" outlineLevel="0" collapsed="false">
      <c r="A933" s="13" t="str">
        <f aca="false">""</f>
        <v/>
      </c>
      <c r="B933" s="13" t="n">
        <f aca="false">197</f>
        <v>197</v>
      </c>
      <c r="C933" s="13" t="n">
        <f aca="false">IF(Szenarien!$H$10="OK",(IFERROR(SUMIF(Nutzungsprofile!$B$6:$B$11,"Schulbetrieb",Nutzungsprofile!$G$6:$G$11)*Kalender!C201/SUM(Kalender!$C$5:$C$370),0)+IFERROR(SUMIF(Nutzungsprofile!$B$6:$B$11,"Halle",Nutzungsprofile!$G$6:$G$11)*Kalender!D201/SUM(Kalender!$D$5:$D$370),0)+IFERROR(SUMIF(Nutzungsprofile!$B$6:$B$11,"Individuell",Nutzungsprofile!$G$6:$G$11)*Kalender!E201/SUM(Kalender!$E$5:$E$370),0))*Szenarien!$E$10,0)</f>
        <v>2.448</v>
      </c>
      <c r="D933" s="13" t="n">
        <f aca="false">IF(Szenarien!$H$10="OK",(IFERROR(SUMIF(Nutzungsprofile!$B$17:$B$22,"Schulbetrieb",Nutzungsprofile!$G$17:$G$22)*Kalender!C201/SUM(Kalender!$C$5:$C$370),0)+IFERROR(SUMIF(Nutzungsprofile!$B$17:$B$22,"Halle",Nutzungsprofile!$G$17:$G$22)*Kalender!D201/SUM(Kalender!$D$5:$D$370),0)+IFERROR(SUMIF(Nutzungsprofile!$B$17:$B$22,"Individuell",Nutzungsprofile!$G$17:$G$22)*Kalender!E201/SUM(Kalender!$E$5:$E$370),0))*Szenarien!$D$10,0)</f>
        <v>0.979</v>
      </c>
      <c r="E933" s="13" t="n">
        <f aca="false">IFERROR(MIN(C933,Eingaben!$B$17)*Eingaben!$B$16,0)</f>
        <v>2.3256</v>
      </c>
      <c r="F933" s="13" t="n">
        <f aca="false">IFERROR(E933*Eingaben!$B$15,0)</f>
        <v>2.09304</v>
      </c>
      <c r="G933" s="13" t="n">
        <f aca="false">IFERROR(IF(Kalender!A201="",0,J932*(1-Eingaben!$B$20)),0)</f>
        <v>1.96</v>
      </c>
      <c r="H933" s="13" t="n">
        <f aca="false">MIN(G933,D933)</f>
        <v>0.979</v>
      </c>
      <c r="I933" s="13" t="n">
        <f aca="false">IFERROR(MIN(F933*Eingaben!$B$19,MAX(0,D933-H933)),0)</f>
        <v>0</v>
      </c>
      <c r="J933" s="13" t="n">
        <f aca="false">IFERROR(MIN(Eingaben!$B$18,MAX(0,F933-I933)),0)</f>
        <v>2</v>
      </c>
      <c r="K933" s="13" t="n">
        <f aca="false">H933+I933</f>
        <v>0.979</v>
      </c>
      <c r="L933" s="13" t="n">
        <f aca="false">MAX(0,D933-K933)</f>
        <v>0</v>
      </c>
      <c r="M933" s="13" t="n">
        <f aca="false">MAX(0,F933-I933-J933)</f>
        <v>0.0930399999999998</v>
      </c>
      <c r="N933" s="13" t="n">
        <f aca="false">IF(Kalender!A201="",0,J932-H933)</f>
        <v>1.021</v>
      </c>
    </row>
    <row r="934" customFormat="false" ht="16.4" hidden="false" customHeight="false" outlineLevel="0" collapsed="false">
      <c r="A934" s="13" t="str">
        <f aca="false">""</f>
        <v/>
      </c>
      <c r="B934" s="13" t="n">
        <f aca="false">198</f>
        <v>198</v>
      </c>
      <c r="C934" s="13" t="n">
        <f aca="false">IF(Szenarien!$H$10="OK",(IFERROR(SUMIF(Nutzungsprofile!$B$6:$B$11,"Schulbetrieb",Nutzungsprofile!$G$6:$G$11)*Kalender!C202/SUM(Kalender!$C$5:$C$370),0)+IFERROR(SUMIF(Nutzungsprofile!$B$6:$B$11,"Halle",Nutzungsprofile!$G$6:$G$11)*Kalender!D202/SUM(Kalender!$D$5:$D$370),0)+IFERROR(SUMIF(Nutzungsprofile!$B$6:$B$11,"Individuell",Nutzungsprofile!$G$6:$G$11)*Kalender!E202/SUM(Kalender!$E$5:$E$370),0))*Szenarien!$E$10,0)</f>
        <v>2.448</v>
      </c>
      <c r="D934" s="13" t="n">
        <f aca="false">IF(Szenarien!$H$10="OK",(IFERROR(SUMIF(Nutzungsprofile!$B$17:$B$22,"Schulbetrieb",Nutzungsprofile!$G$17:$G$22)*Kalender!C202/SUM(Kalender!$C$5:$C$370),0)+IFERROR(SUMIF(Nutzungsprofile!$B$17:$B$22,"Halle",Nutzungsprofile!$G$17:$G$22)*Kalender!D202/SUM(Kalender!$D$5:$D$370),0)+IFERROR(SUMIF(Nutzungsprofile!$B$17:$B$22,"Individuell",Nutzungsprofile!$G$17:$G$22)*Kalender!E202/SUM(Kalender!$E$5:$E$370),0))*Szenarien!$D$10,0)</f>
        <v>0.979</v>
      </c>
      <c r="E934" s="13" t="n">
        <f aca="false">IFERROR(MIN(C934,Eingaben!$B$17)*Eingaben!$B$16,0)</f>
        <v>2.3256</v>
      </c>
      <c r="F934" s="13" t="n">
        <f aca="false">IFERROR(E934*Eingaben!$B$15,0)</f>
        <v>2.09304</v>
      </c>
      <c r="G934" s="13" t="n">
        <f aca="false">IFERROR(IF(Kalender!A202="",0,J933*(1-Eingaben!$B$20)),0)</f>
        <v>1.96</v>
      </c>
      <c r="H934" s="13" t="n">
        <f aca="false">MIN(G934,D934)</f>
        <v>0.979</v>
      </c>
      <c r="I934" s="13" t="n">
        <f aca="false">IFERROR(MIN(F934*Eingaben!$B$19,MAX(0,D934-H934)),0)</f>
        <v>0</v>
      </c>
      <c r="J934" s="13" t="n">
        <f aca="false">IFERROR(MIN(Eingaben!$B$18,MAX(0,F934-I934)),0)</f>
        <v>2</v>
      </c>
      <c r="K934" s="13" t="n">
        <f aca="false">H934+I934</f>
        <v>0.979</v>
      </c>
      <c r="L934" s="13" t="n">
        <f aca="false">MAX(0,D934-K934)</f>
        <v>0</v>
      </c>
      <c r="M934" s="13" t="n">
        <f aca="false">MAX(0,F934-I934-J934)</f>
        <v>0.0930399999999998</v>
      </c>
      <c r="N934" s="13" t="n">
        <f aca="false">IF(Kalender!A202="",0,J933-H934)</f>
        <v>1.021</v>
      </c>
    </row>
    <row r="935" customFormat="false" ht="16.4" hidden="false" customHeight="false" outlineLevel="0" collapsed="false">
      <c r="A935" s="13" t="str">
        <f aca="false">""</f>
        <v/>
      </c>
      <c r="B935" s="13" t="n">
        <f aca="false">199</f>
        <v>199</v>
      </c>
      <c r="C935" s="13" t="n">
        <f aca="false">IF(Szenarien!$H$10="OK",(IFERROR(SUMIF(Nutzungsprofile!$B$6:$B$11,"Schulbetrieb",Nutzungsprofile!$G$6:$G$11)*Kalender!C203/SUM(Kalender!$C$5:$C$370),0)+IFERROR(SUMIF(Nutzungsprofile!$B$6:$B$11,"Halle",Nutzungsprofile!$G$6:$G$11)*Kalender!D203/SUM(Kalender!$D$5:$D$370),0)+IFERROR(SUMIF(Nutzungsprofile!$B$6:$B$11,"Individuell",Nutzungsprofile!$G$6:$G$11)*Kalender!E203/SUM(Kalender!$E$5:$E$370),0))*Szenarien!$E$10,0)</f>
        <v>2.448</v>
      </c>
      <c r="D935" s="13" t="n">
        <f aca="false">IF(Szenarien!$H$10="OK",(IFERROR(SUMIF(Nutzungsprofile!$B$17:$B$22,"Schulbetrieb",Nutzungsprofile!$G$17:$G$22)*Kalender!C203/SUM(Kalender!$C$5:$C$370),0)+IFERROR(SUMIF(Nutzungsprofile!$B$17:$B$22,"Halle",Nutzungsprofile!$G$17:$G$22)*Kalender!D203/SUM(Kalender!$D$5:$D$370),0)+IFERROR(SUMIF(Nutzungsprofile!$B$17:$B$22,"Individuell",Nutzungsprofile!$G$17:$G$22)*Kalender!E203/SUM(Kalender!$E$5:$E$370),0))*Szenarien!$D$10,0)</f>
        <v>0.979</v>
      </c>
      <c r="E935" s="13" t="n">
        <f aca="false">IFERROR(MIN(C935,Eingaben!$B$17)*Eingaben!$B$16,0)</f>
        <v>2.3256</v>
      </c>
      <c r="F935" s="13" t="n">
        <f aca="false">IFERROR(E935*Eingaben!$B$15,0)</f>
        <v>2.09304</v>
      </c>
      <c r="G935" s="13" t="n">
        <f aca="false">IFERROR(IF(Kalender!A203="",0,J934*(1-Eingaben!$B$20)),0)</f>
        <v>1.96</v>
      </c>
      <c r="H935" s="13" t="n">
        <f aca="false">MIN(G935,D935)</f>
        <v>0.979</v>
      </c>
      <c r="I935" s="13" t="n">
        <f aca="false">IFERROR(MIN(F935*Eingaben!$B$19,MAX(0,D935-H935)),0)</f>
        <v>0</v>
      </c>
      <c r="J935" s="13" t="n">
        <f aca="false">IFERROR(MIN(Eingaben!$B$18,MAX(0,F935-I935)),0)</f>
        <v>2</v>
      </c>
      <c r="K935" s="13" t="n">
        <f aca="false">H935+I935</f>
        <v>0.979</v>
      </c>
      <c r="L935" s="13" t="n">
        <f aca="false">MAX(0,D935-K935)</f>
        <v>0</v>
      </c>
      <c r="M935" s="13" t="n">
        <f aca="false">MAX(0,F935-I935-J935)</f>
        <v>0.0930399999999998</v>
      </c>
      <c r="N935" s="13" t="n">
        <f aca="false">IF(Kalender!A203="",0,J934-H935)</f>
        <v>1.021</v>
      </c>
    </row>
    <row r="936" customFormat="false" ht="16.4" hidden="false" customHeight="false" outlineLevel="0" collapsed="false">
      <c r="A936" s="13" t="str">
        <f aca="false">""</f>
        <v/>
      </c>
      <c r="B936" s="13" t="n">
        <f aca="false">200</f>
        <v>200</v>
      </c>
      <c r="C936" s="13" t="n">
        <f aca="false">IF(Szenarien!$H$10="OK",(IFERROR(SUMIF(Nutzungsprofile!$B$6:$B$11,"Schulbetrieb",Nutzungsprofile!$G$6:$G$11)*Kalender!C204/SUM(Kalender!$C$5:$C$370),0)+IFERROR(SUMIF(Nutzungsprofile!$B$6:$B$11,"Halle",Nutzungsprofile!$G$6:$G$11)*Kalender!D204/SUM(Kalender!$D$5:$D$370),0)+IFERROR(SUMIF(Nutzungsprofile!$B$6:$B$11,"Individuell",Nutzungsprofile!$G$6:$G$11)*Kalender!E204/SUM(Kalender!$E$5:$E$370),0))*Szenarien!$E$10,0)</f>
        <v>2.448</v>
      </c>
      <c r="D936" s="13" t="n">
        <f aca="false">IF(Szenarien!$H$10="OK",(IFERROR(SUMIF(Nutzungsprofile!$B$17:$B$22,"Schulbetrieb",Nutzungsprofile!$G$17:$G$22)*Kalender!C204/SUM(Kalender!$C$5:$C$370),0)+IFERROR(SUMIF(Nutzungsprofile!$B$17:$B$22,"Halle",Nutzungsprofile!$G$17:$G$22)*Kalender!D204/SUM(Kalender!$D$5:$D$370),0)+IFERROR(SUMIF(Nutzungsprofile!$B$17:$B$22,"Individuell",Nutzungsprofile!$G$17:$G$22)*Kalender!E204/SUM(Kalender!$E$5:$E$370),0))*Szenarien!$D$10,0)</f>
        <v>0.979</v>
      </c>
      <c r="E936" s="13" t="n">
        <f aca="false">IFERROR(MIN(C936,Eingaben!$B$17)*Eingaben!$B$16,0)</f>
        <v>2.3256</v>
      </c>
      <c r="F936" s="13" t="n">
        <f aca="false">IFERROR(E936*Eingaben!$B$15,0)</f>
        <v>2.09304</v>
      </c>
      <c r="G936" s="13" t="n">
        <f aca="false">IFERROR(IF(Kalender!A204="",0,J935*(1-Eingaben!$B$20)),0)</f>
        <v>1.96</v>
      </c>
      <c r="H936" s="13" t="n">
        <f aca="false">MIN(G936,D936)</f>
        <v>0.979</v>
      </c>
      <c r="I936" s="13" t="n">
        <f aca="false">IFERROR(MIN(F936*Eingaben!$B$19,MAX(0,D936-H936)),0)</f>
        <v>0</v>
      </c>
      <c r="J936" s="13" t="n">
        <f aca="false">IFERROR(MIN(Eingaben!$B$18,MAX(0,F936-I936)),0)</f>
        <v>2</v>
      </c>
      <c r="K936" s="13" t="n">
        <f aca="false">H936+I936</f>
        <v>0.979</v>
      </c>
      <c r="L936" s="13" t="n">
        <f aca="false">MAX(0,D936-K936)</f>
        <v>0</v>
      </c>
      <c r="M936" s="13" t="n">
        <f aca="false">MAX(0,F936-I936-J936)</f>
        <v>0.0930399999999998</v>
      </c>
      <c r="N936" s="13" t="n">
        <f aca="false">IF(Kalender!A204="",0,J935-H936)</f>
        <v>1.021</v>
      </c>
    </row>
    <row r="937" customFormat="false" ht="16.4" hidden="false" customHeight="false" outlineLevel="0" collapsed="false">
      <c r="A937" s="13" t="str">
        <f aca="false">""</f>
        <v/>
      </c>
      <c r="B937" s="13" t="n">
        <f aca="false">201</f>
        <v>201</v>
      </c>
      <c r="C937" s="13" t="n">
        <f aca="false">IF(Szenarien!$H$10="OK",(IFERROR(SUMIF(Nutzungsprofile!$B$6:$B$11,"Schulbetrieb",Nutzungsprofile!$G$6:$G$11)*Kalender!C205/SUM(Kalender!$C$5:$C$370),0)+IFERROR(SUMIF(Nutzungsprofile!$B$6:$B$11,"Halle",Nutzungsprofile!$G$6:$G$11)*Kalender!D205/SUM(Kalender!$D$5:$D$370),0)+IFERROR(SUMIF(Nutzungsprofile!$B$6:$B$11,"Individuell",Nutzungsprofile!$G$6:$G$11)*Kalender!E205/SUM(Kalender!$E$5:$E$370),0))*Szenarien!$E$10,0)</f>
        <v>2.448</v>
      </c>
      <c r="D937" s="13" t="n">
        <f aca="false">IF(Szenarien!$H$10="OK",(IFERROR(SUMIF(Nutzungsprofile!$B$17:$B$22,"Schulbetrieb",Nutzungsprofile!$G$17:$G$22)*Kalender!C205/SUM(Kalender!$C$5:$C$370),0)+IFERROR(SUMIF(Nutzungsprofile!$B$17:$B$22,"Halle",Nutzungsprofile!$G$17:$G$22)*Kalender!D205/SUM(Kalender!$D$5:$D$370),0)+IFERROR(SUMIF(Nutzungsprofile!$B$17:$B$22,"Individuell",Nutzungsprofile!$G$17:$G$22)*Kalender!E205/SUM(Kalender!$E$5:$E$370),0))*Szenarien!$D$10,0)</f>
        <v>0.979</v>
      </c>
      <c r="E937" s="13" t="n">
        <f aca="false">IFERROR(MIN(C937,Eingaben!$B$17)*Eingaben!$B$16,0)</f>
        <v>2.3256</v>
      </c>
      <c r="F937" s="13" t="n">
        <f aca="false">IFERROR(E937*Eingaben!$B$15,0)</f>
        <v>2.09304</v>
      </c>
      <c r="G937" s="13" t="n">
        <f aca="false">IFERROR(IF(Kalender!A205="",0,J936*(1-Eingaben!$B$20)),0)</f>
        <v>1.96</v>
      </c>
      <c r="H937" s="13" t="n">
        <f aca="false">MIN(G937,D937)</f>
        <v>0.979</v>
      </c>
      <c r="I937" s="13" t="n">
        <f aca="false">IFERROR(MIN(F937*Eingaben!$B$19,MAX(0,D937-H937)),0)</f>
        <v>0</v>
      </c>
      <c r="J937" s="13" t="n">
        <f aca="false">IFERROR(MIN(Eingaben!$B$18,MAX(0,F937-I937)),0)</f>
        <v>2</v>
      </c>
      <c r="K937" s="13" t="n">
        <f aca="false">H937+I937</f>
        <v>0.979</v>
      </c>
      <c r="L937" s="13" t="n">
        <f aca="false">MAX(0,D937-K937)</f>
        <v>0</v>
      </c>
      <c r="M937" s="13" t="n">
        <f aca="false">MAX(0,F937-I937-J937)</f>
        <v>0.0930399999999998</v>
      </c>
      <c r="N937" s="13" t="n">
        <f aca="false">IF(Kalender!A205="",0,J936-H937)</f>
        <v>1.021</v>
      </c>
    </row>
    <row r="938" customFormat="false" ht="16.4" hidden="false" customHeight="false" outlineLevel="0" collapsed="false">
      <c r="A938" s="13" t="str">
        <f aca="false">""</f>
        <v/>
      </c>
      <c r="B938" s="13" t="n">
        <f aca="false">202</f>
        <v>202</v>
      </c>
      <c r="C938" s="13" t="n">
        <f aca="false">IF(Szenarien!$H$10="OK",(IFERROR(SUMIF(Nutzungsprofile!$B$6:$B$11,"Schulbetrieb",Nutzungsprofile!$G$6:$G$11)*Kalender!C206/SUM(Kalender!$C$5:$C$370),0)+IFERROR(SUMIF(Nutzungsprofile!$B$6:$B$11,"Halle",Nutzungsprofile!$G$6:$G$11)*Kalender!D206/SUM(Kalender!$D$5:$D$370),0)+IFERROR(SUMIF(Nutzungsprofile!$B$6:$B$11,"Individuell",Nutzungsprofile!$G$6:$G$11)*Kalender!E206/SUM(Kalender!$E$5:$E$370),0))*Szenarien!$E$10,0)</f>
        <v>2.448</v>
      </c>
      <c r="D938" s="13" t="n">
        <f aca="false">IF(Szenarien!$H$10="OK",(IFERROR(SUMIF(Nutzungsprofile!$B$17:$B$22,"Schulbetrieb",Nutzungsprofile!$G$17:$G$22)*Kalender!C206/SUM(Kalender!$C$5:$C$370),0)+IFERROR(SUMIF(Nutzungsprofile!$B$17:$B$22,"Halle",Nutzungsprofile!$G$17:$G$22)*Kalender!D206/SUM(Kalender!$D$5:$D$370),0)+IFERROR(SUMIF(Nutzungsprofile!$B$17:$B$22,"Individuell",Nutzungsprofile!$G$17:$G$22)*Kalender!E206/SUM(Kalender!$E$5:$E$370),0))*Szenarien!$D$10,0)</f>
        <v>0.979</v>
      </c>
      <c r="E938" s="13" t="n">
        <f aca="false">IFERROR(MIN(C938,Eingaben!$B$17)*Eingaben!$B$16,0)</f>
        <v>2.3256</v>
      </c>
      <c r="F938" s="13" t="n">
        <f aca="false">IFERROR(E938*Eingaben!$B$15,0)</f>
        <v>2.09304</v>
      </c>
      <c r="G938" s="13" t="n">
        <f aca="false">IFERROR(IF(Kalender!A206="",0,J937*(1-Eingaben!$B$20)),0)</f>
        <v>1.96</v>
      </c>
      <c r="H938" s="13" t="n">
        <f aca="false">MIN(G938,D938)</f>
        <v>0.979</v>
      </c>
      <c r="I938" s="13" t="n">
        <f aca="false">IFERROR(MIN(F938*Eingaben!$B$19,MAX(0,D938-H938)),0)</f>
        <v>0</v>
      </c>
      <c r="J938" s="13" t="n">
        <f aca="false">IFERROR(MIN(Eingaben!$B$18,MAX(0,F938-I938)),0)</f>
        <v>2</v>
      </c>
      <c r="K938" s="13" t="n">
        <f aca="false">H938+I938</f>
        <v>0.979</v>
      </c>
      <c r="L938" s="13" t="n">
        <f aca="false">MAX(0,D938-K938)</f>
        <v>0</v>
      </c>
      <c r="M938" s="13" t="n">
        <f aca="false">MAX(0,F938-I938-J938)</f>
        <v>0.0930399999999998</v>
      </c>
      <c r="N938" s="13" t="n">
        <f aca="false">IF(Kalender!A206="",0,J937-H938)</f>
        <v>1.021</v>
      </c>
    </row>
    <row r="939" customFormat="false" ht="16.4" hidden="false" customHeight="false" outlineLevel="0" collapsed="false">
      <c r="A939" s="13" t="str">
        <f aca="false">""</f>
        <v/>
      </c>
      <c r="B939" s="13" t="n">
        <f aca="false">203</f>
        <v>203</v>
      </c>
      <c r="C939" s="13" t="n">
        <f aca="false">IF(Szenarien!$H$10="OK",(IFERROR(SUMIF(Nutzungsprofile!$B$6:$B$11,"Schulbetrieb",Nutzungsprofile!$G$6:$G$11)*Kalender!C207/SUM(Kalender!$C$5:$C$370),0)+IFERROR(SUMIF(Nutzungsprofile!$B$6:$B$11,"Halle",Nutzungsprofile!$G$6:$G$11)*Kalender!D207/SUM(Kalender!$D$5:$D$370),0)+IFERROR(SUMIF(Nutzungsprofile!$B$6:$B$11,"Individuell",Nutzungsprofile!$G$6:$G$11)*Kalender!E207/SUM(Kalender!$E$5:$E$370),0))*Szenarien!$E$10,0)</f>
        <v>2.448</v>
      </c>
      <c r="D939" s="13" t="n">
        <f aca="false">IF(Szenarien!$H$10="OK",(IFERROR(SUMIF(Nutzungsprofile!$B$17:$B$22,"Schulbetrieb",Nutzungsprofile!$G$17:$G$22)*Kalender!C207/SUM(Kalender!$C$5:$C$370),0)+IFERROR(SUMIF(Nutzungsprofile!$B$17:$B$22,"Halle",Nutzungsprofile!$G$17:$G$22)*Kalender!D207/SUM(Kalender!$D$5:$D$370),0)+IFERROR(SUMIF(Nutzungsprofile!$B$17:$B$22,"Individuell",Nutzungsprofile!$G$17:$G$22)*Kalender!E207/SUM(Kalender!$E$5:$E$370),0))*Szenarien!$D$10,0)</f>
        <v>0.979</v>
      </c>
      <c r="E939" s="13" t="n">
        <f aca="false">IFERROR(MIN(C939,Eingaben!$B$17)*Eingaben!$B$16,0)</f>
        <v>2.3256</v>
      </c>
      <c r="F939" s="13" t="n">
        <f aca="false">IFERROR(E939*Eingaben!$B$15,0)</f>
        <v>2.09304</v>
      </c>
      <c r="G939" s="13" t="n">
        <f aca="false">IFERROR(IF(Kalender!A207="",0,J938*(1-Eingaben!$B$20)),0)</f>
        <v>1.96</v>
      </c>
      <c r="H939" s="13" t="n">
        <f aca="false">MIN(G939,D939)</f>
        <v>0.979</v>
      </c>
      <c r="I939" s="13" t="n">
        <f aca="false">IFERROR(MIN(F939*Eingaben!$B$19,MAX(0,D939-H939)),0)</f>
        <v>0</v>
      </c>
      <c r="J939" s="13" t="n">
        <f aca="false">IFERROR(MIN(Eingaben!$B$18,MAX(0,F939-I939)),0)</f>
        <v>2</v>
      </c>
      <c r="K939" s="13" t="n">
        <f aca="false">H939+I939</f>
        <v>0.979</v>
      </c>
      <c r="L939" s="13" t="n">
        <f aca="false">MAX(0,D939-K939)</f>
        <v>0</v>
      </c>
      <c r="M939" s="13" t="n">
        <f aca="false">MAX(0,F939-I939-J939)</f>
        <v>0.0930399999999998</v>
      </c>
      <c r="N939" s="13" t="n">
        <f aca="false">IF(Kalender!A207="",0,J938-H939)</f>
        <v>1.021</v>
      </c>
    </row>
    <row r="940" customFormat="false" ht="16.4" hidden="false" customHeight="false" outlineLevel="0" collapsed="false">
      <c r="A940" s="13" t="str">
        <f aca="false">""</f>
        <v/>
      </c>
      <c r="B940" s="13" t="n">
        <f aca="false">204</f>
        <v>204</v>
      </c>
      <c r="C940" s="13" t="n">
        <f aca="false">IF(Szenarien!$H$10="OK",(IFERROR(SUMIF(Nutzungsprofile!$B$6:$B$11,"Schulbetrieb",Nutzungsprofile!$G$6:$G$11)*Kalender!C208/SUM(Kalender!$C$5:$C$370),0)+IFERROR(SUMIF(Nutzungsprofile!$B$6:$B$11,"Halle",Nutzungsprofile!$G$6:$G$11)*Kalender!D208/SUM(Kalender!$D$5:$D$370),0)+IFERROR(SUMIF(Nutzungsprofile!$B$6:$B$11,"Individuell",Nutzungsprofile!$G$6:$G$11)*Kalender!E208/SUM(Kalender!$E$5:$E$370),0))*Szenarien!$E$10,0)</f>
        <v>2.448</v>
      </c>
      <c r="D940" s="13" t="n">
        <f aca="false">IF(Szenarien!$H$10="OK",(IFERROR(SUMIF(Nutzungsprofile!$B$17:$B$22,"Schulbetrieb",Nutzungsprofile!$G$17:$G$22)*Kalender!C208/SUM(Kalender!$C$5:$C$370),0)+IFERROR(SUMIF(Nutzungsprofile!$B$17:$B$22,"Halle",Nutzungsprofile!$G$17:$G$22)*Kalender!D208/SUM(Kalender!$D$5:$D$370),0)+IFERROR(SUMIF(Nutzungsprofile!$B$17:$B$22,"Individuell",Nutzungsprofile!$G$17:$G$22)*Kalender!E208/SUM(Kalender!$E$5:$E$370),0))*Szenarien!$D$10,0)</f>
        <v>0.979</v>
      </c>
      <c r="E940" s="13" t="n">
        <f aca="false">IFERROR(MIN(C940,Eingaben!$B$17)*Eingaben!$B$16,0)</f>
        <v>2.3256</v>
      </c>
      <c r="F940" s="13" t="n">
        <f aca="false">IFERROR(E940*Eingaben!$B$15,0)</f>
        <v>2.09304</v>
      </c>
      <c r="G940" s="13" t="n">
        <f aca="false">IFERROR(IF(Kalender!A208="",0,J939*(1-Eingaben!$B$20)),0)</f>
        <v>1.96</v>
      </c>
      <c r="H940" s="13" t="n">
        <f aca="false">MIN(G940,D940)</f>
        <v>0.979</v>
      </c>
      <c r="I940" s="13" t="n">
        <f aca="false">IFERROR(MIN(F940*Eingaben!$B$19,MAX(0,D940-H940)),0)</f>
        <v>0</v>
      </c>
      <c r="J940" s="13" t="n">
        <f aca="false">IFERROR(MIN(Eingaben!$B$18,MAX(0,F940-I940)),0)</f>
        <v>2</v>
      </c>
      <c r="K940" s="13" t="n">
        <f aca="false">H940+I940</f>
        <v>0.979</v>
      </c>
      <c r="L940" s="13" t="n">
        <f aca="false">MAX(0,D940-K940)</f>
        <v>0</v>
      </c>
      <c r="M940" s="13" t="n">
        <f aca="false">MAX(0,F940-I940-J940)</f>
        <v>0.0930399999999998</v>
      </c>
      <c r="N940" s="13" t="n">
        <f aca="false">IF(Kalender!A208="",0,J939-H940)</f>
        <v>1.021</v>
      </c>
    </row>
    <row r="941" customFormat="false" ht="16.4" hidden="false" customHeight="false" outlineLevel="0" collapsed="false">
      <c r="A941" s="13" t="str">
        <f aca="false">""</f>
        <v/>
      </c>
      <c r="B941" s="13" t="n">
        <f aca="false">205</f>
        <v>205</v>
      </c>
      <c r="C941" s="13" t="n">
        <f aca="false">IF(Szenarien!$H$10="OK",(IFERROR(SUMIF(Nutzungsprofile!$B$6:$B$11,"Schulbetrieb",Nutzungsprofile!$G$6:$G$11)*Kalender!C209/SUM(Kalender!$C$5:$C$370),0)+IFERROR(SUMIF(Nutzungsprofile!$B$6:$B$11,"Halle",Nutzungsprofile!$G$6:$G$11)*Kalender!D209/SUM(Kalender!$D$5:$D$370),0)+IFERROR(SUMIF(Nutzungsprofile!$B$6:$B$11,"Individuell",Nutzungsprofile!$G$6:$G$11)*Kalender!E209/SUM(Kalender!$E$5:$E$370),0))*Szenarien!$E$10,0)</f>
        <v>2.448</v>
      </c>
      <c r="D941" s="13" t="n">
        <f aca="false">IF(Szenarien!$H$10="OK",(IFERROR(SUMIF(Nutzungsprofile!$B$17:$B$22,"Schulbetrieb",Nutzungsprofile!$G$17:$G$22)*Kalender!C209/SUM(Kalender!$C$5:$C$370),0)+IFERROR(SUMIF(Nutzungsprofile!$B$17:$B$22,"Halle",Nutzungsprofile!$G$17:$G$22)*Kalender!D209/SUM(Kalender!$D$5:$D$370),0)+IFERROR(SUMIF(Nutzungsprofile!$B$17:$B$22,"Individuell",Nutzungsprofile!$G$17:$G$22)*Kalender!E209/SUM(Kalender!$E$5:$E$370),0))*Szenarien!$D$10,0)</f>
        <v>0.979</v>
      </c>
      <c r="E941" s="13" t="n">
        <f aca="false">IFERROR(MIN(C941,Eingaben!$B$17)*Eingaben!$B$16,0)</f>
        <v>2.3256</v>
      </c>
      <c r="F941" s="13" t="n">
        <f aca="false">IFERROR(E941*Eingaben!$B$15,0)</f>
        <v>2.09304</v>
      </c>
      <c r="G941" s="13" t="n">
        <f aca="false">IFERROR(IF(Kalender!A209="",0,J940*(1-Eingaben!$B$20)),0)</f>
        <v>1.96</v>
      </c>
      <c r="H941" s="13" t="n">
        <f aca="false">MIN(G941,D941)</f>
        <v>0.979</v>
      </c>
      <c r="I941" s="13" t="n">
        <f aca="false">IFERROR(MIN(F941*Eingaben!$B$19,MAX(0,D941-H941)),0)</f>
        <v>0</v>
      </c>
      <c r="J941" s="13" t="n">
        <f aca="false">IFERROR(MIN(Eingaben!$B$18,MAX(0,F941-I941)),0)</f>
        <v>2</v>
      </c>
      <c r="K941" s="13" t="n">
        <f aca="false">H941+I941</f>
        <v>0.979</v>
      </c>
      <c r="L941" s="13" t="n">
        <f aca="false">MAX(0,D941-K941)</f>
        <v>0</v>
      </c>
      <c r="M941" s="13" t="n">
        <f aca="false">MAX(0,F941-I941-J941)</f>
        <v>0.0930399999999998</v>
      </c>
      <c r="N941" s="13" t="n">
        <f aca="false">IF(Kalender!A209="",0,J940-H941)</f>
        <v>1.021</v>
      </c>
    </row>
    <row r="942" customFormat="false" ht="16.4" hidden="false" customHeight="false" outlineLevel="0" collapsed="false">
      <c r="A942" s="13" t="str">
        <f aca="false">""</f>
        <v/>
      </c>
      <c r="B942" s="13" t="n">
        <f aca="false">206</f>
        <v>206</v>
      </c>
      <c r="C942" s="13" t="n">
        <f aca="false">IF(Szenarien!$H$10="OK",(IFERROR(SUMIF(Nutzungsprofile!$B$6:$B$11,"Schulbetrieb",Nutzungsprofile!$G$6:$G$11)*Kalender!C210/SUM(Kalender!$C$5:$C$370),0)+IFERROR(SUMIF(Nutzungsprofile!$B$6:$B$11,"Halle",Nutzungsprofile!$G$6:$G$11)*Kalender!D210/SUM(Kalender!$D$5:$D$370),0)+IFERROR(SUMIF(Nutzungsprofile!$B$6:$B$11,"Individuell",Nutzungsprofile!$G$6:$G$11)*Kalender!E210/SUM(Kalender!$E$5:$E$370),0))*Szenarien!$E$10,0)</f>
        <v>2.448</v>
      </c>
      <c r="D942" s="13" t="n">
        <f aca="false">IF(Szenarien!$H$10="OK",(IFERROR(SUMIF(Nutzungsprofile!$B$17:$B$22,"Schulbetrieb",Nutzungsprofile!$G$17:$G$22)*Kalender!C210/SUM(Kalender!$C$5:$C$370),0)+IFERROR(SUMIF(Nutzungsprofile!$B$17:$B$22,"Halle",Nutzungsprofile!$G$17:$G$22)*Kalender!D210/SUM(Kalender!$D$5:$D$370),0)+IFERROR(SUMIF(Nutzungsprofile!$B$17:$B$22,"Individuell",Nutzungsprofile!$G$17:$G$22)*Kalender!E210/SUM(Kalender!$E$5:$E$370),0))*Szenarien!$D$10,0)</f>
        <v>0.979</v>
      </c>
      <c r="E942" s="13" t="n">
        <f aca="false">IFERROR(MIN(C942,Eingaben!$B$17)*Eingaben!$B$16,0)</f>
        <v>2.3256</v>
      </c>
      <c r="F942" s="13" t="n">
        <f aca="false">IFERROR(E942*Eingaben!$B$15,0)</f>
        <v>2.09304</v>
      </c>
      <c r="G942" s="13" t="n">
        <f aca="false">IFERROR(IF(Kalender!A210="",0,J941*(1-Eingaben!$B$20)),0)</f>
        <v>1.96</v>
      </c>
      <c r="H942" s="13" t="n">
        <f aca="false">MIN(G942,D942)</f>
        <v>0.979</v>
      </c>
      <c r="I942" s="13" t="n">
        <f aca="false">IFERROR(MIN(F942*Eingaben!$B$19,MAX(0,D942-H942)),0)</f>
        <v>0</v>
      </c>
      <c r="J942" s="13" t="n">
        <f aca="false">IFERROR(MIN(Eingaben!$B$18,MAX(0,F942-I942)),0)</f>
        <v>2</v>
      </c>
      <c r="K942" s="13" t="n">
        <f aca="false">H942+I942</f>
        <v>0.979</v>
      </c>
      <c r="L942" s="13" t="n">
        <f aca="false">MAX(0,D942-K942)</f>
        <v>0</v>
      </c>
      <c r="M942" s="13" t="n">
        <f aca="false">MAX(0,F942-I942-J942)</f>
        <v>0.0930399999999998</v>
      </c>
      <c r="N942" s="13" t="n">
        <f aca="false">IF(Kalender!A210="",0,J941-H942)</f>
        <v>1.021</v>
      </c>
    </row>
    <row r="943" customFormat="false" ht="16.4" hidden="false" customHeight="false" outlineLevel="0" collapsed="false">
      <c r="A943" s="13" t="str">
        <f aca="false">""</f>
        <v/>
      </c>
      <c r="B943" s="13" t="n">
        <f aca="false">207</f>
        <v>207</v>
      </c>
      <c r="C943" s="13" t="n">
        <f aca="false">IF(Szenarien!$H$10="OK",(IFERROR(SUMIF(Nutzungsprofile!$B$6:$B$11,"Schulbetrieb",Nutzungsprofile!$G$6:$G$11)*Kalender!C211/SUM(Kalender!$C$5:$C$370),0)+IFERROR(SUMIF(Nutzungsprofile!$B$6:$B$11,"Halle",Nutzungsprofile!$G$6:$G$11)*Kalender!D211/SUM(Kalender!$D$5:$D$370),0)+IFERROR(SUMIF(Nutzungsprofile!$B$6:$B$11,"Individuell",Nutzungsprofile!$G$6:$G$11)*Kalender!E211/SUM(Kalender!$E$5:$E$370),0))*Szenarien!$E$10,0)</f>
        <v>2.448</v>
      </c>
      <c r="D943" s="13" t="n">
        <f aca="false">IF(Szenarien!$H$10="OK",(IFERROR(SUMIF(Nutzungsprofile!$B$17:$B$22,"Schulbetrieb",Nutzungsprofile!$G$17:$G$22)*Kalender!C211/SUM(Kalender!$C$5:$C$370),0)+IFERROR(SUMIF(Nutzungsprofile!$B$17:$B$22,"Halle",Nutzungsprofile!$G$17:$G$22)*Kalender!D211/SUM(Kalender!$D$5:$D$370),0)+IFERROR(SUMIF(Nutzungsprofile!$B$17:$B$22,"Individuell",Nutzungsprofile!$G$17:$G$22)*Kalender!E211/SUM(Kalender!$E$5:$E$370),0))*Szenarien!$D$10,0)</f>
        <v>0.979</v>
      </c>
      <c r="E943" s="13" t="n">
        <f aca="false">IFERROR(MIN(C943,Eingaben!$B$17)*Eingaben!$B$16,0)</f>
        <v>2.3256</v>
      </c>
      <c r="F943" s="13" t="n">
        <f aca="false">IFERROR(E943*Eingaben!$B$15,0)</f>
        <v>2.09304</v>
      </c>
      <c r="G943" s="13" t="n">
        <f aca="false">IFERROR(IF(Kalender!A211="",0,J942*(1-Eingaben!$B$20)),0)</f>
        <v>1.96</v>
      </c>
      <c r="H943" s="13" t="n">
        <f aca="false">MIN(G943,D943)</f>
        <v>0.979</v>
      </c>
      <c r="I943" s="13" t="n">
        <f aca="false">IFERROR(MIN(F943*Eingaben!$B$19,MAX(0,D943-H943)),0)</f>
        <v>0</v>
      </c>
      <c r="J943" s="13" t="n">
        <f aca="false">IFERROR(MIN(Eingaben!$B$18,MAX(0,F943-I943)),0)</f>
        <v>2</v>
      </c>
      <c r="K943" s="13" t="n">
        <f aca="false">H943+I943</f>
        <v>0.979</v>
      </c>
      <c r="L943" s="13" t="n">
        <f aca="false">MAX(0,D943-K943)</f>
        <v>0</v>
      </c>
      <c r="M943" s="13" t="n">
        <f aca="false">MAX(0,F943-I943-J943)</f>
        <v>0.0930399999999998</v>
      </c>
      <c r="N943" s="13" t="n">
        <f aca="false">IF(Kalender!A211="",0,J942-H943)</f>
        <v>1.021</v>
      </c>
    </row>
    <row r="944" customFormat="false" ht="16.4" hidden="false" customHeight="false" outlineLevel="0" collapsed="false">
      <c r="A944" s="13" t="str">
        <f aca="false">""</f>
        <v/>
      </c>
      <c r="B944" s="13" t="n">
        <f aca="false">208</f>
        <v>208</v>
      </c>
      <c r="C944" s="13" t="n">
        <f aca="false">IF(Szenarien!$H$10="OK",(IFERROR(SUMIF(Nutzungsprofile!$B$6:$B$11,"Schulbetrieb",Nutzungsprofile!$G$6:$G$11)*Kalender!C212/SUM(Kalender!$C$5:$C$370),0)+IFERROR(SUMIF(Nutzungsprofile!$B$6:$B$11,"Halle",Nutzungsprofile!$G$6:$G$11)*Kalender!D212/SUM(Kalender!$D$5:$D$370),0)+IFERROR(SUMIF(Nutzungsprofile!$B$6:$B$11,"Individuell",Nutzungsprofile!$G$6:$G$11)*Kalender!E212/SUM(Kalender!$E$5:$E$370),0))*Szenarien!$E$10,0)</f>
        <v>2.448</v>
      </c>
      <c r="D944" s="13" t="n">
        <f aca="false">IF(Szenarien!$H$10="OK",(IFERROR(SUMIF(Nutzungsprofile!$B$17:$B$22,"Schulbetrieb",Nutzungsprofile!$G$17:$G$22)*Kalender!C212/SUM(Kalender!$C$5:$C$370),0)+IFERROR(SUMIF(Nutzungsprofile!$B$17:$B$22,"Halle",Nutzungsprofile!$G$17:$G$22)*Kalender!D212/SUM(Kalender!$D$5:$D$370),0)+IFERROR(SUMIF(Nutzungsprofile!$B$17:$B$22,"Individuell",Nutzungsprofile!$G$17:$G$22)*Kalender!E212/SUM(Kalender!$E$5:$E$370),0))*Szenarien!$D$10,0)</f>
        <v>0.979</v>
      </c>
      <c r="E944" s="13" t="n">
        <f aca="false">IFERROR(MIN(C944,Eingaben!$B$17)*Eingaben!$B$16,0)</f>
        <v>2.3256</v>
      </c>
      <c r="F944" s="13" t="n">
        <f aca="false">IFERROR(E944*Eingaben!$B$15,0)</f>
        <v>2.09304</v>
      </c>
      <c r="G944" s="13" t="n">
        <f aca="false">IFERROR(IF(Kalender!A212="",0,J943*(1-Eingaben!$B$20)),0)</f>
        <v>1.96</v>
      </c>
      <c r="H944" s="13" t="n">
        <f aca="false">MIN(G944,D944)</f>
        <v>0.979</v>
      </c>
      <c r="I944" s="13" t="n">
        <f aca="false">IFERROR(MIN(F944*Eingaben!$B$19,MAX(0,D944-H944)),0)</f>
        <v>0</v>
      </c>
      <c r="J944" s="13" t="n">
        <f aca="false">IFERROR(MIN(Eingaben!$B$18,MAX(0,F944-I944)),0)</f>
        <v>2</v>
      </c>
      <c r="K944" s="13" t="n">
        <f aca="false">H944+I944</f>
        <v>0.979</v>
      </c>
      <c r="L944" s="13" t="n">
        <f aca="false">MAX(0,D944-K944)</f>
        <v>0</v>
      </c>
      <c r="M944" s="13" t="n">
        <f aca="false">MAX(0,F944-I944-J944)</f>
        <v>0.0930399999999998</v>
      </c>
      <c r="N944" s="13" t="n">
        <f aca="false">IF(Kalender!A212="",0,J943-H944)</f>
        <v>1.021</v>
      </c>
    </row>
    <row r="945" customFormat="false" ht="16.4" hidden="false" customHeight="false" outlineLevel="0" collapsed="false">
      <c r="A945" s="13" t="str">
        <f aca="false">""</f>
        <v/>
      </c>
      <c r="B945" s="13" t="n">
        <f aca="false">209</f>
        <v>209</v>
      </c>
      <c r="C945" s="13" t="n">
        <f aca="false">IF(Szenarien!$H$10="OK",(IFERROR(SUMIF(Nutzungsprofile!$B$6:$B$11,"Schulbetrieb",Nutzungsprofile!$G$6:$G$11)*Kalender!C213/SUM(Kalender!$C$5:$C$370),0)+IFERROR(SUMIF(Nutzungsprofile!$B$6:$B$11,"Halle",Nutzungsprofile!$G$6:$G$11)*Kalender!D213/SUM(Kalender!$D$5:$D$370),0)+IFERROR(SUMIF(Nutzungsprofile!$B$6:$B$11,"Individuell",Nutzungsprofile!$G$6:$G$11)*Kalender!E213/SUM(Kalender!$E$5:$E$370),0))*Szenarien!$E$10,0)</f>
        <v>2.448</v>
      </c>
      <c r="D945" s="13" t="n">
        <f aca="false">IF(Szenarien!$H$10="OK",(IFERROR(SUMIF(Nutzungsprofile!$B$17:$B$22,"Schulbetrieb",Nutzungsprofile!$G$17:$G$22)*Kalender!C213/SUM(Kalender!$C$5:$C$370),0)+IFERROR(SUMIF(Nutzungsprofile!$B$17:$B$22,"Halle",Nutzungsprofile!$G$17:$G$22)*Kalender!D213/SUM(Kalender!$D$5:$D$370),0)+IFERROR(SUMIF(Nutzungsprofile!$B$17:$B$22,"Individuell",Nutzungsprofile!$G$17:$G$22)*Kalender!E213/SUM(Kalender!$E$5:$E$370),0))*Szenarien!$D$10,0)</f>
        <v>0.979</v>
      </c>
      <c r="E945" s="13" t="n">
        <f aca="false">IFERROR(MIN(C945,Eingaben!$B$17)*Eingaben!$B$16,0)</f>
        <v>2.3256</v>
      </c>
      <c r="F945" s="13" t="n">
        <f aca="false">IFERROR(E945*Eingaben!$B$15,0)</f>
        <v>2.09304</v>
      </c>
      <c r="G945" s="13" t="n">
        <f aca="false">IFERROR(IF(Kalender!A213="",0,J944*(1-Eingaben!$B$20)),0)</f>
        <v>1.96</v>
      </c>
      <c r="H945" s="13" t="n">
        <f aca="false">MIN(G945,D945)</f>
        <v>0.979</v>
      </c>
      <c r="I945" s="13" t="n">
        <f aca="false">IFERROR(MIN(F945*Eingaben!$B$19,MAX(0,D945-H945)),0)</f>
        <v>0</v>
      </c>
      <c r="J945" s="13" t="n">
        <f aca="false">IFERROR(MIN(Eingaben!$B$18,MAX(0,F945-I945)),0)</f>
        <v>2</v>
      </c>
      <c r="K945" s="13" t="n">
        <f aca="false">H945+I945</f>
        <v>0.979</v>
      </c>
      <c r="L945" s="13" t="n">
        <f aca="false">MAX(0,D945-K945)</f>
        <v>0</v>
      </c>
      <c r="M945" s="13" t="n">
        <f aca="false">MAX(0,F945-I945-J945)</f>
        <v>0.0930399999999998</v>
      </c>
      <c r="N945" s="13" t="n">
        <f aca="false">IF(Kalender!A213="",0,J944-H945)</f>
        <v>1.021</v>
      </c>
    </row>
    <row r="946" customFormat="false" ht="16.4" hidden="false" customHeight="false" outlineLevel="0" collapsed="false">
      <c r="A946" s="13" t="str">
        <f aca="false">""</f>
        <v/>
      </c>
      <c r="B946" s="13" t="n">
        <f aca="false">210</f>
        <v>210</v>
      </c>
      <c r="C946" s="13" t="n">
        <f aca="false">IF(Szenarien!$H$10="OK",(IFERROR(SUMIF(Nutzungsprofile!$B$6:$B$11,"Schulbetrieb",Nutzungsprofile!$G$6:$G$11)*Kalender!C214/SUM(Kalender!$C$5:$C$370),0)+IFERROR(SUMIF(Nutzungsprofile!$B$6:$B$11,"Halle",Nutzungsprofile!$G$6:$G$11)*Kalender!D214/SUM(Kalender!$D$5:$D$370),0)+IFERROR(SUMIF(Nutzungsprofile!$B$6:$B$11,"Individuell",Nutzungsprofile!$G$6:$G$11)*Kalender!E214/SUM(Kalender!$E$5:$E$370),0))*Szenarien!$E$10,0)</f>
        <v>2.448</v>
      </c>
      <c r="D946" s="13" t="n">
        <f aca="false">IF(Szenarien!$H$10="OK",(IFERROR(SUMIF(Nutzungsprofile!$B$17:$B$22,"Schulbetrieb",Nutzungsprofile!$G$17:$G$22)*Kalender!C214/SUM(Kalender!$C$5:$C$370),0)+IFERROR(SUMIF(Nutzungsprofile!$B$17:$B$22,"Halle",Nutzungsprofile!$G$17:$G$22)*Kalender!D214/SUM(Kalender!$D$5:$D$370),0)+IFERROR(SUMIF(Nutzungsprofile!$B$17:$B$22,"Individuell",Nutzungsprofile!$G$17:$G$22)*Kalender!E214/SUM(Kalender!$E$5:$E$370),0))*Szenarien!$D$10,0)</f>
        <v>0.979</v>
      </c>
      <c r="E946" s="13" t="n">
        <f aca="false">IFERROR(MIN(C946,Eingaben!$B$17)*Eingaben!$B$16,0)</f>
        <v>2.3256</v>
      </c>
      <c r="F946" s="13" t="n">
        <f aca="false">IFERROR(E946*Eingaben!$B$15,0)</f>
        <v>2.09304</v>
      </c>
      <c r="G946" s="13" t="n">
        <f aca="false">IFERROR(IF(Kalender!A214="",0,J945*(1-Eingaben!$B$20)),0)</f>
        <v>1.96</v>
      </c>
      <c r="H946" s="13" t="n">
        <f aca="false">MIN(G946,D946)</f>
        <v>0.979</v>
      </c>
      <c r="I946" s="13" t="n">
        <f aca="false">IFERROR(MIN(F946*Eingaben!$B$19,MAX(0,D946-H946)),0)</f>
        <v>0</v>
      </c>
      <c r="J946" s="13" t="n">
        <f aca="false">IFERROR(MIN(Eingaben!$B$18,MAX(0,F946-I946)),0)</f>
        <v>2</v>
      </c>
      <c r="K946" s="13" t="n">
        <f aca="false">H946+I946</f>
        <v>0.979</v>
      </c>
      <c r="L946" s="13" t="n">
        <f aca="false">MAX(0,D946-K946)</f>
        <v>0</v>
      </c>
      <c r="M946" s="13" t="n">
        <f aca="false">MAX(0,F946-I946-J946)</f>
        <v>0.0930399999999998</v>
      </c>
      <c r="N946" s="13" t="n">
        <f aca="false">IF(Kalender!A214="",0,J945-H946)</f>
        <v>1.021</v>
      </c>
    </row>
    <row r="947" customFormat="false" ht="16.4" hidden="false" customHeight="false" outlineLevel="0" collapsed="false">
      <c r="A947" s="13" t="str">
        <f aca="false">""</f>
        <v/>
      </c>
      <c r="B947" s="13" t="n">
        <f aca="false">211</f>
        <v>211</v>
      </c>
      <c r="C947" s="13" t="n">
        <f aca="false">IF(Szenarien!$H$10="OK",(IFERROR(SUMIF(Nutzungsprofile!$B$6:$B$11,"Schulbetrieb",Nutzungsprofile!$G$6:$G$11)*Kalender!C215/SUM(Kalender!$C$5:$C$370),0)+IFERROR(SUMIF(Nutzungsprofile!$B$6:$B$11,"Halle",Nutzungsprofile!$G$6:$G$11)*Kalender!D215/SUM(Kalender!$D$5:$D$370),0)+IFERROR(SUMIF(Nutzungsprofile!$B$6:$B$11,"Individuell",Nutzungsprofile!$G$6:$G$11)*Kalender!E215/SUM(Kalender!$E$5:$E$370),0))*Szenarien!$E$10,0)</f>
        <v>2.448</v>
      </c>
      <c r="D947" s="13" t="n">
        <f aca="false">IF(Szenarien!$H$10="OK",(IFERROR(SUMIF(Nutzungsprofile!$B$17:$B$22,"Schulbetrieb",Nutzungsprofile!$G$17:$G$22)*Kalender!C215/SUM(Kalender!$C$5:$C$370),0)+IFERROR(SUMIF(Nutzungsprofile!$B$17:$B$22,"Halle",Nutzungsprofile!$G$17:$G$22)*Kalender!D215/SUM(Kalender!$D$5:$D$370),0)+IFERROR(SUMIF(Nutzungsprofile!$B$17:$B$22,"Individuell",Nutzungsprofile!$G$17:$G$22)*Kalender!E215/SUM(Kalender!$E$5:$E$370),0))*Szenarien!$D$10,0)</f>
        <v>0.979</v>
      </c>
      <c r="E947" s="13" t="n">
        <f aca="false">IFERROR(MIN(C947,Eingaben!$B$17)*Eingaben!$B$16,0)</f>
        <v>2.3256</v>
      </c>
      <c r="F947" s="13" t="n">
        <f aca="false">IFERROR(E947*Eingaben!$B$15,0)</f>
        <v>2.09304</v>
      </c>
      <c r="G947" s="13" t="n">
        <f aca="false">IFERROR(IF(Kalender!A215="",0,J946*(1-Eingaben!$B$20)),0)</f>
        <v>1.96</v>
      </c>
      <c r="H947" s="13" t="n">
        <f aca="false">MIN(G947,D947)</f>
        <v>0.979</v>
      </c>
      <c r="I947" s="13" t="n">
        <f aca="false">IFERROR(MIN(F947*Eingaben!$B$19,MAX(0,D947-H947)),0)</f>
        <v>0</v>
      </c>
      <c r="J947" s="13" t="n">
        <f aca="false">IFERROR(MIN(Eingaben!$B$18,MAX(0,F947-I947)),0)</f>
        <v>2</v>
      </c>
      <c r="K947" s="13" t="n">
        <f aca="false">H947+I947</f>
        <v>0.979</v>
      </c>
      <c r="L947" s="13" t="n">
        <f aca="false">MAX(0,D947-K947)</f>
        <v>0</v>
      </c>
      <c r="M947" s="13" t="n">
        <f aca="false">MAX(0,F947-I947-J947)</f>
        <v>0.0930399999999998</v>
      </c>
      <c r="N947" s="13" t="n">
        <f aca="false">IF(Kalender!A215="",0,J946-H947)</f>
        <v>1.021</v>
      </c>
    </row>
    <row r="948" customFormat="false" ht="16.4" hidden="false" customHeight="false" outlineLevel="0" collapsed="false">
      <c r="A948" s="13" t="str">
        <f aca="false">""</f>
        <v/>
      </c>
      <c r="B948" s="13" t="n">
        <f aca="false">212</f>
        <v>212</v>
      </c>
      <c r="C948" s="13" t="n">
        <f aca="false">IF(Szenarien!$H$10="OK",(IFERROR(SUMIF(Nutzungsprofile!$B$6:$B$11,"Schulbetrieb",Nutzungsprofile!$G$6:$G$11)*Kalender!C216/SUM(Kalender!$C$5:$C$370),0)+IFERROR(SUMIF(Nutzungsprofile!$B$6:$B$11,"Halle",Nutzungsprofile!$G$6:$G$11)*Kalender!D216/SUM(Kalender!$D$5:$D$370),0)+IFERROR(SUMIF(Nutzungsprofile!$B$6:$B$11,"Individuell",Nutzungsprofile!$G$6:$G$11)*Kalender!E216/SUM(Kalender!$E$5:$E$370),0))*Szenarien!$E$10,0)</f>
        <v>2.448</v>
      </c>
      <c r="D948" s="13" t="n">
        <f aca="false">IF(Szenarien!$H$10="OK",(IFERROR(SUMIF(Nutzungsprofile!$B$17:$B$22,"Schulbetrieb",Nutzungsprofile!$G$17:$G$22)*Kalender!C216/SUM(Kalender!$C$5:$C$370),0)+IFERROR(SUMIF(Nutzungsprofile!$B$17:$B$22,"Halle",Nutzungsprofile!$G$17:$G$22)*Kalender!D216/SUM(Kalender!$D$5:$D$370),0)+IFERROR(SUMIF(Nutzungsprofile!$B$17:$B$22,"Individuell",Nutzungsprofile!$G$17:$G$22)*Kalender!E216/SUM(Kalender!$E$5:$E$370),0))*Szenarien!$D$10,0)</f>
        <v>0.979</v>
      </c>
      <c r="E948" s="13" t="n">
        <f aca="false">IFERROR(MIN(C948,Eingaben!$B$17)*Eingaben!$B$16,0)</f>
        <v>2.3256</v>
      </c>
      <c r="F948" s="13" t="n">
        <f aca="false">IFERROR(E948*Eingaben!$B$15,0)</f>
        <v>2.09304</v>
      </c>
      <c r="G948" s="13" t="n">
        <f aca="false">IFERROR(IF(Kalender!A216="",0,J947*(1-Eingaben!$B$20)),0)</f>
        <v>1.96</v>
      </c>
      <c r="H948" s="13" t="n">
        <f aca="false">MIN(G948,D948)</f>
        <v>0.979</v>
      </c>
      <c r="I948" s="13" t="n">
        <f aca="false">IFERROR(MIN(F948*Eingaben!$B$19,MAX(0,D948-H948)),0)</f>
        <v>0</v>
      </c>
      <c r="J948" s="13" t="n">
        <f aca="false">IFERROR(MIN(Eingaben!$B$18,MAX(0,F948-I948)),0)</f>
        <v>2</v>
      </c>
      <c r="K948" s="13" t="n">
        <f aca="false">H948+I948</f>
        <v>0.979</v>
      </c>
      <c r="L948" s="13" t="n">
        <f aca="false">MAX(0,D948-K948)</f>
        <v>0</v>
      </c>
      <c r="M948" s="13" t="n">
        <f aca="false">MAX(0,F948-I948-J948)</f>
        <v>0.0930399999999998</v>
      </c>
      <c r="N948" s="13" t="n">
        <f aca="false">IF(Kalender!A216="",0,J947-H948)</f>
        <v>1.021</v>
      </c>
    </row>
    <row r="949" customFormat="false" ht="16.4" hidden="false" customHeight="false" outlineLevel="0" collapsed="false">
      <c r="A949" s="13" t="str">
        <f aca="false">""</f>
        <v/>
      </c>
      <c r="B949" s="13" t="n">
        <f aca="false">213</f>
        <v>213</v>
      </c>
      <c r="C949" s="13" t="n">
        <f aca="false">IF(Szenarien!$H$10="OK",(IFERROR(SUMIF(Nutzungsprofile!$B$6:$B$11,"Schulbetrieb",Nutzungsprofile!$G$6:$G$11)*Kalender!C217/SUM(Kalender!$C$5:$C$370),0)+IFERROR(SUMIF(Nutzungsprofile!$B$6:$B$11,"Halle",Nutzungsprofile!$G$6:$G$11)*Kalender!D217/SUM(Kalender!$D$5:$D$370),0)+IFERROR(SUMIF(Nutzungsprofile!$B$6:$B$11,"Individuell",Nutzungsprofile!$G$6:$G$11)*Kalender!E217/SUM(Kalender!$E$5:$E$370),0))*Szenarien!$E$10,0)</f>
        <v>2.448</v>
      </c>
      <c r="D949" s="13" t="n">
        <f aca="false">IF(Szenarien!$H$10="OK",(IFERROR(SUMIF(Nutzungsprofile!$B$17:$B$22,"Schulbetrieb",Nutzungsprofile!$G$17:$G$22)*Kalender!C217/SUM(Kalender!$C$5:$C$370),0)+IFERROR(SUMIF(Nutzungsprofile!$B$17:$B$22,"Halle",Nutzungsprofile!$G$17:$G$22)*Kalender!D217/SUM(Kalender!$D$5:$D$370),0)+IFERROR(SUMIF(Nutzungsprofile!$B$17:$B$22,"Individuell",Nutzungsprofile!$G$17:$G$22)*Kalender!E217/SUM(Kalender!$E$5:$E$370),0))*Szenarien!$D$10,0)</f>
        <v>0.979</v>
      </c>
      <c r="E949" s="13" t="n">
        <f aca="false">IFERROR(MIN(C949,Eingaben!$B$17)*Eingaben!$B$16,0)</f>
        <v>2.3256</v>
      </c>
      <c r="F949" s="13" t="n">
        <f aca="false">IFERROR(E949*Eingaben!$B$15,0)</f>
        <v>2.09304</v>
      </c>
      <c r="G949" s="13" t="n">
        <f aca="false">IFERROR(IF(Kalender!A217="",0,J948*(1-Eingaben!$B$20)),0)</f>
        <v>1.96</v>
      </c>
      <c r="H949" s="13" t="n">
        <f aca="false">MIN(G949,D949)</f>
        <v>0.979</v>
      </c>
      <c r="I949" s="13" t="n">
        <f aca="false">IFERROR(MIN(F949*Eingaben!$B$19,MAX(0,D949-H949)),0)</f>
        <v>0</v>
      </c>
      <c r="J949" s="13" t="n">
        <f aca="false">IFERROR(MIN(Eingaben!$B$18,MAX(0,F949-I949)),0)</f>
        <v>2</v>
      </c>
      <c r="K949" s="13" t="n">
        <f aca="false">H949+I949</f>
        <v>0.979</v>
      </c>
      <c r="L949" s="13" t="n">
        <f aca="false">MAX(0,D949-K949)</f>
        <v>0</v>
      </c>
      <c r="M949" s="13" t="n">
        <f aca="false">MAX(0,F949-I949-J949)</f>
        <v>0.0930399999999998</v>
      </c>
      <c r="N949" s="13" t="n">
        <f aca="false">IF(Kalender!A217="",0,J948-H949)</f>
        <v>1.021</v>
      </c>
    </row>
    <row r="950" customFormat="false" ht="16.4" hidden="false" customHeight="false" outlineLevel="0" collapsed="false">
      <c r="A950" s="13" t="str">
        <f aca="false">""</f>
        <v/>
      </c>
      <c r="B950" s="13" t="n">
        <f aca="false">214</f>
        <v>214</v>
      </c>
      <c r="C950" s="13" t="n">
        <f aca="false">IF(Szenarien!$H$10="OK",(IFERROR(SUMIF(Nutzungsprofile!$B$6:$B$11,"Schulbetrieb",Nutzungsprofile!$G$6:$G$11)*Kalender!C218/SUM(Kalender!$C$5:$C$370),0)+IFERROR(SUMIF(Nutzungsprofile!$B$6:$B$11,"Halle",Nutzungsprofile!$G$6:$G$11)*Kalender!D218/SUM(Kalender!$D$5:$D$370),0)+IFERROR(SUMIF(Nutzungsprofile!$B$6:$B$11,"Individuell",Nutzungsprofile!$G$6:$G$11)*Kalender!E218/SUM(Kalender!$E$5:$E$370),0))*Szenarien!$E$10,0)</f>
        <v>2.448</v>
      </c>
      <c r="D950" s="13" t="n">
        <f aca="false">IF(Szenarien!$H$10="OK",(IFERROR(SUMIF(Nutzungsprofile!$B$17:$B$22,"Schulbetrieb",Nutzungsprofile!$G$17:$G$22)*Kalender!C218/SUM(Kalender!$C$5:$C$370),0)+IFERROR(SUMIF(Nutzungsprofile!$B$17:$B$22,"Halle",Nutzungsprofile!$G$17:$G$22)*Kalender!D218/SUM(Kalender!$D$5:$D$370),0)+IFERROR(SUMIF(Nutzungsprofile!$B$17:$B$22,"Individuell",Nutzungsprofile!$G$17:$G$22)*Kalender!E218/SUM(Kalender!$E$5:$E$370),0))*Szenarien!$D$10,0)</f>
        <v>0.979</v>
      </c>
      <c r="E950" s="13" t="n">
        <f aca="false">IFERROR(MIN(C950,Eingaben!$B$17)*Eingaben!$B$16,0)</f>
        <v>2.3256</v>
      </c>
      <c r="F950" s="13" t="n">
        <f aca="false">IFERROR(E950*Eingaben!$B$15,0)</f>
        <v>2.09304</v>
      </c>
      <c r="G950" s="13" t="n">
        <f aca="false">IFERROR(IF(Kalender!A218="",0,J949*(1-Eingaben!$B$20)),0)</f>
        <v>1.96</v>
      </c>
      <c r="H950" s="13" t="n">
        <f aca="false">MIN(G950,D950)</f>
        <v>0.979</v>
      </c>
      <c r="I950" s="13" t="n">
        <f aca="false">IFERROR(MIN(F950*Eingaben!$B$19,MAX(0,D950-H950)),0)</f>
        <v>0</v>
      </c>
      <c r="J950" s="13" t="n">
        <f aca="false">IFERROR(MIN(Eingaben!$B$18,MAX(0,F950-I950)),0)</f>
        <v>2</v>
      </c>
      <c r="K950" s="13" t="n">
        <f aca="false">H950+I950</f>
        <v>0.979</v>
      </c>
      <c r="L950" s="13" t="n">
        <f aca="false">MAX(0,D950-K950)</f>
        <v>0</v>
      </c>
      <c r="M950" s="13" t="n">
        <f aca="false">MAX(0,F950-I950-J950)</f>
        <v>0.0930399999999998</v>
      </c>
      <c r="N950" s="13" t="n">
        <f aca="false">IF(Kalender!A218="",0,J949-H950)</f>
        <v>1.021</v>
      </c>
    </row>
    <row r="951" customFormat="false" ht="16.4" hidden="false" customHeight="false" outlineLevel="0" collapsed="false">
      <c r="A951" s="13" t="str">
        <f aca="false">""</f>
        <v/>
      </c>
      <c r="B951" s="13" t="n">
        <f aca="false">215</f>
        <v>215</v>
      </c>
      <c r="C951" s="13" t="n">
        <f aca="false">IF(Szenarien!$H$10="OK",(IFERROR(SUMIF(Nutzungsprofile!$B$6:$B$11,"Schulbetrieb",Nutzungsprofile!$G$6:$G$11)*Kalender!C219/SUM(Kalender!$C$5:$C$370),0)+IFERROR(SUMIF(Nutzungsprofile!$B$6:$B$11,"Halle",Nutzungsprofile!$G$6:$G$11)*Kalender!D219/SUM(Kalender!$D$5:$D$370),0)+IFERROR(SUMIF(Nutzungsprofile!$B$6:$B$11,"Individuell",Nutzungsprofile!$G$6:$G$11)*Kalender!E219/SUM(Kalender!$E$5:$E$370),0))*Szenarien!$E$10,0)</f>
        <v>2.448</v>
      </c>
      <c r="D951" s="13" t="n">
        <f aca="false">IF(Szenarien!$H$10="OK",(IFERROR(SUMIF(Nutzungsprofile!$B$17:$B$22,"Schulbetrieb",Nutzungsprofile!$G$17:$G$22)*Kalender!C219/SUM(Kalender!$C$5:$C$370),0)+IFERROR(SUMIF(Nutzungsprofile!$B$17:$B$22,"Halle",Nutzungsprofile!$G$17:$G$22)*Kalender!D219/SUM(Kalender!$D$5:$D$370),0)+IFERROR(SUMIF(Nutzungsprofile!$B$17:$B$22,"Individuell",Nutzungsprofile!$G$17:$G$22)*Kalender!E219/SUM(Kalender!$E$5:$E$370),0))*Szenarien!$D$10,0)</f>
        <v>0.979</v>
      </c>
      <c r="E951" s="13" t="n">
        <f aca="false">IFERROR(MIN(C951,Eingaben!$B$17)*Eingaben!$B$16,0)</f>
        <v>2.3256</v>
      </c>
      <c r="F951" s="13" t="n">
        <f aca="false">IFERROR(E951*Eingaben!$B$15,0)</f>
        <v>2.09304</v>
      </c>
      <c r="G951" s="13" t="n">
        <f aca="false">IFERROR(IF(Kalender!A219="",0,J950*(1-Eingaben!$B$20)),0)</f>
        <v>1.96</v>
      </c>
      <c r="H951" s="13" t="n">
        <f aca="false">MIN(G951,D951)</f>
        <v>0.979</v>
      </c>
      <c r="I951" s="13" t="n">
        <f aca="false">IFERROR(MIN(F951*Eingaben!$B$19,MAX(0,D951-H951)),0)</f>
        <v>0</v>
      </c>
      <c r="J951" s="13" t="n">
        <f aca="false">IFERROR(MIN(Eingaben!$B$18,MAX(0,F951-I951)),0)</f>
        <v>2</v>
      </c>
      <c r="K951" s="13" t="n">
        <f aca="false">H951+I951</f>
        <v>0.979</v>
      </c>
      <c r="L951" s="13" t="n">
        <f aca="false">MAX(0,D951-K951)</f>
        <v>0</v>
      </c>
      <c r="M951" s="13" t="n">
        <f aca="false">MAX(0,F951-I951-J951)</f>
        <v>0.0930399999999998</v>
      </c>
      <c r="N951" s="13" t="n">
        <f aca="false">IF(Kalender!A219="",0,J950-H951)</f>
        <v>1.021</v>
      </c>
    </row>
    <row r="952" customFormat="false" ht="16.4" hidden="false" customHeight="false" outlineLevel="0" collapsed="false">
      <c r="A952" s="13" t="str">
        <f aca="false">""</f>
        <v/>
      </c>
      <c r="B952" s="13" t="n">
        <f aca="false">216</f>
        <v>216</v>
      </c>
      <c r="C952" s="13" t="n">
        <f aca="false">IF(Szenarien!$H$10="OK",(IFERROR(SUMIF(Nutzungsprofile!$B$6:$B$11,"Schulbetrieb",Nutzungsprofile!$G$6:$G$11)*Kalender!C220/SUM(Kalender!$C$5:$C$370),0)+IFERROR(SUMIF(Nutzungsprofile!$B$6:$B$11,"Halle",Nutzungsprofile!$G$6:$G$11)*Kalender!D220/SUM(Kalender!$D$5:$D$370),0)+IFERROR(SUMIF(Nutzungsprofile!$B$6:$B$11,"Individuell",Nutzungsprofile!$G$6:$G$11)*Kalender!E220/SUM(Kalender!$E$5:$E$370),0))*Szenarien!$E$10,0)</f>
        <v>2.448</v>
      </c>
      <c r="D952" s="13" t="n">
        <f aca="false">IF(Szenarien!$H$10="OK",(IFERROR(SUMIF(Nutzungsprofile!$B$17:$B$22,"Schulbetrieb",Nutzungsprofile!$G$17:$G$22)*Kalender!C220/SUM(Kalender!$C$5:$C$370),0)+IFERROR(SUMIF(Nutzungsprofile!$B$17:$B$22,"Halle",Nutzungsprofile!$G$17:$G$22)*Kalender!D220/SUM(Kalender!$D$5:$D$370),0)+IFERROR(SUMIF(Nutzungsprofile!$B$17:$B$22,"Individuell",Nutzungsprofile!$G$17:$G$22)*Kalender!E220/SUM(Kalender!$E$5:$E$370),0))*Szenarien!$D$10,0)</f>
        <v>0.979</v>
      </c>
      <c r="E952" s="13" t="n">
        <f aca="false">IFERROR(MIN(C952,Eingaben!$B$17)*Eingaben!$B$16,0)</f>
        <v>2.3256</v>
      </c>
      <c r="F952" s="13" t="n">
        <f aca="false">IFERROR(E952*Eingaben!$B$15,0)</f>
        <v>2.09304</v>
      </c>
      <c r="G952" s="13" t="n">
        <f aca="false">IFERROR(IF(Kalender!A220="",0,J951*(1-Eingaben!$B$20)),0)</f>
        <v>1.96</v>
      </c>
      <c r="H952" s="13" t="n">
        <f aca="false">MIN(G952,D952)</f>
        <v>0.979</v>
      </c>
      <c r="I952" s="13" t="n">
        <f aca="false">IFERROR(MIN(F952*Eingaben!$B$19,MAX(0,D952-H952)),0)</f>
        <v>0</v>
      </c>
      <c r="J952" s="13" t="n">
        <f aca="false">IFERROR(MIN(Eingaben!$B$18,MAX(0,F952-I952)),0)</f>
        <v>2</v>
      </c>
      <c r="K952" s="13" t="n">
        <f aca="false">H952+I952</f>
        <v>0.979</v>
      </c>
      <c r="L952" s="13" t="n">
        <f aca="false">MAX(0,D952-K952)</f>
        <v>0</v>
      </c>
      <c r="M952" s="13" t="n">
        <f aca="false">MAX(0,F952-I952-J952)</f>
        <v>0.0930399999999998</v>
      </c>
      <c r="N952" s="13" t="n">
        <f aca="false">IF(Kalender!A220="",0,J951-H952)</f>
        <v>1.021</v>
      </c>
    </row>
    <row r="953" customFormat="false" ht="16.4" hidden="false" customHeight="false" outlineLevel="0" collapsed="false">
      <c r="A953" s="13" t="str">
        <f aca="false">""</f>
        <v/>
      </c>
      <c r="B953" s="13" t="n">
        <f aca="false">217</f>
        <v>217</v>
      </c>
      <c r="C953" s="13" t="n">
        <f aca="false">IF(Szenarien!$H$10="OK",(IFERROR(SUMIF(Nutzungsprofile!$B$6:$B$11,"Schulbetrieb",Nutzungsprofile!$G$6:$G$11)*Kalender!C221/SUM(Kalender!$C$5:$C$370),0)+IFERROR(SUMIF(Nutzungsprofile!$B$6:$B$11,"Halle",Nutzungsprofile!$G$6:$G$11)*Kalender!D221/SUM(Kalender!$D$5:$D$370),0)+IFERROR(SUMIF(Nutzungsprofile!$B$6:$B$11,"Individuell",Nutzungsprofile!$G$6:$G$11)*Kalender!E221/SUM(Kalender!$E$5:$E$370),0))*Szenarien!$E$10,0)</f>
        <v>2.448</v>
      </c>
      <c r="D953" s="13" t="n">
        <f aca="false">IF(Szenarien!$H$10="OK",(IFERROR(SUMIF(Nutzungsprofile!$B$17:$B$22,"Schulbetrieb",Nutzungsprofile!$G$17:$G$22)*Kalender!C221/SUM(Kalender!$C$5:$C$370),0)+IFERROR(SUMIF(Nutzungsprofile!$B$17:$B$22,"Halle",Nutzungsprofile!$G$17:$G$22)*Kalender!D221/SUM(Kalender!$D$5:$D$370),0)+IFERROR(SUMIF(Nutzungsprofile!$B$17:$B$22,"Individuell",Nutzungsprofile!$G$17:$G$22)*Kalender!E221/SUM(Kalender!$E$5:$E$370),0))*Szenarien!$D$10,0)</f>
        <v>0.979</v>
      </c>
      <c r="E953" s="13" t="n">
        <f aca="false">IFERROR(MIN(C953,Eingaben!$B$17)*Eingaben!$B$16,0)</f>
        <v>2.3256</v>
      </c>
      <c r="F953" s="13" t="n">
        <f aca="false">IFERROR(E953*Eingaben!$B$15,0)</f>
        <v>2.09304</v>
      </c>
      <c r="G953" s="13" t="n">
        <f aca="false">IFERROR(IF(Kalender!A221="",0,J952*(1-Eingaben!$B$20)),0)</f>
        <v>1.96</v>
      </c>
      <c r="H953" s="13" t="n">
        <f aca="false">MIN(G953,D953)</f>
        <v>0.979</v>
      </c>
      <c r="I953" s="13" t="n">
        <f aca="false">IFERROR(MIN(F953*Eingaben!$B$19,MAX(0,D953-H953)),0)</f>
        <v>0</v>
      </c>
      <c r="J953" s="13" t="n">
        <f aca="false">IFERROR(MIN(Eingaben!$B$18,MAX(0,F953-I953)),0)</f>
        <v>2</v>
      </c>
      <c r="K953" s="13" t="n">
        <f aca="false">H953+I953</f>
        <v>0.979</v>
      </c>
      <c r="L953" s="13" t="n">
        <f aca="false">MAX(0,D953-K953)</f>
        <v>0</v>
      </c>
      <c r="M953" s="13" t="n">
        <f aca="false">MAX(0,F953-I953-J953)</f>
        <v>0.0930399999999998</v>
      </c>
      <c r="N953" s="13" t="n">
        <f aca="false">IF(Kalender!A221="",0,J952-H953)</f>
        <v>1.021</v>
      </c>
    </row>
    <row r="954" customFormat="false" ht="16.4" hidden="false" customHeight="false" outlineLevel="0" collapsed="false">
      <c r="A954" s="13" t="str">
        <f aca="false">""</f>
        <v/>
      </c>
      <c r="B954" s="13" t="n">
        <f aca="false">218</f>
        <v>218</v>
      </c>
      <c r="C954" s="13" t="n">
        <f aca="false">IF(Szenarien!$H$10="OK",(IFERROR(SUMIF(Nutzungsprofile!$B$6:$B$11,"Schulbetrieb",Nutzungsprofile!$G$6:$G$11)*Kalender!C222/SUM(Kalender!$C$5:$C$370),0)+IFERROR(SUMIF(Nutzungsprofile!$B$6:$B$11,"Halle",Nutzungsprofile!$G$6:$G$11)*Kalender!D222/SUM(Kalender!$D$5:$D$370),0)+IFERROR(SUMIF(Nutzungsprofile!$B$6:$B$11,"Individuell",Nutzungsprofile!$G$6:$G$11)*Kalender!E222/SUM(Kalender!$E$5:$E$370),0))*Szenarien!$E$10,0)</f>
        <v>2.448</v>
      </c>
      <c r="D954" s="13" t="n">
        <f aca="false">IF(Szenarien!$H$10="OK",(IFERROR(SUMIF(Nutzungsprofile!$B$17:$B$22,"Schulbetrieb",Nutzungsprofile!$G$17:$G$22)*Kalender!C222/SUM(Kalender!$C$5:$C$370),0)+IFERROR(SUMIF(Nutzungsprofile!$B$17:$B$22,"Halle",Nutzungsprofile!$G$17:$G$22)*Kalender!D222/SUM(Kalender!$D$5:$D$370),0)+IFERROR(SUMIF(Nutzungsprofile!$B$17:$B$22,"Individuell",Nutzungsprofile!$G$17:$G$22)*Kalender!E222/SUM(Kalender!$E$5:$E$370),0))*Szenarien!$D$10,0)</f>
        <v>0.979</v>
      </c>
      <c r="E954" s="13" t="n">
        <f aca="false">IFERROR(MIN(C954,Eingaben!$B$17)*Eingaben!$B$16,0)</f>
        <v>2.3256</v>
      </c>
      <c r="F954" s="13" t="n">
        <f aca="false">IFERROR(E954*Eingaben!$B$15,0)</f>
        <v>2.09304</v>
      </c>
      <c r="G954" s="13" t="n">
        <f aca="false">IFERROR(IF(Kalender!A222="",0,J953*(1-Eingaben!$B$20)),0)</f>
        <v>1.96</v>
      </c>
      <c r="H954" s="13" t="n">
        <f aca="false">MIN(G954,D954)</f>
        <v>0.979</v>
      </c>
      <c r="I954" s="13" t="n">
        <f aca="false">IFERROR(MIN(F954*Eingaben!$B$19,MAX(0,D954-H954)),0)</f>
        <v>0</v>
      </c>
      <c r="J954" s="13" t="n">
        <f aca="false">IFERROR(MIN(Eingaben!$B$18,MAX(0,F954-I954)),0)</f>
        <v>2</v>
      </c>
      <c r="K954" s="13" t="n">
        <f aca="false">H954+I954</f>
        <v>0.979</v>
      </c>
      <c r="L954" s="13" t="n">
        <f aca="false">MAX(0,D954-K954)</f>
        <v>0</v>
      </c>
      <c r="M954" s="13" t="n">
        <f aca="false">MAX(0,F954-I954-J954)</f>
        <v>0.0930399999999998</v>
      </c>
      <c r="N954" s="13" t="n">
        <f aca="false">IF(Kalender!A222="",0,J953-H954)</f>
        <v>1.021</v>
      </c>
    </row>
    <row r="955" customFormat="false" ht="16.4" hidden="false" customHeight="false" outlineLevel="0" collapsed="false">
      <c r="A955" s="13" t="str">
        <f aca="false">""</f>
        <v/>
      </c>
      <c r="B955" s="13" t="n">
        <f aca="false">219</f>
        <v>219</v>
      </c>
      <c r="C955" s="13" t="n">
        <f aca="false">IF(Szenarien!$H$10="OK",(IFERROR(SUMIF(Nutzungsprofile!$B$6:$B$11,"Schulbetrieb",Nutzungsprofile!$G$6:$G$11)*Kalender!C223/SUM(Kalender!$C$5:$C$370),0)+IFERROR(SUMIF(Nutzungsprofile!$B$6:$B$11,"Halle",Nutzungsprofile!$G$6:$G$11)*Kalender!D223/SUM(Kalender!$D$5:$D$370),0)+IFERROR(SUMIF(Nutzungsprofile!$B$6:$B$11,"Individuell",Nutzungsprofile!$G$6:$G$11)*Kalender!E223/SUM(Kalender!$E$5:$E$370),0))*Szenarien!$E$10,0)</f>
        <v>2.448</v>
      </c>
      <c r="D955" s="13" t="n">
        <f aca="false">IF(Szenarien!$H$10="OK",(IFERROR(SUMIF(Nutzungsprofile!$B$17:$B$22,"Schulbetrieb",Nutzungsprofile!$G$17:$G$22)*Kalender!C223/SUM(Kalender!$C$5:$C$370),0)+IFERROR(SUMIF(Nutzungsprofile!$B$17:$B$22,"Halle",Nutzungsprofile!$G$17:$G$22)*Kalender!D223/SUM(Kalender!$D$5:$D$370),0)+IFERROR(SUMIF(Nutzungsprofile!$B$17:$B$22,"Individuell",Nutzungsprofile!$G$17:$G$22)*Kalender!E223/SUM(Kalender!$E$5:$E$370),0))*Szenarien!$D$10,0)</f>
        <v>0.979</v>
      </c>
      <c r="E955" s="13" t="n">
        <f aca="false">IFERROR(MIN(C955,Eingaben!$B$17)*Eingaben!$B$16,0)</f>
        <v>2.3256</v>
      </c>
      <c r="F955" s="13" t="n">
        <f aca="false">IFERROR(E955*Eingaben!$B$15,0)</f>
        <v>2.09304</v>
      </c>
      <c r="G955" s="13" t="n">
        <f aca="false">IFERROR(IF(Kalender!A223="",0,J954*(1-Eingaben!$B$20)),0)</f>
        <v>1.96</v>
      </c>
      <c r="H955" s="13" t="n">
        <f aca="false">MIN(G955,D955)</f>
        <v>0.979</v>
      </c>
      <c r="I955" s="13" t="n">
        <f aca="false">IFERROR(MIN(F955*Eingaben!$B$19,MAX(0,D955-H955)),0)</f>
        <v>0</v>
      </c>
      <c r="J955" s="13" t="n">
        <f aca="false">IFERROR(MIN(Eingaben!$B$18,MAX(0,F955-I955)),0)</f>
        <v>2</v>
      </c>
      <c r="K955" s="13" t="n">
        <f aca="false">H955+I955</f>
        <v>0.979</v>
      </c>
      <c r="L955" s="13" t="n">
        <f aca="false">MAX(0,D955-K955)</f>
        <v>0</v>
      </c>
      <c r="M955" s="13" t="n">
        <f aca="false">MAX(0,F955-I955-J955)</f>
        <v>0.0930399999999998</v>
      </c>
      <c r="N955" s="13" t="n">
        <f aca="false">IF(Kalender!A223="",0,J954-H955)</f>
        <v>1.021</v>
      </c>
    </row>
    <row r="956" customFormat="false" ht="16.4" hidden="false" customHeight="false" outlineLevel="0" collapsed="false">
      <c r="A956" s="13" t="str">
        <f aca="false">""</f>
        <v/>
      </c>
      <c r="B956" s="13" t="n">
        <f aca="false">220</f>
        <v>220</v>
      </c>
      <c r="C956" s="13" t="n">
        <f aca="false">IF(Szenarien!$H$10="OK",(IFERROR(SUMIF(Nutzungsprofile!$B$6:$B$11,"Schulbetrieb",Nutzungsprofile!$G$6:$G$11)*Kalender!C224/SUM(Kalender!$C$5:$C$370),0)+IFERROR(SUMIF(Nutzungsprofile!$B$6:$B$11,"Halle",Nutzungsprofile!$G$6:$G$11)*Kalender!D224/SUM(Kalender!$D$5:$D$370),0)+IFERROR(SUMIF(Nutzungsprofile!$B$6:$B$11,"Individuell",Nutzungsprofile!$G$6:$G$11)*Kalender!E224/SUM(Kalender!$E$5:$E$370),0))*Szenarien!$E$10,0)</f>
        <v>2.448</v>
      </c>
      <c r="D956" s="13" t="n">
        <f aca="false">IF(Szenarien!$H$10="OK",(IFERROR(SUMIF(Nutzungsprofile!$B$17:$B$22,"Schulbetrieb",Nutzungsprofile!$G$17:$G$22)*Kalender!C224/SUM(Kalender!$C$5:$C$370),0)+IFERROR(SUMIF(Nutzungsprofile!$B$17:$B$22,"Halle",Nutzungsprofile!$G$17:$G$22)*Kalender!D224/SUM(Kalender!$D$5:$D$370),0)+IFERROR(SUMIF(Nutzungsprofile!$B$17:$B$22,"Individuell",Nutzungsprofile!$G$17:$G$22)*Kalender!E224/SUM(Kalender!$E$5:$E$370),0))*Szenarien!$D$10,0)</f>
        <v>0.979</v>
      </c>
      <c r="E956" s="13" t="n">
        <f aca="false">IFERROR(MIN(C956,Eingaben!$B$17)*Eingaben!$B$16,0)</f>
        <v>2.3256</v>
      </c>
      <c r="F956" s="13" t="n">
        <f aca="false">IFERROR(E956*Eingaben!$B$15,0)</f>
        <v>2.09304</v>
      </c>
      <c r="G956" s="13" t="n">
        <f aca="false">IFERROR(IF(Kalender!A224="",0,J955*(1-Eingaben!$B$20)),0)</f>
        <v>1.96</v>
      </c>
      <c r="H956" s="13" t="n">
        <f aca="false">MIN(G956,D956)</f>
        <v>0.979</v>
      </c>
      <c r="I956" s="13" t="n">
        <f aca="false">IFERROR(MIN(F956*Eingaben!$B$19,MAX(0,D956-H956)),0)</f>
        <v>0</v>
      </c>
      <c r="J956" s="13" t="n">
        <f aca="false">IFERROR(MIN(Eingaben!$B$18,MAX(0,F956-I956)),0)</f>
        <v>2</v>
      </c>
      <c r="K956" s="13" t="n">
        <f aca="false">H956+I956</f>
        <v>0.979</v>
      </c>
      <c r="L956" s="13" t="n">
        <f aca="false">MAX(0,D956-K956)</f>
        <v>0</v>
      </c>
      <c r="M956" s="13" t="n">
        <f aca="false">MAX(0,F956-I956-J956)</f>
        <v>0.0930399999999998</v>
      </c>
      <c r="N956" s="13" t="n">
        <f aca="false">IF(Kalender!A224="",0,J955-H956)</f>
        <v>1.021</v>
      </c>
    </row>
    <row r="957" customFormat="false" ht="16.4" hidden="false" customHeight="false" outlineLevel="0" collapsed="false">
      <c r="A957" s="13" t="str">
        <f aca="false">""</f>
        <v/>
      </c>
      <c r="B957" s="13" t="n">
        <f aca="false">221</f>
        <v>221</v>
      </c>
      <c r="C957" s="13" t="n">
        <f aca="false">IF(Szenarien!$H$10="OK",(IFERROR(SUMIF(Nutzungsprofile!$B$6:$B$11,"Schulbetrieb",Nutzungsprofile!$G$6:$G$11)*Kalender!C225/SUM(Kalender!$C$5:$C$370),0)+IFERROR(SUMIF(Nutzungsprofile!$B$6:$B$11,"Halle",Nutzungsprofile!$G$6:$G$11)*Kalender!D225/SUM(Kalender!$D$5:$D$370),0)+IFERROR(SUMIF(Nutzungsprofile!$B$6:$B$11,"Individuell",Nutzungsprofile!$G$6:$G$11)*Kalender!E225/SUM(Kalender!$E$5:$E$370),0))*Szenarien!$E$10,0)</f>
        <v>2.448</v>
      </c>
      <c r="D957" s="13" t="n">
        <f aca="false">IF(Szenarien!$H$10="OK",(IFERROR(SUMIF(Nutzungsprofile!$B$17:$B$22,"Schulbetrieb",Nutzungsprofile!$G$17:$G$22)*Kalender!C225/SUM(Kalender!$C$5:$C$370),0)+IFERROR(SUMIF(Nutzungsprofile!$B$17:$B$22,"Halle",Nutzungsprofile!$G$17:$G$22)*Kalender!D225/SUM(Kalender!$D$5:$D$370),0)+IFERROR(SUMIF(Nutzungsprofile!$B$17:$B$22,"Individuell",Nutzungsprofile!$G$17:$G$22)*Kalender!E225/SUM(Kalender!$E$5:$E$370),0))*Szenarien!$D$10,0)</f>
        <v>0.979</v>
      </c>
      <c r="E957" s="13" t="n">
        <f aca="false">IFERROR(MIN(C957,Eingaben!$B$17)*Eingaben!$B$16,0)</f>
        <v>2.3256</v>
      </c>
      <c r="F957" s="13" t="n">
        <f aca="false">IFERROR(E957*Eingaben!$B$15,0)</f>
        <v>2.09304</v>
      </c>
      <c r="G957" s="13" t="n">
        <f aca="false">IFERROR(IF(Kalender!A225="",0,J956*(1-Eingaben!$B$20)),0)</f>
        <v>1.96</v>
      </c>
      <c r="H957" s="13" t="n">
        <f aca="false">MIN(G957,D957)</f>
        <v>0.979</v>
      </c>
      <c r="I957" s="13" t="n">
        <f aca="false">IFERROR(MIN(F957*Eingaben!$B$19,MAX(0,D957-H957)),0)</f>
        <v>0</v>
      </c>
      <c r="J957" s="13" t="n">
        <f aca="false">IFERROR(MIN(Eingaben!$B$18,MAX(0,F957-I957)),0)</f>
        <v>2</v>
      </c>
      <c r="K957" s="13" t="n">
        <f aca="false">H957+I957</f>
        <v>0.979</v>
      </c>
      <c r="L957" s="13" t="n">
        <f aca="false">MAX(0,D957-K957)</f>
        <v>0</v>
      </c>
      <c r="M957" s="13" t="n">
        <f aca="false">MAX(0,F957-I957-J957)</f>
        <v>0.0930399999999998</v>
      </c>
      <c r="N957" s="13" t="n">
        <f aca="false">IF(Kalender!A225="",0,J956-H957)</f>
        <v>1.021</v>
      </c>
    </row>
    <row r="958" customFormat="false" ht="16.4" hidden="false" customHeight="false" outlineLevel="0" collapsed="false">
      <c r="A958" s="13" t="str">
        <f aca="false">""</f>
        <v/>
      </c>
      <c r="B958" s="13" t="n">
        <f aca="false">222</f>
        <v>222</v>
      </c>
      <c r="C958" s="13" t="n">
        <f aca="false">IF(Szenarien!$H$10="OK",(IFERROR(SUMIF(Nutzungsprofile!$B$6:$B$11,"Schulbetrieb",Nutzungsprofile!$G$6:$G$11)*Kalender!C226/SUM(Kalender!$C$5:$C$370),0)+IFERROR(SUMIF(Nutzungsprofile!$B$6:$B$11,"Halle",Nutzungsprofile!$G$6:$G$11)*Kalender!D226/SUM(Kalender!$D$5:$D$370),0)+IFERROR(SUMIF(Nutzungsprofile!$B$6:$B$11,"Individuell",Nutzungsprofile!$G$6:$G$11)*Kalender!E226/SUM(Kalender!$E$5:$E$370),0))*Szenarien!$E$10,0)</f>
        <v>2.448</v>
      </c>
      <c r="D958" s="13" t="n">
        <f aca="false">IF(Szenarien!$H$10="OK",(IFERROR(SUMIF(Nutzungsprofile!$B$17:$B$22,"Schulbetrieb",Nutzungsprofile!$G$17:$G$22)*Kalender!C226/SUM(Kalender!$C$5:$C$370),0)+IFERROR(SUMIF(Nutzungsprofile!$B$17:$B$22,"Halle",Nutzungsprofile!$G$17:$G$22)*Kalender!D226/SUM(Kalender!$D$5:$D$370),0)+IFERROR(SUMIF(Nutzungsprofile!$B$17:$B$22,"Individuell",Nutzungsprofile!$G$17:$G$22)*Kalender!E226/SUM(Kalender!$E$5:$E$370),0))*Szenarien!$D$10,0)</f>
        <v>0.979</v>
      </c>
      <c r="E958" s="13" t="n">
        <f aca="false">IFERROR(MIN(C958,Eingaben!$B$17)*Eingaben!$B$16,0)</f>
        <v>2.3256</v>
      </c>
      <c r="F958" s="13" t="n">
        <f aca="false">IFERROR(E958*Eingaben!$B$15,0)</f>
        <v>2.09304</v>
      </c>
      <c r="G958" s="13" t="n">
        <f aca="false">IFERROR(IF(Kalender!A226="",0,J957*(1-Eingaben!$B$20)),0)</f>
        <v>1.96</v>
      </c>
      <c r="H958" s="13" t="n">
        <f aca="false">MIN(G958,D958)</f>
        <v>0.979</v>
      </c>
      <c r="I958" s="13" t="n">
        <f aca="false">IFERROR(MIN(F958*Eingaben!$B$19,MAX(0,D958-H958)),0)</f>
        <v>0</v>
      </c>
      <c r="J958" s="13" t="n">
        <f aca="false">IFERROR(MIN(Eingaben!$B$18,MAX(0,F958-I958)),0)</f>
        <v>2</v>
      </c>
      <c r="K958" s="13" t="n">
        <f aca="false">H958+I958</f>
        <v>0.979</v>
      </c>
      <c r="L958" s="13" t="n">
        <f aca="false">MAX(0,D958-K958)</f>
        <v>0</v>
      </c>
      <c r="M958" s="13" t="n">
        <f aca="false">MAX(0,F958-I958-J958)</f>
        <v>0.0930399999999998</v>
      </c>
      <c r="N958" s="13" t="n">
        <f aca="false">IF(Kalender!A226="",0,J957-H958)</f>
        <v>1.021</v>
      </c>
    </row>
    <row r="959" customFormat="false" ht="16.4" hidden="false" customHeight="false" outlineLevel="0" collapsed="false">
      <c r="A959" s="13" t="str">
        <f aca="false">""</f>
        <v/>
      </c>
      <c r="B959" s="13" t="n">
        <f aca="false">223</f>
        <v>223</v>
      </c>
      <c r="C959" s="13" t="n">
        <f aca="false">IF(Szenarien!$H$10="OK",(IFERROR(SUMIF(Nutzungsprofile!$B$6:$B$11,"Schulbetrieb",Nutzungsprofile!$G$6:$G$11)*Kalender!C227/SUM(Kalender!$C$5:$C$370),0)+IFERROR(SUMIF(Nutzungsprofile!$B$6:$B$11,"Halle",Nutzungsprofile!$G$6:$G$11)*Kalender!D227/SUM(Kalender!$D$5:$D$370),0)+IFERROR(SUMIF(Nutzungsprofile!$B$6:$B$11,"Individuell",Nutzungsprofile!$G$6:$G$11)*Kalender!E227/SUM(Kalender!$E$5:$E$370),0))*Szenarien!$E$10,0)</f>
        <v>2.448</v>
      </c>
      <c r="D959" s="13" t="n">
        <f aca="false">IF(Szenarien!$H$10="OK",(IFERROR(SUMIF(Nutzungsprofile!$B$17:$B$22,"Schulbetrieb",Nutzungsprofile!$G$17:$G$22)*Kalender!C227/SUM(Kalender!$C$5:$C$370),0)+IFERROR(SUMIF(Nutzungsprofile!$B$17:$B$22,"Halle",Nutzungsprofile!$G$17:$G$22)*Kalender!D227/SUM(Kalender!$D$5:$D$370),0)+IFERROR(SUMIF(Nutzungsprofile!$B$17:$B$22,"Individuell",Nutzungsprofile!$G$17:$G$22)*Kalender!E227/SUM(Kalender!$E$5:$E$370),0))*Szenarien!$D$10,0)</f>
        <v>0.979</v>
      </c>
      <c r="E959" s="13" t="n">
        <f aca="false">IFERROR(MIN(C959,Eingaben!$B$17)*Eingaben!$B$16,0)</f>
        <v>2.3256</v>
      </c>
      <c r="F959" s="13" t="n">
        <f aca="false">IFERROR(E959*Eingaben!$B$15,0)</f>
        <v>2.09304</v>
      </c>
      <c r="G959" s="13" t="n">
        <f aca="false">IFERROR(IF(Kalender!A227="",0,J958*(1-Eingaben!$B$20)),0)</f>
        <v>1.96</v>
      </c>
      <c r="H959" s="13" t="n">
        <f aca="false">MIN(G959,D959)</f>
        <v>0.979</v>
      </c>
      <c r="I959" s="13" t="n">
        <f aca="false">IFERROR(MIN(F959*Eingaben!$B$19,MAX(0,D959-H959)),0)</f>
        <v>0</v>
      </c>
      <c r="J959" s="13" t="n">
        <f aca="false">IFERROR(MIN(Eingaben!$B$18,MAX(0,F959-I959)),0)</f>
        <v>2</v>
      </c>
      <c r="K959" s="13" t="n">
        <f aca="false">H959+I959</f>
        <v>0.979</v>
      </c>
      <c r="L959" s="13" t="n">
        <f aca="false">MAX(0,D959-K959)</f>
        <v>0</v>
      </c>
      <c r="M959" s="13" t="n">
        <f aca="false">MAX(0,F959-I959-J959)</f>
        <v>0.0930399999999998</v>
      </c>
      <c r="N959" s="13" t="n">
        <f aca="false">IF(Kalender!A227="",0,J958-H959)</f>
        <v>1.021</v>
      </c>
    </row>
    <row r="960" customFormat="false" ht="16.4" hidden="false" customHeight="false" outlineLevel="0" collapsed="false">
      <c r="A960" s="13" t="str">
        <f aca="false">""</f>
        <v/>
      </c>
      <c r="B960" s="13" t="n">
        <f aca="false">224</f>
        <v>224</v>
      </c>
      <c r="C960" s="13" t="n">
        <f aca="false">IF(Szenarien!$H$10="OK",(IFERROR(SUMIF(Nutzungsprofile!$B$6:$B$11,"Schulbetrieb",Nutzungsprofile!$G$6:$G$11)*Kalender!C228/SUM(Kalender!$C$5:$C$370),0)+IFERROR(SUMIF(Nutzungsprofile!$B$6:$B$11,"Halle",Nutzungsprofile!$G$6:$G$11)*Kalender!D228/SUM(Kalender!$D$5:$D$370),0)+IFERROR(SUMIF(Nutzungsprofile!$B$6:$B$11,"Individuell",Nutzungsprofile!$G$6:$G$11)*Kalender!E228/SUM(Kalender!$E$5:$E$370),0))*Szenarien!$E$10,0)</f>
        <v>2.448</v>
      </c>
      <c r="D960" s="13" t="n">
        <f aca="false">IF(Szenarien!$H$10="OK",(IFERROR(SUMIF(Nutzungsprofile!$B$17:$B$22,"Schulbetrieb",Nutzungsprofile!$G$17:$G$22)*Kalender!C228/SUM(Kalender!$C$5:$C$370),0)+IFERROR(SUMIF(Nutzungsprofile!$B$17:$B$22,"Halle",Nutzungsprofile!$G$17:$G$22)*Kalender!D228/SUM(Kalender!$D$5:$D$370),0)+IFERROR(SUMIF(Nutzungsprofile!$B$17:$B$22,"Individuell",Nutzungsprofile!$G$17:$G$22)*Kalender!E228/SUM(Kalender!$E$5:$E$370),0))*Szenarien!$D$10,0)</f>
        <v>0.979</v>
      </c>
      <c r="E960" s="13" t="n">
        <f aca="false">IFERROR(MIN(C960,Eingaben!$B$17)*Eingaben!$B$16,0)</f>
        <v>2.3256</v>
      </c>
      <c r="F960" s="13" t="n">
        <f aca="false">IFERROR(E960*Eingaben!$B$15,0)</f>
        <v>2.09304</v>
      </c>
      <c r="G960" s="13" t="n">
        <f aca="false">IFERROR(IF(Kalender!A228="",0,J959*(1-Eingaben!$B$20)),0)</f>
        <v>1.96</v>
      </c>
      <c r="H960" s="13" t="n">
        <f aca="false">MIN(G960,D960)</f>
        <v>0.979</v>
      </c>
      <c r="I960" s="13" t="n">
        <f aca="false">IFERROR(MIN(F960*Eingaben!$B$19,MAX(0,D960-H960)),0)</f>
        <v>0</v>
      </c>
      <c r="J960" s="13" t="n">
        <f aca="false">IFERROR(MIN(Eingaben!$B$18,MAX(0,F960-I960)),0)</f>
        <v>2</v>
      </c>
      <c r="K960" s="13" t="n">
        <f aca="false">H960+I960</f>
        <v>0.979</v>
      </c>
      <c r="L960" s="13" t="n">
        <f aca="false">MAX(0,D960-K960)</f>
        <v>0</v>
      </c>
      <c r="M960" s="13" t="n">
        <f aca="false">MAX(0,F960-I960-J960)</f>
        <v>0.0930399999999998</v>
      </c>
      <c r="N960" s="13" t="n">
        <f aca="false">IF(Kalender!A228="",0,J959-H960)</f>
        <v>1.021</v>
      </c>
    </row>
    <row r="961" customFormat="false" ht="16.4" hidden="false" customHeight="false" outlineLevel="0" collapsed="false">
      <c r="A961" s="13" t="str">
        <f aca="false">""</f>
        <v/>
      </c>
      <c r="B961" s="13" t="n">
        <f aca="false">225</f>
        <v>225</v>
      </c>
      <c r="C961" s="13" t="n">
        <f aca="false">IF(Szenarien!$H$10="OK",(IFERROR(SUMIF(Nutzungsprofile!$B$6:$B$11,"Schulbetrieb",Nutzungsprofile!$G$6:$G$11)*Kalender!C229/SUM(Kalender!$C$5:$C$370),0)+IFERROR(SUMIF(Nutzungsprofile!$B$6:$B$11,"Halle",Nutzungsprofile!$G$6:$G$11)*Kalender!D229/SUM(Kalender!$D$5:$D$370),0)+IFERROR(SUMIF(Nutzungsprofile!$B$6:$B$11,"Individuell",Nutzungsprofile!$G$6:$G$11)*Kalender!E229/SUM(Kalender!$E$5:$E$370),0))*Szenarien!$E$10,0)</f>
        <v>2.448</v>
      </c>
      <c r="D961" s="13" t="n">
        <f aca="false">IF(Szenarien!$H$10="OK",(IFERROR(SUMIF(Nutzungsprofile!$B$17:$B$22,"Schulbetrieb",Nutzungsprofile!$G$17:$G$22)*Kalender!C229/SUM(Kalender!$C$5:$C$370),0)+IFERROR(SUMIF(Nutzungsprofile!$B$17:$B$22,"Halle",Nutzungsprofile!$G$17:$G$22)*Kalender!D229/SUM(Kalender!$D$5:$D$370),0)+IFERROR(SUMIF(Nutzungsprofile!$B$17:$B$22,"Individuell",Nutzungsprofile!$G$17:$G$22)*Kalender!E229/SUM(Kalender!$E$5:$E$370),0))*Szenarien!$D$10,0)</f>
        <v>0.979</v>
      </c>
      <c r="E961" s="13" t="n">
        <f aca="false">IFERROR(MIN(C961,Eingaben!$B$17)*Eingaben!$B$16,0)</f>
        <v>2.3256</v>
      </c>
      <c r="F961" s="13" t="n">
        <f aca="false">IFERROR(E961*Eingaben!$B$15,0)</f>
        <v>2.09304</v>
      </c>
      <c r="G961" s="13" t="n">
        <f aca="false">IFERROR(IF(Kalender!A229="",0,J960*(1-Eingaben!$B$20)),0)</f>
        <v>1.96</v>
      </c>
      <c r="H961" s="13" t="n">
        <f aca="false">MIN(G961,D961)</f>
        <v>0.979</v>
      </c>
      <c r="I961" s="13" t="n">
        <f aca="false">IFERROR(MIN(F961*Eingaben!$B$19,MAX(0,D961-H961)),0)</f>
        <v>0</v>
      </c>
      <c r="J961" s="13" t="n">
        <f aca="false">IFERROR(MIN(Eingaben!$B$18,MAX(0,F961-I961)),0)</f>
        <v>2</v>
      </c>
      <c r="K961" s="13" t="n">
        <f aca="false">H961+I961</f>
        <v>0.979</v>
      </c>
      <c r="L961" s="13" t="n">
        <f aca="false">MAX(0,D961-K961)</f>
        <v>0</v>
      </c>
      <c r="M961" s="13" t="n">
        <f aca="false">MAX(0,F961-I961-J961)</f>
        <v>0.0930399999999998</v>
      </c>
      <c r="N961" s="13" t="n">
        <f aca="false">IF(Kalender!A229="",0,J960-H961)</f>
        <v>1.021</v>
      </c>
    </row>
    <row r="962" customFormat="false" ht="16.4" hidden="false" customHeight="false" outlineLevel="0" collapsed="false">
      <c r="A962" s="13" t="str">
        <f aca="false">""</f>
        <v/>
      </c>
      <c r="B962" s="13" t="n">
        <f aca="false">226</f>
        <v>226</v>
      </c>
      <c r="C962" s="13" t="n">
        <f aca="false">IF(Szenarien!$H$10="OK",(IFERROR(SUMIF(Nutzungsprofile!$B$6:$B$11,"Schulbetrieb",Nutzungsprofile!$G$6:$G$11)*Kalender!C230/SUM(Kalender!$C$5:$C$370),0)+IFERROR(SUMIF(Nutzungsprofile!$B$6:$B$11,"Halle",Nutzungsprofile!$G$6:$G$11)*Kalender!D230/SUM(Kalender!$D$5:$D$370),0)+IFERROR(SUMIF(Nutzungsprofile!$B$6:$B$11,"Individuell",Nutzungsprofile!$G$6:$G$11)*Kalender!E230/SUM(Kalender!$E$5:$E$370),0))*Szenarien!$E$10,0)</f>
        <v>2.448</v>
      </c>
      <c r="D962" s="13" t="n">
        <f aca="false">IF(Szenarien!$H$10="OK",(IFERROR(SUMIF(Nutzungsprofile!$B$17:$B$22,"Schulbetrieb",Nutzungsprofile!$G$17:$G$22)*Kalender!C230/SUM(Kalender!$C$5:$C$370),0)+IFERROR(SUMIF(Nutzungsprofile!$B$17:$B$22,"Halle",Nutzungsprofile!$G$17:$G$22)*Kalender!D230/SUM(Kalender!$D$5:$D$370),0)+IFERROR(SUMIF(Nutzungsprofile!$B$17:$B$22,"Individuell",Nutzungsprofile!$G$17:$G$22)*Kalender!E230/SUM(Kalender!$E$5:$E$370),0))*Szenarien!$D$10,0)</f>
        <v>0.979</v>
      </c>
      <c r="E962" s="13" t="n">
        <f aca="false">IFERROR(MIN(C962,Eingaben!$B$17)*Eingaben!$B$16,0)</f>
        <v>2.3256</v>
      </c>
      <c r="F962" s="13" t="n">
        <f aca="false">IFERROR(E962*Eingaben!$B$15,0)</f>
        <v>2.09304</v>
      </c>
      <c r="G962" s="13" t="n">
        <f aca="false">IFERROR(IF(Kalender!A230="",0,J961*(1-Eingaben!$B$20)),0)</f>
        <v>1.96</v>
      </c>
      <c r="H962" s="13" t="n">
        <f aca="false">MIN(G962,D962)</f>
        <v>0.979</v>
      </c>
      <c r="I962" s="13" t="n">
        <f aca="false">IFERROR(MIN(F962*Eingaben!$B$19,MAX(0,D962-H962)),0)</f>
        <v>0</v>
      </c>
      <c r="J962" s="13" t="n">
        <f aca="false">IFERROR(MIN(Eingaben!$B$18,MAX(0,F962-I962)),0)</f>
        <v>2</v>
      </c>
      <c r="K962" s="13" t="n">
        <f aca="false">H962+I962</f>
        <v>0.979</v>
      </c>
      <c r="L962" s="13" t="n">
        <f aca="false">MAX(0,D962-K962)</f>
        <v>0</v>
      </c>
      <c r="M962" s="13" t="n">
        <f aca="false">MAX(0,F962-I962-J962)</f>
        <v>0.0930399999999998</v>
      </c>
      <c r="N962" s="13" t="n">
        <f aca="false">IF(Kalender!A230="",0,J961-H962)</f>
        <v>1.021</v>
      </c>
    </row>
    <row r="963" customFormat="false" ht="16.4" hidden="false" customHeight="false" outlineLevel="0" collapsed="false">
      <c r="A963" s="13" t="str">
        <f aca="false">""</f>
        <v/>
      </c>
      <c r="B963" s="13" t="n">
        <f aca="false">227</f>
        <v>227</v>
      </c>
      <c r="C963" s="13" t="n">
        <f aca="false">IF(Szenarien!$H$10="OK",(IFERROR(SUMIF(Nutzungsprofile!$B$6:$B$11,"Schulbetrieb",Nutzungsprofile!$G$6:$G$11)*Kalender!C231/SUM(Kalender!$C$5:$C$370),0)+IFERROR(SUMIF(Nutzungsprofile!$B$6:$B$11,"Halle",Nutzungsprofile!$G$6:$G$11)*Kalender!D231/SUM(Kalender!$D$5:$D$370),0)+IFERROR(SUMIF(Nutzungsprofile!$B$6:$B$11,"Individuell",Nutzungsprofile!$G$6:$G$11)*Kalender!E231/SUM(Kalender!$E$5:$E$370),0))*Szenarien!$E$10,0)</f>
        <v>2.448</v>
      </c>
      <c r="D963" s="13" t="n">
        <f aca="false">IF(Szenarien!$H$10="OK",(IFERROR(SUMIF(Nutzungsprofile!$B$17:$B$22,"Schulbetrieb",Nutzungsprofile!$G$17:$G$22)*Kalender!C231/SUM(Kalender!$C$5:$C$370),0)+IFERROR(SUMIF(Nutzungsprofile!$B$17:$B$22,"Halle",Nutzungsprofile!$G$17:$G$22)*Kalender!D231/SUM(Kalender!$D$5:$D$370),0)+IFERROR(SUMIF(Nutzungsprofile!$B$17:$B$22,"Individuell",Nutzungsprofile!$G$17:$G$22)*Kalender!E231/SUM(Kalender!$E$5:$E$370),0))*Szenarien!$D$10,0)</f>
        <v>0.979</v>
      </c>
      <c r="E963" s="13" t="n">
        <f aca="false">IFERROR(MIN(C963,Eingaben!$B$17)*Eingaben!$B$16,0)</f>
        <v>2.3256</v>
      </c>
      <c r="F963" s="13" t="n">
        <f aca="false">IFERROR(E963*Eingaben!$B$15,0)</f>
        <v>2.09304</v>
      </c>
      <c r="G963" s="13" t="n">
        <f aca="false">IFERROR(IF(Kalender!A231="",0,J962*(1-Eingaben!$B$20)),0)</f>
        <v>1.96</v>
      </c>
      <c r="H963" s="13" t="n">
        <f aca="false">MIN(G963,D963)</f>
        <v>0.979</v>
      </c>
      <c r="I963" s="13" t="n">
        <f aca="false">IFERROR(MIN(F963*Eingaben!$B$19,MAX(0,D963-H963)),0)</f>
        <v>0</v>
      </c>
      <c r="J963" s="13" t="n">
        <f aca="false">IFERROR(MIN(Eingaben!$B$18,MAX(0,F963-I963)),0)</f>
        <v>2</v>
      </c>
      <c r="K963" s="13" t="n">
        <f aca="false">H963+I963</f>
        <v>0.979</v>
      </c>
      <c r="L963" s="13" t="n">
        <f aca="false">MAX(0,D963-K963)</f>
        <v>0</v>
      </c>
      <c r="M963" s="13" t="n">
        <f aca="false">MAX(0,F963-I963-J963)</f>
        <v>0.0930399999999998</v>
      </c>
      <c r="N963" s="13" t="n">
        <f aca="false">IF(Kalender!A231="",0,J962-H963)</f>
        <v>1.021</v>
      </c>
    </row>
    <row r="964" customFormat="false" ht="16.4" hidden="false" customHeight="false" outlineLevel="0" collapsed="false">
      <c r="A964" s="13" t="str">
        <f aca="false">""</f>
        <v/>
      </c>
      <c r="B964" s="13" t="n">
        <f aca="false">228</f>
        <v>228</v>
      </c>
      <c r="C964" s="13" t="n">
        <f aca="false">IF(Szenarien!$H$10="OK",(IFERROR(SUMIF(Nutzungsprofile!$B$6:$B$11,"Schulbetrieb",Nutzungsprofile!$G$6:$G$11)*Kalender!C232/SUM(Kalender!$C$5:$C$370),0)+IFERROR(SUMIF(Nutzungsprofile!$B$6:$B$11,"Halle",Nutzungsprofile!$G$6:$G$11)*Kalender!D232/SUM(Kalender!$D$5:$D$370),0)+IFERROR(SUMIF(Nutzungsprofile!$B$6:$B$11,"Individuell",Nutzungsprofile!$G$6:$G$11)*Kalender!E232/SUM(Kalender!$E$5:$E$370),0))*Szenarien!$E$10,0)</f>
        <v>2.448</v>
      </c>
      <c r="D964" s="13" t="n">
        <f aca="false">IF(Szenarien!$H$10="OK",(IFERROR(SUMIF(Nutzungsprofile!$B$17:$B$22,"Schulbetrieb",Nutzungsprofile!$G$17:$G$22)*Kalender!C232/SUM(Kalender!$C$5:$C$370),0)+IFERROR(SUMIF(Nutzungsprofile!$B$17:$B$22,"Halle",Nutzungsprofile!$G$17:$G$22)*Kalender!D232/SUM(Kalender!$D$5:$D$370),0)+IFERROR(SUMIF(Nutzungsprofile!$B$17:$B$22,"Individuell",Nutzungsprofile!$G$17:$G$22)*Kalender!E232/SUM(Kalender!$E$5:$E$370),0))*Szenarien!$D$10,0)</f>
        <v>0.979</v>
      </c>
      <c r="E964" s="13" t="n">
        <f aca="false">IFERROR(MIN(C964,Eingaben!$B$17)*Eingaben!$B$16,0)</f>
        <v>2.3256</v>
      </c>
      <c r="F964" s="13" t="n">
        <f aca="false">IFERROR(E964*Eingaben!$B$15,0)</f>
        <v>2.09304</v>
      </c>
      <c r="G964" s="13" t="n">
        <f aca="false">IFERROR(IF(Kalender!A232="",0,J963*(1-Eingaben!$B$20)),0)</f>
        <v>1.96</v>
      </c>
      <c r="H964" s="13" t="n">
        <f aca="false">MIN(G964,D964)</f>
        <v>0.979</v>
      </c>
      <c r="I964" s="13" t="n">
        <f aca="false">IFERROR(MIN(F964*Eingaben!$B$19,MAX(0,D964-H964)),0)</f>
        <v>0</v>
      </c>
      <c r="J964" s="13" t="n">
        <f aca="false">IFERROR(MIN(Eingaben!$B$18,MAX(0,F964-I964)),0)</f>
        <v>2</v>
      </c>
      <c r="K964" s="13" t="n">
        <f aca="false">H964+I964</f>
        <v>0.979</v>
      </c>
      <c r="L964" s="13" t="n">
        <f aca="false">MAX(0,D964-K964)</f>
        <v>0</v>
      </c>
      <c r="M964" s="13" t="n">
        <f aca="false">MAX(0,F964-I964-J964)</f>
        <v>0.0930399999999998</v>
      </c>
      <c r="N964" s="13" t="n">
        <f aca="false">IF(Kalender!A232="",0,J963-H964)</f>
        <v>1.021</v>
      </c>
    </row>
    <row r="965" customFormat="false" ht="16.4" hidden="false" customHeight="false" outlineLevel="0" collapsed="false">
      <c r="A965" s="13" t="str">
        <f aca="false">""</f>
        <v/>
      </c>
      <c r="B965" s="13" t="n">
        <f aca="false">229</f>
        <v>229</v>
      </c>
      <c r="C965" s="13" t="n">
        <f aca="false">IF(Szenarien!$H$10="OK",(IFERROR(SUMIF(Nutzungsprofile!$B$6:$B$11,"Schulbetrieb",Nutzungsprofile!$G$6:$G$11)*Kalender!C233/SUM(Kalender!$C$5:$C$370),0)+IFERROR(SUMIF(Nutzungsprofile!$B$6:$B$11,"Halle",Nutzungsprofile!$G$6:$G$11)*Kalender!D233/SUM(Kalender!$D$5:$D$370),0)+IFERROR(SUMIF(Nutzungsprofile!$B$6:$B$11,"Individuell",Nutzungsprofile!$G$6:$G$11)*Kalender!E233/SUM(Kalender!$E$5:$E$370),0))*Szenarien!$E$10,0)</f>
        <v>2.448</v>
      </c>
      <c r="D965" s="13" t="n">
        <f aca="false">IF(Szenarien!$H$10="OK",(IFERROR(SUMIF(Nutzungsprofile!$B$17:$B$22,"Schulbetrieb",Nutzungsprofile!$G$17:$G$22)*Kalender!C233/SUM(Kalender!$C$5:$C$370),0)+IFERROR(SUMIF(Nutzungsprofile!$B$17:$B$22,"Halle",Nutzungsprofile!$G$17:$G$22)*Kalender!D233/SUM(Kalender!$D$5:$D$370),0)+IFERROR(SUMIF(Nutzungsprofile!$B$17:$B$22,"Individuell",Nutzungsprofile!$G$17:$G$22)*Kalender!E233/SUM(Kalender!$E$5:$E$370),0))*Szenarien!$D$10,0)</f>
        <v>0.979</v>
      </c>
      <c r="E965" s="13" t="n">
        <f aca="false">IFERROR(MIN(C965,Eingaben!$B$17)*Eingaben!$B$16,0)</f>
        <v>2.3256</v>
      </c>
      <c r="F965" s="13" t="n">
        <f aca="false">IFERROR(E965*Eingaben!$B$15,0)</f>
        <v>2.09304</v>
      </c>
      <c r="G965" s="13" t="n">
        <f aca="false">IFERROR(IF(Kalender!A233="",0,J964*(1-Eingaben!$B$20)),0)</f>
        <v>1.96</v>
      </c>
      <c r="H965" s="13" t="n">
        <f aca="false">MIN(G965,D965)</f>
        <v>0.979</v>
      </c>
      <c r="I965" s="13" t="n">
        <f aca="false">IFERROR(MIN(F965*Eingaben!$B$19,MAX(0,D965-H965)),0)</f>
        <v>0</v>
      </c>
      <c r="J965" s="13" t="n">
        <f aca="false">IFERROR(MIN(Eingaben!$B$18,MAX(0,F965-I965)),0)</f>
        <v>2</v>
      </c>
      <c r="K965" s="13" t="n">
        <f aca="false">H965+I965</f>
        <v>0.979</v>
      </c>
      <c r="L965" s="13" t="n">
        <f aca="false">MAX(0,D965-K965)</f>
        <v>0</v>
      </c>
      <c r="M965" s="13" t="n">
        <f aca="false">MAX(0,F965-I965-J965)</f>
        <v>0.0930399999999998</v>
      </c>
      <c r="N965" s="13" t="n">
        <f aca="false">IF(Kalender!A233="",0,J964-H965)</f>
        <v>1.021</v>
      </c>
    </row>
    <row r="966" customFormat="false" ht="16.4" hidden="false" customHeight="false" outlineLevel="0" collapsed="false">
      <c r="A966" s="13" t="str">
        <f aca="false">""</f>
        <v/>
      </c>
      <c r="B966" s="13" t="n">
        <f aca="false">230</f>
        <v>230</v>
      </c>
      <c r="C966" s="13" t="n">
        <f aca="false">IF(Szenarien!$H$10="OK",(IFERROR(SUMIF(Nutzungsprofile!$B$6:$B$11,"Schulbetrieb",Nutzungsprofile!$G$6:$G$11)*Kalender!C234/SUM(Kalender!$C$5:$C$370),0)+IFERROR(SUMIF(Nutzungsprofile!$B$6:$B$11,"Halle",Nutzungsprofile!$G$6:$G$11)*Kalender!D234/SUM(Kalender!$D$5:$D$370),0)+IFERROR(SUMIF(Nutzungsprofile!$B$6:$B$11,"Individuell",Nutzungsprofile!$G$6:$G$11)*Kalender!E234/SUM(Kalender!$E$5:$E$370),0))*Szenarien!$E$10,0)</f>
        <v>2.448</v>
      </c>
      <c r="D966" s="13" t="n">
        <f aca="false">IF(Szenarien!$H$10="OK",(IFERROR(SUMIF(Nutzungsprofile!$B$17:$B$22,"Schulbetrieb",Nutzungsprofile!$G$17:$G$22)*Kalender!C234/SUM(Kalender!$C$5:$C$370),0)+IFERROR(SUMIF(Nutzungsprofile!$B$17:$B$22,"Halle",Nutzungsprofile!$G$17:$G$22)*Kalender!D234/SUM(Kalender!$D$5:$D$370),0)+IFERROR(SUMIF(Nutzungsprofile!$B$17:$B$22,"Individuell",Nutzungsprofile!$G$17:$G$22)*Kalender!E234/SUM(Kalender!$E$5:$E$370),0))*Szenarien!$D$10,0)</f>
        <v>0.979</v>
      </c>
      <c r="E966" s="13" t="n">
        <f aca="false">IFERROR(MIN(C966,Eingaben!$B$17)*Eingaben!$B$16,0)</f>
        <v>2.3256</v>
      </c>
      <c r="F966" s="13" t="n">
        <f aca="false">IFERROR(E966*Eingaben!$B$15,0)</f>
        <v>2.09304</v>
      </c>
      <c r="G966" s="13" t="n">
        <f aca="false">IFERROR(IF(Kalender!A234="",0,J965*(1-Eingaben!$B$20)),0)</f>
        <v>1.96</v>
      </c>
      <c r="H966" s="13" t="n">
        <f aca="false">MIN(G966,D966)</f>
        <v>0.979</v>
      </c>
      <c r="I966" s="13" t="n">
        <f aca="false">IFERROR(MIN(F966*Eingaben!$B$19,MAX(0,D966-H966)),0)</f>
        <v>0</v>
      </c>
      <c r="J966" s="13" t="n">
        <f aca="false">IFERROR(MIN(Eingaben!$B$18,MAX(0,F966-I966)),0)</f>
        <v>2</v>
      </c>
      <c r="K966" s="13" t="n">
        <f aca="false">H966+I966</f>
        <v>0.979</v>
      </c>
      <c r="L966" s="13" t="n">
        <f aca="false">MAX(0,D966-K966)</f>
        <v>0</v>
      </c>
      <c r="M966" s="13" t="n">
        <f aca="false">MAX(0,F966-I966-J966)</f>
        <v>0.0930399999999998</v>
      </c>
      <c r="N966" s="13" t="n">
        <f aca="false">IF(Kalender!A234="",0,J965-H966)</f>
        <v>1.021</v>
      </c>
    </row>
    <row r="967" customFormat="false" ht="16.4" hidden="false" customHeight="false" outlineLevel="0" collapsed="false">
      <c r="A967" s="13" t="str">
        <f aca="false">""</f>
        <v/>
      </c>
      <c r="B967" s="13" t="n">
        <f aca="false">231</f>
        <v>231</v>
      </c>
      <c r="C967" s="13" t="n">
        <f aca="false">IF(Szenarien!$H$10="OK",(IFERROR(SUMIF(Nutzungsprofile!$B$6:$B$11,"Schulbetrieb",Nutzungsprofile!$G$6:$G$11)*Kalender!C235/SUM(Kalender!$C$5:$C$370),0)+IFERROR(SUMIF(Nutzungsprofile!$B$6:$B$11,"Halle",Nutzungsprofile!$G$6:$G$11)*Kalender!D235/SUM(Kalender!$D$5:$D$370),0)+IFERROR(SUMIF(Nutzungsprofile!$B$6:$B$11,"Individuell",Nutzungsprofile!$G$6:$G$11)*Kalender!E235/SUM(Kalender!$E$5:$E$370),0))*Szenarien!$E$10,0)</f>
        <v>2.448</v>
      </c>
      <c r="D967" s="13" t="n">
        <f aca="false">IF(Szenarien!$H$10="OK",(IFERROR(SUMIF(Nutzungsprofile!$B$17:$B$22,"Schulbetrieb",Nutzungsprofile!$G$17:$G$22)*Kalender!C235/SUM(Kalender!$C$5:$C$370),0)+IFERROR(SUMIF(Nutzungsprofile!$B$17:$B$22,"Halle",Nutzungsprofile!$G$17:$G$22)*Kalender!D235/SUM(Kalender!$D$5:$D$370),0)+IFERROR(SUMIF(Nutzungsprofile!$B$17:$B$22,"Individuell",Nutzungsprofile!$G$17:$G$22)*Kalender!E235/SUM(Kalender!$E$5:$E$370),0))*Szenarien!$D$10,0)</f>
        <v>0.979</v>
      </c>
      <c r="E967" s="13" t="n">
        <f aca="false">IFERROR(MIN(C967,Eingaben!$B$17)*Eingaben!$B$16,0)</f>
        <v>2.3256</v>
      </c>
      <c r="F967" s="13" t="n">
        <f aca="false">IFERROR(E967*Eingaben!$B$15,0)</f>
        <v>2.09304</v>
      </c>
      <c r="G967" s="13" t="n">
        <f aca="false">IFERROR(IF(Kalender!A235="",0,J966*(1-Eingaben!$B$20)),0)</f>
        <v>1.96</v>
      </c>
      <c r="H967" s="13" t="n">
        <f aca="false">MIN(G967,D967)</f>
        <v>0.979</v>
      </c>
      <c r="I967" s="13" t="n">
        <f aca="false">IFERROR(MIN(F967*Eingaben!$B$19,MAX(0,D967-H967)),0)</f>
        <v>0</v>
      </c>
      <c r="J967" s="13" t="n">
        <f aca="false">IFERROR(MIN(Eingaben!$B$18,MAX(0,F967-I967)),0)</f>
        <v>2</v>
      </c>
      <c r="K967" s="13" t="n">
        <f aca="false">H967+I967</f>
        <v>0.979</v>
      </c>
      <c r="L967" s="13" t="n">
        <f aca="false">MAX(0,D967-K967)</f>
        <v>0</v>
      </c>
      <c r="M967" s="13" t="n">
        <f aca="false">MAX(0,F967-I967-J967)</f>
        <v>0.0930399999999998</v>
      </c>
      <c r="N967" s="13" t="n">
        <f aca="false">IF(Kalender!A235="",0,J966-H967)</f>
        <v>1.021</v>
      </c>
    </row>
    <row r="968" customFormat="false" ht="16.4" hidden="false" customHeight="false" outlineLevel="0" collapsed="false">
      <c r="A968" s="13" t="str">
        <f aca="false">""</f>
        <v/>
      </c>
      <c r="B968" s="13" t="n">
        <f aca="false">232</f>
        <v>232</v>
      </c>
      <c r="C968" s="13" t="n">
        <f aca="false">IF(Szenarien!$H$10="OK",(IFERROR(SUMIF(Nutzungsprofile!$B$6:$B$11,"Schulbetrieb",Nutzungsprofile!$G$6:$G$11)*Kalender!C236/SUM(Kalender!$C$5:$C$370),0)+IFERROR(SUMIF(Nutzungsprofile!$B$6:$B$11,"Halle",Nutzungsprofile!$G$6:$G$11)*Kalender!D236/SUM(Kalender!$D$5:$D$370),0)+IFERROR(SUMIF(Nutzungsprofile!$B$6:$B$11,"Individuell",Nutzungsprofile!$G$6:$G$11)*Kalender!E236/SUM(Kalender!$E$5:$E$370),0))*Szenarien!$E$10,0)</f>
        <v>2.448</v>
      </c>
      <c r="D968" s="13" t="n">
        <f aca="false">IF(Szenarien!$H$10="OK",(IFERROR(SUMIF(Nutzungsprofile!$B$17:$B$22,"Schulbetrieb",Nutzungsprofile!$G$17:$G$22)*Kalender!C236/SUM(Kalender!$C$5:$C$370),0)+IFERROR(SUMIF(Nutzungsprofile!$B$17:$B$22,"Halle",Nutzungsprofile!$G$17:$G$22)*Kalender!D236/SUM(Kalender!$D$5:$D$370),0)+IFERROR(SUMIF(Nutzungsprofile!$B$17:$B$22,"Individuell",Nutzungsprofile!$G$17:$G$22)*Kalender!E236/SUM(Kalender!$E$5:$E$370),0))*Szenarien!$D$10,0)</f>
        <v>0.979</v>
      </c>
      <c r="E968" s="13" t="n">
        <f aca="false">IFERROR(MIN(C968,Eingaben!$B$17)*Eingaben!$B$16,0)</f>
        <v>2.3256</v>
      </c>
      <c r="F968" s="13" t="n">
        <f aca="false">IFERROR(E968*Eingaben!$B$15,0)</f>
        <v>2.09304</v>
      </c>
      <c r="G968" s="13" t="n">
        <f aca="false">IFERROR(IF(Kalender!A236="",0,J967*(1-Eingaben!$B$20)),0)</f>
        <v>1.96</v>
      </c>
      <c r="H968" s="13" t="n">
        <f aca="false">MIN(G968,D968)</f>
        <v>0.979</v>
      </c>
      <c r="I968" s="13" t="n">
        <f aca="false">IFERROR(MIN(F968*Eingaben!$B$19,MAX(0,D968-H968)),0)</f>
        <v>0</v>
      </c>
      <c r="J968" s="13" t="n">
        <f aca="false">IFERROR(MIN(Eingaben!$B$18,MAX(0,F968-I968)),0)</f>
        <v>2</v>
      </c>
      <c r="K968" s="13" t="n">
        <f aca="false">H968+I968</f>
        <v>0.979</v>
      </c>
      <c r="L968" s="13" t="n">
        <f aca="false">MAX(0,D968-K968)</f>
        <v>0</v>
      </c>
      <c r="M968" s="13" t="n">
        <f aca="false">MAX(0,F968-I968-J968)</f>
        <v>0.0930399999999998</v>
      </c>
      <c r="N968" s="13" t="n">
        <f aca="false">IF(Kalender!A236="",0,J967-H968)</f>
        <v>1.021</v>
      </c>
    </row>
    <row r="969" customFormat="false" ht="16.4" hidden="false" customHeight="false" outlineLevel="0" collapsed="false">
      <c r="A969" s="13" t="str">
        <f aca="false">""</f>
        <v/>
      </c>
      <c r="B969" s="13" t="n">
        <f aca="false">233</f>
        <v>233</v>
      </c>
      <c r="C969" s="13" t="n">
        <f aca="false">IF(Szenarien!$H$10="OK",(IFERROR(SUMIF(Nutzungsprofile!$B$6:$B$11,"Schulbetrieb",Nutzungsprofile!$G$6:$G$11)*Kalender!C237/SUM(Kalender!$C$5:$C$370),0)+IFERROR(SUMIF(Nutzungsprofile!$B$6:$B$11,"Halle",Nutzungsprofile!$G$6:$G$11)*Kalender!D237/SUM(Kalender!$D$5:$D$370),0)+IFERROR(SUMIF(Nutzungsprofile!$B$6:$B$11,"Individuell",Nutzungsprofile!$G$6:$G$11)*Kalender!E237/SUM(Kalender!$E$5:$E$370),0))*Szenarien!$E$10,0)</f>
        <v>2.448</v>
      </c>
      <c r="D969" s="13" t="n">
        <f aca="false">IF(Szenarien!$H$10="OK",(IFERROR(SUMIF(Nutzungsprofile!$B$17:$B$22,"Schulbetrieb",Nutzungsprofile!$G$17:$G$22)*Kalender!C237/SUM(Kalender!$C$5:$C$370),0)+IFERROR(SUMIF(Nutzungsprofile!$B$17:$B$22,"Halle",Nutzungsprofile!$G$17:$G$22)*Kalender!D237/SUM(Kalender!$D$5:$D$370),0)+IFERROR(SUMIF(Nutzungsprofile!$B$17:$B$22,"Individuell",Nutzungsprofile!$G$17:$G$22)*Kalender!E237/SUM(Kalender!$E$5:$E$370),0))*Szenarien!$D$10,0)</f>
        <v>0.979</v>
      </c>
      <c r="E969" s="13" t="n">
        <f aca="false">IFERROR(MIN(C969,Eingaben!$B$17)*Eingaben!$B$16,0)</f>
        <v>2.3256</v>
      </c>
      <c r="F969" s="13" t="n">
        <f aca="false">IFERROR(E969*Eingaben!$B$15,0)</f>
        <v>2.09304</v>
      </c>
      <c r="G969" s="13" t="n">
        <f aca="false">IFERROR(IF(Kalender!A237="",0,J968*(1-Eingaben!$B$20)),0)</f>
        <v>1.96</v>
      </c>
      <c r="H969" s="13" t="n">
        <f aca="false">MIN(G969,D969)</f>
        <v>0.979</v>
      </c>
      <c r="I969" s="13" t="n">
        <f aca="false">IFERROR(MIN(F969*Eingaben!$B$19,MAX(0,D969-H969)),0)</f>
        <v>0</v>
      </c>
      <c r="J969" s="13" t="n">
        <f aca="false">IFERROR(MIN(Eingaben!$B$18,MAX(0,F969-I969)),0)</f>
        <v>2</v>
      </c>
      <c r="K969" s="13" t="n">
        <f aca="false">H969+I969</f>
        <v>0.979</v>
      </c>
      <c r="L969" s="13" t="n">
        <f aca="false">MAX(0,D969-K969)</f>
        <v>0</v>
      </c>
      <c r="M969" s="13" t="n">
        <f aca="false">MAX(0,F969-I969-J969)</f>
        <v>0.0930399999999998</v>
      </c>
      <c r="N969" s="13" t="n">
        <f aca="false">IF(Kalender!A237="",0,J968-H969)</f>
        <v>1.021</v>
      </c>
    </row>
    <row r="970" customFormat="false" ht="16.4" hidden="false" customHeight="false" outlineLevel="0" collapsed="false">
      <c r="A970" s="13" t="str">
        <f aca="false">""</f>
        <v/>
      </c>
      <c r="B970" s="13" t="n">
        <f aca="false">234</f>
        <v>234</v>
      </c>
      <c r="C970" s="13" t="n">
        <f aca="false">IF(Szenarien!$H$10="OK",(IFERROR(SUMIF(Nutzungsprofile!$B$6:$B$11,"Schulbetrieb",Nutzungsprofile!$G$6:$G$11)*Kalender!C238/SUM(Kalender!$C$5:$C$370),0)+IFERROR(SUMIF(Nutzungsprofile!$B$6:$B$11,"Halle",Nutzungsprofile!$G$6:$G$11)*Kalender!D238/SUM(Kalender!$D$5:$D$370),0)+IFERROR(SUMIF(Nutzungsprofile!$B$6:$B$11,"Individuell",Nutzungsprofile!$G$6:$G$11)*Kalender!E238/SUM(Kalender!$E$5:$E$370),0))*Szenarien!$E$10,0)</f>
        <v>2.448</v>
      </c>
      <c r="D970" s="13" t="n">
        <f aca="false">IF(Szenarien!$H$10="OK",(IFERROR(SUMIF(Nutzungsprofile!$B$17:$B$22,"Schulbetrieb",Nutzungsprofile!$G$17:$G$22)*Kalender!C238/SUM(Kalender!$C$5:$C$370),0)+IFERROR(SUMIF(Nutzungsprofile!$B$17:$B$22,"Halle",Nutzungsprofile!$G$17:$G$22)*Kalender!D238/SUM(Kalender!$D$5:$D$370),0)+IFERROR(SUMIF(Nutzungsprofile!$B$17:$B$22,"Individuell",Nutzungsprofile!$G$17:$G$22)*Kalender!E238/SUM(Kalender!$E$5:$E$370),0))*Szenarien!$D$10,0)</f>
        <v>0.979</v>
      </c>
      <c r="E970" s="13" t="n">
        <f aca="false">IFERROR(MIN(C970,Eingaben!$B$17)*Eingaben!$B$16,0)</f>
        <v>2.3256</v>
      </c>
      <c r="F970" s="13" t="n">
        <f aca="false">IFERROR(E970*Eingaben!$B$15,0)</f>
        <v>2.09304</v>
      </c>
      <c r="G970" s="13" t="n">
        <f aca="false">IFERROR(IF(Kalender!A238="",0,J969*(1-Eingaben!$B$20)),0)</f>
        <v>1.96</v>
      </c>
      <c r="H970" s="13" t="n">
        <f aca="false">MIN(G970,D970)</f>
        <v>0.979</v>
      </c>
      <c r="I970" s="13" t="n">
        <f aca="false">IFERROR(MIN(F970*Eingaben!$B$19,MAX(0,D970-H970)),0)</f>
        <v>0</v>
      </c>
      <c r="J970" s="13" t="n">
        <f aca="false">IFERROR(MIN(Eingaben!$B$18,MAX(0,F970-I970)),0)</f>
        <v>2</v>
      </c>
      <c r="K970" s="13" t="n">
        <f aca="false">H970+I970</f>
        <v>0.979</v>
      </c>
      <c r="L970" s="13" t="n">
        <f aca="false">MAX(0,D970-K970)</f>
        <v>0</v>
      </c>
      <c r="M970" s="13" t="n">
        <f aca="false">MAX(0,F970-I970-J970)</f>
        <v>0.0930399999999998</v>
      </c>
      <c r="N970" s="13" t="n">
        <f aca="false">IF(Kalender!A238="",0,J969-H970)</f>
        <v>1.021</v>
      </c>
    </row>
    <row r="971" customFormat="false" ht="16.4" hidden="false" customHeight="false" outlineLevel="0" collapsed="false">
      <c r="A971" s="13" t="str">
        <f aca="false">""</f>
        <v/>
      </c>
      <c r="B971" s="13" t="n">
        <f aca="false">235</f>
        <v>235</v>
      </c>
      <c r="C971" s="13" t="n">
        <f aca="false">IF(Szenarien!$H$10="OK",(IFERROR(SUMIF(Nutzungsprofile!$B$6:$B$11,"Schulbetrieb",Nutzungsprofile!$G$6:$G$11)*Kalender!C239/SUM(Kalender!$C$5:$C$370),0)+IFERROR(SUMIF(Nutzungsprofile!$B$6:$B$11,"Halle",Nutzungsprofile!$G$6:$G$11)*Kalender!D239/SUM(Kalender!$D$5:$D$370),0)+IFERROR(SUMIF(Nutzungsprofile!$B$6:$B$11,"Individuell",Nutzungsprofile!$G$6:$G$11)*Kalender!E239/SUM(Kalender!$E$5:$E$370),0))*Szenarien!$E$10,0)</f>
        <v>2.448</v>
      </c>
      <c r="D971" s="13" t="n">
        <f aca="false">IF(Szenarien!$H$10="OK",(IFERROR(SUMIF(Nutzungsprofile!$B$17:$B$22,"Schulbetrieb",Nutzungsprofile!$G$17:$G$22)*Kalender!C239/SUM(Kalender!$C$5:$C$370),0)+IFERROR(SUMIF(Nutzungsprofile!$B$17:$B$22,"Halle",Nutzungsprofile!$G$17:$G$22)*Kalender!D239/SUM(Kalender!$D$5:$D$370),0)+IFERROR(SUMIF(Nutzungsprofile!$B$17:$B$22,"Individuell",Nutzungsprofile!$G$17:$G$22)*Kalender!E239/SUM(Kalender!$E$5:$E$370),0))*Szenarien!$D$10,0)</f>
        <v>0.979</v>
      </c>
      <c r="E971" s="13" t="n">
        <f aca="false">IFERROR(MIN(C971,Eingaben!$B$17)*Eingaben!$B$16,0)</f>
        <v>2.3256</v>
      </c>
      <c r="F971" s="13" t="n">
        <f aca="false">IFERROR(E971*Eingaben!$B$15,0)</f>
        <v>2.09304</v>
      </c>
      <c r="G971" s="13" t="n">
        <f aca="false">IFERROR(IF(Kalender!A239="",0,J970*(1-Eingaben!$B$20)),0)</f>
        <v>1.96</v>
      </c>
      <c r="H971" s="13" t="n">
        <f aca="false">MIN(G971,D971)</f>
        <v>0.979</v>
      </c>
      <c r="I971" s="13" t="n">
        <f aca="false">IFERROR(MIN(F971*Eingaben!$B$19,MAX(0,D971-H971)),0)</f>
        <v>0</v>
      </c>
      <c r="J971" s="13" t="n">
        <f aca="false">IFERROR(MIN(Eingaben!$B$18,MAX(0,F971-I971)),0)</f>
        <v>2</v>
      </c>
      <c r="K971" s="13" t="n">
        <f aca="false">H971+I971</f>
        <v>0.979</v>
      </c>
      <c r="L971" s="13" t="n">
        <f aca="false">MAX(0,D971-K971)</f>
        <v>0</v>
      </c>
      <c r="M971" s="13" t="n">
        <f aca="false">MAX(0,F971-I971-J971)</f>
        <v>0.0930399999999998</v>
      </c>
      <c r="N971" s="13" t="n">
        <f aca="false">IF(Kalender!A239="",0,J970-H971)</f>
        <v>1.021</v>
      </c>
    </row>
    <row r="972" customFormat="false" ht="16.4" hidden="false" customHeight="false" outlineLevel="0" collapsed="false">
      <c r="A972" s="13" t="str">
        <f aca="false">""</f>
        <v/>
      </c>
      <c r="B972" s="13" t="n">
        <f aca="false">236</f>
        <v>236</v>
      </c>
      <c r="C972" s="13" t="n">
        <f aca="false">IF(Szenarien!$H$10="OK",(IFERROR(SUMIF(Nutzungsprofile!$B$6:$B$11,"Schulbetrieb",Nutzungsprofile!$G$6:$G$11)*Kalender!C240/SUM(Kalender!$C$5:$C$370),0)+IFERROR(SUMIF(Nutzungsprofile!$B$6:$B$11,"Halle",Nutzungsprofile!$G$6:$G$11)*Kalender!D240/SUM(Kalender!$D$5:$D$370),0)+IFERROR(SUMIF(Nutzungsprofile!$B$6:$B$11,"Individuell",Nutzungsprofile!$G$6:$G$11)*Kalender!E240/SUM(Kalender!$E$5:$E$370),0))*Szenarien!$E$10,0)</f>
        <v>2.448</v>
      </c>
      <c r="D972" s="13" t="n">
        <f aca="false">IF(Szenarien!$H$10="OK",(IFERROR(SUMIF(Nutzungsprofile!$B$17:$B$22,"Schulbetrieb",Nutzungsprofile!$G$17:$G$22)*Kalender!C240/SUM(Kalender!$C$5:$C$370),0)+IFERROR(SUMIF(Nutzungsprofile!$B$17:$B$22,"Halle",Nutzungsprofile!$G$17:$G$22)*Kalender!D240/SUM(Kalender!$D$5:$D$370),0)+IFERROR(SUMIF(Nutzungsprofile!$B$17:$B$22,"Individuell",Nutzungsprofile!$G$17:$G$22)*Kalender!E240/SUM(Kalender!$E$5:$E$370),0))*Szenarien!$D$10,0)</f>
        <v>0.979</v>
      </c>
      <c r="E972" s="13" t="n">
        <f aca="false">IFERROR(MIN(C972,Eingaben!$B$17)*Eingaben!$B$16,0)</f>
        <v>2.3256</v>
      </c>
      <c r="F972" s="13" t="n">
        <f aca="false">IFERROR(E972*Eingaben!$B$15,0)</f>
        <v>2.09304</v>
      </c>
      <c r="G972" s="13" t="n">
        <f aca="false">IFERROR(IF(Kalender!A240="",0,J971*(1-Eingaben!$B$20)),0)</f>
        <v>1.96</v>
      </c>
      <c r="H972" s="13" t="n">
        <f aca="false">MIN(G972,D972)</f>
        <v>0.979</v>
      </c>
      <c r="I972" s="13" t="n">
        <f aca="false">IFERROR(MIN(F972*Eingaben!$B$19,MAX(0,D972-H972)),0)</f>
        <v>0</v>
      </c>
      <c r="J972" s="13" t="n">
        <f aca="false">IFERROR(MIN(Eingaben!$B$18,MAX(0,F972-I972)),0)</f>
        <v>2</v>
      </c>
      <c r="K972" s="13" t="n">
        <f aca="false">H972+I972</f>
        <v>0.979</v>
      </c>
      <c r="L972" s="13" t="n">
        <f aca="false">MAX(0,D972-K972)</f>
        <v>0</v>
      </c>
      <c r="M972" s="13" t="n">
        <f aca="false">MAX(0,F972-I972-J972)</f>
        <v>0.0930399999999998</v>
      </c>
      <c r="N972" s="13" t="n">
        <f aca="false">IF(Kalender!A240="",0,J971-H972)</f>
        <v>1.021</v>
      </c>
    </row>
    <row r="973" customFormat="false" ht="16.4" hidden="false" customHeight="false" outlineLevel="0" collapsed="false">
      <c r="A973" s="13" t="str">
        <f aca="false">""</f>
        <v/>
      </c>
      <c r="B973" s="13" t="n">
        <f aca="false">237</f>
        <v>237</v>
      </c>
      <c r="C973" s="13" t="n">
        <f aca="false">IF(Szenarien!$H$10="OK",(IFERROR(SUMIF(Nutzungsprofile!$B$6:$B$11,"Schulbetrieb",Nutzungsprofile!$G$6:$G$11)*Kalender!C241/SUM(Kalender!$C$5:$C$370),0)+IFERROR(SUMIF(Nutzungsprofile!$B$6:$B$11,"Halle",Nutzungsprofile!$G$6:$G$11)*Kalender!D241/SUM(Kalender!$D$5:$D$370),0)+IFERROR(SUMIF(Nutzungsprofile!$B$6:$B$11,"Individuell",Nutzungsprofile!$G$6:$G$11)*Kalender!E241/SUM(Kalender!$E$5:$E$370),0))*Szenarien!$E$10,0)</f>
        <v>2.448</v>
      </c>
      <c r="D973" s="13" t="n">
        <f aca="false">IF(Szenarien!$H$10="OK",(IFERROR(SUMIF(Nutzungsprofile!$B$17:$B$22,"Schulbetrieb",Nutzungsprofile!$G$17:$G$22)*Kalender!C241/SUM(Kalender!$C$5:$C$370),0)+IFERROR(SUMIF(Nutzungsprofile!$B$17:$B$22,"Halle",Nutzungsprofile!$G$17:$G$22)*Kalender!D241/SUM(Kalender!$D$5:$D$370),0)+IFERROR(SUMIF(Nutzungsprofile!$B$17:$B$22,"Individuell",Nutzungsprofile!$G$17:$G$22)*Kalender!E241/SUM(Kalender!$E$5:$E$370),0))*Szenarien!$D$10,0)</f>
        <v>0.979</v>
      </c>
      <c r="E973" s="13" t="n">
        <f aca="false">IFERROR(MIN(C973,Eingaben!$B$17)*Eingaben!$B$16,0)</f>
        <v>2.3256</v>
      </c>
      <c r="F973" s="13" t="n">
        <f aca="false">IFERROR(E973*Eingaben!$B$15,0)</f>
        <v>2.09304</v>
      </c>
      <c r="G973" s="13" t="n">
        <f aca="false">IFERROR(IF(Kalender!A241="",0,J972*(1-Eingaben!$B$20)),0)</f>
        <v>1.96</v>
      </c>
      <c r="H973" s="13" t="n">
        <f aca="false">MIN(G973,D973)</f>
        <v>0.979</v>
      </c>
      <c r="I973" s="13" t="n">
        <f aca="false">IFERROR(MIN(F973*Eingaben!$B$19,MAX(0,D973-H973)),0)</f>
        <v>0</v>
      </c>
      <c r="J973" s="13" t="n">
        <f aca="false">IFERROR(MIN(Eingaben!$B$18,MAX(0,F973-I973)),0)</f>
        <v>2</v>
      </c>
      <c r="K973" s="13" t="n">
        <f aca="false">H973+I973</f>
        <v>0.979</v>
      </c>
      <c r="L973" s="13" t="n">
        <f aca="false">MAX(0,D973-K973)</f>
        <v>0</v>
      </c>
      <c r="M973" s="13" t="n">
        <f aca="false">MAX(0,F973-I973-J973)</f>
        <v>0.0930399999999998</v>
      </c>
      <c r="N973" s="13" t="n">
        <f aca="false">IF(Kalender!A241="",0,J972-H973)</f>
        <v>1.021</v>
      </c>
    </row>
    <row r="974" customFormat="false" ht="16.4" hidden="false" customHeight="false" outlineLevel="0" collapsed="false">
      <c r="A974" s="13" t="str">
        <f aca="false">""</f>
        <v/>
      </c>
      <c r="B974" s="13" t="n">
        <f aca="false">238</f>
        <v>238</v>
      </c>
      <c r="C974" s="13" t="n">
        <f aca="false">IF(Szenarien!$H$10="OK",(IFERROR(SUMIF(Nutzungsprofile!$B$6:$B$11,"Schulbetrieb",Nutzungsprofile!$G$6:$G$11)*Kalender!C242/SUM(Kalender!$C$5:$C$370),0)+IFERROR(SUMIF(Nutzungsprofile!$B$6:$B$11,"Halle",Nutzungsprofile!$G$6:$G$11)*Kalender!D242/SUM(Kalender!$D$5:$D$370),0)+IFERROR(SUMIF(Nutzungsprofile!$B$6:$B$11,"Individuell",Nutzungsprofile!$G$6:$G$11)*Kalender!E242/SUM(Kalender!$E$5:$E$370),0))*Szenarien!$E$10,0)</f>
        <v>2.448</v>
      </c>
      <c r="D974" s="13" t="n">
        <f aca="false">IF(Szenarien!$H$10="OK",(IFERROR(SUMIF(Nutzungsprofile!$B$17:$B$22,"Schulbetrieb",Nutzungsprofile!$G$17:$G$22)*Kalender!C242/SUM(Kalender!$C$5:$C$370),0)+IFERROR(SUMIF(Nutzungsprofile!$B$17:$B$22,"Halle",Nutzungsprofile!$G$17:$G$22)*Kalender!D242/SUM(Kalender!$D$5:$D$370),0)+IFERROR(SUMIF(Nutzungsprofile!$B$17:$B$22,"Individuell",Nutzungsprofile!$G$17:$G$22)*Kalender!E242/SUM(Kalender!$E$5:$E$370),0))*Szenarien!$D$10,0)</f>
        <v>0.979</v>
      </c>
      <c r="E974" s="13" t="n">
        <f aca="false">IFERROR(MIN(C974,Eingaben!$B$17)*Eingaben!$B$16,0)</f>
        <v>2.3256</v>
      </c>
      <c r="F974" s="13" t="n">
        <f aca="false">IFERROR(E974*Eingaben!$B$15,0)</f>
        <v>2.09304</v>
      </c>
      <c r="G974" s="13" t="n">
        <f aca="false">IFERROR(IF(Kalender!A242="",0,J973*(1-Eingaben!$B$20)),0)</f>
        <v>1.96</v>
      </c>
      <c r="H974" s="13" t="n">
        <f aca="false">MIN(G974,D974)</f>
        <v>0.979</v>
      </c>
      <c r="I974" s="13" t="n">
        <f aca="false">IFERROR(MIN(F974*Eingaben!$B$19,MAX(0,D974-H974)),0)</f>
        <v>0</v>
      </c>
      <c r="J974" s="13" t="n">
        <f aca="false">IFERROR(MIN(Eingaben!$B$18,MAX(0,F974-I974)),0)</f>
        <v>2</v>
      </c>
      <c r="K974" s="13" t="n">
        <f aca="false">H974+I974</f>
        <v>0.979</v>
      </c>
      <c r="L974" s="13" t="n">
        <f aca="false">MAX(0,D974-K974)</f>
        <v>0</v>
      </c>
      <c r="M974" s="13" t="n">
        <f aca="false">MAX(0,F974-I974-J974)</f>
        <v>0.0930399999999998</v>
      </c>
      <c r="N974" s="13" t="n">
        <f aca="false">IF(Kalender!A242="",0,J973-H974)</f>
        <v>1.021</v>
      </c>
    </row>
    <row r="975" customFormat="false" ht="16.4" hidden="false" customHeight="false" outlineLevel="0" collapsed="false">
      <c r="A975" s="13" t="str">
        <f aca="false">""</f>
        <v/>
      </c>
      <c r="B975" s="13" t="n">
        <f aca="false">239</f>
        <v>239</v>
      </c>
      <c r="C975" s="13" t="n">
        <f aca="false">IF(Szenarien!$H$10="OK",(IFERROR(SUMIF(Nutzungsprofile!$B$6:$B$11,"Schulbetrieb",Nutzungsprofile!$G$6:$G$11)*Kalender!C243/SUM(Kalender!$C$5:$C$370),0)+IFERROR(SUMIF(Nutzungsprofile!$B$6:$B$11,"Halle",Nutzungsprofile!$G$6:$G$11)*Kalender!D243/SUM(Kalender!$D$5:$D$370),0)+IFERROR(SUMIF(Nutzungsprofile!$B$6:$B$11,"Individuell",Nutzungsprofile!$G$6:$G$11)*Kalender!E243/SUM(Kalender!$E$5:$E$370),0))*Szenarien!$E$10,0)</f>
        <v>2.448</v>
      </c>
      <c r="D975" s="13" t="n">
        <f aca="false">IF(Szenarien!$H$10="OK",(IFERROR(SUMIF(Nutzungsprofile!$B$17:$B$22,"Schulbetrieb",Nutzungsprofile!$G$17:$G$22)*Kalender!C243/SUM(Kalender!$C$5:$C$370),0)+IFERROR(SUMIF(Nutzungsprofile!$B$17:$B$22,"Halle",Nutzungsprofile!$G$17:$G$22)*Kalender!D243/SUM(Kalender!$D$5:$D$370),0)+IFERROR(SUMIF(Nutzungsprofile!$B$17:$B$22,"Individuell",Nutzungsprofile!$G$17:$G$22)*Kalender!E243/SUM(Kalender!$E$5:$E$370),0))*Szenarien!$D$10,0)</f>
        <v>0.979</v>
      </c>
      <c r="E975" s="13" t="n">
        <f aca="false">IFERROR(MIN(C975,Eingaben!$B$17)*Eingaben!$B$16,0)</f>
        <v>2.3256</v>
      </c>
      <c r="F975" s="13" t="n">
        <f aca="false">IFERROR(E975*Eingaben!$B$15,0)</f>
        <v>2.09304</v>
      </c>
      <c r="G975" s="13" t="n">
        <f aca="false">IFERROR(IF(Kalender!A243="",0,J974*(1-Eingaben!$B$20)),0)</f>
        <v>1.96</v>
      </c>
      <c r="H975" s="13" t="n">
        <f aca="false">MIN(G975,D975)</f>
        <v>0.979</v>
      </c>
      <c r="I975" s="13" t="n">
        <f aca="false">IFERROR(MIN(F975*Eingaben!$B$19,MAX(0,D975-H975)),0)</f>
        <v>0</v>
      </c>
      <c r="J975" s="13" t="n">
        <f aca="false">IFERROR(MIN(Eingaben!$B$18,MAX(0,F975-I975)),0)</f>
        <v>2</v>
      </c>
      <c r="K975" s="13" t="n">
        <f aca="false">H975+I975</f>
        <v>0.979</v>
      </c>
      <c r="L975" s="13" t="n">
        <f aca="false">MAX(0,D975-K975)</f>
        <v>0</v>
      </c>
      <c r="M975" s="13" t="n">
        <f aca="false">MAX(0,F975-I975-J975)</f>
        <v>0.0930399999999998</v>
      </c>
      <c r="N975" s="13" t="n">
        <f aca="false">IF(Kalender!A243="",0,J974-H975)</f>
        <v>1.021</v>
      </c>
    </row>
    <row r="976" customFormat="false" ht="16.4" hidden="false" customHeight="false" outlineLevel="0" collapsed="false">
      <c r="A976" s="13" t="str">
        <f aca="false">""</f>
        <v/>
      </c>
      <c r="B976" s="13" t="n">
        <f aca="false">240</f>
        <v>240</v>
      </c>
      <c r="C976" s="13" t="n">
        <f aca="false">IF(Szenarien!$H$10="OK",(IFERROR(SUMIF(Nutzungsprofile!$B$6:$B$11,"Schulbetrieb",Nutzungsprofile!$G$6:$G$11)*Kalender!C244/SUM(Kalender!$C$5:$C$370),0)+IFERROR(SUMIF(Nutzungsprofile!$B$6:$B$11,"Halle",Nutzungsprofile!$G$6:$G$11)*Kalender!D244/SUM(Kalender!$D$5:$D$370),0)+IFERROR(SUMIF(Nutzungsprofile!$B$6:$B$11,"Individuell",Nutzungsprofile!$G$6:$G$11)*Kalender!E244/SUM(Kalender!$E$5:$E$370),0))*Szenarien!$E$10,0)</f>
        <v>2.448</v>
      </c>
      <c r="D976" s="13" t="n">
        <f aca="false">IF(Szenarien!$H$10="OK",(IFERROR(SUMIF(Nutzungsprofile!$B$17:$B$22,"Schulbetrieb",Nutzungsprofile!$G$17:$G$22)*Kalender!C244/SUM(Kalender!$C$5:$C$370),0)+IFERROR(SUMIF(Nutzungsprofile!$B$17:$B$22,"Halle",Nutzungsprofile!$G$17:$G$22)*Kalender!D244/SUM(Kalender!$D$5:$D$370),0)+IFERROR(SUMIF(Nutzungsprofile!$B$17:$B$22,"Individuell",Nutzungsprofile!$G$17:$G$22)*Kalender!E244/SUM(Kalender!$E$5:$E$370),0))*Szenarien!$D$10,0)</f>
        <v>0.979</v>
      </c>
      <c r="E976" s="13" t="n">
        <f aca="false">IFERROR(MIN(C976,Eingaben!$B$17)*Eingaben!$B$16,0)</f>
        <v>2.3256</v>
      </c>
      <c r="F976" s="13" t="n">
        <f aca="false">IFERROR(E976*Eingaben!$B$15,0)</f>
        <v>2.09304</v>
      </c>
      <c r="G976" s="13" t="n">
        <f aca="false">IFERROR(IF(Kalender!A244="",0,J975*(1-Eingaben!$B$20)),0)</f>
        <v>1.96</v>
      </c>
      <c r="H976" s="13" t="n">
        <f aca="false">MIN(G976,D976)</f>
        <v>0.979</v>
      </c>
      <c r="I976" s="13" t="n">
        <f aca="false">IFERROR(MIN(F976*Eingaben!$B$19,MAX(0,D976-H976)),0)</f>
        <v>0</v>
      </c>
      <c r="J976" s="13" t="n">
        <f aca="false">IFERROR(MIN(Eingaben!$B$18,MAX(0,F976-I976)),0)</f>
        <v>2</v>
      </c>
      <c r="K976" s="13" t="n">
        <f aca="false">H976+I976</f>
        <v>0.979</v>
      </c>
      <c r="L976" s="13" t="n">
        <f aca="false">MAX(0,D976-K976)</f>
        <v>0</v>
      </c>
      <c r="M976" s="13" t="n">
        <f aca="false">MAX(0,F976-I976-J976)</f>
        <v>0.0930399999999998</v>
      </c>
      <c r="N976" s="13" t="n">
        <f aca="false">IF(Kalender!A244="",0,J975-H976)</f>
        <v>1.021</v>
      </c>
    </row>
    <row r="977" customFormat="false" ht="16.4" hidden="false" customHeight="false" outlineLevel="0" collapsed="false">
      <c r="A977" s="13" t="str">
        <f aca="false">""</f>
        <v/>
      </c>
      <c r="B977" s="13" t="n">
        <f aca="false">241</f>
        <v>241</v>
      </c>
      <c r="C977" s="13" t="n">
        <f aca="false">IF(Szenarien!$H$10="OK",(IFERROR(SUMIF(Nutzungsprofile!$B$6:$B$11,"Schulbetrieb",Nutzungsprofile!$G$6:$G$11)*Kalender!C245/SUM(Kalender!$C$5:$C$370),0)+IFERROR(SUMIF(Nutzungsprofile!$B$6:$B$11,"Halle",Nutzungsprofile!$G$6:$G$11)*Kalender!D245/SUM(Kalender!$D$5:$D$370),0)+IFERROR(SUMIF(Nutzungsprofile!$B$6:$B$11,"Individuell",Nutzungsprofile!$G$6:$G$11)*Kalender!E245/SUM(Kalender!$E$5:$E$370),0))*Szenarien!$E$10,0)</f>
        <v>2.448</v>
      </c>
      <c r="D977" s="13" t="n">
        <f aca="false">IF(Szenarien!$H$10="OK",(IFERROR(SUMIF(Nutzungsprofile!$B$17:$B$22,"Schulbetrieb",Nutzungsprofile!$G$17:$G$22)*Kalender!C245/SUM(Kalender!$C$5:$C$370),0)+IFERROR(SUMIF(Nutzungsprofile!$B$17:$B$22,"Halle",Nutzungsprofile!$G$17:$G$22)*Kalender!D245/SUM(Kalender!$D$5:$D$370),0)+IFERROR(SUMIF(Nutzungsprofile!$B$17:$B$22,"Individuell",Nutzungsprofile!$G$17:$G$22)*Kalender!E245/SUM(Kalender!$E$5:$E$370),0))*Szenarien!$D$10,0)</f>
        <v>0.979</v>
      </c>
      <c r="E977" s="13" t="n">
        <f aca="false">IFERROR(MIN(C977,Eingaben!$B$17)*Eingaben!$B$16,0)</f>
        <v>2.3256</v>
      </c>
      <c r="F977" s="13" t="n">
        <f aca="false">IFERROR(E977*Eingaben!$B$15,0)</f>
        <v>2.09304</v>
      </c>
      <c r="G977" s="13" t="n">
        <f aca="false">IFERROR(IF(Kalender!A245="",0,J976*(1-Eingaben!$B$20)),0)</f>
        <v>1.96</v>
      </c>
      <c r="H977" s="13" t="n">
        <f aca="false">MIN(G977,D977)</f>
        <v>0.979</v>
      </c>
      <c r="I977" s="13" t="n">
        <f aca="false">IFERROR(MIN(F977*Eingaben!$B$19,MAX(0,D977-H977)),0)</f>
        <v>0</v>
      </c>
      <c r="J977" s="13" t="n">
        <f aca="false">IFERROR(MIN(Eingaben!$B$18,MAX(0,F977-I977)),0)</f>
        <v>2</v>
      </c>
      <c r="K977" s="13" t="n">
        <f aca="false">H977+I977</f>
        <v>0.979</v>
      </c>
      <c r="L977" s="13" t="n">
        <f aca="false">MAX(0,D977-K977)</f>
        <v>0</v>
      </c>
      <c r="M977" s="13" t="n">
        <f aca="false">MAX(0,F977-I977-J977)</f>
        <v>0.0930399999999998</v>
      </c>
      <c r="N977" s="13" t="n">
        <f aca="false">IF(Kalender!A245="",0,J976-H977)</f>
        <v>1.021</v>
      </c>
    </row>
    <row r="978" customFormat="false" ht="16.4" hidden="false" customHeight="false" outlineLevel="0" collapsed="false">
      <c r="A978" s="13" t="str">
        <f aca="false">""</f>
        <v/>
      </c>
      <c r="B978" s="13" t="n">
        <f aca="false">242</f>
        <v>242</v>
      </c>
      <c r="C978" s="13" t="n">
        <f aca="false">IF(Szenarien!$H$10="OK",(IFERROR(SUMIF(Nutzungsprofile!$B$6:$B$11,"Schulbetrieb",Nutzungsprofile!$G$6:$G$11)*Kalender!C246/SUM(Kalender!$C$5:$C$370),0)+IFERROR(SUMIF(Nutzungsprofile!$B$6:$B$11,"Halle",Nutzungsprofile!$G$6:$G$11)*Kalender!D246/SUM(Kalender!$D$5:$D$370),0)+IFERROR(SUMIF(Nutzungsprofile!$B$6:$B$11,"Individuell",Nutzungsprofile!$G$6:$G$11)*Kalender!E246/SUM(Kalender!$E$5:$E$370),0))*Szenarien!$E$10,0)</f>
        <v>2.448</v>
      </c>
      <c r="D978" s="13" t="n">
        <f aca="false">IF(Szenarien!$H$10="OK",(IFERROR(SUMIF(Nutzungsprofile!$B$17:$B$22,"Schulbetrieb",Nutzungsprofile!$G$17:$G$22)*Kalender!C246/SUM(Kalender!$C$5:$C$370),0)+IFERROR(SUMIF(Nutzungsprofile!$B$17:$B$22,"Halle",Nutzungsprofile!$G$17:$G$22)*Kalender!D246/SUM(Kalender!$D$5:$D$370),0)+IFERROR(SUMIF(Nutzungsprofile!$B$17:$B$22,"Individuell",Nutzungsprofile!$G$17:$G$22)*Kalender!E246/SUM(Kalender!$E$5:$E$370),0))*Szenarien!$D$10,0)</f>
        <v>0.979</v>
      </c>
      <c r="E978" s="13" t="n">
        <f aca="false">IFERROR(MIN(C978,Eingaben!$B$17)*Eingaben!$B$16,0)</f>
        <v>2.3256</v>
      </c>
      <c r="F978" s="13" t="n">
        <f aca="false">IFERROR(E978*Eingaben!$B$15,0)</f>
        <v>2.09304</v>
      </c>
      <c r="G978" s="13" t="n">
        <f aca="false">IFERROR(IF(Kalender!A246="",0,J977*(1-Eingaben!$B$20)),0)</f>
        <v>1.96</v>
      </c>
      <c r="H978" s="13" t="n">
        <f aca="false">MIN(G978,D978)</f>
        <v>0.979</v>
      </c>
      <c r="I978" s="13" t="n">
        <f aca="false">IFERROR(MIN(F978*Eingaben!$B$19,MAX(0,D978-H978)),0)</f>
        <v>0</v>
      </c>
      <c r="J978" s="13" t="n">
        <f aca="false">IFERROR(MIN(Eingaben!$B$18,MAX(0,F978-I978)),0)</f>
        <v>2</v>
      </c>
      <c r="K978" s="13" t="n">
        <f aca="false">H978+I978</f>
        <v>0.979</v>
      </c>
      <c r="L978" s="13" t="n">
        <f aca="false">MAX(0,D978-K978)</f>
        <v>0</v>
      </c>
      <c r="M978" s="13" t="n">
        <f aca="false">MAX(0,F978-I978-J978)</f>
        <v>0.0930399999999998</v>
      </c>
      <c r="N978" s="13" t="n">
        <f aca="false">IF(Kalender!A246="",0,J977-H978)</f>
        <v>1.021</v>
      </c>
    </row>
    <row r="979" customFormat="false" ht="16.4" hidden="false" customHeight="false" outlineLevel="0" collapsed="false">
      <c r="A979" s="13" t="str">
        <f aca="false">""</f>
        <v/>
      </c>
      <c r="B979" s="13" t="n">
        <f aca="false">243</f>
        <v>243</v>
      </c>
      <c r="C979" s="13" t="n">
        <f aca="false">IF(Szenarien!$H$10="OK",(IFERROR(SUMIF(Nutzungsprofile!$B$6:$B$11,"Schulbetrieb",Nutzungsprofile!$G$6:$G$11)*Kalender!C247/SUM(Kalender!$C$5:$C$370),0)+IFERROR(SUMIF(Nutzungsprofile!$B$6:$B$11,"Halle",Nutzungsprofile!$G$6:$G$11)*Kalender!D247/SUM(Kalender!$D$5:$D$370),0)+IFERROR(SUMIF(Nutzungsprofile!$B$6:$B$11,"Individuell",Nutzungsprofile!$G$6:$G$11)*Kalender!E247/SUM(Kalender!$E$5:$E$370),0))*Szenarien!$E$10,0)</f>
        <v>2.448</v>
      </c>
      <c r="D979" s="13" t="n">
        <f aca="false">IF(Szenarien!$H$10="OK",(IFERROR(SUMIF(Nutzungsprofile!$B$17:$B$22,"Schulbetrieb",Nutzungsprofile!$G$17:$G$22)*Kalender!C247/SUM(Kalender!$C$5:$C$370),0)+IFERROR(SUMIF(Nutzungsprofile!$B$17:$B$22,"Halle",Nutzungsprofile!$G$17:$G$22)*Kalender!D247/SUM(Kalender!$D$5:$D$370),0)+IFERROR(SUMIF(Nutzungsprofile!$B$17:$B$22,"Individuell",Nutzungsprofile!$G$17:$G$22)*Kalender!E247/SUM(Kalender!$E$5:$E$370),0))*Szenarien!$D$10,0)</f>
        <v>0.979</v>
      </c>
      <c r="E979" s="13" t="n">
        <f aca="false">IFERROR(MIN(C979,Eingaben!$B$17)*Eingaben!$B$16,0)</f>
        <v>2.3256</v>
      </c>
      <c r="F979" s="13" t="n">
        <f aca="false">IFERROR(E979*Eingaben!$B$15,0)</f>
        <v>2.09304</v>
      </c>
      <c r="G979" s="13" t="n">
        <f aca="false">IFERROR(IF(Kalender!A247="",0,J978*(1-Eingaben!$B$20)),0)</f>
        <v>1.96</v>
      </c>
      <c r="H979" s="13" t="n">
        <f aca="false">MIN(G979,D979)</f>
        <v>0.979</v>
      </c>
      <c r="I979" s="13" t="n">
        <f aca="false">IFERROR(MIN(F979*Eingaben!$B$19,MAX(0,D979-H979)),0)</f>
        <v>0</v>
      </c>
      <c r="J979" s="13" t="n">
        <f aca="false">IFERROR(MIN(Eingaben!$B$18,MAX(0,F979-I979)),0)</f>
        <v>2</v>
      </c>
      <c r="K979" s="13" t="n">
        <f aca="false">H979+I979</f>
        <v>0.979</v>
      </c>
      <c r="L979" s="13" t="n">
        <f aca="false">MAX(0,D979-K979)</f>
        <v>0</v>
      </c>
      <c r="M979" s="13" t="n">
        <f aca="false">MAX(0,F979-I979-J979)</f>
        <v>0.0930399999999998</v>
      </c>
      <c r="N979" s="13" t="n">
        <f aca="false">IF(Kalender!A247="",0,J978-H979)</f>
        <v>1.021</v>
      </c>
    </row>
    <row r="980" customFormat="false" ht="16.4" hidden="false" customHeight="false" outlineLevel="0" collapsed="false">
      <c r="A980" s="13" t="str">
        <f aca="false">""</f>
        <v/>
      </c>
      <c r="B980" s="13" t="n">
        <f aca="false">244</f>
        <v>244</v>
      </c>
      <c r="C980" s="13" t="n">
        <f aca="false">IF(Szenarien!$H$10="OK",(IFERROR(SUMIF(Nutzungsprofile!$B$6:$B$11,"Schulbetrieb",Nutzungsprofile!$G$6:$G$11)*Kalender!C248/SUM(Kalender!$C$5:$C$370),0)+IFERROR(SUMIF(Nutzungsprofile!$B$6:$B$11,"Halle",Nutzungsprofile!$G$6:$G$11)*Kalender!D248/SUM(Kalender!$D$5:$D$370),0)+IFERROR(SUMIF(Nutzungsprofile!$B$6:$B$11,"Individuell",Nutzungsprofile!$G$6:$G$11)*Kalender!E248/SUM(Kalender!$E$5:$E$370),0))*Szenarien!$E$10,0)</f>
        <v>3.528</v>
      </c>
      <c r="D980" s="13" t="n">
        <f aca="false">IF(Szenarien!$H$10="OK",(IFERROR(SUMIF(Nutzungsprofile!$B$17:$B$22,"Schulbetrieb",Nutzungsprofile!$G$17:$G$22)*Kalender!C248/SUM(Kalender!$C$5:$C$370),0)+IFERROR(SUMIF(Nutzungsprofile!$B$17:$B$22,"Halle",Nutzungsprofile!$G$17:$G$22)*Kalender!D248/SUM(Kalender!$D$5:$D$370),0)+IFERROR(SUMIF(Nutzungsprofile!$B$17:$B$22,"Individuell",Nutzungsprofile!$G$17:$G$22)*Kalender!E248/SUM(Kalender!$E$5:$E$370),0))*Szenarien!$D$10,0)</f>
        <v>5.434</v>
      </c>
      <c r="E980" s="13" t="n">
        <f aca="false">IFERROR(MIN(C980,Eingaben!$B$17)*Eingaben!$B$16,0)</f>
        <v>3.3516</v>
      </c>
      <c r="F980" s="13" t="n">
        <f aca="false">IFERROR(E980*Eingaben!$B$15,0)</f>
        <v>3.01644</v>
      </c>
      <c r="G980" s="13" t="n">
        <f aca="false">IFERROR(IF(Kalender!A248="",0,J979*(1-Eingaben!$B$20)),0)</f>
        <v>1.96</v>
      </c>
      <c r="H980" s="13" t="n">
        <f aca="false">MIN(G980,D980)</f>
        <v>1.96</v>
      </c>
      <c r="I980" s="13" t="n">
        <f aca="false">IFERROR(MIN(F980*Eingaben!$B$19,MAX(0,D980-H980)),0)</f>
        <v>2.111508</v>
      </c>
      <c r="J980" s="13" t="n">
        <f aca="false">IFERROR(MIN(Eingaben!$B$18,MAX(0,F980-I980)),0)</f>
        <v>0.904932</v>
      </c>
      <c r="K980" s="13" t="n">
        <f aca="false">H980+I980</f>
        <v>4.071508</v>
      </c>
      <c r="L980" s="13" t="n">
        <f aca="false">MAX(0,D980-K980)</f>
        <v>1.362492</v>
      </c>
      <c r="M980" s="13" t="n">
        <f aca="false">MAX(0,F980-I980-J980)</f>
        <v>0</v>
      </c>
      <c r="N980" s="13" t="n">
        <f aca="false">IF(Kalender!A248="",0,J979-H980)</f>
        <v>0.04</v>
      </c>
    </row>
    <row r="981" customFormat="false" ht="16.4" hidden="false" customHeight="false" outlineLevel="0" collapsed="false">
      <c r="A981" s="13" t="str">
        <f aca="false">""</f>
        <v/>
      </c>
      <c r="B981" s="13" t="n">
        <f aca="false">245</f>
        <v>245</v>
      </c>
      <c r="C981" s="13" t="n">
        <f aca="false">IF(Szenarien!$H$10="OK",(IFERROR(SUMIF(Nutzungsprofile!$B$6:$B$11,"Schulbetrieb",Nutzungsprofile!$G$6:$G$11)*Kalender!C249/SUM(Kalender!$C$5:$C$370),0)+IFERROR(SUMIF(Nutzungsprofile!$B$6:$B$11,"Halle",Nutzungsprofile!$G$6:$G$11)*Kalender!D249/SUM(Kalender!$D$5:$D$370),0)+IFERROR(SUMIF(Nutzungsprofile!$B$6:$B$11,"Individuell",Nutzungsprofile!$G$6:$G$11)*Kalender!E249/SUM(Kalender!$E$5:$E$370),0))*Szenarien!$E$10,0)</f>
        <v>3.528</v>
      </c>
      <c r="D981" s="13" t="n">
        <f aca="false">IF(Szenarien!$H$10="OK",(IFERROR(SUMIF(Nutzungsprofile!$B$17:$B$22,"Schulbetrieb",Nutzungsprofile!$G$17:$G$22)*Kalender!C249/SUM(Kalender!$C$5:$C$370),0)+IFERROR(SUMIF(Nutzungsprofile!$B$17:$B$22,"Halle",Nutzungsprofile!$G$17:$G$22)*Kalender!D249/SUM(Kalender!$D$5:$D$370),0)+IFERROR(SUMIF(Nutzungsprofile!$B$17:$B$22,"Individuell",Nutzungsprofile!$G$17:$G$22)*Kalender!E249/SUM(Kalender!$E$5:$E$370),0))*Szenarien!$D$10,0)</f>
        <v>5.434</v>
      </c>
      <c r="E981" s="13" t="n">
        <f aca="false">IFERROR(MIN(C981,Eingaben!$B$17)*Eingaben!$B$16,0)</f>
        <v>3.3516</v>
      </c>
      <c r="F981" s="13" t="n">
        <f aca="false">IFERROR(E981*Eingaben!$B$15,0)</f>
        <v>3.01644</v>
      </c>
      <c r="G981" s="13" t="n">
        <f aca="false">IFERROR(IF(Kalender!A249="",0,J980*(1-Eingaben!$B$20)),0)</f>
        <v>0.88683336</v>
      </c>
      <c r="H981" s="13" t="n">
        <f aca="false">MIN(G981,D981)</f>
        <v>0.88683336</v>
      </c>
      <c r="I981" s="13" t="n">
        <f aca="false">IFERROR(MIN(F981*Eingaben!$B$19,MAX(0,D981-H981)),0)</f>
        <v>2.111508</v>
      </c>
      <c r="J981" s="13" t="n">
        <f aca="false">IFERROR(MIN(Eingaben!$B$18,MAX(0,F981-I981)),0)</f>
        <v>0.904932</v>
      </c>
      <c r="K981" s="13" t="n">
        <f aca="false">H981+I981</f>
        <v>2.99834136</v>
      </c>
      <c r="L981" s="13" t="n">
        <f aca="false">MAX(0,D981-K981)</f>
        <v>2.43565864</v>
      </c>
      <c r="M981" s="13" t="n">
        <f aca="false">MAX(0,F981-I981-J981)</f>
        <v>0</v>
      </c>
      <c r="N981" s="13" t="n">
        <f aca="false">IF(Kalender!A249="",0,J980-H981)</f>
        <v>0.0180986400000001</v>
      </c>
    </row>
    <row r="982" customFormat="false" ht="16.4" hidden="false" customHeight="false" outlineLevel="0" collapsed="false">
      <c r="A982" s="13" t="str">
        <f aca="false">""</f>
        <v/>
      </c>
      <c r="B982" s="13" t="n">
        <f aca="false">246</f>
        <v>246</v>
      </c>
      <c r="C982" s="13" t="n">
        <f aca="false">IF(Szenarien!$H$10="OK",(IFERROR(SUMIF(Nutzungsprofile!$B$6:$B$11,"Schulbetrieb",Nutzungsprofile!$G$6:$G$11)*Kalender!C250/SUM(Kalender!$C$5:$C$370),0)+IFERROR(SUMIF(Nutzungsprofile!$B$6:$B$11,"Halle",Nutzungsprofile!$G$6:$G$11)*Kalender!D250/SUM(Kalender!$D$5:$D$370),0)+IFERROR(SUMIF(Nutzungsprofile!$B$6:$B$11,"Individuell",Nutzungsprofile!$G$6:$G$11)*Kalender!E250/SUM(Kalender!$E$5:$E$370),0))*Szenarien!$E$10,0)</f>
        <v>3.528</v>
      </c>
      <c r="D982" s="13" t="n">
        <f aca="false">IF(Szenarien!$H$10="OK",(IFERROR(SUMIF(Nutzungsprofile!$B$17:$B$22,"Schulbetrieb",Nutzungsprofile!$G$17:$G$22)*Kalender!C250/SUM(Kalender!$C$5:$C$370),0)+IFERROR(SUMIF(Nutzungsprofile!$B$17:$B$22,"Halle",Nutzungsprofile!$G$17:$G$22)*Kalender!D250/SUM(Kalender!$D$5:$D$370),0)+IFERROR(SUMIF(Nutzungsprofile!$B$17:$B$22,"Individuell",Nutzungsprofile!$G$17:$G$22)*Kalender!E250/SUM(Kalender!$E$5:$E$370),0))*Szenarien!$D$10,0)</f>
        <v>5.434</v>
      </c>
      <c r="E982" s="13" t="n">
        <f aca="false">IFERROR(MIN(C982,Eingaben!$B$17)*Eingaben!$B$16,0)</f>
        <v>3.3516</v>
      </c>
      <c r="F982" s="13" t="n">
        <f aca="false">IFERROR(E982*Eingaben!$B$15,0)</f>
        <v>3.01644</v>
      </c>
      <c r="G982" s="13" t="n">
        <f aca="false">IFERROR(IF(Kalender!A250="",0,J981*(1-Eingaben!$B$20)),0)</f>
        <v>0.88683336</v>
      </c>
      <c r="H982" s="13" t="n">
        <f aca="false">MIN(G982,D982)</f>
        <v>0.88683336</v>
      </c>
      <c r="I982" s="13" t="n">
        <f aca="false">IFERROR(MIN(F982*Eingaben!$B$19,MAX(0,D982-H982)),0)</f>
        <v>2.111508</v>
      </c>
      <c r="J982" s="13" t="n">
        <f aca="false">IFERROR(MIN(Eingaben!$B$18,MAX(0,F982-I982)),0)</f>
        <v>0.904932</v>
      </c>
      <c r="K982" s="13" t="n">
        <f aca="false">H982+I982</f>
        <v>2.99834136</v>
      </c>
      <c r="L982" s="13" t="n">
        <f aca="false">MAX(0,D982-K982)</f>
        <v>2.43565864</v>
      </c>
      <c r="M982" s="13" t="n">
        <f aca="false">MAX(0,F982-I982-J982)</f>
        <v>0</v>
      </c>
      <c r="N982" s="13" t="n">
        <f aca="false">IF(Kalender!A250="",0,J981-H982)</f>
        <v>0.0180986400000001</v>
      </c>
    </row>
    <row r="983" customFormat="false" ht="16.4" hidden="false" customHeight="false" outlineLevel="0" collapsed="false">
      <c r="A983" s="13" t="str">
        <f aca="false">""</f>
        <v/>
      </c>
      <c r="B983" s="13" t="n">
        <f aca="false">247</f>
        <v>247</v>
      </c>
      <c r="C983" s="13" t="n">
        <f aca="false">IF(Szenarien!$H$10="OK",(IFERROR(SUMIF(Nutzungsprofile!$B$6:$B$11,"Schulbetrieb",Nutzungsprofile!$G$6:$G$11)*Kalender!C251/SUM(Kalender!$C$5:$C$370),0)+IFERROR(SUMIF(Nutzungsprofile!$B$6:$B$11,"Halle",Nutzungsprofile!$G$6:$G$11)*Kalender!D251/SUM(Kalender!$D$5:$D$370),0)+IFERROR(SUMIF(Nutzungsprofile!$B$6:$B$11,"Individuell",Nutzungsprofile!$G$6:$G$11)*Kalender!E251/SUM(Kalender!$E$5:$E$370),0))*Szenarien!$E$10,0)</f>
        <v>3.528</v>
      </c>
      <c r="D983" s="13" t="n">
        <f aca="false">IF(Szenarien!$H$10="OK",(IFERROR(SUMIF(Nutzungsprofile!$B$17:$B$22,"Schulbetrieb",Nutzungsprofile!$G$17:$G$22)*Kalender!C251/SUM(Kalender!$C$5:$C$370),0)+IFERROR(SUMIF(Nutzungsprofile!$B$17:$B$22,"Halle",Nutzungsprofile!$G$17:$G$22)*Kalender!D251/SUM(Kalender!$D$5:$D$370),0)+IFERROR(SUMIF(Nutzungsprofile!$B$17:$B$22,"Individuell",Nutzungsprofile!$G$17:$G$22)*Kalender!E251/SUM(Kalender!$E$5:$E$370),0))*Szenarien!$D$10,0)</f>
        <v>5.434</v>
      </c>
      <c r="E983" s="13" t="n">
        <f aca="false">IFERROR(MIN(C983,Eingaben!$B$17)*Eingaben!$B$16,0)</f>
        <v>3.3516</v>
      </c>
      <c r="F983" s="13" t="n">
        <f aca="false">IFERROR(E983*Eingaben!$B$15,0)</f>
        <v>3.01644</v>
      </c>
      <c r="G983" s="13" t="n">
        <f aca="false">IFERROR(IF(Kalender!A251="",0,J982*(1-Eingaben!$B$20)),0)</f>
        <v>0.88683336</v>
      </c>
      <c r="H983" s="13" t="n">
        <f aca="false">MIN(G983,D983)</f>
        <v>0.88683336</v>
      </c>
      <c r="I983" s="13" t="n">
        <f aca="false">IFERROR(MIN(F983*Eingaben!$B$19,MAX(0,D983-H983)),0)</f>
        <v>2.111508</v>
      </c>
      <c r="J983" s="13" t="n">
        <f aca="false">IFERROR(MIN(Eingaben!$B$18,MAX(0,F983-I983)),0)</f>
        <v>0.904932</v>
      </c>
      <c r="K983" s="13" t="n">
        <f aca="false">H983+I983</f>
        <v>2.99834136</v>
      </c>
      <c r="L983" s="13" t="n">
        <f aca="false">MAX(0,D983-K983)</f>
        <v>2.43565864</v>
      </c>
      <c r="M983" s="13" t="n">
        <f aca="false">MAX(0,F983-I983-J983)</f>
        <v>0</v>
      </c>
      <c r="N983" s="13" t="n">
        <f aca="false">IF(Kalender!A251="",0,J982-H983)</f>
        <v>0.0180986400000001</v>
      </c>
    </row>
    <row r="984" customFormat="false" ht="16.4" hidden="false" customHeight="false" outlineLevel="0" collapsed="false">
      <c r="A984" s="13" t="str">
        <f aca="false">""</f>
        <v/>
      </c>
      <c r="B984" s="13" t="n">
        <f aca="false">248</f>
        <v>248</v>
      </c>
      <c r="C984" s="13" t="n">
        <f aca="false">IF(Szenarien!$H$10="OK",(IFERROR(SUMIF(Nutzungsprofile!$B$6:$B$11,"Schulbetrieb",Nutzungsprofile!$G$6:$G$11)*Kalender!C252/SUM(Kalender!$C$5:$C$370),0)+IFERROR(SUMIF(Nutzungsprofile!$B$6:$B$11,"Halle",Nutzungsprofile!$G$6:$G$11)*Kalender!D252/SUM(Kalender!$D$5:$D$370),0)+IFERROR(SUMIF(Nutzungsprofile!$B$6:$B$11,"Individuell",Nutzungsprofile!$G$6:$G$11)*Kalender!E252/SUM(Kalender!$E$5:$E$370),0))*Szenarien!$E$10,0)</f>
        <v>2.448</v>
      </c>
      <c r="D984" s="13" t="n">
        <f aca="false">IF(Szenarien!$H$10="OK",(IFERROR(SUMIF(Nutzungsprofile!$B$17:$B$22,"Schulbetrieb",Nutzungsprofile!$G$17:$G$22)*Kalender!C252/SUM(Kalender!$C$5:$C$370),0)+IFERROR(SUMIF(Nutzungsprofile!$B$17:$B$22,"Halle",Nutzungsprofile!$G$17:$G$22)*Kalender!D252/SUM(Kalender!$D$5:$D$370),0)+IFERROR(SUMIF(Nutzungsprofile!$B$17:$B$22,"Individuell",Nutzungsprofile!$G$17:$G$22)*Kalender!E252/SUM(Kalender!$E$5:$E$370),0))*Szenarien!$D$10,0)</f>
        <v>0.979</v>
      </c>
      <c r="E984" s="13" t="n">
        <f aca="false">IFERROR(MIN(C984,Eingaben!$B$17)*Eingaben!$B$16,0)</f>
        <v>2.3256</v>
      </c>
      <c r="F984" s="13" t="n">
        <f aca="false">IFERROR(E984*Eingaben!$B$15,0)</f>
        <v>2.09304</v>
      </c>
      <c r="G984" s="13" t="n">
        <f aca="false">IFERROR(IF(Kalender!A252="",0,J983*(1-Eingaben!$B$20)),0)</f>
        <v>0.88683336</v>
      </c>
      <c r="H984" s="13" t="n">
        <f aca="false">MIN(G984,D984)</f>
        <v>0.88683336</v>
      </c>
      <c r="I984" s="13" t="n">
        <f aca="false">IFERROR(MIN(F984*Eingaben!$B$19,MAX(0,D984-H984)),0)</f>
        <v>0.0921666400000001</v>
      </c>
      <c r="J984" s="13" t="n">
        <f aca="false">IFERROR(MIN(Eingaben!$B$18,MAX(0,F984-I984)),0)</f>
        <v>2</v>
      </c>
      <c r="K984" s="13" t="n">
        <f aca="false">H984+I984</f>
        <v>0.979</v>
      </c>
      <c r="L984" s="13" t="n">
        <f aca="false">MAX(0,D984-K984)</f>
        <v>0</v>
      </c>
      <c r="M984" s="13" t="n">
        <f aca="false">MAX(0,F984-I984-J984)</f>
        <v>0.000873359999999934</v>
      </c>
      <c r="N984" s="13" t="n">
        <f aca="false">IF(Kalender!A252="",0,J983-H984)</f>
        <v>0.0180986400000001</v>
      </c>
    </row>
    <row r="985" customFormat="false" ht="16.4" hidden="false" customHeight="false" outlineLevel="0" collapsed="false">
      <c r="A985" s="13" t="str">
        <f aca="false">""</f>
        <v/>
      </c>
      <c r="B985" s="13" t="n">
        <f aca="false">249</f>
        <v>249</v>
      </c>
      <c r="C985" s="13" t="n">
        <f aca="false">IF(Szenarien!$H$10="OK",(IFERROR(SUMIF(Nutzungsprofile!$B$6:$B$11,"Schulbetrieb",Nutzungsprofile!$G$6:$G$11)*Kalender!C253/SUM(Kalender!$C$5:$C$370),0)+IFERROR(SUMIF(Nutzungsprofile!$B$6:$B$11,"Halle",Nutzungsprofile!$G$6:$G$11)*Kalender!D253/SUM(Kalender!$D$5:$D$370),0)+IFERROR(SUMIF(Nutzungsprofile!$B$6:$B$11,"Individuell",Nutzungsprofile!$G$6:$G$11)*Kalender!E253/SUM(Kalender!$E$5:$E$370),0))*Szenarien!$E$10,0)</f>
        <v>2.448</v>
      </c>
      <c r="D985" s="13" t="n">
        <f aca="false">IF(Szenarien!$H$10="OK",(IFERROR(SUMIF(Nutzungsprofile!$B$17:$B$22,"Schulbetrieb",Nutzungsprofile!$G$17:$G$22)*Kalender!C253/SUM(Kalender!$C$5:$C$370),0)+IFERROR(SUMIF(Nutzungsprofile!$B$17:$B$22,"Halle",Nutzungsprofile!$G$17:$G$22)*Kalender!D253/SUM(Kalender!$D$5:$D$370),0)+IFERROR(SUMIF(Nutzungsprofile!$B$17:$B$22,"Individuell",Nutzungsprofile!$G$17:$G$22)*Kalender!E253/SUM(Kalender!$E$5:$E$370),0))*Szenarien!$D$10,0)</f>
        <v>0.979</v>
      </c>
      <c r="E985" s="13" t="n">
        <f aca="false">IFERROR(MIN(C985,Eingaben!$B$17)*Eingaben!$B$16,0)</f>
        <v>2.3256</v>
      </c>
      <c r="F985" s="13" t="n">
        <f aca="false">IFERROR(E985*Eingaben!$B$15,0)</f>
        <v>2.09304</v>
      </c>
      <c r="G985" s="13" t="n">
        <f aca="false">IFERROR(IF(Kalender!A253="",0,J984*(1-Eingaben!$B$20)),0)</f>
        <v>1.96</v>
      </c>
      <c r="H985" s="13" t="n">
        <f aca="false">MIN(G985,D985)</f>
        <v>0.979</v>
      </c>
      <c r="I985" s="13" t="n">
        <f aca="false">IFERROR(MIN(F985*Eingaben!$B$19,MAX(0,D985-H985)),0)</f>
        <v>0</v>
      </c>
      <c r="J985" s="13" t="n">
        <f aca="false">IFERROR(MIN(Eingaben!$B$18,MAX(0,F985-I985)),0)</f>
        <v>2</v>
      </c>
      <c r="K985" s="13" t="n">
        <f aca="false">H985+I985</f>
        <v>0.979</v>
      </c>
      <c r="L985" s="13" t="n">
        <f aca="false">MAX(0,D985-K985)</f>
        <v>0</v>
      </c>
      <c r="M985" s="13" t="n">
        <f aca="false">MAX(0,F985-I985-J985)</f>
        <v>0.0930399999999998</v>
      </c>
      <c r="N985" s="13" t="n">
        <f aca="false">IF(Kalender!A253="",0,J984-H985)</f>
        <v>1.021</v>
      </c>
    </row>
    <row r="986" customFormat="false" ht="16.4" hidden="false" customHeight="false" outlineLevel="0" collapsed="false">
      <c r="A986" s="13" t="str">
        <f aca="false">""</f>
        <v/>
      </c>
      <c r="B986" s="13" t="n">
        <f aca="false">250</f>
        <v>250</v>
      </c>
      <c r="C986" s="13" t="n">
        <f aca="false">IF(Szenarien!$H$10="OK",(IFERROR(SUMIF(Nutzungsprofile!$B$6:$B$11,"Schulbetrieb",Nutzungsprofile!$G$6:$G$11)*Kalender!C254/SUM(Kalender!$C$5:$C$370),0)+IFERROR(SUMIF(Nutzungsprofile!$B$6:$B$11,"Halle",Nutzungsprofile!$G$6:$G$11)*Kalender!D254/SUM(Kalender!$D$5:$D$370),0)+IFERROR(SUMIF(Nutzungsprofile!$B$6:$B$11,"Individuell",Nutzungsprofile!$G$6:$G$11)*Kalender!E254/SUM(Kalender!$E$5:$E$370),0))*Szenarien!$E$10,0)</f>
        <v>3.528</v>
      </c>
      <c r="D986" s="13" t="n">
        <f aca="false">IF(Szenarien!$H$10="OK",(IFERROR(SUMIF(Nutzungsprofile!$B$17:$B$22,"Schulbetrieb",Nutzungsprofile!$G$17:$G$22)*Kalender!C254/SUM(Kalender!$C$5:$C$370),0)+IFERROR(SUMIF(Nutzungsprofile!$B$17:$B$22,"Halle",Nutzungsprofile!$G$17:$G$22)*Kalender!D254/SUM(Kalender!$D$5:$D$370),0)+IFERROR(SUMIF(Nutzungsprofile!$B$17:$B$22,"Individuell",Nutzungsprofile!$G$17:$G$22)*Kalender!E254/SUM(Kalender!$E$5:$E$370),0))*Szenarien!$D$10,0)</f>
        <v>5.434</v>
      </c>
      <c r="E986" s="13" t="n">
        <f aca="false">IFERROR(MIN(C986,Eingaben!$B$17)*Eingaben!$B$16,0)</f>
        <v>3.3516</v>
      </c>
      <c r="F986" s="13" t="n">
        <f aca="false">IFERROR(E986*Eingaben!$B$15,0)</f>
        <v>3.01644</v>
      </c>
      <c r="G986" s="13" t="n">
        <f aca="false">IFERROR(IF(Kalender!A254="",0,J985*(1-Eingaben!$B$20)),0)</f>
        <v>1.96</v>
      </c>
      <c r="H986" s="13" t="n">
        <f aca="false">MIN(G986,D986)</f>
        <v>1.96</v>
      </c>
      <c r="I986" s="13" t="n">
        <f aca="false">IFERROR(MIN(F986*Eingaben!$B$19,MAX(0,D986-H986)),0)</f>
        <v>2.111508</v>
      </c>
      <c r="J986" s="13" t="n">
        <f aca="false">IFERROR(MIN(Eingaben!$B$18,MAX(0,F986-I986)),0)</f>
        <v>0.904932</v>
      </c>
      <c r="K986" s="13" t="n">
        <f aca="false">H986+I986</f>
        <v>4.071508</v>
      </c>
      <c r="L986" s="13" t="n">
        <f aca="false">MAX(0,D986-K986)</f>
        <v>1.362492</v>
      </c>
      <c r="M986" s="13" t="n">
        <f aca="false">MAX(0,F986-I986-J986)</f>
        <v>0</v>
      </c>
      <c r="N986" s="13" t="n">
        <f aca="false">IF(Kalender!A254="",0,J985-H986)</f>
        <v>0.04</v>
      </c>
    </row>
    <row r="987" customFormat="false" ht="16.4" hidden="false" customHeight="false" outlineLevel="0" collapsed="false">
      <c r="A987" s="13" t="str">
        <f aca="false">""</f>
        <v/>
      </c>
      <c r="B987" s="13" t="n">
        <f aca="false">251</f>
        <v>251</v>
      </c>
      <c r="C987" s="13" t="n">
        <f aca="false">IF(Szenarien!$H$10="OK",(IFERROR(SUMIF(Nutzungsprofile!$B$6:$B$11,"Schulbetrieb",Nutzungsprofile!$G$6:$G$11)*Kalender!C255/SUM(Kalender!$C$5:$C$370),0)+IFERROR(SUMIF(Nutzungsprofile!$B$6:$B$11,"Halle",Nutzungsprofile!$G$6:$G$11)*Kalender!D255/SUM(Kalender!$D$5:$D$370),0)+IFERROR(SUMIF(Nutzungsprofile!$B$6:$B$11,"Individuell",Nutzungsprofile!$G$6:$G$11)*Kalender!E255/SUM(Kalender!$E$5:$E$370),0))*Szenarien!$E$10,0)</f>
        <v>3.528</v>
      </c>
      <c r="D987" s="13" t="n">
        <f aca="false">IF(Szenarien!$H$10="OK",(IFERROR(SUMIF(Nutzungsprofile!$B$17:$B$22,"Schulbetrieb",Nutzungsprofile!$G$17:$G$22)*Kalender!C255/SUM(Kalender!$C$5:$C$370),0)+IFERROR(SUMIF(Nutzungsprofile!$B$17:$B$22,"Halle",Nutzungsprofile!$G$17:$G$22)*Kalender!D255/SUM(Kalender!$D$5:$D$370),0)+IFERROR(SUMIF(Nutzungsprofile!$B$17:$B$22,"Individuell",Nutzungsprofile!$G$17:$G$22)*Kalender!E255/SUM(Kalender!$E$5:$E$370),0))*Szenarien!$D$10,0)</f>
        <v>5.434</v>
      </c>
      <c r="E987" s="13" t="n">
        <f aca="false">IFERROR(MIN(C987,Eingaben!$B$17)*Eingaben!$B$16,0)</f>
        <v>3.3516</v>
      </c>
      <c r="F987" s="13" t="n">
        <f aca="false">IFERROR(E987*Eingaben!$B$15,0)</f>
        <v>3.01644</v>
      </c>
      <c r="G987" s="13" t="n">
        <f aca="false">IFERROR(IF(Kalender!A255="",0,J986*(1-Eingaben!$B$20)),0)</f>
        <v>0.88683336</v>
      </c>
      <c r="H987" s="13" t="n">
        <f aca="false">MIN(G987,D987)</f>
        <v>0.88683336</v>
      </c>
      <c r="I987" s="13" t="n">
        <f aca="false">IFERROR(MIN(F987*Eingaben!$B$19,MAX(0,D987-H987)),0)</f>
        <v>2.111508</v>
      </c>
      <c r="J987" s="13" t="n">
        <f aca="false">IFERROR(MIN(Eingaben!$B$18,MAX(0,F987-I987)),0)</f>
        <v>0.904932</v>
      </c>
      <c r="K987" s="13" t="n">
        <f aca="false">H987+I987</f>
        <v>2.99834136</v>
      </c>
      <c r="L987" s="13" t="n">
        <f aca="false">MAX(0,D987-K987)</f>
        <v>2.43565864</v>
      </c>
      <c r="M987" s="13" t="n">
        <f aca="false">MAX(0,F987-I987-J987)</f>
        <v>0</v>
      </c>
      <c r="N987" s="13" t="n">
        <f aca="false">IF(Kalender!A255="",0,J986-H987)</f>
        <v>0.0180986400000001</v>
      </c>
    </row>
    <row r="988" customFormat="false" ht="16.4" hidden="false" customHeight="false" outlineLevel="0" collapsed="false">
      <c r="A988" s="13" t="str">
        <f aca="false">""</f>
        <v/>
      </c>
      <c r="B988" s="13" t="n">
        <f aca="false">252</f>
        <v>252</v>
      </c>
      <c r="C988" s="13" t="n">
        <f aca="false">IF(Szenarien!$H$10="OK",(IFERROR(SUMIF(Nutzungsprofile!$B$6:$B$11,"Schulbetrieb",Nutzungsprofile!$G$6:$G$11)*Kalender!C256/SUM(Kalender!$C$5:$C$370),0)+IFERROR(SUMIF(Nutzungsprofile!$B$6:$B$11,"Halle",Nutzungsprofile!$G$6:$G$11)*Kalender!D256/SUM(Kalender!$D$5:$D$370),0)+IFERROR(SUMIF(Nutzungsprofile!$B$6:$B$11,"Individuell",Nutzungsprofile!$G$6:$G$11)*Kalender!E256/SUM(Kalender!$E$5:$E$370),0))*Szenarien!$E$10,0)</f>
        <v>3.528</v>
      </c>
      <c r="D988" s="13" t="n">
        <f aca="false">IF(Szenarien!$H$10="OK",(IFERROR(SUMIF(Nutzungsprofile!$B$17:$B$22,"Schulbetrieb",Nutzungsprofile!$G$17:$G$22)*Kalender!C256/SUM(Kalender!$C$5:$C$370),0)+IFERROR(SUMIF(Nutzungsprofile!$B$17:$B$22,"Halle",Nutzungsprofile!$G$17:$G$22)*Kalender!D256/SUM(Kalender!$D$5:$D$370),0)+IFERROR(SUMIF(Nutzungsprofile!$B$17:$B$22,"Individuell",Nutzungsprofile!$G$17:$G$22)*Kalender!E256/SUM(Kalender!$E$5:$E$370),0))*Szenarien!$D$10,0)</f>
        <v>5.434</v>
      </c>
      <c r="E988" s="13" t="n">
        <f aca="false">IFERROR(MIN(C988,Eingaben!$B$17)*Eingaben!$B$16,0)</f>
        <v>3.3516</v>
      </c>
      <c r="F988" s="13" t="n">
        <f aca="false">IFERROR(E988*Eingaben!$B$15,0)</f>
        <v>3.01644</v>
      </c>
      <c r="G988" s="13" t="n">
        <f aca="false">IFERROR(IF(Kalender!A256="",0,J987*(1-Eingaben!$B$20)),0)</f>
        <v>0.88683336</v>
      </c>
      <c r="H988" s="13" t="n">
        <f aca="false">MIN(G988,D988)</f>
        <v>0.88683336</v>
      </c>
      <c r="I988" s="13" t="n">
        <f aca="false">IFERROR(MIN(F988*Eingaben!$B$19,MAX(0,D988-H988)),0)</f>
        <v>2.111508</v>
      </c>
      <c r="J988" s="13" t="n">
        <f aca="false">IFERROR(MIN(Eingaben!$B$18,MAX(0,F988-I988)),0)</f>
        <v>0.904932</v>
      </c>
      <c r="K988" s="13" t="n">
        <f aca="false">H988+I988</f>
        <v>2.99834136</v>
      </c>
      <c r="L988" s="13" t="n">
        <f aca="false">MAX(0,D988-K988)</f>
        <v>2.43565864</v>
      </c>
      <c r="M988" s="13" t="n">
        <f aca="false">MAX(0,F988-I988-J988)</f>
        <v>0</v>
      </c>
      <c r="N988" s="13" t="n">
        <f aca="false">IF(Kalender!A256="",0,J987-H988)</f>
        <v>0.0180986400000001</v>
      </c>
    </row>
    <row r="989" customFormat="false" ht="16.4" hidden="false" customHeight="false" outlineLevel="0" collapsed="false">
      <c r="A989" s="13" t="str">
        <f aca="false">""</f>
        <v/>
      </c>
      <c r="B989" s="13" t="n">
        <f aca="false">253</f>
        <v>253</v>
      </c>
      <c r="C989" s="13" t="n">
        <f aca="false">IF(Szenarien!$H$10="OK",(IFERROR(SUMIF(Nutzungsprofile!$B$6:$B$11,"Schulbetrieb",Nutzungsprofile!$G$6:$G$11)*Kalender!C257/SUM(Kalender!$C$5:$C$370),0)+IFERROR(SUMIF(Nutzungsprofile!$B$6:$B$11,"Halle",Nutzungsprofile!$G$6:$G$11)*Kalender!D257/SUM(Kalender!$D$5:$D$370),0)+IFERROR(SUMIF(Nutzungsprofile!$B$6:$B$11,"Individuell",Nutzungsprofile!$G$6:$G$11)*Kalender!E257/SUM(Kalender!$E$5:$E$370),0))*Szenarien!$E$10,0)</f>
        <v>3.528</v>
      </c>
      <c r="D989" s="13" t="n">
        <f aca="false">IF(Szenarien!$H$10="OK",(IFERROR(SUMIF(Nutzungsprofile!$B$17:$B$22,"Schulbetrieb",Nutzungsprofile!$G$17:$G$22)*Kalender!C257/SUM(Kalender!$C$5:$C$370),0)+IFERROR(SUMIF(Nutzungsprofile!$B$17:$B$22,"Halle",Nutzungsprofile!$G$17:$G$22)*Kalender!D257/SUM(Kalender!$D$5:$D$370),0)+IFERROR(SUMIF(Nutzungsprofile!$B$17:$B$22,"Individuell",Nutzungsprofile!$G$17:$G$22)*Kalender!E257/SUM(Kalender!$E$5:$E$370),0))*Szenarien!$D$10,0)</f>
        <v>5.434</v>
      </c>
      <c r="E989" s="13" t="n">
        <f aca="false">IFERROR(MIN(C989,Eingaben!$B$17)*Eingaben!$B$16,0)</f>
        <v>3.3516</v>
      </c>
      <c r="F989" s="13" t="n">
        <f aca="false">IFERROR(E989*Eingaben!$B$15,0)</f>
        <v>3.01644</v>
      </c>
      <c r="G989" s="13" t="n">
        <f aca="false">IFERROR(IF(Kalender!A257="",0,J988*(1-Eingaben!$B$20)),0)</f>
        <v>0.88683336</v>
      </c>
      <c r="H989" s="13" t="n">
        <f aca="false">MIN(G989,D989)</f>
        <v>0.88683336</v>
      </c>
      <c r="I989" s="13" t="n">
        <f aca="false">IFERROR(MIN(F989*Eingaben!$B$19,MAX(0,D989-H989)),0)</f>
        <v>2.111508</v>
      </c>
      <c r="J989" s="13" t="n">
        <f aca="false">IFERROR(MIN(Eingaben!$B$18,MAX(0,F989-I989)),0)</f>
        <v>0.904932</v>
      </c>
      <c r="K989" s="13" t="n">
        <f aca="false">H989+I989</f>
        <v>2.99834136</v>
      </c>
      <c r="L989" s="13" t="n">
        <f aca="false">MAX(0,D989-K989)</f>
        <v>2.43565864</v>
      </c>
      <c r="M989" s="13" t="n">
        <f aca="false">MAX(0,F989-I989-J989)</f>
        <v>0</v>
      </c>
      <c r="N989" s="13" t="n">
        <f aca="false">IF(Kalender!A257="",0,J988-H989)</f>
        <v>0.0180986400000001</v>
      </c>
    </row>
    <row r="990" customFormat="false" ht="16.4" hidden="false" customHeight="false" outlineLevel="0" collapsed="false">
      <c r="A990" s="13" t="str">
        <f aca="false">""</f>
        <v/>
      </c>
      <c r="B990" s="13" t="n">
        <f aca="false">254</f>
        <v>254</v>
      </c>
      <c r="C990" s="13" t="n">
        <f aca="false">IF(Szenarien!$H$10="OK",(IFERROR(SUMIF(Nutzungsprofile!$B$6:$B$11,"Schulbetrieb",Nutzungsprofile!$G$6:$G$11)*Kalender!C258/SUM(Kalender!$C$5:$C$370),0)+IFERROR(SUMIF(Nutzungsprofile!$B$6:$B$11,"Halle",Nutzungsprofile!$G$6:$G$11)*Kalender!D258/SUM(Kalender!$D$5:$D$370),0)+IFERROR(SUMIF(Nutzungsprofile!$B$6:$B$11,"Individuell",Nutzungsprofile!$G$6:$G$11)*Kalender!E258/SUM(Kalender!$E$5:$E$370),0))*Szenarien!$E$10,0)</f>
        <v>3.528</v>
      </c>
      <c r="D990" s="13" t="n">
        <f aca="false">IF(Szenarien!$H$10="OK",(IFERROR(SUMIF(Nutzungsprofile!$B$17:$B$22,"Schulbetrieb",Nutzungsprofile!$G$17:$G$22)*Kalender!C258/SUM(Kalender!$C$5:$C$370),0)+IFERROR(SUMIF(Nutzungsprofile!$B$17:$B$22,"Halle",Nutzungsprofile!$G$17:$G$22)*Kalender!D258/SUM(Kalender!$D$5:$D$370),0)+IFERROR(SUMIF(Nutzungsprofile!$B$17:$B$22,"Individuell",Nutzungsprofile!$G$17:$G$22)*Kalender!E258/SUM(Kalender!$E$5:$E$370),0))*Szenarien!$D$10,0)</f>
        <v>5.434</v>
      </c>
      <c r="E990" s="13" t="n">
        <f aca="false">IFERROR(MIN(C990,Eingaben!$B$17)*Eingaben!$B$16,0)</f>
        <v>3.3516</v>
      </c>
      <c r="F990" s="13" t="n">
        <f aca="false">IFERROR(E990*Eingaben!$B$15,0)</f>
        <v>3.01644</v>
      </c>
      <c r="G990" s="13" t="n">
        <f aca="false">IFERROR(IF(Kalender!A258="",0,J989*(1-Eingaben!$B$20)),0)</f>
        <v>0.88683336</v>
      </c>
      <c r="H990" s="13" t="n">
        <f aca="false">MIN(G990,D990)</f>
        <v>0.88683336</v>
      </c>
      <c r="I990" s="13" t="n">
        <f aca="false">IFERROR(MIN(F990*Eingaben!$B$19,MAX(0,D990-H990)),0)</f>
        <v>2.111508</v>
      </c>
      <c r="J990" s="13" t="n">
        <f aca="false">IFERROR(MIN(Eingaben!$B$18,MAX(0,F990-I990)),0)</f>
        <v>0.904932</v>
      </c>
      <c r="K990" s="13" t="n">
        <f aca="false">H990+I990</f>
        <v>2.99834136</v>
      </c>
      <c r="L990" s="13" t="n">
        <f aca="false">MAX(0,D990-K990)</f>
        <v>2.43565864</v>
      </c>
      <c r="M990" s="13" t="n">
        <f aca="false">MAX(0,F990-I990-J990)</f>
        <v>0</v>
      </c>
      <c r="N990" s="13" t="n">
        <f aca="false">IF(Kalender!A258="",0,J989-H990)</f>
        <v>0.0180986400000001</v>
      </c>
    </row>
    <row r="991" customFormat="false" ht="16.4" hidden="false" customHeight="false" outlineLevel="0" collapsed="false">
      <c r="A991" s="13" t="str">
        <f aca="false">""</f>
        <v/>
      </c>
      <c r="B991" s="13" t="n">
        <f aca="false">255</f>
        <v>255</v>
      </c>
      <c r="C991" s="13" t="n">
        <f aca="false">IF(Szenarien!$H$10="OK",(IFERROR(SUMIF(Nutzungsprofile!$B$6:$B$11,"Schulbetrieb",Nutzungsprofile!$G$6:$G$11)*Kalender!C259/SUM(Kalender!$C$5:$C$370),0)+IFERROR(SUMIF(Nutzungsprofile!$B$6:$B$11,"Halle",Nutzungsprofile!$G$6:$G$11)*Kalender!D259/SUM(Kalender!$D$5:$D$370),0)+IFERROR(SUMIF(Nutzungsprofile!$B$6:$B$11,"Individuell",Nutzungsprofile!$G$6:$G$11)*Kalender!E259/SUM(Kalender!$E$5:$E$370),0))*Szenarien!$E$10,0)</f>
        <v>2.448</v>
      </c>
      <c r="D991" s="13" t="n">
        <f aca="false">IF(Szenarien!$H$10="OK",(IFERROR(SUMIF(Nutzungsprofile!$B$17:$B$22,"Schulbetrieb",Nutzungsprofile!$G$17:$G$22)*Kalender!C259/SUM(Kalender!$C$5:$C$370),0)+IFERROR(SUMIF(Nutzungsprofile!$B$17:$B$22,"Halle",Nutzungsprofile!$G$17:$G$22)*Kalender!D259/SUM(Kalender!$D$5:$D$370),0)+IFERROR(SUMIF(Nutzungsprofile!$B$17:$B$22,"Individuell",Nutzungsprofile!$G$17:$G$22)*Kalender!E259/SUM(Kalender!$E$5:$E$370),0))*Szenarien!$D$10,0)</f>
        <v>0.979</v>
      </c>
      <c r="E991" s="13" t="n">
        <f aca="false">IFERROR(MIN(C991,Eingaben!$B$17)*Eingaben!$B$16,0)</f>
        <v>2.3256</v>
      </c>
      <c r="F991" s="13" t="n">
        <f aca="false">IFERROR(E991*Eingaben!$B$15,0)</f>
        <v>2.09304</v>
      </c>
      <c r="G991" s="13" t="n">
        <f aca="false">IFERROR(IF(Kalender!A259="",0,J990*(1-Eingaben!$B$20)),0)</f>
        <v>0.88683336</v>
      </c>
      <c r="H991" s="13" t="n">
        <f aca="false">MIN(G991,D991)</f>
        <v>0.88683336</v>
      </c>
      <c r="I991" s="13" t="n">
        <f aca="false">IFERROR(MIN(F991*Eingaben!$B$19,MAX(0,D991-H991)),0)</f>
        <v>0.0921666400000001</v>
      </c>
      <c r="J991" s="13" t="n">
        <f aca="false">IFERROR(MIN(Eingaben!$B$18,MAX(0,F991-I991)),0)</f>
        <v>2</v>
      </c>
      <c r="K991" s="13" t="n">
        <f aca="false">H991+I991</f>
        <v>0.979</v>
      </c>
      <c r="L991" s="13" t="n">
        <f aca="false">MAX(0,D991-K991)</f>
        <v>0</v>
      </c>
      <c r="M991" s="13" t="n">
        <f aca="false">MAX(0,F991-I991-J991)</f>
        <v>0.000873359999999934</v>
      </c>
      <c r="N991" s="13" t="n">
        <f aca="false">IF(Kalender!A259="",0,J990-H991)</f>
        <v>0.0180986400000001</v>
      </c>
    </row>
    <row r="992" customFormat="false" ht="16.4" hidden="false" customHeight="false" outlineLevel="0" collapsed="false">
      <c r="A992" s="13" t="str">
        <f aca="false">""</f>
        <v/>
      </c>
      <c r="B992" s="13" t="n">
        <f aca="false">256</f>
        <v>256</v>
      </c>
      <c r="C992" s="13" t="n">
        <f aca="false">IF(Szenarien!$H$10="OK",(IFERROR(SUMIF(Nutzungsprofile!$B$6:$B$11,"Schulbetrieb",Nutzungsprofile!$G$6:$G$11)*Kalender!C260/SUM(Kalender!$C$5:$C$370),0)+IFERROR(SUMIF(Nutzungsprofile!$B$6:$B$11,"Halle",Nutzungsprofile!$G$6:$G$11)*Kalender!D260/SUM(Kalender!$D$5:$D$370),0)+IFERROR(SUMIF(Nutzungsprofile!$B$6:$B$11,"Individuell",Nutzungsprofile!$G$6:$G$11)*Kalender!E260/SUM(Kalender!$E$5:$E$370),0))*Szenarien!$E$10,0)</f>
        <v>2.448</v>
      </c>
      <c r="D992" s="13" t="n">
        <f aca="false">IF(Szenarien!$H$10="OK",(IFERROR(SUMIF(Nutzungsprofile!$B$17:$B$22,"Schulbetrieb",Nutzungsprofile!$G$17:$G$22)*Kalender!C260/SUM(Kalender!$C$5:$C$370),0)+IFERROR(SUMIF(Nutzungsprofile!$B$17:$B$22,"Halle",Nutzungsprofile!$G$17:$G$22)*Kalender!D260/SUM(Kalender!$D$5:$D$370),0)+IFERROR(SUMIF(Nutzungsprofile!$B$17:$B$22,"Individuell",Nutzungsprofile!$G$17:$G$22)*Kalender!E260/SUM(Kalender!$E$5:$E$370),0))*Szenarien!$D$10,0)</f>
        <v>0.979</v>
      </c>
      <c r="E992" s="13" t="n">
        <f aca="false">IFERROR(MIN(C992,Eingaben!$B$17)*Eingaben!$B$16,0)</f>
        <v>2.3256</v>
      </c>
      <c r="F992" s="13" t="n">
        <f aca="false">IFERROR(E992*Eingaben!$B$15,0)</f>
        <v>2.09304</v>
      </c>
      <c r="G992" s="13" t="n">
        <f aca="false">IFERROR(IF(Kalender!A260="",0,J991*(1-Eingaben!$B$20)),0)</f>
        <v>1.96</v>
      </c>
      <c r="H992" s="13" t="n">
        <f aca="false">MIN(G992,D992)</f>
        <v>0.979</v>
      </c>
      <c r="I992" s="13" t="n">
        <f aca="false">IFERROR(MIN(F992*Eingaben!$B$19,MAX(0,D992-H992)),0)</f>
        <v>0</v>
      </c>
      <c r="J992" s="13" t="n">
        <f aca="false">IFERROR(MIN(Eingaben!$B$18,MAX(0,F992-I992)),0)</f>
        <v>2</v>
      </c>
      <c r="K992" s="13" t="n">
        <f aca="false">H992+I992</f>
        <v>0.979</v>
      </c>
      <c r="L992" s="13" t="n">
        <f aca="false">MAX(0,D992-K992)</f>
        <v>0</v>
      </c>
      <c r="M992" s="13" t="n">
        <f aca="false">MAX(0,F992-I992-J992)</f>
        <v>0.0930399999999998</v>
      </c>
      <c r="N992" s="13" t="n">
        <f aca="false">IF(Kalender!A260="",0,J991-H992)</f>
        <v>1.021</v>
      </c>
    </row>
    <row r="993" customFormat="false" ht="16.4" hidden="false" customHeight="false" outlineLevel="0" collapsed="false">
      <c r="A993" s="13" t="str">
        <f aca="false">""</f>
        <v/>
      </c>
      <c r="B993" s="13" t="n">
        <f aca="false">257</f>
        <v>257</v>
      </c>
      <c r="C993" s="13" t="n">
        <f aca="false">IF(Szenarien!$H$10="OK",(IFERROR(SUMIF(Nutzungsprofile!$B$6:$B$11,"Schulbetrieb",Nutzungsprofile!$G$6:$G$11)*Kalender!C261/SUM(Kalender!$C$5:$C$370),0)+IFERROR(SUMIF(Nutzungsprofile!$B$6:$B$11,"Halle",Nutzungsprofile!$G$6:$G$11)*Kalender!D261/SUM(Kalender!$D$5:$D$370),0)+IFERROR(SUMIF(Nutzungsprofile!$B$6:$B$11,"Individuell",Nutzungsprofile!$G$6:$G$11)*Kalender!E261/SUM(Kalender!$E$5:$E$370),0))*Szenarien!$E$10,0)</f>
        <v>3.528</v>
      </c>
      <c r="D993" s="13" t="n">
        <f aca="false">IF(Szenarien!$H$10="OK",(IFERROR(SUMIF(Nutzungsprofile!$B$17:$B$22,"Schulbetrieb",Nutzungsprofile!$G$17:$G$22)*Kalender!C261/SUM(Kalender!$C$5:$C$370),0)+IFERROR(SUMIF(Nutzungsprofile!$B$17:$B$22,"Halle",Nutzungsprofile!$G$17:$G$22)*Kalender!D261/SUM(Kalender!$D$5:$D$370),0)+IFERROR(SUMIF(Nutzungsprofile!$B$17:$B$22,"Individuell",Nutzungsprofile!$G$17:$G$22)*Kalender!E261/SUM(Kalender!$E$5:$E$370),0))*Szenarien!$D$10,0)</f>
        <v>5.434</v>
      </c>
      <c r="E993" s="13" t="n">
        <f aca="false">IFERROR(MIN(C993,Eingaben!$B$17)*Eingaben!$B$16,0)</f>
        <v>3.3516</v>
      </c>
      <c r="F993" s="13" t="n">
        <f aca="false">IFERROR(E993*Eingaben!$B$15,0)</f>
        <v>3.01644</v>
      </c>
      <c r="G993" s="13" t="n">
        <f aca="false">IFERROR(IF(Kalender!A261="",0,J992*(1-Eingaben!$B$20)),0)</f>
        <v>1.96</v>
      </c>
      <c r="H993" s="13" t="n">
        <f aca="false">MIN(G993,D993)</f>
        <v>1.96</v>
      </c>
      <c r="I993" s="13" t="n">
        <f aca="false">IFERROR(MIN(F993*Eingaben!$B$19,MAX(0,D993-H993)),0)</f>
        <v>2.111508</v>
      </c>
      <c r="J993" s="13" t="n">
        <f aca="false">IFERROR(MIN(Eingaben!$B$18,MAX(0,F993-I993)),0)</f>
        <v>0.904932</v>
      </c>
      <c r="K993" s="13" t="n">
        <f aca="false">H993+I993</f>
        <v>4.071508</v>
      </c>
      <c r="L993" s="13" t="n">
        <f aca="false">MAX(0,D993-K993)</f>
        <v>1.362492</v>
      </c>
      <c r="M993" s="13" t="n">
        <f aca="false">MAX(0,F993-I993-J993)</f>
        <v>0</v>
      </c>
      <c r="N993" s="13" t="n">
        <f aca="false">IF(Kalender!A261="",0,J992-H993)</f>
        <v>0.04</v>
      </c>
    </row>
    <row r="994" customFormat="false" ht="16.4" hidden="false" customHeight="false" outlineLevel="0" collapsed="false">
      <c r="A994" s="13" t="str">
        <f aca="false">""</f>
        <v/>
      </c>
      <c r="B994" s="13" t="n">
        <f aca="false">258</f>
        <v>258</v>
      </c>
      <c r="C994" s="13" t="n">
        <f aca="false">IF(Szenarien!$H$10="OK",(IFERROR(SUMIF(Nutzungsprofile!$B$6:$B$11,"Schulbetrieb",Nutzungsprofile!$G$6:$G$11)*Kalender!C262/SUM(Kalender!$C$5:$C$370),0)+IFERROR(SUMIF(Nutzungsprofile!$B$6:$B$11,"Halle",Nutzungsprofile!$G$6:$G$11)*Kalender!D262/SUM(Kalender!$D$5:$D$370),0)+IFERROR(SUMIF(Nutzungsprofile!$B$6:$B$11,"Individuell",Nutzungsprofile!$G$6:$G$11)*Kalender!E262/SUM(Kalender!$E$5:$E$370),0))*Szenarien!$E$10,0)</f>
        <v>3.528</v>
      </c>
      <c r="D994" s="13" t="n">
        <f aca="false">IF(Szenarien!$H$10="OK",(IFERROR(SUMIF(Nutzungsprofile!$B$17:$B$22,"Schulbetrieb",Nutzungsprofile!$G$17:$G$22)*Kalender!C262/SUM(Kalender!$C$5:$C$370),0)+IFERROR(SUMIF(Nutzungsprofile!$B$17:$B$22,"Halle",Nutzungsprofile!$G$17:$G$22)*Kalender!D262/SUM(Kalender!$D$5:$D$370),0)+IFERROR(SUMIF(Nutzungsprofile!$B$17:$B$22,"Individuell",Nutzungsprofile!$G$17:$G$22)*Kalender!E262/SUM(Kalender!$E$5:$E$370),0))*Szenarien!$D$10,0)</f>
        <v>5.434</v>
      </c>
      <c r="E994" s="13" t="n">
        <f aca="false">IFERROR(MIN(C994,Eingaben!$B$17)*Eingaben!$B$16,0)</f>
        <v>3.3516</v>
      </c>
      <c r="F994" s="13" t="n">
        <f aca="false">IFERROR(E994*Eingaben!$B$15,0)</f>
        <v>3.01644</v>
      </c>
      <c r="G994" s="13" t="n">
        <f aca="false">IFERROR(IF(Kalender!A262="",0,J993*(1-Eingaben!$B$20)),0)</f>
        <v>0.88683336</v>
      </c>
      <c r="H994" s="13" t="n">
        <f aca="false">MIN(G994,D994)</f>
        <v>0.88683336</v>
      </c>
      <c r="I994" s="13" t="n">
        <f aca="false">IFERROR(MIN(F994*Eingaben!$B$19,MAX(0,D994-H994)),0)</f>
        <v>2.111508</v>
      </c>
      <c r="J994" s="13" t="n">
        <f aca="false">IFERROR(MIN(Eingaben!$B$18,MAX(0,F994-I994)),0)</f>
        <v>0.904932</v>
      </c>
      <c r="K994" s="13" t="n">
        <f aca="false">H994+I994</f>
        <v>2.99834136</v>
      </c>
      <c r="L994" s="13" t="n">
        <f aca="false">MAX(0,D994-K994)</f>
        <v>2.43565864</v>
      </c>
      <c r="M994" s="13" t="n">
        <f aca="false">MAX(0,F994-I994-J994)</f>
        <v>0</v>
      </c>
      <c r="N994" s="13" t="n">
        <f aca="false">IF(Kalender!A262="",0,J993-H994)</f>
        <v>0.0180986400000001</v>
      </c>
    </row>
    <row r="995" customFormat="false" ht="16.4" hidden="false" customHeight="false" outlineLevel="0" collapsed="false">
      <c r="A995" s="13" t="str">
        <f aca="false">""</f>
        <v/>
      </c>
      <c r="B995" s="13" t="n">
        <f aca="false">259</f>
        <v>259</v>
      </c>
      <c r="C995" s="13" t="n">
        <f aca="false">IF(Szenarien!$H$10="OK",(IFERROR(SUMIF(Nutzungsprofile!$B$6:$B$11,"Schulbetrieb",Nutzungsprofile!$G$6:$G$11)*Kalender!C263/SUM(Kalender!$C$5:$C$370),0)+IFERROR(SUMIF(Nutzungsprofile!$B$6:$B$11,"Halle",Nutzungsprofile!$G$6:$G$11)*Kalender!D263/SUM(Kalender!$D$5:$D$370),0)+IFERROR(SUMIF(Nutzungsprofile!$B$6:$B$11,"Individuell",Nutzungsprofile!$G$6:$G$11)*Kalender!E263/SUM(Kalender!$E$5:$E$370),0))*Szenarien!$E$10,0)</f>
        <v>3.528</v>
      </c>
      <c r="D995" s="13" t="n">
        <f aca="false">IF(Szenarien!$H$10="OK",(IFERROR(SUMIF(Nutzungsprofile!$B$17:$B$22,"Schulbetrieb",Nutzungsprofile!$G$17:$G$22)*Kalender!C263/SUM(Kalender!$C$5:$C$370),0)+IFERROR(SUMIF(Nutzungsprofile!$B$17:$B$22,"Halle",Nutzungsprofile!$G$17:$G$22)*Kalender!D263/SUM(Kalender!$D$5:$D$370),0)+IFERROR(SUMIF(Nutzungsprofile!$B$17:$B$22,"Individuell",Nutzungsprofile!$G$17:$G$22)*Kalender!E263/SUM(Kalender!$E$5:$E$370),0))*Szenarien!$D$10,0)</f>
        <v>5.434</v>
      </c>
      <c r="E995" s="13" t="n">
        <f aca="false">IFERROR(MIN(C995,Eingaben!$B$17)*Eingaben!$B$16,0)</f>
        <v>3.3516</v>
      </c>
      <c r="F995" s="13" t="n">
        <f aca="false">IFERROR(E995*Eingaben!$B$15,0)</f>
        <v>3.01644</v>
      </c>
      <c r="G995" s="13" t="n">
        <f aca="false">IFERROR(IF(Kalender!A263="",0,J994*(1-Eingaben!$B$20)),0)</f>
        <v>0.88683336</v>
      </c>
      <c r="H995" s="13" t="n">
        <f aca="false">MIN(G995,D995)</f>
        <v>0.88683336</v>
      </c>
      <c r="I995" s="13" t="n">
        <f aca="false">IFERROR(MIN(F995*Eingaben!$B$19,MAX(0,D995-H995)),0)</f>
        <v>2.111508</v>
      </c>
      <c r="J995" s="13" t="n">
        <f aca="false">IFERROR(MIN(Eingaben!$B$18,MAX(0,F995-I995)),0)</f>
        <v>0.904932</v>
      </c>
      <c r="K995" s="13" t="n">
        <f aca="false">H995+I995</f>
        <v>2.99834136</v>
      </c>
      <c r="L995" s="13" t="n">
        <f aca="false">MAX(0,D995-K995)</f>
        <v>2.43565864</v>
      </c>
      <c r="M995" s="13" t="n">
        <f aca="false">MAX(0,F995-I995-J995)</f>
        <v>0</v>
      </c>
      <c r="N995" s="13" t="n">
        <f aca="false">IF(Kalender!A263="",0,J994-H995)</f>
        <v>0.0180986400000001</v>
      </c>
    </row>
    <row r="996" customFormat="false" ht="16.4" hidden="false" customHeight="false" outlineLevel="0" collapsed="false">
      <c r="A996" s="13" t="str">
        <f aca="false">""</f>
        <v/>
      </c>
      <c r="B996" s="13" t="n">
        <f aca="false">260</f>
        <v>260</v>
      </c>
      <c r="C996" s="13" t="n">
        <f aca="false">IF(Szenarien!$H$10="OK",(IFERROR(SUMIF(Nutzungsprofile!$B$6:$B$11,"Schulbetrieb",Nutzungsprofile!$G$6:$G$11)*Kalender!C264/SUM(Kalender!$C$5:$C$370),0)+IFERROR(SUMIF(Nutzungsprofile!$B$6:$B$11,"Halle",Nutzungsprofile!$G$6:$G$11)*Kalender!D264/SUM(Kalender!$D$5:$D$370),0)+IFERROR(SUMIF(Nutzungsprofile!$B$6:$B$11,"Individuell",Nutzungsprofile!$G$6:$G$11)*Kalender!E264/SUM(Kalender!$E$5:$E$370),0))*Szenarien!$E$10,0)</f>
        <v>3.528</v>
      </c>
      <c r="D996" s="13" t="n">
        <f aca="false">IF(Szenarien!$H$10="OK",(IFERROR(SUMIF(Nutzungsprofile!$B$17:$B$22,"Schulbetrieb",Nutzungsprofile!$G$17:$G$22)*Kalender!C264/SUM(Kalender!$C$5:$C$370),0)+IFERROR(SUMIF(Nutzungsprofile!$B$17:$B$22,"Halle",Nutzungsprofile!$G$17:$G$22)*Kalender!D264/SUM(Kalender!$D$5:$D$370),0)+IFERROR(SUMIF(Nutzungsprofile!$B$17:$B$22,"Individuell",Nutzungsprofile!$G$17:$G$22)*Kalender!E264/SUM(Kalender!$E$5:$E$370),0))*Szenarien!$D$10,0)</f>
        <v>5.434</v>
      </c>
      <c r="E996" s="13" t="n">
        <f aca="false">IFERROR(MIN(C996,Eingaben!$B$17)*Eingaben!$B$16,0)</f>
        <v>3.3516</v>
      </c>
      <c r="F996" s="13" t="n">
        <f aca="false">IFERROR(E996*Eingaben!$B$15,0)</f>
        <v>3.01644</v>
      </c>
      <c r="G996" s="13" t="n">
        <f aca="false">IFERROR(IF(Kalender!A264="",0,J995*(1-Eingaben!$B$20)),0)</f>
        <v>0.88683336</v>
      </c>
      <c r="H996" s="13" t="n">
        <f aca="false">MIN(G996,D996)</f>
        <v>0.88683336</v>
      </c>
      <c r="I996" s="13" t="n">
        <f aca="false">IFERROR(MIN(F996*Eingaben!$B$19,MAX(0,D996-H996)),0)</f>
        <v>2.111508</v>
      </c>
      <c r="J996" s="13" t="n">
        <f aca="false">IFERROR(MIN(Eingaben!$B$18,MAX(0,F996-I996)),0)</f>
        <v>0.904932</v>
      </c>
      <c r="K996" s="13" t="n">
        <f aca="false">H996+I996</f>
        <v>2.99834136</v>
      </c>
      <c r="L996" s="13" t="n">
        <f aca="false">MAX(0,D996-K996)</f>
        <v>2.43565864</v>
      </c>
      <c r="M996" s="13" t="n">
        <f aca="false">MAX(0,F996-I996-J996)</f>
        <v>0</v>
      </c>
      <c r="N996" s="13" t="n">
        <f aca="false">IF(Kalender!A264="",0,J995-H996)</f>
        <v>0.0180986400000001</v>
      </c>
    </row>
    <row r="997" customFormat="false" ht="16.4" hidden="false" customHeight="false" outlineLevel="0" collapsed="false">
      <c r="A997" s="13" t="str">
        <f aca="false">""</f>
        <v/>
      </c>
      <c r="B997" s="13" t="n">
        <f aca="false">261</f>
        <v>261</v>
      </c>
      <c r="C997" s="13" t="n">
        <f aca="false">IF(Szenarien!$H$10="OK",(IFERROR(SUMIF(Nutzungsprofile!$B$6:$B$11,"Schulbetrieb",Nutzungsprofile!$G$6:$G$11)*Kalender!C265/SUM(Kalender!$C$5:$C$370),0)+IFERROR(SUMIF(Nutzungsprofile!$B$6:$B$11,"Halle",Nutzungsprofile!$G$6:$G$11)*Kalender!D265/SUM(Kalender!$D$5:$D$370),0)+IFERROR(SUMIF(Nutzungsprofile!$B$6:$B$11,"Individuell",Nutzungsprofile!$G$6:$G$11)*Kalender!E265/SUM(Kalender!$E$5:$E$370),0))*Szenarien!$E$10,0)</f>
        <v>3.528</v>
      </c>
      <c r="D997" s="13" t="n">
        <f aca="false">IF(Szenarien!$H$10="OK",(IFERROR(SUMIF(Nutzungsprofile!$B$17:$B$22,"Schulbetrieb",Nutzungsprofile!$G$17:$G$22)*Kalender!C265/SUM(Kalender!$C$5:$C$370),0)+IFERROR(SUMIF(Nutzungsprofile!$B$17:$B$22,"Halle",Nutzungsprofile!$G$17:$G$22)*Kalender!D265/SUM(Kalender!$D$5:$D$370),0)+IFERROR(SUMIF(Nutzungsprofile!$B$17:$B$22,"Individuell",Nutzungsprofile!$G$17:$G$22)*Kalender!E265/SUM(Kalender!$E$5:$E$370),0))*Szenarien!$D$10,0)</f>
        <v>5.434</v>
      </c>
      <c r="E997" s="13" t="n">
        <f aca="false">IFERROR(MIN(C997,Eingaben!$B$17)*Eingaben!$B$16,0)</f>
        <v>3.3516</v>
      </c>
      <c r="F997" s="13" t="n">
        <f aca="false">IFERROR(E997*Eingaben!$B$15,0)</f>
        <v>3.01644</v>
      </c>
      <c r="G997" s="13" t="n">
        <f aca="false">IFERROR(IF(Kalender!A265="",0,J996*(1-Eingaben!$B$20)),0)</f>
        <v>0.88683336</v>
      </c>
      <c r="H997" s="13" t="n">
        <f aca="false">MIN(G997,D997)</f>
        <v>0.88683336</v>
      </c>
      <c r="I997" s="13" t="n">
        <f aca="false">IFERROR(MIN(F997*Eingaben!$B$19,MAX(0,D997-H997)),0)</f>
        <v>2.111508</v>
      </c>
      <c r="J997" s="13" t="n">
        <f aca="false">IFERROR(MIN(Eingaben!$B$18,MAX(0,F997-I997)),0)</f>
        <v>0.904932</v>
      </c>
      <c r="K997" s="13" t="n">
        <f aca="false">H997+I997</f>
        <v>2.99834136</v>
      </c>
      <c r="L997" s="13" t="n">
        <f aca="false">MAX(0,D997-K997)</f>
        <v>2.43565864</v>
      </c>
      <c r="M997" s="13" t="n">
        <f aca="false">MAX(0,F997-I997-J997)</f>
        <v>0</v>
      </c>
      <c r="N997" s="13" t="n">
        <f aca="false">IF(Kalender!A265="",0,J996-H997)</f>
        <v>0.0180986400000001</v>
      </c>
    </row>
    <row r="998" customFormat="false" ht="16.4" hidden="false" customHeight="false" outlineLevel="0" collapsed="false">
      <c r="A998" s="13" t="str">
        <f aca="false">""</f>
        <v/>
      </c>
      <c r="B998" s="13" t="n">
        <f aca="false">262</f>
        <v>262</v>
      </c>
      <c r="C998" s="13" t="n">
        <f aca="false">IF(Szenarien!$H$10="OK",(IFERROR(SUMIF(Nutzungsprofile!$B$6:$B$11,"Schulbetrieb",Nutzungsprofile!$G$6:$G$11)*Kalender!C266/SUM(Kalender!$C$5:$C$370),0)+IFERROR(SUMIF(Nutzungsprofile!$B$6:$B$11,"Halle",Nutzungsprofile!$G$6:$G$11)*Kalender!D266/SUM(Kalender!$D$5:$D$370),0)+IFERROR(SUMIF(Nutzungsprofile!$B$6:$B$11,"Individuell",Nutzungsprofile!$G$6:$G$11)*Kalender!E266/SUM(Kalender!$E$5:$E$370),0))*Szenarien!$E$10,0)</f>
        <v>2.448</v>
      </c>
      <c r="D998" s="13" t="n">
        <f aca="false">IF(Szenarien!$H$10="OK",(IFERROR(SUMIF(Nutzungsprofile!$B$17:$B$22,"Schulbetrieb",Nutzungsprofile!$G$17:$G$22)*Kalender!C266/SUM(Kalender!$C$5:$C$370),0)+IFERROR(SUMIF(Nutzungsprofile!$B$17:$B$22,"Halle",Nutzungsprofile!$G$17:$G$22)*Kalender!D266/SUM(Kalender!$D$5:$D$370),0)+IFERROR(SUMIF(Nutzungsprofile!$B$17:$B$22,"Individuell",Nutzungsprofile!$G$17:$G$22)*Kalender!E266/SUM(Kalender!$E$5:$E$370),0))*Szenarien!$D$10,0)</f>
        <v>0.979</v>
      </c>
      <c r="E998" s="13" t="n">
        <f aca="false">IFERROR(MIN(C998,Eingaben!$B$17)*Eingaben!$B$16,0)</f>
        <v>2.3256</v>
      </c>
      <c r="F998" s="13" t="n">
        <f aca="false">IFERROR(E998*Eingaben!$B$15,0)</f>
        <v>2.09304</v>
      </c>
      <c r="G998" s="13" t="n">
        <f aca="false">IFERROR(IF(Kalender!A266="",0,J997*(1-Eingaben!$B$20)),0)</f>
        <v>0.88683336</v>
      </c>
      <c r="H998" s="13" t="n">
        <f aca="false">MIN(G998,D998)</f>
        <v>0.88683336</v>
      </c>
      <c r="I998" s="13" t="n">
        <f aca="false">IFERROR(MIN(F998*Eingaben!$B$19,MAX(0,D998-H998)),0)</f>
        <v>0.0921666400000001</v>
      </c>
      <c r="J998" s="13" t="n">
        <f aca="false">IFERROR(MIN(Eingaben!$B$18,MAX(0,F998-I998)),0)</f>
        <v>2</v>
      </c>
      <c r="K998" s="13" t="n">
        <f aca="false">H998+I998</f>
        <v>0.979</v>
      </c>
      <c r="L998" s="13" t="n">
        <f aca="false">MAX(0,D998-K998)</f>
        <v>0</v>
      </c>
      <c r="M998" s="13" t="n">
        <f aca="false">MAX(0,F998-I998-J998)</f>
        <v>0.000873359999999934</v>
      </c>
      <c r="N998" s="13" t="n">
        <f aca="false">IF(Kalender!A266="",0,J997-H998)</f>
        <v>0.0180986400000001</v>
      </c>
    </row>
    <row r="999" customFormat="false" ht="16.4" hidden="false" customHeight="false" outlineLevel="0" collapsed="false">
      <c r="A999" s="13" t="str">
        <f aca="false">""</f>
        <v/>
      </c>
      <c r="B999" s="13" t="n">
        <f aca="false">263</f>
        <v>263</v>
      </c>
      <c r="C999" s="13" t="n">
        <f aca="false">IF(Szenarien!$H$10="OK",(IFERROR(SUMIF(Nutzungsprofile!$B$6:$B$11,"Schulbetrieb",Nutzungsprofile!$G$6:$G$11)*Kalender!C267/SUM(Kalender!$C$5:$C$370),0)+IFERROR(SUMIF(Nutzungsprofile!$B$6:$B$11,"Halle",Nutzungsprofile!$G$6:$G$11)*Kalender!D267/SUM(Kalender!$D$5:$D$370),0)+IFERROR(SUMIF(Nutzungsprofile!$B$6:$B$11,"Individuell",Nutzungsprofile!$G$6:$G$11)*Kalender!E267/SUM(Kalender!$E$5:$E$370),0))*Szenarien!$E$10,0)</f>
        <v>2.448</v>
      </c>
      <c r="D999" s="13" t="n">
        <f aca="false">IF(Szenarien!$H$10="OK",(IFERROR(SUMIF(Nutzungsprofile!$B$17:$B$22,"Schulbetrieb",Nutzungsprofile!$G$17:$G$22)*Kalender!C267/SUM(Kalender!$C$5:$C$370),0)+IFERROR(SUMIF(Nutzungsprofile!$B$17:$B$22,"Halle",Nutzungsprofile!$G$17:$G$22)*Kalender!D267/SUM(Kalender!$D$5:$D$370),0)+IFERROR(SUMIF(Nutzungsprofile!$B$17:$B$22,"Individuell",Nutzungsprofile!$G$17:$G$22)*Kalender!E267/SUM(Kalender!$E$5:$E$370),0))*Szenarien!$D$10,0)</f>
        <v>0.979</v>
      </c>
      <c r="E999" s="13" t="n">
        <f aca="false">IFERROR(MIN(C999,Eingaben!$B$17)*Eingaben!$B$16,0)</f>
        <v>2.3256</v>
      </c>
      <c r="F999" s="13" t="n">
        <f aca="false">IFERROR(E999*Eingaben!$B$15,0)</f>
        <v>2.09304</v>
      </c>
      <c r="G999" s="13" t="n">
        <f aca="false">IFERROR(IF(Kalender!A267="",0,J998*(1-Eingaben!$B$20)),0)</f>
        <v>1.96</v>
      </c>
      <c r="H999" s="13" t="n">
        <f aca="false">MIN(G999,D999)</f>
        <v>0.979</v>
      </c>
      <c r="I999" s="13" t="n">
        <f aca="false">IFERROR(MIN(F999*Eingaben!$B$19,MAX(0,D999-H999)),0)</f>
        <v>0</v>
      </c>
      <c r="J999" s="13" t="n">
        <f aca="false">IFERROR(MIN(Eingaben!$B$18,MAX(0,F999-I999)),0)</f>
        <v>2</v>
      </c>
      <c r="K999" s="13" t="n">
        <f aca="false">H999+I999</f>
        <v>0.979</v>
      </c>
      <c r="L999" s="13" t="n">
        <f aca="false">MAX(0,D999-K999)</f>
        <v>0</v>
      </c>
      <c r="M999" s="13" t="n">
        <f aca="false">MAX(0,F999-I999-J999)</f>
        <v>0.0930399999999998</v>
      </c>
      <c r="N999" s="13" t="n">
        <f aca="false">IF(Kalender!A267="",0,J998-H999)</f>
        <v>1.021</v>
      </c>
    </row>
    <row r="1000" customFormat="false" ht="16.4" hidden="false" customHeight="false" outlineLevel="0" collapsed="false">
      <c r="A1000" s="13" t="str">
        <f aca="false">""</f>
        <v/>
      </c>
      <c r="B1000" s="13" t="n">
        <f aca="false">264</f>
        <v>264</v>
      </c>
      <c r="C1000" s="13" t="n">
        <f aca="false">IF(Szenarien!$H$10="OK",(IFERROR(SUMIF(Nutzungsprofile!$B$6:$B$11,"Schulbetrieb",Nutzungsprofile!$G$6:$G$11)*Kalender!C268/SUM(Kalender!$C$5:$C$370),0)+IFERROR(SUMIF(Nutzungsprofile!$B$6:$B$11,"Halle",Nutzungsprofile!$G$6:$G$11)*Kalender!D268/SUM(Kalender!$D$5:$D$370),0)+IFERROR(SUMIF(Nutzungsprofile!$B$6:$B$11,"Individuell",Nutzungsprofile!$G$6:$G$11)*Kalender!E268/SUM(Kalender!$E$5:$E$370),0))*Szenarien!$E$10,0)</f>
        <v>3.528</v>
      </c>
      <c r="D1000" s="13" t="n">
        <f aca="false">IF(Szenarien!$H$10="OK",(IFERROR(SUMIF(Nutzungsprofile!$B$17:$B$22,"Schulbetrieb",Nutzungsprofile!$G$17:$G$22)*Kalender!C268/SUM(Kalender!$C$5:$C$370),0)+IFERROR(SUMIF(Nutzungsprofile!$B$17:$B$22,"Halle",Nutzungsprofile!$G$17:$G$22)*Kalender!D268/SUM(Kalender!$D$5:$D$370),0)+IFERROR(SUMIF(Nutzungsprofile!$B$17:$B$22,"Individuell",Nutzungsprofile!$G$17:$G$22)*Kalender!E268/SUM(Kalender!$E$5:$E$370),0))*Szenarien!$D$10,0)</f>
        <v>5.434</v>
      </c>
      <c r="E1000" s="13" t="n">
        <f aca="false">IFERROR(MIN(C1000,Eingaben!$B$17)*Eingaben!$B$16,0)</f>
        <v>3.3516</v>
      </c>
      <c r="F1000" s="13" t="n">
        <f aca="false">IFERROR(E1000*Eingaben!$B$15,0)</f>
        <v>3.01644</v>
      </c>
      <c r="G1000" s="13" t="n">
        <f aca="false">IFERROR(IF(Kalender!A268="",0,J999*(1-Eingaben!$B$20)),0)</f>
        <v>1.96</v>
      </c>
      <c r="H1000" s="13" t="n">
        <f aca="false">MIN(G1000,D1000)</f>
        <v>1.96</v>
      </c>
      <c r="I1000" s="13" t="n">
        <f aca="false">IFERROR(MIN(F1000*Eingaben!$B$19,MAX(0,D1000-H1000)),0)</f>
        <v>2.111508</v>
      </c>
      <c r="J1000" s="13" t="n">
        <f aca="false">IFERROR(MIN(Eingaben!$B$18,MAX(0,F1000-I1000)),0)</f>
        <v>0.904932</v>
      </c>
      <c r="K1000" s="13" t="n">
        <f aca="false">H1000+I1000</f>
        <v>4.071508</v>
      </c>
      <c r="L1000" s="13" t="n">
        <f aca="false">MAX(0,D1000-K1000)</f>
        <v>1.362492</v>
      </c>
      <c r="M1000" s="13" t="n">
        <f aca="false">MAX(0,F1000-I1000-J1000)</f>
        <v>0</v>
      </c>
      <c r="N1000" s="13" t="n">
        <f aca="false">IF(Kalender!A268="",0,J999-H1000)</f>
        <v>0.04</v>
      </c>
    </row>
    <row r="1001" customFormat="false" ht="16.4" hidden="false" customHeight="false" outlineLevel="0" collapsed="false">
      <c r="A1001" s="13" t="str">
        <f aca="false">""</f>
        <v/>
      </c>
      <c r="B1001" s="13" t="n">
        <f aca="false">265</f>
        <v>265</v>
      </c>
      <c r="C1001" s="13" t="n">
        <f aca="false">IF(Szenarien!$H$10="OK",(IFERROR(SUMIF(Nutzungsprofile!$B$6:$B$11,"Schulbetrieb",Nutzungsprofile!$G$6:$G$11)*Kalender!C269/SUM(Kalender!$C$5:$C$370),0)+IFERROR(SUMIF(Nutzungsprofile!$B$6:$B$11,"Halle",Nutzungsprofile!$G$6:$G$11)*Kalender!D269/SUM(Kalender!$D$5:$D$370),0)+IFERROR(SUMIF(Nutzungsprofile!$B$6:$B$11,"Individuell",Nutzungsprofile!$G$6:$G$11)*Kalender!E269/SUM(Kalender!$E$5:$E$370),0))*Szenarien!$E$10,0)</f>
        <v>3.528</v>
      </c>
      <c r="D1001" s="13" t="n">
        <f aca="false">IF(Szenarien!$H$10="OK",(IFERROR(SUMIF(Nutzungsprofile!$B$17:$B$22,"Schulbetrieb",Nutzungsprofile!$G$17:$G$22)*Kalender!C269/SUM(Kalender!$C$5:$C$370),0)+IFERROR(SUMIF(Nutzungsprofile!$B$17:$B$22,"Halle",Nutzungsprofile!$G$17:$G$22)*Kalender!D269/SUM(Kalender!$D$5:$D$370),0)+IFERROR(SUMIF(Nutzungsprofile!$B$17:$B$22,"Individuell",Nutzungsprofile!$G$17:$G$22)*Kalender!E269/SUM(Kalender!$E$5:$E$370),0))*Szenarien!$D$10,0)</f>
        <v>5.434</v>
      </c>
      <c r="E1001" s="13" t="n">
        <f aca="false">IFERROR(MIN(C1001,Eingaben!$B$17)*Eingaben!$B$16,0)</f>
        <v>3.3516</v>
      </c>
      <c r="F1001" s="13" t="n">
        <f aca="false">IFERROR(E1001*Eingaben!$B$15,0)</f>
        <v>3.01644</v>
      </c>
      <c r="G1001" s="13" t="n">
        <f aca="false">IFERROR(IF(Kalender!A269="",0,J1000*(1-Eingaben!$B$20)),0)</f>
        <v>0.88683336</v>
      </c>
      <c r="H1001" s="13" t="n">
        <f aca="false">MIN(G1001,D1001)</f>
        <v>0.88683336</v>
      </c>
      <c r="I1001" s="13" t="n">
        <f aca="false">IFERROR(MIN(F1001*Eingaben!$B$19,MAX(0,D1001-H1001)),0)</f>
        <v>2.111508</v>
      </c>
      <c r="J1001" s="13" t="n">
        <f aca="false">IFERROR(MIN(Eingaben!$B$18,MAX(0,F1001-I1001)),0)</f>
        <v>0.904932</v>
      </c>
      <c r="K1001" s="13" t="n">
        <f aca="false">H1001+I1001</f>
        <v>2.99834136</v>
      </c>
      <c r="L1001" s="13" t="n">
        <f aca="false">MAX(0,D1001-K1001)</f>
        <v>2.43565864</v>
      </c>
      <c r="M1001" s="13" t="n">
        <f aca="false">MAX(0,F1001-I1001-J1001)</f>
        <v>0</v>
      </c>
      <c r="N1001" s="13" t="n">
        <f aca="false">IF(Kalender!A269="",0,J1000-H1001)</f>
        <v>0.0180986400000001</v>
      </c>
    </row>
    <row r="1002" customFormat="false" ht="16.4" hidden="false" customHeight="false" outlineLevel="0" collapsed="false">
      <c r="A1002" s="13" t="str">
        <f aca="false">""</f>
        <v/>
      </c>
      <c r="B1002" s="13" t="n">
        <f aca="false">266</f>
        <v>266</v>
      </c>
      <c r="C1002" s="13" t="n">
        <f aca="false">IF(Szenarien!$H$10="OK",(IFERROR(SUMIF(Nutzungsprofile!$B$6:$B$11,"Schulbetrieb",Nutzungsprofile!$G$6:$G$11)*Kalender!C270/SUM(Kalender!$C$5:$C$370),0)+IFERROR(SUMIF(Nutzungsprofile!$B$6:$B$11,"Halle",Nutzungsprofile!$G$6:$G$11)*Kalender!D270/SUM(Kalender!$D$5:$D$370),0)+IFERROR(SUMIF(Nutzungsprofile!$B$6:$B$11,"Individuell",Nutzungsprofile!$G$6:$G$11)*Kalender!E270/SUM(Kalender!$E$5:$E$370),0))*Szenarien!$E$10,0)</f>
        <v>3.528</v>
      </c>
      <c r="D1002" s="13" t="n">
        <f aca="false">IF(Szenarien!$H$10="OK",(IFERROR(SUMIF(Nutzungsprofile!$B$17:$B$22,"Schulbetrieb",Nutzungsprofile!$G$17:$G$22)*Kalender!C270/SUM(Kalender!$C$5:$C$370),0)+IFERROR(SUMIF(Nutzungsprofile!$B$17:$B$22,"Halle",Nutzungsprofile!$G$17:$G$22)*Kalender!D270/SUM(Kalender!$D$5:$D$370),0)+IFERROR(SUMIF(Nutzungsprofile!$B$17:$B$22,"Individuell",Nutzungsprofile!$G$17:$G$22)*Kalender!E270/SUM(Kalender!$E$5:$E$370),0))*Szenarien!$D$10,0)</f>
        <v>5.434</v>
      </c>
      <c r="E1002" s="13" t="n">
        <f aca="false">IFERROR(MIN(C1002,Eingaben!$B$17)*Eingaben!$B$16,0)</f>
        <v>3.3516</v>
      </c>
      <c r="F1002" s="13" t="n">
        <f aca="false">IFERROR(E1002*Eingaben!$B$15,0)</f>
        <v>3.01644</v>
      </c>
      <c r="G1002" s="13" t="n">
        <f aca="false">IFERROR(IF(Kalender!A270="",0,J1001*(1-Eingaben!$B$20)),0)</f>
        <v>0.88683336</v>
      </c>
      <c r="H1002" s="13" t="n">
        <f aca="false">MIN(G1002,D1002)</f>
        <v>0.88683336</v>
      </c>
      <c r="I1002" s="13" t="n">
        <f aca="false">IFERROR(MIN(F1002*Eingaben!$B$19,MAX(0,D1002-H1002)),0)</f>
        <v>2.111508</v>
      </c>
      <c r="J1002" s="13" t="n">
        <f aca="false">IFERROR(MIN(Eingaben!$B$18,MAX(0,F1002-I1002)),0)</f>
        <v>0.904932</v>
      </c>
      <c r="K1002" s="13" t="n">
        <f aca="false">H1002+I1002</f>
        <v>2.99834136</v>
      </c>
      <c r="L1002" s="13" t="n">
        <f aca="false">MAX(0,D1002-K1002)</f>
        <v>2.43565864</v>
      </c>
      <c r="M1002" s="13" t="n">
        <f aca="false">MAX(0,F1002-I1002-J1002)</f>
        <v>0</v>
      </c>
      <c r="N1002" s="13" t="n">
        <f aca="false">IF(Kalender!A270="",0,J1001-H1002)</f>
        <v>0.0180986400000001</v>
      </c>
    </row>
    <row r="1003" customFormat="false" ht="16.4" hidden="false" customHeight="false" outlineLevel="0" collapsed="false">
      <c r="A1003" s="13" t="str">
        <f aca="false">""</f>
        <v/>
      </c>
      <c r="B1003" s="13" t="n">
        <f aca="false">267</f>
        <v>267</v>
      </c>
      <c r="C1003" s="13" t="n">
        <f aca="false">IF(Szenarien!$H$10="OK",(IFERROR(SUMIF(Nutzungsprofile!$B$6:$B$11,"Schulbetrieb",Nutzungsprofile!$G$6:$G$11)*Kalender!C271/SUM(Kalender!$C$5:$C$370),0)+IFERROR(SUMIF(Nutzungsprofile!$B$6:$B$11,"Halle",Nutzungsprofile!$G$6:$G$11)*Kalender!D271/SUM(Kalender!$D$5:$D$370),0)+IFERROR(SUMIF(Nutzungsprofile!$B$6:$B$11,"Individuell",Nutzungsprofile!$G$6:$G$11)*Kalender!E271/SUM(Kalender!$E$5:$E$370),0))*Szenarien!$E$10,0)</f>
        <v>3.528</v>
      </c>
      <c r="D1003" s="13" t="n">
        <f aca="false">IF(Szenarien!$H$10="OK",(IFERROR(SUMIF(Nutzungsprofile!$B$17:$B$22,"Schulbetrieb",Nutzungsprofile!$G$17:$G$22)*Kalender!C271/SUM(Kalender!$C$5:$C$370),0)+IFERROR(SUMIF(Nutzungsprofile!$B$17:$B$22,"Halle",Nutzungsprofile!$G$17:$G$22)*Kalender!D271/SUM(Kalender!$D$5:$D$370),0)+IFERROR(SUMIF(Nutzungsprofile!$B$17:$B$22,"Individuell",Nutzungsprofile!$G$17:$G$22)*Kalender!E271/SUM(Kalender!$E$5:$E$370),0))*Szenarien!$D$10,0)</f>
        <v>5.434</v>
      </c>
      <c r="E1003" s="13" t="n">
        <f aca="false">IFERROR(MIN(C1003,Eingaben!$B$17)*Eingaben!$B$16,0)</f>
        <v>3.3516</v>
      </c>
      <c r="F1003" s="13" t="n">
        <f aca="false">IFERROR(E1003*Eingaben!$B$15,0)</f>
        <v>3.01644</v>
      </c>
      <c r="G1003" s="13" t="n">
        <f aca="false">IFERROR(IF(Kalender!A271="",0,J1002*(1-Eingaben!$B$20)),0)</f>
        <v>0.88683336</v>
      </c>
      <c r="H1003" s="13" t="n">
        <f aca="false">MIN(G1003,D1003)</f>
        <v>0.88683336</v>
      </c>
      <c r="I1003" s="13" t="n">
        <f aca="false">IFERROR(MIN(F1003*Eingaben!$B$19,MAX(0,D1003-H1003)),0)</f>
        <v>2.111508</v>
      </c>
      <c r="J1003" s="13" t="n">
        <f aca="false">IFERROR(MIN(Eingaben!$B$18,MAX(0,F1003-I1003)),0)</f>
        <v>0.904932</v>
      </c>
      <c r="K1003" s="13" t="n">
        <f aca="false">H1003+I1003</f>
        <v>2.99834136</v>
      </c>
      <c r="L1003" s="13" t="n">
        <f aca="false">MAX(0,D1003-K1003)</f>
        <v>2.43565864</v>
      </c>
      <c r="M1003" s="13" t="n">
        <f aca="false">MAX(0,F1003-I1003-J1003)</f>
        <v>0</v>
      </c>
      <c r="N1003" s="13" t="n">
        <f aca="false">IF(Kalender!A271="",0,J1002-H1003)</f>
        <v>0.0180986400000001</v>
      </c>
    </row>
    <row r="1004" customFormat="false" ht="16.4" hidden="false" customHeight="false" outlineLevel="0" collapsed="false">
      <c r="A1004" s="13" t="str">
        <f aca="false">""</f>
        <v/>
      </c>
      <c r="B1004" s="13" t="n">
        <f aca="false">268</f>
        <v>268</v>
      </c>
      <c r="C1004" s="13" t="n">
        <f aca="false">IF(Szenarien!$H$10="OK",(IFERROR(SUMIF(Nutzungsprofile!$B$6:$B$11,"Schulbetrieb",Nutzungsprofile!$G$6:$G$11)*Kalender!C272/SUM(Kalender!$C$5:$C$370),0)+IFERROR(SUMIF(Nutzungsprofile!$B$6:$B$11,"Halle",Nutzungsprofile!$G$6:$G$11)*Kalender!D272/SUM(Kalender!$D$5:$D$370),0)+IFERROR(SUMIF(Nutzungsprofile!$B$6:$B$11,"Individuell",Nutzungsprofile!$G$6:$G$11)*Kalender!E272/SUM(Kalender!$E$5:$E$370),0))*Szenarien!$E$10,0)</f>
        <v>3.528</v>
      </c>
      <c r="D1004" s="13" t="n">
        <f aca="false">IF(Szenarien!$H$10="OK",(IFERROR(SUMIF(Nutzungsprofile!$B$17:$B$22,"Schulbetrieb",Nutzungsprofile!$G$17:$G$22)*Kalender!C272/SUM(Kalender!$C$5:$C$370),0)+IFERROR(SUMIF(Nutzungsprofile!$B$17:$B$22,"Halle",Nutzungsprofile!$G$17:$G$22)*Kalender!D272/SUM(Kalender!$D$5:$D$370),0)+IFERROR(SUMIF(Nutzungsprofile!$B$17:$B$22,"Individuell",Nutzungsprofile!$G$17:$G$22)*Kalender!E272/SUM(Kalender!$E$5:$E$370),0))*Szenarien!$D$10,0)</f>
        <v>5.434</v>
      </c>
      <c r="E1004" s="13" t="n">
        <f aca="false">IFERROR(MIN(C1004,Eingaben!$B$17)*Eingaben!$B$16,0)</f>
        <v>3.3516</v>
      </c>
      <c r="F1004" s="13" t="n">
        <f aca="false">IFERROR(E1004*Eingaben!$B$15,0)</f>
        <v>3.01644</v>
      </c>
      <c r="G1004" s="13" t="n">
        <f aca="false">IFERROR(IF(Kalender!A272="",0,J1003*(1-Eingaben!$B$20)),0)</f>
        <v>0.88683336</v>
      </c>
      <c r="H1004" s="13" t="n">
        <f aca="false">MIN(G1004,D1004)</f>
        <v>0.88683336</v>
      </c>
      <c r="I1004" s="13" t="n">
        <f aca="false">IFERROR(MIN(F1004*Eingaben!$B$19,MAX(0,D1004-H1004)),0)</f>
        <v>2.111508</v>
      </c>
      <c r="J1004" s="13" t="n">
        <f aca="false">IFERROR(MIN(Eingaben!$B$18,MAX(0,F1004-I1004)),0)</f>
        <v>0.904932</v>
      </c>
      <c r="K1004" s="13" t="n">
        <f aca="false">H1004+I1004</f>
        <v>2.99834136</v>
      </c>
      <c r="L1004" s="13" t="n">
        <f aca="false">MAX(0,D1004-K1004)</f>
        <v>2.43565864</v>
      </c>
      <c r="M1004" s="13" t="n">
        <f aca="false">MAX(0,F1004-I1004-J1004)</f>
        <v>0</v>
      </c>
      <c r="N1004" s="13" t="n">
        <f aca="false">IF(Kalender!A272="",0,J1003-H1004)</f>
        <v>0.0180986400000001</v>
      </c>
    </row>
    <row r="1005" customFormat="false" ht="16.4" hidden="false" customHeight="false" outlineLevel="0" collapsed="false">
      <c r="A1005" s="13" t="str">
        <f aca="false">""</f>
        <v/>
      </c>
      <c r="B1005" s="13" t="n">
        <f aca="false">269</f>
        <v>269</v>
      </c>
      <c r="C1005" s="13" t="n">
        <f aca="false">IF(Szenarien!$H$10="OK",(IFERROR(SUMIF(Nutzungsprofile!$B$6:$B$11,"Schulbetrieb",Nutzungsprofile!$G$6:$G$11)*Kalender!C273/SUM(Kalender!$C$5:$C$370),0)+IFERROR(SUMIF(Nutzungsprofile!$B$6:$B$11,"Halle",Nutzungsprofile!$G$6:$G$11)*Kalender!D273/SUM(Kalender!$D$5:$D$370),0)+IFERROR(SUMIF(Nutzungsprofile!$B$6:$B$11,"Individuell",Nutzungsprofile!$G$6:$G$11)*Kalender!E273/SUM(Kalender!$E$5:$E$370),0))*Szenarien!$E$10,0)</f>
        <v>2.448</v>
      </c>
      <c r="D1005" s="13" t="n">
        <f aca="false">IF(Szenarien!$H$10="OK",(IFERROR(SUMIF(Nutzungsprofile!$B$17:$B$22,"Schulbetrieb",Nutzungsprofile!$G$17:$G$22)*Kalender!C273/SUM(Kalender!$C$5:$C$370),0)+IFERROR(SUMIF(Nutzungsprofile!$B$17:$B$22,"Halle",Nutzungsprofile!$G$17:$G$22)*Kalender!D273/SUM(Kalender!$D$5:$D$370),0)+IFERROR(SUMIF(Nutzungsprofile!$B$17:$B$22,"Individuell",Nutzungsprofile!$G$17:$G$22)*Kalender!E273/SUM(Kalender!$E$5:$E$370),0))*Szenarien!$D$10,0)</f>
        <v>0.979</v>
      </c>
      <c r="E1005" s="13" t="n">
        <f aca="false">IFERROR(MIN(C1005,Eingaben!$B$17)*Eingaben!$B$16,0)</f>
        <v>2.3256</v>
      </c>
      <c r="F1005" s="13" t="n">
        <f aca="false">IFERROR(E1005*Eingaben!$B$15,0)</f>
        <v>2.09304</v>
      </c>
      <c r="G1005" s="13" t="n">
        <f aca="false">IFERROR(IF(Kalender!A273="",0,J1004*(1-Eingaben!$B$20)),0)</f>
        <v>0.88683336</v>
      </c>
      <c r="H1005" s="13" t="n">
        <f aca="false">MIN(G1005,D1005)</f>
        <v>0.88683336</v>
      </c>
      <c r="I1005" s="13" t="n">
        <f aca="false">IFERROR(MIN(F1005*Eingaben!$B$19,MAX(0,D1005-H1005)),0)</f>
        <v>0.0921666400000001</v>
      </c>
      <c r="J1005" s="13" t="n">
        <f aca="false">IFERROR(MIN(Eingaben!$B$18,MAX(0,F1005-I1005)),0)</f>
        <v>2</v>
      </c>
      <c r="K1005" s="13" t="n">
        <f aca="false">H1005+I1005</f>
        <v>0.979</v>
      </c>
      <c r="L1005" s="13" t="n">
        <f aca="false">MAX(0,D1005-K1005)</f>
        <v>0</v>
      </c>
      <c r="M1005" s="13" t="n">
        <f aca="false">MAX(0,F1005-I1005-J1005)</f>
        <v>0.000873359999999934</v>
      </c>
      <c r="N1005" s="13" t="n">
        <f aca="false">IF(Kalender!A273="",0,J1004-H1005)</f>
        <v>0.0180986400000001</v>
      </c>
    </row>
    <row r="1006" customFormat="false" ht="16.4" hidden="false" customHeight="false" outlineLevel="0" collapsed="false">
      <c r="A1006" s="13" t="str">
        <f aca="false">""</f>
        <v/>
      </c>
      <c r="B1006" s="13" t="n">
        <f aca="false">270</f>
        <v>270</v>
      </c>
      <c r="C1006" s="13" t="n">
        <f aca="false">IF(Szenarien!$H$10="OK",(IFERROR(SUMIF(Nutzungsprofile!$B$6:$B$11,"Schulbetrieb",Nutzungsprofile!$G$6:$G$11)*Kalender!C274/SUM(Kalender!$C$5:$C$370),0)+IFERROR(SUMIF(Nutzungsprofile!$B$6:$B$11,"Halle",Nutzungsprofile!$G$6:$G$11)*Kalender!D274/SUM(Kalender!$D$5:$D$370),0)+IFERROR(SUMIF(Nutzungsprofile!$B$6:$B$11,"Individuell",Nutzungsprofile!$G$6:$G$11)*Kalender!E274/SUM(Kalender!$E$5:$E$370),0))*Szenarien!$E$10,0)</f>
        <v>2.448</v>
      </c>
      <c r="D1006" s="13" t="n">
        <f aca="false">IF(Szenarien!$H$10="OK",(IFERROR(SUMIF(Nutzungsprofile!$B$17:$B$22,"Schulbetrieb",Nutzungsprofile!$G$17:$G$22)*Kalender!C274/SUM(Kalender!$C$5:$C$370),0)+IFERROR(SUMIF(Nutzungsprofile!$B$17:$B$22,"Halle",Nutzungsprofile!$G$17:$G$22)*Kalender!D274/SUM(Kalender!$D$5:$D$370),0)+IFERROR(SUMIF(Nutzungsprofile!$B$17:$B$22,"Individuell",Nutzungsprofile!$G$17:$G$22)*Kalender!E274/SUM(Kalender!$E$5:$E$370),0))*Szenarien!$D$10,0)</f>
        <v>0.979</v>
      </c>
      <c r="E1006" s="13" t="n">
        <f aca="false">IFERROR(MIN(C1006,Eingaben!$B$17)*Eingaben!$B$16,0)</f>
        <v>2.3256</v>
      </c>
      <c r="F1006" s="13" t="n">
        <f aca="false">IFERROR(E1006*Eingaben!$B$15,0)</f>
        <v>2.09304</v>
      </c>
      <c r="G1006" s="13" t="n">
        <f aca="false">IFERROR(IF(Kalender!A274="",0,J1005*(1-Eingaben!$B$20)),0)</f>
        <v>1.96</v>
      </c>
      <c r="H1006" s="13" t="n">
        <f aca="false">MIN(G1006,D1006)</f>
        <v>0.979</v>
      </c>
      <c r="I1006" s="13" t="n">
        <f aca="false">IFERROR(MIN(F1006*Eingaben!$B$19,MAX(0,D1006-H1006)),0)</f>
        <v>0</v>
      </c>
      <c r="J1006" s="13" t="n">
        <f aca="false">IFERROR(MIN(Eingaben!$B$18,MAX(0,F1006-I1006)),0)</f>
        <v>2</v>
      </c>
      <c r="K1006" s="13" t="n">
        <f aca="false">H1006+I1006</f>
        <v>0.979</v>
      </c>
      <c r="L1006" s="13" t="n">
        <f aca="false">MAX(0,D1006-K1006)</f>
        <v>0</v>
      </c>
      <c r="M1006" s="13" t="n">
        <f aca="false">MAX(0,F1006-I1006-J1006)</f>
        <v>0.0930399999999998</v>
      </c>
      <c r="N1006" s="13" t="n">
        <f aca="false">IF(Kalender!A274="",0,J1005-H1006)</f>
        <v>1.021</v>
      </c>
    </row>
    <row r="1007" customFormat="false" ht="16.4" hidden="false" customHeight="false" outlineLevel="0" collapsed="false">
      <c r="A1007" s="13" t="str">
        <f aca="false">""</f>
        <v/>
      </c>
      <c r="B1007" s="13" t="n">
        <f aca="false">271</f>
        <v>271</v>
      </c>
      <c r="C1007" s="13" t="n">
        <f aca="false">IF(Szenarien!$H$10="OK",(IFERROR(SUMIF(Nutzungsprofile!$B$6:$B$11,"Schulbetrieb",Nutzungsprofile!$G$6:$G$11)*Kalender!C275/SUM(Kalender!$C$5:$C$370),0)+IFERROR(SUMIF(Nutzungsprofile!$B$6:$B$11,"Halle",Nutzungsprofile!$G$6:$G$11)*Kalender!D275/SUM(Kalender!$D$5:$D$370),0)+IFERROR(SUMIF(Nutzungsprofile!$B$6:$B$11,"Individuell",Nutzungsprofile!$G$6:$G$11)*Kalender!E275/SUM(Kalender!$E$5:$E$370),0))*Szenarien!$E$10,0)</f>
        <v>3.528</v>
      </c>
      <c r="D1007" s="13" t="n">
        <f aca="false">IF(Szenarien!$H$10="OK",(IFERROR(SUMIF(Nutzungsprofile!$B$17:$B$22,"Schulbetrieb",Nutzungsprofile!$G$17:$G$22)*Kalender!C275/SUM(Kalender!$C$5:$C$370),0)+IFERROR(SUMIF(Nutzungsprofile!$B$17:$B$22,"Halle",Nutzungsprofile!$G$17:$G$22)*Kalender!D275/SUM(Kalender!$D$5:$D$370),0)+IFERROR(SUMIF(Nutzungsprofile!$B$17:$B$22,"Individuell",Nutzungsprofile!$G$17:$G$22)*Kalender!E275/SUM(Kalender!$E$5:$E$370),0))*Szenarien!$D$10,0)</f>
        <v>5.434</v>
      </c>
      <c r="E1007" s="13" t="n">
        <f aca="false">IFERROR(MIN(C1007,Eingaben!$B$17)*Eingaben!$B$16,0)</f>
        <v>3.3516</v>
      </c>
      <c r="F1007" s="13" t="n">
        <f aca="false">IFERROR(E1007*Eingaben!$B$15,0)</f>
        <v>3.01644</v>
      </c>
      <c r="G1007" s="13" t="n">
        <f aca="false">IFERROR(IF(Kalender!A275="",0,J1006*(1-Eingaben!$B$20)),0)</f>
        <v>1.96</v>
      </c>
      <c r="H1007" s="13" t="n">
        <f aca="false">MIN(G1007,D1007)</f>
        <v>1.96</v>
      </c>
      <c r="I1007" s="13" t="n">
        <f aca="false">IFERROR(MIN(F1007*Eingaben!$B$19,MAX(0,D1007-H1007)),0)</f>
        <v>2.111508</v>
      </c>
      <c r="J1007" s="13" t="n">
        <f aca="false">IFERROR(MIN(Eingaben!$B$18,MAX(0,F1007-I1007)),0)</f>
        <v>0.904932</v>
      </c>
      <c r="K1007" s="13" t="n">
        <f aca="false">H1007+I1007</f>
        <v>4.071508</v>
      </c>
      <c r="L1007" s="13" t="n">
        <f aca="false">MAX(0,D1007-K1007)</f>
        <v>1.362492</v>
      </c>
      <c r="M1007" s="13" t="n">
        <f aca="false">MAX(0,F1007-I1007-J1007)</f>
        <v>0</v>
      </c>
      <c r="N1007" s="13" t="n">
        <f aca="false">IF(Kalender!A275="",0,J1006-H1007)</f>
        <v>0.04</v>
      </c>
    </row>
    <row r="1008" customFormat="false" ht="16.4" hidden="false" customHeight="false" outlineLevel="0" collapsed="false">
      <c r="A1008" s="13" t="str">
        <f aca="false">""</f>
        <v/>
      </c>
      <c r="B1008" s="13" t="n">
        <f aca="false">272</f>
        <v>272</v>
      </c>
      <c r="C1008" s="13" t="n">
        <f aca="false">IF(Szenarien!$H$10="OK",(IFERROR(SUMIF(Nutzungsprofile!$B$6:$B$11,"Schulbetrieb",Nutzungsprofile!$G$6:$G$11)*Kalender!C276/SUM(Kalender!$C$5:$C$370),0)+IFERROR(SUMIF(Nutzungsprofile!$B$6:$B$11,"Halle",Nutzungsprofile!$G$6:$G$11)*Kalender!D276/SUM(Kalender!$D$5:$D$370),0)+IFERROR(SUMIF(Nutzungsprofile!$B$6:$B$11,"Individuell",Nutzungsprofile!$G$6:$G$11)*Kalender!E276/SUM(Kalender!$E$5:$E$370),0))*Szenarien!$E$10,0)</f>
        <v>3.528</v>
      </c>
      <c r="D1008" s="13" t="n">
        <f aca="false">IF(Szenarien!$H$10="OK",(IFERROR(SUMIF(Nutzungsprofile!$B$17:$B$22,"Schulbetrieb",Nutzungsprofile!$G$17:$G$22)*Kalender!C276/SUM(Kalender!$C$5:$C$370),0)+IFERROR(SUMIF(Nutzungsprofile!$B$17:$B$22,"Halle",Nutzungsprofile!$G$17:$G$22)*Kalender!D276/SUM(Kalender!$D$5:$D$370),0)+IFERROR(SUMIF(Nutzungsprofile!$B$17:$B$22,"Individuell",Nutzungsprofile!$G$17:$G$22)*Kalender!E276/SUM(Kalender!$E$5:$E$370),0))*Szenarien!$D$10,0)</f>
        <v>5.434</v>
      </c>
      <c r="E1008" s="13" t="n">
        <f aca="false">IFERROR(MIN(C1008,Eingaben!$B$17)*Eingaben!$B$16,0)</f>
        <v>3.3516</v>
      </c>
      <c r="F1008" s="13" t="n">
        <f aca="false">IFERROR(E1008*Eingaben!$B$15,0)</f>
        <v>3.01644</v>
      </c>
      <c r="G1008" s="13" t="n">
        <f aca="false">IFERROR(IF(Kalender!A276="",0,J1007*(1-Eingaben!$B$20)),0)</f>
        <v>0.88683336</v>
      </c>
      <c r="H1008" s="13" t="n">
        <f aca="false">MIN(G1008,D1008)</f>
        <v>0.88683336</v>
      </c>
      <c r="I1008" s="13" t="n">
        <f aca="false">IFERROR(MIN(F1008*Eingaben!$B$19,MAX(0,D1008-H1008)),0)</f>
        <v>2.111508</v>
      </c>
      <c r="J1008" s="13" t="n">
        <f aca="false">IFERROR(MIN(Eingaben!$B$18,MAX(0,F1008-I1008)),0)</f>
        <v>0.904932</v>
      </c>
      <c r="K1008" s="13" t="n">
        <f aca="false">H1008+I1008</f>
        <v>2.99834136</v>
      </c>
      <c r="L1008" s="13" t="n">
        <f aca="false">MAX(0,D1008-K1008)</f>
        <v>2.43565864</v>
      </c>
      <c r="M1008" s="13" t="n">
        <f aca="false">MAX(0,F1008-I1008-J1008)</f>
        <v>0</v>
      </c>
      <c r="N1008" s="13" t="n">
        <f aca="false">IF(Kalender!A276="",0,J1007-H1008)</f>
        <v>0.0180986400000001</v>
      </c>
    </row>
    <row r="1009" customFormat="false" ht="16.4" hidden="false" customHeight="false" outlineLevel="0" collapsed="false">
      <c r="A1009" s="13" t="str">
        <f aca="false">""</f>
        <v/>
      </c>
      <c r="B1009" s="13" t="n">
        <f aca="false">273</f>
        <v>273</v>
      </c>
      <c r="C1009" s="13" t="n">
        <f aca="false">IF(Szenarien!$H$10="OK",(IFERROR(SUMIF(Nutzungsprofile!$B$6:$B$11,"Schulbetrieb",Nutzungsprofile!$G$6:$G$11)*Kalender!C277/SUM(Kalender!$C$5:$C$370),0)+IFERROR(SUMIF(Nutzungsprofile!$B$6:$B$11,"Halle",Nutzungsprofile!$G$6:$G$11)*Kalender!D277/SUM(Kalender!$D$5:$D$370),0)+IFERROR(SUMIF(Nutzungsprofile!$B$6:$B$11,"Individuell",Nutzungsprofile!$G$6:$G$11)*Kalender!E277/SUM(Kalender!$E$5:$E$370),0))*Szenarien!$E$10,0)</f>
        <v>3.528</v>
      </c>
      <c r="D1009" s="13" t="n">
        <f aca="false">IF(Szenarien!$H$10="OK",(IFERROR(SUMIF(Nutzungsprofile!$B$17:$B$22,"Schulbetrieb",Nutzungsprofile!$G$17:$G$22)*Kalender!C277/SUM(Kalender!$C$5:$C$370),0)+IFERROR(SUMIF(Nutzungsprofile!$B$17:$B$22,"Halle",Nutzungsprofile!$G$17:$G$22)*Kalender!D277/SUM(Kalender!$D$5:$D$370),0)+IFERROR(SUMIF(Nutzungsprofile!$B$17:$B$22,"Individuell",Nutzungsprofile!$G$17:$G$22)*Kalender!E277/SUM(Kalender!$E$5:$E$370),0))*Szenarien!$D$10,0)</f>
        <v>5.434</v>
      </c>
      <c r="E1009" s="13" t="n">
        <f aca="false">IFERROR(MIN(C1009,Eingaben!$B$17)*Eingaben!$B$16,0)</f>
        <v>3.3516</v>
      </c>
      <c r="F1009" s="13" t="n">
        <f aca="false">IFERROR(E1009*Eingaben!$B$15,0)</f>
        <v>3.01644</v>
      </c>
      <c r="G1009" s="13" t="n">
        <f aca="false">IFERROR(IF(Kalender!A277="",0,J1008*(1-Eingaben!$B$20)),0)</f>
        <v>0.88683336</v>
      </c>
      <c r="H1009" s="13" t="n">
        <f aca="false">MIN(G1009,D1009)</f>
        <v>0.88683336</v>
      </c>
      <c r="I1009" s="13" t="n">
        <f aca="false">IFERROR(MIN(F1009*Eingaben!$B$19,MAX(0,D1009-H1009)),0)</f>
        <v>2.111508</v>
      </c>
      <c r="J1009" s="13" t="n">
        <f aca="false">IFERROR(MIN(Eingaben!$B$18,MAX(0,F1009-I1009)),0)</f>
        <v>0.904932</v>
      </c>
      <c r="K1009" s="13" t="n">
        <f aca="false">H1009+I1009</f>
        <v>2.99834136</v>
      </c>
      <c r="L1009" s="13" t="n">
        <f aca="false">MAX(0,D1009-K1009)</f>
        <v>2.43565864</v>
      </c>
      <c r="M1009" s="13" t="n">
        <f aca="false">MAX(0,F1009-I1009-J1009)</f>
        <v>0</v>
      </c>
      <c r="N1009" s="13" t="n">
        <f aca="false">IF(Kalender!A277="",0,J1008-H1009)</f>
        <v>0.0180986400000001</v>
      </c>
    </row>
    <row r="1010" customFormat="false" ht="16.4" hidden="false" customHeight="false" outlineLevel="0" collapsed="false">
      <c r="A1010" s="13" t="str">
        <f aca="false">""</f>
        <v/>
      </c>
      <c r="B1010" s="13" t="n">
        <f aca="false">274</f>
        <v>274</v>
      </c>
      <c r="C1010" s="13" t="n">
        <f aca="false">IF(Szenarien!$H$10="OK",(IFERROR(SUMIF(Nutzungsprofile!$B$6:$B$11,"Schulbetrieb",Nutzungsprofile!$G$6:$G$11)*Kalender!C278/SUM(Kalender!$C$5:$C$370),0)+IFERROR(SUMIF(Nutzungsprofile!$B$6:$B$11,"Halle",Nutzungsprofile!$G$6:$G$11)*Kalender!D278/SUM(Kalender!$D$5:$D$370),0)+IFERROR(SUMIF(Nutzungsprofile!$B$6:$B$11,"Individuell",Nutzungsprofile!$G$6:$G$11)*Kalender!E278/SUM(Kalender!$E$5:$E$370),0))*Szenarien!$E$10,0)</f>
        <v>3.528</v>
      </c>
      <c r="D1010" s="13" t="n">
        <f aca="false">IF(Szenarien!$H$10="OK",(IFERROR(SUMIF(Nutzungsprofile!$B$17:$B$22,"Schulbetrieb",Nutzungsprofile!$G$17:$G$22)*Kalender!C278/SUM(Kalender!$C$5:$C$370),0)+IFERROR(SUMIF(Nutzungsprofile!$B$17:$B$22,"Halle",Nutzungsprofile!$G$17:$G$22)*Kalender!D278/SUM(Kalender!$D$5:$D$370),0)+IFERROR(SUMIF(Nutzungsprofile!$B$17:$B$22,"Individuell",Nutzungsprofile!$G$17:$G$22)*Kalender!E278/SUM(Kalender!$E$5:$E$370),0))*Szenarien!$D$10,0)</f>
        <v>5.434</v>
      </c>
      <c r="E1010" s="13" t="n">
        <f aca="false">IFERROR(MIN(C1010,Eingaben!$B$17)*Eingaben!$B$16,0)</f>
        <v>3.3516</v>
      </c>
      <c r="F1010" s="13" t="n">
        <f aca="false">IFERROR(E1010*Eingaben!$B$15,0)</f>
        <v>3.01644</v>
      </c>
      <c r="G1010" s="13" t="n">
        <f aca="false">IFERROR(IF(Kalender!A278="",0,J1009*(1-Eingaben!$B$20)),0)</f>
        <v>0.88683336</v>
      </c>
      <c r="H1010" s="13" t="n">
        <f aca="false">MIN(G1010,D1010)</f>
        <v>0.88683336</v>
      </c>
      <c r="I1010" s="13" t="n">
        <f aca="false">IFERROR(MIN(F1010*Eingaben!$B$19,MAX(0,D1010-H1010)),0)</f>
        <v>2.111508</v>
      </c>
      <c r="J1010" s="13" t="n">
        <f aca="false">IFERROR(MIN(Eingaben!$B$18,MAX(0,F1010-I1010)),0)</f>
        <v>0.904932</v>
      </c>
      <c r="K1010" s="13" t="n">
        <f aca="false">H1010+I1010</f>
        <v>2.99834136</v>
      </c>
      <c r="L1010" s="13" t="n">
        <f aca="false">MAX(0,D1010-K1010)</f>
        <v>2.43565864</v>
      </c>
      <c r="M1010" s="13" t="n">
        <f aca="false">MAX(0,F1010-I1010-J1010)</f>
        <v>0</v>
      </c>
      <c r="N1010" s="13" t="n">
        <f aca="false">IF(Kalender!A278="",0,J1009-H1010)</f>
        <v>0.0180986400000001</v>
      </c>
    </row>
    <row r="1011" customFormat="false" ht="16.4" hidden="false" customHeight="false" outlineLevel="0" collapsed="false">
      <c r="A1011" s="13" t="str">
        <f aca="false">""</f>
        <v/>
      </c>
      <c r="B1011" s="13" t="n">
        <f aca="false">275</f>
        <v>275</v>
      </c>
      <c r="C1011" s="13" t="n">
        <f aca="false">IF(Szenarien!$H$10="OK",(IFERROR(SUMIF(Nutzungsprofile!$B$6:$B$11,"Schulbetrieb",Nutzungsprofile!$G$6:$G$11)*Kalender!C279/SUM(Kalender!$C$5:$C$370),0)+IFERROR(SUMIF(Nutzungsprofile!$B$6:$B$11,"Halle",Nutzungsprofile!$G$6:$G$11)*Kalender!D279/SUM(Kalender!$D$5:$D$370),0)+IFERROR(SUMIF(Nutzungsprofile!$B$6:$B$11,"Individuell",Nutzungsprofile!$G$6:$G$11)*Kalender!E279/SUM(Kalender!$E$5:$E$370),0))*Szenarien!$E$10,0)</f>
        <v>3.528</v>
      </c>
      <c r="D1011" s="13" t="n">
        <f aca="false">IF(Szenarien!$H$10="OK",(IFERROR(SUMIF(Nutzungsprofile!$B$17:$B$22,"Schulbetrieb",Nutzungsprofile!$G$17:$G$22)*Kalender!C279/SUM(Kalender!$C$5:$C$370),0)+IFERROR(SUMIF(Nutzungsprofile!$B$17:$B$22,"Halle",Nutzungsprofile!$G$17:$G$22)*Kalender!D279/SUM(Kalender!$D$5:$D$370),0)+IFERROR(SUMIF(Nutzungsprofile!$B$17:$B$22,"Individuell",Nutzungsprofile!$G$17:$G$22)*Kalender!E279/SUM(Kalender!$E$5:$E$370),0))*Szenarien!$D$10,0)</f>
        <v>5.434</v>
      </c>
      <c r="E1011" s="13" t="n">
        <f aca="false">IFERROR(MIN(C1011,Eingaben!$B$17)*Eingaben!$B$16,0)</f>
        <v>3.3516</v>
      </c>
      <c r="F1011" s="13" t="n">
        <f aca="false">IFERROR(E1011*Eingaben!$B$15,0)</f>
        <v>3.01644</v>
      </c>
      <c r="G1011" s="13" t="n">
        <f aca="false">IFERROR(IF(Kalender!A279="",0,J1010*(1-Eingaben!$B$20)),0)</f>
        <v>0.88683336</v>
      </c>
      <c r="H1011" s="13" t="n">
        <f aca="false">MIN(G1011,D1011)</f>
        <v>0.88683336</v>
      </c>
      <c r="I1011" s="13" t="n">
        <f aca="false">IFERROR(MIN(F1011*Eingaben!$B$19,MAX(0,D1011-H1011)),0)</f>
        <v>2.111508</v>
      </c>
      <c r="J1011" s="13" t="n">
        <f aca="false">IFERROR(MIN(Eingaben!$B$18,MAX(0,F1011-I1011)),0)</f>
        <v>0.904932</v>
      </c>
      <c r="K1011" s="13" t="n">
        <f aca="false">H1011+I1011</f>
        <v>2.99834136</v>
      </c>
      <c r="L1011" s="13" t="n">
        <f aca="false">MAX(0,D1011-K1011)</f>
        <v>2.43565864</v>
      </c>
      <c r="M1011" s="13" t="n">
        <f aca="false">MAX(0,F1011-I1011-J1011)</f>
        <v>0</v>
      </c>
      <c r="N1011" s="13" t="n">
        <f aca="false">IF(Kalender!A279="",0,J1010-H1011)</f>
        <v>0.0180986400000001</v>
      </c>
    </row>
    <row r="1012" customFormat="false" ht="16.4" hidden="false" customHeight="false" outlineLevel="0" collapsed="false">
      <c r="A1012" s="13" t="str">
        <f aca="false">""</f>
        <v/>
      </c>
      <c r="B1012" s="13" t="n">
        <f aca="false">276</f>
        <v>276</v>
      </c>
      <c r="C1012" s="13" t="n">
        <f aca="false">IF(Szenarien!$H$10="OK",(IFERROR(SUMIF(Nutzungsprofile!$B$6:$B$11,"Schulbetrieb",Nutzungsprofile!$G$6:$G$11)*Kalender!C280/SUM(Kalender!$C$5:$C$370),0)+IFERROR(SUMIF(Nutzungsprofile!$B$6:$B$11,"Halle",Nutzungsprofile!$G$6:$G$11)*Kalender!D280/SUM(Kalender!$D$5:$D$370),0)+IFERROR(SUMIF(Nutzungsprofile!$B$6:$B$11,"Individuell",Nutzungsprofile!$G$6:$G$11)*Kalender!E280/SUM(Kalender!$E$5:$E$370),0))*Szenarien!$E$10,0)</f>
        <v>2.448</v>
      </c>
      <c r="D1012" s="13" t="n">
        <f aca="false">IF(Szenarien!$H$10="OK",(IFERROR(SUMIF(Nutzungsprofile!$B$17:$B$22,"Schulbetrieb",Nutzungsprofile!$G$17:$G$22)*Kalender!C280/SUM(Kalender!$C$5:$C$370),0)+IFERROR(SUMIF(Nutzungsprofile!$B$17:$B$22,"Halle",Nutzungsprofile!$G$17:$G$22)*Kalender!D280/SUM(Kalender!$D$5:$D$370),0)+IFERROR(SUMIF(Nutzungsprofile!$B$17:$B$22,"Individuell",Nutzungsprofile!$G$17:$G$22)*Kalender!E280/SUM(Kalender!$E$5:$E$370),0))*Szenarien!$D$10,0)</f>
        <v>0.979</v>
      </c>
      <c r="E1012" s="13" t="n">
        <f aca="false">IFERROR(MIN(C1012,Eingaben!$B$17)*Eingaben!$B$16,0)</f>
        <v>2.3256</v>
      </c>
      <c r="F1012" s="13" t="n">
        <f aca="false">IFERROR(E1012*Eingaben!$B$15,0)</f>
        <v>2.09304</v>
      </c>
      <c r="G1012" s="13" t="n">
        <f aca="false">IFERROR(IF(Kalender!A280="",0,J1011*(1-Eingaben!$B$20)),0)</f>
        <v>0.88683336</v>
      </c>
      <c r="H1012" s="13" t="n">
        <f aca="false">MIN(G1012,D1012)</f>
        <v>0.88683336</v>
      </c>
      <c r="I1012" s="13" t="n">
        <f aca="false">IFERROR(MIN(F1012*Eingaben!$B$19,MAX(0,D1012-H1012)),0)</f>
        <v>0.0921666400000001</v>
      </c>
      <c r="J1012" s="13" t="n">
        <f aca="false">IFERROR(MIN(Eingaben!$B$18,MAX(0,F1012-I1012)),0)</f>
        <v>2</v>
      </c>
      <c r="K1012" s="13" t="n">
        <f aca="false">H1012+I1012</f>
        <v>0.979</v>
      </c>
      <c r="L1012" s="13" t="n">
        <f aca="false">MAX(0,D1012-K1012)</f>
        <v>0</v>
      </c>
      <c r="M1012" s="13" t="n">
        <f aca="false">MAX(0,F1012-I1012-J1012)</f>
        <v>0.000873359999999934</v>
      </c>
      <c r="N1012" s="13" t="n">
        <f aca="false">IF(Kalender!A280="",0,J1011-H1012)</f>
        <v>0.0180986400000001</v>
      </c>
    </row>
    <row r="1013" customFormat="false" ht="16.4" hidden="false" customHeight="false" outlineLevel="0" collapsed="false">
      <c r="A1013" s="13" t="str">
        <f aca="false">""</f>
        <v/>
      </c>
      <c r="B1013" s="13" t="n">
        <f aca="false">277</f>
        <v>277</v>
      </c>
      <c r="C1013" s="13" t="n">
        <f aca="false">IF(Szenarien!$H$10="OK",(IFERROR(SUMIF(Nutzungsprofile!$B$6:$B$11,"Schulbetrieb",Nutzungsprofile!$G$6:$G$11)*Kalender!C281/SUM(Kalender!$C$5:$C$370),0)+IFERROR(SUMIF(Nutzungsprofile!$B$6:$B$11,"Halle",Nutzungsprofile!$G$6:$G$11)*Kalender!D281/SUM(Kalender!$D$5:$D$370),0)+IFERROR(SUMIF(Nutzungsprofile!$B$6:$B$11,"Individuell",Nutzungsprofile!$G$6:$G$11)*Kalender!E281/SUM(Kalender!$E$5:$E$370),0))*Szenarien!$E$10,0)</f>
        <v>2.448</v>
      </c>
      <c r="D1013" s="13" t="n">
        <f aca="false">IF(Szenarien!$H$10="OK",(IFERROR(SUMIF(Nutzungsprofile!$B$17:$B$22,"Schulbetrieb",Nutzungsprofile!$G$17:$G$22)*Kalender!C281/SUM(Kalender!$C$5:$C$370),0)+IFERROR(SUMIF(Nutzungsprofile!$B$17:$B$22,"Halle",Nutzungsprofile!$G$17:$G$22)*Kalender!D281/SUM(Kalender!$D$5:$D$370),0)+IFERROR(SUMIF(Nutzungsprofile!$B$17:$B$22,"Individuell",Nutzungsprofile!$G$17:$G$22)*Kalender!E281/SUM(Kalender!$E$5:$E$370),0))*Szenarien!$D$10,0)</f>
        <v>0.979</v>
      </c>
      <c r="E1013" s="13" t="n">
        <f aca="false">IFERROR(MIN(C1013,Eingaben!$B$17)*Eingaben!$B$16,0)</f>
        <v>2.3256</v>
      </c>
      <c r="F1013" s="13" t="n">
        <f aca="false">IFERROR(E1013*Eingaben!$B$15,0)</f>
        <v>2.09304</v>
      </c>
      <c r="G1013" s="13" t="n">
        <f aca="false">IFERROR(IF(Kalender!A281="",0,J1012*(1-Eingaben!$B$20)),0)</f>
        <v>1.96</v>
      </c>
      <c r="H1013" s="13" t="n">
        <f aca="false">MIN(G1013,D1013)</f>
        <v>0.979</v>
      </c>
      <c r="I1013" s="13" t="n">
        <f aca="false">IFERROR(MIN(F1013*Eingaben!$B$19,MAX(0,D1013-H1013)),0)</f>
        <v>0</v>
      </c>
      <c r="J1013" s="13" t="n">
        <f aca="false">IFERROR(MIN(Eingaben!$B$18,MAX(0,F1013-I1013)),0)</f>
        <v>2</v>
      </c>
      <c r="K1013" s="13" t="n">
        <f aca="false">H1013+I1013</f>
        <v>0.979</v>
      </c>
      <c r="L1013" s="13" t="n">
        <f aca="false">MAX(0,D1013-K1013)</f>
        <v>0</v>
      </c>
      <c r="M1013" s="13" t="n">
        <f aca="false">MAX(0,F1013-I1013-J1013)</f>
        <v>0.0930399999999998</v>
      </c>
      <c r="N1013" s="13" t="n">
        <f aca="false">IF(Kalender!A281="",0,J1012-H1013)</f>
        <v>1.021</v>
      </c>
    </row>
    <row r="1014" customFormat="false" ht="16.4" hidden="false" customHeight="false" outlineLevel="0" collapsed="false">
      <c r="A1014" s="13" t="str">
        <f aca="false">""</f>
        <v/>
      </c>
      <c r="B1014" s="13" t="n">
        <f aca="false">278</f>
        <v>278</v>
      </c>
      <c r="C1014" s="13" t="n">
        <f aca="false">IF(Szenarien!$H$10="OK",(IFERROR(SUMIF(Nutzungsprofile!$B$6:$B$11,"Schulbetrieb",Nutzungsprofile!$G$6:$G$11)*Kalender!C282/SUM(Kalender!$C$5:$C$370),0)+IFERROR(SUMIF(Nutzungsprofile!$B$6:$B$11,"Halle",Nutzungsprofile!$G$6:$G$11)*Kalender!D282/SUM(Kalender!$D$5:$D$370),0)+IFERROR(SUMIF(Nutzungsprofile!$B$6:$B$11,"Individuell",Nutzungsprofile!$G$6:$G$11)*Kalender!E282/SUM(Kalender!$E$5:$E$370),0))*Szenarien!$E$10,0)</f>
        <v>3.528</v>
      </c>
      <c r="D1014" s="13" t="n">
        <f aca="false">IF(Szenarien!$H$10="OK",(IFERROR(SUMIF(Nutzungsprofile!$B$17:$B$22,"Schulbetrieb",Nutzungsprofile!$G$17:$G$22)*Kalender!C282/SUM(Kalender!$C$5:$C$370),0)+IFERROR(SUMIF(Nutzungsprofile!$B$17:$B$22,"Halle",Nutzungsprofile!$G$17:$G$22)*Kalender!D282/SUM(Kalender!$D$5:$D$370),0)+IFERROR(SUMIF(Nutzungsprofile!$B$17:$B$22,"Individuell",Nutzungsprofile!$G$17:$G$22)*Kalender!E282/SUM(Kalender!$E$5:$E$370),0))*Szenarien!$D$10,0)</f>
        <v>5.434</v>
      </c>
      <c r="E1014" s="13" t="n">
        <f aca="false">IFERROR(MIN(C1014,Eingaben!$B$17)*Eingaben!$B$16,0)</f>
        <v>3.3516</v>
      </c>
      <c r="F1014" s="13" t="n">
        <f aca="false">IFERROR(E1014*Eingaben!$B$15,0)</f>
        <v>3.01644</v>
      </c>
      <c r="G1014" s="13" t="n">
        <f aca="false">IFERROR(IF(Kalender!A282="",0,J1013*(1-Eingaben!$B$20)),0)</f>
        <v>1.96</v>
      </c>
      <c r="H1014" s="13" t="n">
        <f aca="false">MIN(G1014,D1014)</f>
        <v>1.96</v>
      </c>
      <c r="I1014" s="13" t="n">
        <f aca="false">IFERROR(MIN(F1014*Eingaben!$B$19,MAX(0,D1014-H1014)),0)</f>
        <v>2.111508</v>
      </c>
      <c r="J1014" s="13" t="n">
        <f aca="false">IFERROR(MIN(Eingaben!$B$18,MAX(0,F1014-I1014)),0)</f>
        <v>0.904932</v>
      </c>
      <c r="K1014" s="13" t="n">
        <f aca="false">H1014+I1014</f>
        <v>4.071508</v>
      </c>
      <c r="L1014" s="13" t="n">
        <f aca="false">MAX(0,D1014-K1014)</f>
        <v>1.362492</v>
      </c>
      <c r="M1014" s="13" t="n">
        <f aca="false">MAX(0,F1014-I1014-J1014)</f>
        <v>0</v>
      </c>
      <c r="N1014" s="13" t="n">
        <f aca="false">IF(Kalender!A282="",0,J1013-H1014)</f>
        <v>0.04</v>
      </c>
    </row>
    <row r="1015" customFormat="false" ht="16.4" hidden="false" customHeight="false" outlineLevel="0" collapsed="false">
      <c r="A1015" s="13" t="str">
        <f aca="false">""</f>
        <v/>
      </c>
      <c r="B1015" s="13" t="n">
        <f aca="false">279</f>
        <v>279</v>
      </c>
      <c r="C1015" s="13" t="n">
        <f aca="false">IF(Szenarien!$H$10="OK",(IFERROR(SUMIF(Nutzungsprofile!$B$6:$B$11,"Schulbetrieb",Nutzungsprofile!$G$6:$G$11)*Kalender!C283/SUM(Kalender!$C$5:$C$370),0)+IFERROR(SUMIF(Nutzungsprofile!$B$6:$B$11,"Halle",Nutzungsprofile!$G$6:$G$11)*Kalender!D283/SUM(Kalender!$D$5:$D$370),0)+IFERROR(SUMIF(Nutzungsprofile!$B$6:$B$11,"Individuell",Nutzungsprofile!$G$6:$G$11)*Kalender!E283/SUM(Kalender!$E$5:$E$370),0))*Szenarien!$E$10,0)</f>
        <v>3.528</v>
      </c>
      <c r="D1015" s="13" t="n">
        <f aca="false">IF(Szenarien!$H$10="OK",(IFERROR(SUMIF(Nutzungsprofile!$B$17:$B$22,"Schulbetrieb",Nutzungsprofile!$G$17:$G$22)*Kalender!C283/SUM(Kalender!$C$5:$C$370),0)+IFERROR(SUMIF(Nutzungsprofile!$B$17:$B$22,"Halle",Nutzungsprofile!$G$17:$G$22)*Kalender!D283/SUM(Kalender!$D$5:$D$370),0)+IFERROR(SUMIF(Nutzungsprofile!$B$17:$B$22,"Individuell",Nutzungsprofile!$G$17:$G$22)*Kalender!E283/SUM(Kalender!$E$5:$E$370),0))*Szenarien!$D$10,0)</f>
        <v>5.434</v>
      </c>
      <c r="E1015" s="13" t="n">
        <f aca="false">IFERROR(MIN(C1015,Eingaben!$B$17)*Eingaben!$B$16,0)</f>
        <v>3.3516</v>
      </c>
      <c r="F1015" s="13" t="n">
        <f aca="false">IFERROR(E1015*Eingaben!$B$15,0)</f>
        <v>3.01644</v>
      </c>
      <c r="G1015" s="13" t="n">
        <f aca="false">IFERROR(IF(Kalender!A283="",0,J1014*(1-Eingaben!$B$20)),0)</f>
        <v>0.88683336</v>
      </c>
      <c r="H1015" s="13" t="n">
        <f aca="false">MIN(G1015,D1015)</f>
        <v>0.88683336</v>
      </c>
      <c r="I1015" s="13" t="n">
        <f aca="false">IFERROR(MIN(F1015*Eingaben!$B$19,MAX(0,D1015-H1015)),0)</f>
        <v>2.111508</v>
      </c>
      <c r="J1015" s="13" t="n">
        <f aca="false">IFERROR(MIN(Eingaben!$B$18,MAX(0,F1015-I1015)),0)</f>
        <v>0.904932</v>
      </c>
      <c r="K1015" s="13" t="n">
        <f aca="false">H1015+I1015</f>
        <v>2.99834136</v>
      </c>
      <c r="L1015" s="13" t="n">
        <f aca="false">MAX(0,D1015-K1015)</f>
        <v>2.43565864</v>
      </c>
      <c r="M1015" s="13" t="n">
        <f aca="false">MAX(0,F1015-I1015-J1015)</f>
        <v>0</v>
      </c>
      <c r="N1015" s="13" t="n">
        <f aca="false">IF(Kalender!A283="",0,J1014-H1015)</f>
        <v>0.0180986400000001</v>
      </c>
    </row>
    <row r="1016" customFormat="false" ht="16.4" hidden="false" customHeight="false" outlineLevel="0" collapsed="false">
      <c r="A1016" s="13" t="str">
        <f aca="false">""</f>
        <v/>
      </c>
      <c r="B1016" s="13" t="n">
        <f aca="false">280</f>
        <v>280</v>
      </c>
      <c r="C1016" s="13" t="n">
        <f aca="false">IF(Szenarien!$H$10="OK",(IFERROR(SUMIF(Nutzungsprofile!$B$6:$B$11,"Schulbetrieb",Nutzungsprofile!$G$6:$G$11)*Kalender!C284/SUM(Kalender!$C$5:$C$370),0)+IFERROR(SUMIF(Nutzungsprofile!$B$6:$B$11,"Halle",Nutzungsprofile!$G$6:$G$11)*Kalender!D284/SUM(Kalender!$D$5:$D$370),0)+IFERROR(SUMIF(Nutzungsprofile!$B$6:$B$11,"Individuell",Nutzungsprofile!$G$6:$G$11)*Kalender!E284/SUM(Kalender!$E$5:$E$370),0))*Szenarien!$E$10,0)</f>
        <v>3.528</v>
      </c>
      <c r="D1016" s="13" t="n">
        <f aca="false">IF(Szenarien!$H$10="OK",(IFERROR(SUMIF(Nutzungsprofile!$B$17:$B$22,"Schulbetrieb",Nutzungsprofile!$G$17:$G$22)*Kalender!C284/SUM(Kalender!$C$5:$C$370),0)+IFERROR(SUMIF(Nutzungsprofile!$B$17:$B$22,"Halle",Nutzungsprofile!$G$17:$G$22)*Kalender!D284/SUM(Kalender!$D$5:$D$370),0)+IFERROR(SUMIF(Nutzungsprofile!$B$17:$B$22,"Individuell",Nutzungsprofile!$G$17:$G$22)*Kalender!E284/SUM(Kalender!$E$5:$E$370),0))*Szenarien!$D$10,0)</f>
        <v>5.434</v>
      </c>
      <c r="E1016" s="13" t="n">
        <f aca="false">IFERROR(MIN(C1016,Eingaben!$B$17)*Eingaben!$B$16,0)</f>
        <v>3.3516</v>
      </c>
      <c r="F1016" s="13" t="n">
        <f aca="false">IFERROR(E1016*Eingaben!$B$15,0)</f>
        <v>3.01644</v>
      </c>
      <c r="G1016" s="13" t="n">
        <f aca="false">IFERROR(IF(Kalender!A284="",0,J1015*(1-Eingaben!$B$20)),0)</f>
        <v>0.88683336</v>
      </c>
      <c r="H1016" s="13" t="n">
        <f aca="false">MIN(G1016,D1016)</f>
        <v>0.88683336</v>
      </c>
      <c r="I1016" s="13" t="n">
        <f aca="false">IFERROR(MIN(F1016*Eingaben!$B$19,MAX(0,D1016-H1016)),0)</f>
        <v>2.111508</v>
      </c>
      <c r="J1016" s="13" t="n">
        <f aca="false">IFERROR(MIN(Eingaben!$B$18,MAX(0,F1016-I1016)),0)</f>
        <v>0.904932</v>
      </c>
      <c r="K1016" s="13" t="n">
        <f aca="false">H1016+I1016</f>
        <v>2.99834136</v>
      </c>
      <c r="L1016" s="13" t="n">
        <f aca="false">MAX(0,D1016-K1016)</f>
        <v>2.43565864</v>
      </c>
      <c r="M1016" s="13" t="n">
        <f aca="false">MAX(0,F1016-I1016-J1016)</f>
        <v>0</v>
      </c>
      <c r="N1016" s="13" t="n">
        <f aca="false">IF(Kalender!A284="",0,J1015-H1016)</f>
        <v>0.0180986400000001</v>
      </c>
    </row>
    <row r="1017" customFormat="false" ht="16.4" hidden="false" customHeight="false" outlineLevel="0" collapsed="false">
      <c r="A1017" s="13" t="str">
        <f aca="false">""</f>
        <v/>
      </c>
      <c r="B1017" s="13" t="n">
        <f aca="false">281</f>
        <v>281</v>
      </c>
      <c r="C1017" s="13" t="n">
        <f aca="false">IF(Szenarien!$H$10="OK",(IFERROR(SUMIF(Nutzungsprofile!$B$6:$B$11,"Schulbetrieb",Nutzungsprofile!$G$6:$G$11)*Kalender!C285/SUM(Kalender!$C$5:$C$370),0)+IFERROR(SUMIF(Nutzungsprofile!$B$6:$B$11,"Halle",Nutzungsprofile!$G$6:$G$11)*Kalender!D285/SUM(Kalender!$D$5:$D$370),0)+IFERROR(SUMIF(Nutzungsprofile!$B$6:$B$11,"Individuell",Nutzungsprofile!$G$6:$G$11)*Kalender!E285/SUM(Kalender!$E$5:$E$370),0))*Szenarien!$E$10,0)</f>
        <v>1.08</v>
      </c>
      <c r="D1017" s="13" t="n">
        <f aca="false">IF(Szenarien!$H$10="OK",(IFERROR(SUMIF(Nutzungsprofile!$B$17:$B$22,"Schulbetrieb",Nutzungsprofile!$G$17:$G$22)*Kalender!C285/SUM(Kalender!$C$5:$C$370),0)+IFERROR(SUMIF(Nutzungsprofile!$B$17:$B$22,"Halle",Nutzungsprofile!$G$17:$G$22)*Kalender!D285/SUM(Kalender!$D$5:$D$370),0)+IFERROR(SUMIF(Nutzungsprofile!$B$17:$B$22,"Individuell",Nutzungsprofile!$G$17:$G$22)*Kalender!E285/SUM(Kalender!$E$5:$E$370),0))*Szenarien!$D$10,0)</f>
        <v>4.455</v>
      </c>
      <c r="E1017" s="13" t="n">
        <f aca="false">IFERROR(MIN(C1017,Eingaben!$B$17)*Eingaben!$B$16,0)</f>
        <v>1.026</v>
      </c>
      <c r="F1017" s="13" t="n">
        <f aca="false">IFERROR(E1017*Eingaben!$B$15,0)</f>
        <v>0.9234</v>
      </c>
      <c r="G1017" s="13" t="n">
        <f aca="false">IFERROR(IF(Kalender!A285="",0,J1016*(1-Eingaben!$B$20)),0)</f>
        <v>0.88683336</v>
      </c>
      <c r="H1017" s="13" t="n">
        <f aca="false">MIN(G1017,D1017)</f>
        <v>0.88683336</v>
      </c>
      <c r="I1017" s="13" t="n">
        <f aca="false">IFERROR(MIN(F1017*Eingaben!$B$19,MAX(0,D1017-H1017)),0)</f>
        <v>0.64638</v>
      </c>
      <c r="J1017" s="13" t="n">
        <f aca="false">IFERROR(MIN(Eingaben!$B$18,MAX(0,F1017-I1017)),0)</f>
        <v>0.27702</v>
      </c>
      <c r="K1017" s="13" t="n">
        <f aca="false">H1017+I1017</f>
        <v>1.53321336</v>
      </c>
      <c r="L1017" s="13" t="n">
        <f aca="false">MAX(0,D1017-K1017)</f>
        <v>2.92178664</v>
      </c>
      <c r="M1017" s="13" t="n">
        <f aca="false">MAX(0,F1017-I1017-J1017)</f>
        <v>0</v>
      </c>
      <c r="N1017" s="13" t="n">
        <f aca="false">IF(Kalender!A285="",0,J1016-H1017)</f>
        <v>0.0180986400000001</v>
      </c>
    </row>
    <row r="1018" customFormat="false" ht="16.4" hidden="false" customHeight="false" outlineLevel="0" collapsed="false">
      <c r="A1018" s="13" t="str">
        <f aca="false">""</f>
        <v/>
      </c>
      <c r="B1018" s="13" t="n">
        <f aca="false">282</f>
        <v>282</v>
      </c>
      <c r="C1018" s="13" t="n">
        <f aca="false">IF(Szenarien!$H$10="OK",(IFERROR(SUMIF(Nutzungsprofile!$B$6:$B$11,"Schulbetrieb",Nutzungsprofile!$G$6:$G$11)*Kalender!C286/SUM(Kalender!$C$5:$C$370),0)+IFERROR(SUMIF(Nutzungsprofile!$B$6:$B$11,"Halle",Nutzungsprofile!$G$6:$G$11)*Kalender!D286/SUM(Kalender!$D$5:$D$370),0)+IFERROR(SUMIF(Nutzungsprofile!$B$6:$B$11,"Individuell",Nutzungsprofile!$G$6:$G$11)*Kalender!E286/SUM(Kalender!$E$5:$E$370),0))*Szenarien!$E$10,0)</f>
        <v>1.08</v>
      </c>
      <c r="D1018" s="13" t="n">
        <f aca="false">IF(Szenarien!$H$10="OK",(IFERROR(SUMIF(Nutzungsprofile!$B$17:$B$22,"Schulbetrieb",Nutzungsprofile!$G$17:$G$22)*Kalender!C286/SUM(Kalender!$C$5:$C$370),0)+IFERROR(SUMIF(Nutzungsprofile!$B$17:$B$22,"Halle",Nutzungsprofile!$G$17:$G$22)*Kalender!D286/SUM(Kalender!$D$5:$D$370),0)+IFERROR(SUMIF(Nutzungsprofile!$B$17:$B$22,"Individuell",Nutzungsprofile!$G$17:$G$22)*Kalender!E286/SUM(Kalender!$E$5:$E$370),0))*Szenarien!$D$10,0)</f>
        <v>4.455</v>
      </c>
      <c r="E1018" s="13" t="n">
        <f aca="false">IFERROR(MIN(C1018,Eingaben!$B$17)*Eingaben!$B$16,0)</f>
        <v>1.026</v>
      </c>
      <c r="F1018" s="13" t="n">
        <f aca="false">IFERROR(E1018*Eingaben!$B$15,0)</f>
        <v>0.9234</v>
      </c>
      <c r="G1018" s="13" t="n">
        <f aca="false">IFERROR(IF(Kalender!A286="",0,J1017*(1-Eingaben!$B$20)),0)</f>
        <v>0.2714796</v>
      </c>
      <c r="H1018" s="13" t="n">
        <f aca="false">MIN(G1018,D1018)</f>
        <v>0.2714796</v>
      </c>
      <c r="I1018" s="13" t="n">
        <f aca="false">IFERROR(MIN(F1018*Eingaben!$B$19,MAX(0,D1018-H1018)),0)</f>
        <v>0.64638</v>
      </c>
      <c r="J1018" s="13" t="n">
        <f aca="false">IFERROR(MIN(Eingaben!$B$18,MAX(0,F1018-I1018)),0)</f>
        <v>0.27702</v>
      </c>
      <c r="K1018" s="13" t="n">
        <f aca="false">H1018+I1018</f>
        <v>0.9178596</v>
      </c>
      <c r="L1018" s="13" t="n">
        <f aca="false">MAX(0,D1018-K1018)</f>
        <v>3.5371404</v>
      </c>
      <c r="M1018" s="13" t="n">
        <f aca="false">MAX(0,F1018-I1018-J1018)</f>
        <v>0</v>
      </c>
      <c r="N1018" s="13" t="n">
        <f aca="false">IF(Kalender!A286="",0,J1017-H1018)</f>
        <v>0.0055404</v>
      </c>
    </row>
    <row r="1019" customFormat="false" ht="16.4" hidden="false" customHeight="false" outlineLevel="0" collapsed="false">
      <c r="A1019" s="13" t="str">
        <f aca="false">""</f>
        <v/>
      </c>
      <c r="B1019" s="13" t="n">
        <f aca="false">283</f>
        <v>283</v>
      </c>
      <c r="C1019" s="13" t="n">
        <f aca="false">IF(Szenarien!$H$10="OK",(IFERROR(SUMIF(Nutzungsprofile!$B$6:$B$11,"Schulbetrieb",Nutzungsprofile!$G$6:$G$11)*Kalender!C287/SUM(Kalender!$C$5:$C$370),0)+IFERROR(SUMIF(Nutzungsprofile!$B$6:$B$11,"Halle",Nutzungsprofile!$G$6:$G$11)*Kalender!D287/SUM(Kalender!$D$5:$D$370),0)+IFERROR(SUMIF(Nutzungsprofile!$B$6:$B$11,"Individuell",Nutzungsprofile!$G$6:$G$11)*Kalender!E287/SUM(Kalender!$E$5:$E$370),0))*Szenarien!$E$10,0)</f>
        <v>0</v>
      </c>
      <c r="D1019" s="13" t="n">
        <f aca="false">IF(Szenarien!$H$10="OK",(IFERROR(SUMIF(Nutzungsprofile!$B$17:$B$22,"Schulbetrieb",Nutzungsprofile!$G$17:$G$22)*Kalender!C287/SUM(Kalender!$C$5:$C$370),0)+IFERROR(SUMIF(Nutzungsprofile!$B$17:$B$22,"Halle",Nutzungsprofile!$G$17:$G$22)*Kalender!D287/SUM(Kalender!$D$5:$D$370),0)+IFERROR(SUMIF(Nutzungsprofile!$B$17:$B$22,"Individuell",Nutzungsprofile!$G$17:$G$22)*Kalender!E287/SUM(Kalender!$E$5:$E$370),0))*Szenarien!$D$10,0)</f>
        <v>0</v>
      </c>
      <c r="E1019" s="13" t="n">
        <f aca="false">IFERROR(MIN(C1019,Eingaben!$B$17)*Eingaben!$B$16,0)</f>
        <v>0</v>
      </c>
      <c r="F1019" s="13" t="n">
        <f aca="false">IFERROR(E1019*Eingaben!$B$15,0)</f>
        <v>0</v>
      </c>
      <c r="G1019" s="13" t="n">
        <f aca="false">IFERROR(IF(Kalender!A287="",0,J1018*(1-Eingaben!$B$20)),0)</f>
        <v>0.2714796</v>
      </c>
      <c r="H1019" s="13" t="n">
        <f aca="false">MIN(G1019,D1019)</f>
        <v>0</v>
      </c>
      <c r="I1019" s="13" t="n">
        <f aca="false">IFERROR(MIN(F1019*Eingaben!$B$19,MAX(0,D1019-H1019)),0)</f>
        <v>0</v>
      </c>
      <c r="J1019" s="13" t="n">
        <f aca="false">IFERROR(MIN(Eingaben!$B$18,MAX(0,F1019-I1019)),0)</f>
        <v>0</v>
      </c>
      <c r="K1019" s="13" t="n">
        <f aca="false">H1019+I1019</f>
        <v>0</v>
      </c>
      <c r="L1019" s="13" t="n">
        <f aca="false">MAX(0,D1019-K1019)</f>
        <v>0</v>
      </c>
      <c r="M1019" s="13" t="n">
        <f aca="false">MAX(0,F1019-I1019-J1019)</f>
        <v>0</v>
      </c>
      <c r="N1019" s="13" t="n">
        <f aca="false">IF(Kalender!A287="",0,J1018-H1019)</f>
        <v>0.27702</v>
      </c>
    </row>
    <row r="1020" customFormat="false" ht="16.4" hidden="false" customHeight="false" outlineLevel="0" collapsed="false">
      <c r="A1020" s="13" t="str">
        <f aca="false">""</f>
        <v/>
      </c>
      <c r="B1020" s="13" t="n">
        <f aca="false">284</f>
        <v>284</v>
      </c>
      <c r="C1020" s="13" t="n">
        <f aca="false">IF(Szenarien!$H$10="OK",(IFERROR(SUMIF(Nutzungsprofile!$B$6:$B$11,"Schulbetrieb",Nutzungsprofile!$G$6:$G$11)*Kalender!C288/SUM(Kalender!$C$5:$C$370),0)+IFERROR(SUMIF(Nutzungsprofile!$B$6:$B$11,"Halle",Nutzungsprofile!$G$6:$G$11)*Kalender!D288/SUM(Kalender!$D$5:$D$370),0)+IFERROR(SUMIF(Nutzungsprofile!$B$6:$B$11,"Individuell",Nutzungsprofile!$G$6:$G$11)*Kalender!E288/SUM(Kalender!$E$5:$E$370),0))*Szenarien!$E$10,0)</f>
        <v>0</v>
      </c>
      <c r="D1020" s="13" t="n">
        <f aca="false">IF(Szenarien!$H$10="OK",(IFERROR(SUMIF(Nutzungsprofile!$B$17:$B$22,"Schulbetrieb",Nutzungsprofile!$G$17:$G$22)*Kalender!C288/SUM(Kalender!$C$5:$C$370),0)+IFERROR(SUMIF(Nutzungsprofile!$B$17:$B$22,"Halle",Nutzungsprofile!$G$17:$G$22)*Kalender!D288/SUM(Kalender!$D$5:$D$370),0)+IFERROR(SUMIF(Nutzungsprofile!$B$17:$B$22,"Individuell",Nutzungsprofile!$G$17:$G$22)*Kalender!E288/SUM(Kalender!$E$5:$E$370),0))*Szenarien!$D$10,0)</f>
        <v>0</v>
      </c>
      <c r="E1020" s="13" t="n">
        <f aca="false">IFERROR(MIN(C1020,Eingaben!$B$17)*Eingaben!$B$16,0)</f>
        <v>0</v>
      </c>
      <c r="F1020" s="13" t="n">
        <f aca="false">IFERROR(E1020*Eingaben!$B$15,0)</f>
        <v>0</v>
      </c>
      <c r="G1020" s="13" t="n">
        <f aca="false">IFERROR(IF(Kalender!A288="",0,J1019*(1-Eingaben!$B$20)),0)</f>
        <v>0</v>
      </c>
      <c r="H1020" s="13" t="n">
        <f aca="false">MIN(G1020,D1020)</f>
        <v>0</v>
      </c>
      <c r="I1020" s="13" t="n">
        <f aca="false">IFERROR(MIN(F1020*Eingaben!$B$19,MAX(0,D1020-H1020)),0)</f>
        <v>0</v>
      </c>
      <c r="J1020" s="13" t="n">
        <f aca="false">IFERROR(MIN(Eingaben!$B$18,MAX(0,F1020-I1020)),0)</f>
        <v>0</v>
      </c>
      <c r="K1020" s="13" t="n">
        <f aca="false">H1020+I1020</f>
        <v>0</v>
      </c>
      <c r="L1020" s="13" t="n">
        <f aca="false">MAX(0,D1020-K1020)</f>
        <v>0</v>
      </c>
      <c r="M1020" s="13" t="n">
        <f aca="false">MAX(0,F1020-I1020-J1020)</f>
        <v>0</v>
      </c>
      <c r="N1020" s="13" t="n">
        <f aca="false">IF(Kalender!A288="",0,J1019-H1020)</f>
        <v>0</v>
      </c>
    </row>
    <row r="1021" customFormat="false" ht="16.4" hidden="false" customHeight="false" outlineLevel="0" collapsed="false">
      <c r="A1021" s="13" t="str">
        <f aca="false">""</f>
        <v/>
      </c>
      <c r="B1021" s="13" t="n">
        <f aca="false">285</f>
        <v>285</v>
      </c>
      <c r="C1021" s="13" t="n">
        <f aca="false">IF(Szenarien!$H$10="OK",(IFERROR(SUMIF(Nutzungsprofile!$B$6:$B$11,"Schulbetrieb",Nutzungsprofile!$G$6:$G$11)*Kalender!C289/SUM(Kalender!$C$5:$C$370),0)+IFERROR(SUMIF(Nutzungsprofile!$B$6:$B$11,"Halle",Nutzungsprofile!$G$6:$G$11)*Kalender!D289/SUM(Kalender!$D$5:$D$370),0)+IFERROR(SUMIF(Nutzungsprofile!$B$6:$B$11,"Individuell",Nutzungsprofile!$G$6:$G$11)*Kalender!E289/SUM(Kalender!$E$5:$E$370),0))*Szenarien!$E$10,0)</f>
        <v>1.08</v>
      </c>
      <c r="D1021" s="13" t="n">
        <f aca="false">IF(Szenarien!$H$10="OK",(IFERROR(SUMIF(Nutzungsprofile!$B$17:$B$22,"Schulbetrieb",Nutzungsprofile!$G$17:$G$22)*Kalender!C289/SUM(Kalender!$C$5:$C$370),0)+IFERROR(SUMIF(Nutzungsprofile!$B$17:$B$22,"Halle",Nutzungsprofile!$G$17:$G$22)*Kalender!D289/SUM(Kalender!$D$5:$D$370),0)+IFERROR(SUMIF(Nutzungsprofile!$B$17:$B$22,"Individuell",Nutzungsprofile!$G$17:$G$22)*Kalender!E289/SUM(Kalender!$E$5:$E$370),0))*Szenarien!$D$10,0)</f>
        <v>4.455</v>
      </c>
      <c r="E1021" s="13" t="n">
        <f aca="false">IFERROR(MIN(C1021,Eingaben!$B$17)*Eingaben!$B$16,0)</f>
        <v>1.026</v>
      </c>
      <c r="F1021" s="13" t="n">
        <f aca="false">IFERROR(E1021*Eingaben!$B$15,0)</f>
        <v>0.9234</v>
      </c>
      <c r="G1021" s="13" t="n">
        <f aca="false">IFERROR(IF(Kalender!A289="",0,J1020*(1-Eingaben!$B$20)),0)</f>
        <v>0</v>
      </c>
      <c r="H1021" s="13" t="n">
        <f aca="false">MIN(G1021,D1021)</f>
        <v>0</v>
      </c>
      <c r="I1021" s="13" t="n">
        <f aca="false">IFERROR(MIN(F1021*Eingaben!$B$19,MAX(0,D1021-H1021)),0)</f>
        <v>0.64638</v>
      </c>
      <c r="J1021" s="13" t="n">
        <f aca="false">IFERROR(MIN(Eingaben!$B$18,MAX(0,F1021-I1021)),0)</f>
        <v>0.27702</v>
      </c>
      <c r="K1021" s="13" t="n">
        <f aca="false">H1021+I1021</f>
        <v>0.64638</v>
      </c>
      <c r="L1021" s="13" t="n">
        <f aca="false">MAX(0,D1021-K1021)</f>
        <v>3.80862</v>
      </c>
      <c r="M1021" s="13" t="n">
        <f aca="false">MAX(0,F1021-I1021-J1021)</f>
        <v>0</v>
      </c>
      <c r="N1021" s="13" t="n">
        <f aca="false">IF(Kalender!A289="",0,J1020-H1021)</f>
        <v>0</v>
      </c>
    </row>
    <row r="1022" customFormat="false" ht="16.4" hidden="false" customHeight="false" outlineLevel="0" collapsed="false">
      <c r="A1022" s="13" t="str">
        <f aca="false">""</f>
        <v/>
      </c>
      <c r="B1022" s="13" t="n">
        <f aca="false">286</f>
        <v>286</v>
      </c>
      <c r="C1022" s="13" t="n">
        <f aca="false">IF(Szenarien!$H$10="OK",(IFERROR(SUMIF(Nutzungsprofile!$B$6:$B$11,"Schulbetrieb",Nutzungsprofile!$G$6:$G$11)*Kalender!C290/SUM(Kalender!$C$5:$C$370),0)+IFERROR(SUMIF(Nutzungsprofile!$B$6:$B$11,"Halle",Nutzungsprofile!$G$6:$G$11)*Kalender!D290/SUM(Kalender!$D$5:$D$370),0)+IFERROR(SUMIF(Nutzungsprofile!$B$6:$B$11,"Individuell",Nutzungsprofile!$G$6:$G$11)*Kalender!E290/SUM(Kalender!$E$5:$E$370),0))*Szenarien!$E$10,0)</f>
        <v>1.08</v>
      </c>
      <c r="D1022" s="13" t="n">
        <f aca="false">IF(Szenarien!$H$10="OK",(IFERROR(SUMIF(Nutzungsprofile!$B$17:$B$22,"Schulbetrieb",Nutzungsprofile!$G$17:$G$22)*Kalender!C290/SUM(Kalender!$C$5:$C$370),0)+IFERROR(SUMIF(Nutzungsprofile!$B$17:$B$22,"Halle",Nutzungsprofile!$G$17:$G$22)*Kalender!D290/SUM(Kalender!$D$5:$D$370),0)+IFERROR(SUMIF(Nutzungsprofile!$B$17:$B$22,"Individuell",Nutzungsprofile!$G$17:$G$22)*Kalender!E290/SUM(Kalender!$E$5:$E$370),0))*Szenarien!$D$10,0)</f>
        <v>4.455</v>
      </c>
      <c r="E1022" s="13" t="n">
        <f aca="false">IFERROR(MIN(C1022,Eingaben!$B$17)*Eingaben!$B$16,0)</f>
        <v>1.026</v>
      </c>
      <c r="F1022" s="13" t="n">
        <f aca="false">IFERROR(E1022*Eingaben!$B$15,0)</f>
        <v>0.9234</v>
      </c>
      <c r="G1022" s="13" t="n">
        <f aca="false">IFERROR(IF(Kalender!A290="",0,J1021*(1-Eingaben!$B$20)),0)</f>
        <v>0.2714796</v>
      </c>
      <c r="H1022" s="13" t="n">
        <f aca="false">MIN(G1022,D1022)</f>
        <v>0.2714796</v>
      </c>
      <c r="I1022" s="13" t="n">
        <f aca="false">IFERROR(MIN(F1022*Eingaben!$B$19,MAX(0,D1022-H1022)),0)</f>
        <v>0.64638</v>
      </c>
      <c r="J1022" s="13" t="n">
        <f aca="false">IFERROR(MIN(Eingaben!$B$18,MAX(0,F1022-I1022)),0)</f>
        <v>0.27702</v>
      </c>
      <c r="K1022" s="13" t="n">
        <f aca="false">H1022+I1022</f>
        <v>0.9178596</v>
      </c>
      <c r="L1022" s="13" t="n">
        <f aca="false">MAX(0,D1022-K1022)</f>
        <v>3.5371404</v>
      </c>
      <c r="M1022" s="13" t="n">
        <f aca="false">MAX(0,F1022-I1022-J1022)</f>
        <v>0</v>
      </c>
      <c r="N1022" s="13" t="n">
        <f aca="false">IF(Kalender!A290="",0,J1021-H1022)</f>
        <v>0.0055404</v>
      </c>
    </row>
    <row r="1023" customFormat="false" ht="16.4" hidden="false" customHeight="false" outlineLevel="0" collapsed="false">
      <c r="A1023" s="13" t="str">
        <f aca="false">""</f>
        <v/>
      </c>
      <c r="B1023" s="13" t="n">
        <f aca="false">287</f>
        <v>287</v>
      </c>
      <c r="C1023" s="13" t="n">
        <f aca="false">IF(Szenarien!$H$10="OK",(IFERROR(SUMIF(Nutzungsprofile!$B$6:$B$11,"Schulbetrieb",Nutzungsprofile!$G$6:$G$11)*Kalender!C291/SUM(Kalender!$C$5:$C$370),0)+IFERROR(SUMIF(Nutzungsprofile!$B$6:$B$11,"Halle",Nutzungsprofile!$G$6:$G$11)*Kalender!D291/SUM(Kalender!$D$5:$D$370),0)+IFERROR(SUMIF(Nutzungsprofile!$B$6:$B$11,"Individuell",Nutzungsprofile!$G$6:$G$11)*Kalender!E291/SUM(Kalender!$E$5:$E$370),0))*Szenarien!$E$10,0)</f>
        <v>1.08</v>
      </c>
      <c r="D1023" s="13" t="n">
        <f aca="false">IF(Szenarien!$H$10="OK",(IFERROR(SUMIF(Nutzungsprofile!$B$17:$B$22,"Schulbetrieb",Nutzungsprofile!$G$17:$G$22)*Kalender!C291/SUM(Kalender!$C$5:$C$370),0)+IFERROR(SUMIF(Nutzungsprofile!$B$17:$B$22,"Halle",Nutzungsprofile!$G$17:$G$22)*Kalender!D291/SUM(Kalender!$D$5:$D$370),0)+IFERROR(SUMIF(Nutzungsprofile!$B$17:$B$22,"Individuell",Nutzungsprofile!$G$17:$G$22)*Kalender!E291/SUM(Kalender!$E$5:$E$370),0))*Szenarien!$D$10,0)</f>
        <v>4.455</v>
      </c>
      <c r="E1023" s="13" t="n">
        <f aca="false">IFERROR(MIN(C1023,Eingaben!$B$17)*Eingaben!$B$16,0)</f>
        <v>1.026</v>
      </c>
      <c r="F1023" s="13" t="n">
        <f aca="false">IFERROR(E1023*Eingaben!$B$15,0)</f>
        <v>0.9234</v>
      </c>
      <c r="G1023" s="13" t="n">
        <f aca="false">IFERROR(IF(Kalender!A291="",0,J1022*(1-Eingaben!$B$20)),0)</f>
        <v>0.2714796</v>
      </c>
      <c r="H1023" s="13" t="n">
        <f aca="false">MIN(G1023,D1023)</f>
        <v>0.2714796</v>
      </c>
      <c r="I1023" s="13" t="n">
        <f aca="false">IFERROR(MIN(F1023*Eingaben!$B$19,MAX(0,D1023-H1023)),0)</f>
        <v>0.64638</v>
      </c>
      <c r="J1023" s="13" t="n">
        <f aca="false">IFERROR(MIN(Eingaben!$B$18,MAX(0,F1023-I1023)),0)</f>
        <v>0.27702</v>
      </c>
      <c r="K1023" s="13" t="n">
        <f aca="false">H1023+I1023</f>
        <v>0.9178596</v>
      </c>
      <c r="L1023" s="13" t="n">
        <f aca="false">MAX(0,D1023-K1023)</f>
        <v>3.5371404</v>
      </c>
      <c r="M1023" s="13" t="n">
        <f aca="false">MAX(0,F1023-I1023-J1023)</f>
        <v>0</v>
      </c>
      <c r="N1023" s="13" t="n">
        <f aca="false">IF(Kalender!A291="",0,J1022-H1023)</f>
        <v>0.0055404</v>
      </c>
    </row>
    <row r="1024" customFormat="false" ht="16.4" hidden="false" customHeight="false" outlineLevel="0" collapsed="false">
      <c r="A1024" s="13" t="str">
        <f aca="false">""</f>
        <v/>
      </c>
      <c r="B1024" s="13" t="n">
        <f aca="false">288</f>
        <v>288</v>
      </c>
      <c r="C1024" s="13" t="n">
        <f aca="false">IF(Szenarien!$H$10="OK",(IFERROR(SUMIF(Nutzungsprofile!$B$6:$B$11,"Schulbetrieb",Nutzungsprofile!$G$6:$G$11)*Kalender!C292/SUM(Kalender!$C$5:$C$370),0)+IFERROR(SUMIF(Nutzungsprofile!$B$6:$B$11,"Halle",Nutzungsprofile!$G$6:$G$11)*Kalender!D292/SUM(Kalender!$D$5:$D$370),0)+IFERROR(SUMIF(Nutzungsprofile!$B$6:$B$11,"Individuell",Nutzungsprofile!$G$6:$G$11)*Kalender!E292/SUM(Kalender!$E$5:$E$370),0))*Szenarien!$E$10,0)</f>
        <v>1.08</v>
      </c>
      <c r="D1024" s="13" t="n">
        <f aca="false">IF(Szenarien!$H$10="OK",(IFERROR(SUMIF(Nutzungsprofile!$B$17:$B$22,"Schulbetrieb",Nutzungsprofile!$G$17:$G$22)*Kalender!C292/SUM(Kalender!$C$5:$C$370),0)+IFERROR(SUMIF(Nutzungsprofile!$B$17:$B$22,"Halle",Nutzungsprofile!$G$17:$G$22)*Kalender!D292/SUM(Kalender!$D$5:$D$370),0)+IFERROR(SUMIF(Nutzungsprofile!$B$17:$B$22,"Individuell",Nutzungsprofile!$G$17:$G$22)*Kalender!E292/SUM(Kalender!$E$5:$E$370),0))*Szenarien!$D$10,0)</f>
        <v>4.455</v>
      </c>
      <c r="E1024" s="13" t="n">
        <f aca="false">IFERROR(MIN(C1024,Eingaben!$B$17)*Eingaben!$B$16,0)</f>
        <v>1.026</v>
      </c>
      <c r="F1024" s="13" t="n">
        <f aca="false">IFERROR(E1024*Eingaben!$B$15,0)</f>
        <v>0.9234</v>
      </c>
      <c r="G1024" s="13" t="n">
        <f aca="false">IFERROR(IF(Kalender!A292="",0,J1023*(1-Eingaben!$B$20)),0)</f>
        <v>0.2714796</v>
      </c>
      <c r="H1024" s="13" t="n">
        <f aca="false">MIN(G1024,D1024)</f>
        <v>0.2714796</v>
      </c>
      <c r="I1024" s="13" t="n">
        <f aca="false">IFERROR(MIN(F1024*Eingaben!$B$19,MAX(0,D1024-H1024)),0)</f>
        <v>0.64638</v>
      </c>
      <c r="J1024" s="13" t="n">
        <f aca="false">IFERROR(MIN(Eingaben!$B$18,MAX(0,F1024-I1024)),0)</f>
        <v>0.27702</v>
      </c>
      <c r="K1024" s="13" t="n">
        <f aca="false">H1024+I1024</f>
        <v>0.9178596</v>
      </c>
      <c r="L1024" s="13" t="n">
        <f aca="false">MAX(0,D1024-K1024)</f>
        <v>3.5371404</v>
      </c>
      <c r="M1024" s="13" t="n">
        <f aca="false">MAX(0,F1024-I1024-J1024)</f>
        <v>0</v>
      </c>
      <c r="N1024" s="13" t="n">
        <f aca="false">IF(Kalender!A292="",0,J1023-H1024)</f>
        <v>0.0055404</v>
      </c>
    </row>
    <row r="1025" customFormat="false" ht="16.4" hidden="false" customHeight="false" outlineLevel="0" collapsed="false">
      <c r="A1025" s="13" t="str">
        <f aca="false">""</f>
        <v/>
      </c>
      <c r="B1025" s="13" t="n">
        <f aca="false">289</f>
        <v>289</v>
      </c>
      <c r="C1025" s="13" t="n">
        <f aca="false">IF(Szenarien!$H$10="OK",(IFERROR(SUMIF(Nutzungsprofile!$B$6:$B$11,"Schulbetrieb",Nutzungsprofile!$G$6:$G$11)*Kalender!C293/SUM(Kalender!$C$5:$C$370),0)+IFERROR(SUMIF(Nutzungsprofile!$B$6:$B$11,"Halle",Nutzungsprofile!$G$6:$G$11)*Kalender!D293/SUM(Kalender!$D$5:$D$370),0)+IFERROR(SUMIF(Nutzungsprofile!$B$6:$B$11,"Individuell",Nutzungsprofile!$G$6:$G$11)*Kalender!E293/SUM(Kalender!$E$5:$E$370),0))*Szenarien!$E$10,0)</f>
        <v>1.08</v>
      </c>
      <c r="D1025" s="13" t="n">
        <f aca="false">IF(Szenarien!$H$10="OK",(IFERROR(SUMIF(Nutzungsprofile!$B$17:$B$22,"Schulbetrieb",Nutzungsprofile!$G$17:$G$22)*Kalender!C293/SUM(Kalender!$C$5:$C$370),0)+IFERROR(SUMIF(Nutzungsprofile!$B$17:$B$22,"Halle",Nutzungsprofile!$G$17:$G$22)*Kalender!D293/SUM(Kalender!$D$5:$D$370),0)+IFERROR(SUMIF(Nutzungsprofile!$B$17:$B$22,"Individuell",Nutzungsprofile!$G$17:$G$22)*Kalender!E293/SUM(Kalender!$E$5:$E$370),0))*Szenarien!$D$10,0)</f>
        <v>4.455</v>
      </c>
      <c r="E1025" s="13" t="n">
        <f aca="false">IFERROR(MIN(C1025,Eingaben!$B$17)*Eingaben!$B$16,0)</f>
        <v>1.026</v>
      </c>
      <c r="F1025" s="13" t="n">
        <f aca="false">IFERROR(E1025*Eingaben!$B$15,0)</f>
        <v>0.9234</v>
      </c>
      <c r="G1025" s="13" t="n">
        <f aca="false">IFERROR(IF(Kalender!A293="",0,J1024*(1-Eingaben!$B$20)),0)</f>
        <v>0.2714796</v>
      </c>
      <c r="H1025" s="13" t="n">
        <f aca="false">MIN(G1025,D1025)</f>
        <v>0.2714796</v>
      </c>
      <c r="I1025" s="13" t="n">
        <f aca="false">IFERROR(MIN(F1025*Eingaben!$B$19,MAX(0,D1025-H1025)),0)</f>
        <v>0.64638</v>
      </c>
      <c r="J1025" s="13" t="n">
        <f aca="false">IFERROR(MIN(Eingaben!$B$18,MAX(0,F1025-I1025)),0)</f>
        <v>0.27702</v>
      </c>
      <c r="K1025" s="13" t="n">
        <f aca="false">H1025+I1025</f>
        <v>0.9178596</v>
      </c>
      <c r="L1025" s="13" t="n">
        <f aca="false">MAX(0,D1025-K1025)</f>
        <v>3.5371404</v>
      </c>
      <c r="M1025" s="13" t="n">
        <f aca="false">MAX(0,F1025-I1025-J1025)</f>
        <v>0</v>
      </c>
      <c r="N1025" s="13" t="n">
        <f aca="false">IF(Kalender!A293="",0,J1024-H1025)</f>
        <v>0.0055404</v>
      </c>
    </row>
    <row r="1026" customFormat="false" ht="16.4" hidden="false" customHeight="false" outlineLevel="0" collapsed="false">
      <c r="A1026" s="13" t="str">
        <f aca="false">""</f>
        <v/>
      </c>
      <c r="B1026" s="13" t="n">
        <f aca="false">290</f>
        <v>290</v>
      </c>
      <c r="C1026" s="13" t="n">
        <f aca="false">IF(Szenarien!$H$10="OK",(IFERROR(SUMIF(Nutzungsprofile!$B$6:$B$11,"Schulbetrieb",Nutzungsprofile!$G$6:$G$11)*Kalender!C294/SUM(Kalender!$C$5:$C$370),0)+IFERROR(SUMIF(Nutzungsprofile!$B$6:$B$11,"Halle",Nutzungsprofile!$G$6:$G$11)*Kalender!D294/SUM(Kalender!$D$5:$D$370),0)+IFERROR(SUMIF(Nutzungsprofile!$B$6:$B$11,"Individuell",Nutzungsprofile!$G$6:$G$11)*Kalender!E294/SUM(Kalender!$E$5:$E$370),0))*Szenarien!$E$10,0)</f>
        <v>0</v>
      </c>
      <c r="D1026" s="13" t="n">
        <f aca="false">IF(Szenarien!$H$10="OK",(IFERROR(SUMIF(Nutzungsprofile!$B$17:$B$22,"Schulbetrieb",Nutzungsprofile!$G$17:$G$22)*Kalender!C294/SUM(Kalender!$C$5:$C$370),0)+IFERROR(SUMIF(Nutzungsprofile!$B$17:$B$22,"Halle",Nutzungsprofile!$G$17:$G$22)*Kalender!D294/SUM(Kalender!$D$5:$D$370),0)+IFERROR(SUMIF(Nutzungsprofile!$B$17:$B$22,"Individuell",Nutzungsprofile!$G$17:$G$22)*Kalender!E294/SUM(Kalender!$E$5:$E$370),0))*Szenarien!$D$10,0)</f>
        <v>0</v>
      </c>
      <c r="E1026" s="13" t="n">
        <f aca="false">IFERROR(MIN(C1026,Eingaben!$B$17)*Eingaben!$B$16,0)</f>
        <v>0</v>
      </c>
      <c r="F1026" s="13" t="n">
        <f aca="false">IFERROR(E1026*Eingaben!$B$15,0)</f>
        <v>0</v>
      </c>
      <c r="G1026" s="13" t="n">
        <f aca="false">IFERROR(IF(Kalender!A294="",0,J1025*(1-Eingaben!$B$20)),0)</f>
        <v>0.2714796</v>
      </c>
      <c r="H1026" s="13" t="n">
        <f aca="false">MIN(G1026,D1026)</f>
        <v>0</v>
      </c>
      <c r="I1026" s="13" t="n">
        <f aca="false">IFERROR(MIN(F1026*Eingaben!$B$19,MAX(0,D1026-H1026)),0)</f>
        <v>0</v>
      </c>
      <c r="J1026" s="13" t="n">
        <f aca="false">IFERROR(MIN(Eingaben!$B$18,MAX(0,F1026-I1026)),0)</f>
        <v>0</v>
      </c>
      <c r="K1026" s="13" t="n">
        <f aca="false">H1026+I1026</f>
        <v>0</v>
      </c>
      <c r="L1026" s="13" t="n">
        <f aca="false">MAX(0,D1026-K1026)</f>
        <v>0</v>
      </c>
      <c r="M1026" s="13" t="n">
        <f aca="false">MAX(0,F1026-I1026-J1026)</f>
        <v>0</v>
      </c>
      <c r="N1026" s="13" t="n">
        <f aca="false">IF(Kalender!A294="",0,J1025-H1026)</f>
        <v>0.27702</v>
      </c>
    </row>
    <row r="1027" customFormat="false" ht="16.4" hidden="false" customHeight="false" outlineLevel="0" collapsed="false">
      <c r="A1027" s="13" t="str">
        <f aca="false">""</f>
        <v/>
      </c>
      <c r="B1027" s="13" t="n">
        <f aca="false">291</f>
        <v>291</v>
      </c>
      <c r="C1027" s="13" t="n">
        <f aca="false">IF(Szenarien!$H$10="OK",(IFERROR(SUMIF(Nutzungsprofile!$B$6:$B$11,"Schulbetrieb",Nutzungsprofile!$G$6:$G$11)*Kalender!C295/SUM(Kalender!$C$5:$C$370),0)+IFERROR(SUMIF(Nutzungsprofile!$B$6:$B$11,"Halle",Nutzungsprofile!$G$6:$G$11)*Kalender!D295/SUM(Kalender!$D$5:$D$370),0)+IFERROR(SUMIF(Nutzungsprofile!$B$6:$B$11,"Individuell",Nutzungsprofile!$G$6:$G$11)*Kalender!E295/SUM(Kalender!$E$5:$E$370),0))*Szenarien!$E$10,0)</f>
        <v>0</v>
      </c>
      <c r="D1027" s="13" t="n">
        <f aca="false">IF(Szenarien!$H$10="OK",(IFERROR(SUMIF(Nutzungsprofile!$B$17:$B$22,"Schulbetrieb",Nutzungsprofile!$G$17:$G$22)*Kalender!C295/SUM(Kalender!$C$5:$C$370),0)+IFERROR(SUMIF(Nutzungsprofile!$B$17:$B$22,"Halle",Nutzungsprofile!$G$17:$G$22)*Kalender!D295/SUM(Kalender!$D$5:$D$370),0)+IFERROR(SUMIF(Nutzungsprofile!$B$17:$B$22,"Individuell",Nutzungsprofile!$G$17:$G$22)*Kalender!E295/SUM(Kalender!$E$5:$E$370),0))*Szenarien!$D$10,0)</f>
        <v>0</v>
      </c>
      <c r="E1027" s="13" t="n">
        <f aca="false">IFERROR(MIN(C1027,Eingaben!$B$17)*Eingaben!$B$16,0)</f>
        <v>0</v>
      </c>
      <c r="F1027" s="13" t="n">
        <f aca="false">IFERROR(E1027*Eingaben!$B$15,0)</f>
        <v>0</v>
      </c>
      <c r="G1027" s="13" t="n">
        <f aca="false">IFERROR(IF(Kalender!A295="",0,J1026*(1-Eingaben!$B$20)),0)</f>
        <v>0</v>
      </c>
      <c r="H1027" s="13" t="n">
        <f aca="false">MIN(G1027,D1027)</f>
        <v>0</v>
      </c>
      <c r="I1027" s="13" t="n">
        <f aca="false">IFERROR(MIN(F1027*Eingaben!$B$19,MAX(0,D1027-H1027)),0)</f>
        <v>0</v>
      </c>
      <c r="J1027" s="13" t="n">
        <f aca="false">IFERROR(MIN(Eingaben!$B$18,MAX(0,F1027-I1027)),0)</f>
        <v>0</v>
      </c>
      <c r="K1027" s="13" t="n">
        <f aca="false">H1027+I1027</f>
        <v>0</v>
      </c>
      <c r="L1027" s="13" t="n">
        <f aca="false">MAX(0,D1027-K1027)</f>
        <v>0</v>
      </c>
      <c r="M1027" s="13" t="n">
        <f aca="false">MAX(0,F1027-I1027-J1027)</f>
        <v>0</v>
      </c>
      <c r="N1027" s="13" t="n">
        <f aca="false">IF(Kalender!A295="",0,J1026-H1027)</f>
        <v>0</v>
      </c>
    </row>
    <row r="1028" customFormat="false" ht="16.4" hidden="false" customHeight="false" outlineLevel="0" collapsed="false">
      <c r="A1028" s="13" t="str">
        <f aca="false">""</f>
        <v/>
      </c>
      <c r="B1028" s="13" t="n">
        <f aca="false">292</f>
        <v>292</v>
      </c>
      <c r="C1028" s="13" t="n">
        <f aca="false">IF(Szenarien!$H$10="OK",(IFERROR(SUMIF(Nutzungsprofile!$B$6:$B$11,"Schulbetrieb",Nutzungsprofile!$G$6:$G$11)*Kalender!C296/SUM(Kalender!$C$5:$C$370),0)+IFERROR(SUMIF(Nutzungsprofile!$B$6:$B$11,"Halle",Nutzungsprofile!$G$6:$G$11)*Kalender!D296/SUM(Kalender!$D$5:$D$370),0)+IFERROR(SUMIF(Nutzungsprofile!$B$6:$B$11,"Individuell",Nutzungsprofile!$G$6:$G$11)*Kalender!E296/SUM(Kalender!$E$5:$E$370),0))*Szenarien!$E$10,0)</f>
        <v>1.08</v>
      </c>
      <c r="D1028" s="13" t="n">
        <f aca="false">IF(Szenarien!$H$10="OK",(IFERROR(SUMIF(Nutzungsprofile!$B$17:$B$22,"Schulbetrieb",Nutzungsprofile!$G$17:$G$22)*Kalender!C296/SUM(Kalender!$C$5:$C$370),0)+IFERROR(SUMIF(Nutzungsprofile!$B$17:$B$22,"Halle",Nutzungsprofile!$G$17:$G$22)*Kalender!D296/SUM(Kalender!$D$5:$D$370),0)+IFERROR(SUMIF(Nutzungsprofile!$B$17:$B$22,"Individuell",Nutzungsprofile!$G$17:$G$22)*Kalender!E296/SUM(Kalender!$E$5:$E$370),0))*Szenarien!$D$10,0)</f>
        <v>4.455</v>
      </c>
      <c r="E1028" s="13" t="n">
        <f aca="false">IFERROR(MIN(C1028,Eingaben!$B$17)*Eingaben!$B$16,0)</f>
        <v>1.026</v>
      </c>
      <c r="F1028" s="13" t="n">
        <f aca="false">IFERROR(E1028*Eingaben!$B$15,0)</f>
        <v>0.9234</v>
      </c>
      <c r="G1028" s="13" t="n">
        <f aca="false">IFERROR(IF(Kalender!A296="",0,J1027*(1-Eingaben!$B$20)),0)</f>
        <v>0</v>
      </c>
      <c r="H1028" s="13" t="n">
        <f aca="false">MIN(G1028,D1028)</f>
        <v>0</v>
      </c>
      <c r="I1028" s="13" t="n">
        <f aca="false">IFERROR(MIN(F1028*Eingaben!$B$19,MAX(0,D1028-H1028)),0)</f>
        <v>0.64638</v>
      </c>
      <c r="J1028" s="13" t="n">
        <f aca="false">IFERROR(MIN(Eingaben!$B$18,MAX(0,F1028-I1028)),0)</f>
        <v>0.27702</v>
      </c>
      <c r="K1028" s="13" t="n">
        <f aca="false">H1028+I1028</f>
        <v>0.64638</v>
      </c>
      <c r="L1028" s="13" t="n">
        <f aca="false">MAX(0,D1028-K1028)</f>
        <v>3.80862</v>
      </c>
      <c r="M1028" s="13" t="n">
        <f aca="false">MAX(0,F1028-I1028-J1028)</f>
        <v>0</v>
      </c>
      <c r="N1028" s="13" t="n">
        <f aca="false">IF(Kalender!A296="",0,J1027-H1028)</f>
        <v>0</v>
      </c>
    </row>
    <row r="1029" customFormat="false" ht="16.4" hidden="false" customHeight="false" outlineLevel="0" collapsed="false">
      <c r="A1029" s="13" t="str">
        <f aca="false">""</f>
        <v/>
      </c>
      <c r="B1029" s="13" t="n">
        <f aca="false">293</f>
        <v>293</v>
      </c>
      <c r="C1029" s="13" t="n">
        <f aca="false">IF(Szenarien!$H$10="OK",(IFERROR(SUMIF(Nutzungsprofile!$B$6:$B$11,"Schulbetrieb",Nutzungsprofile!$G$6:$G$11)*Kalender!C297/SUM(Kalender!$C$5:$C$370),0)+IFERROR(SUMIF(Nutzungsprofile!$B$6:$B$11,"Halle",Nutzungsprofile!$G$6:$G$11)*Kalender!D297/SUM(Kalender!$D$5:$D$370),0)+IFERROR(SUMIF(Nutzungsprofile!$B$6:$B$11,"Individuell",Nutzungsprofile!$G$6:$G$11)*Kalender!E297/SUM(Kalender!$E$5:$E$370),0))*Szenarien!$E$10,0)</f>
        <v>1.08</v>
      </c>
      <c r="D1029" s="13" t="n">
        <f aca="false">IF(Szenarien!$H$10="OK",(IFERROR(SUMIF(Nutzungsprofile!$B$17:$B$22,"Schulbetrieb",Nutzungsprofile!$G$17:$G$22)*Kalender!C297/SUM(Kalender!$C$5:$C$370),0)+IFERROR(SUMIF(Nutzungsprofile!$B$17:$B$22,"Halle",Nutzungsprofile!$G$17:$G$22)*Kalender!D297/SUM(Kalender!$D$5:$D$370),0)+IFERROR(SUMIF(Nutzungsprofile!$B$17:$B$22,"Individuell",Nutzungsprofile!$G$17:$G$22)*Kalender!E297/SUM(Kalender!$E$5:$E$370),0))*Szenarien!$D$10,0)</f>
        <v>4.455</v>
      </c>
      <c r="E1029" s="13" t="n">
        <f aca="false">IFERROR(MIN(C1029,Eingaben!$B$17)*Eingaben!$B$16,0)</f>
        <v>1.026</v>
      </c>
      <c r="F1029" s="13" t="n">
        <f aca="false">IFERROR(E1029*Eingaben!$B$15,0)</f>
        <v>0.9234</v>
      </c>
      <c r="G1029" s="13" t="n">
        <f aca="false">IFERROR(IF(Kalender!A297="",0,J1028*(1-Eingaben!$B$20)),0)</f>
        <v>0.2714796</v>
      </c>
      <c r="H1029" s="13" t="n">
        <f aca="false">MIN(G1029,D1029)</f>
        <v>0.2714796</v>
      </c>
      <c r="I1029" s="13" t="n">
        <f aca="false">IFERROR(MIN(F1029*Eingaben!$B$19,MAX(0,D1029-H1029)),0)</f>
        <v>0.64638</v>
      </c>
      <c r="J1029" s="13" t="n">
        <f aca="false">IFERROR(MIN(Eingaben!$B$18,MAX(0,F1029-I1029)),0)</f>
        <v>0.27702</v>
      </c>
      <c r="K1029" s="13" t="n">
        <f aca="false">H1029+I1029</f>
        <v>0.9178596</v>
      </c>
      <c r="L1029" s="13" t="n">
        <f aca="false">MAX(0,D1029-K1029)</f>
        <v>3.5371404</v>
      </c>
      <c r="M1029" s="13" t="n">
        <f aca="false">MAX(0,F1029-I1029-J1029)</f>
        <v>0</v>
      </c>
      <c r="N1029" s="13" t="n">
        <f aca="false">IF(Kalender!A297="",0,J1028-H1029)</f>
        <v>0.0055404</v>
      </c>
    </row>
    <row r="1030" customFormat="false" ht="16.4" hidden="false" customHeight="false" outlineLevel="0" collapsed="false">
      <c r="A1030" s="13" t="str">
        <f aca="false">""</f>
        <v/>
      </c>
      <c r="B1030" s="13" t="n">
        <f aca="false">294</f>
        <v>294</v>
      </c>
      <c r="C1030" s="13" t="n">
        <f aca="false">IF(Szenarien!$H$10="OK",(IFERROR(SUMIF(Nutzungsprofile!$B$6:$B$11,"Schulbetrieb",Nutzungsprofile!$G$6:$G$11)*Kalender!C298/SUM(Kalender!$C$5:$C$370),0)+IFERROR(SUMIF(Nutzungsprofile!$B$6:$B$11,"Halle",Nutzungsprofile!$G$6:$G$11)*Kalender!D298/SUM(Kalender!$D$5:$D$370),0)+IFERROR(SUMIF(Nutzungsprofile!$B$6:$B$11,"Individuell",Nutzungsprofile!$G$6:$G$11)*Kalender!E298/SUM(Kalender!$E$5:$E$370),0))*Szenarien!$E$10,0)</f>
        <v>1.08</v>
      </c>
      <c r="D1030" s="13" t="n">
        <f aca="false">IF(Szenarien!$H$10="OK",(IFERROR(SUMIF(Nutzungsprofile!$B$17:$B$22,"Schulbetrieb",Nutzungsprofile!$G$17:$G$22)*Kalender!C298/SUM(Kalender!$C$5:$C$370),0)+IFERROR(SUMIF(Nutzungsprofile!$B$17:$B$22,"Halle",Nutzungsprofile!$G$17:$G$22)*Kalender!D298/SUM(Kalender!$D$5:$D$370),0)+IFERROR(SUMIF(Nutzungsprofile!$B$17:$B$22,"Individuell",Nutzungsprofile!$G$17:$G$22)*Kalender!E298/SUM(Kalender!$E$5:$E$370),0))*Szenarien!$D$10,0)</f>
        <v>4.455</v>
      </c>
      <c r="E1030" s="13" t="n">
        <f aca="false">IFERROR(MIN(C1030,Eingaben!$B$17)*Eingaben!$B$16,0)</f>
        <v>1.026</v>
      </c>
      <c r="F1030" s="13" t="n">
        <f aca="false">IFERROR(E1030*Eingaben!$B$15,0)</f>
        <v>0.9234</v>
      </c>
      <c r="G1030" s="13" t="n">
        <f aca="false">IFERROR(IF(Kalender!A298="",0,J1029*(1-Eingaben!$B$20)),0)</f>
        <v>0.2714796</v>
      </c>
      <c r="H1030" s="13" t="n">
        <f aca="false">MIN(G1030,D1030)</f>
        <v>0.2714796</v>
      </c>
      <c r="I1030" s="13" t="n">
        <f aca="false">IFERROR(MIN(F1030*Eingaben!$B$19,MAX(0,D1030-H1030)),0)</f>
        <v>0.64638</v>
      </c>
      <c r="J1030" s="13" t="n">
        <f aca="false">IFERROR(MIN(Eingaben!$B$18,MAX(0,F1030-I1030)),0)</f>
        <v>0.27702</v>
      </c>
      <c r="K1030" s="13" t="n">
        <f aca="false">H1030+I1030</f>
        <v>0.9178596</v>
      </c>
      <c r="L1030" s="13" t="n">
        <f aca="false">MAX(0,D1030-K1030)</f>
        <v>3.5371404</v>
      </c>
      <c r="M1030" s="13" t="n">
        <f aca="false">MAX(0,F1030-I1030-J1030)</f>
        <v>0</v>
      </c>
      <c r="N1030" s="13" t="n">
        <f aca="false">IF(Kalender!A298="",0,J1029-H1030)</f>
        <v>0.0055404</v>
      </c>
    </row>
    <row r="1031" customFormat="false" ht="16.4" hidden="false" customHeight="false" outlineLevel="0" collapsed="false">
      <c r="A1031" s="13" t="str">
        <f aca="false">""</f>
        <v/>
      </c>
      <c r="B1031" s="13" t="n">
        <f aca="false">295</f>
        <v>295</v>
      </c>
      <c r="C1031" s="13" t="n">
        <f aca="false">IF(Szenarien!$H$10="OK",(IFERROR(SUMIF(Nutzungsprofile!$B$6:$B$11,"Schulbetrieb",Nutzungsprofile!$G$6:$G$11)*Kalender!C299/SUM(Kalender!$C$5:$C$370),0)+IFERROR(SUMIF(Nutzungsprofile!$B$6:$B$11,"Halle",Nutzungsprofile!$G$6:$G$11)*Kalender!D299/SUM(Kalender!$D$5:$D$370),0)+IFERROR(SUMIF(Nutzungsprofile!$B$6:$B$11,"Individuell",Nutzungsprofile!$G$6:$G$11)*Kalender!E299/SUM(Kalender!$E$5:$E$370),0))*Szenarien!$E$10,0)</f>
        <v>1.08</v>
      </c>
      <c r="D1031" s="13" t="n">
        <f aca="false">IF(Szenarien!$H$10="OK",(IFERROR(SUMIF(Nutzungsprofile!$B$17:$B$22,"Schulbetrieb",Nutzungsprofile!$G$17:$G$22)*Kalender!C299/SUM(Kalender!$C$5:$C$370),0)+IFERROR(SUMIF(Nutzungsprofile!$B$17:$B$22,"Halle",Nutzungsprofile!$G$17:$G$22)*Kalender!D299/SUM(Kalender!$D$5:$D$370),0)+IFERROR(SUMIF(Nutzungsprofile!$B$17:$B$22,"Individuell",Nutzungsprofile!$G$17:$G$22)*Kalender!E299/SUM(Kalender!$E$5:$E$370),0))*Szenarien!$D$10,0)</f>
        <v>4.455</v>
      </c>
      <c r="E1031" s="13" t="n">
        <f aca="false">IFERROR(MIN(C1031,Eingaben!$B$17)*Eingaben!$B$16,0)</f>
        <v>1.026</v>
      </c>
      <c r="F1031" s="13" t="n">
        <f aca="false">IFERROR(E1031*Eingaben!$B$15,0)</f>
        <v>0.9234</v>
      </c>
      <c r="G1031" s="13" t="n">
        <f aca="false">IFERROR(IF(Kalender!A299="",0,J1030*(1-Eingaben!$B$20)),0)</f>
        <v>0.2714796</v>
      </c>
      <c r="H1031" s="13" t="n">
        <f aca="false">MIN(G1031,D1031)</f>
        <v>0.2714796</v>
      </c>
      <c r="I1031" s="13" t="n">
        <f aca="false">IFERROR(MIN(F1031*Eingaben!$B$19,MAX(0,D1031-H1031)),0)</f>
        <v>0.64638</v>
      </c>
      <c r="J1031" s="13" t="n">
        <f aca="false">IFERROR(MIN(Eingaben!$B$18,MAX(0,F1031-I1031)),0)</f>
        <v>0.27702</v>
      </c>
      <c r="K1031" s="13" t="n">
        <f aca="false">H1031+I1031</f>
        <v>0.9178596</v>
      </c>
      <c r="L1031" s="13" t="n">
        <f aca="false">MAX(0,D1031-K1031)</f>
        <v>3.5371404</v>
      </c>
      <c r="M1031" s="13" t="n">
        <f aca="false">MAX(0,F1031-I1031-J1031)</f>
        <v>0</v>
      </c>
      <c r="N1031" s="13" t="n">
        <f aca="false">IF(Kalender!A299="",0,J1030-H1031)</f>
        <v>0.0055404</v>
      </c>
    </row>
    <row r="1032" customFormat="false" ht="16.4" hidden="false" customHeight="false" outlineLevel="0" collapsed="false">
      <c r="A1032" s="13" t="str">
        <f aca="false">""</f>
        <v/>
      </c>
      <c r="B1032" s="13" t="n">
        <f aca="false">296</f>
        <v>296</v>
      </c>
      <c r="C1032" s="13" t="n">
        <f aca="false">IF(Szenarien!$H$10="OK",(IFERROR(SUMIF(Nutzungsprofile!$B$6:$B$11,"Schulbetrieb",Nutzungsprofile!$G$6:$G$11)*Kalender!C300/SUM(Kalender!$C$5:$C$370),0)+IFERROR(SUMIF(Nutzungsprofile!$B$6:$B$11,"Halle",Nutzungsprofile!$G$6:$G$11)*Kalender!D300/SUM(Kalender!$D$5:$D$370),0)+IFERROR(SUMIF(Nutzungsprofile!$B$6:$B$11,"Individuell",Nutzungsprofile!$G$6:$G$11)*Kalender!E300/SUM(Kalender!$E$5:$E$370),0))*Szenarien!$E$10,0)</f>
        <v>1.08</v>
      </c>
      <c r="D1032" s="13" t="n">
        <f aca="false">IF(Szenarien!$H$10="OK",(IFERROR(SUMIF(Nutzungsprofile!$B$17:$B$22,"Schulbetrieb",Nutzungsprofile!$G$17:$G$22)*Kalender!C300/SUM(Kalender!$C$5:$C$370),0)+IFERROR(SUMIF(Nutzungsprofile!$B$17:$B$22,"Halle",Nutzungsprofile!$G$17:$G$22)*Kalender!D300/SUM(Kalender!$D$5:$D$370),0)+IFERROR(SUMIF(Nutzungsprofile!$B$17:$B$22,"Individuell",Nutzungsprofile!$G$17:$G$22)*Kalender!E300/SUM(Kalender!$E$5:$E$370),0))*Szenarien!$D$10,0)</f>
        <v>4.455</v>
      </c>
      <c r="E1032" s="13" t="n">
        <f aca="false">IFERROR(MIN(C1032,Eingaben!$B$17)*Eingaben!$B$16,0)</f>
        <v>1.026</v>
      </c>
      <c r="F1032" s="13" t="n">
        <f aca="false">IFERROR(E1032*Eingaben!$B$15,0)</f>
        <v>0.9234</v>
      </c>
      <c r="G1032" s="13" t="n">
        <f aca="false">IFERROR(IF(Kalender!A300="",0,J1031*(1-Eingaben!$B$20)),0)</f>
        <v>0.2714796</v>
      </c>
      <c r="H1032" s="13" t="n">
        <f aca="false">MIN(G1032,D1032)</f>
        <v>0.2714796</v>
      </c>
      <c r="I1032" s="13" t="n">
        <f aca="false">IFERROR(MIN(F1032*Eingaben!$B$19,MAX(0,D1032-H1032)),0)</f>
        <v>0.64638</v>
      </c>
      <c r="J1032" s="13" t="n">
        <f aca="false">IFERROR(MIN(Eingaben!$B$18,MAX(0,F1032-I1032)),0)</f>
        <v>0.27702</v>
      </c>
      <c r="K1032" s="13" t="n">
        <f aca="false">H1032+I1032</f>
        <v>0.9178596</v>
      </c>
      <c r="L1032" s="13" t="n">
        <f aca="false">MAX(0,D1032-K1032)</f>
        <v>3.5371404</v>
      </c>
      <c r="M1032" s="13" t="n">
        <f aca="false">MAX(0,F1032-I1032-J1032)</f>
        <v>0</v>
      </c>
      <c r="N1032" s="13" t="n">
        <f aca="false">IF(Kalender!A300="",0,J1031-H1032)</f>
        <v>0.0055404</v>
      </c>
    </row>
    <row r="1033" customFormat="false" ht="16.4" hidden="false" customHeight="false" outlineLevel="0" collapsed="false">
      <c r="A1033" s="13" t="str">
        <f aca="false">""</f>
        <v/>
      </c>
      <c r="B1033" s="13" t="n">
        <f aca="false">297</f>
        <v>297</v>
      </c>
      <c r="C1033" s="13" t="n">
        <f aca="false">IF(Szenarien!$H$10="OK",(IFERROR(SUMIF(Nutzungsprofile!$B$6:$B$11,"Schulbetrieb",Nutzungsprofile!$G$6:$G$11)*Kalender!C301/SUM(Kalender!$C$5:$C$370),0)+IFERROR(SUMIF(Nutzungsprofile!$B$6:$B$11,"Halle",Nutzungsprofile!$G$6:$G$11)*Kalender!D301/SUM(Kalender!$D$5:$D$370),0)+IFERROR(SUMIF(Nutzungsprofile!$B$6:$B$11,"Individuell",Nutzungsprofile!$G$6:$G$11)*Kalender!E301/SUM(Kalender!$E$5:$E$370),0))*Szenarien!$E$10,0)</f>
        <v>0</v>
      </c>
      <c r="D1033" s="13" t="n">
        <f aca="false">IF(Szenarien!$H$10="OK",(IFERROR(SUMIF(Nutzungsprofile!$B$17:$B$22,"Schulbetrieb",Nutzungsprofile!$G$17:$G$22)*Kalender!C301/SUM(Kalender!$C$5:$C$370),0)+IFERROR(SUMIF(Nutzungsprofile!$B$17:$B$22,"Halle",Nutzungsprofile!$G$17:$G$22)*Kalender!D301/SUM(Kalender!$D$5:$D$370),0)+IFERROR(SUMIF(Nutzungsprofile!$B$17:$B$22,"Individuell",Nutzungsprofile!$G$17:$G$22)*Kalender!E301/SUM(Kalender!$E$5:$E$370),0))*Szenarien!$D$10,0)</f>
        <v>0</v>
      </c>
      <c r="E1033" s="13" t="n">
        <f aca="false">IFERROR(MIN(C1033,Eingaben!$B$17)*Eingaben!$B$16,0)</f>
        <v>0</v>
      </c>
      <c r="F1033" s="13" t="n">
        <f aca="false">IFERROR(E1033*Eingaben!$B$15,0)</f>
        <v>0</v>
      </c>
      <c r="G1033" s="13" t="n">
        <f aca="false">IFERROR(IF(Kalender!A301="",0,J1032*(1-Eingaben!$B$20)),0)</f>
        <v>0.2714796</v>
      </c>
      <c r="H1033" s="13" t="n">
        <f aca="false">MIN(G1033,D1033)</f>
        <v>0</v>
      </c>
      <c r="I1033" s="13" t="n">
        <f aca="false">IFERROR(MIN(F1033*Eingaben!$B$19,MAX(0,D1033-H1033)),0)</f>
        <v>0</v>
      </c>
      <c r="J1033" s="13" t="n">
        <f aca="false">IFERROR(MIN(Eingaben!$B$18,MAX(0,F1033-I1033)),0)</f>
        <v>0</v>
      </c>
      <c r="K1033" s="13" t="n">
        <f aca="false">H1033+I1033</f>
        <v>0</v>
      </c>
      <c r="L1033" s="13" t="n">
        <f aca="false">MAX(0,D1033-K1033)</f>
        <v>0</v>
      </c>
      <c r="M1033" s="13" t="n">
        <f aca="false">MAX(0,F1033-I1033-J1033)</f>
        <v>0</v>
      </c>
      <c r="N1033" s="13" t="n">
        <f aca="false">IF(Kalender!A301="",0,J1032-H1033)</f>
        <v>0.27702</v>
      </c>
    </row>
    <row r="1034" customFormat="false" ht="16.4" hidden="false" customHeight="false" outlineLevel="0" collapsed="false">
      <c r="A1034" s="13" t="str">
        <f aca="false">""</f>
        <v/>
      </c>
      <c r="B1034" s="13" t="n">
        <f aca="false">298</f>
        <v>298</v>
      </c>
      <c r="C1034" s="13" t="n">
        <f aca="false">IF(Szenarien!$H$10="OK",(IFERROR(SUMIF(Nutzungsprofile!$B$6:$B$11,"Schulbetrieb",Nutzungsprofile!$G$6:$G$11)*Kalender!C302/SUM(Kalender!$C$5:$C$370),0)+IFERROR(SUMIF(Nutzungsprofile!$B$6:$B$11,"Halle",Nutzungsprofile!$G$6:$G$11)*Kalender!D302/SUM(Kalender!$D$5:$D$370),0)+IFERROR(SUMIF(Nutzungsprofile!$B$6:$B$11,"Individuell",Nutzungsprofile!$G$6:$G$11)*Kalender!E302/SUM(Kalender!$E$5:$E$370),0))*Szenarien!$E$10,0)</f>
        <v>0</v>
      </c>
      <c r="D1034" s="13" t="n">
        <f aca="false">IF(Szenarien!$H$10="OK",(IFERROR(SUMIF(Nutzungsprofile!$B$17:$B$22,"Schulbetrieb",Nutzungsprofile!$G$17:$G$22)*Kalender!C302/SUM(Kalender!$C$5:$C$370),0)+IFERROR(SUMIF(Nutzungsprofile!$B$17:$B$22,"Halle",Nutzungsprofile!$G$17:$G$22)*Kalender!D302/SUM(Kalender!$D$5:$D$370),0)+IFERROR(SUMIF(Nutzungsprofile!$B$17:$B$22,"Individuell",Nutzungsprofile!$G$17:$G$22)*Kalender!E302/SUM(Kalender!$E$5:$E$370),0))*Szenarien!$D$10,0)</f>
        <v>0</v>
      </c>
      <c r="E1034" s="13" t="n">
        <f aca="false">IFERROR(MIN(C1034,Eingaben!$B$17)*Eingaben!$B$16,0)</f>
        <v>0</v>
      </c>
      <c r="F1034" s="13" t="n">
        <f aca="false">IFERROR(E1034*Eingaben!$B$15,0)</f>
        <v>0</v>
      </c>
      <c r="G1034" s="13" t="n">
        <f aca="false">IFERROR(IF(Kalender!A302="",0,J1033*(1-Eingaben!$B$20)),0)</f>
        <v>0</v>
      </c>
      <c r="H1034" s="13" t="n">
        <f aca="false">MIN(G1034,D1034)</f>
        <v>0</v>
      </c>
      <c r="I1034" s="13" t="n">
        <f aca="false">IFERROR(MIN(F1034*Eingaben!$B$19,MAX(0,D1034-H1034)),0)</f>
        <v>0</v>
      </c>
      <c r="J1034" s="13" t="n">
        <f aca="false">IFERROR(MIN(Eingaben!$B$18,MAX(0,F1034-I1034)),0)</f>
        <v>0</v>
      </c>
      <c r="K1034" s="13" t="n">
        <f aca="false">H1034+I1034</f>
        <v>0</v>
      </c>
      <c r="L1034" s="13" t="n">
        <f aca="false">MAX(0,D1034-K1034)</f>
        <v>0</v>
      </c>
      <c r="M1034" s="13" t="n">
        <f aca="false">MAX(0,F1034-I1034-J1034)</f>
        <v>0</v>
      </c>
      <c r="N1034" s="13" t="n">
        <f aca="false">IF(Kalender!A302="",0,J1033-H1034)</f>
        <v>0</v>
      </c>
    </row>
    <row r="1035" customFormat="false" ht="16.4" hidden="false" customHeight="false" outlineLevel="0" collapsed="false">
      <c r="A1035" s="13" t="str">
        <f aca="false">""</f>
        <v/>
      </c>
      <c r="B1035" s="13" t="n">
        <f aca="false">299</f>
        <v>299</v>
      </c>
      <c r="C1035" s="13" t="n">
        <f aca="false">IF(Szenarien!$H$10="OK",(IFERROR(SUMIF(Nutzungsprofile!$B$6:$B$11,"Schulbetrieb",Nutzungsprofile!$G$6:$G$11)*Kalender!C303/SUM(Kalender!$C$5:$C$370),0)+IFERROR(SUMIF(Nutzungsprofile!$B$6:$B$11,"Halle",Nutzungsprofile!$G$6:$G$11)*Kalender!D303/SUM(Kalender!$D$5:$D$370),0)+IFERROR(SUMIF(Nutzungsprofile!$B$6:$B$11,"Individuell",Nutzungsprofile!$G$6:$G$11)*Kalender!E303/SUM(Kalender!$E$5:$E$370),0))*Szenarien!$E$10,0)</f>
        <v>1.08</v>
      </c>
      <c r="D1035" s="13" t="n">
        <f aca="false">IF(Szenarien!$H$10="OK",(IFERROR(SUMIF(Nutzungsprofile!$B$17:$B$22,"Schulbetrieb",Nutzungsprofile!$G$17:$G$22)*Kalender!C303/SUM(Kalender!$C$5:$C$370),0)+IFERROR(SUMIF(Nutzungsprofile!$B$17:$B$22,"Halle",Nutzungsprofile!$G$17:$G$22)*Kalender!D303/SUM(Kalender!$D$5:$D$370),0)+IFERROR(SUMIF(Nutzungsprofile!$B$17:$B$22,"Individuell",Nutzungsprofile!$G$17:$G$22)*Kalender!E303/SUM(Kalender!$E$5:$E$370),0))*Szenarien!$D$10,0)</f>
        <v>4.455</v>
      </c>
      <c r="E1035" s="13" t="n">
        <f aca="false">IFERROR(MIN(C1035,Eingaben!$B$17)*Eingaben!$B$16,0)</f>
        <v>1.026</v>
      </c>
      <c r="F1035" s="13" t="n">
        <f aca="false">IFERROR(E1035*Eingaben!$B$15,0)</f>
        <v>0.9234</v>
      </c>
      <c r="G1035" s="13" t="n">
        <f aca="false">IFERROR(IF(Kalender!A303="",0,J1034*(1-Eingaben!$B$20)),0)</f>
        <v>0</v>
      </c>
      <c r="H1035" s="13" t="n">
        <f aca="false">MIN(G1035,D1035)</f>
        <v>0</v>
      </c>
      <c r="I1035" s="13" t="n">
        <f aca="false">IFERROR(MIN(F1035*Eingaben!$B$19,MAX(0,D1035-H1035)),0)</f>
        <v>0.64638</v>
      </c>
      <c r="J1035" s="13" t="n">
        <f aca="false">IFERROR(MIN(Eingaben!$B$18,MAX(0,F1035-I1035)),0)</f>
        <v>0.27702</v>
      </c>
      <c r="K1035" s="13" t="n">
        <f aca="false">H1035+I1035</f>
        <v>0.64638</v>
      </c>
      <c r="L1035" s="13" t="n">
        <f aca="false">MAX(0,D1035-K1035)</f>
        <v>3.80862</v>
      </c>
      <c r="M1035" s="13" t="n">
        <f aca="false">MAX(0,F1035-I1035-J1035)</f>
        <v>0</v>
      </c>
      <c r="N1035" s="13" t="n">
        <f aca="false">IF(Kalender!A303="",0,J1034-H1035)</f>
        <v>0</v>
      </c>
    </row>
    <row r="1036" customFormat="false" ht="16.4" hidden="false" customHeight="false" outlineLevel="0" collapsed="false">
      <c r="A1036" s="13" t="str">
        <f aca="false">""</f>
        <v/>
      </c>
      <c r="B1036" s="13" t="n">
        <f aca="false">300</f>
        <v>300</v>
      </c>
      <c r="C1036" s="13" t="n">
        <f aca="false">IF(Szenarien!$H$10="OK",(IFERROR(SUMIF(Nutzungsprofile!$B$6:$B$11,"Schulbetrieb",Nutzungsprofile!$G$6:$G$11)*Kalender!C304/SUM(Kalender!$C$5:$C$370),0)+IFERROR(SUMIF(Nutzungsprofile!$B$6:$B$11,"Halle",Nutzungsprofile!$G$6:$G$11)*Kalender!D304/SUM(Kalender!$D$5:$D$370),0)+IFERROR(SUMIF(Nutzungsprofile!$B$6:$B$11,"Individuell",Nutzungsprofile!$G$6:$G$11)*Kalender!E304/SUM(Kalender!$E$5:$E$370),0))*Szenarien!$E$10,0)</f>
        <v>1.08</v>
      </c>
      <c r="D1036" s="13" t="n">
        <f aca="false">IF(Szenarien!$H$10="OK",(IFERROR(SUMIF(Nutzungsprofile!$B$17:$B$22,"Schulbetrieb",Nutzungsprofile!$G$17:$G$22)*Kalender!C304/SUM(Kalender!$C$5:$C$370),0)+IFERROR(SUMIF(Nutzungsprofile!$B$17:$B$22,"Halle",Nutzungsprofile!$G$17:$G$22)*Kalender!D304/SUM(Kalender!$D$5:$D$370),0)+IFERROR(SUMIF(Nutzungsprofile!$B$17:$B$22,"Individuell",Nutzungsprofile!$G$17:$G$22)*Kalender!E304/SUM(Kalender!$E$5:$E$370),0))*Szenarien!$D$10,0)</f>
        <v>4.455</v>
      </c>
      <c r="E1036" s="13" t="n">
        <f aca="false">IFERROR(MIN(C1036,Eingaben!$B$17)*Eingaben!$B$16,0)</f>
        <v>1.026</v>
      </c>
      <c r="F1036" s="13" t="n">
        <f aca="false">IFERROR(E1036*Eingaben!$B$15,0)</f>
        <v>0.9234</v>
      </c>
      <c r="G1036" s="13" t="n">
        <f aca="false">IFERROR(IF(Kalender!A304="",0,J1035*(1-Eingaben!$B$20)),0)</f>
        <v>0.2714796</v>
      </c>
      <c r="H1036" s="13" t="n">
        <f aca="false">MIN(G1036,D1036)</f>
        <v>0.2714796</v>
      </c>
      <c r="I1036" s="13" t="n">
        <f aca="false">IFERROR(MIN(F1036*Eingaben!$B$19,MAX(0,D1036-H1036)),0)</f>
        <v>0.64638</v>
      </c>
      <c r="J1036" s="13" t="n">
        <f aca="false">IFERROR(MIN(Eingaben!$B$18,MAX(0,F1036-I1036)),0)</f>
        <v>0.27702</v>
      </c>
      <c r="K1036" s="13" t="n">
        <f aca="false">H1036+I1036</f>
        <v>0.9178596</v>
      </c>
      <c r="L1036" s="13" t="n">
        <f aca="false">MAX(0,D1036-K1036)</f>
        <v>3.5371404</v>
      </c>
      <c r="M1036" s="13" t="n">
        <f aca="false">MAX(0,F1036-I1036-J1036)</f>
        <v>0</v>
      </c>
      <c r="N1036" s="13" t="n">
        <f aca="false">IF(Kalender!A304="",0,J1035-H1036)</f>
        <v>0.0055404</v>
      </c>
    </row>
    <row r="1037" customFormat="false" ht="16.4" hidden="false" customHeight="false" outlineLevel="0" collapsed="false">
      <c r="A1037" s="13" t="str">
        <f aca="false">""</f>
        <v/>
      </c>
      <c r="B1037" s="13" t="n">
        <f aca="false">301</f>
        <v>301</v>
      </c>
      <c r="C1037" s="13" t="n">
        <f aca="false">IF(Szenarien!$H$10="OK",(IFERROR(SUMIF(Nutzungsprofile!$B$6:$B$11,"Schulbetrieb",Nutzungsprofile!$G$6:$G$11)*Kalender!C305/SUM(Kalender!$C$5:$C$370),0)+IFERROR(SUMIF(Nutzungsprofile!$B$6:$B$11,"Halle",Nutzungsprofile!$G$6:$G$11)*Kalender!D305/SUM(Kalender!$D$5:$D$370),0)+IFERROR(SUMIF(Nutzungsprofile!$B$6:$B$11,"Individuell",Nutzungsprofile!$G$6:$G$11)*Kalender!E305/SUM(Kalender!$E$5:$E$370),0))*Szenarien!$E$10,0)</f>
        <v>1.08</v>
      </c>
      <c r="D1037" s="13" t="n">
        <f aca="false">IF(Szenarien!$H$10="OK",(IFERROR(SUMIF(Nutzungsprofile!$B$17:$B$22,"Schulbetrieb",Nutzungsprofile!$G$17:$G$22)*Kalender!C305/SUM(Kalender!$C$5:$C$370),0)+IFERROR(SUMIF(Nutzungsprofile!$B$17:$B$22,"Halle",Nutzungsprofile!$G$17:$G$22)*Kalender!D305/SUM(Kalender!$D$5:$D$370),0)+IFERROR(SUMIF(Nutzungsprofile!$B$17:$B$22,"Individuell",Nutzungsprofile!$G$17:$G$22)*Kalender!E305/SUM(Kalender!$E$5:$E$370),0))*Szenarien!$D$10,0)</f>
        <v>4.455</v>
      </c>
      <c r="E1037" s="13" t="n">
        <f aca="false">IFERROR(MIN(C1037,Eingaben!$B$17)*Eingaben!$B$16,0)</f>
        <v>1.026</v>
      </c>
      <c r="F1037" s="13" t="n">
        <f aca="false">IFERROR(E1037*Eingaben!$B$15,0)</f>
        <v>0.9234</v>
      </c>
      <c r="G1037" s="13" t="n">
        <f aca="false">IFERROR(IF(Kalender!A305="",0,J1036*(1-Eingaben!$B$20)),0)</f>
        <v>0.2714796</v>
      </c>
      <c r="H1037" s="13" t="n">
        <f aca="false">MIN(G1037,D1037)</f>
        <v>0.2714796</v>
      </c>
      <c r="I1037" s="13" t="n">
        <f aca="false">IFERROR(MIN(F1037*Eingaben!$B$19,MAX(0,D1037-H1037)),0)</f>
        <v>0.64638</v>
      </c>
      <c r="J1037" s="13" t="n">
        <f aca="false">IFERROR(MIN(Eingaben!$B$18,MAX(0,F1037-I1037)),0)</f>
        <v>0.27702</v>
      </c>
      <c r="K1037" s="13" t="n">
        <f aca="false">H1037+I1037</f>
        <v>0.9178596</v>
      </c>
      <c r="L1037" s="13" t="n">
        <f aca="false">MAX(0,D1037-K1037)</f>
        <v>3.5371404</v>
      </c>
      <c r="M1037" s="13" t="n">
        <f aca="false">MAX(0,F1037-I1037-J1037)</f>
        <v>0</v>
      </c>
      <c r="N1037" s="13" t="n">
        <f aca="false">IF(Kalender!A305="",0,J1036-H1037)</f>
        <v>0.0055404</v>
      </c>
    </row>
    <row r="1038" customFormat="false" ht="16.4" hidden="false" customHeight="false" outlineLevel="0" collapsed="false">
      <c r="A1038" s="13" t="str">
        <f aca="false">""</f>
        <v/>
      </c>
      <c r="B1038" s="13" t="n">
        <f aca="false">302</f>
        <v>302</v>
      </c>
      <c r="C1038" s="13" t="n">
        <f aca="false">IF(Szenarien!$H$10="OK",(IFERROR(SUMIF(Nutzungsprofile!$B$6:$B$11,"Schulbetrieb",Nutzungsprofile!$G$6:$G$11)*Kalender!C306/SUM(Kalender!$C$5:$C$370),0)+IFERROR(SUMIF(Nutzungsprofile!$B$6:$B$11,"Halle",Nutzungsprofile!$G$6:$G$11)*Kalender!D306/SUM(Kalender!$D$5:$D$370),0)+IFERROR(SUMIF(Nutzungsprofile!$B$6:$B$11,"Individuell",Nutzungsprofile!$G$6:$G$11)*Kalender!E306/SUM(Kalender!$E$5:$E$370),0))*Szenarien!$E$10,0)</f>
        <v>1.08</v>
      </c>
      <c r="D1038" s="13" t="n">
        <f aca="false">IF(Szenarien!$H$10="OK",(IFERROR(SUMIF(Nutzungsprofile!$B$17:$B$22,"Schulbetrieb",Nutzungsprofile!$G$17:$G$22)*Kalender!C306/SUM(Kalender!$C$5:$C$370),0)+IFERROR(SUMIF(Nutzungsprofile!$B$17:$B$22,"Halle",Nutzungsprofile!$G$17:$G$22)*Kalender!D306/SUM(Kalender!$D$5:$D$370),0)+IFERROR(SUMIF(Nutzungsprofile!$B$17:$B$22,"Individuell",Nutzungsprofile!$G$17:$G$22)*Kalender!E306/SUM(Kalender!$E$5:$E$370),0))*Szenarien!$D$10,0)</f>
        <v>4.455</v>
      </c>
      <c r="E1038" s="13" t="n">
        <f aca="false">IFERROR(MIN(C1038,Eingaben!$B$17)*Eingaben!$B$16,0)</f>
        <v>1.026</v>
      </c>
      <c r="F1038" s="13" t="n">
        <f aca="false">IFERROR(E1038*Eingaben!$B$15,0)</f>
        <v>0.9234</v>
      </c>
      <c r="G1038" s="13" t="n">
        <f aca="false">IFERROR(IF(Kalender!A306="",0,J1037*(1-Eingaben!$B$20)),0)</f>
        <v>0.2714796</v>
      </c>
      <c r="H1038" s="13" t="n">
        <f aca="false">MIN(G1038,D1038)</f>
        <v>0.2714796</v>
      </c>
      <c r="I1038" s="13" t="n">
        <f aca="false">IFERROR(MIN(F1038*Eingaben!$B$19,MAX(0,D1038-H1038)),0)</f>
        <v>0.64638</v>
      </c>
      <c r="J1038" s="13" t="n">
        <f aca="false">IFERROR(MIN(Eingaben!$B$18,MAX(0,F1038-I1038)),0)</f>
        <v>0.27702</v>
      </c>
      <c r="K1038" s="13" t="n">
        <f aca="false">H1038+I1038</f>
        <v>0.9178596</v>
      </c>
      <c r="L1038" s="13" t="n">
        <f aca="false">MAX(0,D1038-K1038)</f>
        <v>3.5371404</v>
      </c>
      <c r="M1038" s="13" t="n">
        <f aca="false">MAX(0,F1038-I1038-J1038)</f>
        <v>0</v>
      </c>
      <c r="N1038" s="13" t="n">
        <f aca="false">IF(Kalender!A306="",0,J1037-H1038)</f>
        <v>0.0055404</v>
      </c>
    </row>
    <row r="1039" customFormat="false" ht="16.4" hidden="false" customHeight="false" outlineLevel="0" collapsed="false">
      <c r="A1039" s="13" t="str">
        <f aca="false">""</f>
        <v/>
      </c>
      <c r="B1039" s="13" t="n">
        <f aca="false">303</f>
        <v>303</v>
      </c>
      <c r="C1039" s="13" t="n">
        <f aca="false">IF(Szenarien!$H$10="OK",(IFERROR(SUMIF(Nutzungsprofile!$B$6:$B$11,"Schulbetrieb",Nutzungsprofile!$G$6:$G$11)*Kalender!C307/SUM(Kalender!$C$5:$C$370),0)+IFERROR(SUMIF(Nutzungsprofile!$B$6:$B$11,"Halle",Nutzungsprofile!$G$6:$G$11)*Kalender!D307/SUM(Kalender!$D$5:$D$370),0)+IFERROR(SUMIF(Nutzungsprofile!$B$6:$B$11,"Individuell",Nutzungsprofile!$G$6:$G$11)*Kalender!E307/SUM(Kalender!$E$5:$E$370),0))*Szenarien!$E$10,0)</f>
        <v>1.08</v>
      </c>
      <c r="D1039" s="13" t="n">
        <f aca="false">IF(Szenarien!$H$10="OK",(IFERROR(SUMIF(Nutzungsprofile!$B$17:$B$22,"Schulbetrieb",Nutzungsprofile!$G$17:$G$22)*Kalender!C307/SUM(Kalender!$C$5:$C$370),0)+IFERROR(SUMIF(Nutzungsprofile!$B$17:$B$22,"Halle",Nutzungsprofile!$G$17:$G$22)*Kalender!D307/SUM(Kalender!$D$5:$D$370),0)+IFERROR(SUMIF(Nutzungsprofile!$B$17:$B$22,"Individuell",Nutzungsprofile!$G$17:$G$22)*Kalender!E307/SUM(Kalender!$E$5:$E$370),0))*Szenarien!$D$10,0)</f>
        <v>4.455</v>
      </c>
      <c r="E1039" s="13" t="n">
        <f aca="false">IFERROR(MIN(C1039,Eingaben!$B$17)*Eingaben!$B$16,0)</f>
        <v>1.026</v>
      </c>
      <c r="F1039" s="13" t="n">
        <f aca="false">IFERROR(E1039*Eingaben!$B$15,0)</f>
        <v>0.9234</v>
      </c>
      <c r="G1039" s="13" t="n">
        <f aca="false">IFERROR(IF(Kalender!A307="",0,J1038*(1-Eingaben!$B$20)),0)</f>
        <v>0.2714796</v>
      </c>
      <c r="H1039" s="13" t="n">
        <f aca="false">MIN(G1039,D1039)</f>
        <v>0.2714796</v>
      </c>
      <c r="I1039" s="13" t="n">
        <f aca="false">IFERROR(MIN(F1039*Eingaben!$B$19,MAX(0,D1039-H1039)),0)</f>
        <v>0.64638</v>
      </c>
      <c r="J1039" s="13" t="n">
        <f aca="false">IFERROR(MIN(Eingaben!$B$18,MAX(0,F1039-I1039)),0)</f>
        <v>0.27702</v>
      </c>
      <c r="K1039" s="13" t="n">
        <f aca="false">H1039+I1039</f>
        <v>0.9178596</v>
      </c>
      <c r="L1039" s="13" t="n">
        <f aca="false">MAX(0,D1039-K1039)</f>
        <v>3.5371404</v>
      </c>
      <c r="M1039" s="13" t="n">
        <f aca="false">MAX(0,F1039-I1039-J1039)</f>
        <v>0</v>
      </c>
      <c r="N1039" s="13" t="n">
        <f aca="false">IF(Kalender!A307="",0,J1038-H1039)</f>
        <v>0.0055404</v>
      </c>
    </row>
    <row r="1040" customFormat="false" ht="16.4" hidden="false" customHeight="false" outlineLevel="0" collapsed="false">
      <c r="A1040" s="13" t="str">
        <f aca="false">""</f>
        <v/>
      </c>
      <c r="B1040" s="13" t="n">
        <f aca="false">304</f>
        <v>304</v>
      </c>
      <c r="C1040" s="13" t="n">
        <f aca="false">IF(Szenarien!$H$10="OK",(IFERROR(SUMIF(Nutzungsprofile!$B$6:$B$11,"Schulbetrieb",Nutzungsprofile!$G$6:$G$11)*Kalender!C308/SUM(Kalender!$C$5:$C$370),0)+IFERROR(SUMIF(Nutzungsprofile!$B$6:$B$11,"Halle",Nutzungsprofile!$G$6:$G$11)*Kalender!D308/SUM(Kalender!$D$5:$D$370),0)+IFERROR(SUMIF(Nutzungsprofile!$B$6:$B$11,"Individuell",Nutzungsprofile!$G$6:$G$11)*Kalender!E308/SUM(Kalender!$E$5:$E$370),0))*Szenarien!$E$10,0)</f>
        <v>0</v>
      </c>
      <c r="D1040" s="13" t="n">
        <f aca="false">IF(Szenarien!$H$10="OK",(IFERROR(SUMIF(Nutzungsprofile!$B$17:$B$22,"Schulbetrieb",Nutzungsprofile!$G$17:$G$22)*Kalender!C308/SUM(Kalender!$C$5:$C$370),0)+IFERROR(SUMIF(Nutzungsprofile!$B$17:$B$22,"Halle",Nutzungsprofile!$G$17:$G$22)*Kalender!D308/SUM(Kalender!$D$5:$D$370),0)+IFERROR(SUMIF(Nutzungsprofile!$B$17:$B$22,"Individuell",Nutzungsprofile!$G$17:$G$22)*Kalender!E308/SUM(Kalender!$E$5:$E$370),0))*Szenarien!$D$10,0)</f>
        <v>0</v>
      </c>
      <c r="E1040" s="13" t="n">
        <f aca="false">IFERROR(MIN(C1040,Eingaben!$B$17)*Eingaben!$B$16,0)</f>
        <v>0</v>
      </c>
      <c r="F1040" s="13" t="n">
        <f aca="false">IFERROR(E1040*Eingaben!$B$15,0)</f>
        <v>0</v>
      </c>
      <c r="G1040" s="13" t="n">
        <f aca="false">IFERROR(IF(Kalender!A308="",0,J1039*(1-Eingaben!$B$20)),0)</f>
        <v>0.2714796</v>
      </c>
      <c r="H1040" s="13" t="n">
        <f aca="false">MIN(G1040,D1040)</f>
        <v>0</v>
      </c>
      <c r="I1040" s="13" t="n">
        <f aca="false">IFERROR(MIN(F1040*Eingaben!$B$19,MAX(0,D1040-H1040)),0)</f>
        <v>0</v>
      </c>
      <c r="J1040" s="13" t="n">
        <f aca="false">IFERROR(MIN(Eingaben!$B$18,MAX(0,F1040-I1040)),0)</f>
        <v>0</v>
      </c>
      <c r="K1040" s="13" t="n">
        <f aca="false">H1040+I1040</f>
        <v>0</v>
      </c>
      <c r="L1040" s="13" t="n">
        <f aca="false">MAX(0,D1040-K1040)</f>
        <v>0</v>
      </c>
      <c r="M1040" s="13" t="n">
        <f aca="false">MAX(0,F1040-I1040-J1040)</f>
        <v>0</v>
      </c>
      <c r="N1040" s="13" t="n">
        <f aca="false">IF(Kalender!A308="",0,J1039-H1040)</f>
        <v>0.27702</v>
      </c>
    </row>
    <row r="1041" customFormat="false" ht="16.4" hidden="false" customHeight="false" outlineLevel="0" collapsed="false">
      <c r="A1041" s="13" t="str">
        <f aca="false">""</f>
        <v/>
      </c>
      <c r="B1041" s="13" t="n">
        <f aca="false">305</f>
        <v>305</v>
      </c>
      <c r="C1041" s="13" t="n">
        <f aca="false">IF(Szenarien!$H$10="OK",(IFERROR(SUMIF(Nutzungsprofile!$B$6:$B$11,"Schulbetrieb",Nutzungsprofile!$G$6:$G$11)*Kalender!C309/SUM(Kalender!$C$5:$C$370),0)+IFERROR(SUMIF(Nutzungsprofile!$B$6:$B$11,"Halle",Nutzungsprofile!$G$6:$G$11)*Kalender!D309/SUM(Kalender!$D$5:$D$370),0)+IFERROR(SUMIF(Nutzungsprofile!$B$6:$B$11,"Individuell",Nutzungsprofile!$G$6:$G$11)*Kalender!E309/SUM(Kalender!$E$5:$E$370),0))*Szenarien!$E$10,0)</f>
        <v>0</v>
      </c>
      <c r="D1041" s="13" t="n">
        <f aca="false">IF(Szenarien!$H$10="OK",(IFERROR(SUMIF(Nutzungsprofile!$B$17:$B$22,"Schulbetrieb",Nutzungsprofile!$G$17:$G$22)*Kalender!C309/SUM(Kalender!$C$5:$C$370),0)+IFERROR(SUMIF(Nutzungsprofile!$B$17:$B$22,"Halle",Nutzungsprofile!$G$17:$G$22)*Kalender!D309/SUM(Kalender!$D$5:$D$370),0)+IFERROR(SUMIF(Nutzungsprofile!$B$17:$B$22,"Individuell",Nutzungsprofile!$G$17:$G$22)*Kalender!E309/SUM(Kalender!$E$5:$E$370),0))*Szenarien!$D$10,0)</f>
        <v>0</v>
      </c>
      <c r="E1041" s="13" t="n">
        <f aca="false">IFERROR(MIN(C1041,Eingaben!$B$17)*Eingaben!$B$16,0)</f>
        <v>0</v>
      </c>
      <c r="F1041" s="13" t="n">
        <f aca="false">IFERROR(E1041*Eingaben!$B$15,0)</f>
        <v>0</v>
      </c>
      <c r="G1041" s="13" t="n">
        <f aca="false">IFERROR(IF(Kalender!A309="",0,J1040*(1-Eingaben!$B$20)),0)</f>
        <v>0</v>
      </c>
      <c r="H1041" s="13" t="n">
        <f aca="false">MIN(G1041,D1041)</f>
        <v>0</v>
      </c>
      <c r="I1041" s="13" t="n">
        <f aca="false">IFERROR(MIN(F1041*Eingaben!$B$19,MAX(0,D1041-H1041)),0)</f>
        <v>0</v>
      </c>
      <c r="J1041" s="13" t="n">
        <f aca="false">IFERROR(MIN(Eingaben!$B$18,MAX(0,F1041-I1041)),0)</f>
        <v>0</v>
      </c>
      <c r="K1041" s="13" t="n">
        <f aca="false">H1041+I1041</f>
        <v>0</v>
      </c>
      <c r="L1041" s="13" t="n">
        <f aca="false">MAX(0,D1041-K1041)</f>
        <v>0</v>
      </c>
      <c r="M1041" s="13" t="n">
        <f aca="false">MAX(0,F1041-I1041-J1041)</f>
        <v>0</v>
      </c>
      <c r="N1041" s="13" t="n">
        <f aca="false">IF(Kalender!A309="",0,J1040-H1041)</f>
        <v>0</v>
      </c>
    </row>
    <row r="1042" customFormat="false" ht="16.4" hidden="false" customHeight="false" outlineLevel="0" collapsed="false">
      <c r="A1042" s="13" t="str">
        <f aca="false">""</f>
        <v/>
      </c>
      <c r="B1042" s="13" t="n">
        <f aca="false">306</f>
        <v>306</v>
      </c>
      <c r="C1042" s="13" t="n">
        <f aca="false">IF(Szenarien!$H$10="OK",(IFERROR(SUMIF(Nutzungsprofile!$B$6:$B$11,"Schulbetrieb",Nutzungsprofile!$G$6:$G$11)*Kalender!C310/SUM(Kalender!$C$5:$C$370),0)+IFERROR(SUMIF(Nutzungsprofile!$B$6:$B$11,"Halle",Nutzungsprofile!$G$6:$G$11)*Kalender!D310/SUM(Kalender!$D$5:$D$370),0)+IFERROR(SUMIF(Nutzungsprofile!$B$6:$B$11,"Individuell",Nutzungsprofile!$G$6:$G$11)*Kalender!E310/SUM(Kalender!$E$5:$E$370),0))*Szenarien!$E$10,0)</f>
        <v>1.08</v>
      </c>
      <c r="D1042" s="13" t="n">
        <f aca="false">IF(Szenarien!$H$10="OK",(IFERROR(SUMIF(Nutzungsprofile!$B$17:$B$22,"Schulbetrieb",Nutzungsprofile!$G$17:$G$22)*Kalender!C310/SUM(Kalender!$C$5:$C$370),0)+IFERROR(SUMIF(Nutzungsprofile!$B$17:$B$22,"Halle",Nutzungsprofile!$G$17:$G$22)*Kalender!D310/SUM(Kalender!$D$5:$D$370),0)+IFERROR(SUMIF(Nutzungsprofile!$B$17:$B$22,"Individuell",Nutzungsprofile!$G$17:$G$22)*Kalender!E310/SUM(Kalender!$E$5:$E$370),0))*Szenarien!$D$10,0)</f>
        <v>4.455</v>
      </c>
      <c r="E1042" s="13" t="n">
        <f aca="false">IFERROR(MIN(C1042,Eingaben!$B$17)*Eingaben!$B$16,0)</f>
        <v>1.026</v>
      </c>
      <c r="F1042" s="13" t="n">
        <f aca="false">IFERROR(E1042*Eingaben!$B$15,0)</f>
        <v>0.9234</v>
      </c>
      <c r="G1042" s="13" t="n">
        <f aca="false">IFERROR(IF(Kalender!A310="",0,J1041*(1-Eingaben!$B$20)),0)</f>
        <v>0</v>
      </c>
      <c r="H1042" s="13" t="n">
        <f aca="false">MIN(G1042,D1042)</f>
        <v>0</v>
      </c>
      <c r="I1042" s="13" t="n">
        <f aca="false">IFERROR(MIN(F1042*Eingaben!$B$19,MAX(0,D1042-H1042)),0)</f>
        <v>0.64638</v>
      </c>
      <c r="J1042" s="13" t="n">
        <f aca="false">IFERROR(MIN(Eingaben!$B$18,MAX(0,F1042-I1042)),0)</f>
        <v>0.27702</v>
      </c>
      <c r="K1042" s="13" t="n">
        <f aca="false">H1042+I1042</f>
        <v>0.64638</v>
      </c>
      <c r="L1042" s="13" t="n">
        <f aca="false">MAX(0,D1042-K1042)</f>
        <v>3.80862</v>
      </c>
      <c r="M1042" s="13" t="n">
        <f aca="false">MAX(0,F1042-I1042-J1042)</f>
        <v>0</v>
      </c>
      <c r="N1042" s="13" t="n">
        <f aca="false">IF(Kalender!A310="",0,J1041-H1042)</f>
        <v>0</v>
      </c>
    </row>
    <row r="1043" customFormat="false" ht="16.4" hidden="false" customHeight="false" outlineLevel="0" collapsed="false">
      <c r="A1043" s="13" t="str">
        <f aca="false">""</f>
        <v/>
      </c>
      <c r="B1043" s="13" t="n">
        <f aca="false">307</f>
        <v>307</v>
      </c>
      <c r="C1043" s="13" t="n">
        <f aca="false">IF(Szenarien!$H$10="OK",(IFERROR(SUMIF(Nutzungsprofile!$B$6:$B$11,"Schulbetrieb",Nutzungsprofile!$G$6:$G$11)*Kalender!C311/SUM(Kalender!$C$5:$C$370),0)+IFERROR(SUMIF(Nutzungsprofile!$B$6:$B$11,"Halle",Nutzungsprofile!$G$6:$G$11)*Kalender!D311/SUM(Kalender!$D$5:$D$370),0)+IFERROR(SUMIF(Nutzungsprofile!$B$6:$B$11,"Individuell",Nutzungsprofile!$G$6:$G$11)*Kalender!E311/SUM(Kalender!$E$5:$E$370),0))*Szenarien!$E$10,0)</f>
        <v>1.08</v>
      </c>
      <c r="D1043" s="13" t="n">
        <f aca="false">IF(Szenarien!$H$10="OK",(IFERROR(SUMIF(Nutzungsprofile!$B$17:$B$22,"Schulbetrieb",Nutzungsprofile!$G$17:$G$22)*Kalender!C311/SUM(Kalender!$C$5:$C$370),0)+IFERROR(SUMIF(Nutzungsprofile!$B$17:$B$22,"Halle",Nutzungsprofile!$G$17:$G$22)*Kalender!D311/SUM(Kalender!$D$5:$D$370),0)+IFERROR(SUMIF(Nutzungsprofile!$B$17:$B$22,"Individuell",Nutzungsprofile!$G$17:$G$22)*Kalender!E311/SUM(Kalender!$E$5:$E$370),0))*Szenarien!$D$10,0)</f>
        <v>4.455</v>
      </c>
      <c r="E1043" s="13" t="n">
        <f aca="false">IFERROR(MIN(C1043,Eingaben!$B$17)*Eingaben!$B$16,0)</f>
        <v>1.026</v>
      </c>
      <c r="F1043" s="13" t="n">
        <f aca="false">IFERROR(E1043*Eingaben!$B$15,0)</f>
        <v>0.9234</v>
      </c>
      <c r="G1043" s="13" t="n">
        <f aca="false">IFERROR(IF(Kalender!A311="",0,J1042*(1-Eingaben!$B$20)),0)</f>
        <v>0.2714796</v>
      </c>
      <c r="H1043" s="13" t="n">
        <f aca="false">MIN(G1043,D1043)</f>
        <v>0.2714796</v>
      </c>
      <c r="I1043" s="13" t="n">
        <f aca="false">IFERROR(MIN(F1043*Eingaben!$B$19,MAX(0,D1043-H1043)),0)</f>
        <v>0.64638</v>
      </c>
      <c r="J1043" s="13" t="n">
        <f aca="false">IFERROR(MIN(Eingaben!$B$18,MAX(0,F1043-I1043)),0)</f>
        <v>0.27702</v>
      </c>
      <c r="K1043" s="13" t="n">
        <f aca="false">H1043+I1043</f>
        <v>0.9178596</v>
      </c>
      <c r="L1043" s="13" t="n">
        <f aca="false">MAX(0,D1043-K1043)</f>
        <v>3.5371404</v>
      </c>
      <c r="M1043" s="13" t="n">
        <f aca="false">MAX(0,F1043-I1043-J1043)</f>
        <v>0</v>
      </c>
      <c r="N1043" s="13" t="n">
        <f aca="false">IF(Kalender!A311="",0,J1042-H1043)</f>
        <v>0.0055404</v>
      </c>
    </row>
    <row r="1044" customFormat="false" ht="16.4" hidden="false" customHeight="false" outlineLevel="0" collapsed="false">
      <c r="A1044" s="13" t="str">
        <f aca="false">""</f>
        <v/>
      </c>
      <c r="B1044" s="13" t="n">
        <f aca="false">308</f>
        <v>308</v>
      </c>
      <c r="C1044" s="13" t="n">
        <f aca="false">IF(Szenarien!$H$10="OK",(IFERROR(SUMIF(Nutzungsprofile!$B$6:$B$11,"Schulbetrieb",Nutzungsprofile!$G$6:$G$11)*Kalender!C312/SUM(Kalender!$C$5:$C$370),0)+IFERROR(SUMIF(Nutzungsprofile!$B$6:$B$11,"Halle",Nutzungsprofile!$G$6:$G$11)*Kalender!D312/SUM(Kalender!$D$5:$D$370),0)+IFERROR(SUMIF(Nutzungsprofile!$B$6:$B$11,"Individuell",Nutzungsprofile!$G$6:$G$11)*Kalender!E312/SUM(Kalender!$E$5:$E$370),0))*Szenarien!$E$10,0)</f>
        <v>1.08</v>
      </c>
      <c r="D1044" s="13" t="n">
        <f aca="false">IF(Szenarien!$H$10="OK",(IFERROR(SUMIF(Nutzungsprofile!$B$17:$B$22,"Schulbetrieb",Nutzungsprofile!$G$17:$G$22)*Kalender!C312/SUM(Kalender!$C$5:$C$370),0)+IFERROR(SUMIF(Nutzungsprofile!$B$17:$B$22,"Halle",Nutzungsprofile!$G$17:$G$22)*Kalender!D312/SUM(Kalender!$D$5:$D$370),0)+IFERROR(SUMIF(Nutzungsprofile!$B$17:$B$22,"Individuell",Nutzungsprofile!$G$17:$G$22)*Kalender!E312/SUM(Kalender!$E$5:$E$370),0))*Szenarien!$D$10,0)</f>
        <v>4.455</v>
      </c>
      <c r="E1044" s="13" t="n">
        <f aca="false">IFERROR(MIN(C1044,Eingaben!$B$17)*Eingaben!$B$16,0)</f>
        <v>1.026</v>
      </c>
      <c r="F1044" s="13" t="n">
        <f aca="false">IFERROR(E1044*Eingaben!$B$15,0)</f>
        <v>0.9234</v>
      </c>
      <c r="G1044" s="13" t="n">
        <f aca="false">IFERROR(IF(Kalender!A312="",0,J1043*(1-Eingaben!$B$20)),0)</f>
        <v>0.2714796</v>
      </c>
      <c r="H1044" s="13" t="n">
        <f aca="false">MIN(G1044,D1044)</f>
        <v>0.2714796</v>
      </c>
      <c r="I1044" s="13" t="n">
        <f aca="false">IFERROR(MIN(F1044*Eingaben!$B$19,MAX(0,D1044-H1044)),0)</f>
        <v>0.64638</v>
      </c>
      <c r="J1044" s="13" t="n">
        <f aca="false">IFERROR(MIN(Eingaben!$B$18,MAX(0,F1044-I1044)),0)</f>
        <v>0.27702</v>
      </c>
      <c r="K1044" s="13" t="n">
        <f aca="false">H1044+I1044</f>
        <v>0.9178596</v>
      </c>
      <c r="L1044" s="13" t="n">
        <f aca="false">MAX(0,D1044-K1044)</f>
        <v>3.5371404</v>
      </c>
      <c r="M1044" s="13" t="n">
        <f aca="false">MAX(0,F1044-I1044-J1044)</f>
        <v>0</v>
      </c>
      <c r="N1044" s="13" t="n">
        <f aca="false">IF(Kalender!A312="",0,J1043-H1044)</f>
        <v>0.0055404</v>
      </c>
    </row>
    <row r="1045" customFormat="false" ht="16.4" hidden="false" customHeight="false" outlineLevel="0" collapsed="false">
      <c r="A1045" s="13" t="str">
        <f aca="false">""</f>
        <v/>
      </c>
      <c r="B1045" s="13" t="n">
        <f aca="false">309</f>
        <v>309</v>
      </c>
      <c r="C1045" s="13" t="n">
        <f aca="false">IF(Szenarien!$H$10="OK",(IFERROR(SUMIF(Nutzungsprofile!$B$6:$B$11,"Schulbetrieb",Nutzungsprofile!$G$6:$G$11)*Kalender!C313/SUM(Kalender!$C$5:$C$370),0)+IFERROR(SUMIF(Nutzungsprofile!$B$6:$B$11,"Halle",Nutzungsprofile!$G$6:$G$11)*Kalender!D313/SUM(Kalender!$D$5:$D$370),0)+IFERROR(SUMIF(Nutzungsprofile!$B$6:$B$11,"Individuell",Nutzungsprofile!$G$6:$G$11)*Kalender!E313/SUM(Kalender!$E$5:$E$370),0))*Szenarien!$E$10,0)</f>
        <v>1.08</v>
      </c>
      <c r="D1045" s="13" t="n">
        <f aca="false">IF(Szenarien!$H$10="OK",(IFERROR(SUMIF(Nutzungsprofile!$B$17:$B$22,"Schulbetrieb",Nutzungsprofile!$G$17:$G$22)*Kalender!C313/SUM(Kalender!$C$5:$C$370),0)+IFERROR(SUMIF(Nutzungsprofile!$B$17:$B$22,"Halle",Nutzungsprofile!$G$17:$G$22)*Kalender!D313/SUM(Kalender!$D$5:$D$370),0)+IFERROR(SUMIF(Nutzungsprofile!$B$17:$B$22,"Individuell",Nutzungsprofile!$G$17:$G$22)*Kalender!E313/SUM(Kalender!$E$5:$E$370),0))*Szenarien!$D$10,0)</f>
        <v>4.455</v>
      </c>
      <c r="E1045" s="13" t="n">
        <f aca="false">IFERROR(MIN(C1045,Eingaben!$B$17)*Eingaben!$B$16,0)</f>
        <v>1.026</v>
      </c>
      <c r="F1045" s="13" t="n">
        <f aca="false">IFERROR(E1045*Eingaben!$B$15,0)</f>
        <v>0.9234</v>
      </c>
      <c r="G1045" s="13" t="n">
        <f aca="false">IFERROR(IF(Kalender!A313="",0,J1044*(1-Eingaben!$B$20)),0)</f>
        <v>0.2714796</v>
      </c>
      <c r="H1045" s="13" t="n">
        <f aca="false">MIN(G1045,D1045)</f>
        <v>0.2714796</v>
      </c>
      <c r="I1045" s="13" t="n">
        <f aca="false">IFERROR(MIN(F1045*Eingaben!$B$19,MAX(0,D1045-H1045)),0)</f>
        <v>0.64638</v>
      </c>
      <c r="J1045" s="13" t="n">
        <f aca="false">IFERROR(MIN(Eingaben!$B$18,MAX(0,F1045-I1045)),0)</f>
        <v>0.27702</v>
      </c>
      <c r="K1045" s="13" t="n">
        <f aca="false">H1045+I1045</f>
        <v>0.9178596</v>
      </c>
      <c r="L1045" s="13" t="n">
        <f aca="false">MAX(0,D1045-K1045)</f>
        <v>3.5371404</v>
      </c>
      <c r="M1045" s="13" t="n">
        <f aca="false">MAX(0,F1045-I1045-J1045)</f>
        <v>0</v>
      </c>
      <c r="N1045" s="13" t="n">
        <f aca="false">IF(Kalender!A313="",0,J1044-H1045)</f>
        <v>0.0055404</v>
      </c>
    </row>
    <row r="1046" customFormat="false" ht="16.4" hidden="false" customHeight="false" outlineLevel="0" collapsed="false">
      <c r="A1046" s="13" t="str">
        <f aca="false">""</f>
        <v/>
      </c>
      <c r="B1046" s="13" t="n">
        <f aca="false">310</f>
        <v>310</v>
      </c>
      <c r="C1046" s="13" t="n">
        <f aca="false">IF(Szenarien!$H$10="OK",(IFERROR(SUMIF(Nutzungsprofile!$B$6:$B$11,"Schulbetrieb",Nutzungsprofile!$G$6:$G$11)*Kalender!C314/SUM(Kalender!$C$5:$C$370),0)+IFERROR(SUMIF(Nutzungsprofile!$B$6:$B$11,"Halle",Nutzungsprofile!$G$6:$G$11)*Kalender!D314/SUM(Kalender!$D$5:$D$370),0)+IFERROR(SUMIF(Nutzungsprofile!$B$6:$B$11,"Individuell",Nutzungsprofile!$G$6:$G$11)*Kalender!E314/SUM(Kalender!$E$5:$E$370),0))*Szenarien!$E$10,0)</f>
        <v>1.08</v>
      </c>
      <c r="D1046" s="13" t="n">
        <f aca="false">IF(Szenarien!$H$10="OK",(IFERROR(SUMIF(Nutzungsprofile!$B$17:$B$22,"Schulbetrieb",Nutzungsprofile!$G$17:$G$22)*Kalender!C314/SUM(Kalender!$C$5:$C$370),0)+IFERROR(SUMIF(Nutzungsprofile!$B$17:$B$22,"Halle",Nutzungsprofile!$G$17:$G$22)*Kalender!D314/SUM(Kalender!$D$5:$D$370),0)+IFERROR(SUMIF(Nutzungsprofile!$B$17:$B$22,"Individuell",Nutzungsprofile!$G$17:$G$22)*Kalender!E314/SUM(Kalender!$E$5:$E$370),0))*Szenarien!$D$10,0)</f>
        <v>4.455</v>
      </c>
      <c r="E1046" s="13" t="n">
        <f aca="false">IFERROR(MIN(C1046,Eingaben!$B$17)*Eingaben!$B$16,0)</f>
        <v>1.026</v>
      </c>
      <c r="F1046" s="13" t="n">
        <f aca="false">IFERROR(E1046*Eingaben!$B$15,0)</f>
        <v>0.9234</v>
      </c>
      <c r="G1046" s="13" t="n">
        <f aca="false">IFERROR(IF(Kalender!A314="",0,J1045*(1-Eingaben!$B$20)),0)</f>
        <v>0.2714796</v>
      </c>
      <c r="H1046" s="13" t="n">
        <f aca="false">MIN(G1046,D1046)</f>
        <v>0.2714796</v>
      </c>
      <c r="I1046" s="13" t="n">
        <f aca="false">IFERROR(MIN(F1046*Eingaben!$B$19,MAX(0,D1046-H1046)),0)</f>
        <v>0.64638</v>
      </c>
      <c r="J1046" s="13" t="n">
        <f aca="false">IFERROR(MIN(Eingaben!$B$18,MAX(0,F1046-I1046)),0)</f>
        <v>0.27702</v>
      </c>
      <c r="K1046" s="13" t="n">
        <f aca="false">H1046+I1046</f>
        <v>0.9178596</v>
      </c>
      <c r="L1046" s="13" t="n">
        <f aca="false">MAX(0,D1046-K1046)</f>
        <v>3.5371404</v>
      </c>
      <c r="M1046" s="13" t="n">
        <f aca="false">MAX(0,F1046-I1046-J1046)</f>
        <v>0</v>
      </c>
      <c r="N1046" s="13" t="n">
        <f aca="false">IF(Kalender!A314="",0,J1045-H1046)</f>
        <v>0.0055404</v>
      </c>
    </row>
    <row r="1047" customFormat="false" ht="16.4" hidden="false" customHeight="false" outlineLevel="0" collapsed="false">
      <c r="A1047" s="13" t="str">
        <f aca="false">""</f>
        <v/>
      </c>
      <c r="B1047" s="13" t="n">
        <f aca="false">311</f>
        <v>311</v>
      </c>
      <c r="C1047" s="13" t="n">
        <f aca="false">IF(Szenarien!$H$10="OK",(IFERROR(SUMIF(Nutzungsprofile!$B$6:$B$11,"Schulbetrieb",Nutzungsprofile!$G$6:$G$11)*Kalender!C315/SUM(Kalender!$C$5:$C$370),0)+IFERROR(SUMIF(Nutzungsprofile!$B$6:$B$11,"Halle",Nutzungsprofile!$G$6:$G$11)*Kalender!D315/SUM(Kalender!$D$5:$D$370),0)+IFERROR(SUMIF(Nutzungsprofile!$B$6:$B$11,"Individuell",Nutzungsprofile!$G$6:$G$11)*Kalender!E315/SUM(Kalender!$E$5:$E$370),0))*Szenarien!$E$10,0)</f>
        <v>0</v>
      </c>
      <c r="D1047" s="13" t="n">
        <f aca="false">IF(Szenarien!$H$10="OK",(IFERROR(SUMIF(Nutzungsprofile!$B$17:$B$22,"Schulbetrieb",Nutzungsprofile!$G$17:$G$22)*Kalender!C315/SUM(Kalender!$C$5:$C$370),0)+IFERROR(SUMIF(Nutzungsprofile!$B$17:$B$22,"Halle",Nutzungsprofile!$G$17:$G$22)*Kalender!D315/SUM(Kalender!$D$5:$D$370),0)+IFERROR(SUMIF(Nutzungsprofile!$B$17:$B$22,"Individuell",Nutzungsprofile!$G$17:$G$22)*Kalender!E315/SUM(Kalender!$E$5:$E$370),0))*Szenarien!$D$10,0)</f>
        <v>0</v>
      </c>
      <c r="E1047" s="13" t="n">
        <f aca="false">IFERROR(MIN(C1047,Eingaben!$B$17)*Eingaben!$B$16,0)</f>
        <v>0</v>
      </c>
      <c r="F1047" s="13" t="n">
        <f aca="false">IFERROR(E1047*Eingaben!$B$15,0)</f>
        <v>0</v>
      </c>
      <c r="G1047" s="13" t="n">
        <f aca="false">IFERROR(IF(Kalender!A315="",0,J1046*(1-Eingaben!$B$20)),0)</f>
        <v>0.2714796</v>
      </c>
      <c r="H1047" s="13" t="n">
        <f aca="false">MIN(G1047,D1047)</f>
        <v>0</v>
      </c>
      <c r="I1047" s="13" t="n">
        <f aca="false">IFERROR(MIN(F1047*Eingaben!$B$19,MAX(0,D1047-H1047)),0)</f>
        <v>0</v>
      </c>
      <c r="J1047" s="13" t="n">
        <f aca="false">IFERROR(MIN(Eingaben!$B$18,MAX(0,F1047-I1047)),0)</f>
        <v>0</v>
      </c>
      <c r="K1047" s="13" t="n">
        <f aca="false">H1047+I1047</f>
        <v>0</v>
      </c>
      <c r="L1047" s="13" t="n">
        <f aca="false">MAX(0,D1047-K1047)</f>
        <v>0</v>
      </c>
      <c r="M1047" s="13" t="n">
        <f aca="false">MAX(0,F1047-I1047-J1047)</f>
        <v>0</v>
      </c>
      <c r="N1047" s="13" t="n">
        <f aca="false">IF(Kalender!A315="",0,J1046-H1047)</f>
        <v>0.27702</v>
      </c>
    </row>
    <row r="1048" customFormat="false" ht="16.4" hidden="false" customHeight="false" outlineLevel="0" collapsed="false">
      <c r="A1048" s="13" t="str">
        <f aca="false">""</f>
        <v/>
      </c>
      <c r="B1048" s="13" t="n">
        <f aca="false">312</f>
        <v>312</v>
      </c>
      <c r="C1048" s="13" t="n">
        <f aca="false">IF(Szenarien!$H$10="OK",(IFERROR(SUMIF(Nutzungsprofile!$B$6:$B$11,"Schulbetrieb",Nutzungsprofile!$G$6:$G$11)*Kalender!C316/SUM(Kalender!$C$5:$C$370),0)+IFERROR(SUMIF(Nutzungsprofile!$B$6:$B$11,"Halle",Nutzungsprofile!$G$6:$G$11)*Kalender!D316/SUM(Kalender!$D$5:$D$370),0)+IFERROR(SUMIF(Nutzungsprofile!$B$6:$B$11,"Individuell",Nutzungsprofile!$G$6:$G$11)*Kalender!E316/SUM(Kalender!$E$5:$E$370),0))*Szenarien!$E$10,0)</f>
        <v>0</v>
      </c>
      <c r="D1048" s="13" t="n">
        <f aca="false">IF(Szenarien!$H$10="OK",(IFERROR(SUMIF(Nutzungsprofile!$B$17:$B$22,"Schulbetrieb",Nutzungsprofile!$G$17:$G$22)*Kalender!C316/SUM(Kalender!$C$5:$C$370),0)+IFERROR(SUMIF(Nutzungsprofile!$B$17:$B$22,"Halle",Nutzungsprofile!$G$17:$G$22)*Kalender!D316/SUM(Kalender!$D$5:$D$370),0)+IFERROR(SUMIF(Nutzungsprofile!$B$17:$B$22,"Individuell",Nutzungsprofile!$G$17:$G$22)*Kalender!E316/SUM(Kalender!$E$5:$E$370),0))*Szenarien!$D$10,0)</f>
        <v>0</v>
      </c>
      <c r="E1048" s="13" t="n">
        <f aca="false">IFERROR(MIN(C1048,Eingaben!$B$17)*Eingaben!$B$16,0)</f>
        <v>0</v>
      </c>
      <c r="F1048" s="13" t="n">
        <f aca="false">IFERROR(E1048*Eingaben!$B$15,0)</f>
        <v>0</v>
      </c>
      <c r="G1048" s="13" t="n">
        <f aca="false">IFERROR(IF(Kalender!A316="",0,J1047*(1-Eingaben!$B$20)),0)</f>
        <v>0</v>
      </c>
      <c r="H1048" s="13" t="n">
        <f aca="false">MIN(G1048,D1048)</f>
        <v>0</v>
      </c>
      <c r="I1048" s="13" t="n">
        <f aca="false">IFERROR(MIN(F1048*Eingaben!$B$19,MAX(0,D1048-H1048)),0)</f>
        <v>0</v>
      </c>
      <c r="J1048" s="13" t="n">
        <f aca="false">IFERROR(MIN(Eingaben!$B$18,MAX(0,F1048-I1048)),0)</f>
        <v>0</v>
      </c>
      <c r="K1048" s="13" t="n">
        <f aca="false">H1048+I1048</f>
        <v>0</v>
      </c>
      <c r="L1048" s="13" t="n">
        <f aca="false">MAX(0,D1048-K1048)</f>
        <v>0</v>
      </c>
      <c r="M1048" s="13" t="n">
        <f aca="false">MAX(0,F1048-I1048-J1048)</f>
        <v>0</v>
      </c>
      <c r="N1048" s="13" t="n">
        <f aca="false">IF(Kalender!A316="",0,J1047-H1048)</f>
        <v>0</v>
      </c>
    </row>
    <row r="1049" customFormat="false" ht="16.4" hidden="false" customHeight="false" outlineLevel="0" collapsed="false">
      <c r="A1049" s="13" t="str">
        <f aca="false">""</f>
        <v/>
      </c>
      <c r="B1049" s="13" t="n">
        <f aca="false">313</f>
        <v>313</v>
      </c>
      <c r="C1049" s="13" t="n">
        <f aca="false">IF(Szenarien!$H$10="OK",(IFERROR(SUMIF(Nutzungsprofile!$B$6:$B$11,"Schulbetrieb",Nutzungsprofile!$G$6:$G$11)*Kalender!C317/SUM(Kalender!$C$5:$C$370),0)+IFERROR(SUMIF(Nutzungsprofile!$B$6:$B$11,"Halle",Nutzungsprofile!$G$6:$G$11)*Kalender!D317/SUM(Kalender!$D$5:$D$370),0)+IFERROR(SUMIF(Nutzungsprofile!$B$6:$B$11,"Individuell",Nutzungsprofile!$G$6:$G$11)*Kalender!E317/SUM(Kalender!$E$5:$E$370),0))*Szenarien!$E$10,0)</f>
        <v>1.08</v>
      </c>
      <c r="D1049" s="13" t="n">
        <f aca="false">IF(Szenarien!$H$10="OK",(IFERROR(SUMIF(Nutzungsprofile!$B$17:$B$22,"Schulbetrieb",Nutzungsprofile!$G$17:$G$22)*Kalender!C317/SUM(Kalender!$C$5:$C$370),0)+IFERROR(SUMIF(Nutzungsprofile!$B$17:$B$22,"Halle",Nutzungsprofile!$G$17:$G$22)*Kalender!D317/SUM(Kalender!$D$5:$D$370),0)+IFERROR(SUMIF(Nutzungsprofile!$B$17:$B$22,"Individuell",Nutzungsprofile!$G$17:$G$22)*Kalender!E317/SUM(Kalender!$E$5:$E$370),0))*Szenarien!$D$10,0)</f>
        <v>4.455</v>
      </c>
      <c r="E1049" s="13" t="n">
        <f aca="false">IFERROR(MIN(C1049,Eingaben!$B$17)*Eingaben!$B$16,0)</f>
        <v>1.026</v>
      </c>
      <c r="F1049" s="13" t="n">
        <f aca="false">IFERROR(E1049*Eingaben!$B$15,0)</f>
        <v>0.9234</v>
      </c>
      <c r="G1049" s="13" t="n">
        <f aca="false">IFERROR(IF(Kalender!A317="",0,J1048*(1-Eingaben!$B$20)),0)</f>
        <v>0</v>
      </c>
      <c r="H1049" s="13" t="n">
        <f aca="false">MIN(G1049,D1049)</f>
        <v>0</v>
      </c>
      <c r="I1049" s="13" t="n">
        <f aca="false">IFERROR(MIN(F1049*Eingaben!$B$19,MAX(0,D1049-H1049)),0)</f>
        <v>0.64638</v>
      </c>
      <c r="J1049" s="13" t="n">
        <f aca="false">IFERROR(MIN(Eingaben!$B$18,MAX(0,F1049-I1049)),0)</f>
        <v>0.27702</v>
      </c>
      <c r="K1049" s="13" t="n">
        <f aca="false">H1049+I1049</f>
        <v>0.64638</v>
      </c>
      <c r="L1049" s="13" t="n">
        <f aca="false">MAX(0,D1049-K1049)</f>
        <v>3.80862</v>
      </c>
      <c r="M1049" s="13" t="n">
        <f aca="false">MAX(0,F1049-I1049-J1049)</f>
        <v>0</v>
      </c>
      <c r="N1049" s="13" t="n">
        <f aca="false">IF(Kalender!A317="",0,J1048-H1049)</f>
        <v>0</v>
      </c>
    </row>
    <row r="1050" customFormat="false" ht="16.4" hidden="false" customHeight="false" outlineLevel="0" collapsed="false">
      <c r="A1050" s="13" t="str">
        <f aca="false">""</f>
        <v/>
      </c>
      <c r="B1050" s="13" t="n">
        <f aca="false">314</f>
        <v>314</v>
      </c>
      <c r="C1050" s="13" t="n">
        <f aca="false">IF(Szenarien!$H$10="OK",(IFERROR(SUMIF(Nutzungsprofile!$B$6:$B$11,"Schulbetrieb",Nutzungsprofile!$G$6:$G$11)*Kalender!C318/SUM(Kalender!$C$5:$C$370),0)+IFERROR(SUMIF(Nutzungsprofile!$B$6:$B$11,"Halle",Nutzungsprofile!$G$6:$G$11)*Kalender!D318/SUM(Kalender!$D$5:$D$370),0)+IFERROR(SUMIF(Nutzungsprofile!$B$6:$B$11,"Individuell",Nutzungsprofile!$G$6:$G$11)*Kalender!E318/SUM(Kalender!$E$5:$E$370),0))*Szenarien!$E$10,0)</f>
        <v>1.08</v>
      </c>
      <c r="D1050" s="13" t="n">
        <f aca="false">IF(Szenarien!$H$10="OK",(IFERROR(SUMIF(Nutzungsprofile!$B$17:$B$22,"Schulbetrieb",Nutzungsprofile!$G$17:$G$22)*Kalender!C318/SUM(Kalender!$C$5:$C$370),0)+IFERROR(SUMIF(Nutzungsprofile!$B$17:$B$22,"Halle",Nutzungsprofile!$G$17:$G$22)*Kalender!D318/SUM(Kalender!$D$5:$D$370),0)+IFERROR(SUMIF(Nutzungsprofile!$B$17:$B$22,"Individuell",Nutzungsprofile!$G$17:$G$22)*Kalender!E318/SUM(Kalender!$E$5:$E$370),0))*Szenarien!$D$10,0)</f>
        <v>4.455</v>
      </c>
      <c r="E1050" s="13" t="n">
        <f aca="false">IFERROR(MIN(C1050,Eingaben!$B$17)*Eingaben!$B$16,0)</f>
        <v>1.026</v>
      </c>
      <c r="F1050" s="13" t="n">
        <f aca="false">IFERROR(E1050*Eingaben!$B$15,0)</f>
        <v>0.9234</v>
      </c>
      <c r="G1050" s="13" t="n">
        <f aca="false">IFERROR(IF(Kalender!A318="",0,J1049*(1-Eingaben!$B$20)),0)</f>
        <v>0.2714796</v>
      </c>
      <c r="H1050" s="13" t="n">
        <f aca="false">MIN(G1050,D1050)</f>
        <v>0.2714796</v>
      </c>
      <c r="I1050" s="13" t="n">
        <f aca="false">IFERROR(MIN(F1050*Eingaben!$B$19,MAX(0,D1050-H1050)),0)</f>
        <v>0.64638</v>
      </c>
      <c r="J1050" s="13" t="n">
        <f aca="false">IFERROR(MIN(Eingaben!$B$18,MAX(0,F1050-I1050)),0)</f>
        <v>0.27702</v>
      </c>
      <c r="K1050" s="13" t="n">
        <f aca="false">H1050+I1050</f>
        <v>0.9178596</v>
      </c>
      <c r="L1050" s="13" t="n">
        <f aca="false">MAX(0,D1050-K1050)</f>
        <v>3.5371404</v>
      </c>
      <c r="M1050" s="13" t="n">
        <f aca="false">MAX(0,F1050-I1050-J1050)</f>
        <v>0</v>
      </c>
      <c r="N1050" s="13" t="n">
        <f aca="false">IF(Kalender!A318="",0,J1049-H1050)</f>
        <v>0.0055404</v>
      </c>
    </row>
    <row r="1051" customFormat="false" ht="16.4" hidden="false" customHeight="false" outlineLevel="0" collapsed="false">
      <c r="A1051" s="13" t="str">
        <f aca="false">""</f>
        <v/>
      </c>
      <c r="B1051" s="13" t="n">
        <f aca="false">315</f>
        <v>315</v>
      </c>
      <c r="C1051" s="13" t="n">
        <f aca="false">IF(Szenarien!$H$10="OK",(IFERROR(SUMIF(Nutzungsprofile!$B$6:$B$11,"Schulbetrieb",Nutzungsprofile!$G$6:$G$11)*Kalender!C319/SUM(Kalender!$C$5:$C$370),0)+IFERROR(SUMIF(Nutzungsprofile!$B$6:$B$11,"Halle",Nutzungsprofile!$G$6:$G$11)*Kalender!D319/SUM(Kalender!$D$5:$D$370),0)+IFERROR(SUMIF(Nutzungsprofile!$B$6:$B$11,"Individuell",Nutzungsprofile!$G$6:$G$11)*Kalender!E319/SUM(Kalender!$E$5:$E$370),0))*Szenarien!$E$10,0)</f>
        <v>1.08</v>
      </c>
      <c r="D1051" s="13" t="n">
        <f aca="false">IF(Szenarien!$H$10="OK",(IFERROR(SUMIF(Nutzungsprofile!$B$17:$B$22,"Schulbetrieb",Nutzungsprofile!$G$17:$G$22)*Kalender!C319/SUM(Kalender!$C$5:$C$370),0)+IFERROR(SUMIF(Nutzungsprofile!$B$17:$B$22,"Halle",Nutzungsprofile!$G$17:$G$22)*Kalender!D319/SUM(Kalender!$D$5:$D$370),0)+IFERROR(SUMIF(Nutzungsprofile!$B$17:$B$22,"Individuell",Nutzungsprofile!$G$17:$G$22)*Kalender!E319/SUM(Kalender!$E$5:$E$370),0))*Szenarien!$D$10,0)</f>
        <v>4.455</v>
      </c>
      <c r="E1051" s="13" t="n">
        <f aca="false">IFERROR(MIN(C1051,Eingaben!$B$17)*Eingaben!$B$16,0)</f>
        <v>1.026</v>
      </c>
      <c r="F1051" s="13" t="n">
        <f aca="false">IFERROR(E1051*Eingaben!$B$15,0)</f>
        <v>0.9234</v>
      </c>
      <c r="G1051" s="13" t="n">
        <f aca="false">IFERROR(IF(Kalender!A319="",0,J1050*(1-Eingaben!$B$20)),0)</f>
        <v>0.2714796</v>
      </c>
      <c r="H1051" s="13" t="n">
        <f aca="false">MIN(G1051,D1051)</f>
        <v>0.2714796</v>
      </c>
      <c r="I1051" s="13" t="n">
        <f aca="false">IFERROR(MIN(F1051*Eingaben!$B$19,MAX(0,D1051-H1051)),0)</f>
        <v>0.64638</v>
      </c>
      <c r="J1051" s="13" t="n">
        <f aca="false">IFERROR(MIN(Eingaben!$B$18,MAX(0,F1051-I1051)),0)</f>
        <v>0.27702</v>
      </c>
      <c r="K1051" s="13" t="n">
        <f aca="false">H1051+I1051</f>
        <v>0.9178596</v>
      </c>
      <c r="L1051" s="13" t="n">
        <f aca="false">MAX(0,D1051-K1051)</f>
        <v>3.5371404</v>
      </c>
      <c r="M1051" s="13" t="n">
        <f aca="false">MAX(0,F1051-I1051-J1051)</f>
        <v>0</v>
      </c>
      <c r="N1051" s="13" t="n">
        <f aca="false">IF(Kalender!A319="",0,J1050-H1051)</f>
        <v>0.0055404</v>
      </c>
    </row>
    <row r="1052" customFormat="false" ht="16.4" hidden="false" customHeight="false" outlineLevel="0" collapsed="false">
      <c r="A1052" s="13" t="str">
        <f aca="false">""</f>
        <v/>
      </c>
      <c r="B1052" s="13" t="n">
        <f aca="false">316</f>
        <v>316</v>
      </c>
      <c r="C1052" s="13" t="n">
        <f aca="false">IF(Szenarien!$H$10="OK",(IFERROR(SUMIF(Nutzungsprofile!$B$6:$B$11,"Schulbetrieb",Nutzungsprofile!$G$6:$G$11)*Kalender!C320/SUM(Kalender!$C$5:$C$370),0)+IFERROR(SUMIF(Nutzungsprofile!$B$6:$B$11,"Halle",Nutzungsprofile!$G$6:$G$11)*Kalender!D320/SUM(Kalender!$D$5:$D$370),0)+IFERROR(SUMIF(Nutzungsprofile!$B$6:$B$11,"Individuell",Nutzungsprofile!$G$6:$G$11)*Kalender!E320/SUM(Kalender!$E$5:$E$370),0))*Szenarien!$E$10,0)</f>
        <v>1.08</v>
      </c>
      <c r="D1052" s="13" t="n">
        <f aca="false">IF(Szenarien!$H$10="OK",(IFERROR(SUMIF(Nutzungsprofile!$B$17:$B$22,"Schulbetrieb",Nutzungsprofile!$G$17:$G$22)*Kalender!C320/SUM(Kalender!$C$5:$C$370),0)+IFERROR(SUMIF(Nutzungsprofile!$B$17:$B$22,"Halle",Nutzungsprofile!$G$17:$G$22)*Kalender!D320/SUM(Kalender!$D$5:$D$370),0)+IFERROR(SUMIF(Nutzungsprofile!$B$17:$B$22,"Individuell",Nutzungsprofile!$G$17:$G$22)*Kalender!E320/SUM(Kalender!$E$5:$E$370),0))*Szenarien!$D$10,0)</f>
        <v>4.455</v>
      </c>
      <c r="E1052" s="13" t="n">
        <f aca="false">IFERROR(MIN(C1052,Eingaben!$B$17)*Eingaben!$B$16,0)</f>
        <v>1.026</v>
      </c>
      <c r="F1052" s="13" t="n">
        <f aca="false">IFERROR(E1052*Eingaben!$B$15,0)</f>
        <v>0.9234</v>
      </c>
      <c r="G1052" s="13" t="n">
        <f aca="false">IFERROR(IF(Kalender!A320="",0,J1051*(1-Eingaben!$B$20)),0)</f>
        <v>0.2714796</v>
      </c>
      <c r="H1052" s="13" t="n">
        <f aca="false">MIN(G1052,D1052)</f>
        <v>0.2714796</v>
      </c>
      <c r="I1052" s="13" t="n">
        <f aca="false">IFERROR(MIN(F1052*Eingaben!$B$19,MAX(0,D1052-H1052)),0)</f>
        <v>0.64638</v>
      </c>
      <c r="J1052" s="13" t="n">
        <f aca="false">IFERROR(MIN(Eingaben!$B$18,MAX(0,F1052-I1052)),0)</f>
        <v>0.27702</v>
      </c>
      <c r="K1052" s="13" t="n">
        <f aca="false">H1052+I1052</f>
        <v>0.9178596</v>
      </c>
      <c r="L1052" s="13" t="n">
        <f aca="false">MAX(0,D1052-K1052)</f>
        <v>3.5371404</v>
      </c>
      <c r="M1052" s="13" t="n">
        <f aca="false">MAX(0,F1052-I1052-J1052)</f>
        <v>0</v>
      </c>
      <c r="N1052" s="13" t="n">
        <f aca="false">IF(Kalender!A320="",0,J1051-H1052)</f>
        <v>0.0055404</v>
      </c>
    </row>
    <row r="1053" customFormat="false" ht="16.4" hidden="false" customHeight="false" outlineLevel="0" collapsed="false">
      <c r="A1053" s="13" t="str">
        <f aca="false">""</f>
        <v/>
      </c>
      <c r="B1053" s="13" t="n">
        <f aca="false">317</f>
        <v>317</v>
      </c>
      <c r="C1053" s="13" t="n">
        <f aca="false">IF(Szenarien!$H$10="OK",(IFERROR(SUMIF(Nutzungsprofile!$B$6:$B$11,"Schulbetrieb",Nutzungsprofile!$G$6:$G$11)*Kalender!C321/SUM(Kalender!$C$5:$C$370),0)+IFERROR(SUMIF(Nutzungsprofile!$B$6:$B$11,"Halle",Nutzungsprofile!$G$6:$G$11)*Kalender!D321/SUM(Kalender!$D$5:$D$370),0)+IFERROR(SUMIF(Nutzungsprofile!$B$6:$B$11,"Individuell",Nutzungsprofile!$G$6:$G$11)*Kalender!E321/SUM(Kalender!$E$5:$E$370),0))*Szenarien!$E$10,0)</f>
        <v>1.08</v>
      </c>
      <c r="D1053" s="13" t="n">
        <f aca="false">IF(Szenarien!$H$10="OK",(IFERROR(SUMIF(Nutzungsprofile!$B$17:$B$22,"Schulbetrieb",Nutzungsprofile!$G$17:$G$22)*Kalender!C321/SUM(Kalender!$C$5:$C$370),0)+IFERROR(SUMIF(Nutzungsprofile!$B$17:$B$22,"Halle",Nutzungsprofile!$G$17:$G$22)*Kalender!D321/SUM(Kalender!$D$5:$D$370),0)+IFERROR(SUMIF(Nutzungsprofile!$B$17:$B$22,"Individuell",Nutzungsprofile!$G$17:$G$22)*Kalender!E321/SUM(Kalender!$E$5:$E$370),0))*Szenarien!$D$10,0)</f>
        <v>4.455</v>
      </c>
      <c r="E1053" s="13" t="n">
        <f aca="false">IFERROR(MIN(C1053,Eingaben!$B$17)*Eingaben!$B$16,0)</f>
        <v>1.026</v>
      </c>
      <c r="F1053" s="13" t="n">
        <f aca="false">IFERROR(E1053*Eingaben!$B$15,0)</f>
        <v>0.9234</v>
      </c>
      <c r="G1053" s="13" t="n">
        <f aca="false">IFERROR(IF(Kalender!A321="",0,J1052*(1-Eingaben!$B$20)),0)</f>
        <v>0.2714796</v>
      </c>
      <c r="H1053" s="13" t="n">
        <f aca="false">MIN(G1053,D1053)</f>
        <v>0.2714796</v>
      </c>
      <c r="I1053" s="13" t="n">
        <f aca="false">IFERROR(MIN(F1053*Eingaben!$B$19,MAX(0,D1053-H1053)),0)</f>
        <v>0.64638</v>
      </c>
      <c r="J1053" s="13" t="n">
        <f aca="false">IFERROR(MIN(Eingaben!$B$18,MAX(0,F1053-I1053)),0)</f>
        <v>0.27702</v>
      </c>
      <c r="K1053" s="13" t="n">
        <f aca="false">H1053+I1053</f>
        <v>0.9178596</v>
      </c>
      <c r="L1053" s="13" t="n">
        <f aca="false">MAX(0,D1053-K1053)</f>
        <v>3.5371404</v>
      </c>
      <c r="M1053" s="13" t="n">
        <f aca="false">MAX(0,F1053-I1053-J1053)</f>
        <v>0</v>
      </c>
      <c r="N1053" s="13" t="n">
        <f aca="false">IF(Kalender!A321="",0,J1052-H1053)</f>
        <v>0.0055404</v>
      </c>
    </row>
    <row r="1054" customFormat="false" ht="16.4" hidden="false" customHeight="false" outlineLevel="0" collapsed="false">
      <c r="A1054" s="13" t="str">
        <f aca="false">""</f>
        <v/>
      </c>
      <c r="B1054" s="13" t="n">
        <f aca="false">318</f>
        <v>318</v>
      </c>
      <c r="C1054" s="13" t="n">
        <f aca="false">IF(Szenarien!$H$10="OK",(IFERROR(SUMIF(Nutzungsprofile!$B$6:$B$11,"Schulbetrieb",Nutzungsprofile!$G$6:$G$11)*Kalender!C322/SUM(Kalender!$C$5:$C$370),0)+IFERROR(SUMIF(Nutzungsprofile!$B$6:$B$11,"Halle",Nutzungsprofile!$G$6:$G$11)*Kalender!D322/SUM(Kalender!$D$5:$D$370),0)+IFERROR(SUMIF(Nutzungsprofile!$B$6:$B$11,"Individuell",Nutzungsprofile!$G$6:$G$11)*Kalender!E322/SUM(Kalender!$E$5:$E$370),0))*Szenarien!$E$10,0)</f>
        <v>0</v>
      </c>
      <c r="D1054" s="13" t="n">
        <f aca="false">IF(Szenarien!$H$10="OK",(IFERROR(SUMIF(Nutzungsprofile!$B$17:$B$22,"Schulbetrieb",Nutzungsprofile!$G$17:$G$22)*Kalender!C322/SUM(Kalender!$C$5:$C$370),0)+IFERROR(SUMIF(Nutzungsprofile!$B$17:$B$22,"Halle",Nutzungsprofile!$G$17:$G$22)*Kalender!D322/SUM(Kalender!$D$5:$D$370),0)+IFERROR(SUMIF(Nutzungsprofile!$B$17:$B$22,"Individuell",Nutzungsprofile!$G$17:$G$22)*Kalender!E322/SUM(Kalender!$E$5:$E$370),0))*Szenarien!$D$10,0)</f>
        <v>0</v>
      </c>
      <c r="E1054" s="13" t="n">
        <f aca="false">IFERROR(MIN(C1054,Eingaben!$B$17)*Eingaben!$B$16,0)</f>
        <v>0</v>
      </c>
      <c r="F1054" s="13" t="n">
        <f aca="false">IFERROR(E1054*Eingaben!$B$15,0)</f>
        <v>0</v>
      </c>
      <c r="G1054" s="13" t="n">
        <f aca="false">IFERROR(IF(Kalender!A322="",0,J1053*(1-Eingaben!$B$20)),0)</f>
        <v>0.2714796</v>
      </c>
      <c r="H1054" s="13" t="n">
        <f aca="false">MIN(G1054,D1054)</f>
        <v>0</v>
      </c>
      <c r="I1054" s="13" t="n">
        <f aca="false">IFERROR(MIN(F1054*Eingaben!$B$19,MAX(0,D1054-H1054)),0)</f>
        <v>0</v>
      </c>
      <c r="J1054" s="13" t="n">
        <f aca="false">IFERROR(MIN(Eingaben!$B$18,MAX(0,F1054-I1054)),0)</f>
        <v>0</v>
      </c>
      <c r="K1054" s="13" t="n">
        <f aca="false">H1054+I1054</f>
        <v>0</v>
      </c>
      <c r="L1054" s="13" t="n">
        <f aca="false">MAX(0,D1054-K1054)</f>
        <v>0</v>
      </c>
      <c r="M1054" s="13" t="n">
        <f aca="false">MAX(0,F1054-I1054-J1054)</f>
        <v>0</v>
      </c>
      <c r="N1054" s="13" t="n">
        <f aca="false">IF(Kalender!A322="",0,J1053-H1054)</f>
        <v>0.27702</v>
      </c>
    </row>
    <row r="1055" customFormat="false" ht="16.4" hidden="false" customHeight="false" outlineLevel="0" collapsed="false">
      <c r="A1055" s="13" t="str">
        <f aca="false">""</f>
        <v/>
      </c>
      <c r="B1055" s="13" t="n">
        <f aca="false">319</f>
        <v>319</v>
      </c>
      <c r="C1055" s="13" t="n">
        <f aca="false">IF(Szenarien!$H$10="OK",(IFERROR(SUMIF(Nutzungsprofile!$B$6:$B$11,"Schulbetrieb",Nutzungsprofile!$G$6:$G$11)*Kalender!C323/SUM(Kalender!$C$5:$C$370),0)+IFERROR(SUMIF(Nutzungsprofile!$B$6:$B$11,"Halle",Nutzungsprofile!$G$6:$G$11)*Kalender!D323/SUM(Kalender!$D$5:$D$370),0)+IFERROR(SUMIF(Nutzungsprofile!$B$6:$B$11,"Individuell",Nutzungsprofile!$G$6:$G$11)*Kalender!E323/SUM(Kalender!$E$5:$E$370),0))*Szenarien!$E$10,0)</f>
        <v>0</v>
      </c>
      <c r="D1055" s="13" t="n">
        <f aca="false">IF(Szenarien!$H$10="OK",(IFERROR(SUMIF(Nutzungsprofile!$B$17:$B$22,"Schulbetrieb",Nutzungsprofile!$G$17:$G$22)*Kalender!C323/SUM(Kalender!$C$5:$C$370),0)+IFERROR(SUMIF(Nutzungsprofile!$B$17:$B$22,"Halle",Nutzungsprofile!$G$17:$G$22)*Kalender!D323/SUM(Kalender!$D$5:$D$370),0)+IFERROR(SUMIF(Nutzungsprofile!$B$17:$B$22,"Individuell",Nutzungsprofile!$G$17:$G$22)*Kalender!E323/SUM(Kalender!$E$5:$E$370),0))*Szenarien!$D$10,0)</f>
        <v>0</v>
      </c>
      <c r="E1055" s="13" t="n">
        <f aca="false">IFERROR(MIN(C1055,Eingaben!$B$17)*Eingaben!$B$16,0)</f>
        <v>0</v>
      </c>
      <c r="F1055" s="13" t="n">
        <f aca="false">IFERROR(E1055*Eingaben!$B$15,0)</f>
        <v>0</v>
      </c>
      <c r="G1055" s="13" t="n">
        <f aca="false">IFERROR(IF(Kalender!A323="",0,J1054*(1-Eingaben!$B$20)),0)</f>
        <v>0</v>
      </c>
      <c r="H1055" s="13" t="n">
        <f aca="false">MIN(G1055,D1055)</f>
        <v>0</v>
      </c>
      <c r="I1055" s="13" t="n">
        <f aca="false">IFERROR(MIN(F1055*Eingaben!$B$19,MAX(0,D1055-H1055)),0)</f>
        <v>0</v>
      </c>
      <c r="J1055" s="13" t="n">
        <f aca="false">IFERROR(MIN(Eingaben!$B$18,MAX(0,F1055-I1055)),0)</f>
        <v>0</v>
      </c>
      <c r="K1055" s="13" t="n">
        <f aca="false">H1055+I1055</f>
        <v>0</v>
      </c>
      <c r="L1055" s="13" t="n">
        <f aca="false">MAX(0,D1055-K1055)</f>
        <v>0</v>
      </c>
      <c r="M1055" s="13" t="n">
        <f aca="false">MAX(0,F1055-I1055-J1055)</f>
        <v>0</v>
      </c>
      <c r="N1055" s="13" t="n">
        <f aca="false">IF(Kalender!A323="",0,J1054-H1055)</f>
        <v>0</v>
      </c>
    </row>
    <row r="1056" customFormat="false" ht="16.4" hidden="false" customHeight="false" outlineLevel="0" collapsed="false">
      <c r="A1056" s="13" t="str">
        <f aca="false">""</f>
        <v/>
      </c>
      <c r="B1056" s="13" t="n">
        <f aca="false">320</f>
        <v>320</v>
      </c>
      <c r="C1056" s="13" t="n">
        <f aca="false">IF(Szenarien!$H$10="OK",(IFERROR(SUMIF(Nutzungsprofile!$B$6:$B$11,"Schulbetrieb",Nutzungsprofile!$G$6:$G$11)*Kalender!C324/SUM(Kalender!$C$5:$C$370),0)+IFERROR(SUMIF(Nutzungsprofile!$B$6:$B$11,"Halle",Nutzungsprofile!$G$6:$G$11)*Kalender!D324/SUM(Kalender!$D$5:$D$370),0)+IFERROR(SUMIF(Nutzungsprofile!$B$6:$B$11,"Individuell",Nutzungsprofile!$G$6:$G$11)*Kalender!E324/SUM(Kalender!$E$5:$E$370),0))*Szenarien!$E$10,0)</f>
        <v>1.08</v>
      </c>
      <c r="D1056" s="13" t="n">
        <f aca="false">IF(Szenarien!$H$10="OK",(IFERROR(SUMIF(Nutzungsprofile!$B$17:$B$22,"Schulbetrieb",Nutzungsprofile!$G$17:$G$22)*Kalender!C324/SUM(Kalender!$C$5:$C$370),0)+IFERROR(SUMIF(Nutzungsprofile!$B$17:$B$22,"Halle",Nutzungsprofile!$G$17:$G$22)*Kalender!D324/SUM(Kalender!$D$5:$D$370),0)+IFERROR(SUMIF(Nutzungsprofile!$B$17:$B$22,"Individuell",Nutzungsprofile!$G$17:$G$22)*Kalender!E324/SUM(Kalender!$E$5:$E$370),0))*Szenarien!$D$10,0)</f>
        <v>4.455</v>
      </c>
      <c r="E1056" s="13" t="n">
        <f aca="false">IFERROR(MIN(C1056,Eingaben!$B$17)*Eingaben!$B$16,0)</f>
        <v>1.026</v>
      </c>
      <c r="F1056" s="13" t="n">
        <f aca="false">IFERROR(E1056*Eingaben!$B$15,0)</f>
        <v>0.9234</v>
      </c>
      <c r="G1056" s="13" t="n">
        <f aca="false">IFERROR(IF(Kalender!A324="",0,J1055*(1-Eingaben!$B$20)),0)</f>
        <v>0</v>
      </c>
      <c r="H1056" s="13" t="n">
        <f aca="false">MIN(G1056,D1056)</f>
        <v>0</v>
      </c>
      <c r="I1056" s="13" t="n">
        <f aca="false">IFERROR(MIN(F1056*Eingaben!$B$19,MAX(0,D1056-H1056)),0)</f>
        <v>0.64638</v>
      </c>
      <c r="J1056" s="13" t="n">
        <f aca="false">IFERROR(MIN(Eingaben!$B$18,MAX(0,F1056-I1056)),0)</f>
        <v>0.27702</v>
      </c>
      <c r="K1056" s="13" t="n">
        <f aca="false">H1056+I1056</f>
        <v>0.64638</v>
      </c>
      <c r="L1056" s="13" t="n">
        <f aca="false">MAX(0,D1056-K1056)</f>
        <v>3.80862</v>
      </c>
      <c r="M1056" s="13" t="n">
        <f aca="false">MAX(0,F1056-I1056-J1056)</f>
        <v>0</v>
      </c>
      <c r="N1056" s="13" t="n">
        <f aca="false">IF(Kalender!A324="",0,J1055-H1056)</f>
        <v>0</v>
      </c>
    </row>
    <row r="1057" customFormat="false" ht="16.4" hidden="false" customHeight="false" outlineLevel="0" collapsed="false">
      <c r="A1057" s="13" t="str">
        <f aca="false">""</f>
        <v/>
      </c>
      <c r="B1057" s="13" t="n">
        <f aca="false">321</f>
        <v>321</v>
      </c>
      <c r="C1057" s="13" t="n">
        <f aca="false">IF(Szenarien!$H$10="OK",(IFERROR(SUMIF(Nutzungsprofile!$B$6:$B$11,"Schulbetrieb",Nutzungsprofile!$G$6:$G$11)*Kalender!C325/SUM(Kalender!$C$5:$C$370),0)+IFERROR(SUMIF(Nutzungsprofile!$B$6:$B$11,"Halle",Nutzungsprofile!$G$6:$G$11)*Kalender!D325/SUM(Kalender!$D$5:$D$370),0)+IFERROR(SUMIF(Nutzungsprofile!$B$6:$B$11,"Individuell",Nutzungsprofile!$G$6:$G$11)*Kalender!E325/SUM(Kalender!$E$5:$E$370),0))*Szenarien!$E$10,0)</f>
        <v>1.08</v>
      </c>
      <c r="D1057" s="13" t="n">
        <f aca="false">IF(Szenarien!$H$10="OK",(IFERROR(SUMIF(Nutzungsprofile!$B$17:$B$22,"Schulbetrieb",Nutzungsprofile!$G$17:$G$22)*Kalender!C325/SUM(Kalender!$C$5:$C$370),0)+IFERROR(SUMIF(Nutzungsprofile!$B$17:$B$22,"Halle",Nutzungsprofile!$G$17:$G$22)*Kalender!D325/SUM(Kalender!$D$5:$D$370),0)+IFERROR(SUMIF(Nutzungsprofile!$B$17:$B$22,"Individuell",Nutzungsprofile!$G$17:$G$22)*Kalender!E325/SUM(Kalender!$E$5:$E$370),0))*Szenarien!$D$10,0)</f>
        <v>4.455</v>
      </c>
      <c r="E1057" s="13" t="n">
        <f aca="false">IFERROR(MIN(C1057,Eingaben!$B$17)*Eingaben!$B$16,0)</f>
        <v>1.026</v>
      </c>
      <c r="F1057" s="13" t="n">
        <f aca="false">IFERROR(E1057*Eingaben!$B$15,0)</f>
        <v>0.9234</v>
      </c>
      <c r="G1057" s="13" t="n">
        <f aca="false">IFERROR(IF(Kalender!A325="",0,J1056*(1-Eingaben!$B$20)),0)</f>
        <v>0.2714796</v>
      </c>
      <c r="H1057" s="13" t="n">
        <f aca="false">MIN(G1057,D1057)</f>
        <v>0.2714796</v>
      </c>
      <c r="I1057" s="13" t="n">
        <f aca="false">IFERROR(MIN(F1057*Eingaben!$B$19,MAX(0,D1057-H1057)),0)</f>
        <v>0.64638</v>
      </c>
      <c r="J1057" s="13" t="n">
        <f aca="false">IFERROR(MIN(Eingaben!$B$18,MAX(0,F1057-I1057)),0)</f>
        <v>0.27702</v>
      </c>
      <c r="K1057" s="13" t="n">
        <f aca="false">H1057+I1057</f>
        <v>0.9178596</v>
      </c>
      <c r="L1057" s="13" t="n">
        <f aca="false">MAX(0,D1057-K1057)</f>
        <v>3.5371404</v>
      </c>
      <c r="M1057" s="13" t="n">
        <f aca="false">MAX(0,F1057-I1057-J1057)</f>
        <v>0</v>
      </c>
      <c r="N1057" s="13" t="n">
        <f aca="false">IF(Kalender!A325="",0,J1056-H1057)</f>
        <v>0.0055404</v>
      </c>
    </row>
    <row r="1058" customFormat="false" ht="16.4" hidden="false" customHeight="false" outlineLevel="0" collapsed="false">
      <c r="A1058" s="13" t="str">
        <f aca="false">""</f>
        <v/>
      </c>
      <c r="B1058" s="13" t="n">
        <f aca="false">322</f>
        <v>322</v>
      </c>
      <c r="C1058" s="13" t="n">
        <f aca="false">IF(Szenarien!$H$10="OK",(IFERROR(SUMIF(Nutzungsprofile!$B$6:$B$11,"Schulbetrieb",Nutzungsprofile!$G$6:$G$11)*Kalender!C326/SUM(Kalender!$C$5:$C$370),0)+IFERROR(SUMIF(Nutzungsprofile!$B$6:$B$11,"Halle",Nutzungsprofile!$G$6:$G$11)*Kalender!D326/SUM(Kalender!$D$5:$D$370),0)+IFERROR(SUMIF(Nutzungsprofile!$B$6:$B$11,"Individuell",Nutzungsprofile!$G$6:$G$11)*Kalender!E326/SUM(Kalender!$E$5:$E$370),0))*Szenarien!$E$10,0)</f>
        <v>1.08</v>
      </c>
      <c r="D1058" s="13" t="n">
        <f aca="false">IF(Szenarien!$H$10="OK",(IFERROR(SUMIF(Nutzungsprofile!$B$17:$B$22,"Schulbetrieb",Nutzungsprofile!$G$17:$G$22)*Kalender!C326/SUM(Kalender!$C$5:$C$370),0)+IFERROR(SUMIF(Nutzungsprofile!$B$17:$B$22,"Halle",Nutzungsprofile!$G$17:$G$22)*Kalender!D326/SUM(Kalender!$D$5:$D$370),0)+IFERROR(SUMIF(Nutzungsprofile!$B$17:$B$22,"Individuell",Nutzungsprofile!$G$17:$G$22)*Kalender!E326/SUM(Kalender!$E$5:$E$370),0))*Szenarien!$D$10,0)</f>
        <v>4.455</v>
      </c>
      <c r="E1058" s="13" t="n">
        <f aca="false">IFERROR(MIN(C1058,Eingaben!$B$17)*Eingaben!$B$16,0)</f>
        <v>1.026</v>
      </c>
      <c r="F1058" s="13" t="n">
        <f aca="false">IFERROR(E1058*Eingaben!$B$15,0)</f>
        <v>0.9234</v>
      </c>
      <c r="G1058" s="13" t="n">
        <f aca="false">IFERROR(IF(Kalender!A326="",0,J1057*(1-Eingaben!$B$20)),0)</f>
        <v>0.2714796</v>
      </c>
      <c r="H1058" s="13" t="n">
        <f aca="false">MIN(G1058,D1058)</f>
        <v>0.2714796</v>
      </c>
      <c r="I1058" s="13" t="n">
        <f aca="false">IFERROR(MIN(F1058*Eingaben!$B$19,MAX(0,D1058-H1058)),0)</f>
        <v>0.64638</v>
      </c>
      <c r="J1058" s="13" t="n">
        <f aca="false">IFERROR(MIN(Eingaben!$B$18,MAX(0,F1058-I1058)),0)</f>
        <v>0.27702</v>
      </c>
      <c r="K1058" s="13" t="n">
        <f aca="false">H1058+I1058</f>
        <v>0.9178596</v>
      </c>
      <c r="L1058" s="13" t="n">
        <f aca="false">MAX(0,D1058-K1058)</f>
        <v>3.5371404</v>
      </c>
      <c r="M1058" s="13" t="n">
        <f aca="false">MAX(0,F1058-I1058-J1058)</f>
        <v>0</v>
      </c>
      <c r="N1058" s="13" t="n">
        <f aca="false">IF(Kalender!A326="",0,J1057-H1058)</f>
        <v>0.0055404</v>
      </c>
    </row>
    <row r="1059" customFormat="false" ht="16.4" hidden="false" customHeight="false" outlineLevel="0" collapsed="false">
      <c r="A1059" s="13" t="str">
        <f aca="false">""</f>
        <v/>
      </c>
      <c r="B1059" s="13" t="n">
        <f aca="false">323</f>
        <v>323</v>
      </c>
      <c r="C1059" s="13" t="n">
        <f aca="false">IF(Szenarien!$H$10="OK",(IFERROR(SUMIF(Nutzungsprofile!$B$6:$B$11,"Schulbetrieb",Nutzungsprofile!$G$6:$G$11)*Kalender!C327/SUM(Kalender!$C$5:$C$370),0)+IFERROR(SUMIF(Nutzungsprofile!$B$6:$B$11,"Halle",Nutzungsprofile!$G$6:$G$11)*Kalender!D327/SUM(Kalender!$D$5:$D$370),0)+IFERROR(SUMIF(Nutzungsprofile!$B$6:$B$11,"Individuell",Nutzungsprofile!$G$6:$G$11)*Kalender!E327/SUM(Kalender!$E$5:$E$370),0))*Szenarien!$E$10,0)</f>
        <v>1.08</v>
      </c>
      <c r="D1059" s="13" t="n">
        <f aca="false">IF(Szenarien!$H$10="OK",(IFERROR(SUMIF(Nutzungsprofile!$B$17:$B$22,"Schulbetrieb",Nutzungsprofile!$G$17:$G$22)*Kalender!C327/SUM(Kalender!$C$5:$C$370),0)+IFERROR(SUMIF(Nutzungsprofile!$B$17:$B$22,"Halle",Nutzungsprofile!$G$17:$G$22)*Kalender!D327/SUM(Kalender!$D$5:$D$370),0)+IFERROR(SUMIF(Nutzungsprofile!$B$17:$B$22,"Individuell",Nutzungsprofile!$G$17:$G$22)*Kalender!E327/SUM(Kalender!$E$5:$E$370),0))*Szenarien!$D$10,0)</f>
        <v>4.455</v>
      </c>
      <c r="E1059" s="13" t="n">
        <f aca="false">IFERROR(MIN(C1059,Eingaben!$B$17)*Eingaben!$B$16,0)</f>
        <v>1.026</v>
      </c>
      <c r="F1059" s="13" t="n">
        <f aca="false">IFERROR(E1059*Eingaben!$B$15,0)</f>
        <v>0.9234</v>
      </c>
      <c r="G1059" s="13" t="n">
        <f aca="false">IFERROR(IF(Kalender!A327="",0,J1058*(1-Eingaben!$B$20)),0)</f>
        <v>0.2714796</v>
      </c>
      <c r="H1059" s="13" t="n">
        <f aca="false">MIN(G1059,D1059)</f>
        <v>0.2714796</v>
      </c>
      <c r="I1059" s="13" t="n">
        <f aca="false">IFERROR(MIN(F1059*Eingaben!$B$19,MAX(0,D1059-H1059)),0)</f>
        <v>0.64638</v>
      </c>
      <c r="J1059" s="13" t="n">
        <f aca="false">IFERROR(MIN(Eingaben!$B$18,MAX(0,F1059-I1059)),0)</f>
        <v>0.27702</v>
      </c>
      <c r="K1059" s="13" t="n">
        <f aca="false">H1059+I1059</f>
        <v>0.9178596</v>
      </c>
      <c r="L1059" s="13" t="n">
        <f aca="false">MAX(0,D1059-K1059)</f>
        <v>3.5371404</v>
      </c>
      <c r="M1059" s="13" t="n">
        <f aca="false">MAX(0,F1059-I1059-J1059)</f>
        <v>0</v>
      </c>
      <c r="N1059" s="13" t="n">
        <f aca="false">IF(Kalender!A327="",0,J1058-H1059)</f>
        <v>0.0055404</v>
      </c>
    </row>
    <row r="1060" customFormat="false" ht="16.4" hidden="false" customHeight="false" outlineLevel="0" collapsed="false">
      <c r="A1060" s="13" t="str">
        <f aca="false">""</f>
        <v/>
      </c>
      <c r="B1060" s="13" t="n">
        <f aca="false">324</f>
        <v>324</v>
      </c>
      <c r="C1060" s="13" t="n">
        <f aca="false">IF(Szenarien!$H$10="OK",(IFERROR(SUMIF(Nutzungsprofile!$B$6:$B$11,"Schulbetrieb",Nutzungsprofile!$G$6:$G$11)*Kalender!C328/SUM(Kalender!$C$5:$C$370),0)+IFERROR(SUMIF(Nutzungsprofile!$B$6:$B$11,"Halle",Nutzungsprofile!$G$6:$G$11)*Kalender!D328/SUM(Kalender!$D$5:$D$370),0)+IFERROR(SUMIF(Nutzungsprofile!$B$6:$B$11,"Individuell",Nutzungsprofile!$G$6:$G$11)*Kalender!E328/SUM(Kalender!$E$5:$E$370),0))*Szenarien!$E$10,0)</f>
        <v>1.08</v>
      </c>
      <c r="D1060" s="13" t="n">
        <f aca="false">IF(Szenarien!$H$10="OK",(IFERROR(SUMIF(Nutzungsprofile!$B$17:$B$22,"Schulbetrieb",Nutzungsprofile!$G$17:$G$22)*Kalender!C328/SUM(Kalender!$C$5:$C$370),0)+IFERROR(SUMIF(Nutzungsprofile!$B$17:$B$22,"Halle",Nutzungsprofile!$G$17:$G$22)*Kalender!D328/SUM(Kalender!$D$5:$D$370),0)+IFERROR(SUMIF(Nutzungsprofile!$B$17:$B$22,"Individuell",Nutzungsprofile!$G$17:$G$22)*Kalender!E328/SUM(Kalender!$E$5:$E$370),0))*Szenarien!$D$10,0)</f>
        <v>4.455</v>
      </c>
      <c r="E1060" s="13" t="n">
        <f aca="false">IFERROR(MIN(C1060,Eingaben!$B$17)*Eingaben!$B$16,0)</f>
        <v>1.026</v>
      </c>
      <c r="F1060" s="13" t="n">
        <f aca="false">IFERROR(E1060*Eingaben!$B$15,0)</f>
        <v>0.9234</v>
      </c>
      <c r="G1060" s="13" t="n">
        <f aca="false">IFERROR(IF(Kalender!A328="",0,J1059*(1-Eingaben!$B$20)),0)</f>
        <v>0.2714796</v>
      </c>
      <c r="H1060" s="13" t="n">
        <f aca="false">MIN(G1060,D1060)</f>
        <v>0.2714796</v>
      </c>
      <c r="I1060" s="13" t="n">
        <f aca="false">IFERROR(MIN(F1060*Eingaben!$B$19,MAX(0,D1060-H1060)),0)</f>
        <v>0.64638</v>
      </c>
      <c r="J1060" s="13" t="n">
        <f aca="false">IFERROR(MIN(Eingaben!$B$18,MAX(0,F1060-I1060)),0)</f>
        <v>0.27702</v>
      </c>
      <c r="K1060" s="13" t="n">
        <f aca="false">H1060+I1060</f>
        <v>0.9178596</v>
      </c>
      <c r="L1060" s="13" t="n">
        <f aca="false">MAX(0,D1060-K1060)</f>
        <v>3.5371404</v>
      </c>
      <c r="M1060" s="13" t="n">
        <f aca="false">MAX(0,F1060-I1060-J1060)</f>
        <v>0</v>
      </c>
      <c r="N1060" s="13" t="n">
        <f aca="false">IF(Kalender!A328="",0,J1059-H1060)</f>
        <v>0.0055404</v>
      </c>
    </row>
    <row r="1061" customFormat="false" ht="16.4" hidden="false" customHeight="false" outlineLevel="0" collapsed="false">
      <c r="A1061" s="13" t="str">
        <f aca="false">""</f>
        <v/>
      </c>
      <c r="B1061" s="13" t="n">
        <f aca="false">325</f>
        <v>325</v>
      </c>
      <c r="C1061" s="13" t="n">
        <f aca="false">IF(Szenarien!$H$10="OK",(IFERROR(SUMIF(Nutzungsprofile!$B$6:$B$11,"Schulbetrieb",Nutzungsprofile!$G$6:$G$11)*Kalender!C329/SUM(Kalender!$C$5:$C$370),0)+IFERROR(SUMIF(Nutzungsprofile!$B$6:$B$11,"Halle",Nutzungsprofile!$G$6:$G$11)*Kalender!D329/SUM(Kalender!$D$5:$D$370),0)+IFERROR(SUMIF(Nutzungsprofile!$B$6:$B$11,"Individuell",Nutzungsprofile!$G$6:$G$11)*Kalender!E329/SUM(Kalender!$E$5:$E$370),0))*Szenarien!$E$10,0)</f>
        <v>0</v>
      </c>
      <c r="D1061" s="13" t="n">
        <f aca="false">IF(Szenarien!$H$10="OK",(IFERROR(SUMIF(Nutzungsprofile!$B$17:$B$22,"Schulbetrieb",Nutzungsprofile!$G$17:$G$22)*Kalender!C329/SUM(Kalender!$C$5:$C$370),0)+IFERROR(SUMIF(Nutzungsprofile!$B$17:$B$22,"Halle",Nutzungsprofile!$G$17:$G$22)*Kalender!D329/SUM(Kalender!$D$5:$D$370),0)+IFERROR(SUMIF(Nutzungsprofile!$B$17:$B$22,"Individuell",Nutzungsprofile!$G$17:$G$22)*Kalender!E329/SUM(Kalender!$E$5:$E$370),0))*Szenarien!$D$10,0)</f>
        <v>0</v>
      </c>
      <c r="E1061" s="13" t="n">
        <f aca="false">IFERROR(MIN(C1061,Eingaben!$B$17)*Eingaben!$B$16,0)</f>
        <v>0</v>
      </c>
      <c r="F1061" s="13" t="n">
        <f aca="false">IFERROR(E1061*Eingaben!$B$15,0)</f>
        <v>0</v>
      </c>
      <c r="G1061" s="13" t="n">
        <f aca="false">IFERROR(IF(Kalender!A329="",0,J1060*(1-Eingaben!$B$20)),0)</f>
        <v>0.2714796</v>
      </c>
      <c r="H1061" s="13" t="n">
        <f aca="false">MIN(G1061,D1061)</f>
        <v>0</v>
      </c>
      <c r="I1061" s="13" t="n">
        <f aca="false">IFERROR(MIN(F1061*Eingaben!$B$19,MAX(0,D1061-H1061)),0)</f>
        <v>0</v>
      </c>
      <c r="J1061" s="13" t="n">
        <f aca="false">IFERROR(MIN(Eingaben!$B$18,MAX(0,F1061-I1061)),0)</f>
        <v>0</v>
      </c>
      <c r="K1061" s="13" t="n">
        <f aca="false">H1061+I1061</f>
        <v>0</v>
      </c>
      <c r="L1061" s="13" t="n">
        <f aca="false">MAX(0,D1061-K1061)</f>
        <v>0</v>
      </c>
      <c r="M1061" s="13" t="n">
        <f aca="false">MAX(0,F1061-I1061-J1061)</f>
        <v>0</v>
      </c>
      <c r="N1061" s="13" t="n">
        <f aca="false">IF(Kalender!A329="",0,J1060-H1061)</f>
        <v>0.27702</v>
      </c>
    </row>
    <row r="1062" customFormat="false" ht="16.4" hidden="false" customHeight="false" outlineLevel="0" collapsed="false">
      <c r="A1062" s="13" t="str">
        <f aca="false">""</f>
        <v/>
      </c>
      <c r="B1062" s="13" t="n">
        <f aca="false">326</f>
        <v>326</v>
      </c>
      <c r="C1062" s="13" t="n">
        <f aca="false">IF(Szenarien!$H$10="OK",(IFERROR(SUMIF(Nutzungsprofile!$B$6:$B$11,"Schulbetrieb",Nutzungsprofile!$G$6:$G$11)*Kalender!C330/SUM(Kalender!$C$5:$C$370),0)+IFERROR(SUMIF(Nutzungsprofile!$B$6:$B$11,"Halle",Nutzungsprofile!$G$6:$G$11)*Kalender!D330/SUM(Kalender!$D$5:$D$370),0)+IFERROR(SUMIF(Nutzungsprofile!$B$6:$B$11,"Individuell",Nutzungsprofile!$G$6:$G$11)*Kalender!E330/SUM(Kalender!$E$5:$E$370),0))*Szenarien!$E$10,0)</f>
        <v>0</v>
      </c>
      <c r="D1062" s="13" t="n">
        <f aca="false">IF(Szenarien!$H$10="OK",(IFERROR(SUMIF(Nutzungsprofile!$B$17:$B$22,"Schulbetrieb",Nutzungsprofile!$G$17:$G$22)*Kalender!C330/SUM(Kalender!$C$5:$C$370),0)+IFERROR(SUMIF(Nutzungsprofile!$B$17:$B$22,"Halle",Nutzungsprofile!$G$17:$G$22)*Kalender!D330/SUM(Kalender!$D$5:$D$370),0)+IFERROR(SUMIF(Nutzungsprofile!$B$17:$B$22,"Individuell",Nutzungsprofile!$G$17:$G$22)*Kalender!E330/SUM(Kalender!$E$5:$E$370),0))*Szenarien!$D$10,0)</f>
        <v>0</v>
      </c>
      <c r="E1062" s="13" t="n">
        <f aca="false">IFERROR(MIN(C1062,Eingaben!$B$17)*Eingaben!$B$16,0)</f>
        <v>0</v>
      </c>
      <c r="F1062" s="13" t="n">
        <f aca="false">IFERROR(E1062*Eingaben!$B$15,0)</f>
        <v>0</v>
      </c>
      <c r="G1062" s="13" t="n">
        <f aca="false">IFERROR(IF(Kalender!A330="",0,J1061*(1-Eingaben!$B$20)),0)</f>
        <v>0</v>
      </c>
      <c r="H1062" s="13" t="n">
        <f aca="false">MIN(G1062,D1062)</f>
        <v>0</v>
      </c>
      <c r="I1062" s="13" t="n">
        <f aca="false">IFERROR(MIN(F1062*Eingaben!$B$19,MAX(0,D1062-H1062)),0)</f>
        <v>0</v>
      </c>
      <c r="J1062" s="13" t="n">
        <f aca="false">IFERROR(MIN(Eingaben!$B$18,MAX(0,F1062-I1062)),0)</f>
        <v>0</v>
      </c>
      <c r="K1062" s="13" t="n">
        <f aca="false">H1062+I1062</f>
        <v>0</v>
      </c>
      <c r="L1062" s="13" t="n">
        <f aca="false">MAX(0,D1062-K1062)</f>
        <v>0</v>
      </c>
      <c r="M1062" s="13" t="n">
        <f aca="false">MAX(0,F1062-I1062-J1062)</f>
        <v>0</v>
      </c>
      <c r="N1062" s="13" t="n">
        <f aca="false">IF(Kalender!A330="",0,J1061-H1062)</f>
        <v>0</v>
      </c>
    </row>
    <row r="1063" customFormat="false" ht="16.4" hidden="false" customHeight="false" outlineLevel="0" collapsed="false">
      <c r="A1063" s="13" t="str">
        <f aca="false">""</f>
        <v/>
      </c>
      <c r="B1063" s="13" t="n">
        <f aca="false">327</f>
        <v>327</v>
      </c>
      <c r="C1063" s="13" t="n">
        <f aca="false">IF(Szenarien!$H$10="OK",(IFERROR(SUMIF(Nutzungsprofile!$B$6:$B$11,"Schulbetrieb",Nutzungsprofile!$G$6:$G$11)*Kalender!C331/SUM(Kalender!$C$5:$C$370),0)+IFERROR(SUMIF(Nutzungsprofile!$B$6:$B$11,"Halle",Nutzungsprofile!$G$6:$G$11)*Kalender!D331/SUM(Kalender!$D$5:$D$370),0)+IFERROR(SUMIF(Nutzungsprofile!$B$6:$B$11,"Individuell",Nutzungsprofile!$G$6:$G$11)*Kalender!E331/SUM(Kalender!$E$5:$E$370),0))*Szenarien!$E$10,0)</f>
        <v>1.08</v>
      </c>
      <c r="D1063" s="13" t="n">
        <f aca="false">IF(Szenarien!$H$10="OK",(IFERROR(SUMIF(Nutzungsprofile!$B$17:$B$22,"Schulbetrieb",Nutzungsprofile!$G$17:$G$22)*Kalender!C331/SUM(Kalender!$C$5:$C$370),0)+IFERROR(SUMIF(Nutzungsprofile!$B$17:$B$22,"Halle",Nutzungsprofile!$G$17:$G$22)*Kalender!D331/SUM(Kalender!$D$5:$D$370),0)+IFERROR(SUMIF(Nutzungsprofile!$B$17:$B$22,"Individuell",Nutzungsprofile!$G$17:$G$22)*Kalender!E331/SUM(Kalender!$E$5:$E$370),0))*Szenarien!$D$10,0)</f>
        <v>4.455</v>
      </c>
      <c r="E1063" s="13" t="n">
        <f aca="false">IFERROR(MIN(C1063,Eingaben!$B$17)*Eingaben!$B$16,0)</f>
        <v>1.026</v>
      </c>
      <c r="F1063" s="13" t="n">
        <f aca="false">IFERROR(E1063*Eingaben!$B$15,0)</f>
        <v>0.9234</v>
      </c>
      <c r="G1063" s="13" t="n">
        <f aca="false">IFERROR(IF(Kalender!A331="",0,J1062*(1-Eingaben!$B$20)),0)</f>
        <v>0</v>
      </c>
      <c r="H1063" s="13" t="n">
        <f aca="false">MIN(G1063,D1063)</f>
        <v>0</v>
      </c>
      <c r="I1063" s="13" t="n">
        <f aca="false">IFERROR(MIN(F1063*Eingaben!$B$19,MAX(0,D1063-H1063)),0)</f>
        <v>0.64638</v>
      </c>
      <c r="J1063" s="13" t="n">
        <f aca="false">IFERROR(MIN(Eingaben!$B$18,MAX(0,F1063-I1063)),0)</f>
        <v>0.27702</v>
      </c>
      <c r="K1063" s="13" t="n">
        <f aca="false">H1063+I1063</f>
        <v>0.64638</v>
      </c>
      <c r="L1063" s="13" t="n">
        <f aca="false">MAX(0,D1063-K1063)</f>
        <v>3.80862</v>
      </c>
      <c r="M1063" s="13" t="n">
        <f aca="false">MAX(0,F1063-I1063-J1063)</f>
        <v>0</v>
      </c>
      <c r="N1063" s="13" t="n">
        <f aca="false">IF(Kalender!A331="",0,J1062-H1063)</f>
        <v>0</v>
      </c>
    </row>
    <row r="1064" customFormat="false" ht="16.4" hidden="false" customHeight="false" outlineLevel="0" collapsed="false">
      <c r="A1064" s="13" t="str">
        <f aca="false">""</f>
        <v/>
      </c>
      <c r="B1064" s="13" t="n">
        <f aca="false">328</f>
        <v>328</v>
      </c>
      <c r="C1064" s="13" t="n">
        <f aca="false">IF(Szenarien!$H$10="OK",(IFERROR(SUMIF(Nutzungsprofile!$B$6:$B$11,"Schulbetrieb",Nutzungsprofile!$G$6:$G$11)*Kalender!C332/SUM(Kalender!$C$5:$C$370),0)+IFERROR(SUMIF(Nutzungsprofile!$B$6:$B$11,"Halle",Nutzungsprofile!$G$6:$G$11)*Kalender!D332/SUM(Kalender!$D$5:$D$370),0)+IFERROR(SUMIF(Nutzungsprofile!$B$6:$B$11,"Individuell",Nutzungsprofile!$G$6:$G$11)*Kalender!E332/SUM(Kalender!$E$5:$E$370),0))*Szenarien!$E$10,0)</f>
        <v>1.08</v>
      </c>
      <c r="D1064" s="13" t="n">
        <f aca="false">IF(Szenarien!$H$10="OK",(IFERROR(SUMIF(Nutzungsprofile!$B$17:$B$22,"Schulbetrieb",Nutzungsprofile!$G$17:$G$22)*Kalender!C332/SUM(Kalender!$C$5:$C$370),0)+IFERROR(SUMIF(Nutzungsprofile!$B$17:$B$22,"Halle",Nutzungsprofile!$G$17:$G$22)*Kalender!D332/SUM(Kalender!$D$5:$D$370),0)+IFERROR(SUMIF(Nutzungsprofile!$B$17:$B$22,"Individuell",Nutzungsprofile!$G$17:$G$22)*Kalender!E332/SUM(Kalender!$E$5:$E$370),0))*Szenarien!$D$10,0)</f>
        <v>4.455</v>
      </c>
      <c r="E1064" s="13" t="n">
        <f aca="false">IFERROR(MIN(C1064,Eingaben!$B$17)*Eingaben!$B$16,0)</f>
        <v>1.026</v>
      </c>
      <c r="F1064" s="13" t="n">
        <f aca="false">IFERROR(E1064*Eingaben!$B$15,0)</f>
        <v>0.9234</v>
      </c>
      <c r="G1064" s="13" t="n">
        <f aca="false">IFERROR(IF(Kalender!A332="",0,J1063*(1-Eingaben!$B$20)),0)</f>
        <v>0.2714796</v>
      </c>
      <c r="H1064" s="13" t="n">
        <f aca="false">MIN(G1064,D1064)</f>
        <v>0.2714796</v>
      </c>
      <c r="I1064" s="13" t="n">
        <f aca="false">IFERROR(MIN(F1064*Eingaben!$B$19,MAX(0,D1064-H1064)),0)</f>
        <v>0.64638</v>
      </c>
      <c r="J1064" s="13" t="n">
        <f aca="false">IFERROR(MIN(Eingaben!$B$18,MAX(0,F1064-I1064)),0)</f>
        <v>0.27702</v>
      </c>
      <c r="K1064" s="13" t="n">
        <f aca="false">H1064+I1064</f>
        <v>0.9178596</v>
      </c>
      <c r="L1064" s="13" t="n">
        <f aca="false">MAX(0,D1064-K1064)</f>
        <v>3.5371404</v>
      </c>
      <c r="M1064" s="13" t="n">
        <f aca="false">MAX(0,F1064-I1064-J1064)</f>
        <v>0</v>
      </c>
      <c r="N1064" s="13" t="n">
        <f aca="false">IF(Kalender!A332="",0,J1063-H1064)</f>
        <v>0.0055404</v>
      </c>
    </row>
    <row r="1065" customFormat="false" ht="16.4" hidden="false" customHeight="false" outlineLevel="0" collapsed="false">
      <c r="A1065" s="13" t="str">
        <f aca="false">""</f>
        <v/>
      </c>
      <c r="B1065" s="13" t="n">
        <f aca="false">329</f>
        <v>329</v>
      </c>
      <c r="C1065" s="13" t="n">
        <f aca="false">IF(Szenarien!$H$10="OK",(IFERROR(SUMIF(Nutzungsprofile!$B$6:$B$11,"Schulbetrieb",Nutzungsprofile!$G$6:$G$11)*Kalender!C333/SUM(Kalender!$C$5:$C$370),0)+IFERROR(SUMIF(Nutzungsprofile!$B$6:$B$11,"Halle",Nutzungsprofile!$G$6:$G$11)*Kalender!D333/SUM(Kalender!$D$5:$D$370),0)+IFERROR(SUMIF(Nutzungsprofile!$B$6:$B$11,"Individuell",Nutzungsprofile!$G$6:$G$11)*Kalender!E333/SUM(Kalender!$E$5:$E$370),0))*Szenarien!$E$10,0)</f>
        <v>0</v>
      </c>
      <c r="D1065" s="13" t="n">
        <f aca="false">IF(Szenarien!$H$10="OK",(IFERROR(SUMIF(Nutzungsprofile!$B$17:$B$22,"Schulbetrieb",Nutzungsprofile!$G$17:$G$22)*Kalender!C333/SUM(Kalender!$C$5:$C$370),0)+IFERROR(SUMIF(Nutzungsprofile!$B$17:$B$22,"Halle",Nutzungsprofile!$G$17:$G$22)*Kalender!D333/SUM(Kalender!$D$5:$D$370),0)+IFERROR(SUMIF(Nutzungsprofile!$B$17:$B$22,"Individuell",Nutzungsprofile!$G$17:$G$22)*Kalender!E333/SUM(Kalender!$E$5:$E$370),0))*Szenarien!$D$10,0)</f>
        <v>0</v>
      </c>
      <c r="E1065" s="13" t="n">
        <f aca="false">IFERROR(MIN(C1065,Eingaben!$B$17)*Eingaben!$B$16,0)</f>
        <v>0</v>
      </c>
      <c r="F1065" s="13" t="n">
        <f aca="false">IFERROR(E1065*Eingaben!$B$15,0)</f>
        <v>0</v>
      </c>
      <c r="G1065" s="13" t="n">
        <f aca="false">IFERROR(IF(Kalender!A333="",0,J1064*(1-Eingaben!$B$20)),0)</f>
        <v>0.2714796</v>
      </c>
      <c r="H1065" s="13" t="n">
        <f aca="false">MIN(G1065,D1065)</f>
        <v>0</v>
      </c>
      <c r="I1065" s="13" t="n">
        <f aca="false">IFERROR(MIN(F1065*Eingaben!$B$19,MAX(0,D1065-H1065)),0)</f>
        <v>0</v>
      </c>
      <c r="J1065" s="13" t="n">
        <f aca="false">IFERROR(MIN(Eingaben!$B$18,MAX(0,F1065-I1065)),0)</f>
        <v>0</v>
      </c>
      <c r="K1065" s="13" t="n">
        <f aca="false">H1065+I1065</f>
        <v>0</v>
      </c>
      <c r="L1065" s="13" t="n">
        <f aca="false">MAX(0,D1065-K1065)</f>
        <v>0</v>
      </c>
      <c r="M1065" s="13" t="n">
        <f aca="false">MAX(0,F1065-I1065-J1065)</f>
        <v>0</v>
      </c>
      <c r="N1065" s="13" t="n">
        <f aca="false">IF(Kalender!A333="",0,J1064-H1065)</f>
        <v>0.27702</v>
      </c>
    </row>
    <row r="1066" customFormat="false" ht="16.4" hidden="false" customHeight="false" outlineLevel="0" collapsed="false">
      <c r="A1066" s="13" t="str">
        <f aca="false">""</f>
        <v/>
      </c>
      <c r="B1066" s="13" t="n">
        <f aca="false">330</f>
        <v>330</v>
      </c>
      <c r="C1066" s="13" t="n">
        <f aca="false">IF(Szenarien!$H$10="OK",(IFERROR(SUMIF(Nutzungsprofile!$B$6:$B$11,"Schulbetrieb",Nutzungsprofile!$G$6:$G$11)*Kalender!C334/SUM(Kalender!$C$5:$C$370),0)+IFERROR(SUMIF(Nutzungsprofile!$B$6:$B$11,"Halle",Nutzungsprofile!$G$6:$G$11)*Kalender!D334/SUM(Kalender!$D$5:$D$370),0)+IFERROR(SUMIF(Nutzungsprofile!$B$6:$B$11,"Individuell",Nutzungsprofile!$G$6:$G$11)*Kalender!E334/SUM(Kalender!$E$5:$E$370),0))*Szenarien!$E$10,0)</f>
        <v>0</v>
      </c>
      <c r="D1066" s="13" t="n">
        <f aca="false">IF(Szenarien!$H$10="OK",(IFERROR(SUMIF(Nutzungsprofile!$B$17:$B$22,"Schulbetrieb",Nutzungsprofile!$G$17:$G$22)*Kalender!C334/SUM(Kalender!$C$5:$C$370),0)+IFERROR(SUMIF(Nutzungsprofile!$B$17:$B$22,"Halle",Nutzungsprofile!$G$17:$G$22)*Kalender!D334/SUM(Kalender!$D$5:$D$370),0)+IFERROR(SUMIF(Nutzungsprofile!$B$17:$B$22,"Individuell",Nutzungsprofile!$G$17:$G$22)*Kalender!E334/SUM(Kalender!$E$5:$E$370),0))*Szenarien!$D$10,0)</f>
        <v>0</v>
      </c>
      <c r="E1066" s="13" t="n">
        <f aca="false">IFERROR(MIN(C1066,Eingaben!$B$17)*Eingaben!$B$16,0)</f>
        <v>0</v>
      </c>
      <c r="F1066" s="13" t="n">
        <f aca="false">IFERROR(E1066*Eingaben!$B$15,0)</f>
        <v>0</v>
      </c>
      <c r="G1066" s="13" t="n">
        <f aca="false">IFERROR(IF(Kalender!A334="",0,J1065*(1-Eingaben!$B$20)),0)</f>
        <v>0</v>
      </c>
      <c r="H1066" s="13" t="n">
        <f aca="false">MIN(G1066,D1066)</f>
        <v>0</v>
      </c>
      <c r="I1066" s="13" t="n">
        <f aca="false">IFERROR(MIN(F1066*Eingaben!$B$19,MAX(0,D1066-H1066)),0)</f>
        <v>0</v>
      </c>
      <c r="J1066" s="13" t="n">
        <f aca="false">IFERROR(MIN(Eingaben!$B$18,MAX(0,F1066-I1066)),0)</f>
        <v>0</v>
      </c>
      <c r="K1066" s="13" t="n">
        <f aca="false">H1066+I1066</f>
        <v>0</v>
      </c>
      <c r="L1066" s="13" t="n">
        <f aca="false">MAX(0,D1066-K1066)</f>
        <v>0</v>
      </c>
      <c r="M1066" s="13" t="n">
        <f aca="false">MAX(0,F1066-I1066-J1066)</f>
        <v>0</v>
      </c>
      <c r="N1066" s="13" t="n">
        <f aca="false">IF(Kalender!A334="",0,J1065-H1066)</f>
        <v>0</v>
      </c>
    </row>
    <row r="1067" customFormat="false" ht="16.4" hidden="false" customHeight="false" outlineLevel="0" collapsed="false">
      <c r="A1067" s="13" t="str">
        <f aca="false">""</f>
        <v/>
      </c>
      <c r="B1067" s="13" t="n">
        <f aca="false">331</f>
        <v>331</v>
      </c>
      <c r="C1067" s="13" t="n">
        <f aca="false">IF(Szenarien!$H$10="OK",(IFERROR(SUMIF(Nutzungsprofile!$B$6:$B$11,"Schulbetrieb",Nutzungsprofile!$G$6:$G$11)*Kalender!C335/SUM(Kalender!$C$5:$C$370),0)+IFERROR(SUMIF(Nutzungsprofile!$B$6:$B$11,"Halle",Nutzungsprofile!$G$6:$G$11)*Kalender!D335/SUM(Kalender!$D$5:$D$370),0)+IFERROR(SUMIF(Nutzungsprofile!$B$6:$B$11,"Individuell",Nutzungsprofile!$G$6:$G$11)*Kalender!E335/SUM(Kalender!$E$5:$E$370),0))*Szenarien!$E$10,0)</f>
        <v>0</v>
      </c>
      <c r="D1067" s="13" t="n">
        <f aca="false">IF(Szenarien!$H$10="OK",(IFERROR(SUMIF(Nutzungsprofile!$B$17:$B$22,"Schulbetrieb",Nutzungsprofile!$G$17:$G$22)*Kalender!C335/SUM(Kalender!$C$5:$C$370),0)+IFERROR(SUMIF(Nutzungsprofile!$B$17:$B$22,"Halle",Nutzungsprofile!$G$17:$G$22)*Kalender!D335/SUM(Kalender!$D$5:$D$370),0)+IFERROR(SUMIF(Nutzungsprofile!$B$17:$B$22,"Individuell",Nutzungsprofile!$G$17:$G$22)*Kalender!E335/SUM(Kalender!$E$5:$E$370),0))*Szenarien!$D$10,0)</f>
        <v>0</v>
      </c>
      <c r="E1067" s="13" t="n">
        <f aca="false">IFERROR(MIN(C1067,Eingaben!$B$17)*Eingaben!$B$16,0)</f>
        <v>0</v>
      </c>
      <c r="F1067" s="13" t="n">
        <f aca="false">IFERROR(E1067*Eingaben!$B$15,0)</f>
        <v>0</v>
      </c>
      <c r="G1067" s="13" t="n">
        <f aca="false">IFERROR(IF(Kalender!A335="",0,J1066*(1-Eingaben!$B$20)),0)</f>
        <v>0</v>
      </c>
      <c r="H1067" s="13" t="n">
        <f aca="false">MIN(G1067,D1067)</f>
        <v>0</v>
      </c>
      <c r="I1067" s="13" t="n">
        <f aca="false">IFERROR(MIN(F1067*Eingaben!$B$19,MAX(0,D1067-H1067)),0)</f>
        <v>0</v>
      </c>
      <c r="J1067" s="13" t="n">
        <f aca="false">IFERROR(MIN(Eingaben!$B$18,MAX(0,F1067-I1067)),0)</f>
        <v>0</v>
      </c>
      <c r="K1067" s="13" t="n">
        <f aca="false">H1067+I1067</f>
        <v>0</v>
      </c>
      <c r="L1067" s="13" t="n">
        <f aca="false">MAX(0,D1067-K1067)</f>
        <v>0</v>
      </c>
      <c r="M1067" s="13" t="n">
        <f aca="false">MAX(0,F1067-I1067-J1067)</f>
        <v>0</v>
      </c>
      <c r="N1067" s="13" t="n">
        <f aca="false">IF(Kalender!A335="",0,J1066-H1067)</f>
        <v>0</v>
      </c>
    </row>
    <row r="1068" customFormat="false" ht="16.4" hidden="false" customHeight="false" outlineLevel="0" collapsed="false">
      <c r="A1068" s="13" t="str">
        <f aca="false">""</f>
        <v/>
      </c>
      <c r="B1068" s="13" t="n">
        <f aca="false">332</f>
        <v>332</v>
      </c>
      <c r="C1068" s="13" t="n">
        <f aca="false">IF(Szenarien!$H$10="OK",(IFERROR(SUMIF(Nutzungsprofile!$B$6:$B$11,"Schulbetrieb",Nutzungsprofile!$G$6:$G$11)*Kalender!C336/SUM(Kalender!$C$5:$C$370),0)+IFERROR(SUMIF(Nutzungsprofile!$B$6:$B$11,"Halle",Nutzungsprofile!$G$6:$G$11)*Kalender!D336/SUM(Kalender!$D$5:$D$370),0)+IFERROR(SUMIF(Nutzungsprofile!$B$6:$B$11,"Individuell",Nutzungsprofile!$G$6:$G$11)*Kalender!E336/SUM(Kalender!$E$5:$E$370),0))*Szenarien!$E$10,0)</f>
        <v>0</v>
      </c>
      <c r="D1068" s="13" t="n">
        <f aca="false">IF(Szenarien!$H$10="OK",(IFERROR(SUMIF(Nutzungsprofile!$B$17:$B$22,"Schulbetrieb",Nutzungsprofile!$G$17:$G$22)*Kalender!C336/SUM(Kalender!$C$5:$C$370),0)+IFERROR(SUMIF(Nutzungsprofile!$B$17:$B$22,"Halle",Nutzungsprofile!$G$17:$G$22)*Kalender!D336/SUM(Kalender!$D$5:$D$370),0)+IFERROR(SUMIF(Nutzungsprofile!$B$17:$B$22,"Individuell",Nutzungsprofile!$G$17:$G$22)*Kalender!E336/SUM(Kalender!$E$5:$E$370),0))*Szenarien!$D$10,0)</f>
        <v>0</v>
      </c>
      <c r="E1068" s="13" t="n">
        <f aca="false">IFERROR(MIN(C1068,Eingaben!$B$17)*Eingaben!$B$16,0)</f>
        <v>0</v>
      </c>
      <c r="F1068" s="13" t="n">
        <f aca="false">IFERROR(E1068*Eingaben!$B$15,0)</f>
        <v>0</v>
      </c>
      <c r="G1068" s="13" t="n">
        <f aca="false">IFERROR(IF(Kalender!A336="",0,J1067*(1-Eingaben!$B$20)),0)</f>
        <v>0</v>
      </c>
      <c r="H1068" s="13" t="n">
        <f aca="false">MIN(G1068,D1068)</f>
        <v>0</v>
      </c>
      <c r="I1068" s="13" t="n">
        <f aca="false">IFERROR(MIN(F1068*Eingaben!$B$19,MAX(0,D1068-H1068)),0)</f>
        <v>0</v>
      </c>
      <c r="J1068" s="13" t="n">
        <f aca="false">IFERROR(MIN(Eingaben!$B$18,MAX(0,F1068-I1068)),0)</f>
        <v>0</v>
      </c>
      <c r="K1068" s="13" t="n">
        <f aca="false">H1068+I1068</f>
        <v>0</v>
      </c>
      <c r="L1068" s="13" t="n">
        <f aca="false">MAX(0,D1068-K1068)</f>
        <v>0</v>
      </c>
      <c r="M1068" s="13" t="n">
        <f aca="false">MAX(0,F1068-I1068-J1068)</f>
        <v>0</v>
      </c>
      <c r="N1068" s="13" t="n">
        <f aca="false">IF(Kalender!A336="",0,J1067-H1068)</f>
        <v>0</v>
      </c>
    </row>
    <row r="1069" customFormat="false" ht="16.4" hidden="false" customHeight="false" outlineLevel="0" collapsed="false">
      <c r="A1069" s="13" t="str">
        <f aca="false">""</f>
        <v/>
      </c>
      <c r="B1069" s="13" t="n">
        <f aca="false">333</f>
        <v>333</v>
      </c>
      <c r="C1069" s="13" t="n">
        <f aca="false">IF(Szenarien!$H$10="OK",(IFERROR(SUMIF(Nutzungsprofile!$B$6:$B$11,"Schulbetrieb",Nutzungsprofile!$G$6:$G$11)*Kalender!C337/SUM(Kalender!$C$5:$C$370),0)+IFERROR(SUMIF(Nutzungsprofile!$B$6:$B$11,"Halle",Nutzungsprofile!$G$6:$G$11)*Kalender!D337/SUM(Kalender!$D$5:$D$370),0)+IFERROR(SUMIF(Nutzungsprofile!$B$6:$B$11,"Individuell",Nutzungsprofile!$G$6:$G$11)*Kalender!E337/SUM(Kalender!$E$5:$E$370),0))*Szenarien!$E$10,0)</f>
        <v>0</v>
      </c>
      <c r="D1069" s="13" t="n">
        <f aca="false">IF(Szenarien!$H$10="OK",(IFERROR(SUMIF(Nutzungsprofile!$B$17:$B$22,"Schulbetrieb",Nutzungsprofile!$G$17:$G$22)*Kalender!C337/SUM(Kalender!$C$5:$C$370),0)+IFERROR(SUMIF(Nutzungsprofile!$B$17:$B$22,"Halle",Nutzungsprofile!$G$17:$G$22)*Kalender!D337/SUM(Kalender!$D$5:$D$370),0)+IFERROR(SUMIF(Nutzungsprofile!$B$17:$B$22,"Individuell",Nutzungsprofile!$G$17:$G$22)*Kalender!E337/SUM(Kalender!$E$5:$E$370),0))*Szenarien!$D$10,0)</f>
        <v>0</v>
      </c>
      <c r="E1069" s="13" t="n">
        <f aca="false">IFERROR(MIN(C1069,Eingaben!$B$17)*Eingaben!$B$16,0)</f>
        <v>0</v>
      </c>
      <c r="F1069" s="13" t="n">
        <f aca="false">IFERROR(E1069*Eingaben!$B$15,0)</f>
        <v>0</v>
      </c>
      <c r="G1069" s="13" t="n">
        <f aca="false">IFERROR(IF(Kalender!A337="",0,J1068*(1-Eingaben!$B$20)),0)</f>
        <v>0</v>
      </c>
      <c r="H1069" s="13" t="n">
        <f aca="false">MIN(G1069,D1069)</f>
        <v>0</v>
      </c>
      <c r="I1069" s="13" t="n">
        <f aca="false">IFERROR(MIN(F1069*Eingaben!$B$19,MAX(0,D1069-H1069)),0)</f>
        <v>0</v>
      </c>
      <c r="J1069" s="13" t="n">
        <f aca="false">IFERROR(MIN(Eingaben!$B$18,MAX(0,F1069-I1069)),0)</f>
        <v>0</v>
      </c>
      <c r="K1069" s="13" t="n">
        <f aca="false">H1069+I1069</f>
        <v>0</v>
      </c>
      <c r="L1069" s="13" t="n">
        <f aca="false">MAX(0,D1069-K1069)</f>
        <v>0</v>
      </c>
      <c r="M1069" s="13" t="n">
        <f aca="false">MAX(0,F1069-I1069-J1069)</f>
        <v>0</v>
      </c>
      <c r="N1069" s="13" t="n">
        <f aca="false">IF(Kalender!A337="",0,J1068-H1069)</f>
        <v>0</v>
      </c>
    </row>
    <row r="1070" customFormat="false" ht="16.4" hidden="false" customHeight="false" outlineLevel="0" collapsed="false">
      <c r="A1070" s="13" t="str">
        <f aca="false">""</f>
        <v/>
      </c>
      <c r="B1070" s="13" t="n">
        <f aca="false">334</f>
        <v>334</v>
      </c>
      <c r="C1070" s="13" t="n">
        <f aca="false">IF(Szenarien!$H$10="OK",(IFERROR(SUMIF(Nutzungsprofile!$B$6:$B$11,"Schulbetrieb",Nutzungsprofile!$G$6:$G$11)*Kalender!C338/SUM(Kalender!$C$5:$C$370),0)+IFERROR(SUMIF(Nutzungsprofile!$B$6:$B$11,"Halle",Nutzungsprofile!$G$6:$G$11)*Kalender!D338/SUM(Kalender!$D$5:$D$370),0)+IFERROR(SUMIF(Nutzungsprofile!$B$6:$B$11,"Individuell",Nutzungsprofile!$G$6:$G$11)*Kalender!E338/SUM(Kalender!$E$5:$E$370),0))*Szenarien!$E$10,0)</f>
        <v>0</v>
      </c>
      <c r="D1070" s="13" t="n">
        <f aca="false">IF(Szenarien!$H$10="OK",(IFERROR(SUMIF(Nutzungsprofile!$B$17:$B$22,"Schulbetrieb",Nutzungsprofile!$G$17:$G$22)*Kalender!C338/SUM(Kalender!$C$5:$C$370),0)+IFERROR(SUMIF(Nutzungsprofile!$B$17:$B$22,"Halle",Nutzungsprofile!$G$17:$G$22)*Kalender!D338/SUM(Kalender!$D$5:$D$370),0)+IFERROR(SUMIF(Nutzungsprofile!$B$17:$B$22,"Individuell",Nutzungsprofile!$G$17:$G$22)*Kalender!E338/SUM(Kalender!$E$5:$E$370),0))*Szenarien!$D$10,0)</f>
        <v>0</v>
      </c>
      <c r="E1070" s="13" t="n">
        <f aca="false">IFERROR(MIN(C1070,Eingaben!$B$17)*Eingaben!$B$16,0)</f>
        <v>0</v>
      </c>
      <c r="F1070" s="13" t="n">
        <f aca="false">IFERROR(E1070*Eingaben!$B$15,0)</f>
        <v>0</v>
      </c>
      <c r="G1070" s="13" t="n">
        <f aca="false">IFERROR(IF(Kalender!A338="",0,J1069*(1-Eingaben!$B$20)),0)</f>
        <v>0</v>
      </c>
      <c r="H1070" s="13" t="n">
        <f aca="false">MIN(G1070,D1070)</f>
        <v>0</v>
      </c>
      <c r="I1070" s="13" t="n">
        <f aca="false">IFERROR(MIN(F1070*Eingaben!$B$19,MAX(0,D1070-H1070)),0)</f>
        <v>0</v>
      </c>
      <c r="J1070" s="13" t="n">
        <f aca="false">IFERROR(MIN(Eingaben!$B$18,MAX(0,F1070-I1070)),0)</f>
        <v>0</v>
      </c>
      <c r="K1070" s="13" t="n">
        <f aca="false">H1070+I1070</f>
        <v>0</v>
      </c>
      <c r="L1070" s="13" t="n">
        <f aca="false">MAX(0,D1070-K1070)</f>
        <v>0</v>
      </c>
      <c r="M1070" s="13" t="n">
        <f aca="false">MAX(0,F1070-I1070-J1070)</f>
        <v>0</v>
      </c>
      <c r="N1070" s="13" t="n">
        <f aca="false">IF(Kalender!A338="",0,J1069-H1070)</f>
        <v>0</v>
      </c>
    </row>
    <row r="1071" customFormat="false" ht="16.4" hidden="false" customHeight="false" outlineLevel="0" collapsed="false">
      <c r="A1071" s="13" t="str">
        <f aca="false">""</f>
        <v/>
      </c>
      <c r="B1071" s="13" t="n">
        <f aca="false">335</f>
        <v>335</v>
      </c>
      <c r="C1071" s="13" t="n">
        <f aca="false">IF(Szenarien!$H$10="OK",(IFERROR(SUMIF(Nutzungsprofile!$B$6:$B$11,"Schulbetrieb",Nutzungsprofile!$G$6:$G$11)*Kalender!C339/SUM(Kalender!$C$5:$C$370),0)+IFERROR(SUMIF(Nutzungsprofile!$B$6:$B$11,"Halle",Nutzungsprofile!$G$6:$G$11)*Kalender!D339/SUM(Kalender!$D$5:$D$370),0)+IFERROR(SUMIF(Nutzungsprofile!$B$6:$B$11,"Individuell",Nutzungsprofile!$G$6:$G$11)*Kalender!E339/SUM(Kalender!$E$5:$E$370),0))*Szenarien!$E$10,0)</f>
        <v>0</v>
      </c>
      <c r="D1071" s="13" t="n">
        <f aca="false">IF(Szenarien!$H$10="OK",(IFERROR(SUMIF(Nutzungsprofile!$B$17:$B$22,"Schulbetrieb",Nutzungsprofile!$G$17:$G$22)*Kalender!C339/SUM(Kalender!$C$5:$C$370),0)+IFERROR(SUMIF(Nutzungsprofile!$B$17:$B$22,"Halle",Nutzungsprofile!$G$17:$G$22)*Kalender!D339/SUM(Kalender!$D$5:$D$370),0)+IFERROR(SUMIF(Nutzungsprofile!$B$17:$B$22,"Individuell",Nutzungsprofile!$G$17:$G$22)*Kalender!E339/SUM(Kalender!$E$5:$E$370),0))*Szenarien!$D$10,0)</f>
        <v>0</v>
      </c>
      <c r="E1071" s="13" t="n">
        <f aca="false">IFERROR(MIN(C1071,Eingaben!$B$17)*Eingaben!$B$16,0)</f>
        <v>0</v>
      </c>
      <c r="F1071" s="13" t="n">
        <f aca="false">IFERROR(E1071*Eingaben!$B$15,0)</f>
        <v>0</v>
      </c>
      <c r="G1071" s="13" t="n">
        <f aca="false">IFERROR(IF(Kalender!A339="",0,J1070*(1-Eingaben!$B$20)),0)</f>
        <v>0</v>
      </c>
      <c r="H1071" s="13" t="n">
        <f aca="false">MIN(G1071,D1071)</f>
        <v>0</v>
      </c>
      <c r="I1071" s="13" t="n">
        <f aca="false">IFERROR(MIN(F1071*Eingaben!$B$19,MAX(0,D1071-H1071)),0)</f>
        <v>0</v>
      </c>
      <c r="J1071" s="13" t="n">
        <f aca="false">IFERROR(MIN(Eingaben!$B$18,MAX(0,F1071-I1071)),0)</f>
        <v>0</v>
      </c>
      <c r="K1071" s="13" t="n">
        <f aca="false">H1071+I1071</f>
        <v>0</v>
      </c>
      <c r="L1071" s="13" t="n">
        <f aca="false">MAX(0,D1071-K1071)</f>
        <v>0</v>
      </c>
      <c r="M1071" s="13" t="n">
        <f aca="false">MAX(0,F1071-I1071-J1071)</f>
        <v>0</v>
      </c>
      <c r="N1071" s="13" t="n">
        <f aca="false">IF(Kalender!A339="",0,J1070-H1071)</f>
        <v>0</v>
      </c>
    </row>
    <row r="1072" customFormat="false" ht="16.4" hidden="false" customHeight="false" outlineLevel="0" collapsed="false">
      <c r="A1072" s="13" t="str">
        <f aca="false">""</f>
        <v/>
      </c>
      <c r="B1072" s="13" t="n">
        <f aca="false">336</f>
        <v>336</v>
      </c>
      <c r="C1072" s="13" t="n">
        <f aca="false">IF(Szenarien!$H$10="OK",(IFERROR(SUMIF(Nutzungsprofile!$B$6:$B$11,"Schulbetrieb",Nutzungsprofile!$G$6:$G$11)*Kalender!C340/SUM(Kalender!$C$5:$C$370),0)+IFERROR(SUMIF(Nutzungsprofile!$B$6:$B$11,"Halle",Nutzungsprofile!$G$6:$G$11)*Kalender!D340/SUM(Kalender!$D$5:$D$370),0)+IFERROR(SUMIF(Nutzungsprofile!$B$6:$B$11,"Individuell",Nutzungsprofile!$G$6:$G$11)*Kalender!E340/SUM(Kalender!$E$5:$E$370),0))*Szenarien!$E$10,0)</f>
        <v>0</v>
      </c>
      <c r="D1072" s="13" t="n">
        <f aca="false">IF(Szenarien!$H$10="OK",(IFERROR(SUMIF(Nutzungsprofile!$B$17:$B$22,"Schulbetrieb",Nutzungsprofile!$G$17:$G$22)*Kalender!C340/SUM(Kalender!$C$5:$C$370),0)+IFERROR(SUMIF(Nutzungsprofile!$B$17:$B$22,"Halle",Nutzungsprofile!$G$17:$G$22)*Kalender!D340/SUM(Kalender!$D$5:$D$370),0)+IFERROR(SUMIF(Nutzungsprofile!$B$17:$B$22,"Individuell",Nutzungsprofile!$G$17:$G$22)*Kalender!E340/SUM(Kalender!$E$5:$E$370),0))*Szenarien!$D$10,0)</f>
        <v>0</v>
      </c>
      <c r="E1072" s="13" t="n">
        <f aca="false">IFERROR(MIN(C1072,Eingaben!$B$17)*Eingaben!$B$16,0)</f>
        <v>0</v>
      </c>
      <c r="F1072" s="13" t="n">
        <f aca="false">IFERROR(E1072*Eingaben!$B$15,0)</f>
        <v>0</v>
      </c>
      <c r="G1072" s="13" t="n">
        <f aca="false">IFERROR(IF(Kalender!A340="",0,J1071*(1-Eingaben!$B$20)),0)</f>
        <v>0</v>
      </c>
      <c r="H1072" s="13" t="n">
        <f aca="false">MIN(G1072,D1072)</f>
        <v>0</v>
      </c>
      <c r="I1072" s="13" t="n">
        <f aca="false">IFERROR(MIN(F1072*Eingaben!$B$19,MAX(0,D1072-H1072)),0)</f>
        <v>0</v>
      </c>
      <c r="J1072" s="13" t="n">
        <f aca="false">IFERROR(MIN(Eingaben!$B$18,MAX(0,F1072-I1072)),0)</f>
        <v>0</v>
      </c>
      <c r="K1072" s="13" t="n">
        <f aca="false">H1072+I1072</f>
        <v>0</v>
      </c>
      <c r="L1072" s="13" t="n">
        <f aca="false">MAX(0,D1072-K1072)</f>
        <v>0</v>
      </c>
      <c r="M1072" s="13" t="n">
        <f aca="false">MAX(0,F1072-I1072-J1072)</f>
        <v>0</v>
      </c>
      <c r="N1072" s="13" t="n">
        <f aca="false">IF(Kalender!A340="",0,J1071-H1072)</f>
        <v>0</v>
      </c>
    </row>
    <row r="1073" customFormat="false" ht="16.4" hidden="false" customHeight="false" outlineLevel="0" collapsed="false">
      <c r="A1073" s="13" t="str">
        <f aca="false">""</f>
        <v/>
      </c>
      <c r="B1073" s="13" t="n">
        <f aca="false">337</f>
        <v>337</v>
      </c>
      <c r="C1073" s="13" t="n">
        <f aca="false">IF(Szenarien!$H$10="OK",(IFERROR(SUMIF(Nutzungsprofile!$B$6:$B$11,"Schulbetrieb",Nutzungsprofile!$G$6:$G$11)*Kalender!C341/SUM(Kalender!$C$5:$C$370),0)+IFERROR(SUMIF(Nutzungsprofile!$B$6:$B$11,"Halle",Nutzungsprofile!$G$6:$G$11)*Kalender!D341/SUM(Kalender!$D$5:$D$370),0)+IFERROR(SUMIF(Nutzungsprofile!$B$6:$B$11,"Individuell",Nutzungsprofile!$G$6:$G$11)*Kalender!E341/SUM(Kalender!$E$5:$E$370),0))*Szenarien!$E$10,0)</f>
        <v>0</v>
      </c>
      <c r="D1073" s="13" t="n">
        <f aca="false">IF(Szenarien!$H$10="OK",(IFERROR(SUMIF(Nutzungsprofile!$B$17:$B$22,"Schulbetrieb",Nutzungsprofile!$G$17:$G$22)*Kalender!C341/SUM(Kalender!$C$5:$C$370),0)+IFERROR(SUMIF(Nutzungsprofile!$B$17:$B$22,"Halle",Nutzungsprofile!$G$17:$G$22)*Kalender!D341/SUM(Kalender!$D$5:$D$370),0)+IFERROR(SUMIF(Nutzungsprofile!$B$17:$B$22,"Individuell",Nutzungsprofile!$G$17:$G$22)*Kalender!E341/SUM(Kalender!$E$5:$E$370),0))*Szenarien!$D$10,0)</f>
        <v>0</v>
      </c>
      <c r="E1073" s="13" t="n">
        <f aca="false">IFERROR(MIN(C1073,Eingaben!$B$17)*Eingaben!$B$16,0)</f>
        <v>0</v>
      </c>
      <c r="F1073" s="13" t="n">
        <f aca="false">IFERROR(E1073*Eingaben!$B$15,0)</f>
        <v>0</v>
      </c>
      <c r="G1073" s="13" t="n">
        <f aca="false">IFERROR(IF(Kalender!A341="",0,J1072*(1-Eingaben!$B$20)),0)</f>
        <v>0</v>
      </c>
      <c r="H1073" s="13" t="n">
        <f aca="false">MIN(G1073,D1073)</f>
        <v>0</v>
      </c>
      <c r="I1073" s="13" t="n">
        <f aca="false">IFERROR(MIN(F1073*Eingaben!$B$19,MAX(0,D1073-H1073)),0)</f>
        <v>0</v>
      </c>
      <c r="J1073" s="13" t="n">
        <f aca="false">IFERROR(MIN(Eingaben!$B$18,MAX(0,F1073-I1073)),0)</f>
        <v>0</v>
      </c>
      <c r="K1073" s="13" t="n">
        <f aca="false">H1073+I1073</f>
        <v>0</v>
      </c>
      <c r="L1073" s="13" t="n">
        <f aca="false">MAX(0,D1073-K1073)</f>
        <v>0</v>
      </c>
      <c r="M1073" s="13" t="n">
        <f aca="false">MAX(0,F1073-I1073-J1073)</f>
        <v>0</v>
      </c>
      <c r="N1073" s="13" t="n">
        <f aca="false">IF(Kalender!A341="",0,J1072-H1073)</f>
        <v>0</v>
      </c>
    </row>
    <row r="1074" customFormat="false" ht="16.4" hidden="false" customHeight="false" outlineLevel="0" collapsed="false">
      <c r="A1074" s="13" t="str">
        <f aca="false">""</f>
        <v/>
      </c>
      <c r="B1074" s="13" t="n">
        <f aca="false">338</f>
        <v>338</v>
      </c>
      <c r="C1074" s="13" t="n">
        <f aca="false">IF(Szenarien!$H$10="OK",(IFERROR(SUMIF(Nutzungsprofile!$B$6:$B$11,"Schulbetrieb",Nutzungsprofile!$G$6:$G$11)*Kalender!C342/SUM(Kalender!$C$5:$C$370),0)+IFERROR(SUMIF(Nutzungsprofile!$B$6:$B$11,"Halle",Nutzungsprofile!$G$6:$G$11)*Kalender!D342/SUM(Kalender!$D$5:$D$370),0)+IFERROR(SUMIF(Nutzungsprofile!$B$6:$B$11,"Individuell",Nutzungsprofile!$G$6:$G$11)*Kalender!E342/SUM(Kalender!$E$5:$E$370),0))*Szenarien!$E$10,0)</f>
        <v>0</v>
      </c>
      <c r="D1074" s="13" t="n">
        <f aca="false">IF(Szenarien!$H$10="OK",(IFERROR(SUMIF(Nutzungsprofile!$B$17:$B$22,"Schulbetrieb",Nutzungsprofile!$G$17:$G$22)*Kalender!C342/SUM(Kalender!$C$5:$C$370),0)+IFERROR(SUMIF(Nutzungsprofile!$B$17:$B$22,"Halle",Nutzungsprofile!$G$17:$G$22)*Kalender!D342/SUM(Kalender!$D$5:$D$370),0)+IFERROR(SUMIF(Nutzungsprofile!$B$17:$B$22,"Individuell",Nutzungsprofile!$G$17:$G$22)*Kalender!E342/SUM(Kalender!$E$5:$E$370),0))*Szenarien!$D$10,0)</f>
        <v>0</v>
      </c>
      <c r="E1074" s="13" t="n">
        <f aca="false">IFERROR(MIN(C1074,Eingaben!$B$17)*Eingaben!$B$16,0)</f>
        <v>0</v>
      </c>
      <c r="F1074" s="13" t="n">
        <f aca="false">IFERROR(E1074*Eingaben!$B$15,0)</f>
        <v>0</v>
      </c>
      <c r="G1074" s="13" t="n">
        <f aca="false">IFERROR(IF(Kalender!A342="",0,J1073*(1-Eingaben!$B$20)),0)</f>
        <v>0</v>
      </c>
      <c r="H1074" s="13" t="n">
        <f aca="false">MIN(G1074,D1074)</f>
        <v>0</v>
      </c>
      <c r="I1074" s="13" t="n">
        <f aca="false">IFERROR(MIN(F1074*Eingaben!$B$19,MAX(0,D1074-H1074)),0)</f>
        <v>0</v>
      </c>
      <c r="J1074" s="13" t="n">
        <f aca="false">IFERROR(MIN(Eingaben!$B$18,MAX(0,F1074-I1074)),0)</f>
        <v>0</v>
      </c>
      <c r="K1074" s="13" t="n">
        <f aca="false">H1074+I1074</f>
        <v>0</v>
      </c>
      <c r="L1074" s="13" t="n">
        <f aca="false">MAX(0,D1074-K1074)</f>
        <v>0</v>
      </c>
      <c r="M1074" s="13" t="n">
        <f aca="false">MAX(0,F1074-I1074-J1074)</f>
        <v>0</v>
      </c>
      <c r="N1074" s="13" t="n">
        <f aca="false">IF(Kalender!A342="",0,J1073-H1074)</f>
        <v>0</v>
      </c>
    </row>
    <row r="1075" customFormat="false" ht="16.4" hidden="false" customHeight="false" outlineLevel="0" collapsed="false">
      <c r="A1075" s="13" t="str">
        <f aca="false">""</f>
        <v/>
      </c>
      <c r="B1075" s="13" t="n">
        <f aca="false">339</f>
        <v>339</v>
      </c>
      <c r="C1075" s="13" t="n">
        <f aca="false">IF(Szenarien!$H$10="OK",(IFERROR(SUMIF(Nutzungsprofile!$B$6:$B$11,"Schulbetrieb",Nutzungsprofile!$G$6:$G$11)*Kalender!C343/SUM(Kalender!$C$5:$C$370),0)+IFERROR(SUMIF(Nutzungsprofile!$B$6:$B$11,"Halle",Nutzungsprofile!$G$6:$G$11)*Kalender!D343/SUM(Kalender!$D$5:$D$370),0)+IFERROR(SUMIF(Nutzungsprofile!$B$6:$B$11,"Individuell",Nutzungsprofile!$G$6:$G$11)*Kalender!E343/SUM(Kalender!$E$5:$E$370),0))*Szenarien!$E$10,0)</f>
        <v>0</v>
      </c>
      <c r="D1075" s="13" t="n">
        <f aca="false">IF(Szenarien!$H$10="OK",(IFERROR(SUMIF(Nutzungsprofile!$B$17:$B$22,"Schulbetrieb",Nutzungsprofile!$G$17:$G$22)*Kalender!C343/SUM(Kalender!$C$5:$C$370),0)+IFERROR(SUMIF(Nutzungsprofile!$B$17:$B$22,"Halle",Nutzungsprofile!$G$17:$G$22)*Kalender!D343/SUM(Kalender!$D$5:$D$370),0)+IFERROR(SUMIF(Nutzungsprofile!$B$17:$B$22,"Individuell",Nutzungsprofile!$G$17:$G$22)*Kalender!E343/SUM(Kalender!$E$5:$E$370),0))*Szenarien!$D$10,0)</f>
        <v>0</v>
      </c>
      <c r="E1075" s="13" t="n">
        <f aca="false">IFERROR(MIN(C1075,Eingaben!$B$17)*Eingaben!$B$16,0)</f>
        <v>0</v>
      </c>
      <c r="F1075" s="13" t="n">
        <f aca="false">IFERROR(E1075*Eingaben!$B$15,0)</f>
        <v>0</v>
      </c>
      <c r="G1075" s="13" t="n">
        <f aca="false">IFERROR(IF(Kalender!A343="",0,J1074*(1-Eingaben!$B$20)),0)</f>
        <v>0</v>
      </c>
      <c r="H1075" s="13" t="n">
        <f aca="false">MIN(G1075,D1075)</f>
        <v>0</v>
      </c>
      <c r="I1075" s="13" t="n">
        <f aca="false">IFERROR(MIN(F1075*Eingaben!$B$19,MAX(0,D1075-H1075)),0)</f>
        <v>0</v>
      </c>
      <c r="J1075" s="13" t="n">
        <f aca="false">IFERROR(MIN(Eingaben!$B$18,MAX(0,F1075-I1075)),0)</f>
        <v>0</v>
      </c>
      <c r="K1075" s="13" t="n">
        <f aca="false">H1075+I1075</f>
        <v>0</v>
      </c>
      <c r="L1075" s="13" t="n">
        <f aca="false">MAX(0,D1075-K1075)</f>
        <v>0</v>
      </c>
      <c r="M1075" s="13" t="n">
        <f aca="false">MAX(0,F1075-I1075-J1075)</f>
        <v>0</v>
      </c>
      <c r="N1075" s="13" t="n">
        <f aca="false">IF(Kalender!A343="",0,J1074-H1075)</f>
        <v>0</v>
      </c>
    </row>
    <row r="1076" customFormat="false" ht="16.4" hidden="false" customHeight="false" outlineLevel="0" collapsed="false">
      <c r="A1076" s="13" t="str">
        <f aca="false">""</f>
        <v/>
      </c>
      <c r="B1076" s="13" t="n">
        <f aca="false">340</f>
        <v>340</v>
      </c>
      <c r="C1076" s="13" t="n">
        <f aca="false">IF(Szenarien!$H$10="OK",(IFERROR(SUMIF(Nutzungsprofile!$B$6:$B$11,"Schulbetrieb",Nutzungsprofile!$G$6:$G$11)*Kalender!C344/SUM(Kalender!$C$5:$C$370),0)+IFERROR(SUMIF(Nutzungsprofile!$B$6:$B$11,"Halle",Nutzungsprofile!$G$6:$G$11)*Kalender!D344/SUM(Kalender!$D$5:$D$370),0)+IFERROR(SUMIF(Nutzungsprofile!$B$6:$B$11,"Individuell",Nutzungsprofile!$G$6:$G$11)*Kalender!E344/SUM(Kalender!$E$5:$E$370),0))*Szenarien!$E$10,0)</f>
        <v>0</v>
      </c>
      <c r="D1076" s="13" t="n">
        <f aca="false">IF(Szenarien!$H$10="OK",(IFERROR(SUMIF(Nutzungsprofile!$B$17:$B$22,"Schulbetrieb",Nutzungsprofile!$G$17:$G$22)*Kalender!C344/SUM(Kalender!$C$5:$C$370),0)+IFERROR(SUMIF(Nutzungsprofile!$B$17:$B$22,"Halle",Nutzungsprofile!$G$17:$G$22)*Kalender!D344/SUM(Kalender!$D$5:$D$370),0)+IFERROR(SUMIF(Nutzungsprofile!$B$17:$B$22,"Individuell",Nutzungsprofile!$G$17:$G$22)*Kalender!E344/SUM(Kalender!$E$5:$E$370),0))*Szenarien!$D$10,0)</f>
        <v>0</v>
      </c>
      <c r="E1076" s="13" t="n">
        <f aca="false">IFERROR(MIN(C1076,Eingaben!$B$17)*Eingaben!$B$16,0)</f>
        <v>0</v>
      </c>
      <c r="F1076" s="13" t="n">
        <f aca="false">IFERROR(E1076*Eingaben!$B$15,0)</f>
        <v>0</v>
      </c>
      <c r="G1076" s="13" t="n">
        <f aca="false">IFERROR(IF(Kalender!A344="",0,J1075*(1-Eingaben!$B$20)),0)</f>
        <v>0</v>
      </c>
      <c r="H1076" s="13" t="n">
        <f aca="false">MIN(G1076,D1076)</f>
        <v>0</v>
      </c>
      <c r="I1076" s="13" t="n">
        <f aca="false">IFERROR(MIN(F1076*Eingaben!$B$19,MAX(0,D1076-H1076)),0)</f>
        <v>0</v>
      </c>
      <c r="J1076" s="13" t="n">
        <f aca="false">IFERROR(MIN(Eingaben!$B$18,MAX(0,F1076-I1076)),0)</f>
        <v>0</v>
      </c>
      <c r="K1076" s="13" t="n">
        <f aca="false">H1076+I1076</f>
        <v>0</v>
      </c>
      <c r="L1076" s="13" t="n">
        <f aca="false">MAX(0,D1076-K1076)</f>
        <v>0</v>
      </c>
      <c r="M1076" s="13" t="n">
        <f aca="false">MAX(0,F1076-I1076-J1076)</f>
        <v>0</v>
      </c>
      <c r="N1076" s="13" t="n">
        <f aca="false">IF(Kalender!A344="",0,J1075-H1076)</f>
        <v>0</v>
      </c>
    </row>
    <row r="1077" customFormat="false" ht="16.4" hidden="false" customHeight="false" outlineLevel="0" collapsed="false">
      <c r="A1077" s="13" t="str">
        <f aca="false">""</f>
        <v/>
      </c>
      <c r="B1077" s="13" t="n">
        <f aca="false">341</f>
        <v>341</v>
      </c>
      <c r="C1077" s="13" t="n">
        <f aca="false">IF(Szenarien!$H$10="OK",(IFERROR(SUMIF(Nutzungsprofile!$B$6:$B$11,"Schulbetrieb",Nutzungsprofile!$G$6:$G$11)*Kalender!C345/SUM(Kalender!$C$5:$C$370),0)+IFERROR(SUMIF(Nutzungsprofile!$B$6:$B$11,"Halle",Nutzungsprofile!$G$6:$G$11)*Kalender!D345/SUM(Kalender!$D$5:$D$370),0)+IFERROR(SUMIF(Nutzungsprofile!$B$6:$B$11,"Individuell",Nutzungsprofile!$G$6:$G$11)*Kalender!E345/SUM(Kalender!$E$5:$E$370),0))*Szenarien!$E$10,0)</f>
        <v>0</v>
      </c>
      <c r="D1077" s="13" t="n">
        <f aca="false">IF(Szenarien!$H$10="OK",(IFERROR(SUMIF(Nutzungsprofile!$B$17:$B$22,"Schulbetrieb",Nutzungsprofile!$G$17:$G$22)*Kalender!C345/SUM(Kalender!$C$5:$C$370),0)+IFERROR(SUMIF(Nutzungsprofile!$B$17:$B$22,"Halle",Nutzungsprofile!$G$17:$G$22)*Kalender!D345/SUM(Kalender!$D$5:$D$370),0)+IFERROR(SUMIF(Nutzungsprofile!$B$17:$B$22,"Individuell",Nutzungsprofile!$G$17:$G$22)*Kalender!E345/SUM(Kalender!$E$5:$E$370),0))*Szenarien!$D$10,0)</f>
        <v>0</v>
      </c>
      <c r="E1077" s="13" t="n">
        <f aca="false">IFERROR(MIN(C1077,Eingaben!$B$17)*Eingaben!$B$16,0)</f>
        <v>0</v>
      </c>
      <c r="F1077" s="13" t="n">
        <f aca="false">IFERROR(E1077*Eingaben!$B$15,0)</f>
        <v>0</v>
      </c>
      <c r="G1077" s="13" t="n">
        <f aca="false">IFERROR(IF(Kalender!A345="",0,J1076*(1-Eingaben!$B$20)),0)</f>
        <v>0</v>
      </c>
      <c r="H1077" s="13" t="n">
        <f aca="false">MIN(G1077,D1077)</f>
        <v>0</v>
      </c>
      <c r="I1077" s="13" t="n">
        <f aca="false">IFERROR(MIN(F1077*Eingaben!$B$19,MAX(0,D1077-H1077)),0)</f>
        <v>0</v>
      </c>
      <c r="J1077" s="13" t="n">
        <f aca="false">IFERROR(MIN(Eingaben!$B$18,MAX(0,F1077-I1077)),0)</f>
        <v>0</v>
      </c>
      <c r="K1077" s="13" t="n">
        <f aca="false">H1077+I1077</f>
        <v>0</v>
      </c>
      <c r="L1077" s="13" t="n">
        <f aca="false">MAX(0,D1077-K1077)</f>
        <v>0</v>
      </c>
      <c r="M1077" s="13" t="n">
        <f aca="false">MAX(0,F1077-I1077-J1077)</f>
        <v>0</v>
      </c>
      <c r="N1077" s="13" t="n">
        <f aca="false">IF(Kalender!A345="",0,J1076-H1077)</f>
        <v>0</v>
      </c>
    </row>
    <row r="1078" customFormat="false" ht="16.4" hidden="false" customHeight="false" outlineLevel="0" collapsed="false">
      <c r="A1078" s="13" t="str">
        <f aca="false">""</f>
        <v/>
      </c>
      <c r="B1078" s="13" t="n">
        <f aca="false">342</f>
        <v>342</v>
      </c>
      <c r="C1078" s="13" t="n">
        <f aca="false">IF(Szenarien!$H$10="OK",(IFERROR(SUMIF(Nutzungsprofile!$B$6:$B$11,"Schulbetrieb",Nutzungsprofile!$G$6:$G$11)*Kalender!C346/SUM(Kalender!$C$5:$C$370),0)+IFERROR(SUMIF(Nutzungsprofile!$B$6:$B$11,"Halle",Nutzungsprofile!$G$6:$G$11)*Kalender!D346/SUM(Kalender!$D$5:$D$370),0)+IFERROR(SUMIF(Nutzungsprofile!$B$6:$B$11,"Individuell",Nutzungsprofile!$G$6:$G$11)*Kalender!E346/SUM(Kalender!$E$5:$E$370),0))*Szenarien!$E$10,0)</f>
        <v>0</v>
      </c>
      <c r="D1078" s="13" t="n">
        <f aca="false">IF(Szenarien!$H$10="OK",(IFERROR(SUMIF(Nutzungsprofile!$B$17:$B$22,"Schulbetrieb",Nutzungsprofile!$G$17:$G$22)*Kalender!C346/SUM(Kalender!$C$5:$C$370),0)+IFERROR(SUMIF(Nutzungsprofile!$B$17:$B$22,"Halle",Nutzungsprofile!$G$17:$G$22)*Kalender!D346/SUM(Kalender!$D$5:$D$370),0)+IFERROR(SUMIF(Nutzungsprofile!$B$17:$B$22,"Individuell",Nutzungsprofile!$G$17:$G$22)*Kalender!E346/SUM(Kalender!$E$5:$E$370),0))*Szenarien!$D$10,0)</f>
        <v>0</v>
      </c>
      <c r="E1078" s="13" t="n">
        <f aca="false">IFERROR(MIN(C1078,Eingaben!$B$17)*Eingaben!$B$16,0)</f>
        <v>0</v>
      </c>
      <c r="F1078" s="13" t="n">
        <f aca="false">IFERROR(E1078*Eingaben!$B$15,0)</f>
        <v>0</v>
      </c>
      <c r="G1078" s="13" t="n">
        <f aca="false">IFERROR(IF(Kalender!A346="",0,J1077*(1-Eingaben!$B$20)),0)</f>
        <v>0</v>
      </c>
      <c r="H1078" s="13" t="n">
        <f aca="false">MIN(G1078,D1078)</f>
        <v>0</v>
      </c>
      <c r="I1078" s="13" t="n">
        <f aca="false">IFERROR(MIN(F1078*Eingaben!$B$19,MAX(0,D1078-H1078)),0)</f>
        <v>0</v>
      </c>
      <c r="J1078" s="13" t="n">
        <f aca="false">IFERROR(MIN(Eingaben!$B$18,MAX(0,F1078-I1078)),0)</f>
        <v>0</v>
      </c>
      <c r="K1078" s="13" t="n">
        <f aca="false">H1078+I1078</f>
        <v>0</v>
      </c>
      <c r="L1078" s="13" t="n">
        <f aca="false">MAX(0,D1078-K1078)</f>
        <v>0</v>
      </c>
      <c r="M1078" s="13" t="n">
        <f aca="false">MAX(0,F1078-I1078-J1078)</f>
        <v>0</v>
      </c>
      <c r="N1078" s="13" t="n">
        <f aca="false">IF(Kalender!A346="",0,J1077-H1078)</f>
        <v>0</v>
      </c>
    </row>
    <row r="1079" customFormat="false" ht="16.4" hidden="false" customHeight="false" outlineLevel="0" collapsed="false">
      <c r="A1079" s="13" t="str">
        <f aca="false">""</f>
        <v/>
      </c>
      <c r="B1079" s="13" t="n">
        <f aca="false">343</f>
        <v>343</v>
      </c>
      <c r="C1079" s="13" t="n">
        <f aca="false">IF(Szenarien!$H$10="OK",(IFERROR(SUMIF(Nutzungsprofile!$B$6:$B$11,"Schulbetrieb",Nutzungsprofile!$G$6:$G$11)*Kalender!C347/SUM(Kalender!$C$5:$C$370),0)+IFERROR(SUMIF(Nutzungsprofile!$B$6:$B$11,"Halle",Nutzungsprofile!$G$6:$G$11)*Kalender!D347/SUM(Kalender!$D$5:$D$370),0)+IFERROR(SUMIF(Nutzungsprofile!$B$6:$B$11,"Individuell",Nutzungsprofile!$G$6:$G$11)*Kalender!E347/SUM(Kalender!$E$5:$E$370),0))*Szenarien!$E$10,0)</f>
        <v>0</v>
      </c>
      <c r="D1079" s="13" t="n">
        <f aca="false">IF(Szenarien!$H$10="OK",(IFERROR(SUMIF(Nutzungsprofile!$B$17:$B$22,"Schulbetrieb",Nutzungsprofile!$G$17:$G$22)*Kalender!C347/SUM(Kalender!$C$5:$C$370),0)+IFERROR(SUMIF(Nutzungsprofile!$B$17:$B$22,"Halle",Nutzungsprofile!$G$17:$G$22)*Kalender!D347/SUM(Kalender!$D$5:$D$370),0)+IFERROR(SUMIF(Nutzungsprofile!$B$17:$B$22,"Individuell",Nutzungsprofile!$G$17:$G$22)*Kalender!E347/SUM(Kalender!$E$5:$E$370),0))*Szenarien!$D$10,0)</f>
        <v>0</v>
      </c>
      <c r="E1079" s="13" t="n">
        <f aca="false">IFERROR(MIN(C1079,Eingaben!$B$17)*Eingaben!$B$16,0)</f>
        <v>0</v>
      </c>
      <c r="F1079" s="13" t="n">
        <f aca="false">IFERROR(E1079*Eingaben!$B$15,0)</f>
        <v>0</v>
      </c>
      <c r="G1079" s="13" t="n">
        <f aca="false">IFERROR(IF(Kalender!A347="",0,J1078*(1-Eingaben!$B$20)),0)</f>
        <v>0</v>
      </c>
      <c r="H1079" s="13" t="n">
        <f aca="false">MIN(G1079,D1079)</f>
        <v>0</v>
      </c>
      <c r="I1079" s="13" t="n">
        <f aca="false">IFERROR(MIN(F1079*Eingaben!$B$19,MAX(0,D1079-H1079)),0)</f>
        <v>0</v>
      </c>
      <c r="J1079" s="13" t="n">
        <f aca="false">IFERROR(MIN(Eingaben!$B$18,MAX(0,F1079-I1079)),0)</f>
        <v>0</v>
      </c>
      <c r="K1079" s="13" t="n">
        <f aca="false">H1079+I1079</f>
        <v>0</v>
      </c>
      <c r="L1079" s="13" t="n">
        <f aca="false">MAX(0,D1079-K1079)</f>
        <v>0</v>
      </c>
      <c r="M1079" s="13" t="n">
        <f aca="false">MAX(0,F1079-I1079-J1079)</f>
        <v>0</v>
      </c>
      <c r="N1079" s="13" t="n">
        <f aca="false">IF(Kalender!A347="",0,J1078-H1079)</f>
        <v>0</v>
      </c>
    </row>
    <row r="1080" customFormat="false" ht="16.4" hidden="false" customHeight="false" outlineLevel="0" collapsed="false">
      <c r="A1080" s="13" t="str">
        <f aca="false">""</f>
        <v/>
      </c>
      <c r="B1080" s="13" t="n">
        <f aca="false">344</f>
        <v>344</v>
      </c>
      <c r="C1080" s="13" t="n">
        <f aca="false">IF(Szenarien!$H$10="OK",(IFERROR(SUMIF(Nutzungsprofile!$B$6:$B$11,"Schulbetrieb",Nutzungsprofile!$G$6:$G$11)*Kalender!C348/SUM(Kalender!$C$5:$C$370),0)+IFERROR(SUMIF(Nutzungsprofile!$B$6:$B$11,"Halle",Nutzungsprofile!$G$6:$G$11)*Kalender!D348/SUM(Kalender!$D$5:$D$370),0)+IFERROR(SUMIF(Nutzungsprofile!$B$6:$B$11,"Individuell",Nutzungsprofile!$G$6:$G$11)*Kalender!E348/SUM(Kalender!$E$5:$E$370),0))*Szenarien!$E$10,0)</f>
        <v>0</v>
      </c>
      <c r="D1080" s="13" t="n">
        <f aca="false">IF(Szenarien!$H$10="OK",(IFERROR(SUMIF(Nutzungsprofile!$B$17:$B$22,"Schulbetrieb",Nutzungsprofile!$G$17:$G$22)*Kalender!C348/SUM(Kalender!$C$5:$C$370),0)+IFERROR(SUMIF(Nutzungsprofile!$B$17:$B$22,"Halle",Nutzungsprofile!$G$17:$G$22)*Kalender!D348/SUM(Kalender!$D$5:$D$370),0)+IFERROR(SUMIF(Nutzungsprofile!$B$17:$B$22,"Individuell",Nutzungsprofile!$G$17:$G$22)*Kalender!E348/SUM(Kalender!$E$5:$E$370),0))*Szenarien!$D$10,0)</f>
        <v>0</v>
      </c>
      <c r="E1080" s="13" t="n">
        <f aca="false">IFERROR(MIN(C1080,Eingaben!$B$17)*Eingaben!$B$16,0)</f>
        <v>0</v>
      </c>
      <c r="F1080" s="13" t="n">
        <f aca="false">IFERROR(E1080*Eingaben!$B$15,0)</f>
        <v>0</v>
      </c>
      <c r="G1080" s="13" t="n">
        <f aca="false">IFERROR(IF(Kalender!A348="",0,J1079*(1-Eingaben!$B$20)),0)</f>
        <v>0</v>
      </c>
      <c r="H1080" s="13" t="n">
        <f aca="false">MIN(G1080,D1080)</f>
        <v>0</v>
      </c>
      <c r="I1080" s="13" t="n">
        <f aca="false">IFERROR(MIN(F1080*Eingaben!$B$19,MAX(0,D1080-H1080)),0)</f>
        <v>0</v>
      </c>
      <c r="J1080" s="13" t="n">
        <f aca="false">IFERROR(MIN(Eingaben!$B$18,MAX(0,F1080-I1080)),0)</f>
        <v>0</v>
      </c>
      <c r="K1080" s="13" t="n">
        <f aca="false">H1080+I1080</f>
        <v>0</v>
      </c>
      <c r="L1080" s="13" t="n">
        <f aca="false">MAX(0,D1080-K1080)</f>
        <v>0</v>
      </c>
      <c r="M1080" s="13" t="n">
        <f aca="false">MAX(0,F1080-I1080-J1080)</f>
        <v>0</v>
      </c>
      <c r="N1080" s="13" t="n">
        <f aca="false">IF(Kalender!A348="",0,J1079-H1080)</f>
        <v>0</v>
      </c>
    </row>
    <row r="1081" customFormat="false" ht="16.4" hidden="false" customHeight="false" outlineLevel="0" collapsed="false">
      <c r="A1081" s="13" t="str">
        <f aca="false">""</f>
        <v/>
      </c>
      <c r="B1081" s="13" t="n">
        <f aca="false">345</f>
        <v>345</v>
      </c>
      <c r="C1081" s="13" t="n">
        <f aca="false">IF(Szenarien!$H$10="OK",(IFERROR(SUMIF(Nutzungsprofile!$B$6:$B$11,"Schulbetrieb",Nutzungsprofile!$G$6:$G$11)*Kalender!C349/SUM(Kalender!$C$5:$C$370),0)+IFERROR(SUMIF(Nutzungsprofile!$B$6:$B$11,"Halle",Nutzungsprofile!$G$6:$G$11)*Kalender!D349/SUM(Kalender!$D$5:$D$370),0)+IFERROR(SUMIF(Nutzungsprofile!$B$6:$B$11,"Individuell",Nutzungsprofile!$G$6:$G$11)*Kalender!E349/SUM(Kalender!$E$5:$E$370),0))*Szenarien!$E$10,0)</f>
        <v>0</v>
      </c>
      <c r="D1081" s="13" t="n">
        <f aca="false">IF(Szenarien!$H$10="OK",(IFERROR(SUMIF(Nutzungsprofile!$B$17:$B$22,"Schulbetrieb",Nutzungsprofile!$G$17:$G$22)*Kalender!C349/SUM(Kalender!$C$5:$C$370),0)+IFERROR(SUMIF(Nutzungsprofile!$B$17:$B$22,"Halle",Nutzungsprofile!$G$17:$G$22)*Kalender!D349/SUM(Kalender!$D$5:$D$370),0)+IFERROR(SUMIF(Nutzungsprofile!$B$17:$B$22,"Individuell",Nutzungsprofile!$G$17:$G$22)*Kalender!E349/SUM(Kalender!$E$5:$E$370),0))*Szenarien!$D$10,0)</f>
        <v>0</v>
      </c>
      <c r="E1081" s="13" t="n">
        <f aca="false">IFERROR(MIN(C1081,Eingaben!$B$17)*Eingaben!$B$16,0)</f>
        <v>0</v>
      </c>
      <c r="F1081" s="13" t="n">
        <f aca="false">IFERROR(E1081*Eingaben!$B$15,0)</f>
        <v>0</v>
      </c>
      <c r="G1081" s="13" t="n">
        <f aca="false">IFERROR(IF(Kalender!A349="",0,J1080*(1-Eingaben!$B$20)),0)</f>
        <v>0</v>
      </c>
      <c r="H1081" s="13" t="n">
        <f aca="false">MIN(G1081,D1081)</f>
        <v>0</v>
      </c>
      <c r="I1081" s="13" t="n">
        <f aca="false">IFERROR(MIN(F1081*Eingaben!$B$19,MAX(0,D1081-H1081)),0)</f>
        <v>0</v>
      </c>
      <c r="J1081" s="13" t="n">
        <f aca="false">IFERROR(MIN(Eingaben!$B$18,MAX(0,F1081-I1081)),0)</f>
        <v>0</v>
      </c>
      <c r="K1081" s="13" t="n">
        <f aca="false">H1081+I1081</f>
        <v>0</v>
      </c>
      <c r="L1081" s="13" t="n">
        <f aca="false">MAX(0,D1081-K1081)</f>
        <v>0</v>
      </c>
      <c r="M1081" s="13" t="n">
        <f aca="false">MAX(0,F1081-I1081-J1081)</f>
        <v>0</v>
      </c>
      <c r="N1081" s="13" t="n">
        <f aca="false">IF(Kalender!A349="",0,J1080-H1081)</f>
        <v>0</v>
      </c>
    </row>
    <row r="1082" customFormat="false" ht="16.4" hidden="false" customHeight="false" outlineLevel="0" collapsed="false">
      <c r="A1082" s="13" t="str">
        <f aca="false">""</f>
        <v/>
      </c>
      <c r="B1082" s="13" t="n">
        <f aca="false">346</f>
        <v>346</v>
      </c>
      <c r="C1082" s="13" t="n">
        <f aca="false">IF(Szenarien!$H$10="OK",(IFERROR(SUMIF(Nutzungsprofile!$B$6:$B$11,"Schulbetrieb",Nutzungsprofile!$G$6:$G$11)*Kalender!C350/SUM(Kalender!$C$5:$C$370),0)+IFERROR(SUMIF(Nutzungsprofile!$B$6:$B$11,"Halle",Nutzungsprofile!$G$6:$G$11)*Kalender!D350/SUM(Kalender!$D$5:$D$370),0)+IFERROR(SUMIF(Nutzungsprofile!$B$6:$B$11,"Individuell",Nutzungsprofile!$G$6:$G$11)*Kalender!E350/SUM(Kalender!$E$5:$E$370),0))*Szenarien!$E$10,0)</f>
        <v>0</v>
      </c>
      <c r="D1082" s="13" t="n">
        <f aca="false">IF(Szenarien!$H$10="OK",(IFERROR(SUMIF(Nutzungsprofile!$B$17:$B$22,"Schulbetrieb",Nutzungsprofile!$G$17:$G$22)*Kalender!C350/SUM(Kalender!$C$5:$C$370),0)+IFERROR(SUMIF(Nutzungsprofile!$B$17:$B$22,"Halle",Nutzungsprofile!$G$17:$G$22)*Kalender!D350/SUM(Kalender!$D$5:$D$370),0)+IFERROR(SUMIF(Nutzungsprofile!$B$17:$B$22,"Individuell",Nutzungsprofile!$G$17:$G$22)*Kalender!E350/SUM(Kalender!$E$5:$E$370),0))*Szenarien!$D$10,0)</f>
        <v>0</v>
      </c>
      <c r="E1082" s="13" t="n">
        <f aca="false">IFERROR(MIN(C1082,Eingaben!$B$17)*Eingaben!$B$16,0)</f>
        <v>0</v>
      </c>
      <c r="F1082" s="13" t="n">
        <f aca="false">IFERROR(E1082*Eingaben!$B$15,0)</f>
        <v>0</v>
      </c>
      <c r="G1082" s="13" t="n">
        <f aca="false">IFERROR(IF(Kalender!A350="",0,J1081*(1-Eingaben!$B$20)),0)</f>
        <v>0</v>
      </c>
      <c r="H1082" s="13" t="n">
        <f aca="false">MIN(G1082,D1082)</f>
        <v>0</v>
      </c>
      <c r="I1082" s="13" t="n">
        <f aca="false">IFERROR(MIN(F1082*Eingaben!$B$19,MAX(0,D1082-H1082)),0)</f>
        <v>0</v>
      </c>
      <c r="J1082" s="13" t="n">
        <f aca="false">IFERROR(MIN(Eingaben!$B$18,MAX(0,F1082-I1082)),0)</f>
        <v>0</v>
      </c>
      <c r="K1082" s="13" t="n">
        <f aca="false">H1082+I1082</f>
        <v>0</v>
      </c>
      <c r="L1082" s="13" t="n">
        <f aca="false">MAX(0,D1082-K1082)</f>
        <v>0</v>
      </c>
      <c r="M1082" s="13" t="n">
        <f aca="false">MAX(0,F1082-I1082-J1082)</f>
        <v>0</v>
      </c>
      <c r="N1082" s="13" t="n">
        <f aca="false">IF(Kalender!A350="",0,J1081-H1082)</f>
        <v>0</v>
      </c>
    </row>
    <row r="1083" customFormat="false" ht="16.4" hidden="false" customHeight="false" outlineLevel="0" collapsed="false">
      <c r="A1083" s="13" t="str">
        <f aca="false">""</f>
        <v/>
      </c>
      <c r="B1083" s="13" t="n">
        <f aca="false">347</f>
        <v>347</v>
      </c>
      <c r="C1083" s="13" t="n">
        <f aca="false">IF(Szenarien!$H$10="OK",(IFERROR(SUMIF(Nutzungsprofile!$B$6:$B$11,"Schulbetrieb",Nutzungsprofile!$G$6:$G$11)*Kalender!C351/SUM(Kalender!$C$5:$C$370),0)+IFERROR(SUMIF(Nutzungsprofile!$B$6:$B$11,"Halle",Nutzungsprofile!$G$6:$G$11)*Kalender!D351/SUM(Kalender!$D$5:$D$370),0)+IFERROR(SUMIF(Nutzungsprofile!$B$6:$B$11,"Individuell",Nutzungsprofile!$G$6:$G$11)*Kalender!E351/SUM(Kalender!$E$5:$E$370),0))*Szenarien!$E$10,0)</f>
        <v>0</v>
      </c>
      <c r="D1083" s="13" t="n">
        <f aca="false">IF(Szenarien!$H$10="OK",(IFERROR(SUMIF(Nutzungsprofile!$B$17:$B$22,"Schulbetrieb",Nutzungsprofile!$G$17:$G$22)*Kalender!C351/SUM(Kalender!$C$5:$C$370),0)+IFERROR(SUMIF(Nutzungsprofile!$B$17:$B$22,"Halle",Nutzungsprofile!$G$17:$G$22)*Kalender!D351/SUM(Kalender!$D$5:$D$370),0)+IFERROR(SUMIF(Nutzungsprofile!$B$17:$B$22,"Individuell",Nutzungsprofile!$G$17:$G$22)*Kalender!E351/SUM(Kalender!$E$5:$E$370),0))*Szenarien!$D$10,0)</f>
        <v>0</v>
      </c>
      <c r="E1083" s="13" t="n">
        <f aca="false">IFERROR(MIN(C1083,Eingaben!$B$17)*Eingaben!$B$16,0)</f>
        <v>0</v>
      </c>
      <c r="F1083" s="13" t="n">
        <f aca="false">IFERROR(E1083*Eingaben!$B$15,0)</f>
        <v>0</v>
      </c>
      <c r="G1083" s="13" t="n">
        <f aca="false">IFERROR(IF(Kalender!A351="",0,J1082*(1-Eingaben!$B$20)),0)</f>
        <v>0</v>
      </c>
      <c r="H1083" s="13" t="n">
        <f aca="false">MIN(G1083,D1083)</f>
        <v>0</v>
      </c>
      <c r="I1083" s="13" t="n">
        <f aca="false">IFERROR(MIN(F1083*Eingaben!$B$19,MAX(0,D1083-H1083)),0)</f>
        <v>0</v>
      </c>
      <c r="J1083" s="13" t="n">
        <f aca="false">IFERROR(MIN(Eingaben!$B$18,MAX(0,F1083-I1083)),0)</f>
        <v>0</v>
      </c>
      <c r="K1083" s="13" t="n">
        <f aca="false">H1083+I1083</f>
        <v>0</v>
      </c>
      <c r="L1083" s="13" t="n">
        <f aca="false">MAX(0,D1083-K1083)</f>
        <v>0</v>
      </c>
      <c r="M1083" s="13" t="n">
        <f aca="false">MAX(0,F1083-I1083-J1083)</f>
        <v>0</v>
      </c>
      <c r="N1083" s="13" t="n">
        <f aca="false">IF(Kalender!A351="",0,J1082-H1083)</f>
        <v>0</v>
      </c>
    </row>
    <row r="1084" customFormat="false" ht="16.4" hidden="false" customHeight="false" outlineLevel="0" collapsed="false">
      <c r="A1084" s="13" t="str">
        <f aca="false">""</f>
        <v/>
      </c>
      <c r="B1084" s="13" t="n">
        <f aca="false">348</f>
        <v>348</v>
      </c>
      <c r="C1084" s="13" t="n">
        <f aca="false">IF(Szenarien!$H$10="OK",(IFERROR(SUMIF(Nutzungsprofile!$B$6:$B$11,"Schulbetrieb",Nutzungsprofile!$G$6:$G$11)*Kalender!C352/SUM(Kalender!$C$5:$C$370),0)+IFERROR(SUMIF(Nutzungsprofile!$B$6:$B$11,"Halle",Nutzungsprofile!$G$6:$G$11)*Kalender!D352/SUM(Kalender!$D$5:$D$370),0)+IFERROR(SUMIF(Nutzungsprofile!$B$6:$B$11,"Individuell",Nutzungsprofile!$G$6:$G$11)*Kalender!E352/SUM(Kalender!$E$5:$E$370),0))*Szenarien!$E$10,0)</f>
        <v>0</v>
      </c>
      <c r="D1084" s="13" t="n">
        <f aca="false">IF(Szenarien!$H$10="OK",(IFERROR(SUMIF(Nutzungsprofile!$B$17:$B$22,"Schulbetrieb",Nutzungsprofile!$G$17:$G$22)*Kalender!C352/SUM(Kalender!$C$5:$C$370),0)+IFERROR(SUMIF(Nutzungsprofile!$B$17:$B$22,"Halle",Nutzungsprofile!$G$17:$G$22)*Kalender!D352/SUM(Kalender!$D$5:$D$370),0)+IFERROR(SUMIF(Nutzungsprofile!$B$17:$B$22,"Individuell",Nutzungsprofile!$G$17:$G$22)*Kalender!E352/SUM(Kalender!$E$5:$E$370),0))*Szenarien!$D$10,0)</f>
        <v>0</v>
      </c>
      <c r="E1084" s="13" t="n">
        <f aca="false">IFERROR(MIN(C1084,Eingaben!$B$17)*Eingaben!$B$16,0)</f>
        <v>0</v>
      </c>
      <c r="F1084" s="13" t="n">
        <f aca="false">IFERROR(E1084*Eingaben!$B$15,0)</f>
        <v>0</v>
      </c>
      <c r="G1084" s="13" t="n">
        <f aca="false">IFERROR(IF(Kalender!A352="",0,J1083*(1-Eingaben!$B$20)),0)</f>
        <v>0</v>
      </c>
      <c r="H1084" s="13" t="n">
        <f aca="false">MIN(G1084,D1084)</f>
        <v>0</v>
      </c>
      <c r="I1084" s="13" t="n">
        <f aca="false">IFERROR(MIN(F1084*Eingaben!$B$19,MAX(0,D1084-H1084)),0)</f>
        <v>0</v>
      </c>
      <c r="J1084" s="13" t="n">
        <f aca="false">IFERROR(MIN(Eingaben!$B$18,MAX(0,F1084-I1084)),0)</f>
        <v>0</v>
      </c>
      <c r="K1084" s="13" t="n">
        <f aca="false">H1084+I1084</f>
        <v>0</v>
      </c>
      <c r="L1084" s="13" t="n">
        <f aca="false">MAX(0,D1084-K1084)</f>
        <v>0</v>
      </c>
      <c r="M1084" s="13" t="n">
        <f aca="false">MAX(0,F1084-I1084-J1084)</f>
        <v>0</v>
      </c>
      <c r="N1084" s="13" t="n">
        <f aca="false">IF(Kalender!A352="",0,J1083-H1084)</f>
        <v>0</v>
      </c>
    </row>
    <row r="1085" customFormat="false" ht="16.4" hidden="false" customHeight="false" outlineLevel="0" collapsed="false">
      <c r="A1085" s="13" t="str">
        <f aca="false">""</f>
        <v/>
      </c>
      <c r="B1085" s="13" t="n">
        <f aca="false">349</f>
        <v>349</v>
      </c>
      <c r="C1085" s="13" t="n">
        <f aca="false">IF(Szenarien!$H$10="OK",(IFERROR(SUMIF(Nutzungsprofile!$B$6:$B$11,"Schulbetrieb",Nutzungsprofile!$G$6:$G$11)*Kalender!C353/SUM(Kalender!$C$5:$C$370),0)+IFERROR(SUMIF(Nutzungsprofile!$B$6:$B$11,"Halle",Nutzungsprofile!$G$6:$G$11)*Kalender!D353/SUM(Kalender!$D$5:$D$370),0)+IFERROR(SUMIF(Nutzungsprofile!$B$6:$B$11,"Individuell",Nutzungsprofile!$G$6:$G$11)*Kalender!E353/SUM(Kalender!$E$5:$E$370),0))*Szenarien!$E$10,0)</f>
        <v>0</v>
      </c>
      <c r="D1085" s="13" t="n">
        <f aca="false">IF(Szenarien!$H$10="OK",(IFERROR(SUMIF(Nutzungsprofile!$B$17:$B$22,"Schulbetrieb",Nutzungsprofile!$G$17:$G$22)*Kalender!C353/SUM(Kalender!$C$5:$C$370),0)+IFERROR(SUMIF(Nutzungsprofile!$B$17:$B$22,"Halle",Nutzungsprofile!$G$17:$G$22)*Kalender!D353/SUM(Kalender!$D$5:$D$370),0)+IFERROR(SUMIF(Nutzungsprofile!$B$17:$B$22,"Individuell",Nutzungsprofile!$G$17:$G$22)*Kalender!E353/SUM(Kalender!$E$5:$E$370),0))*Szenarien!$D$10,0)</f>
        <v>0</v>
      </c>
      <c r="E1085" s="13" t="n">
        <f aca="false">IFERROR(MIN(C1085,Eingaben!$B$17)*Eingaben!$B$16,0)</f>
        <v>0</v>
      </c>
      <c r="F1085" s="13" t="n">
        <f aca="false">IFERROR(E1085*Eingaben!$B$15,0)</f>
        <v>0</v>
      </c>
      <c r="G1085" s="13" t="n">
        <f aca="false">IFERROR(IF(Kalender!A353="",0,J1084*(1-Eingaben!$B$20)),0)</f>
        <v>0</v>
      </c>
      <c r="H1085" s="13" t="n">
        <f aca="false">MIN(G1085,D1085)</f>
        <v>0</v>
      </c>
      <c r="I1085" s="13" t="n">
        <f aca="false">IFERROR(MIN(F1085*Eingaben!$B$19,MAX(0,D1085-H1085)),0)</f>
        <v>0</v>
      </c>
      <c r="J1085" s="13" t="n">
        <f aca="false">IFERROR(MIN(Eingaben!$B$18,MAX(0,F1085-I1085)),0)</f>
        <v>0</v>
      </c>
      <c r="K1085" s="13" t="n">
        <f aca="false">H1085+I1085</f>
        <v>0</v>
      </c>
      <c r="L1085" s="13" t="n">
        <f aca="false">MAX(0,D1085-K1085)</f>
        <v>0</v>
      </c>
      <c r="M1085" s="13" t="n">
        <f aca="false">MAX(0,F1085-I1085-J1085)</f>
        <v>0</v>
      </c>
      <c r="N1085" s="13" t="n">
        <f aca="false">IF(Kalender!A353="",0,J1084-H1085)</f>
        <v>0</v>
      </c>
    </row>
    <row r="1086" customFormat="false" ht="16.4" hidden="false" customHeight="false" outlineLevel="0" collapsed="false">
      <c r="A1086" s="13" t="str">
        <f aca="false">""</f>
        <v/>
      </c>
      <c r="B1086" s="13" t="n">
        <f aca="false">350</f>
        <v>350</v>
      </c>
      <c r="C1086" s="13" t="n">
        <f aca="false">IF(Szenarien!$H$10="OK",(IFERROR(SUMIF(Nutzungsprofile!$B$6:$B$11,"Schulbetrieb",Nutzungsprofile!$G$6:$G$11)*Kalender!C354/SUM(Kalender!$C$5:$C$370),0)+IFERROR(SUMIF(Nutzungsprofile!$B$6:$B$11,"Halle",Nutzungsprofile!$G$6:$G$11)*Kalender!D354/SUM(Kalender!$D$5:$D$370),0)+IFERROR(SUMIF(Nutzungsprofile!$B$6:$B$11,"Individuell",Nutzungsprofile!$G$6:$G$11)*Kalender!E354/SUM(Kalender!$E$5:$E$370),0))*Szenarien!$E$10,0)</f>
        <v>0</v>
      </c>
      <c r="D1086" s="13" t="n">
        <f aca="false">IF(Szenarien!$H$10="OK",(IFERROR(SUMIF(Nutzungsprofile!$B$17:$B$22,"Schulbetrieb",Nutzungsprofile!$G$17:$G$22)*Kalender!C354/SUM(Kalender!$C$5:$C$370),0)+IFERROR(SUMIF(Nutzungsprofile!$B$17:$B$22,"Halle",Nutzungsprofile!$G$17:$G$22)*Kalender!D354/SUM(Kalender!$D$5:$D$370),0)+IFERROR(SUMIF(Nutzungsprofile!$B$17:$B$22,"Individuell",Nutzungsprofile!$G$17:$G$22)*Kalender!E354/SUM(Kalender!$E$5:$E$370),0))*Szenarien!$D$10,0)</f>
        <v>0</v>
      </c>
      <c r="E1086" s="13" t="n">
        <f aca="false">IFERROR(MIN(C1086,Eingaben!$B$17)*Eingaben!$B$16,0)</f>
        <v>0</v>
      </c>
      <c r="F1086" s="13" t="n">
        <f aca="false">IFERROR(E1086*Eingaben!$B$15,0)</f>
        <v>0</v>
      </c>
      <c r="G1086" s="13" t="n">
        <f aca="false">IFERROR(IF(Kalender!A354="",0,J1085*(1-Eingaben!$B$20)),0)</f>
        <v>0</v>
      </c>
      <c r="H1086" s="13" t="n">
        <f aca="false">MIN(G1086,D1086)</f>
        <v>0</v>
      </c>
      <c r="I1086" s="13" t="n">
        <f aca="false">IFERROR(MIN(F1086*Eingaben!$B$19,MAX(0,D1086-H1086)),0)</f>
        <v>0</v>
      </c>
      <c r="J1086" s="13" t="n">
        <f aca="false">IFERROR(MIN(Eingaben!$B$18,MAX(0,F1086-I1086)),0)</f>
        <v>0</v>
      </c>
      <c r="K1086" s="13" t="n">
        <f aca="false">H1086+I1086</f>
        <v>0</v>
      </c>
      <c r="L1086" s="13" t="n">
        <f aca="false">MAX(0,D1086-K1086)</f>
        <v>0</v>
      </c>
      <c r="M1086" s="13" t="n">
        <f aca="false">MAX(0,F1086-I1086-J1086)</f>
        <v>0</v>
      </c>
      <c r="N1086" s="13" t="n">
        <f aca="false">IF(Kalender!A354="",0,J1085-H1086)</f>
        <v>0</v>
      </c>
    </row>
    <row r="1087" customFormat="false" ht="16.4" hidden="false" customHeight="false" outlineLevel="0" collapsed="false">
      <c r="A1087" s="13" t="str">
        <f aca="false">""</f>
        <v/>
      </c>
      <c r="B1087" s="13" t="n">
        <f aca="false">351</f>
        <v>351</v>
      </c>
      <c r="C1087" s="13" t="n">
        <f aca="false">IF(Szenarien!$H$10="OK",(IFERROR(SUMIF(Nutzungsprofile!$B$6:$B$11,"Schulbetrieb",Nutzungsprofile!$G$6:$G$11)*Kalender!C355/SUM(Kalender!$C$5:$C$370),0)+IFERROR(SUMIF(Nutzungsprofile!$B$6:$B$11,"Halle",Nutzungsprofile!$G$6:$G$11)*Kalender!D355/SUM(Kalender!$D$5:$D$370),0)+IFERROR(SUMIF(Nutzungsprofile!$B$6:$B$11,"Individuell",Nutzungsprofile!$G$6:$G$11)*Kalender!E355/SUM(Kalender!$E$5:$E$370),0))*Szenarien!$E$10,0)</f>
        <v>0</v>
      </c>
      <c r="D1087" s="13" t="n">
        <f aca="false">IF(Szenarien!$H$10="OK",(IFERROR(SUMIF(Nutzungsprofile!$B$17:$B$22,"Schulbetrieb",Nutzungsprofile!$G$17:$G$22)*Kalender!C355/SUM(Kalender!$C$5:$C$370),0)+IFERROR(SUMIF(Nutzungsprofile!$B$17:$B$22,"Halle",Nutzungsprofile!$G$17:$G$22)*Kalender!D355/SUM(Kalender!$D$5:$D$370),0)+IFERROR(SUMIF(Nutzungsprofile!$B$17:$B$22,"Individuell",Nutzungsprofile!$G$17:$G$22)*Kalender!E355/SUM(Kalender!$E$5:$E$370),0))*Szenarien!$D$10,0)</f>
        <v>0</v>
      </c>
      <c r="E1087" s="13" t="n">
        <f aca="false">IFERROR(MIN(C1087,Eingaben!$B$17)*Eingaben!$B$16,0)</f>
        <v>0</v>
      </c>
      <c r="F1087" s="13" t="n">
        <f aca="false">IFERROR(E1087*Eingaben!$B$15,0)</f>
        <v>0</v>
      </c>
      <c r="G1087" s="13" t="n">
        <f aca="false">IFERROR(IF(Kalender!A355="",0,J1086*(1-Eingaben!$B$20)),0)</f>
        <v>0</v>
      </c>
      <c r="H1087" s="13" t="n">
        <f aca="false">MIN(G1087,D1087)</f>
        <v>0</v>
      </c>
      <c r="I1087" s="13" t="n">
        <f aca="false">IFERROR(MIN(F1087*Eingaben!$B$19,MAX(0,D1087-H1087)),0)</f>
        <v>0</v>
      </c>
      <c r="J1087" s="13" t="n">
        <f aca="false">IFERROR(MIN(Eingaben!$B$18,MAX(0,F1087-I1087)),0)</f>
        <v>0</v>
      </c>
      <c r="K1087" s="13" t="n">
        <f aca="false">H1087+I1087</f>
        <v>0</v>
      </c>
      <c r="L1087" s="13" t="n">
        <f aca="false">MAX(0,D1087-K1087)</f>
        <v>0</v>
      </c>
      <c r="M1087" s="13" t="n">
        <f aca="false">MAX(0,F1087-I1087-J1087)</f>
        <v>0</v>
      </c>
      <c r="N1087" s="13" t="n">
        <f aca="false">IF(Kalender!A355="",0,J1086-H1087)</f>
        <v>0</v>
      </c>
    </row>
    <row r="1088" customFormat="false" ht="16.4" hidden="false" customHeight="false" outlineLevel="0" collapsed="false">
      <c r="A1088" s="13" t="str">
        <f aca="false">""</f>
        <v/>
      </c>
      <c r="B1088" s="13" t="n">
        <f aca="false">352</f>
        <v>352</v>
      </c>
      <c r="C1088" s="13" t="n">
        <f aca="false">IF(Szenarien!$H$10="OK",(IFERROR(SUMIF(Nutzungsprofile!$B$6:$B$11,"Schulbetrieb",Nutzungsprofile!$G$6:$G$11)*Kalender!C356/SUM(Kalender!$C$5:$C$370),0)+IFERROR(SUMIF(Nutzungsprofile!$B$6:$B$11,"Halle",Nutzungsprofile!$G$6:$G$11)*Kalender!D356/SUM(Kalender!$D$5:$D$370),0)+IFERROR(SUMIF(Nutzungsprofile!$B$6:$B$11,"Individuell",Nutzungsprofile!$G$6:$G$11)*Kalender!E356/SUM(Kalender!$E$5:$E$370),0))*Szenarien!$E$10,0)</f>
        <v>0</v>
      </c>
      <c r="D1088" s="13" t="n">
        <f aca="false">IF(Szenarien!$H$10="OK",(IFERROR(SUMIF(Nutzungsprofile!$B$17:$B$22,"Schulbetrieb",Nutzungsprofile!$G$17:$G$22)*Kalender!C356/SUM(Kalender!$C$5:$C$370),0)+IFERROR(SUMIF(Nutzungsprofile!$B$17:$B$22,"Halle",Nutzungsprofile!$G$17:$G$22)*Kalender!D356/SUM(Kalender!$D$5:$D$370),0)+IFERROR(SUMIF(Nutzungsprofile!$B$17:$B$22,"Individuell",Nutzungsprofile!$G$17:$G$22)*Kalender!E356/SUM(Kalender!$E$5:$E$370),0))*Szenarien!$D$10,0)</f>
        <v>0</v>
      </c>
      <c r="E1088" s="13" t="n">
        <f aca="false">IFERROR(MIN(C1088,Eingaben!$B$17)*Eingaben!$B$16,0)</f>
        <v>0</v>
      </c>
      <c r="F1088" s="13" t="n">
        <f aca="false">IFERROR(E1088*Eingaben!$B$15,0)</f>
        <v>0</v>
      </c>
      <c r="G1088" s="13" t="n">
        <f aca="false">IFERROR(IF(Kalender!A356="",0,J1087*(1-Eingaben!$B$20)),0)</f>
        <v>0</v>
      </c>
      <c r="H1088" s="13" t="n">
        <f aca="false">MIN(G1088,D1088)</f>
        <v>0</v>
      </c>
      <c r="I1088" s="13" t="n">
        <f aca="false">IFERROR(MIN(F1088*Eingaben!$B$19,MAX(0,D1088-H1088)),0)</f>
        <v>0</v>
      </c>
      <c r="J1088" s="13" t="n">
        <f aca="false">IFERROR(MIN(Eingaben!$B$18,MAX(0,F1088-I1088)),0)</f>
        <v>0</v>
      </c>
      <c r="K1088" s="13" t="n">
        <f aca="false">H1088+I1088</f>
        <v>0</v>
      </c>
      <c r="L1088" s="13" t="n">
        <f aca="false">MAX(0,D1088-K1088)</f>
        <v>0</v>
      </c>
      <c r="M1088" s="13" t="n">
        <f aca="false">MAX(0,F1088-I1088-J1088)</f>
        <v>0</v>
      </c>
      <c r="N1088" s="13" t="n">
        <f aca="false">IF(Kalender!A356="",0,J1087-H1088)</f>
        <v>0</v>
      </c>
    </row>
    <row r="1089" customFormat="false" ht="16.4" hidden="false" customHeight="false" outlineLevel="0" collapsed="false">
      <c r="A1089" s="13" t="str">
        <f aca="false">""</f>
        <v/>
      </c>
      <c r="B1089" s="13" t="n">
        <f aca="false">353</f>
        <v>353</v>
      </c>
      <c r="C1089" s="13" t="n">
        <f aca="false">IF(Szenarien!$H$10="OK",(IFERROR(SUMIF(Nutzungsprofile!$B$6:$B$11,"Schulbetrieb",Nutzungsprofile!$G$6:$G$11)*Kalender!C357/SUM(Kalender!$C$5:$C$370),0)+IFERROR(SUMIF(Nutzungsprofile!$B$6:$B$11,"Halle",Nutzungsprofile!$G$6:$G$11)*Kalender!D357/SUM(Kalender!$D$5:$D$370),0)+IFERROR(SUMIF(Nutzungsprofile!$B$6:$B$11,"Individuell",Nutzungsprofile!$G$6:$G$11)*Kalender!E357/SUM(Kalender!$E$5:$E$370),0))*Szenarien!$E$10,0)</f>
        <v>0</v>
      </c>
      <c r="D1089" s="13" t="n">
        <f aca="false">IF(Szenarien!$H$10="OK",(IFERROR(SUMIF(Nutzungsprofile!$B$17:$B$22,"Schulbetrieb",Nutzungsprofile!$G$17:$G$22)*Kalender!C357/SUM(Kalender!$C$5:$C$370),0)+IFERROR(SUMIF(Nutzungsprofile!$B$17:$B$22,"Halle",Nutzungsprofile!$G$17:$G$22)*Kalender!D357/SUM(Kalender!$D$5:$D$370),0)+IFERROR(SUMIF(Nutzungsprofile!$B$17:$B$22,"Individuell",Nutzungsprofile!$G$17:$G$22)*Kalender!E357/SUM(Kalender!$E$5:$E$370),0))*Szenarien!$D$10,0)</f>
        <v>0</v>
      </c>
      <c r="E1089" s="13" t="n">
        <f aca="false">IFERROR(MIN(C1089,Eingaben!$B$17)*Eingaben!$B$16,0)</f>
        <v>0</v>
      </c>
      <c r="F1089" s="13" t="n">
        <f aca="false">IFERROR(E1089*Eingaben!$B$15,0)</f>
        <v>0</v>
      </c>
      <c r="G1089" s="13" t="n">
        <f aca="false">IFERROR(IF(Kalender!A357="",0,J1088*(1-Eingaben!$B$20)),0)</f>
        <v>0</v>
      </c>
      <c r="H1089" s="13" t="n">
        <f aca="false">MIN(G1089,D1089)</f>
        <v>0</v>
      </c>
      <c r="I1089" s="13" t="n">
        <f aca="false">IFERROR(MIN(F1089*Eingaben!$B$19,MAX(0,D1089-H1089)),0)</f>
        <v>0</v>
      </c>
      <c r="J1089" s="13" t="n">
        <f aca="false">IFERROR(MIN(Eingaben!$B$18,MAX(0,F1089-I1089)),0)</f>
        <v>0</v>
      </c>
      <c r="K1089" s="13" t="n">
        <f aca="false">H1089+I1089</f>
        <v>0</v>
      </c>
      <c r="L1089" s="13" t="n">
        <f aca="false">MAX(0,D1089-K1089)</f>
        <v>0</v>
      </c>
      <c r="M1089" s="13" t="n">
        <f aca="false">MAX(0,F1089-I1089-J1089)</f>
        <v>0</v>
      </c>
      <c r="N1089" s="13" t="n">
        <f aca="false">IF(Kalender!A357="",0,J1088-H1089)</f>
        <v>0</v>
      </c>
    </row>
    <row r="1090" customFormat="false" ht="16.4" hidden="false" customHeight="false" outlineLevel="0" collapsed="false">
      <c r="A1090" s="13" t="str">
        <f aca="false">""</f>
        <v/>
      </c>
      <c r="B1090" s="13" t="n">
        <f aca="false">354</f>
        <v>354</v>
      </c>
      <c r="C1090" s="13" t="n">
        <f aca="false">IF(Szenarien!$H$10="OK",(IFERROR(SUMIF(Nutzungsprofile!$B$6:$B$11,"Schulbetrieb",Nutzungsprofile!$G$6:$G$11)*Kalender!C358/SUM(Kalender!$C$5:$C$370),0)+IFERROR(SUMIF(Nutzungsprofile!$B$6:$B$11,"Halle",Nutzungsprofile!$G$6:$G$11)*Kalender!D358/SUM(Kalender!$D$5:$D$370),0)+IFERROR(SUMIF(Nutzungsprofile!$B$6:$B$11,"Individuell",Nutzungsprofile!$G$6:$G$11)*Kalender!E358/SUM(Kalender!$E$5:$E$370),0))*Szenarien!$E$10,0)</f>
        <v>0</v>
      </c>
      <c r="D1090" s="13" t="n">
        <f aca="false">IF(Szenarien!$H$10="OK",(IFERROR(SUMIF(Nutzungsprofile!$B$17:$B$22,"Schulbetrieb",Nutzungsprofile!$G$17:$G$22)*Kalender!C358/SUM(Kalender!$C$5:$C$370),0)+IFERROR(SUMIF(Nutzungsprofile!$B$17:$B$22,"Halle",Nutzungsprofile!$G$17:$G$22)*Kalender!D358/SUM(Kalender!$D$5:$D$370),0)+IFERROR(SUMIF(Nutzungsprofile!$B$17:$B$22,"Individuell",Nutzungsprofile!$G$17:$G$22)*Kalender!E358/SUM(Kalender!$E$5:$E$370),0))*Szenarien!$D$10,0)</f>
        <v>0</v>
      </c>
      <c r="E1090" s="13" t="n">
        <f aca="false">IFERROR(MIN(C1090,Eingaben!$B$17)*Eingaben!$B$16,0)</f>
        <v>0</v>
      </c>
      <c r="F1090" s="13" t="n">
        <f aca="false">IFERROR(E1090*Eingaben!$B$15,0)</f>
        <v>0</v>
      </c>
      <c r="G1090" s="13" t="n">
        <f aca="false">IFERROR(IF(Kalender!A358="",0,J1089*(1-Eingaben!$B$20)),0)</f>
        <v>0</v>
      </c>
      <c r="H1090" s="13" t="n">
        <f aca="false">MIN(G1090,D1090)</f>
        <v>0</v>
      </c>
      <c r="I1090" s="13" t="n">
        <f aca="false">IFERROR(MIN(F1090*Eingaben!$B$19,MAX(0,D1090-H1090)),0)</f>
        <v>0</v>
      </c>
      <c r="J1090" s="13" t="n">
        <f aca="false">IFERROR(MIN(Eingaben!$B$18,MAX(0,F1090-I1090)),0)</f>
        <v>0</v>
      </c>
      <c r="K1090" s="13" t="n">
        <f aca="false">H1090+I1090</f>
        <v>0</v>
      </c>
      <c r="L1090" s="13" t="n">
        <f aca="false">MAX(0,D1090-K1090)</f>
        <v>0</v>
      </c>
      <c r="M1090" s="13" t="n">
        <f aca="false">MAX(0,F1090-I1090-J1090)</f>
        <v>0</v>
      </c>
      <c r="N1090" s="13" t="n">
        <f aca="false">IF(Kalender!A358="",0,J1089-H1090)</f>
        <v>0</v>
      </c>
    </row>
    <row r="1091" customFormat="false" ht="16.4" hidden="false" customHeight="false" outlineLevel="0" collapsed="false">
      <c r="A1091" s="13" t="str">
        <f aca="false">""</f>
        <v/>
      </c>
      <c r="B1091" s="13" t="n">
        <f aca="false">355</f>
        <v>355</v>
      </c>
      <c r="C1091" s="13" t="n">
        <f aca="false">IF(Szenarien!$H$10="OK",(IFERROR(SUMIF(Nutzungsprofile!$B$6:$B$11,"Schulbetrieb",Nutzungsprofile!$G$6:$G$11)*Kalender!C359/SUM(Kalender!$C$5:$C$370),0)+IFERROR(SUMIF(Nutzungsprofile!$B$6:$B$11,"Halle",Nutzungsprofile!$G$6:$G$11)*Kalender!D359/SUM(Kalender!$D$5:$D$370),0)+IFERROR(SUMIF(Nutzungsprofile!$B$6:$B$11,"Individuell",Nutzungsprofile!$G$6:$G$11)*Kalender!E359/SUM(Kalender!$E$5:$E$370),0))*Szenarien!$E$10,0)</f>
        <v>0</v>
      </c>
      <c r="D1091" s="13" t="n">
        <f aca="false">IF(Szenarien!$H$10="OK",(IFERROR(SUMIF(Nutzungsprofile!$B$17:$B$22,"Schulbetrieb",Nutzungsprofile!$G$17:$G$22)*Kalender!C359/SUM(Kalender!$C$5:$C$370),0)+IFERROR(SUMIF(Nutzungsprofile!$B$17:$B$22,"Halle",Nutzungsprofile!$G$17:$G$22)*Kalender!D359/SUM(Kalender!$D$5:$D$370),0)+IFERROR(SUMIF(Nutzungsprofile!$B$17:$B$22,"Individuell",Nutzungsprofile!$G$17:$G$22)*Kalender!E359/SUM(Kalender!$E$5:$E$370),0))*Szenarien!$D$10,0)</f>
        <v>0</v>
      </c>
      <c r="E1091" s="13" t="n">
        <f aca="false">IFERROR(MIN(C1091,Eingaben!$B$17)*Eingaben!$B$16,0)</f>
        <v>0</v>
      </c>
      <c r="F1091" s="13" t="n">
        <f aca="false">IFERROR(E1091*Eingaben!$B$15,0)</f>
        <v>0</v>
      </c>
      <c r="G1091" s="13" t="n">
        <f aca="false">IFERROR(IF(Kalender!A359="",0,J1090*(1-Eingaben!$B$20)),0)</f>
        <v>0</v>
      </c>
      <c r="H1091" s="13" t="n">
        <f aca="false">MIN(G1091,D1091)</f>
        <v>0</v>
      </c>
      <c r="I1091" s="13" t="n">
        <f aca="false">IFERROR(MIN(F1091*Eingaben!$B$19,MAX(0,D1091-H1091)),0)</f>
        <v>0</v>
      </c>
      <c r="J1091" s="13" t="n">
        <f aca="false">IFERROR(MIN(Eingaben!$B$18,MAX(0,F1091-I1091)),0)</f>
        <v>0</v>
      </c>
      <c r="K1091" s="13" t="n">
        <f aca="false">H1091+I1091</f>
        <v>0</v>
      </c>
      <c r="L1091" s="13" t="n">
        <f aca="false">MAX(0,D1091-K1091)</f>
        <v>0</v>
      </c>
      <c r="M1091" s="13" t="n">
        <f aca="false">MAX(0,F1091-I1091-J1091)</f>
        <v>0</v>
      </c>
      <c r="N1091" s="13" t="n">
        <f aca="false">IF(Kalender!A359="",0,J1090-H1091)</f>
        <v>0</v>
      </c>
    </row>
    <row r="1092" customFormat="false" ht="16.4" hidden="false" customHeight="false" outlineLevel="0" collapsed="false">
      <c r="A1092" s="13" t="str">
        <f aca="false">""</f>
        <v/>
      </c>
      <c r="B1092" s="13" t="n">
        <f aca="false">356</f>
        <v>356</v>
      </c>
      <c r="C1092" s="13" t="n">
        <f aca="false">IF(Szenarien!$H$10="OK",(IFERROR(SUMIF(Nutzungsprofile!$B$6:$B$11,"Schulbetrieb",Nutzungsprofile!$G$6:$G$11)*Kalender!C360/SUM(Kalender!$C$5:$C$370),0)+IFERROR(SUMIF(Nutzungsprofile!$B$6:$B$11,"Halle",Nutzungsprofile!$G$6:$G$11)*Kalender!D360/SUM(Kalender!$D$5:$D$370),0)+IFERROR(SUMIF(Nutzungsprofile!$B$6:$B$11,"Individuell",Nutzungsprofile!$G$6:$G$11)*Kalender!E360/SUM(Kalender!$E$5:$E$370),0))*Szenarien!$E$10,0)</f>
        <v>0</v>
      </c>
      <c r="D1092" s="13" t="n">
        <f aca="false">IF(Szenarien!$H$10="OK",(IFERROR(SUMIF(Nutzungsprofile!$B$17:$B$22,"Schulbetrieb",Nutzungsprofile!$G$17:$G$22)*Kalender!C360/SUM(Kalender!$C$5:$C$370),0)+IFERROR(SUMIF(Nutzungsprofile!$B$17:$B$22,"Halle",Nutzungsprofile!$G$17:$G$22)*Kalender!D360/SUM(Kalender!$D$5:$D$370),0)+IFERROR(SUMIF(Nutzungsprofile!$B$17:$B$22,"Individuell",Nutzungsprofile!$G$17:$G$22)*Kalender!E360/SUM(Kalender!$E$5:$E$370),0))*Szenarien!$D$10,0)</f>
        <v>0</v>
      </c>
      <c r="E1092" s="13" t="n">
        <f aca="false">IFERROR(MIN(C1092,Eingaben!$B$17)*Eingaben!$B$16,0)</f>
        <v>0</v>
      </c>
      <c r="F1092" s="13" t="n">
        <f aca="false">IFERROR(E1092*Eingaben!$B$15,0)</f>
        <v>0</v>
      </c>
      <c r="G1092" s="13" t="n">
        <f aca="false">IFERROR(IF(Kalender!A360="",0,J1091*(1-Eingaben!$B$20)),0)</f>
        <v>0</v>
      </c>
      <c r="H1092" s="13" t="n">
        <f aca="false">MIN(G1092,D1092)</f>
        <v>0</v>
      </c>
      <c r="I1092" s="13" t="n">
        <f aca="false">IFERROR(MIN(F1092*Eingaben!$B$19,MAX(0,D1092-H1092)),0)</f>
        <v>0</v>
      </c>
      <c r="J1092" s="13" t="n">
        <f aca="false">IFERROR(MIN(Eingaben!$B$18,MAX(0,F1092-I1092)),0)</f>
        <v>0</v>
      </c>
      <c r="K1092" s="13" t="n">
        <f aca="false">H1092+I1092</f>
        <v>0</v>
      </c>
      <c r="L1092" s="13" t="n">
        <f aca="false">MAX(0,D1092-K1092)</f>
        <v>0</v>
      </c>
      <c r="M1092" s="13" t="n">
        <f aca="false">MAX(0,F1092-I1092-J1092)</f>
        <v>0</v>
      </c>
      <c r="N1092" s="13" t="n">
        <f aca="false">IF(Kalender!A360="",0,J1091-H1092)</f>
        <v>0</v>
      </c>
    </row>
    <row r="1093" customFormat="false" ht="16.4" hidden="false" customHeight="false" outlineLevel="0" collapsed="false">
      <c r="A1093" s="13" t="str">
        <f aca="false">""</f>
        <v/>
      </c>
      <c r="B1093" s="13" t="n">
        <f aca="false">357</f>
        <v>357</v>
      </c>
      <c r="C1093" s="13" t="n">
        <f aca="false">IF(Szenarien!$H$10="OK",(IFERROR(SUMIF(Nutzungsprofile!$B$6:$B$11,"Schulbetrieb",Nutzungsprofile!$G$6:$G$11)*Kalender!C361/SUM(Kalender!$C$5:$C$370),0)+IFERROR(SUMIF(Nutzungsprofile!$B$6:$B$11,"Halle",Nutzungsprofile!$G$6:$G$11)*Kalender!D361/SUM(Kalender!$D$5:$D$370),0)+IFERROR(SUMIF(Nutzungsprofile!$B$6:$B$11,"Individuell",Nutzungsprofile!$G$6:$G$11)*Kalender!E361/SUM(Kalender!$E$5:$E$370),0))*Szenarien!$E$10,0)</f>
        <v>0</v>
      </c>
      <c r="D1093" s="13" t="n">
        <f aca="false">IF(Szenarien!$H$10="OK",(IFERROR(SUMIF(Nutzungsprofile!$B$17:$B$22,"Schulbetrieb",Nutzungsprofile!$G$17:$G$22)*Kalender!C361/SUM(Kalender!$C$5:$C$370),0)+IFERROR(SUMIF(Nutzungsprofile!$B$17:$B$22,"Halle",Nutzungsprofile!$G$17:$G$22)*Kalender!D361/SUM(Kalender!$D$5:$D$370),0)+IFERROR(SUMIF(Nutzungsprofile!$B$17:$B$22,"Individuell",Nutzungsprofile!$G$17:$G$22)*Kalender!E361/SUM(Kalender!$E$5:$E$370),0))*Szenarien!$D$10,0)</f>
        <v>0</v>
      </c>
      <c r="E1093" s="13" t="n">
        <f aca="false">IFERROR(MIN(C1093,Eingaben!$B$17)*Eingaben!$B$16,0)</f>
        <v>0</v>
      </c>
      <c r="F1093" s="13" t="n">
        <f aca="false">IFERROR(E1093*Eingaben!$B$15,0)</f>
        <v>0</v>
      </c>
      <c r="G1093" s="13" t="n">
        <f aca="false">IFERROR(IF(Kalender!A361="",0,J1092*(1-Eingaben!$B$20)),0)</f>
        <v>0</v>
      </c>
      <c r="H1093" s="13" t="n">
        <f aca="false">MIN(G1093,D1093)</f>
        <v>0</v>
      </c>
      <c r="I1093" s="13" t="n">
        <f aca="false">IFERROR(MIN(F1093*Eingaben!$B$19,MAX(0,D1093-H1093)),0)</f>
        <v>0</v>
      </c>
      <c r="J1093" s="13" t="n">
        <f aca="false">IFERROR(MIN(Eingaben!$B$18,MAX(0,F1093-I1093)),0)</f>
        <v>0</v>
      </c>
      <c r="K1093" s="13" t="n">
        <f aca="false">H1093+I1093</f>
        <v>0</v>
      </c>
      <c r="L1093" s="13" t="n">
        <f aca="false">MAX(0,D1093-K1093)</f>
        <v>0</v>
      </c>
      <c r="M1093" s="13" t="n">
        <f aca="false">MAX(0,F1093-I1093-J1093)</f>
        <v>0</v>
      </c>
      <c r="N1093" s="13" t="n">
        <f aca="false">IF(Kalender!A361="",0,J1092-H1093)</f>
        <v>0</v>
      </c>
    </row>
    <row r="1094" customFormat="false" ht="16.4" hidden="false" customHeight="false" outlineLevel="0" collapsed="false">
      <c r="A1094" s="13" t="str">
        <f aca="false">""</f>
        <v/>
      </c>
      <c r="B1094" s="13" t="n">
        <f aca="false">358</f>
        <v>358</v>
      </c>
      <c r="C1094" s="13" t="n">
        <f aca="false">IF(Szenarien!$H$10="OK",(IFERROR(SUMIF(Nutzungsprofile!$B$6:$B$11,"Schulbetrieb",Nutzungsprofile!$G$6:$G$11)*Kalender!C362/SUM(Kalender!$C$5:$C$370),0)+IFERROR(SUMIF(Nutzungsprofile!$B$6:$B$11,"Halle",Nutzungsprofile!$G$6:$G$11)*Kalender!D362/SUM(Kalender!$D$5:$D$370),0)+IFERROR(SUMIF(Nutzungsprofile!$B$6:$B$11,"Individuell",Nutzungsprofile!$G$6:$G$11)*Kalender!E362/SUM(Kalender!$E$5:$E$370),0))*Szenarien!$E$10,0)</f>
        <v>0</v>
      </c>
      <c r="D1094" s="13" t="n">
        <f aca="false">IF(Szenarien!$H$10="OK",(IFERROR(SUMIF(Nutzungsprofile!$B$17:$B$22,"Schulbetrieb",Nutzungsprofile!$G$17:$G$22)*Kalender!C362/SUM(Kalender!$C$5:$C$370),0)+IFERROR(SUMIF(Nutzungsprofile!$B$17:$B$22,"Halle",Nutzungsprofile!$G$17:$G$22)*Kalender!D362/SUM(Kalender!$D$5:$D$370),0)+IFERROR(SUMIF(Nutzungsprofile!$B$17:$B$22,"Individuell",Nutzungsprofile!$G$17:$G$22)*Kalender!E362/SUM(Kalender!$E$5:$E$370),0))*Szenarien!$D$10,0)</f>
        <v>0</v>
      </c>
      <c r="E1094" s="13" t="n">
        <f aca="false">IFERROR(MIN(C1094,Eingaben!$B$17)*Eingaben!$B$16,0)</f>
        <v>0</v>
      </c>
      <c r="F1094" s="13" t="n">
        <f aca="false">IFERROR(E1094*Eingaben!$B$15,0)</f>
        <v>0</v>
      </c>
      <c r="G1094" s="13" t="n">
        <f aca="false">IFERROR(IF(Kalender!A362="",0,J1093*(1-Eingaben!$B$20)),0)</f>
        <v>0</v>
      </c>
      <c r="H1094" s="13" t="n">
        <f aca="false">MIN(G1094,D1094)</f>
        <v>0</v>
      </c>
      <c r="I1094" s="13" t="n">
        <f aca="false">IFERROR(MIN(F1094*Eingaben!$B$19,MAX(0,D1094-H1094)),0)</f>
        <v>0</v>
      </c>
      <c r="J1094" s="13" t="n">
        <f aca="false">IFERROR(MIN(Eingaben!$B$18,MAX(0,F1094-I1094)),0)</f>
        <v>0</v>
      </c>
      <c r="K1094" s="13" t="n">
        <f aca="false">H1094+I1094</f>
        <v>0</v>
      </c>
      <c r="L1094" s="13" t="n">
        <f aca="false">MAX(0,D1094-K1094)</f>
        <v>0</v>
      </c>
      <c r="M1094" s="13" t="n">
        <f aca="false">MAX(0,F1094-I1094-J1094)</f>
        <v>0</v>
      </c>
      <c r="N1094" s="13" t="n">
        <f aca="false">IF(Kalender!A362="",0,J1093-H1094)</f>
        <v>0</v>
      </c>
    </row>
    <row r="1095" customFormat="false" ht="16.4" hidden="false" customHeight="false" outlineLevel="0" collapsed="false">
      <c r="A1095" s="13" t="str">
        <f aca="false">""</f>
        <v/>
      </c>
      <c r="B1095" s="13" t="n">
        <f aca="false">359</f>
        <v>359</v>
      </c>
      <c r="C1095" s="13" t="n">
        <f aca="false">IF(Szenarien!$H$10="OK",(IFERROR(SUMIF(Nutzungsprofile!$B$6:$B$11,"Schulbetrieb",Nutzungsprofile!$G$6:$G$11)*Kalender!C363/SUM(Kalender!$C$5:$C$370),0)+IFERROR(SUMIF(Nutzungsprofile!$B$6:$B$11,"Halle",Nutzungsprofile!$G$6:$G$11)*Kalender!D363/SUM(Kalender!$D$5:$D$370),0)+IFERROR(SUMIF(Nutzungsprofile!$B$6:$B$11,"Individuell",Nutzungsprofile!$G$6:$G$11)*Kalender!E363/SUM(Kalender!$E$5:$E$370),0))*Szenarien!$E$10,0)</f>
        <v>0</v>
      </c>
      <c r="D1095" s="13" t="n">
        <f aca="false">IF(Szenarien!$H$10="OK",(IFERROR(SUMIF(Nutzungsprofile!$B$17:$B$22,"Schulbetrieb",Nutzungsprofile!$G$17:$G$22)*Kalender!C363/SUM(Kalender!$C$5:$C$370),0)+IFERROR(SUMIF(Nutzungsprofile!$B$17:$B$22,"Halle",Nutzungsprofile!$G$17:$G$22)*Kalender!D363/SUM(Kalender!$D$5:$D$370),0)+IFERROR(SUMIF(Nutzungsprofile!$B$17:$B$22,"Individuell",Nutzungsprofile!$G$17:$G$22)*Kalender!E363/SUM(Kalender!$E$5:$E$370),0))*Szenarien!$D$10,0)</f>
        <v>0</v>
      </c>
      <c r="E1095" s="13" t="n">
        <f aca="false">IFERROR(MIN(C1095,Eingaben!$B$17)*Eingaben!$B$16,0)</f>
        <v>0</v>
      </c>
      <c r="F1095" s="13" t="n">
        <f aca="false">IFERROR(E1095*Eingaben!$B$15,0)</f>
        <v>0</v>
      </c>
      <c r="G1095" s="13" t="n">
        <f aca="false">IFERROR(IF(Kalender!A363="",0,J1094*(1-Eingaben!$B$20)),0)</f>
        <v>0</v>
      </c>
      <c r="H1095" s="13" t="n">
        <f aca="false">MIN(G1095,D1095)</f>
        <v>0</v>
      </c>
      <c r="I1095" s="13" t="n">
        <f aca="false">IFERROR(MIN(F1095*Eingaben!$B$19,MAX(0,D1095-H1095)),0)</f>
        <v>0</v>
      </c>
      <c r="J1095" s="13" t="n">
        <f aca="false">IFERROR(MIN(Eingaben!$B$18,MAX(0,F1095-I1095)),0)</f>
        <v>0</v>
      </c>
      <c r="K1095" s="13" t="n">
        <f aca="false">H1095+I1095</f>
        <v>0</v>
      </c>
      <c r="L1095" s="13" t="n">
        <f aca="false">MAX(0,D1095-K1095)</f>
        <v>0</v>
      </c>
      <c r="M1095" s="13" t="n">
        <f aca="false">MAX(0,F1095-I1095-J1095)</f>
        <v>0</v>
      </c>
      <c r="N1095" s="13" t="n">
        <f aca="false">IF(Kalender!A363="",0,J1094-H1095)</f>
        <v>0</v>
      </c>
    </row>
    <row r="1096" customFormat="false" ht="16.4" hidden="false" customHeight="false" outlineLevel="0" collapsed="false">
      <c r="A1096" s="13" t="str">
        <f aca="false">""</f>
        <v/>
      </c>
      <c r="B1096" s="13" t="n">
        <f aca="false">360</f>
        <v>360</v>
      </c>
      <c r="C1096" s="13" t="n">
        <f aca="false">IF(Szenarien!$H$10="OK",(IFERROR(SUMIF(Nutzungsprofile!$B$6:$B$11,"Schulbetrieb",Nutzungsprofile!$G$6:$G$11)*Kalender!C364/SUM(Kalender!$C$5:$C$370),0)+IFERROR(SUMIF(Nutzungsprofile!$B$6:$B$11,"Halle",Nutzungsprofile!$G$6:$G$11)*Kalender!D364/SUM(Kalender!$D$5:$D$370),0)+IFERROR(SUMIF(Nutzungsprofile!$B$6:$B$11,"Individuell",Nutzungsprofile!$G$6:$G$11)*Kalender!E364/SUM(Kalender!$E$5:$E$370),0))*Szenarien!$E$10,0)</f>
        <v>0</v>
      </c>
      <c r="D1096" s="13" t="n">
        <f aca="false">IF(Szenarien!$H$10="OK",(IFERROR(SUMIF(Nutzungsprofile!$B$17:$B$22,"Schulbetrieb",Nutzungsprofile!$G$17:$G$22)*Kalender!C364/SUM(Kalender!$C$5:$C$370),0)+IFERROR(SUMIF(Nutzungsprofile!$B$17:$B$22,"Halle",Nutzungsprofile!$G$17:$G$22)*Kalender!D364/SUM(Kalender!$D$5:$D$370),0)+IFERROR(SUMIF(Nutzungsprofile!$B$17:$B$22,"Individuell",Nutzungsprofile!$G$17:$G$22)*Kalender!E364/SUM(Kalender!$E$5:$E$370),0))*Szenarien!$D$10,0)</f>
        <v>0</v>
      </c>
      <c r="E1096" s="13" t="n">
        <f aca="false">IFERROR(MIN(C1096,Eingaben!$B$17)*Eingaben!$B$16,0)</f>
        <v>0</v>
      </c>
      <c r="F1096" s="13" t="n">
        <f aca="false">IFERROR(E1096*Eingaben!$B$15,0)</f>
        <v>0</v>
      </c>
      <c r="G1096" s="13" t="n">
        <f aca="false">IFERROR(IF(Kalender!A364="",0,J1095*(1-Eingaben!$B$20)),0)</f>
        <v>0</v>
      </c>
      <c r="H1096" s="13" t="n">
        <f aca="false">MIN(G1096,D1096)</f>
        <v>0</v>
      </c>
      <c r="I1096" s="13" t="n">
        <f aca="false">IFERROR(MIN(F1096*Eingaben!$B$19,MAX(0,D1096-H1096)),0)</f>
        <v>0</v>
      </c>
      <c r="J1096" s="13" t="n">
        <f aca="false">IFERROR(MIN(Eingaben!$B$18,MAX(0,F1096-I1096)),0)</f>
        <v>0</v>
      </c>
      <c r="K1096" s="13" t="n">
        <f aca="false">H1096+I1096</f>
        <v>0</v>
      </c>
      <c r="L1096" s="13" t="n">
        <f aca="false">MAX(0,D1096-K1096)</f>
        <v>0</v>
      </c>
      <c r="M1096" s="13" t="n">
        <f aca="false">MAX(0,F1096-I1096-J1096)</f>
        <v>0</v>
      </c>
      <c r="N1096" s="13" t="n">
        <f aca="false">IF(Kalender!A364="",0,J1095-H1096)</f>
        <v>0</v>
      </c>
    </row>
    <row r="1097" customFormat="false" ht="16.4" hidden="false" customHeight="false" outlineLevel="0" collapsed="false">
      <c r="A1097" s="13" t="str">
        <f aca="false">""</f>
        <v/>
      </c>
      <c r="B1097" s="13" t="n">
        <f aca="false">361</f>
        <v>361</v>
      </c>
      <c r="C1097" s="13" t="n">
        <f aca="false">IF(Szenarien!$H$10="OK",(IFERROR(SUMIF(Nutzungsprofile!$B$6:$B$11,"Schulbetrieb",Nutzungsprofile!$G$6:$G$11)*Kalender!C365/SUM(Kalender!$C$5:$C$370),0)+IFERROR(SUMIF(Nutzungsprofile!$B$6:$B$11,"Halle",Nutzungsprofile!$G$6:$G$11)*Kalender!D365/SUM(Kalender!$D$5:$D$370),0)+IFERROR(SUMIF(Nutzungsprofile!$B$6:$B$11,"Individuell",Nutzungsprofile!$G$6:$G$11)*Kalender!E365/SUM(Kalender!$E$5:$E$370),0))*Szenarien!$E$10,0)</f>
        <v>0</v>
      </c>
      <c r="D1097" s="13" t="n">
        <f aca="false">IF(Szenarien!$H$10="OK",(IFERROR(SUMIF(Nutzungsprofile!$B$17:$B$22,"Schulbetrieb",Nutzungsprofile!$G$17:$G$22)*Kalender!C365/SUM(Kalender!$C$5:$C$370),0)+IFERROR(SUMIF(Nutzungsprofile!$B$17:$B$22,"Halle",Nutzungsprofile!$G$17:$G$22)*Kalender!D365/SUM(Kalender!$D$5:$D$370),0)+IFERROR(SUMIF(Nutzungsprofile!$B$17:$B$22,"Individuell",Nutzungsprofile!$G$17:$G$22)*Kalender!E365/SUM(Kalender!$E$5:$E$370),0))*Szenarien!$D$10,0)</f>
        <v>0</v>
      </c>
      <c r="E1097" s="13" t="n">
        <f aca="false">IFERROR(MIN(C1097,Eingaben!$B$17)*Eingaben!$B$16,0)</f>
        <v>0</v>
      </c>
      <c r="F1097" s="13" t="n">
        <f aca="false">IFERROR(E1097*Eingaben!$B$15,0)</f>
        <v>0</v>
      </c>
      <c r="G1097" s="13" t="n">
        <f aca="false">IFERROR(IF(Kalender!A365="",0,J1096*(1-Eingaben!$B$20)),0)</f>
        <v>0</v>
      </c>
      <c r="H1097" s="13" t="n">
        <f aca="false">MIN(G1097,D1097)</f>
        <v>0</v>
      </c>
      <c r="I1097" s="13" t="n">
        <f aca="false">IFERROR(MIN(F1097*Eingaben!$B$19,MAX(0,D1097-H1097)),0)</f>
        <v>0</v>
      </c>
      <c r="J1097" s="13" t="n">
        <f aca="false">IFERROR(MIN(Eingaben!$B$18,MAX(0,F1097-I1097)),0)</f>
        <v>0</v>
      </c>
      <c r="K1097" s="13" t="n">
        <f aca="false">H1097+I1097</f>
        <v>0</v>
      </c>
      <c r="L1097" s="13" t="n">
        <f aca="false">MAX(0,D1097-K1097)</f>
        <v>0</v>
      </c>
      <c r="M1097" s="13" t="n">
        <f aca="false">MAX(0,F1097-I1097-J1097)</f>
        <v>0</v>
      </c>
      <c r="N1097" s="13" t="n">
        <f aca="false">IF(Kalender!A365="",0,J1096-H1097)</f>
        <v>0</v>
      </c>
    </row>
    <row r="1098" customFormat="false" ht="16.4" hidden="false" customHeight="false" outlineLevel="0" collapsed="false">
      <c r="A1098" s="13" t="str">
        <f aca="false">""</f>
        <v/>
      </c>
      <c r="B1098" s="13" t="n">
        <f aca="false">362</f>
        <v>362</v>
      </c>
      <c r="C1098" s="13" t="n">
        <f aca="false">IF(Szenarien!$H$10="OK",(IFERROR(SUMIF(Nutzungsprofile!$B$6:$B$11,"Schulbetrieb",Nutzungsprofile!$G$6:$G$11)*Kalender!C366/SUM(Kalender!$C$5:$C$370),0)+IFERROR(SUMIF(Nutzungsprofile!$B$6:$B$11,"Halle",Nutzungsprofile!$G$6:$G$11)*Kalender!D366/SUM(Kalender!$D$5:$D$370),0)+IFERROR(SUMIF(Nutzungsprofile!$B$6:$B$11,"Individuell",Nutzungsprofile!$G$6:$G$11)*Kalender!E366/SUM(Kalender!$E$5:$E$370),0))*Szenarien!$E$10,0)</f>
        <v>0</v>
      </c>
      <c r="D1098" s="13" t="n">
        <f aca="false">IF(Szenarien!$H$10="OK",(IFERROR(SUMIF(Nutzungsprofile!$B$17:$B$22,"Schulbetrieb",Nutzungsprofile!$G$17:$G$22)*Kalender!C366/SUM(Kalender!$C$5:$C$370),0)+IFERROR(SUMIF(Nutzungsprofile!$B$17:$B$22,"Halle",Nutzungsprofile!$G$17:$G$22)*Kalender!D366/SUM(Kalender!$D$5:$D$370),0)+IFERROR(SUMIF(Nutzungsprofile!$B$17:$B$22,"Individuell",Nutzungsprofile!$G$17:$G$22)*Kalender!E366/SUM(Kalender!$E$5:$E$370),0))*Szenarien!$D$10,0)</f>
        <v>0</v>
      </c>
      <c r="E1098" s="13" t="n">
        <f aca="false">IFERROR(MIN(C1098,Eingaben!$B$17)*Eingaben!$B$16,0)</f>
        <v>0</v>
      </c>
      <c r="F1098" s="13" t="n">
        <f aca="false">IFERROR(E1098*Eingaben!$B$15,0)</f>
        <v>0</v>
      </c>
      <c r="G1098" s="13" t="n">
        <f aca="false">IFERROR(IF(Kalender!A366="",0,J1097*(1-Eingaben!$B$20)),0)</f>
        <v>0</v>
      </c>
      <c r="H1098" s="13" t="n">
        <f aca="false">MIN(G1098,D1098)</f>
        <v>0</v>
      </c>
      <c r="I1098" s="13" t="n">
        <f aca="false">IFERROR(MIN(F1098*Eingaben!$B$19,MAX(0,D1098-H1098)),0)</f>
        <v>0</v>
      </c>
      <c r="J1098" s="13" t="n">
        <f aca="false">IFERROR(MIN(Eingaben!$B$18,MAX(0,F1098-I1098)),0)</f>
        <v>0</v>
      </c>
      <c r="K1098" s="13" t="n">
        <f aca="false">H1098+I1098</f>
        <v>0</v>
      </c>
      <c r="L1098" s="13" t="n">
        <f aca="false">MAX(0,D1098-K1098)</f>
        <v>0</v>
      </c>
      <c r="M1098" s="13" t="n">
        <f aca="false">MAX(0,F1098-I1098-J1098)</f>
        <v>0</v>
      </c>
      <c r="N1098" s="13" t="n">
        <f aca="false">IF(Kalender!A366="",0,J1097-H1098)</f>
        <v>0</v>
      </c>
    </row>
    <row r="1099" customFormat="false" ht="16.4" hidden="false" customHeight="false" outlineLevel="0" collapsed="false">
      <c r="A1099" s="13" t="str">
        <f aca="false">""</f>
        <v/>
      </c>
      <c r="B1099" s="13" t="n">
        <f aca="false">363</f>
        <v>363</v>
      </c>
      <c r="C1099" s="13" t="n">
        <f aca="false">IF(Szenarien!$H$10="OK",(IFERROR(SUMIF(Nutzungsprofile!$B$6:$B$11,"Schulbetrieb",Nutzungsprofile!$G$6:$G$11)*Kalender!C367/SUM(Kalender!$C$5:$C$370),0)+IFERROR(SUMIF(Nutzungsprofile!$B$6:$B$11,"Halle",Nutzungsprofile!$G$6:$G$11)*Kalender!D367/SUM(Kalender!$D$5:$D$370),0)+IFERROR(SUMIF(Nutzungsprofile!$B$6:$B$11,"Individuell",Nutzungsprofile!$G$6:$G$11)*Kalender!E367/SUM(Kalender!$E$5:$E$370),0))*Szenarien!$E$10,0)</f>
        <v>0</v>
      </c>
      <c r="D1099" s="13" t="n">
        <f aca="false">IF(Szenarien!$H$10="OK",(IFERROR(SUMIF(Nutzungsprofile!$B$17:$B$22,"Schulbetrieb",Nutzungsprofile!$G$17:$G$22)*Kalender!C367/SUM(Kalender!$C$5:$C$370),0)+IFERROR(SUMIF(Nutzungsprofile!$B$17:$B$22,"Halle",Nutzungsprofile!$G$17:$G$22)*Kalender!D367/SUM(Kalender!$D$5:$D$370),0)+IFERROR(SUMIF(Nutzungsprofile!$B$17:$B$22,"Individuell",Nutzungsprofile!$G$17:$G$22)*Kalender!E367/SUM(Kalender!$E$5:$E$370),0))*Szenarien!$D$10,0)</f>
        <v>0</v>
      </c>
      <c r="E1099" s="13" t="n">
        <f aca="false">IFERROR(MIN(C1099,Eingaben!$B$17)*Eingaben!$B$16,0)</f>
        <v>0</v>
      </c>
      <c r="F1099" s="13" t="n">
        <f aca="false">IFERROR(E1099*Eingaben!$B$15,0)</f>
        <v>0</v>
      </c>
      <c r="G1099" s="13" t="n">
        <f aca="false">IFERROR(IF(Kalender!A367="",0,J1098*(1-Eingaben!$B$20)),0)</f>
        <v>0</v>
      </c>
      <c r="H1099" s="13" t="n">
        <f aca="false">MIN(G1099,D1099)</f>
        <v>0</v>
      </c>
      <c r="I1099" s="13" t="n">
        <f aca="false">IFERROR(MIN(F1099*Eingaben!$B$19,MAX(0,D1099-H1099)),0)</f>
        <v>0</v>
      </c>
      <c r="J1099" s="13" t="n">
        <f aca="false">IFERROR(MIN(Eingaben!$B$18,MAX(0,F1099-I1099)),0)</f>
        <v>0</v>
      </c>
      <c r="K1099" s="13" t="n">
        <f aca="false">H1099+I1099</f>
        <v>0</v>
      </c>
      <c r="L1099" s="13" t="n">
        <f aca="false">MAX(0,D1099-K1099)</f>
        <v>0</v>
      </c>
      <c r="M1099" s="13" t="n">
        <f aca="false">MAX(0,F1099-I1099-J1099)</f>
        <v>0</v>
      </c>
      <c r="N1099" s="13" t="n">
        <f aca="false">IF(Kalender!A367="",0,J1098-H1099)</f>
        <v>0</v>
      </c>
    </row>
    <row r="1100" customFormat="false" ht="16.4" hidden="false" customHeight="false" outlineLevel="0" collapsed="false">
      <c r="A1100" s="13" t="str">
        <f aca="false">""</f>
        <v/>
      </c>
      <c r="B1100" s="13" t="n">
        <f aca="false">364</f>
        <v>364</v>
      </c>
      <c r="C1100" s="13" t="n">
        <f aca="false">IF(Szenarien!$H$10="OK",(IFERROR(SUMIF(Nutzungsprofile!$B$6:$B$11,"Schulbetrieb",Nutzungsprofile!$G$6:$G$11)*Kalender!C368/SUM(Kalender!$C$5:$C$370),0)+IFERROR(SUMIF(Nutzungsprofile!$B$6:$B$11,"Halle",Nutzungsprofile!$G$6:$G$11)*Kalender!D368/SUM(Kalender!$D$5:$D$370),0)+IFERROR(SUMIF(Nutzungsprofile!$B$6:$B$11,"Individuell",Nutzungsprofile!$G$6:$G$11)*Kalender!E368/SUM(Kalender!$E$5:$E$370),0))*Szenarien!$E$10,0)</f>
        <v>0</v>
      </c>
      <c r="D1100" s="13" t="n">
        <f aca="false">IF(Szenarien!$H$10="OK",(IFERROR(SUMIF(Nutzungsprofile!$B$17:$B$22,"Schulbetrieb",Nutzungsprofile!$G$17:$G$22)*Kalender!C368/SUM(Kalender!$C$5:$C$370),0)+IFERROR(SUMIF(Nutzungsprofile!$B$17:$B$22,"Halle",Nutzungsprofile!$G$17:$G$22)*Kalender!D368/SUM(Kalender!$D$5:$D$370),0)+IFERROR(SUMIF(Nutzungsprofile!$B$17:$B$22,"Individuell",Nutzungsprofile!$G$17:$G$22)*Kalender!E368/SUM(Kalender!$E$5:$E$370),0))*Szenarien!$D$10,0)</f>
        <v>0</v>
      </c>
      <c r="E1100" s="13" t="n">
        <f aca="false">IFERROR(MIN(C1100,Eingaben!$B$17)*Eingaben!$B$16,0)</f>
        <v>0</v>
      </c>
      <c r="F1100" s="13" t="n">
        <f aca="false">IFERROR(E1100*Eingaben!$B$15,0)</f>
        <v>0</v>
      </c>
      <c r="G1100" s="13" t="n">
        <f aca="false">IFERROR(IF(Kalender!A368="",0,J1099*(1-Eingaben!$B$20)),0)</f>
        <v>0</v>
      </c>
      <c r="H1100" s="13" t="n">
        <f aca="false">MIN(G1100,D1100)</f>
        <v>0</v>
      </c>
      <c r="I1100" s="13" t="n">
        <f aca="false">IFERROR(MIN(F1100*Eingaben!$B$19,MAX(0,D1100-H1100)),0)</f>
        <v>0</v>
      </c>
      <c r="J1100" s="13" t="n">
        <f aca="false">IFERROR(MIN(Eingaben!$B$18,MAX(0,F1100-I1100)),0)</f>
        <v>0</v>
      </c>
      <c r="K1100" s="13" t="n">
        <f aca="false">H1100+I1100</f>
        <v>0</v>
      </c>
      <c r="L1100" s="13" t="n">
        <f aca="false">MAX(0,D1100-K1100)</f>
        <v>0</v>
      </c>
      <c r="M1100" s="13" t="n">
        <f aca="false">MAX(0,F1100-I1100-J1100)</f>
        <v>0</v>
      </c>
      <c r="N1100" s="13" t="n">
        <f aca="false">IF(Kalender!A368="",0,J1099-H1100)</f>
        <v>0</v>
      </c>
    </row>
    <row r="1101" customFormat="false" ht="16.4" hidden="false" customHeight="false" outlineLevel="0" collapsed="false">
      <c r="A1101" s="13" t="str">
        <f aca="false">""</f>
        <v/>
      </c>
      <c r="B1101" s="13" t="n">
        <f aca="false">365</f>
        <v>365</v>
      </c>
      <c r="C1101" s="13" t="n">
        <f aca="false">IF(Szenarien!$H$10="OK",(IFERROR(SUMIF(Nutzungsprofile!$B$6:$B$11,"Schulbetrieb",Nutzungsprofile!$G$6:$G$11)*Kalender!C369/SUM(Kalender!$C$5:$C$370),0)+IFERROR(SUMIF(Nutzungsprofile!$B$6:$B$11,"Halle",Nutzungsprofile!$G$6:$G$11)*Kalender!D369/SUM(Kalender!$D$5:$D$370),0)+IFERROR(SUMIF(Nutzungsprofile!$B$6:$B$11,"Individuell",Nutzungsprofile!$G$6:$G$11)*Kalender!E369/SUM(Kalender!$E$5:$E$370),0))*Szenarien!$E$10,0)</f>
        <v>0</v>
      </c>
      <c r="D1101" s="13" t="n">
        <f aca="false">IF(Szenarien!$H$10="OK",(IFERROR(SUMIF(Nutzungsprofile!$B$17:$B$22,"Schulbetrieb",Nutzungsprofile!$G$17:$G$22)*Kalender!C369/SUM(Kalender!$C$5:$C$370),0)+IFERROR(SUMIF(Nutzungsprofile!$B$17:$B$22,"Halle",Nutzungsprofile!$G$17:$G$22)*Kalender!D369/SUM(Kalender!$D$5:$D$370),0)+IFERROR(SUMIF(Nutzungsprofile!$B$17:$B$22,"Individuell",Nutzungsprofile!$G$17:$G$22)*Kalender!E369/SUM(Kalender!$E$5:$E$370),0))*Szenarien!$D$10,0)</f>
        <v>0</v>
      </c>
      <c r="E1101" s="13" t="n">
        <f aca="false">IFERROR(MIN(C1101,Eingaben!$B$17)*Eingaben!$B$16,0)</f>
        <v>0</v>
      </c>
      <c r="F1101" s="13" t="n">
        <f aca="false">IFERROR(E1101*Eingaben!$B$15,0)</f>
        <v>0</v>
      </c>
      <c r="G1101" s="13" t="n">
        <f aca="false">IFERROR(IF(Kalender!A369="",0,J1100*(1-Eingaben!$B$20)),0)</f>
        <v>0</v>
      </c>
      <c r="H1101" s="13" t="n">
        <f aca="false">MIN(G1101,D1101)</f>
        <v>0</v>
      </c>
      <c r="I1101" s="13" t="n">
        <f aca="false">IFERROR(MIN(F1101*Eingaben!$B$19,MAX(0,D1101-H1101)),0)</f>
        <v>0</v>
      </c>
      <c r="J1101" s="13" t="n">
        <f aca="false">IFERROR(MIN(Eingaben!$B$18,MAX(0,F1101-I1101)),0)</f>
        <v>0</v>
      </c>
      <c r="K1101" s="13" t="n">
        <f aca="false">H1101+I1101</f>
        <v>0</v>
      </c>
      <c r="L1101" s="13" t="n">
        <f aca="false">MAX(0,D1101-K1101)</f>
        <v>0</v>
      </c>
      <c r="M1101" s="13" t="n">
        <f aca="false">MAX(0,F1101-I1101-J1101)</f>
        <v>0</v>
      </c>
      <c r="N1101" s="13" t="n">
        <f aca="false">IF(Kalender!A369="",0,J1100-H1101)</f>
        <v>0</v>
      </c>
    </row>
    <row r="1102" customFormat="false" ht="16.4" hidden="false" customHeight="false" outlineLevel="0" collapsed="false">
      <c r="A1102" s="13" t="str">
        <f aca="false">""</f>
        <v/>
      </c>
      <c r="B1102" s="13" t="n">
        <f aca="false">366</f>
        <v>366</v>
      </c>
      <c r="C1102" s="13" t="n">
        <f aca="false">IF(Szenarien!$H$10="OK",(IFERROR(SUMIF(Nutzungsprofile!$B$6:$B$11,"Schulbetrieb",Nutzungsprofile!$G$6:$G$11)*Kalender!C370/SUM(Kalender!$C$5:$C$370),0)+IFERROR(SUMIF(Nutzungsprofile!$B$6:$B$11,"Halle",Nutzungsprofile!$G$6:$G$11)*Kalender!D370/SUM(Kalender!$D$5:$D$370),0)+IFERROR(SUMIF(Nutzungsprofile!$B$6:$B$11,"Individuell",Nutzungsprofile!$G$6:$G$11)*Kalender!E370/SUM(Kalender!$E$5:$E$370),0))*Szenarien!$E$10,0)</f>
        <v>0</v>
      </c>
      <c r="D1102" s="13" t="n">
        <f aca="false">IF(Szenarien!$H$10="OK",(IFERROR(SUMIF(Nutzungsprofile!$B$17:$B$22,"Schulbetrieb",Nutzungsprofile!$G$17:$G$22)*Kalender!C370/SUM(Kalender!$C$5:$C$370),0)+IFERROR(SUMIF(Nutzungsprofile!$B$17:$B$22,"Halle",Nutzungsprofile!$G$17:$G$22)*Kalender!D370/SUM(Kalender!$D$5:$D$370),0)+IFERROR(SUMIF(Nutzungsprofile!$B$17:$B$22,"Individuell",Nutzungsprofile!$G$17:$G$22)*Kalender!E370/SUM(Kalender!$E$5:$E$370),0))*Szenarien!$D$10,0)</f>
        <v>0</v>
      </c>
      <c r="E1102" s="13" t="n">
        <f aca="false">IFERROR(MIN(C1102,Eingaben!$B$17)*Eingaben!$B$16,0)</f>
        <v>0</v>
      </c>
      <c r="F1102" s="13" t="n">
        <f aca="false">IFERROR(E1102*Eingaben!$B$15,0)</f>
        <v>0</v>
      </c>
      <c r="G1102" s="13" t="n">
        <f aca="false">IFERROR(IF(Kalender!A370="",0,J1101*(1-Eingaben!$B$20)),0)</f>
        <v>0</v>
      </c>
      <c r="H1102" s="13" t="n">
        <f aca="false">MIN(G1102,D1102)</f>
        <v>0</v>
      </c>
      <c r="I1102" s="13" t="n">
        <f aca="false">IFERROR(MIN(F1102*Eingaben!$B$19,MAX(0,D1102-H1102)),0)</f>
        <v>0</v>
      </c>
      <c r="J1102" s="13" t="n">
        <f aca="false">IFERROR(MIN(Eingaben!$B$18,MAX(0,F1102-I1102)),0)</f>
        <v>0</v>
      </c>
      <c r="K1102" s="13" t="n">
        <f aca="false">H1102+I1102</f>
        <v>0</v>
      </c>
      <c r="L1102" s="13" t="n">
        <f aca="false">MAX(0,D1102-K1102)</f>
        <v>0</v>
      </c>
      <c r="M1102" s="13" t="n">
        <f aca="false">MAX(0,F1102-I1102-J1102)</f>
        <v>0</v>
      </c>
      <c r="N1102" s="13" t="n">
        <f aca="false">IF(Kalender!A370="",0,J1101-H1102)</f>
        <v>0</v>
      </c>
    </row>
    <row r="1103" customFormat="false" ht="31.3" hidden="false" customHeight="false" outlineLevel="0" collapsed="false">
      <c r="A1103" s="13" t="str">
        <f aca="false">"Investition −20 %"</f>
        <v>Investition −20 %</v>
      </c>
      <c r="B1103" s="13" t="n">
        <f aca="false">1</f>
        <v>1</v>
      </c>
      <c r="C1103" s="13" t="n">
        <f aca="false">IF(Szenarien!$H$14="OK",(IFERROR(SUMIF(Nutzungsprofile!$B$6:$B$11,"Schulbetrieb",Nutzungsprofile!$G$6:$G$11)*Kalender!C5/SUM(Kalender!$C$5:$C$370),0)+IFERROR(SUMIF(Nutzungsprofile!$B$6:$B$11,"Halle",Nutzungsprofile!$G$6:$G$11)*Kalender!D5/SUM(Kalender!$D$5:$D$370),0)+IFERROR(SUMIF(Nutzungsprofile!$B$6:$B$11,"Individuell",Nutzungsprofile!$G$6:$G$11)*Kalender!E5/SUM(Kalender!$E$5:$E$370),0))*Szenarien!$E$14,0)</f>
        <v>2.94</v>
      </c>
      <c r="D1103" s="13" t="n">
        <f aca="false">IF(Szenarien!$H$14="OK",(IFERROR(SUMIF(Nutzungsprofile!$B$17:$B$22,"Schulbetrieb",Nutzungsprofile!$G$17:$G$22)*Kalender!C5/SUM(Kalender!$C$5:$C$370),0)+IFERROR(SUMIF(Nutzungsprofile!$B$17:$B$22,"Halle",Nutzungsprofile!$G$17:$G$22)*Kalender!D5/SUM(Kalender!$D$5:$D$370),0)+IFERROR(SUMIF(Nutzungsprofile!$B$17:$B$22,"Individuell",Nutzungsprofile!$G$17:$G$22)*Kalender!E5/SUM(Kalender!$E$5:$E$370),0))*Szenarien!$D$14,0)</f>
        <v>4.94</v>
      </c>
      <c r="E1103" s="13" t="n">
        <f aca="false">IFERROR(MIN(C1103,Eingaben!$B$17)*Eingaben!$B$16,0)</f>
        <v>2.793</v>
      </c>
      <c r="F1103" s="13" t="n">
        <f aca="false">IFERROR(E1103*Eingaben!$B$15,0)</f>
        <v>2.5137</v>
      </c>
      <c r="G1103" s="13" t="n">
        <f aca="false">0</f>
        <v>0</v>
      </c>
      <c r="H1103" s="13" t="n">
        <f aca="false">MIN(G1103,D1103)</f>
        <v>0</v>
      </c>
      <c r="I1103" s="13" t="n">
        <f aca="false">IFERROR(MIN(F1103*Eingaben!$B$19,MAX(0,D1103-H1103)),0)</f>
        <v>1.75959</v>
      </c>
      <c r="J1103" s="13" t="n">
        <f aca="false">IFERROR(MIN(Eingaben!$B$18,MAX(0,F1103-I1103)),0)</f>
        <v>0.75411</v>
      </c>
      <c r="K1103" s="13" t="n">
        <f aca="false">H1103+I1103</f>
        <v>1.75959</v>
      </c>
      <c r="L1103" s="13" t="n">
        <f aca="false">MAX(0,D1103-K1103)</f>
        <v>3.18041</v>
      </c>
      <c r="M1103" s="13" t="n">
        <f aca="false">MAX(0,F1103-I1103-J1103)</f>
        <v>0</v>
      </c>
      <c r="N1103" s="13" t="n">
        <f aca="false">0</f>
        <v>0</v>
      </c>
    </row>
    <row r="1104" customFormat="false" ht="16.4" hidden="false" customHeight="false" outlineLevel="0" collapsed="false">
      <c r="A1104" s="13" t="str">
        <f aca="false">""</f>
        <v/>
      </c>
      <c r="B1104" s="13" t="n">
        <f aca="false">2</f>
        <v>2</v>
      </c>
      <c r="C1104" s="13" t="n">
        <f aca="false">IF(Szenarien!$H$14="OK",(IFERROR(SUMIF(Nutzungsprofile!$B$6:$B$11,"Schulbetrieb",Nutzungsprofile!$G$6:$G$11)*Kalender!C6/SUM(Kalender!$C$5:$C$370),0)+IFERROR(SUMIF(Nutzungsprofile!$B$6:$B$11,"Halle",Nutzungsprofile!$G$6:$G$11)*Kalender!D6/SUM(Kalender!$D$5:$D$370),0)+IFERROR(SUMIF(Nutzungsprofile!$B$6:$B$11,"Individuell",Nutzungsprofile!$G$6:$G$11)*Kalender!E6/SUM(Kalender!$E$5:$E$370),0))*Szenarien!$E$14,0)</f>
        <v>2.94</v>
      </c>
      <c r="D1104" s="13" t="n">
        <f aca="false">IF(Szenarien!$H$14="OK",(IFERROR(SUMIF(Nutzungsprofile!$B$17:$B$22,"Schulbetrieb",Nutzungsprofile!$G$17:$G$22)*Kalender!C6/SUM(Kalender!$C$5:$C$370),0)+IFERROR(SUMIF(Nutzungsprofile!$B$17:$B$22,"Halle",Nutzungsprofile!$G$17:$G$22)*Kalender!D6/SUM(Kalender!$D$5:$D$370),0)+IFERROR(SUMIF(Nutzungsprofile!$B$17:$B$22,"Individuell",Nutzungsprofile!$G$17:$G$22)*Kalender!E6/SUM(Kalender!$E$5:$E$370),0))*Szenarien!$D$14,0)</f>
        <v>4.94</v>
      </c>
      <c r="E1104" s="13" t="n">
        <f aca="false">IFERROR(MIN(C1104,Eingaben!$B$17)*Eingaben!$B$16,0)</f>
        <v>2.793</v>
      </c>
      <c r="F1104" s="13" t="n">
        <f aca="false">IFERROR(E1104*Eingaben!$B$15,0)</f>
        <v>2.5137</v>
      </c>
      <c r="G1104" s="13" t="n">
        <f aca="false">IFERROR(IF(Kalender!A6="",0,J1103*(1-Eingaben!$B$20)),0)</f>
        <v>0.7390278</v>
      </c>
      <c r="H1104" s="13" t="n">
        <f aca="false">MIN(G1104,D1104)</f>
        <v>0.7390278</v>
      </c>
      <c r="I1104" s="13" t="n">
        <f aca="false">IFERROR(MIN(F1104*Eingaben!$B$19,MAX(0,D1104-H1104)),0)</f>
        <v>1.75959</v>
      </c>
      <c r="J1104" s="13" t="n">
        <f aca="false">IFERROR(MIN(Eingaben!$B$18,MAX(0,F1104-I1104)),0)</f>
        <v>0.75411</v>
      </c>
      <c r="K1104" s="13" t="n">
        <f aca="false">H1104+I1104</f>
        <v>2.4986178</v>
      </c>
      <c r="L1104" s="13" t="n">
        <f aca="false">MAX(0,D1104-K1104)</f>
        <v>2.4413822</v>
      </c>
      <c r="M1104" s="13" t="n">
        <f aca="false">MAX(0,F1104-I1104-J1104)</f>
        <v>0</v>
      </c>
      <c r="N1104" s="13" t="n">
        <f aca="false">IF(Kalender!A6="",0,J1103-H1104)</f>
        <v>0.0150822</v>
      </c>
    </row>
    <row r="1105" customFormat="false" ht="16.4" hidden="false" customHeight="false" outlineLevel="0" collapsed="false">
      <c r="A1105" s="13" t="str">
        <f aca="false">""</f>
        <v/>
      </c>
      <c r="B1105" s="13" t="n">
        <f aca="false">3</f>
        <v>3</v>
      </c>
      <c r="C1105" s="13" t="n">
        <f aca="false">IF(Szenarien!$H$14="OK",(IFERROR(SUMIF(Nutzungsprofile!$B$6:$B$11,"Schulbetrieb",Nutzungsprofile!$G$6:$G$11)*Kalender!C7/SUM(Kalender!$C$5:$C$370),0)+IFERROR(SUMIF(Nutzungsprofile!$B$6:$B$11,"Halle",Nutzungsprofile!$G$6:$G$11)*Kalender!D7/SUM(Kalender!$D$5:$D$370),0)+IFERROR(SUMIF(Nutzungsprofile!$B$6:$B$11,"Individuell",Nutzungsprofile!$G$6:$G$11)*Kalender!E7/SUM(Kalender!$E$5:$E$370),0))*Szenarien!$E$14,0)</f>
        <v>2.04</v>
      </c>
      <c r="D1105" s="13" t="n">
        <f aca="false">IF(Szenarien!$H$14="OK",(IFERROR(SUMIF(Nutzungsprofile!$B$17:$B$22,"Schulbetrieb",Nutzungsprofile!$G$17:$G$22)*Kalender!C7/SUM(Kalender!$C$5:$C$370),0)+IFERROR(SUMIF(Nutzungsprofile!$B$17:$B$22,"Halle",Nutzungsprofile!$G$17:$G$22)*Kalender!D7/SUM(Kalender!$D$5:$D$370),0)+IFERROR(SUMIF(Nutzungsprofile!$B$17:$B$22,"Individuell",Nutzungsprofile!$G$17:$G$22)*Kalender!E7/SUM(Kalender!$E$5:$E$370),0))*Szenarien!$D$14,0)</f>
        <v>0.89</v>
      </c>
      <c r="E1105" s="13" t="n">
        <f aca="false">IFERROR(MIN(C1105,Eingaben!$B$17)*Eingaben!$B$16,0)</f>
        <v>1.938</v>
      </c>
      <c r="F1105" s="13" t="n">
        <f aca="false">IFERROR(E1105*Eingaben!$B$15,0)</f>
        <v>1.7442</v>
      </c>
      <c r="G1105" s="13" t="n">
        <f aca="false">IFERROR(IF(Kalender!A7="",0,J1104*(1-Eingaben!$B$20)),0)</f>
        <v>0.7390278</v>
      </c>
      <c r="H1105" s="13" t="n">
        <f aca="false">MIN(G1105,D1105)</f>
        <v>0.7390278</v>
      </c>
      <c r="I1105" s="13" t="n">
        <f aca="false">IFERROR(MIN(F1105*Eingaben!$B$19,MAX(0,D1105-H1105)),0)</f>
        <v>0.1509722</v>
      </c>
      <c r="J1105" s="13" t="n">
        <f aca="false">IFERROR(MIN(Eingaben!$B$18,MAX(0,F1105-I1105)),0)</f>
        <v>1.5932278</v>
      </c>
      <c r="K1105" s="13" t="n">
        <f aca="false">H1105+I1105</f>
        <v>0.89</v>
      </c>
      <c r="L1105" s="13" t="n">
        <f aca="false">MAX(0,D1105-K1105)</f>
        <v>0</v>
      </c>
      <c r="M1105" s="13" t="n">
        <f aca="false">MAX(0,F1105-I1105-J1105)</f>
        <v>0</v>
      </c>
      <c r="N1105" s="13" t="n">
        <f aca="false">IF(Kalender!A7="",0,J1104-H1105)</f>
        <v>0.0150822</v>
      </c>
    </row>
    <row r="1106" customFormat="false" ht="16.4" hidden="false" customHeight="false" outlineLevel="0" collapsed="false">
      <c r="A1106" s="13" t="str">
        <f aca="false">""</f>
        <v/>
      </c>
      <c r="B1106" s="13" t="n">
        <f aca="false">4</f>
        <v>4</v>
      </c>
      <c r="C1106" s="13" t="n">
        <f aca="false">IF(Szenarien!$H$14="OK",(IFERROR(SUMIF(Nutzungsprofile!$B$6:$B$11,"Schulbetrieb",Nutzungsprofile!$G$6:$G$11)*Kalender!C8/SUM(Kalender!$C$5:$C$370),0)+IFERROR(SUMIF(Nutzungsprofile!$B$6:$B$11,"Halle",Nutzungsprofile!$G$6:$G$11)*Kalender!D8/SUM(Kalender!$D$5:$D$370),0)+IFERROR(SUMIF(Nutzungsprofile!$B$6:$B$11,"Individuell",Nutzungsprofile!$G$6:$G$11)*Kalender!E8/SUM(Kalender!$E$5:$E$370),0))*Szenarien!$E$14,0)</f>
        <v>2.04</v>
      </c>
      <c r="D1106" s="13" t="n">
        <f aca="false">IF(Szenarien!$H$14="OK",(IFERROR(SUMIF(Nutzungsprofile!$B$17:$B$22,"Schulbetrieb",Nutzungsprofile!$G$17:$G$22)*Kalender!C8/SUM(Kalender!$C$5:$C$370),0)+IFERROR(SUMIF(Nutzungsprofile!$B$17:$B$22,"Halle",Nutzungsprofile!$G$17:$G$22)*Kalender!D8/SUM(Kalender!$D$5:$D$370),0)+IFERROR(SUMIF(Nutzungsprofile!$B$17:$B$22,"Individuell",Nutzungsprofile!$G$17:$G$22)*Kalender!E8/SUM(Kalender!$E$5:$E$370),0))*Szenarien!$D$14,0)</f>
        <v>0.89</v>
      </c>
      <c r="E1106" s="13" t="n">
        <f aca="false">IFERROR(MIN(C1106,Eingaben!$B$17)*Eingaben!$B$16,0)</f>
        <v>1.938</v>
      </c>
      <c r="F1106" s="13" t="n">
        <f aca="false">IFERROR(E1106*Eingaben!$B$15,0)</f>
        <v>1.7442</v>
      </c>
      <c r="G1106" s="13" t="n">
        <f aca="false">IFERROR(IF(Kalender!A8="",0,J1105*(1-Eingaben!$B$20)),0)</f>
        <v>1.561363244</v>
      </c>
      <c r="H1106" s="13" t="n">
        <f aca="false">MIN(G1106,D1106)</f>
        <v>0.89</v>
      </c>
      <c r="I1106" s="13" t="n">
        <f aca="false">IFERROR(MIN(F1106*Eingaben!$B$19,MAX(0,D1106-H1106)),0)</f>
        <v>0</v>
      </c>
      <c r="J1106" s="13" t="n">
        <f aca="false">IFERROR(MIN(Eingaben!$B$18,MAX(0,F1106-I1106)),0)</f>
        <v>1.7442</v>
      </c>
      <c r="K1106" s="13" t="n">
        <f aca="false">H1106+I1106</f>
        <v>0.89</v>
      </c>
      <c r="L1106" s="13" t="n">
        <f aca="false">MAX(0,D1106-K1106)</f>
        <v>0</v>
      </c>
      <c r="M1106" s="13" t="n">
        <f aca="false">MAX(0,F1106-I1106-J1106)</f>
        <v>0</v>
      </c>
      <c r="N1106" s="13" t="n">
        <f aca="false">IF(Kalender!A8="",0,J1105-H1106)</f>
        <v>0.7032278</v>
      </c>
    </row>
    <row r="1107" customFormat="false" ht="16.4" hidden="false" customHeight="false" outlineLevel="0" collapsed="false">
      <c r="A1107" s="13" t="str">
        <f aca="false">""</f>
        <v/>
      </c>
      <c r="B1107" s="13" t="n">
        <f aca="false">5</f>
        <v>5</v>
      </c>
      <c r="C1107" s="13" t="n">
        <f aca="false">IF(Szenarien!$H$14="OK",(IFERROR(SUMIF(Nutzungsprofile!$B$6:$B$11,"Schulbetrieb",Nutzungsprofile!$G$6:$G$11)*Kalender!C9/SUM(Kalender!$C$5:$C$370),0)+IFERROR(SUMIF(Nutzungsprofile!$B$6:$B$11,"Halle",Nutzungsprofile!$G$6:$G$11)*Kalender!D9/SUM(Kalender!$D$5:$D$370),0)+IFERROR(SUMIF(Nutzungsprofile!$B$6:$B$11,"Individuell",Nutzungsprofile!$G$6:$G$11)*Kalender!E9/SUM(Kalender!$E$5:$E$370),0))*Szenarien!$E$14,0)</f>
        <v>2.94</v>
      </c>
      <c r="D1107" s="13" t="n">
        <f aca="false">IF(Szenarien!$H$14="OK",(IFERROR(SUMIF(Nutzungsprofile!$B$17:$B$22,"Schulbetrieb",Nutzungsprofile!$G$17:$G$22)*Kalender!C9/SUM(Kalender!$C$5:$C$370),0)+IFERROR(SUMIF(Nutzungsprofile!$B$17:$B$22,"Halle",Nutzungsprofile!$G$17:$G$22)*Kalender!D9/SUM(Kalender!$D$5:$D$370),0)+IFERROR(SUMIF(Nutzungsprofile!$B$17:$B$22,"Individuell",Nutzungsprofile!$G$17:$G$22)*Kalender!E9/SUM(Kalender!$E$5:$E$370),0))*Szenarien!$D$14,0)</f>
        <v>4.94</v>
      </c>
      <c r="E1107" s="13" t="n">
        <f aca="false">IFERROR(MIN(C1107,Eingaben!$B$17)*Eingaben!$B$16,0)</f>
        <v>2.793</v>
      </c>
      <c r="F1107" s="13" t="n">
        <f aca="false">IFERROR(E1107*Eingaben!$B$15,0)</f>
        <v>2.5137</v>
      </c>
      <c r="G1107" s="13" t="n">
        <f aca="false">IFERROR(IF(Kalender!A9="",0,J1106*(1-Eingaben!$B$20)),0)</f>
        <v>1.709316</v>
      </c>
      <c r="H1107" s="13" t="n">
        <f aca="false">MIN(G1107,D1107)</f>
        <v>1.709316</v>
      </c>
      <c r="I1107" s="13" t="n">
        <f aca="false">IFERROR(MIN(F1107*Eingaben!$B$19,MAX(0,D1107-H1107)),0)</f>
        <v>1.75959</v>
      </c>
      <c r="J1107" s="13" t="n">
        <f aca="false">IFERROR(MIN(Eingaben!$B$18,MAX(0,F1107-I1107)),0)</f>
        <v>0.75411</v>
      </c>
      <c r="K1107" s="13" t="n">
        <f aca="false">H1107+I1107</f>
        <v>3.468906</v>
      </c>
      <c r="L1107" s="13" t="n">
        <f aca="false">MAX(0,D1107-K1107)</f>
        <v>1.471094</v>
      </c>
      <c r="M1107" s="13" t="n">
        <f aca="false">MAX(0,F1107-I1107-J1107)</f>
        <v>0</v>
      </c>
      <c r="N1107" s="13" t="n">
        <f aca="false">IF(Kalender!A9="",0,J1106-H1107)</f>
        <v>0.0348840000000001</v>
      </c>
    </row>
    <row r="1108" customFormat="false" ht="16.4" hidden="false" customHeight="false" outlineLevel="0" collapsed="false">
      <c r="A1108" s="13" t="str">
        <f aca="false">""</f>
        <v/>
      </c>
      <c r="B1108" s="13" t="n">
        <f aca="false">6</f>
        <v>6</v>
      </c>
      <c r="C1108" s="13" t="n">
        <f aca="false">IF(Szenarien!$H$14="OK",(IFERROR(SUMIF(Nutzungsprofile!$B$6:$B$11,"Schulbetrieb",Nutzungsprofile!$G$6:$G$11)*Kalender!C10/SUM(Kalender!$C$5:$C$370),0)+IFERROR(SUMIF(Nutzungsprofile!$B$6:$B$11,"Halle",Nutzungsprofile!$G$6:$G$11)*Kalender!D10/SUM(Kalender!$D$5:$D$370),0)+IFERROR(SUMIF(Nutzungsprofile!$B$6:$B$11,"Individuell",Nutzungsprofile!$G$6:$G$11)*Kalender!E10/SUM(Kalender!$E$5:$E$370),0))*Szenarien!$E$14,0)</f>
        <v>2.94</v>
      </c>
      <c r="D1108" s="13" t="n">
        <f aca="false">IF(Szenarien!$H$14="OK",(IFERROR(SUMIF(Nutzungsprofile!$B$17:$B$22,"Schulbetrieb",Nutzungsprofile!$G$17:$G$22)*Kalender!C10/SUM(Kalender!$C$5:$C$370),0)+IFERROR(SUMIF(Nutzungsprofile!$B$17:$B$22,"Halle",Nutzungsprofile!$G$17:$G$22)*Kalender!D10/SUM(Kalender!$D$5:$D$370),0)+IFERROR(SUMIF(Nutzungsprofile!$B$17:$B$22,"Individuell",Nutzungsprofile!$G$17:$G$22)*Kalender!E10/SUM(Kalender!$E$5:$E$370),0))*Szenarien!$D$14,0)</f>
        <v>4.94</v>
      </c>
      <c r="E1108" s="13" t="n">
        <f aca="false">IFERROR(MIN(C1108,Eingaben!$B$17)*Eingaben!$B$16,0)</f>
        <v>2.793</v>
      </c>
      <c r="F1108" s="13" t="n">
        <f aca="false">IFERROR(E1108*Eingaben!$B$15,0)</f>
        <v>2.5137</v>
      </c>
      <c r="G1108" s="13" t="n">
        <f aca="false">IFERROR(IF(Kalender!A10="",0,J1107*(1-Eingaben!$B$20)),0)</f>
        <v>0.7390278</v>
      </c>
      <c r="H1108" s="13" t="n">
        <f aca="false">MIN(G1108,D1108)</f>
        <v>0.7390278</v>
      </c>
      <c r="I1108" s="13" t="n">
        <f aca="false">IFERROR(MIN(F1108*Eingaben!$B$19,MAX(0,D1108-H1108)),0)</f>
        <v>1.75959</v>
      </c>
      <c r="J1108" s="13" t="n">
        <f aca="false">IFERROR(MIN(Eingaben!$B$18,MAX(0,F1108-I1108)),0)</f>
        <v>0.75411</v>
      </c>
      <c r="K1108" s="13" t="n">
        <f aca="false">H1108+I1108</f>
        <v>2.4986178</v>
      </c>
      <c r="L1108" s="13" t="n">
        <f aca="false">MAX(0,D1108-K1108)</f>
        <v>2.4413822</v>
      </c>
      <c r="M1108" s="13" t="n">
        <f aca="false">MAX(0,F1108-I1108-J1108)</f>
        <v>0</v>
      </c>
      <c r="N1108" s="13" t="n">
        <f aca="false">IF(Kalender!A10="",0,J1107-H1108)</f>
        <v>0.0150822</v>
      </c>
    </row>
    <row r="1109" customFormat="false" ht="16.4" hidden="false" customHeight="false" outlineLevel="0" collapsed="false">
      <c r="A1109" s="13" t="str">
        <f aca="false">""</f>
        <v/>
      </c>
      <c r="B1109" s="13" t="n">
        <f aca="false">7</f>
        <v>7</v>
      </c>
      <c r="C1109" s="13" t="n">
        <f aca="false">IF(Szenarien!$H$14="OK",(IFERROR(SUMIF(Nutzungsprofile!$B$6:$B$11,"Schulbetrieb",Nutzungsprofile!$G$6:$G$11)*Kalender!C11/SUM(Kalender!$C$5:$C$370),0)+IFERROR(SUMIF(Nutzungsprofile!$B$6:$B$11,"Halle",Nutzungsprofile!$G$6:$G$11)*Kalender!D11/SUM(Kalender!$D$5:$D$370),0)+IFERROR(SUMIF(Nutzungsprofile!$B$6:$B$11,"Individuell",Nutzungsprofile!$G$6:$G$11)*Kalender!E11/SUM(Kalender!$E$5:$E$370),0))*Szenarien!$E$14,0)</f>
        <v>2.94</v>
      </c>
      <c r="D1109" s="13" t="n">
        <f aca="false">IF(Szenarien!$H$14="OK",(IFERROR(SUMIF(Nutzungsprofile!$B$17:$B$22,"Schulbetrieb",Nutzungsprofile!$G$17:$G$22)*Kalender!C11/SUM(Kalender!$C$5:$C$370),0)+IFERROR(SUMIF(Nutzungsprofile!$B$17:$B$22,"Halle",Nutzungsprofile!$G$17:$G$22)*Kalender!D11/SUM(Kalender!$D$5:$D$370),0)+IFERROR(SUMIF(Nutzungsprofile!$B$17:$B$22,"Individuell",Nutzungsprofile!$G$17:$G$22)*Kalender!E11/SUM(Kalender!$E$5:$E$370),0))*Szenarien!$D$14,0)</f>
        <v>4.94</v>
      </c>
      <c r="E1109" s="13" t="n">
        <f aca="false">IFERROR(MIN(C1109,Eingaben!$B$17)*Eingaben!$B$16,0)</f>
        <v>2.793</v>
      </c>
      <c r="F1109" s="13" t="n">
        <f aca="false">IFERROR(E1109*Eingaben!$B$15,0)</f>
        <v>2.5137</v>
      </c>
      <c r="G1109" s="13" t="n">
        <f aca="false">IFERROR(IF(Kalender!A11="",0,J1108*(1-Eingaben!$B$20)),0)</f>
        <v>0.7390278</v>
      </c>
      <c r="H1109" s="13" t="n">
        <f aca="false">MIN(G1109,D1109)</f>
        <v>0.7390278</v>
      </c>
      <c r="I1109" s="13" t="n">
        <f aca="false">IFERROR(MIN(F1109*Eingaben!$B$19,MAX(0,D1109-H1109)),0)</f>
        <v>1.75959</v>
      </c>
      <c r="J1109" s="13" t="n">
        <f aca="false">IFERROR(MIN(Eingaben!$B$18,MAX(0,F1109-I1109)),0)</f>
        <v>0.75411</v>
      </c>
      <c r="K1109" s="13" t="n">
        <f aca="false">H1109+I1109</f>
        <v>2.4986178</v>
      </c>
      <c r="L1109" s="13" t="n">
        <f aca="false">MAX(0,D1109-K1109)</f>
        <v>2.4413822</v>
      </c>
      <c r="M1109" s="13" t="n">
        <f aca="false">MAX(0,F1109-I1109-J1109)</f>
        <v>0</v>
      </c>
      <c r="N1109" s="13" t="n">
        <f aca="false">IF(Kalender!A11="",0,J1108-H1109)</f>
        <v>0.0150822</v>
      </c>
    </row>
    <row r="1110" customFormat="false" ht="16.4" hidden="false" customHeight="false" outlineLevel="0" collapsed="false">
      <c r="A1110" s="13" t="str">
        <f aca="false">""</f>
        <v/>
      </c>
      <c r="B1110" s="13" t="n">
        <f aca="false">8</f>
        <v>8</v>
      </c>
      <c r="C1110" s="13" t="n">
        <f aca="false">IF(Szenarien!$H$14="OK",(IFERROR(SUMIF(Nutzungsprofile!$B$6:$B$11,"Schulbetrieb",Nutzungsprofile!$G$6:$G$11)*Kalender!C12/SUM(Kalender!$C$5:$C$370),0)+IFERROR(SUMIF(Nutzungsprofile!$B$6:$B$11,"Halle",Nutzungsprofile!$G$6:$G$11)*Kalender!D12/SUM(Kalender!$D$5:$D$370),0)+IFERROR(SUMIF(Nutzungsprofile!$B$6:$B$11,"Individuell",Nutzungsprofile!$G$6:$G$11)*Kalender!E12/SUM(Kalender!$E$5:$E$370),0))*Szenarien!$E$14,0)</f>
        <v>2.94</v>
      </c>
      <c r="D1110" s="13" t="n">
        <f aca="false">IF(Szenarien!$H$14="OK",(IFERROR(SUMIF(Nutzungsprofile!$B$17:$B$22,"Schulbetrieb",Nutzungsprofile!$G$17:$G$22)*Kalender!C12/SUM(Kalender!$C$5:$C$370),0)+IFERROR(SUMIF(Nutzungsprofile!$B$17:$B$22,"Halle",Nutzungsprofile!$G$17:$G$22)*Kalender!D12/SUM(Kalender!$D$5:$D$370),0)+IFERROR(SUMIF(Nutzungsprofile!$B$17:$B$22,"Individuell",Nutzungsprofile!$G$17:$G$22)*Kalender!E12/SUM(Kalender!$E$5:$E$370),0))*Szenarien!$D$14,0)</f>
        <v>4.94</v>
      </c>
      <c r="E1110" s="13" t="n">
        <f aca="false">IFERROR(MIN(C1110,Eingaben!$B$17)*Eingaben!$B$16,0)</f>
        <v>2.793</v>
      </c>
      <c r="F1110" s="13" t="n">
        <f aca="false">IFERROR(E1110*Eingaben!$B$15,0)</f>
        <v>2.5137</v>
      </c>
      <c r="G1110" s="13" t="n">
        <f aca="false">IFERROR(IF(Kalender!A12="",0,J1109*(1-Eingaben!$B$20)),0)</f>
        <v>0.7390278</v>
      </c>
      <c r="H1110" s="13" t="n">
        <f aca="false">MIN(G1110,D1110)</f>
        <v>0.7390278</v>
      </c>
      <c r="I1110" s="13" t="n">
        <f aca="false">IFERROR(MIN(F1110*Eingaben!$B$19,MAX(0,D1110-H1110)),0)</f>
        <v>1.75959</v>
      </c>
      <c r="J1110" s="13" t="n">
        <f aca="false">IFERROR(MIN(Eingaben!$B$18,MAX(0,F1110-I1110)),0)</f>
        <v>0.75411</v>
      </c>
      <c r="K1110" s="13" t="n">
        <f aca="false">H1110+I1110</f>
        <v>2.4986178</v>
      </c>
      <c r="L1110" s="13" t="n">
        <f aca="false">MAX(0,D1110-K1110)</f>
        <v>2.4413822</v>
      </c>
      <c r="M1110" s="13" t="n">
        <f aca="false">MAX(0,F1110-I1110-J1110)</f>
        <v>0</v>
      </c>
      <c r="N1110" s="13" t="n">
        <f aca="false">IF(Kalender!A12="",0,J1109-H1110)</f>
        <v>0.0150822</v>
      </c>
    </row>
    <row r="1111" customFormat="false" ht="16.4" hidden="false" customHeight="false" outlineLevel="0" collapsed="false">
      <c r="A1111" s="13" t="str">
        <f aca="false">""</f>
        <v/>
      </c>
      <c r="B1111" s="13" t="n">
        <f aca="false">9</f>
        <v>9</v>
      </c>
      <c r="C1111" s="13" t="n">
        <f aca="false">IF(Szenarien!$H$14="OK",(IFERROR(SUMIF(Nutzungsprofile!$B$6:$B$11,"Schulbetrieb",Nutzungsprofile!$G$6:$G$11)*Kalender!C13/SUM(Kalender!$C$5:$C$370),0)+IFERROR(SUMIF(Nutzungsprofile!$B$6:$B$11,"Halle",Nutzungsprofile!$G$6:$G$11)*Kalender!D13/SUM(Kalender!$D$5:$D$370),0)+IFERROR(SUMIF(Nutzungsprofile!$B$6:$B$11,"Individuell",Nutzungsprofile!$G$6:$G$11)*Kalender!E13/SUM(Kalender!$E$5:$E$370),0))*Szenarien!$E$14,0)</f>
        <v>2.94</v>
      </c>
      <c r="D1111" s="13" t="n">
        <f aca="false">IF(Szenarien!$H$14="OK",(IFERROR(SUMIF(Nutzungsprofile!$B$17:$B$22,"Schulbetrieb",Nutzungsprofile!$G$17:$G$22)*Kalender!C13/SUM(Kalender!$C$5:$C$370),0)+IFERROR(SUMIF(Nutzungsprofile!$B$17:$B$22,"Halle",Nutzungsprofile!$G$17:$G$22)*Kalender!D13/SUM(Kalender!$D$5:$D$370),0)+IFERROR(SUMIF(Nutzungsprofile!$B$17:$B$22,"Individuell",Nutzungsprofile!$G$17:$G$22)*Kalender!E13/SUM(Kalender!$E$5:$E$370),0))*Szenarien!$D$14,0)</f>
        <v>4.94</v>
      </c>
      <c r="E1111" s="13" t="n">
        <f aca="false">IFERROR(MIN(C1111,Eingaben!$B$17)*Eingaben!$B$16,0)</f>
        <v>2.793</v>
      </c>
      <c r="F1111" s="13" t="n">
        <f aca="false">IFERROR(E1111*Eingaben!$B$15,0)</f>
        <v>2.5137</v>
      </c>
      <c r="G1111" s="13" t="n">
        <f aca="false">IFERROR(IF(Kalender!A13="",0,J1110*(1-Eingaben!$B$20)),0)</f>
        <v>0.7390278</v>
      </c>
      <c r="H1111" s="13" t="n">
        <f aca="false">MIN(G1111,D1111)</f>
        <v>0.7390278</v>
      </c>
      <c r="I1111" s="13" t="n">
        <f aca="false">IFERROR(MIN(F1111*Eingaben!$B$19,MAX(0,D1111-H1111)),0)</f>
        <v>1.75959</v>
      </c>
      <c r="J1111" s="13" t="n">
        <f aca="false">IFERROR(MIN(Eingaben!$B$18,MAX(0,F1111-I1111)),0)</f>
        <v>0.75411</v>
      </c>
      <c r="K1111" s="13" t="n">
        <f aca="false">H1111+I1111</f>
        <v>2.4986178</v>
      </c>
      <c r="L1111" s="13" t="n">
        <f aca="false">MAX(0,D1111-K1111)</f>
        <v>2.4413822</v>
      </c>
      <c r="M1111" s="13" t="n">
        <f aca="false">MAX(0,F1111-I1111-J1111)</f>
        <v>0</v>
      </c>
      <c r="N1111" s="13" t="n">
        <f aca="false">IF(Kalender!A13="",0,J1110-H1111)</f>
        <v>0.0150822</v>
      </c>
    </row>
    <row r="1112" customFormat="false" ht="16.4" hidden="false" customHeight="false" outlineLevel="0" collapsed="false">
      <c r="A1112" s="13" t="str">
        <f aca="false">""</f>
        <v/>
      </c>
      <c r="B1112" s="13" t="n">
        <f aca="false">10</f>
        <v>10</v>
      </c>
      <c r="C1112" s="13" t="n">
        <f aca="false">IF(Szenarien!$H$14="OK",(IFERROR(SUMIF(Nutzungsprofile!$B$6:$B$11,"Schulbetrieb",Nutzungsprofile!$G$6:$G$11)*Kalender!C14/SUM(Kalender!$C$5:$C$370),0)+IFERROR(SUMIF(Nutzungsprofile!$B$6:$B$11,"Halle",Nutzungsprofile!$G$6:$G$11)*Kalender!D14/SUM(Kalender!$D$5:$D$370),0)+IFERROR(SUMIF(Nutzungsprofile!$B$6:$B$11,"Individuell",Nutzungsprofile!$G$6:$G$11)*Kalender!E14/SUM(Kalender!$E$5:$E$370),0))*Szenarien!$E$14,0)</f>
        <v>2.04</v>
      </c>
      <c r="D1112" s="13" t="n">
        <f aca="false">IF(Szenarien!$H$14="OK",(IFERROR(SUMIF(Nutzungsprofile!$B$17:$B$22,"Schulbetrieb",Nutzungsprofile!$G$17:$G$22)*Kalender!C14/SUM(Kalender!$C$5:$C$370),0)+IFERROR(SUMIF(Nutzungsprofile!$B$17:$B$22,"Halle",Nutzungsprofile!$G$17:$G$22)*Kalender!D14/SUM(Kalender!$D$5:$D$370),0)+IFERROR(SUMIF(Nutzungsprofile!$B$17:$B$22,"Individuell",Nutzungsprofile!$G$17:$G$22)*Kalender!E14/SUM(Kalender!$E$5:$E$370),0))*Szenarien!$D$14,0)</f>
        <v>0.89</v>
      </c>
      <c r="E1112" s="13" t="n">
        <f aca="false">IFERROR(MIN(C1112,Eingaben!$B$17)*Eingaben!$B$16,0)</f>
        <v>1.938</v>
      </c>
      <c r="F1112" s="13" t="n">
        <f aca="false">IFERROR(E1112*Eingaben!$B$15,0)</f>
        <v>1.7442</v>
      </c>
      <c r="G1112" s="13" t="n">
        <f aca="false">IFERROR(IF(Kalender!A14="",0,J1111*(1-Eingaben!$B$20)),0)</f>
        <v>0.7390278</v>
      </c>
      <c r="H1112" s="13" t="n">
        <f aca="false">MIN(G1112,D1112)</f>
        <v>0.7390278</v>
      </c>
      <c r="I1112" s="13" t="n">
        <f aca="false">IFERROR(MIN(F1112*Eingaben!$B$19,MAX(0,D1112-H1112)),0)</f>
        <v>0.1509722</v>
      </c>
      <c r="J1112" s="13" t="n">
        <f aca="false">IFERROR(MIN(Eingaben!$B$18,MAX(0,F1112-I1112)),0)</f>
        <v>1.5932278</v>
      </c>
      <c r="K1112" s="13" t="n">
        <f aca="false">H1112+I1112</f>
        <v>0.89</v>
      </c>
      <c r="L1112" s="13" t="n">
        <f aca="false">MAX(0,D1112-K1112)</f>
        <v>0</v>
      </c>
      <c r="M1112" s="13" t="n">
        <f aca="false">MAX(0,F1112-I1112-J1112)</f>
        <v>0</v>
      </c>
      <c r="N1112" s="13" t="n">
        <f aca="false">IF(Kalender!A14="",0,J1111-H1112)</f>
        <v>0.0150822</v>
      </c>
    </row>
    <row r="1113" customFormat="false" ht="16.4" hidden="false" customHeight="false" outlineLevel="0" collapsed="false">
      <c r="A1113" s="13" t="str">
        <f aca="false">""</f>
        <v/>
      </c>
      <c r="B1113" s="13" t="n">
        <f aca="false">11</f>
        <v>11</v>
      </c>
      <c r="C1113" s="13" t="n">
        <f aca="false">IF(Szenarien!$H$14="OK",(IFERROR(SUMIF(Nutzungsprofile!$B$6:$B$11,"Schulbetrieb",Nutzungsprofile!$G$6:$G$11)*Kalender!C15/SUM(Kalender!$C$5:$C$370),0)+IFERROR(SUMIF(Nutzungsprofile!$B$6:$B$11,"Halle",Nutzungsprofile!$G$6:$G$11)*Kalender!D15/SUM(Kalender!$D$5:$D$370),0)+IFERROR(SUMIF(Nutzungsprofile!$B$6:$B$11,"Individuell",Nutzungsprofile!$G$6:$G$11)*Kalender!E15/SUM(Kalender!$E$5:$E$370),0))*Szenarien!$E$14,0)</f>
        <v>2.04</v>
      </c>
      <c r="D1113" s="13" t="n">
        <f aca="false">IF(Szenarien!$H$14="OK",(IFERROR(SUMIF(Nutzungsprofile!$B$17:$B$22,"Schulbetrieb",Nutzungsprofile!$G$17:$G$22)*Kalender!C15/SUM(Kalender!$C$5:$C$370),0)+IFERROR(SUMIF(Nutzungsprofile!$B$17:$B$22,"Halle",Nutzungsprofile!$G$17:$G$22)*Kalender!D15/SUM(Kalender!$D$5:$D$370),0)+IFERROR(SUMIF(Nutzungsprofile!$B$17:$B$22,"Individuell",Nutzungsprofile!$G$17:$G$22)*Kalender!E15/SUM(Kalender!$E$5:$E$370),0))*Szenarien!$D$14,0)</f>
        <v>0.89</v>
      </c>
      <c r="E1113" s="13" t="n">
        <f aca="false">IFERROR(MIN(C1113,Eingaben!$B$17)*Eingaben!$B$16,0)</f>
        <v>1.938</v>
      </c>
      <c r="F1113" s="13" t="n">
        <f aca="false">IFERROR(E1113*Eingaben!$B$15,0)</f>
        <v>1.7442</v>
      </c>
      <c r="G1113" s="13" t="n">
        <f aca="false">IFERROR(IF(Kalender!A15="",0,J1112*(1-Eingaben!$B$20)),0)</f>
        <v>1.561363244</v>
      </c>
      <c r="H1113" s="13" t="n">
        <f aca="false">MIN(G1113,D1113)</f>
        <v>0.89</v>
      </c>
      <c r="I1113" s="13" t="n">
        <f aca="false">IFERROR(MIN(F1113*Eingaben!$B$19,MAX(0,D1113-H1113)),0)</f>
        <v>0</v>
      </c>
      <c r="J1113" s="13" t="n">
        <f aca="false">IFERROR(MIN(Eingaben!$B$18,MAX(0,F1113-I1113)),0)</f>
        <v>1.7442</v>
      </c>
      <c r="K1113" s="13" t="n">
        <f aca="false">H1113+I1113</f>
        <v>0.89</v>
      </c>
      <c r="L1113" s="13" t="n">
        <f aca="false">MAX(0,D1113-K1113)</f>
        <v>0</v>
      </c>
      <c r="M1113" s="13" t="n">
        <f aca="false">MAX(0,F1113-I1113-J1113)</f>
        <v>0</v>
      </c>
      <c r="N1113" s="13" t="n">
        <f aca="false">IF(Kalender!A15="",0,J1112-H1113)</f>
        <v>0.7032278</v>
      </c>
    </row>
    <row r="1114" customFormat="false" ht="16.4" hidden="false" customHeight="false" outlineLevel="0" collapsed="false">
      <c r="A1114" s="13" t="str">
        <f aca="false">""</f>
        <v/>
      </c>
      <c r="B1114" s="13" t="n">
        <f aca="false">12</f>
        <v>12</v>
      </c>
      <c r="C1114" s="13" t="n">
        <f aca="false">IF(Szenarien!$H$14="OK",(IFERROR(SUMIF(Nutzungsprofile!$B$6:$B$11,"Schulbetrieb",Nutzungsprofile!$G$6:$G$11)*Kalender!C16/SUM(Kalender!$C$5:$C$370),0)+IFERROR(SUMIF(Nutzungsprofile!$B$6:$B$11,"Halle",Nutzungsprofile!$G$6:$G$11)*Kalender!D16/SUM(Kalender!$D$5:$D$370),0)+IFERROR(SUMIF(Nutzungsprofile!$B$6:$B$11,"Individuell",Nutzungsprofile!$G$6:$G$11)*Kalender!E16/SUM(Kalender!$E$5:$E$370),0))*Szenarien!$E$14,0)</f>
        <v>2.94</v>
      </c>
      <c r="D1114" s="13" t="n">
        <f aca="false">IF(Szenarien!$H$14="OK",(IFERROR(SUMIF(Nutzungsprofile!$B$17:$B$22,"Schulbetrieb",Nutzungsprofile!$G$17:$G$22)*Kalender!C16/SUM(Kalender!$C$5:$C$370),0)+IFERROR(SUMIF(Nutzungsprofile!$B$17:$B$22,"Halle",Nutzungsprofile!$G$17:$G$22)*Kalender!D16/SUM(Kalender!$D$5:$D$370),0)+IFERROR(SUMIF(Nutzungsprofile!$B$17:$B$22,"Individuell",Nutzungsprofile!$G$17:$G$22)*Kalender!E16/SUM(Kalender!$E$5:$E$370),0))*Szenarien!$D$14,0)</f>
        <v>4.94</v>
      </c>
      <c r="E1114" s="13" t="n">
        <f aca="false">IFERROR(MIN(C1114,Eingaben!$B$17)*Eingaben!$B$16,0)</f>
        <v>2.793</v>
      </c>
      <c r="F1114" s="13" t="n">
        <f aca="false">IFERROR(E1114*Eingaben!$B$15,0)</f>
        <v>2.5137</v>
      </c>
      <c r="G1114" s="13" t="n">
        <f aca="false">IFERROR(IF(Kalender!A16="",0,J1113*(1-Eingaben!$B$20)),0)</f>
        <v>1.709316</v>
      </c>
      <c r="H1114" s="13" t="n">
        <f aca="false">MIN(G1114,D1114)</f>
        <v>1.709316</v>
      </c>
      <c r="I1114" s="13" t="n">
        <f aca="false">IFERROR(MIN(F1114*Eingaben!$B$19,MAX(0,D1114-H1114)),0)</f>
        <v>1.75959</v>
      </c>
      <c r="J1114" s="13" t="n">
        <f aca="false">IFERROR(MIN(Eingaben!$B$18,MAX(0,F1114-I1114)),0)</f>
        <v>0.75411</v>
      </c>
      <c r="K1114" s="13" t="n">
        <f aca="false">H1114+I1114</f>
        <v>3.468906</v>
      </c>
      <c r="L1114" s="13" t="n">
        <f aca="false">MAX(0,D1114-K1114)</f>
        <v>1.471094</v>
      </c>
      <c r="M1114" s="13" t="n">
        <f aca="false">MAX(0,F1114-I1114-J1114)</f>
        <v>0</v>
      </c>
      <c r="N1114" s="13" t="n">
        <f aca="false">IF(Kalender!A16="",0,J1113-H1114)</f>
        <v>0.0348840000000001</v>
      </c>
    </row>
    <row r="1115" customFormat="false" ht="16.4" hidden="false" customHeight="false" outlineLevel="0" collapsed="false">
      <c r="A1115" s="13" t="str">
        <f aca="false">""</f>
        <v/>
      </c>
      <c r="B1115" s="13" t="n">
        <f aca="false">13</f>
        <v>13</v>
      </c>
      <c r="C1115" s="13" t="n">
        <f aca="false">IF(Szenarien!$H$14="OK",(IFERROR(SUMIF(Nutzungsprofile!$B$6:$B$11,"Schulbetrieb",Nutzungsprofile!$G$6:$G$11)*Kalender!C17/SUM(Kalender!$C$5:$C$370),0)+IFERROR(SUMIF(Nutzungsprofile!$B$6:$B$11,"Halle",Nutzungsprofile!$G$6:$G$11)*Kalender!D17/SUM(Kalender!$D$5:$D$370),0)+IFERROR(SUMIF(Nutzungsprofile!$B$6:$B$11,"Individuell",Nutzungsprofile!$G$6:$G$11)*Kalender!E17/SUM(Kalender!$E$5:$E$370),0))*Szenarien!$E$14,0)</f>
        <v>2.94</v>
      </c>
      <c r="D1115" s="13" t="n">
        <f aca="false">IF(Szenarien!$H$14="OK",(IFERROR(SUMIF(Nutzungsprofile!$B$17:$B$22,"Schulbetrieb",Nutzungsprofile!$G$17:$G$22)*Kalender!C17/SUM(Kalender!$C$5:$C$370),0)+IFERROR(SUMIF(Nutzungsprofile!$B$17:$B$22,"Halle",Nutzungsprofile!$G$17:$G$22)*Kalender!D17/SUM(Kalender!$D$5:$D$370),0)+IFERROR(SUMIF(Nutzungsprofile!$B$17:$B$22,"Individuell",Nutzungsprofile!$G$17:$G$22)*Kalender!E17/SUM(Kalender!$E$5:$E$370),0))*Szenarien!$D$14,0)</f>
        <v>4.94</v>
      </c>
      <c r="E1115" s="13" t="n">
        <f aca="false">IFERROR(MIN(C1115,Eingaben!$B$17)*Eingaben!$B$16,0)</f>
        <v>2.793</v>
      </c>
      <c r="F1115" s="13" t="n">
        <f aca="false">IFERROR(E1115*Eingaben!$B$15,0)</f>
        <v>2.5137</v>
      </c>
      <c r="G1115" s="13" t="n">
        <f aca="false">IFERROR(IF(Kalender!A17="",0,J1114*(1-Eingaben!$B$20)),0)</f>
        <v>0.7390278</v>
      </c>
      <c r="H1115" s="13" t="n">
        <f aca="false">MIN(G1115,D1115)</f>
        <v>0.7390278</v>
      </c>
      <c r="I1115" s="13" t="n">
        <f aca="false">IFERROR(MIN(F1115*Eingaben!$B$19,MAX(0,D1115-H1115)),0)</f>
        <v>1.75959</v>
      </c>
      <c r="J1115" s="13" t="n">
        <f aca="false">IFERROR(MIN(Eingaben!$B$18,MAX(0,F1115-I1115)),0)</f>
        <v>0.75411</v>
      </c>
      <c r="K1115" s="13" t="n">
        <f aca="false">H1115+I1115</f>
        <v>2.4986178</v>
      </c>
      <c r="L1115" s="13" t="n">
        <f aca="false">MAX(0,D1115-K1115)</f>
        <v>2.4413822</v>
      </c>
      <c r="M1115" s="13" t="n">
        <f aca="false">MAX(0,F1115-I1115-J1115)</f>
        <v>0</v>
      </c>
      <c r="N1115" s="13" t="n">
        <f aca="false">IF(Kalender!A17="",0,J1114-H1115)</f>
        <v>0.0150822</v>
      </c>
    </row>
    <row r="1116" customFormat="false" ht="16.4" hidden="false" customHeight="false" outlineLevel="0" collapsed="false">
      <c r="A1116" s="13" t="str">
        <f aca="false">""</f>
        <v/>
      </c>
      <c r="B1116" s="13" t="n">
        <f aca="false">14</f>
        <v>14</v>
      </c>
      <c r="C1116" s="13" t="n">
        <f aca="false">IF(Szenarien!$H$14="OK",(IFERROR(SUMIF(Nutzungsprofile!$B$6:$B$11,"Schulbetrieb",Nutzungsprofile!$G$6:$G$11)*Kalender!C18/SUM(Kalender!$C$5:$C$370),0)+IFERROR(SUMIF(Nutzungsprofile!$B$6:$B$11,"Halle",Nutzungsprofile!$G$6:$G$11)*Kalender!D18/SUM(Kalender!$D$5:$D$370),0)+IFERROR(SUMIF(Nutzungsprofile!$B$6:$B$11,"Individuell",Nutzungsprofile!$G$6:$G$11)*Kalender!E18/SUM(Kalender!$E$5:$E$370),0))*Szenarien!$E$14,0)</f>
        <v>2.94</v>
      </c>
      <c r="D1116" s="13" t="n">
        <f aca="false">IF(Szenarien!$H$14="OK",(IFERROR(SUMIF(Nutzungsprofile!$B$17:$B$22,"Schulbetrieb",Nutzungsprofile!$G$17:$G$22)*Kalender!C18/SUM(Kalender!$C$5:$C$370),0)+IFERROR(SUMIF(Nutzungsprofile!$B$17:$B$22,"Halle",Nutzungsprofile!$G$17:$G$22)*Kalender!D18/SUM(Kalender!$D$5:$D$370),0)+IFERROR(SUMIF(Nutzungsprofile!$B$17:$B$22,"Individuell",Nutzungsprofile!$G$17:$G$22)*Kalender!E18/SUM(Kalender!$E$5:$E$370),0))*Szenarien!$D$14,0)</f>
        <v>4.94</v>
      </c>
      <c r="E1116" s="13" t="n">
        <f aca="false">IFERROR(MIN(C1116,Eingaben!$B$17)*Eingaben!$B$16,0)</f>
        <v>2.793</v>
      </c>
      <c r="F1116" s="13" t="n">
        <f aca="false">IFERROR(E1116*Eingaben!$B$15,0)</f>
        <v>2.5137</v>
      </c>
      <c r="G1116" s="13" t="n">
        <f aca="false">IFERROR(IF(Kalender!A18="",0,J1115*(1-Eingaben!$B$20)),0)</f>
        <v>0.7390278</v>
      </c>
      <c r="H1116" s="13" t="n">
        <f aca="false">MIN(G1116,D1116)</f>
        <v>0.7390278</v>
      </c>
      <c r="I1116" s="13" t="n">
        <f aca="false">IFERROR(MIN(F1116*Eingaben!$B$19,MAX(0,D1116-H1116)),0)</f>
        <v>1.75959</v>
      </c>
      <c r="J1116" s="13" t="n">
        <f aca="false">IFERROR(MIN(Eingaben!$B$18,MAX(0,F1116-I1116)),0)</f>
        <v>0.75411</v>
      </c>
      <c r="K1116" s="13" t="n">
        <f aca="false">H1116+I1116</f>
        <v>2.4986178</v>
      </c>
      <c r="L1116" s="13" t="n">
        <f aca="false">MAX(0,D1116-K1116)</f>
        <v>2.4413822</v>
      </c>
      <c r="M1116" s="13" t="n">
        <f aca="false">MAX(0,F1116-I1116-J1116)</f>
        <v>0</v>
      </c>
      <c r="N1116" s="13" t="n">
        <f aca="false">IF(Kalender!A18="",0,J1115-H1116)</f>
        <v>0.0150822</v>
      </c>
    </row>
    <row r="1117" customFormat="false" ht="16.4" hidden="false" customHeight="false" outlineLevel="0" collapsed="false">
      <c r="A1117" s="13" t="str">
        <f aca="false">""</f>
        <v/>
      </c>
      <c r="B1117" s="13" t="n">
        <f aca="false">15</f>
        <v>15</v>
      </c>
      <c r="C1117" s="13" t="n">
        <f aca="false">IF(Szenarien!$H$14="OK",(IFERROR(SUMIF(Nutzungsprofile!$B$6:$B$11,"Schulbetrieb",Nutzungsprofile!$G$6:$G$11)*Kalender!C19/SUM(Kalender!$C$5:$C$370),0)+IFERROR(SUMIF(Nutzungsprofile!$B$6:$B$11,"Halle",Nutzungsprofile!$G$6:$G$11)*Kalender!D19/SUM(Kalender!$D$5:$D$370),0)+IFERROR(SUMIF(Nutzungsprofile!$B$6:$B$11,"Individuell",Nutzungsprofile!$G$6:$G$11)*Kalender!E19/SUM(Kalender!$E$5:$E$370),0))*Szenarien!$E$14,0)</f>
        <v>2.94</v>
      </c>
      <c r="D1117" s="13" t="n">
        <f aca="false">IF(Szenarien!$H$14="OK",(IFERROR(SUMIF(Nutzungsprofile!$B$17:$B$22,"Schulbetrieb",Nutzungsprofile!$G$17:$G$22)*Kalender!C19/SUM(Kalender!$C$5:$C$370),0)+IFERROR(SUMIF(Nutzungsprofile!$B$17:$B$22,"Halle",Nutzungsprofile!$G$17:$G$22)*Kalender!D19/SUM(Kalender!$D$5:$D$370),0)+IFERROR(SUMIF(Nutzungsprofile!$B$17:$B$22,"Individuell",Nutzungsprofile!$G$17:$G$22)*Kalender!E19/SUM(Kalender!$E$5:$E$370),0))*Szenarien!$D$14,0)</f>
        <v>4.94</v>
      </c>
      <c r="E1117" s="13" t="n">
        <f aca="false">IFERROR(MIN(C1117,Eingaben!$B$17)*Eingaben!$B$16,0)</f>
        <v>2.793</v>
      </c>
      <c r="F1117" s="13" t="n">
        <f aca="false">IFERROR(E1117*Eingaben!$B$15,0)</f>
        <v>2.5137</v>
      </c>
      <c r="G1117" s="13" t="n">
        <f aca="false">IFERROR(IF(Kalender!A19="",0,J1116*(1-Eingaben!$B$20)),0)</f>
        <v>0.7390278</v>
      </c>
      <c r="H1117" s="13" t="n">
        <f aca="false">MIN(G1117,D1117)</f>
        <v>0.7390278</v>
      </c>
      <c r="I1117" s="13" t="n">
        <f aca="false">IFERROR(MIN(F1117*Eingaben!$B$19,MAX(0,D1117-H1117)),0)</f>
        <v>1.75959</v>
      </c>
      <c r="J1117" s="13" t="n">
        <f aca="false">IFERROR(MIN(Eingaben!$B$18,MAX(0,F1117-I1117)),0)</f>
        <v>0.75411</v>
      </c>
      <c r="K1117" s="13" t="n">
        <f aca="false">H1117+I1117</f>
        <v>2.4986178</v>
      </c>
      <c r="L1117" s="13" t="n">
        <f aca="false">MAX(0,D1117-K1117)</f>
        <v>2.4413822</v>
      </c>
      <c r="M1117" s="13" t="n">
        <f aca="false">MAX(0,F1117-I1117-J1117)</f>
        <v>0</v>
      </c>
      <c r="N1117" s="13" t="n">
        <f aca="false">IF(Kalender!A19="",0,J1116-H1117)</f>
        <v>0.0150822</v>
      </c>
    </row>
    <row r="1118" customFormat="false" ht="16.4" hidden="false" customHeight="false" outlineLevel="0" collapsed="false">
      <c r="A1118" s="13" t="str">
        <f aca="false">""</f>
        <v/>
      </c>
      <c r="B1118" s="13" t="n">
        <f aca="false">16</f>
        <v>16</v>
      </c>
      <c r="C1118" s="13" t="n">
        <f aca="false">IF(Szenarien!$H$14="OK",(IFERROR(SUMIF(Nutzungsprofile!$B$6:$B$11,"Schulbetrieb",Nutzungsprofile!$G$6:$G$11)*Kalender!C20/SUM(Kalender!$C$5:$C$370),0)+IFERROR(SUMIF(Nutzungsprofile!$B$6:$B$11,"Halle",Nutzungsprofile!$G$6:$G$11)*Kalender!D20/SUM(Kalender!$D$5:$D$370),0)+IFERROR(SUMIF(Nutzungsprofile!$B$6:$B$11,"Individuell",Nutzungsprofile!$G$6:$G$11)*Kalender!E20/SUM(Kalender!$E$5:$E$370),0))*Szenarien!$E$14,0)</f>
        <v>2.94</v>
      </c>
      <c r="D1118" s="13" t="n">
        <f aca="false">IF(Szenarien!$H$14="OK",(IFERROR(SUMIF(Nutzungsprofile!$B$17:$B$22,"Schulbetrieb",Nutzungsprofile!$G$17:$G$22)*Kalender!C20/SUM(Kalender!$C$5:$C$370),0)+IFERROR(SUMIF(Nutzungsprofile!$B$17:$B$22,"Halle",Nutzungsprofile!$G$17:$G$22)*Kalender!D20/SUM(Kalender!$D$5:$D$370),0)+IFERROR(SUMIF(Nutzungsprofile!$B$17:$B$22,"Individuell",Nutzungsprofile!$G$17:$G$22)*Kalender!E20/SUM(Kalender!$E$5:$E$370),0))*Szenarien!$D$14,0)</f>
        <v>4.94</v>
      </c>
      <c r="E1118" s="13" t="n">
        <f aca="false">IFERROR(MIN(C1118,Eingaben!$B$17)*Eingaben!$B$16,0)</f>
        <v>2.793</v>
      </c>
      <c r="F1118" s="13" t="n">
        <f aca="false">IFERROR(E1118*Eingaben!$B$15,0)</f>
        <v>2.5137</v>
      </c>
      <c r="G1118" s="13" t="n">
        <f aca="false">IFERROR(IF(Kalender!A20="",0,J1117*(1-Eingaben!$B$20)),0)</f>
        <v>0.7390278</v>
      </c>
      <c r="H1118" s="13" t="n">
        <f aca="false">MIN(G1118,D1118)</f>
        <v>0.7390278</v>
      </c>
      <c r="I1118" s="13" t="n">
        <f aca="false">IFERROR(MIN(F1118*Eingaben!$B$19,MAX(0,D1118-H1118)),0)</f>
        <v>1.75959</v>
      </c>
      <c r="J1118" s="13" t="n">
        <f aca="false">IFERROR(MIN(Eingaben!$B$18,MAX(0,F1118-I1118)),0)</f>
        <v>0.75411</v>
      </c>
      <c r="K1118" s="13" t="n">
        <f aca="false">H1118+I1118</f>
        <v>2.4986178</v>
      </c>
      <c r="L1118" s="13" t="n">
        <f aca="false">MAX(0,D1118-K1118)</f>
        <v>2.4413822</v>
      </c>
      <c r="M1118" s="13" t="n">
        <f aca="false">MAX(0,F1118-I1118-J1118)</f>
        <v>0</v>
      </c>
      <c r="N1118" s="13" t="n">
        <f aca="false">IF(Kalender!A20="",0,J1117-H1118)</f>
        <v>0.0150822</v>
      </c>
    </row>
    <row r="1119" customFormat="false" ht="16.4" hidden="false" customHeight="false" outlineLevel="0" collapsed="false">
      <c r="A1119" s="13" t="str">
        <f aca="false">""</f>
        <v/>
      </c>
      <c r="B1119" s="13" t="n">
        <f aca="false">17</f>
        <v>17</v>
      </c>
      <c r="C1119" s="13" t="n">
        <f aca="false">IF(Szenarien!$H$14="OK",(IFERROR(SUMIF(Nutzungsprofile!$B$6:$B$11,"Schulbetrieb",Nutzungsprofile!$G$6:$G$11)*Kalender!C21/SUM(Kalender!$C$5:$C$370),0)+IFERROR(SUMIF(Nutzungsprofile!$B$6:$B$11,"Halle",Nutzungsprofile!$G$6:$G$11)*Kalender!D21/SUM(Kalender!$D$5:$D$370),0)+IFERROR(SUMIF(Nutzungsprofile!$B$6:$B$11,"Individuell",Nutzungsprofile!$G$6:$G$11)*Kalender!E21/SUM(Kalender!$E$5:$E$370),0))*Szenarien!$E$14,0)</f>
        <v>2.04</v>
      </c>
      <c r="D1119" s="13" t="n">
        <f aca="false">IF(Szenarien!$H$14="OK",(IFERROR(SUMIF(Nutzungsprofile!$B$17:$B$22,"Schulbetrieb",Nutzungsprofile!$G$17:$G$22)*Kalender!C21/SUM(Kalender!$C$5:$C$370),0)+IFERROR(SUMIF(Nutzungsprofile!$B$17:$B$22,"Halle",Nutzungsprofile!$G$17:$G$22)*Kalender!D21/SUM(Kalender!$D$5:$D$370),0)+IFERROR(SUMIF(Nutzungsprofile!$B$17:$B$22,"Individuell",Nutzungsprofile!$G$17:$G$22)*Kalender!E21/SUM(Kalender!$E$5:$E$370),0))*Szenarien!$D$14,0)</f>
        <v>0.89</v>
      </c>
      <c r="E1119" s="13" t="n">
        <f aca="false">IFERROR(MIN(C1119,Eingaben!$B$17)*Eingaben!$B$16,0)</f>
        <v>1.938</v>
      </c>
      <c r="F1119" s="13" t="n">
        <f aca="false">IFERROR(E1119*Eingaben!$B$15,0)</f>
        <v>1.7442</v>
      </c>
      <c r="G1119" s="13" t="n">
        <f aca="false">IFERROR(IF(Kalender!A21="",0,J1118*(1-Eingaben!$B$20)),0)</f>
        <v>0.7390278</v>
      </c>
      <c r="H1119" s="13" t="n">
        <f aca="false">MIN(G1119,D1119)</f>
        <v>0.7390278</v>
      </c>
      <c r="I1119" s="13" t="n">
        <f aca="false">IFERROR(MIN(F1119*Eingaben!$B$19,MAX(0,D1119-H1119)),0)</f>
        <v>0.1509722</v>
      </c>
      <c r="J1119" s="13" t="n">
        <f aca="false">IFERROR(MIN(Eingaben!$B$18,MAX(0,F1119-I1119)),0)</f>
        <v>1.5932278</v>
      </c>
      <c r="K1119" s="13" t="n">
        <f aca="false">H1119+I1119</f>
        <v>0.89</v>
      </c>
      <c r="L1119" s="13" t="n">
        <f aca="false">MAX(0,D1119-K1119)</f>
        <v>0</v>
      </c>
      <c r="M1119" s="13" t="n">
        <f aca="false">MAX(0,F1119-I1119-J1119)</f>
        <v>0</v>
      </c>
      <c r="N1119" s="13" t="n">
        <f aca="false">IF(Kalender!A21="",0,J1118-H1119)</f>
        <v>0.0150822</v>
      </c>
    </row>
    <row r="1120" customFormat="false" ht="16.4" hidden="false" customHeight="false" outlineLevel="0" collapsed="false">
      <c r="A1120" s="13" t="str">
        <f aca="false">""</f>
        <v/>
      </c>
      <c r="B1120" s="13" t="n">
        <f aca="false">18</f>
        <v>18</v>
      </c>
      <c r="C1120" s="13" t="n">
        <f aca="false">IF(Szenarien!$H$14="OK",(IFERROR(SUMIF(Nutzungsprofile!$B$6:$B$11,"Schulbetrieb",Nutzungsprofile!$G$6:$G$11)*Kalender!C22/SUM(Kalender!$C$5:$C$370),0)+IFERROR(SUMIF(Nutzungsprofile!$B$6:$B$11,"Halle",Nutzungsprofile!$G$6:$G$11)*Kalender!D22/SUM(Kalender!$D$5:$D$370),0)+IFERROR(SUMIF(Nutzungsprofile!$B$6:$B$11,"Individuell",Nutzungsprofile!$G$6:$G$11)*Kalender!E22/SUM(Kalender!$E$5:$E$370),0))*Szenarien!$E$14,0)</f>
        <v>2.04</v>
      </c>
      <c r="D1120" s="13" t="n">
        <f aca="false">IF(Szenarien!$H$14="OK",(IFERROR(SUMIF(Nutzungsprofile!$B$17:$B$22,"Schulbetrieb",Nutzungsprofile!$G$17:$G$22)*Kalender!C22/SUM(Kalender!$C$5:$C$370),0)+IFERROR(SUMIF(Nutzungsprofile!$B$17:$B$22,"Halle",Nutzungsprofile!$G$17:$G$22)*Kalender!D22/SUM(Kalender!$D$5:$D$370),0)+IFERROR(SUMIF(Nutzungsprofile!$B$17:$B$22,"Individuell",Nutzungsprofile!$G$17:$G$22)*Kalender!E22/SUM(Kalender!$E$5:$E$370),0))*Szenarien!$D$14,0)</f>
        <v>0.89</v>
      </c>
      <c r="E1120" s="13" t="n">
        <f aca="false">IFERROR(MIN(C1120,Eingaben!$B$17)*Eingaben!$B$16,0)</f>
        <v>1.938</v>
      </c>
      <c r="F1120" s="13" t="n">
        <f aca="false">IFERROR(E1120*Eingaben!$B$15,0)</f>
        <v>1.7442</v>
      </c>
      <c r="G1120" s="13" t="n">
        <f aca="false">IFERROR(IF(Kalender!A22="",0,J1119*(1-Eingaben!$B$20)),0)</f>
        <v>1.561363244</v>
      </c>
      <c r="H1120" s="13" t="n">
        <f aca="false">MIN(G1120,D1120)</f>
        <v>0.89</v>
      </c>
      <c r="I1120" s="13" t="n">
        <f aca="false">IFERROR(MIN(F1120*Eingaben!$B$19,MAX(0,D1120-H1120)),0)</f>
        <v>0</v>
      </c>
      <c r="J1120" s="13" t="n">
        <f aca="false">IFERROR(MIN(Eingaben!$B$18,MAX(0,F1120-I1120)),0)</f>
        <v>1.7442</v>
      </c>
      <c r="K1120" s="13" t="n">
        <f aca="false">H1120+I1120</f>
        <v>0.89</v>
      </c>
      <c r="L1120" s="13" t="n">
        <f aca="false">MAX(0,D1120-K1120)</f>
        <v>0</v>
      </c>
      <c r="M1120" s="13" t="n">
        <f aca="false">MAX(0,F1120-I1120-J1120)</f>
        <v>0</v>
      </c>
      <c r="N1120" s="13" t="n">
        <f aca="false">IF(Kalender!A22="",0,J1119-H1120)</f>
        <v>0.7032278</v>
      </c>
    </row>
    <row r="1121" customFormat="false" ht="16.4" hidden="false" customHeight="false" outlineLevel="0" collapsed="false">
      <c r="A1121" s="13" t="str">
        <f aca="false">""</f>
        <v/>
      </c>
      <c r="B1121" s="13" t="n">
        <f aca="false">19</f>
        <v>19</v>
      </c>
      <c r="C1121" s="13" t="n">
        <f aca="false">IF(Szenarien!$H$14="OK",(IFERROR(SUMIF(Nutzungsprofile!$B$6:$B$11,"Schulbetrieb",Nutzungsprofile!$G$6:$G$11)*Kalender!C23/SUM(Kalender!$C$5:$C$370),0)+IFERROR(SUMIF(Nutzungsprofile!$B$6:$B$11,"Halle",Nutzungsprofile!$G$6:$G$11)*Kalender!D23/SUM(Kalender!$D$5:$D$370),0)+IFERROR(SUMIF(Nutzungsprofile!$B$6:$B$11,"Individuell",Nutzungsprofile!$G$6:$G$11)*Kalender!E23/SUM(Kalender!$E$5:$E$370),0))*Szenarien!$E$14,0)</f>
        <v>2.94</v>
      </c>
      <c r="D1121" s="13" t="n">
        <f aca="false">IF(Szenarien!$H$14="OK",(IFERROR(SUMIF(Nutzungsprofile!$B$17:$B$22,"Schulbetrieb",Nutzungsprofile!$G$17:$G$22)*Kalender!C23/SUM(Kalender!$C$5:$C$370),0)+IFERROR(SUMIF(Nutzungsprofile!$B$17:$B$22,"Halle",Nutzungsprofile!$G$17:$G$22)*Kalender!D23/SUM(Kalender!$D$5:$D$370),0)+IFERROR(SUMIF(Nutzungsprofile!$B$17:$B$22,"Individuell",Nutzungsprofile!$G$17:$G$22)*Kalender!E23/SUM(Kalender!$E$5:$E$370),0))*Szenarien!$D$14,0)</f>
        <v>4.94</v>
      </c>
      <c r="E1121" s="13" t="n">
        <f aca="false">IFERROR(MIN(C1121,Eingaben!$B$17)*Eingaben!$B$16,0)</f>
        <v>2.793</v>
      </c>
      <c r="F1121" s="13" t="n">
        <f aca="false">IFERROR(E1121*Eingaben!$B$15,0)</f>
        <v>2.5137</v>
      </c>
      <c r="G1121" s="13" t="n">
        <f aca="false">IFERROR(IF(Kalender!A23="",0,J1120*(1-Eingaben!$B$20)),0)</f>
        <v>1.709316</v>
      </c>
      <c r="H1121" s="13" t="n">
        <f aca="false">MIN(G1121,D1121)</f>
        <v>1.709316</v>
      </c>
      <c r="I1121" s="13" t="n">
        <f aca="false">IFERROR(MIN(F1121*Eingaben!$B$19,MAX(0,D1121-H1121)),0)</f>
        <v>1.75959</v>
      </c>
      <c r="J1121" s="13" t="n">
        <f aca="false">IFERROR(MIN(Eingaben!$B$18,MAX(0,F1121-I1121)),0)</f>
        <v>0.75411</v>
      </c>
      <c r="K1121" s="13" t="n">
        <f aca="false">H1121+I1121</f>
        <v>3.468906</v>
      </c>
      <c r="L1121" s="13" t="n">
        <f aca="false">MAX(0,D1121-K1121)</f>
        <v>1.471094</v>
      </c>
      <c r="M1121" s="13" t="n">
        <f aca="false">MAX(0,F1121-I1121-J1121)</f>
        <v>0</v>
      </c>
      <c r="N1121" s="13" t="n">
        <f aca="false">IF(Kalender!A23="",0,J1120-H1121)</f>
        <v>0.0348840000000001</v>
      </c>
    </row>
    <row r="1122" customFormat="false" ht="16.4" hidden="false" customHeight="false" outlineLevel="0" collapsed="false">
      <c r="A1122" s="13" t="str">
        <f aca="false">""</f>
        <v/>
      </c>
      <c r="B1122" s="13" t="n">
        <f aca="false">20</f>
        <v>20</v>
      </c>
      <c r="C1122" s="13" t="n">
        <f aca="false">IF(Szenarien!$H$14="OK",(IFERROR(SUMIF(Nutzungsprofile!$B$6:$B$11,"Schulbetrieb",Nutzungsprofile!$G$6:$G$11)*Kalender!C24/SUM(Kalender!$C$5:$C$370),0)+IFERROR(SUMIF(Nutzungsprofile!$B$6:$B$11,"Halle",Nutzungsprofile!$G$6:$G$11)*Kalender!D24/SUM(Kalender!$D$5:$D$370),0)+IFERROR(SUMIF(Nutzungsprofile!$B$6:$B$11,"Individuell",Nutzungsprofile!$G$6:$G$11)*Kalender!E24/SUM(Kalender!$E$5:$E$370),0))*Szenarien!$E$14,0)</f>
        <v>2.94</v>
      </c>
      <c r="D1122" s="13" t="n">
        <f aca="false">IF(Szenarien!$H$14="OK",(IFERROR(SUMIF(Nutzungsprofile!$B$17:$B$22,"Schulbetrieb",Nutzungsprofile!$G$17:$G$22)*Kalender!C24/SUM(Kalender!$C$5:$C$370),0)+IFERROR(SUMIF(Nutzungsprofile!$B$17:$B$22,"Halle",Nutzungsprofile!$G$17:$G$22)*Kalender!D24/SUM(Kalender!$D$5:$D$370),0)+IFERROR(SUMIF(Nutzungsprofile!$B$17:$B$22,"Individuell",Nutzungsprofile!$G$17:$G$22)*Kalender!E24/SUM(Kalender!$E$5:$E$370),0))*Szenarien!$D$14,0)</f>
        <v>4.94</v>
      </c>
      <c r="E1122" s="13" t="n">
        <f aca="false">IFERROR(MIN(C1122,Eingaben!$B$17)*Eingaben!$B$16,0)</f>
        <v>2.793</v>
      </c>
      <c r="F1122" s="13" t="n">
        <f aca="false">IFERROR(E1122*Eingaben!$B$15,0)</f>
        <v>2.5137</v>
      </c>
      <c r="G1122" s="13" t="n">
        <f aca="false">IFERROR(IF(Kalender!A24="",0,J1121*(1-Eingaben!$B$20)),0)</f>
        <v>0.7390278</v>
      </c>
      <c r="H1122" s="13" t="n">
        <f aca="false">MIN(G1122,D1122)</f>
        <v>0.7390278</v>
      </c>
      <c r="I1122" s="13" t="n">
        <f aca="false">IFERROR(MIN(F1122*Eingaben!$B$19,MAX(0,D1122-H1122)),0)</f>
        <v>1.75959</v>
      </c>
      <c r="J1122" s="13" t="n">
        <f aca="false">IFERROR(MIN(Eingaben!$B$18,MAX(0,F1122-I1122)),0)</f>
        <v>0.75411</v>
      </c>
      <c r="K1122" s="13" t="n">
        <f aca="false">H1122+I1122</f>
        <v>2.4986178</v>
      </c>
      <c r="L1122" s="13" t="n">
        <f aca="false">MAX(0,D1122-K1122)</f>
        <v>2.4413822</v>
      </c>
      <c r="M1122" s="13" t="n">
        <f aca="false">MAX(0,F1122-I1122-J1122)</f>
        <v>0</v>
      </c>
      <c r="N1122" s="13" t="n">
        <f aca="false">IF(Kalender!A24="",0,J1121-H1122)</f>
        <v>0.0150822</v>
      </c>
    </row>
    <row r="1123" customFormat="false" ht="16.4" hidden="false" customHeight="false" outlineLevel="0" collapsed="false">
      <c r="A1123" s="13" t="str">
        <f aca="false">""</f>
        <v/>
      </c>
      <c r="B1123" s="13" t="n">
        <f aca="false">21</f>
        <v>21</v>
      </c>
      <c r="C1123" s="13" t="n">
        <f aca="false">IF(Szenarien!$H$14="OK",(IFERROR(SUMIF(Nutzungsprofile!$B$6:$B$11,"Schulbetrieb",Nutzungsprofile!$G$6:$G$11)*Kalender!C25/SUM(Kalender!$C$5:$C$370),0)+IFERROR(SUMIF(Nutzungsprofile!$B$6:$B$11,"Halle",Nutzungsprofile!$G$6:$G$11)*Kalender!D25/SUM(Kalender!$D$5:$D$370),0)+IFERROR(SUMIF(Nutzungsprofile!$B$6:$B$11,"Individuell",Nutzungsprofile!$G$6:$G$11)*Kalender!E25/SUM(Kalender!$E$5:$E$370),0))*Szenarien!$E$14,0)</f>
        <v>2.94</v>
      </c>
      <c r="D1123" s="13" t="n">
        <f aca="false">IF(Szenarien!$H$14="OK",(IFERROR(SUMIF(Nutzungsprofile!$B$17:$B$22,"Schulbetrieb",Nutzungsprofile!$G$17:$G$22)*Kalender!C25/SUM(Kalender!$C$5:$C$370),0)+IFERROR(SUMIF(Nutzungsprofile!$B$17:$B$22,"Halle",Nutzungsprofile!$G$17:$G$22)*Kalender!D25/SUM(Kalender!$D$5:$D$370),0)+IFERROR(SUMIF(Nutzungsprofile!$B$17:$B$22,"Individuell",Nutzungsprofile!$G$17:$G$22)*Kalender!E25/SUM(Kalender!$E$5:$E$370),0))*Szenarien!$D$14,0)</f>
        <v>4.94</v>
      </c>
      <c r="E1123" s="13" t="n">
        <f aca="false">IFERROR(MIN(C1123,Eingaben!$B$17)*Eingaben!$B$16,0)</f>
        <v>2.793</v>
      </c>
      <c r="F1123" s="13" t="n">
        <f aca="false">IFERROR(E1123*Eingaben!$B$15,0)</f>
        <v>2.5137</v>
      </c>
      <c r="G1123" s="13" t="n">
        <f aca="false">IFERROR(IF(Kalender!A25="",0,J1122*(1-Eingaben!$B$20)),0)</f>
        <v>0.7390278</v>
      </c>
      <c r="H1123" s="13" t="n">
        <f aca="false">MIN(G1123,D1123)</f>
        <v>0.7390278</v>
      </c>
      <c r="I1123" s="13" t="n">
        <f aca="false">IFERROR(MIN(F1123*Eingaben!$B$19,MAX(0,D1123-H1123)),0)</f>
        <v>1.75959</v>
      </c>
      <c r="J1123" s="13" t="n">
        <f aca="false">IFERROR(MIN(Eingaben!$B$18,MAX(0,F1123-I1123)),0)</f>
        <v>0.75411</v>
      </c>
      <c r="K1123" s="13" t="n">
        <f aca="false">H1123+I1123</f>
        <v>2.4986178</v>
      </c>
      <c r="L1123" s="13" t="n">
        <f aca="false">MAX(0,D1123-K1123)</f>
        <v>2.4413822</v>
      </c>
      <c r="M1123" s="13" t="n">
        <f aca="false">MAX(0,F1123-I1123-J1123)</f>
        <v>0</v>
      </c>
      <c r="N1123" s="13" t="n">
        <f aca="false">IF(Kalender!A25="",0,J1122-H1123)</f>
        <v>0.0150822</v>
      </c>
    </row>
    <row r="1124" customFormat="false" ht="16.4" hidden="false" customHeight="false" outlineLevel="0" collapsed="false">
      <c r="A1124" s="13" t="str">
        <f aca="false">""</f>
        <v/>
      </c>
      <c r="B1124" s="13" t="n">
        <f aca="false">22</f>
        <v>22</v>
      </c>
      <c r="C1124" s="13" t="n">
        <f aca="false">IF(Szenarien!$H$14="OK",(IFERROR(SUMIF(Nutzungsprofile!$B$6:$B$11,"Schulbetrieb",Nutzungsprofile!$G$6:$G$11)*Kalender!C26/SUM(Kalender!$C$5:$C$370),0)+IFERROR(SUMIF(Nutzungsprofile!$B$6:$B$11,"Halle",Nutzungsprofile!$G$6:$G$11)*Kalender!D26/SUM(Kalender!$D$5:$D$370),0)+IFERROR(SUMIF(Nutzungsprofile!$B$6:$B$11,"Individuell",Nutzungsprofile!$G$6:$G$11)*Kalender!E26/SUM(Kalender!$E$5:$E$370),0))*Szenarien!$E$14,0)</f>
        <v>2.94</v>
      </c>
      <c r="D1124" s="13" t="n">
        <f aca="false">IF(Szenarien!$H$14="OK",(IFERROR(SUMIF(Nutzungsprofile!$B$17:$B$22,"Schulbetrieb",Nutzungsprofile!$G$17:$G$22)*Kalender!C26/SUM(Kalender!$C$5:$C$370),0)+IFERROR(SUMIF(Nutzungsprofile!$B$17:$B$22,"Halle",Nutzungsprofile!$G$17:$G$22)*Kalender!D26/SUM(Kalender!$D$5:$D$370),0)+IFERROR(SUMIF(Nutzungsprofile!$B$17:$B$22,"Individuell",Nutzungsprofile!$G$17:$G$22)*Kalender!E26/SUM(Kalender!$E$5:$E$370),0))*Szenarien!$D$14,0)</f>
        <v>4.94</v>
      </c>
      <c r="E1124" s="13" t="n">
        <f aca="false">IFERROR(MIN(C1124,Eingaben!$B$17)*Eingaben!$B$16,0)</f>
        <v>2.793</v>
      </c>
      <c r="F1124" s="13" t="n">
        <f aca="false">IFERROR(E1124*Eingaben!$B$15,0)</f>
        <v>2.5137</v>
      </c>
      <c r="G1124" s="13" t="n">
        <f aca="false">IFERROR(IF(Kalender!A26="",0,J1123*(1-Eingaben!$B$20)),0)</f>
        <v>0.7390278</v>
      </c>
      <c r="H1124" s="13" t="n">
        <f aca="false">MIN(G1124,D1124)</f>
        <v>0.7390278</v>
      </c>
      <c r="I1124" s="13" t="n">
        <f aca="false">IFERROR(MIN(F1124*Eingaben!$B$19,MAX(0,D1124-H1124)),0)</f>
        <v>1.75959</v>
      </c>
      <c r="J1124" s="13" t="n">
        <f aca="false">IFERROR(MIN(Eingaben!$B$18,MAX(0,F1124-I1124)),0)</f>
        <v>0.75411</v>
      </c>
      <c r="K1124" s="13" t="n">
        <f aca="false">H1124+I1124</f>
        <v>2.4986178</v>
      </c>
      <c r="L1124" s="13" t="n">
        <f aca="false">MAX(0,D1124-K1124)</f>
        <v>2.4413822</v>
      </c>
      <c r="M1124" s="13" t="n">
        <f aca="false">MAX(0,F1124-I1124-J1124)</f>
        <v>0</v>
      </c>
      <c r="N1124" s="13" t="n">
        <f aca="false">IF(Kalender!A26="",0,J1123-H1124)</f>
        <v>0.0150822</v>
      </c>
    </row>
    <row r="1125" customFormat="false" ht="16.4" hidden="false" customHeight="false" outlineLevel="0" collapsed="false">
      <c r="A1125" s="13" t="str">
        <f aca="false">""</f>
        <v/>
      </c>
      <c r="B1125" s="13" t="n">
        <f aca="false">23</f>
        <v>23</v>
      </c>
      <c r="C1125" s="13" t="n">
        <f aca="false">IF(Szenarien!$H$14="OK",(IFERROR(SUMIF(Nutzungsprofile!$B$6:$B$11,"Schulbetrieb",Nutzungsprofile!$G$6:$G$11)*Kalender!C27/SUM(Kalender!$C$5:$C$370),0)+IFERROR(SUMIF(Nutzungsprofile!$B$6:$B$11,"Halle",Nutzungsprofile!$G$6:$G$11)*Kalender!D27/SUM(Kalender!$D$5:$D$370),0)+IFERROR(SUMIF(Nutzungsprofile!$B$6:$B$11,"Individuell",Nutzungsprofile!$G$6:$G$11)*Kalender!E27/SUM(Kalender!$E$5:$E$370),0))*Szenarien!$E$14,0)</f>
        <v>2.94</v>
      </c>
      <c r="D1125" s="13" t="n">
        <f aca="false">IF(Szenarien!$H$14="OK",(IFERROR(SUMIF(Nutzungsprofile!$B$17:$B$22,"Schulbetrieb",Nutzungsprofile!$G$17:$G$22)*Kalender!C27/SUM(Kalender!$C$5:$C$370),0)+IFERROR(SUMIF(Nutzungsprofile!$B$17:$B$22,"Halle",Nutzungsprofile!$G$17:$G$22)*Kalender!D27/SUM(Kalender!$D$5:$D$370),0)+IFERROR(SUMIF(Nutzungsprofile!$B$17:$B$22,"Individuell",Nutzungsprofile!$G$17:$G$22)*Kalender!E27/SUM(Kalender!$E$5:$E$370),0))*Szenarien!$D$14,0)</f>
        <v>4.94</v>
      </c>
      <c r="E1125" s="13" t="n">
        <f aca="false">IFERROR(MIN(C1125,Eingaben!$B$17)*Eingaben!$B$16,0)</f>
        <v>2.793</v>
      </c>
      <c r="F1125" s="13" t="n">
        <f aca="false">IFERROR(E1125*Eingaben!$B$15,0)</f>
        <v>2.5137</v>
      </c>
      <c r="G1125" s="13" t="n">
        <f aca="false">IFERROR(IF(Kalender!A27="",0,J1124*(1-Eingaben!$B$20)),0)</f>
        <v>0.7390278</v>
      </c>
      <c r="H1125" s="13" t="n">
        <f aca="false">MIN(G1125,D1125)</f>
        <v>0.7390278</v>
      </c>
      <c r="I1125" s="13" t="n">
        <f aca="false">IFERROR(MIN(F1125*Eingaben!$B$19,MAX(0,D1125-H1125)),0)</f>
        <v>1.75959</v>
      </c>
      <c r="J1125" s="13" t="n">
        <f aca="false">IFERROR(MIN(Eingaben!$B$18,MAX(0,F1125-I1125)),0)</f>
        <v>0.75411</v>
      </c>
      <c r="K1125" s="13" t="n">
        <f aca="false">H1125+I1125</f>
        <v>2.4986178</v>
      </c>
      <c r="L1125" s="13" t="n">
        <f aca="false">MAX(0,D1125-K1125)</f>
        <v>2.4413822</v>
      </c>
      <c r="M1125" s="13" t="n">
        <f aca="false">MAX(0,F1125-I1125-J1125)</f>
        <v>0</v>
      </c>
      <c r="N1125" s="13" t="n">
        <f aca="false">IF(Kalender!A27="",0,J1124-H1125)</f>
        <v>0.0150822</v>
      </c>
    </row>
    <row r="1126" customFormat="false" ht="16.4" hidden="false" customHeight="false" outlineLevel="0" collapsed="false">
      <c r="A1126" s="13" t="str">
        <f aca="false">""</f>
        <v/>
      </c>
      <c r="B1126" s="13" t="n">
        <f aca="false">24</f>
        <v>24</v>
      </c>
      <c r="C1126" s="13" t="n">
        <f aca="false">IF(Szenarien!$H$14="OK",(IFERROR(SUMIF(Nutzungsprofile!$B$6:$B$11,"Schulbetrieb",Nutzungsprofile!$G$6:$G$11)*Kalender!C28/SUM(Kalender!$C$5:$C$370),0)+IFERROR(SUMIF(Nutzungsprofile!$B$6:$B$11,"Halle",Nutzungsprofile!$G$6:$G$11)*Kalender!D28/SUM(Kalender!$D$5:$D$370),0)+IFERROR(SUMIF(Nutzungsprofile!$B$6:$B$11,"Individuell",Nutzungsprofile!$G$6:$G$11)*Kalender!E28/SUM(Kalender!$E$5:$E$370),0))*Szenarien!$E$14,0)</f>
        <v>2.04</v>
      </c>
      <c r="D1126" s="13" t="n">
        <f aca="false">IF(Szenarien!$H$14="OK",(IFERROR(SUMIF(Nutzungsprofile!$B$17:$B$22,"Schulbetrieb",Nutzungsprofile!$G$17:$G$22)*Kalender!C28/SUM(Kalender!$C$5:$C$370),0)+IFERROR(SUMIF(Nutzungsprofile!$B$17:$B$22,"Halle",Nutzungsprofile!$G$17:$G$22)*Kalender!D28/SUM(Kalender!$D$5:$D$370),0)+IFERROR(SUMIF(Nutzungsprofile!$B$17:$B$22,"Individuell",Nutzungsprofile!$G$17:$G$22)*Kalender!E28/SUM(Kalender!$E$5:$E$370),0))*Szenarien!$D$14,0)</f>
        <v>0.89</v>
      </c>
      <c r="E1126" s="13" t="n">
        <f aca="false">IFERROR(MIN(C1126,Eingaben!$B$17)*Eingaben!$B$16,0)</f>
        <v>1.938</v>
      </c>
      <c r="F1126" s="13" t="n">
        <f aca="false">IFERROR(E1126*Eingaben!$B$15,0)</f>
        <v>1.7442</v>
      </c>
      <c r="G1126" s="13" t="n">
        <f aca="false">IFERROR(IF(Kalender!A28="",0,J1125*(1-Eingaben!$B$20)),0)</f>
        <v>0.7390278</v>
      </c>
      <c r="H1126" s="13" t="n">
        <f aca="false">MIN(G1126,D1126)</f>
        <v>0.7390278</v>
      </c>
      <c r="I1126" s="13" t="n">
        <f aca="false">IFERROR(MIN(F1126*Eingaben!$B$19,MAX(0,D1126-H1126)),0)</f>
        <v>0.1509722</v>
      </c>
      <c r="J1126" s="13" t="n">
        <f aca="false">IFERROR(MIN(Eingaben!$B$18,MAX(0,F1126-I1126)),0)</f>
        <v>1.5932278</v>
      </c>
      <c r="K1126" s="13" t="n">
        <f aca="false">H1126+I1126</f>
        <v>0.89</v>
      </c>
      <c r="L1126" s="13" t="n">
        <f aca="false">MAX(0,D1126-K1126)</f>
        <v>0</v>
      </c>
      <c r="M1126" s="13" t="n">
        <f aca="false">MAX(0,F1126-I1126-J1126)</f>
        <v>0</v>
      </c>
      <c r="N1126" s="13" t="n">
        <f aca="false">IF(Kalender!A28="",0,J1125-H1126)</f>
        <v>0.0150822</v>
      </c>
    </row>
    <row r="1127" customFormat="false" ht="16.4" hidden="false" customHeight="false" outlineLevel="0" collapsed="false">
      <c r="A1127" s="13" t="str">
        <f aca="false">""</f>
        <v/>
      </c>
      <c r="B1127" s="13" t="n">
        <f aca="false">25</f>
        <v>25</v>
      </c>
      <c r="C1127" s="13" t="n">
        <f aca="false">IF(Szenarien!$H$14="OK",(IFERROR(SUMIF(Nutzungsprofile!$B$6:$B$11,"Schulbetrieb",Nutzungsprofile!$G$6:$G$11)*Kalender!C29/SUM(Kalender!$C$5:$C$370),0)+IFERROR(SUMIF(Nutzungsprofile!$B$6:$B$11,"Halle",Nutzungsprofile!$G$6:$G$11)*Kalender!D29/SUM(Kalender!$D$5:$D$370),0)+IFERROR(SUMIF(Nutzungsprofile!$B$6:$B$11,"Individuell",Nutzungsprofile!$G$6:$G$11)*Kalender!E29/SUM(Kalender!$E$5:$E$370),0))*Szenarien!$E$14,0)</f>
        <v>2.04</v>
      </c>
      <c r="D1127" s="13" t="n">
        <f aca="false">IF(Szenarien!$H$14="OK",(IFERROR(SUMIF(Nutzungsprofile!$B$17:$B$22,"Schulbetrieb",Nutzungsprofile!$G$17:$G$22)*Kalender!C29/SUM(Kalender!$C$5:$C$370),0)+IFERROR(SUMIF(Nutzungsprofile!$B$17:$B$22,"Halle",Nutzungsprofile!$G$17:$G$22)*Kalender!D29/SUM(Kalender!$D$5:$D$370),0)+IFERROR(SUMIF(Nutzungsprofile!$B$17:$B$22,"Individuell",Nutzungsprofile!$G$17:$G$22)*Kalender!E29/SUM(Kalender!$E$5:$E$370),0))*Szenarien!$D$14,0)</f>
        <v>0.89</v>
      </c>
      <c r="E1127" s="13" t="n">
        <f aca="false">IFERROR(MIN(C1127,Eingaben!$B$17)*Eingaben!$B$16,0)</f>
        <v>1.938</v>
      </c>
      <c r="F1127" s="13" t="n">
        <f aca="false">IFERROR(E1127*Eingaben!$B$15,0)</f>
        <v>1.7442</v>
      </c>
      <c r="G1127" s="13" t="n">
        <f aca="false">IFERROR(IF(Kalender!A29="",0,J1126*(1-Eingaben!$B$20)),0)</f>
        <v>1.561363244</v>
      </c>
      <c r="H1127" s="13" t="n">
        <f aca="false">MIN(G1127,D1127)</f>
        <v>0.89</v>
      </c>
      <c r="I1127" s="13" t="n">
        <f aca="false">IFERROR(MIN(F1127*Eingaben!$B$19,MAX(0,D1127-H1127)),0)</f>
        <v>0</v>
      </c>
      <c r="J1127" s="13" t="n">
        <f aca="false">IFERROR(MIN(Eingaben!$B$18,MAX(0,F1127-I1127)),0)</f>
        <v>1.7442</v>
      </c>
      <c r="K1127" s="13" t="n">
        <f aca="false">H1127+I1127</f>
        <v>0.89</v>
      </c>
      <c r="L1127" s="13" t="n">
        <f aca="false">MAX(0,D1127-K1127)</f>
        <v>0</v>
      </c>
      <c r="M1127" s="13" t="n">
        <f aca="false">MAX(0,F1127-I1127-J1127)</f>
        <v>0</v>
      </c>
      <c r="N1127" s="13" t="n">
        <f aca="false">IF(Kalender!A29="",0,J1126-H1127)</f>
        <v>0.7032278</v>
      </c>
    </row>
    <row r="1128" customFormat="false" ht="16.4" hidden="false" customHeight="false" outlineLevel="0" collapsed="false">
      <c r="A1128" s="13" t="str">
        <f aca="false">""</f>
        <v/>
      </c>
      <c r="B1128" s="13" t="n">
        <f aca="false">26</f>
        <v>26</v>
      </c>
      <c r="C1128" s="13" t="n">
        <f aca="false">IF(Szenarien!$H$14="OK",(IFERROR(SUMIF(Nutzungsprofile!$B$6:$B$11,"Schulbetrieb",Nutzungsprofile!$G$6:$G$11)*Kalender!C30/SUM(Kalender!$C$5:$C$370),0)+IFERROR(SUMIF(Nutzungsprofile!$B$6:$B$11,"Halle",Nutzungsprofile!$G$6:$G$11)*Kalender!D30/SUM(Kalender!$D$5:$D$370),0)+IFERROR(SUMIF(Nutzungsprofile!$B$6:$B$11,"Individuell",Nutzungsprofile!$G$6:$G$11)*Kalender!E30/SUM(Kalender!$E$5:$E$370),0))*Szenarien!$E$14,0)</f>
        <v>2.94</v>
      </c>
      <c r="D1128" s="13" t="n">
        <f aca="false">IF(Szenarien!$H$14="OK",(IFERROR(SUMIF(Nutzungsprofile!$B$17:$B$22,"Schulbetrieb",Nutzungsprofile!$G$17:$G$22)*Kalender!C30/SUM(Kalender!$C$5:$C$370),0)+IFERROR(SUMIF(Nutzungsprofile!$B$17:$B$22,"Halle",Nutzungsprofile!$G$17:$G$22)*Kalender!D30/SUM(Kalender!$D$5:$D$370),0)+IFERROR(SUMIF(Nutzungsprofile!$B$17:$B$22,"Individuell",Nutzungsprofile!$G$17:$G$22)*Kalender!E30/SUM(Kalender!$E$5:$E$370),0))*Szenarien!$D$14,0)</f>
        <v>4.94</v>
      </c>
      <c r="E1128" s="13" t="n">
        <f aca="false">IFERROR(MIN(C1128,Eingaben!$B$17)*Eingaben!$B$16,0)</f>
        <v>2.793</v>
      </c>
      <c r="F1128" s="13" t="n">
        <f aca="false">IFERROR(E1128*Eingaben!$B$15,0)</f>
        <v>2.5137</v>
      </c>
      <c r="G1128" s="13" t="n">
        <f aca="false">IFERROR(IF(Kalender!A30="",0,J1127*(1-Eingaben!$B$20)),0)</f>
        <v>1.709316</v>
      </c>
      <c r="H1128" s="13" t="n">
        <f aca="false">MIN(G1128,D1128)</f>
        <v>1.709316</v>
      </c>
      <c r="I1128" s="13" t="n">
        <f aca="false">IFERROR(MIN(F1128*Eingaben!$B$19,MAX(0,D1128-H1128)),0)</f>
        <v>1.75959</v>
      </c>
      <c r="J1128" s="13" t="n">
        <f aca="false">IFERROR(MIN(Eingaben!$B$18,MAX(0,F1128-I1128)),0)</f>
        <v>0.75411</v>
      </c>
      <c r="K1128" s="13" t="n">
        <f aca="false">H1128+I1128</f>
        <v>3.468906</v>
      </c>
      <c r="L1128" s="13" t="n">
        <f aca="false">MAX(0,D1128-K1128)</f>
        <v>1.471094</v>
      </c>
      <c r="M1128" s="13" t="n">
        <f aca="false">MAX(0,F1128-I1128-J1128)</f>
        <v>0</v>
      </c>
      <c r="N1128" s="13" t="n">
        <f aca="false">IF(Kalender!A30="",0,J1127-H1128)</f>
        <v>0.0348840000000001</v>
      </c>
    </row>
    <row r="1129" customFormat="false" ht="16.4" hidden="false" customHeight="false" outlineLevel="0" collapsed="false">
      <c r="A1129" s="13" t="str">
        <f aca="false">""</f>
        <v/>
      </c>
      <c r="B1129" s="13" t="n">
        <f aca="false">27</f>
        <v>27</v>
      </c>
      <c r="C1129" s="13" t="n">
        <f aca="false">IF(Szenarien!$H$14="OK",(IFERROR(SUMIF(Nutzungsprofile!$B$6:$B$11,"Schulbetrieb",Nutzungsprofile!$G$6:$G$11)*Kalender!C31/SUM(Kalender!$C$5:$C$370),0)+IFERROR(SUMIF(Nutzungsprofile!$B$6:$B$11,"Halle",Nutzungsprofile!$G$6:$G$11)*Kalender!D31/SUM(Kalender!$D$5:$D$370),0)+IFERROR(SUMIF(Nutzungsprofile!$B$6:$B$11,"Individuell",Nutzungsprofile!$G$6:$G$11)*Kalender!E31/SUM(Kalender!$E$5:$E$370),0))*Szenarien!$E$14,0)</f>
        <v>2.94</v>
      </c>
      <c r="D1129" s="13" t="n">
        <f aca="false">IF(Szenarien!$H$14="OK",(IFERROR(SUMIF(Nutzungsprofile!$B$17:$B$22,"Schulbetrieb",Nutzungsprofile!$G$17:$G$22)*Kalender!C31/SUM(Kalender!$C$5:$C$370),0)+IFERROR(SUMIF(Nutzungsprofile!$B$17:$B$22,"Halle",Nutzungsprofile!$G$17:$G$22)*Kalender!D31/SUM(Kalender!$D$5:$D$370),0)+IFERROR(SUMIF(Nutzungsprofile!$B$17:$B$22,"Individuell",Nutzungsprofile!$G$17:$G$22)*Kalender!E31/SUM(Kalender!$E$5:$E$370),0))*Szenarien!$D$14,0)</f>
        <v>4.94</v>
      </c>
      <c r="E1129" s="13" t="n">
        <f aca="false">IFERROR(MIN(C1129,Eingaben!$B$17)*Eingaben!$B$16,0)</f>
        <v>2.793</v>
      </c>
      <c r="F1129" s="13" t="n">
        <f aca="false">IFERROR(E1129*Eingaben!$B$15,0)</f>
        <v>2.5137</v>
      </c>
      <c r="G1129" s="13" t="n">
        <f aca="false">IFERROR(IF(Kalender!A31="",0,J1128*(1-Eingaben!$B$20)),0)</f>
        <v>0.7390278</v>
      </c>
      <c r="H1129" s="13" t="n">
        <f aca="false">MIN(G1129,D1129)</f>
        <v>0.7390278</v>
      </c>
      <c r="I1129" s="13" t="n">
        <f aca="false">IFERROR(MIN(F1129*Eingaben!$B$19,MAX(0,D1129-H1129)),0)</f>
        <v>1.75959</v>
      </c>
      <c r="J1129" s="13" t="n">
        <f aca="false">IFERROR(MIN(Eingaben!$B$18,MAX(0,F1129-I1129)),0)</f>
        <v>0.75411</v>
      </c>
      <c r="K1129" s="13" t="n">
        <f aca="false">H1129+I1129</f>
        <v>2.4986178</v>
      </c>
      <c r="L1129" s="13" t="n">
        <f aca="false">MAX(0,D1129-K1129)</f>
        <v>2.4413822</v>
      </c>
      <c r="M1129" s="13" t="n">
        <f aca="false">MAX(0,F1129-I1129-J1129)</f>
        <v>0</v>
      </c>
      <c r="N1129" s="13" t="n">
        <f aca="false">IF(Kalender!A31="",0,J1128-H1129)</f>
        <v>0.0150822</v>
      </c>
    </row>
    <row r="1130" customFormat="false" ht="16.4" hidden="false" customHeight="false" outlineLevel="0" collapsed="false">
      <c r="A1130" s="13" t="str">
        <f aca="false">""</f>
        <v/>
      </c>
      <c r="B1130" s="13" t="n">
        <f aca="false">28</f>
        <v>28</v>
      </c>
      <c r="C1130" s="13" t="n">
        <f aca="false">IF(Szenarien!$H$14="OK",(IFERROR(SUMIF(Nutzungsprofile!$B$6:$B$11,"Schulbetrieb",Nutzungsprofile!$G$6:$G$11)*Kalender!C32/SUM(Kalender!$C$5:$C$370),0)+IFERROR(SUMIF(Nutzungsprofile!$B$6:$B$11,"Halle",Nutzungsprofile!$G$6:$G$11)*Kalender!D32/SUM(Kalender!$D$5:$D$370),0)+IFERROR(SUMIF(Nutzungsprofile!$B$6:$B$11,"Individuell",Nutzungsprofile!$G$6:$G$11)*Kalender!E32/SUM(Kalender!$E$5:$E$370),0))*Szenarien!$E$14,0)</f>
        <v>2.94</v>
      </c>
      <c r="D1130" s="13" t="n">
        <f aca="false">IF(Szenarien!$H$14="OK",(IFERROR(SUMIF(Nutzungsprofile!$B$17:$B$22,"Schulbetrieb",Nutzungsprofile!$G$17:$G$22)*Kalender!C32/SUM(Kalender!$C$5:$C$370),0)+IFERROR(SUMIF(Nutzungsprofile!$B$17:$B$22,"Halle",Nutzungsprofile!$G$17:$G$22)*Kalender!D32/SUM(Kalender!$D$5:$D$370),0)+IFERROR(SUMIF(Nutzungsprofile!$B$17:$B$22,"Individuell",Nutzungsprofile!$G$17:$G$22)*Kalender!E32/SUM(Kalender!$E$5:$E$370),0))*Szenarien!$D$14,0)</f>
        <v>4.94</v>
      </c>
      <c r="E1130" s="13" t="n">
        <f aca="false">IFERROR(MIN(C1130,Eingaben!$B$17)*Eingaben!$B$16,0)</f>
        <v>2.793</v>
      </c>
      <c r="F1130" s="13" t="n">
        <f aca="false">IFERROR(E1130*Eingaben!$B$15,0)</f>
        <v>2.5137</v>
      </c>
      <c r="G1130" s="13" t="n">
        <f aca="false">IFERROR(IF(Kalender!A32="",0,J1129*(1-Eingaben!$B$20)),0)</f>
        <v>0.7390278</v>
      </c>
      <c r="H1130" s="13" t="n">
        <f aca="false">MIN(G1130,D1130)</f>
        <v>0.7390278</v>
      </c>
      <c r="I1130" s="13" t="n">
        <f aca="false">IFERROR(MIN(F1130*Eingaben!$B$19,MAX(0,D1130-H1130)),0)</f>
        <v>1.75959</v>
      </c>
      <c r="J1130" s="13" t="n">
        <f aca="false">IFERROR(MIN(Eingaben!$B$18,MAX(0,F1130-I1130)),0)</f>
        <v>0.75411</v>
      </c>
      <c r="K1130" s="13" t="n">
        <f aca="false">H1130+I1130</f>
        <v>2.4986178</v>
      </c>
      <c r="L1130" s="13" t="n">
        <f aca="false">MAX(0,D1130-K1130)</f>
        <v>2.4413822</v>
      </c>
      <c r="M1130" s="13" t="n">
        <f aca="false">MAX(0,F1130-I1130-J1130)</f>
        <v>0</v>
      </c>
      <c r="N1130" s="13" t="n">
        <f aca="false">IF(Kalender!A32="",0,J1129-H1130)</f>
        <v>0.0150822</v>
      </c>
    </row>
    <row r="1131" customFormat="false" ht="16.4" hidden="false" customHeight="false" outlineLevel="0" collapsed="false">
      <c r="A1131" s="13" t="str">
        <f aca="false">""</f>
        <v/>
      </c>
      <c r="B1131" s="13" t="n">
        <f aca="false">29</f>
        <v>29</v>
      </c>
      <c r="C1131" s="13" t="n">
        <f aca="false">IF(Szenarien!$H$14="OK",(IFERROR(SUMIF(Nutzungsprofile!$B$6:$B$11,"Schulbetrieb",Nutzungsprofile!$G$6:$G$11)*Kalender!C33/SUM(Kalender!$C$5:$C$370),0)+IFERROR(SUMIF(Nutzungsprofile!$B$6:$B$11,"Halle",Nutzungsprofile!$G$6:$G$11)*Kalender!D33/SUM(Kalender!$D$5:$D$370),0)+IFERROR(SUMIF(Nutzungsprofile!$B$6:$B$11,"Individuell",Nutzungsprofile!$G$6:$G$11)*Kalender!E33/SUM(Kalender!$E$5:$E$370),0))*Szenarien!$E$14,0)</f>
        <v>2.94</v>
      </c>
      <c r="D1131" s="13" t="n">
        <f aca="false">IF(Szenarien!$H$14="OK",(IFERROR(SUMIF(Nutzungsprofile!$B$17:$B$22,"Schulbetrieb",Nutzungsprofile!$G$17:$G$22)*Kalender!C33/SUM(Kalender!$C$5:$C$370),0)+IFERROR(SUMIF(Nutzungsprofile!$B$17:$B$22,"Halle",Nutzungsprofile!$G$17:$G$22)*Kalender!D33/SUM(Kalender!$D$5:$D$370),0)+IFERROR(SUMIF(Nutzungsprofile!$B$17:$B$22,"Individuell",Nutzungsprofile!$G$17:$G$22)*Kalender!E33/SUM(Kalender!$E$5:$E$370),0))*Szenarien!$D$14,0)</f>
        <v>4.94</v>
      </c>
      <c r="E1131" s="13" t="n">
        <f aca="false">IFERROR(MIN(C1131,Eingaben!$B$17)*Eingaben!$B$16,0)</f>
        <v>2.793</v>
      </c>
      <c r="F1131" s="13" t="n">
        <f aca="false">IFERROR(E1131*Eingaben!$B$15,0)</f>
        <v>2.5137</v>
      </c>
      <c r="G1131" s="13" t="n">
        <f aca="false">IFERROR(IF(Kalender!A33="",0,J1130*(1-Eingaben!$B$20)),0)</f>
        <v>0.7390278</v>
      </c>
      <c r="H1131" s="13" t="n">
        <f aca="false">MIN(G1131,D1131)</f>
        <v>0.7390278</v>
      </c>
      <c r="I1131" s="13" t="n">
        <f aca="false">IFERROR(MIN(F1131*Eingaben!$B$19,MAX(0,D1131-H1131)),0)</f>
        <v>1.75959</v>
      </c>
      <c r="J1131" s="13" t="n">
        <f aca="false">IFERROR(MIN(Eingaben!$B$18,MAX(0,F1131-I1131)),0)</f>
        <v>0.75411</v>
      </c>
      <c r="K1131" s="13" t="n">
        <f aca="false">H1131+I1131</f>
        <v>2.4986178</v>
      </c>
      <c r="L1131" s="13" t="n">
        <f aca="false">MAX(0,D1131-K1131)</f>
        <v>2.4413822</v>
      </c>
      <c r="M1131" s="13" t="n">
        <f aca="false">MAX(0,F1131-I1131-J1131)</f>
        <v>0</v>
      </c>
      <c r="N1131" s="13" t="n">
        <f aca="false">IF(Kalender!A33="",0,J1130-H1131)</f>
        <v>0.0150822</v>
      </c>
    </row>
    <row r="1132" customFormat="false" ht="16.4" hidden="false" customHeight="false" outlineLevel="0" collapsed="false">
      <c r="A1132" s="13" t="str">
        <f aca="false">""</f>
        <v/>
      </c>
      <c r="B1132" s="13" t="n">
        <f aca="false">30</f>
        <v>30</v>
      </c>
      <c r="C1132" s="13" t="n">
        <f aca="false">IF(Szenarien!$H$14="OK",(IFERROR(SUMIF(Nutzungsprofile!$B$6:$B$11,"Schulbetrieb",Nutzungsprofile!$G$6:$G$11)*Kalender!C34/SUM(Kalender!$C$5:$C$370),0)+IFERROR(SUMIF(Nutzungsprofile!$B$6:$B$11,"Halle",Nutzungsprofile!$G$6:$G$11)*Kalender!D34/SUM(Kalender!$D$5:$D$370),0)+IFERROR(SUMIF(Nutzungsprofile!$B$6:$B$11,"Individuell",Nutzungsprofile!$G$6:$G$11)*Kalender!E34/SUM(Kalender!$E$5:$E$370),0))*Szenarien!$E$14,0)</f>
        <v>2.94</v>
      </c>
      <c r="D1132" s="13" t="n">
        <f aca="false">IF(Szenarien!$H$14="OK",(IFERROR(SUMIF(Nutzungsprofile!$B$17:$B$22,"Schulbetrieb",Nutzungsprofile!$G$17:$G$22)*Kalender!C34/SUM(Kalender!$C$5:$C$370),0)+IFERROR(SUMIF(Nutzungsprofile!$B$17:$B$22,"Halle",Nutzungsprofile!$G$17:$G$22)*Kalender!D34/SUM(Kalender!$D$5:$D$370),0)+IFERROR(SUMIF(Nutzungsprofile!$B$17:$B$22,"Individuell",Nutzungsprofile!$G$17:$G$22)*Kalender!E34/SUM(Kalender!$E$5:$E$370),0))*Szenarien!$D$14,0)</f>
        <v>4.94</v>
      </c>
      <c r="E1132" s="13" t="n">
        <f aca="false">IFERROR(MIN(C1132,Eingaben!$B$17)*Eingaben!$B$16,0)</f>
        <v>2.793</v>
      </c>
      <c r="F1132" s="13" t="n">
        <f aca="false">IFERROR(E1132*Eingaben!$B$15,0)</f>
        <v>2.5137</v>
      </c>
      <c r="G1132" s="13" t="n">
        <f aca="false">IFERROR(IF(Kalender!A34="",0,J1131*(1-Eingaben!$B$20)),0)</f>
        <v>0.7390278</v>
      </c>
      <c r="H1132" s="13" t="n">
        <f aca="false">MIN(G1132,D1132)</f>
        <v>0.7390278</v>
      </c>
      <c r="I1132" s="13" t="n">
        <f aca="false">IFERROR(MIN(F1132*Eingaben!$B$19,MAX(0,D1132-H1132)),0)</f>
        <v>1.75959</v>
      </c>
      <c r="J1132" s="13" t="n">
        <f aca="false">IFERROR(MIN(Eingaben!$B$18,MAX(0,F1132-I1132)),0)</f>
        <v>0.75411</v>
      </c>
      <c r="K1132" s="13" t="n">
        <f aca="false">H1132+I1132</f>
        <v>2.4986178</v>
      </c>
      <c r="L1132" s="13" t="n">
        <f aca="false">MAX(0,D1132-K1132)</f>
        <v>2.4413822</v>
      </c>
      <c r="M1132" s="13" t="n">
        <f aca="false">MAX(0,F1132-I1132-J1132)</f>
        <v>0</v>
      </c>
      <c r="N1132" s="13" t="n">
        <f aca="false">IF(Kalender!A34="",0,J1131-H1132)</f>
        <v>0.0150822</v>
      </c>
    </row>
    <row r="1133" customFormat="false" ht="16.4" hidden="false" customHeight="false" outlineLevel="0" collapsed="false">
      <c r="A1133" s="13" t="str">
        <f aca="false">""</f>
        <v/>
      </c>
      <c r="B1133" s="13" t="n">
        <f aca="false">31</f>
        <v>31</v>
      </c>
      <c r="C1133" s="13" t="n">
        <f aca="false">IF(Szenarien!$H$14="OK",(IFERROR(SUMIF(Nutzungsprofile!$B$6:$B$11,"Schulbetrieb",Nutzungsprofile!$G$6:$G$11)*Kalender!C35/SUM(Kalender!$C$5:$C$370),0)+IFERROR(SUMIF(Nutzungsprofile!$B$6:$B$11,"Halle",Nutzungsprofile!$G$6:$G$11)*Kalender!D35/SUM(Kalender!$D$5:$D$370),0)+IFERROR(SUMIF(Nutzungsprofile!$B$6:$B$11,"Individuell",Nutzungsprofile!$G$6:$G$11)*Kalender!E35/SUM(Kalender!$E$5:$E$370),0))*Szenarien!$E$14,0)</f>
        <v>2.04</v>
      </c>
      <c r="D1133" s="13" t="n">
        <f aca="false">IF(Szenarien!$H$14="OK",(IFERROR(SUMIF(Nutzungsprofile!$B$17:$B$22,"Schulbetrieb",Nutzungsprofile!$G$17:$G$22)*Kalender!C35/SUM(Kalender!$C$5:$C$370),0)+IFERROR(SUMIF(Nutzungsprofile!$B$17:$B$22,"Halle",Nutzungsprofile!$G$17:$G$22)*Kalender!D35/SUM(Kalender!$D$5:$D$370),0)+IFERROR(SUMIF(Nutzungsprofile!$B$17:$B$22,"Individuell",Nutzungsprofile!$G$17:$G$22)*Kalender!E35/SUM(Kalender!$E$5:$E$370),0))*Szenarien!$D$14,0)</f>
        <v>0.89</v>
      </c>
      <c r="E1133" s="13" t="n">
        <f aca="false">IFERROR(MIN(C1133,Eingaben!$B$17)*Eingaben!$B$16,0)</f>
        <v>1.938</v>
      </c>
      <c r="F1133" s="13" t="n">
        <f aca="false">IFERROR(E1133*Eingaben!$B$15,0)</f>
        <v>1.7442</v>
      </c>
      <c r="G1133" s="13" t="n">
        <f aca="false">IFERROR(IF(Kalender!A35="",0,J1132*(1-Eingaben!$B$20)),0)</f>
        <v>0.7390278</v>
      </c>
      <c r="H1133" s="13" t="n">
        <f aca="false">MIN(G1133,D1133)</f>
        <v>0.7390278</v>
      </c>
      <c r="I1133" s="13" t="n">
        <f aca="false">IFERROR(MIN(F1133*Eingaben!$B$19,MAX(0,D1133-H1133)),0)</f>
        <v>0.1509722</v>
      </c>
      <c r="J1133" s="13" t="n">
        <f aca="false">IFERROR(MIN(Eingaben!$B$18,MAX(0,F1133-I1133)),0)</f>
        <v>1.5932278</v>
      </c>
      <c r="K1133" s="13" t="n">
        <f aca="false">H1133+I1133</f>
        <v>0.89</v>
      </c>
      <c r="L1133" s="13" t="n">
        <f aca="false">MAX(0,D1133-K1133)</f>
        <v>0</v>
      </c>
      <c r="M1133" s="13" t="n">
        <f aca="false">MAX(0,F1133-I1133-J1133)</f>
        <v>0</v>
      </c>
      <c r="N1133" s="13" t="n">
        <f aca="false">IF(Kalender!A35="",0,J1132-H1133)</f>
        <v>0.0150822</v>
      </c>
    </row>
    <row r="1134" customFormat="false" ht="16.4" hidden="false" customHeight="false" outlineLevel="0" collapsed="false">
      <c r="A1134" s="13" t="str">
        <f aca="false">""</f>
        <v/>
      </c>
      <c r="B1134" s="13" t="n">
        <f aca="false">32</f>
        <v>32</v>
      </c>
      <c r="C1134" s="13" t="n">
        <f aca="false">IF(Szenarien!$H$14="OK",(IFERROR(SUMIF(Nutzungsprofile!$B$6:$B$11,"Schulbetrieb",Nutzungsprofile!$G$6:$G$11)*Kalender!C36/SUM(Kalender!$C$5:$C$370),0)+IFERROR(SUMIF(Nutzungsprofile!$B$6:$B$11,"Halle",Nutzungsprofile!$G$6:$G$11)*Kalender!D36/SUM(Kalender!$D$5:$D$370),0)+IFERROR(SUMIF(Nutzungsprofile!$B$6:$B$11,"Individuell",Nutzungsprofile!$G$6:$G$11)*Kalender!E36/SUM(Kalender!$E$5:$E$370),0))*Szenarien!$E$14,0)</f>
        <v>2.04</v>
      </c>
      <c r="D1134" s="13" t="n">
        <f aca="false">IF(Szenarien!$H$14="OK",(IFERROR(SUMIF(Nutzungsprofile!$B$17:$B$22,"Schulbetrieb",Nutzungsprofile!$G$17:$G$22)*Kalender!C36/SUM(Kalender!$C$5:$C$370),0)+IFERROR(SUMIF(Nutzungsprofile!$B$17:$B$22,"Halle",Nutzungsprofile!$G$17:$G$22)*Kalender!D36/SUM(Kalender!$D$5:$D$370),0)+IFERROR(SUMIF(Nutzungsprofile!$B$17:$B$22,"Individuell",Nutzungsprofile!$G$17:$G$22)*Kalender!E36/SUM(Kalender!$E$5:$E$370),0))*Szenarien!$D$14,0)</f>
        <v>0.89</v>
      </c>
      <c r="E1134" s="13" t="n">
        <f aca="false">IFERROR(MIN(C1134,Eingaben!$B$17)*Eingaben!$B$16,0)</f>
        <v>1.938</v>
      </c>
      <c r="F1134" s="13" t="n">
        <f aca="false">IFERROR(E1134*Eingaben!$B$15,0)</f>
        <v>1.7442</v>
      </c>
      <c r="G1134" s="13" t="n">
        <f aca="false">IFERROR(IF(Kalender!A36="",0,J1133*(1-Eingaben!$B$20)),0)</f>
        <v>1.561363244</v>
      </c>
      <c r="H1134" s="13" t="n">
        <f aca="false">MIN(G1134,D1134)</f>
        <v>0.89</v>
      </c>
      <c r="I1134" s="13" t="n">
        <f aca="false">IFERROR(MIN(F1134*Eingaben!$B$19,MAX(0,D1134-H1134)),0)</f>
        <v>0</v>
      </c>
      <c r="J1134" s="13" t="n">
        <f aca="false">IFERROR(MIN(Eingaben!$B$18,MAX(0,F1134-I1134)),0)</f>
        <v>1.7442</v>
      </c>
      <c r="K1134" s="13" t="n">
        <f aca="false">H1134+I1134</f>
        <v>0.89</v>
      </c>
      <c r="L1134" s="13" t="n">
        <f aca="false">MAX(0,D1134-K1134)</f>
        <v>0</v>
      </c>
      <c r="M1134" s="13" t="n">
        <f aca="false">MAX(0,F1134-I1134-J1134)</f>
        <v>0</v>
      </c>
      <c r="N1134" s="13" t="n">
        <f aca="false">IF(Kalender!A36="",0,J1133-H1134)</f>
        <v>0.7032278</v>
      </c>
    </row>
    <row r="1135" customFormat="false" ht="16.4" hidden="false" customHeight="false" outlineLevel="0" collapsed="false">
      <c r="A1135" s="13" t="str">
        <f aca="false">""</f>
        <v/>
      </c>
      <c r="B1135" s="13" t="n">
        <f aca="false">33</f>
        <v>33</v>
      </c>
      <c r="C1135" s="13" t="n">
        <f aca="false">IF(Szenarien!$H$14="OK",(IFERROR(SUMIF(Nutzungsprofile!$B$6:$B$11,"Schulbetrieb",Nutzungsprofile!$G$6:$G$11)*Kalender!C37/SUM(Kalender!$C$5:$C$370),0)+IFERROR(SUMIF(Nutzungsprofile!$B$6:$B$11,"Halle",Nutzungsprofile!$G$6:$G$11)*Kalender!D37/SUM(Kalender!$D$5:$D$370),0)+IFERROR(SUMIF(Nutzungsprofile!$B$6:$B$11,"Individuell",Nutzungsprofile!$G$6:$G$11)*Kalender!E37/SUM(Kalender!$E$5:$E$370),0))*Szenarien!$E$14,0)</f>
        <v>2.94</v>
      </c>
      <c r="D1135" s="13" t="n">
        <f aca="false">IF(Szenarien!$H$14="OK",(IFERROR(SUMIF(Nutzungsprofile!$B$17:$B$22,"Schulbetrieb",Nutzungsprofile!$G$17:$G$22)*Kalender!C37/SUM(Kalender!$C$5:$C$370),0)+IFERROR(SUMIF(Nutzungsprofile!$B$17:$B$22,"Halle",Nutzungsprofile!$G$17:$G$22)*Kalender!D37/SUM(Kalender!$D$5:$D$370),0)+IFERROR(SUMIF(Nutzungsprofile!$B$17:$B$22,"Individuell",Nutzungsprofile!$G$17:$G$22)*Kalender!E37/SUM(Kalender!$E$5:$E$370),0))*Szenarien!$D$14,0)</f>
        <v>4.94</v>
      </c>
      <c r="E1135" s="13" t="n">
        <f aca="false">IFERROR(MIN(C1135,Eingaben!$B$17)*Eingaben!$B$16,0)</f>
        <v>2.793</v>
      </c>
      <c r="F1135" s="13" t="n">
        <f aca="false">IFERROR(E1135*Eingaben!$B$15,0)</f>
        <v>2.5137</v>
      </c>
      <c r="G1135" s="13" t="n">
        <f aca="false">IFERROR(IF(Kalender!A37="",0,J1134*(1-Eingaben!$B$20)),0)</f>
        <v>1.709316</v>
      </c>
      <c r="H1135" s="13" t="n">
        <f aca="false">MIN(G1135,D1135)</f>
        <v>1.709316</v>
      </c>
      <c r="I1135" s="13" t="n">
        <f aca="false">IFERROR(MIN(F1135*Eingaben!$B$19,MAX(0,D1135-H1135)),0)</f>
        <v>1.75959</v>
      </c>
      <c r="J1135" s="13" t="n">
        <f aca="false">IFERROR(MIN(Eingaben!$B$18,MAX(0,F1135-I1135)),0)</f>
        <v>0.75411</v>
      </c>
      <c r="K1135" s="13" t="n">
        <f aca="false">H1135+I1135</f>
        <v>3.468906</v>
      </c>
      <c r="L1135" s="13" t="n">
        <f aca="false">MAX(0,D1135-K1135)</f>
        <v>1.471094</v>
      </c>
      <c r="M1135" s="13" t="n">
        <f aca="false">MAX(0,F1135-I1135-J1135)</f>
        <v>0</v>
      </c>
      <c r="N1135" s="13" t="n">
        <f aca="false">IF(Kalender!A37="",0,J1134-H1135)</f>
        <v>0.0348840000000001</v>
      </c>
    </row>
    <row r="1136" customFormat="false" ht="16.4" hidden="false" customHeight="false" outlineLevel="0" collapsed="false">
      <c r="A1136" s="13" t="str">
        <f aca="false">""</f>
        <v/>
      </c>
      <c r="B1136" s="13" t="n">
        <f aca="false">34</f>
        <v>34</v>
      </c>
      <c r="C1136" s="13" t="n">
        <f aca="false">IF(Szenarien!$H$14="OK",(IFERROR(SUMIF(Nutzungsprofile!$B$6:$B$11,"Schulbetrieb",Nutzungsprofile!$G$6:$G$11)*Kalender!C38/SUM(Kalender!$C$5:$C$370),0)+IFERROR(SUMIF(Nutzungsprofile!$B$6:$B$11,"Halle",Nutzungsprofile!$G$6:$G$11)*Kalender!D38/SUM(Kalender!$D$5:$D$370),0)+IFERROR(SUMIF(Nutzungsprofile!$B$6:$B$11,"Individuell",Nutzungsprofile!$G$6:$G$11)*Kalender!E38/SUM(Kalender!$E$5:$E$370),0))*Szenarien!$E$14,0)</f>
        <v>2.94</v>
      </c>
      <c r="D1136" s="13" t="n">
        <f aca="false">IF(Szenarien!$H$14="OK",(IFERROR(SUMIF(Nutzungsprofile!$B$17:$B$22,"Schulbetrieb",Nutzungsprofile!$G$17:$G$22)*Kalender!C38/SUM(Kalender!$C$5:$C$370),0)+IFERROR(SUMIF(Nutzungsprofile!$B$17:$B$22,"Halle",Nutzungsprofile!$G$17:$G$22)*Kalender!D38/SUM(Kalender!$D$5:$D$370),0)+IFERROR(SUMIF(Nutzungsprofile!$B$17:$B$22,"Individuell",Nutzungsprofile!$G$17:$G$22)*Kalender!E38/SUM(Kalender!$E$5:$E$370),0))*Szenarien!$D$14,0)</f>
        <v>4.94</v>
      </c>
      <c r="E1136" s="13" t="n">
        <f aca="false">IFERROR(MIN(C1136,Eingaben!$B$17)*Eingaben!$B$16,0)</f>
        <v>2.793</v>
      </c>
      <c r="F1136" s="13" t="n">
        <f aca="false">IFERROR(E1136*Eingaben!$B$15,0)</f>
        <v>2.5137</v>
      </c>
      <c r="G1136" s="13" t="n">
        <f aca="false">IFERROR(IF(Kalender!A38="",0,J1135*(1-Eingaben!$B$20)),0)</f>
        <v>0.7390278</v>
      </c>
      <c r="H1136" s="13" t="n">
        <f aca="false">MIN(G1136,D1136)</f>
        <v>0.7390278</v>
      </c>
      <c r="I1136" s="13" t="n">
        <f aca="false">IFERROR(MIN(F1136*Eingaben!$B$19,MAX(0,D1136-H1136)),0)</f>
        <v>1.75959</v>
      </c>
      <c r="J1136" s="13" t="n">
        <f aca="false">IFERROR(MIN(Eingaben!$B$18,MAX(0,F1136-I1136)),0)</f>
        <v>0.75411</v>
      </c>
      <c r="K1136" s="13" t="n">
        <f aca="false">H1136+I1136</f>
        <v>2.4986178</v>
      </c>
      <c r="L1136" s="13" t="n">
        <f aca="false">MAX(0,D1136-K1136)</f>
        <v>2.4413822</v>
      </c>
      <c r="M1136" s="13" t="n">
        <f aca="false">MAX(0,F1136-I1136-J1136)</f>
        <v>0</v>
      </c>
      <c r="N1136" s="13" t="n">
        <f aca="false">IF(Kalender!A38="",0,J1135-H1136)</f>
        <v>0.0150822</v>
      </c>
    </row>
    <row r="1137" customFormat="false" ht="16.4" hidden="false" customHeight="false" outlineLevel="0" collapsed="false">
      <c r="A1137" s="13" t="str">
        <f aca="false">""</f>
        <v/>
      </c>
      <c r="B1137" s="13" t="n">
        <f aca="false">35</f>
        <v>35</v>
      </c>
      <c r="C1137" s="13" t="n">
        <f aca="false">IF(Szenarien!$H$14="OK",(IFERROR(SUMIF(Nutzungsprofile!$B$6:$B$11,"Schulbetrieb",Nutzungsprofile!$G$6:$G$11)*Kalender!C39/SUM(Kalender!$C$5:$C$370),0)+IFERROR(SUMIF(Nutzungsprofile!$B$6:$B$11,"Halle",Nutzungsprofile!$G$6:$G$11)*Kalender!D39/SUM(Kalender!$D$5:$D$370),0)+IFERROR(SUMIF(Nutzungsprofile!$B$6:$B$11,"Individuell",Nutzungsprofile!$G$6:$G$11)*Kalender!E39/SUM(Kalender!$E$5:$E$370),0))*Szenarien!$E$14,0)</f>
        <v>2.94</v>
      </c>
      <c r="D1137" s="13" t="n">
        <f aca="false">IF(Szenarien!$H$14="OK",(IFERROR(SUMIF(Nutzungsprofile!$B$17:$B$22,"Schulbetrieb",Nutzungsprofile!$G$17:$G$22)*Kalender!C39/SUM(Kalender!$C$5:$C$370),0)+IFERROR(SUMIF(Nutzungsprofile!$B$17:$B$22,"Halle",Nutzungsprofile!$G$17:$G$22)*Kalender!D39/SUM(Kalender!$D$5:$D$370),0)+IFERROR(SUMIF(Nutzungsprofile!$B$17:$B$22,"Individuell",Nutzungsprofile!$G$17:$G$22)*Kalender!E39/SUM(Kalender!$E$5:$E$370),0))*Szenarien!$D$14,0)</f>
        <v>4.94</v>
      </c>
      <c r="E1137" s="13" t="n">
        <f aca="false">IFERROR(MIN(C1137,Eingaben!$B$17)*Eingaben!$B$16,0)</f>
        <v>2.793</v>
      </c>
      <c r="F1137" s="13" t="n">
        <f aca="false">IFERROR(E1137*Eingaben!$B$15,0)</f>
        <v>2.5137</v>
      </c>
      <c r="G1137" s="13" t="n">
        <f aca="false">IFERROR(IF(Kalender!A39="",0,J1136*(1-Eingaben!$B$20)),0)</f>
        <v>0.7390278</v>
      </c>
      <c r="H1137" s="13" t="n">
        <f aca="false">MIN(G1137,D1137)</f>
        <v>0.7390278</v>
      </c>
      <c r="I1137" s="13" t="n">
        <f aca="false">IFERROR(MIN(F1137*Eingaben!$B$19,MAX(0,D1137-H1137)),0)</f>
        <v>1.75959</v>
      </c>
      <c r="J1137" s="13" t="n">
        <f aca="false">IFERROR(MIN(Eingaben!$B$18,MAX(0,F1137-I1137)),0)</f>
        <v>0.75411</v>
      </c>
      <c r="K1137" s="13" t="n">
        <f aca="false">H1137+I1137</f>
        <v>2.4986178</v>
      </c>
      <c r="L1137" s="13" t="n">
        <f aca="false">MAX(0,D1137-K1137)</f>
        <v>2.4413822</v>
      </c>
      <c r="M1137" s="13" t="n">
        <f aca="false">MAX(0,F1137-I1137-J1137)</f>
        <v>0</v>
      </c>
      <c r="N1137" s="13" t="n">
        <f aca="false">IF(Kalender!A39="",0,J1136-H1137)</f>
        <v>0.0150822</v>
      </c>
    </row>
    <row r="1138" customFormat="false" ht="16.4" hidden="false" customHeight="false" outlineLevel="0" collapsed="false">
      <c r="A1138" s="13" t="str">
        <f aca="false">""</f>
        <v/>
      </c>
      <c r="B1138" s="13" t="n">
        <f aca="false">36</f>
        <v>36</v>
      </c>
      <c r="C1138" s="13" t="n">
        <f aca="false">IF(Szenarien!$H$14="OK",(IFERROR(SUMIF(Nutzungsprofile!$B$6:$B$11,"Schulbetrieb",Nutzungsprofile!$G$6:$G$11)*Kalender!C40/SUM(Kalender!$C$5:$C$370),0)+IFERROR(SUMIF(Nutzungsprofile!$B$6:$B$11,"Halle",Nutzungsprofile!$G$6:$G$11)*Kalender!D40/SUM(Kalender!$D$5:$D$370),0)+IFERROR(SUMIF(Nutzungsprofile!$B$6:$B$11,"Individuell",Nutzungsprofile!$G$6:$G$11)*Kalender!E40/SUM(Kalender!$E$5:$E$370),0))*Szenarien!$E$14,0)</f>
        <v>2.94</v>
      </c>
      <c r="D1138" s="13" t="n">
        <f aca="false">IF(Szenarien!$H$14="OK",(IFERROR(SUMIF(Nutzungsprofile!$B$17:$B$22,"Schulbetrieb",Nutzungsprofile!$G$17:$G$22)*Kalender!C40/SUM(Kalender!$C$5:$C$370),0)+IFERROR(SUMIF(Nutzungsprofile!$B$17:$B$22,"Halle",Nutzungsprofile!$G$17:$G$22)*Kalender!D40/SUM(Kalender!$D$5:$D$370),0)+IFERROR(SUMIF(Nutzungsprofile!$B$17:$B$22,"Individuell",Nutzungsprofile!$G$17:$G$22)*Kalender!E40/SUM(Kalender!$E$5:$E$370),0))*Szenarien!$D$14,0)</f>
        <v>4.94</v>
      </c>
      <c r="E1138" s="13" t="n">
        <f aca="false">IFERROR(MIN(C1138,Eingaben!$B$17)*Eingaben!$B$16,0)</f>
        <v>2.793</v>
      </c>
      <c r="F1138" s="13" t="n">
        <f aca="false">IFERROR(E1138*Eingaben!$B$15,0)</f>
        <v>2.5137</v>
      </c>
      <c r="G1138" s="13" t="n">
        <f aca="false">IFERROR(IF(Kalender!A40="",0,J1137*(1-Eingaben!$B$20)),0)</f>
        <v>0.7390278</v>
      </c>
      <c r="H1138" s="13" t="n">
        <f aca="false">MIN(G1138,D1138)</f>
        <v>0.7390278</v>
      </c>
      <c r="I1138" s="13" t="n">
        <f aca="false">IFERROR(MIN(F1138*Eingaben!$B$19,MAX(0,D1138-H1138)),0)</f>
        <v>1.75959</v>
      </c>
      <c r="J1138" s="13" t="n">
        <f aca="false">IFERROR(MIN(Eingaben!$B$18,MAX(0,F1138-I1138)),0)</f>
        <v>0.75411</v>
      </c>
      <c r="K1138" s="13" t="n">
        <f aca="false">H1138+I1138</f>
        <v>2.4986178</v>
      </c>
      <c r="L1138" s="13" t="n">
        <f aca="false">MAX(0,D1138-K1138)</f>
        <v>2.4413822</v>
      </c>
      <c r="M1138" s="13" t="n">
        <f aca="false">MAX(0,F1138-I1138-J1138)</f>
        <v>0</v>
      </c>
      <c r="N1138" s="13" t="n">
        <f aca="false">IF(Kalender!A40="",0,J1137-H1138)</f>
        <v>0.0150822</v>
      </c>
    </row>
    <row r="1139" customFormat="false" ht="16.4" hidden="false" customHeight="false" outlineLevel="0" collapsed="false">
      <c r="A1139" s="13" t="str">
        <f aca="false">""</f>
        <v/>
      </c>
      <c r="B1139" s="13" t="n">
        <f aca="false">37</f>
        <v>37</v>
      </c>
      <c r="C1139" s="13" t="n">
        <f aca="false">IF(Szenarien!$H$14="OK",(IFERROR(SUMIF(Nutzungsprofile!$B$6:$B$11,"Schulbetrieb",Nutzungsprofile!$G$6:$G$11)*Kalender!C41/SUM(Kalender!$C$5:$C$370),0)+IFERROR(SUMIF(Nutzungsprofile!$B$6:$B$11,"Halle",Nutzungsprofile!$G$6:$G$11)*Kalender!D41/SUM(Kalender!$D$5:$D$370),0)+IFERROR(SUMIF(Nutzungsprofile!$B$6:$B$11,"Individuell",Nutzungsprofile!$G$6:$G$11)*Kalender!E41/SUM(Kalender!$E$5:$E$370),0))*Szenarien!$E$14,0)</f>
        <v>2.94</v>
      </c>
      <c r="D1139" s="13" t="n">
        <f aca="false">IF(Szenarien!$H$14="OK",(IFERROR(SUMIF(Nutzungsprofile!$B$17:$B$22,"Schulbetrieb",Nutzungsprofile!$G$17:$G$22)*Kalender!C41/SUM(Kalender!$C$5:$C$370),0)+IFERROR(SUMIF(Nutzungsprofile!$B$17:$B$22,"Halle",Nutzungsprofile!$G$17:$G$22)*Kalender!D41/SUM(Kalender!$D$5:$D$370),0)+IFERROR(SUMIF(Nutzungsprofile!$B$17:$B$22,"Individuell",Nutzungsprofile!$G$17:$G$22)*Kalender!E41/SUM(Kalender!$E$5:$E$370),0))*Szenarien!$D$14,0)</f>
        <v>4.94</v>
      </c>
      <c r="E1139" s="13" t="n">
        <f aca="false">IFERROR(MIN(C1139,Eingaben!$B$17)*Eingaben!$B$16,0)</f>
        <v>2.793</v>
      </c>
      <c r="F1139" s="13" t="n">
        <f aca="false">IFERROR(E1139*Eingaben!$B$15,0)</f>
        <v>2.5137</v>
      </c>
      <c r="G1139" s="13" t="n">
        <f aca="false">IFERROR(IF(Kalender!A41="",0,J1138*(1-Eingaben!$B$20)),0)</f>
        <v>0.7390278</v>
      </c>
      <c r="H1139" s="13" t="n">
        <f aca="false">MIN(G1139,D1139)</f>
        <v>0.7390278</v>
      </c>
      <c r="I1139" s="13" t="n">
        <f aca="false">IFERROR(MIN(F1139*Eingaben!$B$19,MAX(0,D1139-H1139)),0)</f>
        <v>1.75959</v>
      </c>
      <c r="J1139" s="13" t="n">
        <f aca="false">IFERROR(MIN(Eingaben!$B$18,MAX(0,F1139-I1139)),0)</f>
        <v>0.75411</v>
      </c>
      <c r="K1139" s="13" t="n">
        <f aca="false">H1139+I1139</f>
        <v>2.4986178</v>
      </c>
      <c r="L1139" s="13" t="n">
        <f aca="false">MAX(0,D1139-K1139)</f>
        <v>2.4413822</v>
      </c>
      <c r="M1139" s="13" t="n">
        <f aca="false">MAX(0,F1139-I1139-J1139)</f>
        <v>0</v>
      </c>
      <c r="N1139" s="13" t="n">
        <f aca="false">IF(Kalender!A41="",0,J1138-H1139)</f>
        <v>0.0150822</v>
      </c>
    </row>
    <row r="1140" customFormat="false" ht="16.4" hidden="false" customHeight="false" outlineLevel="0" collapsed="false">
      <c r="A1140" s="13" t="str">
        <f aca="false">""</f>
        <v/>
      </c>
      <c r="B1140" s="13" t="n">
        <f aca="false">38</f>
        <v>38</v>
      </c>
      <c r="C1140" s="13" t="n">
        <f aca="false">IF(Szenarien!$H$14="OK",(IFERROR(SUMIF(Nutzungsprofile!$B$6:$B$11,"Schulbetrieb",Nutzungsprofile!$G$6:$G$11)*Kalender!C42/SUM(Kalender!$C$5:$C$370),0)+IFERROR(SUMIF(Nutzungsprofile!$B$6:$B$11,"Halle",Nutzungsprofile!$G$6:$G$11)*Kalender!D42/SUM(Kalender!$D$5:$D$370),0)+IFERROR(SUMIF(Nutzungsprofile!$B$6:$B$11,"Individuell",Nutzungsprofile!$G$6:$G$11)*Kalender!E42/SUM(Kalender!$E$5:$E$370),0))*Szenarien!$E$14,0)</f>
        <v>2.04</v>
      </c>
      <c r="D1140" s="13" t="n">
        <f aca="false">IF(Szenarien!$H$14="OK",(IFERROR(SUMIF(Nutzungsprofile!$B$17:$B$22,"Schulbetrieb",Nutzungsprofile!$G$17:$G$22)*Kalender!C42/SUM(Kalender!$C$5:$C$370),0)+IFERROR(SUMIF(Nutzungsprofile!$B$17:$B$22,"Halle",Nutzungsprofile!$G$17:$G$22)*Kalender!D42/SUM(Kalender!$D$5:$D$370),0)+IFERROR(SUMIF(Nutzungsprofile!$B$17:$B$22,"Individuell",Nutzungsprofile!$G$17:$G$22)*Kalender!E42/SUM(Kalender!$E$5:$E$370),0))*Szenarien!$D$14,0)</f>
        <v>0.89</v>
      </c>
      <c r="E1140" s="13" t="n">
        <f aca="false">IFERROR(MIN(C1140,Eingaben!$B$17)*Eingaben!$B$16,0)</f>
        <v>1.938</v>
      </c>
      <c r="F1140" s="13" t="n">
        <f aca="false">IFERROR(E1140*Eingaben!$B$15,0)</f>
        <v>1.7442</v>
      </c>
      <c r="G1140" s="13" t="n">
        <f aca="false">IFERROR(IF(Kalender!A42="",0,J1139*(1-Eingaben!$B$20)),0)</f>
        <v>0.7390278</v>
      </c>
      <c r="H1140" s="13" t="n">
        <f aca="false">MIN(G1140,D1140)</f>
        <v>0.7390278</v>
      </c>
      <c r="I1140" s="13" t="n">
        <f aca="false">IFERROR(MIN(F1140*Eingaben!$B$19,MAX(0,D1140-H1140)),0)</f>
        <v>0.1509722</v>
      </c>
      <c r="J1140" s="13" t="n">
        <f aca="false">IFERROR(MIN(Eingaben!$B$18,MAX(0,F1140-I1140)),0)</f>
        <v>1.5932278</v>
      </c>
      <c r="K1140" s="13" t="n">
        <f aca="false">H1140+I1140</f>
        <v>0.89</v>
      </c>
      <c r="L1140" s="13" t="n">
        <f aca="false">MAX(0,D1140-K1140)</f>
        <v>0</v>
      </c>
      <c r="M1140" s="13" t="n">
        <f aca="false">MAX(0,F1140-I1140-J1140)</f>
        <v>0</v>
      </c>
      <c r="N1140" s="13" t="n">
        <f aca="false">IF(Kalender!A42="",0,J1139-H1140)</f>
        <v>0.0150822</v>
      </c>
    </row>
    <row r="1141" customFormat="false" ht="16.4" hidden="false" customHeight="false" outlineLevel="0" collapsed="false">
      <c r="A1141" s="13" t="str">
        <f aca="false">""</f>
        <v/>
      </c>
      <c r="B1141" s="13" t="n">
        <f aca="false">39</f>
        <v>39</v>
      </c>
      <c r="C1141" s="13" t="n">
        <f aca="false">IF(Szenarien!$H$14="OK",(IFERROR(SUMIF(Nutzungsprofile!$B$6:$B$11,"Schulbetrieb",Nutzungsprofile!$G$6:$G$11)*Kalender!C43/SUM(Kalender!$C$5:$C$370),0)+IFERROR(SUMIF(Nutzungsprofile!$B$6:$B$11,"Halle",Nutzungsprofile!$G$6:$G$11)*Kalender!D43/SUM(Kalender!$D$5:$D$370),0)+IFERROR(SUMIF(Nutzungsprofile!$B$6:$B$11,"Individuell",Nutzungsprofile!$G$6:$G$11)*Kalender!E43/SUM(Kalender!$E$5:$E$370),0))*Szenarien!$E$14,0)</f>
        <v>2.04</v>
      </c>
      <c r="D1141" s="13" t="n">
        <f aca="false">IF(Szenarien!$H$14="OK",(IFERROR(SUMIF(Nutzungsprofile!$B$17:$B$22,"Schulbetrieb",Nutzungsprofile!$G$17:$G$22)*Kalender!C43/SUM(Kalender!$C$5:$C$370),0)+IFERROR(SUMIF(Nutzungsprofile!$B$17:$B$22,"Halle",Nutzungsprofile!$G$17:$G$22)*Kalender!D43/SUM(Kalender!$D$5:$D$370),0)+IFERROR(SUMIF(Nutzungsprofile!$B$17:$B$22,"Individuell",Nutzungsprofile!$G$17:$G$22)*Kalender!E43/SUM(Kalender!$E$5:$E$370),0))*Szenarien!$D$14,0)</f>
        <v>0.89</v>
      </c>
      <c r="E1141" s="13" t="n">
        <f aca="false">IFERROR(MIN(C1141,Eingaben!$B$17)*Eingaben!$B$16,0)</f>
        <v>1.938</v>
      </c>
      <c r="F1141" s="13" t="n">
        <f aca="false">IFERROR(E1141*Eingaben!$B$15,0)</f>
        <v>1.7442</v>
      </c>
      <c r="G1141" s="13" t="n">
        <f aca="false">IFERROR(IF(Kalender!A43="",0,J1140*(1-Eingaben!$B$20)),0)</f>
        <v>1.561363244</v>
      </c>
      <c r="H1141" s="13" t="n">
        <f aca="false">MIN(G1141,D1141)</f>
        <v>0.89</v>
      </c>
      <c r="I1141" s="13" t="n">
        <f aca="false">IFERROR(MIN(F1141*Eingaben!$B$19,MAX(0,D1141-H1141)),0)</f>
        <v>0</v>
      </c>
      <c r="J1141" s="13" t="n">
        <f aca="false">IFERROR(MIN(Eingaben!$B$18,MAX(0,F1141-I1141)),0)</f>
        <v>1.7442</v>
      </c>
      <c r="K1141" s="13" t="n">
        <f aca="false">H1141+I1141</f>
        <v>0.89</v>
      </c>
      <c r="L1141" s="13" t="n">
        <f aca="false">MAX(0,D1141-K1141)</f>
        <v>0</v>
      </c>
      <c r="M1141" s="13" t="n">
        <f aca="false">MAX(0,F1141-I1141-J1141)</f>
        <v>0</v>
      </c>
      <c r="N1141" s="13" t="n">
        <f aca="false">IF(Kalender!A43="",0,J1140-H1141)</f>
        <v>0.7032278</v>
      </c>
    </row>
    <row r="1142" customFormat="false" ht="16.4" hidden="false" customHeight="false" outlineLevel="0" collapsed="false">
      <c r="A1142" s="13" t="str">
        <f aca="false">""</f>
        <v/>
      </c>
      <c r="B1142" s="13" t="n">
        <f aca="false">40</f>
        <v>40</v>
      </c>
      <c r="C1142" s="13" t="n">
        <f aca="false">IF(Szenarien!$H$14="OK",(IFERROR(SUMIF(Nutzungsprofile!$B$6:$B$11,"Schulbetrieb",Nutzungsprofile!$G$6:$G$11)*Kalender!C44/SUM(Kalender!$C$5:$C$370),0)+IFERROR(SUMIF(Nutzungsprofile!$B$6:$B$11,"Halle",Nutzungsprofile!$G$6:$G$11)*Kalender!D44/SUM(Kalender!$D$5:$D$370),0)+IFERROR(SUMIF(Nutzungsprofile!$B$6:$B$11,"Individuell",Nutzungsprofile!$G$6:$G$11)*Kalender!E44/SUM(Kalender!$E$5:$E$370),0))*Szenarien!$E$14,0)</f>
        <v>2.94</v>
      </c>
      <c r="D1142" s="13" t="n">
        <f aca="false">IF(Szenarien!$H$14="OK",(IFERROR(SUMIF(Nutzungsprofile!$B$17:$B$22,"Schulbetrieb",Nutzungsprofile!$G$17:$G$22)*Kalender!C44/SUM(Kalender!$C$5:$C$370),0)+IFERROR(SUMIF(Nutzungsprofile!$B$17:$B$22,"Halle",Nutzungsprofile!$G$17:$G$22)*Kalender!D44/SUM(Kalender!$D$5:$D$370),0)+IFERROR(SUMIF(Nutzungsprofile!$B$17:$B$22,"Individuell",Nutzungsprofile!$G$17:$G$22)*Kalender!E44/SUM(Kalender!$E$5:$E$370),0))*Szenarien!$D$14,0)</f>
        <v>4.94</v>
      </c>
      <c r="E1142" s="13" t="n">
        <f aca="false">IFERROR(MIN(C1142,Eingaben!$B$17)*Eingaben!$B$16,0)</f>
        <v>2.793</v>
      </c>
      <c r="F1142" s="13" t="n">
        <f aca="false">IFERROR(E1142*Eingaben!$B$15,0)</f>
        <v>2.5137</v>
      </c>
      <c r="G1142" s="13" t="n">
        <f aca="false">IFERROR(IF(Kalender!A44="",0,J1141*(1-Eingaben!$B$20)),0)</f>
        <v>1.709316</v>
      </c>
      <c r="H1142" s="13" t="n">
        <f aca="false">MIN(G1142,D1142)</f>
        <v>1.709316</v>
      </c>
      <c r="I1142" s="13" t="n">
        <f aca="false">IFERROR(MIN(F1142*Eingaben!$B$19,MAX(0,D1142-H1142)),0)</f>
        <v>1.75959</v>
      </c>
      <c r="J1142" s="13" t="n">
        <f aca="false">IFERROR(MIN(Eingaben!$B$18,MAX(0,F1142-I1142)),0)</f>
        <v>0.75411</v>
      </c>
      <c r="K1142" s="13" t="n">
        <f aca="false">H1142+I1142</f>
        <v>3.468906</v>
      </c>
      <c r="L1142" s="13" t="n">
        <f aca="false">MAX(0,D1142-K1142)</f>
        <v>1.471094</v>
      </c>
      <c r="M1142" s="13" t="n">
        <f aca="false">MAX(0,F1142-I1142-J1142)</f>
        <v>0</v>
      </c>
      <c r="N1142" s="13" t="n">
        <f aca="false">IF(Kalender!A44="",0,J1141-H1142)</f>
        <v>0.0348840000000001</v>
      </c>
    </row>
    <row r="1143" customFormat="false" ht="16.4" hidden="false" customHeight="false" outlineLevel="0" collapsed="false">
      <c r="A1143" s="13" t="str">
        <f aca="false">""</f>
        <v/>
      </c>
      <c r="B1143" s="13" t="n">
        <f aca="false">41</f>
        <v>41</v>
      </c>
      <c r="C1143" s="13" t="n">
        <f aca="false">IF(Szenarien!$H$14="OK",(IFERROR(SUMIF(Nutzungsprofile!$B$6:$B$11,"Schulbetrieb",Nutzungsprofile!$G$6:$G$11)*Kalender!C45/SUM(Kalender!$C$5:$C$370),0)+IFERROR(SUMIF(Nutzungsprofile!$B$6:$B$11,"Halle",Nutzungsprofile!$G$6:$G$11)*Kalender!D45/SUM(Kalender!$D$5:$D$370),0)+IFERROR(SUMIF(Nutzungsprofile!$B$6:$B$11,"Individuell",Nutzungsprofile!$G$6:$G$11)*Kalender!E45/SUM(Kalender!$E$5:$E$370),0))*Szenarien!$E$14,0)</f>
        <v>2.94</v>
      </c>
      <c r="D1143" s="13" t="n">
        <f aca="false">IF(Szenarien!$H$14="OK",(IFERROR(SUMIF(Nutzungsprofile!$B$17:$B$22,"Schulbetrieb",Nutzungsprofile!$G$17:$G$22)*Kalender!C45/SUM(Kalender!$C$5:$C$370),0)+IFERROR(SUMIF(Nutzungsprofile!$B$17:$B$22,"Halle",Nutzungsprofile!$G$17:$G$22)*Kalender!D45/SUM(Kalender!$D$5:$D$370),0)+IFERROR(SUMIF(Nutzungsprofile!$B$17:$B$22,"Individuell",Nutzungsprofile!$G$17:$G$22)*Kalender!E45/SUM(Kalender!$E$5:$E$370),0))*Szenarien!$D$14,0)</f>
        <v>4.94</v>
      </c>
      <c r="E1143" s="13" t="n">
        <f aca="false">IFERROR(MIN(C1143,Eingaben!$B$17)*Eingaben!$B$16,0)</f>
        <v>2.793</v>
      </c>
      <c r="F1143" s="13" t="n">
        <f aca="false">IFERROR(E1143*Eingaben!$B$15,0)</f>
        <v>2.5137</v>
      </c>
      <c r="G1143" s="13" t="n">
        <f aca="false">IFERROR(IF(Kalender!A45="",0,J1142*(1-Eingaben!$B$20)),0)</f>
        <v>0.7390278</v>
      </c>
      <c r="H1143" s="13" t="n">
        <f aca="false">MIN(G1143,D1143)</f>
        <v>0.7390278</v>
      </c>
      <c r="I1143" s="13" t="n">
        <f aca="false">IFERROR(MIN(F1143*Eingaben!$B$19,MAX(0,D1143-H1143)),0)</f>
        <v>1.75959</v>
      </c>
      <c r="J1143" s="13" t="n">
        <f aca="false">IFERROR(MIN(Eingaben!$B$18,MAX(0,F1143-I1143)),0)</f>
        <v>0.75411</v>
      </c>
      <c r="K1143" s="13" t="n">
        <f aca="false">H1143+I1143</f>
        <v>2.4986178</v>
      </c>
      <c r="L1143" s="13" t="n">
        <f aca="false">MAX(0,D1143-K1143)</f>
        <v>2.4413822</v>
      </c>
      <c r="M1143" s="13" t="n">
        <f aca="false">MAX(0,F1143-I1143-J1143)</f>
        <v>0</v>
      </c>
      <c r="N1143" s="13" t="n">
        <f aca="false">IF(Kalender!A45="",0,J1142-H1143)</f>
        <v>0.0150822</v>
      </c>
    </row>
    <row r="1144" customFormat="false" ht="16.4" hidden="false" customHeight="false" outlineLevel="0" collapsed="false">
      <c r="A1144" s="13" t="str">
        <f aca="false">""</f>
        <v/>
      </c>
      <c r="B1144" s="13" t="n">
        <f aca="false">42</f>
        <v>42</v>
      </c>
      <c r="C1144" s="13" t="n">
        <f aca="false">IF(Szenarien!$H$14="OK",(IFERROR(SUMIF(Nutzungsprofile!$B$6:$B$11,"Schulbetrieb",Nutzungsprofile!$G$6:$G$11)*Kalender!C46/SUM(Kalender!$C$5:$C$370),0)+IFERROR(SUMIF(Nutzungsprofile!$B$6:$B$11,"Halle",Nutzungsprofile!$G$6:$G$11)*Kalender!D46/SUM(Kalender!$D$5:$D$370),0)+IFERROR(SUMIF(Nutzungsprofile!$B$6:$B$11,"Individuell",Nutzungsprofile!$G$6:$G$11)*Kalender!E46/SUM(Kalender!$E$5:$E$370),0))*Szenarien!$E$14,0)</f>
        <v>2.94</v>
      </c>
      <c r="D1144" s="13" t="n">
        <f aca="false">IF(Szenarien!$H$14="OK",(IFERROR(SUMIF(Nutzungsprofile!$B$17:$B$22,"Schulbetrieb",Nutzungsprofile!$G$17:$G$22)*Kalender!C46/SUM(Kalender!$C$5:$C$370),0)+IFERROR(SUMIF(Nutzungsprofile!$B$17:$B$22,"Halle",Nutzungsprofile!$G$17:$G$22)*Kalender!D46/SUM(Kalender!$D$5:$D$370),0)+IFERROR(SUMIF(Nutzungsprofile!$B$17:$B$22,"Individuell",Nutzungsprofile!$G$17:$G$22)*Kalender!E46/SUM(Kalender!$E$5:$E$370),0))*Szenarien!$D$14,0)</f>
        <v>4.94</v>
      </c>
      <c r="E1144" s="13" t="n">
        <f aca="false">IFERROR(MIN(C1144,Eingaben!$B$17)*Eingaben!$B$16,0)</f>
        <v>2.793</v>
      </c>
      <c r="F1144" s="13" t="n">
        <f aca="false">IFERROR(E1144*Eingaben!$B$15,0)</f>
        <v>2.5137</v>
      </c>
      <c r="G1144" s="13" t="n">
        <f aca="false">IFERROR(IF(Kalender!A46="",0,J1143*(1-Eingaben!$B$20)),0)</f>
        <v>0.7390278</v>
      </c>
      <c r="H1144" s="13" t="n">
        <f aca="false">MIN(G1144,D1144)</f>
        <v>0.7390278</v>
      </c>
      <c r="I1144" s="13" t="n">
        <f aca="false">IFERROR(MIN(F1144*Eingaben!$B$19,MAX(0,D1144-H1144)),0)</f>
        <v>1.75959</v>
      </c>
      <c r="J1144" s="13" t="n">
        <f aca="false">IFERROR(MIN(Eingaben!$B$18,MAX(0,F1144-I1144)),0)</f>
        <v>0.75411</v>
      </c>
      <c r="K1144" s="13" t="n">
        <f aca="false">H1144+I1144</f>
        <v>2.4986178</v>
      </c>
      <c r="L1144" s="13" t="n">
        <f aca="false">MAX(0,D1144-K1144)</f>
        <v>2.4413822</v>
      </c>
      <c r="M1144" s="13" t="n">
        <f aca="false">MAX(0,F1144-I1144-J1144)</f>
        <v>0</v>
      </c>
      <c r="N1144" s="13" t="n">
        <f aca="false">IF(Kalender!A46="",0,J1143-H1144)</f>
        <v>0.0150822</v>
      </c>
    </row>
    <row r="1145" customFormat="false" ht="16.4" hidden="false" customHeight="false" outlineLevel="0" collapsed="false">
      <c r="A1145" s="13" t="str">
        <f aca="false">""</f>
        <v/>
      </c>
      <c r="B1145" s="13" t="n">
        <f aca="false">43</f>
        <v>43</v>
      </c>
      <c r="C1145" s="13" t="n">
        <f aca="false">IF(Szenarien!$H$14="OK",(IFERROR(SUMIF(Nutzungsprofile!$B$6:$B$11,"Schulbetrieb",Nutzungsprofile!$G$6:$G$11)*Kalender!C47/SUM(Kalender!$C$5:$C$370),0)+IFERROR(SUMIF(Nutzungsprofile!$B$6:$B$11,"Halle",Nutzungsprofile!$G$6:$G$11)*Kalender!D47/SUM(Kalender!$D$5:$D$370),0)+IFERROR(SUMIF(Nutzungsprofile!$B$6:$B$11,"Individuell",Nutzungsprofile!$G$6:$G$11)*Kalender!E47/SUM(Kalender!$E$5:$E$370),0))*Szenarien!$E$14,0)</f>
        <v>2.94</v>
      </c>
      <c r="D1145" s="13" t="n">
        <f aca="false">IF(Szenarien!$H$14="OK",(IFERROR(SUMIF(Nutzungsprofile!$B$17:$B$22,"Schulbetrieb",Nutzungsprofile!$G$17:$G$22)*Kalender!C47/SUM(Kalender!$C$5:$C$370),0)+IFERROR(SUMIF(Nutzungsprofile!$B$17:$B$22,"Halle",Nutzungsprofile!$G$17:$G$22)*Kalender!D47/SUM(Kalender!$D$5:$D$370),0)+IFERROR(SUMIF(Nutzungsprofile!$B$17:$B$22,"Individuell",Nutzungsprofile!$G$17:$G$22)*Kalender!E47/SUM(Kalender!$E$5:$E$370),0))*Szenarien!$D$14,0)</f>
        <v>4.94</v>
      </c>
      <c r="E1145" s="13" t="n">
        <f aca="false">IFERROR(MIN(C1145,Eingaben!$B$17)*Eingaben!$B$16,0)</f>
        <v>2.793</v>
      </c>
      <c r="F1145" s="13" t="n">
        <f aca="false">IFERROR(E1145*Eingaben!$B$15,0)</f>
        <v>2.5137</v>
      </c>
      <c r="G1145" s="13" t="n">
        <f aca="false">IFERROR(IF(Kalender!A47="",0,J1144*(1-Eingaben!$B$20)),0)</f>
        <v>0.7390278</v>
      </c>
      <c r="H1145" s="13" t="n">
        <f aca="false">MIN(G1145,D1145)</f>
        <v>0.7390278</v>
      </c>
      <c r="I1145" s="13" t="n">
        <f aca="false">IFERROR(MIN(F1145*Eingaben!$B$19,MAX(0,D1145-H1145)),0)</f>
        <v>1.75959</v>
      </c>
      <c r="J1145" s="13" t="n">
        <f aca="false">IFERROR(MIN(Eingaben!$B$18,MAX(0,F1145-I1145)),0)</f>
        <v>0.75411</v>
      </c>
      <c r="K1145" s="13" t="n">
        <f aca="false">H1145+I1145</f>
        <v>2.4986178</v>
      </c>
      <c r="L1145" s="13" t="n">
        <f aca="false">MAX(0,D1145-K1145)</f>
        <v>2.4413822</v>
      </c>
      <c r="M1145" s="13" t="n">
        <f aca="false">MAX(0,F1145-I1145-J1145)</f>
        <v>0</v>
      </c>
      <c r="N1145" s="13" t="n">
        <f aca="false">IF(Kalender!A47="",0,J1144-H1145)</f>
        <v>0.0150822</v>
      </c>
    </row>
    <row r="1146" customFormat="false" ht="16.4" hidden="false" customHeight="false" outlineLevel="0" collapsed="false">
      <c r="A1146" s="13" t="str">
        <f aca="false">""</f>
        <v/>
      </c>
      <c r="B1146" s="13" t="n">
        <f aca="false">44</f>
        <v>44</v>
      </c>
      <c r="C1146" s="13" t="n">
        <f aca="false">IF(Szenarien!$H$14="OK",(IFERROR(SUMIF(Nutzungsprofile!$B$6:$B$11,"Schulbetrieb",Nutzungsprofile!$G$6:$G$11)*Kalender!C48/SUM(Kalender!$C$5:$C$370),0)+IFERROR(SUMIF(Nutzungsprofile!$B$6:$B$11,"Halle",Nutzungsprofile!$G$6:$G$11)*Kalender!D48/SUM(Kalender!$D$5:$D$370),0)+IFERROR(SUMIF(Nutzungsprofile!$B$6:$B$11,"Individuell",Nutzungsprofile!$G$6:$G$11)*Kalender!E48/SUM(Kalender!$E$5:$E$370),0))*Szenarien!$E$14,0)</f>
        <v>2.94</v>
      </c>
      <c r="D1146" s="13" t="n">
        <f aca="false">IF(Szenarien!$H$14="OK",(IFERROR(SUMIF(Nutzungsprofile!$B$17:$B$22,"Schulbetrieb",Nutzungsprofile!$G$17:$G$22)*Kalender!C48/SUM(Kalender!$C$5:$C$370),0)+IFERROR(SUMIF(Nutzungsprofile!$B$17:$B$22,"Halle",Nutzungsprofile!$G$17:$G$22)*Kalender!D48/SUM(Kalender!$D$5:$D$370),0)+IFERROR(SUMIF(Nutzungsprofile!$B$17:$B$22,"Individuell",Nutzungsprofile!$G$17:$G$22)*Kalender!E48/SUM(Kalender!$E$5:$E$370),0))*Szenarien!$D$14,0)</f>
        <v>4.94</v>
      </c>
      <c r="E1146" s="13" t="n">
        <f aca="false">IFERROR(MIN(C1146,Eingaben!$B$17)*Eingaben!$B$16,0)</f>
        <v>2.793</v>
      </c>
      <c r="F1146" s="13" t="n">
        <f aca="false">IFERROR(E1146*Eingaben!$B$15,0)</f>
        <v>2.5137</v>
      </c>
      <c r="G1146" s="13" t="n">
        <f aca="false">IFERROR(IF(Kalender!A48="",0,J1145*(1-Eingaben!$B$20)),0)</f>
        <v>0.7390278</v>
      </c>
      <c r="H1146" s="13" t="n">
        <f aca="false">MIN(G1146,D1146)</f>
        <v>0.7390278</v>
      </c>
      <c r="I1146" s="13" t="n">
        <f aca="false">IFERROR(MIN(F1146*Eingaben!$B$19,MAX(0,D1146-H1146)),0)</f>
        <v>1.75959</v>
      </c>
      <c r="J1146" s="13" t="n">
        <f aca="false">IFERROR(MIN(Eingaben!$B$18,MAX(0,F1146-I1146)),0)</f>
        <v>0.75411</v>
      </c>
      <c r="K1146" s="13" t="n">
        <f aca="false">H1146+I1146</f>
        <v>2.4986178</v>
      </c>
      <c r="L1146" s="13" t="n">
        <f aca="false">MAX(0,D1146-K1146)</f>
        <v>2.4413822</v>
      </c>
      <c r="M1146" s="13" t="n">
        <f aca="false">MAX(0,F1146-I1146-J1146)</f>
        <v>0</v>
      </c>
      <c r="N1146" s="13" t="n">
        <f aca="false">IF(Kalender!A48="",0,J1145-H1146)</f>
        <v>0.0150822</v>
      </c>
    </row>
    <row r="1147" customFormat="false" ht="16.4" hidden="false" customHeight="false" outlineLevel="0" collapsed="false">
      <c r="A1147" s="13" t="str">
        <f aca="false">""</f>
        <v/>
      </c>
      <c r="B1147" s="13" t="n">
        <f aca="false">45</f>
        <v>45</v>
      </c>
      <c r="C1147" s="13" t="n">
        <f aca="false">IF(Szenarien!$H$14="OK",(IFERROR(SUMIF(Nutzungsprofile!$B$6:$B$11,"Schulbetrieb",Nutzungsprofile!$G$6:$G$11)*Kalender!C49/SUM(Kalender!$C$5:$C$370),0)+IFERROR(SUMIF(Nutzungsprofile!$B$6:$B$11,"Halle",Nutzungsprofile!$G$6:$G$11)*Kalender!D49/SUM(Kalender!$D$5:$D$370),0)+IFERROR(SUMIF(Nutzungsprofile!$B$6:$B$11,"Individuell",Nutzungsprofile!$G$6:$G$11)*Kalender!E49/SUM(Kalender!$E$5:$E$370),0))*Szenarien!$E$14,0)</f>
        <v>2.04</v>
      </c>
      <c r="D1147" s="13" t="n">
        <f aca="false">IF(Szenarien!$H$14="OK",(IFERROR(SUMIF(Nutzungsprofile!$B$17:$B$22,"Schulbetrieb",Nutzungsprofile!$G$17:$G$22)*Kalender!C49/SUM(Kalender!$C$5:$C$370),0)+IFERROR(SUMIF(Nutzungsprofile!$B$17:$B$22,"Halle",Nutzungsprofile!$G$17:$G$22)*Kalender!D49/SUM(Kalender!$D$5:$D$370),0)+IFERROR(SUMIF(Nutzungsprofile!$B$17:$B$22,"Individuell",Nutzungsprofile!$G$17:$G$22)*Kalender!E49/SUM(Kalender!$E$5:$E$370),0))*Szenarien!$D$14,0)</f>
        <v>0.89</v>
      </c>
      <c r="E1147" s="13" t="n">
        <f aca="false">IFERROR(MIN(C1147,Eingaben!$B$17)*Eingaben!$B$16,0)</f>
        <v>1.938</v>
      </c>
      <c r="F1147" s="13" t="n">
        <f aca="false">IFERROR(E1147*Eingaben!$B$15,0)</f>
        <v>1.7442</v>
      </c>
      <c r="G1147" s="13" t="n">
        <f aca="false">IFERROR(IF(Kalender!A49="",0,J1146*(1-Eingaben!$B$20)),0)</f>
        <v>0.7390278</v>
      </c>
      <c r="H1147" s="13" t="n">
        <f aca="false">MIN(G1147,D1147)</f>
        <v>0.7390278</v>
      </c>
      <c r="I1147" s="13" t="n">
        <f aca="false">IFERROR(MIN(F1147*Eingaben!$B$19,MAX(0,D1147-H1147)),0)</f>
        <v>0.1509722</v>
      </c>
      <c r="J1147" s="13" t="n">
        <f aca="false">IFERROR(MIN(Eingaben!$B$18,MAX(0,F1147-I1147)),0)</f>
        <v>1.5932278</v>
      </c>
      <c r="K1147" s="13" t="n">
        <f aca="false">H1147+I1147</f>
        <v>0.89</v>
      </c>
      <c r="L1147" s="13" t="n">
        <f aca="false">MAX(0,D1147-K1147)</f>
        <v>0</v>
      </c>
      <c r="M1147" s="13" t="n">
        <f aca="false">MAX(0,F1147-I1147-J1147)</f>
        <v>0</v>
      </c>
      <c r="N1147" s="13" t="n">
        <f aca="false">IF(Kalender!A49="",0,J1146-H1147)</f>
        <v>0.0150822</v>
      </c>
    </row>
    <row r="1148" customFormat="false" ht="16.4" hidden="false" customHeight="false" outlineLevel="0" collapsed="false">
      <c r="A1148" s="13" t="str">
        <f aca="false">""</f>
        <v/>
      </c>
      <c r="B1148" s="13" t="n">
        <f aca="false">46</f>
        <v>46</v>
      </c>
      <c r="C1148" s="13" t="n">
        <f aca="false">IF(Szenarien!$H$14="OK",(IFERROR(SUMIF(Nutzungsprofile!$B$6:$B$11,"Schulbetrieb",Nutzungsprofile!$G$6:$G$11)*Kalender!C50/SUM(Kalender!$C$5:$C$370),0)+IFERROR(SUMIF(Nutzungsprofile!$B$6:$B$11,"Halle",Nutzungsprofile!$G$6:$G$11)*Kalender!D50/SUM(Kalender!$D$5:$D$370),0)+IFERROR(SUMIF(Nutzungsprofile!$B$6:$B$11,"Individuell",Nutzungsprofile!$G$6:$G$11)*Kalender!E50/SUM(Kalender!$E$5:$E$370),0))*Szenarien!$E$14,0)</f>
        <v>2.04</v>
      </c>
      <c r="D1148" s="13" t="n">
        <f aca="false">IF(Szenarien!$H$14="OK",(IFERROR(SUMIF(Nutzungsprofile!$B$17:$B$22,"Schulbetrieb",Nutzungsprofile!$G$17:$G$22)*Kalender!C50/SUM(Kalender!$C$5:$C$370),0)+IFERROR(SUMIF(Nutzungsprofile!$B$17:$B$22,"Halle",Nutzungsprofile!$G$17:$G$22)*Kalender!D50/SUM(Kalender!$D$5:$D$370),0)+IFERROR(SUMIF(Nutzungsprofile!$B$17:$B$22,"Individuell",Nutzungsprofile!$G$17:$G$22)*Kalender!E50/SUM(Kalender!$E$5:$E$370),0))*Szenarien!$D$14,0)</f>
        <v>0.89</v>
      </c>
      <c r="E1148" s="13" t="n">
        <f aca="false">IFERROR(MIN(C1148,Eingaben!$B$17)*Eingaben!$B$16,0)</f>
        <v>1.938</v>
      </c>
      <c r="F1148" s="13" t="n">
        <f aca="false">IFERROR(E1148*Eingaben!$B$15,0)</f>
        <v>1.7442</v>
      </c>
      <c r="G1148" s="13" t="n">
        <f aca="false">IFERROR(IF(Kalender!A50="",0,J1147*(1-Eingaben!$B$20)),0)</f>
        <v>1.561363244</v>
      </c>
      <c r="H1148" s="13" t="n">
        <f aca="false">MIN(G1148,D1148)</f>
        <v>0.89</v>
      </c>
      <c r="I1148" s="13" t="n">
        <f aca="false">IFERROR(MIN(F1148*Eingaben!$B$19,MAX(0,D1148-H1148)),0)</f>
        <v>0</v>
      </c>
      <c r="J1148" s="13" t="n">
        <f aca="false">IFERROR(MIN(Eingaben!$B$18,MAX(0,F1148-I1148)),0)</f>
        <v>1.7442</v>
      </c>
      <c r="K1148" s="13" t="n">
        <f aca="false">H1148+I1148</f>
        <v>0.89</v>
      </c>
      <c r="L1148" s="13" t="n">
        <f aca="false">MAX(0,D1148-K1148)</f>
        <v>0</v>
      </c>
      <c r="M1148" s="13" t="n">
        <f aca="false">MAX(0,F1148-I1148-J1148)</f>
        <v>0</v>
      </c>
      <c r="N1148" s="13" t="n">
        <f aca="false">IF(Kalender!A50="",0,J1147-H1148)</f>
        <v>0.7032278</v>
      </c>
    </row>
    <row r="1149" customFormat="false" ht="16.4" hidden="false" customHeight="false" outlineLevel="0" collapsed="false">
      <c r="A1149" s="13" t="str">
        <f aca="false">""</f>
        <v/>
      </c>
      <c r="B1149" s="13" t="n">
        <f aca="false">47</f>
        <v>47</v>
      </c>
      <c r="C1149" s="13" t="n">
        <f aca="false">IF(Szenarien!$H$14="OK",(IFERROR(SUMIF(Nutzungsprofile!$B$6:$B$11,"Schulbetrieb",Nutzungsprofile!$G$6:$G$11)*Kalender!C51/SUM(Kalender!$C$5:$C$370),0)+IFERROR(SUMIF(Nutzungsprofile!$B$6:$B$11,"Halle",Nutzungsprofile!$G$6:$G$11)*Kalender!D51/SUM(Kalender!$D$5:$D$370),0)+IFERROR(SUMIF(Nutzungsprofile!$B$6:$B$11,"Individuell",Nutzungsprofile!$G$6:$G$11)*Kalender!E51/SUM(Kalender!$E$5:$E$370),0))*Szenarien!$E$14,0)</f>
        <v>2.94</v>
      </c>
      <c r="D1149" s="13" t="n">
        <f aca="false">IF(Szenarien!$H$14="OK",(IFERROR(SUMIF(Nutzungsprofile!$B$17:$B$22,"Schulbetrieb",Nutzungsprofile!$G$17:$G$22)*Kalender!C51/SUM(Kalender!$C$5:$C$370),0)+IFERROR(SUMIF(Nutzungsprofile!$B$17:$B$22,"Halle",Nutzungsprofile!$G$17:$G$22)*Kalender!D51/SUM(Kalender!$D$5:$D$370),0)+IFERROR(SUMIF(Nutzungsprofile!$B$17:$B$22,"Individuell",Nutzungsprofile!$G$17:$G$22)*Kalender!E51/SUM(Kalender!$E$5:$E$370),0))*Szenarien!$D$14,0)</f>
        <v>4.94</v>
      </c>
      <c r="E1149" s="13" t="n">
        <f aca="false">IFERROR(MIN(C1149,Eingaben!$B$17)*Eingaben!$B$16,0)</f>
        <v>2.793</v>
      </c>
      <c r="F1149" s="13" t="n">
        <f aca="false">IFERROR(E1149*Eingaben!$B$15,0)</f>
        <v>2.5137</v>
      </c>
      <c r="G1149" s="13" t="n">
        <f aca="false">IFERROR(IF(Kalender!A51="",0,J1148*(1-Eingaben!$B$20)),0)</f>
        <v>1.709316</v>
      </c>
      <c r="H1149" s="13" t="n">
        <f aca="false">MIN(G1149,D1149)</f>
        <v>1.709316</v>
      </c>
      <c r="I1149" s="13" t="n">
        <f aca="false">IFERROR(MIN(F1149*Eingaben!$B$19,MAX(0,D1149-H1149)),0)</f>
        <v>1.75959</v>
      </c>
      <c r="J1149" s="13" t="n">
        <f aca="false">IFERROR(MIN(Eingaben!$B$18,MAX(0,F1149-I1149)),0)</f>
        <v>0.75411</v>
      </c>
      <c r="K1149" s="13" t="n">
        <f aca="false">H1149+I1149</f>
        <v>3.468906</v>
      </c>
      <c r="L1149" s="13" t="n">
        <f aca="false">MAX(0,D1149-K1149)</f>
        <v>1.471094</v>
      </c>
      <c r="M1149" s="13" t="n">
        <f aca="false">MAX(0,F1149-I1149-J1149)</f>
        <v>0</v>
      </c>
      <c r="N1149" s="13" t="n">
        <f aca="false">IF(Kalender!A51="",0,J1148-H1149)</f>
        <v>0.0348840000000001</v>
      </c>
    </row>
    <row r="1150" customFormat="false" ht="16.4" hidden="false" customHeight="false" outlineLevel="0" collapsed="false">
      <c r="A1150" s="13" t="str">
        <f aca="false">""</f>
        <v/>
      </c>
      <c r="B1150" s="13" t="n">
        <f aca="false">48</f>
        <v>48</v>
      </c>
      <c r="C1150" s="13" t="n">
        <f aca="false">IF(Szenarien!$H$14="OK",(IFERROR(SUMIF(Nutzungsprofile!$B$6:$B$11,"Schulbetrieb",Nutzungsprofile!$G$6:$G$11)*Kalender!C52/SUM(Kalender!$C$5:$C$370),0)+IFERROR(SUMIF(Nutzungsprofile!$B$6:$B$11,"Halle",Nutzungsprofile!$G$6:$G$11)*Kalender!D52/SUM(Kalender!$D$5:$D$370),0)+IFERROR(SUMIF(Nutzungsprofile!$B$6:$B$11,"Individuell",Nutzungsprofile!$G$6:$G$11)*Kalender!E52/SUM(Kalender!$E$5:$E$370),0))*Szenarien!$E$14,0)</f>
        <v>2.94</v>
      </c>
      <c r="D1150" s="13" t="n">
        <f aca="false">IF(Szenarien!$H$14="OK",(IFERROR(SUMIF(Nutzungsprofile!$B$17:$B$22,"Schulbetrieb",Nutzungsprofile!$G$17:$G$22)*Kalender!C52/SUM(Kalender!$C$5:$C$370),0)+IFERROR(SUMIF(Nutzungsprofile!$B$17:$B$22,"Halle",Nutzungsprofile!$G$17:$G$22)*Kalender!D52/SUM(Kalender!$D$5:$D$370),0)+IFERROR(SUMIF(Nutzungsprofile!$B$17:$B$22,"Individuell",Nutzungsprofile!$G$17:$G$22)*Kalender!E52/SUM(Kalender!$E$5:$E$370),0))*Szenarien!$D$14,0)</f>
        <v>4.94</v>
      </c>
      <c r="E1150" s="13" t="n">
        <f aca="false">IFERROR(MIN(C1150,Eingaben!$B$17)*Eingaben!$B$16,0)</f>
        <v>2.793</v>
      </c>
      <c r="F1150" s="13" t="n">
        <f aca="false">IFERROR(E1150*Eingaben!$B$15,0)</f>
        <v>2.5137</v>
      </c>
      <c r="G1150" s="13" t="n">
        <f aca="false">IFERROR(IF(Kalender!A52="",0,J1149*(1-Eingaben!$B$20)),0)</f>
        <v>0.7390278</v>
      </c>
      <c r="H1150" s="13" t="n">
        <f aca="false">MIN(G1150,D1150)</f>
        <v>0.7390278</v>
      </c>
      <c r="I1150" s="13" t="n">
        <f aca="false">IFERROR(MIN(F1150*Eingaben!$B$19,MAX(0,D1150-H1150)),0)</f>
        <v>1.75959</v>
      </c>
      <c r="J1150" s="13" t="n">
        <f aca="false">IFERROR(MIN(Eingaben!$B$18,MAX(0,F1150-I1150)),0)</f>
        <v>0.75411</v>
      </c>
      <c r="K1150" s="13" t="n">
        <f aca="false">H1150+I1150</f>
        <v>2.4986178</v>
      </c>
      <c r="L1150" s="13" t="n">
        <f aca="false">MAX(0,D1150-K1150)</f>
        <v>2.4413822</v>
      </c>
      <c r="M1150" s="13" t="n">
        <f aca="false">MAX(0,F1150-I1150-J1150)</f>
        <v>0</v>
      </c>
      <c r="N1150" s="13" t="n">
        <f aca="false">IF(Kalender!A52="",0,J1149-H1150)</f>
        <v>0.0150822</v>
      </c>
    </row>
    <row r="1151" customFormat="false" ht="16.4" hidden="false" customHeight="false" outlineLevel="0" collapsed="false">
      <c r="A1151" s="13" t="str">
        <f aca="false">""</f>
        <v/>
      </c>
      <c r="B1151" s="13" t="n">
        <f aca="false">49</f>
        <v>49</v>
      </c>
      <c r="C1151" s="13" t="n">
        <f aca="false">IF(Szenarien!$H$14="OK",(IFERROR(SUMIF(Nutzungsprofile!$B$6:$B$11,"Schulbetrieb",Nutzungsprofile!$G$6:$G$11)*Kalender!C53/SUM(Kalender!$C$5:$C$370),0)+IFERROR(SUMIF(Nutzungsprofile!$B$6:$B$11,"Halle",Nutzungsprofile!$G$6:$G$11)*Kalender!D53/SUM(Kalender!$D$5:$D$370),0)+IFERROR(SUMIF(Nutzungsprofile!$B$6:$B$11,"Individuell",Nutzungsprofile!$G$6:$G$11)*Kalender!E53/SUM(Kalender!$E$5:$E$370),0))*Szenarien!$E$14,0)</f>
        <v>2.94</v>
      </c>
      <c r="D1151" s="13" t="n">
        <f aca="false">IF(Szenarien!$H$14="OK",(IFERROR(SUMIF(Nutzungsprofile!$B$17:$B$22,"Schulbetrieb",Nutzungsprofile!$G$17:$G$22)*Kalender!C53/SUM(Kalender!$C$5:$C$370),0)+IFERROR(SUMIF(Nutzungsprofile!$B$17:$B$22,"Halle",Nutzungsprofile!$G$17:$G$22)*Kalender!D53/SUM(Kalender!$D$5:$D$370),0)+IFERROR(SUMIF(Nutzungsprofile!$B$17:$B$22,"Individuell",Nutzungsprofile!$G$17:$G$22)*Kalender!E53/SUM(Kalender!$E$5:$E$370),0))*Szenarien!$D$14,0)</f>
        <v>4.94</v>
      </c>
      <c r="E1151" s="13" t="n">
        <f aca="false">IFERROR(MIN(C1151,Eingaben!$B$17)*Eingaben!$B$16,0)</f>
        <v>2.793</v>
      </c>
      <c r="F1151" s="13" t="n">
        <f aca="false">IFERROR(E1151*Eingaben!$B$15,0)</f>
        <v>2.5137</v>
      </c>
      <c r="G1151" s="13" t="n">
        <f aca="false">IFERROR(IF(Kalender!A53="",0,J1150*(1-Eingaben!$B$20)),0)</f>
        <v>0.7390278</v>
      </c>
      <c r="H1151" s="13" t="n">
        <f aca="false">MIN(G1151,D1151)</f>
        <v>0.7390278</v>
      </c>
      <c r="I1151" s="13" t="n">
        <f aca="false">IFERROR(MIN(F1151*Eingaben!$B$19,MAX(0,D1151-H1151)),0)</f>
        <v>1.75959</v>
      </c>
      <c r="J1151" s="13" t="n">
        <f aca="false">IFERROR(MIN(Eingaben!$B$18,MAX(0,F1151-I1151)),0)</f>
        <v>0.75411</v>
      </c>
      <c r="K1151" s="13" t="n">
        <f aca="false">H1151+I1151</f>
        <v>2.4986178</v>
      </c>
      <c r="L1151" s="13" t="n">
        <f aca="false">MAX(0,D1151-K1151)</f>
        <v>2.4413822</v>
      </c>
      <c r="M1151" s="13" t="n">
        <f aca="false">MAX(0,F1151-I1151-J1151)</f>
        <v>0</v>
      </c>
      <c r="N1151" s="13" t="n">
        <f aca="false">IF(Kalender!A53="",0,J1150-H1151)</f>
        <v>0.0150822</v>
      </c>
    </row>
    <row r="1152" customFormat="false" ht="16.4" hidden="false" customHeight="false" outlineLevel="0" collapsed="false">
      <c r="A1152" s="13" t="str">
        <f aca="false">""</f>
        <v/>
      </c>
      <c r="B1152" s="13" t="n">
        <f aca="false">50</f>
        <v>50</v>
      </c>
      <c r="C1152" s="13" t="n">
        <f aca="false">IF(Szenarien!$H$14="OK",(IFERROR(SUMIF(Nutzungsprofile!$B$6:$B$11,"Schulbetrieb",Nutzungsprofile!$G$6:$G$11)*Kalender!C54/SUM(Kalender!$C$5:$C$370),0)+IFERROR(SUMIF(Nutzungsprofile!$B$6:$B$11,"Halle",Nutzungsprofile!$G$6:$G$11)*Kalender!D54/SUM(Kalender!$D$5:$D$370),0)+IFERROR(SUMIF(Nutzungsprofile!$B$6:$B$11,"Individuell",Nutzungsprofile!$G$6:$G$11)*Kalender!E54/SUM(Kalender!$E$5:$E$370),0))*Szenarien!$E$14,0)</f>
        <v>2.94</v>
      </c>
      <c r="D1152" s="13" t="n">
        <f aca="false">IF(Szenarien!$H$14="OK",(IFERROR(SUMIF(Nutzungsprofile!$B$17:$B$22,"Schulbetrieb",Nutzungsprofile!$G$17:$G$22)*Kalender!C54/SUM(Kalender!$C$5:$C$370),0)+IFERROR(SUMIF(Nutzungsprofile!$B$17:$B$22,"Halle",Nutzungsprofile!$G$17:$G$22)*Kalender!D54/SUM(Kalender!$D$5:$D$370),0)+IFERROR(SUMIF(Nutzungsprofile!$B$17:$B$22,"Individuell",Nutzungsprofile!$G$17:$G$22)*Kalender!E54/SUM(Kalender!$E$5:$E$370),0))*Szenarien!$D$14,0)</f>
        <v>4.94</v>
      </c>
      <c r="E1152" s="13" t="n">
        <f aca="false">IFERROR(MIN(C1152,Eingaben!$B$17)*Eingaben!$B$16,0)</f>
        <v>2.793</v>
      </c>
      <c r="F1152" s="13" t="n">
        <f aca="false">IFERROR(E1152*Eingaben!$B$15,0)</f>
        <v>2.5137</v>
      </c>
      <c r="G1152" s="13" t="n">
        <f aca="false">IFERROR(IF(Kalender!A54="",0,J1151*(1-Eingaben!$B$20)),0)</f>
        <v>0.7390278</v>
      </c>
      <c r="H1152" s="13" t="n">
        <f aca="false">MIN(G1152,D1152)</f>
        <v>0.7390278</v>
      </c>
      <c r="I1152" s="13" t="n">
        <f aca="false">IFERROR(MIN(F1152*Eingaben!$B$19,MAX(0,D1152-H1152)),0)</f>
        <v>1.75959</v>
      </c>
      <c r="J1152" s="13" t="n">
        <f aca="false">IFERROR(MIN(Eingaben!$B$18,MAX(0,F1152-I1152)),0)</f>
        <v>0.75411</v>
      </c>
      <c r="K1152" s="13" t="n">
        <f aca="false">H1152+I1152</f>
        <v>2.4986178</v>
      </c>
      <c r="L1152" s="13" t="n">
        <f aca="false">MAX(0,D1152-K1152)</f>
        <v>2.4413822</v>
      </c>
      <c r="M1152" s="13" t="n">
        <f aca="false">MAX(0,F1152-I1152-J1152)</f>
        <v>0</v>
      </c>
      <c r="N1152" s="13" t="n">
        <f aca="false">IF(Kalender!A54="",0,J1151-H1152)</f>
        <v>0.0150822</v>
      </c>
    </row>
    <row r="1153" customFormat="false" ht="16.4" hidden="false" customHeight="false" outlineLevel="0" collapsed="false">
      <c r="A1153" s="13" t="str">
        <f aca="false">""</f>
        <v/>
      </c>
      <c r="B1153" s="13" t="n">
        <f aca="false">51</f>
        <v>51</v>
      </c>
      <c r="C1153" s="13" t="n">
        <f aca="false">IF(Szenarien!$H$14="OK",(IFERROR(SUMIF(Nutzungsprofile!$B$6:$B$11,"Schulbetrieb",Nutzungsprofile!$G$6:$G$11)*Kalender!C55/SUM(Kalender!$C$5:$C$370),0)+IFERROR(SUMIF(Nutzungsprofile!$B$6:$B$11,"Halle",Nutzungsprofile!$G$6:$G$11)*Kalender!D55/SUM(Kalender!$D$5:$D$370),0)+IFERROR(SUMIF(Nutzungsprofile!$B$6:$B$11,"Individuell",Nutzungsprofile!$G$6:$G$11)*Kalender!E55/SUM(Kalender!$E$5:$E$370),0))*Szenarien!$E$14,0)</f>
        <v>2.94</v>
      </c>
      <c r="D1153" s="13" t="n">
        <f aca="false">IF(Szenarien!$H$14="OK",(IFERROR(SUMIF(Nutzungsprofile!$B$17:$B$22,"Schulbetrieb",Nutzungsprofile!$G$17:$G$22)*Kalender!C55/SUM(Kalender!$C$5:$C$370),0)+IFERROR(SUMIF(Nutzungsprofile!$B$17:$B$22,"Halle",Nutzungsprofile!$G$17:$G$22)*Kalender!D55/SUM(Kalender!$D$5:$D$370),0)+IFERROR(SUMIF(Nutzungsprofile!$B$17:$B$22,"Individuell",Nutzungsprofile!$G$17:$G$22)*Kalender!E55/SUM(Kalender!$E$5:$E$370),0))*Szenarien!$D$14,0)</f>
        <v>4.94</v>
      </c>
      <c r="E1153" s="13" t="n">
        <f aca="false">IFERROR(MIN(C1153,Eingaben!$B$17)*Eingaben!$B$16,0)</f>
        <v>2.793</v>
      </c>
      <c r="F1153" s="13" t="n">
        <f aca="false">IFERROR(E1153*Eingaben!$B$15,0)</f>
        <v>2.5137</v>
      </c>
      <c r="G1153" s="13" t="n">
        <f aca="false">IFERROR(IF(Kalender!A55="",0,J1152*(1-Eingaben!$B$20)),0)</f>
        <v>0.7390278</v>
      </c>
      <c r="H1153" s="13" t="n">
        <f aca="false">MIN(G1153,D1153)</f>
        <v>0.7390278</v>
      </c>
      <c r="I1153" s="13" t="n">
        <f aca="false">IFERROR(MIN(F1153*Eingaben!$B$19,MAX(0,D1153-H1153)),0)</f>
        <v>1.75959</v>
      </c>
      <c r="J1153" s="13" t="n">
        <f aca="false">IFERROR(MIN(Eingaben!$B$18,MAX(0,F1153-I1153)),0)</f>
        <v>0.75411</v>
      </c>
      <c r="K1153" s="13" t="n">
        <f aca="false">H1153+I1153</f>
        <v>2.4986178</v>
      </c>
      <c r="L1153" s="13" t="n">
        <f aca="false">MAX(0,D1153-K1153)</f>
        <v>2.4413822</v>
      </c>
      <c r="M1153" s="13" t="n">
        <f aca="false">MAX(0,F1153-I1153-J1153)</f>
        <v>0</v>
      </c>
      <c r="N1153" s="13" t="n">
        <f aca="false">IF(Kalender!A55="",0,J1152-H1153)</f>
        <v>0.0150822</v>
      </c>
    </row>
    <row r="1154" customFormat="false" ht="16.4" hidden="false" customHeight="false" outlineLevel="0" collapsed="false">
      <c r="A1154" s="13" t="str">
        <f aca="false">""</f>
        <v/>
      </c>
      <c r="B1154" s="13" t="n">
        <f aca="false">52</f>
        <v>52</v>
      </c>
      <c r="C1154" s="13" t="n">
        <f aca="false">IF(Szenarien!$H$14="OK",(IFERROR(SUMIF(Nutzungsprofile!$B$6:$B$11,"Schulbetrieb",Nutzungsprofile!$G$6:$G$11)*Kalender!C56/SUM(Kalender!$C$5:$C$370),0)+IFERROR(SUMIF(Nutzungsprofile!$B$6:$B$11,"Halle",Nutzungsprofile!$G$6:$G$11)*Kalender!D56/SUM(Kalender!$D$5:$D$370),0)+IFERROR(SUMIF(Nutzungsprofile!$B$6:$B$11,"Individuell",Nutzungsprofile!$G$6:$G$11)*Kalender!E56/SUM(Kalender!$E$5:$E$370),0))*Szenarien!$E$14,0)</f>
        <v>2.04</v>
      </c>
      <c r="D1154" s="13" t="n">
        <f aca="false">IF(Szenarien!$H$14="OK",(IFERROR(SUMIF(Nutzungsprofile!$B$17:$B$22,"Schulbetrieb",Nutzungsprofile!$G$17:$G$22)*Kalender!C56/SUM(Kalender!$C$5:$C$370),0)+IFERROR(SUMIF(Nutzungsprofile!$B$17:$B$22,"Halle",Nutzungsprofile!$G$17:$G$22)*Kalender!D56/SUM(Kalender!$D$5:$D$370),0)+IFERROR(SUMIF(Nutzungsprofile!$B$17:$B$22,"Individuell",Nutzungsprofile!$G$17:$G$22)*Kalender!E56/SUM(Kalender!$E$5:$E$370),0))*Szenarien!$D$14,0)</f>
        <v>0.89</v>
      </c>
      <c r="E1154" s="13" t="n">
        <f aca="false">IFERROR(MIN(C1154,Eingaben!$B$17)*Eingaben!$B$16,0)</f>
        <v>1.938</v>
      </c>
      <c r="F1154" s="13" t="n">
        <f aca="false">IFERROR(E1154*Eingaben!$B$15,0)</f>
        <v>1.7442</v>
      </c>
      <c r="G1154" s="13" t="n">
        <f aca="false">IFERROR(IF(Kalender!A56="",0,J1153*(1-Eingaben!$B$20)),0)</f>
        <v>0.7390278</v>
      </c>
      <c r="H1154" s="13" t="n">
        <f aca="false">MIN(G1154,D1154)</f>
        <v>0.7390278</v>
      </c>
      <c r="I1154" s="13" t="n">
        <f aca="false">IFERROR(MIN(F1154*Eingaben!$B$19,MAX(0,D1154-H1154)),0)</f>
        <v>0.1509722</v>
      </c>
      <c r="J1154" s="13" t="n">
        <f aca="false">IFERROR(MIN(Eingaben!$B$18,MAX(0,F1154-I1154)),0)</f>
        <v>1.5932278</v>
      </c>
      <c r="K1154" s="13" t="n">
        <f aca="false">H1154+I1154</f>
        <v>0.89</v>
      </c>
      <c r="L1154" s="13" t="n">
        <f aca="false">MAX(0,D1154-K1154)</f>
        <v>0</v>
      </c>
      <c r="M1154" s="13" t="n">
        <f aca="false">MAX(0,F1154-I1154-J1154)</f>
        <v>0</v>
      </c>
      <c r="N1154" s="13" t="n">
        <f aca="false">IF(Kalender!A56="",0,J1153-H1154)</f>
        <v>0.0150822</v>
      </c>
    </row>
    <row r="1155" customFormat="false" ht="16.4" hidden="false" customHeight="false" outlineLevel="0" collapsed="false">
      <c r="A1155" s="13" t="str">
        <f aca="false">""</f>
        <v/>
      </c>
      <c r="B1155" s="13" t="n">
        <f aca="false">53</f>
        <v>53</v>
      </c>
      <c r="C1155" s="13" t="n">
        <f aca="false">IF(Szenarien!$H$14="OK",(IFERROR(SUMIF(Nutzungsprofile!$B$6:$B$11,"Schulbetrieb",Nutzungsprofile!$G$6:$G$11)*Kalender!C57/SUM(Kalender!$C$5:$C$370),0)+IFERROR(SUMIF(Nutzungsprofile!$B$6:$B$11,"Halle",Nutzungsprofile!$G$6:$G$11)*Kalender!D57/SUM(Kalender!$D$5:$D$370),0)+IFERROR(SUMIF(Nutzungsprofile!$B$6:$B$11,"Individuell",Nutzungsprofile!$G$6:$G$11)*Kalender!E57/SUM(Kalender!$E$5:$E$370),0))*Szenarien!$E$14,0)</f>
        <v>2.04</v>
      </c>
      <c r="D1155" s="13" t="n">
        <f aca="false">IF(Szenarien!$H$14="OK",(IFERROR(SUMIF(Nutzungsprofile!$B$17:$B$22,"Schulbetrieb",Nutzungsprofile!$G$17:$G$22)*Kalender!C57/SUM(Kalender!$C$5:$C$370),0)+IFERROR(SUMIF(Nutzungsprofile!$B$17:$B$22,"Halle",Nutzungsprofile!$G$17:$G$22)*Kalender!D57/SUM(Kalender!$D$5:$D$370),0)+IFERROR(SUMIF(Nutzungsprofile!$B$17:$B$22,"Individuell",Nutzungsprofile!$G$17:$G$22)*Kalender!E57/SUM(Kalender!$E$5:$E$370),0))*Szenarien!$D$14,0)</f>
        <v>0.89</v>
      </c>
      <c r="E1155" s="13" t="n">
        <f aca="false">IFERROR(MIN(C1155,Eingaben!$B$17)*Eingaben!$B$16,0)</f>
        <v>1.938</v>
      </c>
      <c r="F1155" s="13" t="n">
        <f aca="false">IFERROR(E1155*Eingaben!$B$15,0)</f>
        <v>1.7442</v>
      </c>
      <c r="G1155" s="13" t="n">
        <f aca="false">IFERROR(IF(Kalender!A57="",0,J1154*(1-Eingaben!$B$20)),0)</f>
        <v>1.561363244</v>
      </c>
      <c r="H1155" s="13" t="n">
        <f aca="false">MIN(G1155,D1155)</f>
        <v>0.89</v>
      </c>
      <c r="I1155" s="13" t="n">
        <f aca="false">IFERROR(MIN(F1155*Eingaben!$B$19,MAX(0,D1155-H1155)),0)</f>
        <v>0</v>
      </c>
      <c r="J1155" s="13" t="n">
        <f aca="false">IFERROR(MIN(Eingaben!$B$18,MAX(0,F1155-I1155)),0)</f>
        <v>1.7442</v>
      </c>
      <c r="K1155" s="13" t="n">
        <f aca="false">H1155+I1155</f>
        <v>0.89</v>
      </c>
      <c r="L1155" s="13" t="n">
        <f aca="false">MAX(0,D1155-K1155)</f>
        <v>0</v>
      </c>
      <c r="M1155" s="13" t="n">
        <f aca="false">MAX(0,F1155-I1155-J1155)</f>
        <v>0</v>
      </c>
      <c r="N1155" s="13" t="n">
        <f aca="false">IF(Kalender!A57="",0,J1154-H1155)</f>
        <v>0.7032278</v>
      </c>
    </row>
    <row r="1156" customFormat="false" ht="16.4" hidden="false" customHeight="false" outlineLevel="0" collapsed="false">
      <c r="A1156" s="13" t="str">
        <f aca="false">""</f>
        <v/>
      </c>
      <c r="B1156" s="13" t="n">
        <f aca="false">54</f>
        <v>54</v>
      </c>
      <c r="C1156" s="13" t="n">
        <f aca="false">IF(Szenarien!$H$14="OK",(IFERROR(SUMIF(Nutzungsprofile!$B$6:$B$11,"Schulbetrieb",Nutzungsprofile!$G$6:$G$11)*Kalender!C58/SUM(Kalender!$C$5:$C$370),0)+IFERROR(SUMIF(Nutzungsprofile!$B$6:$B$11,"Halle",Nutzungsprofile!$G$6:$G$11)*Kalender!D58/SUM(Kalender!$D$5:$D$370),0)+IFERROR(SUMIF(Nutzungsprofile!$B$6:$B$11,"Individuell",Nutzungsprofile!$G$6:$G$11)*Kalender!E58/SUM(Kalender!$E$5:$E$370),0))*Szenarien!$E$14,0)</f>
        <v>2.94</v>
      </c>
      <c r="D1156" s="13" t="n">
        <f aca="false">IF(Szenarien!$H$14="OK",(IFERROR(SUMIF(Nutzungsprofile!$B$17:$B$22,"Schulbetrieb",Nutzungsprofile!$G$17:$G$22)*Kalender!C58/SUM(Kalender!$C$5:$C$370),0)+IFERROR(SUMIF(Nutzungsprofile!$B$17:$B$22,"Halle",Nutzungsprofile!$G$17:$G$22)*Kalender!D58/SUM(Kalender!$D$5:$D$370),0)+IFERROR(SUMIF(Nutzungsprofile!$B$17:$B$22,"Individuell",Nutzungsprofile!$G$17:$G$22)*Kalender!E58/SUM(Kalender!$E$5:$E$370),0))*Szenarien!$D$14,0)</f>
        <v>4.94</v>
      </c>
      <c r="E1156" s="13" t="n">
        <f aca="false">IFERROR(MIN(C1156,Eingaben!$B$17)*Eingaben!$B$16,0)</f>
        <v>2.793</v>
      </c>
      <c r="F1156" s="13" t="n">
        <f aca="false">IFERROR(E1156*Eingaben!$B$15,0)</f>
        <v>2.5137</v>
      </c>
      <c r="G1156" s="13" t="n">
        <f aca="false">IFERROR(IF(Kalender!A58="",0,J1155*(1-Eingaben!$B$20)),0)</f>
        <v>1.709316</v>
      </c>
      <c r="H1156" s="13" t="n">
        <f aca="false">MIN(G1156,D1156)</f>
        <v>1.709316</v>
      </c>
      <c r="I1156" s="13" t="n">
        <f aca="false">IFERROR(MIN(F1156*Eingaben!$B$19,MAX(0,D1156-H1156)),0)</f>
        <v>1.75959</v>
      </c>
      <c r="J1156" s="13" t="n">
        <f aca="false">IFERROR(MIN(Eingaben!$B$18,MAX(0,F1156-I1156)),0)</f>
        <v>0.75411</v>
      </c>
      <c r="K1156" s="13" t="n">
        <f aca="false">H1156+I1156</f>
        <v>3.468906</v>
      </c>
      <c r="L1156" s="13" t="n">
        <f aca="false">MAX(0,D1156-K1156)</f>
        <v>1.471094</v>
      </c>
      <c r="M1156" s="13" t="n">
        <f aca="false">MAX(0,F1156-I1156-J1156)</f>
        <v>0</v>
      </c>
      <c r="N1156" s="13" t="n">
        <f aca="false">IF(Kalender!A58="",0,J1155-H1156)</f>
        <v>0.0348840000000001</v>
      </c>
    </row>
    <row r="1157" customFormat="false" ht="16.4" hidden="false" customHeight="false" outlineLevel="0" collapsed="false">
      <c r="A1157" s="13" t="str">
        <f aca="false">""</f>
        <v/>
      </c>
      <c r="B1157" s="13" t="n">
        <f aca="false">55</f>
        <v>55</v>
      </c>
      <c r="C1157" s="13" t="n">
        <f aca="false">IF(Szenarien!$H$14="OK",(IFERROR(SUMIF(Nutzungsprofile!$B$6:$B$11,"Schulbetrieb",Nutzungsprofile!$G$6:$G$11)*Kalender!C59/SUM(Kalender!$C$5:$C$370),0)+IFERROR(SUMIF(Nutzungsprofile!$B$6:$B$11,"Halle",Nutzungsprofile!$G$6:$G$11)*Kalender!D59/SUM(Kalender!$D$5:$D$370),0)+IFERROR(SUMIF(Nutzungsprofile!$B$6:$B$11,"Individuell",Nutzungsprofile!$G$6:$G$11)*Kalender!E59/SUM(Kalender!$E$5:$E$370),0))*Szenarien!$E$14,0)</f>
        <v>2.94</v>
      </c>
      <c r="D1157" s="13" t="n">
        <f aca="false">IF(Szenarien!$H$14="OK",(IFERROR(SUMIF(Nutzungsprofile!$B$17:$B$22,"Schulbetrieb",Nutzungsprofile!$G$17:$G$22)*Kalender!C59/SUM(Kalender!$C$5:$C$370),0)+IFERROR(SUMIF(Nutzungsprofile!$B$17:$B$22,"Halle",Nutzungsprofile!$G$17:$G$22)*Kalender!D59/SUM(Kalender!$D$5:$D$370),0)+IFERROR(SUMIF(Nutzungsprofile!$B$17:$B$22,"Individuell",Nutzungsprofile!$G$17:$G$22)*Kalender!E59/SUM(Kalender!$E$5:$E$370),0))*Szenarien!$D$14,0)</f>
        <v>4.94</v>
      </c>
      <c r="E1157" s="13" t="n">
        <f aca="false">IFERROR(MIN(C1157,Eingaben!$B$17)*Eingaben!$B$16,0)</f>
        <v>2.793</v>
      </c>
      <c r="F1157" s="13" t="n">
        <f aca="false">IFERROR(E1157*Eingaben!$B$15,0)</f>
        <v>2.5137</v>
      </c>
      <c r="G1157" s="13" t="n">
        <f aca="false">IFERROR(IF(Kalender!A59="",0,J1156*(1-Eingaben!$B$20)),0)</f>
        <v>0.7390278</v>
      </c>
      <c r="H1157" s="13" t="n">
        <f aca="false">MIN(G1157,D1157)</f>
        <v>0.7390278</v>
      </c>
      <c r="I1157" s="13" t="n">
        <f aca="false">IFERROR(MIN(F1157*Eingaben!$B$19,MAX(0,D1157-H1157)),0)</f>
        <v>1.75959</v>
      </c>
      <c r="J1157" s="13" t="n">
        <f aca="false">IFERROR(MIN(Eingaben!$B$18,MAX(0,F1157-I1157)),0)</f>
        <v>0.75411</v>
      </c>
      <c r="K1157" s="13" t="n">
        <f aca="false">H1157+I1157</f>
        <v>2.4986178</v>
      </c>
      <c r="L1157" s="13" t="n">
        <f aca="false">MAX(0,D1157-K1157)</f>
        <v>2.4413822</v>
      </c>
      <c r="M1157" s="13" t="n">
        <f aca="false">MAX(0,F1157-I1157-J1157)</f>
        <v>0</v>
      </c>
      <c r="N1157" s="13" t="n">
        <f aca="false">IF(Kalender!A59="",0,J1156-H1157)</f>
        <v>0.0150822</v>
      </c>
    </row>
    <row r="1158" customFormat="false" ht="16.4" hidden="false" customHeight="false" outlineLevel="0" collapsed="false">
      <c r="A1158" s="13" t="str">
        <f aca="false">""</f>
        <v/>
      </c>
      <c r="B1158" s="13" t="n">
        <f aca="false">56</f>
        <v>56</v>
      </c>
      <c r="C1158" s="13" t="n">
        <f aca="false">IF(Szenarien!$H$14="OK",(IFERROR(SUMIF(Nutzungsprofile!$B$6:$B$11,"Schulbetrieb",Nutzungsprofile!$G$6:$G$11)*Kalender!C60/SUM(Kalender!$C$5:$C$370),0)+IFERROR(SUMIF(Nutzungsprofile!$B$6:$B$11,"Halle",Nutzungsprofile!$G$6:$G$11)*Kalender!D60/SUM(Kalender!$D$5:$D$370),0)+IFERROR(SUMIF(Nutzungsprofile!$B$6:$B$11,"Individuell",Nutzungsprofile!$G$6:$G$11)*Kalender!E60/SUM(Kalender!$E$5:$E$370),0))*Szenarien!$E$14,0)</f>
        <v>2.94</v>
      </c>
      <c r="D1158" s="13" t="n">
        <f aca="false">IF(Szenarien!$H$14="OK",(IFERROR(SUMIF(Nutzungsprofile!$B$17:$B$22,"Schulbetrieb",Nutzungsprofile!$G$17:$G$22)*Kalender!C60/SUM(Kalender!$C$5:$C$370),0)+IFERROR(SUMIF(Nutzungsprofile!$B$17:$B$22,"Halle",Nutzungsprofile!$G$17:$G$22)*Kalender!D60/SUM(Kalender!$D$5:$D$370),0)+IFERROR(SUMIF(Nutzungsprofile!$B$17:$B$22,"Individuell",Nutzungsprofile!$G$17:$G$22)*Kalender!E60/SUM(Kalender!$E$5:$E$370),0))*Szenarien!$D$14,0)</f>
        <v>4.94</v>
      </c>
      <c r="E1158" s="13" t="n">
        <f aca="false">IFERROR(MIN(C1158,Eingaben!$B$17)*Eingaben!$B$16,0)</f>
        <v>2.793</v>
      </c>
      <c r="F1158" s="13" t="n">
        <f aca="false">IFERROR(E1158*Eingaben!$B$15,0)</f>
        <v>2.5137</v>
      </c>
      <c r="G1158" s="13" t="n">
        <f aca="false">IFERROR(IF(Kalender!A60="",0,J1157*(1-Eingaben!$B$20)),0)</f>
        <v>0.7390278</v>
      </c>
      <c r="H1158" s="13" t="n">
        <f aca="false">MIN(G1158,D1158)</f>
        <v>0.7390278</v>
      </c>
      <c r="I1158" s="13" t="n">
        <f aca="false">IFERROR(MIN(F1158*Eingaben!$B$19,MAX(0,D1158-H1158)),0)</f>
        <v>1.75959</v>
      </c>
      <c r="J1158" s="13" t="n">
        <f aca="false">IFERROR(MIN(Eingaben!$B$18,MAX(0,F1158-I1158)),0)</f>
        <v>0.75411</v>
      </c>
      <c r="K1158" s="13" t="n">
        <f aca="false">H1158+I1158</f>
        <v>2.4986178</v>
      </c>
      <c r="L1158" s="13" t="n">
        <f aca="false">MAX(0,D1158-K1158)</f>
        <v>2.4413822</v>
      </c>
      <c r="M1158" s="13" t="n">
        <f aca="false">MAX(0,F1158-I1158-J1158)</f>
        <v>0</v>
      </c>
      <c r="N1158" s="13" t="n">
        <f aca="false">IF(Kalender!A60="",0,J1157-H1158)</f>
        <v>0.0150822</v>
      </c>
    </row>
    <row r="1159" customFormat="false" ht="16.4" hidden="false" customHeight="false" outlineLevel="0" collapsed="false">
      <c r="A1159" s="13" t="str">
        <f aca="false">""</f>
        <v/>
      </c>
      <c r="B1159" s="13" t="n">
        <f aca="false">57</f>
        <v>57</v>
      </c>
      <c r="C1159" s="13" t="n">
        <f aca="false">IF(Szenarien!$H$14="OK",(IFERROR(SUMIF(Nutzungsprofile!$B$6:$B$11,"Schulbetrieb",Nutzungsprofile!$G$6:$G$11)*Kalender!C61/SUM(Kalender!$C$5:$C$370),0)+IFERROR(SUMIF(Nutzungsprofile!$B$6:$B$11,"Halle",Nutzungsprofile!$G$6:$G$11)*Kalender!D61/SUM(Kalender!$D$5:$D$370),0)+IFERROR(SUMIF(Nutzungsprofile!$B$6:$B$11,"Individuell",Nutzungsprofile!$G$6:$G$11)*Kalender!E61/SUM(Kalender!$E$5:$E$370),0))*Szenarien!$E$14,0)</f>
        <v>2.94</v>
      </c>
      <c r="D1159" s="13" t="n">
        <f aca="false">IF(Szenarien!$H$14="OK",(IFERROR(SUMIF(Nutzungsprofile!$B$17:$B$22,"Schulbetrieb",Nutzungsprofile!$G$17:$G$22)*Kalender!C61/SUM(Kalender!$C$5:$C$370),0)+IFERROR(SUMIF(Nutzungsprofile!$B$17:$B$22,"Halle",Nutzungsprofile!$G$17:$G$22)*Kalender!D61/SUM(Kalender!$D$5:$D$370),0)+IFERROR(SUMIF(Nutzungsprofile!$B$17:$B$22,"Individuell",Nutzungsprofile!$G$17:$G$22)*Kalender!E61/SUM(Kalender!$E$5:$E$370),0))*Szenarien!$D$14,0)</f>
        <v>4.94</v>
      </c>
      <c r="E1159" s="13" t="n">
        <f aca="false">IFERROR(MIN(C1159,Eingaben!$B$17)*Eingaben!$B$16,0)</f>
        <v>2.793</v>
      </c>
      <c r="F1159" s="13" t="n">
        <f aca="false">IFERROR(E1159*Eingaben!$B$15,0)</f>
        <v>2.5137</v>
      </c>
      <c r="G1159" s="13" t="n">
        <f aca="false">IFERROR(IF(Kalender!A61="",0,J1158*(1-Eingaben!$B$20)),0)</f>
        <v>0.7390278</v>
      </c>
      <c r="H1159" s="13" t="n">
        <f aca="false">MIN(G1159,D1159)</f>
        <v>0.7390278</v>
      </c>
      <c r="I1159" s="13" t="n">
        <f aca="false">IFERROR(MIN(F1159*Eingaben!$B$19,MAX(0,D1159-H1159)),0)</f>
        <v>1.75959</v>
      </c>
      <c r="J1159" s="13" t="n">
        <f aca="false">IFERROR(MIN(Eingaben!$B$18,MAX(0,F1159-I1159)),0)</f>
        <v>0.75411</v>
      </c>
      <c r="K1159" s="13" t="n">
        <f aca="false">H1159+I1159</f>
        <v>2.4986178</v>
      </c>
      <c r="L1159" s="13" t="n">
        <f aca="false">MAX(0,D1159-K1159)</f>
        <v>2.4413822</v>
      </c>
      <c r="M1159" s="13" t="n">
        <f aca="false">MAX(0,F1159-I1159-J1159)</f>
        <v>0</v>
      </c>
      <c r="N1159" s="13" t="n">
        <f aca="false">IF(Kalender!A61="",0,J1158-H1159)</f>
        <v>0.0150822</v>
      </c>
    </row>
    <row r="1160" customFormat="false" ht="16.4" hidden="false" customHeight="false" outlineLevel="0" collapsed="false">
      <c r="A1160" s="13" t="str">
        <f aca="false">""</f>
        <v/>
      </c>
      <c r="B1160" s="13" t="n">
        <f aca="false">58</f>
        <v>58</v>
      </c>
      <c r="C1160" s="13" t="n">
        <f aca="false">IF(Szenarien!$H$14="OK",(IFERROR(SUMIF(Nutzungsprofile!$B$6:$B$11,"Schulbetrieb",Nutzungsprofile!$G$6:$G$11)*Kalender!C62/SUM(Kalender!$C$5:$C$370),0)+IFERROR(SUMIF(Nutzungsprofile!$B$6:$B$11,"Halle",Nutzungsprofile!$G$6:$G$11)*Kalender!D62/SUM(Kalender!$D$5:$D$370),0)+IFERROR(SUMIF(Nutzungsprofile!$B$6:$B$11,"Individuell",Nutzungsprofile!$G$6:$G$11)*Kalender!E62/SUM(Kalender!$E$5:$E$370),0))*Szenarien!$E$14,0)</f>
        <v>2.94</v>
      </c>
      <c r="D1160" s="13" t="n">
        <f aca="false">IF(Szenarien!$H$14="OK",(IFERROR(SUMIF(Nutzungsprofile!$B$17:$B$22,"Schulbetrieb",Nutzungsprofile!$G$17:$G$22)*Kalender!C62/SUM(Kalender!$C$5:$C$370),0)+IFERROR(SUMIF(Nutzungsprofile!$B$17:$B$22,"Halle",Nutzungsprofile!$G$17:$G$22)*Kalender!D62/SUM(Kalender!$D$5:$D$370),0)+IFERROR(SUMIF(Nutzungsprofile!$B$17:$B$22,"Individuell",Nutzungsprofile!$G$17:$G$22)*Kalender!E62/SUM(Kalender!$E$5:$E$370),0))*Szenarien!$D$14,0)</f>
        <v>4.94</v>
      </c>
      <c r="E1160" s="13" t="n">
        <f aca="false">IFERROR(MIN(C1160,Eingaben!$B$17)*Eingaben!$B$16,0)</f>
        <v>2.793</v>
      </c>
      <c r="F1160" s="13" t="n">
        <f aca="false">IFERROR(E1160*Eingaben!$B$15,0)</f>
        <v>2.5137</v>
      </c>
      <c r="G1160" s="13" t="n">
        <f aca="false">IFERROR(IF(Kalender!A62="",0,J1159*(1-Eingaben!$B$20)),0)</f>
        <v>0.7390278</v>
      </c>
      <c r="H1160" s="13" t="n">
        <f aca="false">MIN(G1160,D1160)</f>
        <v>0.7390278</v>
      </c>
      <c r="I1160" s="13" t="n">
        <f aca="false">IFERROR(MIN(F1160*Eingaben!$B$19,MAX(0,D1160-H1160)),0)</f>
        <v>1.75959</v>
      </c>
      <c r="J1160" s="13" t="n">
        <f aca="false">IFERROR(MIN(Eingaben!$B$18,MAX(0,F1160-I1160)),0)</f>
        <v>0.75411</v>
      </c>
      <c r="K1160" s="13" t="n">
        <f aca="false">H1160+I1160</f>
        <v>2.4986178</v>
      </c>
      <c r="L1160" s="13" t="n">
        <f aca="false">MAX(0,D1160-K1160)</f>
        <v>2.4413822</v>
      </c>
      <c r="M1160" s="13" t="n">
        <f aca="false">MAX(0,F1160-I1160-J1160)</f>
        <v>0</v>
      </c>
      <c r="N1160" s="13" t="n">
        <f aca="false">IF(Kalender!A62="",0,J1159-H1160)</f>
        <v>0.0150822</v>
      </c>
    </row>
    <row r="1161" customFormat="false" ht="16.4" hidden="false" customHeight="false" outlineLevel="0" collapsed="false">
      <c r="A1161" s="13" t="str">
        <f aca="false">""</f>
        <v/>
      </c>
      <c r="B1161" s="13" t="n">
        <f aca="false">59</f>
        <v>59</v>
      </c>
      <c r="C1161" s="13" t="n">
        <f aca="false">IF(Szenarien!$H$14="OK",(IFERROR(SUMIF(Nutzungsprofile!$B$6:$B$11,"Schulbetrieb",Nutzungsprofile!$G$6:$G$11)*Kalender!C63/SUM(Kalender!$C$5:$C$370),0)+IFERROR(SUMIF(Nutzungsprofile!$B$6:$B$11,"Halle",Nutzungsprofile!$G$6:$G$11)*Kalender!D63/SUM(Kalender!$D$5:$D$370),0)+IFERROR(SUMIF(Nutzungsprofile!$B$6:$B$11,"Individuell",Nutzungsprofile!$G$6:$G$11)*Kalender!E63/SUM(Kalender!$E$5:$E$370),0))*Szenarien!$E$14,0)</f>
        <v>2.04</v>
      </c>
      <c r="D1161" s="13" t="n">
        <f aca="false">IF(Szenarien!$H$14="OK",(IFERROR(SUMIF(Nutzungsprofile!$B$17:$B$22,"Schulbetrieb",Nutzungsprofile!$G$17:$G$22)*Kalender!C63/SUM(Kalender!$C$5:$C$370),0)+IFERROR(SUMIF(Nutzungsprofile!$B$17:$B$22,"Halle",Nutzungsprofile!$G$17:$G$22)*Kalender!D63/SUM(Kalender!$D$5:$D$370),0)+IFERROR(SUMIF(Nutzungsprofile!$B$17:$B$22,"Individuell",Nutzungsprofile!$G$17:$G$22)*Kalender!E63/SUM(Kalender!$E$5:$E$370),0))*Szenarien!$D$14,0)</f>
        <v>0.89</v>
      </c>
      <c r="E1161" s="13" t="n">
        <f aca="false">IFERROR(MIN(C1161,Eingaben!$B$17)*Eingaben!$B$16,0)</f>
        <v>1.938</v>
      </c>
      <c r="F1161" s="13" t="n">
        <f aca="false">IFERROR(E1161*Eingaben!$B$15,0)</f>
        <v>1.7442</v>
      </c>
      <c r="G1161" s="13" t="n">
        <f aca="false">IFERROR(IF(Kalender!A63="",0,J1160*(1-Eingaben!$B$20)),0)</f>
        <v>0.7390278</v>
      </c>
      <c r="H1161" s="13" t="n">
        <f aca="false">MIN(G1161,D1161)</f>
        <v>0.7390278</v>
      </c>
      <c r="I1161" s="13" t="n">
        <f aca="false">IFERROR(MIN(F1161*Eingaben!$B$19,MAX(0,D1161-H1161)),0)</f>
        <v>0.1509722</v>
      </c>
      <c r="J1161" s="13" t="n">
        <f aca="false">IFERROR(MIN(Eingaben!$B$18,MAX(0,F1161-I1161)),0)</f>
        <v>1.5932278</v>
      </c>
      <c r="K1161" s="13" t="n">
        <f aca="false">H1161+I1161</f>
        <v>0.89</v>
      </c>
      <c r="L1161" s="13" t="n">
        <f aca="false">MAX(0,D1161-K1161)</f>
        <v>0</v>
      </c>
      <c r="M1161" s="13" t="n">
        <f aca="false">MAX(0,F1161-I1161-J1161)</f>
        <v>0</v>
      </c>
      <c r="N1161" s="13" t="n">
        <f aca="false">IF(Kalender!A63="",0,J1160-H1161)</f>
        <v>0.0150822</v>
      </c>
    </row>
    <row r="1162" customFormat="false" ht="16.4" hidden="false" customHeight="false" outlineLevel="0" collapsed="false">
      <c r="A1162" s="13" t="str">
        <f aca="false">""</f>
        <v/>
      </c>
      <c r="B1162" s="13" t="n">
        <f aca="false">60</f>
        <v>60</v>
      </c>
      <c r="C1162" s="13" t="n">
        <f aca="false">IF(Szenarien!$H$14="OK",(IFERROR(SUMIF(Nutzungsprofile!$B$6:$B$11,"Schulbetrieb",Nutzungsprofile!$G$6:$G$11)*Kalender!C64/SUM(Kalender!$C$5:$C$370),0)+IFERROR(SUMIF(Nutzungsprofile!$B$6:$B$11,"Halle",Nutzungsprofile!$G$6:$G$11)*Kalender!D64/SUM(Kalender!$D$5:$D$370),0)+IFERROR(SUMIF(Nutzungsprofile!$B$6:$B$11,"Individuell",Nutzungsprofile!$G$6:$G$11)*Kalender!E64/SUM(Kalender!$E$5:$E$370),0))*Szenarien!$E$14,0)</f>
        <v>2.04</v>
      </c>
      <c r="D1162" s="13" t="n">
        <f aca="false">IF(Szenarien!$H$14="OK",(IFERROR(SUMIF(Nutzungsprofile!$B$17:$B$22,"Schulbetrieb",Nutzungsprofile!$G$17:$G$22)*Kalender!C64/SUM(Kalender!$C$5:$C$370),0)+IFERROR(SUMIF(Nutzungsprofile!$B$17:$B$22,"Halle",Nutzungsprofile!$G$17:$G$22)*Kalender!D64/SUM(Kalender!$D$5:$D$370),0)+IFERROR(SUMIF(Nutzungsprofile!$B$17:$B$22,"Individuell",Nutzungsprofile!$G$17:$G$22)*Kalender!E64/SUM(Kalender!$E$5:$E$370),0))*Szenarien!$D$14,0)</f>
        <v>0.89</v>
      </c>
      <c r="E1162" s="13" t="n">
        <f aca="false">IFERROR(MIN(C1162,Eingaben!$B$17)*Eingaben!$B$16,0)</f>
        <v>1.938</v>
      </c>
      <c r="F1162" s="13" t="n">
        <f aca="false">IFERROR(E1162*Eingaben!$B$15,0)</f>
        <v>1.7442</v>
      </c>
      <c r="G1162" s="13" t="n">
        <f aca="false">IFERROR(IF(Kalender!A64="",0,J1161*(1-Eingaben!$B$20)),0)</f>
        <v>1.561363244</v>
      </c>
      <c r="H1162" s="13" t="n">
        <f aca="false">MIN(G1162,D1162)</f>
        <v>0.89</v>
      </c>
      <c r="I1162" s="13" t="n">
        <f aca="false">IFERROR(MIN(F1162*Eingaben!$B$19,MAX(0,D1162-H1162)),0)</f>
        <v>0</v>
      </c>
      <c r="J1162" s="13" t="n">
        <f aca="false">IFERROR(MIN(Eingaben!$B$18,MAX(0,F1162-I1162)),0)</f>
        <v>1.7442</v>
      </c>
      <c r="K1162" s="13" t="n">
        <f aca="false">H1162+I1162</f>
        <v>0.89</v>
      </c>
      <c r="L1162" s="13" t="n">
        <f aca="false">MAX(0,D1162-K1162)</f>
        <v>0</v>
      </c>
      <c r="M1162" s="13" t="n">
        <f aca="false">MAX(0,F1162-I1162-J1162)</f>
        <v>0</v>
      </c>
      <c r="N1162" s="13" t="n">
        <f aca="false">IF(Kalender!A64="",0,J1161-H1162)</f>
        <v>0.7032278</v>
      </c>
    </row>
    <row r="1163" customFormat="false" ht="16.4" hidden="false" customHeight="false" outlineLevel="0" collapsed="false">
      <c r="A1163" s="13" t="str">
        <f aca="false">""</f>
        <v/>
      </c>
      <c r="B1163" s="13" t="n">
        <f aca="false">61</f>
        <v>61</v>
      </c>
      <c r="C1163" s="13" t="n">
        <f aca="false">IF(Szenarien!$H$14="OK",(IFERROR(SUMIF(Nutzungsprofile!$B$6:$B$11,"Schulbetrieb",Nutzungsprofile!$G$6:$G$11)*Kalender!C65/SUM(Kalender!$C$5:$C$370),0)+IFERROR(SUMIF(Nutzungsprofile!$B$6:$B$11,"Halle",Nutzungsprofile!$G$6:$G$11)*Kalender!D65/SUM(Kalender!$D$5:$D$370),0)+IFERROR(SUMIF(Nutzungsprofile!$B$6:$B$11,"Individuell",Nutzungsprofile!$G$6:$G$11)*Kalender!E65/SUM(Kalender!$E$5:$E$370),0))*Szenarien!$E$14,0)</f>
        <v>2.94</v>
      </c>
      <c r="D1163" s="13" t="n">
        <f aca="false">IF(Szenarien!$H$14="OK",(IFERROR(SUMIF(Nutzungsprofile!$B$17:$B$22,"Schulbetrieb",Nutzungsprofile!$G$17:$G$22)*Kalender!C65/SUM(Kalender!$C$5:$C$370),0)+IFERROR(SUMIF(Nutzungsprofile!$B$17:$B$22,"Halle",Nutzungsprofile!$G$17:$G$22)*Kalender!D65/SUM(Kalender!$D$5:$D$370),0)+IFERROR(SUMIF(Nutzungsprofile!$B$17:$B$22,"Individuell",Nutzungsprofile!$G$17:$G$22)*Kalender!E65/SUM(Kalender!$E$5:$E$370),0))*Szenarien!$D$14,0)</f>
        <v>4.94</v>
      </c>
      <c r="E1163" s="13" t="n">
        <f aca="false">IFERROR(MIN(C1163,Eingaben!$B$17)*Eingaben!$B$16,0)</f>
        <v>2.793</v>
      </c>
      <c r="F1163" s="13" t="n">
        <f aca="false">IFERROR(E1163*Eingaben!$B$15,0)</f>
        <v>2.5137</v>
      </c>
      <c r="G1163" s="13" t="n">
        <f aca="false">IFERROR(IF(Kalender!A65="",0,J1162*(1-Eingaben!$B$20)),0)</f>
        <v>1.709316</v>
      </c>
      <c r="H1163" s="13" t="n">
        <f aca="false">MIN(G1163,D1163)</f>
        <v>1.709316</v>
      </c>
      <c r="I1163" s="13" t="n">
        <f aca="false">IFERROR(MIN(F1163*Eingaben!$B$19,MAX(0,D1163-H1163)),0)</f>
        <v>1.75959</v>
      </c>
      <c r="J1163" s="13" t="n">
        <f aca="false">IFERROR(MIN(Eingaben!$B$18,MAX(0,F1163-I1163)),0)</f>
        <v>0.75411</v>
      </c>
      <c r="K1163" s="13" t="n">
        <f aca="false">H1163+I1163</f>
        <v>3.468906</v>
      </c>
      <c r="L1163" s="13" t="n">
        <f aca="false">MAX(0,D1163-K1163)</f>
        <v>1.471094</v>
      </c>
      <c r="M1163" s="13" t="n">
        <f aca="false">MAX(0,F1163-I1163-J1163)</f>
        <v>0</v>
      </c>
      <c r="N1163" s="13" t="n">
        <f aca="false">IF(Kalender!A65="",0,J1162-H1163)</f>
        <v>0.0348840000000001</v>
      </c>
    </row>
    <row r="1164" customFormat="false" ht="16.4" hidden="false" customHeight="false" outlineLevel="0" collapsed="false">
      <c r="A1164" s="13" t="str">
        <f aca="false">""</f>
        <v/>
      </c>
      <c r="B1164" s="13" t="n">
        <f aca="false">62</f>
        <v>62</v>
      </c>
      <c r="C1164" s="13" t="n">
        <f aca="false">IF(Szenarien!$H$14="OK",(IFERROR(SUMIF(Nutzungsprofile!$B$6:$B$11,"Schulbetrieb",Nutzungsprofile!$G$6:$G$11)*Kalender!C66/SUM(Kalender!$C$5:$C$370),0)+IFERROR(SUMIF(Nutzungsprofile!$B$6:$B$11,"Halle",Nutzungsprofile!$G$6:$G$11)*Kalender!D66/SUM(Kalender!$D$5:$D$370),0)+IFERROR(SUMIF(Nutzungsprofile!$B$6:$B$11,"Individuell",Nutzungsprofile!$G$6:$G$11)*Kalender!E66/SUM(Kalender!$E$5:$E$370),0))*Szenarien!$E$14,0)</f>
        <v>2.94</v>
      </c>
      <c r="D1164" s="13" t="n">
        <f aca="false">IF(Szenarien!$H$14="OK",(IFERROR(SUMIF(Nutzungsprofile!$B$17:$B$22,"Schulbetrieb",Nutzungsprofile!$G$17:$G$22)*Kalender!C66/SUM(Kalender!$C$5:$C$370),0)+IFERROR(SUMIF(Nutzungsprofile!$B$17:$B$22,"Halle",Nutzungsprofile!$G$17:$G$22)*Kalender!D66/SUM(Kalender!$D$5:$D$370),0)+IFERROR(SUMIF(Nutzungsprofile!$B$17:$B$22,"Individuell",Nutzungsprofile!$G$17:$G$22)*Kalender!E66/SUM(Kalender!$E$5:$E$370),0))*Szenarien!$D$14,0)</f>
        <v>4.94</v>
      </c>
      <c r="E1164" s="13" t="n">
        <f aca="false">IFERROR(MIN(C1164,Eingaben!$B$17)*Eingaben!$B$16,0)</f>
        <v>2.793</v>
      </c>
      <c r="F1164" s="13" t="n">
        <f aca="false">IFERROR(E1164*Eingaben!$B$15,0)</f>
        <v>2.5137</v>
      </c>
      <c r="G1164" s="13" t="n">
        <f aca="false">IFERROR(IF(Kalender!A66="",0,J1163*(1-Eingaben!$B$20)),0)</f>
        <v>0.7390278</v>
      </c>
      <c r="H1164" s="13" t="n">
        <f aca="false">MIN(G1164,D1164)</f>
        <v>0.7390278</v>
      </c>
      <c r="I1164" s="13" t="n">
        <f aca="false">IFERROR(MIN(F1164*Eingaben!$B$19,MAX(0,D1164-H1164)),0)</f>
        <v>1.75959</v>
      </c>
      <c r="J1164" s="13" t="n">
        <f aca="false">IFERROR(MIN(Eingaben!$B$18,MAX(0,F1164-I1164)),0)</f>
        <v>0.75411</v>
      </c>
      <c r="K1164" s="13" t="n">
        <f aca="false">H1164+I1164</f>
        <v>2.4986178</v>
      </c>
      <c r="L1164" s="13" t="n">
        <f aca="false">MAX(0,D1164-K1164)</f>
        <v>2.4413822</v>
      </c>
      <c r="M1164" s="13" t="n">
        <f aca="false">MAX(0,F1164-I1164-J1164)</f>
        <v>0</v>
      </c>
      <c r="N1164" s="13" t="n">
        <f aca="false">IF(Kalender!A66="",0,J1163-H1164)</f>
        <v>0.0150822</v>
      </c>
    </row>
    <row r="1165" customFormat="false" ht="16.4" hidden="false" customHeight="false" outlineLevel="0" collapsed="false">
      <c r="A1165" s="13" t="str">
        <f aca="false">""</f>
        <v/>
      </c>
      <c r="B1165" s="13" t="n">
        <f aca="false">63</f>
        <v>63</v>
      </c>
      <c r="C1165" s="13" t="n">
        <f aca="false">IF(Szenarien!$H$14="OK",(IFERROR(SUMIF(Nutzungsprofile!$B$6:$B$11,"Schulbetrieb",Nutzungsprofile!$G$6:$G$11)*Kalender!C67/SUM(Kalender!$C$5:$C$370),0)+IFERROR(SUMIF(Nutzungsprofile!$B$6:$B$11,"Halle",Nutzungsprofile!$G$6:$G$11)*Kalender!D67/SUM(Kalender!$D$5:$D$370),0)+IFERROR(SUMIF(Nutzungsprofile!$B$6:$B$11,"Individuell",Nutzungsprofile!$G$6:$G$11)*Kalender!E67/SUM(Kalender!$E$5:$E$370),0))*Szenarien!$E$14,0)</f>
        <v>2.94</v>
      </c>
      <c r="D1165" s="13" t="n">
        <f aca="false">IF(Szenarien!$H$14="OK",(IFERROR(SUMIF(Nutzungsprofile!$B$17:$B$22,"Schulbetrieb",Nutzungsprofile!$G$17:$G$22)*Kalender!C67/SUM(Kalender!$C$5:$C$370),0)+IFERROR(SUMIF(Nutzungsprofile!$B$17:$B$22,"Halle",Nutzungsprofile!$G$17:$G$22)*Kalender!D67/SUM(Kalender!$D$5:$D$370),0)+IFERROR(SUMIF(Nutzungsprofile!$B$17:$B$22,"Individuell",Nutzungsprofile!$G$17:$G$22)*Kalender!E67/SUM(Kalender!$E$5:$E$370),0))*Szenarien!$D$14,0)</f>
        <v>4.94</v>
      </c>
      <c r="E1165" s="13" t="n">
        <f aca="false">IFERROR(MIN(C1165,Eingaben!$B$17)*Eingaben!$B$16,0)</f>
        <v>2.793</v>
      </c>
      <c r="F1165" s="13" t="n">
        <f aca="false">IFERROR(E1165*Eingaben!$B$15,0)</f>
        <v>2.5137</v>
      </c>
      <c r="G1165" s="13" t="n">
        <f aca="false">IFERROR(IF(Kalender!A67="",0,J1164*(1-Eingaben!$B$20)),0)</f>
        <v>0.7390278</v>
      </c>
      <c r="H1165" s="13" t="n">
        <f aca="false">MIN(G1165,D1165)</f>
        <v>0.7390278</v>
      </c>
      <c r="I1165" s="13" t="n">
        <f aca="false">IFERROR(MIN(F1165*Eingaben!$B$19,MAX(0,D1165-H1165)),0)</f>
        <v>1.75959</v>
      </c>
      <c r="J1165" s="13" t="n">
        <f aca="false">IFERROR(MIN(Eingaben!$B$18,MAX(0,F1165-I1165)),0)</f>
        <v>0.75411</v>
      </c>
      <c r="K1165" s="13" t="n">
        <f aca="false">H1165+I1165</f>
        <v>2.4986178</v>
      </c>
      <c r="L1165" s="13" t="n">
        <f aca="false">MAX(0,D1165-K1165)</f>
        <v>2.4413822</v>
      </c>
      <c r="M1165" s="13" t="n">
        <f aca="false">MAX(0,F1165-I1165-J1165)</f>
        <v>0</v>
      </c>
      <c r="N1165" s="13" t="n">
        <f aca="false">IF(Kalender!A67="",0,J1164-H1165)</f>
        <v>0.0150822</v>
      </c>
    </row>
    <row r="1166" customFormat="false" ht="16.4" hidden="false" customHeight="false" outlineLevel="0" collapsed="false">
      <c r="A1166" s="13" t="str">
        <f aca="false">""</f>
        <v/>
      </c>
      <c r="B1166" s="13" t="n">
        <f aca="false">64</f>
        <v>64</v>
      </c>
      <c r="C1166" s="13" t="n">
        <f aca="false">IF(Szenarien!$H$14="OK",(IFERROR(SUMIF(Nutzungsprofile!$B$6:$B$11,"Schulbetrieb",Nutzungsprofile!$G$6:$G$11)*Kalender!C68/SUM(Kalender!$C$5:$C$370),0)+IFERROR(SUMIF(Nutzungsprofile!$B$6:$B$11,"Halle",Nutzungsprofile!$G$6:$G$11)*Kalender!D68/SUM(Kalender!$D$5:$D$370),0)+IFERROR(SUMIF(Nutzungsprofile!$B$6:$B$11,"Individuell",Nutzungsprofile!$G$6:$G$11)*Kalender!E68/SUM(Kalender!$E$5:$E$370),0))*Szenarien!$E$14,0)</f>
        <v>2.94</v>
      </c>
      <c r="D1166" s="13" t="n">
        <f aca="false">IF(Szenarien!$H$14="OK",(IFERROR(SUMIF(Nutzungsprofile!$B$17:$B$22,"Schulbetrieb",Nutzungsprofile!$G$17:$G$22)*Kalender!C68/SUM(Kalender!$C$5:$C$370),0)+IFERROR(SUMIF(Nutzungsprofile!$B$17:$B$22,"Halle",Nutzungsprofile!$G$17:$G$22)*Kalender!D68/SUM(Kalender!$D$5:$D$370),0)+IFERROR(SUMIF(Nutzungsprofile!$B$17:$B$22,"Individuell",Nutzungsprofile!$G$17:$G$22)*Kalender!E68/SUM(Kalender!$E$5:$E$370),0))*Szenarien!$D$14,0)</f>
        <v>4.94</v>
      </c>
      <c r="E1166" s="13" t="n">
        <f aca="false">IFERROR(MIN(C1166,Eingaben!$B$17)*Eingaben!$B$16,0)</f>
        <v>2.793</v>
      </c>
      <c r="F1166" s="13" t="n">
        <f aca="false">IFERROR(E1166*Eingaben!$B$15,0)</f>
        <v>2.5137</v>
      </c>
      <c r="G1166" s="13" t="n">
        <f aca="false">IFERROR(IF(Kalender!A68="",0,J1165*(1-Eingaben!$B$20)),0)</f>
        <v>0.7390278</v>
      </c>
      <c r="H1166" s="13" t="n">
        <f aca="false">MIN(G1166,D1166)</f>
        <v>0.7390278</v>
      </c>
      <c r="I1166" s="13" t="n">
        <f aca="false">IFERROR(MIN(F1166*Eingaben!$B$19,MAX(0,D1166-H1166)),0)</f>
        <v>1.75959</v>
      </c>
      <c r="J1166" s="13" t="n">
        <f aca="false">IFERROR(MIN(Eingaben!$B$18,MAX(0,F1166-I1166)),0)</f>
        <v>0.75411</v>
      </c>
      <c r="K1166" s="13" t="n">
        <f aca="false">H1166+I1166</f>
        <v>2.4986178</v>
      </c>
      <c r="L1166" s="13" t="n">
        <f aca="false">MAX(0,D1166-K1166)</f>
        <v>2.4413822</v>
      </c>
      <c r="M1166" s="13" t="n">
        <f aca="false">MAX(0,F1166-I1166-J1166)</f>
        <v>0</v>
      </c>
      <c r="N1166" s="13" t="n">
        <f aca="false">IF(Kalender!A68="",0,J1165-H1166)</f>
        <v>0.0150822</v>
      </c>
    </row>
    <row r="1167" customFormat="false" ht="16.4" hidden="false" customHeight="false" outlineLevel="0" collapsed="false">
      <c r="A1167" s="13" t="str">
        <f aca="false">""</f>
        <v/>
      </c>
      <c r="B1167" s="13" t="n">
        <f aca="false">65</f>
        <v>65</v>
      </c>
      <c r="C1167" s="13" t="n">
        <f aca="false">IF(Szenarien!$H$14="OK",(IFERROR(SUMIF(Nutzungsprofile!$B$6:$B$11,"Schulbetrieb",Nutzungsprofile!$G$6:$G$11)*Kalender!C69/SUM(Kalender!$C$5:$C$370),0)+IFERROR(SUMIF(Nutzungsprofile!$B$6:$B$11,"Halle",Nutzungsprofile!$G$6:$G$11)*Kalender!D69/SUM(Kalender!$D$5:$D$370),0)+IFERROR(SUMIF(Nutzungsprofile!$B$6:$B$11,"Individuell",Nutzungsprofile!$G$6:$G$11)*Kalender!E69/SUM(Kalender!$E$5:$E$370),0))*Szenarien!$E$14,0)</f>
        <v>2.94</v>
      </c>
      <c r="D1167" s="13" t="n">
        <f aca="false">IF(Szenarien!$H$14="OK",(IFERROR(SUMIF(Nutzungsprofile!$B$17:$B$22,"Schulbetrieb",Nutzungsprofile!$G$17:$G$22)*Kalender!C69/SUM(Kalender!$C$5:$C$370),0)+IFERROR(SUMIF(Nutzungsprofile!$B$17:$B$22,"Halle",Nutzungsprofile!$G$17:$G$22)*Kalender!D69/SUM(Kalender!$D$5:$D$370),0)+IFERROR(SUMIF(Nutzungsprofile!$B$17:$B$22,"Individuell",Nutzungsprofile!$G$17:$G$22)*Kalender!E69/SUM(Kalender!$E$5:$E$370),0))*Szenarien!$D$14,0)</f>
        <v>4.94</v>
      </c>
      <c r="E1167" s="13" t="n">
        <f aca="false">IFERROR(MIN(C1167,Eingaben!$B$17)*Eingaben!$B$16,0)</f>
        <v>2.793</v>
      </c>
      <c r="F1167" s="13" t="n">
        <f aca="false">IFERROR(E1167*Eingaben!$B$15,0)</f>
        <v>2.5137</v>
      </c>
      <c r="G1167" s="13" t="n">
        <f aca="false">IFERROR(IF(Kalender!A69="",0,J1166*(1-Eingaben!$B$20)),0)</f>
        <v>0.7390278</v>
      </c>
      <c r="H1167" s="13" t="n">
        <f aca="false">MIN(G1167,D1167)</f>
        <v>0.7390278</v>
      </c>
      <c r="I1167" s="13" t="n">
        <f aca="false">IFERROR(MIN(F1167*Eingaben!$B$19,MAX(0,D1167-H1167)),0)</f>
        <v>1.75959</v>
      </c>
      <c r="J1167" s="13" t="n">
        <f aca="false">IFERROR(MIN(Eingaben!$B$18,MAX(0,F1167-I1167)),0)</f>
        <v>0.75411</v>
      </c>
      <c r="K1167" s="13" t="n">
        <f aca="false">H1167+I1167</f>
        <v>2.4986178</v>
      </c>
      <c r="L1167" s="13" t="n">
        <f aca="false">MAX(0,D1167-K1167)</f>
        <v>2.4413822</v>
      </c>
      <c r="M1167" s="13" t="n">
        <f aca="false">MAX(0,F1167-I1167-J1167)</f>
        <v>0</v>
      </c>
      <c r="N1167" s="13" t="n">
        <f aca="false">IF(Kalender!A69="",0,J1166-H1167)</f>
        <v>0.0150822</v>
      </c>
    </row>
    <row r="1168" customFormat="false" ht="16.4" hidden="false" customHeight="false" outlineLevel="0" collapsed="false">
      <c r="A1168" s="13" t="str">
        <f aca="false">""</f>
        <v/>
      </c>
      <c r="B1168" s="13" t="n">
        <f aca="false">66</f>
        <v>66</v>
      </c>
      <c r="C1168" s="13" t="n">
        <f aca="false">IF(Szenarien!$H$14="OK",(IFERROR(SUMIF(Nutzungsprofile!$B$6:$B$11,"Schulbetrieb",Nutzungsprofile!$G$6:$G$11)*Kalender!C70/SUM(Kalender!$C$5:$C$370),0)+IFERROR(SUMIF(Nutzungsprofile!$B$6:$B$11,"Halle",Nutzungsprofile!$G$6:$G$11)*Kalender!D70/SUM(Kalender!$D$5:$D$370),0)+IFERROR(SUMIF(Nutzungsprofile!$B$6:$B$11,"Individuell",Nutzungsprofile!$G$6:$G$11)*Kalender!E70/SUM(Kalender!$E$5:$E$370),0))*Szenarien!$E$14,0)</f>
        <v>2.04</v>
      </c>
      <c r="D1168" s="13" t="n">
        <f aca="false">IF(Szenarien!$H$14="OK",(IFERROR(SUMIF(Nutzungsprofile!$B$17:$B$22,"Schulbetrieb",Nutzungsprofile!$G$17:$G$22)*Kalender!C70/SUM(Kalender!$C$5:$C$370),0)+IFERROR(SUMIF(Nutzungsprofile!$B$17:$B$22,"Halle",Nutzungsprofile!$G$17:$G$22)*Kalender!D70/SUM(Kalender!$D$5:$D$370),0)+IFERROR(SUMIF(Nutzungsprofile!$B$17:$B$22,"Individuell",Nutzungsprofile!$G$17:$G$22)*Kalender!E70/SUM(Kalender!$E$5:$E$370),0))*Szenarien!$D$14,0)</f>
        <v>0.89</v>
      </c>
      <c r="E1168" s="13" t="n">
        <f aca="false">IFERROR(MIN(C1168,Eingaben!$B$17)*Eingaben!$B$16,0)</f>
        <v>1.938</v>
      </c>
      <c r="F1168" s="13" t="n">
        <f aca="false">IFERROR(E1168*Eingaben!$B$15,0)</f>
        <v>1.7442</v>
      </c>
      <c r="G1168" s="13" t="n">
        <f aca="false">IFERROR(IF(Kalender!A70="",0,J1167*(1-Eingaben!$B$20)),0)</f>
        <v>0.7390278</v>
      </c>
      <c r="H1168" s="13" t="n">
        <f aca="false">MIN(G1168,D1168)</f>
        <v>0.7390278</v>
      </c>
      <c r="I1168" s="13" t="n">
        <f aca="false">IFERROR(MIN(F1168*Eingaben!$B$19,MAX(0,D1168-H1168)),0)</f>
        <v>0.1509722</v>
      </c>
      <c r="J1168" s="13" t="n">
        <f aca="false">IFERROR(MIN(Eingaben!$B$18,MAX(0,F1168-I1168)),0)</f>
        <v>1.5932278</v>
      </c>
      <c r="K1168" s="13" t="n">
        <f aca="false">H1168+I1168</f>
        <v>0.89</v>
      </c>
      <c r="L1168" s="13" t="n">
        <f aca="false">MAX(0,D1168-K1168)</f>
        <v>0</v>
      </c>
      <c r="M1168" s="13" t="n">
        <f aca="false">MAX(0,F1168-I1168-J1168)</f>
        <v>0</v>
      </c>
      <c r="N1168" s="13" t="n">
        <f aca="false">IF(Kalender!A70="",0,J1167-H1168)</f>
        <v>0.0150822</v>
      </c>
    </row>
    <row r="1169" customFormat="false" ht="16.4" hidden="false" customHeight="false" outlineLevel="0" collapsed="false">
      <c r="A1169" s="13" t="str">
        <f aca="false">""</f>
        <v/>
      </c>
      <c r="B1169" s="13" t="n">
        <f aca="false">67</f>
        <v>67</v>
      </c>
      <c r="C1169" s="13" t="n">
        <f aca="false">IF(Szenarien!$H$14="OK",(IFERROR(SUMIF(Nutzungsprofile!$B$6:$B$11,"Schulbetrieb",Nutzungsprofile!$G$6:$G$11)*Kalender!C71/SUM(Kalender!$C$5:$C$370),0)+IFERROR(SUMIF(Nutzungsprofile!$B$6:$B$11,"Halle",Nutzungsprofile!$G$6:$G$11)*Kalender!D71/SUM(Kalender!$D$5:$D$370),0)+IFERROR(SUMIF(Nutzungsprofile!$B$6:$B$11,"Individuell",Nutzungsprofile!$G$6:$G$11)*Kalender!E71/SUM(Kalender!$E$5:$E$370),0))*Szenarien!$E$14,0)</f>
        <v>2.04</v>
      </c>
      <c r="D1169" s="13" t="n">
        <f aca="false">IF(Szenarien!$H$14="OK",(IFERROR(SUMIF(Nutzungsprofile!$B$17:$B$22,"Schulbetrieb",Nutzungsprofile!$G$17:$G$22)*Kalender!C71/SUM(Kalender!$C$5:$C$370),0)+IFERROR(SUMIF(Nutzungsprofile!$B$17:$B$22,"Halle",Nutzungsprofile!$G$17:$G$22)*Kalender!D71/SUM(Kalender!$D$5:$D$370),0)+IFERROR(SUMIF(Nutzungsprofile!$B$17:$B$22,"Individuell",Nutzungsprofile!$G$17:$G$22)*Kalender!E71/SUM(Kalender!$E$5:$E$370),0))*Szenarien!$D$14,0)</f>
        <v>0.89</v>
      </c>
      <c r="E1169" s="13" t="n">
        <f aca="false">IFERROR(MIN(C1169,Eingaben!$B$17)*Eingaben!$B$16,0)</f>
        <v>1.938</v>
      </c>
      <c r="F1169" s="13" t="n">
        <f aca="false">IFERROR(E1169*Eingaben!$B$15,0)</f>
        <v>1.7442</v>
      </c>
      <c r="G1169" s="13" t="n">
        <f aca="false">IFERROR(IF(Kalender!A71="",0,J1168*(1-Eingaben!$B$20)),0)</f>
        <v>1.561363244</v>
      </c>
      <c r="H1169" s="13" t="n">
        <f aca="false">MIN(G1169,D1169)</f>
        <v>0.89</v>
      </c>
      <c r="I1169" s="13" t="n">
        <f aca="false">IFERROR(MIN(F1169*Eingaben!$B$19,MAX(0,D1169-H1169)),0)</f>
        <v>0</v>
      </c>
      <c r="J1169" s="13" t="n">
        <f aca="false">IFERROR(MIN(Eingaben!$B$18,MAX(0,F1169-I1169)),0)</f>
        <v>1.7442</v>
      </c>
      <c r="K1169" s="13" t="n">
        <f aca="false">H1169+I1169</f>
        <v>0.89</v>
      </c>
      <c r="L1169" s="13" t="n">
        <f aca="false">MAX(0,D1169-K1169)</f>
        <v>0</v>
      </c>
      <c r="M1169" s="13" t="n">
        <f aca="false">MAX(0,F1169-I1169-J1169)</f>
        <v>0</v>
      </c>
      <c r="N1169" s="13" t="n">
        <f aca="false">IF(Kalender!A71="",0,J1168-H1169)</f>
        <v>0.7032278</v>
      </c>
    </row>
    <row r="1170" customFormat="false" ht="16.4" hidden="false" customHeight="false" outlineLevel="0" collapsed="false">
      <c r="A1170" s="13" t="str">
        <f aca="false">""</f>
        <v/>
      </c>
      <c r="B1170" s="13" t="n">
        <f aca="false">68</f>
        <v>68</v>
      </c>
      <c r="C1170" s="13" t="n">
        <f aca="false">IF(Szenarien!$H$14="OK",(IFERROR(SUMIF(Nutzungsprofile!$B$6:$B$11,"Schulbetrieb",Nutzungsprofile!$G$6:$G$11)*Kalender!C72/SUM(Kalender!$C$5:$C$370),0)+IFERROR(SUMIF(Nutzungsprofile!$B$6:$B$11,"Halle",Nutzungsprofile!$G$6:$G$11)*Kalender!D72/SUM(Kalender!$D$5:$D$370),0)+IFERROR(SUMIF(Nutzungsprofile!$B$6:$B$11,"Individuell",Nutzungsprofile!$G$6:$G$11)*Kalender!E72/SUM(Kalender!$E$5:$E$370),0))*Szenarien!$E$14,0)</f>
        <v>2.94</v>
      </c>
      <c r="D1170" s="13" t="n">
        <f aca="false">IF(Szenarien!$H$14="OK",(IFERROR(SUMIF(Nutzungsprofile!$B$17:$B$22,"Schulbetrieb",Nutzungsprofile!$G$17:$G$22)*Kalender!C72/SUM(Kalender!$C$5:$C$370),0)+IFERROR(SUMIF(Nutzungsprofile!$B$17:$B$22,"Halle",Nutzungsprofile!$G$17:$G$22)*Kalender!D72/SUM(Kalender!$D$5:$D$370),0)+IFERROR(SUMIF(Nutzungsprofile!$B$17:$B$22,"Individuell",Nutzungsprofile!$G$17:$G$22)*Kalender!E72/SUM(Kalender!$E$5:$E$370),0))*Szenarien!$D$14,0)</f>
        <v>4.94</v>
      </c>
      <c r="E1170" s="13" t="n">
        <f aca="false">IFERROR(MIN(C1170,Eingaben!$B$17)*Eingaben!$B$16,0)</f>
        <v>2.793</v>
      </c>
      <c r="F1170" s="13" t="n">
        <f aca="false">IFERROR(E1170*Eingaben!$B$15,0)</f>
        <v>2.5137</v>
      </c>
      <c r="G1170" s="13" t="n">
        <f aca="false">IFERROR(IF(Kalender!A72="",0,J1169*(1-Eingaben!$B$20)),0)</f>
        <v>1.709316</v>
      </c>
      <c r="H1170" s="13" t="n">
        <f aca="false">MIN(G1170,D1170)</f>
        <v>1.709316</v>
      </c>
      <c r="I1170" s="13" t="n">
        <f aca="false">IFERROR(MIN(F1170*Eingaben!$B$19,MAX(0,D1170-H1170)),0)</f>
        <v>1.75959</v>
      </c>
      <c r="J1170" s="13" t="n">
        <f aca="false">IFERROR(MIN(Eingaben!$B$18,MAX(0,F1170-I1170)),0)</f>
        <v>0.75411</v>
      </c>
      <c r="K1170" s="13" t="n">
        <f aca="false">H1170+I1170</f>
        <v>3.468906</v>
      </c>
      <c r="L1170" s="13" t="n">
        <f aca="false">MAX(0,D1170-K1170)</f>
        <v>1.471094</v>
      </c>
      <c r="M1170" s="13" t="n">
        <f aca="false">MAX(0,F1170-I1170-J1170)</f>
        <v>0</v>
      </c>
      <c r="N1170" s="13" t="n">
        <f aca="false">IF(Kalender!A72="",0,J1169-H1170)</f>
        <v>0.0348840000000001</v>
      </c>
    </row>
    <row r="1171" customFormat="false" ht="16.4" hidden="false" customHeight="false" outlineLevel="0" collapsed="false">
      <c r="A1171" s="13" t="str">
        <f aca="false">""</f>
        <v/>
      </c>
      <c r="B1171" s="13" t="n">
        <f aca="false">69</f>
        <v>69</v>
      </c>
      <c r="C1171" s="13" t="n">
        <f aca="false">IF(Szenarien!$H$14="OK",(IFERROR(SUMIF(Nutzungsprofile!$B$6:$B$11,"Schulbetrieb",Nutzungsprofile!$G$6:$G$11)*Kalender!C73/SUM(Kalender!$C$5:$C$370),0)+IFERROR(SUMIF(Nutzungsprofile!$B$6:$B$11,"Halle",Nutzungsprofile!$G$6:$G$11)*Kalender!D73/SUM(Kalender!$D$5:$D$370),0)+IFERROR(SUMIF(Nutzungsprofile!$B$6:$B$11,"Individuell",Nutzungsprofile!$G$6:$G$11)*Kalender!E73/SUM(Kalender!$E$5:$E$370),0))*Szenarien!$E$14,0)</f>
        <v>2.94</v>
      </c>
      <c r="D1171" s="13" t="n">
        <f aca="false">IF(Szenarien!$H$14="OK",(IFERROR(SUMIF(Nutzungsprofile!$B$17:$B$22,"Schulbetrieb",Nutzungsprofile!$G$17:$G$22)*Kalender!C73/SUM(Kalender!$C$5:$C$370),0)+IFERROR(SUMIF(Nutzungsprofile!$B$17:$B$22,"Halle",Nutzungsprofile!$G$17:$G$22)*Kalender!D73/SUM(Kalender!$D$5:$D$370),0)+IFERROR(SUMIF(Nutzungsprofile!$B$17:$B$22,"Individuell",Nutzungsprofile!$G$17:$G$22)*Kalender!E73/SUM(Kalender!$E$5:$E$370),0))*Szenarien!$D$14,0)</f>
        <v>4.94</v>
      </c>
      <c r="E1171" s="13" t="n">
        <f aca="false">IFERROR(MIN(C1171,Eingaben!$B$17)*Eingaben!$B$16,0)</f>
        <v>2.793</v>
      </c>
      <c r="F1171" s="13" t="n">
        <f aca="false">IFERROR(E1171*Eingaben!$B$15,0)</f>
        <v>2.5137</v>
      </c>
      <c r="G1171" s="13" t="n">
        <f aca="false">IFERROR(IF(Kalender!A73="",0,J1170*(1-Eingaben!$B$20)),0)</f>
        <v>0.7390278</v>
      </c>
      <c r="H1171" s="13" t="n">
        <f aca="false">MIN(G1171,D1171)</f>
        <v>0.7390278</v>
      </c>
      <c r="I1171" s="13" t="n">
        <f aca="false">IFERROR(MIN(F1171*Eingaben!$B$19,MAX(0,D1171-H1171)),0)</f>
        <v>1.75959</v>
      </c>
      <c r="J1171" s="13" t="n">
        <f aca="false">IFERROR(MIN(Eingaben!$B$18,MAX(0,F1171-I1171)),0)</f>
        <v>0.75411</v>
      </c>
      <c r="K1171" s="13" t="n">
        <f aca="false">H1171+I1171</f>
        <v>2.4986178</v>
      </c>
      <c r="L1171" s="13" t="n">
        <f aca="false">MAX(0,D1171-K1171)</f>
        <v>2.4413822</v>
      </c>
      <c r="M1171" s="13" t="n">
        <f aca="false">MAX(0,F1171-I1171-J1171)</f>
        <v>0</v>
      </c>
      <c r="N1171" s="13" t="n">
        <f aca="false">IF(Kalender!A73="",0,J1170-H1171)</f>
        <v>0.0150822</v>
      </c>
    </row>
    <row r="1172" customFormat="false" ht="16.4" hidden="false" customHeight="false" outlineLevel="0" collapsed="false">
      <c r="A1172" s="13" t="str">
        <f aca="false">""</f>
        <v/>
      </c>
      <c r="B1172" s="13" t="n">
        <f aca="false">70</f>
        <v>70</v>
      </c>
      <c r="C1172" s="13" t="n">
        <f aca="false">IF(Szenarien!$H$14="OK",(IFERROR(SUMIF(Nutzungsprofile!$B$6:$B$11,"Schulbetrieb",Nutzungsprofile!$G$6:$G$11)*Kalender!C74/SUM(Kalender!$C$5:$C$370),0)+IFERROR(SUMIF(Nutzungsprofile!$B$6:$B$11,"Halle",Nutzungsprofile!$G$6:$G$11)*Kalender!D74/SUM(Kalender!$D$5:$D$370),0)+IFERROR(SUMIF(Nutzungsprofile!$B$6:$B$11,"Individuell",Nutzungsprofile!$G$6:$G$11)*Kalender!E74/SUM(Kalender!$E$5:$E$370),0))*Szenarien!$E$14,0)</f>
        <v>2.94</v>
      </c>
      <c r="D1172" s="13" t="n">
        <f aca="false">IF(Szenarien!$H$14="OK",(IFERROR(SUMIF(Nutzungsprofile!$B$17:$B$22,"Schulbetrieb",Nutzungsprofile!$G$17:$G$22)*Kalender!C74/SUM(Kalender!$C$5:$C$370),0)+IFERROR(SUMIF(Nutzungsprofile!$B$17:$B$22,"Halle",Nutzungsprofile!$G$17:$G$22)*Kalender!D74/SUM(Kalender!$D$5:$D$370),0)+IFERROR(SUMIF(Nutzungsprofile!$B$17:$B$22,"Individuell",Nutzungsprofile!$G$17:$G$22)*Kalender!E74/SUM(Kalender!$E$5:$E$370),0))*Szenarien!$D$14,0)</f>
        <v>4.94</v>
      </c>
      <c r="E1172" s="13" t="n">
        <f aca="false">IFERROR(MIN(C1172,Eingaben!$B$17)*Eingaben!$B$16,0)</f>
        <v>2.793</v>
      </c>
      <c r="F1172" s="13" t="n">
        <f aca="false">IFERROR(E1172*Eingaben!$B$15,0)</f>
        <v>2.5137</v>
      </c>
      <c r="G1172" s="13" t="n">
        <f aca="false">IFERROR(IF(Kalender!A74="",0,J1171*(1-Eingaben!$B$20)),0)</f>
        <v>0.7390278</v>
      </c>
      <c r="H1172" s="13" t="n">
        <f aca="false">MIN(G1172,D1172)</f>
        <v>0.7390278</v>
      </c>
      <c r="I1172" s="13" t="n">
        <f aca="false">IFERROR(MIN(F1172*Eingaben!$B$19,MAX(0,D1172-H1172)),0)</f>
        <v>1.75959</v>
      </c>
      <c r="J1172" s="13" t="n">
        <f aca="false">IFERROR(MIN(Eingaben!$B$18,MAX(0,F1172-I1172)),0)</f>
        <v>0.75411</v>
      </c>
      <c r="K1172" s="13" t="n">
        <f aca="false">H1172+I1172</f>
        <v>2.4986178</v>
      </c>
      <c r="L1172" s="13" t="n">
        <f aca="false">MAX(0,D1172-K1172)</f>
        <v>2.4413822</v>
      </c>
      <c r="M1172" s="13" t="n">
        <f aca="false">MAX(0,F1172-I1172-J1172)</f>
        <v>0</v>
      </c>
      <c r="N1172" s="13" t="n">
        <f aca="false">IF(Kalender!A74="",0,J1171-H1172)</f>
        <v>0.0150822</v>
      </c>
    </row>
    <row r="1173" customFormat="false" ht="16.4" hidden="false" customHeight="false" outlineLevel="0" collapsed="false">
      <c r="A1173" s="13" t="str">
        <f aca="false">""</f>
        <v/>
      </c>
      <c r="B1173" s="13" t="n">
        <f aca="false">71</f>
        <v>71</v>
      </c>
      <c r="C1173" s="13" t="n">
        <f aca="false">IF(Szenarien!$H$14="OK",(IFERROR(SUMIF(Nutzungsprofile!$B$6:$B$11,"Schulbetrieb",Nutzungsprofile!$G$6:$G$11)*Kalender!C75/SUM(Kalender!$C$5:$C$370),0)+IFERROR(SUMIF(Nutzungsprofile!$B$6:$B$11,"Halle",Nutzungsprofile!$G$6:$G$11)*Kalender!D75/SUM(Kalender!$D$5:$D$370),0)+IFERROR(SUMIF(Nutzungsprofile!$B$6:$B$11,"Individuell",Nutzungsprofile!$G$6:$G$11)*Kalender!E75/SUM(Kalender!$E$5:$E$370),0))*Szenarien!$E$14,0)</f>
        <v>2.94</v>
      </c>
      <c r="D1173" s="13" t="n">
        <f aca="false">IF(Szenarien!$H$14="OK",(IFERROR(SUMIF(Nutzungsprofile!$B$17:$B$22,"Schulbetrieb",Nutzungsprofile!$G$17:$G$22)*Kalender!C75/SUM(Kalender!$C$5:$C$370),0)+IFERROR(SUMIF(Nutzungsprofile!$B$17:$B$22,"Halle",Nutzungsprofile!$G$17:$G$22)*Kalender!D75/SUM(Kalender!$D$5:$D$370),0)+IFERROR(SUMIF(Nutzungsprofile!$B$17:$B$22,"Individuell",Nutzungsprofile!$G$17:$G$22)*Kalender!E75/SUM(Kalender!$E$5:$E$370),0))*Szenarien!$D$14,0)</f>
        <v>4.94</v>
      </c>
      <c r="E1173" s="13" t="n">
        <f aca="false">IFERROR(MIN(C1173,Eingaben!$B$17)*Eingaben!$B$16,0)</f>
        <v>2.793</v>
      </c>
      <c r="F1173" s="13" t="n">
        <f aca="false">IFERROR(E1173*Eingaben!$B$15,0)</f>
        <v>2.5137</v>
      </c>
      <c r="G1173" s="13" t="n">
        <f aca="false">IFERROR(IF(Kalender!A75="",0,J1172*(1-Eingaben!$B$20)),0)</f>
        <v>0.7390278</v>
      </c>
      <c r="H1173" s="13" t="n">
        <f aca="false">MIN(G1173,D1173)</f>
        <v>0.7390278</v>
      </c>
      <c r="I1173" s="13" t="n">
        <f aca="false">IFERROR(MIN(F1173*Eingaben!$B$19,MAX(0,D1173-H1173)),0)</f>
        <v>1.75959</v>
      </c>
      <c r="J1173" s="13" t="n">
        <f aca="false">IFERROR(MIN(Eingaben!$B$18,MAX(0,F1173-I1173)),0)</f>
        <v>0.75411</v>
      </c>
      <c r="K1173" s="13" t="n">
        <f aca="false">H1173+I1173</f>
        <v>2.4986178</v>
      </c>
      <c r="L1173" s="13" t="n">
        <f aca="false">MAX(0,D1173-K1173)</f>
        <v>2.4413822</v>
      </c>
      <c r="M1173" s="13" t="n">
        <f aca="false">MAX(0,F1173-I1173-J1173)</f>
        <v>0</v>
      </c>
      <c r="N1173" s="13" t="n">
        <f aca="false">IF(Kalender!A75="",0,J1172-H1173)</f>
        <v>0.0150822</v>
      </c>
    </row>
    <row r="1174" customFormat="false" ht="16.4" hidden="false" customHeight="false" outlineLevel="0" collapsed="false">
      <c r="A1174" s="13" t="str">
        <f aca="false">""</f>
        <v/>
      </c>
      <c r="B1174" s="13" t="n">
        <f aca="false">72</f>
        <v>72</v>
      </c>
      <c r="C1174" s="13" t="n">
        <f aca="false">IF(Szenarien!$H$14="OK",(IFERROR(SUMIF(Nutzungsprofile!$B$6:$B$11,"Schulbetrieb",Nutzungsprofile!$G$6:$G$11)*Kalender!C76/SUM(Kalender!$C$5:$C$370),0)+IFERROR(SUMIF(Nutzungsprofile!$B$6:$B$11,"Halle",Nutzungsprofile!$G$6:$G$11)*Kalender!D76/SUM(Kalender!$D$5:$D$370),0)+IFERROR(SUMIF(Nutzungsprofile!$B$6:$B$11,"Individuell",Nutzungsprofile!$G$6:$G$11)*Kalender!E76/SUM(Kalender!$E$5:$E$370),0))*Szenarien!$E$14,0)</f>
        <v>2.94</v>
      </c>
      <c r="D1174" s="13" t="n">
        <f aca="false">IF(Szenarien!$H$14="OK",(IFERROR(SUMIF(Nutzungsprofile!$B$17:$B$22,"Schulbetrieb",Nutzungsprofile!$G$17:$G$22)*Kalender!C76/SUM(Kalender!$C$5:$C$370),0)+IFERROR(SUMIF(Nutzungsprofile!$B$17:$B$22,"Halle",Nutzungsprofile!$G$17:$G$22)*Kalender!D76/SUM(Kalender!$D$5:$D$370),0)+IFERROR(SUMIF(Nutzungsprofile!$B$17:$B$22,"Individuell",Nutzungsprofile!$G$17:$G$22)*Kalender!E76/SUM(Kalender!$E$5:$E$370),0))*Szenarien!$D$14,0)</f>
        <v>4.94</v>
      </c>
      <c r="E1174" s="13" t="n">
        <f aca="false">IFERROR(MIN(C1174,Eingaben!$B$17)*Eingaben!$B$16,0)</f>
        <v>2.793</v>
      </c>
      <c r="F1174" s="13" t="n">
        <f aca="false">IFERROR(E1174*Eingaben!$B$15,0)</f>
        <v>2.5137</v>
      </c>
      <c r="G1174" s="13" t="n">
        <f aca="false">IFERROR(IF(Kalender!A76="",0,J1173*(1-Eingaben!$B$20)),0)</f>
        <v>0.7390278</v>
      </c>
      <c r="H1174" s="13" t="n">
        <f aca="false">MIN(G1174,D1174)</f>
        <v>0.7390278</v>
      </c>
      <c r="I1174" s="13" t="n">
        <f aca="false">IFERROR(MIN(F1174*Eingaben!$B$19,MAX(0,D1174-H1174)),0)</f>
        <v>1.75959</v>
      </c>
      <c r="J1174" s="13" t="n">
        <f aca="false">IFERROR(MIN(Eingaben!$B$18,MAX(0,F1174-I1174)),0)</f>
        <v>0.75411</v>
      </c>
      <c r="K1174" s="13" t="n">
        <f aca="false">H1174+I1174</f>
        <v>2.4986178</v>
      </c>
      <c r="L1174" s="13" t="n">
        <f aca="false">MAX(0,D1174-K1174)</f>
        <v>2.4413822</v>
      </c>
      <c r="M1174" s="13" t="n">
        <f aca="false">MAX(0,F1174-I1174-J1174)</f>
        <v>0</v>
      </c>
      <c r="N1174" s="13" t="n">
        <f aca="false">IF(Kalender!A76="",0,J1173-H1174)</f>
        <v>0.0150822</v>
      </c>
    </row>
    <row r="1175" customFormat="false" ht="16.4" hidden="false" customHeight="false" outlineLevel="0" collapsed="false">
      <c r="A1175" s="13" t="str">
        <f aca="false">""</f>
        <v/>
      </c>
      <c r="B1175" s="13" t="n">
        <f aca="false">73</f>
        <v>73</v>
      </c>
      <c r="C1175" s="13" t="n">
        <f aca="false">IF(Szenarien!$H$14="OK",(IFERROR(SUMIF(Nutzungsprofile!$B$6:$B$11,"Schulbetrieb",Nutzungsprofile!$G$6:$G$11)*Kalender!C77/SUM(Kalender!$C$5:$C$370),0)+IFERROR(SUMIF(Nutzungsprofile!$B$6:$B$11,"Halle",Nutzungsprofile!$G$6:$G$11)*Kalender!D77/SUM(Kalender!$D$5:$D$370),0)+IFERROR(SUMIF(Nutzungsprofile!$B$6:$B$11,"Individuell",Nutzungsprofile!$G$6:$G$11)*Kalender!E77/SUM(Kalender!$E$5:$E$370),0))*Szenarien!$E$14,0)</f>
        <v>2.04</v>
      </c>
      <c r="D1175" s="13" t="n">
        <f aca="false">IF(Szenarien!$H$14="OK",(IFERROR(SUMIF(Nutzungsprofile!$B$17:$B$22,"Schulbetrieb",Nutzungsprofile!$G$17:$G$22)*Kalender!C77/SUM(Kalender!$C$5:$C$370),0)+IFERROR(SUMIF(Nutzungsprofile!$B$17:$B$22,"Halle",Nutzungsprofile!$G$17:$G$22)*Kalender!D77/SUM(Kalender!$D$5:$D$370),0)+IFERROR(SUMIF(Nutzungsprofile!$B$17:$B$22,"Individuell",Nutzungsprofile!$G$17:$G$22)*Kalender!E77/SUM(Kalender!$E$5:$E$370),0))*Szenarien!$D$14,0)</f>
        <v>0.89</v>
      </c>
      <c r="E1175" s="13" t="n">
        <f aca="false">IFERROR(MIN(C1175,Eingaben!$B$17)*Eingaben!$B$16,0)</f>
        <v>1.938</v>
      </c>
      <c r="F1175" s="13" t="n">
        <f aca="false">IFERROR(E1175*Eingaben!$B$15,0)</f>
        <v>1.7442</v>
      </c>
      <c r="G1175" s="13" t="n">
        <f aca="false">IFERROR(IF(Kalender!A77="",0,J1174*(1-Eingaben!$B$20)),0)</f>
        <v>0.7390278</v>
      </c>
      <c r="H1175" s="13" t="n">
        <f aca="false">MIN(G1175,D1175)</f>
        <v>0.7390278</v>
      </c>
      <c r="I1175" s="13" t="n">
        <f aca="false">IFERROR(MIN(F1175*Eingaben!$B$19,MAX(0,D1175-H1175)),0)</f>
        <v>0.1509722</v>
      </c>
      <c r="J1175" s="13" t="n">
        <f aca="false">IFERROR(MIN(Eingaben!$B$18,MAX(0,F1175-I1175)),0)</f>
        <v>1.5932278</v>
      </c>
      <c r="K1175" s="13" t="n">
        <f aca="false">H1175+I1175</f>
        <v>0.89</v>
      </c>
      <c r="L1175" s="13" t="n">
        <f aca="false">MAX(0,D1175-K1175)</f>
        <v>0</v>
      </c>
      <c r="M1175" s="13" t="n">
        <f aca="false">MAX(0,F1175-I1175-J1175)</f>
        <v>0</v>
      </c>
      <c r="N1175" s="13" t="n">
        <f aca="false">IF(Kalender!A77="",0,J1174-H1175)</f>
        <v>0.0150822</v>
      </c>
    </row>
    <row r="1176" customFormat="false" ht="16.4" hidden="false" customHeight="false" outlineLevel="0" collapsed="false">
      <c r="A1176" s="13" t="str">
        <f aca="false">""</f>
        <v/>
      </c>
      <c r="B1176" s="13" t="n">
        <f aca="false">74</f>
        <v>74</v>
      </c>
      <c r="C1176" s="13" t="n">
        <f aca="false">IF(Szenarien!$H$14="OK",(IFERROR(SUMIF(Nutzungsprofile!$B$6:$B$11,"Schulbetrieb",Nutzungsprofile!$G$6:$G$11)*Kalender!C78/SUM(Kalender!$C$5:$C$370),0)+IFERROR(SUMIF(Nutzungsprofile!$B$6:$B$11,"Halle",Nutzungsprofile!$G$6:$G$11)*Kalender!D78/SUM(Kalender!$D$5:$D$370),0)+IFERROR(SUMIF(Nutzungsprofile!$B$6:$B$11,"Individuell",Nutzungsprofile!$G$6:$G$11)*Kalender!E78/SUM(Kalender!$E$5:$E$370),0))*Szenarien!$E$14,0)</f>
        <v>2.04</v>
      </c>
      <c r="D1176" s="13" t="n">
        <f aca="false">IF(Szenarien!$H$14="OK",(IFERROR(SUMIF(Nutzungsprofile!$B$17:$B$22,"Schulbetrieb",Nutzungsprofile!$G$17:$G$22)*Kalender!C78/SUM(Kalender!$C$5:$C$370),0)+IFERROR(SUMIF(Nutzungsprofile!$B$17:$B$22,"Halle",Nutzungsprofile!$G$17:$G$22)*Kalender!D78/SUM(Kalender!$D$5:$D$370),0)+IFERROR(SUMIF(Nutzungsprofile!$B$17:$B$22,"Individuell",Nutzungsprofile!$G$17:$G$22)*Kalender!E78/SUM(Kalender!$E$5:$E$370),0))*Szenarien!$D$14,0)</f>
        <v>0.89</v>
      </c>
      <c r="E1176" s="13" t="n">
        <f aca="false">IFERROR(MIN(C1176,Eingaben!$B$17)*Eingaben!$B$16,0)</f>
        <v>1.938</v>
      </c>
      <c r="F1176" s="13" t="n">
        <f aca="false">IFERROR(E1176*Eingaben!$B$15,0)</f>
        <v>1.7442</v>
      </c>
      <c r="G1176" s="13" t="n">
        <f aca="false">IFERROR(IF(Kalender!A78="",0,J1175*(1-Eingaben!$B$20)),0)</f>
        <v>1.561363244</v>
      </c>
      <c r="H1176" s="13" t="n">
        <f aca="false">MIN(G1176,D1176)</f>
        <v>0.89</v>
      </c>
      <c r="I1176" s="13" t="n">
        <f aca="false">IFERROR(MIN(F1176*Eingaben!$B$19,MAX(0,D1176-H1176)),0)</f>
        <v>0</v>
      </c>
      <c r="J1176" s="13" t="n">
        <f aca="false">IFERROR(MIN(Eingaben!$B$18,MAX(0,F1176-I1176)),0)</f>
        <v>1.7442</v>
      </c>
      <c r="K1176" s="13" t="n">
        <f aca="false">H1176+I1176</f>
        <v>0.89</v>
      </c>
      <c r="L1176" s="13" t="n">
        <f aca="false">MAX(0,D1176-K1176)</f>
        <v>0</v>
      </c>
      <c r="M1176" s="13" t="n">
        <f aca="false">MAX(0,F1176-I1176-J1176)</f>
        <v>0</v>
      </c>
      <c r="N1176" s="13" t="n">
        <f aca="false">IF(Kalender!A78="",0,J1175-H1176)</f>
        <v>0.7032278</v>
      </c>
    </row>
    <row r="1177" customFormat="false" ht="16.4" hidden="false" customHeight="false" outlineLevel="0" collapsed="false">
      <c r="A1177" s="13" t="str">
        <f aca="false">""</f>
        <v/>
      </c>
      <c r="B1177" s="13" t="n">
        <f aca="false">75</f>
        <v>75</v>
      </c>
      <c r="C1177" s="13" t="n">
        <f aca="false">IF(Szenarien!$H$14="OK",(IFERROR(SUMIF(Nutzungsprofile!$B$6:$B$11,"Schulbetrieb",Nutzungsprofile!$G$6:$G$11)*Kalender!C79/SUM(Kalender!$C$5:$C$370),0)+IFERROR(SUMIF(Nutzungsprofile!$B$6:$B$11,"Halle",Nutzungsprofile!$G$6:$G$11)*Kalender!D79/SUM(Kalender!$D$5:$D$370),0)+IFERROR(SUMIF(Nutzungsprofile!$B$6:$B$11,"Individuell",Nutzungsprofile!$G$6:$G$11)*Kalender!E79/SUM(Kalender!$E$5:$E$370),0))*Szenarien!$E$14,0)</f>
        <v>2.94</v>
      </c>
      <c r="D1177" s="13" t="n">
        <f aca="false">IF(Szenarien!$H$14="OK",(IFERROR(SUMIF(Nutzungsprofile!$B$17:$B$22,"Schulbetrieb",Nutzungsprofile!$G$17:$G$22)*Kalender!C79/SUM(Kalender!$C$5:$C$370),0)+IFERROR(SUMIF(Nutzungsprofile!$B$17:$B$22,"Halle",Nutzungsprofile!$G$17:$G$22)*Kalender!D79/SUM(Kalender!$D$5:$D$370),0)+IFERROR(SUMIF(Nutzungsprofile!$B$17:$B$22,"Individuell",Nutzungsprofile!$G$17:$G$22)*Kalender!E79/SUM(Kalender!$E$5:$E$370),0))*Szenarien!$D$14,0)</f>
        <v>4.94</v>
      </c>
      <c r="E1177" s="13" t="n">
        <f aca="false">IFERROR(MIN(C1177,Eingaben!$B$17)*Eingaben!$B$16,0)</f>
        <v>2.793</v>
      </c>
      <c r="F1177" s="13" t="n">
        <f aca="false">IFERROR(E1177*Eingaben!$B$15,0)</f>
        <v>2.5137</v>
      </c>
      <c r="G1177" s="13" t="n">
        <f aca="false">IFERROR(IF(Kalender!A79="",0,J1176*(1-Eingaben!$B$20)),0)</f>
        <v>1.709316</v>
      </c>
      <c r="H1177" s="13" t="n">
        <f aca="false">MIN(G1177,D1177)</f>
        <v>1.709316</v>
      </c>
      <c r="I1177" s="13" t="n">
        <f aca="false">IFERROR(MIN(F1177*Eingaben!$B$19,MAX(0,D1177-H1177)),0)</f>
        <v>1.75959</v>
      </c>
      <c r="J1177" s="13" t="n">
        <f aca="false">IFERROR(MIN(Eingaben!$B$18,MAX(0,F1177-I1177)),0)</f>
        <v>0.75411</v>
      </c>
      <c r="K1177" s="13" t="n">
        <f aca="false">H1177+I1177</f>
        <v>3.468906</v>
      </c>
      <c r="L1177" s="13" t="n">
        <f aca="false">MAX(0,D1177-K1177)</f>
        <v>1.471094</v>
      </c>
      <c r="M1177" s="13" t="n">
        <f aca="false">MAX(0,F1177-I1177-J1177)</f>
        <v>0</v>
      </c>
      <c r="N1177" s="13" t="n">
        <f aca="false">IF(Kalender!A79="",0,J1176-H1177)</f>
        <v>0.0348840000000001</v>
      </c>
    </row>
    <row r="1178" customFormat="false" ht="16.4" hidden="false" customHeight="false" outlineLevel="0" collapsed="false">
      <c r="A1178" s="13" t="str">
        <f aca="false">""</f>
        <v/>
      </c>
      <c r="B1178" s="13" t="n">
        <f aca="false">76</f>
        <v>76</v>
      </c>
      <c r="C1178" s="13" t="n">
        <f aca="false">IF(Szenarien!$H$14="OK",(IFERROR(SUMIF(Nutzungsprofile!$B$6:$B$11,"Schulbetrieb",Nutzungsprofile!$G$6:$G$11)*Kalender!C80/SUM(Kalender!$C$5:$C$370),0)+IFERROR(SUMIF(Nutzungsprofile!$B$6:$B$11,"Halle",Nutzungsprofile!$G$6:$G$11)*Kalender!D80/SUM(Kalender!$D$5:$D$370),0)+IFERROR(SUMIF(Nutzungsprofile!$B$6:$B$11,"Individuell",Nutzungsprofile!$G$6:$G$11)*Kalender!E80/SUM(Kalender!$E$5:$E$370),0))*Szenarien!$E$14,0)</f>
        <v>2.94</v>
      </c>
      <c r="D1178" s="13" t="n">
        <f aca="false">IF(Szenarien!$H$14="OK",(IFERROR(SUMIF(Nutzungsprofile!$B$17:$B$22,"Schulbetrieb",Nutzungsprofile!$G$17:$G$22)*Kalender!C80/SUM(Kalender!$C$5:$C$370),0)+IFERROR(SUMIF(Nutzungsprofile!$B$17:$B$22,"Halle",Nutzungsprofile!$G$17:$G$22)*Kalender!D80/SUM(Kalender!$D$5:$D$370),0)+IFERROR(SUMIF(Nutzungsprofile!$B$17:$B$22,"Individuell",Nutzungsprofile!$G$17:$G$22)*Kalender!E80/SUM(Kalender!$E$5:$E$370),0))*Szenarien!$D$14,0)</f>
        <v>4.94</v>
      </c>
      <c r="E1178" s="13" t="n">
        <f aca="false">IFERROR(MIN(C1178,Eingaben!$B$17)*Eingaben!$B$16,0)</f>
        <v>2.793</v>
      </c>
      <c r="F1178" s="13" t="n">
        <f aca="false">IFERROR(E1178*Eingaben!$B$15,0)</f>
        <v>2.5137</v>
      </c>
      <c r="G1178" s="13" t="n">
        <f aca="false">IFERROR(IF(Kalender!A80="",0,J1177*(1-Eingaben!$B$20)),0)</f>
        <v>0.7390278</v>
      </c>
      <c r="H1178" s="13" t="n">
        <f aca="false">MIN(G1178,D1178)</f>
        <v>0.7390278</v>
      </c>
      <c r="I1178" s="13" t="n">
        <f aca="false">IFERROR(MIN(F1178*Eingaben!$B$19,MAX(0,D1178-H1178)),0)</f>
        <v>1.75959</v>
      </c>
      <c r="J1178" s="13" t="n">
        <f aca="false">IFERROR(MIN(Eingaben!$B$18,MAX(0,F1178-I1178)),0)</f>
        <v>0.75411</v>
      </c>
      <c r="K1178" s="13" t="n">
        <f aca="false">H1178+I1178</f>
        <v>2.4986178</v>
      </c>
      <c r="L1178" s="13" t="n">
        <f aca="false">MAX(0,D1178-K1178)</f>
        <v>2.4413822</v>
      </c>
      <c r="M1178" s="13" t="n">
        <f aca="false">MAX(0,F1178-I1178-J1178)</f>
        <v>0</v>
      </c>
      <c r="N1178" s="13" t="n">
        <f aca="false">IF(Kalender!A80="",0,J1177-H1178)</f>
        <v>0.0150822</v>
      </c>
    </row>
    <row r="1179" customFormat="false" ht="16.4" hidden="false" customHeight="false" outlineLevel="0" collapsed="false">
      <c r="A1179" s="13" t="str">
        <f aca="false">""</f>
        <v/>
      </c>
      <c r="B1179" s="13" t="n">
        <f aca="false">77</f>
        <v>77</v>
      </c>
      <c r="C1179" s="13" t="n">
        <f aca="false">IF(Szenarien!$H$14="OK",(IFERROR(SUMIF(Nutzungsprofile!$B$6:$B$11,"Schulbetrieb",Nutzungsprofile!$G$6:$G$11)*Kalender!C81/SUM(Kalender!$C$5:$C$370),0)+IFERROR(SUMIF(Nutzungsprofile!$B$6:$B$11,"Halle",Nutzungsprofile!$G$6:$G$11)*Kalender!D81/SUM(Kalender!$D$5:$D$370),0)+IFERROR(SUMIF(Nutzungsprofile!$B$6:$B$11,"Individuell",Nutzungsprofile!$G$6:$G$11)*Kalender!E81/SUM(Kalender!$E$5:$E$370),0))*Szenarien!$E$14,0)</f>
        <v>2.94</v>
      </c>
      <c r="D1179" s="13" t="n">
        <f aca="false">IF(Szenarien!$H$14="OK",(IFERROR(SUMIF(Nutzungsprofile!$B$17:$B$22,"Schulbetrieb",Nutzungsprofile!$G$17:$G$22)*Kalender!C81/SUM(Kalender!$C$5:$C$370),0)+IFERROR(SUMIF(Nutzungsprofile!$B$17:$B$22,"Halle",Nutzungsprofile!$G$17:$G$22)*Kalender!D81/SUM(Kalender!$D$5:$D$370),0)+IFERROR(SUMIF(Nutzungsprofile!$B$17:$B$22,"Individuell",Nutzungsprofile!$G$17:$G$22)*Kalender!E81/SUM(Kalender!$E$5:$E$370),0))*Szenarien!$D$14,0)</f>
        <v>4.94</v>
      </c>
      <c r="E1179" s="13" t="n">
        <f aca="false">IFERROR(MIN(C1179,Eingaben!$B$17)*Eingaben!$B$16,0)</f>
        <v>2.793</v>
      </c>
      <c r="F1179" s="13" t="n">
        <f aca="false">IFERROR(E1179*Eingaben!$B$15,0)</f>
        <v>2.5137</v>
      </c>
      <c r="G1179" s="13" t="n">
        <f aca="false">IFERROR(IF(Kalender!A81="",0,J1178*(1-Eingaben!$B$20)),0)</f>
        <v>0.7390278</v>
      </c>
      <c r="H1179" s="13" t="n">
        <f aca="false">MIN(G1179,D1179)</f>
        <v>0.7390278</v>
      </c>
      <c r="I1179" s="13" t="n">
        <f aca="false">IFERROR(MIN(F1179*Eingaben!$B$19,MAX(0,D1179-H1179)),0)</f>
        <v>1.75959</v>
      </c>
      <c r="J1179" s="13" t="n">
        <f aca="false">IFERROR(MIN(Eingaben!$B$18,MAX(0,F1179-I1179)),0)</f>
        <v>0.75411</v>
      </c>
      <c r="K1179" s="13" t="n">
        <f aca="false">H1179+I1179</f>
        <v>2.4986178</v>
      </c>
      <c r="L1179" s="13" t="n">
        <f aca="false">MAX(0,D1179-K1179)</f>
        <v>2.4413822</v>
      </c>
      <c r="M1179" s="13" t="n">
        <f aca="false">MAX(0,F1179-I1179-J1179)</f>
        <v>0</v>
      </c>
      <c r="N1179" s="13" t="n">
        <f aca="false">IF(Kalender!A81="",0,J1178-H1179)</f>
        <v>0.0150822</v>
      </c>
    </row>
    <row r="1180" customFormat="false" ht="16.4" hidden="false" customHeight="false" outlineLevel="0" collapsed="false">
      <c r="A1180" s="13" t="str">
        <f aca="false">""</f>
        <v/>
      </c>
      <c r="B1180" s="13" t="n">
        <f aca="false">78</f>
        <v>78</v>
      </c>
      <c r="C1180" s="13" t="n">
        <f aca="false">IF(Szenarien!$H$14="OK",(IFERROR(SUMIF(Nutzungsprofile!$B$6:$B$11,"Schulbetrieb",Nutzungsprofile!$G$6:$G$11)*Kalender!C82/SUM(Kalender!$C$5:$C$370),0)+IFERROR(SUMIF(Nutzungsprofile!$B$6:$B$11,"Halle",Nutzungsprofile!$G$6:$G$11)*Kalender!D82/SUM(Kalender!$D$5:$D$370),0)+IFERROR(SUMIF(Nutzungsprofile!$B$6:$B$11,"Individuell",Nutzungsprofile!$G$6:$G$11)*Kalender!E82/SUM(Kalender!$E$5:$E$370),0))*Szenarien!$E$14,0)</f>
        <v>2.94</v>
      </c>
      <c r="D1180" s="13" t="n">
        <f aca="false">IF(Szenarien!$H$14="OK",(IFERROR(SUMIF(Nutzungsprofile!$B$17:$B$22,"Schulbetrieb",Nutzungsprofile!$G$17:$G$22)*Kalender!C82/SUM(Kalender!$C$5:$C$370),0)+IFERROR(SUMIF(Nutzungsprofile!$B$17:$B$22,"Halle",Nutzungsprofile!$G$17:$G$22)*Kalender!D82/SUM(Kalender!$D$5:$D$370),0)+IFERROR(SUMIF(Nutzungsprofile!$B$17:$B$22,"Individuell",Nutzungsprofile!$G$17:$G$22)*Kalender!E82/SUM(Kalender!$E$5:$E$370),0))*Szenarien!$D$14,0)</f>
        <v>4.94</v>
      </c>
      <c r="E1180" s="13" t="n">
        <f aca="false">IFERROR(MIN(C1180,Eingaben!$B$17)*Eingaben!$B$16,0)</f>
        <v>2.793</v>
      </c>
      <c r="F1180" s="13" t="n">
        <f aca="false">IFERROR(E1180*Eingaben!$B$15,0)</f>
        <v>2.5137</v>
      </c>
      <c r="G1180" s="13" t="n">
        <f aca="false">IFERROR(IF(Kalender!A82="",0,J1179*(1-Eingaben!$B$20)),0)</f>
        <v>0.7390278</v>
      </c>
      <c r="H1180" s="13" t="n">
        <f aca="false">MIN(G1180,D1180)</f>
        <v>0.7390278</v>
      </c>
      <c r="I1180" s="13" t="n">
        <f aca="false">IFERROR(MIN(F1180*Eingaben!$B$19,MAX(0,D1180-H1180)),0)</f>
        <v>1.75959</v>
      </c>
      <c r="J1180" s="13" t="n">
        <f aca="false">IFERROR(MIN(Eingaben!$B$18,MAX(0,F1180-I1180)),0)</f>
        <v>0.75411</v>
      </c>
      <c r="K1180" s="13" t="n">
        <f aca="false">H1180+I1180</f>
        <v>2.4986178</v>
      </c>
      <c r="L1180" s="13" t="n">
        <f aca="false">MAX(0,D1180-K1180)</f>
        <v>2.4413822</v>
      </c>
      <c r="M1180" s="13" t="n">
        <f aca="false">MAX(0,F1180-I1180-J1180)</f>
        <v>0</v>
      </c>
      <c r="N1180" s="13" t="n">
        <f aca="false">IF(Kalender!A82="",0,J1179-H1180)</f>
        <v>0.0150822</v>
      </c>
    </row>
    <row r="1181" customFormat="false" ht="16.4" hidden="false" customHeight="false" outlineLevel="0" collapsed="false">
      <c r="A1181" s="13" t="str">
        <f aca="false">""</f>
        <v/>
      </c>
      <c r="B1181" s="13" t="n">
        <f aca="false">79</f>
        <v>79</v>
      </c>
      <c r="C1181" s="13" t="n">
        <f aca="false">IF(Szenarien!$H$14="OK",(IFERROR(SUMIF(Nutzungsprofile!$B$6:$B$11,"Schulbetrieb",Nutzungsprofile!$G$6:$G$11)*Kalender!C83/SUM(Kalender!$C$5:$C$370),0)+IFERROR(SUMIF(Nutzungsprofile!$B$6:$B$11,"Halle",Nutzungsprofile!$G$6:$G$11)*Kalender!D83/SUM(Kalender!$D$5:$D$370),0)+IFERROR(SUMIF(Nutzungsprofile!$B$6:$B$11,"Individuell",Nutzungsprofile!$G$6:$G$11)*Kalender!E83/SUM(Kalender!$E$5:$E$370),0))*Szenarien!$E$14,0)</f>
        <v>2.94</v>
      </c>
      <c r="D1181" s="13" t="n">
        <f aca="false">IF(Szenarien!$H$14="OK",(IFERROR(SUMIF(Nutzungsprofile!$B$17:$B$22,"Schulbetrieb",Nutzungsprofile!$G$17:$G$22)*Kalender!C83/SUM(Kalender!$C$5:$C$370),0)+IFERROR(SUMIF(Nutzungsprofile!$B$17:$B$22,"Halle",Nutzungsprofile!$G$17:$G$22)*Kalender!D83/SUM(Kalender!$D$5:$D$370),0)+IFERROR(SUMIF(Nutzungsprofile!$B$17:$B$22,"Individuell",Nutzungsprofile!$G$17:$G$22)*Kalender!E83/SUM(Kalender!$E$5:$E$370),0))*Szenarien!$D$14,0)</f>
        <v>4.94</v>
      </c>
      <c r="E1181" s="13" t="n">
        <f aca="false">IFERROR(MIN(C1181,Eingaben!$B$17)*Eingaben!$B$16,0)</f>
        <v>2.793</v>
      </c>
      <c r="F1181" s="13" t="n">
        <f aca="false">IFERROR(E1181*Eingaben!$B$15,0)</f>
        <v>2.5137</v>
      </c>
      <c r="G1181" s="13" t="n">
        <f aca="false">IFERROR(IF(Kalender!A83="",0,J1180*(1-Eingaben!$B$20)),0)</f>
        <v>0.7390278</v>
      </c>
      <c r="H1181" s="13" t="n">
        <f aca="false">MIN(G1181,D1181)</f>
        <v>0.7390278</v>
      </c>
      <c r="I1181" s="13" t="n">
        <f aca="false">IFERROR(MIN(F1181*Eingaben!$B$19,MAX(0,D1181-H1181)),0)</f>
        <v>1.75959</v>
      </c>
      <c r="J1181" s="13" t="n">
        <f aca="false">IFERROR(MIN(Eingaben!$B$18,MAX(0,F1181-I1181)),0)</f>
        <v>0.75411</v>
      </c>
      <c r="K1181" s="13" t="n">
        <f aca="false">H1181+I1181</f>
        <v>2.4986178</v>
      </c>
      <c r="L1181" s="13" t="n">
        <f aca="false">MAX(0,D1181-K1181)</f>
        <v>2.4413822</v>
      </c>
      <c r="M1181" s="13" t="n">
        <f aca="false">MAX(0,F1181-I1181-J1181)</f>
        <v>0</v>
      </c>
      <c r="N1181" s="13" t="n">
        <f aca="false">IF(Kalender!A83="",0,J1180-H1181)</f>
        <v>0.0150822</v>
      </c>
    </row>
    <row r="1182" customFormat="false" ht="16.4" hidden="false" customHeight="false" outlineLevel="0" collapsed="false">
      <c r="A1182" s="13" t="str">
        <f aca="false">""</f>
        <v/>
      </c>
      <c r="B1182" s="13" t="n">
        <f aca="false">80</f>
        <v>80</v>
      </c>
      <c r="C1182" s="13" t="n">
        <f aca="false">IF(Szenarien!$H$14="OK",(IFERROR(SUMIF(Nutzungsprofile!$B$6:$B$11,"Schulbetrieb",Nutzungsprofile!$G$6:$G$11)*Kalender!C84/SUM(Kalender!$C$5:$C$370),0)+IFERROR(SUMIF(Nutzungsprofile!$B$6:$B$11,"Halle",Nutzungsprofile!$G$6:$G$11)*Kalender!D84/SUM(Kalender!$D$5:$D$370),0)+IFERROR(SUMIF(Nutzungsprofile!$B$6:$B$11,"Individuell",Nutzungsprofile!$G$6:$G$11)*Kalender!E84/SUM(Kalender!$E$5:$E$370),0))*Szenarien!$E$14,0)</f>
        <v>2.04</v>
      </c>
      <c r="D1182" s="13" t="n">
        <f aca="false">IF(Szenarien!$H$14="OK",(IFERROR(SUMIF(Nutzungsprofile!$B$17:$B$22,"Schulbetrieb",Nutzungsprofile!$G$17:$G$22)*Kalender!C84/SUM(Kalender!$C$5:$C$370),0)+IFERROR(SUMIF(Nutzungsprofile!$B$17:$B$22,"Halle",Nutzungsprofile!$G$17:$G$22)*Kalender!D84/SUM(Kalender!$D$5:$D$370),0)+IFERROR(SUMIF(Nutzungsprofile!$B$17:$B$22,"Individuell",Nutzungsprofile!$G$17:$G$22)*Kalender!E84/SUM(Kalender!$E$5:$E$370),0))*Szenarien!$D$14,0)</f>
        <v>0.89</v>
      </c>
      <c r="E1182" s="13" t="n">
        <f aca="false">IFERROR(MIN(C1182,Eingaben!$B$17)*Eingaben!$B$16,0)</f>
        <v>1.938</v>
      </c>
      <c r="F1182" s="13" t="n">
        <f aca="false">IFERROR(E1182*Eingaben!$B$15,0)</f>
        <v>1.7442</v>
      </c>
      <c r="G1182" s="13" t="n">
        <f aca="false">IFERROR(IF(Kalender!A84="",0,J1181*(1-Eingaben!$B$20)),0)</f>
        <v>0.7390278</v>
      </c>
      <c r="H1182" s="13" t="n">
        <f aca="false">MIN(G1182,D1182)</f>
        <v>0.7390278</v>
      </c>
      <c r="I1182" s="13" t="n">
        <f aca="false">IFERROR(MIN(F1182*Eingaben!$B$19,MAX(0,D1182-H1182)),0)</f>
        <v>0.1509722</v>
      </c>
      <c r="J1182" s="13" t="n">
        <f aca="false">IFERROR(MIN(Eingaben!$B$18,MAX(0,F1182-I1182)),0)</f>
        <v>1.5932278</v>
      </c>
      <c r="K1182" s="13" t="n">
        <f aca="false">H1182+I1182</f>
        <v>0.89</v>
      </c>
      <c r="L1182" s="13" t="n">
        <f aca="false">MAX(0,D1182-K1182)</f>
        <v>0</v>
      </c>
      <c r="M1182" s="13" t="n">
        <f aca="false">MAX(0,F1182-I1182-J1182)</f>
        <v>0</v>
      </c>
      <c r="N1182" s="13" t="n">
        <f aca="false">IF(Kalender!A84="",0,J1181-H1182)</f>
        <v>0.0150822</v>
      </c>
    </row>
    <row r="1183" customFormat="false" ht="16.4" hidden="false" customHeight="false" outlineLevel="0" collapsed="false">
      <c r="A1183" s="13" t="str">
        <f aca="false">""</f>
        <v/>
      </c>
      <c r="B1183" s="13" t="n">
        <f aca="false">81</f>
        <v>81</v>
      </c>
      <c r="C1183" s="13" t="n">
        <f aca="false">IF(Szenarien!$H$14="OK",(IFERROR(SUMIF(Nutzungsprofile!$B$6:$B$11,"Schulbetrieb",Nutzungsprofile!$G$6:$G$11)*Kalender!C85/SUM(Kalender!$C$5:$C$370),0)+IFERROR(SUMIF(Nutzungsprofile!$B$6:$B$11,"Halle",Nutzungsprofile!$G$6:$G$11)*Kalender!D85/SUM(Kalender!$D$5:$D$370),0)+IFERROR(SUMIF(Nutzungsprofile!$B$6:$B$11,"Individuell",Nutzungsprofile!$G$6:$G$11)*Kalender!E85/SUM(Kalender!$E$5:$E$370),0))*Szenarien!$E$14,0)</f>
        <v>2.04</v>
      </c>
      <c r="D1183" s="13" t="n">
        <f aca="false">IF(Szenarien!$H$14="OK",(IFERROR(SUMIF(Nutzungsprofile!$B$17:$B$22,"Schulbetrieb",Nutzungsprofile!$G$17:$G$22)*Kalender!C85/SUM(Kalender!$C$5:$C$370),0)+IFERROR(SUMIF(Nutzungsprofile!$B$17:$B$22,"Halle",Nutzungsprofile!$G$17:$G$22)*Kalender!D85/SUM(Kalender!$D$5:$D$370),0)+IFERROR(SUMIF(Nutzungsprofile!$B$17:$B$22,"Individuell",Nutzungsprofile!$G$17:$G$22)*Kalender!E85/SUM(Kalender!$E$5:$E$370),0))*Szenarien!$D$14,0)</f>
        <v>0.89</v>
      </c>
      <c r="E1183" s="13" t="n">
        <f aca="false">IFERROR(MIN(C1183,Eingaben!$B$17)*Eingaben!$B$16,0)</f>
        <v>1.938</v>
      </c>
      <c r="F1183" s="13" t="n">
        <f aca="false">IFERROR(E1183*Eingaben!$B$15,0)</f>
        <v>1.7442</v>
      </c>
      <c r="G1183" s="13" t="n">
        <f aca="false">IFERROR(IF(Kalender!A85="",0,J1182*(1-Eingaben!$B$20)),0)</f>
        <v>1.561363244</v>
      </c>
      <c r="H1183" s="13" t="n">
        <f aca="false">MIN(G1183,D1183)</f>
        <v>0.89</v>
      </c>
      <c r="I1183" s="13" t="n">
        <f aca="false">IFERROR(MIN(F1183*Eingaben!$B$19,MAX(0,D1183-H1183)),0)</f>
        <v>0</v>
      </c>
      <c r="J1183" s="13" t="n">
        <f aca="false">IFERROR(MIN(Eingaben!$B$18,MAX(0,F1183-I1183)),0)</f>
        <v>1.7442</v>
      </c>
      <c r="K1183" s="13" t="n">
        <f aca="false">H1183+I1183</f>
        <v>0.89</v>
      </c>
      <c r="L1183" s="13" t="n">
        <f aca="false">MAX(0,D1183-K1183)</f>
        <v>0</v>
      </c>
      <c r="M1183" s="13" t="n">
        <f aca="false">MAX(0,F1183-I1183-J1183)</f>
        <v>0</v>
      </c>
      <c r="N1183" s="13" t="n">
        <f aca="false">IF(Kalender!A85="",0,J1182-H1183)</f>
        <v>0.7032278</v>
      </c>
    </row>
    <row r="1184" customFormat="false" ht="16.4" hidden="false" customHeight="false" outlineLevel="0" collapsed="false">
      <c r="A1184" s="13" t="str">
        <f aca="false">""</f>
        <v/>
      </c>
      <c r="B1184" s="13" t="n">
        <f aca="false">82</f>
        <v>82</v>
      </c>
      <c r="C1184" s="13" t="n">
        <f aca="false">IF(Szenarien!$H$14="OK",(IFERROR(SUMIF(Nutzungsprofile!$B$6:$B$11,"Schulbetrieb",Nutzungsprofile!$G$6:$G$11)*Kalender!C86/SUM(Kalender!$C$5:$C$370),0)+IFERROR(SUMIF(Nutzungsprofile!$B$6:$B$11,"Halle",Nutzungsprofile!$G$6:$G$11)*Kalender!D86/SUM(Kalender!$D$5:$D$370),0)+IFERROR(SUMIF(Nutzungsprofile!$B$6:$B$11,"Individuell",Nutzungsprofile!$G$6:$G$11)*Kalender!E86/SUM(Kalender!$E$5:$E$370),0))*Szenarien!$E$14,0)</f>
        <v>2.94</v>
      </c>
      <c r="D1184" s="13" t="n">
        <f aca="false">IF(Szenarien!$H$14="OK",(IFERROR(SUMIF(Nutzungsprofile!$B$17:$B$22,"Schulbetrieb",Nutzungsprofile!$G$17:$G$22)*Kalender!C86/SUM(Kalender!$C$5:$C$370),0)+IFERROR(SUMIF(Nutzungsprofile!$B$17:$B$22,"Halle",Nutzungsprofile!$G$17:$G$22)*Kalender!D86/SUM(Kalender!$D$5:$D$370),0)+IFERROR(SUMIF(Nutzungsprofile!$B$17:$B$22,"Individuell",Nutzungsprofile!$G$17:$G$22)*Kalender!E86/SUM(Kalender!$E$5:$E$370),0))*Szenarien!$D$14,0)</f>
        <v>4.94</v>
      </c>
      <c r="E1184" s="13" t="n">
        <f aca="false">IFERROR(MIN(C1184,Eingaben!$B$17)*Eingaben!$B$16,0)</f>
        <v>2.793</v>
      </c>
      <c r="F1184" s="13" t="n">
        <f aca="false">IFERROR(E1184*Eingaben!$B$15,0)</f>
        <v>2.5137</v>
      </c>
      <c r="G1184" s="13" t="n">
        <f aca="false">IFERROR(IF(Kalender!A86="",0,J1183*(1-Eingaben!$B$20)),0)</f>
        <v>1.709316</v>
      </c>
      <c r="H1184" s="13" t="n">
        <f aca="false">MIN(G1184,D1184)</f>
        <v>1.709316</v>
      </c>
      <c r="I1184" s="13" t="n">
        <f aca="false">IFERROR(MIN(F1184*Eingaben!$B$19,MAX(0,D1184-H1184)),0)</f>
        <v>1.75959</v>
      </c>
      <c r="J1184" s="13" t="n">
        <f aca="false">IFERROR(MIN(Eingaben!$B$18,MAX(0,F1184-I1184)),0)</f>
        <v>0.75411</v>
      </c>
      <c r="K1184" s="13" t="n">
        <f aca="false">H1184+I1184</f>
        <v>3.468906</v>
      </c>
      <c r="L1184" s="13" t="n">
        <f aca="false">MAX(0,D1184-K1184)</f>
        <v>1.471094</v>
      </c>
      <c r="M1184" s="13" t="n">
        <f aca="false">MAX(0,F1184-I1184-J1184)</f>
        <v>0</v>
      </c>
      <c r="N1184" s="13" t="n">
        <f aca="false">IF(Kalender!A86="",0,J1183-H1184)</f>
        <v>0.0348840000000001</v>
      </c>
    </row>
    <row r="1185" customFormat="false" ht="16.4" hidden="false" customHeight="false" outlineLevel="0" collapsed="false">
      <c r="A1185" s="13" t="str">
        <f aca="false">""</f>
        <v/>
      </c>
      <c r="B1185" s="13" t="n">
        <f aca="false">83</f>
        <v>83</v>
      </c>
      <c r="C1185" s="13" t="n">
        <f aca="false">IF(Szenarien!$H$14="OK",(IFERROR(SUMIF(Nutzungsprofile!$B$6:$B$11,"Schulbetrieb",Nutzungsprofile!$G$6:$G$11)*Kalender!C87/SUM(Kalender!$C$5:$C$370),0)+IFERROR(SUMIF(Nutzungsprofile!$B$6:$B$11,"Halle",Nutzungsprofile!$G$6:$G$11)*Kalender!D87/SUM(Kalender!$D$5:$D$370),0)+IFERROR(SUMIF(Nutzungsprofile!$B$6:$B$11,"Individuell",Nutzungsprofile!$G$6:$G$11)*Kalender!E87/SUM(Kalender!$E$5:$E$370),0))*Szenarien!$E$14,0)</f>
        <v>2.94</v>
      </c>
      <c r="D1185" s="13" t="n">
        <f aca="false">IF(Szenarien!$H$14="OK",(IFERROR(SUMIF(Nutzungsprofile!$B$17:$B$22,"Schulbetrieb",Nutzungsprofile!$G$17:$G$22)*Kalender!C87/SUM(Kalender!$C$5:$C$370),0)+IFERROR(SUMIF(Nutzungsprofile!$B$17:$B$22,"Halle",Nutzungsprofile!$G$17:$G$22)*Kalender!D87/SUM(Kalender!$D$5:$D$370),0)+IFERROR(SUMIF(Nutzungsprofile!$B$17:$B$22,"Individuell",Nutzungsprofile!$G$17:$G$22)*Kalender!E87/SUM(Kalender!$E$5:$E$370),0))*Szenarien!$D$14,0)</f>
        <v>4.94</v>
      </c>
      <c r="E1185" s="13" t="n">
        <f aca="false">IFERROR(MIN(C1185,Eingaben!$B$17)*Eingaben!$B$16,0)</f>
        <v>2.793</v>
      </c>
      <c r="F1185" s="13" t="n">
        <f aca="false">IFERROR(E1185*Eingaben!$B$15,0)</f>
        <v>2.5137</v>
      </c>
      <c r="G1185" s="13" t="n">
        <f aca="false">IFERROR(IF(Kalender!A87="",0,J1184*(1-Eingaben!$B$20)),0)</f>
        <v>0.7390278</v>
      </c>
      <c r="H1185" s="13" t="n">
        <f aca="false">MIN(G1185,D1185)</f>
        <v>0.7390278</v>
      </c>
      <c r="I1185" s="13" t="n">
        <f aca="false">IFERROR(MIN(F1185*Eingaben!$B$19,MAX(0,D1185-H1185)),0)</f>
        <v>1.75959</v>
      </c>
      <c r="J1185" s="13" t="n">
        <f aca="false">IFERROR(MIN(Eingaben!$B$18,MAX(0,F1185-I1185)),0)</f>
        <v>0.75411</v>
      </c>
      <c r="K1185" s="13" t="n">
        <f aca="false">H1185+I1185</f>
        <v>2.4986178</v>
      </c>
      <c r="L1185" s="13" t="n">
        <f aca="false">MAX(0,D1185-K1185)</f>
        <v>2.4413822</v>
      </c>
      <c r="M1185" s="13" t="n">
        <f aca="false">MAX(0,F1185-I1185-J1185)</f>
        <v>0</v>
      </c>
      <c r="N1185" s="13" t="n">
        <f aca="false">IF(Kalender!A87="",0,J1184-H1185)</f>
        <v>0.0150822</v>
      </c>
    </row>
    <row r="1186" customFormat="false" ht="16.4" hidden="false" customHeight="false" outlineLevel="0" collapsed="false">
      <c r="A1186" s="13" t="str">
        <f aca="false">""</f>
        <v/>
      </c>
      <c r="B1186" s="13" t="n">
        <f aca="false">84</f>
        <v>84</v>
      </c>
      <c r="C1186" s="13" t="n">
        <f aca="false">IF(Szenarien!$H$14="OK",(IFERROR(SUMIF(Nutzungsprofile!$B$6:$B$11,"Schulbetrieb",Nutzungsprofile!$G$6:$G$11)*Kalender!C88/SUM(Kalender!$C$5:$C$370),0)+IFERROR(SUMIF(Nutzungsprofile!$B$6:$B$11,"Halle",Nutzungsprofile!$G$6:$G$11)*Kalender!D88/SUM(Kalender!$D$5:$D$370),0)+IFERROR(SUMIF(Nutzungsprofile!$B$6:$B$11,"Individuell",Nutzungsprofile!$G$6:$G$11)*Kalender!E88/SUM(Kalender!$E$5:$E$370),0))*Szenarien!$E$14,0)</f>
        <v>2.94</v>
      </c>
      <c r="D1186" s="13" t="n">
        <f aca="false">IF(Szenarien!$H$14="OK",(IFERROR(SUMIF(Nutzungsprofile!$B$17:$B$22,"Schulbetrieb",Nutzungsprofile!$G$17:$G$22)*Kalender!C88/SUM(Kalender!$C$5:$C$370),0)+IFERROR(SUMIF(Nutzungsprofile!$B$17:$B$22,"Halle",Nutzungsprofile!$G$17:$G$22)*Kalender!D88/SUM(Kalender!$D$5:$D$370),0)+IFERROR(SUMIF(Nutzungsprofile!$B$17:$B$22,"Individuell",Nutzungsprofile!$G$17:$G$22)*Kalender!E88/SUM(Kalender!$E$5:$E$370),0))*Szenarien!$D$14,0)</f>
        <v>4.94</v>
      </c>
      <c r="E1186" s="13" t="n">
        <f aca="false">IFERROR(MIN(C1186,Eingaben!$B$17)*Eingaben!$B$16,0)</f>
        <v>2.793</v>
      </c>
      <c r="F1186" s="13" t="n">
        <f aca="false">IFERROR(E1186*Eingaben!$B$15,0)</f>
        <v>2.5137</v>
      </c>
      <c r="G1186" s="13" t="n">
        <f aca="false">IFERROR(IF(Kalender!A88="",0,J1185*(1-Eingaben!$B$20)),0)</f>
        <v>0.7390278</v>
      </c>
      <c r="H1186" s="13" t="n">
        <f aca="false">MIN(G1186,D1186)</f>
        <v>0.7390278</v>
      </c>
      <c r="I1186" s="13" t="n">
        <f aca="false">IFERROR(MIN(F1186*Eingaben!$B$19,MAX(0,D1186-H1186)),0)</f>
        <v>1.75959</v>
      </c>
      <c r="J1186" s="13" t="n">
        <f aca="false">IFERROR(MIN(Eingaben!$B$18,MAX(0,F1186-I1186)),0)</f>
        <v>0.75411</v>
      </c>
      <c r="K1186" s="13" t="n">
        <f aca="false">H1186+I1186</f>
        <v>2.4986178</v>
      </c>
      <c r="L1186" s="13" t="n">
        <f aca="false">MAX(0,D1186-K1186)</f>
        <v>2.4413822</v>
      </c>
      <c r="M1186" s="13" t="n">
        <f aca="false">MAX(0,F1186-I1186-J1186)</f>
        <v>0</v>
      </c>
      <c r="N1186" s="13" t="n">
        <f aca="false">IF(Kalender!A88="",0,J1185-H1186)</f>
        <v>0.0150822</v>
      </c>
    </row>
    <row r="1187" customFormat="false" ht="16.4" hidden="false" customHeight="false" outlineLevel="0" collapsed="false">
      <c r="A1187" s="13" t="str">
        <f aca="false">""</f>
        <v/>
      </c>
      <c r="B1187" s="13" t="n">
        <f aca="false">85</f>
        <v>85</v>
      </c>
      <c r="C1187" s="13" t="n">
        <f aca="false">IF(Szenarien!$H$14="OK",(IFERROR(SUMIF(Nutzungsprofile!$B$6:$B$11,"Schulbetrieb",Nutzungsprofile!$G$6:$G$11)*Kalender!C89/SUM(Kalender!$C$5:$C$370),0)+IFERROR(SUMIF(Nutzungsprofile!$B$6:$B$11,"Halle",Nutzungsprofile!$G$6:$G$11)*Kalender!D89/SUM(Kalender!$D$5:$D$370),0)+IFERROR(SUMIF(Nutzungsprofile!$B$6:$B$11,"Individuell",Nutzungsprofile!$G$6:$G$11)*Kalender!E89/SUM(Kalender!$E$5:$E$370),0))*Szenarien!$E$14,0)</f>
        <v>2.94</v>
      </c>
      <c r="D1187" s="13" t="n">
        <f aca="false">IF(Szenarien!$H$14="OK",(IFERROR(SUMIF(Nutzungsprofile!$B$17:$B$22,"Schulbetrieb",Nutzungsprofile!$G$17:$G$22)*Kalender!C89/SUM(Kalender!$C$5:$C$370),0)+IFERROR(SUMIF(Nutzungsprofile!$B$17:$B$22,"Halle",Nutzungsprofile!$G$17:$G$22)*Kalender!D89/SUM(Kalender!$D$5:$D$370),0)+IFERROR(SUMIF(Nutzungsprofile!$B$17:$B$22,"Individuell",Nutzungsprofile!$G$17:$G$22)*Kalender!E89/SUM(Kalender!$E$5:$E$370),0))*Szenarien!$D$14,0)</f>
        <v>4.94</v>
      </c>
      <c r="E1187" s="13" t="n">
        <f aca="false">IFERROR(MIN(C1187,Eingaben!$B$17)*Eingaben!$B$16,0)</f>
        <v>2.793</v>
      </c>
      <c r="F1187" s="13" t="n">
        <f aca="false">IFERROR(E1187*Eingaben!$B$15,0)</f>
        <v>2.5137</v>
      </c>
      <c r="G1187" s="13" t="n">
        <f aca="false">IFERROR(IF(Kalender!A89="",0,J1186*(1-Eingaben!$B$20)),0)</f>
        <v>0.7390278</v>
      </c>
      <c r="H1187" s="13" t="n">
        <f aca="false">MIN(G1187,D1187)</f>
        <v>0.7390278</v>
      </c>
      <c r="I1187" s="13" t="n">
        <f aca="false">IFERROR(MIN(F1187*Eingaben!$B$19,MAX(0,D1187-H1187)),0)</f>
        <v>1.75959</v>
      </c>
      <c r="J1187" s="13" t="n">
        <f aca="false">IFERROR(MIN(Eingaben!$B$18,MAX(0,F1187-I1187)),0)</f>
        <v>0.75411</v>
      </c>
      <c r="K1187" s="13" t="n">
        <f aca="false">H1187+I1187</f>
        <v>2.4986178</v>
      </c>
      <c r="L1187" s="13" t="n">
        <f aca="false">MAX(0,D1187-K1187)</f>
        <v>2.4413822</v>
      </c>
      <c r="M1187" s="13" t="n">
        <f aca="false">MAX(0,F1187-I1187-J1187)</f>
        <v>0</v>
      </c>
      <c r="N1187" s="13" t="n">
        <f aca="false">IF(Kalender!A89="",0,J1186-H1187)</f>
        <v>0.0150822</v>
      </c>
    </row>
    <row r="1188" customFormat="false" ht="16.4" hidden="false" customHeight="false" outlineLevel="0" collapsed="false">
      <c r="A1188" s="13" t="str">
        <f aca="false">""</f>
        <v/>
      </c>
      <c r="B1188" s="13" t="n">
        <f aca="false">86</f>
        <v>86</v>
      </c>
      <c r="C1188" s="13" t="n">
        <f aca="false">IF(Szenarien!$H$14="OK",(IFERROR(SUMIF(Nutzungsprofile!$B$6:$B$11,"Schulbetrieb",Nutzungsprofile!$G$6:$G$11)*Kalender!C90/SUM(Kalender!$C$5:$C$370),0)+IFERROR(SUMIF(Nutzungsprofile!$B$6:$B$11,"Halle",Nutzungsprofile!$G$6:$G$11)*Kalender!D90/SUM(Kalender!$D$5:$D$370),0)+IFERROR(SUMIF(Nutzungsprofile!$B$6:$B$11,"Individuell",Nutzungsprofile!$G$6:$G$11)*Kalender!E90/SUM(Kalender!$E$5:$E$370),0))*Szenarien!$E$14,0)</f>
        <v>2.94</v>
      </c>
      <c r="D1188" s="13" t="n">
        <f aca="false">IF(Szenarien!$H$14="OK",(IFERROR(SUMIF(Nutzungsprofile!$B$17:$B$22,"Schulbetrieb",Nutzungsprofile!$G$17:$G$22)*Kalender!C90/SUM(Kalender!$C$5:$C$370),0)+IFERROR(SUMIF(Nutzungsprofile!$B$17:$B$22,"Halle",Nutzungsprofile!$G$17:$G$22)*Kalender!D90/SUM(Kalender!$D$5:$D$370),0)+IFERROR(SUMIF(Nutzungsprofile!$B$17:$B$22,"Individuell",Nutzungsprofile!$G$17:$G$22)*Kalender!E90/SUM(Kalender!$E$5:$E$370),0))*Szenarien!$D$14,0)</f>
        <v>4.94</v>
      </c>
      <c r="E1188" s="13" t="n">
        <f aca="false">IFERROR(MIN(C1188,Eingaben!$B$17)*Eingaben!$B$16,0)</f>
        <v>2.793</v>
      </c>
      <c r="F1188" s="13" t="n">
        <f aca="false">IFERROR(E1188*Eingaben!$B$15,0)</f>
        <v>2.5137</v>
      </c>
      <c r="G1188" s="13" t="n">
        <f aca="false">IFERROR(IF(Kalender!A90="",0,J1187*(1-Eingaben!$B$20)),0)</f>
        <v>0.7390278</v>
      </c>
      <c r="H1188" s="13" t="n">
        <f aca="false">MIN(G1188,D1188)</f>
        <v>0.7390278</v>
      </c>
      <c r="I1188" s="13" t="n">
        <f aca="false">IFERROR(MIN(F1188*Eingaben!$B$19,MAX(0,D1188-H1188)),0)</f>
        <v>1.75959</v>
      </c>
      <c r="J1188" s="13" t="n">
        <f aca="false">IFERROR(MIN(Eingaben!$B$18,MAX(0,F1188-I1188)),0)</f>
        <v>0.75411</v>
      </c>
      <c r="K1188" s="13" t="n">
        <f aca="false">H1188+I1188</f>
        <v>2.4986178</v>
      </c>
      <c r="L1188" s="13" t="n">
        <f aca="false">MAX(0,D1188-K1188)</f>
        <v>2.4413822</v>
      </c>
      <c r="M1188" s="13" t="n">
        <f aca="false">MAX(0,F1188-I1188-J1188)</f>
        <v>0</v>
      </c>
      <c r="N1188" s="13" t="n">
        <f aca="false">IF(Kalender!A90="",0,J1187-H1188)</f>
        <v>0.0150822</v>
      </c>
    </row>
    <row r="1189" customFormat="false" ht="16.4" hidden="false" customHeight="false" outlineLevel="0" collapsed="false">
      <c r="A1189" s="13" t="str">
        <f aca="false">""</f>
        <v/>
      </c>
      <c r="B1189" s="13" t="n">
        <f aca="false">87</f>
        <v>87</v>
      </c>
      <c r="C1189" s="13" t="n">
        <f aca="false">IF(Szenarien!$H$14="OK",(IFERROR(SUMIF(Nutzungsprofile!$B$6:$B$11,"Schulbetrieb",Nutzungsprofile!$G$6:$G$11)*Kalender!C91/SUM(Kalender!$C$5:$C$370),0)+IFERROR(SUMIF(Nutzungsprofile!$B$6:$B$11,"Halle",Nutzungsprofile!$G$6:$G$11)*Kalender!D91/SUM(Kalender!$D$5:$D$370),0)+IFERROR(SUMIF(Nutzungsprofile!$B$6:$B$11,"Individuell",Nutzungsprofile!$G$6:$G$11)*Kalender!E91/SUM(Kalender!$E$5:$E$370),0))*Szenarien!$E$14,0)</f>
        <v>2.04</v>
      </c>
      <c r="D1189" s="13" t="n">
        <f aca="false">IF(Szenarien!$H$14="OK",(IFERROR(SUMIF(Nutzungsprofile!$B$17:$B$22,"Schulbetrieb",Nutzungsprofile!$G$17:$G$22)*Kalender!C91/SUM(Kalender!$C$5:$C$370),0)+IFERROR(SUMIF(Nutzungsprofile!$B$17:$B$22,"Halle",Nutzungsprofile!$G$17:$G$22)*Kalender!D91/SUM(Kalender!$D$5:$D$370),0)+IFERROR(SUMIF(Nutzungsprofile!$B$17:$B$22,"Individuell",Nutzungsprofile!$G$17:$G$22)*Kalender!E91/SUM(Kalender!$E$5:$E$370),0))*Szenarien!$D$14,0)</f>
        <v>0.89</v>
      </c>
      <c r="E1189" s="13" t="n">
        <f aca="false">IFERROR(MIN(C1189,Eingaben!$B$17)*Eingaben!$B$16,0)</f>
        <v>1.938</v>
      </c>
      <c r="F1189" s="13" t="n">
        <f aca="false">IFERROR(E1189*Eingaben!$B$15,0)</f>
        <v>1.7442</v>
      </c>
      <c r="G1189" s="13" t="n">
        <f aca="false">IFERROR(IF(Kalender!A91="",0,J1188*(1-Eingaben!$B$20)),0)</f>
        <v>0.7390278</v>
      </c>
      <c r="H1189" s="13" t="n">
        <f aca="false">MIN(G1189,D1189)</f>
        <v>0.7390278</v>
      </c>
      <c r="I1189" s="13" t="n">
        <f aca="false">IFERROR(MIN(F1189*Eingaben!$B$19,MAX(0,D1189-H1189)),0)</f>
        <v>0.1509722</v>
      </c>
      <c r="J1189" s="13" t="n">
        <f aca="false">IFERROR(MIN(Eingaben!$B$18,MAX(0,F1189-I1189)),0)</f>
        <v>1.5932278</v>
      </c>
      <c r="K1189" s="13" t="n">
        <f aca="false">H1189+I1189</f>
        <v>0.89</v>
      </c>
      <c r="L1189" s="13" t="n">
        <f aca="false">MAX(0,D1189-K1189)</f>
        <v>0</v>
      </c>
      <c r="M1189" s="13" t="n">
        <f aca="false">MAX(0,F1189-I1189-J1189)</f>
        <v>0</v>
      </c>
      <c r="N1189" s="13" t="n">
        <f aca="false">IF(Kalender!A91="",0,J1188-H1189)</f>
        <v>0.0150822</v>
      </c>
    </row>
    <row r="1190" customFormat="false" ht="16.4" hidden="false" customHeight="false" outlineLevel="0" collapsed="false">
      <c r="A1190" s="13" t="str">
        <f aca="false">""</f>
        <v/>
      </c>
      <c r="B1190" s="13" t="n">
        <f aca="false">88</f>
        <v>88</v>
      </c>
      <c r="C1190" s="13" t="n">
        <f aca="false">IF(Szenarien!$H$14="OK",(IFERROR(SUMIF(Nutzungsprofile!$B$6:$B$11,"Schulbetrieb",Nutzungsprofile!$G$6:$G$11)*Kalender!C92/SUM(Kalender!$C$5:$C$370),0)+IFERROR(SUMIF(Nutzungsprofile!$B$6:$B$11,"Halle",Nutzungsprofile!$G$6:$G$11)*Kalender!D92/SUM(Kalender!$D$5:$D$370),0)+IFERROR(SUMIF(Nutzungsprofile!$B$6:$B$11,"Individuell",Nutzungsprofile!$G$6:$G$11)*Kalender!E92/SUM(Kalender!$E$5:$E$370),0))*Szenarien!$E$14,0)</f>
        <v>2.04</v>
      </c>
      <c r="D1190" s="13" t="n">
        <f aca="false">IF(Szenarien!$H$14="OK",(IFERROR(SUMIF(Nutzungsprofile!$B$17:$B$22,"Schulbetrieb",Nutzungsprofile!$G$17:$G$22)*Kalender!C92/SUM(Kalender!$C$5:$C$370),0)+IFERROR(SUMIF(Nutzungsprofile!$B$17:$B$22,"Halle",Nutzungsprofile!$G$17:$G$22)*Kalender!D92/SUM(Kalender!$D$5:$D$370),0)+IFERROR(SUMIF(Nutzungsprofile!$B$17:$B$22,"Individuell",Nutzungsprofile!$G$17:$G$22)*Kalender!E92/SUM(Kalender!$E$5:$E$370),0))*Szenarien!$D$14,0)</f>
        <v>0.89</v>
      </c>
      <c r="E1190" s="13" t="n">
        <f aca="false">IFERROR(MIN(C1190,Eingaben!$B$17)*Eingaben!$B$16,0)</f>
        <v>1.938</v>
      </c>
      <c r="F1190" s="13" t="n">
        <f aca="false">IFERROR(E1190*Eingaben!$B$15,0)</f>
        <v>1.7442</v>
      </c>
      <c r="G1190" s="13" t="n">
        <f aca="false">IFERROR(IF(Kalender!A92="",0,J1189*(1-Eingaben!$B$20)),0)</f>
        <v>1.561363244</v>
      </c>
      <c r="H1190" s="13" t="n">
        <f aca="false">MIN(G1190,D1190)</f>
        <v>0.89</v>
      </c>
      <c r="I1190" s="13" t="n">
        <f aca="false">IFERROR(MIN(F1190*Eingaben!$B$19,MAX(0,D1190-H1190)),0)</f>
        <v>0</v>
      </c>
      <c r="J1190" s="13" t="n">
        <f aca="false">IFERROR(MIN(Eingaben!$B$18,MAX(0,F1190-I1190)),0)</f>
        <v>1.7442</v>
      </c>
      <c r="K1190" s="13" t="n">
        <f aca="false">H1190+I1190</f>
        <v>0.89</v>
      </c>
      <c r="L1190" s="13" t="n">
        <f aca="false">MAX(0,D1190-K1190)</f>
        <v>0</v>
      </c>
      <c r="M1190" s="13" t="n">
        <f aca="false">MAX(0,F1190-I1190-J1190)</f>
        <v>0</v>
      </c>
      <c r="N1190" s="13" t="n">
        <f aca="false">IF(Kalender!A92="",0,J1189-H1190)</f>
        <v>0.7032278</v>
      </c>
    </row>
    <row r="1191" customFormat="false" ht="16.4" hidden="false" customHeight="false" outlineLevel="0" collapsed="false">
      <c r="A1191" s="13" t="str">
        <f aca="false">""</f>
        <v/>
      </c>
      <c r="B1191" s="13" t="n">
        <f aca="false">89</f>
        <v>89</v>
      </c>
      <c r="C1191" s="13" t="n">
        <f aca="false">IF(Szenarien!$H$14="OK",(IFERROR(SUMIF(Nutzungsprofile!$B$6:$B$11,"Schulbetrieb",Nutzungsprofile!$G$6:$G$11)*Kalender!C93/SUM(Kalender!$C$5:$C$370),0)+IFERROR(SUMIF(Nutzungsprofile!$B$6:$B$11,"Halle",Nutzungsprofile!$G$6:$G$11)*Kalender!D93/SUM(Kalender!$D$5:$D$370),0)+IFERROR(SUMIF(Nutzungsprofile!$B$6:$B$11,"Individuell",Nutzungsprofile!$G$6:$G$11)*Kalender!E93/SUM(Kalender!$E$5:$E$370),0))*Szenarien!$E$14,0)</f>
        <v>2.94</v>
      </c>
      <c r="D1191" s="13" t="n">
        <f aca="false">IF(Szenarien!$H$14="OK",(IFERROR(SUMIF(Nutzungsprofile!$B$17:$B$22,"Schulbetrieb",Nutzungsprofile!$G$17:$G$22)*Kalender!C93/SUM(Kalender!$C$5:$C$370),0)+IFERROR(SUMIF(Nutzungsprofile!$B$17:$B$22,"Halle",Nutzungsprofile!$G$17:$G$22)*Kalender!D93/SUM(Kalender!$D$5:$D$370),0)+IFERROR(SUMIF(Nutzungsprofile!$B$17:$B$22,"Individuell",Nutzungsprofile!$G$17:$G$22)*Kalender!E93/SUM(Kalender!$E$5:$E$370),0))*Szenarien!$D$14,0)</f>
        <v>4.94</v>
      </c>
      <c r="E1191" s="13" t="n">
        <f aca="false">IFERROR(MIN(C1191,Eingaben!$B$17)*Eingaben!$B$16,0)</f>
        <v>2.793</v>
      </c>
      <c r="F1191" s="13" t="n">
        <f aca="false">IFERROR(E1191*Eingaben!$B$15,0)</f>
        <v>2.5137</v>
      </c>
      <c r="G1191" s="13" t="n">
        <f aca="false">IFERROR(IF(Kalender!A93="",0,J1190*(1-Eingaben!$B$20)),0)</f>
        <v>1.709316</v>
      </c>
      <c r="H1191" s="13" t="n">
        <f aca="false">MIN(G1191,D1191)</f>
        <v>1.709316</v>
      </c>
      <c r="I1191" s="13" t="n">
        <f aca="false">IFERROR(MIN(F1191*Eingaben!$B$19,MAX(0,D1191-H1191)),0)</f>
        <v>1.75959</v>
      </c>
      <c r="J1191" s="13" t="n">
        <f aca="false">IFERROR(MIN(Eingaben!$B$18,MAX(0,F1191-I1191)),0)</f>
        <v>0.75411</v>
      </c>
      <c r="K1191" s="13" t="n">
        <f aca="false">H1191+I1191</f>
        <v>3.468906</v>
      </c>
      <c r="L1191" s="13" t="n">
        <f aca="false">MAX(0,D1191-K1191)</f>
        <v>1.471094</v>
      </c>
      <c r="M1191" s="13" t="n">
        <f aca="false">MAX(0,F1191-I1191-J1191)</f>
        <v>0</v>
      </c>
      <c r="N1191" s="13" t="n">
        <f aca="false">IF(Kalender!A93="",0,J1190-H1191)</f>
        <v>0.0348840000000001</v>
      </c>
    </row>
    <row r="1192" customFormat="false" ht="16.4" hidden="false" customHeight="false" outlineLevel="0" collapsed="false">
      <c r="A1192" s="13" t="str">
        <f aca="false">""</f>
        <v/>
      </c>
      <c r="B1192" s="13" t="n">
        <f aca="false">90</f>
        <v>90</v>
      </c>
      <c r="C1192" s="13" t="n">
        <f aca="false">IF(Szenarien!$H$14="OK",(IFERROR(SUMIF(Nutzungsprofile!$B$6:$B$11,"Schulbetrieb",Nutzungsprofile!$G$6:$G$11)*Kalender!C94/SUM(Kalender!$C$5:$C$370),0)+IFERROR(SUMIF(Nutzungsprofile!$B$6:$B$11,"Halle",Nutzungsprofile!$G$6:$G$11)*Kalender!D94/SUM(Kalender!$D$5:$D$370),0)+IFERROR(SUMIF(Nutzungsprofile!$B$6:$B$11,"Individuell",Nutzungsprofile!$G$6:$G$11)*Kalender!E94/SUM(Kalender!$E$5:$E$370),0))*Szenarien!$E$14,0)</f>
        <v>2.94</v>
      </c>
      <c r="D1192" s="13" t="n">
        <f aca="false">IF(Szenarien!$H$14="OK",(IFERROR(SUMIF(Nutzungsprofile!$B$17:$B$22,"Schulbetrieb",Nutzungsprofile!$G$17:$G$22)*Kalender!C94/SUM(Kalender!$C$5:$C$370),0)+IFERROR(SUMIF(Nutzungsprofile!$B$17:$B$22,"Halle",Nutzungsprofile!$G$17:$G$22)*Kalender!D94/SUM(Kalender!$D$5:$D$370),0)+IFERROR(SUMIF(Nutzungsprofile!$B$17:$B$22,"Individuell",Nutzungsprofile!$G$17:$G$22)*Kalender!E94/SUM(Kalender!$E$5:$E$370),0))*Szenarien!$D$14,0)</f>
        <v>4.94</v>
      </c>
      <c r="E1192" s="13" t="n">
        <f aca="false">IFERROR(MIN(C1192,Eingaben!$B$17)*Eingaben!$B$16,0)</f>
        <v>2.793</v>
      </c>
      <c r="F1192" s="13" t="n">
        <f aca="false">IFERROR(E1192*Eingaben!$B$15,0)</f>
        <v>2.5137</v>
      </c>
      <c r="G1192" s="13" t="n">
        <f aca="false">IFERROR(IF(Kalender!A94="",0,J1191*(1-Eingaben!$B$20)),0)</f>
        <v>0.7390278</v>
      </c>
      <c r="H1192" s="13" t="n">
        <f aca="false">MIN(G1192,D1192)</f>
        <v>0.7390278</v>
      </c>
      <c r="I1192" s="13" t="n">
        <f aca="false">IFERROR(MIN(F1192*Eingaben!$B$19,MAX(0,D1192-H1192)),0)</f>
        <v>1.75959</v>
      </c>
      <c r="J1192" s="13" t="n">
        <f aca="false">IFERROR(MIN(Eingaben!$B$18,MAX(0,F1192-I1192)),0)</f>
        <v>0.75411</v>
      </c>
      <c r="K1192" s="13" t="n">
        <f aca="false">H1192+I1192</f>
        <v>2.4986178</v>
      </c>
      <c r="L1192" s="13" t="n">
        <f aca="false">MAX(0,D1192-K1192)</f>
        <v>2.4413822</v>
      </c>
      <c r="M1192" s="13" t="n">
        <f aca="false">MAX(0,F1192-I1192-J1192)</f>
        <v>0</v>
      </c>
      <c r="N1192" s="13" t="n">
        <f aca="false">IF(Kalender!A94="",0,J1191-H1192)</f>
        <v>0.0150822</v>
      </c>
    </row>
    <row r="1193" customFormat="false" ht="16.4" hidden="false" customHeight="false" outlineLevel="0" collapsed="false">
      <c r="A1193" s="13" t="str">
        <f aca="false">""</f>
        <v/>
      </c>
      <c r="B1193" s="13" t="n">
        <f aca="false">91</f>
        <v>91</v>
      </c>
      <c r="C1193" s="13" t="n">
        <f aca="false">IF(Szenarien!$H$14="OK",(IFERROR(SUMIF(Nutzungsprofile!$B$6:$B$11,"Schulbetrieb",Nutzungsprofile!$G$6:$G$11)*Kalender!C95/SUM(Kalender!$C$5:$C$370),0)+IFERROR(SUMIF(Nutzungsprofile!$B$6:$B$11,"Halle",Nutzungsprofile!$G$6:$G$11)*Kalender!D95/SUM(Kalender!$D$5:$D$370),0)+IFERROR(SUMIF(Nutzungsprofile!$B$6:$B$11,"Individuell",Nutzungsprofile!$G$6:$G$11)*Kalender!E95/SUM(Kalender!$E$5:$E$370),0))*Szenarien!$E$14,0)</f>
        <v>2.94</v>
      </c>
      <c r="D1193" s="13" t="n">
        <f aca="false">IF(Szenarien!$H$14="OK",(IFERROR(SUMIF(Nutzungsprofile!$B$17:$B$22,"Schulbetrieb",Nutzungsprofile!$G$17:$G$22)*Kalender!C95/SUM(Kalender!$C$5:$C$370),0)+IFERROR(SUMIF(Nutzungsprofile!$B$17:$B$22,"Halle",Nutzungsprofile!$G$17:$G$22)*Kalender!D95/SUM(Kalender!$D$5:$D$370),0)+IFERROR(SUMIF(Nutzungsprofile!$B$17:$B$22,"Individuell",Nutzungsprofile!$G$17:$G$22)*Kalender!E95/SUM(Kalender!$E$5:$E$370),0))*Szenarien!$D$14,0)</f>
        <v>4.94</v>
      </c>
      <c r="E1193" s="13" t="n">
        <f aca="false">IFERROR(MIN(C1193,Eingaben!$B$17)*Eingaben!$B$16,0)</f>
        <v>2.793</v>
      </c>
      <c r="F1193" s="13" t="n">
        <f aca="false">IFERROR(E1193*Eingaben!$B$15,0)</f>
        <v>2.5137</v>
      </c>
      <c r="G1193" s="13" t="n">
        <f aca="false">IFERROR(IF(Kalender!A95="",0,J1192*(1-Eingaben!$B$20)),0)</f>
        <v>0.7390278</v>
      </c>
      <c r="H1193" s="13" t="n">
        <f aca="false">MIN(G1193,D1193)</f>
        <v>0.7390278</v>
      </c>
      <c r="I1193" s="13" t="n">
        <f aca="false">IFERROR(MIN(F1193*Eingaben!$B$19,MAX(0,D1193-H1193)),0)</f>
        <v>1.75959</v>
      </c>
      <c r="J1193" s="13" t="n">
        <f aca="false">IFERROR(MIN(Eingaben!$B$18,MAX(0,F1193-I1193)),0)</f>
        <v>0.75411</v>
      </c>
      <c r="K1193" s="13" t="n">
        <f aca="false">H1193+I1193</f>
        <v>2.4986178</v>
      </c>
      <c r="L1193" s="13" t="n">
        <f aca="false">MAX(0,D1193-K1193)</f>
        <v>2.4413822</v>
      </c>
      <c r="M1193" s="13" t="n">
        <f aca="false">MAX(0,F1193-I1193-J1193)</f>
        <v>0</v>
      </c>
      <c r="N1193" s="13" t="n">
        <f aca="false">IF(Kalender!A95="",0,J1192-H1193)</f>
        <v>0.0150822</v>
      </c>
    </row>
    <row r="1194" customFormat="false" ht="16.4" hidden="false" customHeight="false" outlineLevel="0" collapsed="false">
      <c r="A1194" s="13" t="str">
        <f aca="false">""</f>
        <v/>
      </c>
      <c r="B1194" s="13" t="n">
        <f aca="false">92</f>
        <v>92</v>
      </c>
      <c r="C1194" s="13" t="n">
        <f aca="false">IF(Szenarien!$H$14="OK",(IFERROR(SUMIF(Nutzungsprofile!$B$6:$B$11,"Schulbetrieb",Nutzungsprofile!$G$6:$G$11)*Kalender!C96/SUM(Kalender!$C$5:$C$370),0)+IFERROR(SUMIF(Nutzungsprofile!$B$6:$B$11,"Halle",Nutzungsprofile!$G$6:$G$11)*Kalender!D96/SUM(Kalender!$D$5:$D$370),0)+IFERROR(SUMIF(Nutzungsprofile!$B$6:$B$11,"Individuell",Nutzungsprofile!$G$6:$G$11)*Kalender!E96/SUM(Kalender!$E$5:$E$370),0))*Szenarien!$E$14,0)</f>
        <v>2.94</v>
      </c>
      <c r="D1194" s="13" t="n">
        <f aca="false">IF(Szenarien!$H$14="OK",(IFERROR(SUMIF(Nutzungsprofile!$B$17:$B$22,"Schulbetrieb",Nutzungsprofile!$G$17:$G$22)*Kalender!C96/SUM(Kalender!$C$5:$C$370),0)+IFERROR(SUMIF(Nutzungsprofile!$B$17:$B$22,"Halle",Nutzungsprofile!$G$17:$G$22)*Kalender!D96/SUM(Kalender!$D$5:$D$370),0)+IFERROR(SUMIF(Nutzungsprofile!$B$17:$B$22,"Individuell",Nutzungsprofile!$G$17:$G$22)*Kalender!E96/SUM(Kalender!$E$5:$E$370),0))*Szenarien!$D$14,0)</f>
        <v>4.94</v>
      </c>
      <c r="E1194" s="13" t="n">
        <f aca="false">IFERROR(MIN(C1194,Eingaben!$B$17)*Eingaben!$B$16,0)</f>
        <v>2.793</v>
      </c>
      <c r="F1194" s="13" t="n">
        <f aca="false">IFERROR(E1194*Eingaben!$B$15,0)</f>
        <v>2.5137</v>
      </c>
      <c r="G1194" s="13" t="n">
        <f aca="false">IFERROR(IF(Kalender!A96="",0,J1193*(1-Eingaben!$B$20)),0)</f>
        <v>0.7390278</v>
      </c>
      <c r="H1194" s="13" t="n">
        <f aca="false">MIN(G1194,D1194)</f>
        <v>0.7390278</v>
      </c>
      <c r="I1194" s="13" t="n">
        <f aca="false">IFERROR(MIN(F1194*Eingaben!$B$19,MAX(0,D1194-H1194)),0)</f>
        <v>1.75959</v>
      </c>
      <c r="J1194" s="13" t="n">
        <f aca="false">IFERROR(MIN(Eingaben!$B$18,MAX(0,F1194-I1194)),0)</f>
        <v>0.75411</v>
      </c>
      <c r="K1194" s="13" t="n">
        <f aca="false">H1194+I1194</f>
        <v>2.4986178</v>
      </c>
      <c r="L1194" s="13" t="n">
        <f aca="false">MAX(0,D1194-K1194)</f>
        <v>2.4413822</v>
      </c>
      <c r="M1194" s="13" t="n">
        <f aca="false">MAX(0,F1194-I1194-J1194)</f>
        <v>0</v>
      </c>
      <c r="N1194" s="13" t="n">
        <f aca="false">IF(Kalender!A96="",0,J1193-H1194)</f>
        <v>0.0150822</v>
      </c>
    </row>
    <row r="1195" customFormat="false" ht="16.4" hidden="false" customHeight="false" outlineLevel="0" collapsed="false">
      <c r="A1195" s="13" t="str">
        <f aca="false">""</f>
        <v/>
      </c>
      <c r="B1195" s="13" t="n">
        <f aca="false">93</f>
        <v>93</v>
      </c>
      <c r="C1195" s="13" t="n">
        <f aca="false">IF(Szenarien!$H$14="OK",(IFERROR(SUMIF(Nutzungsprofile!$B$6:$B$11,"Schulbetrieb",Nutzungsprofile!$G$6:$G$11)*Kalender!C97/SUM(Kalender!$C$5:$C$370),0)+IFERROR(SUMIF(Nutzungsprofile!$B$6:$B$11,"Halle",Nutzungsprofile!$G$6:$G$11)*Kalender!D97/SUM(Kalender!$D$5:$D$370),0)+IFERROR(SUMIF(Nutzungsprofile!$B$6:$B$11,"Individuell",Nutzungsprofile!$G$6:$G$11)*Kalender!E97/SUM(Kalender!$E$5:$E$370),0))*Szenarien!$E$14,0)</f>
        <v>2.94</v>
      </c>
      <c r="D1195" s="13" t="n">
        <f aca="false">IF(Szenarien!$H$14="OK",(IFERROR(SUMIF(Nutzungsprofile!$B$17:$B$22,"Schulbetrieb",Nutzungsprofile!$G$17:$G$22)*Kalender!C97/SUM(Kalender!$C$5:$C$370),0)+IFERROR(SUMIF(Nutzungsprofile!$B$17:$B$22,"Halle",Nutzungsprofile!$G$17:$G$22)*Kalender!D97/SUM(Kalender!$D$5:$D$370),0)+IFERROR(SUMIF(Nutzungsprofile!$B$17:$B$22,"Individuell",Nutzungsprofile!$G$17:$G$22)*Kalender!E97/SUM(Kalender!$E$5:$E$370),0))*Szenarien!$D$14,0)</f>
        <v>4.94</v>
      </c>
      <c r="E1195" s="13" t="n">
        <f aca="false">IFERROR(MIN(C1195,Eingaben!$B$17)*Eingaben!$B$16,0)</f>
        <v>2.793</v>
      </c>
      <c r="F1195" s="13" t="n">
        <f aca="false">IFERROR(E1195*Eingaben!$B$15,0)</f>
        <v>2.5137</v>
      </c>
      <c r="G1195" s="13" t="n">
        <f aca="false">IFERROR(IF(Kalender!A97="",0,J1194*(1-Eingaben!$B$20)),0)</f>
        <v>0.7390278</v>
      </c>
      <c r="H1195" s="13" t="n">
        <f aca="false">MIN(G1195,D1195)</f>
        <v>0.7390278</v>
      </c>
      <c r="I1195" s="13" t="n">
        <f aca="false">IFERROR(MIN(F1195*Eingaben!$B$19,MAX(0,D1195-H1195)),0)</f>
        <v>1.75959</v>
      </c>
      <c r="J1195" s="13" t="n">
        <f aca="false">IFERROR(MIN(Eingaben!$B$18,MAX(0,F1195-I1195)),0)</f>
        <v>0.75411</v>
      </c>
      <c r="K1195" s="13" t="n">
        <f aca="false">H1195+I1195</f>
        <v>2.4986178</v>
      </c>
      <c r="L1195" s="13" t="n">
        <f aca="false">MAX(0,D1195-K1195)</f>
        <v>2.4413822</v>
      </c>
      <c r="M1195" s="13" t="n">
        <f aca="false">MAX(0,F1195-I1195-J1195)</f>
        <v>0</v>
      </c>
      <c r="N1195" s="13" t="n">
        <f aca="false">IF(Kalender!A97="",0,J1194-H1195)</f>
        <v>0.0150822</v>
      </c>
    </row>
    <row r="1196" customFormat="false" ht="16.4" hidden="false" customHeight="false" outlineLevel="0" collapsed="false">
      <c r="A1196" s="13" t="str">
        <f aca="false">""</f>
        <v/>
      </c>
      <c r="B1196" s="13" t="n">
        <f aca="false">94</f>
        <v>94</v>
      </c>
      <c r="C1196" s="13" t="n">
        <f aca="false">IF(Szenarien!$H$14="OK",(IFERROR(SUMIF(Nutzungsprofile!$B$6:$B$11,"Schulbetrieb",Nutzungsprofile!$G$6:$G$11)*Kalender!C98/SUM(Kalender!$C$5:$C$370),0)+IFERROR(SUMIF(Nutzungsprofile!$B$6:$B$11,"Halle",Nutzungsprofile!$G$6:$G$11)*Kalender!D98/SUM(Kalender!$D$5:$D$370),0)+IFERROR(SUMIF(Nutzungsprofile!$B$6:$B$11,"Individuell",Nutzungsprofile!$G$6:$G$11)*Kalender!E98/SUM(Kalender!$E$5:$E$370),0))*Szenarien!$E$14,0)</f>
        <v>2.04</v>
      </c>
      <c r="D1196" s="13" t="n">
        <f aca="false">IF(Szenarien!$H$14="OK",(IFERROR(SUMIF(Nutzungsprofile!$B$17:$B$22,"Schulbetrieb",Nutzungsprofile!$G$17:$G$22)*Kalender!C98/SUM(Kalender!$C$5:$C$370),0)+IFERROR(SUMIF(Nutzungsprofile!$B$17:$B$22,"Halle",Nutzungsprofile!$G$17:$G$22)*Kalender!D98/SUM(Kalender!$D$5:$D$370),0)+IFERROR(SUMIF(Nutzungsprofile!$B$17:$B$22,"Individuell",Nutzungsprofile!$G$17:$G$22)*Kalender!E98/SUM(Kalender!$E$5:$E$370),0))*Szenarien!$D$14,0)</f>
        <v>0.89</v>
      </c>
      <c r="E1196" s="13" t="n">
        <f aca="false">IFERROR(MIN(C1196,Eingaben!$B$17)*Eingaben!$B$16,0)</f>
        <v>1.938</v>
      </c>
      <c r="F1196" s="13" t="n">
        <f aca="false">IFERROR(E1196*Eingaben!$B$15,0)</f>
        <v>1.7442</v>
      </c>
      <c r="G1196" s="13" t="n">
        <f aca="false">IFERROR(IF(Kalender!A98="",0,J1195*(1-Eingaben!$B$20)),0)</f>
        <v>0.7390278</v>
      </c>
      <c r="H1196" s="13" t="n">
        <f aca="false">MIN(G1196,D1196)</f>
        <v>0.7390278</v>
      </c>
      <c r="I1196" s="13" t="n">
        <f aca="false">IFERROR(MIN(F1196*Eingaben!$B$19,MAX(0,D1196-H1196)),0)</f>
        <v>0.1509722</v>
      </c>
      <c r="J1196" s="13" t="n">
        <f aca="false">IFERROR(MIN(Eingaben!$B$18,MAX(0,F1196-I1196)),0)</f>
        <v>1.5932278</v>
      </c>
      <c r="K1196" s="13" t="n">
        <f aca="false">H1196+I1196</f>
        <v>0.89</v>
      </c>
      <c r="L1196" s="13" t="n">
        <f aca="false">MAX(0,D1196-K1196)</f>
        <v>0</v>
      </c>
      <c r="M1196" s="13" t="n">
        <f aca="false">MAX(0,F1196-I1196-J1196)</f>
        <v>0</v>
      </c>
      <c r="N1196" s="13" t="n">
        <f aca="false">IF(Kalender!A98="",0,J1195-H1196)</f>
        <v>0.0150822</v>
      </c>
    </row>
    <row r="1197" customFormat="false" ht="16.4" hidden="false" customHeight="false" outlineLevel="0" collapsed="false">
      <c r="A1197" s="13" t="str">
        <f aca="false">""</f>
        <v/>
      </c>
      <c r="B1197" s="13" t="n">
        <f aca="false">95</f>
        <v>95</v>
      </c>
      <c r="C1197" s="13" t="n">
        <f aca="false">IF(Szenarien!$H$14="OK",(IFERROR(SUMIF(Nutzungsprofile!$B$6:$B$11,"Schulbetrieb",Nutzungsprofile!$G$6:$G$11)*Kalender!C99/SUM(Kalender!$C$5:$C$370),0)+IFERROR(SUMIF(Nutzungsprofile!$B$6:$B$11,"Halle",Nutzungsprofile!$G$6:$G$11)*Kalender!D99/SUM(Kalender!$D$5:$D$370),0)+IFERROR(SUMIF(Nutzungsprofile!$B$6:$B$11,"Individuell",Nutzungsprofile!$G$6:$G$11)*Kalender!E99/SUM(Kalender!$E$5:$E$370),0))*Szenarien!$E$14,0)</f>
        <v>2.04</v>
      </c>
      <c r="D1197" s="13" t="n">
        <f aca="false">IF(Szenarien!$H$14="OK",(IFERROR(SUMIF(Nutzungsprofile!$B$17:$B$22,"Schulbetrieb",Nutzungsprofile!$G$17:$G$22)*Kalender!C99/SUM(Kalender!$C$5:$C$370),0)+IFERROR(SUMIF(Nutzungsprofile!$B$17:$B$22,"Halle",Nutzungsprofile!$G$17:$G$22)*Kalender!D99/SUM(Kalender!$D$5:$D$370),0)+IFERROR(SUMIF(Nutzungsprofile!$B$17:$B$22,"Individuell",Nutzungsprofile!$G$17:$G$22)*Kalender!E99/SUM(Kalender!$E$5:$E$370),0))*Szenarien!$D$14,0)</f>
        <v>0.89</v>
      </c>
      <c r="E1197" s="13" t="n">
        <f aca="false">IFERROR(MIN(C1197,Eingaben!$B$17)*Eingaben!$B$16,0)</f>
        <v>1.938</v>
      </c>
      <c r="F1197" s="13" t="n">
        <f aca="false">IFERROR(E1197*Eingaben!$B$15,0)</f>
        <v>1.7442</v>
      </c>
      <c r="G1197" s="13" t="n">
        <f aca="false">IFERROR(IF(Kalender!A99="",0,J1196*(1-Eingaben!$B$20)),0)</f>
        <v>1.561363244</v>
      </c>
      <c r="H1197" s="13" t="n">
        <f aca="false">MIN(G1197,D1197)</f>
        <v>0.89</v>
      </c>
      <c r="I1197" s="13" t="n">
        <f aca="false">IFERROR(MIN(F1197*Eingaben!$B$19,MAX(0,D1197-H1197)),0)</f>
        <v>0</v>
      </c>
      <c r="J1197" s="13" t="n">
        <f aca="false">IFERROR(MIN(Eingaben!$B$18,MAX(0,F1197-I1197)),0)</f>
        <v>1.7442</v>
      </c>
      <c r="K1197" s="13" t="n">
        <f aca="false">H1197+I1197</f>
        <v>0.89</v>
      </c>
      <c r="L1197" s="13" t="n">
        <f aca="false">MAX(0,D1197-K1197)</f>
        <v>0</v>
      </c>
      <c r="M1197" s="13" t="n">
        <f aca="false">MAX(0,F1197-I1197-J1197)</f>
        <v>0</v>
      </c>
      <c r="N1197" s="13" t="n">
        <f aca="false">IF(Kalender!A99="",0,J1196-H1197)</f>
        <v>0.7032278</v>
      </c>
    </row>
    <row r="1198" customFormat="false" ht="16.4" hidden="false" customHeight="false" outlineLevel="0" collapsed="false">
      <c r="A1198" s="13" t="str">
        <f aca="false">""</f>
        <v/>
      </c>
      <c r="B1198" s="13" t="n">
        <f aca="false">96</f>
        <v>96</v>
      </c>
      <c r="C1198" s="13" t="n">
        <f aca="false">IF(Szenarien!$H$14="OK",(IFERROR(SUMIF(Nutzungsprofile!$B$6:$B$11,"Schulbetrieb",Nutzungsprofile!$G$6:$G$11)*Kalender!C100/SUM(Kalender!$C$5:$C$370),0)+IFERROR(SUMIF(Nutzungsprofile!$B$6:$B$11,"Halle",Nutzungsprofile!$G$6:$G$11)*Kalender!D100/SUM(Kalender!$D$5:$D$370),0)+IFERROR(SUMIF(Nutzungsprofile!$B$6:$B$11,"Individuell",Nutzungsprofile!$G$6:$G$11)*Kalender!E100/SUM(Kalender!$E$5:$E$370),0))*Szenarien!$E$14,0)</f>
        <v>2.94</v>
      </c>
      <c r="D1198" s="13" t="n">
        <f aca="false">IF(Szenarien!$H$14="OK",(IFERROR(SUMIF(Nutzungsprofile!$B$17:$B$22,"Schulbetrieb",Nutzungsprofile!$G$17:$G$22)*Kalender!C100/SUM(Kalender!$C$5:$C$370),0)+IFERROR(SUMIF(Nutzungsprofile!$B$17:$B$22,"Halle",Nutzungsprofile!$G$17:$G$22)*Kalender!D100/SUM(Kalender!$D$5:$D$370),0)+IFERROR(SUMIF(Nutzungsprofile!$B$17:$B$22,"Individuell",Nutzungsprofile!$G$17:$G$22)*Kalender!E100/SUM(Kalender!$E$5:$E$370),0))*Szenarien!$D$14,0)</f>
        <v>4.94</v>
      </c>
      <c r="E1198" s="13" t="n">
        <f aca="false">IFERROR(MIN(C1198,Eingaben!$B$17)*Eingaben!$B$16,0)</f>
        <v>2.793</v>
      </c>
      <c r="F1198" s="13" t="n">
        <f aca="false">IFERROR(E1198*Eingaben!$B$15,0)</f>
        <v>2.5137</v>
      </c>
      <c r="G1198" s="13" t="n">
        <f aca="false">IFERROR(IF(Kalender!A100="",0,J1197*(1-Eingaben!$B$20)),0)</f>
        <v>1.709316</v>
      </c>
      <c r="H1198" s="13" t="n">
        <f aca="false">MIN(G1198,D1198)</f>
        <v>1.709316</v>
      </c>
      <c r="I1198" s="13" t="n">
        <f aca="false">IFERROR(MIN(F1198*Eingaben!$B$19,MAX(0,D1198-H1198)),0)</f>
        <v>1.75959</v>
      </c>
      <c r="J1198" s="13" t="n">
        <f aca="false">IFERROR(MIN(Eingaben!$B$18,MAX(0,F1198-I1198)),0)</f>
        <v>0.75411</v>
      </c>
      <c r="K1198" s="13" t="n">
        <f aca="false">H1198+I1198</f>
        <v>3.468906</v>
      </c>
      <c r="L1198" s="13" t="n">
        <f aca="false">MAX(0,D1198-K1198)</f>
        <v>1.471094</v>
      </c>
      <c r="M1198" s="13" t="n">
        <f aca="false">MAX(0,F1198-I1198-J1198)</f>
        <v>0</v>
      </c>
      <c r="N1198" s="13" t="n">
        <f aca="false">IF(Kalender!A100="",0,J1197-H1198)</f>
        <v>0.0348840000000001</v>
      </c>
    </row>
    <row r="1199" customFormat="false" ht="16.4" hidden="false" customHeight="false" outlineLevel="0" collapsed="false">
      <c r="A1199" s="13" t="str">
        <f aca="false">""</f>
        <v/>
      </c>
      <c r="B1199" s="13" t="n">
        <f aca="false">97</f>
        <v>97</v>
      </c>
      <c r="C1199" s="13" t="n">
        <f aca="false">IF(Szenarien!$H$14="OK",(IFERROR(SUMIF(Nutzungsprofile!$B$6:$B$11,"Schulbetrieb",Nutzungsprofile!$G$6:$G$11)*Kalender!C101/SUM(Kalender!$C$5:$C$370),0)+IFERROR(SUMIF(Nutzungsprofile!$B$6:$B$11,"Halle",Nutzungsprofile!$G$6:$G$11)*Kalender!D101/SUM(Kalender!$D$5:$D$370),0)+IFERROR(SUMIF(Nutzungsprofile!$B$6:$B$11,"Individuell",Nutzungsprofile!$G$6:$G$11)*Kalender!E101/SUM(Kalender!$E$5:$E$370),0))*Szenarien!$E$14,0)</f>
        <v>2.94</v>
      </c>
      <c r="D1199" s="13" t="n">
        <f aca="false">IF(Szenarien!$H$14="OK",(IFERROR(SUMIF(Nutzungsprofile!$B$17:$B$22,"Schulbetrieb",Nutzungsprofile!$G$17:$G$22)*Kalender!C101/SUM(Kalender!$C$5:$C$370),0)+IFERROR(SUMIF(Nutzungsprofile!$B$17:$B$22,"Halle",Nutzungsprofile!$G$17:$G$22)*Kalender!D101/SUM(Kalender!$D$5:$D$370),0)+IFERROR(SUMIF(Nutzungsprofile!$B$17:$B$22,"Individuell",Nutzungsprofile!$G$17:$G$22)*Kalender!E101/SUM(Kalender!$E$5:$E$370),0))*Szenarien!$D$14,0)</f>
        <v>4.94</v>
      </c>
      <c r="E1199" s="13" t="n">
        <f aca="false">IFERROR(MIN(C1199,Eingaben!$B$17)*Eingaben!$B$16,0)</f>
        <v>2.793</v>
      </c>
      <c r="F1199" s="13" t="n">
        <f aca="false">IFERROR(E1199*Eingaben!$B$15,0)</f>
        <v>2.5137</v>
      </c>
      <c r="G1199" s="13" t="n">
        <f aca="false">IFERROR(IF(Kalender!A101="",0,J1198*(1-Eingaben!$B$20)),0)</f>
        <v>0.7390278</v>
      </c>
      <c r="H1199" s="13" t="n">
        <f aca="false">MIN(G1199,D1199)</f>
        <v>0.7390278</v>
      </c>
      <c r="I1199" s="13" t="n">
        <f aca="false">IFERROR(MIN(F1199*Eingaben!$B$19,MAX(0,D1199-H1199)),0)</f>
        <v>1.75959</v>
      </c>
      <c r="J1199" s="13" t="n">
        <f aca="false">IFERROR(MIN(Eingaben!$B$18,MAX(0,F1199-I1199)),0)</f>
        <v>0.75411</v>
      </c>
      <c r="K1199" s="13" t="n">
        <f aca="false">H1199+I1199</f>
        <v>2.4986178</v>
      </c>
      <c r="L1199" s="13" t="n">
        <f aca="false">MAX(0,D1199-K1199)</f>
        <v>2.4413822</v>
      </c>
      <c r="M1199" s="13" t="n">
        <f aca="false">MAX(0,F1199-I1199-J1199)</f>
        <v>0</v>
      </c>
      <c r="N1199" s="13" t="n">
        <f aca="false">IF(Kalender!A101="",0,J1198-H1199)</f>
        <v>0.0150822</v>
      </c>
    </row>
    <row r="1200" customFormat="false" ht="16.4" hidden="false" customHeight="false" outlineLevel="0" collapsed="false">
      <c r="A1200" s="13" t="str">
        <f aca="false">""</f>
        <v/>
      </c>
      <c r="B1200" s="13" t="n">
        <f aca="false">98</f>
        <v>98</v>
      </c>
      <c r="C1200" s="13" t="n">
        <f aca="false">IF(Szenarien!$H$14="OK",(IFERROR(SUMIF(Nutzungsprofile!$B$6:$B$11,"Schulbetrieb",Nutzungsprofile!$G$6:$G$11)*Kalender!C102/SUM(Kalender!$C$5:$C$370),0)+IFERROR(SUMIF(Nutzungsprofile!$B$6:$B$11,"Halle",Nutzungsprofile!$G$6:$G$11)*Kalender!D102/SUM(Kalender!$D$5:$D$370),0)+IFERROR(SUMIF(Nutzungsprofile!$B$6:$B$11,"Individuell",Nutzungsprofile!$G$6:$G$11)*Kalender!E102/SUM(Kalender!$E$5:$E$370),0))*Szenarien!$E$14,0)</f>
        <v>2.94</v>
      </c>
      <c r="D1200" s="13" t="n">
        <f aca="false">IF(Szenarien!$H$14="OK",(IFERROR(SUMIF(Nutzungsprofile!$B$17:$B$22,"Schulbetrieb",Nutzungsprofile!$G$17:$G$22)*Kalender!C102/SUM(Kalender!$C$5:$C$370),0)+IFERROR(SUMIF(Nutzungsprofile!$B$17:$B$22,"Halle",Nutzungsprofile!$G$17:$G$22)*Kalender!D102/SUM(Kalender!$D$5:$D$370),0)+IFERROR(SUMIF(Nutzungsprofile!$B$17:$B$22,"Individuell",Nutzungsprofile!$G$17:$G$22)*Kalender!E102/SUM(Kalender!$E$5:$E$370),0))*Szenarien!$D$14,0)</f>
        <v>4.94</v>
      </c>
      <c r="E1200" s="13" t="n">
        <f aca="false">IFERROR(MIN(C1200,Eingaben!$B$17)*Eingaben!$B$16,0)</f>
        <v>2.793</v>
      </c>
      <c r="F1200" s="13" t="n">
        <f aca="false">IFERROR(E1200*Eingaben!$B$15,0)</f>
        <v>2.5137</v>
      </c>
      <c r="G1200" s="13" t="n">
        <f aca="false">IFERROR(IF(Kalender!A102="",0,J1199*(1-Eingaben!$B$20)),0)</f>
        <v>0.7390278</v>
      </c>
      <c r="H1200" s="13" t="n">
        <f aca="false">MIN(G1200,D1200)</f>
        <v>0.7390278</v>
      </c>
      <c r="I1200" s="13" t="n">
        <f aca="false">IFERROR(MIN(F1200*Eingaben!$B$19,MAX(0,D1200-H1200)),0)</f>
        <v>1.75959</v>
      </c>
      <c r="J1200" s="13" t="n">
        <f aca="false">IFERROR(MIN(Eingaben!$B$18,MAX(0,F1200-I1200)),0)</f>
        <v>0.75411</v>
      </c>
      <c r="K1200" s="13" t="n">
        <f aca="false">H1200+I1200</f>
        <v>2.4986178</v>
      </c>
      <c r="L1200" s="13" t="n">
        <f aca="false">MAX(0,D1200-K1200)</f>
        <v>2.4413822</v>
      </c>
      <c r="M1200" s="13" t="n">
        <f aca="false">MAX(0,F1200-I1200-J1200)</f>
        <v>0</v>
      </c>
      <c r="N1200" s="13" t="n">
        <f aca="false">IF(Kalender!A102="",0,J1199-H1200)</f>
        <v>0.0150822</v>
      </c>
    </row>
    <row r="1201" customFormat="false" ht="16.4" hidden="false" customHeight="false" outlineLevel="0" collapsed="false">
      <c r="A1201" s="13" t="str">
        <f aca="false">""</f>
        <v/>
      </c>
      <c r="B1201" s="13" t="n">
        <f aca="false">99</f>
        <v>99</v>
      </c>
      <c r="C1201" s="13" t="n">
        <f aca="false">IF(Szenarien!$H$14="OK",(IFERROR(SUMIF(Nutzungsprofile!$B$6:$B$11,"Schulbetrieb",Nutzungsprofile!$G$6:$G$11)*Kalender!C103/SUM(Kalender!$C$5:$C$370),0)+IFERROR(SUMIF(Nutzungsprofile!$B$6:$B$11,"Halle",Nutzungsprofile!$G$6:$G$11)*Kalender!D103/SUM(Kalender!$D$5:$D$370),0)+IFERROR(SUMIF(Nutzungsprofile!$B$6:$B$11,"Individuell",Nutzungsprofile!$G$6:$G$11)*Kalender!E103/SUM(Kalender!$E$5:$E$370),0))*Szenarien!$E$14,0)</f>
        <v>2.94</v>
      </c>
      <c r="D1201" s="13" t="n">
        <f aca="false">IF(Szenarien!$H$14="OK",(IFERROR(SUMIF(Nutzungsprofile!$B$17:$B$22,"Schulbetrieb",Nutzungsprofile!$G$17:$G$22)*Kalender!C103/SUM(Kalender!$C$5:$C$370),0)+IFERROR(SUMIF(Nutzungsprofile!$B$17:$B$22,"Halle",Nutzungsprofile!$G$17:$G$22)*Kalender!D103/SUM(Kalender!$D$5:$D$370),0)+IFERROR(SUMIF(Nutzungsprofile!$B$17:$B$22,"Individuell",Nutzungsprofile!$G$17:$G$22)*Kalender!E103/SUM(Kalender!$E$5:$E$370),0))*Szenarien!$D$14,0)</f>
        <v>4.94</v>
      </c>
      <c r="E1201" s="13" t="n">
        <f aca="false">IFERROR(MIN(C1201,Eingaben!$B$17)*Eingaben!$B$16,0)</f>
        <v>2.793</v>
      </c>
      <c r="F1201" s="13" t="n">
        <f aca="false">IFERROR(E1201*Eingaben!$B$15,0)</f>
        <v>2.5137</v>
      </c>
      <c r="G1201" s="13" t="n">
        <f aca="false">IFERROR(IF(Kalender!A103="",0,J1200*(1-Eingaben!$B$20)),0)</f>
        <v>0.7390278</v>
      </c>
      <c r="H1201" s="13" t="n">
        <f aca="false">MIN(G1201,D1201)</f>
        <v>0.7390278</v>
      </c>
      <c r="I1201" s="13" t="n">
        <f aca="false">IFERROR(MIN(F1201*Eingaben!$B$19,MAX(0,D1201-H1201)),0)</f>
        <v>1.75959</v>
      </c>
      <c r="J1201" s="13" t="n">
        <f aca="false">IFERROR(MIN(Eingaben!$B$18,MAX(0,F1201-I1201)),0)</f>
        <v>0.75411</v>
      </c>
      <c r="K1201" s="13" t="n">
        <f aca="false">H1201+I1201</f>
        <v>2.4986178</v>
      </c>
      <c r="L1201" s="13" t="n">
        <f aca="false">MAX(0,D1201-K1201)</f>
        <v>2.4413822</v>
      </c>
      <c r="M1201" s="13" t="n">
        <f aca="false">MAX(0,F1201-I1201-J1201)</f>
        <v>0</v>
      </c>
      <c r="N1201" s="13" t="n">
        <f aca="false">IF(Kalender!A103="",0,J1200-H1201)</f>
        <v>0.0150822</v>
      </c>
    </row>
    <row r="1202" customFormat="false" ht="16.4" hidden="false" customHeight="false" outlineLevel="0" collapsed="false">
      <c r="A1202" s="13" t="str">
        <f aca="false">""</f>
        <v/>
      </c>
      <c r="B1202" s="13" t="n">
        <f aca="false">100</f>
        <v>100</v>
      </c>
      <c r="C1202" s="13" t="n">
        <f aca="false">IF(Szenarien!$H$14="OK",(IFERROR(SUMIF(Nutzungsprofile!$B$6:$B$11,"Schulbetrieb",Nutzungsprofile!$G$6:$G$11)*Kalender!C104/SUM(Kalender!$C$5:$C$370),0)+IFERROR(SUMIF(Nutzungsprofile!$B$6:$B$11,"Halle",Nutzungsprofile!$G$6:$G$11)*Kalender!D104/SUM(Kalender!$D$5:$D$370),0)+IFERROR(SUMIF(Nutzungsprofile!$B$6:$B$11,"Individuell",Nutzungsprofile!$G$6:$G$11)*Kalender!E104/SUM(Kalender!$E$5:$E$370),0))*Szenarien!$E$14,0)</f>
        <v>2.94</v>
      </c>
      <c r="D1202" s="13" t="n">
        <f aca="false">IF(Szenarien!$H$14="OK",(IFERROR(SUMIF(Nutzungsprofile!$B$17:$B$22,"Schulbetrieb",Nutzungsprofile!$G$17:$G$22)*Kalender!C104/SUM(Kalender!$C$5:$C$370),0)+IFERROR(SUMIF(Nutzungsprofile!$B$17:$B$22,"Halle",Nutzungsprofile!$G$17:$G$22)*Kalender!D104/SUM(Kalender!$D$5:$D$370),0)+IFERROR(SUMIF(Nutzungsprofile!$B$17:$B$22,"Individuell",Nutzungsprofile!$G$17:$G$22)*Kalender!E104/SUM(Kalender!$E$5:$E$370),0))*Szenarien!$D$14,0)</f>
        <v>4.94</v>
      </c>
      <c r="E1202" s="13" t="n">
        <f aca="false">IFERROR(MIN(C1202,Eingaben!$B$17)*Eingaben!$B$16,0)</f>
        <v>2.793</v>
      </c>
      <c r="F1202" s="13" t="n">
        <f aca="false">IFERROR(E1202*Eingaben!$B$15,0)</f>
        <v>2.5137</v>
      </c>
      <c r="G1202" s="13" t="n">
        <f aca="false">IFERROR(IF(Kalender!A104="",0,J1201*(1-Eingaben!$B$20)),0)</f>
        <v>0.7390278</v>
      </c>
      <c r="H1202" s="13" t="n">
        <f aca="false">MIN(G1202,D1202)</f>
        <v>0.7390278</v>
      </c>
      <c r="I1202" s="13" t="n">
        <f aca="false">IFERROR(MIN(F1202*Eingaben!$B$19,MAX(0,D1202-H1202)),0)</f>
        <v>1.75959</v>
      </c>
      <c r="J1202" s="13" t="n">
        <f aca="false">IFERROR(MIN(Eingaben!$B$18,MAX(0,F1202-I1202)),0)</f>
        <v>0.75411</v>
      </c>
      <c r="K1202" s="13" t="n">
        <f aca="false">H1202+I1202</f>
        <v>2.4986178</v>
      </c>
      <c r="L1202" s="13" t="n">
        <f aca="false">MAX(0,D1202-K1202)</f>
        <v>2.4413822</v>
      </c>
      <c r="M1202" s="13" t="n">
        <f aca="false">MAX(0,F1202-I1202-J1202)</f>
        <v>0</v>
      </c>
      <c r="N1202" s="13" t="n">
        <f aca="false">IF(Kalender!A104="",0,J1201-H1202)</f>
        <v>0.0150822</v>
      </c>
    </row>
    <row r="1203" customFormat="false" ht="16.4" hidden="false" customHeight="false" outlineLevel="0" collapsed="false">
      <c r="A1203" s="13" t="str">
        <f aca="false">""</f>
        <v/>
      </c>
      <c r="B1203" s="13" t="n">
        <f aca="false">101</f>
        <v>101</v>
      </c>
      <c r="C1203" s="13" t="n">
        <f aca="false">IF(Szenarien!$H$14="OK",(IFERROR(SUMIF(Nutzungsprofile!$B$6:$B$11,"Schulbetrieb",Nutzungsprofile!$G$6:$G$11)*Kalender!C105/SUM(Kalender!$C$5:$C$370),0)+IFERROR(SUMIF(Nutzungsprofile!$B$6:$B$11,"Halle",Nutzungsprofile!$G$6:$G$11)*Kalender!D105/SUM(Kalender!$D$5:$D$370),0)+IFERROR(SUMIF(Nutzungsprofile!$B$6:$B$11,"Individuell",Nutzungsprofile!$G$6:$G$11)*Kalender!E105/SUM(Kalender!$E$5:$E$370),0))*Szenarien!$E$14,0)</f>
        <v>2.04</v>
      </c>
      <c r="D1203" s="13" t="n">
        <f aca="false">IF(Szenarien!$H$14="OK",(IFERROR(SUMIF(Nutzungsprofile!$B$17:$B$22,"Schulbetrieb",Nutzungsprofile!$G$17:$G$22)*Kalender!C105/SUM(Kalender!$C$5:$C$370),0)+IFERROR(SUMIF(Nutzungsprofile!$B$17:$B$22,"Halle",Nutzungsprofile!$G$17:$G$22)*Kalender!D105/SUM(Kalender!$D$5:$D$370),0)+IFERROR(SUMIF(Nutzungsprofile!$B$17:$B$22,"Individuell",Nutzungsprofile!$G$17:$G$22)*Kalender!E105/SUM(Kalender!$E$5:$E$370),0))*Szenarien!$D$14,0)</f>
        <v>0.89</v>
      </c>
      <c r="E1203" s="13" t="n">
        <f aca="false">IFERROR(MIN(C1203,Eingaben!$B$17)*Eingaben!$B$16,0)</f>
        <v>1.938</v>
      </c>
      <c r="F1203" s="13" t="n">
        <f aca="false">IFERROR(E1203*Eingaben!$B$15,0)</f>
        <v>1.7442</v>
      </c>
      <c r="G1203" s="13" t="n">
        <f aca="false">IFERROR(IF(Kalender!A105="",0,J1202*(1-Eingaben!$B$20)),0)</f>
        <v>0.7390278</v>
      </c>
      <c r="H1203" s="13" t="n">
        <f aca="false">MIN(G1203,D1203)</f>
        <v>0.7390278</v>
      </c>
      <c r="I1203" s="13" t="n">
        <f aca="false">IFERROR(MIN(F1203*Eingaben!$B$19,MAX(0,D1203-H1203)),0)</f>
        <v>0.1509722</v>
      </c>
      <c r="J1203" s="13" t="n">
        <f aca="false">IFERROR(MIN(Eingaben!$B$18,MAX(0,F1203-I1203)),0)</f>
        <v>1.5932278</v>
      </c>
      <c r="K1203" s="13" t="n">
        <f aca="false">H1203+I1203</f>
        <v>0.89</v>
      </c>
      <c r="L1203" s="13" t="n">
        <f aca="false">MAX(0,D1203-K1203)</f>
        <v>0</v>
      </c>
      <c r="M1203" s="13" t="n">
        <f aca="false">MAX(0,F1203-I1203-J1203)</f>
        <v>0</v>
      </c>
      <c r="N1203" s="13" t="n">
        <f aca="false">IF(Kalender!A105="",0,J1202-H1203)</f>
        <v>0.0150822</v>
      </c>
    </row>
    <row r="1204" customFormat="false" ht="16.4" hidden="false" customHeight="false" outlineLevel="0" collapsed="false">
      <c r="A1204" s="13" t="str">
        <f aca="false">""</f>
        <v/>
      </c>
      <c r="B1204" s="13" t="n">
        <f aca="false">102</f>
        <v>102</v>
      </c>
      <c r="C1204" s="13" t="n">
        <f aca="false">IF(Szenarien!$H$14="OK",(IFERROR(SUMIF(Nutzungsprofile!$B$6:$B$11,"Schulbetrieb",Nutzungsprofile!$G$6:$G$11)*Kalender!C106/SUM(Kalender!$C$5:$C$370),0)+IFERROR(SUMIF(Nutzungsprofile!$B$6:$B$11,"Halle",Nutzungsprofile!$G$6:$G$11)*Kalender!D106/SUM(Kalender!$D$5:$D$370),0)+IFERROR(SUMIF(Nutzungsprofile!$B$6:$B$11,"Individuell",Nutzungsprofile!$G$6:$G$11)*Kalender!E106/SUM(Kalender!$E$5:$E$370),0))*Szenarien!$E$14,0)</f>
        <v>2.04</v>
      </c>
      <c r="D1204" s="13" t="n">
        <f aca="false">IF(Szenarien!$H$14="OK",(IFERROR(SUMIF(Nutzungsprofile!$B$17:$B$22,"Schulbetrieb",Nutzungsprofile!$G$17:$G$22)*Kalender!C106/SUM(Kalender!$C$5:$C$370),0)+IFERROR(SUMIF(Nutzungsprofile!$B$17:$B$22,"Halle",Nutzungsprofile!$G$17:$G$22)*Kalender!D106/SUM(Kalender!$D$5:$D$370),0)+IFERROR(SUMIF(Nutzungsprofile!$B$17:$B$22,"Individuell",Nutzungsprofile!$G$17:$G$22)*Kalender!E106/SUM(Kalender!$E$5:$E$370),0))*Szenarien!$D$14,0)</f>
        <v>0.89</v>
      </c>
      <c r="E1204" s="13" t="n">
        <f aca="false">IFERROR(MIN(C1204,Eingaben!$B$17)*Eingaben!$B$16,0)</f>
        <v>1.938</v>
      </c>
      <c r="F1204" s="13" t="n">
        <f aca="false">IFERROR(E1204*Eingaben!$B$15,0)</f>
        <v>1.7442</v>
      </c>
      <c r="G1204" s="13" t="n">
        <f aca="false">IFERROR(IF(Kalender!A106="",0,J1203*(1-Eingaben!$B$20)),0)</f>
        <v>1.561363244</v>
      </c>
      <c r="H1204" s="13" t="n">
        <f aca="false">MIN(G1204,D1204)</f>
        <v>0.89</v>
      </c>
      <c r="I1204" s="13" t="n">
        <f aca="false">IFERROR(MIN(F1204*Eingaben!$B$19,MAX(0,D1204-H1204)),0)</f>
        <v>0</v>
      </c>
      <c r="J1204" s="13" t="n">
        <f aca="false">IFERROR(MIN(Eingaben!$B$18,MAX(0,F1204-I1204)),0)</f>
        <v>1.7442</v>
      </c>
      <c r="K1204" s="13" t="n">
        <f aca="false">H1204+I1204</f>
        <v>0.89</v>
      </c>
      <c r="L1204" s="13" t="n">
        <f aca="false">MAX(0,D1204-K1204)</f>
        <v>0</v>
      </c>
      <c r="M1204" s="13" t="n">
        <f aca="false">MAX(0,F1204-I1204-J1204)</f>
        <v>0</v>
      </c>
      <c r="N1204" s="13" t="n">
        <f aca="false">IF(Kalender!A106="",0,J1203-H1204)</f>
        <v>0.7032278</v>
      </c>
    </row>
    <row r="1205" customFormat="false" ht="16.4" hidden="false" customHeight="false" outlineLevel="0" collapsed="false">
      <c r="A1205" s="13" t="str">
        <f aca="false">""</f>
        <v/>
      </c>
      <c r="B1205" s="13" t="n">
        <f aca="false">103</f>
        <v>103</v>
      </c>
      <c r="C1205" s="13" t="n">
        <f aca="false">IF(Szenarien!$H$14="OK",(IFERROR(SUMIF(Nutzungsprofile!$B$6:$B$11,"Schulbetrieb",Nutzungsprofile!$G$6:$G$11)*Kalender!C107/SUM(Kalender!$C$5:$C$370),0)+IFERROR(SUMIF(Nutzungsprofile!$B$6:$B$11,"Halle",Nutzungsprofile!$G$6:$G$11)*Kalender!D107/SUM(Kalender!$D$5:$D$370),0)+IFERROR(SUMIF(Nutzungsprofile!$B$6:$B$11,"Individuell",Nutzungsprofile!$G$6:$G$11)*Kalender!E107/SUM(Kalender!$E$5:$E$370),0))*Szenarien!$E$14,0)</f>
        <v>2.94</v>
      </c>
      <c r="D1205" s="13" t="n">
        <f aca="false">IF(Szenarien!$H$14="OK",(IFERROR(SUMIF(Nutzungsprofile!$B$17:$B$22,"Schulbetrieb",Nutzungsprofile!$G$17:$G$22)*Kalender!C107/SUM(Kalender!$C$5:$C$370),0)+IFERROR(SUMIF(Nutzungsprofile!$B$17:$B$22,"Halle",Nutzungsprofile!$G$17:$G$22)*Kalender!D107/SUM(Kalender!$D$5:$D$370),0)+IFERROR(SUMIF(Nutzungsprofile!$B$17:$B$22,"Individuell",Nutzungsprofile!$G$17:$G$22)*Kalender!E107/SUM(Kalender!$E$5:$E$370),0))*Szenarien!$D$14,0)</f>
        <v>4.94</v>
      </c>
      <c r="E1205" s="13" t="n">
        <f aca="false">IFERROR(MIN(C1205,Eingaben!$B$17)*Eingaben!$B$16,0)</f>
        <v>2.793</v>
      </c>
      <c r="F1205" s="13" t="n">
        <f aca="false">IFERROR(E1205*Eingaben!$B$15,0)</f>
        <v>2.5137</v>
      </c>
      <c r="G1205" s="13" t="n">
        <f aca="false">IFERROR(IF(Kalender!A107="",0,J1204*(1-Eingaben!$B$20)),0)</f>
        <v>1.709316</v>
      </c>
      <c r="H1205" s="13" t="n">
        <f aca="false">MIN(G1205,D1205)</f>
        <v>1.709316</v>
      </c>
      <c r="I1205" s="13" t="n">
        <f aca="false">IFERROR(MIN(F1205*Eingaben!$B$19,MAX(0,D1205-H1205)),0)</f>
        <v>1.75959</v>
      </c>
      <c r="J1205" s="13" t="n">
        <f aca="false">IFERROR(MIN(Eingaben!$B$18,MAX(0,F1205-I1205)),0)</f>
        <v>0.75411</v>
      </c>
      <c r="K1205" s="13" t="n">
        <f aca="false">H1205+I1205</f>
        <v>3.468906</v>
      </c>
      <c r="L1205" s="13" t="n">
        <f aca="false">MAX(0,D1205-K1205)</f>
        <v>1.471094</v>
      </c>
      <c r="M1205" s="13" t="n">
        <f aca="false">MAX(0,F1205-I1205-J1205)</f>
        <v>0</v>
      </c>
      <c r="N1205" s="13" t="n">
        <f aca="false">IF(Kalender!A107="",0,J1204-H1205)</f>
        <v>0.0348840000000001</v>
      </c>
    </row>
    <row r="1206" customFormat="false" ht="16.4" hidden="false" customHeight="false" outlineLevel="0" collapsed="false">
      <c r="A1206" s="13" t="str">
        <f aca="false">""</f>
        <v/>
      </c>
      <c r="B1206" s="13" t="n">
        <f aca="false">104</f>
        <v>104</v>
      </c>
      <c r="C1206" s="13" t="n">
        <f aca="false">IF(Szenarien!$H$14="OK",(IFERROR(SUMIF(Nutzungsprofile!$B$6:$B$11,"Schulbetrieb",Nutzungsprofile!$G$6:$G$11)*Kalender!C108/SUM(Kalender!$C$5:$C$370),0)+IFERROR(SUMIF(Nutzungsprofile!$B$6:$B$11,"Halle",Nutzungsprofile!$G$6:$G$11)*Kalender!D108/SUM(Kalender!$D$5:$D$370),0)+IFERROR(SUMIF(Nutzungsprofile!$B$6:$B$11,"Individuell",Nutzungsprofile!$G$6:$G$11)*Kalender!E108/SUM(Kalender!$E$5:$E$370),0))*Szenarien!$E$14,0)</f>
        <v>2.94</v>
      </c>
      <c r="D1206" s="13" t="n">
        <f aca="false">IF(Szenarien!$H$14="OK",(IFERROR(SUMIF(Nutzungsprofile!$B$17:$B$22,"Schulbetrieb",Nutzungsprofile!$G$17:$G$22)*Kalender!C108/SUM(Kalender!$C$5:$C$370),0)+IFERROR(SUMIF(Nutzungsprofile!$B$17:$B$22,"Halle",Nutzungsprofile!$G$17:$G$22)*Kalender!D108/SUM(Kalender!$D$5:$D$370),0)+IFERROR(SUMIF(Nutzungsprofile!$B$17:$B$22,"Individuell",Nutzungsprofile!$G$17:$G$22)*Kalender!E108/SUM(Kalender!$E$5:$E$370),0))*Szenarien!$D$14,0)</f>
        <v>4.94</v>
      </c>
      <c r="E1206" s="13" t="n">
        <f aca="false">IFERROR(MIN(C1206,Eingaben!$B$17)*Eingaben!$B$16,0)</f>
        <v>2.793</v>
      </c>
      <c r="F1206" s="13" t="n">
        <f aca="false">IFERROR(E1206*Eingaben!$B$15,0)</f>
        <v>2.5137</v>
      </c>
      <c r="G1206" s="13" t="n">
        <f aca="false">IFERROR(IF(Kalender!A108="",0,J1205*(1-Eingaben!$B$20)),0)</f>
        <v>0.7390278</v>
      </c>
      <c r="H1206" s="13" t="n">
        <f aca="false">MIN(G1206,D1206)</f>
        <v>0.7390278</v>
      </c>
      <c r="I1206" s="13" t="n">
        <f aca="false">IFERROR(MIN(F1206*Eingaben!$B$19,MAX(0,D1206-H1206)),0)</f>
        <v>1.75959</v>
      </c>
      <c r="J1206" s="13" t="n">
        <f aca="false">IFERROR(MIN(Eingaben!$B$18,MAX(0,F1206-I1206)),0)</f>
        <v>0.75411</v>
      </c>
      <c r="K1206" s="13" t="n">
        <f aca="false">H1206+I1206</f>
        <v>2.4986178</v>
      </c>
      <c r="L1206" s="13" t="n">
        <f aca="false">MAX(0,D1206-K1206)</f>
        <v>2.4413822</v>
      </c>
      <c r="M1206" s="13" t="n">
        <f aca="false">MAX(0,F1206-I1206-J1206)</f>
        <v>0</v>
      </c>
      <c r="N1206" s="13" t="n">
        <f aca="false">IF(Kalender!A108="",0,J1205-H1206)</f>
        <v>0.0150822</v>
      </c>
    </row>
    <row r="1207" customFormat="false" ht="16.4" hidden="false" customHeight="false" outlineLevel="0" collapsed="false">
      <c r="A1207" s="13" t="str">
        <f aca="false">""</f>
        <v/>
      </c>
      <c r="B1207" s="13" t="n">
        <f aca="false">105</f>
        <v>105</v>
      </c>
      <c r="C1207" s="13" t="n">
        <f aca="false">IF(Szenarien!$H$14="OK",(IFERROR(SUMIF(Nutzungsprofile!$B$6:$B$11,"Schulbetrieb",Nutzungsprofile!$G$6:$G$11)*Kalender!C109/SUM(Kalender!$C$5:$C$370),0)+IFERROR(SUMIF(Nutzungsprofile!$B$6:$B$11,"Halle",Nutzungsprofile!$G$6:$G$11)*Kalender!D109/SUM(Kalender!$D$5:$D$370),0)+IFERROR(SUMIF(Nutzungsprofile!$B$6:$B$11,"Individuell",Nutzungsprofile!$G$6:$G$11)*Kalender!E109/SUM(Kalender!$E$5:$E$370),0))*Szenarien!$E$14,0)</f>
        <v>2.94</v>
      </c>
      <c r="D1207" s="13" t="n">
        <f aca="false">IF(Szenarien!$H$14="OK",(IFERROR(SUMIF(Nutzungsprofile!$B$17:$B$22,"Schulbetrieb",Nutzungsprofile!$G$17:$G$22)*Kalender!C109/SUM(Kalender!$C$5:$C$370),0)+IFERROR(SUMIF(Nutzungsprofile!$B$17:$B$22,"Halle",Nutzungsprofile!$G$17:$G$22)*Kalender!D109/SUM(Kalender!$D$5:$D$370),0)+IFERROR(SUMIF(Nutzungsprofile!$B$17:$B$22,"Individuell",Nutzungsprofile!$G$17:$G$22)*Kalender!E109/SUM(Kalender!$E$5:$E$370),0))*Szenarien!$D$14,0)</f>
        <v>4.94</v>
      </c>
      <c r="E1207" s="13" t="n">
        <f aca="false">IFERROR(MIN(C1207,Eingaben!$B$17)*Eingaben!$B$16,0)</f>
        <v>2.793</v>
      </c>
      <c r="F1207" s="13" t="n">
        <f aca="false">IFERROR(E1207*Eingaben!$B$15,0)</f>
        <v>2.5137</v>
      </c>
      <c r="G1207" s="13" t="n">
        <f aca="false">IFERROR(IF(Kalender!A109="",0,J1206*(1-Eingaben!$B$20)),0)</f>
        <v>0.7390278</v>
      </c>
      <c r="H1207" s="13" t="n">
        <f aca="false">MIN(G1207,D1207)</f>
        <v>0.7390278</v>
      </c>
      <c r="I1207" s="13" t="n">
        <f aca="false">IFERROR(MIN(F1207*Eingaben!$B$19,MAX(0,D1207-H1207)),0)</f>
        <v>1.75959</v>
      </c>
      <c r="J1207" s="13" t="n">
        <f aca="false">IFERROR(MIN(Eingaben!$B$18,MAX(0,F1207-I1207)),0)</f>
        <v>0.75411</v>
      </c>
      <c r="K1207" s="13" t="n">
        <f aca="false">H1207+I1207</f>
        <v>2.4986178</v>
      </c>
      <c r="L1207" s="13" t="n">
        <f aca="false">MAX(0,D1207-K1207)</f>
        <v>2.4413822</v>
      </c>
      <c r="M1207" s="13" t="n">
        <f aca="false">MAX(0,F1207-I1207-J1207)</f>
        <v>0</v>
      </c>
      <c r="N1207" s="13" t="n">
        <f aca="false">IF(Kalender!A109="",0,J1206-H1207)</f>
        <v>0.0150822</v>
      </c>
    </row>
    <row r="1208" customFormat="false" ht="16.4" hidden="false" customHeight="false" outlineLevel="0" collapsed="false">
      <c r="A1208" s="13" t="str">
        <f aca="false">""</f>
        <v/>
      </c>
      <c r="B1208" s="13" t="n">
        <f aca="false">106</f>
        <v>106</v>
      </c>
      <c r="C1208" s="13" t="n">
        <f aca="false">IF(Szenarien!$H$14="OK",(IFERROR(SUMIF(Nutzungsprofile!$B$6:$B$11,"Schulbetrieb",Nutzungsprofile!$G$6:$G$11)*Kalender!C110/SUM(Kalender!$C$5:$C$370),0)+IFERROR(SUMIF(Nutzungsprofile!$B$6:$B$11,"Halle",Nutzungsprofile!$G$6:$G$11)*Kalender!D110/SUM(Kalender!$D$5:$D$370),0)+IFERROR(SUMIF(Nutzungsprofile!$B$6:$B$11,"Individuell",Nutzungsprofile!$G$6:$G$11)*Kalender!E110/SUM(Kalender!$E$5:$E$370),0))*Szenarien!$E$14,0)</f>
        <v>2.94</v>
      </c>
      <c r="D1208" s="13" t="n">
        <f aca="false">IF(Szenarien!$H$14="OK",(IFERROR(SUMIF(Nutzungsprofile!$B$17:$B$22,"Schulbetrieb",Nutzungsprofile!$G$17:$G$22)*Kalender!C110/SUM(Kalender!$C$5:$C$370),0)+IFERROR(SUMIF(Nutzungsprofile!$B$17:$B$22,"Halle",Nutzungsprofile!$G$17:$G$22)*Kalender!D110/SUM(Kalender!$D$5:$D$370),0)+IFERROR(SUMIF(Nutzungsprofile!$B$17:$B$22,"Individuell",Nutzungsprofile!$G$17:$G$22)*Kalender!E110/SUM(Kalender!$E$5:$E$370),0))*Szenarien!$D$14,0)</f>
        <v>4.94</v>
      </c>
      <c r="E1208" s="13" t="n">
        <f aca="false">IFERROR(MIN(C1208,Eingaben!$B$17)*Eingaben!$B$16,0)</f>
        <v>2.793</v>
      </c>
      <c r="F1208" s="13" t="n">
        <f aca="false">IFERROR(E1208*Eingaben!$B$15,0)</f>
        <v>2.5137</v>
      </c>
      <c r="G1208" s="13" t="n">
        <f aca="false">IFERROR(IF(Kalender!A110="",0,J1207*(1-Eingaben!$B$20)),0)</f>
        <v>0.7390278</v>
      </c>
      <c r="H1208" s="13" t="n">
        <f aca="false">MIN(G1208,D1208)</f>
        <v>0.7390278</v>
      </c>
      <c r="I1208" s="13" t="n">
        <f aca="false">IFERROR(MIN(F1208*Eingaben!$B$19,MAX(0,D1208-H1208)),0)</f>
        <v>1.75959</v>
      </c>
      <c r="J1208" s="13" t="n">
        <f aca="false">IFERROR(MIN(Eingaben!$B$18,MAX(0,F1208-I1208)),0)</f>
        <v>0.75411</v>
      </c>
      <c r="K1208" s="13" t="n">
        <f aca="false">H1208+I1208</f>
        <v>2.4986178</v>
      </c>
      <c r="L1208" s="13" t="n">
        <f aca="false">MAX(0,D1208-K1208)</f>
        <v>2.4413822</v>
      </c>
      <c r="M1208" s="13" t="n">
        <f aca="false">MAX(0,F1208-I1208-J1208)</f>
        <v>0</v>
      </c>
      <c r="N1208" s="13" t="n">
        <f aca="false">IF(Kalender!A110="",0,J1207-H1208)</f>
        <v>0.0150822</v>
      </c>
    </row>
    <row r="1209" customFormat="false" ht="16.4" hidden="false" customHeight="false" outlineLevel="0" collapsed="false">
      <c r="A1209" s="13" t="str">
        <f aca="false">""</f>
        <v/>
      </c>
      <c r="B1209" s="13" t="n">
        <f aca="false">107</f>
        <v>107</v>
      </c>
      <c r="C1209" s="13" t="n">
        <f aca="false">IF(Szenarien!$H$14="OK",(IFERROR(SUMIF(Nutzungsprofile!$B$6:$B$11,"Schulbetrieb",Nutzungsprofile!$G$6:$G$11)*Kalender!C111/SUM(Kalender!$C$5:$C$370),0)+IFERROR(SUMIF(Nutzungsprofile!$B$6:$B$11,"Halle",Nutzungsprofile!$G$6:$G$11)*Kalender!D111/SUM(Kalender!$D$5:$D$370),0)+IFERROR(SUMIF(Nutzungsprofile!$B$6:$B$11,"Individuell",Nutzungsprofile!$G$6:$G$11)*Kalender!E111/SUM(Kalender!$E$5:$E$370),0))*Szenarien!$E$14,0)</f>
        <v>2.94</v>
      </c>
      <c r="D1209" s="13" t="n">
        <f aca="false">IF(Szenarien!$H$14="OK",(IFERROR(SUMIF(Nutzungsprofile!$B$17:$B$22,"Schulbetrieb",Nutzungsprofile!$G$17:$G$22)*Kalender!C111/SUM(Kalender!$C$5:$C$370),0)+IFERROR(SUMIF(Nutzungsprofile!$B$17:$B$22,"Halle",Nutzungsprofile!$G$17:$G$22)*Kalender!D111/SUM(Kalender!$D$5:$D$370),0)+IFERROR(SUMIF(Nutzungsprofile!$B$17:$B$22,"Individuell",Nutzungsprofile!$G$17:$G$22)*Kalender!E111/SUM(Kalender!$E$5:$E$370),0))*Szenarien!$D$14,0)</f>
        <v>4.94</v>
      </c>
      <c r="E1209" s="13" t="n">
        <f aca="false">IFERROR(MIN(C1209,Eingaben!$B$17)*Eingaben!$B$16,0)</f>
        <v>2.793</v>
      </c>
      <c r="F1209" s="13" t="n">
        <f aca="false">IFERROR(E1209*Eingaben!$B$15,0)</f>
        <v>2.5137</v>
      </c>
      <c r="G1209" s="13" t="n">
        <f aca="false">IFERROR(IF(Kalender!A111="",0,J1208*(1-Eingaben!$B$20)),0)</f>
        <v>0.7390278</v>
      </c>
      <c r="H1209" s="13" t="n">
        <f aca="false">MIN(G1209,D1209)</f>
        <v>0.7390278</v>
      </c>
      <c r="I1209" s="13" t="n">
        <f aca="false">IFERROR(MIN(F1209*Eingaben!$B$19,MAX(0,D1209-H1209)),0)</f>
        <v>1.75959</v>
      </c>
      <c r="J1209" s="13" t="n">
        <f aca="false">IFERROR(MIN(Eingaben!$B$18,MAX(0,F1209-I1209)),0)</f>
        <v>0.75411</v>
      </c>
      <c r="K1209" s="13" t="n">
        <f aca="false">H1209+I1209</f>
        <v>2.4986178</v>
      </c>
      <c r="L1209" s="13" t="n">
        <f aca="false">MAX(0,D1209-K1209)</f>
        <v>2.4413822</v>
      </c>
      <c r="M1209" s="13" t="n">
        <f aca="false">MAX(0,F1209-I1209-J1209)</f>
        <v>0</v>
      </c>
      <c r="N1209" s="13" t="n">
        <f aca="false">IF(Kalender!A111="",0,J1208-H1209)</f>
        <v>0.0150822</v>
      </c>
    </row>
    <row r="1210" customFormat="false" ht="16.4" hidden="false" customHeight="false" outlineLevel="0" collapsed="false">
      <c r="A1210" s="13" t="str">
        <f aca="false">""</f>
        <v/>
      </c>
      <c r="B1210" s="13" t="n">
        <f aca="false">108</f>
        <v>108</v>
      </c>
      <c r="C1210" s="13" t="n">
        <f aca="false">IF(Szenarien!$H$14="OK",(IFERROR(SUMIF(Nutzungsprofile!$B$6:$B$11,"Schulbetrieb",Nutzungsprofile!$G$6:$G$11)*Kalender!C112/SUM(Kalender!$C$5:$C$370),0)+IFERROR(SUMIF(Nutzungsprofile!$B$6:$B$11,"Halle",Nutzungsprofile!$G$6:$G$11)*Kalender!D112/SUM(Kalender!$D$5:$D$370),0)+IFERROR(SUMIF(Nutzungsprofile!$B$6:$B$11,"Individuell",Nutzungsprofile!$G$6:$G$11)*Kalender!E112/SUM(Kalender!$E$5:$E$370),0))*Szenarien!$E$14,0)</f>
        <v>2.04</v>
      </c>
      <c r="D1210" s="13" t="n">
        <f aca="false">IF(Szenarien!$H$14="OK",(IFERROR(SUMIF(Nutzungsprofile!$B$17:$B$22,"Schulbetrieb",Nutzungsprofile!$G$17:$G$22)*Kalender!C112/SUM(Kalender!$C$5:$C$370),0)+IFERROR(SUMIF(Nutzungsprofile!$B$17:$B$22,"Halle",Nutzungsprofile!$G$17:$G$22)*Kalender!D112/SUM(Kalender!$D$5:$D$370),0)+IFERROR(SUMIF(Nutzungsprofile!$B$17:$B$22,"Individuell",Nutzungsprofile!$G$17:$G$22)*Kalender!E112/SUM(Kalender!$E$5:$E$370),0))*Szenarien!$D$14,0)</f>
        <v>0.89</v>
      </c>
      <c r="E1210" s="13" t="n">
        <f aca="false">IFERROR(MIN(C1210,Eingaben!$B$17)*Eingaben!$B$16,0)</f>
        <v>1.938</v>
      </c>
      <c r="F1210" s="13" t="n">
        <f aca="false">IFERROR(E1210*Eingaben!$B$15,0)</f>
        <v>1.7442</v>
      </c>
      <c r="G1210" s="13" t="n">
        <f aca="false">IFERROR(IF(Kalender!A112="",0,J1209*(1-Eingaben!$B$20)),0)</f>
        <v>0.7390278</v>
      </c>
      <c r="H1210" s="13" t="n">
        <f aca="false">MIN(G1210,D1210)</f>
        <v>0.7390278</v>
      </c>
      <c r="I1210" s="13" t="n">
        <f aca="false">IFERROR(MIN(F1210*Eingaben!$B$19,MAX(0,D1210-H1210)),0)</f>
        <v>0.1509722</v>
      </c>
      <c r="J1210" s="13" t="n">
        <f aca="false">IFERROR(MIN(Eingaben!$B$18,MAX(0,F1210-I1210)),0)</f>
        <v>1.5932278</v>
      </c>
      <c r="K1210" s="13" t="n">
        <f aca="false">H1210+I1210</f>
        <v>0.89</v>
      </c>
      <c r="L1210" s="13" t="n">
        <f aca="false">MAX(0,D1210-K1210)</f>
        <v>0</v>
      </c>
      <c r="M1210" s="13" t="n">
        <f aca="false">MAX(0,F1210-I1210-J1210)</f>
        <v>0</v>
      </c>
      <c r="N1210" s="13" t="n">
        <f aca="false">IF(Kalender!A112="",0,J1209-H1210)</f>
        <v>0.0150822</v>
      </c>
    </row>
    <row r="1211" customFormat="false" ht="16.4" hidden="false" customHeight="false" outlineLevel="0" collapsed="false">
      <c r="A1211" s="13" t="str">
        <f aca="false">""</f>
        <v/>
      </c>
      <c r="B1211" s="13" t="n">
        <f aca="false">109</f>
        <v>109</v>
      </c>
      <c r="C1211" s="13" t="n">
        <f aca="false">IF(Szenarien!$H$14="OK",(IFERROR(SUMIF(Nutzungsprofile!$B$6:$B$11,"Schulbetrieb",Nutzungsprofile!$G$6:$G$11)*Kalender!C113/SUM(Kalender!$C$5:$C$370),0)+IFERROR(SUMIF(Nutzungsprofile!$B$6:$B$11,"Halle",Nutzungsprofile!$G$6:$G$11)*Kalender!D113/SUM(Kalender!$D$5:$D$370),0)+IFERROR(SUMIF(Nutzungsprofile!$B$6:$B$11,"Individuell",Nutzungsprofile!$G$6:$G$11)*Kalender!E113/SUM(Kalender!$E$5:$E$370),0))*Szenarien!$E$14,0)</f>
        <v>2.04</v>
      </c>
      <c r="D1211" s="13" t="n">
        <f aca="false">IF(Szenarien!$H$14="OK",(IFERROR(SUMIF(Nutzungsprofile!$B$17:$B$22,"Schulbetrieb",Nutzungsprofile!$G$17:$G$22)*Kalender!C113/SUM(Kalender!$C$5:$C$370),0)+IFERROR(SUMIF(Nutzungsprofile!$B$17:$B$22,"Halle",Nutzungsprofile!$G$17:$G$22)*Kalender!D113/SUM(Kalender!$D$5:$D$370),0)+IFERROR(SUMIF(Nutzungsprofile!$B$17:$B$22,"Individuell",Nutzungsprofile!$G$17:$G$22)*Kalender!E113/SUM(Kalender!$E$5:$E$370),0))*Szenarien!$D$14,0)</f>
        <v>0.89</v>
      </c>
      <c r="E1211" s="13" t="n">
        <f aca="false">IFERROR(MIN(C1211,Eingaben!$B$17)*Eingaben!$B$16,0)</f>
        <v>1.938</v>
      </c>
      <c r="F1211" s="13" t="n">
        <f aca="false">IFERROR(E1211*Eingaben!$B$15,0)</f>
        <v>1.7442</v>
      </c>
      <c r="G1211" s="13" t="n">
        <f aca="false">IFERROR(IF(Kalender!A113="",0,J1210*(1-Eingaben!$B$20)),0)</f>
        <v>1.561363244</v>
      </c>
      <c r="H1211" s="13" t="n">
        <f aca="false">MIN(G1211,D1211)</f>
        <v>0.89</v>
      </c>
      <c r="I1211" s="13" t="n">
        <f aca="false">IFERROR(MIN(F1211*Eingaben!$B$19,MAX(0,D1211-H1211)),0)</f>
        <v>0</v>
      </c>
      <c r="J1211" s="13" t="n">
        <f aca="false">IFERROR(MIN(Eingaben!$B$18,MAX(0,F1211-I1211)),0)</f>
        <v>1.7442</v>
      </c>
      <c r="K1211" s="13" t="n">
        <f aca="false">H1211+I1211</f>
        <v>0.89</v>
      </c>
      <c r="L1211" s="13" t="n">
        <f aca="false">MAX(0,D1211-K1211)</f>
        <v>0</v>
      </c>
      <c r="M1211" s="13" t="n">
        <f aca="false">MAX(0,F1211-I1211-J1211)</f>
        <v>0</v>
      </c>
      <c r="N1211" s="13" t="n">
        <f aca="false">IF(Kalender!A113="",0,J1210-H1211)</f>
        <v>0.7032278</v>
      </c>
    </row>
    <row r="1212" customFormat="false" ht="16.4" hidden="false" customHeight="false" outlineLevel="0" collapsed="false">
      <c r="A1212" s="13" t="str">
        <f aca="false">""</f>
        <v/>
      </c>
      <c r="B1212" s="13" t="n">
        <f aca="false">110</f>
        <v>110</v>
      </c>
      <c r="C1212" s="13" t="n">
        <f aca="false">IF(Szenarien!$H$14="OK",(IFERROR(SUMIF(Nutzungsprofile!$B$6:$B$11,"Schulbetrieb",Nutzungsprofile!$G$6:$G$11)*Kalender!C114/SUM(Kalender!$C$5:$C$370),0)+IFERROR(SUMIF(Nutzungsprofile!$B$6:$B$11,"Halle",Nutzungsprofile!$G$6:$G$11)*Kalender!D114/SUM(Kalender!$D$5:$D$370),0)+IFERROR(SUMIF(Nutzungsprofile!$B$6:$B$11,"Individuell",Nutzungsprofile!$G$6:$G$11)*Kalender!E114/SUM(Kalender!$E$5:$E$370),0))*Szenarien!$E$14,0)</f>
        <v>2.94</v>
      </c>
      <c r="D1212" s="13" t="n">
        <f aca="false">IF(Szenarien!$H$14="OK",(IFERROR(SUMIF(Nutzungsprofile!$B$17:$B$22,"Schulbetrieb",Nutzungsprofile!$G$17:$G$22)*Kalender!C114/SUM(Kalender!$C$5:$C$370),0)+IFERROR(SUMIF(Nutzungsprofile!$B$17:$B$22,"Halle",Nutzungsprofile!$G$17:$G$22)*Kalender!D114/SUM(Kalender!$D$5:$D$370),0)+IFERROR(SUMIF(Nutzungsprofile!$B$17:$B$22,"Individuell",Nutzungsprofile!$G$17:$G$22)*Kalender!E114/SUM(Kalender!$E$5:$E$370),0))*Szenarien!$D$14,0)</f>
        <v>4.94</v>
      </c>
      <c r="E1212" s="13" t="n">
        <f aca="false">IFERROR(MIN(C1212,Eingaben!$B$17)*Eingaben!$B$16,0)</f>
        <v>2.793</v>
      </c>
      <c r="F1212" s="13" t="n">
        <f aca="false">IFERROR(E1212*Eingaben!$B$15,0)</f>
        <v>2.5137</v>
      </c>
      <c r="G1212" s="13" t="n">
        <f aca="false">IFERROR(IF(Kalender!A114="",0,J1211*(1-Eingaben!$B$20)),0)</f>
        <v>1.709316</v>
      </c>
      <c r="H1212" s="13" t="n">
        <f aca="false">MIN(G1212,D1212)</f>
        <v>1.709316</v>
      </c>
      <c r="I1212" s="13" t="n">
        <f aca="false">IFERROR(MIN(F1212*Eingaben!$B$19,MAX(0,D1212-H1212)),0)</f>
        <v>1.75959</v>
      </c>
      <c r="J1212" s="13" t="n">
        <f aca="false">IFERROR(MIN(Eingaben!$B$18,MAX(0,F1212-I1212)),0)</f>
        <v>0.75411</v>
      </c>
      <c r="K1212" s="13" t="n">
        <f aca="false">H1212+I1212</f>
        <v>3.468906</v>
      </c>
      <c r="L1212" s="13" t="n">
        <f aca="false">MAX(0,D1212-K1212)</f>
        <v>1.471094</v>
      </c>
      <c r="M1212" s="13" t="n">
        <f aca="false">MAX(0,F1212-I1212-J1212)</f>
        <v>0</v>
      </c>
      <c r="N1212" s="13" t="n">
        <f aca="false">IF(Kalender!A114="",0,J1211-H1212)</f>
        <v>0.0348840000000001</v>
      </c>
    </row>
    <row r="1213" customFormat="false" ht="16.4" hidden="false" customHeight="false" outlineLevel="0" collapsed="false">
      <c r="A1213" s="13" t="str">
        <f aca="false">""</f>
        <v/>
      </c>
      <c r="B1213" s="13" t="n">
        <f aca="false">111</f>
        <v>111</v>
      </c>
      <c r="C1213" s="13" t="n">
        <f aca="false">IF(Szenarien!$H$14="OK",(IFERROR(SUMIF(Nutzungsprofile!$B$6:$B$11,"Schulbetrieb",Nutzungsprofile!$G$6:$G$11)*Kalender!C115/SUM(Kalender!$C$5:$C$370),0)+IFERROR(SUMIF(Nutzungsprofile!$B$6:$B$11,"Halle",Nutzungsprofile!$G$6:$G$11)*Kalender!D115/SUM(Kalender!$D$5:$D$370),0)+IFERROR(SUMIF(Nutzungsprofile!$B$6:$B$11,"Individuell",Nutzungsprofile!$G$6:$G$11)*Kalender!E115/SUM(Kalender!$E$5:$E$370),0))*Szenarien!$E$14,0)</f>
        <v>2.94</v>
      </c>
      <c r="D1213" s="13" t="n">
        <f aca="false">IF(Szenarien!$H$14="OK",(IFERROR(SUMIF(Nutzungsprofile!$B$17:$B$22,"Schulbetrieb",Nutzungsprofile!$G$17:$G$22)*Kalender!C115/SUM(Kalender!$C$5:$C$370),0)+IFERROR(SUMIF(Nutzungsprofile!$B$17:$B$22,"Halle",Nutzungsprofile!$G$17:$G$22)*Kalender!D115/SUM(Kalender!$D$5:$D$370),0)+IFERROR(SUMIF(Nutzungsprofile!$B$17:$B$22,"Individuell",Nutzungsprofile!$G$17:$G$22)*Kalender!E115/SUM(Kalender!$E$5:$E$370),0))*Szenarien!$D$14,0)</f>
        <v>4.94</v>
      </c>
      <c r="E1213" s="13" t="n">
        <f aca="false">IFERROR(MIN(C1213,Eingaben!$B$17)*Eingaben!$B$16,0)</f>
        <v>2.793</v>
      </c>
      <c r="F1213" s="13" t="n">
        <f aca="false">IFERROR(E1213*Eingaben!$B$15,0)</f>
        <v>2.5137</v>
      </c>
      <c r="G1213" s="13" t="n">
        <f aca="false">IFERROR(IF(Kalender!A115="",0,J1212*(1-Eingaben!$B$20)),0)</f>
        <v>0.7390278</v>
      </c>
      <c r="H1213" s="13" t="n">
        <f aca="false">MIN(G1213,D1213)</f>
        <v>0.7390278</v>
      </c>
      <c r="I1213" s="13" t="n">
        <f aca="false">IFERROR(MIN(F1213*Eingaben!$B$19,MAX(0,D1213-H1213)),0)</f>
        <v>1.75959</v>
      </c>
      <c r="J1213" s="13" t="n">
        <f aca="false">IFERROR(MIN(Eingaben!$B$18,MAX(0,F1213-I1213)),0)</f>
        <v>0.75411</v>
      </c>
      <c r="K1213" s="13" t="n">
        <f aca="false">H1213+I1213</f>
        <v>2.4986178</v>
      </c>
      <c r="L1213" s="13" t="n">
        <f aca="false">MAX(0,D1213-K1213)</f>
        <v>2.4413822</v>
      </c>
      <c r="M1213" s="13" t="n">
        <f aca="false">MAX(0,F1213-I1213-J1213)</f>
        <v>0</v>
      </c>
      <c r="N1213" s="13" t="n">
        <f aca="false">IF(Kalender!A115="",0,J1212-H1213)</f>
        <v>0.0150822</v>
      </c>
    </row>
    <row r="1214" customFormat="false" ht="16.4" hidden="false" customHeight="false" outlineLevel="0" collapsed="false">
      <c r="A1214" s="13" t="str">
        <f aca="false">""</f>
        <v/>
      </c>
      <c r="B1214" s="13" t="n">
        <f aca="false">112</f>
        <v>112</v>
      </c>
      <c r="C1214" s="13" t="n">
        <f aca="false">IF(Szenarien!$H$14="OK",(IFERROR(SUMIF(Nutzungsprofile!$B$6:$B$11,"Schulbetrieb",Nutzungsprofile!$G$6:$G$11)*Kalender!C116/SUM(Kalender!$C$5:$C$370),0)+IFERROR(SUMIF(Nutzungsprofile!$B$6:$B$11,"Halle",Nutzungsprofile!$G$6:$G$11)*Kalender!D116/SUM(Kalender!$D$5:$D$370),0)+IFERROR(SUMIF(Nutzungsprofile!$B$6:$B$11,"Individuell",Nutzungsprofile!$G$6:$G$11)*Kalender!E116/SUM(Kalender!$E$5:$E$370),0))*Szenarien!$E$14,0)</f>
        <v>2.94</v>
      </c>
      <c r="D1214" s="13" t="n">
        <f aca="false">IF(Szenarien!$H$14="OK",(IFERROR(SUMIF(Nutzungsprofile!$B$17:$B$22,"Schulbetrieb",Nutzungsprofile!$G$17:$G$22)*Kalender!C116/SUM(Kalender!$C$5:$C$370),0)+IFERROR(SUMIF(Nutzungsprofile!$B$17:$B$22,"Halle",Nutzungsprofile!$G$17:$G$22)*Kalender!D116/SUM(Kalender!$D$5:$D$370),0)+IFERROR(SUMIF(Nutzungsprofile!$B$17:$B$22,"Individuell",Nutzungsprofile!$G$17:$G$22)*Kalender!E116/SUM(Kalender!$E$5:$E$370),0))*Szenarien!$D$14,0)</f>
        <v>4.94</v>
      </c>
      <c r="E1214" s="13" t="n">
        <f aca="false">IFERROR(MIN(C1214,Eingaben!$B$17)*Eingaben!$B$16,0)</f>
        <v>2.793</v>
      </c>
      <c r="F1214" s="13" t="n">
        <f aca="false">IFERROR(E1214*Eingaben!$B$15,0)</f>
        <v>2.5137</v>
      </c>
      <c r="G1214" s="13" t="n">
        <f aca="false">IFERROR(IF(Kalender!A116="",0,J1213*(1-Eingaben!$B$20)),0)</f>
        <v>0.7390278</v>
      </c>
      <c r="H1214" s="13" t="n">
        <f aca="false">MIN(G1214,D1214)</f>
        <v>0.7390278</v>
      </c>
      <c r="I1214" s="13" t="n">
        <f aca="false">IFERROR(MIN(F1214*Eingaben!$B$19,MAX(0,D1214-H1214)),0)</f>
        <v>1.75959</v>
      </c>
      <c r="J1214" s="13" t="n">
        <f aca="false">IFERROR(MIN(Eingaben!$B$18,MAX(0,F1214-I1214)),0)</f>
        <v>0.75411</v>
      </c>
      <c r="K1214" s="13" t="n">
        <f aca="false">H1214+I1214</f>
        <v>2.4986178</v>
      </c>
      <c r="L1214" s="13" t="n">
        <f aca="false">MAX(0,D1214-K1214)</f>
        <v>2.4413822</v>
      </c>
      <c r="M1214" s="13" t="n">
        <f aca="false">MAX(0,F1214-I1214-J1214)</f>
        <v>0</v>
      </c>
      <c r="N1214" s="13" t="n">
        <f aca="false">IF(Kalender!A116="",0,J1213-H1214)</f>
        <v>0.0150822</v>
      </c>
    </row>
    <row r="1215" customFormat="false" ht="16.4" hidden="false" customHeight="false" outlineLevel="0" collapsed="false">
      <c r="A1215" s="13" t="str">
        <f aca="false">""</f>
        <v/>
      </c>
      <c r="B1215" s="13" t="n">
        <f aca="false">113</f>
        <v>113</v>
      </c>
      <c r="C1215" s="13" t="n">
        <f aca="false">IF(Szenarien!$H$14="OK",(IFERROR(SUMIF(Nutzungsprofile!$B$6:$B$11,"Schulbetrieb",Nutzungsprofile!$G$6:$G$11)*Kalender!C117/SUM(Kalender!$C$5:$C$370),0)+IFERROR(SUMIF(Nutzungsprofile!$B$6:$B$11,"Halle",Nutzungsprofile!$G$6:$G$11)*Kalender!D117/SUM(Kalender!$D$5:$D$370),0)+IFERROR(SUMIF(Nutzungsprofile!$B$6:$B$11,"Individuell",Nutzungsprofile!$G$6:$G$11)*Kalender!E117/SUM(Kalender!$E$5:$E$370),0))*Szenarien!$E$14,0)</f>
        <v>2.94</v>
      </c>
      <c r="D1215" s="13" t="n">
        <f aca="false">IF(Szenarien!$H$14="OK",(IFERROR(SUMIF(Nutzungsprofile!$B$17:$B$22,"Schulbetrieb",Nutzungsprofile!$G$17:$G$22)*Kalender!C117/SUM(Kalender!$C$5:$C$370),0)+IFERROR(SUMIF(Nutzungsprofile!$B$17:$B$22,"Halle",Nutzungsprofile!$G$17:$G$22)*Kalender!D117/SUM(Kalender!$D$5:$D$370),0)+IFERROR(SUMIF(Nutzungsprofile!$B$17:$B$22,"Individuell",Nutzungsprofile!$G$17:$G$22)*Kalender!E117/SUM(Kalender!$E$5:$E$370),0))*Szenarien!$D$14,0)</f>
        <v>4.94</v>
      </c>
      <c r="E1215" s="13" t="n">
        <f aca="false">IFERROR(MIN(C1215,Eingaben!$B$17)*Eingaben!$B$16,0)</f>
        <v>2.793</v>
      </c>
      <c r="F1215" s="13" t="n">
        <f aca="false">IFERROR(E1215*Eingaben!$B$15,0)</f>
        <v>2.5137</v>
      </c>
      <c r="G1215" s="13" t="n">
        <f aca="false">IFERROR(IF(Kalender!A117="",0,J1214*(1-Eingaben!$B$20)),0)</f>
        <v>0.7390278</v>
      </c>
      <c r="H1215" s="13" t="n">
        <f aca="false">MIN(G1215,D1215)</f>
        <v>0.7390278</v>
      </c>
      <c r="I1215" s="13" t="n">
        <f aca="false">IFERROR(MIN(F1215*Eingaben!$B$19,MAX(0,D1215-H1215)),0)</f>
        <v>1.75959</v>
      </c>
      <c r="J1215" s="13" t="n">
        <f aca="false">IFERROR(MIN(Eingaben!$B$18,MAX(0,F1215-I1215)),0)</f>
        <v>0.75411</v>
      </c>
      <c r="K1215" s="13" t="n">
        <f aca="false">H1215+I1215</f>
        <v>2.4986178</v>
      </c>
      <c r="L1215" s="13" t="n">
        <f aca="false">MAX(0,D1215-K1215)</f>
        <v>2.4413822</v>
      </c>
      <c r="M1215" s="13" t="n">
        <f aca="false">MAX(0,F1215-I1215-J1215)</f>
        <v>0</v>
      </c>
      <c r="N1215" s="13" t="n">
        <f aca="false">IF(Kalender!A117="",0,J1214-H1215)</f>
        <v>0.0150822</v>
      </c>
    </row>
    <row r="1216" customFormat="false" ht="16.4" hidden="false" customHeight="false" outlineLevel="0" collapsed="false">
      <c r="A1216" s="13" t="str">
        <f aca="false">""</f>
        <v/>
      </c>
      <c r="B1216" s="13" t="n">
        <f aca="false">114</f>
        <v>114</v>
      </c>
      <c r="C1216" s="13" t="n">
        <f aca="false">IF(Szenarien!$H$14="OK",(IFERROR(SUMIF(Nutzungsprofile!$B$6:$B$11,"Schulbetrieb",Nutzungsprofile!$G$6:$G$11)*Kalender!C118/SUM(Kalender!$C$5:$C$370),0)+IFERROR(SUMIF(Nutzungsprofile!$B$6:$B$11,"Halle",Nutzungsprofile!$G$6:$G$11)*Kalender!D118/SUM(Kalender!$D$5:$D$370),0)+IFERROR(SUMIF(Nutzungsprofile!$B$6:$B$11,"Individuell",Nutzungsprofile!$G$6:$G$11)*Kalender!E118/SUM(Kalender!$E$5:$E$370),0))*Szenarien!$E$14,0)</f>
        <v>2.94</v>
      </c>
      <c r="D1216" s="13" t="n">
        <f aca="false">IF(Szenarien!$H$14="OK",(IFERROR(SUMIF(Nutzungsprofile!$B$17:$B$22,"Schulbetrieb",Nutzungsprofile!$G$17:$G$22)*Kalender!C118/SUM(Kalender!$C$5:$C$370),0)+IFERROR(SUMIF(Nutzungsprofile!$B$17:$B$22,"Halle",Nutzungsprofile!$G$17:$G$22)*Kalender!D118/SUM(Kalender!$D$5:$D$370),0)+IFERROR(SUMIF(Nutzungsprofile!$B$17:$B$22,"Individuell",Nutzungsprofile!$G$17:$G$22)*Kalender!E118/SUM(Kalender!$E$5:$E$370),0))*Szenarien!$D$14,0)</f>
        <v>4.94</v>
      </c>
      <c r="E1216" s="13" t="n">
        <f aca="false">IFERROR(MIN(C1216,Eingaben!$B$17)*Eingaben!$B$16,0)</f>
        <v>2.793</v>
      </c>
      <c r="F1216" s="13" t="n">
        <f aca="false">IFERROR(E1216*Eingaben!$B$15,0)</f>
        <v>2.5137</v>
      </c>
      <c r="G1216" s="13" t="n">
        <f aca="false">IFERROR(IF(Kalender!A118="",0,J1215*(1-Eingaben!$B$20)),0)</f>
        <v>0.7390278</v>
      </c>
      <c r="H1216" s="13" t="n">
        <f aca="false">MIN(G1216,D1216)</f>
        <v>0.7390278</v>
      </c>
      <c r="I1216" s="13" t="n">
        <f aca="false">IFERROR(MIN(F1216*Eingaben!$B$19,MAX(0,D1216-H1216)),0)</f>
        <v>1.75959</v>
      </c>
      <c r="J1216" s="13" t="n">
        <f aca="false">IFERROR(MIN(Eingaben!$B$18,MAX(0,F1216-I1216)),0)</f>
        <v>0.75411</v>
      </c>
      <c r="K1216" s="13" t="n">
        <f aca="false">H1216+I1216</f>
        <v>2.4986178</v>
      </c>
      <c r="L1216" s="13" t="n">
        <f aca="false">MAX(0,D1216-K1216)</f>
        <v>2.4413822</v>
      </c>
      <c r="M1216" s="13" t="n">
        <f aca="false">MAX(0,F1216-I1216-J1216)</f>
        <v>0</v>
      </c>
      <c r="N1216" s="13" t="n">
        <f aca="false">IF(Kalender!A118="",0,J1215-H1216)</f>
        <v>0.0150822</v>
      </c>
    </row>
    <row r="1217" customFormat="false" ht="16.4" hidden="false" customHeight="false" outlineLevel="0" collapsed="false">
      <c r="A1217" s="13" t="str">
        <f aca="false">""</f>
        <v/>
      </c>
      <c r="B1217" s="13" t="n">
        <f aca="false">115</f>
        <v>115</v>
      </c>
      <c r="C1217" s="13" t="n">
        <f aca="false">IF(Szenarien!$H$14="OK",(IFERROR(SUMIF(Nutzungsprofile!$B$6:$B$11,"Schulbetrieb",Nutzungsprofile!$G$6:$G$11)*Kalender!C119/SUM(Kalender!$C$5:$C$370),0)+IFERROR(SUMIF(Nutzungsprofile!$B$6:$B$11,"Halle",Nutzungsprofile!$G$6:$G$11)*Kalender!D119/SUM(Kalender!$D$5:$D$370),0)+IFERROR(SUMIF(Nutzungsprofile!$B$6:$B$11,"Individuell",Nutzungsprofile!$G$6:$G$11)*Kalender!E119/SUM(Kalender!$E$5:$E$370),0))*Szenarien!$E$14,0)</f>
        <v>2.04</v>
      </c>
      <c r="D1217" s="13" t="n">
        <f aca="false">IF(Szenarien!$H$14="OK",(IFERROR(SUMIF(Nutzungsprofile!$B$17:$B$22,"Schulbetrieb",Nutzungsprofile!$G$17:$G$22)*Kalender!C119/SUM(Kalender!$C$5:$C$370),0)+IFERROR(SUMIF(Nutzungsprofile!$B$17:$B$22,"Halle",Nutzungsprofile!$G$17:$G$22)*Kalender!D119/SUM(Kalender!$D$5:$D$370),0)+IFERROR(SUMIF(Nutzungsprofile!$B$17:$B$22,"Individuell",Nutzungsprofile!$G$17:$G$22)*Kalender!E119/SUM(Kalender!$E$5:$E$370),0))*Szenarien!$D$14,0)</f>
        <v>0.89</v>
      </c>
      <c r="E1217" s="13" t="n">
        <f aca="false">IFERROR(MIN(C1217,Eingaben!$B$17)*Eingaben!$B$16,0)</f>
        <v>1.938</v>
      </c>
      <c r="F1217" s="13" t="n">
        <f aca="false">IFERROR(E1217*Eingaben!$B$15,0)</f>
        <v>1.7442</v>
      </c>
      <c r="G1217" s="13" t="n">
        <f aca="false">IFERROR(IF(Kalender!A119="",0,J1216*(1-Eingaben!$B$20)),0)</f>
        <v>0.7390278</v>
      </c>
      <c r="H1217" s="13" t="n">
        <f aca="false">MIN(G1217,D1217)</f>
        <v>0.7390278</v>
      </c>
      <c r="I1217" s="13" t="n">
        <f aca="false">IFERROR(MIN(F1217*Eingaben!$B$19,MAX(0,D1217-H1217)),0)</f>
        <v>0.1509722</v>
      </c>
      <c r="J1217" s="13" t="n">
        <f aca="false">IFERROR(MIN(Eingaben!$B$18,MAX(0,F1217-I1217)),0)</f>
        <v>1.5932278</v>
      </c>
      <c r="K1217" s="13" t="n">
        <f aca="false">H1217+I1217</f>
        <v>0.89</v>
      </c>
      <c r="L1217" s="13" t="n">
        <f aca="false">MAX(0,D1217-K1217)</f>
        <v>0</v>
      </c>
      <c r="M1217" s="13" t="n">
        <f aca="false">MAX(0,F1217-I1217-J1217)</f>
        <v>0</v>
      </c>
      <c r="N1217" s="13" t="n">
        <f aca="false">IF(Kalender!A119="",0,J1216-H1217)</f>
        <v>0.0150822</v>
      </c>
    </row>
    <row r="1218" customFormat="false" ht="16.4" hidden="false" customHeight="false" outlineLevel="0" collapsed="false">
      <c r="A1218" s="13" t="str">
        <f aca="false">""</f>
        <v/>
      </c>
      <c r="B1218" s="13" t="n">
        <f aca="false">116</f>
        <v>116</v>
      </c>
      <c r="C1218" s="13" t="n">
        <f aca="false">IF(Szenarien!$H$14="OK",(IFERROR(SUMIF(Nutzungsprofile!$B$6:$B$11,"Schulbetrieb",Nutzungsprofile!$G$6:$G$11)*Kalender!C120/SUM(Kalender!$C$5:$C$370),0)+IFERROR(SUMIF(Nutzungsprofile!$B$6:$B$11,"Halle",Nutzungsprofile!$G$6:$G$11)*Kalender!D120/SUM(Kalender!$D$5:$D$370),0)+IFERROR(SUMIF(Nutzungsprofile!$B$6:$B$11,"Individuell",Nutzungsprofile!$G$6:$G$11)*Kalender!E120/SUM(Kalender!$E$5:$E$370),0))*Szenarien!$E$14,0)</f>
        <v>2.04</v>
      </c>
      <c r="D1218" s="13" t="n">
        <f aca="false">IF(Szenarien!$H$14="OK",(IFERROR(SUMIF(Nutzungsprofile!$B$17:$B$22,"Schulbetrieb",Nutzungsprofile!$G$17:$G$22)*Kalender!C120/SUM(Kalender!$C$5:$C$370),0)+IFERROR(SUMIF(Nutzungsprofile!$B$17:$B$22,"Halle",Nutzungsprofile!$G$17:$G$22)*Kalender!D120/SUM(Kalender!$D$5:$D$370),0)+IFERROR(SUMIF(Nutzungsprofile!$B$17:$B$22,"Individuell",Nutzungsprofile!$G$17:$G$22)*Kalender!E120/SUM(Kalender!$E$5:$E$370),0))*Szenarien!$D$14,0)</f>
        <v>0.89</v>
      </c>
      <c r="E1218" s="13" t="n">
        <f aca="false">IFERROR(MIN(C1218,Eingaben!$B$17)*Eingaben!$B$16,0)</f>
        <v>1.938</v>
      </c>
      <c r="F1218" s="13" t="n">
        <f aca="false">IFERROR(E1218*Eingaben!$B$15,0)</f>
        <v>1.7442</v>
      </c>
      <c r="G1218" s="13" t="n">
        <f aca="false">IFERROR(IF(Kalender!A120="",0,J1217*(1-Eingaben!$B$20)),0)</f>
        <v>1.561363244</v>
      </c>
      <c r="H1218" s="13" t="n">
        <f aca="false">MIN(G1218,D1218)</f>
        <v>0.89</v>
      </c>
      <c r="I1218" s="13" t="n">
        <f aca="false">IFERROR(MIN(F1218*Eingaben!$B$19,MAX(0,D1218-H1218)),0)</f>
        <v>0</v>
      </c>
      <c r="J1218" s="13" t="n">
        <f aca="false">IFERROR(MIN(Eingaben!$B$18,MAX(0,F1218-I1218)),0)</f>
        <v>1.7442</v>
      </c>
      <c r="K1218" s="13" t="n">
        <f aca="false">H1218+I1218</f>
        <v>0.89</v>
      </c>
      <c r="L1218" s="13" t="n">
        <f aca="false">MAX(0,D1218-K1218)</f>
        <v>0</v>
      </c>
      <c r="M1218" s="13" t="n">
        <f aca="false">MAX(0,F1218-I1218-J1218)</f>
        <v>0</v>
      </c>
      <c r="N1218" s="13" t="n">
        <f aca="false">IF(Kalender!A120="",0,J1217-H1218)</f>
        <v>0.7032278</v>
      </c>
    </row>
    <row r="1219" customFormat="false" ht="16.4" hidden="false" customHeight="false" outlineLevel="0" collapsed="false">
      <c r="A1219" s="13" t="str">
        <f aca="false">""</f>
        <v/>
      </c>
      <c r="B1219" s="13" t="n">
        <f aca="false">117</f>
        <v>117</v>
      </c>
      <c r="C1219" s="13" t="n">
        <f aca="false">IF(Szenarien!$H$14="OK",(IFERROR(SUMIF(Nutzungsprofile!$B$6:$B$11,"Schulbetrieb",Nutzungsprofile!$G$6:$G$11)*Kalender!C121/SUM(Kalender!$C$5:$C$370),0)+IFERROR(SUMIF(Nutzungsprofile!$B$6:$B$11,"Halle",Nutzungsprofile!$G$6:$G$11)*Kalender!D121/SUM(Kalender!$D$5:$D$370),0)+IFERROR(SUMIF(Nutzungsprofile!$B$6:$B$11,"Individuell",Nutzungsprofile!$G$6:$G$11)*Kalender!E121/SUM(Kalender!$E$5:$E$370),0))*Szenarien!$E$14,0)</f>
        <v>2.94</v>
      </c>
      <c r="D1219" s="13" t="n">
        <f aca="false">IF(Szenarien!$H$14="OK",(IFERROR(SUMIF(Nutzungsprofile!$B$17:$B$22,"Schulbetrieb",Nutzungsprofile!$G$17:$G$22)*Kalender!C121/SUM(Kalender!$C$5:$C$370),0)+IFERROR(SUMIF(Nutzungsprofile!$B$17:$B$22,"Halle",Nutzungsprofile!$G$17:$G$22)*Kalender!D121/SUM(Kalender!$D$5:$D$370),0)+IFERROR(SUMIF(Nutzungsprofile!$B$17:$B$22,"Individuell",Nutzungsprofile!$G$17:$G$22)*Kalender!E121/SUM(Kalender!$E$5:$E$370),0))*Szenarien!$D$14,0)</f>
        <v>4.94</v>
      </c>
      <c r="E1219" s="13" t="n">
        <f aca="false">IFERROR(MIN(C1219,Eingaben!$B$17)*Eingaben!$B$16,0)</f>
        <v>2.793</v>
      </c>
      <c r="F1219" s="13" t="n">
        <f aca="false">IFERROR(E1219*Eingaben!$B$15,0)</f>
        <v>2.5137</v>
      </c>
      <c r="G1219" s="13" t="n">
        <f aca="false">IFERROR(IF(Kalender!A121="",0,J1218*(1-Eingaben!$B$20)),0)</f>
        <v>1.709316</v>
      </c>
      <c r="H1219" s="13" t="n">
        <f aca="false">MIN(G1219,D1219)</f>
        <v>1.709316</v>
      </c>
      <c r="I1219" s="13" t="n">
        <f aca="false">IFERROR(MIN(F1219*Eingaben!$B$19,MAX(0,D1219-H1219)),0)</f>
        <v>1.75959</v>
      </c>
      <c r="J1219" s="13" t="n">
        <f aca="false">IFERROR(MIN(Eingaben!$B$18,MAX(0,F1219-I1219)),0)</f>
        <v>0.75411</v>
      </c>
      <c r="K1219" s="13" t="n">
        <f aca="false">H1219+I1219</f>
        <v>3.468906</v>
      </c>
      <c r="L1219" s="13" t="n">
        <f aca="false">MAX(0,D1219-K1219)</f>
        <v>1.471094</v>
      </c>
      <c r="M1219" s="13" t="n">
        <f aca="false">MAX(0,F1219-I1219-J1219)</f>
        <v>0</v>
      </c>
      <c r="N1219" s="13" t="n">
        <f aca="false">IF(Kalender!A121="",0,J1218-H1219)</f>
        <v>0.0348840000000001</v>
      </c>
    </row>
    <row r="1220" customFormat="false" ht="16.4" hidden="false" customHeight="false" outlineLevel="0" collapsed="false">
      <c r="A1220" s="13" t="str">
        <f aca="false">""</f>
        <v/>
      </c>
      <c r="B1220" s="13" t="n">
        <f aca="false">118</f>
        <v>118</v>
      </c>
      <c r="C1220" s="13" t="n">
        <f aca="false">IF(Szenarien!$H$14="OK",(IFERROR(SUMIF(Nutzungsprofile!$B$6:$B$11,"Schulbetrieb",Nutzungsprofile!$G$6:$G$11)*Kalender!C122/SUM(Kalender!$C$5:$C$370),0)+IFERROR(SUMIF(Nutzungsprofile!$B$6:$B$11,"Halle",Nutzungsprofile!$G$6:$G$11)*Kalender!D122/SUM(Kalender!$D$5:$D$370),0)+IFERROR(SUMIF(Nutzungsprofile!$B$6:$B$11,"Individuell",Nutzungsprofile!$G$6:$G$11)*Kalender!E122/SUM(Kalender!$E$5:$E$370),0))*Szenarien!$E$14,0)</f>
        <v>2.94</v>
      </c>
      <c r="D1220" s="13" t="n">
        <f aca="false">IF(Szenarien!$H$14="OK",(IFERROR(SUMIF(Nutzungsprofile!$B$17:$B$22,"Schulbetrieb",Nutzungsprofile!$G$17:$G$22)*Kalender!C122/SUM(Kalender!$C$5:$C$370),0)+IFERROR(SUMIF(Nutzungsprofile!$B$17:$B$22,"Halle",Nutzungsprofile!$G$17:$G$22)*Kalender!D122/SUM(Kalender!$D$5:$D$370),0)+IFERROR(SUMIF(Nutzungsprofile!$B$17:$B$22,"Individuell",Nutzungsprofile!$G$17:$G$22)*Kalender!E122/SUM(Kalender!$E$5:$E$370),0))*Szenarien!$D$14,0)</f>
        <v>4.94</v>
      </c>
      <c r="E1220" s="13" t="n">
        <f aca="false">IFERROR(MIN(C1220,Eingaben!$B$17)*Eingaben!$B$16,0)</f>
        <v>2.793</v>
      </c>
      <c r="F1220" s="13" t="n">
        <f aca="false">IFERROR(E1220*Eingaben!$B$15,0)</f>
        <v>2.5137</v>
      </c>
      <c r="G1220" s="13" t="n">
        <f aca="false">IFERROR(IF(Kalender!A122="",0,J1219*(1-Eingaben!$B$20)),0)</f>
        <v>0.7390278</v>
      </c>
      <c r="H1220" s="13" t="n">
        <f aca="false">MIN(G1220,D1220)</f>
        <v>0.7390278</v>
      </c>
      <c r="I1220" s="13" t="n">
        <f aca="false">IFERROR(MIN(F1220*Eingaben!$B$19,MAX(0,D1220-H1220)),0)</f>
        <v>1.75959</v>
      </c>
      <c r="J1220" s="13" t="n">
        <f aca="false">IFERROR(MIN(Eingaben!$B$18,MAX(0,F1220-I1220)),0)</f>
        <v>0.75411</v>
      </c>
      <c r="K1220" s="13" t="n">
        <f aca="false">H1220+I1220</f>
        <v>2.4986178</v>
      </c>
      <c r="L1220" s="13" t="n">
        <f aca="false">MAX(0,D1220-K1220)</f>
        <v>2.4413822</v>
      </c>
      <c r="M1220" s="13" t="n">
        <f aca="false">MAX(0,F1220-I1220-J1220)</f>
        <v>0</v>
      </c>
      <c r="N1220" s="13" t="n">
        <f aca="false">IF(Kalender!A122="",0,J1219-H1220)</f>
        <v>0.0150822</v>
      </c>
    </row>
    <row r="1221" customFormat="false" ht="16.4" hidden="false" customHeight="false" outlineLevel="0" collapsed="false">
      <c r="A1221" s="13" t="str">
        <f aca="false">""</f>
        <v/>
      </c>
      <c r="B1221" s="13" t="n">
        <f aca="false">119</f>
        <v>119</v>
      </c>
      <c r="C1221" s="13" t="n">
        <f aca="false">IF(Szenarien!$H$14="OK",(IFERROR(SUMIF(Nutzungsprofile!$B$6:$B$11,"Schulbetrieb",Nutzungsprofile!$G$6:$G$11)*Kalender!C123/SUM(Kalender!$C$5:$C$370),0)+IFERROR(SUMIF(Nutzungsprofile!$B$6:$B$11,"Halle",Nutzungsprofile!$G$6:$G$11)*Kalender!D123/SUM(Kalender!$D$5:$D$370),0)+IFERROR(SUMIF(Nutzungsprofile!$B$6:$B$11,"Individuell",Nutzungsprofile!$G$6:$G$11)*Kalender!E123/SUM(Kalender!$E$5:$E$370),0))*Szenarien!$E$14,0)</f>
        <v>2.94</v>
      </c>
      <c r="D1221" s="13" t="n">
        <f aca="false">IF(Szenarien!$H$14="OK",(IFERROR(SUMIF(Nutzungsprofile!$B$17:$B$22,"Schulbetrieb",Nutzungsprofile!$G$17:$G$22)*Kalender!C123/SUM(Kalender!$C$5:$C$370),0)+IFERROR(SUMIF(Nutzungsprofile!$B$17:$B$22,"Halle",Nutzungsprofile!$G$17:$G$22)*Kalender!D123/SUM(Kalender!$D$5:$D$370),0)+IFERROR(SUMIF(Nutzungsprofile!$B$17:$B$22,"Individuell",Nutzungsprofile!$G$17:$G$22)*Kalender!E123/SUM(Kalender!$E$5:$E$370),0))*Szenarien!$D$14,0)</f>
        <v>4.94</v>
      </c>
      <c r="E1221" s="13" t="n">
        <f aca="false">IFERROR(MIN(C1221,Eingaben!$B$17)*Eingaben!$B$16,0)</f>
        <v>2.793</v>
      </c>
      <c r="F1221" s="13" t="n">
        <f aca="false">IFERROR(E1221*Eingaben!$B$15,0)</f>
        <v>2.5137</v>
      </c>
      <c r="G1221" s="13" t="n">
        <f aca="false">IFERROR(IF(Kalender!A123="",0,J1220*(1-Eingaben!$B$20)),0)</f>
        <v>0.7390278</v>
      </c>
      <c r="H1221" s="13" t="n">
        <f aca="false">MIN(G1221,D1221)</f>
        <v>0.7390278</v>
      </c>
      <c r="I1221" s="13" t="n">
        <f aca="false">IFERROR(MIN(F1221*Eingaben!$B$19,MAX(0,D1221-H1221)),0)</f>
        <v>1.75959</v>
      </c>
      <c r="J1221" s="13" t="n">
        <f aca="false">IFERROR(MIN(Eingaben!$B$18,MAX(0,F1221-I1221)),0)</f>
        <v>0.75411</v>
      </c>
      <c r="K1221" s="13" t="n">
        <f aca="false">H1221+I1221</f>
        <v>2.4986178</v>
      </c>
      <c r="L1221" s="13" t="n">
        <f aca="false">MAX(0,D1221-K1221)</f>
        <v>2.4413822</v>
      </c>
      <c r="M1221" s="13" t="n">
        <f aca="false">MAX(0,F1221-I1221-J1221)</f>
        <v>0</v>
      </c>
      <c r="N1221" s="13" t="n">
        <f aca="false">IF(Kalender!A123="",0,J1220-H1221)</f>
        <v>0.0150822</v>
      </c>
    </row>
    <row r="1222" customFormat="false" ht="16.4" hidden="false" customHeight="false" outlineLevel="0" collapsed="false">
      <c r="A1222" s="13" t="str">
        <f aca="false">""</f>
        <v/>
      </c>
      <c r="B1222" s="13" t="n">
        <f aca="false">120</f>
        <v>120</v>
      </c>
      <c r="C1222" s="13" t="n">
        <f aca="false">IF(Szenarien!$H$14="OK",(IFERROR(SUMIF(Nutzungsprofile!$B$6:$B$11,"Schulbetrieb",Nutzungsprofile!$G$6:$G$11)*Kalender!C124/SUM(Kalender!$C$5:$C$370),0)+IFERROR(SUMIF(Nutzungsprofile!$B$6:$B$11,"Halle",Nutzungsprofile!$G$6:$G$11)*Kalender!D124/SUM(Kalender!$D$5:$D$370),0)+IFERROR(SUMIF(Nutzungsprofile!$B$6:$B$11,"Individuell",Nutzungsprofile!$G$6:$G$11)*Kalender!E124/SUM(Kalender!$E$5:$E$370),0))*Szenarien!$E$14,0)</f>
        <v>2.94</v>
      </c>
      <c r="D1222" s="13" t="n">
        <f aca="false">IF(Szenarien!$H$14="OK",(IFERROR(SUMIF(Nutzungsprofile!$B$17:$B$22,"Schulbetrieb",Nutzungsprofile!$G$17:$G$22)*Kalender!C124/SUM(Kalender!$C$5:$C$370),0)+IFERROR(SUMIF(Nutzungsprofile!$B$17:$B$22,"Halle",Nutzungsprofile!$G$17:$G$22)*Kalender!D124/SUM(Kalender!$D$5:$D$370),0)+IFERROR(SUMIF(Nutzungsprofile!$B$17:$B$22,"Individuell",Nutzungsprofile!$G$17:$G$22)*Kalender!E124/SUM(Kalender!$E$5:$E$370),0))*Szenarien!$D$14,0)</f>
        <v>4.94</v>
      </c>
      <c r="E1222" s="13" t="n">
        <f aca="false">IFERROR(MIN(C1222,Eingaben!$B$17)*Eingaben!$B$16,0)</f>
        <v>2.793</v>
      </c>
      <c r="F1222" s="13" t="n">
        <f aca="false">IFERROR(E1222*Eingaben!$B$15,0)</f>
        <v>2.5137</v>
      </c>
      <c r="G1222" s="13" t="n">
        <f aca="false">IFERROR(IF(Kalender!A124="",0,J1221*(1-Eingaben!$B$20)),0)</f>
        <v>0.7390278</v>
      </c>
      <c r="H1222" s="13" t="n">
        <f aca="false">MIN(G1222,D1222)</f>
        <v>0.7390278</v>
      </c>
      <c r="I1222" s="13" t="n">
        <f aca="false">IFERROR(MIN(F1222*Eingaben!$B$19,MAX(0,D1222-H1222)),0)</f>
        <v>1.75959</v>
      </c>
      <c r="J1222" s="13" t="n">
        <f aca="false">IFERROR(MIN(Eingaben!$B$18,MAX(0,F1222-I1222)),0)</f>
        <v>0.75411</v>
      </c>
      <c r="K1222" s="13" t="n">
        <f aca="false">H1222+I1222</f>
        <v>2.4986178</v>
      </c>
      <c r="L1222" s="13" t="n">
        <f aca="false">MAX(0,D1222-K1222)</f>
        <v>2.4413822</v>
      </c>
      <c r="M1222" s="13" t="n">
        <f aca="false">MAX(0,F1222-I1222-J1222)</f>
        <v>0</v>
      </c>
      <c r="N1222" s="13" t="n">
        <f aca="false">IF(Kalender!A124="",0,J1221-H1222)</f>
        <v>0.0150822</v>
      </c>
    </row>
    <row r="1223" customFormat="false" ht="16.4" hidden="false" customHeight="false" outlineLevel="0" collapsed="false">
      <c r="A1223" s="13" t="str">
        <f aca="false">""</f>
        <v/>
      </c>
      <c r="B1223" s="13" t="n">
        <f aca="false">121</f>
        <v>121</v>
      </c>
      <c r="C1223" s="13" t="n">
        <f aca="false">IF(Szenarien!$H$14="OK",(IFERROR(SUMIF(Nutzungsprofile!$B$6:$B$11,"Schulbetrieb",Nutzungsprofile!$G$6:$G$11)*Kalender!C125/SUM(Kalender!$C$5:$C$370),0)+IFERROR(SUMIF(Nutzungsprofile!$B$6:$B$11,"Halle",Nutzungsprofile!$G$6:$G$11)*Kalender!D125/SUM(Kalender!$D$5:$D$370),0)+IFERROR(SUMIF(Nutzungsprofile!$B$6:$B$11,"Individuell",Nutzungsprofile!$G$6:$G$11)*Kalender!E125/SUM(Kalender!$E$5:$E$370),0))*Szenarien!$E$14,0)</f>
        <v>2.94</v>
      </c>
      <c r="D1223" s="13" t="n">
        <f aca="false">IF(Szenarien!$H$14="OK",(IFERROR(SUMIF(Nutzungsprofile!$B$17:$B$22,"Schulbetrieb",Nutzungsprofile!$G$17:$G$22)*Kalender!C125/SUM(Kalender!$C$5:$C$370),0)+IFERROR(SUMIF(Nutzungsprofile!$B$17:$B$22,"Halle",Nutzungsprofile!$G$17:$G$22)*Kalender!D125/SUM(Kalender!$D$5:$D$370),0)+IFERROR(SUMIF(Nutzungsprofile!$B$17:$B$22,"Individuell",Nutzungsprofile!$G$17:$G$22)*Kalender!E125/SUM(Kalender!$E$5:$E$370),0))*Szenarien!$D$14,0)</f>
        <v>4.94</v>
      </c>
      <c r="E1223" s="13" t="n">
        <f aca="false">IFERROR(MIN(C1223,Eingaben!$B$17)*Eingaben!$B$16,0)</f>
        <v>2.793</v>
      </c>
      <c r="F1223" s="13" t="n">
        <f aca="false">IFERROR(E1223*Eingaben!$B$15,0)</f>
        <v>2.5137</v>
      </c>
      <c r="G1223" s="13" t="n">
        <f aca="false">IFERROR(IF(Kalender!A125="",0,J1222*(1-Eingaben!$B$20)),0)</f>
        <v>0.7390278</v>
      </c>
      <c r="H1223" s="13" t="n">
        <f aca="false">MIN(G1223,D1223)</f>
        <v>0.7390278</v>
      </c>
      <c r="I1223" s="13" t="n">
        <f aca="false">IFERROR(MIN(F1223*Eingaben!$B$19,MAX(0,D1223-H1223)),0)</f>
        <v>1.75959</v>
      </c>
      <c r="J1223" s="13" t="n">
        <f aca="false">IFERROR(MIN(Eingaben!$B$18,MAX(0,F1223-I1223)),0)</f>
        <v>0.75411</v>
      </c>
      <c r="K1223" s="13" t="n">
        <f aca="false">H1223+I1223</f>
        <v>2.4986178</v>
      </c>
      <c r="L1223" s="13" t="n">
        <f aca="false">MAX(0,D1223-K1223)</f>
        <v>2.4413822</v>
      </c>
      <c r="M1223" s="13" t="n">
        <f aca="false">MAX(0,F1223-I1223-J1223)</f>
        <v>0</v>
      </c>
      <c r="N1223" s="13" t="n">
        <f aca="false">IF(Kalender!A125="",0,J1222-H1223)</f>
        <v>0.0150822</v>
      </c>
    </row>
    <row r="1224" customFormat="false" ht="16.4" hidden="false" customHeight="false" outlineLevel="0" collapsed="false">
      <c r="A1224" s="13" t="str">
        <f aca="false">""</f>
        <v/>
      </c>
      <c r="B1224" s="13" t="n">
        <f aca="false">122</f>
        <v>122</v>
      </c>
      <c r="C1224" s="13" t="n">
        <f aca="false">IF(Szenarien!$H$14="OK",(IFERROR(SUMIF(Nutzungsprofile!$B$6:$B$11,"Schulbetrieb",Nutzungsprofile!$G$6:$G$11)*Kalender!C126/SUM(Kalender!$C$5:$C$370),0)+IFERROR(SUMIF(Nutzungsprofile!$B$6:$B$11,"Halle",Nutzungsprofile!$G$6:$G$11)*Kalender!D126/SUM(Kalender!$D$5:$D$370),0)+IFERROR(SUMIF(Nutzungsprofile!$B$6:$B$11,"Individuell",Nutzungsprofile!$G$6:$G$11)*Kalender!E126/SUM(Kalender!$E$5:$E$370),0))*Szenarien!$E$14,0)</f>
        <v>2.04</v>
      </c>
      <c r="D1224" s="13" t="n">
        <f aca="false">IF(Szenarien!$H$14="OK",(IFERROR(SUMIF(Nutzungsprofile!$B$17:$B$22,"Schulbetrieb",Nutzungsprofile!$G$17:$G$22)*Kalender!C126/SUM(Kalender!$C$5:$C$370),0)+IFERROR(SUMIF(Nutzungsprofile!$B$17:$B$22,"Halle",Nutzungsprofile!$G$17:$G$22)*Kalender!D126/SUM(Kalender!$D$5:$D$370),0)+IFERROR(SUMIF(Nutzungsprofile!$B$17:$B$22,"Individuell",Nutzungsprofile!$G$17:$G$22)*Kalender!E126/SUM(Kalender!$E$5:$E$370),0))*Szenarien!$D$14,0)</f>
        <v>0.89</v>
      </c>
      <c r="E1224" s="13" t="n">
        <f aca="false">IFERROR(MIN(C1224,Eingaben!$B$17)*Eingaben!$B$16,0)</f>
        <v>1.938</v>
      </c>
      <c r="F1224" s="13" t="n">
        <f aca="false">IFERROR(E1224*Eingaben!$B$15,0)</f>
        <v>1.7442</v>
      </c>
      <c r="G1224" s="13" t="n">
        <f aca="false">IFERROR(IF(Kalender!A126="",0,J1223*(1-Eingaben!$B$20)),0)</f>
        <v>0.7390278</v>
      </c>
      <c r="H1224" s="13" t="n">
        <f aca="false">MIN(G1224,D1224)</f>
        <v>0.7390278</v>
      </c>
      <c r="I1224" s="13" t="n">
        <f aca="false">IFERROR(MIN(F1224*Eingaben!$B$19,MAX(0,D1224-H1224)),0)</f>
        <v>0.1509722</v>
      </c>
      <c r="J1224" s="13" t="n">
        <f aca="false">IFERROR(MIN(Eingaben!$B$18,MAX(0,F1224-I1224)),0)</f>
        <v>1.5932278</v>
      </c>
      <c r="K1224" s="13" t="n">
        <f aca="false">H1224+I1224</f>
        <v>0.89</v>
      </c>
      <c r="L1224" s="13" t="n">
        <f aca="false">MAX(0,D1224-K1224)</f>
        <v>0</v>
      </c>
      <c r="M1224" s="13" t="n">
        <f aca="false">MAX(0,F1224-I1224-J1224)</f>
        <v>0</v>
      </c>
      <c r="N1224" s="13" t="n">
        <f aca="false">IF(Kalender!A126="",0,J1223-H1224)</f>
        <v>0.0150822</v>
      </c>
    </row>
    <row r="1225" customFormat="false" ht="16.4" hidden="false" customHeight="false" outlineLevel="0" collapsed="false">
      <c r="A1225" s="13" t="str">
        <f aca="false">""</f>
        <v/>
      </c>
      <c r="B1225" s="13" t="n">
        <f aca="false">123</f>
        <v>123</v>
      </c>
      <c r="C1225" s="13" t="n">
        <f aca="false">IF(Szenarien!$H$14="OK",(IFERROR(SUMIF(Nutzungsprofile!$B$6:$B$11,"Schulbetrieb",Nutzungsprofile!$G$6:$G$11)*Kalender!C127/SUM(Kalender!$C$5:$C$370),0)+IFERROR(SUMIF(Nutzungsprofile!$B$6:$B$11,"Halle",Nutzungsprofile!$G$6:$G$11)*Kalender!D127/SUM(Kalender!$D$5:$D$370),0)+IFERROR(SUMIF(Nutzungsprofile!$B$6:$B$11,"Individuell",Nutzungsprofile!$G$6:$G$11)*Kalender!E127/SUM(Kalender!$E$5:$E$370),0))*Szenarien!$E$14,0)</f>
        <v>2.04</v>
      </c>
      <c r="D1225" s="13" t="n">
        <f aca="false">IF(Szenarien!$H$14="OK",(IFERROR(SUMIF(Nutzungsprofile!$B$17:$B$22,"Schulbetrieb",Nutzungsprofile!$G$17:$G$22)*Kalender!C127/SUM(Kalender!$C$5:$C$370),0)+IFERROR(SUMIF(Nutzungsprofile!$B$17:$B$22,"Halle",Nutzungsprofile!$G$17:$G$22)*Kalender!D127/SUM(Kalender!$D$5:$D$370),0)+IFERROR(SUMIF(Nutzungsprofile!$B$17:$B$22,"Individuell",Nutzungsprofile!$G$17:$G$22)*Kalender!E127/SUM(Kalender!$E$5:$E$370),0))*Szenarien!$D$14,0)</f>
        <v>0.89</v>
      </c>
      <c r="E1225" s="13" t="n">
        <f aca="false">IFERROR(MIN(C1225,Eingaben!$B$17)*Eingaben!$B$16,0)</f>
        <v>1.938</v>
      </c>
      <c r="F1225" s="13" t="n">
        <f aca="false">IFERROR(E1225*Eingaben!$B$15,0)</f>
        <v>1.7442</v>
      </c>
      <c r="G1225" s="13" t="n">
        <f aca="false">IFERROR(IF(Kalender!A127="",0,J1224*(1-Eingaben!$B$20)),0)</f>
        <v>1.561363244</v>
      </c>
      <c r="H1225" s="13" t="n">
        <f aca="false">MIN(G1225,D1225)</f>
        <v>0.89</v>
      </c>
      <c r="I1225" s="13" t="n">
        <f aca="false">IFERROR(MIN(F1225*Eingaben!$B$19,MAX(0,D1225-H1225)),0)</f>
        <v>0</v>
      </c>
      <c r="J1225" s="13" t="n">
        <f aca="false">IFERROR(MIN(Eingaben!$B$18,MAX(0,F1225-I1225)),0)</f>
        <v>1.7442</v>
      </c>
      <c r="K1225" s="13" t="n">
        <f aca="false">H1225+I1225</f>
        <v>0.89</v>
      </c>
      <c r="L1225" s="13" t="n">
        <f aca="false">MAX(0,D1225-K1225)</f>
        <v>0</v>
      </c>
      <c r="M1225" s="13" t="n">
        <f aca="false">MAX(0,F1225-I1225-J1225)</f>
        <v>0</v>
      </c>
      <c r="N1225" s="13" t="n">
        <f aca="false">IF(Kalender!A127="",0,J1224-H1225)</f>
        <v>0.7032278</v>
      </c>
    </row>
    <row r="1226" customFormat="false" ht="16.4" hidden="false" customHeight="false" outlineLevel="0" collapsed="false">
      <c r="A1226" s="13" t="str">
        <f aca="false">""</f>
        <v/>
      </c>
      <c r="B1226" s="13" t="n">
        <f aca="false">124</f>
        <v>124</v>
      </c>
      <c r="C1226" s="13" t="n">
        <f aca="false">IF(Szenarien!$H$14="OK",(IFERROR(SUMIF(Nutzungsprofile!$B$6:$B$11,"Schulbetrieb",Nutzungsprofile!$G$6:$G$11)*Kalender!C128/SUM(Kalender!$C$5:$C$370),0)+IFERROR(SUMIF(Nutzungsprofile!$B$6:$B$11,"Halle",Nutzungsprofile!$G$6:$G$11)*Kalender!D128/SUM(Kalender!$D$5:$D$370),0)+IFERROR(SUMIF(Nutzungsprofile!$B$6:$B$11,"Individuell",Nutzungsprofile!$G$6:$G$11)*Kalender!E128/SUM(Kalender!$E$5:$E$370),0))*Szenarien!$E$14,0)</f>
        <v>2.94</v>
      </c>
      <c r="D1226" s="13" t="n">
        <f aca="false">IF(Szenarien!$H$14="OK",(IFERROR(SUMIF(Nutzungsprofile!$B$17:$B$22,"Schulbetrieb",Nutzungsprofile!$G$17:$G$22)*Kalender!C128/SUM(Kalender!$C$5:$C$370),0)+IFERROR(SUMIF(Nutzungsprofile!$B$17:$B$22,"Halle",Nutzungsprofile!$G$17:$G$22)*Kalender!D128/SUM(Kalender!$D$5:$D$370),0)+IFERROR(SUMIF(Nutzungsprofile!$B$17:$B$22,"Individuell",Nutzungsprofile!$G$17:$G$22)*Kalender!E128/SUM(Kalender!$E$5:$E$370),0))*Szenarien!$D$14,0)</f>
        <v>4.94</v>
      </c>
      <c r="E1226" s="13" t="n">
        <f aca="false">IFERROR(MIN(C1226,Eingaben!$B$17)*Eingaben!$B$16,0)</f>
        <v>2.793</v>
      </c>
      <c r="F1226" s="13" t="n">
        <f aca="false">IFERROR(E1226*Eingaben!$B$15,0)</f>
        <v>2.5137</v>
      </c>
      <c r="G1226" s="13" t="n">
        <f aca="false">IFERROR(IF(Kalender!A128="",0,J1225*(1-Eingaben!$B$20)),0)</f>
        <v>1.709316</v>
      </c>
      <c r="H1226" s="13" t="n">
        <f aca="false">MIN(G1226,D1226)</f>
        <v>1.709316</v>
      </c>
      <c r="I1226" s="13" t="n">
        <f aca="false">IFERROR(MIN(F1226*Eingaben!$B$19,MAX(0,D1226-H1226)),0)</f>
        <v>1.75959</v>
      </c>
      <c r="J1226" s="13" t="n">
        <f aca="false">IFERROR(MIN(Eingaben!$B$18,MAX(0,F1226-I1226)),0)</f>
        <v>0.75411</v>
      </c>
      <c r="K1226" s="13" t="n">
        <f aca="false">H1226+I1226</f>
        <v>3.468906</v>
      </c>
      <c r="L1226" s="13" t="n">
        <f aca="false">MAX(0,D1226-K1226)</f>
        <v>1.471094</v>
      </c>
      <c r="M1226" s="13" t="n">
        <f aca="false">MAX(0,F1226-I1226-J1226)</f>
        <v>0</v>
      </c>
      <c r="N1226" s="13" t="n">
        <f aca="false">IF(Kalender!A128="",0,J1225-H1226)</f>
        <v>0.0348840000000001</v>
      </c>
    </row>
    <row r="1227" customFormat="false" ht="16.4" hidden="false" customHeight="false" outlineLevel="0" collapsed="false">
      <c r="A1227" s="13" t="str">
        <f aca="false">""</f>
        <v/>
      </c>
      <c r="B1227" s="13" t="n">
        <f aca="false">125</f>
        <v>125</v>
      </c>
      <c r="C1227" s="13" t="n">
        <f aca="false">IF(Szenarien!$H$14="OK",(IFERROR(SUMIF(Nutzungsprofile!$B$6:$B$11,"Schulbetrieb",Nutzungsprofile!$G$6:$G$11)*Kalender!C129/SUM(Kalender!$C$5:$C$370),0)+IFERROR(SUMIF(Nutzungsprofile!$B$6:$B$11,"Halle",Nutzungsprofile!$G$6:$G$11)*Kalender!D129/SUM(Kalender!$D$5:$D$370),0)+IFERROR(SUMIF(Nutzungsprofile!$B$6:$B$11,"Individuell",Nutzungsprofile!$G$6:$G$11)*Kalender!E129/SUM(Kalender!$E$5:$E$370),0))*Szenarien!$E$14,0)</f>
        <v>2.94</v>
      </c>
      <c r="D1227" s="13" t="n">
        <f aca="false">IF(Szenarien!$H$14="OK",(IFERROR(SUMIF(Nutzungsprofile!$B$17:$B$22,"Schulbetrieb",Nutzungsprofile!$G$17:$G$22)*Kalender!C129/SUM(Kalender!$C$5:$C$370),0)+IFERROR(SUMIF(Nutzungsprofile!$B$17:$B$22,"Halle",Nutzungsprofile!$G$17:$G$22)*Kalender!D129/SUM(Kalender!$D$5:$D$370),0)+IFERROR(SUMIF(Nutzungsprofile!$B$17:$B$22,"Individuell",Nutzungsprofile!$G$17:$G$22)*Kalender!E129/SUM(Kalender!$E$5:$E$370),0))*Szenarien!$D$14,0)</f>
        <v>4.94</v>
      </c>
      <c r="E1227" s="13" t="n">
        <f aca="false">IFERROR(MIN(C1227,Eingaben!$B$17)*Eingaben!$B$16,0)</f>
        <v>2.793</v>
      </c>
      <c r="F1227" s="13" t="n">
        <f aca="false">IFERROR(E1227*Eingaben!$B$15,0)</f>
        <v>2.5137</v>
      </c>
      <c r="G1227" s="13" t="n">
        <f aca="false">IFERROR(IF(Kalender!A129="",0,J1226*(1-Eingaben!$B$20)),0)</f>
        <v>0.7390278</v>
      </c>
      <c r="H1227" s="13" t="n">
        <f aca="false">MIN(G1227,D1227)</f>
        <v>0.7390278</v>
      </c>
      <c r="I1227" s="13" t="n">
        <f aca="false">IFERROR(MIN(F1227*Eingaben!$B$19,MAX(0,D1227-H1227)),0)</f>
        <v>1.75959</v>
      </c>
      <c r="J1227" s="13" t="n">
        <f aca="false">IFERROR(MIN(Eingaben!$B$18,MAX(0,F1227-I1227)),0)</f>
        <v>0.75411</v>
      </c>
      <c r="K1227" s="13" t="n">
        <f aca="false">H1227+I1227</f>
        <v>2.4986178</v>
      </c>
      <c r="L1227" s="13" t="n">
        <f aca="false">MAX(0,D1227-K1227)</f>
        <v>2.4413822</v>
      </c>
      <c r="M1227" s="13" t="n">
        <f aca="false">MAX(0,F1227-I1227-J1227)</f>
        <v>0</v>
      </c>
      <c r="N1227" s="13" t="n">
        <f aca="false">IF(Kalender!A129="",0,J1226-H1227)</f>
        <v>0.0150822</v>
      </c>
    </row>
    <row r="1228" customFormat="false" ht="16.4" hidden="false" customHeight="false" outlineLevel="0" collapsed="false">
      <c r="A1228" s="13" t="str">
        <f aca="false">""</f>
        <v/>
      </c>
      <c r="B1228" s="13" t="n">
        <f aca="false">126</f>
        <v>126</v>
      </c>
      <c r="C1228" s="13" t="n">
        <f aca="false">IF(Szenarien!$H$14="OK",(IFERROR(SUMIF(Nutzungsprofile!$B$6:$B$11,"Schulbetrieb",Nutzungsprofile!$G$6:$G$11)*Kalender!C130/SUM(Kalender!$C$5:$C$370),0)+IFERROR(SUMIF(Nutzungsprofile!$B$6:$B$11,"Halle",Nutzungsprofile!$G$6:$G$11)*Kalender!D130/SUM(Kalender!$D$5:$D$370),0)+IFERROR(SUMIF(Nutzungsprofile!$B$6:$B$11,"Individuell",Nutzungsprofile!$G$6:$G$11)*Kalender!E130/SUM(Kalender!$E$5:$E$370),0))*Szenarien!$E$14,0)</f>
        <v>2.94</v>
      </c>
      <c r="D1228" s="13" t="n">
        <f aca="false">IF(Szenarien!$H$14="OK",(IFERROR(SUMIF(Nutzungsprofile!$B$17:$B$22,"Schulbetrieb",Nutzungsprofile!$G$17:$G$22)*Kalender!C130/SUM(Kalender!$C$5:$C$370),0)+IFERROR(SUMIF(Nutzungsprofile!$B$17:$B$22,"Halle",Nutzungsprofile!$G$17:$G$22)*Kalender!D130/SUM(Kalender!$D$5:$D$370),0)+IFERROR(SUMIF(Nutzungsprofile!$B$17:$B$22,"Individuell",Nutzungsprofile!$G$17:$G$22)*Kalender!E130/SUM(Kalender!$E$5:$E$370),0))*Szenarien!$D$14,0)</f>
        <v>4.94</v>
      </c>
      <c r="E1228" s="13" t="n">
        <f aca="false">IFERROR(MIN(C1228,Eingaben!$B$17)*Eingaben!$B$16,0)</f>
        <v>2.793</v>
      </c>
      <c r="F1228" s="13" t="n">
        <f aca="false">IFERROR(E1228*Eingaben!$B$15,0)</f>
        <v>2.5137</v>
      </c>
      <c r="G1228" s="13" t="n">
        <f aca="false">IFERROR(IF(Kalender!A130="",0,J1227*(1-Eingaben!$B$20)),0)</f>
        <v>0.7390278</v>
      </c>
      <c r="H1228" s="13" t="n">
        <f aca="false">MIN(G1228,D1228)</f>
        <v>0.7390278</v>
      </c>
      <c r="I1228" s="13" t="n">
        <f aca="false">IFERROR(MIN(F1228*Eingaben!$B$19,MAX(0,D1228-H1228)),0)</f>
        <v>1.75959</v>
      </c>
      <c r="J1228" s="13" t="n">
        <f aca="false">IFERROR(MIN(Eingaben!$B$18,MAX(0,F1228-I1228)),0)</f>
        <v>0.75411</v>
      </c>
      <c r="K1228" s="13" t="n">
        <f aca="false">H1228+I1228</f>
        <v>2.4986178</v>
      </c>
      <c r="L1228" s="13" t="n">
        <f aca="false">MAX(0,D1228-K1228)</f>
        <v>2.4413822</v>
      </c>
      <c r="M1228" s="13" t="n">
        <f aca="false">MAX(0,F1228-I1228-J1228)</f>
        <v>0</v>
      </c>
      <c r="N1228" s="13" t="n">
        <f aca="false">IF(Kalender!A130="",0,J1227-H1228)</f>
        <v>0.0150822</v>
      </c>
    </row>
    <row r="1229" customFormat="false" ht="16.4" hidden="false" customHeight="false" outlineLevel="0" collapsed="false">
      <c r="A1229" s="13" t="str">
        <f aca="false">""</f>
        <v/>
      </c>
      <c r="B1229" s="13" t="n">
        <f aca="false">127</f>
        <v>127</v>
      </c>
      <c r="C1229" s="13" t="n">
        <f aca="false">IF(Szenarien!$H$14="OK",(IFERROR(SUMIF(Nutzungsprofile!$B$6:$B$11,"Schulbetrieb",Nutzungsprofile!$G$6:$G$11)*Kalender!C131/SUM(Kalender!$C$5:$C$370),0)+IFERROR(SUMIF(Nutzungsprofile!$B$6:$B$11,"Halle",Nutzungsprofile!$G$6:$G$11)*Kalender!D131/SUM(Kalender!$D$5:$D$370),0)+IFERROR(SUMIF(Nutzungsprofile!$B$6:$B$11,"Individuell",Nutzungsprofile!$G$6:$G$11)*Kalender!E131/SUM(Kalender!$E$5:$E$370),0))*Szenarien!$E$14,0)</f>
        <v>2.94</v>
      </c>
      <c r="D1229" s="13" t="n">
        <f aca="false">IF(Szenarien!$H$14="OK",(IFERROR(SUMIF(Nutzungsprofile!$B$17:$B$22,"Schulbetrieb",Nutzungsprofile!$G$17:$G$22)*Kalender!C131/SUM(Kalender!$C$5:$C$370),0)+IFERROR(SUMIF(Nutzungsprofile!$B$17:$B$22,"Halle",Nutzungsprofile!$G$17:$G$22)*Kalender!D131/SUM(Kalender!$D$5:$D$370),0)+IFERROR(SUMIF(Nutzungsprofile!$B$17:$B$22,"Individuell",Nutzungsprofile!$G$17:$G$22)*Kalender!E131/SUM(Kalender!$E$5:$E$370),0))*Szenarien!$D$14,0)</f>
        <v>4.94</v>
      </c>
      <c r="E1229" s="13" t="n">
        <f aca="false">IFERROR(MIN(C1229,Eingaben!$B$17)*Eingaben!$B$16,0)</f>
        <v>2.793</v>
      </c>
      <c r="F1229" s="13" t="n">
        <f aca="false">IFERROR(E1229*Eingaben!$B$15,0)</f>
        <v>2.5137</v>
      </c>
      <c r="G1229" s="13" t="n">
        <f aca="false">IFERROR(IF(Kalender!A131="",0,J1228*(1-Eingaben!$B$20)),0)</f>
        <v>0.7390278</v>
      </c>
      <c r="H1229" s="13" t="n">
        <f aca="false">MIN(G1229,D1229)</f>
        <v>0.7390278</v>
      </c>
      <c r="I1229" s="13" t="n">
        <f aca="false">IFERROR(MIN(F1229*Eingaben!$B$19,MAX(0,D1229-H1229)),0)</f>
        <v>1.75959</v>
      </c>
      <c r="J1229" s="13" t="n">
        <f aca="false">IFERROR(MIN(Eingaben!$B$18,MAX(0,F1229-I1229)),0)</f>
        <v>0.75411</v>
      </c>
      <c r="K1229" s="13" t="n">
        <f aca="false">H1229+I1229</f>
        <v>2.4986178</v>
      </c>
      <c r="L1229" s="13" t="n">
        <f aca="false">MAX(0,D1229-K1229)</f>
        <v>2.4413822</v>
      </c>
      <c r="M1229" s="13" t="n">
        <f aca="false">MAX(0,F1229-I1229-J1229)</f>
        <v>0</v>
      </c>
      <c r="N1229" s="13" t="n">
        <f aca="false">IF(Kalender!A131="",0,J1228-H1229)</f>
        <v>0.0150822</v>
      </c>
    </row>
    <row r="1230" customFormat="false" ht="16.4" hidden="false" customHeight="false" outlineLevel="0" collapsed="false">
      <c r="A1230" s="13" t="str">
        <f aca="false">""</f>
        <v/>
      </c>
      <c r="B1230" s="13" t="n">
        <f aca="false">128</f>
        <v>128</v>
      </c>
      <c r="C1230" s="13" t="n">
        <f aca="false">IF(Szenarien!$H$14="OK",(IFERROR(SUMIF(Nutzungsprofile!$B$6:$B$11,"Schulbetrieb",Nutzungsprofile!$G$6:$G$11)*Kalender!C132/SUM(Kalender!$C$5:$C$370),0)+IFERROR(SUMIF(Nutzungsprofile!$B$6:$B$11,"Halle",Nutzungsprofile!$G$6:$G$11)*Kalender!D132/SUM(Kalender!$D$5:$D$370),0)+IFERROR(SUMIF(Nutzungsprofile!$B$6:$B$11,"Individuell",Nutzungsprofile!$G$6:$G$11)*Kalender!E132/SUM(Kalender!$E$5:$E$370),0))*Szenarien!$E$14,0)</f>
        <v>2.94</v>
      </c>
      <c r="D1230" s="13" t="n">
        <f aca="false">IF(Szenarien!$H$14="OK",(IFERROR(SUMIF(Nutzungsprofile!$B$17:$B$22,"Schulbetrieb",Nutzungsprofile!$G$17:$G$22)*Kalender!C132/SUM(Kalender!$C$5:$C$370),0)+IFERROR(SUMIF(Nutzungsprofile!$B$17:$B$22,"Halle",Nutzungsprofile!$G$17:$G$22)*Kalender!D132/SUM(Kalender!$D$5:$D$370),0)+IFERROR(SUMIF(Nutzungsprofile!$B$17:$B$22,"Individuell",Nutzungsprofile!$G$17:$G$22)*Kalender!E132/SUM(Kalender!$E$5:$E$370),0))*Szenarien!$D$14,0)</f>
        <v>4.94</v>
      </c>
      <c r="E1230" s="13" t="n">
        <f aca="false">IFERROR(MIN(C1230,Eingaben!$B$17)*Eingaben!$B$16,0)</f>
        <v>2.793</v>
      </c>
      <c r="F1230" s="13" t="n">
        <f aca="false">IFERROR(E1230*Eingaben!$B$15,0)</f>
        <v>2.5137</v>
      </c>
      <c r="G1230" s="13" t="n">
        <f aca="false">IFERROR(IF(Kalender!A132="",0,J1229*(1-Eingaben!$B$20)),0)</f>
        <v>0.7390278</v>
      </c>
      <c r="H1230" s="13" t="n">
        <f aca="false">MIN(G1230,D1230)</f>
        <v>0.7390278</v>
      </c>
      <c r="I1230" s="13" t="n">
        <f aca="false">IFERROR(MIN(F1230*Eingaben!$B$19,MAX(0,D1230-H1230)),0)</f>
        <v>1.75959</v>
      </c>
      <c r="J1230" s="13" t="n">
        <f aca="false">IFERROR(MIN(Eingaben!$B$18,MAX(0,F1230-I1230)),0)</f>
        <v>0.75411</v>
      </c>
      <c r="K1230" s="13" t="n">
        <f aca="false">H1230+I1230</f>
        <v>2.4986178</v>
      </c>
      <c r="L1230" s="13" t="n">
        <f aca="false">MAX(0,D1230-K1230)</f>
        <v>2.4413822</v>
      </c>
      <c r="M1230" s="13" t="n">
        <f aca="false">MAX(0,F1230-I1230-J1230)</f>
        <v>0</v>
      </c>
      <c r="N1230" s="13" t="n">
        <f aca="false">IF(Kalender!A132="",0,J1229-H1230)</f>
        <v>0.0150822</v>
      </c>
    </row>
    <row r="1231" customFormat="false" ht="16.4" hidden="false" customHeight="false" outlineLevel="0" collapsed="false">
      <c r="A1231" s="13" t="str">
        <f aca="false">""</f>
        <v/>
      </c>
      <c r="B1231" s="13" t="n">
        <f aca="false">129</f>
        <v>129</v>
      </c>
      <c r="C1231" s="13" t="n">
        <f aca="false">IF(Szenarien!$H$14="OK",(IFERROR(SUMIF(Nutzungsprofile!$B$6:$B$11,"Schulbetrieb",Nutzungsprofile!$G$6:$G$11)*Kalender!C133/SUM(Kalender!$C$5:$C$370),0)+IFERROR(SUMIF(Nutzungsprofile!$B$6:$B$11,"Halle",Nutzungsprofile!$G$6:$G$11)*Kalender!D133/SUM(Kalender!$D$5:$D$370),0)+IFERROR(SUMIF(Nutzungsprofile!$B$6:$B$11,"Individuell",Nutzungsprofile!$G$6:$G$11)*Kalender!E133/SUM(Kalender!$E$5:$E$370),0))*Szenarien!$E$14,0)</f>
        <v>2.04</v>
      </c>
      <c r="D1231" s="13" t="n">
        <f aca="false">IF(Szenarien!$H$14="OK",(IFERROR(SUMIF(Nutzungsprofile!$B$17:$B$22,"Schulbetrieb",Nutzungsprofile!$G$17:$G$22)*Kalender!C133/SUM(Kalender!$C$5:$C$370),0)+IFERROR(SUMIF(Nutzungsprofile!$B$17:$B$22,"Halle",Nutzungsprofile!$G$17:$G$22)*Kalender!D133/SUM(Kalender!$D$5:$D$370),0)+IFERROR(SUMIF(Nutzungsprofile!$B$17:$B$22,"Individuell",Nutzungsprofile!$G$17:$G$22)*Kalender!E133/SUM(Kalender!$E$5:$E$370),0))*Szenarien!$D$14,0)</f>
        <v>0.89</v>
      </c>
      <c r="E1231" s="13" t="n">
        <f aca="false">IFERROR(MIN(C1231,Eingaben!$B$17)*Eingaben!$B$16,0)</f>
        <v>1.938</v>
      </c>
      <c r="F1231" s="13" t="n">
        <f aca="false">IFERROR(E1231*Eingaben!$B$15,0)</f>
        <v>1.7442</v>
      </c>
      <c r="G1231" s="13" t="n">
        <f aca="false">IFERROR(IF(Kalender!A133="",0,J1230*(1-Eingaben!$B$20)),0)</f>
        <v>0.7390278</v>
      </c>
      <c r="H1231" s="13" t="n">
        <f aca="false">MIN(G1231,D1231)</f>
        <v>0.7390278</v>
      </c>
      <c r="I1231" s="13" t="n">
        <f aca="false">IFERROR(MIN(F1231*Eingaben!$B$19,MAX(0,D1231-H1231)),0)</f>
        <v>0.1509722</v>
      </c>
      <c r="J1231" s="13" t="n">
        <f aca="false">IFERROR(MIN(Eingaben!$B$18,MAX(0,F1231-I1231)),0)</f>
        <v>1.5932278</v>
      </c>
      <c r="K1231" s="13" t="n">
        <f aca="false">H1231+I1231</f>
        <v>0.89</v>
      </c>
      <c r="L1231" s="13" t="n">
        <f aca="false">MAX(0,D1231-K1231)</f>
        <v>0</v>
      </c>
      <c r="M1231" s="13" t="n">
        <f aca="false">MAX(0,F1231-I1231-J1231)</f>
        <v>0</v>
      </c>
      <c r="N1231" s="13" t="n">
        <f aca="false">IF(Kalender!A133="",0,J1230-H1231)</f>
        <v>0.0150822</v>
      </c>
    </row>
    <row r="1232" customFormat="false" ht="16.4" hidden="false" customHeight="false" outlineLevel="0" collapsed="false">
      <c r="A1232" s="13" t="str">
        <f aca="false">""</f>
        <v/>
      </c>
      <c r="B1232" s="13" t="n">
        <f aca="false">130</f>
        <v>130</v>
      </c>
      <c r="C1232" s="13" t="n">
        <f aca="false">IF(Szenarien!$H$14="OK",(IFERROR(SUMIF(Nutzungsprofile!$B$6:$B$11,"Schulbetrieb",Nutzungsprofile!$G$6:$G$11)*Kalender!C134/SUM(Kalender!$C$5:$C$370),0)+IFERROR(SUMIF(Nutzungsprofile!$B$6:$B$11,"Halle",Nutzungsprofile!$G$6:$G$11)*Kalender!D134/SUM(Kalender!$D$5:$D$370),0)+IFERROR(SUMIF(Nutzungsprofile!$B$6:$B$11,"Individuell",Nutzungsprofile!$G$6:$G$11)*Kalender!E134/SUM(Kalender!$E$5:$E$370),0))*Szenarien!$E$14,0)</f>
        <v>2.04</v>
      </c>
      <c r="D1232" s="13" t="n">
        <f aca="false">IF(Szenarien!$H$14="OK",(IFERROR(SUMIF(Nutzungsprofile!$B$17:$B$22,"Schulbetrieb",Nutzungsprofile!$G$17:$G$22)*Kalender!C134/SUM(Kalender!$C$5:$C$370),0)+IFERROR(SUMIF(Nutzungsprofile!$B$17:$B$22,"Halle",Nutzungsprofile!$G$17:$G$22)*Kalender!D134/SUM(Kalender!$D$5:$D$370),0)+IFERROR(SUMIF(Nutzungsprofile!$B$17:$B$22,"Individuell",Nutzungsprofile!$G$17:$G$22)*Kalender!E134/SUM(Kalender!$E$5:$E$370),0))*Szenarien!$D$14,0)</f>
        <v>0.89</v>
      </c>
      <c r="E1232" s="13" t="n">
        <f aca="false">IFERROR(MIN(C1232,Eingaben!$B$17)*Eingaben!$B$16,0)</f>
        <v>1.938</v>
      </c>
      <c r="F1232" s="13" t="n">
        <f aca="false">IFERROR(E1232*Eingaben!$B$15,0)</f>
        <v>1.7442</v>
      </c>
      <c r="G1232" s="13" t="n">
        <f aca="false">IFERROR(IF(Kalender!A134="",0,J1231*(1-Eingaben!$B$20)),0)</f>
        <v>1.561363244</v>
      </c>
      <c r="H1232" s="13" t="n">
        <f aca="false">MIN(G1232,D1232)</f>
        <v>0.89</v>
      </c>
      <c r="I1232" s="13" t="n">
        <f aca="false">IFERROR(MIN(F1232*Eingaben!$B$19,MAX(0,D1232-H1232)),0)</f>
        <v>0</v>
      </c>
      <c r="J1232" s="13" t="n">
        <f aca="false">IFERROR(MIN(Eingaben!$B$18,MAX(0,F1232-I1232)),0)</f>
        <v>1.7442</v>
      </c>
      <c r="K1232" s="13" t="n">
        <f aca="false">H1232+I1232</f>
        <v>0.89</v>
      </c>
      <c r="L1232" s="13" t="n">
        <f aca="false">MAX(0,D1232-K1232)</f>
        <v>0</v>
      </c>
      <c r="M1232" s="13" t="n">
        <f aca="false">MAX(0,F1232-I1232-J1232)</f>
        <v>0</v>
      </c>
      <c r="N1232" s="13" t="n">
        <f aca="false">IF(Kalender!A134="",0,J1231-H1232)</f>
        <v>0.7032278</v>
      </c>
    </row>
    <row r="1233" customFormat="false" ht="16.4" hidden="false" customHeight="false" outlineLevel="0" collapsed="false">
      <c r="A1233" s="13" t="str">
        <f aca="false">""</f>
        <v/>
      </c>
      <c r="B1233" s="13" t="n">
        <f aca="false">131</f>
        <v>131</v>
      </c>
      <c r="C1233" s="13" t="n">
        <f aca="false">IF(Szenarien!$H$14="OK",(IFERROR(SUMIF(Nutzungsprofile!$B$6:$B$11,"Schulbetrieb",Nutzungsprofile!$G$6:$G$11)*Kalender!C135/SUM(Kalender!$C$5:$C$370),0)+IFERROR(SUMIF(Nutzungsprofile!$B$6:$B$11,"Halle",Nutzungsprofile!$G$6:$G$11)*Kalender!D135/SUM(Kalender!$D$5:$D$370),0)+IFERROR(SUMIF(Nutzungsprofile!$B$6:$B$11,"Individuell",Nutzungsprofile!$G$6:$G$11)*Kalender!E135/SUM(Kalender!$E$5:$E$370),0))*Szenarien!$E$14,0)</f>
        <v>2.94</v>
      </c>
      <c r="D1233" s="13" t="n">
        <f aca="false">IF(Szenarien!$H$14="OK",(IFERROR(SUMIF(Nutzungsprofile!$B$17:$B$22,"Schulbetrieb",Nutzungsprofile!$G$17:$G$22)*Kalender!C135/SUM(Kalender!$C$5:$C$370),0)+IFERROR(SUMIF(Nutzungsprofile!$B$17:$B$22,"Halle",Nutzungsprofile!$G$17:$G$22)*Kalender!D135/SUM(Kalender!$D$5:$D$370),0)+IFERROR(SUMIF(Nutzungsprofile!$B$17:$B$22,"Individuell",Nutzungsprofile!$G$17:$G$22)*Kalender!E135/SUM(Kalender!$E$5:$E$370),0))*Szenarien!$D$14,0)</f>
        <v>4.94</v>
      </c>
      <c r="E1233" s="13" t="n">
        <f aca="false">IFERROR(MIN(C1233,Eingaben!$B$17)*Eingaben!$B$16,0)</f>
        <v>2.793</v>
      </c>
      <c r="F1233" s="13" t="n">
        <f aca="false">IFERROR(E1233*Eingaben!$B$15,0)</f>
        <v>2.5137</v>
      </c>
      <c r="G1233" s="13" t="n">
        <f aca="false">IFERROR(IF(Kalender!A135="",0,J1232*(1-Eingaben!$B$20)),0)</f>
        <v>1.709316</v>
      </c>
      <c r="H1233" s="13" t="n">
        <f aca="false">MIN(G1233,D1233)</f>
        <v>1.709316</v>
      </c>
      <c r="I1233" s="13" t="n">
        <f aca="false">IFERROR(MIN(F1233*Eingaben!$B$19,MAX(0,D1233-H1233)),0)</f>
        <v>1.75959</v>
      </c>
      <c r="J1233" s="13" t="n">
        <f aca="false">IFERROR(MIN(Eingaben!$B$18,MAX(0,F1233-I1233)),0)</f>
        <v>0.75411</v>
      </c>
      <c r="K1233" s="13" t="n">
        <f aca="false">H1233+I1233</f>
        <v>3.468906</v>
      </c>
      <c r="L1233" s="13" t="n">
        <f aca="false">MAX(0,D1233-K1233)</f>
        <v>1.471094</v>
      </c>
      <c r="M1233" s="13" t="n">
        <f aca="false">MAX(0,F1233-I1233-J1233)</f>
        <v>0</v>
      </c>
      <c r="N1233" s="13" t="n">
        <f aca="false">IF(Kalender!A135="",0,J1232-H1233)</f>
        <v>0.0348840000000001</v>
      </c>
    </row>
    <row r="1234" customFormat="false" ht="16.4" hidden="false" customHeight="false" outlineLevel="0" collapsed="false">
      <c r="A1234" s="13" t="str">
        <f aca="false">""</f>
        <v/>
      </c>
      <c r="B1234" s="13" t="n">
        <f aca="false">132</f>
        <v>132</v>
      </c>
      <c r="C1234" s="13" t="n">
        <f aca="false">IF(Szenarien!$H$14="OK",(IFERROR(SUMIF(Nutzungsprofile!$B$6:$B$11,"Schulbetrieb",Nutzungsprofile!$G$6:$G$11)*Kalender!C136/SUM(Kalender!$C$5:$C$370),0)+IFERROR(SUMIF(Nutzungsprofile!$B$6:$B$11,"Halle",Nutzungsprofile!$G$6:$G$11)*Kalender!D136/SUM(Kalender!$D$5:$D$370),0)+IFERROR(SUMIF(Nutzungsprofile!$B$6:$B$11,"Individuell",Nutzungsprofile!$G$6:$G$11)*Kalender!E136/SUM(Kalender!$E$5:$E$370),0))*Szenarien!$E$14,0)</f>
        <v>2.94</v>
      </c>
      <c r="D1234" s="13" t="n">
        <f aca="false">IF(Szenarien!$H$14="OK",(IFERROR(SUMIF(Nutzungsprofile!$B$17:$B$22,"Schulbetrieb",Nutzungsprofile!$G$17:$G$22)*Kalender!C136/SUM(Kalender!$C$5:$C$370),0)+IFERROR(SUMIF(Nutzungsprofile!$B$17:$B$22,"Halle",Nutzungsprofile!$G$17:$G$22)*Kalender!D136/SUM(Kalender!$D$5:$D$370),0)+IFERROR(SUMIF(Nutzungsprofile!$B$17:$B$22,"Individuell",Nutzungsprofile!$G$17:$G$22)*Kalender!E136/SUM(Kalender!$E$5:$E$370),0))*Szenarien!$D$14,0)</f>
        <v>4.94</v>
      </c>
      <c r="E1234" s="13" t="n">
        <f aca="false">IFERROR(MIN(C1234,Eingaben!$B$17)*Eingaben!$B$16,0)</f>
        <v>2.793</v>
      </c>
      <c r="F1234" s="13" t="n">
        <f aca="false">IFERROR(E1234*Eingaben!$B$15,0)</f>
        <v>2.5137</v>
      </c>
      <c r="G1234" s="13" t="n">
        <f aca="false">IFERROR(IF(Kalender!A136="",0,J1233*(1-Eingaben!$B$20)),0)</f>
        <v>0.7390278</v>
      </c>
      <c r="H1234" s="13" t="n">
        <f aca="false">MIN(G1234,D1234)</f>
        <v>0.7390278</v>
      </c>
      <c r="I1234" s="13" t="n">
        <f aca="false">IFERROR(MIN(F1234*Eingaben!$B$19,MAX(0,D1234-H1234)),0)</f>
        <v>1.75959</v>
      </c>
      <c r="J1234" s="13" t="n">
        <f aca="false">IFERROR(MIN(Eingaben!$B$18,MAX(0,F1234-I1234)),0)</f>
        <v>0.75411</v>
      </c>
      <c r="K1234" s="13" t="n">
        <f aca="false">H1234+I1234</f>
        <v>2.4986178</v>
      </c>
      <c r="L1234" s="13" t="n">
        <f aca="false">MAX(0,D1234-K1234)</f>
        <v>2.4413822</v>
      </c>
      <c r="M1234" s="13" t="n">
        <f aca="false">MAX(0,F1234-I1234-J1234)</f>
        <v>0</v>
      </c>
      <c r="N1234" s="13" t="n">
        <f aca="false">IF(Kalender!A136="",0,J1233-H1234)</f>
        <v>0.0150822</v>
      </c>
    </row>
    <row r="1235" customFormat="false" ht="16.4" hidden="false" customHeight="false" outlineLevel="0" collapsed="false">
      <c r="A1235" s="13" t="str">
        <f aca="false">""</f>
        <v/>
      </c>
      <c r="B1235" s="13" t="n">
        <f aca="false">133</f>
        <v>133</v>
      </c>
      <c r="C1235" s="13" t="n">
        <f aca="false">IF(Szenarien!$H$14="OK",(IFERROR(SUMIF(Nutzungsprofile!$B$6:$B$11,"Schulbetrieb",Nutzungsprofile!$G$6:$G$11)*Kalender!C137/SUM(Kalender!$C$5:$C$370),0)+IFERROR(SUMIF(Nutzungsprofile!$B$6:$B$11,"Halle",Nutzungsprofile!$G$6:$G$11)*Kalender!D137/SUM(Kalender!$D$5:$D$370),0)+IFERROR(SUMIF(Nutzungsprofile!$B$6:$B$11,"Individuell",Nutzungsprofile!$G$6:$G$11)*Kalender!E137/SUM(Kalender!$E$5:$E$370),0))*Szenarien!$E$14,0)</f>
        <v>2.94</v>
      </c>
      <c r="D1235" s="13" t="n">
        <f aca="false">IF(Szenarien!$H$14="OK",(IFERROR(SUMIF(Nutzungsprofile!$B$17:$B$22,"Schulbetrieb",Nutzungsprofile!$G$17:$G$22)*Kalender!C137/SUM(Kalender!$C$5:$C$370),0)+IFERROR(SUMIF(Nutzungsprofile!$B$17:$B$22,"Halle",Nutzungsprofile!$G$17:$G$22)*Kalender!D137/SUM(Kalender!$D$5:$D$370),0)+IFERROR(SUMIF(Nutzungsprofile!$B$17:$B$22,"Individuell",Nutzungsprofile!$G$17:$G$22)*Kalender!E137/SUM(Kalender!$E$5:$E$370),0))*Szenarien!$D$14,0)</f>
        <v>4.94</v>
      </c>
      <c r="E1235" s="13" t="n">
        <f aca="false">IFERROR(MIN(C1235,Eingaben!$B$17)*Eingaben!$B$16,0)</f>
        <v>2.793</v>
      </c>
      <c r="F1235" s="13" t="n">
        <f aca="false">IFERROR(E1235*Eingaben!$B$15,0)</f>
        <v>2.5137</v>
      </c>
      <c r="G1235" s="13" t="n">
        <f aca="false">IFERROR(IF(Kalender!A137="",0,J1234*(1-Eingaben!$B$20)),0)</f>
        <v>0.7390278</v>
      </c>
      <c r="H1235" s="13" t="n">
        <f aca="false">MIN(G1235,D1235)</f>
        <v>0.7390278</v>
      </c>
      <c r="I1235" s="13" t="n">
        <f aca="false">IFERROR(MIN(F1235*Eingaben!$B$19,MAX(0,D1235-H1235)),0)</f>
        <v>1.75959</v>
      </c>
      <c r="J1235" s="13" t="n">
        <f aca="false">IFERROR(MIN(Eingaben!$B$18,MAX(0,F1235-I1235)),0)</f>
        <v>0.75411</v>
      </c>
      <c r="K1235" s="13" t="n">
        <f aca="false">H1235+I1235</f>
        <v>2.4986178</v>
      </c>
      <c r="L1235" s="13" t="n">
        <f aca="false">MAX(0,D1235-K1235)</f>
        <v>2.4413822</v>
      </c>
      <c r="M1235" s="13" t="n">
        <f aca="false">MAX(0,F1235-I1235-J1235)</f>
        <v>0</v>
      </c>
      <c r="N1235" s="13" t="n">
        <f aca="false">IF(Kalender!A137="",0,J1234-H1235)</f>
        <v>0.0150822</v>
      </c>
    </row>
    <row r="1236" customFormat="false" ht="16.4" hidden="false" customHeight="false" outlineLevel="0" collapsed="false">
      <c r="A1236" s="13" t="str">
        <f aca="false">""</f>
        <v/>
      </c>
      <c r="B1236" s="13" t="n">
        <f aca="false">134</f>
        <v>134</v>
      </c>
      <c r="C1236" s="13" t="n">
        <f aca="false">IF(Szenarien!$H$14="OK",(IFERROR(SUMIF(Nutzungsprofile!$B$6:$B$11,"Schulbetrieb",Nutzungsprofile!$G$6:$G$11)*Kalender!C138/SUM(Kalender!$C$5:$C$370),0)+IFERROR(SUMIF(Nutzungsprofile!$B$6:$B$11,"Halle",Nutzungsprofile!$G$6:$G$11)*Kalender!D138/SUM(Kalender!$D$5:$D$370),0)+IFERROR(SUMIF(Nutzungsprofile!$B$6:$B$11,"Individuell",Nutzungsprofile!$G$6:$G$11)*Kalender!E138/SUM(Kalender!$E$5:$E$370),0))*Szenarien!$E$14,0)</f>
        <v>2.94</v>
      </c>
      <c r="D1236" s="13" t="n">
        <f aca="false">IF(Szenarien!$H$14="OK",(IFERROR(SUMIF(Nutzungsprofile!$B$17:$B$22,"Schulbetrieb",Nutzungsprofile!$G$17:$G$22)*Kalender!C138/SUM(Kalender!$C$5:$C$370),0)+IFERROR(SUMIF(Nutzungsprofile!$B$17:$B$22,"Halle",Nutzungsprofile!$G$17:$G$22)*Kalender!D138/SUM(Kalender!$D$5:$D$370),0)+IFERROR(SUMIF(Nutzungsprofile!$B$17:$B$22,"Individuell",Nutzungsprofile!$G$17:$G$22)*Kalender!E138/SUM(Kalender!$E$5:$E$370),0))*Szenarien!$D$14,0)</f>
        <v>4.94</v>
      </c>
      <c r="E1236" s="13" t="n">
        <f aca="false">IFERROR(MIN(C1236,Eingaben!$B$17)*Eingaben!$B$16,0)</f>
        <v>2.793</v>
      </c>
      <c r="F1236" s="13" t="n">
        <f aca="false">IFERROR(E1236*Eingaben!$B$15,0)</f>
        <v>2.5137</v>
      </c>
      <c r="G1236" s="13" t="n">
        <f aca="false">IFERROR(IF(Kalender!A138="",0,J1235*(1-Eingaben!$B$20)),0)</f>
        <v>0.7390278</v>
      </c>
      <c r="H1236" s="13" t="n">
        <f aca="false">MIN(G1236,D1236)</f>
        <v>0.7390278</v>
      </c>
      <c r="I1236" s="13" t="n">
        <f aca="false">IFERROR(MIN(F1236*Eingaben!$B$19,MAX(0,D1236-H1236)),0)</f>
        <v>1.75959</v>
      </c>
      <c r="J1236" s="13" t="n">
        <f aca="false">IFERROR(MIN(Eingaben!$B$18,MAX(0,F1236-I1236)),0)</f>
        <v>0.75411</v>
      </c>
      <c r="K1236" s="13" t="n">
        <f aca="false">H1236+I1236</f>
        <v>2.4986178</v>
      </c>
      <c r="L1236" s="13" t="n">
        <f aca="false">MAX(0,D1236-K1236)</f>
        <v>2.4413822</v>
      </c>
      <c r="M1236" s="13" t="n">
        <f aca="false">MAX(0,F1236-I1236-J1236)</f>
        <v>0</v>
      </c>
      <c r="N1236" s="13" t="n">
        <f aca="false">IF(Kalender!A138="",0,J1235-H1236)</f>
        <v>0.0150822</v>
      </c>
    </row>
    <row r="1237" customFormat="false" ht="16.4" hidden="false" customHeight="false" outlineLevel="0" collapsed="false">
      <c r="A1237" s="13" t="str">
        <f aca="false">""</f>
        <v/>
      </c>
      <c r="B1237" s="13" t="n">
        <f aca="false">135</f>
        <v>135</v>
      </c>
      <c r="C1237" s="13" t="n">
        <f aca="false">IF(Szenarien!$H$14="OK",(IFERROR(SUMIF(Nutzungsprofile!$B$6:$B$11,"Schulbetrieb",Nutzungsprofile!$G$6:$G$11)*Kalender!C139/SUM(Kalender!$C$5:$C$370),0)+IFERROR(SUMIF(Nutzungsprofile!$B$6:$B$11,"Halle",Nutzungsprofile!$G$6:$G$11)*Kalender!D139/SUM(Kalender!$D$5:$D$370),0)+IFERROR(SUMIF(Nutzungsprofile!$B$6:$B$11,"Individuell",Nutzungsprofile!$G$6:$G$11)*Kalender!E139/SUM(Kalender!$E$5:$E$370),0))*Szenarien!$E$14,0)</f>
        <v>2.94</v>
      </c>
      <c r="D1237" s="13" t="n">
        <f aca="false">IF(Szenarien!$H$14="OK",(IFERROR(SUMIF(Nutzungsprofile!$B$17:$B$22,"Schulbetrieb",Nutzungsprofile!$G$17:$G$22)*Kalender!C139/SUM(Kalender!$C$5:$C$370),0)+IFERROR(SUMIF(Nutzungsprofile!$B$17:$B$22,"Halle",Nutzungsprofile!$G$17:$G$22)*Kalender!D139/SUM(Kalender!$D$5:$D$370),0)+IFERROR(SUMIF(Nutzungsprofile!$B$17:$B$22,"Individuell",Nutzungsprofile!$G$17:$G$22)*Kalender!E139/SUM(Kalender!$E$5:$E$370),0))*Szenarien!$D$14,0)</f>
        <v>4.94</v>
      </c>
      <c r="E1237" s="13" t="n">
        <f aca="false">IFERROR(MIN(C1237,Eingaben!$B$17)*Eingaben!$B$16,0)</f>
        <v>2.793</v>
      </c>
      <c r="F1237" s="13" t="n">
        <f aca="false">IFERROR(E1237*Eingaben!$B$15,0)</f>
        <v>2.5137</v>
      </c>
      <c r="G1237" s="13" t="n">
        <f aca="false">IFERROR(IF(Kalender!A139="",0,J1236*(1-Eingaben!$B$20)),0)</f>
        <v>0.7390278</v>
      </c>
      <c r="H1237" s="13" t="n">
        <f aca="false">MIN(G1237,D1237)</f>
        <v>0.7390278</v>
      </c>
      <c r="I1237" s="13" t="n">
        <f aca="false">IFERROR(MIN(F1237*Eingaben!$B$19,MAX(0,D1237-H1237)),0)</f>
        <v>1.75959</v>
      </c>
      <c r="J1237" s="13" t="n">
        <f aca="false">IFERROR(MIN(Eingaben!$B$18,MAX(0,F1237-I1237)),0)</f>
        <v>0.75411</v>
      </c>
      <c r="K1237" s="13" t="n">
        <f aca="false">H1237+I1237</f>
        <v>2.4986178</v>
      </c>
      <c r="L1237" s="13" t="n">
        <f aca="false">MAX(0,D1237-K1237)</f>
        <v>2.4413822</v>
      </c>
      <c r="M1237" s="13" t="n">
        <f aca="false">MAX(0,F1237-I1237-J1237)</f>
        <v>0</v>
      </c>
      <c r="N1237" s="13" t="n">
        <f aca="false">IF(Kalender!A139="",0,J1236-H1237)</f>
        <v>0.0150822</v>
      </c>
    </row>
    <row r="1238" customFormat="false" ht="16.4" hidden="false" customHeight="false" outlineLevel="0" collapsed="false">
      <c r="A1238" s="13" t="str">
        <f aca="false">""</f>
        <v/>
      </c>
      <c r="B1238" s="13" t="n">
        <f aca="false">136</f>
        <v>136</v>
      </c>
      <c r="C1238" s="13" t="n">
        <f aca="false">IF(Szenarien!$H$14="OK",(IFERROR(SUMIF(Nutzungsprofile!$B$6:$B$11,"Schulbetrieb",Nutzungsprofile!$G$6:$G$11)*Kalender!C140/SUM(Kalender!$C$5:$C$370),0)+IFERROR(SUMIF(Nutzungsprofile!$B$6:$B$11,"Halle",Nutzungsprofile!$G$6:$G$11)*Kalender!D140/SUM(Kalender!$D$5:$D$370),0)+IFERROR(SUMIF(Nutzungsprofile!$B$6:$B$11,"Individuell",Nutzungsprofile!$G$6:$G$11)*Kalender!E140/SUM(Kalender!$E$5:$E$370),0))*Szenarien!$E$14,0)</f>
        <v>2.04</v>
      </c>
      <c r="D1238" s="13" t="n">
        <f aca="false">IF(Szenarien!$H$14="OK",(IFERROR(SUMIF(Nutzungsprofile!$B$17:$B$22,"Schulbetrieb",Nutzungsprofile!$G$17:$G$22)*Kalender!C140/SUM(Kalender!$C$5:$C$370),0)+IFERROR(SUMIF(Nutzungsprofile!$B$17:$B$22,"Halle",Nutzungsprofile!$G$17:$G$22)*Kalender!D140/SUM(Kalender!$D$5:$D$370),0)+IFERROR(SUMIF(Nutzungsprofile!$B$17:$B$22,"Individuell",Nutzungsprofile!$G$17:$G$22)*Kalender!E140/SUM(Kalender!$E$5:$E$370),0))*Szenarien!$D$14,0)</f>
        <v>0.89</v>
      </c>
      <c r="E1238" s="13" t="n">
        <f aca="false">IFERROR(MIN(C1238,Eingaben!$B$17)*Eingaben!$B$16,0)</f>
        <v>1.938</v>
      </c>
      <c r="F1238" s="13" t="n">
        <f aca="false">IFERROR(E1238*Eingaben!$B$15,0)</f>
        <v>1.7442</v>
      </c>
      <c r="G1238" s="13" t="n">
        <f aca="false">IFERROR(IF(Kalender!A140="",0,J1237*(1-Eingaben!$B$20)),0)</f>
        <v>0.7390278</v>
      </c>
      <c r="H1238" s="13" t="n">
        <f aca="false">MIN(G1238,D1238)</f>
        <v>0.7390278</v>
      </c>
      <c r="I1238" s="13" t="n">
        <f aca="false">IFERROR(MIN(F1238*Eingaben!$B$19,MAX(0,D1238-H1238)),0)</f>
        <v>0.1509722</v>
      </c>
      <c r="J1238" s="13" t="n">
        <f aca="false">IFERROR(MIN(Eingaben!$B$18,MAX(0,F1238-I1238)),0)</f>
        <v>1.5932278</v>
      </c>
      <c r="K1238" s="13" t="n">
        <f aca="false">H1238+I1238</f>
        <v>0.89</v>
      </c>
      <c r="L1238" s="13" t="n">
        <f aca="false">MAX(0,D1238-K1238)</f>
        <v>0</v>
      </c>
      <c r="M1238" s="13" t="n">
        <f aca="false">MAX(0,F1238-I1238-J1238)</f>
        <v>0</v>
      </c>
      <c r="N1238" s="13" t="n">
        <f aca="false">IF(Kalender!A140="",0,J1237-H1238)</f>
        <v>0.0150822</v>
      </c>
    </row>
    <row r="1239" customFormat="false" ht="16.4" hidden="false" customHeight="false" outlineLevel="0" collapsed="false">
      <c r="A1239" s="13" t="str">
        <f aca="false">""</f>
        <v/>
      </c>
      <c r="B1239" s="13" t="n">
        <f aca="false">137</f>
        <v>137</v>
      </c>
      <c r="C1239" s="13" t="n">
        <f aca="false">IF(Szenarien!$H$14="OK",(IFERROR(SUMIF(Nutzungsprofile!$B$6:$B$11,"Schulbetrieb",Nutzungsprofile!$G$6:$G$11)*Kalender!C141/SUM(Kalender!$C$5:$C$370),0)+IFERROR(SUMIF(Nutzungsprofile!$B$6:$B$11,"Halle",Nutzungsprofile!$G$6:$G$11)*Kalender!D141/SUM(Kalender!$D$5:$D$370),0)+IFERROR(SUMIF(Nutzungsprofile!$B$6:$B$11,"Individuell",Nutzungsprofile!$G$6:$G$11)*Kalender!E141/SUM(Kalender!$E$5:$E$370),0))*Szenarien!$E$14,0)</f>
        <v>2.04</v>
      </c>
      <c r="D1239" s="13" t="n">
        <f aca="false">IF(Szenarien!$H$14="OK",(IFERROR(SUMIF(Nutzungsprofile!$B$17:$B$22,"Schulbetrieb",Nutzungsprofile!$G$17:$G$22)*Kalender!C141/SUM(Kalender!$C$5:$C$370),0)+IFERROR(SUMIF(Nutzungsprofile!$B$17:$B$22,"Halle",Nutzungsprofile!$G$17:$G$22)*Kalender!D141/SUM(Kalender!$D$5:$D$370),0)+IFERROR(SUMIF(Nutzungsprofile!$B$17:$B$22,"Individuell",Nutzungsprofile!$G$17:$G$22)*Kalender!E141/SUM(Kalender!$E$5:$E$370),0))*Szenarien!$D$14,0)</f>
        <v>0.89</v>
      </c>
      <c r="E1239" s="13" t="n">
        <f aca="false">IFERROR(MIN(C1239,Eingaben!$B$17)*Eingaben!$B$16,0)</f>
        <v>1.938</v>
      </c>
      <c r="F1239" s="13" t="n">
        <f aca="false">IFERROR(E1239*Eingaben!$B$15,0)</f>
        <v>1.7442</v>
      </c>
      <c r="G1239" s="13" t="n">
        <f aca="false">IFERROR(IF(Kalender!A141="",0,J1238*(1-Eingaben!$B$20)),0)</f>
        <v>1.561363244</v>
      </c>
      <c r="H1239" s="13" t="n">
        <f aca="false">MIN(G1239,D1239)</f>
        <v>0.89</v>
      </c>
      <c r="I1239" s="13" t="n">
        <f aca="false">IFERROR(MIN(F1239*Eingaben!$B$19,MAX(0,D1239-H1239)),0)</f>
        <v>0</v>
      </c>
      <c r="J1239" s="13" t="n">
        <f aca="false">IFERROR(MIN(Eingaben!$B$18,MAX(0,F1239-I1239)),0)</f>
        <v>1.7442</v>
      </c>
      <c r="K1239" s="13" t="n">
        <f aca="false">H1239+I1239</f>
        <v>0.89</v>
      </c>
      <c r="L1239" s="13" t="n">
        <f aca="false">MAX(0,D1239-K1239)</f>
        <v>0</v>
      </c>
      <c r="M1239" s="13" t="n">
        <f aca="false">MAX(0,F1239-I1239-J1239)</f>
        <v>0</v>
      </c>
      <c r="N1239" s="13" t="n">
        <f aca="false">IF(Kalender!A141="",0,J1238-H1239)</f>
        <v>0.7032278</v>
      </c>
    </row>
    <row r="1240" customFormat="false" ht="16.4" hidden="false" customHeight="false" outlineLevel="0" collapsed="false">
      <c r="A1240" s="13" t="str">
        <f aca="false">""</f>
        <v/>
      </c>
      <c r="B1240" s="13" t="n">
        <f aca="false">138</f>
        <v>138</v>
      </c>
      <c r="C1240" s="13" t="n">
        <f aca="false">IF(Szenarien!$H$14="OK",(IFERROR(SUMIF(Nutzungsprofile!$B$6:$B$11,"Schulbetrieb",Nutzungsprofile!$G$6:$G$11)*Kalender!C142/SUM(Kalender!$C$5:$C$370),0)+IFERROR(SUMIF(Nutzungsprofile!$B$6:$B$11,"Halle",Nutzungsprofile!$G$6:$G$11)*Kalender!D142/SUM(Kalender!$D$5:$D$370),0)+IFERROR(SUMIF(Nutzungsprofile!$B$6:$B$11,"Individuell",Nutzungsprofile!$G$6:$G$11)*Kalender!E142/SUM(Kalender!$E$5:$E$370),0))*Szenarien!$E$14,0)</f>
        <v>2.94</v>
      </c>
      <c r="D1240" s="13" t="n">
        <f aca="false">IF(Szenarien!$H$14="OK",(IFERROR(SUMIF(Nutzungsprofile!$B$17:$B$22,"Schulbetrieb",Nutzungsprofile!$G$17:$G$22)*Kalender!C142/SUM(Kalender!$C$5:$C$370),0)+IFERROR(SUMIF(Nutzungsprofile!$B$17:$B$22,"Halle",Nutzungsprofile!$G$17:$G$22)*Kalender!D142/SUM(Kalender!$D$5:$D$370),0)+IFERROR(SUMIF(Nutzungsprofile!$B$17:$B$22,"Individuell",Nutzungsprofile!$G$17:$G$22)*Kalender!E142/SUM(Kalender!$E$5:$E$370),0))*Szenarien!$D$14,0)</f>
        <v>4.94</v>
      </c>
      <c r="E1240" s="13" t="n">
        <f aca="false">IFERROR(MIN(C1240,Eingaben!$B$17)*Eingaben!$B$16,0)</f>
        <v>2.793</v>
      </c>
      <c r="F1240" s="13" t="n">
        <f aca="false">IFERROR(E1240*Eingaben!$B$15,0)</f>
        <v>2.5137</v>
      </c>
      <c r="G1240" s="13" t="n">
        <f aca="false">IFERROR(IF(Kalender!A142="",0,J1239*(1-Eingaben!$B$20)),0)</f>
        <v>1.709316</v>
      </c>
      <c r="H1240" s="13" t="n">
        <f aca="false">MIN(G1240,D1240)</f>
        <v>1.709316</v>
      </c>
      <c r="I1240" s="13" t="n">
        <f aca="false">IFERROR(MIN(F1240*Eingaben!$B$19,MAX(0,D1240-H1240)),0)</f>
        <v>1.75959</v>
      </c>
      <c r="J1240" s="13" t="n">
        <f aca="false">IFERROR(MIN(Eingaben!$B$18,MAX(0,F1240-I1240)),0)</f>
        <v>0.75411</v>
      </c>
      <c r="K1240" s="13" t="n">
        <f aca="false">H1240+I1240</f>
        <v>3.468906</v>
      </c>
      <c r="L1240" s="13" t="n">
        <f aca="false">MAX(0,D1240-K1240)</f>
        <v>1.471094</v>
      </c>
      <c r="M1240" s="13" t="n">
        <f aca="false">MAX(0,F1240-I1240-J1240)</f>
        <v>0</v>
      </c>
      <c r="N1240" s="13" t="n">
        <f aca="false">IF(Kalender!A142="",0,J1239-H1240)</f>
        <v>0.0348840000000001</v>
      </c>
    </row>
    <row r="1241" customFormat="false" ht="16.4" hidden="false" customHeight="false" outlineLevel="0" collapsed="false">
      <c r="A1241" s="13" t="str">
        <f aca="false">""</f>
        <v/>
      </c>
      <c r="B1241" s="13" t="n">
        <f aca="false">139</f>
        <v>139</v>
      </c>
      <c r="C1241" s="13" t="n">
        <f aca="false">IF(Szenarien!$H$14="OK",(IFERROR(SUMIF(Nutzungsprofile!$B$6:$B$11,"Schulbetrieb",Nutzungsprofile!$G$6:$G$11)*Kalender!C143/SUM(Kalender!$C$5:$C$370),0)+IFERROR(SUMIF(Nutzungsprofile!$B$6:$B$11,"Halle",Nutzungsprofile!$G$6:$G$11)*Kalender!D143/SUM(Kalender!$D$5:$D$370),0)+IFERROR(SUMIF(Nutzungsprofile!$B$6:$B$11,"Individuell",Nutzungsprofile!$G$6:$G$11)*Kalender!E143/SUM(Kalender!$E$5:$E$370),0))*Szenarien!$E$14,0)</f>
        <v>2.94</v>
      </c>
      <c r="D1241" s="13" t="n">
        <f aca="false">IF(Szenarien!$H$14="OK",(IFERROR(SUMIF(Nutzungsprofile!$B$17:$B$22,"Schulbetrieb",Nutzungsprofile!$G$17:$G$22)*Kalender!C143/SUM(Kalender!$C$5:$C$370),0)+IFERROR(SUMIF(Nutzungsprofile!$B$17:$B$22,"Halle",Nutzungsprofile!$G$17:$G$22)*Kalender!D143/SUM(Kalender!$D$5:$D$370),0)+IFERROR(SUMIF(Nutzungsprofile!$B$17:$B$22,"Individuell",Nutzungsprofile!$G$17:$G$22)*Kalender!E143/SUM(Kalender!$E$5:$E$370),0))*Szenarien!$D$14,0)</f>
        <v>4.94</v>
      </c>
      <c r="E1241" s="13" t="n">
        <f aca="false">IFERROR(MIN(C1241,Eingaben!$B$17)*Eingaben!$B$16,0)</f>
        <v>2.793</v>
      </c>
      <c r="F1241" s="13" t="n">
        <f aca="false">IFERROR(E1241*Eingaben!$B$15,0)</f>
        <v>2.5137</v>
      </c>
      <c r="G1241" s="13" t="n">
        <f aca="false">IFERROR(IF(Kalender!A143="",0,J1240*(1-Eingaben!$B$20)),0)</f>
        <v>0.7390278</v>
      </c>
      <c r="H1241" s="13" t="n">
        <f aca="false">MIN(G1241,D1241)</f>
        <v>0.7390278</v>
      </c>
      <c r="I1241" s="13" t="n">
        <f aca="false">IFERROR(MIN(F1241*Eingaben!$B$19,MAX(0,D1241-H1241)),0)</f>
        <v>1.75959</v>
      </c>
      <c r="J1241" s="13" t="n">
        <f aca="false">IFERROR(MIN(Eingaben!$B$18,MAX(0,F1241-I1241)),0)</f>
        <v>0.75411</v>
      </c>
      <c r="K1241" s="13" t="n">
        <f aca="false">H1241+I1241</f>
        <v>2.4986178</v>
      </c>
      <c r="L1241" s="13" t="n">
        <f aca="false">MAX(0,D1241-K1241)</f>
        <v>2.4413822</v>
      </c>
      <c r="M1241" s="13" t="n">
        <f aca="false">MAX(0,F1241-I1241-J1241)</f>
        <v>0</v>
      </c>
      <c r="N1241" s="13" t="n">
        <f aca="false">IF(Kalender!A143="",0,J1240-H1241)</f>
        <v>0.0150822</v>
      </c>
    </row>
    <row r="1242" customFormat="false" ht="16.4" hidden="false" customHeight="false" outlineLevel="0" collapsed="false">
      <c r="A1242" s="13" t="str">
        <f aca="false">""</f>
        <v/>
      </c>
      <c r="B1242" s="13" t="n">
        <f aca="false">140</f>
        <v>140</v>
      </c>
      <c r="C1242" s="13" t="n">
        <f aca="false">IF(Szenarien!$H$14="OK",(IFERROR(SUMIF(Nutzungsprofile!$B$6:$B$11,"Schulbetrieb",Nutzungsprofile!$G$6:$G$11)*Kalender!C144/SUM(Kalender!$C$5:$C$370),0)+IFERROR(SUMIF(Nutzungsprofile!$B$6:$B$11,"Halle",Nutzungsprofile!$G$6:$G$11)*Kalender!D144/SUM(Kalender!$D$5:$D$370),0)+IFERROR(SUMIF(Nutzungsprofile!$B$6:$B$11,"Individuell",Nutzungsprofile!$G$6:$G$11)*Kalender!E144/SUM(Kalender!$E$5:$E$370),0))*Szenarien!$E$14,0)</f>
        <v>2.94</v>
      </c>
      <c r="D1242" s="13" t="n">
        <f aca="false">IF(Szenarien!$H$14="OK",(IFERROR(SUMIF(Nutzungsprofile!$B$17:$B$22,"Schulbetrieb",Nutzungsprofile!$G$17:$G$22)*Kalender!C144/SUM(Kalender!$C$5:$C$370),0)+IFERROR(SUMIF(Nutzungsprofile!$B$17:$B$22,"Halle",Nutzungsprofile!$G$17:$G$22)*Kalender!D144/SUM(Kalender!$D$5:$D$370),0)+IFERROR(SUMIF(Nutzungsprofile!$B$17:$B$22,"Individuell",Nutzungsprofile!$G$17:$G$22)*Kalender!E144/SUM(Kalender!$E$5:$E$370),0))*Szenarien!$D$14,0)</f>
        <v>4.94</v>
      </c>
      <c r="E1242" s="13" t="n">
        <f aca="false">IFERROR(MIN(C1242,Eingaben!$B$17)*Eingaben!$B$16,0)</f>
        <v>2.793</v>
      </c>
      <c r="F1242" s="13" t="n">
        <f aca="false">IFERROR(E1242*Eingaben!$B$15,0)</f>
        <v>2.5137</v>
      </c>
      <c r="G1242" s="13" t="n">
        <f aca="false">IFERROR(IF(Kalender!A144="",0,J1241*(1-Eingaben!$B$20)),0)</f>
        <v>0.7390278</v>
      </c>
      <c r="H1242" s="13" t="n">
        <f aca="false">MIN(G1242,D1242)</f>
        <v>0.7390278</v>
      </c>
      <c r="I1242" s="13" t="n">
        <f aca="false">IFERROR(MIN(F1242*Eingaben!$B$19,MAX(0,D1242-H1242)),0)</f>
        <v>1.75959</v>
      </c>
      <c r="J1242" s="13" t="n">
        <f aca="false">IFERROR(MIN(Eingaben!$B$18,MAX(0,F1242-I1242)),0)</f>
        <v>0.75411</v>
      </c>
      <c r="K1242" s="13" t="n">
        <f aca="false">H1242+I1242</f>
        <v>2.4986178</v>
      </c>
      <c r="L1242" s="13" t="n">
        <f aca="false">MAX(0,D1242-K1242)</f>
        <v>2.4413822</v>
      </c>
      <c r="M1242" s="13" t="n">
        <f aca="false">MAX(0,F1242-I1242-J1242)</f>
        <v>0</v>
      </c>
      <c r="N1242" s="13" t="n">
        <f aca="false">IF(Kalender!A144="",0,J1241-H1242)</f>
        <v>0.0150822</v>
      </c>
    </row>
    <row r="1243" customFormat="false" ht="16.4" hidden="false" customHeight="false" outlineLevel="0" collapsed="false">
      <c r="A1243" s="13" t="str">
        <f aca="false">""</f>
        <v/>
      </c>
      <c r="B1243" s="13" t="n">
        <f aca="false">141</f>
        <v>141</v>
      </c>
      <c r="C1243" s="13" t="n">
        <f aca="false">IF(Szenarien!$H$14="OK",(IFERROR(SUMIF(Nutzungsprofile!$B$6:$B$11,"Schulbetrieb",Nutzungsprofile!$G$6:$G$11)*Kalender!C145/SUM(Kalender!$C$5:$C$370),0)+IFERROR(SUMIF(Nutzungsprofile!$B$6:$B$11,"Halle",Nutzungsprofile!$G$6:$G$11)*Kalender!D145/SUM(Kalender!$D$5:$D$370),0)+IFERROR(SUMIF(Nutzungsprofile!$B$6:$B$11,"Individuell",Nutzungsprofile!$G$6:$G$11)*Kalender!E145/SUM(Kalender!$E$5:$E$370),0))*Szenarien!$E$14,0)</f>
        <v>2.94</v>
      </c>
      <c r="D1243" s="13" t="n">
        <f aca="false">IF(Szenarien!$H$14="OK",(IFERROR(SUMIF(Nutzungsprofile!$B$17:$B$22,"Schulbetrieb",Nutzungsprofile!$G$17:$G$22)*Kalender!C145/SUM(Kalender!$C$5:$C$370),0)+IFERROR(SUMIF(Nutzungsprofile!$B$17:$B$22,"Halle",Nutzungsprofile!$G$17:$G$22)*Kalender!D145/SUM(Kalender!$D$5:$D$370),0)+IFERROR(SUMIF(Nutzungsprofile!$B$17:$B$22,"Individuell",Nutzungsprofile!$G$17:$G$22)*Kalender!E145/SUM(Kalender!$E$5:$E$370),0))*Szenarien!$D$14,0)</f>
        <v>4.94</v>
      </c>
      <c r="E1243" s="13" t="n">
        <f aca="false">IFERROR(MIN(C1243,Eingaben!$B$17)*Eingaben!$B$16,0)</f>
        <v>2.793</v>
      </c>
      <c r="F1243" s="13" t="n">
        <f aca="false">IFERROR(E1243*Eingaben!$B$15,0)</f>
        <v>2.5137</v>
      </c>
      <c r="G1243" s="13" t="n">
        <f aca="false">IFERROR(IF(Kalender!A145="",0,J1242*(1-Eingaben!$B$20)),0)</f>
        <v>0.7390278</v>
      </c>
      <c r="H1243" s="13" t="n">
        <f aca="false">MIN(G1243,D1243)</f>
        <v>0.7390278</v>
      </c>
      <c r="I1243" s="13" t="n">
        <f aca="false">IFERROR(MIN(F1243*Eingaben!$B$19,MAX(0,D1243-H1243)),0)</f>
        <v>1.75959</v>
      </c>
      <c r="J1243" s="13" t="n">
        <f aca="false">IFERROR(MIN(Eingaben!$B$18,MAX(0,F1243-I1243)),0)</f>
        <v>0.75411</v>
      </c>
      <c r="K1243" s="13" t="n">
        <f aca="false">H1243+I1243</f>
        <v>2.4986178</v>
      </c>
      <c r="L1243" s="13" t="n">
        <f aca="false">MAX(0,D1243-K1243)</f>
        <v>2.4413822</v>
      </c>
      <c r="M1243" s="13" t="n">
        <f aca="false">MAX(0,F1243-I1243-J1243)</f>
        <v>0</v>
      </c>
      <c r="N1243" s="13" t="n">
        <f aca="false">IF(Kalender!A145="",0,J1242-H1243)</f>
        <v>0.0150822</v>
      </c>
    </row>
    <row r="1244" customFormat="false" ht="16.4" hidden="false" customHeight="false" outlineLevel="0" collapsed="false">
      <c r="A1244" s="13" t="str">
        <f aca="false">""</f>
        <v/>
      </c>
      <c r="B1244" s="13" t="n">
        <f aca="false">142</f>
        <v>142</v>
      </c>
      <c r="C1244" s="13" t="n">
        <f aca="false">IF(Szenarien!$H$14="OK",(IFERROR(SUMIF(Nutzungsprofile!$B$6:$B$11,"Schulbetrieb",Nutzungsprofile!$G$6:$G$11)*Kalender!C146/SUM(Kalender!$C$5:$C$370),0)+IFERROR(SUMIF(Nutzungsprofile!$B$6:$B$11,"Halle",Nutzungsprofile!$G$6:$G$11)*Kalender!D146/SUM(Kalender!$D$5:$D$370),0)+IFERROR(SUMIF(Nutzungsprofile!$B$6:$B$11,"Individuell",Nutzungsprofile!$G$6:$G$11)*Kalender!E146/SUM(Kalender!$E$5:$E$370),0))*Szenarien!$E$14,0)</f>
        <v>2.94</v>
      </c>
      <c r="D1244" s="13" t="n">
        <f aca="false">IF(Szenarien!$H$14="OK",(IFERROR(SUMIF(Nutzungsprofile!$B$17:$B$22,"Schulbetrieb",Nutzungsprofile!$G$17:$G$22)*Kalender!C146/SUM(Kalender!$C$5:$C$370),0)+IFERROR(SUMIF(Nutzungsprofile!$B$17:$B$22,"Halle",Nutzungsprofile!$G$17:$G$22)*Kalender!D146/SUM(Kalender!$D$5:$D$370),0)+IFERROR(SUMIF(Nutzungsprofile!$B$17:$B$22,"Individuell",Nutzungsprofile!$G$17:$G$22)*Kalender!E146/SUM(Kalender!$E$5:$E$370),0))*Szenarien!$D$14,0)</f>
        <v>4.94</v>
      </c>
      <c r="E1244" s="13" t="n">
        <f aca="false">IFERROR(MIN(C1244,Eingaben!$B$17)*Eingaben!$B$16,0)</f>
        <v>2.793</v>
      </c>
      <c r="F1244" s="13" t="n">
        <f aca="false">IFERROR(E1244*Eingaben!$B$15,0)</f>
        <v>2.5137</v>
      </c>
      <c r="G1244" s="13" t="n">
        <f aca="false">IFERROR(IF(Kalender!A146="",0,J1243*(1-Eingaben!$B$20)),0)</f>
        <v>0.7390278</v>
      </c>
      <c r="H1244" s="13" t="n">
        <f aca="false">MIN(G1244,D1244)</f>
        <v>0.7390278</v>
      </c>
      <c r="I1244" s="13" t="n">
        <f aca="false">IFERROR(MIN(F1244*Eingaben!$B$19,MAX(0,D1244-H1244)),0)</f>
        <v>1.75959</v>
      </c>
      <c r="J1244" s="13" t="n">
        <f aca="false">IFERROR(MIN(Eingaben!$B$18,MAX(0,F1244-I1244)),0)</f>
        <v>0.75411</v>
      </c>
      <c r="K1244" s="13" t="n">
        <f aca="false">H1244+I1244</f>
        <v>2.4986178</v>
      </c>
      <c r="L1244" s="13" t="n">
        <f aca="false">MAX(0,D1244-K1244)</f>
        <v>2.4413822</v>
      </c>
      <c r="M1244" s="13" t="n">
        <f aca="false">MAX(0,F1244-I1244-J1244)</f>
        <v>0</v>
      </c>
      <c r="N1244" s="13" t="n">
        <f aca="false">IF(Kalender!A146="",0,J1243-H1244)</f>
        <v>0.0150822</v>
      </c>
    </row>
    <row r="1245" customFormat="false" ht="16.4" hidden="false" customHeight="false" outlineLevel="0" collapsed="false">
      <c r="A1245" s="13" t="str">
        <f aca="false">""</f>
        <v/>
      </c>
      <c r="B1245" s="13" t="n">
        <f aca="false">143</f>
        <v>143</v>
      </c>
      <c r="C1245" s="13" t="n">
        <f aca="false">IF(Szenarien!$H$14="OK",(IFERROR(SUMIF(Nutzungsprofile!$B$6:$B$11,"Schulbetrieb",Nutzungsprofile!$G$6:$G$11)*Kalender!C147/SUM(Kalender!$C$5:$C$370),0)+IFERROR(SUMIF(Nutzungsprofile!$B$6:$B$11,"Halle",Nutzungsprofile!$G$6:$G$11)*Kalender!D147/SUM(Kalender!$D$5:$D$370),0)+IFERROR(SUMIF(Nutzungsprofile!$B$6:$B$11,"Individuell",Nutzungsprofile!$G$6:$G$11)*Kalender!E147/SUM(Kalender!$E$5:$E$370),0))*Szenarien!$E$14,0)</f>
        <v>2.04</v>
      </c>
      <c r="D1245" s="13" t="n">
        <f aca="false">IF(Szenarien!$H$14="OK",(IFERROR(SUMIF(Nutzungsprofile!$B$17:$B$22,"Schulbetrieb",Nutzungsprofile!$G$17:$G$22)*Kalender!C147/SUM(Kalender!$C$5:$C$370),0)+IFERROR(SUMIF(Nutzungsprofile!$B$17:$B$22,"Halle",Nutzungsprofile!$G$17:$G$22)*Kalender!D147/SUM(Kalender!$D$5:$D$370),0)+IFERROR(SUMIF(Nutzungsprofile!$B$17:$B$22,"Individuell",Nutzungsprofile!$G$17:$G$22)*Kalender!E147/SUM(Kalender!$E$5:$E$370),0))*Szenarien!$D$14,0)</f>
        <v>0.89</v>
      </c>
      <c r="E1245" s="13" t="n">
        <f aca="false">IFERROR(MIN(C1245,Eingaben!$B$17)*Eingaben!$B$16,0)</f>
        <v>1.938</v>
      </c>
      <c r="F1245" s="13" t="n">
        <f aca="false">IFERROR(E1245*Eingaben!$B$15,0)</f>
        <v>1.7442</v>
      </c>
      <c r="G1245" s="13" t="n">
        <f aca="false">IFERROR(IF(Kalender!A147="",0,J1244*(1-Eingaben!$B$20)),0)</f>
        <v>0.7390278</v>
      </c>
      <c r="H1245" s="13" t="n">
        <f aca="false">MIN(G1245,D1245)</f>
        <v>0.7390278</v>
      </c>
      <c r="I1245" s="13" t="n">
        <f aca="false">IFERROR(MIN(F1245*Eingaben!$B$19,MAX(0,D1245-H1245)),0)</f>
        <v>0.1509722</v>
      </c>
      <c r="J1245" s="13" t="n">
        <f aca="false">IFERROR(MIN(Eingaben!$B$18,MAX(0,F1245-I1245)),0)</f>
        <v>1.5932278</v>
      </c>
      <c r="K1245" s="13" t="n">
        <f aca="false">H1245+I1245</f>
        <v>0.89</v>
      </c>
      <c r="L1245" s="13" t="n">
        <f aca="false">MAX(0,D1245-K1245)</f>
        <v>0</v>
      </c>
      <c r="M1245" s="13" t="n">
        <f aca="false">MAX(0,F1245-I1245-J1245)</f>
        <v>0</v>
      </c>
      <c r="N1245" s="13" t="n">
        <f aca="false">IF(Kalender!A147="",0,J1244-H1245)</f>
        <v>0.0150822</v>
      </c>
    </row>
    <row r="1246" customFormat="false" ht="16.4" hidden="false" customHeight="false" outlineLevel="0" collapsed="false">
      <c r="A1246" s="13" t="str">
        <f aca="false">""</f>
        <v/>
      </c>
      <c r="B1246" s="13" t="n">
        <f aca="false">144</f>
        <v>144</v>
      </c>
      <c r="C1246" s="13" t="n">
        <f aca="false">IF(Szenarien!$H$14="OK",(IFERROR(SUMIF(Nutzungsprofile!$B$6:$B$11,"Schulbetrieb",Nutzungsprofile!$G$6:$G$11)*Kalender!C148/SUM(Kalender!$C$5:$C$370),0)+IFERROR(SUMIF(Nutzungsprofile!$B$6:$B$11,"Halle",Nutzungsprofile!$G$6:$G$11)*Kalender!D148/SUM(Kalender!$D$5:$D$370),0)+IFERROR(SUMIF(Nutzungsprofile!$B$6:$B$11,"Individuell",Nutzungsprofile!$G$6:$G$11)*Kalender!E148/SUM(Kalender!$E$5:$E$370),0))*Szenarien!$E$14,0)</f>
        <v>2.04</v>
      </c>
      <c r="D1246" s="13" t="n">
        <f aca="false">IF(Szenarien!$H$14="OK",(IFERROR(SUMIF(Nutzungsprofile!$B$17:$B$22,"Schulbetrieb",Nutzungsprofile!$G$17:$G$22)*Kalender!C148/SUM(Kalender!$C$5:$C$370),0)+IFERROR(SUMIF(Nutzungsprofile!$B$17:$B$22,"Halle",Nutzungsprofile!$G$17:$G$22)*Kalender!D148/SUM(Kalender!$D$5:$D$370),0)+IFERROR(SUMIF(Nutzungsprofile!$B$17:$B$22,"Individuell",Nutzungsprofile!$G$17:$G$22)*Kalender!E148/SUM(Kalender!$E$5:$E$370),0))*Szenarien!$D$14,0)</f>
        <v>0.89</v>
      </c>
      <c r="E1246" s="13" t="n">
        <f aca="false">IFERROR(MIN(C1246,Eingaben!$B$17)*Eingaben!$B$16,0)</f>
        <v>1.938</v>
      </c>
      <c r="F1246" s="13" t="n">
        <f aca="false">IFERROR(E1246*Eingaben!$B$15,0)</f>
        <v>1.7442</v>
      </c>
      <c r="G1246" s="13" t="n">
        <f aca="false">IFERROR(IF(Kalender!A148="",0,J1245*(1-Eingaben!$B$20)),0)</f>
        <v>1.561363244</v>
      </c>
      <c r="H1246" s="13" t="n">
        <f aca="false">MIN(G1246,D1246)</f>
        <v>0.89</v>
      </c>
      <c r="I1246" s="13" t="n">
        <f aca="false">IFERROR(MIN(F1246*Eingaben!$B$19,MAX(0,D1246-H1246)),0)</f>
        <v>0</v>
      </c>
      <c r="J1246" s="13" t="n">
        <f aca="false">IFERROR(MIN(Eingaben!$B$18,MAX(0,F1246-I1246)),0)</f>
        <v>1.7442</v>
      </c>
      <c r="K1246" s="13" t="n">
        <f aca="false">H1246+I1246</f>
        <v>0.89</v>
      </c>
      <c r="L1246" s="13" t="n">
        <f aca="false">MAX(0,D1246-K1246)</f>
        <v>0</v>
      </c>
      <c r="M1246" s="13" t="n">
        <f aca="false">MAX(0,F1246-I1246-J1246)</f>
        <v>0</v>
      </c>
      <c r="N1246" s="13" t="n">
        <f aca="false">IF(Kalender!A148="",0,J1245-H1246)</f>
        <v>0.7032278</v>
      </c>
    </row>
    <row r="1247" customFormat="false" ht="16.4" hidden="false" customHeight="false" outlineLevel="0" collapsed="false">
      <c r="A1247" s="13" t="str">
        <f aca="false">""</f>
        <v/>
      </c>
      <c r="B1247" s="13" t="n">
        <f aca="false">145</f>
        <v>145</v>
      </c>
      <c r="C1247" s="13" t="n">
        <f aca="false">IF(Szenarien!$H$14="OK",(IFERROR(SUMIF(Nutzungsprofile!$B$6:$B$11,"Schulbetrieb",Nutzungsprofile!$G$6:$G$11)*Kalender!C149/SUM(Kalender!$C$5:$C$370),0)+IFERROR(SUMIF(Nutzungsprofile!$B$6:$B$11,"Halle",Nutzungsprofile!$G$6:$G$11)*Kalender!D149/SUM(Kalender!$D$5:$D$370),0)+IFERROR(SUMIF(Nutzungsprofile!$B$6:$B$11,"Individuell",Nutzungsprofile!$G$6:$G$11)*Kalender!E149/SUM(Kalender!$E$5:$E$370),0))*Szenarien!$E$14,0)</f>
        <v>2.94</v>
      </c>
      <c r="D1247" s="13" t="n">
        <f aca="false">IF(Szenarien!$H$14="OK",(IFERROR(SUMIF(Nutzungsprofile!$B$17:$B$22,"Schulbetrieb",Nutzungsprofile!$G$17:$G$22)*Kalender!C149/SUM(Kalender!$C$5:$C$370),0)+IFERROR(SUMIF(Nutzungsprofile!$B$17:$B$22,"Halle",Nutzungsprofile!$G$17:$G$22)*Kalender!D149/SUM(Kalender!$D$5:$D$370),0)+IFERROR(SUMIF(Nutzungsprofile!$B$17:$B$22,"Individuell",Nutzungsprofile!$G$17:$G$22)*Kalender!E149/SUM(Kalender!$E$5:$E$370),0))*Szenarien!$D$14,0)</f>
        <v>4.94</v>
      </c>
      <c r="E1247" s="13" t="n">
        <f aca="false">IFERROR(MIN(C1247,Eingaben!$B$17)*Eingaben!$B$16,0)</f>
        <v>2.793</v>
      </c>
      <c r="F1247" s="13" t="n">
        <f aca="false">IFERROR(E1247*Eingaben!$B$15,0)</f>
        <v>2.5137</v>
      </c>
      <c r="G1247" s="13" t="n">
        <f aca="false">IFERROR(IF(Kalender!A149="",0,J1246*(1-Eingaben!$B$20)),0)</f>
        <v>1.709316</v>
      </c>
      <c r="H1247" s="13" t="n">
        <f aca="false">MIN(G1247,D1247)</f>
        <v>1.709316</v>
      </c>
      <c r="I1247" s="13" t="n">
        <f aca="false">IFERROR(MIN(F1247*Eingaben!$B$19,MAX(0,D1247-H1247)),0)</f>
        <v>1.75959</v>
      </c>
      <c r="J1247" s="13" t="n">
        <f aca="false">IFERROR(MIN(Eingaben!$B$18,MAX(0,F1247-I1247)),0)</f>
        <v>0.75411</v>
      </c>
      <c r="K1247" s="13" t="n">
        <f aca="false">H1247+I1247</f>
        <v>3.468906</v>
      </c>
      <c r="L1247" s="13" t="n">
        <f aca="false">MAX(0,D1247-K1247)</f>
        <v>1.471094</v>
      </c>
      <c r="M1247" s="13" t="n">
        <f aca="false">MAX(0,F1247-I1247-J1247)</f>
        <v>0</v>
      </c>
      <c r="N1247" s="13" t="n">
        <f aca="false">IF(Kalender!A149="",0,J1246-H1247)</f>
        <v>0.0348840000000001</v>
      </c>
    </row>
    <row r="1248" customFormat="false" ht="16.4" hidden="false" customHeight="false" outlineLevel="0" collapsed="false">
      <c r="A1248" s="13" t="str">
        <f aca="false">""</f>
        <v/>
      </c>
      <c r="B1248" s="13" t="n">
        <f aca="false">146</f>
        <v>146</v>
      </c>
      <c r="C1248" s="13" t="n">
        <f aca="false">IF(Szenarien!$H$14="OK",(IFERROR(SUMIF(Nutzungsprofile!$B$6:$B$11,"Schulbetrieb",Nutzungsprofile!$G$6:$G$11)*Kalender!C150/SUM(Kalender!$C$5:$C$370),0)+IFERROR(SUMIF(Nutzungsprofile!$B$6:$B$11,"Halle",Nutzungsprofile!$G$6:$G$11)*Kalender!D150/SUM(Kalender!$D$5:$D$370),0)+IFERROR(SUMIF(Nutzungsprofile!$B$6:$B$11,"Individuell",Nutzungsprofile!$G$6:$G$11)*Kalender!E150/SUM(Kalender!$E$5:$E$370),0))*Szenarien!$E$14,0)</f>
        <v>2.94</v>
      </c>
      <c r="D1248" s="13" t="n">
        <f aca="false">IF(Szenarien!$H$14="OK",(IFERROR(SUMIF(Nutzungsprofile!$B$17:$B$22,"Schulbetrieb",Nutzungsprofile!$G$17:$G$22)*Kalender!C150/SUM(Kalender!$C$5:$C$370),0)+IFERROR(SUMIF(Nutzungsprofile!$B$17:$B$22,"Halle",Nutzungsprofile!$G$17:$G$22)*Kalender!D150/SUM(Kalender!$D$5:$D$370),0)+IFERROR(SUMIF(Nutzungsprofile!$B$17:$B$22,"Individuell",Nutzungsprofile!$G$17:$G$22)*Kalender!E150/SUM(Kalender!$E$5:$E$370),0))*Szenarien!$D$14,0)</f>
        <v>4.94</v>
      </c>
      <c r="E1248" s="13" t="n">
        <f aca="false">IFERROR(MIN(C1248,Eingaben!$B$17)*Eingaben!$B$16,0)</f>
        <v>2.793</v>
      </c>
      <c r="F1248" s="13" t="n">
        <f aca="false">IFERROR(E1248*Eingaben!$B$15,0)</f>
        <v>2.5137</v>
      </c>
      <c r="G1248" s="13" t="n">
        <f aca="false">IFERROR(IF(Kalender!A150="",0,J1247*(1-Eingaben!$B$20)),0)</f>
        <v>0.7390278</v>
      </c>
      <c r="H1248" s="13" t="n">
        <f aca="false">MIN(G1248,D1248)</f>
        <v>0.7390278</v>
      </c>
      <c r="I1248" s="13" t="n">
        <f aca="false">IFERROR(MIN(F1248*Eingaben!$B$19,MAX(0,D1248-H1248)),0)</f>
        <v>1.75959</v>
      </c>
      <c r="J1248" s="13" t="n">
        <f aca="false">IFERROR(MIN(Eingaben!$B$18,MAX(0,F1248-I1248)),0)</f>
        <v>0.75411</v>
      </c>
      <c r="K1248" s="13" t="n">
        <f aca="false">H1248+I1248</f>
        <v>2.4986178</v>
      </c>
      <c r="L1248" s="13" t="n">
        <f aca="false">MAX(0,D1248-K1248)</f>
        <v>2.4413822</v>
      </c>
      <c r="M1248" s="13" t="n">
        <f aca="false">MAX(0,F1248-I1248-J1248)</f>
        <v>0</v>
      </c>
      <c r="N1248" s="13" t="n">
        <f aca="false">IF(Kalender!A150="",0,J1247-H1248)</f>
        <v>0.0150822</v>
      </c>
    </row>
    <row r="1249" customFormat="false" ht="16.4" hidden="false" customHeight="false" outlineLevel="0" collapsed="false">
      <c r="A1249" s="13" t="str">
        <f aca="false">""</f>
        <v/>
      </c>
      <c r="B1249" s="13" t="n">
        <f aca="false">147</f>
        <v>147</v>
      </c>
      <c r="C1249" s="13" t="n">
        <f aca="false">IF(Szenarien!$H$14="OK",(IFERROR(SUMIF(Nutzungsprofile!$B$6:$B$11,"Schulbetrieb",Nutzungsprofile!$G$6:$G$11)*Kalender!C151/SUM(Kalender!$C$5:$C$370),0)+IFERROR(SUMIF(Nutzungsprofile!$B$6:$B$11,"Halle",Nutzungsprofile!$G$6:$G$11)*Kalender!D151/SUM(Kalender!$D$5:$D$370),0)+IFERROR(SUMIF(Nutzungsprofile!$B$6:$B$11,"Individuell",Nutzungsprofile!$G$6:$G$11)*Kalender!E151/SUM(Kalender!$E$5:$E$370),0))*Szenarien!$E$14,0)</f>
        <v>2.94</v>
      </c>
      <c r="D1249" s="13" t="n">
        <f aca="false">IF(Szenarien!$H$14="OK",(IFERROR(SUMIF(Nutzungsprofile!$B$17:$B$22,"Schulbetrieb",Nutzungsprofile!$G$17:$G$22)*Kalender!C151/SUM(Kalender!$C$5:$C$370),0)+IFERROR(SUMIF(Nutzungsprofile!$B$17:$B$22,"Halle",Nutzungsprofile!$G$17:$G$22)*Kalender!D151/SUM(Kalender!$D$5:$D$370),0)+IFERROR(SUMIF(Nutzungsprofile!$B$17:$B$22,"Individuell",Nutzungsprofile!$G$17:$G$22)*Kalender!E151/SUM(Kalender!$E$5:$E$370),0))*Szenarien!$D$14,0)</f>
        <v>4.94</v>
      </c>
      <c r="E1249" s="13" t="n">
        <f aca="false">IFERROR(MIN(C1249,Eingaben!$B$17)*Eingaben!$B$16,0)</f>
        <v>2.793</v>
      </c>
      <c r="F1249" s="13" t="n">
        <f aca="false">IFERROR(E1249*Eingaben!$B$15,0)</f>
        <v>2.5137</v>
      </c>
      <c r="G1249" s="13" t="n">
        <f aca="false">IFERROR(IF(Kalender!A151="",0,J1248*(1-Eingaben!$B$20)),0)</f>
        <v>0.7390278</v>
      </c>
      <c r="H1249" s="13" t="n">
        <f aca="false">MIN(G1249,D1249)</f>
        <v>0.7390278</v>
      </c>
      <c r="I1249" s="13" t="n">
        <f aca="false">IFERROR(MIN(F1249*Eingaben!$B$19,MAX(0,D1249-H1249)),0)</f>
        <v>1.75959</v>
      </c>
      <c r="J1249" s="13" t="n">
        <f aca="false">IFERROR(MIN(Eingaben!$B$18,MAX(0,F1249-I1249)),0)</f>
        <v>0.75411</v>
      </c>
      <c r="K1249" s="13" t="n">
        <f aca="false">H1249+I1249</f>
        <v>2.4986178</v>
      </c>
      <c r="L1249" s="13" t="n">
        <f aca="false">MAX(0,D1249-K1249)</f>
        <v>2.4413822</v>
      </c>
      <c r="M1249" s="13" t="n">
        <f aca="false">MAX(0,F1249-I1249-J1249)</f>
        <v>0</v>
      </c>
      <c r="N1249" s="13" t="n">
        <f aca="false">IF(Kalender!A151="",0,J1248-H1249)</f>
        <v>0.0150822</v>
      </c>
    </row>
    <row r="1250" customFormat="false" ht="16.4" hidden="false" customHeight="false" outlineLevel="0" collapsed="false">
      <c r="A1250" s="13" t="str">
        <f aca="false">""</f>
        <v/>
      </c>
      <c r="B1250" s="13" t="n">
        <f aca="false">148</f>
        <v>148</v>
      </c>
      <c r="C1250" s="13" t="n">
        <f aca="false">IF(Szenarien!$H$14="OK",(IFERROR(SUMIF(Nutzungsprofile!$B$6:$B$11,"Schulbetrieb",Nutzungsprofile!$G$6:$G$11)*Kalender!C152/SUM(Kalender!$C$5:$C$370),0)+IFERROR(SUMIF(Nutzungsprofile!$B$6:$B$11,"Halle",Nutzungsprofile!$G$6:$G$11)*Kalender!D152/SUM(Kalender!$D$5:$D$370),0)+IFERROR(SUMIF(Nutzungsprofile!$B$6:$B$11,"Individuell",Nutzungsprofile!$G$6:$G$11)*Kalender!E152/SUM(Kalender!$E$5:$E$370),0))*Szenarien!$E$14,0)</f>
        <v>2.94</v>
      </c>
      <c r="D1250" s="13" t="n">
        <f aca="false">IF(Szenarien!$H$14="OK",(IFERROR(SUMIF(Nutzungsprofile!$B$17:$B$22,"Schulbetrieb",Nutzungsprofile!$G$17:$G$22)*Kalender!C152/SUM(Kalender!$C$5:$C$370),0)+IFERROR(SUMIF(Nutzungsprofile!$B$17:$B$22,"Halle",Nutzungsprofile!$G$17:$G$22)*Kalender!D152/SUM(Kalender!$D$5:$D$370),0)+IFERROR(SUMIF(Nutzungsprofile!$B$17:$B$22,"Individuell",Nutzungsprofile!$G$17:$G$22)*Kalender!E152/SUM(Kalender!$E$5:$E$370),0))*Szenarien!$D$14,0)</f>
        <v>4.94</v>
      </c>
      <c r="E1250" s="13" t="n">
        <f aca="false">IFERROR(MIN(C1250,Eingaben!$B$17)*Eingaben!$B$16,0)</f>
        <v>2.793</v>
      </c>
      <c r="F1250" s="13" t="n">
        <f aca="false">IFERROR(E1250*Eingaben!$B$15,0)</f>
        <v>2.5137</v>
      </c>
      <c r="G1250" s="13" t="n">
        <f aca="false">IFERROR(IF(Kalender!A152="",0,J1249*(1-Eingaben!$B$20)),0)</f>
        <v>0.7390278</v>
      </c>
      <c r="H1250" s="13" t="n">
        <f aca="false">MIN(G1250,D1250)</f>
        <v>0.7390278</v>
      </c>
      <c r="I1250" s="13" t="n">
        <f aca="false">IFERROR(MIN(F1250*Eingaben!$B$19,MAX(0,D1250-H1250)),0)</f>
        <v>1.75959</v>
      </c>
      <c r="J1250" s="13" t="n">
        <f aca="false">IFERROR(MIN(Eingaben!$B$18,MAX(0,F1250-I1250)),0)</f>
        <v>0.75411</v>
      </c>
      <c r="K1250" s="13" t="n">
        <f aca="false">H1250+I1250</f>
        <v>2.4986178</v>
      </c>
      <c r="L1250" s="13" t="n">
        <f aca="false">MAX(0,D1250-K1250)</f>
        <v>2.4413822</v>
      </c>
      <c r="M1250" s="13" t="n">
        <f aca="false">MAX(0,F1250-I1250-J1250)</f>
        <v>0</v>
      </c>
      <c r="N1250" s="13" t="n">
        <f aca="false">IF(Kalender!A152="",0,J1249-H1250)</f>
        <v>0.0150822</v>
      </c>
    </row>
    <row r="1251" customFormat="false" ht="16.4" hidden="false" customHeight="false" outlineLevel="0" collapsed="false">
      <c r="A1251" s="13" t="str">
        <f aca="false">""</f>
        <v/>
      </c>
      <c r="B1251" s="13" t="n">
        <f aca="false">149</f>
        <v>149</v>
      </c>
      <c r="C1251" s="13" t="n">
        <f aca="false">IF(Szenarien!$H$14="OK",(IFERROR(SUMIF(Nutzungsprofile!$B$6:$B$11,"Schulbetrieb",Nutzungsprofile!$G$6:$G$11)*Kalender!C153/SUM(Kalender!$C$5:$C$370),0)+IFERROR(SUMIF(Nutzungsprofile!$B$6:$B$11,"Halle",Nutzungsprofile!$G$6:$G$11)*Kalender!D153/SUM(Kalender!$D$5:$D$370),0)+IFERROR(SUMIF(Nutzungsprofile!$B$6:$B$11,"Individuell",Nutzungsprofile!$G$6:$G$11)*Kalender!E153/SUM(Kalender!$E$5:$E$370),0))*Szenarien!$E$14,0)</f>
        <v>2.94</v>
      </c>
      <c r="D1251" s="13" t="n">
        <f aca="false">IF(Szenarien!$H$14="OK",(IFERROR(SUMIF(Nutzungsprofile!$B$17:$B$22,"Schulbetrieb",Nutzungsprofile!$G$17:$G$22)*Kalender!C153/SUM(Kalender!$C$5:$C$370),0)+IFERROR(SUMIF(Nutzungsprofile!$B$17:$B$22,"Halle",Nutzungsprofile!$G$17:$G$22)*Kalender!D153/SUM(Kalender!$D$5:$D$370),0)+IFERROR(SUMIF(Nutzungsprofile!$B$17:$B$22,"Individuell",Nutzungsprofile!$G$17:$G$22)*Kalender!E153/SUM(Kalender!$E$5:$E$370),0))*Szenarien!$D$14,0)</f>
        <v>4.94</v>
      </c>
      <c r="E1251" s="13" t="n">
        <f aca="false">IFERROR(MIN(C1251,Eingaben!$B$17)*Eingaben!$B$16,0)</f>
        <v>2.793</v>
      </c>
      <c r="F1251" s="13" t="n">
        <f aca="false">IFERROR(E1251*Eingaben!$B$15,0)</f>
        <v>2.5137</v>
      </c>
      <c r="G1251" s="13" t="n">
        <f aca="false">IFERROR(IF(Kalender!A153="",0,J1250*(1-Eingaben!$B$20)),0)</f>
        <v>0.7390278</v>
      </c>
      <c r="H1251" s="13" t="n">
        <f aca="false">MIN(G1251,D1251)</f>
        <v>0.7390278</v>
      </c>
      <c r="I1251" s="13" t="n">
        <f aca="false">IFERROR(MIN(F1251*Eingaben!$B$19,MAX(0,D1251-H1251)),0)</f>
        <v>1.75959</v>
      </c>
      <c r="J1251" s="13" t="n">
        <f aca="false">IFERROR(MIN(Eingaben!$B$18,MAX(0,F1251-I1251)),0)</f>
        <v>0.75411</v>
      </c>
      <c r="K1251" s="13" t="n">
        <f aca="false">H1251+I1251</f>
        <v>2.4986178</v>
      </c>
      <c r="L1251" s="13" t="n">
        <f aca="false">MAX(0,D1251-K1251)</f>
        <v>2.4413822</v>
      </c>
      <c r="M1251" s="13" t="n">
        <f aca="false">MAX(0,F1251-I1251-J1251)</f>
        <v>0</v>
      </c>
      <c r="N1251" s="13" t="n">
        <f aca="false">IF(Kalender!A153="",0,J1250-H1251)</f>
        <v>0.0150822</v>
      </c>
    </row>
    <row r="1252" customFormat="false" ht="16.4" hidden="false" customHeight="false" outlineLevel="0" collapsed="false">
      <c r="A1252" s="13" t="str">
        <f aca="false">""</f>
        <v/>
      </c>
      <c r="B1252" s="13" t="n">
        <f aca="false">150</f>
        <v>150</v>
      </c>
      <c r="C1252" s="13" t="n">
        <f aca="false">IF(Szenarien!$H$14="OK",(IFERROR(SUMIF(Nutzungsprofile!$B$6:$B$11,"Schulbetrieb",Nutzungsprofile!$G$6:$G$11)*Kalender!C154/SUM(Kalender!$C$5:$C$370),0)+IFERROR(SUMIF(Nutzungsprofile!$B$6:$B$11,"Halle",Nutzungsprofile!$G$6:$G$11)*Kalender!D154/SUM(Kalender!$D$5:$D$370),0)+IFERROR(SUMIF(Nutzungsprofile!$B$6:$B$11,"Individuell",Nutzungsprofile!$G$6:$G$11)*Kalender!E154/SUM(Kalender!$E$5:$E$370),0))*Szenarien!$E$14,0)</f>
        <v>2.04</v>
      </c>
      <c r="D1252" s="13" t="n">
        <f aca="false">IF(Szenarien!$H$14="OK",(IFERROR(SUMIF(Nutzungsprofile!$B$17:$B$22,"Schulbetrieb",Nutzungsprofile!$G$17:$G$22)*Kalender!C154/SUM(Kalender!$C$5:$C$370),0)+IFERROR(SUMIF(Nutzungsprofile!$B$17:$B$22,"Halle",Nutzungsprofile!$G$17:$G$22)*Kalender!D154/SUM(Kalender!$D$5:$D$370),0)+IFERROR(SUMIF(Nutzungsprofile!$B$17:$B$22,"Individuell",Nutzungsprofile!$G$17:$G$22)*Kalender!E154/SUM(Kalender!$E$5:$E$370),0))*Szenarien!$D$14,0)</f>
        <v>0.89</v>
      </c>
      <c r="E1252" s="13" t="n">
        <f aca="false">IFERROR(MIN(C1252,Eingaben!$B$17)*Eingaben!$B$16,0)</f>
        <v>1.938</v>
      </c>
      <c r="F1252" s="13" t="n">
        <f aca="false">IFERROR(E1252*Eingaben!$B$15,0)</f>
        <v>1.7442</v>
      </c>
      <c r="G1252" s="13" t="n">
        <f aca="false">IFERROR(IF(Kalender!A154="",0,J1251*(1-Eingaben!$B$20)),0)</f>
        <v>0.7390278</v>
      </c>
      <c r="H1252" s="13" t="n">
        <f aca="false">MIN(G1252,D1252)</f>
        <v>0.7390278</v>
      </c>
      <c r="I1252" s="13" t="n">
        <f aca="false">IFERROR(MIN(F1252*Eingaben!$B$19,MAX(0,D1252-H1252)),0)</f>
        <v>0.1509722</v>
      </c>
      <c r="J1252" s="13" t="n">
        <f aca="false">IFERROR(MIN(Eingaben!$B$18,MAX(0,F1252-I1252)),0)</f>
        <v>1.5932278</v>
      </c>
      <c r="K1252" s="13" t="n">
        <f aca="false">H1252+I1252</f>
        <v>0.89</v>
      </c>
      <c r="L1252" s="13" t="n">
        <f aca="false">MAX(0,D1252-K1252)</f>
        <v>0</v>
      </c>
      <c r="M1252" s="13" t="n">
        <f aca="false">MAX(0,F1252-I1252-J1252)</f>
        <v>0</v>
      </c>
      <c r="N1252" s="13" t="n">
        <f aca="false">IF(Kalender!A154="",0,J1251-H1252)</f>
        <v>0.0150822</v>
      </c>
    </row>
    <row r="1253" customFormat="false" ht="16.4" hidden="false" customHeight="false" outlineLevel="0" collapsed="false">
      <c r="A1253" s="13" t="str">
        <f aca="false">""</f>
        <v/>
      </c>
      <c r="B1253" s="13" t="n">
        <f aca="false">151</f>
        <v>151</v>
      </c>
      <c r="C1253" s="13" t="n">
        <f aca="false">IF(Szenarien!$H$14="OK",(IFERROR(SUMIF(Nutzungsprofile!$B$6:$B$11,"Schulbetrieb",Nutzungsprofile!$G$6:$G$11)*Kalender!C155/SUM(Kalender!$C$5:$C$370),0)+IFERROR(SUMIF(Nutzungsprofile!$B$6:$B$11,"Halle",Nutzungsprofile!$G$6:$G$11)*Kalender!D155/SUM(Kalender!$D$5:$D$370),0)+IFERROR(SUMIF(Nutzungsprofile!$B$6:$B$11,"Individuell",Nutzungsprofile!$G$6:$G$11)*Kalender!E155/SUM(Kalender!$E$5:$E$370),0))*Szenarien!$E$14,0)</f>
        <v>2.04</v>
      </c>
      <c r="D1253" s="13" t="n">
        <f aca="false">IF(Szenarien!$H$14="OK",(IFERROR(SUMIF(Nutzungsprofile!$B$17:$B$22,"Schulbetrieb",Nutzungsprofile!$G$17:$G$22)*Kalender!C155/SUM(Kalender!$C$5:$C$370),0)+IFERROR(SUMIF(Nutzungsprofile!$B$17:$B$22,"Halle",Nutzungsprofile!$G$17:$G$22)*Kalender!D155/SUM(Kalender!$D$5:$D$370),0)+IFERROR(SUMIF(Nutzungsprofile!$B$17:$B$22,"Individuell",Nutzungsprofile!$G$17:$G$22)*Kalender!E155/SUM(Kalender!$E$5:$E$370),0))*Szenarien!$D$14,0)</f>
        <v>0.89</v>
      </c>
      <c r="E1253" s="13" t="n">
        <f aca="false">IFERROR(MIN(C1253,Eingaben!$B$17)*Eingaben!$B$16,0)</f>
        <v>1.938</v>
      </c>
      <c r="F1253" s="13" t="n">
        <f aca="false">IFERROR(E1253*Eingaben!$B$15,0)</f>
        <v>1.7442</v>
      </c>
      <c r="G1253" s="13" t="n">
        <f aca="false">IFERROR(IF(Kalender!A155="",0,J1252*(1-Eingaben!$B$20)),0)</f>
        <v>1.561363244</v>
      </c>
      <c r="H1253" s="13" t="n">
        <f aca="false">MIN(G1253,D1253)</f>
        <v>0.89</v>
      </c>
      <c r="I1253" s="13" t="n">
        <f aca="false">IFERROR(MIN(F1253*Eingaben!$B$19,MAX(0,D1253-H1253)),0)</f>
        <v>0</v>
      </c>
      <c r="J1253" s="13" t="n">
        <f aca="false">IFERROR(MIN(Eingaben!$B$18,MAX(0,F1253-I1253)),0)</f>
        <v>1.7442</v>
      </c>
      <c r="K1253" s="13" t="n">
        <f aca="false">H1253+I1253</f>
        <v>0.89</v>
      </c>
      <c r="L1253" s="13" t="n">
        <f aca="false">MAX(0,D1253-K1253)</f>
        <v>0</v>
      </c>
      <c r="M1253" s="13" t="n">
        <f aca="false">MAX(0,F1253-I1253-J1253)</f>
        <v>0</v>
      </c>
      <c r="N1253" s="13" t="n">
        <f aca="false">IF(Kalender!A155="",0,J1252-H1253)</f>
        <v>0.7032278</v>
      </c>
    </row>
    <row r="1254" customFormat="false" ht="16.4" hidden="false" customHeight="false" outlineLevel="0" collapsed="false">
      <c r="A1254" s="13" t="str">
        <f aca="false">""</f>
        <v/>
      </c>
      <c r="B1254" s="13" t="n">
        <f aca="false">152</f>
        <v>152</v>
      </c>
      <c r="C1254" s="13" t="n">
        <f aca="false">IF(Szenarien!$H$14="OK",(IFERROR(SUMIF(Nutzungsprofile!$B$6:$B$11,"Schulbetrieb",Nutzungsprofile!$G$6:$G$11)*Kalender!C156/SUM(Kalender!$C$5:$C$370),0)+IFERROR(SUMIF(Nutzungsprofile!$B$6:$B$11,"Halle",Nutzungsprofile!$G$6:$G$11)*Kalender!D156/SUM(Kalender!$D$5:$D$370),0)+IFERROR(SUMIF(Nutzungsprofile!$B$6:$B$11,"Individuell",Nutzungsprofile!$G$6:$G$11)*Kalender!E156/SUM(Kalender!$E$5:$E$370),0))*Szenarien!$E$14,0)</f>
        <v>2.94</v>
      </c>
      <c r="D1254" s="13" t="n">
        <f aca="false">IF(Szenarien!$H$14="OK",(IFERROR(SUMIF(Nutzungsprofile!$B$17:$B$22,"Schulbetrieb",Nutzungsprofile!$G$17:$G$22)*Kalender!C156/SUM(Kalender!$C$5:$C$370),0)+IFERROR(SUMIF(Nutzungsprofile!$B$17:$B$22,"Halle",Nutzungsprofile!$G$17:$G$22)*Kalender!D156/SUM(Kalender!$D$5:$D$370),0)+IFERROR(SUMIF(Nutzungsprofile!$B$17:$B$22,"Individuell",Nutzungsprofile!$G$17:$G$22)*Kalender!E156/SUM(Kalender!$E$5:$E$370),0))*Szenarien!$D$14,0)</f>
        <v>4.94</v>
      </c>
      <c r="E1254" s="13" t="n">
        <f aca="false">IFERROR(MIN(C1254,Eingaben!$B$17)*Eingaben!$B$16,0)</f>
        <v>2.793</v>
      </c>
      <c r="F1254" s="13" t="n">
        <f aca="false">IFERROR(E1254*Eingaben!$B$15,0)</f>
        <v>2.5137</v>
      </c>
      <c r="G1254" s="13" t="n">
        <f aca="false">IFERROR(IF(Kalender!A156="",0,J1253*(1-Eingaben!$B$20)),0)</f>
        <v>1.709316</v>
      </c>
      <c r="H1254" s="13" t="n">
        <f aca="false">MIN(G1254,D1254)</f>
        <v>1.709316</v>
      </c>
      <c r="I1254" s="13" t="n">
        <f aca="false">IFERROR(MIN(F1254*Eingaben!$B$19,MAX(0,D1254-H1254)),0)</f>
        <v>1.75959</v>
      </c>
      <c r="J1254" s="13" t="n">
        <f aca="false">IFERROR(MIN(Eingaben!$B$18,MAX(0,F1254-I1254)),0)</f>
        <v>0.75411</v>
      </c>
      <c r="K1254" s="13" t="n">
        <f aca="false">H1254+I1254</f>
        <v>3.468906</v>
      </c>
      <c r="L1254" s="13" t="n">
        <f aca="false">MAX(0,D1254-K1254)</f>
        <v>1.471094</v>
      </c>
      <c r="M1254" s="13" t="n">
        <f aca="false">MAX(0,F1254-I1254-J1254)</f>
        <v>0</v>
      </c>
      <c r="N1254" s="13" t="n">
        <f aca="false">IF(Kalender!A156="",0,J1253-H1254)</f>
        <v>0.0348840000000001</v>
      </c>
    </row>
    <row r="1255" customFormat="false" ht="16.4" hidden="false" customHeight="false" outlineLevel="0" collapsed="false">
      <c r="A1255" s="13" t="str">
        <f aca="false">""</f>
        <v/>
      </c>
      <c r="B1255" s="13" t="n">
        <f aca="false">153</f>
        <v>153</v>
      </c>
      <c r="C1255" s="13" t="n">
        <f aca="false">IF(Szenarien!$H$14="OK",(IFERROR(SUMIF(Nutzungsprofile!$B$6:$B$11,"Schulbetrieb",Nutzungsprofile!$G$6:$G$11)*Kalender!C157/SUM(Kalender!$C$5:$C$370),0)+IFERROR(SUMIF(Nutzungsprofile!$B$6:$B$11,"Halle",Nutzungsprofile!$G$6:$G$11)*Kalender!D157/SUM(Kalender!$D$5:$D$370),0)+IFERROR(SUMIF(Nutzungsprofile!$B$6:$B$11,"Individuell",Nutzungsprofile!$G$6:$G$11)*Kalender!E157/SUM(Kalender!$E$5:$E$370),0))*Szenarien!$E$14,0)</f>
        <v>2.94</v>
      </c>
      <c r="D1255" s="13" t="n">
        <f aca="false">IF(Szenarien!$H$14="OK",(IFERROR(SUMIF(Nutzungsprofile!$B$17:$B$22,"Schulbetrieb",Nutzungsprofile!$G$17:$G$22)*Kalender!C157/SUM(Kalender!$C$5:$C$370),0)+IFERROR(SUMIF(Nutzungsprofile!$B$17:$B$22,"Halle",Nutzungsprofile!$G$17:$G$22)*Kalender!D157/SUM(Kalender!$D$5:$D$370),0)+IFERROR(SUMIF(Nutzungsprofile!$B$17:$B$22,"Individuell",Nutzungsprofile!$G$17:$G$22)*Kalender!E157/SUM(Kalender!$E$5:$E$370),0))*Szenarien!$D$14,0)</f>
        <v>4.94</v>
      </c>
      <c r="E1255" s="13" t="n">
        <f aca="false">IFERROR(MIN(C1255,Eingaben!$B$17)*Eingaben!$B$16,0)</f>
        <v>2.793</v>
      </c>
      <c r="F1255" s="13" t="n">
        <f aca="false">IFERROR(E1255*Eingaben!$B$15,0)</f>
        <v>2.5137</v>
      </c>
      <c r="G1255" s="13" t="n">
        <f aca="false">IFERROR(IF(Kalender!A157="",0,J1254*(1-Eingaben!$B$20)),0)</f>
        <v>0.7390278</v>
      </c>
      <c r="H1255" s="13" t="n">
        <f aca="false">MIN(G1255,D1255)</f>
        <v>0.7390278</v>
      </c>
      <c r="I1255" s="13" t="n">
        <f aca="false">IFERROR(MIN(F1255*Eingaben!$B$19,MAX(0,D1255-H1255)),0)</f>
        <v>1.75959</v>
      </c>
      <c r="J1255" s="13" t="n">
        <f aca="false">IFERROR(MIN(Eingaben!$B$18,MAX(0,F1255-I1255)),0)</f>
        <v>0.75411</v>
      </c>
      <c r="K1255" s="13" t="n">
        <f aca="false">H1255+I1255</f>
        <v>2.4986178</v>
      </c>
      <c r="L1255" s="13" t="n">
        <f aca="false">MAX(0,D1255-K1255)</f>
        <v>2.4413822</v>
      </c>
      <c r="M1255" s="13" t="n">
        <f aca="false">MAX(0,F1255-I1255-J1255)</f>
        <v>0</v>
      </c>
      <c r="N1255" s="13" t="n">
        <f aca="false">IF(Kalender!A157="",0,J1254-H1255)</f>
        <v>0.0150822</v>
      </c>
    </row>
    <row r="1256" customFormat="false" ht="16.4" hidden="false" customHeight="false" outlineLevel="0" collapsed="false">
      <c r="A1256" s="13" t="str">
        <f aca="false">""</f>
        <v/>
      </c>
      <c r="B1256" s="13" t="n">
        <f aca="false">154</f>
        <v>154</v>
      </c>
      <c r="C1256" s="13" t="n">
        <f aca="false">IF(Szenarien!$H$14="OK",(IFERROR(SUMIF(Nutzungsprofile!$B$6:$B$11,"Schulbetrieb",Nutzungsprofile!$G$6:$G$11)*Kalender!C158/SUM(Kalender!$C$5:$C$370),0)+IFERROR(SUMIF(Nutzungsprofile!$B$6:$B$11,"Halle",Nutzungsprofile!$G$6:$G$11)*Kalender!D158/SUM(Kalender!$D$5:$D$370),0)+IFERROR(SUMIF(Nutzungsprofile!$B$6:$B$11,"Individuell",Nutzungsprofile!$G$6:$G$11)*Kalender!E158/SUM(Kalender!$E$5:$E$370),0))*Szenarien!$E$14,0)</f>
        <v>2.94</v>
      </c>
      <c r="D1256" s="13" t="n">
        <f aca="false">IF(Szenarien!$H$14="OK",(IFERROR(SUMIF(Nutzungsprofile!$B$17:$B$22,"Schulbetrieb",Nutzungsprofile!$G$17:$G$22)*Kalender!C158/SUM(Kalender!$C$5:$C$370),0)+IFERROR(SUMIF(Nutzungsprofile!$B$17:$B$22,"Halle",Nutzungsprofile!$G$17:$G$22)*Kalender!D158/SUM(Kalender!$D$5:$D$370),0)+IFERROR(SUMIF(Nutzungsprofile!$B$17:$B$22,"Individuell",Nutzungsprofile!$G$17:$G$22)*Kalender!E158/SUM(Kalender!$E$5:$E$370),0))*Szenarien!$D$14,0)</f>
        <v>4.94</v>
      </c>
      <c r="E1256" s="13" t="n">
        <f aca="false">IFERROR(MIN(C1256,Eingaben!$B$17)*Eingaben!$B$16,0)</f>
        <v>2.793</v>
      </c>
      <c r="F1256" s="13" t="n">
        <f aca="false">IFERROR(E1256*Eingaben!$B$15,0)</f>
        <v>2.5137</v>
      </c>
      <c r="G1256" s="13" t="n">
        <f aca="false">IFERROR(IF(Kalender!A158="",0,J1255*(1-Eingaben!$B$20)),0)</f>
        <v>0.7390278</v>
      </c>
      <c r="H1256" s="13" t="n">
        <f aca="false">MIN(G1256,D1256)</f>
        <v>0.7390278</v>
      </c>
      <c r="I1256" s="13" t="n">
        <f aca="false">IFERROR(MIN(F1256*Eingaben!$B$19,MAX(0,D1256-H1256)),0)</f>
        <v>1.75959</v>
      </c>
      <c r="J1256" s="13" t="n">
        <f aca="false">IFERROR(MIN(Eingaben!$B$18,MAX(0,F1256-I1256)),0)</f>
        <v>0.75411</v>
      </c>
      <c r="K1256" s="13" t="n">
        <f aca="false">H1256+I1256</f>
        <v>2.4986178</v>
      </c>
      <c r="L1256" s="13" t="n">
        <f aca="false">MAX(0,D1256-K1256)</f>
        <v>2.4413822</v>
      </c>
      <c r="M1256" s="13" t="n">
        <f aca="false">MAX(0,F1256-I1256-J1256)</f>
        <v>0</v>
      </c>
      <c r="N1256" s="13" t="n">
        <f aca="false">IF(Kalender!A158="",0,J1255-H1256)</f>
        <v>0.0150822</v>
      </c>
    </row>
    <row r="1257" customFormat="false" ht="16.4" hidden="false" customHeight="false" outlineLevel="0" collapsed="false">
      <c r="A1257" s="13" t="str">
        <f aca="false">""</f>
        <v/>
      </c>
      <c r="B1257" s="13" t="n">
        <f aca="false">155</f>
        <v>155</v>
      </c>
      <c r="C1257" s="13" t="n">
        <f aca="false">IF(Szenarien!$H$14="OK",(IFERROR(SUMIF(Nutzungsprofile!$B$6:$B$11,"Schulbetrieb",Nutzungsprofile!$G$6:$G$11)*Kalender!C159/SUM(Kalender!$C$5:$C$370),0)+IFERROR(SUMIF(Nutzungsprofile!$B$6:$B$11,"Halle",Nutzungsprofile!$G$6:$G$11)*Kalender!D159/SUM(Kalender!$D$5:$D$370),0)+IFERROR(SUMIF(Nutzungsprofile!$B$6:$B$11,"Individuell",Nutzungsprofile!$G$6:$G$11)*Kalender!E159/SUM(Kalender!$E$5:$E$370),0))*Szenarien!$E$14,0)</f>
        <v>2.94</v>
      </c>
      <c r="D1257" s="13" t="n">
        <f aca="false">IF(Szenarien!$H$14="OK",(IFERROR(SUMIF(Nutzungsprofile!$B$17:$B$22,"Schulbetrieb",Nutzungsprofile!$G$17:$G$22)*Kalender!C159/SUM(Kalender!$C$5:$C$370),0)+IFERROR(SUMIF(Nutzungsprofile!$B$17:$B$22,"Halle",Nutzungsprofile!$G$17:$G$22)*Kalender!D159/SUM(Kalender!$D$5:$D$370),0)+IFERROR(SUMIF(Nutzungsprofile!$B$17:$B$22,"Individuell",Nutzungsprofile!$G$17:$G$22)*Kalender!E159/SUM(Kalender!$E$5:$E$370),0))*Szenarien!$D$14,0)</f>
        <v>4.94</v>
      </c>
      <c r="E1257" s="13" t="n">
        <f aca="false">IFERROR(MIN(C1257,Eingaben!$B$17)*Eingaben!$B$16,0)</f>
        <v>2.793</v>
      </c>
      <c r="F1257" s="13" t="n">
        <f aca="false">IFERROR(E1257*Eingaben!$B$15,0)</f>
        <v>2.5137</v>
      </c>
      <c r="G1257" s="13" t="n">
        <f aca="false">IFERROR(IF(Kalender!A159="",0,J1256*(1-Eingaben!$B$20)),0)</f>
        <v>0.7390278</v>
      </c>
      <c r="H1257" s="13" t="n">
        <f aca="false">MIN(G1257,D1257)</f>
        <v>0.7390278</v>
      </c>
      <c r="I1257" s="13" t="n">
        <f aca="false">IFERROR(MIN(F1257*Eingaben!$B$19,MAX(0,D1257-H1257)),0)</f>
        <v>1.75959</v>
      </c>
      <c r="J1257" s="13" t="n">
        <f aca="false">IFERROR(MIN(Eingaben!$B$18,MAX(0,F1257-I1257)),0)</f>
        <v>0.75411</v>
      </c>
      <c r="K1257" s="13" t="n">
        <f aca="false">H1257+I1257</f>
        <v>2.4986178</v>
      </c>
      <c r="L1257" s="13" t="n">
        <f aca="false">MAX(0,D1257-K1257)</f>
        <v>2.4413822</v>
      </c>
      <c r="M1257" s="13" t="n">
        <f aca="false">MAX(0,F1257-I1257-J1257)</f>
        <v>0</v>
      </c>
      <c r="N1257" s="13" t="n">
        <f aca="false">IF(Kalender!A159="",0,J1256-H1257)</f>
        <v>0.0150822</v>
      </c>
    </row>
    <row r="1258" customFormat="false" ht="16.4" hidden="false" customHeight="false" outlineLevel="0" collapsed="false">
      <c r="A1258" s="13" t="str">
        <f aca="false">""</f>
        <v/>
      </c>
      <c r="B1258" s="13" t="n">
        <f aca="false">156</f>
        <v>156</v>
      </c>
      <c r="C1258" s="13" t="n">
        <f aca="false">IF(Szenarien!$H$14="OK",(IFERROR(SUMIF(Nutzungsprofile!$B$6:$B$11,"Schulbetrieb",Nutzungsprofile!$G$6:$G$11)*Kalender!C160/SUM(Kalender!$C$5:$C$370),0)+IFERROR(SUMIF(Nutzungsprofile!$B$6:$B$11,"Halle",Nutzungsprofile!$G$6:$G$11)*Kalender!D160/SUM(Kalender!$D$5:$D$370),0)+IFERROR(SUMIF(Nutzungsprofile!$B$6:$B$11,"Individuell",Nutzungsprofile!$G$6:$G$11)*Kalender!E160/SUM(Kalender!$E$5:$E$370),0))*Szenarien!$E$14,0)</f>
        <v>2.94</v>
      </c>
      <c r="D1258" s="13" t="n">
        <f aca="false">IF(Szenarien!$H$14="OK",(IFERROR(SUMIF(Nutzungsprofile!$B$17:$B$22,"Schulbetrieb",Nutzungsprofile!$G$17:$G$22)*Kalender!C160/SUM(Kalender!$C$5:$C$370),0)+IFERROR(SUMIF(Nutzungsprofile!$B$17:$B$22,"Halle",Nutzungsprofile!$G$17:$G$22)*Kalender!D160/SUM(Kalender!$D$5:$D$370),0)+IFERROR(SUMIF(Nutzungsprofile!$B$17:$B$22,"Individuell",Nutzungsprofile!$G$17:$G$22)*Kalender!E160/SUM(Kalender!$E$5:$E$370),0))*Szenarien!$D$14,0)</f>
        <v>4.94</v>
      </c>
      <c r="E1258" s="13" t="n">
        <f aca="false">IFERROR(MIN(C1258,Eingaben!$B$17)*Eingaben!$B$16,0)</f>
        <v>2.793</v>
      </c>
      <c r="F1258" s="13" t="n">
        <f aca="false">IFERROR(E1258*Eingaben!$B$15,0)</f>
        <v>2.5137</v>
      </c>
      <c r="G1258" s="13" t="n">
        <f aca="false">IFERROR(IF(Kalender!A160="",0,J1257*(1-Eingaben!$B$20)),0)</f>
        <v>0.7390278</v>
      </c>
      <c r="H1258" s="13" t="n">
        <f aca="false">MIN(G1258,D1258)</f>
        <v>0.7390278</v>
      </c>
      <c r="I1258" s="13" t="n">
        <f aca="false">IFERROR(MIN(F1258*Eingaben!$B$19,MAX(0,D1258-H1258)),0)</f>
        <v>1.75959</v>
      </c>
      <c r="J1258" s="13" t="n">
        <f aca="false">IFERROR(MIN(Eingaben!$B$18,MAX(0,F1258-I1258)),0)</f>
        <v>0.75411</v>
      </c>
      <c r="K1258" s="13" t="n">
        <f aca="false">H1258+I1258</f>
        <v>2.4986178</v>
      </c>
      <c r="L1258" s="13" t="n">
        <f aca="false">MAX(0,D1258-K1258)</f>
        <v>2.4413822</v>
      </c>
      <c r="M1258" s="13" t="n">
        <f aca="false">MAX(0,F1258-I1258-J1258)</f>
        <v>0</v>
      </c>
      <c r="N1258" s="13" t="n">
        <f aca="false">IF(Kalender!A160="",0,J1257-H1258)</f>
        <v>0.0150822</v>
      </c>
    </row>
    <row r="1259" customFormat="false" ht="16.4" hidden="false" customHeight="false" outlineLevel="0" collapsed="false">
      <c r="A1259" s="13" t="str">
        <f aca="false">""</f>
        <v/>
      </c>
      <c r="B1259" s="13" t="n">
        <f aca="false">157</f>
        <v>157</v>
      </c>
      <c r="C1259" s="13" t="n">
        <f aca="false">IF(Szenarien!$H$14="OK",(IFERROR(SUMIF(Nutzungsprofile!$B$6:$B$11,"Schulbetrieb",Nutzungsprofile!$G$6:$G$11)*Kalender!C161/SUM(Kalender!$C$5:$C$370),0)+IFERROR(SUMIF(Nutzungsprofile!$B$6:$B$11,"Halle",Nutzungsprofile!$G$6:$G$11)*Kalender!D161/SUM(Kalender!$D$5:$D$370),0)+IFERROR(SUMIF(Nutzungsprofile!$B$6:$B$11,"Individuell",Nutzungsprofile!$G$6:$G$11)*Kalender!E161/SUM(Kalender!$E$5:$E$370),0))*Szenarien!$E$14,0)</f>
        <v>2.04</v>
      </c>
      <c r="D1259" s="13" t="n">
        <f aca="false">IF(Szenarien!$H$14="OK",(IFERROR(SUMIF(Nutzungsprofile!$B$17:$B$22,"Schulbetrieb",Nutzungsprofile!$G$17:$G$22)*Kalender!C161/SUM(Kalender!$C$5:$C$370),0)+IFERROR(SUMIF(Nutzungsprofile!$B$17:$B$22,"Halle",Nutzungsprofile!$G$17:$G$22)*Kalender!D161/SUM(Kalender!$D$5:$D$370),0)+IFERROR(SUMIF(Nutzungsprofile!$B$17:$B$22,"Individuell",Nutzungsprofile!$G$17:$G$22)*Kalender!E161/SUM(Kalender!$E$5:$E$370),0))*Szenarien!$D$14,0)</f>
        <v>0.89</v>
      </c>
      <c r="E1259" s="13" t="n">
        <f aca="false">IFERROR(MIN(C1259,Eingaben!$B$17)*Eingaben!$B$16,0)</f>
        <v>1.938</v>
      </c>
      <c r="F1259" s="13" t="n">
        <f aca="false">IFERROR(E1259*Eingaben!$B$15,0)</f>
        <v>1.7442</v>
      </c>
      <c r="G1259" s="13" t="n">
        <f aca="false">IFERROR(IF(Kalender!A161="",0,J1258*(1-Eingaben!$B$20)),0)</f>
        <v>0.7390278</v>
      </c>
      <c r="H1259" s="13" t="n">
        <f aca="false">MIN(G1259,D1259)</f>
        <v>0.7390278</v>
      </c>
      <c r="I1259" s="13" t="n">
        <f aca="false">IFERROR(MIN(F1259*Eingaben!$B$19,MAX(0,D1259-H1259)),0)</f>
        <v>0.1509722</v>
      </c>
      <c r="J1259" s="13" t="n">
        <f aca="false">IFERROR(MIN(Eingaben!$B$18,MAX(0,F1259-I1259)),0)</f>
        <v>1.5932278</v>
      </c>
      <c r="K1259" s="13" t="n">
        <f aca="false">H1259+I1259</f>
        <v>0.89</v>
      </c>
      <c r="L1259" s="13" t="n">
        <f aca="false">MAX(0,D1259-K1259)</f>
        <v>0</v>
      </c>
      <c r="M1259" s="13" t="n">
        <f aca="false">MAX(0,F1259-I1259-J1259)</f>
        <v>0</v>
      </c>
      <c r="N1259" s="13" t="n">
        <f aca="false">IF(Kalender!A161="",0,J1258-H1259)</f>
        <v>0.0150822</v>
      </c>
    </row>
    <row r="1260" customFormat="false" ht="16.4" hidden="false" customHeight="false" outlineLevel="0" collapsed="false">
      <c r="A1260" s="13" t="str">
        <f aca="false">""</f>
        <v/>
      </c>
      <c r="B1260" s="13" t="n">
        <f aca="false">158</f>
        <v>158</v>
      </c>
      <c r="C1260" s="13" t="n">
        <f aca="false">IF(Szenarien!$H$14="OK",(IFERROR(SUMIF(Nutzungsprofile!$B$6:$B$11,"Schulbetrieb",Nutzungsprofile!$G$6:$G$11)*Kalender!C162/SUM(Kalender!$C$5:$C$370),0)+IFERROR(SUMIF(Nutzungsprofile!$B$6:$B$11,"Halle",Nutzungsprofile!$G$6:$G$11)*Kalender!D162/SUM(Kalender!$D$5:$D$370),0)+IFERROR(SUMIF(Nutzungsprofile!$B$6:$B$11,"Individuell",Nutzungsprofile!$G$6:$G$11)*Kalender!E162/SUM(Kalender!$E$5:$E$370),0))*Szenarien!$E$14,0)</f>
        <v>2.04</v>
      </c>
      <c r="D1260" s="13" t="n">
        <f aca="false">IF(Szenarien!$H$14="OK",(IFERROR(SUMIF(Nutzungsprofile!$B$17:$B$22,"Schulbetrieb",Nutzungsprofile!$G$17:$G$22)*Kalender!C162/SUM(Kalender!$C$5:$C$370),0)+IFERROR(SUMIF(Nutzungsprofile!$B$17:$B$22,"Halle",Nutzungsprofile!$G$17:$G$22)*Kalender!D162/SUM(Kalender!$D$5:$D$370),0)+IFERROR(SUMIF(Nutzungsprofile!$B$17:$B$22,"Individuell",Nutzungsprofile!$G$17:$G$22)*Kalender!E162/SUM(Kalender!$E$5:$E$370),0))*Szenarien!$D$14,0)</f>
        <v>0.89</v>
      </c>
      <c r="E1260" s="13" t="n">
        <f aca="false">IFERROR(MIN(C1260,Eingaben!$B$17)*Eingaben!$B$16,0)</f>
        <v>1.938</v>
      </c>
      <c r="F1260" s="13" t="n">
        <f aca="false">IFERROR(E1260*Eingaben!$B$15,0)</f>
        <v>1.7442</v>
      </c>
      <c r="G1260" s="13" t="n">
        <f aca="false">IFERROR(IF(Kalender!A162="",0,J1259*(1-Eingaben!$B$20)),0)</f>
        <v>1.561363244</v>
      </c>
      <c r="H1260" s="13" t="n">
        <f aca="false">MIN(G1260,D1260)</f>
        <v>0.89</v>
      </c>
      <c r="I1260" s="13" t="n">
        <f aca="false">IFERROR(MIN(F1260*Eingaben!$B$19,MAX(0,D1260-H1260)),0)</f>
        <v>0</v>
      </c>
      <c r="J1260" s="13" t="n">
        <f aca="false">IFERROR(MIN(Eingaben!$B$18,MAX(0,F1260-I1260)),0)</f>
        <v>1.7442</v>
      </c>
      <c r="K1260" s="13" t="n">
        <f aca="false">H1260+I1260</f>
        <v>0.89</v>
      </c>
      <c r="L1260" s="13" t="n">
        <f aca="false">MAX(0,D1260-K1260)</f>
        <v>0</v>
      </c>
      <c r="M1260" s="13" t="n">
        <f aca="false">MAX(0,F1260-I1260-J1260)</f>
        <v>0</v>
      </c>
      <c r="N1260" s="13" t="n">
        <f aca="false">IF(Kalender!A162="",0,J1259-H1260)</f>
        <v>0.7032278</v>
      </c>
    </row>
    <row r="1261" customFormat="false" ht="16.4" hidden="false" customHeight="false" outlineLevel="0" collapsed="false">
      <c r="A1261" s="13" t="str">
        <f aca="false">""</f>
        <v/>
      </c>
      <c r="B1261" s="13" t="n">
        <f aca="false">159</f>
        <v>159</v>
      </c>
      <c r="C1261" s="13" t="n">
        <f aca="false">IF(Szenarien!$H$14="OK",(IFERROR(SUMIF(Nutzungsprofile!$B$6:$B$11,"Schulbetrieb",Nutzungsprofile!$G$6:$G$11)*Kalender!C163/SUM(Kalender!$C$5:$C$370),0)+IFERROR(SUMIF(Nutzungsprofile!$B$6:$B$11,"Halle",Nutzungsprofile!$G$6:$G$11)*Kalender!D163/SUM(Kalender!$D$5:$D$370),0)+IFERROR(SUMIF(Nutzungsprofile!$B$6:$B$11,"Individuell",Nutzungsprofile!$G$6:$G$11)*Kalender!E163/SUM(Kalender!$E$5:$E$370),0))*Szenarien!$E$14,0)</f>
        <v>2.94</v>
      </c>
      <c r="D1261" s="13" t="n">
        <f aca="false">IF(Szenarien!$H$14="OK",(IFERROR(SUMIF(Nutzungsprofile!$B$17:$B$22,"Schulbetrieb",Nutzungsprofile!$G$17:$G$22)*Kalender!C163/SUM(Kalender!$C$5:$C$370),0)+IFERROR(SUMIF(Nutzungsprofile!$B$17:$B$22,"Halle",Nutzungsprofile!$G$17:$G$22)*Kalender!D163/SUM(Kalender!$D$5:$D$370),0)+IFERROR(SUMIF(Nutzungsprofile!$B$17:$B$22,"Individuell",Nutzungsprofile!$G$17:$G$22)*Kalender!E163/SUM(Kalender!$E$5:$E$370),0))*Szenarien!$D$14,0)</f>
        <v>4.94</v>
      </c>
      <c r="E1261" s="13" t="n">
        <f aca="false">IFERROR(MIN(C1261,Eingaben!$B$17)*Eingaben!$B$16,0)</f>
        <v>2.793</v>
      </c>
      <c r="F1261" s="13" t="n">
        <f aca="false">IFERROR(E1261*Eingaben!$B$15,0)</f>
        <v>2.5137</v>
      </c>
      <c r="G1261" s="13" t="n">
        <f aca="false">IFERROR(IF(Kalender!A163="",0,J1260*(1-Eingaben!$B$20)),0)</f>
        <v>1.709316</v>
      </c>
      <c r="H1261" s="13" t="n">
        <f aca="false">MIN(G1261,D1261)</f>
        <v>1.709316</v>
      </c>
      <c r="I1261" s="13" t="n">
        <f aca="false">IFERROR(MIN(F1261*Eingaben!$B$19,MAX(0,D1261-H1261)),0)</f>
        <v>1.75959</v>
      </c>
      <c r="J1261" s="13" t="n">
        <f aca="false">IFERROR(MIN(Eingaben!$B$18,MAX(0,F1261-I1261)),0)</f>
        <v>0.75411</v>
      </c>
      <c r="K1261" s="13" t="n">
        <f aca="false">H1261+I1261</f>
        <v>3.468906</v>
      </c>
      <c r="L1261" s="13" t="n">
        <f aca="false">MAX(0,D1261-K1261)</f>
        <v>1.471094</v>
      </c>
      <c r="M1261" s="13" t="n">
        <f aca="false">MAX(0,F1261-I1261-J1261)</f>
        <v>0</v>
      </c>
      <c r="N1261" s="13" t="n">
        <f aca="false">IF(Kalender!A163="",0,J1260-H1261)</f>
        <v>0.0348840000000001</v>
      </c>
    </row>
    <row r="1262" customFormat="false" ht="16.4" hidden="false" customHeight="false" outlineLevel="0" collapsed="false">
      <c r="A1262" s="13" t="str">
        <f aca="false">""</f>
        <v/>
      </c>
      <c r="B1262" s="13" t="n">
        <f aca="false">160</f>
        <v>160</v>
      </c>
      <c r="C1262" s="13" t="n">
        <f aca="false">IF(Szenarien!$H$14="OK",(IFERROR(SUMIF(Nutzungsprofile!$B$6:$B$11,"Schulbetrieb",Nutzungsprofile!$G$6:$G$11)*Kalender!C164/SUM(Kalender!$C$5:$C$370),0)+IFERROR(SUMIF(Nutzungsprofile!$B$6:$B$11,"Halle",Nutzungsprofile!$G$6:$G$11)*Kalender!D164/SUM(Kalender!$D$5:$D$370),0)+IFERROR(SUMIF(Nutzungsprofile!$B$6:$B$11,"Individuell",Nutzungsprofile!$G$6:$G$11)*Kalender!E164/SUM(Kalender!$E$5:$E$370),0))*Szenarien!$E$14,0)</f>
        <v>2.94</v>
      </c>
      <c r="D1262" s="13" t="n">
        <f aca="false">IF(Szenarien!$H$14="OK",(IFERROR(SUMIF(Nutzungsprofile!$B$17:$B$22,"Schulbetrieb",Nutzungsprofile!$G$17:$G$22)*Kalender!C164/SUM(Kalender!$C$5:$C$370),0)+IFERROR(SUMIF(Nutzungsprofile!$B$17:$B$22,"Halle",Nutzungsprofile!$G$17:$G$22)*Kalender!D164/SUM(Kalender!$D$5:$D$370),0)+IFERROR(SUMIF(Nutzungsprofile!$B$17:$B$22,"Individuell",Nutzungsprofile!$G$17:$G$22)*Kalender!E164/SUM(Kalender!$E$5:$E$370),0))*Szenarien!$D$14,0)</f>
        <v>4.94</v>
      </c>
      <c r="E1262" s="13" t="n">
        <f aca="false">IFERROR(MIN(C1262,Eingaben!$B$17)*Eingaben!$B$16,0)</f>
        <v>2.793</v>
      </c>
      <c r="F1262" s="13" t="n">
        <f aca="false">IFERROR(E1262*Eingaben!$B$15,0)</f>
        <v>2.5137</v>
      </c>
      <c r="G1262" s="13" t="n">
        <f aca="false">IFERROR(IF(Kalender!A164="",0,J1261*(1-Eingaben!$B$20)),0)</f>
        <v>0.7390278</v>
      </c>
      <c r="H1262" s="13" t="n">
        <f aca="false">MIN(G1262,D1262)</f>
        <v>0.7390278</v>
      </c>
      <c r="I1262" s="13" t="n">
        <f aca="false">IFERROR(MIN(F1262*Eingaben!$B$19,MAX(0,D1262-H1262)),0)</f>
        <v>1.75959</v>
      </c>
      <c r="J1262" s="13" t="n">
        <f aca="false">IFERROR(MIN(Eingaben!$B$18,MAX(0,F1262-I1262)),0)</f>
        <v>0.75411</v>
      </c>
      <c r="K1262" s="13" t="n">
        <f aca="false">H1262+I1262</f>
        <v>2.4986178</v>
      </c>
      <c r="L1262" s="13" t="n">
        <f aca="false">MAX(0,D1262-K1262)</f>
        <v>2.4413822</v>
      </c>
      <c r="M1262" s="13" t="n">
        <f aca="false">MAX(0,F1262-I1262-J1262)</f>
        <v>0</v>
      </c>
      <c r="N1262" s="13" t="n">
        <f aca="false">IF(Kalender!A164="",0,J1261-H1262)</f>
        <v>0.0150822</v>
      </c>
    </row>
    <row r="1263" customFormat="false" ht="16.4" hidden="false" customHeight="false" outlineLevel="0" collapsed="false">
      <c r="A1263" s="13" t="str">
        <f aca="false">""</f>
        <v/>
      </c>
      <c r="B1263" s="13" t="n">
        <f aca="false">161</f>
        <v>161</v>
      </c>
      <c r="C1263" s="13" t="n">
        <f aca="false">IF(Szenarien!$H$14="OK",(IFERROR(SUMIF(Nutzungsprofile!$B$6:$B$11,"Schulbetrieb",Nutzungsprofile!$G$6:$G$11)*Kalender!C165/SUM(Kalender!$C$5:$C$370),0)+IFERROR(SUMIF(Nutzungsprofile!$B$6:$B$11,"Halle",Nutzungsprofile!$G$6:$G$11)*Kalender!D165/SUM(Kalender!$D$5:$D$370),0)+IFERROR(SUMIF(Nutzungsprofile!$B$6:$B$11,"Individuell",Nutzungsprofile!$G$6:$G$11)*Kalender!E165/SUM(Kalender!$E$5:$E$370),0))*Szenarien!$E$14,0)</f>
        <v>2.94</v>
      </c>
      <c r="D1263" s="13" t="n">
        <f aca="false">IF(Szenarien!$H$14="OK",(IFERROR(SUMIF(Nutzungsprofile!$B$17:$B$22,"Schulbetrieb",Nutzungsprofile!$G$17:$G$22)*Kalender!C165/SUM(Kalender!$C$5:$C$370),0)+IFERROR(SUMIF(Nutzungsprofile!$B$17:$B$22,"Halle",Nutzungsprofile!$G$17:$G$22)*Kalender!D165/SUM(Kalender!$D$5:$D$370),0)+IFERROR(SUMIF(Nutzungsprofile!$B$17:$B$22,"Individuell",Nutzungsprofile!$G$17:$G$22)*Kalender!E165/SUM(Kalender!$E$5:$E$370),0))*Szenarien!$D$14,0)</f>
        <v>4.94</v>
      </c>
      <c r="E1263" s="13" t="n">
        <f aca="false">IFERROR(MIN(C1263,Eingaben!$B$17)*Eingaben!$B$16,0)</f>
        <v>2.793</v>
      </c>
      <c r="F1263" s="13" t="n">
        <f aca="false">IFERROR(E1263*Eingaben!$B$15,0)</f>
        <v>2.5137</v>
      </c>
      <c r="G1263" s="13" t="n">
        <f aca="false">IFERROR(IF(Kalender!A165="",0,J1262*(1-Eingaben!$B$20)),0)</f>
        <v>0.7390278</v>
      </c>
      <c r="H1263" s="13" t="n">
        <f aca="false">MIN(G1263,D1263)</f>
        <v>0.7390278</v>
      </c>
      <c r="I1263" s="13" t="n">
        <f aca="false">IFERROR(MIN(F1263*Eingaben!$B$19,MAX(0,D1263-H1263)),0)</f>
        <v>1.75959</v>
      </c>
      <c r="J1263" s="13" t="n">
        <f aca="false">IFERROR(MIN(Eingaben!$B$18,MAX(0,F1263-I1263)),0)</f>
        <v>0.75411</v>
      </c>
      <c r="K1263" s="13" t="n">
        <f aca="false">H1263+I1263</f>
        <v>2.4986178</v>
      </c>
      <c r="L1263" s="13" t="n">
        <f aca="false">MAX(0,D1263-K1263)</f>
        <v>2.4413822</v>
      </c>
      <c r="M1263" s="13" t="n">
        <f aca="false">MAX(0,F1263-I1263-J1263)</f>
        <v>0</v>
      </c>
      <c r="N1263" s="13" t="n">
        <f aca="false">IF(Kalender!A165="",0,J1262-H1263)</f>
        <v>0.0150822</v>
      </c>
    </row>
    <row r="1264" customFormat="false" ht="16.4" hidden="false" customHeight="false" outlineLevel="0" collapsed="false">
      <c r="A1264" s="13" t="str">
        <f aca="false">""</f>
        <v/>
      </c>
      <c r="B1264" s="13" t="n">
        <f aca="false">162</f>
        <v>162</v>
      </c>
      <c r="C1264" s="13" t="n">
        <f aca="false">IF(Szenarien!$H$14="OK",(IFERROR(SUMIF(Nutzungsprofile!$B$6:$B$11,"Schulbetrieb",Nutzungsprofile!$G$6:$G$11)*Kalender!C166/SUM(Kalender!$C$5:$C$370),0)+IFERROR(SUMIF(Nutzungsprofile!$B$6:$B$11,"Halle",Nutzungsprofile!$G$6:$G$11)*Kalender!D166/SUM(Kalender!$D$5:$D$370),0)+IFERROR(SUMIF(Nutzungsprofile!$B$6:$B$11,"Individuell",Nutzungsprofile!$G$6:$G$11)*Kalender!E166/SUM(Kalender!$E$5:$E$370),0))*Szenarien!$E$14,0)</f>
        <v>2.94</v>
      </c>
      <c r="D1264" s="13" t="n">
        <f aca="false">IF(Szenarien!$H$14="OK",(IFERROR(SUMIF(Nutzungsprofile!$B$17:$B$22,"Schulbetrieb",Nutzungsprofile!$G$17:$G$22)*Kalender!C166/SUM(Kalender!$C$5:$C$370),0)+IFERROR(SUMIF(Nutzungsprofile!$B$17:$B$22,"Halle",Nutzungsprofile!$G$17:$G$22)*Kalender!D166/SUM(Kalender!$D$5:$D$370),0)+IFERROR(SUMIF(Nutzungsprofile!$B$17:$B$22,"Individuell",Nutzungsprofile!$G$17:$G$22)*Kalender!E166/SUM(Kalender!$E$5:$E$370),0))*Szenarien!$D$14,0)</f>
        <v>4.94</v>
      </c>
      <c r="E1264" s="13" t="n">
        <f aca="false">IFERROR(MIN(C1264,Eingaben!$B$17)*Eingaben!$B$16,0)</f>
        <v>2.793</v>
      </c>
      <c r="F1264" s="13" t="n">
        <f aca="false">IFERROR(E1264*Eingaben!$B$15,0)</f>
        <v>2.5137</v>
      </c>
      <c r="G1264" s="13" t="n">
        <f aca="false">IFERROR(IF(Kalender!A166="",0,J1263*(1-Eingaben!$B$20)),0)</f>
        <v>0.7390278</v>
      </c>
      <c r="H1264" s="13" t="n">
        <f aca="false">MIN(G1264,D1264)</f>
        <v>0.7390278</v>
      </c>
      <c r="I1264" s="13" t="n">
        <f aca="false">IFERROR(MIN(F1264*Eingaben!$B$19,MAX(0,D1264-H1264)),0)</f>
        <v>1.75959</v>
      </c>
      <c r="J1264" s="13" t="n">
        <f aca="false">IFERROR(MIN(Eingaben!$B$18,MAX(0,F1264-I1264)),0)</f>
        <v>0.75411</v>
      </c>
      <c r="K1264" s="13" t="n">
        <f aca="false">H1264+I1264</f>
        <v>2.4986178</v>
      </c>
      <c r="L1264" s="13" t="n">
        <f aca="false">MAX(0,D1264-K1264)</f>
        <v>2.4413822</v>
      </c>
      <c r="M1264" s="13" t="n">
        <f aca="false">MAX(0,F1264-I1264-J1264)</f>
        <v>0</v>
      </c>
      <c r="N1264" s="13" t="n">
        <f aca="false">IF(Kalender!A166="",0,J1263-H1264)</f>
        <v>0.0150822</v>
      </c>
    </row>
    <row r="1265" customFormat="false" ht="16.4" hidden="false" customHeight="false" outlineLevel="0" collapsed="false">
      <c r="A1265" s="13" t="str">
        <f aca="false">""</f>
        <v/>
      </c>
      <c r="B1265" s="13" t="n">
        <f aca="false">163</f>
        <v>163</v>
      </c>
      <c r="C1265" s="13" t="n">
        <f aca="false">IF(Szenarien!$H$14="OK",(IFERROR(SUMIF(Nutzungsprofile!$B$6:$B$11,"Schulbetrieb",Nutzungsprofile!$G$6:$G$11)*Kalender!C167/SUM(Kalender!$C$5:$C$370),0)+IFERROR(SUMIF(Nutzungsprofile!$B$6:$B$11,"Halle",Nutzungsprofile!$G$6:$G$11)*Kalender!D167/SUM(Kalender!$D$5:$D$370),0)+IFERROR(SUMIF(Nutzungsprofile!$B$6:$B$11,"Individuell",Nutzungsprofile!$G$6:$G$11)*Kalender!E167/SUM(Kalender!$E$5:$E$370),0))*Szenarien!$E$14,0)</f>
        <v>2.94</v>
      </c>
      <c r="D1265" s="13" t="n">
        <f aca="false">IF(Szenarien!$H$14="OK",(IFERROR(SUMIF(Nutzungsprofile!$B$17:$B$22,"Schulbetrieb",Nutzungsprofile!$G$17:$G$22)*Kalender!C167/SUM(Kalender!$C$5:$C$370),0)+IFERROR(SUMIF(Nutzungsprofile!$B$17:$B$22,"Halle",Nutzungsprofile!$G$17:$G$22)*Kalender!D167/SUM(Kalender!$D$5:$D$370),0)+IFERROR(SUMIF(Nutzungsprofile!$B$17:$B$22,"Individuell",Nutzungsprofile!$G$17:$G$22)*Kalender!E167/SUM(Kalender!$E$5:$E$370),0))*Szenarien!$D$14,0)</f>
        <v>4.94</v>
      </c>
      <c r="E1265" s="13" t="n">
        <f aca="false">IFERROR(MIN(C1265,Eingaben!$B$17)*Eingaben!$B$16,0)</f>
        <v>2.793</v>
      </c>
      <c r="F1265" s="13" t="n">
        <f aca="false">IFERROR(E1265*Eingaben!$B$15,0)</f>
        <v>2.5137</v>
      </c>
      <c r="G1265" s="13" t="n">
        <f aca="false">IFERROR(IF(Kalender!A167="",0,J1264*(1-Eingaben!$B$20)),0)</f>
        <v>0.7390278</v>
      </c>
      <c r="H1265" s="13" t="n">
        <f aca="false">MIN(G1265,D1265)</f>
        <v>0.7390278</v>
      </c>
      <c r="I1265" s="13" t="n">
        <f aca="false">IFERROR(MIN(F1265*Eingaben!$B$19,MAX(0,D1265-H1265)),0)</f>
        <v>1.75959</v>
      </c>
      <c r="J1265" s="13" t="n">
        <f aca="false">IFERROR(MIN(Eingaben!$B$18,MAX(0,F1265-I1265)),0)</f>
        <v>0.75411</v>
      </c>
      <c r="K1265" s="13" t="n">
        <f aca="false">H1265+I1265</f>
        <v>2.4986178</v>
      </c>
      <c r="L1265" s="13" t="n">
        <f aca="false">MAX(0,D1265-K1265)</f>
        <v>2.4413822</v>
      </c>
      <c r="M1265" s="13" t="n">
        <f aca="false">MAX(0,F1265-I1265-J1265)</f>
        <v>0</v>
      </c>
      <c r="N1265" s="13" t="n">
        <f aca="false">IF(Kalender!A167="",0,J1264-H1265)</f>
        <v>0.0150822</v>
      </c>
    </row>
    <row r="1266" customFormat="false" ht="16.4" hidden="false" customHeight="false" outlineLevel="0" collapsed="false">
      <c r="A1266" s="13" t="str">
        <f aca="false">""</f>
        <v/>
      </c>
      <c r="B1266" s="13" t="n">
        <f aca="false">164</f>
        <v>164</v>
      </c>
      <c r="C1266" s="13" t="n">
        <f aca="false">IF(Szenarien!$H$14="OK",(IFERROR(SUMIF(Nutzungsprofile!$B$6:$B$11,"Schulbetrieb",Nutzungsprofile!$G$6:$G$11)*Kalender!C168/SUM(Kalender!$C$5:$C$370),0)+IFERROR(SUMIF(Nutzungsprofile!$B$6:$B$11,"Halle",Nutzungsprofile!$G$6:$G$11)*Kalender!D168/SUM(Kalender!$D$5:$D$370),0)+IFERROR(SUMIF(Nutzungsprofile!$B$6:$B$11,"Individuell",Nutzungsprofile!$G$6:$G$11)*Kalender!E168/SUM(Kalender!$E$5:$E$370),0))*Szenarien!$E$14,0)</f>
        <v>2.04</v>
      </c>
      <c r="D1266" s="13" t="n">
        <f aca="false">IF(Szenarien!$H$14="OK",(IFERROR(SUMIF(Nutzungsprofile!$B$17:$B$22,"Schulbetrieb",Nutzungsprofile!$G$17:$G$22)*Kalender!C168/SUM(Kalender!$C$5:$C$370),0)+IFERROR(SUMIF(Nutzungsprofile!$B$17:$B$22,"Halle",Nutzungsprofile!$G$17:$G$22)*Kalender!D168/SUM(Kalender!$D$5:$D$370),0)+IFERROR(SUMIF(Nutzungsprofile!$B$17:$B$22,"Individuell",Nutzungsprofile!$G$17:$G$22)*Kalender!E168/SUM(Kalender!$E$5:$E$370),0))*Szenarien!$D$14,0)</f>
        <v>0.89</v>
      </c>
      <c r="E1266" s="13" t="n">
        <f aca="false">IFERROR(MIN(C1266,Eingaben!$B$17)*Eingaben!$B$16,0)</f>
        <v>1.938</v>
      </c>
      <c r="F1266" s="13" t="n">
        <f aca="false">IFERROR(E1266*Eingaben!$B$15,0)</f>
        <v>1.7442</v>
      </c>
      <c r="G1266" s="13" t="n">
        <f aca="false">IFERROR(IF(Kalender!A168="",0,J1265*(1-Eingaben!$B$20)),0)</f>
        <v>0.7390278</v>
      </c>
      <c r="H1266" s="13" t="n">
        <f aca="false">MIN(G1266,D1266)</f>
        <v>0.7390278</v>
      </c>
      <c r="I1266" s="13" t="n">
        <f aca="false">IFERROR(MIN(F1266*Eingaben!$B$19,MAX(0,D1266-H1266)),0)</f>
        <v>0.1509722</v>
      </c>
      <c r="J1266" s="13" t="n">
        <f aca="false">IFERROR(MIN(Eingaben!$B$18,MAX(0,F1266-I1266)),0)</f>
        <v>1.5932278</v>
      </c>
      <c r="K1266" s="13" t="n">
        <f aca="false">H1266+I1266</f>
        <v>0.89</v>
      </c>
      <c r="L1266" s="13" t="n">
        <f aca="false">MAX(0,D1266-K1266)</f>
        <v>0</v>
      </c>
      <c r="M1266" s="13" t="n">
        <f aca="false">MAX(0,F1266-I1266-J1266)</f>
        <v>0</v>
      </c>
      <c r="N1266" s="13" t="n">
        <f aca="false">IF(Kalender!A168="",0,J1265-H1266)</f>
        <v>0.0150822</v>
      </c>
    </row>
    <row r="1267" customFormat="false" ht="16.4" hidden="false" customHeight="false" outlineLevel="0" collapsed="false">
      <c r="A1267" s="13" t="str">
        <f aca="false">""</f>
        <v/>
      </c>
      <c r="B1267" s="13" t="n">
        <f aca="false">165</f>
        <v>165</v>
      </c>
      <c r="C1267" s="13" t="n">
        <f aca="false">IF(Szenarien!$H$14="OK",(IFERROR(SUMIF(Nutzungsprofile!$B$6:$B$11,"Schulbetrieb",Nutzungsprofile!$G$6:$G$11)*Kalender!C169/SUM(Kalender!$C$5:$C$370),0)+IFERROR(SUMIF(Nutzungsprofile!$B$6:$B$11,"Halle",Nutzungsprofile!$G$6:$G$11)*Kalender!D169/SUM(Kalender!$D$5:$D$370),0)+IFERROR(SUMIF(Nutzungsprofile!$B$6:$B$11,"Individuell",Nutzungsprofile!$G$6:$G$11)*Kalender!E169/SUM(Kalender!$E$5:$E$370),0))*Szenarien!$E$14,0)</f>
        <v>2.04</v>
      </c>
      <c r="D1267" s="13" t="n">
        <f aca="false">IF(Szenarien!$H$14="OK",(IFERROR(SUMIF(Nutzungsprofile!$B$17:$B$22,"Schulbetrieb",Nutzungsprofile!$G$17:$G$22)*Kalender!C169/SUM(Kalender!$C$5:$C$370),0)+IFERROR(SUMIF(Nutzungsprofile!$B$17:$B$22,"Halle",Nutzungsprofile!$G$17:$G$22)*Kalender!D169/SUM(Kalender!$D$5:$D$370),0)+IFERROR(SUMIF(Nutzungsprofile!$B$17:$B$22,"Individuell",Nutzungsprofile!$G$17:$G$22)*Kalender!E169/SUM(Kalender!$E$5:$E$370),0))*Szenarien!$D$14,0)</f>
        <v>0.89</v>
      </c>
      <c r="E1267" s="13" t="n">
        <f aca="false">IFERROR(MIN(C1267,Eingaben!$B$17)*Eingaben!$B$16,0)</f>
        <v>1.938</v>
      </c>
      <c r="F1267" s="13" t="n">
        <f aca="false">IFERROR(E1267*Eingaben!$B$15,0)</f>
        <v>1.7442</v>
      </c>
      <c r="G1267" s="13" t="n">
        <f aca="false">IFERROR(IF(Kalender!A169="",0,J1266*(1-Eingaben!$B$20)),0)</f>
        <v>1.561363244</v>
      </c>
      <c r="H1267" s="13" t="n">
        <f aca="false">MIN(G1267,D1267)</f>
        <v>0.89</v>
      </c>
      <c r="I1267" s="13" t="n">
        <f aca="false">IFERROR(MIN(F1267*Eingaben!$B$19,MAX(0,D1267-H1267)),0)</f>
        <v>0</v>
      </c>
      <c r="J1267" s="13" t="n">
        <f aca="false">IFERROR(MIN(Eingaben!$B$18,MAX(0,F1267-I1267)),0)</f>
        <v>1.7442</v>
      </c>
      <c r="K1267" s="13" t="n">
        <f aca="false">H1267+I1267</f>
        <v>0.89</v>
      </c>
      <c r="L1267" s="13" t="n">
        <f aca="false">MAX(0,D1267-K1267)</f>
        <v>0</v>
      </c>
      <c r="M1267" s="13" t="n">
        <f aca="false">MAX(0,F1267-I1267-J1267)</f>
        <v>0</v>
      </c>
      <c r="N1267" s="13" t="n">
        <f aca="false">IF(Kalender!A169="",0,J1266-H1267)</f>
        <v>0.7032278</v>
      </c>
    </row>
    <row r="1268" customFormat="false" ht="16.4" hidden="false" customHeight="false" outlineLevel="0" collapsed="false">
      <c r="A1268" s="13" t="str">
        <f aca="false">""</f>
        <v/>
      </c>
      <c r="B1268" s="13" t="n">
        <f aca="false">166</f>
        <v>166</v>
      </c>
      <c r="C1268" s="13" t="n">
        <f aca="false">IF(Szenarien!$H$14="OK",(IFERROR(SUMIF(Nutzungsprofile!$B$6:$B$11,"Schulbetrieb",Nutzungsprofile!$G$6:$G$11)*Kalender!C170/SUM(Kalender!$C$5:$C$370),0)+IFERROR(SUMIF(Nutzungsprofile!$B$6:$B$11,"Halle",Nutzungsprofile!$G$6:$G$11)*Kalender!D170/SUM(Kalender!$D$5:$D$370),0)+IFERROR(SUMIF(Nutzungsprofile!$B$6:$B$11,"Individuell",Nutzungsprofile!$G$6:$G$11)*Kalender!E170/SUM(Kalender!$E$5:$E$370),0))*Szenarien!$E$14,0)</f>
        <v>2.94</v>
      </c>
      <c r="D1268" s="13" t="n">
        <f aca="false">IF(Szenarien!$H$14="OK",(IFERROR(SUMIF(Nutzungsprofile!$B$17:$B$22,"Schulbetrieb",Nutzungsprofile!$G$17:$G$22)*Kalender!C170/SUM(Kalender!$C$5:$C$370),0)+IFERROR(SUMIF(Nutzungsprofile!$B$17:$B$22,"Halle",Nutzungsprofile!$G$17:$G$22)*Kalender!D170/SUM(Kalender!$D$5:$D$370),0)+IFERROR(SUMIF(Nutzungsprofile!$B$17:$B$22,"Individuell",Nutzungsprofile!$G$17:$G$22)*Kalender!E170/SUM(Kalender!$E$5:$E$370),0))*Szenarien!$D$14,0)</f>
        <v>4.94</v>
      </c>
      <c r="E1268" s="13" t="n">
        <f aca="false">IFERROR(MIN(C1268,Eingaben!$B$17)*Eingaben!$B$16,0)</f>
        <v>2.793</v>
      </c>
      <c r="F1268" s="13" t="n">
        <f aca="false">IFERROR(E1268*Eingaben!$B$15,0)</f>
        <v>2.5137</v>
      </c>
      <c r="G1268" s="13" t="n">
        <f aca="false">IFERROR(IF(Kalender!A170="",0,J1267*(1-Eingaben!$B$20)),0)</f>
        <v>1.709316</v>
      </c>
      <c r="H1268" s="13" t="n">
        <f aca="false">MIN(G1268,D1268)</f>
        <v>1.709316</v>
      </c>
      <c r="I1268" s="13" t="n">
        <f aca="false">IFERROR(MIN(F1268*Eingaben!$B$19,MAX(0,D1268-H1268)),0)</f>
        <v>1.75959</v>
      </c>
      <c r="J1268" s="13" t="n">
        <f aca="false">IFERROR(MIN(Eingaben!$B$18,MAX(0,F1268-I1268)),0)</f>
        <v>0.75411</v>
      </c>
      <c r="K1268" s="13" t="n">
        <f aca="false">H1268+I1268</f>
        <v>3.468906</v>
      </c>
      <c r="L1268" s="13" t="n">
        <f aca="false">MAX(0,D1268-K1268)</f>
        <v>1.471094</v>
      </c>
      <c r="M1268" s="13" t="n">
        <f aca="false">MAX(0,F1268-I1268-J1268)</f>
        <v>0</v>
      </c>
      <c r="N1268" s="13" t="n">
        <f aca="false">IF(Kalender!A170="",0,J1267-H1268)</f>
        <v>0.0348840000000001</v>
      </c>
    </row>
    <row r="1269" customFormat="false" ht="16.4" hidden="false" customHeight="false" outlineLevel="0" collapsed="false">
      <c r="A1269" s="13" t="str">
        <f aca="false">""</f>
        <v/>
      </c>
      <c r="B1269" s="13" t="n">
        <f aca="false">167</f>
        <v>167</v>
      </c>
      <c r="C1269" s="13" t="n">
        <f aca="false">IF(Szenarien!$H$14="OK",(IFERROR(SUMIF(Nutzungsprofile!$B$6:$B$11,"Schulbetrieb",Nutzungsprofile!$G$6:$G$11)*Kalender!C171/SUM(Kalender!$C$5:$C$370),0)+IFERROR(SUMIF(Nutzungsprofile!$B$6:$B$11,"Halle",Nutzungsprofile!$G$6:$G$11)*Kalender!D171/SUM(Kalender!$D$5:$D$370),0)+IFERROR(SUMIF(Nutzungsprofile!$B$6:$B$11,"Individuell",Nutzungsprofile!$G$6:$G$11)*Kalender!E171/SUM(Kalender!$E$5:$E$370),0))*Szenarien!$E$14,0)</f>
        <v>2.94</v>
      </c>
      <c r="D1269" s="13" t="n">
        <f aca="false">IF(Szenarien!$H$14="OK",(IFERROR(SUMIF(Nutzungsprofile!$B$17:$B$22,"Schulbetrieb",Nutzungsprofile!$G$17:$G$22)*Kalender!C171/SUM(Kalender!$C$5:$C$370),0)+IFERROR(SUMIF(Nutzungsprofile!$B$17:$B$22,"Halle",Nutzungsprofile!$G$17:$G$22)*Kalender!D171/SUM(Kalender!$D$5:$D$370),0)+IFERROR(SUMIF(Nutzungsprofile!$B$17:$B$22,"Individuell",Nutzungsprofile!$G$17:$G$22)*Kalender!E171/SUM(Kalender!$E$5:$E$370),0))*Szenarien!$D$14,0)</f>
        <v>4.94</v>
      </c>
      <c r="E1269" s="13" t="n">
        <f aca="false">IFERROR(MIN(C1269,Eingaben!$B$17)*Eingaben!$B$16,0)</f>
        <v>2.793</v>
      </c>
      <c r="F1269" s="13" t="n">
        <f aca="false">IFERROR(E1269*Eingaben!$B$15,0)</f>
        <v>2.5137</v>
      </c>
      <c r="G1269" s="13" t="n">
        <f aca="false">IFERROR(IF(Kalender!A171="",0,J1268*(1-Eingaben!$B$20)),0)</f>
        <v>0.7390278</v>
      </c>
      <c r="H1269" s="13" t="n">
        <f aca="false">MIN(G1269,D1269)</f>
        <v>0.7390278</v>
      </c>
      <c r="I1269" s="13" t="n">
        <f aca="false">IFERROR(MIN(F1269*Eingaben!$B$19,MAX(0,D1269-H1269)),0)</f>
        <v>1.75959</v>
      </c>
      <c r="J1269" s="13" t="n">
        <f aca="false">IFERROR(MIN(Eingaben!$B$18,MAX(0,F1269-I1269)),0)</f>
        <v>0.75411</v>
      </c>
      <c r="K1269" s="13" t="n">
        <f aca="false">H1269+I1269</f>
        <v>2.4986178</v>
      </c>
      <c r="L1269" s="13" t="n">
        <f aca="false">MAX(0,D1269-K1269)</f>
        <v>2.4413822</v>
      </c>
      <c r="M1269" s="13" t="n">
        <f aca="false">MAX(0,F1269-I1269-J1269)</f>
        <v>0</v>
      </c>
      <c r="N1269" s="13" t="n">
        <f aca="false">IF(Kalender!A171="",0,J1268-H1269)</f>
        <v>0.0150822</v>
      </c>
    </row>
    <row r="1270" customFormat="false" ht="16.4" hidden="false" customHeight="false" outlineLevel="0" collapsed="false">
      <c r="A1270" s="13" t="str">
        <f aca="false">""</f>
        <v/>
      </c>
      <c r="B1270" s="13" t="n">
        <f aca="false">168</f>
        <v>168</v>
      </c>
      <c r="C1270" s="13" t="n">
        <f aca="false">IF(Szenarien!$H$14="OK",(IFERROR(SUMIF(Nutzungsprofile!$B$6:$B$11,"Schulbetrieb",Nutzungsprofile!$G$6:$G$11)*Kalender!C172/SUM(Kalender!$C$5:$C$370),0)+IFERROR(SUMIF(Nutzungsprofile!$B$6:$B$11,"Halle",Nutzungsprofile!$G$6:$G$11)*Kalender!D172/SUM(Kalender!$D$5:$D$370),0)+IFERROR(SUMIF(Nutzungsprofile!$B$6:$B$11,"Individuell",Nutzungsprofile!$G$6:$G$11)*Kalender!E172/SUM(Kalender!$E$5:$E$370),0))*Szenarien!$E$14,0)</f>
        <v>2.94</v>
      </c>
      <c r="D1270" s="13" t="n">
        <f aca="false">IF(Szenarien!$H$14="OK",(IFERROR(SUMIF(Nutzungsprofile!$B$17:$B$22,"Schulbetrieb",Nutzungsprofile!$G$17:$G$22)*Kalender!C172/SUM(Kalender!$C$5:$C$370),0)+IFERROR(SUMIF(Nutzungsprofile!$B$17:$B$22,"Halle",Nutzungsprofile!$G$17:$G$22)*Kalender!D172/SUM(Kalender!$D$5:$D$370),0)+IFERROR(SUMIF(Nutzungsprofile!$B$17:$B$22,"Individuell",Nutzungsprofile!$G$17:$G$22)*Kalender!E172/SUM(Kalender!$E$5:$E$370),0))*Szenarien!$D$14,0)</f>
        <v>4.94</v>
      </c>
      <c r="E1270" s="13" t="n">
        <f aca="false">IFERROR(MIN(C1270,Eingaben!$B$17)*Eingaben!$B$16,0)</f>
        <v>2.793</v>
      </c>
      <c r="F1270" s="13" t="n">
        <f aca="false">IFERROR(E1270*Eingaben!$B$15,0)</f>
        <v>2.5137</v>
      </c>
      <c r="G1270" s="13" t="n">
        <f aca="false">IFERROR(IF(Kalender!A172="",0,J1269*(1-Eingaben!$B$20)),0)</f>
        <v>0.7390278</v>
      </c>
      <c r="H1270" s="13" t="n">
        <f aca="false">MIN(G1270,D1270)</f>
        <v>0.7390278</v>
      </c>
      <c r="I1270" s="13" t="n">
        <f aca="false">IFERROR(MIN(F1270*Eingaben!$B$19,MAX(0,D1270-H1270)),0)</f>
        <v>1.75959</v>
      </c>
      <c r="J1270" s="13" t="n">
        <f aca="false">IFERROR(MIN(Eingaben!$B$18,MAX(0,F1270-I1270)),0)</f>
        <v>0.75411</v>
      </c>
      <c r="K1270" s="13" t="n">
        <f aca="false">H1270+I1270</f>
        <v>2.4986178</v>
      </c>
      <c r="L1270" s="13" t="n">
        <f aca="false">MAX(0,D1270-K1270)</f>
        <v>2.4413822</v>
      </c>
      <c r="M1270" s="13" t="n">
        <f aca="false">MAX(0,F1270-I1270-J1270)</f>
        <v>0</v>
      </c>
      <c r="N1270" s="13" t="n">
        <f aca="false">IF(Kalender!A172="",0,J1269-H1270)</f>
        <v>0.0150822</v>
      </c>
    </row>
    <row r="1271" customFormat="false" ht="16.4" hidden="false" customHeight="false" outlineLevel="0" collapsed="false">
      <c r="A1271" s="13" t="str">
        <f aca="false">""</f>
        <v/>
      </c>
      <c r="B1271" s="13" t="n">
        <f aca="false">169</f>
        <v>169</v>
      </c>
      <c r="C1271" s="13" t="n">
        <f aca="false">IF(Szenarien!$H$14="OK",(IFERROR(SUMIF(Nutzungsprofile!$B$6:$B$11,"Schulbetrieb",Nutzungsprofile!$G$6:$G$11)*Kalender!C173/SUM(Kalender!$C$5:$C$370),0)+IFERROR(SUMIF(Nutzungsprofile!$B$6:$B$11,"Halle",Nutzungsprofile!$G$6:$G$11)*Kalender!D173/SUM(Kalender!$D$5:$D$370),0)+IFERROR(SUMIF(Nutzungsprofile!$B$6:$B$11,"Individuell",Nutzungsprofile!$G$6:$G$11)*Kalender!E173/SUM(Kalender!$E$5:$E$370),0))*Szenarien!$E$14,0)</f>
        <v>2.94</v>
      </c>
      <c r="D1271" s="13" t="n">
        <f aca="false">IF(Szenarien!$H$14="OK",(IFERROR(SUMIF(Nutzungsprofile!$B$17:$B$22,"Schulbetrieb",Nutzungsprofile!$G$17:$G$22)*Kalender!C173/SUM(Kalender!$C$5:$C$370),0)+IFERROR(SUMIF(Nutzungsprofile!$B$17:$B$22,"Halle",Nutzungsprofile!$G$17:$G$22)*Kalender!D173/SUM(Kalender!$D$5:$D$370),0)+IFERROR(SUMIF(Nutzungsprofile!$B$17:$B$22,"Individuell",Nutzungsprofile!$G$17:$G$22)*Kalender!E173/SUM(Kalender!$E$5:$E$370),0))*Szenarien!$D$14,0)</f>
        <v>4.94</v>
      </c>
      <c r="E1271" s="13" t="n">
        <f aca="false">IFERROR(MIN(C1271,Eingaben!$B$17)*Eingaben!$B$16,0)</f>
        <v>2.793</v>
      </c>
      <c r="F1271" s="13" t="n">
        <f aca="false">IFERROR(E1271*Eingaben!$B$15,0)</f>
        <v>2.5137</v>
      </c>
      <c r="G1271" s="13" t="n">
        <f aca="false">IFERROR(IF(Kalender!A173="",0,J1270*(1-Eingaben!$B$20)),0)</f>
        <v>0.7390278</v>
      </c>
      <c r="H1271" s="13" t="n">
        <f aca="false">MIN(G1271,D1271)</f>
        <v>0.7390278</v>
      </c>
      <c r="I1271" s="13" t="n">
        <f aca="false">IFERROR(MIN(F1271*Eingaben!$B$19,MAX(0,D1271-H1271)),0)</f>
        <v>1.75959</v>
      </c>
      <c r="J1271" s="13" t="n">
        <f aca="false">IFERROR(MIN(Eingaben!$B$18,MAX(0,F1271-I1271)),0)</f>
        <v>0.75411</v>
      </c>
      <c r="K1271" s="13" t="n">
        <f aca="false">H1271+I1271</f>
        <v>2.4986178</v>
      </c>
      <c r="L1271" s="13" t="n">
        <f aca="false">MAX(0,D1271-K1271)</f>
        <v>2.4413822</v>
      </c>
      <c r="M1271" s="13" t="n">
        <f aca="false">MAX(0,F1271-I1271-J1271)</f>
        <v>0</v>
      </c>
      <c r="N1271" s="13" t="n">
        <f aca="false">IF(Kalender!A173="",0,J1270-H1271)</f>
        <v>0.0150822</v>
      </c>
    </row>
    <row r="1272" customFormat="false" ht="16.4" hidden="false" customHeight="false" outlineLevel="0" collapsed="false">
      <c r="A1272" s="13" t="str">
        <f aca="false">""</f>
        <v/>
      </c>
      <c r="B1272" s="13" t="n">
        <f aca="false">170</f>
        <v>170</v>
      </c>
      <c r="C1272" s="13" t="n">
        <f aca="false">IF(Szenarien!$H$14="OK",(IFERROR(SUMIF(Nutzungsprofile!$B$6:$B$11,"Schulbetrieb",Nutzungsprofile!$G$6:$G$11)*Kalender!C174/SUM(Kalender!$C$5:$C$370),0)+IFERROR(SUMIF(Nutzungsprofile!$B$6:$B$11,"Halle",Nutzungsprofile!$G$6:$G$11)*Kalender!D174/SUM(Kalender!$D$5:$D$370),0)+IFERROR(SUMIF(Nutzungsprofile!$B$6:$B$11,"Individuell",Nutzungsprofile!$G$6:$G$11)*Kalender!E174/SUM(Kalender!$E$5:$E$370),0))*Szenarien!$E$14,0)</f>
        <v>2.94</v>
      </c>
      <c r="D1272" s="13" t="n">
        <f aca="false">IF(Szenarien!$H$14="OK",(IFERROR(SUMIF(Nutzungsprofile!$B$17:$B$22,"Schulbetrieb",Nutzungsprofile!$G$17:$G$22)*Kalender!C174/SUM(Kalender!$C$5:$C$370),0)+IFERROR(SUMIF(Nutzungsprofile!$B$17:$B$22,"Halle",Nutzungsprofile!$G$17:$G$22)*Kalender!D174/SUM(Kalender!$D$5:$D$370),0)+IFERROR(SUMIF(Nutzungsprofile!$B$17:$B$22,"Individuell",Nutzungsprofile!$G$17:$G$22)*Kalender!E174/SUM(Kalender!$E$5:$E$370),0))*Szenarien!$D$14,0)</f>
        <v>4.94</v>
      </c>
      <c r="E1272" s="13" t="n">
        <f aca="false">IFERROR(MIN(C1272,Eingaben!$B$17)*Eingaben!$B$16,0)</f>
        <v>2.793</v>
      </c>
      <c r="F1272" s="13" t="n">
        <f aca="false">IFERROR(E1272*Eingaben!$B$15,0)</f>
        <v>2.5137</v>
      </c>
      <c r="G1272" s="13" t="n">
        <f aca="false">IFERROR(IF(Kalender!A174="",0,J1271*(1-Eingaben!$B$20)),0)</f>
        <v>0.7390278</v>
      </c>
      <c r="H1272" s="13" t="n">
        <f aca="false">MIN(G1272,D1272)</f>
        <v>0.7390278</v>
      </c>
      <c r="I1272" s="13" t="n">
        <f aca="false">IFERROR(MIN(F1272*Eingaben!$B$19,MAX(0,D1272-H1272)),0)</f>
        <v>1.75959</v>
      </c>
      <c r="J1272" s="13" t="n">
        <f aca="false">IFERROR(MIN(Eingaben!$B$18,MAX(0,F1272-I1272)),0)</f>
        <v>0.75411</v>
      </c>
      <c r="K1272" s="13" t="n">
        <f aca="false">H1272+I1272</f>
        <v>2.4986178</v>
      </c>
      <c r="L1272" s="13" t="n">
        <f aca="false">MAX(0,D1272-K1272)</f>
        <v>2.4413822</v>
      </c>
      <c r="M1272" s="13" t="n">
        <f aca="false">MAX(0,F1272-I1272-J1272)</f>
        <v>0</v>
      </c>
      <c r="N1272" s="13" t="n">
        <f aca="false">IF(Kalender!A174="",0,J1271-H1272)</f>
        <v>0.0150822</v>
      </c>
    </row>
    <row r="1273" customFormat="false" ht="16.4" hidden="false" customHeight="false" outlineLevel="0" collapsed="false">
      <c r="A1273" s="13" t="str">
        <f aca="false">""</f>
        <v/>
      </c>
      <c r="B1273" s="13" t="n">
        <f aca="false">171</f>
        <v>171</v>
      </c>
      <c r="C1273" s="13" t="n">
        <f aca="false">IF(Szenarien!$H$14="OK",(IFERROR(SUMIF(Nutzungsprofile!$B$6:$B$11,"Schulbetrieb",Nutzungsprofile!$G$6:$G$11)*Kalender!C175/SUM(Kalender!$C$5:$C$370),0)+IFERROR(SUMIF(Nutzungsprofile!$B$6:$B$11,"Halle",Nutzungsprofile!$G$6:$G$11)*Kalender!D175/SUM(Kalender!$D$5:$D$370),0)+IFERROR(SUMIF(Nutzungsprofile!$B$6:$B$11,"Individuell",Nutzungsprofile!$G$6:$G$11)*Kalender!E175/SUM(Kalender!$E$5:$E$370),0))*Szenarien!$E$14,0)</f>
        <v>2.04</v>
      </c>
      <c r="D1273" s="13" t="n">
        <f aca="false">IF(Szenarien!$H$14="OK",(IFERROR(SUMIF(Nutzungsprofile!$B$17:$B$22,"Schulbetrieb",Nutzungsprofile!$G$17:$G$22)*Kalender!C175/SUM(Kalender!$C$5:$C$370),0)+IFERROR(SUMIF(Nutzungsprofile!$B$17:$B$22,"Halle",Nutzungsprofile!$G$17:$G$22)*Kalender!D175/SUM(Kalender!$D$5:$D$370),0)+IFERROR(SUMIF(Nutzungsprofile!$B$17:$B$22,"Individuell",Nutzungsprofile!$G$17:$G$22)*Kalender!E175/SUM(Kalender!$E$5:$E$370),0))*Szenarien!$D$14,0)</f>
        <v>0.89</v>
      </c>
      <c r="E1273" s="13" t="n">
        <f aca="false">IFERROR(MIN(C1273,Eingaben!$B$17)*Eingaben!$B$16,0)</f>
        <v>1.938</v>
      </c>
      <c r="F1273" s="13" t="n">
        <f aca="false">IFERROR(E1273*Eingaben!$B$15,0)</f>
        <v>1.7442</v>
      </c>
      <c r="G1273" s="13" t="n">
        <f aca="false">IFERROR(IF(Kalender!A175="",0,J1272*(1-Eingaben!$B$20)),0)</f>
        <v>0.7390278</v>
      </c>
      <c r="H1273" s="13" t="n">
        <f aca="false">MIN(G1273,D1273)</f>
        <v>0.7390278</v>
      </c>
      <c r="I1273" s="13" t="n">
        <f aca="false">IFERROR(MIN(F1273*Eingaben!$B$19,MAX(0,D1273-H1273)),0)</f>
        <v>0.1509722</v>
      </c>
      <c r="J1273" s="13" t="n">
        <f aca="false">IFERROR(MIN(Eingaben!$B$18,MAX(0,F1273-I1273)),0)</f>
        <v>1.5932278</v>
      </c>
      <c r="K1273" s="13" t="n">
        <f aca="false">H1273+I1273</f>
        <v>0.89</v>
      </c>
      <c r="L1273" s="13" t="n">
        <f aca="false">MAX(0,D1273-K1273)</f>
        <v>0</v>
      </c>
      <c r="M1273" s="13" t="n">
        <f aca="false">MAX(0,F1273-I1273-J1273)</f>
        <v>0</v>
      </c>
      <c r="N1273" s="13" t="n">
        <f aca="false">IF(Kalender!A175="",0,J1272-H1273)</f>
        <v>0.0150822</v>
      </c>
    </row>
    <row r="1274" customFormat="false" ht="16.4" hidden="false" customHeight="false" outlineLevel="0" collapsed="false">
      <c r="A1274" s="13" t="str">
        <f aca="false">""</f>
        <v/>
      </c>
      <c r="B1274" s="13" t="n">
        <f aca="false">172</f>
        <v>172</v>
      </c>
      <c r="C1274" s="13" t="n">
        <f aca="false">IF(Szenarien!$H$14="OK",(IFERROR(SUMIF(Nutzungsprofile!$B$6:$B$11,"Schulbetrieb",Nutzungsprofile!$G$6:$G$11)*Kalender!C176/SUM(Kalender!$C$5:$C$370),0)+IFERROR(SUMIF(Nutzungsprofile!$B$6:$B$11,"Halle",Nutzungsprofile!$G$6:$G$11)*Kalender!D176/SUM(Kalender!$D$5:$D$370),0)+IFERROR(SUMIF(Nutzungsprofile!$B$6:$B$11,"Individuell",Nutzungsprofile!$G$6:$G$11)*Kalender!E176/SUM(Kalender!$E$5:$E$370),0))*Szenarien!$E$14,0)</f>
        <v>2.04</v>
      </c>
      <c r="D1274" s="13" t="n">
        <f aca="false">IF(Szenarien!$H$14="OK",(IFERROR(SUMIF(Nutzungsprofile!$B$17:$B$22,"Schulbetrieb",Nutzungsprofile!$G$17:$G$22)*Kalender!C176/SUM(Kalender!$C$5:$C$370),0)+IFERROR(SUMIF(Nutzungsprofile!$B$17:$B$22,"Halle",Nutzungsprofile!$G$17:$G$22)*Kalender!D176/SUM(Kalender!$D$5:$D$370),0)+IFERROR(SUMIF(Nutzungsprofile!$B$17:$B$22,"Individuell",Nutzungsprofile!$G$17:$G$22)*Kalender!E176/SUM(Kalender!$E$5:$E$370),0))*Szenarien!$D$14,0)</f>
        <v>0.89</v>
      </c>
      <c r="E1274" s="13" t="n">
        <f aca="false">IFERROR(MIN(C1274,Eingaben!$B$17)*Eingaben!$B$16,0)</f>
        <v>1.938</v>
      </c>
      <c r="F1274" s="13" t="n">
        <f aca="false">IFERROR(E1274*Eingaben!$B$15,0)</f>
        <v>1.7442</v>
      </c>
      <c r="G1274" s="13" t="n">
        <f aca="false">IFERROR(IF(Kalender!A176="",0,J1273*(1-Eingaben!$B$20)),0)</f>
        <v>1.561363244</v>
      </c>
      <c r="H1274" s="13" t="n">
        <f aca="false">MIN(G1274,D1274)</f>
        <v>0.89</v>
      </c>
      <c r="I1274" s="13" t="n">
        <f aca="false">IFERROR(MIN(F1274*Eingaben!$B$19,MAX(0,D1274-H1274)),0)</f>
        <v>0</v>
      </c>
      <c r="J1274" s="13" t="n">
        <f aca="false">IFERROR(MIN(Eingaben!$B$18,MAX(0,F1274-I1274)),0)</f>
        <v>1.7442</v>
      </c>
      <c r="K1274" s="13" t="n">
        <f aca="false">H1274+I1274</f>
        <v>0.89</v>
      </c>
      <c r="L1274" s="13" t="n">
        <f aca="false">MAX(0,D1274-K1274)</f>
        <v>0</v>
      </c>
      <c r="M1274" s="13" t="n">
        <f aca="false">MAX(0,F1274-I1274-J1274)</f>
        <v>0</v>
      </c>
      <c r="N1274" s="13" t="n">
        <f aca="false">IF(Kalender!A176="",0,J1273-H1274)</f>
        <v>0.7032278</v>
      </c>
    </row>
    <row r="1275" customFormat="false" ht="16.4" hidden="false" customHeight="false" outlineLevel="0" collapsed="false">
      <c r="A1275" s="13" t="str">
        <f aca="false">""</f>
        <v/>
      </c>
      <c r="B1275" s="13" t="n">
        <f aca="false">173</f>
        <v>173</v>
      </c>
      <c r="C1275" s="13" t="n">
        <f aca="false">IF(Szenarien!$H$14="OK",(IFERROR(SUMIF(Nutzungsprofile!$B$6:$B$11,"Schulbetrieb",Nutzungsprofile!$G$6:$G$11)*Kalender!C177/SUM(Kalender!$C$5:$C$370),0)+IFERROR(SUMIF(Nutzungsprofile!$B$6:$B$11,"Halle",Nutzungsprofile!$G$6:$G$11)*Kalender!D177/SUM(Kalender!$D$5:$D$370),0)+IFERROR(SUMIF(Nutzungsprofile!$B$6:$B$11,"Individuell",Nutzungsprofile!$G$6:$G$11)*Kalender!E177/SUM(Kalender!$E$5:$E$370),0))*Szenarien!$E$14,0)</f>
        <v>2.94</v>
      </c>
      <c r="D1275" s="13" t="n">
        <f aca="false">IF(Szenarien!$H$14="OK",(IFERROR(SUMIF(Nutzungsprofile!$B$17:$B$22,"Schulbetrieb",Nutzungsprofile!$G$17:$G$22)*Kalender!C177/SUM(Kalender!$C$5:$C$370),0)+IFERROR(SUMIF(Nutzungsprofile!$B$17:$B$22,"Halle",Nutzungsprofile!$G$17:$G$22)*Kalender!D177/SUM(Kalender!$D$5:$D$370),0)+IFERROR(SUMIF(Nutzungsprofile!$B$17:$B$22,"Individuell",Nutzungsprofile!$G$17:$G$22)*Kalender!E177/SUM(Kalender!$E$5:$E$370),0))*Szenarien!$D$14,0)</f>
        <v>4.94</v>
      </c>
      <c r="E1275" s="13" t="n">
        <f aca="false">IFERROR(MIN(C1275,Eingaben!$B$17)*Eingaben!$B$16,0)</f>
        <v>2.793</v>
      </c>
      <c r="F1275" s="13" t="n">
        <f aca="false">IFERROR(E1275*Eingaben!$B$15,0)</f>
        <v>2.5137</v>
      </c>
      <c r="G1275" s="13" t="n">
        <f aca="false">IFERROR(IF(Kalender!A177="",0,J1274*(1-Eingaben!$B$20)),0)</f>
        <v>1.709316</v>
      </c>
      <c r="H1275" s="13" t="n">
        <f aca="false">MIN(G1275,D1275)</f>
        <v>1.709316</v>
      </c>
      <c r="I1275" s="13" t="n">
        <f aca="false">IFERROR(MIN(F1275*Eingaben!$B$19,MAX(0,D1275-H1275)),0)</f>
        <v>1.75959</v>
      </c>
      <c r="J1275" s="13" t="n">
        <f aca="false">IFERROR(MIN(Eingaben!$B$18,MAX(0,F1275-I1275)),0)</f>
        <v>0.75411</v>
      </c>
      <c r="K1275" s="13" t="n">
        <f aca="false">H1275+I1275</f>
        <v>3.468906</v>
      </c>
      <c r="L1275" s="13" t="n">
        <f aca="false">MAX(0,D1275-K1275)</f>
        <v>1.471094</v>
      </c>
      <c r="M1275" s="13" t="n">
        <f aca="false">MAX(0,F1275-I1275-J1275)</f>
        <v>0</v>
      </c>
      <c r="N1275" s="13" t="n">
        <f aca="false">IF(Kalender!A177="",0,J1274-H1275)</f>
        <v>0.0348840000000001</v>
      </c>
    </row>
    <row r="1276" customFormat="false" ht="16.4" hidden="false" customHeight="false" outlineLevel="0" collapsed="false">
      <c r="A1276" s="13" t="str">
        <f aca="false">""</f>
        <v/>
      </c>
      <c r="B1276" s="13" t="n">
        <f aca="false">174</f>
        <v>174</v>
      </c>
      <c r="C1276" s="13" t="n">
        <f aca="false">IF(Szenarien!$H$14="OK",(IFERROR(SUMIF(Nutzungsprofile!$B$6:$B$11,"Schulbetrieb",Nutzungsprofile!$G$6:$G$11)*Kalender!C178/SUM(Kalender!$C$5:$C$370),0)+IFERROR(SUMIF(Nutzungsprofile!$B$6:$B$11,"Halle",Nutzungsprofile!$G$6:$G$11)*Kalender!D178/SUM(Kalender!$D$5:$D$370),0)+IFERROR(SUMIF(Nutzungsprofile!$B$6:$B$11,"Individuell",Nutzungsprofile!$G$6:$G$11)*Kalender!E178/SUM(Kalender!$E$5:$E$370),0))*Szenarien!$E$14,0)</f>
        <v>2.94</v>
      </c>
      <c r="D1276" s="13" t="n">
        <f aca="false">IF(Szenarien!$H$14="OK",(IFERROR(SUMIF(Nutzungsprofile!$B$17:$B$22,"Schulbetrieb",Nutzungsprofile!$G$17:$G$22)*Kalender!C178/SUM(Kalender!$C$5:$C$370),0)+IFERROR(SUMIF(Nutzungsprofile!$B$17:$B$22,"Halle",Nutzungsprofile!$G$17:$G$22)*Kalender!D178/SUM(Kalender!$D$5:$D$370),0)+IFERROR(SUMIF(Nutzungsprofile!$B$17:$B$22,"Individuell",Nutzungsprofile!$G$17:$G$22)*Kalender!E178/SUM(Kalender!$E$5:$E$370),0))*Szenarien!$D$14,0)</f>
        <v>4.94</v>
      </c>
      <c r="E1276" s="13" t="n">
        <f aca="false">IFERROR(MIN(C1276,Eingaben!$B$17)*Eingaben!$B$16,0)</f>
        <v>2.793</v>
      </c>
      <c r="F1276" s="13" t="n">
        <f aca="false">IFERROR(E1276*Eingaben!$B$15,0)</f>
        <v>2.5137</v>
      </c>
      <c r="G1276" s="13" t="n">
        <f aca="false">IFERROR(IF(Kalender!A178="",0,J1275*(1-Eingaben!$B$20)),0)</f>
        <v>0.7390278</v>
      </c>
      <c r="H1276" s="13" t="n">
        <f aca="false">MIN(G1276,D1276)</f>
        <v>0.7390278</v>
      </c>
      <c r="I1276" s="13" t="n">
        <f aca="false">IFERROR(MIN(F1276*Eingaben!$B$19,MAX(0,D1276-H1276)),0)</f>
        <v>1.75959</v>
      </c>
      <c r="J1276" s="13" t="n">
        <f aca="false">IFERROR(MIN(Eingaben!$B$18,MAX(0,F1276-I1276)),0)</f>
        <v>0.75411</v>
      </c>
      <c r="K1276" s="13" t="n">
        <f aca="false">H1276+I1276</f>
        <v>2.4986178</v>
      </c>
      <c r="L1276" s="13" t="n">
        <f aca="false">MAX(0,D1276-K1276)</f>
        <v>2.4413822</v>
      </c>
      <c r="M1276" s="13" t="n">
        <f aca="false">MAX(0,F1276-I1276-J1276)</f>
        <v>0</v>
      </c>
      <c r="N1276" s="13" t="n">
        <f aca="false">IF(Kalender!A178="",0,J1275-H1276)</f>
        <v>0.0150822</v>
      </c>
    </row>
    <row r="1277" customFormat="false" ht="16.4" hidden="false" customHeight="false" outlineLevel="0" collapsed="false">
      <c r="A1277" s="13" t="str">
        <f aca="false">""</f>
        <v/>
      </c>
      <c r="B1277" s="13" t="n">
        <f aca="false">175</f>
        <v>175</v>
      </c>
      <c r="C1277" s="13" t="n">
        <f aca="false">IF(Szenarien!$H$14="OK",(IFERROR(SUMIF(Nutzungsprofile!$B$6:$B$11,"Schulbetrieb",Nutzungsprofile!$G$6:$G$11)*Kalender!C179/SUM(Kalender!$C$5:$C$370),0)+IFERROR(SUMIF(Nutzungsprofile!$B$6:$B$11,"Halle",Nutzungsprofile!$G$6:$G$11)*Kalender!D179/SUM(Kalender!$D$5:$D$370),0)+IFERROR(SUMIF(Nutzungsprofile!$B$6:$B$11,"Individuell",Nutzungsprofile!$G$6:$G$11)*Kalender!E179/SUM(Kalender!$E$5:$E$370),0))*Szenarien!$E$14,0)</f>
        <v>2.94</v>
      </c>
      <c r="D1277" s="13" t="n">
        <f aca="false">IF(Szenarien!$H$14="OK",(IFERROR(SUMIF(Nutzungsprofile!$B$17:$B$22,"Schulbetrieb",Nutzungsprofile!$G$17:$G$22)*Kalender!C179/SUM(Kalender!$C$5:$C$370),0)+IFERROR(SUMIF(Nutzungsprofile!$B$17:$B$22,"Halle",Nutzungsprofile!$G$17:$G$22)*Kalender!D179/SUM(Kalender!$D$5:$D$370),0)+IFERROR(SUMIF(Nutzungsprofile!$B$17:$B$22,"Individuell",Nutzungsprofile!$G$17:$G$22)*Kalender!E179/SUM(Kalender!$E$5:$E$370),0))*Szenarien!$D$14,0)</f>
        <v>4.94</v>
      </c>
      <c r="E1277" s="13" t="n">
        <f aca="false">IFERROR(MIN(C1277,Eingaben!$B$17)*Eingaben!$B$16,0)</f>
        <v>2.793</v>
      </c>
      <c r="F1277" s="13" t="n">
        <f aca="false">IFERROR(E1277*Eingaben!$B$15,0)</f>
        <v>2.5137</v>
      </c>
      <c r="G1277" s="13" t="n">
        <f aca="false">IFERROR(IF(Kalender!A179="",0,J1276*(1-Eingaben!$B$20)),0)</f>
        <v>0.7390278</v>
      </c>
      <c r="H1277" s="13" t="n">
        <f aca="false">MIN(G1277,D1277)</f>
        <v>0.7390278</v>
      </c>
      <c r="I1277" s="13" t="n">
        <f aca="false">IFERROR(MIN(F1277*Eingaben!$B$19,MAX(0,D1277-H1277)),0)</f>
        <v>1.75959</v>
      </c>
      <c r="J1277" s="13" t="n">
        <f aca="false">IFERROR(MIN(Eingaben!$B$18,MAX(0,F1277-I1277)),0)</f>
        <v>0.75411</v>
      </c>
      <c r="K1277" s="13" t="n">
        <f aca="false">H1277+I1277</f>
        <v>2.4986178</v>
      </c>
      <c r="L1277" s="13" t="n">
        <f aca="false">MAX(0,D1277-K1277)</f>
        <v>2.4413822</v>
      </c>
      <c r="M1277" s="13" t="n">
        <f aca="false">MAX(0,F1277-I1277-J1277)</f>
        <v>0</v>
      </c>
      <c r="N1277" s="13" t="n">
        <f aca="false">IF(Kalender!A179="",0,J1276-H1277)</f>
        <v>0.0150822</v>
      </c>
    </row>
    <row r="1278" customFormat="false" ht="16.4" hidden="false" customHeight="false" outlineLevel="0" collapsed="false">
      <c r="A1278" s="13" t="str">
        <f aca="false">""</f>
        <v/>
      </c>
      <c r="B1278" s="13" t="n">
        <f aca="false">176</f>
        <v>176</v>
      </c>
      <c r="C1278" s="13" t="n">
        <f aca="false">IF(Szenarien!$H$14="OK",(IFERROR(SUMIF(Nutzungsprofile!$B$6:$B$11,"Schulbetrieb",Nutzungsprofile!$G$6:$G$11)*Kalender!C180/SUM(Kalender!$C$5:$C$370),0)+IFERROR(SUMIF(Nutzungsprofile!$B$6:$B$11,"Halle",Nutzungsprofile!$G$6:$G$11)*Kalender!D180/SUM(Kalender!$D$5:$D$370),0)+IFERROR(SUMIF(Nutzungsprofile!$B$6:$B$11,"Individuell",Nutzungsprofile!$G$6:$G$11)*Kalender!E180/SUM(Kalender!$E$5:$E$370),0))*Szenarien!$E$14,0)</f>
        <v>2.94</v>
      </c>
      <c r="D1278" s="13" t="n">
        <f aca="false">IF(Szenarien!$H$14="OK",(IFERROR(SUMIF(Nutzungsprofile!$B$17:$B$22,"Schulbetrieb",Nutzungsprofile!$G$17:$G$22)*Kalender!C180/SUM(Kalender!$C$5:$C$370),0)+IFERROR(SUMIF(Nutzungsprofile!$B$17:$B$22,"Halle",Nutzungsprofile!$G$17:$G$22)*Kalender!D180/SUM(Kalender!$D$5:$D$370),0)+IFERROR(SUMIF(Nutzungsprofile!$B$17:$B$22,"Individuell",Nutzungsprofile!$G$17:$G$22)*Kalender!E180/SUM(Kalender!$E$5:$E$370),0))*Szenarien!$D$14,0)</f>
        <v>4.94</v>
      </c>
      <c r="E1278" s="13" t="n">
        <f aca="false">IFERROR(MIN(C1278,Eingaben!$B$17)*Eingaben!$B$16,0)</f>
        <v>2.793</v>
      </c>
      <c r="F1278" s="13" t="n">
        <f aca="false">IFERROR(E1278*Eingaben!$B$15,0)</f>
        <v>2.5137</v>
      </c>
      <c r="G1278" s="13" t="n">
        <f aca="false">IFERROR(IF(Kalender!A180="",0,J1277*(1-Eingaben!$B$20)),0)</f>
        <v>0.7390278</v>
      </c>
      <c r="H1278" s="13" t="n">
        <f aca="false">MIN(G1278,D1278)</f>
        <v>0.7390278</v>
      </c>
      <c r="I1278" s="13" t="n">
        <f aca="false">IFERROR(MIN(F1278*Eingaben!$B$19,MAX(0,D1278-H1278)),0)</f>
        <v>1.75959</v>
      </c>
      <c r="J1278" s="13" t="n">
        <f aca="false">IFERROR(MIN(Eingaben!$B$18,MAX(0,F1278-I1278)),0)</f>
        <v>0.75411</v>
      </c>
      <c r="K1278" s="13" t="n">
        <f aca="false">H1278+I1278</f>
        <v>2.4986178</v>
      </c>
      <c r="L1278" s="13" t="n">
        <f aca="false">MAX(0,D1278-K1278)</f>
        <v>2.4413822</v>
      </c>
      <c r="M1278" s="13" t="n">
        <f aca="false">MAX(0,F1278-I1278-J1278)</f>
        <v>0</v>
      </c>
      <c r="N1278" s="13" t="n">
        <f aca="false">IF(Kalender!A180="",0,J1277-H1278)</f>
        <v>0.0150822</v>
      </c>
    </row>
    <row r="1279" customFormat="false" ht="16.4" hidden="false" customHeight="false" outlineLevel="0" collapsed="false">
      <c r="A1279" s="13" t="str">
        <f aca="false">""</f>
        <v/>
      </c>
      <c r="B1279" s="13" t="n">
        <f aca="false">177</f>
        <v>177</v>
      </c>
      <c r="C1279" s="13" t="n">
        <f aca="false">IF(Szenarien!$H$14="OK",(IFERROR(SUMIF(Nutzungsprofile!$B$6:$B$11,"Schulbetrieb",Nutzungsprofile!$G$6:$G$11)*Kalender!C181/SUM(Kalender!$C$5:$C$370),0)+IFERROR(SUMIF(Nutzungsprofile!$B$6:$B$11,"Halle",Nutzungsprofile!$G$6:$G$11)*Kalender!D181/SUM(Kalender!$D$5:$D$370),0)+IFERROR(SUMIF(Nutzungsprofile!$B$6:$B$11,"Individuell",Nutzungsprofile!$G$6:$G$11)*Kalender!E181/SUM(Kalender!$E$5:$E$370),0))*Szenarien!$E$14,0)</f>
        <v>2.94</v>
      </c>
      <c r="D1279" s="13" t="n">
        <f aca="false">IF(Szenarien!$H$14="OK",(IFERROR(SUMIF(Nutzungsprofile!$B$17:$B$22,"Schulbetrieb",Nutzungsprofile!$G$17:$G$22)*Kalender!C181/SUM(Kalender!$C$5:$C$370),0)+IFERROR(SUMIF(Nutzungsprofile!$B$17:$B$22,"Halle",Nutzungsprofile!$G$17:$G$22)*Kalender!D181/SUM(Kalender!$D$5:$D$370),0)+IFERROR(SUMIF(Nutzungsprofile!$B$17:$B$22,"Individuell",Nutzungsprofile!$G$17:$G$22)*Kalender!E181/SUM(Kalender!$E$5:$E$370),0))*Szenarien!$D$14,0)</f>
        <v>4.94</v>
      </c>
      <c r="E1279" s="13" t="n">
        <f aca="false">IFERROR(MIN(C1279,Eingaben!$B$17)*Eingaben!$B$16,0)</f>
        <v>2.793</v>
      </c>
      <c r="F1279" s="13" t="n">
        <f aca="false">IFERROR(E1279*Eingaben!$B$15,0)</f>
        <v>2.5137</v>
      </c>
      <c r="G1279" s="13" t="n">
        <f aca="false">IFERROR(IF(Kalender!A181="",0,J1278*(1-Eingaben!$B$20)),0)</f>
        <v>0.7390278</v>
      </c>
      <c r="H1279" s="13" t="n">
        <f aca="false">MIN(G1279,D1279)</f>
        <v>0.7390278</v>
      </c>
      <c r="I1279" s="13" t="n">
        <f aca="false">IFERROR(MIN(F1279*Eingaben!$B$19,MAX(0,D1279-H1279)),0)</f>
        <v>1.75959</v>
      </c>
      <c r="J1279" s="13" t="n">
        <f aca="false">IFERROR(MIN(Eingaben!$B$18,MAX(0,F1279-I1279)),0)</f>
        <v>0.75411</v>
      </c>
      <c r="K1279" s="13" t="n">
        <f aca="false">H1279+I1279</f>
        <v>2.4986178</v>
      </c>
      <c r="L1279" s="13" t="n">
        <f aca="false">MAX(0,D1279-K1279)</f>
        <v>2.4413822</v>
      </c>
      <c r="M1279" s="13" t="n">
        <f aca="false">MAX(0,F1279-I1279-J1279)</f>
        <v>0</v>
      </c>
      <c r="N1279" s="13" t="n">
        <f aca="false">IF(Kalender!A181="",0,J1278-H1279)</f>
        <v>0.0150822</v>
      </c>
    </row>
    <row r="1280" customFormat="false" ht="16.4" hidden="false" customHeight="false" outlineLevel="0" collapsed="false">
      <c r="A1280" s="13" t="str">
        <f aca="false">""</f>
        <v/>
      </c>
      <c r="B1280" s="13" t="n">
        <f aca="false">178</f>
        <v>178</v>
      </c>
      <c r="C1280" s="13" t="n">
        <f aca="false">IF(Szenarien!$H$14="OK",(IFERROR(SUMIF(Nutzungsprofile!$B$6:$B$11,"Schulbetrieb",Nutzungsprofile!$G$6:$G$11)*Kalender!C182/SUM(Kalender!$C$5:$C$370),0)+IFERROR(SUMIF(Nutzungsprofile!$B$6:$B$11,"Halle",Nutzungsprofile!$G$6:$G$11)*Kalender!D182/SUM(Kalender!$D$5:$D$370),0)+IFERROR(SUMIF(Nutzungsprofile!$B$6:$B$11,"Individuell",Nutzungsprofile!$G$6:$G$11)*Kalender!E182/SUM(Kalender!$E$5:$E$370),0))*Szenarien!$E$14,0)</f>
        <v>2.04</v>
      </c>
      <c r="D1280" s="13" t="n">
        <f aca="false">IF(Szenarien!$H$14="OK",(IFERROR(SUMIF(Nutzungsprofile!$B$17:$B$22,"Schulbetrieb",Nutzungsprofile!$G$17:$G$22)*Kalender!C182/SUM(Kalender!$C$5:$C$370),0)+IFERROR(SUMIF(Nutzungsprofile!$B$17:$B$22,"Halle",Nutzungsprofile!$G$17:$G$22)*Kalender!D182/SUM(Kalender!$D$5:$D$370),0)+IFERROR(SUMIF(Nutzungsprofile!$B$17:$B$22,"Individuell",Nutzungsprofile!$G$17:$G$22)*Kalender!E182/SUM(Kalender!$E$5:$E$370),0))*Szenarien!$D$14,0)</f>
        <v>0.89</v>
      </c>
      <c r="E1280" s="13" t="n">
        <f aca="false">IFERROR(MIN(C1280,Eingaben!$B$17)*Eingaben!$B$16,0)</f>
        <v>1.938</v>
      </c>
      <c r="F1280" s="13" t="n">
        <f aca="false">IFERROR(E1280*Eingaben!$B$15,0)</f>
        <v>1.7442</v>
      </c>
      <c r="G1280" s="13" t="n">
        <f aca="false">IFERROR(IF(Kalender!A182="",0,J1279*(1-Eingaben!$B$20)),0)</f>
        <v>0.7390278</v>
      </c>
      <c r="H1280" s="13" t="n">
        <f aca="false">MIN(G1280,D1280)</f>
        <v>0.7390278</v>
      </c>
      <c r="I1280" s="13" t="n">
        <f aca="false">IFERROR(MIN(F1280*Eingaben!$B$19,MAX(0,D1280-H1280)),0)</f>
        <v>0.1509722</v>
      </c>
      <c r="J1280" s="13" t="n">
        <f aca="false">IFERROR(MIN(Eingaben!$B$18,MAX(0,F1280-I1280)),0)</f>
        <v>1.5932278</v>
      </c>
      <c r="K1280" s="13" t="n">
        <f aca="false">H1280+I1280</f>
        <v>0.89</v>
      </c>
      <c r="L1280" s="13" t="n">
        <f aca="false">MAX(0,D1280-K1280)</f>
        <v>0</v>
      </c>
      <c r="M1280" s="13" t="n">
        <f aca="false">MAX(0,F1280-I1280-J1280)</f>
        <v>0</v>
      </c>
      <c r="N1280" s="13" t="n">
        <f aca="false">IF(Kalender!A182="",0,J1279-H1280)</f>
        <v>0.0150822</v>
      </c>
    </row>
    <row r="1281" customFormat="false" ht="16.4" hidden="false" customHeight="false" outlineLevel="0" collapsed="false">
      <c r="A1281" s="13" t="str">
        <f aca="false">""</f>
        <v/>
      </c>
      <c r="B1281" s="13" t="n">
        <f aca="false">179</f>
        <v>179</v>
      </c>
      <c r="C1281" s="13" t="n">
        <f aca="false">IF(Szenarien!$H$14="OK",(IFERROR(SUMIF(Nutzungsprofile!$B$6:$B$11,"Schulbetrieb",Nutzungsprofile!$G$6:$G$11)*Kalender!C183/SUM(Kalender!$C$5:$C$370),0)+IFERROR(SUMIF(Nutzungsprofile!$B$6:$B$11,"Halle",Nutzungsprofile!$G$6:$G$11)*Kalender!D183/SUM(Kalender!$D$5:$D$370),0)+IFERROR(SUMIF(Nutzungsprofile!$B$6:$B$11,"Individuell",Nutzungsprofile!$G$6:$G$11)*Kalender!E183/SUM(Kalender!$E$5:$E$370),0))*Szenarien!$E$14,0)</f>
        <v>2.04</v>
      </c>
      <c r="D1281" s="13" t="n">
        <f aca="false">IF(Szenarien!$H$14="OK",(IFERROR(SUMIF(Nutzungsprofile!$B$17:$B$22,"Schulbetrieb",Nutzungsprofile!$G$17:$G$22)*Kalender!C183/SUM(Kalender!$C$5:$C$370),0)+IFERROR(SUMIF(Nutzungsprofile!$B$17:$B$22,"Halle",Nutzungsprofile!$G$17:$G$22)*Kalender!D183/SUM(Kalender!$D$5:$D$370),0)+IFERROR(SUMIF(Nutzungsprofile!$B$17:$B$22,"Individuell",Nutzungsprofile!$G$17:$G$22)*Kalender!E183/SUM(Kalender!$E$5:$E$370),0))*Szenarien!$D$14,0)</f>
        <v>0.89</v>
      </c>
      <c r="E1281" s="13" t="n">
        <f aca="false">IFERROR(MIN(C1281,Eingaben!$B$17)*Eingaben!$B$16,0)</f>
        <v>1.938</v>
      </c>
      <c r="F1281" s="13" t="n">
        <f aca="false">IFERROR(E1281*Eingaben!$B$15,0)</f>
        <v>1.7442</v>
      </c>
      <c r="G1281" s="13" t="n">
        <f aca="false">IFERROR(IF(Kalender!A183="",0,J1280*(1-Eingaben!$B$20)),0)</f>
        <v>1.561363244</v>
      </c>
      <c r="H1281" s="13" t="n">
        <f aca="false">MIN(G1281,D1281)</f>
        <v>0.89</v>
      </c>
      <c r="I1281" s="13" t="n">
        <f aca="false">IFERROR(MIN(F1281*Eingaben!$B$19,MAX(0,D1281-H1281)),0)</f>
        <v>0</v>
      </c>
      <c r="J1281" s="13" t="n">
        <f aca="false">IFERROR(MIN(Eingaben!$B$18,MAX(0,F1281-I1281)),0)</f>
        <v>1.7442</v>
      </c>
      <c r="K1281" s="13" t="n">
        <f aca="false">H1281+I1281</f>
        <v>0.89</v>
      </c>
      <c r="L1281" s="13" t="n">
        <f aca="false">MAX(0,D1281-K1281)</f>
        <v>0</v>
      </c>
      <c r="M1281" s="13" t="n">
        <f aca="false">MAX(0,F1281-I1281-J1281)</f>
        <v>0</v>
      </c>
      <c r="N1281" s="13" t="n">
        <f aca="false">IF(Kalender!A183="",0,J1280-H1281)</f>
        <v>0.7032278</v>
      </c>
    </row>
    <row r="1282" customFormat="false" ht="16.4" hidden="false" customHeight="false" outlineLevel="0" collapsed="false">
      <c r="A1282" s="13" t="str">
        <f aca="false">""</f>
        <v/>
      </c>
      <c r="B1282" s="13" t="n">
        <f aca="false">180</f>
        <v>180</v>
      </c>
      <c r="C1282" s="13" t="n">
        <f aca="false">IF(Szenarien!$H$14="OK",(IFERROR(SUMIF(Nutzungsprofile!$B$6:$B$11,"Schulbetrieb",Nutzungsprofile!$G$6:$G$11)*Kalender!C184/SUM(Kalender!$C$5:$C$370),0)+IFERROR(SUMIF(Nutzungsprofile!$B$6:$B$11,"Halle",Nutzungsprofile!$G$6:$G$11)*Kalender!D184/SUM(Kalender!$D$5:$D$370),0)+IFERROR(SUMIF(Nutzungsprofile!$B$6:$B$11,"Individuell",Nutzungsprofile!$G$6:$G$11)*Kalender!E184/SUM(Kalender!$E$5:$E$370),0))*Szenarien!$E$14,0)</f>
        <v>2.94</v>
      </c>
      <c r="D1282" s="13" t="n">
        <f aca="false">IF(Szenarien!$H$14="OK",(IFERROR(SUMIF(Nutzungsprofile!$B$17:$B$22,"Schulbetrieb",Nutzungsprofile!$G$17:$G$22)*Kalender!C184/SUM(Kalender!$C$5:$C$370),0)+IFERROR(SUMIF(Nutzungsprofile!$B$17:$B$22,"Halle",Nutzungsprofile!$G$17:$G$22)*Kalender!D184/SUM(Kalender!$D$5:$D$370),0)+IFERROR(SUMIF(Nutzungsprofile!$B$17:$B$22,"Individuell",Nutzungsprofile!$G$17:$G$22)*Kalender!E184/SUM(Kalender!$E$5:$E$370),0))*Szenarien!$D$14,0)</f>
        <v>4.94</v>
      </c>
      <c r="E1282" s="13" t="n">
        <f aca="false">IFERROR(MIN(C1282,Eingaben!$B$17)*Eingaben!$B$16,0)</f>
        <v>2.793</v>
      </c>
      <c r="F1282" s="13" t="n">
        <f aca="false">IFERROR(E1282*Eingaben!$B$15,0)</f>
        <v>2.5137</v>
      </c>
      <c r="G1282" s="13" t="n">
        <f aca="false">IFERROR(IF(Kalender!A184="",0,J1281*(1-Eingaben!$B$20)),0)</f>
        <v>1.709316</v>
      </c>
      <c r="H1282" s="13" t="n">
        <f aca="false">MIN(G1282,D1282)</f>
        <v>1.709316</v>
      </c>
      <c r="I1282" s="13" t="n">
        <f aca="false">IFERROR(MIN(F1282*Eingaben!$B$19,MAX(0,D1282-H1282)),0)</f>
        <v>1.75959</v>
      </c>
      <c r="J1282" s="13" t="n">
        <f aca="false">IFERROR(MIN(Eingaben!$B$18,MAX(0,F1282-I1282)),0)</f>
        <v>0.75411</v>
      </c>
      <c r="K1282" s="13" t="n">
        <f aca="false">H1282+I1282</f>
        <v>3.468906</v>
      </c>
      <c r="L1282" s="13" t="n">
        <f aca="false">MAX(0,D1282-K1282)</f>
        <v>1.471094</v>
      </c>
      <c r="M1282" s="13" t="n">
        <f aca="false">MAX(0,F1282-I1282-J1282)</f>
        <v>0</v>
      </c>
      <c r="N1282" s="13" t="n">
        <f aca="false">IF(Kalender!A184="",0,J1281-H1282)</f>
        <v>0.0348840000000001</v>
      </c>
    </row>
    <row r="1283" customFormat="false" ht="16.4" hidden="false" customHeight="false" outlineLevel="0" collapsed="false">
      <c r="A1283" s="13" t="str">
        <f aca="false">""</f>
        <v/>
      </c>
      <c r="B1283" s="13" t="n">
        <f aca="false">181</f>
        <v>181</v>
      </c>
      <c r="C1283" s="13" t="n">
        <f aca="false">IF(Szenarien!$H$14="OK",(IFERROR(SUMIF(Nutzungsprofile!$B$6:$B$11,"Schulbetrieb",Nutzungsprofile!$G$6:$G$11)*Kalender!C185/SUM(Kalender!$C$5:$C$370),0)+IFERROR(SUMIF(Nutzungsprofile!$B$6:$B$11,"Halle",Nutzungsprofile!$G$6:$G$11)*Kalender!D185/SUM(Kalender!$D$5:$D$370),0)+IFERROR(SUMIF(Nutzungsprofile!$B$6:$B$11,"Individuell",Nutzungsprofile!$G$6:$G$11)*Kalender!E185/SUM(Kalender!$E$5:$E$370),0))*Szenarien!$E$14,0)</f>
        <v>2.94</v>
      </c>
      <c r="D1283" s="13" t="n">
        <f aca="false">IF(Szenarien!$H$14="OK",(IFERROR(SUMIF(Nutzungsprofile!$B$17:$B$22,"Schulbetrieb",Nutzungsprofile!$G$17:$G$22)*Kalender!C185/SUM(Kalender!$C$5:$C$370),0)+IFERROR(SUMIF(Nutzungsprofile!$B$17:$B$22,"Halle",Nutzungsprofile!$G$17:$G$22)*Kalender!D185/SUM(Kalender!$D$5:$D$370),0)+IFERROR(SUMIF(Nutzungsprofile!$B$17:$B$22,"Individuell",Nutzungsprofile!$G$17:$G$22)*Kalender!E185/SUM(Kalender!$E$5:$E$370),0))*Szenarien!$D$14,0)</f>
        <v>4.94</v>
      </c>
      <c r="E1283" s="13" t="n">
        <f aca="false">IFERROR(MIN(C1283,Eingaben!$B$17)*Eingaben!$B$16,0)</f>
        <v>2.793</v>
      </c>
      <c r="F1283" s="13" t="n">
        <f aca="false">IFERROR(E1283*Eingaben!$B$15,0)</f>
        <v>2.5137</v>
      </c>
      <c r="G1283" s="13" t="n">
        <f aca="false">IFERROR(IF(Kalender!A185="",0,J1282*(1-Eingaben!$B$20)),0)</f>
        <v>0.7390278</v>
      </c>
      <c r="H1283" s="13" t="n">
        <f aca="false">MIN(G1283,D1283)</f>
        <v>0.7390278</v>
      </c>
      <c r="I1283" s="13" t="n">
        <f aca="false">IFERROR(MIN(F1283*Eingaben!$B$19,MAX(0,D1283-H1283)),0)</f>
        <v>1.75959</v>
      </c>
      <c r="J1283" s="13" t="n">
        <f aca="false">IFERROR(MIN(Eingaben!$B$18,MAX(0,F1283-I1283)),0)</f>
        <v>0.75411</v>
      </c>
      <c r="K1283" s="13" t="n">
        <f aca="false">H1283+I1283</f>
        <v>2.4986178</v>
      </c>
      <c r="L1283" s="13" t="n">
        <f aca="false">MAX(0,D1283-K1283)</f>
        <v>2.4413822</v>
      </c>
      <c r="M1283" s="13" t="n">
        <f aca="false">MAX(0,F1283-I1283-J1283)</f>
        <v>0</v>
      </c>
      <c r="N1283" s="13" t="n">
        <f aca="false">IF(Kalender!A185="",0,J1282-H1283)</f>
        <v>0.0150822</v>
      </c>
    </row>
    <row r="1284" customFormat="false" ht="16.4" hidden="false" customHeight="false" outlineLevel="0" collapsed="false">
      <c r="A1284" s="13" t="str">
        <f aca="false">""</f>
        <v/>
      </c>
      <c r="B1284" s="13" t="n">
        <f aca="false">182</f>
        <v>182</v>
      </c>
      <c r="C1284" s="13" t="n">
        <f aca="false">IF(Szenarien!$H$14="OK",(IFERROR(SUMIF(Nutzungsprofile!$B$6:$B$11,"Schulbetrieb",Nutzungsprofile!$G$6:$G$11)*Kalender!C186/SUM(Kalender!$C$5:$C$370),0)+IFERROR(SUMIF(Nutzungsprofile!$B$6:$B$11,"Halle",Nutzungsprofile!$G$6:$G$11)*Kalender!D186/SUM(Kalender!$D$5:$D$370),0)+IFERROR(SUMIF(Nutzungsprofile!$B$6:$B$11,"Individuell",Nutzungsprofile!$G$6:$G$11)*Kalender!E186/SUM(Kalender!$E$5:$E$370),0))*Szenarien!$E$14,0)</f>
        <v>2.04</v>
      </c>
      <c r="D1284" s="13" t="n">
        <f aca="false">IF(Szenarien!$H$14="OK",(IFERROR(SUMIF(Nutzungsprofile!$B$17:$B$22,"Schulbetrieb",Nutzungsprofile!$G$17:$G$22)*Kalender!C186/SUM(Kalender!$C$5:$C$370),0)+IFERROR(SUMIF(Nutzungsprofile!$B$17:$B$22,"Halle",Nutzungsprofile!$G$17:$G$22)*Kalender!D186/SUM(Kalender!$D$5:$D$370),0)+IFERROR(SUMIF(Nutzungsprofile!$B$17:$B$22,"Individuell",Nutzungsprofile!$G$17:$G$22)*Kalender!E186/SUM(Kalender!$E$5:$E$370),0))*Szenarien!$D$14,0)</f>
        <v>0.89</v>
      </c>
      <c r="E1284" s="13" t="n">
        <f aca="false">IFERROR(MIN(C1284,Eingaben!$B$17)*Eingaben!$B$16,0)</f>
        <v>1.938</v>
      </c>
      <c r="F1284" s="13" t="n">
        <f aca="false">IFERROR(E1284*Eingaben!$B$15,0)</f>
        <v>1.7442</v>
      </c>
      <c r="G1284" s="13" t="n">
        <f aca="false">IFERROR(IF(Kalender!A186="",0,J1283*(1-Eingaben!$B$20)),0)</f>
        <v>0.7390278</v>
      </c>
      <c r="H1284" s="13" t="n">
        <f aca="false">MIN(G1284,D1284)</f>
        <v>0.7390278</v>
      </c>
      <c r="I1284" s="13" t="n">
        <f aca="false">IFERROR(MIN(F1284*Eingaben!$B$19,MAX(0,D1284-H1284)),0)</f>
        <v>0.1509722</v>
      </c>
      <c r="J1284" s="13" t="n">
        <f aca="false">IFERROR(MIN(Eingaben!$B$18,MAX(0,F1284-I1284)),0)</f>
        <v>1.5932278</v>
      </c>
      <c r="K1284" s="13" t="n">
        <f aca="false">H1284+I1284</f>
        <v>0.89</v>
      </c>
      <c r="L1284" s="13" t="n">
        <f aca="false">MAX(0,D1284-K1284)</f>
        <v>0</v>
      </c>
      <c r="M1284" s="13" t="n">
        <f aca="false">MAX(0,F1284-I1284-J1284)</f>
        <v>0</v>
      </c>
      <c r="N1284" s="13" t="n">
        <f aca="false">IF(Kalender!A186="",0,J1283-H1284)</f>
        <v>0.0150822</v>
      </c>
    </row>
    <row r="1285" customFormat="false" ht="16.4" hidden="false" customHeight="false" outlineLevel="0" collapsed="false">
      <c r="A1285" s="13" t="str">
        <f aca="false">""</f>
        <v/>
      </c>
      <c r="B1285" s="13" t="n">
        <f aca="false">183</f>
        <v>183</v>
      </c>
      <c r="C1285" s="13" t="n">
        <f aca="false">IF(Szenarien!$H$14="OK",(IFERROR(SUMIF(Nutzungsprofile!$B$6:$B$11,"Schulbetrieb",Nutzungsprofile!$G$6:$G$11)*Kalender!C187/SUM(Kalender!$C$5:$C$370),0)+IFERROR(SUMIF(Nutzungsprofile!$B$6:$B$11,"Halle",Nutzungsprofile!$G$6:$G$11)*Kalender!D187/SUM(Kalender!$D$5:$D$370),0)+IFERROR(SUMIF(Nutzungsprofile!$B$6:$B$11,"Individuell",Nutzungsprofile!$G$6:$G$11)*Kalender!E187/SUM(Kalender!$E$5:$E$370),0))*Szenarien!$E$14,0)</f>
        <v>2.04</v>
      </c>
      <c r="D1285" s="13" t="n">
        <f aca="false">IF(Szenarien!$H$14="OK",(IFERROR(SUMIF(Nutzungsprofile!$B$17:$B$22,"Schulbetrieb",Nutzungsprofile!$G$17:$G$22)*Kalender!C187/SUM(Kalender!$C$5:$C$370),0)+IFERROR(SUMIF(Nutzungsprofile!$B$17:$B$22,"Halle",Nutzungsprofile!$G$17:$G$22)*Kalender!D187/SUM(Kalender!$D$5:$D$370),0)+IFERROR(SUMIF(Nutzungsprofile!$B$17:$B$22,"Individuell",Nutzungsprofile!$G$17:$G$22)*Kalender!E187/SUM(Kalender!$E$5:$E$370),0))*Szenarien!$D$14,0)</f>
        <v>0.89</v>
      </c>
      <c r="E1285" s="13" t="n">
        <f aca="false">IFERROR(MIN(C1285,Eingaben!$B$17)*Eingaben!$B$16,0)</f>
        <v>1.938</v>
      </c>
      <c r="F1285" s="13" t="n">
        <f aca="false">IFERROR(E1285*Eingaben!$B$15,0)</f>
        <v>1.7442</v>
      </c>
      <c r="G1285" s="13" t="n">
        <f aca="false">IFERROR(IF(Kalender!A187="",0,J1284*(1-Eingaben!$B$20)),0)</f>
        <v>1.561363244</v>
      </c>
      <c r="H1285" s="13" t="n">
        <f aca="false">MIN(G1285,D1285)</f>
        <v>0.89</v>
      </c>
      <c r="I1285" s="13" t="n">
        <f aca="false">IFERROR(MIN(F1285*Eingaben!$B$19,MAX(0,D1285-H1285)),0)</f>
        <v>0</v>
      </c>
      <c r="J1285" s="13" t="n">
        <f aca="false">IFERROR(MIN(Eingaben!$B$18,MAX(0,F1285-I1285)),0)</f>
        <v>1.7442</v>
      </c>
      <c r="K1285" s="13" t="n">
        <f aca="false">H1285+I1285</f>
        <v>0.89</v>
      </c>
      <c r="L1285" s="13" t="n">
        <f aca="false">MAX(0,D1285-K1285)</f>
        <v>0</v>
      </c>
      <c r="M1285" s="13" t="n">
        <f aca="false">MAX(0,F1285-I1285-J1285)</f>
        <v>0</v>
      </c>
      <c r="N1285" s="13" t="n">
        <f aca="false">IF(Kalender!A187="",0,J1284-H1285)</f>
        <v>0.7032278</v>
      </c>
    </row>
    <row r="1286" customFormat="false" ht="16.4" hidden="false" customHeight="false" outlineLevel="0" collapsed="false">
      <c r="A1286" s="13" t="str">
        <f aca="false">""</f>
        <v/>
      </c>
      <c r="B1286" s="13" t="n">
        <f aca="false">184</f>
        <v>184</v>
      </c>
      <c r="C1286" s="13" t="n">
        <f aca="false">IF(Szenarien!$H$14="OK",(IFERROR(SUMIF(Nutzungsprofile!$B$6:$B$11,"Schulbetrieb",Nutzungsprofile!$G$6:$G$11)*Kalender!C188/SUM(Kalender!$C$5:$C$370),0)+IFERROR(SUMIF(Nutzungsprofile!$B$6:$B$11,"Halle",Nutzungsprofile!$G$6:$G$11)*Kalender!D188/SUM(Kalender!$D$5:$D$370),0)+IFERROR(SUMIF(Nutzungsprofile!$B$6:$B$11,"Individuell",Nutzungsprofile!$G$6:$G$11)*Kalender!E188/SUM(Kalender!$E$5:$E$370),0))*Szenarien!$E$14,0)</f>
        <v>2.04</v>
      </c>
      <c r="D1286" s="13" t="n">
        <f aca="false">IF(Szenarien!$H$14="OK",(IFERROR(SUMIF(Nutzungsprofile!$B$17:$B$22,"Schulbetrieb",Nutzungsprofile!$G$17:$G$22)*Kalender!C188/SUM(Kalender!$C$5:$C$370),0)+IFERROR(SUMIF(Nutzungsprofile!$B$17:$B$22,"Halle",Nutzungsprofile!$G$17:$G$22)*Kalender!D188/SUM(Kalender!$D$5:$D$370),0)+IFERROR(SUMIF(Nutzungsprofile!$B$17:$B$22,"Individuell",Nutzungsprofile!$G$17:$G$22)*Kalender!E188/SUM(Kalender!$E$5:$E$370),0))*Szenarien!$D$14,0)</f>
        <v>0.89</v>
      </c>
      <c r="E1286" s="13" t="n">
        <f aca="false">IFERROR(MIN(C1286,Eingaben!$B$17)*Eingaben!$B$16,0)</f>
        <v>1.938</v>
      </c>
      <c r="F1286" s="13" t="n">
        <f aca="false">IFERROR(E1286*Eingaben!$B$15,0)</f>
        <v>1.7442</v>
      </c>
      <c r="G1286" s="13" t="n">
        <f aca="false">IFERROR(IF(Kalender!A188="",0,J1285*(1-Eingaben!$B$20)),0)</f>
        <v>1.709316</v>
      </c>
      <c r="H1286" s="13" t="n">
        <f aca="false">MIN(G1286,D1286)</f>
        <v>0.89</v>
      </c>
      <c r="I1286" s="13" t="n">
        <f aca="false">IFERROR(MIN(F1286*Eingaben!$B$19,MAX(0,D1286-H1286)),0)</f>
        <v>0</v>
      </c>
      <c r="J1286" s="13" t="n">
        <f aca="false">IFERROR(MIN(Eingaben!$B$18,MAX(0,F1286-I1286)),0)</f>
        <v>1.7442</v>
      </c>
      <c r="K1286" s="13" t="n">
        <f aca="false">H1286+I1286</f>
        <v>0.89</v>
      </c>
      <c r="L1286" s="13" t="n">
        <f aca="false">MAX(0,D1286-K1286)</f>
        <v>0</v>
      </c>
      <c r="M1286" s="13" t="n">
        <f aca="false">MAX(0,F1286-I1286-J1286)</f>
        <v>0</v>
      </c>
      <c r="N1286" s="13" t="n">
        <f aca="false">IF(Kalender!A188="",0,J1285-H1286)</f>
        <v>0.8542</v>
      </c>
    </row>
    <row r="1287" customFormat="false" ht="16.4" hidden="false" customHeight="false" outlineLevel="0" collapsed="false">
      <c r="A1287" s="13" t="str">
        <f aca="false">""</f>
        <v/>
      </c>
      <c r="B1287" s="13" t="n">
        <f aca="false">185</f>
        <v>185</v>
      </c>
      <c r="C1287" s="13" t="n">
        <f aca="false">IF(Szenarien!$H$14="OK",(IFERROR(SUMIF(Nutzungsprofile!$B$6:$B$11,"Schulbetrieb",Nutzungsprofile!$G$6:$G$11)*Kalender!C189/SUM(Kalender!$C$5:$C$370),0)+IFERROR(SUMIF(Nutzungsprofile!$B$6:$B$11,"Halle",Nutzungsprofile!$G$6:$G$11)*Kalender!D189/SUM(Kalender!$D$5:$D$370),0)+IFERROR(SUMIF(Nutzungsprofile!$B$6:$B$11,"Individuell",Nutzungsprofile!$G$6:$G$11)*Kalender!E189/SUM(Kalender!$E$5:$E$370),0))*Szenarien!$E$14,0)</f>
        <v>2.04</v>
      </c>
      <c r="D1287" s="13" t="n">
        <f aca="false">IF(Szenarien!$H$14="OK",(IFERROR(SUMIF(Nutzungsprofile!$B$17:$B$22,"Schulbetrieb",Nutzungsprofile!$G$17:$G$22)*Kalender!C189/SUM(Kalender!$C$5:$C$370),0)+IFERROR(SUMIF(Nutzungsprofile!$B$17:$B$22,"Halle",Nutzungsprofile!$G$17:$G$22)*Kalender!D189/SUM(Kalender!$D$5:$D$370),0)+IFERROR(SUMIF(Nutzungsprofile!$B$17:$B$22,"Individuell",Nutzungsprofile!$G$17:$G$22)*Kalender!E189/SUM(Kalender!$E$5:$E$370),0))*Szenarien!$D$14,0)</f>
        <v>0.89</v>
      </c>
      <c r="E1287" s="13" t="n">
        <f aca="false">IFERROR(MIN(C1287,Eingaben!$B$17)*Eingaben!$B$16,0)</f>
        <v>1.938</v>
      </c>
      <c r="F1287" s="13" t="n">
        <f aca="false">IFERROR(E1287*Eingaben!$B$15,0)</f>
        <v>1.7442</v>
      </c>
      <c r="G1287" s="13" t="n">
        <f aca="false">IFERROR(IF(Kalender!A189="",0,J1286*(1-Eingaben!$B$20)),0)</f>
        <v>1.709316</v>
      </c>
      <c r="H1287" s="13" t="n">
        <f aca="false">MIN(G1287,D1287)</f>
        <v>0.89</v>
      </c>
      <c r="I1287" s="13" t="n">
        <f aca="false">IFERROR(MIN(F1287*Eingaben!$B$19,MAX(0,D1287-H1287)),0)</f>
        <v>0</v>
      </c>
      <c r="J1287" s="13" t="n">
        <f aca="false">IFERROR(MIN(Eingaben!$B$18,MAX(0,F1287-I1287)),0)</f>
        <v>1.7442</v>
      </c>
      <c r="K1287" s="13" t="n">
        <f aca="false">H1287+I1287</f>
        <v>0.89</v>
      </c>
      <c r="L1287" s="13" t="n">
        <f aca="false">MAX(0,D1287-K1287)</f>
        <v>0</v>
      </c>
      <c r="M1287" s="13" t="n">
        <f aca="false">MAX(0,F1287-I1287-J1287)</f>
        <v>0</v>
      </c>
      <c r="N1287" s="13" t="n">
        <f aca="false">IF(Kalender!A189="",0,J1286-H1287)</f>
        <v>0.8542</v>
      </c>
    </row>
    <row r="1288" customFormat="false" ht="16.4" hidden="false" customHeight="false" outlineLevel="0" collapsed="false">
      <c r="A1288" s="13" t="str">
        <f aca="false">""</f>
        <v/>
      </c>
      <c r="B1288" s="13" t="n">
        <f aca="false">186</f>
        <v>186</v>
      </c>
      <c r="C1288" s="13" t="n">
        <f aca="false">IF(Szenarien!$H$14="OK",(IFERROR(SUMIF(Nutzungsprofile!$B$6:$B$11,"Schulbetrieb",Nutzungsprofile!$G$6:$G$11)*Kalender!C190/SUM(Kalender!$C$5:$C$370),0)+IFERROR(SUMIF(Nutzungsprofile!$B$6:$B$11,"Halle",Nutzungsprofile!$G$6:$G$11)*Kalender!D190/SUM(Kalender!$D$5:$D$370),0)+IFERROR(SUMIF(Nutzungsprofile!$B$6:$B$11,"Individuell",Nutzungsprofile!$G$6:$G$11)*Kalender!E190/SUM(Kalender!$E$5:$E$370),0))*Szenarien!$E$14,0)</f>
        <v>2.04</v>
      </c>
      <c r="D1288" s="13" t="n">
        <f aca="false">IF(Szenarien!$H$14="OK",(IFERROR(SUMIF(Nutzungsprofile!$B$17:$B$22,"Schulbetrieb",Nutzungsprofile!$G$17:$G$22)*Kalender!C190/SUM(Kalender!$C$5:$C$370),0)+IFERROR(SUMIF(Nutzungsprofile!$B$17:$B$22,"Halle",Nutzungsprofile!$G$17:$G$22)*Kalender!D190/SUM(Kalender!$D$5:$D$370),0)+IFERROR(SUMIF(Nutzungsprofile!$B$17:$B$22,"Individuell",Nutzungsprofile!$G$17:$G$22)*Kalender!E190/SUM(Kalender!$E$5:$E$370),0))*Szenarien!$D$14,0)</f>
        <v>0.89</v>
      </c>
      <c r="E1288" s="13" t="n">
        <f aca="false">IFERROR(MIN(C1288,Eingaben!$B$17)*Eingaben!$B$16,0)</f>
        <v>1.938</v>
      </c>
      <c r="F1288" s="13" t="n">
        <f aca="false">IFERROR(E1288*Eingaben!$B$15,0)</f>
        <v>1.7442</v>
      </c>
      <c r="G1288" s="13" t="n">
        <f aca="false">IFERROR(IF(Kalender!A190="",0,J1287*(1-Eingaben!$B$20)),0)</f>
        <v>1.709316</v>
      </c>
      <c r="H1288" s="13" t="n">
        <f aca="false">MIN(G1288,D1288)</f>
        <v>0.89</v>
      </c>
      <c r="I1288" s="13" t="n">
        <f aca="false">IFERROR(MIN(F1288*Eingaben!$B$19,MAX(0,D1288-H1288)),0)</f>
        <v>0</v>
      </c>
      <c r="J1288" s="13" t="n">
        <f aca="false">IFERROR(MIN(Eingaben!$B$18,MAX(0,F1288-I1288)),0)</f>
        <v>1.7442</v>
      </c>
      <c r="K1288" s="13" t="n">
        <f aca="false">H1288+I1288</f>
        <v>0.89</v>
      </c>
      <c r="L1288" s="13" t="n">
        <f aca="false">MAX(0,D1288-K1288)</f>
        <v>0</v>
      </c>
      <c r="M1288" s="13" t="n">
        <f aca="false">MAX(0,F1288-I1288-J1288)</f>
        <v>0</v>
      </c>
      <c r="N1288" s="13" t="n">
        <f aca="false">IF(Kalender!A190="",0,J1287-H1288)</f>
        <v>0.8542</v>
      </c>
    </row>
    <row r="1289" customFormat="false" ht="16.4" hidden="false" customHeight="false" outlineLevel="0" collapsed="false">
      <c r="A1289" s="13" t="str">
        <f aca="false">""</f>
        <v/>
      </c>
      <c r="B1289" s="13" t="n">
        <f aca="false">187</f>
        <v>187</v>
      </c>
      <c r="C1289" s="13" t="n">
        <f aca="false">IF(Szenarien!$H$14="OK",(IFERROR(SUMIF(Nutzungsprofile!$B$6:$B$11,"Schulbetrieb",Nutzungsprofile!$G$6:$G$11)*Kalender!C191/SUM(Kalender!$C$5:$C$370),0)+IFERROR(SUMIF(Nutzungsprofile!$B$6:$B$11,"Halle",Nutzungsprofile!$G$6:$G$11)*Kalender!D191/SUM(Kalender!$D$5:$D$370),0)+IFERROR(SUMIF(Nutzungsprofile!$B$6:$B$11,"Individuell",Nutzungsprofile!$G$6:$G$11)*Kalender!E191/SUM(Kalender!$E$5:$E$370),0))*Szenarien!$E$14,0)</f>
        <v>2.04</v>
      </c>
      <c r="D1289" s="13" t="n">
        <f aca="false">IF(Szenarien!$H$14="OK",(IFERROR(SUMIF(Nutzungsprofile!$B$17:$B$22,"Schulbetrieb",Nutzungsprofile!$G$17:$G$22)*Kalender!C191/SUM(Kalender!$C$5:$C$370),0)+IFERROR(SUMIF(Nutzungsprofile!$B$17:$B$22,"Halle",Nutzungsprofile!$G$17:$G$22)*Kalender!D191/SUM(Kalender!$D$5:$D$370),0)+IFERROR(SUMIF(Nutzungsprofile!$B$17:$B$22,"Individuell",Nutzungsprofile!$G$17:$G$22)*Kalender!E191/SUM(Kalender!$E$5:$E$370),0))*Szenarien!$D$14,0)</f>
        <v>0.89</v>
      </c>
      <c r="E1289" s="13" t="n">
        <f aca="false">IFERROR(MIN(C1289,Eingaben!$B$17)*Eingaben!$B$16,0)</f>
        <v>1.938</v>
      </c>
      <c r="F1289" s="13" t="n">
        <f aca="false">IFERROR(E1289*Eingaben!$B$15,0)</f>
        <v>1.7442</v>
      </c>
      <c r="G1289" s="13" t="n">
        <f aca="false">IFERROR(IF(Kalender!A191="",0,J1288*(1-Eingaben!$B$20)),0)</f>
        <v>1.709316</v>
      </c>
      <c r="H1289" s="13" t="n">
        <f aca="false">MIN(G1289,D1289)</f>
        <v>0.89</v>
      </c>
      <c r="I1289" s="13" t="n">
        <f aca="false">IFERROR(MIN(F1289*Eingaben!$B$19,MAX(0,D1289-H1289)),0)</f>
        <v>0</v>
      </c>
      <c r="J1289" s="13" t="n">
        <f aca="false">IFERROR(MIN(Eingaben!$B$18,MAX(0,F1289-I1289)),0)</f>
        <v>1.7442</v>
      </c>
      <c r="K1289" s="13" t="n">
        <f aca="false">H1289+I1289</f>
        <v>0.89</v>
      </c>
      <c r="L1289" s="13" t="n">
        <f aca="false">MAX(0,D1289-K1289)</f>
        <v>0</v>
      </c>
      <c r="M1289" s="13" t="n">
        <f aca="false">MAX(0,F1289-I1289-J1289)</f>
        <v>0</v>
      </c>
      <c r="N1289" s="13" t="n">
        <f aca="false">IF(Kalender!A191="",0,J1288-H1289)</f>
        <v>0.8542</v>
      </c>
    </row>
    <row r="1290" customFormat="false" ht="16.4" hidden="false" customHeight="false" outlineLevel="0" collapsed="false">
      <c r="A1290" s="13" t="str">
        <f aca="false">""</f>
        <v/>
      </c>
      <c r="B1290" s="13" t="n">
        <f aca="false">188</f>
        <v>188</v>
      </c>
      <c r="C1290" s="13" t="n">
        <f aca="false">IF(Szenarien!$H$14="OK",(IFERROR(SUMIF(Nutzungsprofile!$B$6:$B$11,"Schulbetrieb",Nutzungsprofile!$G$6:$G$11)*Kalender!C192/SUM(Kalender!$C$5:$C$370),0)+IFERROR(SUMIF(Nutzungsprofile!$B$6:$B$11,"Halle",Nutzungsprofile!$G$6:$G$11)*Kalender!D192/SUM(Kalender!$D$5:$D$370),0)+IFERROR(SUMIF(Nutzungsprofile!$B$6:$B$11,"Individuell",Nutzungsprofile!$G$6:$G$11)*Kalender!E192/SUM(Kalender!$E$5:$E$370),0))*Szenarien!$E$14,0)</f>
        <v>2.04</v>
      </c>
      <c r="D1290" s="13" t="n">
        <f aca="false">IF(Szenarien!$H$14="OK",(IFERROR(SUMIF(Nutzungsprofile!$B$17:$B$22,"Schulbetrieb",Nutzungsprofile!$G$17:$G$22)*Kalender!C192/SUM(Kalender!$C$5:$C$370),0)+IFERROR(SUMIF(Nutzungsprofile!$B$17:$B$22,"Halle",Nutzungsprofile!$G$17:$G$22)*Kalender!D192/SUM(Kalender!$D$5:$D$370),0)+IFERROR(SUMIF(Nutzungsprofile!$B$17:$B$22,"Individuell",Nutzungsprofile!$G$17:$G$22)*Kalender!E192/SUM(Kalender!$E$5:$E$370),0))*Szenarien!$D$14,0)</f>
        <v>0.89</v>
      </c>
      <c r="E1290" s="13" t="n">
        <f aca="false">IFERROR(MIN(C1290,Eingaben!$B$17)*Eingaben!$B$16,0)</f>
        <v>1.938</v>
      </c>
      <c r="F1290" s="13" t="n">
        <f aca="false">IFERROR(E1290*Eingaben!$B$15,0)</f>
        <v>1.7442</v>
      </c>
      <c r="G1290" s="13" t="n">
        <f aca="false">IFERROR(IF(Kalender!A192="",0,J1289*(1-Eingaben!$B$20)),0)</f>
        <v>1.709316</v>
      </c>
      <c r="H1290" s="13" t="n">
        <f aca="false">MIN(G1290,D1290)</f>
        <v>0.89</v>
      </c>
      <c r="I1290" s="13" t="n">
        <f aca="false">IFERROR(MIN(F1290*Eingaben!$B$19,MAX(0,D1290-H1290)),0)</f>
        <v>0</v>
      </c>
      <c r="J1290" s="13" t="n">
        <f aca="false">IFERROR(MIN(Eingaben!$B$18,MAX(0,F1290-I1290)),0)</f>
        <v>1.7442</v>
      </c>
      <c r="K1290" s="13" t="n">
        <f aca="false">H1290+I1290</f>
        <v>0.89</v>
      </c>
      <c r="L1290" s="13" t="n">
        <f aca="false">MAX(0,D1290-K1290)</f>
        <v>0</v>
      </c>
      <c r="M1290" s="13" t="n">
        <f aca="false">MAX(0,F1290-I1290-J1290)</f>
        <v>0</v>
      </c>
      <c r="N1290" s="13" t="n">
        <f aca="false">IF(Kalender!A192="",0,J1289-H1290)</f>
        <v>0.8542</v>
      </c>
    </row>
    <row r="1291" customFormat="false" ht="16.4" hidden="false" customHeight="false" outlineLevel="0" collapsed="false">
      <c r="A1291" s="13" t="str">
        <f aca="false">""</f>
        <v/>
      </c>
      <c r="B1291" s="13" t="n">
        <f aca="false">189</f>
        <v>189</v>
      </c>
      <c r="C1291" s="13" t="n">
        <f aca="false">IF(Szenarien!$H$14="OK",(IFERROR(SUMIF(Nutzungsprofile!$B$6:$B$11,"Schulbetrieb",Nutzungsprofile!$G$6:$G$11)*Kalender!C193/SUM(Kalender!$C$5:$C$370),0)+IFERROR(SUMIF(Nutzungsprofile!$B$6:$B$11,"Halle",Nutzungsprofile!$G$6:$G$11)*Kalender!D193/SUM(Kalender!$D$5:$D$370),0)+IFERROR(SUMIF(Nutzungsprofile!$B$6:$B$11,"Individuell",Nutzungsprofile!$G$6:$G$11)*Kalender!E193/SUM(Kalender!$E$5:$E$370),0))*Szenarien!$E$14,0)</f>
        <v>2.04</v>
      </c>
      <c r="D1291" s="13" t="n">
        <f aca="false">IF(Szenarien!$H$14="OK",(IFERROR(SUMIF(Nutzungsprofile!$B$17:$B$22,"Schulbetrieb",Nutzungsprofile!$G$17:$G$22)*Kalender!C193/SUM(Kalender!$C$5:$C$370),0)+IFERROR(SUMIF(Nutzungsprofile!$B$17:$B$22,"Halle",Nutzungsprofile!$G$17:$G$22)*Kalender!D193/SUM(Kalender!$D$5:$D$370),0)+IFERROR(SUMIF(Nutzungsprofile!$B$17:$B$22,"Individuell",Nutzungsprofile!$G$17:$G$22)*Kalender!E193/SUM(Kalender!$E$5:$E$370),0))*Szenarien!$D$14,0)</f>
        <v>0.89</v>
      </c>
      <c r="E1291" s="13" t="n">
        <f aca="false">IFERROR(MIN(C1291,Eingaben!$B$17)*Eingaben!$B$16,0)</f>
        <v>1.938</v>
      </c>
      <c r="F1291" s="13" t="n">
        <f aca="false">IFERROR(E1291*Eingaben!$B$15,0)</f>
        <v>1.7442</v>
      </c>
      <c r="G1291" s="13" t="n">
        <f aca="false">IFERROR(IF(Kalender!A193="",0,J1290*(1-Eingaben!$B$20)),0)</f>
        <v>1.709316</v>
      </c>
      <c r="H1291" s="13" t="n">
        <f aca="false">MIN(G1291,D1291)</f>
        <v>0.89</v>
      </c>
      <c r="I1291" s="13" t="n">
        <f aca="false">IFERROR(MIN(F1291*Eingaben!$B$19,MAX(0,D1291-H1291)),0)</f>
        <v>0</v>
      </c>
      <c r="J1291" s="13" t="n">
        <f aca="false">IFERROR(MIN(Eingaben!$B$18,MAX(0,F1291-I1291)),0)</f>
        <v>1.7442</v>
      </c>
      <c r="K1291" s="13" t="n">
        <f aca="false">H1291+I1291</f>
        <v>0.89</v>
      </c>
      <c r="L1291" s="13" t="n">
        <f aca="false">MAX(0,D1291-K1291)</f>
        <v>0</v>
      </c>
      <c r="M1291" s="13" t="n">
        <f aca="false">MAX(0,F1291-I1291-J1291)</f>
        <v>0</v>
      </c>
      <c r="N1291" s="13" t="n">
        <f aca="false">IF(Kalender!A193="",0,J1290-H1291)</f>
        <v>0.8542</v>
      </c>
    </row>
    <row r="1292" customFormat="false" ht="16.4" hidden="false" customHeight="false" outlineLevel="0" collapsed="false">
      <c r="A1292" s="13" t="str">
        <f aca="false">""</f>
        <v/>
      </c>
      <c r="B1292" s="13" t="n">
        <f aca="false">190</f>
        <v>190</v>
      </c>
      <c r="C1292" s="13" t="n">
        <f aca="false">IF(Szenarien!$H$14="OK",(IFERROR(SUMIF(Nutzungsprofile!$B$6:$B$11,"Schulbetrieb",Nutzungsprofile!$G$6:$G$11)*Kalender!C194/SUM(Kalender!$C$5:$C$370),0)+IFERROR(SUMIF(Nutzungsprofile!$B$6:$B$11,"Halle",Nutzungsprofile!$G$6:$G$11)*Kalender!D194/SUM(Kalender!$D$5:$D$370),0)+IFERROR(SUMIF(Nutzungsprofile!$B$6:$B$11,"Individuell",Nutzungsprofile!$G$6:$G$11)*Kalender!E194/SUM(Kalender!$E$5:$E$370),0))*Szenarien!$E$14,0)</f>
        <v>2.04</v>
      </c>
      <c r="D1292" s="13" t="n">
        <f aca="false">IF(Szenarien!$H$14="OK",(IFERROR(SUMIF(Nutzungsprofile!$B$17:$B$22,"Schulbetrieb",Nutzungsprofile!$G$17:$G$22)*Kalender!C194/SUM(Kalender!$C$5:$C$370),0)+IFERROR(SUMIF(Nutzungsprofile!$B$17:$B$22,"Halle",Nutzungsprofile!$G$17:$G$22)*Kalender!D194/SUM(Kalender!$D$5:$D$370),0)+IFERROR(SUMIF(Nutzungsprofile!$B$17:$B$22,"Individuell",Nutzungsprofile!$G$17:$G$22)*Kalender!E194/SUM(Kalender!$E$5:$E$370),0))*Szenarien!$D$14,0)</f>
        <v>0.89</v>
      </c>
      <c r="E1292" s="13" t="n">
        <f aca="false">IFERROR(MIN(C1292,Eingaben!$B$17)*Eingaben!$B$16,0)</f>
        <v>1.938</v>
      </c>
      <c r="F1292" s="13" t="n">
        <f aca="false">IFERROR(E1292*Eingaben!$B$15,0)</f>
        <v>1.7442</v>
      </c>
      <c r="G1292" s="13" t="n">
        <f aca="false">IFERROR(IF(Kalender!A194="",0,J1291*(1-Eingaben!$B$20)),0)</f>
        <v>1.709316</v>
      </c>
      <c r="H1292" s="13" t="n">
        <f aca="false">MIN(G1292,D1292)</f>
        <v>0.89</v>
      </c>
      <c r="I1292" s="13" t="n">
        <f aca="false">IFERROR(MIN(F1292*Eingaben!$B$19,MAX(0,D1292-H1292)),0)</f>
        <v>0</v>
      </c>
      <c r="J1292" s="13" t="n">
        <f aca="false">IFERROR(MIN(Eingaben!$B$18,MAX(0,F1292-I1292)),0)</f>
        <v>1.7442</v>
      </c>
      <c r="K1292" s="13" t="n">
        <f aca="false">H1292+I1292</f>
        <v>0.89</v>
      </c>
      <c r="L1292" s="13" t="n">
        <f aca="false">MAX(0,D1292-K1292)</f>
        <v>0</v>
      </c>
      <c r="M1292" s="13" t="n">
        <f aca="false">MAX(0,F1292-I1292-J1292)</f>
        <v>0</v>
      </c>
      <c r="N1292" s="13" t="n">
        <f aca="false">IF(Kalender!A194="",0,J1291-H1292)</f>
        <v>0.8542</v>
      </c>
    </row>
    <row r="1293" customFormat="false" ht="16.4" hidden="false" customHeight="false" outlineLevel="0" collapsed="false">
      <c r="A1293" s="13" t="str">
        <f aca="false">""</f>
        <v/>
      </c>
      <c r="B1293" s="13" t="n">
        <f aca="false">191</f>
        <v>191</v>
      </c>
      <c r="C1293" s="13" t="n">
        <f aca="false">IF(Szenarien!$H$14="OK",(IFERROR(SUMIF(Nutzungsprofile!$B$6:$B$11,"Schulbetrieb",Nutzungsprofile!$G$6:$G$11)*Kalender!C195/SUM(Kalender!$C$5:$C$370),0)+IFERROR(SUMIF(Nutzungsprofile!$B$6:$B$11,"Halle",Nutzungsprofile!$G$6:$G$11)*Kalender!D195/SUM(Kalender!$D$5:$D$370),0)+IFERROR(SUMIF(Nutzungsprofile!$B$6:$B$11,"Individuell",Nutzungsprofile!$G$6:$G$11)*Kalender!E195/SUM(Kalender!$E$5:$E$370),0))*Szenarien!$E$14,0)</f>
        <v>2.04</v>
      </c>
      <c r="D1293" s="13" t="n">
        <f aca="false">IF(Szenarien!$H$14="OK",(IFERROR(SUMIF(Nutzungsprofile!$B$17:$B$22,"Schulbetrieb",Nutzungsprofile!$G$17:$G$22)*Kalender!C195/SUM(Kalender!$C$5:$C$370),0)+IFERROR(SUMIF(Nutzungsprofile!$B$17:$B$22,"Halle",Nutzungsprofile!$G$17:$G$22)*Kalender!D195/SUM(Kalender!$D$5:$D$370),0)+IFERROR(SUMIF(Nutzungsprofile!$B$17:$B$22,"Individuell",Nutzungsprofile!$G$17:$G$22)*Kalender!E195/SUM(Kalender!$E$5:$E$370),0))*Szenarien!$D$14,0)</f>
        <v>0.89</v>
      </c>
      <c r="E1293" s="13" t="n">
        <f aca="false">IFERROR(MIN(C1293,Eingaben!$B$17)*Eingaben!$B$16,0)</f>
        <v>1.938</v>
      </c>
      <c r="F1293" s="13" t="n">
        <f aca="false">IFERROR(E1293*Eingaben!$B$15,0)</f>
        <v>1.7442</v>
      </c>
      <c r="G1293" s="13" t="n">
        <f aca="false">IFERROR(IF(Kalender!A195="",0,J1292*(1-Eingaben!$B$20)),0)</f>
        <v>1.709316</v>
      </c>
      <c r="H1293" s="13" t="n">
        <f aca="false">MIN(G1293,D1293)</f>
        <v>0.89</v>
      </c>
      <c r="I1293" s="13" t="n">
        <f aca="false">IFERROR(MIN(F1293*Eingaben!$B$19,MAX(0,D1293-H1293)),0)</f>
        <v>0</v>
      </c>
      <c r="J1293" s="13" t="n">
        <f aca="false">IFERROR(MIN(Eingaben!$B$18,MAX(0,F1293-I1293)),0)</f>
        <v>1.7442</v>
      </c>
      <c r="K1293" s="13" t="n">
        <f aca="false">H1293+I1293</f>
        <v>0.89</v>
      </c>
      <c r="L1293" s="13" t="n">
        <f aca="false">MAX(0,D1293-K1293)</f>
        <v>0</v>
      </c>
      <c r="M1293" s="13" t="n">
        <f aca="false">MAX(0,F1293-I1293-J1293)</f>
        <v>0</v>
      </c>
      <c r="N1293" s="13" t="n">
        <f aca="false">IF(Kalender!A195="",0,J1292-H1293)</f>
        <v>0.8542</v>
      </c>
    </row>
    <row r="1294" customFormat="false" ht="16.4" hidden="false" customHeight="false" outlineLevel="0" collapsed="false">
      <c r="A1294" s="13" t="str">
        <f aca="false">""</f>
        <v/>
      </c>
      <c r="B1294" s="13" t="n">
        <f aca="false">192</f>
        <v>192</v>
      </c>
      <c r="C1294" s="13" t="n">
        <f aca="false">IF(Szenarien!$H$14="OK",(IFERROR(SUMIF(Nutzungsprofile!$B$6:$B$11,"Schulbetrieb",Nutzungsprofile!$G$6:$G$11)*Kalender!C196/SUM(Kalender!$C$5:$C$370),0)+IFERROR(SUMIF(Nutzungsprofile!$B$6:$B$11,"Halle",Nutzungsprofile!$G$6:$G$11)*Kalender!D196/SUM(Kalender!$D$5:$D$370),0)+IFERROR(SUMIF(Nutzungsprofile!$B$6:$B$11,"Individuell",Nutzungsprofile!$G$6:$G$11)*Kalender!E196/SUM(Kalender!$E$5:$E$370),0))*Szenarien!$E$14,0)</f>
        <v>2.04</v>
      </c>
      <c r="D1294" s="13" t="n">
        <f aca="false">IF(Szenarien!$H$14="OK",(IFERROR(SUMIF(Nutzungsprofile!$B$17:$B$22,"Schulbetrieb",Nutzungsprofile!$G$17:$G$22)*Kalender!C196/SUM(Kalender!$C$5:$C$370),0)+IFERROR(SUMIF(Nutzungsprofile!$B$17:$B$22,"Halle",Nutzungsprofile!$G$17:$G$22)*Kalender!D196/SUM(Kalender!$D$5:$D$370),0)+IFERROR(SUMIF(Nutzungsprofile!$B$17:$B$22,"Individuell",Nutzungsprofile!$G$17:$G$22)*Kalender!E196/SUM(Kalender!$E$5:$E$370),0))*Szenarien!$D$14,0)</f>
        <v>0.89</v>
      </c>
      <c r="E1294" s="13" t="n">
        <f aca="false">IFERROR(MIN(C1294,Eingaben!$B$17)*Eingaben!$B$16,0)</f>
        <v>1.938</v>
      </c>
      <c r="F1294" s="13" t="n">
        <f aca="false">IFERROR(E1294*Eingaben!$B$15,0)</f>
        <v>1.7442</v>
      </c>
      <c r="G1294" s="13" t="n">
        <f aca="false">IFERROR(IF(Kalender!A196="",0,J1293*(1-Eingaben!$B$20)),0)</f>
        <v>1.709316</v>
      </c>
      <c r="H1294" s="13" t="n">
        <f aca="false">MIN(G1294,D1294)</f>
        <v>0.89</v>
      </c>
      <c r="I1294" s="13" t="n">
        <f aca="false">IFERROR(MIN(F1294*Eingaben!$B$19,MAX(0,D1294-H1294)),0)</f>
        <v>0</v>
      </c>
      <c r="J1294" s="13" t="n">
        <f aca="false">IFERROR(MIN(Eingaben!$B$18,MAX(0,F1294-I1294)),0)</f>
        <v>1.7442</v>
      </c>
      <c r="K1294" s="13" t="n">
        <f aca="false">H1294+I1294</f>
        <v>0.89</v>
      </c>
      <c r="L1294" s="13" t="n">
        <f aca="false">MAX(0,D1294-K1294)</f>
        <v>0</v>
      </c>
      <c r="M1294" s="13" t="n">
        <f aca="false">MAX(0,F1294-I1294-J1294)</f>
        <v>0</v>
      </c>
      <c r="N1294" s="13" t="n">
        <f aca="false">IF(Kalender!A196="",0,J1293-H1294)</f>
        <v>0.8542</v>
      </c>
    </row>
    <row r="1295" customFormat="false" ht="16.4" hidden="false" customHeight="false" outlineLevel="0" collapsed="false">
      <c r="A1295" s="13" t="str">
        <f aca="false">""</f>
        <v/>
      </c>
      <c r="B1295" s="13" t="n">
        <f aca="false">193</f>
        <v>193</v>
      </c>
      <c r="C1295" s="13" t="n">
        <f aca="false">IF(Szenarien!$H$14="OK",(IFERROR(SUMIF(Nutzungsprofile!$B$6:$B$11,"Schulbetrieb",Nutzungsprofile!$G$6:$G$11)*Kalender!C197/SUM(Kalender!$C$5:$C$370),0)+IFERROR(SUMIF(Nutzungsprofile!$B$6:$B$11,"Halle",Nutzungsprofile!$G$6:$G$11)*Kalender!D197/SUM(Kalender!$D$5:$D$370),0)+IFERROR(SUMIF(Nutzungsprofile!$B$6:$B$11,"Individuell",Nutzungsprofile!$G$6:$G$11)*Kalender!E197/SUM(Kalender!$E$5:$E$370),0))*Szenarien!$E$14,0)</f>
        <v>2.04</v>
      </c>
      <c r="D1295" s="13" t="n">
        <f aca="false">IF(Szenarien!$H$14="OK",(IFERROR(SUMIF(Nutzungsprofile!$B$17:$B$22,"Schulbetrieb",Nutzungsprofile!$G$17:$G$22)*Kalender!C197/SUM(Kalender!$C$5:$C$370),0)+IFERROR(SUMIF(Nutzungsprofile!$B$17:$B$22,"Halle",Nutzungsprofile!$G$17:$G$22)*Kalender!D197/SUM(Kalender!$D$5:$D$370),0)+IFERROR(SUMIF(Nutzungsprofile!$B$17:$B$22,"Individuell",Nutzungsprofile!$G$17:$G$22)*Kalender!E197/SUM(Kalender!$E$5:$E$370),0))*Szenarien!$D$14,0)</f>
        <v>0.89</v>
      </c>
      <c r="E1295" s="13" t="n">
        <f aca="false">IFERROR(MIN(C1295,Eingaben!$B$17)*Eingaben!$B$16,0)</f>
        <v>1.938</v>
      </c>
      <c r="F1295" s="13" t="n">
        <f aca="false">IFERROR(E1295*Eingaben!$B$15,0)</f>
        <v>1.7442</v>
      </c>
      <c r="G1295" s="13" t="n">
        <f aca="false">IFERROR(IF(Kalender!A197="",0,J1294*(1-Eingaben!$B$20)),0)</f>
        <v>1.709316</v>
      </c>
      <c r="H1295" s="13" t="n">
        <f aca="false">MIN(G1295,D1295)</f>
        <v>0.89</v>
      </c>
      <c r="I1295" s="13" t="n">
        <f aca="false">IFERROR(MIN(F1295*Eingaben!$B$19,MAX(0,D1295-H1295)),0)</f>
        <v>0</v>
      </c>
      <c r="J1295" s="13" t="n">
        <f aca="false">IFERROR(MIN(Eingaben!$B$18,MAX(0,F1295-I1295)),0)</f>
        <v>1.7442</v>
      </c>
      <c r="K1295" s="13" t="n">
        <f aca="false">H1295+I1295</f>
        <v>0.89</v>
      </c>
      <c r="L1295" s="13" t="n">
        <f aca="false">MAX(0,D1295-K1295)</f>
        <v>0</v>
      </c>
      <c r="M1295" s="13" t="n">
        <f aca="false">MAX(0,F1295-I1295-J1295)</f>
        <v>0</v>
      </c>
      <c r="N1295" s="13" t="n">
        <f aca="false">IF(Kalender!A197="",0,J1294-H1295)</f>
        <v>0.8542</v>
      </c>
    </row>
    <row r="1296" customFormat="false" ht="16.4" hidden="false" customHeight="false" outlineLevel="0" collapsed="false">
      <c r="A1296" s="13" t="str">
        <f aca="false">""</f>
        <v/>
      </c>
      <c r="B1296" s="13" t="n">
        <f aca="false">194</f>
        <v>194</v>
      </c>
      <c r="C1296" s="13" t="n">
        <f aca="false">IF(Szenarien!$H$14="OK",(IFERROR(SUMIF(Nutzungsprofile!$B$6:$B$11,"Schulbetrieb",Nutzungsprofile!$G$6:$G$11)*Kalender!C198/SUM(Kalender!$C$5:$C$370),0)+IFERROR(SUMIF(Nutzungsprofile!$B$6:$B$11,"Halle",Nutzungsprofile!$G$6:$G$11)*Kalender!D198/SUM(Kalender!$D$5:$D$370),0)+IFERROR(SUMIF(Nutzungsprofile!$B$6:$B$11,"Individuell",Nutzungsprofile!$G$6:$G$11)*Kalender!E198/SUM(Kalender!$E$5:$E$370),0))*Szenarien!$E$14,0)</f>
        <v>2.04</v>
      </c>
      <c r="D1296" s="13" t="n">
        <f aca="false">IF(Szenarien!$H$14="OK",(IFERROR(SUMIF(Nutzungsprofile!$B$17:$B$22,"Schulbetrieb",Nutzungsprofile!$G$17:$G$22)*Kalender!C198/SUM(Kalender!$C$5:$C$370),0)+IFERROR(SUMIF(Nutzungsprofile!$B$17:$B$22,"Halle",Nutzungsprofile!$G$17:$G$22)*Kalender!D198/SUM(Kalender!$D$5:$D$370),0)+IFERROR(SUMIF(Nutzungsprofile!$B$17:$B$22,"Individuell",Nutzungsprofile!$G$17:$G$22)*Kalender!E198/SUM(Kalender!$E$5:$E$370),0))*Szenarien!$D$14,0)</f>
        <v>0.89</v>
      </c>
      <c r="E1296" s="13" t="n">
        <f aca="false">IFERROR(MIN(C1296,Eingaben!$B$17)*Eingaben!$B$16,0)</f>
        <v>1.938</v>
      </c>
      <c r="F1296" s="13" t="n">
        <f aca="false">IFERROR(E1296*Eingaben!$B$15,0)</f>
        <v>1.7442</v>
      </c>
      <c r="G1296" s="13" t="n">
        <f aca="false">IFERROR(IF(Kalender!A198="",0,J1295*(1-Eingaben!$B$20)),0)</f>
        <v>1.709316</v>
      </c>
      <c r="H1296" s="13" t="n">
        <f aca="false">MIN(G1296,D1296)</f>
        <v>0.89</v>
      </c>
      <c r="I1296" s="13" t="n">
        <f aca="false">IFERROR(MIN(F1296*Eingaben!$B$19,MAX(0,D1296-H1296)),0)</f>
        <v>0</v>
      </c>
      <c r="J1296" s="13" t="n">
        <f aca="false">IFERROR(MIN(Eingaben!$B$18,MAX(0,F1296-I1296)),0)</f>
        <v>1.7442</v>
      </c>
      <c r="K1296" s="13" t="n">
        <f aca="false">H1296+I1296</f>
        <v>0.89</v>
      </c>
      <c r="L1296" s="13" t="n">
        <f aca="false">MAX(0,D1296-K1296)</f>
        <v>0</v>
      </c>
      <c r="M1296" s="13" t="n">
        <f aca="false">MAX(0,F1296-I1296-J1296)</f>
        <v>0</v>
      </c>
      <c r="N1296" s="13" t="n">
        <f aca="false">IF(Kalender!A198="",0,J1295-H1296)</f>
        <v>0.8542</v>
      </c>
    </row>
    <row r="1297" customFormat="false" ht="16.4" hidden="false" customHeight="false" outlineLevel="0" collapsed="false">
      <c r="A1297" s="13" t="str">
        <f aca="false">""</f>
        <v/>
      </c>
      <c r="B1297" s="13" t="n">
        <f aca="false">195</f>
        <v>195</v>
      </c>
      <c r="C1297" s="13" t="n">
        <f aca="false">IF(Szenarien!$H$14="OK",(IFERROR(SUMIF(Nutzungsprofile!$B$6:$B$11,"Schulbetrieb",Nutzungsprofile!$G$6:$G$11)*Kalender!C199/SUM(Kalender!$C$5:$C$370),0)+IFERROR(SUMIF(Nutzungsprofile!$B$6:$B$11,"Halle",Nutzungsprofile!$G$6:$G$11)*Kalender!D199/SUM(Kalender!$D$5:$D$370),0)+IFERROR(SUMIF(Nutzungsprofile!$B$6:$B$11,"Individuell",Nutzungsprofile!$G$6:$G$11)*Kalender!E199/SUM(Kalender!$E$5:$E$370),0))*Szenarien!$E$14,0)</f>
        <v>2.04</v>
      </c>
      <c r="D1297" s="13" t="n">
        <f aca="false">IF(Szenarien!$H$14="OK",(IFERROR(SUMIF(Nutzungsprofile!$B$17:$B$22,"Schulbetrieb",Nutzungsprofile!$G$17:$G$22)*Kalender!C199/SUM(Kalender!$C$5:$C$370),0)+IFERROR(SUMIF(Nutzungsprofile!$B$17:$B$22,"Halle",Nutzungsprofile!$G$17:$G$22)*Kalender!D199/SUM(Kalender!$D$5:$D$370),0)+IFERROR(SUMIF(Nutzungsprofile!$B$17:$B$22,"Individuell",Nutzungsprofile!$G$17:$G$22)*Kalender!E199/SUM(Kalender!$E$5:$E$370),0))*Szenarien!$D$14,0)</f>
        <v>0.89</v>
      </c>
      <c r="E1297" s="13" t="n">
        <f aca="false">IFERROR(MIN(C1297,Eingaben!$B$17)*Eingaben!$B$16,0)</f>
        <v>1.938</v>
      </c>
      <c r="F1297" s="13" t="n">
        <f aca="false">IFERROR(E1297*Eingaben!$B$15,0)</f>
        <v>1.7442</v>
      </c>
      <c r="G1297" s="13" t="n">
        <f aca="false">IFERROR(IF(Kalender!A199="",0,J1296*(1-Eingaben!$B$20)),0)</f>
        <v>1.709316</v>
      </c>
      <c r="H1297" s="13" t="n">
        <f aca="false">MIN(G1297,D1297)</f>
        <v>0.89</v>
      </c>
      <c r="I1297" s="13" t="n">
        <f aca="false">IFERROR(MIN(F1297*Eingaben!$B$19,MAX(0,D1297-H1297)),0)</f>
        <v>0</v>
      </c>
      <c r="J1297" s="13" t="n">
        <f aca="false">IFERROR(MIN(Eingaben!$B$18,MAX(0,F1297-I1297)),0)</f>
        <v>1.7442</v>
      </c>
      <c r="K1297" s="13" t="n">
        <f aca="false">H1297+I1297</f>
        <v>0.89</v>
      </c>
      <c r="L1297" s="13" t="n">
        <f aca="false">MAX(0,D1297-K1297)</f>
        <v>0</v>
      </c>
      <c r="M1297" s="13" t="n">
        <f aca="false">MAX(0,F1297-I1297-J1297)</f>
        <v>0</v>
      </c>
      <c r="N1297" s="13" t="n">
        <f aca="false">IF(Kalender!A199="",0,J1296-H1297)</f>
        <v>0.8542</v>
      </c>
    </row>
    <row r="1298" customFormat="false" ht="16.4" hidden="false" customHeight="false" outlineLevel="0" collapsed="false">
      <c r="A1298" s="13" t="str">
        <f aca="false">""</f>
        <v/>
      </c>
      <c r="B1298" s="13" t="n">
        <f aca="false">196</f>
        <v>196</v>
      </c>
      <c r="C1298" s="13" t="n">
        <f aca="false">IF(Szenarien!$H$14="OK",(IFERROR(SUMIF(Nutzungsprofile!$B$6:$B$11,"Schulbetrieb",Nutzungsprofile!$G$6:$G$11)*Kalender!C200/SUM(Kalender!$C$5:$C$370),0)+IFERROR(SUMIF(Nutzungsprofile!$B$6:$B$11,"Halle",Nutzungsprofile!$G$6:$G$11)*Kalender!D200/SUM(Kalender!$D$5:$D$370),0)+IFERROR(SUMIF(Nutzungsprofile!$B$6:$B$11,"Individuell",Nutzungsprofile!$G$6:$G$11)*Kalender!E200/SUM(Kalender!$E$5:$E$370),0))*Szenarien!$E$14,0)</f>
        <v>2.04</v>
      </c>
      <c r="D1298" s="13" t="n">
        <f aca="false">IF(Szenarien!$H$14="OK",(IFERROR(SUMIF(Nutzungsprofile!$B$17:$B$22,"Schulbetrieb",Nutzungsprofile!$G$17:$G$22)*Kalender!C200/SUM(Kalender!$C$5:$C$370),0)+IFERROR(SUMIF(Nutzungsprofile!$B$17:$B$22,"Halle",Nutzungsprofile!$G$17:$G$22)*Kalender!D200/SUM(Kalender!$D$5:$D$370),0)+IFERROR(SUMIF(Nutzungsprofile!$B$17:$B$22,"Individuell",Nutzungsprofile!$G$17:$G$22)*Kalender!E200/SUM(Kalender!$E$5:$E$370),0))*Szenarien!$D$14,0)</f>
        <v>0.89</v>
      </c>
      <c r="E1298" s="13" t="n">
        <f aca="false">IFERROR(MIN(C1298,Eingaben!$B$17)*Eingaben!$B$16,0)</f>
        <v>1.938</v>
      </c>
      <c r="F1298" s="13" t="n">
        <f aca="false">IFERROR(E1298*Eingaben!$B$15,0)</f>
        <v>1.7442</v>
      </c>
      <c r="G1298" s="13" t="n">
        <f aca="false">IFERROR(IF(Kalender!A200="",0,J1297*(1-Eingaben!$B$20)),0)</f>
        <v>1.709316</v>
      </c>
      <c r="H1298" s="13" t="n">
        <f aca="false">MIN(G1298,D1298)</f>
        <v>0.89</v>
      </c>
      <c r="I1298" s="13" t="n">
        <f aca="false">IFERROR(MIN(F1298*Eingaben!$B$19,MAX(0,D1298-H1298)),0)</f>
        <v>0</v>
      </c>
      <c r="J1298" s="13" t="n">
        <f aca="false">IFERROR(MIN(Eingaben!$B$18,MAX(0,F1298-I1298)),0)</f>
        <v>1.7442</v>
      </c>
      <c r="K1298" s="13" t="n">
        <f aca="false">H1298+I1298</f>
        <v>0.89</v>
      </c>
      <c r="L1298" s="13" t="n">
        <f aca="false">MAX(0,D1298-K1298)</f>
        <v>0</v>
      </c>
      <c r="M1298" s="13" t="n">
        <f aca="false">MAX(0,F1298-I1298-J1298)</f>
        <v>0</v>
      </c>
      <c r="N1298" s="13" t="n">
        <f aca="false">IF(Kalender!A200="",0,J1297-H1298)</f>
        <v>0.8542</v>
      </c>
    </row>
    <row r="1299" customFormat="false" ht="16.4" hidden="false" customHeight="false" outlineLevel="0" collapsed="false">
      <c r="A1299" s="13" t="str">
        <f aca="false">""</f>
        <v/>
      </c>
      <c r="B1299" s="13" t="n">
        <f aca="false">197</f>
        <v>197</v>
      </c>
      <c r="C1299" s="13" t="n">
        <f aca="false">IF(Szenarien!$H$14="OK",(IFERROR(SUMIF(Nutzungsprofile!$B$6:$B$11,"Schulbetrieb",Nutzungsprofile!$G$6:$G$11)*Kalender!C201/SUM(Kalender!$C$5:$C$370),0)+IFERROR(SUMIF(Nutzungsprofile!$B$6:$B$11,"Halle",Nutzungsprofile!$G$6:$G$11)*Kalender!D201/SUM(Kalender!$D$5:$D$370),0)+IFERROR(SUMIF(Nutzungsprofile!$B$6:$B$11,"Individuell",Nutzungsprofile!$G$6:$G$11)*Kalender!E201/SUM(Kalender!$E$5:$E$370),0))*Szenarien!$E$14,0)</f>
        <v>2.04</v>
      </c>
      <c r="D1299" s="13" t="n">
        <f aca="false">IF(Szenarien!$H$14="OK",(IFERROR(SUMIF(Nutzungsprofile!$B$17:$B$22,"Schulbetrieb",Nutzungsprofile!$G$17:$G$22)*Kalender!C201/SUM(Kalender!$C$5:$C$370),0)+IFERROR(SUMIF(Nutzungsprofile!$B$17:$B$22,"Halle",Nutzungsprofile!$G$17:$G$22)*Kalender!D201/SUM(Kalender!$D$5:$D$370),0)+IFERROR(SUMIF(Nutzungsprofile!$B$17:$B$22,"Individuell",Nutzungsprofile!$G$17:$G$22)*Kalender!E201/SUM(Kalender!$E$5:$E$370),0))*Szenarien!$D$14,0)</f>
        <v>0.89</v>
      </c>
      <c r="E1299" s="13" t="n">
        <f aca="false">IFERROR(MIN(C1299,Eingaben!$B$17)*Eingaben!$B$16,0)</f>
        <v>1.938</v>
      </c>
      <c r="F1299" s="13" t="n">
        <f aca="false">IFERROR(E1299*Eingaben!$B$15,0)</f>
        <v>1.7442</v>
      </c>
      <c r="G1299" s="13" t="n">
        <f aca="false">IFERROR(IF(Kalender!A201="",0,J1298*(1-Eingaben!$B$20)),0)</f>
        <v>1.709316</v>
      </c>
      <c r="H1299" s="13" t="n">
        <f aca="false">MIN(G1299,D1299)</f>
        <v>0.89</v>
      </c>
      <c r="I1299" s="13" t="n">
        <f aca="false">IFERROR(MIN(F1299*Eingaben!$B$19,MAX(0,D1299-H1299)),0)</f>
        <v>0</v>
      </c>
      <c r="J1299" s="13" t="n">
        <f aca="false">IFERROR(MIN(Eingaben!$B$18,MAX(0,F1299-I1299)),0)</f>
        <v>1.7442</v>
      </c>
      <c r="K1299" s="13" t="n">
        <f aca="false">H1299+I1299</f>
        <v>0.89</v>
      </c>
      <c r="L1299" s="13" t="n">
        <f aca="false">MAX(0,D1299-K1299)</f>
        <v>0</v>
      </c>
      <c r="M1299" s="13" t="n">
        <f aca="false">MAX(0,F1299-I1299-J1299)</f>
        <v>0</v>
      </c>
      <c r="N1299" s="13" t="n">
        <f aca="false">IF(Kalender!A201="",0,J1298-H1299)</f>
        <v>0.8542</v>
      </c>
    </row>
    <row r="1300" customFormat="false" ht="16.4" hidden="false" customHeight="false" outlineLevel="0" collapsed="false">
      <c r="A1300" s="13" t="str">
        <f aca="false">""</f>
        <v/>
      </c>
      <c r="B1300" s="13" t="n">
        <f aca="false">198</f>
        <v>198</v>
      </c>
      <c r="C1300" s="13" t="n">
        <f aca="false">IF(Szenarien!$H$14="OK",(IFERROR(SUMIF(Nutzungsprofile!$B$6:$B$11,"Schulbetrieb",Nutzungsprofile!$G$6:$G$11)*Kalender!C202/SUM(Kalender!$C$5:$C$370),0)+IFERROR(SUMIF(Nutzungsprofile!$B$6:$B$11,"Halle",Nutzungsprofile!$G$6:$G$11)*Kalender!D202/SUM(Kalender!$D$5:$D$370),0)+IFERROR(SUMIF(Nutzungsprofile!$B$6:$B$11,"Individuell",Nutzungsprofile!$G$6:$G$11)*Kalender!E202/SUM(Kalender!$E$5:$E$370),0))*Szenarien!$E$14,0)</f>
        <v>2.04</v>
      </c>
      <c r="D1300" s="13" t="n">
        <f aca="false">IF(Szenarien!$H$14="OK",(IFERROR(SUMIF(Nutzungsprofile!$B$17:$B$22,"Schulbetrieb",Nutzungsprofile!$G$17:$G$22)*Kalender!C202/SUM(Kalender!$C$5:$C$370),0)+IFERROR(SUMIF(Nutzungsprofile!$B$17:$B$22,"Halle",Nutzungsprofile!$G$17:$G$22)*Kalender!D202/SUM(Kalender!$D$5:$D$370),0)+IFERROR(SUMIF(Nutzungsprofile!$B$17:$B$22,"Individuell",Nutzungsprofile!$G$17:$G$22)*Kalender!E202/SUM(Kalender!$E$5:$E$370),0))*Szenarien!$D$14,0)</f>
        <v>0.89</v>
      </c>
      <c r="E1300" s="13" t="n">
        <f aca="false">IFERROR(MIN(C1300,Eingaben!$B$17)*Eingaben!$B$16,0)</f>
        <v>1.938</v>
      </c>
      <c r="F1300" s="13" t="n">
        <f aca="false">IFERROR(E1300*Eingaben!$B$15,0)</f>
        <v>1.7442</v>
      </c>
      <c r="G1300" s="13" t="n">
        <f aca="false">IFERROR(IF(Kalender!A202="",0,J1299*(1-Eingaben!$B$20)),0)</f>
        <v>1.709316</v>
      </c>
      <c r="H1300" s="13" t="n">
        <f aca="false">MIN(G1300,D1300)</f>
        <v>0.89</v>
      </c>
      <c r="I1300" s="13" t="n">
        <f aca="false">IFERROR(MIN(F1300*Eingaben!$B$19,MAX(0,D1300-H1300)),0)</f>
        <v>0</v>
      </c>
      <c r="J1300" s="13" t="n">
        <f aca="false">IFERROR(MIN(Eingaben!$B$18,MAX(0,F1300-I1300)),0)</f>
        <v>1.7442</v>
      </c>
      <c r="K1300" s="13" t="n">
        <f aca="false">H1300+I1300</f>
        <v>0.89</v>
      </c>
      <c r="L1300" s="13" t="n">
        <f aca="false">MAX(0,D1300-K1300)</f>
        <v>0</v>
      </c>
      <c r="M1300" s="13" t="n">
        <f aca="false">MAX(0,F1300-I1300-J1300)</f>
        <v>0</v>
      </c>
      <c r="N1300" s="13" t="n">
        <f aca="false">IF(Kalender!A202="",0,J1299-H1300)</f>
        <v>0.8542</v>
      </c>
    </row>
    <row r="1301" customFormat="false" ht="16.4" hidden="false" customHeight="false" outlineLevel="0" collapsed="false">
      <c r="A1301" s="13" t="str">
        <f aca="false">""</f>
        <v/>
      </c>
      <c r="B1301" s="13" t="n">
        <f aca="false">199</f>
        <v>199</v>
      </c>
      <c r="C1301" s="13" t="n">
        <f aca="false">IF(Szenarien!$H$14="OK",(IFERROR(SUMIF(Nutzungsprofile!$B$6:$B$11,"Schulbetrieb",Nutzungsprofile!$G$6:$G$11)*Kalender!C203/SUM(Kalender!$C$5:$C$370),0)+IFERROR(SUMIF(Nutzungsprofile!$B$6:$B$11,"Halle",Nutzungsprofile!$G$6:$G$11)*Kalender!D203/SUM(Kalender!$D$5:$D$370),0)+IFERROR(SUMIF(Nutzungsprofile!$B$6:$B$11,"Individuell",Nutzungsprofile!$G$6:$G$11)*Kalender!E203/SUM(Kalender!$E$5:$E$370),0))*Szenarien!$E$14,0)</f>
        <v>2.04</v>
      </c>
      <c r="D1301" s="13" t="n">
        <f aca="false">IF(Szenarien!$H$14="OK",(IFERROR(SUMIF(Nutzungsprofile!$B$17:$B$22,"Schulbetrieb",Nutzungsprofile!$G$17:$G$22)*Kalender!C203/SUM(Kalender!$C$5:$C$370),0)+IFERROR(SUMIF(Nutzungsprofile!$B$17:$B$22,"Halle",Nutzungsprofile!$G$17:$G$22)*Kalender!D203/SUM(Kalender!$D$5:$D$370),0)+IFERROR(SUMIF(Nutzungsprofile!$B$17:$B$22,"Individuell",Nutzungsprofile!$G$17:$G$22)*Kalender!E203/SUM(Kalender!$E$5:$E$370),0))*Szenarien!$D$14,0)</f>
        <v>0.89</v>
      </c>
      <c r="E1301" s="13" t="n">
        <f aca="false">IFERROR(MIN(C1301,Eingaben!$B$17)*Eingaben!$B$16,0)</f>
        <v>1.938</v>
      </c>
      <c r="F1301" s="13" t="n">
        <f aca="false">IFERROR(E1301*Eingaben!$B$15,0)</f>
        <v>1.7442</v>
      </c>
      <c r="G1301" s="13" t="n">
        <f aca="false">IFERROR(IF(Kalender!A203="",0,J1300*(1-Eingaben!$B$20)),0)</f>
        <v>1.709316</v>
      </c>
      <c r="H1301" s="13" t="n">
        <f aca="false">MIN(G1301,D1301)</f>
        <v>0.89</v>
      </c>
      <c r="I1301" s="13" t="n">
        <f aca="false">IFERROR(MIN(F1301*Eingaben!$B$19,MAX(0,D1301-H1301)),0)</f>
        <v>0</v>
      </c>
      <c r="J1301" s="13" t="n">
        <f aca="false">IFERROR(MIN(Eingaben!$B$18,MAX(0,F1301-I1301)),0)</f>
        <v>1.7442</v>
      </c>
      <c r="K1301" s="13" t="n">
        <f aca="false">H1301+I1301</f>
        <v>0.89</v>
      </c>
      <c r="L1301" s="13" t="n">
        <f aca="false">MAX(0,D1301-K1301)</f>
        <v>0</v>
      </c>
      <c r="M1301" s="13" t="n">
        <f aca="false">MAX(0,F1301-I1301-J1301)</f>
        <v>0</v>
      </c>
      <c r="N1301" s="13" t="n">
        <f aca="false">IF(Kalender!A203="",0,J1300-H1301)</f>
        <v>0.8542</v>
      </c>
    </row>
    <row r="1302" customFormat="false" ht="16.4" hidden="false" customHeight="false" outlineLevel="0" collapsed="false">
      <c r="A1302" s="13" t="str">
        <f aca="false">""</f>
        <v/>
      </c>
      <c r="B1302" s="13" t="n">
        <f aca="false">200</f>
        <v>200</v>
      </c>
      <c r="C1302" s="13" t="n">
        <f aca="false">IF(Szenarien!$H$14="OK",(IFERROR(SUMIF(Nutzungsprofile!$B$6:$B$11,"Schulbetrieb",Nutzungsprofile!$G$6:$G$11)*Kalender!C204/SUM(Kalender!$C$5:$C$370),0)+IFERROR(SUMIF(Nutzungsprofile!$B$6:$B$11,"Halle",Nutzungsprofile!$G$6:$G$11)*Kalender!D204/SUM(Kalender!$D$5:$D$370),0)+IFERROR(SUMIF(Nutzungsprofile!$B$6:$B$11,"Individuell",Nutzungsprofile!$G$6:$G$11)*Kalender!E204/SUM(Kalender!$E$5:$E$370),0))*Szenarien!$E$14,0)</f>
        <v>2.04</v>
      </c>
      <c r="D1302" s="13" t="n">
        <f aca="false">IF(Szenarien!$H$14="OK",(IFERROR(SUMIF(Nutzungsprofile!$B$17:$B$22,"Schulbetrieb",Nutzungsprofile!$G$17:$G$22)*Kalender!C204/SUM(Kalender!$C$5:$C$370),0)+IFERROR(SUMIF(Nutzungsprofile!$B$17:$B$22,"Halle",Nutzungsprofile!$G$17:$G$22)*Kalender!D204/SUM(Kalender!$D$5:$D$370),0)+IFERROR(SUMIF(Nutzungsprofile!$B$17:$B$22,"Individuell",Nutzungsprofile!$G$17:$G$22)*Kalender!E204/SUM(Kalender!$E$5:$E$370),0))*Szenarien!$D$14,0)</f>
        <v>0.89</v>
      </c>
      <c r="E1302" s="13" t="n">
        <f aca="false">IFERROR(MIN(C1302,Eingaben!$B$17)*Eingaben!$B$16,0)</f>
        <v>1.938</v>
      </c>
      <c r="F1302" s="13" t="n">
        <f aca="false">IFERROR(E1302*Eingaben!$B$15,0)</f>
        <v>1.7442</v>
      </c>
      <c r="G1302" s="13" t="n">
        <f aca="false">IFERROR(IF(Kalender!A204="",0,J1301*(1-Eingaben!$B$20)),0)</f>
        <v>1.709316</v>
      </c>
      <c r="H1302" s="13" t="n">
        <f aca="false">MIN(G1302,D1302)</f>
        <v>0.89</v>
      </c>
      <c r="I1302" s="13" t="n">
        <f aca="false">IFERROR(MIN(F1302*Eingaben!$B$19,MAX(0,D1302-H1302)),0)</f>
        <v>0</v>
      </c>
      <c r="J1302" s="13" t="n">
        <f aca="false">IFERROR(MIN(Eingaben!$B$18,MAX(0,F1302-I1302)),0)</f>
        <v>1.7442</v>
      </c>
      <c r="K1302" s="13" t="n">
        <f aca="false">H1302+I1302</f>
        <v>0.89</v>
      </c>
      <c r="L1302" s="13" t="n">
        <f aca="false">MAX(0,D1302-K1302)</f>
        <v>0</v>
      </c>
      <c r="M1302" s="13" t="n">
        <f aca="false">MAX(0,F1302-I1302-J1302)</f>
        <v>0</v>
      </c>
      <c r="N1302" s="13" t="n">
        <f aca="false">IF(Kalender!A204="",0,J1301-H1302)</f>
        <v>0.8542</v>
      </c>
    </row>
    <row r="1303" customFormat="false" ht="16.4" hidden="false" customHeight="false" outlineLevel="0" collapsed="false">
      <c r="A1303" s="13" t="str">
        <f aca="false">""</f>
        <v/>
      </c>
      <c r="B1303" s="13" t="n">
        <f aca="false">201</f>
        <v>201</v>
      </c>
      <c r="C1303" s="13" t="n">
        <f aca="false">IF(Szenarien!$H$14="OK",(IFERROR(SUMIF(Nutzungsprofile!$B$6:$B$11,"Schulbetrieb",Nutzungsprofile!$G$6:$G$11)*Kalender!C205/SUM(Kalender!$C$5:$C$370),0)+IFERROR(SUMIF(Nutzungsprofile!$B$6:$B$11,"Halle",Nutzungsprofile!$G$6:$G$11)*Kalender!D205/SUM(Kalender!$D$5:$D$370),0)+IFERROR(SUMIF(Nutzungsprofile!$B$6:$B$11,"Individuell",Nutzungsprofile!$G$6:$G$11)*Kalender!E205/SUM(Kalender!$E$5:$E$370),0))*Szenarien!$E$14,0)</f>
        <v>2.04</v>
      </c>
      <c r="D1303" s="13" t="n">
        <f aca="false">IF(Szenarien!$H$14="OK",(IFERROR(SUMIF(Nutzungsprofile!$B$17:$B$22,"Schulbetrieb",Nutzungsprofile!$G$17:$G$22)*Kalender!C205/SUM(Kalender!$C$5:$C$370),0)+IFERROR(SUMIF(Nutzungsprofile!$B$17:$B$22,"Halle",Nutzungsprofile!$G$17:$G$22)*Kalender!D205/SUM(Kalender!$D$5:$D$370),0)+IFERROR(SUMIF(Nutzungsprofile!$B$17:$B$22,"Individuell",Nutzungsprofile!$G$17:$G$22)*Kalender!E205/SUM(Kalender!$E$5:$E$370),0))*Szenarien!$D$14,0)</f>
        <v>0.89</v>
      </c>
      <c r="E1303" s="13" t="n">
        <f aca="false">IFERROR(MIN(C1303,Eingaben!$B$17)*Eingaben!$B$16,0)</f>
        <v>1.938</v>
      </c>
      <c r="F1303" s="13" t="n">
        <f aca="false">IFERROR(E1303*Eingaben!$B$15,0)</f>
        <v>1.7442</v>
      </c>
      <c r="G1303" s="13" t="n">
        <f aca="false">IFERROR(IF(Kalender!A205="",0,J1302*(1-Eingaben!$B$20)),0)</f>
        <v>1.709316</v>
      </c>
      <c r="H1303" s="13" t="n">
        <f aca="false">MIN(G1303,D1303)</f>
        <v>0.89</v>
      </c>
      <c r="I1303" s="13" t="n">
        <f aca="false">IFERROR(MIN(F1303*Eingaben!$B$19,MAX(0,D1303-H1303)),0)</f>
        <v>0</v>
      </c>
      <c r="J1303" s="13" t="n">
        <f aca="false">IFERROR(MIN(Eingaben!$B$18,MAX(0,F1303-I1303)),0)</f>
        <v>1.7442</v>
      </c>
      <c r="K1303" s="13" t="n">
        <f aca="false">H1303+I1303</f>
        <v>0.89</v>
      </c>
      <c r="L1303" s="13" t="n">
        <f aca="false">MAX(0,D1303-K1303)</f>
        <v>0</v>
      </c>
      <c r="M1303" s="13" t="n">
        <f aca="false">MAX(0,F1303-I1303-J1303)</f>
        <v>0</v>
      </c>
      <c r="N1303" s="13" t="n">
        <f aca="false">IF(Kalender!A205="",0,J1302-H1303)</f>
        <v>0.8542</v>
      </c>
    </row>
    <row r="1304" customFormat="false" ht="16.4" hidden="false" customHeight="false" outlineLevel="0" collapsed="false">
      <c r="A1304" s="13" t="str">
        <f aca="false">""</f>
        <v/>
      </c>
      <c r="B1304" s="13" t="n">
        <f aca="false">202</f>
        <v>202</v>
      </c>
      <c r="C1304" s="13" t="n">
        <f aca="false">IF(Szenarien!$H$14="OK",(IFERROR(SUMIF(Nutzungsprofile!$B$6:$B$11,"Schulbetrieb",Nutzungsprofile!$G$6:$G$11)*Kalender!C206/SUM(Kalender!$C$5:$C$370),0)+IFERROR(SUMIF(Nutzungsprofile!$B$6:$B$11,"Halle",Nutzungsprofile!$G$6:$G$11)*Kalender!D206/SUM(Kalender!$D$5:$D$370),0)+IFERROR(SUMIF(Nutzungsprofile!$B$6:$B$11,"Individuell",Nutzungsprofile!$G$6:$G$11)*Kalender!E206/SUM(Kalender!$E$5:$E$370),0))*Szenarien!$E$14,0)</f>
        <v>2.04</v>
      </c>
      <c r="D1304" s="13" t="n">
        <f aca="false">IF(Szenarien!$H$14="OK",(IFERROR(SUMIF(Nutzungsprofile!$B$17:$B$22,"Schulbetrieb",Nutzungsprofile!$G$17:$G$22)*Kalender!C206/SUM(Kalender!$C$5:$C$370),0)+IFERROR(SUMIF(Nutzungsprofile!$B$17:$B$22,"Halle",Nutzungsprofile!$G$17:$G$22)*Kalender!D206/SUM(Kalender!$D$5:$D$370),0)+IFERROR(SUMIF(Nutzungsprofile!$B$17:$B$22,"Individuell",Nutzungsprofile!$G$17:$G$22)*Kalender!E206/SUM(Kalender!$E$5:$E$370),0))*Szenarien!$D$14,0)</f>
        <v>0.89</v>
      </c>
      <c r="E1304" s="13" t="n">
        <f aca="false">IFERROR(MIN(C1304,Eingaben!$B$17)*Eingaben!$B$16,0)</f>
        <v>1.938</v>
      </c>
      <c r="F1304" s="13" t="n">
        <f aca="false">IFERROR(E1304*Eingaben!$B$15,0)</f>
        <v>1.7442</v>
      </c>
      <c r="G1304" s="13" t="n">
        <f aca="false">IFERROR(IF(Kalender!A206="",0,J1303*(1-Eingaben!$B$20)),0)</f>
        <v>1.709316</v>
      </c>
      <c r="H1304" s="13" t="n">
        <f aca="false">MIN(G1304,D1304)</f>
        <v>0.89</v>
      </c>
      <c r="I1304" s="13" t="n">
        <f aca="false">IFERROR(MIN(F1304*Eingaben!$B$19,MAX(0,D1304-H1304)),0)</f>
        <v>0</v>
      </c>
      <c r="J1304" s="13" t="n">
        <f aca="false">IFERROR(MIN(Eingaben!$B$18,MAX(0,F1304-I1304)),0)</f>
        <v>1.7442</v>
      </c>
      <c r="K1304" s="13" t="n">
        <f aca="false">H1304+I1304</f>
        <v>0.89</v>
      </c>
      <c r="L1304" s="13" t="n">
        <f aca="false">MAX(0,D1304-K1304)</f>
        <v>0</v>
      </c>
      <c r="M1304" s="13" t="n">
        <f aca="false">MAX(0,F1304-I1304-J1304)</f>
        <v>0</v>
      </c>
      <c r="N1304" s="13" t="n">
        <f aca="false">IF(Kalender!A206="",0,J1303-H1304)</f>
        <v>0.8542</v>
      </c>
    </row>
    <row r="1305" customFormat="false" ht="16.4" hidden="false" customHeight="false" outlineLevel="0" collapsed="false">
      <c r="A1305" s="13" t="str">
        <f aca="false">""</f>
        <v/>
      </c>
      <c r="B1305" s="13" t="n">
        <f aca="false">203</f>
        <v>203</v>
      </c>
      <c r="C1305" s="13" t="n">
        <f aca="false">IF(Szenarien!$H$14="OK",(IFERROR(SUMIF(Nutzungsprofile!$B$6:$B$11,"Schulbetrieb",Nutzungsprofile!$G$6:$G$11)*Kalender!C207/SUM(Kalender!$C$5:$C$370),0)+IFERROR(SUMIF(Nutzungsprofile!$B$6:$B$11,"Halle",Nutzungsprofile!$G$6:$G$11)*Kalender!D207/SUM(Kalender!$D$5:$D$370),0)+IFERROR(SUMIF(Nutzungsprofile!$B$6:$B$11,"Individuell",Nutzungsprofile!$G$6:$G$11)*Kalender!E207/SUM(Kalender!$E$5:$E$370),0))*Szenarien!$E$14,0)</f>
        <v>2.04</v>
      </c>
      <c r="D1305" s="13" t="n">
        <f aca="false">IF(Szenarien!$H$14="OK",(IFERROR(SUMIF(Nutzungsprofile!$B$17:$B$22,"Schulbetrieb",Nutzungsprofile!$G$17:$G$22)*Kalender!C207/SUM(Kalender!$C$5:$C$370),0)+IFERROR(SUMIF(Nutzungsprofile!$B$17:$B$22,"Halle",Nutzungsprofile!$G$17:$G$22)*Kalender!D207/SUM(Kalender!$D$5:$D$370),0)+IFERROR(SUMIF(Nutzungsprofile!$B$17:$B$22,"Individuell",Nutzungsprofile!$G$17:$G$22)*Kalender!E207/SUM(Kalender!$E$5:$E$370),0))*Szenarien!$D$14,0)</f>
        <v>0.89</v>
      </c>
      <c r="E1305" s="13" t="n">
        <f aca="false">IFERROR(MIN(C1305,Eingaben!$B$17)*Eingaben!$B$16,0)</f>
        <v>1.938</v>
      </c>
      <c r="F1305" s="13" t="n">
        <f aca="false">IFERROR(E1305*Eingaben!$B$15,0)</f>
        <v>1.7442</v>
      </c>
      <c r="G1305" s="13" t="n">
        <f aca="false">IFERROR(IF(Kalender!A207="",0,J1304*(1-Eingaben!$B$20)),0)</f>
        <v>1.709316</v>
      </c>
      <c r="H1305" s="13" t="n">
        <f aca="false">MIN(G1305,D1305)</f>
        <v>0.89</v>
      </c>
      <c r="I1305" s="13" t="n">
        <f aca="false">IFERROR(MIN(F1305*Eingaben!$B$19,MAX(0,D1305-H1305)),0)</f>
        <v>0</v>
      </c>
      <c r="J1305" s="13" t="n">
        <f aca="false">IFERROR(MIN(Eingaben!$B$18,MAX(0,F1305-I1305)),0)</f>
        <v>1.7442</v>
      </c>
      <c r="K1305" s="13" t="n">
        <f aca="false">H1305+I1305</f>
        <v>0.89</v>
      </c>
      <c r="L1305" s="13" t="n">
        <f aca="false">MAX(0,D1305-K1305)</f>
        <v>0</v>
      </c>
      <c r="M1305" s="13" t="n">
        <f aca="false">MAX(0,F1305-I1305-J1305)</f>
        <v>0</v>
      </c>
      <c r="N1305" s="13" t="n">
        <f aca="false">IF(Kalender!A207="",0,J1304-H1305)</f>
        <v>0.8542</v>
      </c>
    </row>
    <row r="1306" customFormat="false" ht="16.4" hidden="false" customHeight="false" outlineLevel="0" collapsed="false">
      <c r="A1306" s="13" t="str">
        <f aca="false">""</f>
        <v/>
      </c>
      <c r="B1306" s="13" t="n">
        <f aca="false">204</f>
        <v>204</v>
      </c>
      <c r="C1306" s="13" t="n">
        <f aca="false">IF(Szenarien!$H$14="OK",(IFERROR(SUMIF(Nutzungsprofile!$B$6:$B$11,"Schulbetrieb",Nutzungsprofile!$G$6:$G$11)*Kalender!C208/SUM(Kalender!$C$5:$C$370),0)+IFERROR(SUMIF(Nutzungsprofile!$B$6:$B$11,"Halle",Nutzungsprofile!$G$6:$G$11)*Kalender!D208/SUM(Kalender!$D$5:$D$370),0)+IFERROR(SUMIF(Nutzungsprofile!$B$6:$B$11,"Individuell",Nutzungsprofile!$G$6:$G$11)*Kalender!E208/SUM(Kalender!$E$5:$E$370),0))*Szenarien!$E$14,0)</f>
        <v>2.04</v>
      </c>
      <c r="D1306" s="13" t="n">
        <f aca="false">IF(Szenarien!$H$14="OK",(IFERROR(SUMIF(Nutzungsprofile!$B$17:$B$22,"Schulbetrieb",Nutzungsprofile!$G$17:$G$22)*Kalender!C208/SUM(Kalender!$C$5:$C$370),0)+IFERROR(SUMIF(Nutzungsprofile!$B$17:$B$22,"Halle",Nutzungsprofile!$G$17:$G$22)*Kalender!D208/SUM(Kalender!$D$5:$D$370),0)+IFERROR(SUMIF(Nutzungsprofile!$B$17:$B$22,"Individuell",Nutzungsprofile!$G$17:$G$22)*Kalender!E208/SUM(Kalender!$E$5:$E$370),0))*Szenarien!$D$14,0)</f>
        <v>0.89</v>
      </c>
      <c r="E1306" s="13" t="n">
        <f aca="false">IFERROR(MIN(C1306,Eingaben!$B$17)*Eingaben!$B$16,0)</f>
        <v>1.938</v>
      </c>
      <c r="F1306" s="13" t="n">
        <f aca="false">IFERROR(E1306*Eingaben!$B$15,0)</f>
        <v>1.7442</v>
      </c>
      <c r="G1306" s="13" t="n">
        <f aca="false">IFERROR(IF(Kalender!A208="",0,J1305*(1-Eingaben!$B$20)),0)</f>
        <v>1.709316</v>
      </c>
      <c r="H1306" s="13" t="n">
        <f aca="false">MIN(G1306,D1306)</f>
        <v>0.89</v>
      </c>
      <c r="I1306" s="13" t="n">
        <f aca="false">IFERROR(MIN(F1306*Eingaben!$B$19,MAX(0,D1306-H1306)),0)</f>
        <v>0</v>
      </c>
      <c r="J1306" s="13" t="n">
        <f aca="false">IFERROR(MIN(Eingaben!$B$18,MAX(0,F1306-I1306)),0)</f>
        <v>1.7442</v>
      </c>
      <c r="K1306" s="13" t="n">
        <f aca="false">H1306+I1306</f>
        <v>0.89</v>
      </c>
      <c r="L1306" s="13" t="n">
        <f aca="false">MAX(0,D1306-K1306)</f>
        <v>0</v>
      </c>
      <c r="M1306" s="13" t="n">
        <f aca="false">MAX(0,F1306-I1306-J1306)</f>
        <v>0</v>
      </c>
      <c r="N1306" s="13" t="n">
        <f aca="false">IF(Kalender!A208="",0,J1305-H1306)</f>
        <v>0.8542</v>
      </c>
    </row>
    <row r="1307" customFormat="false" ht="16.4" hidden="false" customHeight="false" outlineLevel="0" collapsed="false">
      <c r="A1307" s="13" t="str">
        <f aca="false">""</f>
        <v/>
      </c>
      <c r="B1307" s="13" t="n">
        <f aca="false">205</f>
        <v>205</v>
      </c>
      <c r="C1307" s="13" t="n">
        <f aca="false">IF(Szenarien!$H$14="OK",(IFERROR(SUMIF(Nutzungsprofile!$B$6:$B$11,"Schulbetrieb",Nutzungsprofile!$G$6:$G$11)*Kalender!C209/SUM(Kalender!$C$5:$C$370),0)+IFERROR(SUMIF(Nutzungsprofile!$B$6:$B$11,"Halle",Nutzungsprofile!$G$6:$G$11)*Kalender!D209/SUM(Kalender!$D$5:$D$370),0)+IFERROR(SUMIF(Nutzungsprofile!$B$6:$B$11,"Individuell",Nutzungsprofile!$G$6:$G$11)*Kalender!E209/SUM(Kalender!$E$5:$E$370),0))*Szenarien!$E$14,0)</f>
        <v>2.04</v>
      </c>
      <c r="D1307" s="13" t="n">
        <f aca="false">IF(Szenarien!$H$14="OK",(IFERROR(SUMIF(Nutzungsprofile!$B$17:$B$22,"Schulbetrieb",Nutzungsprofile!$G$17:$G$22)*Kalender!C209/SUM(Kalender!$C$5:$C$370),0)+IFERROR(SUMIF(Nutzungsprofile!$B$17:$B$22,"Halle",Nutzungsprofile!$G$17:$G$22)*Kalender!D209/SUM(Kalender!$D$5:$D$370),0)+IFERROR(SUMIF(Nutzungsprofile!$B$17:$B$22,"Individuell",Nutzungsprofile!$G$17:$G$22)*Kalender!E209/SUM(Kalender!$E$5:$E$370),0))*Szenarien!$D$14,0)</f>
        <v>0.89</v>
      </c>
      <c r="E1307" s="13" t="n">
        <f aca="false">IFERROR(MIN(C1307,Eingaben!$B$17)*Eingaben!$B$16,0)</f>
        <v>1.938</v>
      </c>
      <c r="F1307" s="13" t="n">
        <f aca="false">IFERROR(E1307*Eingaben!$B$15,0)</f>
        <v>1.7442</v>
      </c>
      <c r="G1307" s="13" t="n">
        <f aca="false">IFERROR(IF(Kalender!A209="",0,J1306*(1-Eingaben!$B$20)),0)</f>
        <v>1.709316</v>
      </c>
      <c r="H1307" s="13" t="n">
        <f aca="false">MIN(G1307,D1307)</f>
        <v>0.89</v>
      </c>
      <c r="I1307" s="13" t="n">
        <f aca="false">IFERROR(MIN(F1307*Eingaben!$B$19,MAX(0,D1307-H1307)),0)</f>
        <v>0</v>
      </c>
      <c r="J1307" s="13" t="n">
        <f aca="false">IFERROR(MIN(Eingaben!$B$18,MAX(0,F1307-I1307)),0)</f>
        <v>1.7442</v>
      </c>
      <c r="K1307" s="13" t="n">
        <f aca="false">H1307+I1307</f>
        <v>0.89</v>
      </c>
      <c r="L1307" s="13" t="n">
        <f aca="false">MAX(0,D1307-K1307)</f>
        <v>0</v>
      </c>
      <c r="M1307" s="13" t="n">
        <f aca="false">MAX(0,F1307-I1307-J1307)</f>
        <v>0</v>
      </c>
      <c r="N1307" s="13" t="n">
        <f aca="false">IF(Kalender!A209="",0,J1306-H1307)</f>
        <v>0.8542</v>
      </c>
    </row>
    <row r="1308" customFormat="false" ht="16.4" hidden="false" customHeight="false" outlineLevel="0" collapsed="false">
      <c r="A1308" s="13" t="str">
        <f aca="false">""</f>
        <v/>
      </c>
      <c r="B1308" s="13" t="n">
        <f aca="false">206</f>
        <v>206</v>
      </c>
      <c r="C1308" s="13" t="n">
        <f aca="false">IF(Szenarien!$H$14="OK",(IFERROR(SUMIF(Nutzungsprofile!$B$6:$B$11,"Schulbetrieb",Nutzungsprofile!$G$6:$G$11)*Kalender!C210/SUM(Kalender!$C$5:$C$370),0)+IFERROR(SUMIF(Nutzungsprofile!$B$6:$B$11,"Halle",Nutzungsprofile!$G$6:$G$11)*Kalender!D210/SUM(Kalender!$D$5:$D$370),0)+IFERROR(SUMIF(Nutzungsprofile!$B$6:$B$11,"Individuell",Nutzungsprofile!$G$6:$G$11)*Kalender!E210/SUM(Kalender!$E$5:$E$370),0))*Szenarien!$E$14,0)</f>
        <v>2.04</v>
      </c>
      <c r="D1308" s="13" t="n">
        <f aca="false">IF(Szenarien!$H$14="OK",(IFERROR(SUMIF(Nutzungsprofile!$B$17:$B$22,"Schulbetrieb",Nutzungsprofile!$G$17:$G$22)*Kalender!C210/SUM(Kalender!$C$5:$C$370),0)+IFERROR(SUMIF(Nutzungsprofile!$B$17:$B$22,"Halle",Nutzungsprofile!$G$17:$G$22)*Kalender!D210/SUM(Kalender!$D$5:$D$370),0)+IFERROR(SUMIF(Nutzungsprofile!$B$17:$B$22,"Individuell",Nutzungsprofile!$G$17:$G$22)*Kalender!E210/SUM(Kalender!$E$5:$E$370),0))*Szenarien!$D$14,0)</f>
        <v>0.89</v>
      </c>
      <c r="E1308" s="13" t="n">
        <f aca="false">IFERROR(MIN(C1308,Eingaben!$B$17)*Eingaben!$B$16,0)</f>
        <v>1.938</v>
      </c>
      <c r="F1308" s="13" t="n">
        <f aca="false">IFERROR(E1308*Eingaben!$B$15,0)</f>
        <v>1.7442</v>
      </c>
      <c r="G1308" s="13" t="n">
        <f aca="false">IFERROR(IF(Kalender!A210="",0,J1307*(1-Eingaben!$B$20)),0)</f>
        <v>1.709316</v>
      </c>
      <c r="H1308" s="13" t="n">
        <f aca="false">MIN(G1308,D1308)</f>
        <v>0.89</v>
      </c>
      <c r="I1308" s="13" t="n">
        <f aca="false">IFERROR(MIN(F1308*Eingaben!$B$19,MAX(0,D1308-H1308)),0)</f>
        <v>0</v>
      </c>
      <c r="J1308" s="13" t="n">
        <f aca="false">IFERROR(MIN(Eingaben!$B$18,MAX(0,F1308-I1308)),0)</f>
        <v>1.7442</v>
      </c>
      <c r="K1308" s="13" t="n">
        <f aca="false">H1308+I1308</f>
        <v>0.89</v>
      </c>
      <c r="L1308" s="13" t="n">
        <f aca="false">MAX(0,D1308-K1308)</f>
        <v>0</v>
      </c>
      <c r="M1308" s="13" t="n">
        <f aca="false">MAX(0,F1308-I1308-J1308)</f>
        <v>0</v>
      </c>
      <c r="N1308" s="13" t="n">
        <f aca="false">IF(Kalender!A210="",0,J1307-H1308)</f>
        <v>0.8542</v>
      </c>
    </row>
    <row r="1309" customFormat="false" ht="16.4" hidden="false" customHeight="false" outlineLevel="0" collapsed="false">
      <c r="A1309" s="13" t="str">
        <f aca="false">""</f>
        <v/>
      </c>
      <c r="B1309" s="13" t="n">
        <f aca="false">207</f>
        <v>207</v>
      </c>
      <c r="C1309" s="13" t="n">
        <f aca="false">IF(Szenarien!$H$14="OK",(IFERROR(SUMIF(Nutzungsprofile!$B$6:$B$11,"Schulbetrieb",Nutzungsprofile!$G$6:$G$11)*Kalender!C211/SUM(Kalender!$C$5:$C$370),0)+IFERROR(SUMIF(Nutzungsprofile!$B$6:$B$11,"Halle",Nutzungsprofile!$G$6:$G$11)*Kalender!D211/SUM(Kalender!$D$5:$D$370),0)+IFERROR(SUMIF(Nutzungsprofile!$B$6:$B$11,"Individuell",Nutzungsprofile!$G$6:$G$11)*Kalender!E211/SUM(Kalender!$E$5:$E$370),0))*Szenarien!$E$14,0)</f>
        <v>2.04</v>
      </c>
      <c r="D1309" s="13" t="n">
        <f aca="false">IF(Szenarien!$H$14="OK",(IFERROR(SUMIF(Nutzungsprofile!$B$17:$B$22,"Schulbetrieb",Nutzungsprofile!$G$17:$G$22)*Kalender!C211/SUM(Kalender!$C$5:$C$370),0)+IFERROR(SUMIF(Nutzungsprofile!$B$17:$B$22,"Halle",Nutzungsprofile!$G$17:$G$22)*Kalender!D211/SUM(Kalender!$D$5:$D$370),0)+IFERROR(SUMIF(Nutzungsprofile!$B$17:$B$22,"Individuell",Nutzungsprofile!$G$17:$G$22)*Kalender!E211/SUM(Kalender!$E$5:$E$370),0))*Szenarien!$D$14,0)</f>
        <v>0.89</v>
      </c>
      <c r="E1309" s="13" t="n">
        <f aca="false">IFERROR(MIN(C1309,Eingaben!$B$17)*Eingaben!$B$16,0)</f>
        <v>1.938</v>
      </c>
      <c r="F1309" s="13" t="n">
        <f aca="false">IFERROR(E1309*Eingaben!$B$15,0)</f>
        <v>1.7442</v>
      </c>
      <c r="G1309" s="13" t="n">
        <f aca="false">IFERROR(IF(Kalender!A211="",0,J1308*(1-Eingaben!$B$20)),0)</f>
        <v>1.709316</v>
      </c>
      <c r="H1309" s="13" t="n">
        <f aca="false">MIN(G1309,D1309)</f>
        <v>0.89</v>
      </c>
      <c r="I1309" s="13" t="n">
        <f aca="false">IFERROR(MIN(F1309*Eingaben!$B$19,MAX(0,D1309-H1309)),0)</f>
        <v>0</v>
      </c>
      <c r="J1309" s="13" t="n">
        <f aca="false">IFERROR(MIN(Eingaben!$B$18,MAX(0,F1309-I1309)),0)</f>
        <v>1.7442</v>
      </c>
      <c r="K1309" s="13" t="n">
        <f aca="false">H1309+I1309</f>
        <v>0.89</v>
      </c>
      <c r="L1309" s="13" t="n">
        <f aca="false">MAX(0,D1309-K1309)</f>
        <v>0</v>
      </c>
      <c r="M1309" s="13" t="n">
        <f aca="false">MAX(0,F1309-I1309-J1309)</f>
        <v>0</v>
      </c>
      <c r="N1309" s="13" t="n">
        <f aca="false">IF(Kalender!A211="",0,J1308-H1309)</f>
        <v>0.8542</v>
      </c>
    </row>
    <row r="1310" customFormat="false" ht="16.4" hidden="false" customHeight="false" outlineLevel="0" collapsed="false">
      <c r="A1310" s="13" t="str">
        <f aca="false">""</f>
        <v/>
      </c>
      <c r="B1310" s="13" t="n">
        <f aca="false">208</f>
        <v>208</v>
      </c>
      <c r="C1310" s="13" t="n">
        <f aca="false">IF(Szenarien!$H$14="OK",(IFERROR(SUMIF(Nutzungsprofile!$B$6:$B$11,"Schulbetrieb",Nutzungsprofile!$G$6:$G$11)*Kalender!C212/SUM(Kalender!$C$5:$C$370),0)+IFERROR(SUMIF(Nutzungsprofile!$B$6:$B$11,"Halle",Nutzungsprofile!$G$6:$G$11)*Kalender!D212/SUM(Kalender!$D$5:$D$370),0)+IFERROR(SUMIF(Nutzungsprofile!$B$6:$B$11,"Individuell",Nutzungsprofile!$G$6:$G$11)*Kalender!E212/SUM(Kalender!$E$5:$E$370),0))*Szenarien!$E$14,0)</f>
        <v>2.04</v>
      </c>
      <c r="D1310" s="13" t="n">
        <f aca="false">IF(Szenarien!$H$14="OK",(IFERROR(SUMIF(Nutzungsprofile!$B$17:$B$22,"Schulbetrieb",Nutzungsprofile!$G$17:$G$22)*Kalender!C212/SUM(Kalender!$C$5:$C$370),0)+IFERROR(SUMIF(Nutzungsprofile!$B$17:$B$22,"Halle",Nutzungsprofile!$G$17:$G$22)*Kalender!D212/SUM(Kalender!$D$5:$D$370),0)+IFERROR(SUMIF(Nutzungsprofile!$B$17:$B$22,"Individuell",Nutzungsprofile!$G$17:$G$22)*Kalender!E212/SUM(Kalender!$E$5:$E$370),0))*Szenarien!$D$14,0)</f>
        <v>0.89</v>
      </c>
      <c r="E1310" s="13" t="n">
        <f aca="false">IFERROR(MIN(C1310,Eingaben!$B$17)*Eingaben!$B$16,0)</f>
        <v>1.938</v>
      </c>
      <c r="F1310" s="13" t="n">
        <f aca="false">IFERROR(E1310*Eingaben!$B$15,0)</f>
        <v>1.7442</v>
      </c>
      <c r="G1310" s="13" t="n">
        <f aca="false">IFERROR(IF(Kalender!A212="",0,J1309*(1-Eingaben!$B$20)),0)</f>
        <v>1.709316</v>
      </c>
      <c r="H1310" s="13" t="n">
        <f aca="false">MIN(G1310,D1310)</f>
        <v>0.89</v>
      </c>
      <c r="I1310" s="13" t="n">
        <f aca="false">IFERROR(MIN(F1310*Eingaben!$B$19,MAX(0,D1310-H1310)),0)</f>
        <v>0</v>
      </c>
      <c r="J1310" s="13" t="n">
        <f aca="false">IFERROR(MIN(Eingaben!$B$18,MAX(0,F1310-I1310)),0)</f>
        <v>1.7442</v>
      </c>
      <c r="K1310" s="13" t="n">
        <f aca="false">H1310+I1310</f>
        <v>0.89</v>
      </c>
      <c r="L1310" s="13" t="n">
        <f aca="false">MAX(0,D1310-K1310)</f>
        <v>0</v>
      </c>
      <c r="M1310" s="13" t="n">
        <f aca="false">MAX(0,F1310-I1310-J1310)</f>
        <v>0</v>
      </c>
      <c r="N1310" s="13" t="n">
        <f aca="false">IF(Kalender!A212="",0,J1309-H1310)</f>
        <v>0.8542</v>
      </c>
    </row>
    <row r="1311" customFormat="false" ht="16.4" hidden="false" customHeight="false" outlineLevel="0" collapsed="false">
      <c r="A1311" s="13" t="str">
        <f aca="false">""</f>
        <v/>
      </c>
      <c r="B1311" s="13" t="n">
        <f aca="false">209</f>
        <v>209</v>
      </c>
      <c r="C1311" s="13" t="n">
        <f aca="false">IF(Szenarien!$H$14="OK",(IFERROR(SUMIF(Nutzungsprofile!$B$6:$B$11,"Schulbetrieb",Nutzungsprofile!$G$6:$G$11)*Kalender!C213/SUM(Kalender!$C$5:$C$370),0)+IFERROR(SUMIF(Nutzungsprofile!$B$6:$B$11,"Halle",Nutzungsprofile!$G$6:$G$11)*Kalender!D213/SUM(Kalender!$D$5:$D$370),0)+IFERROR(SUMIF(Nutzungsprofile!$B$6:$B$11,"Individuell",Nutzungsprofile!$G$6:$G$11)*Kalender!E213/SUM(Kalender!$E$5:$E$370),0))*Szenarien!$E$14,0)</f>
        <v>2.04</v>
      </c>
      <c r="D1311" s="13" t="n">
        <f aca="false">IF(Szenarien!$H$14="OK",(IFERROR(SUMIF(Nutzungsprofile!$B$17:$B$22,"Schulbetrieb",Nutzungsprofile!$G$17:$G$22)*Kalender!C213/SUM(Kalender!$C$5:$C$370),0)+IFERROR(SUMIF(Nutzungsprofile!$B$17:$B$22,"Halle",Nutzungsprofile!$G$17:$G$22)*Kalender!D213/SUM(Kalender!$D$5:$D$370),0)+IFERROR(SUMIF(Nutzungsprofile!$B$17:$B$22,"Individuell",Nutzungsprofile!$G$17:$G$22)*Kalender!E213/SUM(Kalender!$E$5:$E$370),0))*Szenarien!$D$14,0)</f>
        <v>0.89</v>
      </c>
      <c r="E1311" s="13" t="n">
        <f aca="false">IFERROR(MIN(C1311,Eingaben!$B$17)*Eingaben!$B$16,0)</f>
        <v>1.938</v>
      </c>
      <c r="F1311" s="13" t="n">
        <f aca="false">IFERROR(E1311*Eingaben!$B$15,0)</f>
        <v>1.7442</v>
      </c>
      <c r="G1311" s="13" t="n">
        <f aca="false">IFERROR(IF(Kalender!A213="",0,J1310*(1-Eingaben!$B$20)),0)</f>
        <v>1.709316</v>
      </c>
      <c r="H1311" s="13" t="n">
        <f aca="false">MIN(G1311,D1311)</f>
        <v>0.89</v>
      </c>
      <c r="I1311" s="13" t="n">
        <f aca="false">IFERROR(MIN(F1311*Eingaben!$B$19,MAX(0,D1311-H1311)),0)</f>
        <v>0</v>
      </c>
      <c r="J1311" s="13" t="n">
        <f aca="false">IFERROR(MIN(Eingaben!$B$18,MAX(0,F1311-I1311)),0)</f>
        <v>1.7442</v>
      </c>
      <c r="K1311" s="13" t="n">
        <f aca="false">H1311+I1311</f>
        <v>0.89</v>
      </c>
      <c r="L1311" s="13" t="n">
        <f aca="false">MAX(0,D1311-K1311)</f>
        <v>0</v>
      </c>
      <c r="M1311" s="13" t="n">
        <f aca="false">MAX(0,F1311-I1311-J1311)</f>
        <v>0</v>
      </c>
      <c r="N1311" s="13" t="n">
        <f aca="false">IF(Kalender!A213="",0,J1310-H1311)</f>
        <v>0.8542</v>
      </c>
    </row>
    <row r="1312" customFormat="false" ht="16.4" hidden="false" customHeight="false" outlineLevel="0" collapsed="false">
      <c r="A1312" s="13" t="str">
        <f aca="false">""</f>
        <v/>
      </c>
      <c r="B1312" s="13" t="n">
        <f aca="false">210</f>
        <v>210</v>
      </c>
      <c r="C1312" s="13" t="n">
        <f aca="false">IF(Szenarien!$H$14="OK",(IFERROR(SUMIF(Nutzungsprofile!$B$6:$B$11,"Schulbetrieb",Nutzungsprofile!$G$6:$G$11)*Kalender!C214/SUM(Kalender!$C$5:$C$370),0)+IFERROR(SUMIF(Nutzungsprofile!$B$6:$B$11,"Halle",Nutzungsprofile!$G$6:$G$11)*Kalender!D214/SUM(Kalender!$D$5:$D$370),0)+IFERROR(SUMIF(Nutzungsprofile!$B$6:$B$11,"Individuell",Nutzungsprofile!$G$6:$G$11)*Kalender!E214/SUM(Kalender!$E$5:$E$370),0))*Szenarien!$E$14,0)</f>
        <v>2.04</v>
      </c>
      <c r="D1312" s="13" t="n">
        <f aca="false">IF(Szenarien!$H$14="OK",(IFERROR(SUMIF(Nutzungsprofile!$B$17:$B$22,"Schulbetrieb",Nutzungsprofile!$G$17:$G$22)*Kalender!C214/SUM(Kalender!$C$5:$C$370),0)+IFERROR(SUMIF(Nutzungsprofile!$B$17:$B$22,"Halle",Nutzungsprofile!$G$17:$G$22)*Kalender!D214/SUM(Kalender!$D$5:$D$370),0)+IFERROR(SUMIF(Nutzungsprofile!$B$17:$B$22,"Individuell",Nutzungsprofile!$G$17:$G$22)*Kalender!E214/SUM(Kalender!$E$5:$E$370),0))*Szenarien!$D$14,0)</f>
        <v>0.89</v>
      </c>
      <c r="E1312" s="13" t="n">
        <f aca="false">IFERROR(MIN(C1312,Eingaben!$B$17)*Eingaben!$B$16,0)</f>
        <v>1.938</v>
      </c>
      <c r="F1312" s="13" t="n">
        <f aca="false">IFERROR(E1312*Eingaben!$B$15,0)</f>
        <v>1.7442</v>
      </c>
      <c r="G1312" s="13" t="n">
        <f aca="false">IFERROR(IF(Kalender!A214="",0,J1311*(1-Eingaben!$B$20)),0)</f>
        <v>1.709316</v>
      </c>
      <c r="H1312" s="13" t="n">
        <f aca="false">MIN(G1312,D1312)</f>
        <v>0.89</v>
      </c>
      <c r="I1312" s="13" t="n">
        <f aca="false">IFERROR(MIN(F1312*Eingaben!$B$19,MAX(0,D1312-H1312)),0)</f>
        <v>0</v>
      </c>
      <c r="J1312" s="13" t="n">
        <f aca="false">IFERROR(MIN(Eingaben!$B$18,MAX(0,F1312-I1312)),0)</f>
        <v>1.7442</v>
      </c>
      <c r="K1312" s="13" t="n">
        <f aca="false">H1312+I1312</f>
        <v>0.89</v>
      </c>
      <c r="L1312" s="13" t="n">
        <f aca="false">MAX(0,D1312-K1312)</f>
        <v>0</v>
      </c>
      <c r="M1312" s="13" t="n">
        <f aca="false">MAX(0,F1312-I1312-J1312)</f>
        <v>0</v>
      </c>
      <c r="N1312" s="13" t="n">
        <f aca="false">IF(Kalender!A214="",0,J1311-H1312)</f>
        <v>0.8542</v>
      </c>
    </row>
    <row r="1313" customFormat="false" ht="16.4" hidden="false" customHeight="false" outlineLevel="0" collapsed="false">
      <c r="A1313" s="13" t="str">
        <f aca="false">""</f>
        <v/>
      </c>
      <c r="B1313" s="13" t="n">
        <f aca="false">211</f>
        <v>211</v>
      </c>
      <c r="C1313" s="13" t="n">
        <f aca="false">IF(Szenarien!$H$14="OK",(IFERROR(SUMIF(Nutzungsprofile!$B$6:$B$11,"Schulbetrieb",Nutzungsprofile!$G$6:$G$11)*Kalender!C215/SUM(Kalender!$C$5:$C$370),0)+IFERROR(SUMIF(Nutzungsprofile!$B$6:$B$11,"Halle",Nutzungsprofile!$G$6:$G$11)*Kalender!D215/SUM(Kalender!$D$5:$D$370),0)+IFERROR(SUMIF(Nutzungsprofile!$B$6:$B$11,"Individuell",Nutzungsprofile!$G$6:$G$11)*Kalender!E215/SUM(Kalender!$E$5:$E$370),0))*Szenarien!$E$14,0)</f>
        <v>2.04</v>
      </c>
      <c r="D1313" s="13" t="n">
        <f aca="false">IF(Szenarien!$H$14="OK",(IFERROR(SUMIF(Nutzungsprofile!$B$17:$B$22,"Schulbetrieb",Nutzungsprofile!$G$17:$G$22)*Kalender!C215/SUM(Kalender!$C$5:$C$370),0)+IFERROR(SUMIF(Nutzungsprofile!$B$17:$B$22,"Halle",Nutzungsprofile!$G$17:$G$22)*Kalender!D215/SUM(Kalender!$D$5:$D$370),0)+IFERROR(SUMIF(Nutzungsprofile!$B$17:$B$22,"Individuell",Nutzungsprofile!$G$17:$G$22)*Kalender!E215/SUM(Kalender!$E$5:$E$370),0))*Szenarien!$D$14,0)</f>
        <v>0.89</v>
      </c>
      <c r="E1313" s="13" t="n">
        <f aca="false">IFERROR(MIN(C1313,Eingaben!$B$17)*Eingaben!$B$16,0)</f>
        <v>1.938</v>
      </c>
      <c r="F1313" s="13" t="n">
        <f aca="false">IFERROR(E1313*Eingaben!$B$15,0)</f>
        <v>1.7442</v>
      </c>
      <c r="G1313" s="13" t="n">
        <f aca="false">IFERROR(IF(Kalender!A215="",0,J1312*(1-Eingaben!$B$20)),0)</f>
        <v>1.709316</v>
      </c>
      <c r="H1313" s="13" t="n">
        <f aca="false">MIN(G1313,D1313)</f>
        <v>0.89</v>
      </c>
      <c r="I1313" s="13" t="n">
        <f aca="false">IFERROR(MIN(F1313*Eingaben!$B$19,MAX(0,D1313-H1313)),0)</f>
        <v>0</v>
      </c>
      <c r="J1313" s="13" t="n">
        <f aca="false">IFERROR(MIN(Eingaben!$B$18,MAX(0,F1313-I1313)),0)</f>
        <v>1.7442</v>
      </c>
      <c r="K1313" s="13" t="n">
        <f aca="false">H1313+I1313</f>
        <v>0.89</v>
      </c>
      <c r="L1313" s="13" t="n">
        <f aca="false">MAX(0,D1313-K1313)</f>
        <v>0</v>
      </c>
      <c r="M1313" s="13" t="n">
        <f aca="false">MAX(0,F1313-I1313-J1313)</f>
        <v>0</v>
      </c>
      <c r="N1313" s="13" t="n">
        <f aca="false">IF(Kalender!A215="",0,J1312-H1313)</f>
        <v>0.8542</v>
      </c>
    </row>
    <row r="1314" customFormat="false" ht="16.4" hidden="false" customHeight="false" outlineLevel="0" collapsed="false">
      <c r="A1314" s="13" t="str">
        <f aca="false">""</f>
        <v/>
      </c>
      <c r="B1314" s="13" t="n">
        <f aca="false">212</f>
        <v>212</v>
      </c>
      <c r="C1314" s="13" t="n">
        <f aca="false">IF(Szenarien!$H$14="OK",(IFERROR(SUMIF(Nutzungsprofile!$B$6:$B$11,"Schulbetrieb",Nutzungsprofile!$G$6:$G$11)*Kalender!C216/SUM(Kalender!$C$5:$C$370),0)+IFERROR(SUMIF(Nutzungsprofile!$B$6:$B$11,"Halle",Nutzungsprofile!$G$6:$G$11)*Kalender!D216/SUM(Kalender!$D$5:$D$370),0)+IFERROR(SUMIF(Nutzungsprofile!$B$6:$B$11,"Individuell",Nutzungsprofile!$G$6:$G$11)*Kalender!E216/SUM(Kalender!$E$5:$E$370),0))*Szenarien!$E$14,0)</f>
        <v>2.04</v>
      </c>
      <c r="D1314" s="13" t="n">
        <f aca="false">IF(Szenarien!$H$14="OK",(IFERROR(SUMIF(Nutzungsprofile!$B$17:$B$22,"Schulbetrieb",Nutzungsprofile!$G$17:$G$22)*Kalender!C216/SUM(Kalender!$C$5:$C$370),0)+IFERROR(SUMIF(Nutzungsprofile!$B$17:$B$22,"Halle",Nutzungsprofile!$G$17:$G$22)*Kalender!D216/SUM(Kalender!$D$5:$D$370),0)+IFERROR(SUMIF(Nutzungsprofile!$B$17:$B$22,"Individuell",Nutzungsprofile!$G$17:$G$22)*Kalender!E216/SUM(Kalender!$E$5:$E$370),0))*Szenarien!$D$14,0)</f>
        <v>0.89</v>
      </c>
      <c r="E1314" s="13" t="n">
        <f aca="false">IFERROR(MIN(C1314,Eingaben!$B$17)*Eingaben!$B$16,0)</f>
        <v>1.938</v>
      </c>
      <c r="F1314" s="13" t="n">
        <f aca="false">IFERROR(E1314*Eingaben!$B$15,0)</f>
        <v>1.7442</v>
      </c>
      <c r="G1314" s="13" t="n">
        <f aca="false">IFERROR(IF(Kalender!A216="",0,J1313*(1-Eingaben!$B$20)),0)</f>
        <v>1.709316</v>
      </c>
      <c r="H1314" s="13" t="n">
        <f aca="false">MIN(G1314,D1314)</f>
        <v>0.89</v>
      </c>
      <c r="I1314" s="13" t="n">
        <f aca="false">IFERROR(MIN(F1314*Eingaben!$B$19,MAX(0,D1314-H1314)),0)</f>
        <v>0</v>
      </c>
      <c r="J1314" s="13" t="n">
        <f aca="false">IFERROR(MIN(Eingaben!$B$18,MAX(0,F1314-I1314)),0)</f>
        <v>1.7442</v>
      </c>
      <c r="K1314" s="13" t="n">
        <f aca="false">H1314+I1314</f>
        <v>0.89</v>
      </c>
      <c r="L1314" s="13" t="n">
        <f aca="false">MAX(0,D1314-K1314)</f>
        <v>0</v>
      </c>
      <c r="M1314" s="13" t="n">
        <f aca="false">MAX(0,F1314-I1314-J1314)</f>
        <v>0</v>
      </c>
      <c r="N1314" s="13" t="n">
        <f aca="false">IF(Kalender!A216="",0,J1313-H1314)</f>
        <v>0.8542</v>
      </c>
    </row>
    <row r="1315" customFormat="false" ht="16.4" hidden="false" customHeight="false" outlineLevel="0" collapsed="false">
      <c r="A1315" s="13" t="str">
        <f aca="false">""</f>
        <v/>
      </c>
      <c r="B1315" s="13" t="n">
        <f aca="false">213</f>
        <v>213</v>
      </c>
      <c r="C1315" s="13" t="n">
        <f aca="false">IF(Szenarien!$H$14="OK",(IFERROR(SUMIF(Nutzungsprofile!$B$6:$B$11,"Schulbetrieb",Nutzungsprofile!$G$6:$G$11)*Kalender!C217/SUM(Kalender!$C$5:$C$370),0)+IFERROR(SUMIF(Nutzungsprofile!$B$6:$B$11,"Halle",Nutzungsprofile!$G$6:$G$11)*Kalender!D217/SUM(Kalender!$D$5:$D$370),0)+IFERROR(SUMIF(Nutzungsprofile!$B$6:$B$11,"Individuell",Nutzungsprofile!$G$6:$G$11)*Kalender!E217/SUM(Kalender!$E$5:$E$370),0))*Szenarien!$E$14,0)</f>
        <v>2.04</v>
      </c>
      <c r="D1315" s="13" t="n">
        <f aca="false">IF(Szenarien!$H$14="OK",(IFERROR(SUMIF(Nutzungsprofile!$B$17:$B$22,"Schulbetrieb",Nutzungsprofile!$G$17:$G$22)*Kalender!C217/SUM(Kalender!$C$5:$C$370),0)+IFERROR(SUMIF(Nutzungsprofile!$B$17:$B$22,"Halle",Nutzungsprofile!$G$17:$G$22)*Kalender!D217/SUM(Kalender!$D$5:$D$370),0)+IFERROR(SUMIF(Nutzungsprofile!$B$17:$B$22,"Individuell",Nutzungsprofile!$G$17:$G$22)*Kalender!E217/SUM(Kalender!$E$5:$E$370),0))*Szenarien!$D$14,0)</f>
        <v>0.89</v>
      </c>
      <c r="E1315" s="13" t="n">
        <f aca="false">IFERROR(MIN(C1315,Eingaben!$B$17)*Eingaben!$B$16,0)</f>
        <v>1.938</v>
      </c>
      <c r="F1315" s="13" t="n">
        <f aca="false">IFERROR(E1315*Eingaben!$B$15,0)</f>
        <v>1.7442</v>
      </c>
      <c r="G1315" s="13" t="n">
        <f aca="false">IFERROR(IF(Kalender!A217="",0,J1314*(1-Eingaben!$B$20)),0)</f>
        <v>1.709316</v>
      </c>
      <c r="H1315" s="13" t="n">
        <f aca="false">MIN(G1315,D1315)</f>
        <v>0.89</v>
      </c>
      <c r="I1315" s="13" t="n">
        <f aca="false">IFERROR(MIN(F1315*Eingaben!$B$19,MAX(0,D1315-H1315)),0)</f>
        <v>0</v>
      </c>
      <c r="J1315" s="13" t="n">
        <f aca="false">IFERROR(MIN(Eingaben!$B$18,MAX(0,F1315-I1315)),0)</f>
        <v>1.7442</v>
      </c>
      <c r="K1315" s="13" t="n">
        <f aca="false">H1315+I1315</f>
        <v>0.89</v>
      </c>
      <c r="L1315" s="13" t="n">
        <f aca="false">MAX(0,D1315-K1315)</f>
        <v>0</v>
      </c>
      <c r="M1315" s="13" t="n">
        <f aca="false">MAX(0,F1315-I1315-J1315)</f>
        <v>0</v>
      </c>
      <c r="N1315" s="13" t="n">
        <f aca="false">IF(Kalender!A217="",0,J1314-H1315)</f>
        <v>0.8542</v>
      </c>
    </row>
    <row r="1316" customFormat="false" ht="16.4" hidden="false" customHeight="false" outlineLevel="0" collapsed="false">
      <c r="A1316" s="13" t="str">
        <f aca="false">""</f>
        <v/>
      </c>
      <c r="B1316" s="13" t="n">
        <f aca="false">214</f>
        <v>214</v>
      </c>
      <c r="C1316" s="13" t="n">
        <f aca="false">IF(Szenarien!$H$14="OK",(IFERROR(SUMIF(Nutzungsprofile!$B$6:$B$11,"Schulbetrieb",Nutzungsprofile!$G$6:$G$11)*Kalender!C218/SUM(Kalender!$C$5:$C$370),0)+IFERROR(SUMIF(Nutzungsprofile!$B$6:$B$11,"Halle",Nutzungsprofile!$G$6:$G$11)*Kalender!D218/SUM(Kalender!$D$5:$D$370),0)+IFERROR(SUMIF(Nutzungsprofile!$B$6:$B$11,"Individuell",Nutzungsprofile!$G$6:$G$11)*Kalender!E218/SUM(Kalender!$E$5:$E$370),0))*Szenarien!$E$14,0)</f>
        <v>2.04</v>
      </c>
      <c r="D1316" s="13" t="n">
        <f aca="false">IF(Szenarien!$H$14="OK",(IFERROR(SUMIF(Nutzungsprofile!$B$17:$B$22,"Schulbetrieb",Nutzungsprofile!$G$17:$G$22)*Kalender!C218/SUM(Kalender!$C$5:$C$370),0)+IFERROR(SUMIF(Nutzungsprofile!$B$17:$B$22,"Halle",Nutzungsprofile!$G$17:$G$22)*Kalender!D218/SUM(Kalender!$D$5:$D$370),0)+IFERROR(SUMIF(Nutzungsprofile!$B$17:$B$22,"Individuell",Nutzungsprofile!$G$17:$G$22)*Kalender!E218/SUM(Kalender!$E$5:$E$370),0))*Szenarien!$D$14,0)</f>
        <v>0.89</v>
      </c>
      <c r="E1316" s="13" t="n">
        <f aca="false">IFERROR(MIN(C1316,Eingaben!$B$17)*Eingaben!$B$16,0)</f>
        <v>1.938</v>
      </c>
      <c r="F1316" s="13" t="n">
        <f aca="false">IFERROR(E1316*Eingaben!$B$15,0)</f>
        <v>1.7442</v>
      </c>
      <c r="G1316" s="13" t="n">
        <f aca="false">IFERROR(IF(Kalender!A218="",0,J1315*(1-Eingaben!$B$20)),0)</f>
        <v>1.709316</v>
      </c>
      <c r="H1316" s="13" t="n">
        <f aca="false">MIN(G1316,D1316)</f>
        <v>0.89</v>
      </c>
      <c r="I1316" s="13" t="n">
        <f aca="false">IFERROR(MIN(F1316*Eingaben!$B$19,MAX(0,D1316-H1316)),0)</f>
        <v>0</v>
      </c>
      <c r="J1316" s="13" t="n">
        <f aca="false">IFERROR(MIN(Eingaben!$B$18,MAX(0,F1316-I1316)),0)</f>
        <v>1.7442</v>
      </c>
      <c r="K1316" s="13" t="n">
        <f aca="false">H1316+I1316</f>
        <v>0.89</v>
      </c>
      <c r="L1316" s="13" t="n">
        <f aca="false">MAX(0,D1316-K1316)</f>
        <v>0</v>
      </c>
      <c r="M1316" s="13" t="n">
        <f aca="false">MAX(0,F1316-I1316-J1316)</f>
        <v>0</v>
      </c>
      <c r="N1316" s="13" t="n">
        <f aca="false">IF(Kalender!A218="",0,J1315-H1316)</f>
        <v>0.8542</v>
      </c>
    </row>
    <row r="1317" customFormat="false" ht="16.4" hidden="false" customHeight="false" outlineLevel="0" collapsed="false">
      <c r="A1317" s="13" t="str">
        <f aca="false">""</f>
        <v/>
      </c>
      <c r="B1317" s="13" t="n">
        <f aca="false">215</f>
        <v>215</v>
      </c>
      <c r="C1317" s="13" t="n">
        <f aca="false">IF(Szenarien!$H$14="OK",(IFERROR(SUMIF(Nutzungsprofile!$B$6:$B$11,"Schulbetrieb",Nutzungsprofile!$G$6:$G$11)*Kalender!C219/SUM(Kalender!$C$5:$C$370),0)+IFERROR(SUMIF(Nutzungsprofile!$B$6:$B$11,"Halle",Nutzungsprofile!$G$6:$G$11)*Kalender!D219/SUM(Kalender!$D$5:$D$370),0)+IFERROR(SUMIF(Nutzungsprofile!$B$6:$B$11,"Individuell",Nutzungsprofile!$G$6:$G$11)*Kalender!E219/SUM(Kalender!$E$5:$E$370),0))*Szenarien!$E$14,0)</f>
        <v>2.04</v>
      </c>
      <c r="D1317" s="13" t="n">
        <f aca="false">IF(Szenarien!$H$14="OK",(IFERROR(SUMIF(Nutzungsprofile!$B$17:$B$22,"Schulbetrieb",Nutzungsprofile!$G$17:$G$22)*Kalender!C219/SUM(Kalender!$C$5:$C$370),0)+IFERROR(SUMIF(Nutzungsprofile!$B$17:$B$22,"Halle",Nutzungsprofile!$G$17:$G$22)*Kalender!D219/SUM(Kalender!$D$5:$D$370),0)+IFERROR(SUMIF(Nutzungsprofile!$B$17:$B$22,"Individuell",Nutzungsprofile!$G$17:$G$22)*Kalender!E219/SUM(Kalender!$E$5:$E$370),0))*Szenarien!$D$14,0)</f>
        <v>0.89</v>
      </c>
      <c r="E1317" s="13" t="n">
        <f aca="false">IFERROR(MIN(C1317,Eingaben!$B$17)*Eingaben!$B$16,0)</f>
        <v>1.938</v>
      </c>
      <c r="F1317" s="13" t="n">
        <f aca="false">IFERROR(E1317*Eingaben!$B$15,0)</f>
        <v>1.7442</v>
      </c>
      <c r="G1317" s="13" t="n">
        <f aca="false">IFERROR(IF(Kalender!A219="",0,J1316*(1-Eingaben!$B$20)),0)</f>
        <v>1.709316</v>
      </c>
      <c r="H1317" s="13" t="n">
        <f aca="false">MIN(G1317,D1317)</f>
        <v>0.89</v>
      </c>
      <c r="I1317" s="13" t="n">
        <f aca="false">IFERROR(MIN(F1317*Eingaben!$B$19,MAX(0,D1317-H1317)),0)</f>
        <v>0</v>
      </c>
      <c r="J1317" s="13" t="n">
        <f aca="false">IFERROR(MIN(Eingaben!$B$18,MAX(0,F1317-I1317)),0)</f>
        <v>1.7442</v>
      </c>
      <c r="K1317" s="13" t="n">
        <f aca="false">H1317+I1317</f>
        <v>0.89</v>
      </c>
      <c r="L1317" s="13" t="n">
        <f aca="false">MAX(0,D1317-K1317)</f>
        <v>0</v>
      </c>
      <c r="M1317" s="13" t="n">
        <f aca="false">MAX(0,F1317-I1317-J1317)</f>
        <v>0</v>
      </c>
      <c r="N1317" s="13" t="n">
        <f aca="false">IF(Kalender!A219="",0,J1316-H1317)</f>
        <v>0.8542</v>
      </c>
    </row>
    <row r="1318" customFormat="false" ht="16.4" hidden="false" customHeight="false" outlineLevel="0" collapsed="false">
      <c r="A1318" s="13" t="str">
        <f aca="false">""</f>
        <v/>
      </c>
      <c r="B1318" s="13" t="n">
        <f aca="false">216</f>
        <v>216</v>
      </c>
      <c r="C1318" s="13" t="n">
        <f aca="false">IF(Szenarien!$H$14="OK",(IFERROR(SUMIF(Nutzungsprofile!$B$6:$B$11,"Schulbetrieb",Nutzungsprofile!$G$6:$G$11)*Kalender!C220/SUM(Kalender!$C$5:$C$370),0)+IFERROR(SUMIF(Nutzungsprofile!$B$6:$B$11,"Halle",Nutzungsprofile!$G$6:$G$11)*Kalender!D220/SUM(Kalender!$D$5:$D$370),0)+IFERROR(SUMIF(Nutzungsprofile!$B$6:$B$11,"Individuell",Nutzungsprofile!$G$6:$G$11)*Kalender!E220/SUM(Kalender!$E$5:$E$370),0))*Szenarien!$E$14,0)</f>
        <v>2.04</v>
      </c>
      <c r="D1318" s="13" t="n">
        <f aca="false">IF(Szenarien!$H$14="OK",(IFERROR(SUMIF(Nutzungsprofile!$B$17:$B$22,"Schulbetrieb",Nutzungsprofile!$G$17:$G$22)*Kalender!C220/SUM(Kalender!$C$5:$C$370),0)+IFERROR(SUMIF(Nutzungsprofile!$B$17:$B$22,"Halle",Nutzungsprofile!$G$17:$G$22)*Kalender!D220/SUM(Kalender!$D$5:$D$370),0)+IFERROR(SUMIF(Nutzungsprofile!$B$17:$B$22,"Individuell",Nutzungsprofile!$G$17:$G$22)*Kalender!E220/SUM(Kalender!$E$5:$E$370),0))*Szenarien!$D$14,0)</f>
        <v>0.89</v>
      </c>
      <c r="E1318" s="13" t="n">
        <f aca="false">IFERROR(MIN(C1318,Eingaben!$B$17)*Eingaben!$B$16,0)</f>
        <v>1.938</v>
      </c>
      <c r="F1318" s="13" t="n">
        <f aca="false">IFERROR(E1318*Eingaben!$B$15,0)</f>
        <v>1.7442</v>
      </c>
      <c r="G1318" s="13" t="n">
        <f aca="false">IFERROR(IF(Kalender!A220="",0,J1317*(1-Eingaben!$B$20)),0)</f>
        <v>1.709316</v>
      </c>
      <c r="H1318" s="13" t="n">
        <f aca="false">MIN(G1318,D1318)</f>
        <v>0.89</v>
      </c>
      <c r="I1318" s="13" t="n">
        <f aca="false">IFERROR(MIN(F1318*Eingaben!$B$19,MAX(0,D1318-H1318)),0)</f>
        <v>0</v>
      </c>
      <c r="J1318" s="13" t="n">
        <f aca="false">IFERROR(MIN(Eingaben!$B$18,MAX(0,F1318-I1318)),0)</f>
        <v>1.7442</v>
      </c>
      <c r="K1318" s="13" t="n">
        <f aca="false">H1318+I1318</f>
        <v>0.89</v>
      </c>
      <c r="L1318" s="13" t="n">
        <f aca="false">MAX(0,D1318-K1318)</f>
        <v>0</v>
      </c>
      <c r="M1318" s="13" t="n">
        <f aca="false">MAX(0,F1318-I1318-J1318)</f>
        <v>0</v>
      </c>
      <c r="N1318" s="13" t="n">
        <f aca="false">IF(Kalender!A220="",0,J1317-H1318)</f>
        <v>0.8542</v>
      </c>
    </row>
    <row r="1319" customFormat="false" ht="16.4" hidden="false" customHeight="false" outlineLevel="0" collapsed="false">
      <c r="A1319" s="13" t="str">
        <f aca="false">""</f>
        <v/>
      </c>
      <c r="B1319" s="13" t="n">
        <f aca="false">217</f>
        <v>217</v>
      </c>
      <c r="C1319" s="13" t="n">
        <f aca="false">IF(Szenarien!$H$14="OK",(IFERROR(SUMIF(Nutzungsprofile!$B$6:$B$11,"Schulbetrieb",Nutzungsprofile!$G$6:$G$11)*Kalender!C221/SUM(Kalender!$C$5:$C$370),0)+IFERROR(SUMIF(Nutzungsprofile!$B$6:$B$11,"Halle",Nutzungsprofile!$G$6:$G$11)*Kalender!D221/SUM(Kalender!$D$5:$D$370),0)+IFERROR(SUMIF(Nutzungsprofile!$B$6:$B$11,"Individuell",Nutzungsprofile!$G$6:$G$11)*Kalender!E221/SUM(Kalender!$E$5:$E$370),0))*Szenarien!$E$14,0)</f>
        <v>2.04</v>
      </c>
      <c r="D1319" s="13" t="n">
        <f aca="false">IF(Szenarien!$H$14="OK",(IFERROR(SUMIF(Nutzungsprofile!$B$17:$B$22,"Schulbetrieb",Nutzungsprofile!$G$17:$G$22)*Kalender!C221/SUM(Kalender!$C$5:$C$370),0)+IFERROR(SUMIF(Nutzungsprofile!$B$17:$B$22,"Halle",Nutzungsprofile!$G$17:$G$22)*Kalender!D221/SUM(Kalender!$D$5:$D$370),0)+IFERROR(SUMIF(Nutzungsprofile!$B$17:$B$22,"Individuell",Nutzungsprofile!$G$17:$G$22)*Kalender!E221/SUM(Kalender!$E$5:$E$370),0))*Szenarien!$D$14,0)</f>
        <v>0.89</v>
      </c>
      <c r="E1319" s="13" t="n">
        <f aca="false">IFERROR(MIN(C1319,Eingaben!$B$17)*Eingaben!$B$16,0)</f>
        <v>1.938</v>
      </c>
      <c r="F1319" s="13" t="n">
        <f aca="false">IFERROR(E1319*Eingaben!$B$15,0)</f>
        <v>1.7442</v>
      </c>
      <c r="G1319" s="13" t="n">
        <f aca="false">IFERROR(IF(Kalender!A221="",0,J1318*(1-Eingaben!$B$20)),0)</f>
        <v>1.709316</v>
      </c>
      <c r="H1319" s="13" t="n">
        <f aca="false">MIN(G1319,D1319)</f>
        <v>0.89</v>
      </c>
      <c r="I1319" s="13" t="n">
        <f aca="false">IFERROR(MIN(F1319*Eingaben!$B$19,MAX(0,D1319-H1319)),0)</f>
        <v>0</v>
      </c>
      <c r="J1319" s="13" t="n">
        <f aca="false">IFERROR(MIN(Eingaben!$B$18,MAX(0,F1319-I1319)),0)</f>
        <v>1.7442</v>
      </c>
      <c r="K1319" s="13" t="n">
        <f aca="false">H1319+I1319</f>
        <v>0.89</v>
      </c>
      <c r="L1319" s="13" t="n">
        <f aca="false">MAX(0,D1319-K1319)</f>
        <v>0</v>
      </c>
      <c r="M1319" s="13" t="n">
        <f aca="false">MAX(0,F1319-I1319-J1319)</f>
        <v>0</v>
      </c>
      <c r="N1319" s="13" t="n">
        <f aca="false">IF(Kalender!A221="",0,J1318-H1319)</f>
        <v>0.8542</v>
      </c>
    </row>
    <row r="1320" customFormat="false" ht="16.4" hidden="false" customHeight="false" outlineLevel="0" collapsed="false">
      <c r="A1320" s="13" t="str">
        <f aca="false">""</f>
        <v/>
      </c>
      <c r="B1320" s="13" t="n">
        <f aca="false">218</f>
        <v>218</v>
      </c>
      <c r="C1320" s="13" t="n">
        <f aca="false">IF(Szenarien!$H$14="OK",(IFERROR(SUMIF(Nutzungsprofile!$B$6:$B$11,"Schulbetrieb",Nutzungsprofile!$G$6:$G$11)*Kalender!C222/SUM(Kalender!$C$5:$C$370),0)+IFERROR(SUMIF(Nutzungsprofile!$B$6:$B$11,"Halle",Nutzungsprofile!$G$6:$G$11)*Kalender!D222/SUM(Kalender!$D$5:$D$370),0)+IFERROR(SUMIF(Nutzungsprofile!$B$6:$B$11,"Individuell",Nutzungsprofile!$G$6:$G$11)*Kalender!E222/SUM(Kalender!$E$5:$E$370),0))*Szenarien!$E$14,0)</f>
        <v>2.04</v>
      </c>
      <c r="D1320" s="13" t="n">
        <f aca="false">IF(Szenarien!$H$14="OK",(IFERROR(SUMIF(Nutzungsprofile!$B$17:$B$22,"Schulbetrieb",Nutzungsprofile!$G$17:$G$22)*Kalender!C222/SUM(Kalender!$C$5:$C$370),0)+IFERROR(SUMIF(Nutzungsprofile!$B$17:$B$22,"Halle",Nutzungsprofile!$G$17:$G$22)*Kalender!D222/SUM(Kalender!$D$5:$D$370),0)+IFERROR(SUMIF(Nutzungsprofile!$B$17:$B$22,"Individuell",Nutzungsprofile!$G$17:$G$22)*Kalender!E222/SUM(Kalender!$E$5:$E$370),0))*Szenarien!$D$14,0)</f>
        <v>0.89</v>
      </c>
      <c r="E1320" s="13" t="n">
        <f aca="false">IFERROR(MIN(C1320,Eingaben!$B$17)*Eingaben!$B$16,0)</f>
        <v>1.938</v>
      </c>
      <c r="F1320" s="13" t="n">
        <f aca="false">IFERROR(E1320*Eingaben!$B$15,0)</f>
        <v>1.7442</v>
      </c>
      <c r="G1320" s="13" t="n">
        <f aca="false">IFERROR(IF(Kalender!A222="",0,J1319*(1-Eingaben!$B$20)),0)</f>
        <v>1.709316</v>
      </c>
      <c r="H1320" s="13" t="n">
        <f aca="false">MIN(G1320,D1320)</f>
        <v>0.89</v>
      </c>
      <c r="I1320" s="13" t="n">
        <f aca="false">IFERROR(MIN(F1320*Eingaben!$B$19,MAX(0,D1320-H1320)),0)</f>
        <v>0</v>
      </c>
      <c r="J1320" s="13" t="n">
        <f aca="false">IFERROR(MIN(Eingaben!$B$18,MAX(0,F1320-I1320)),0)</f>
        <v>1.7442</v>
      </c>
      <c r="K1320" s="13" t="n">
        <f aca="false">H1320+I1320</f>
        <v>0.89</v>
      </c>
      <c r="L1320" s="13" t="n">
        <f aca="false">MAX(0,D1320-K1320)</f>
        <v>0</v>
      </c>
      <c r="M1320" s="13" t="n">
        <f aca="false">MAX(0,F1320-I1320-J1320)</f>
        <v>0</v>
      </c>
      <c r="N1320" s="13" t="n">
        <f aca="false">IF(Kalender!A222="",0,J1319-H1320)</f>
        <v>0.8542</v>
      </c>
    </row>
    <row r="1321" customFormat="false" ht="16.4" hidden="false" customHeight="false" outlineLevel="0" collapsed="false">
      <c r="A1321" s="13" t="str">
        <f aca="false">""</f>
        <v/>
      </c>
      <c r="B1321" s="13" t="n">
        <f aca="false">219</f>
        <v>219</v>
      </c>
      <c r="C1321" s="13" t="n">
        <f aca="false">IF(Szenarien!$H$14="OK",(IFERROR(SUMIF(Nutzungsprofile!$B$6:$B$11,"Schulbetrieb",Nutzungsprofile!$G$6:$G$11)*Kalender!C223/SUM(Kalender!$C$5:$C$370),0)+IFERROR(SUMIF(Nutzungsprofile!$B$6:$B$11,"Halle",Nutzungsprofile!$G$6:$G$11)*Kalender!D223/SUM(Kalender!$D$5:$D$370),0)+IFERROR(SUMIF(Nutzungsprofile!$B$6:$B$11,"Individuell",Nutzungsprofile!$G$6:$G$11)*Kalender!E223/SUM(Kalender!$E$5:$E$370),0))*Szenarien!$E$14,0)</f>
        <v>2.04</v>
      </c>
      <c r="D1321" s="13" t="n">
        <f aca="false">IF(Szenarien!$H$14="OK",(IFERROR(SUMIF(Nutzungsprofile!$B$17:$B$22,"Schulbetrieb",Nutzungsprofile!$G$17:$G$22)*Kalender!C223/SUM(Kalender!$C$5:$C$370),0)+IFERROR(SUMIF(Nutzungsprofile!$B$17:$B$22,"Halle",Nutzungsprofile!$G$17:$G$22)*Kalender!D223/SUM(Kalender!$D$5:$D$370),0)+IFERROR(SUMIF(Nutzungsprofile!$B$17:$B$22,"Individuell",Nutzungsprofile!$G$17:$G$22)*Kalender!E223/SUM(Kalender!$E$5:$E$370),0))*Szenarien!$D$14,0)</f>
        <v>0.89</v>
      </c>
      <c r="E1321" s="13" t="n">
        <f aca="false">IFERROR(MIN(C1321,Eingaben!$B$17)*Eingaben!$B$16,0)</f>
        <v>1.938</v>
      </c>
      <c r="F1321" s="13" t="n">
        <f aca="false">IFERROR(E1321*Eingaben!$B$15,0)</f>
        <v>1.7442</v>
      </c>
      <c r="G1321" s="13" t="n">
        <f aca="false">IFERROR(IF(Kalender!A223="",0,J1320*(1-Eingaben!$B$20)),0)</f>
        <v>1.709316</v>
      </c>
      <c r="H1321" s="13" t="n">
        <f aca="false">MIN(G1321,D1321)</f>
        <v>0.89</v>
      </c>
      <c r="I1321" s="13" t="n">
        <f aca="false">IFERROR(MIN(F1321*Eingaben!$B$19,MAX(0,D1321-H1321)),0)</f>
        <v>0</v>
      </c>
      <c r="J1321" s="13" t="n">
        <f aca="false">IFERROR(MIN(Eingaben!$B$18,MAX(0,F1321-I1321)),0)</f>
        <v>1.7442</v>
      </c>
      <c r="K1321" s="13" t="n">
        <f aca="false">H1321+I1321</f>
        <v>0.89</v>
      </c>
      <c r="L1321" s="13" t="n">
        <f aca="false">MAX(0,D1321-K1321)</f>
        <v>0</v>
      </c>
      <c r="M1321" s="13" t="n">
        <f aca="false">MAX(0,F1321-I1321-J1321)</f>
        <v>0</v>
      </c>
      <c r="N1321" s="13" t="n">
        <f aca="false">IF(Kalender!A223="",0,J1320-H1321)</f>
        <v>0.8542</v>
      </c>
    </row>
    <row r="1322" customFormat="false" ht="16.4" hidden="false" customHeight="false" outlineLevel="0" collapsed="false">
      <c r="A1322" s="13" t="str">
        <f aca="false">""</f>
        <v/>
      </c>
      <c r="B1322" s="13" t="n">
        <f aca="false">220</f>
        <v>220</v>
      </c>
      <c r="C1322" s="13" t="n">
        <f aca="false">IF(Szenarien!$H$14="OK",(IFERROR(SUMIF(Nutzungsprofile!$B$6:$B$11,"Schulbetrieb",Nutzungsprofile!$G$6:$G$11)*Kalender!C224/SUM(Kalender!$C$5:$C$370),0)+IFERROR(SUMIF(Nutzungsprofile!$B$6:$B$11,"Halle",Nutzungsprofile!$G$6:$G$11)*Kalender!D224/SUM(Kalender!$D$5:$D$370),0)+IFERROR(SUMIF(Nutzungsprofile!$B$6:$B$11,"Individuell",Nutzungsprofile!$G$6:$G$11)*Kalender!E224/SUM(Kalender!$E$5:$E$370),0))*Szenarien!$E$14,0)</f>
        <v>2.04</v>
      </c>
      <c r="D1322" s="13" t="n">
        <f aca="false">IF(Szenarien!$H$14="OK",(IFERROR(SUMIF(Nutzungsprofile!$B$17:$B$22,"Schulbetrieb",Nutzungsprofile!$G$17:$G$22)*Kalender!C224/SUM(Kalender!$C$5:$C$370),0)+IFERROR(SUMIF(Nutzungsprofile!$B$17:$B$22,"Halle",Nutzungsprofile!$G$17:$G$22)*Kalender!D224/SUM(Kalender!$D$5:$D$370),0)+IFERROR(SUMIF(Nutzungsprofile!$B$17:$B$22,"Individuell",Nutzungsprofile!$G$17:$G$22)*Kalender!E224/SUM(Kalender!$E$5:$E$370),0))*Szenarien!$D$14,0)</f>
        <v>0.89</v>
      </c>
      <c r="E1322" s="13" t="n">
        <f aca="false">IFERROR(MIN(C1322,Eingaben!$B$17)*Eingaben!$B$16,0)</f>
        <v>1.938</v>
      </c>
      <c r="F1322" s="13" t="n">
        <f aca="false">IFERROR(E1322*Eingaben!$B$15,0)</f>
        <v>1.7442</v>
      </c>
      <c r="G1322" s="13" t="n">
        <f aca="false">IFERROR(IF(Kalender!A224="",0,J1321*(1-Eingaben!$B$20)),0)</f>
        <v>1.709316</v>
      </c>
      <c r="H1322" s="13" t="n">
        <f aca="false">MIN(G1322,D1322)</f>
        <v>0.89</v>
      </c>
      <c r="I1322" s="13" t="n">
        <f aca="false">IFERROR(MIN(F1322*Eingaben!$B$19,MAX(0,D1322-H1322)),0)</f>
        <v>0</v>
      </c>
      <c r="J1322" s="13" t="n">
        <f aca="false">IFERROR(MIN(Eingaben!$B$18,MAX(0,F1322-I1322)),0)</f>
        <v>1.7442</v>
      </c>
      <c r="K1322" s="13" t="n">
        <f aca="false">H1322+I1322</f>
        <v>0.89</v>
      </c>
      <c r="L1322" s="13" t="n">
        <f aca="false">MAX(0,D1322-K1322)</f>
        <v>0</v>
      </c>
      <c r="M1322" s="13" t="n">
        <f aca="false">MAX(0,F1322-I1322-J1322)</f>
        <v>0</v>
      </c>
      <c r="N1322" s="13" t="n">
        <f aca="false">IF(Kalender!A224="",0,J1321-H1322)</f>
        <v>0.8542</v>
      </c>
    </row>
    <row r="1323" customFormat="false" ht="16.4" hidden="false" customHeight="false" outlineLevel="0" collapsed="false">
      <c r="A1323" s="13" t="str">
        <f aca="false">""</f>
        <v/>
      </c>
      <c r="B1323" s="13" t="n">
        <f aca="false">221</f>
        <v>221</v>
      </c>
      <c r="C1323" s="13" t="n">
        <f aca="false">IF(Szenarien!$H$14="OK",(IFERROR(SUMIF(Nutzungsprofile!$B$6:$B$11,"Schulbetrieb",Nutzungsprofile!$G$6:$G$11)*Kalender!C225/SUM(Kalender!$C$5:$C$370),0)+IFERROR(SUMIF(Nutzungsprofile!$B$6:$B$11,"Halle",Nutzungsprofile!$G$6:$G$11)*Kalender!D225/SUM(Kalender!$D$5:$D$370),0)+IFERROR(SUMIF(Nutzungsprofile!$B$6:$B$11,"Individuell",Nutzungsprofile!$G$6:$G$11)*Kalender!E225/SUM(Kalender!$E$5:$E$370),0))*Szenarien!$E$14,0)</f>
        <v>2.04</v>
      </c>
      <c r="D1323" s="13" t="n">
        <f aca="false">IF(Szenarien!$H$14="OK",(IFERROR(SUMIF(Nutzungsprofile!$B$17:$B$22,"Schulbetrieb",Nutzungsprofile!$G$17:$G$22)*Kalender!C225/SUM(Kalender!$C$5:$C$370),0)+IFERROR(SUMIF(Nutzungsprofile!$B$17:$B$22,"Halle",Nutzungsprofile!$G$17:$G$22)*Kalender!D225/SUM(Kalender!$D$5:$D$370),0)+IFERROR(SUMIF(Nutzungsprofile!$B$17:$B$22,"Individuell",Nutzungsprofile!$G$17:$G$22)*Kalender!E225/SUM(Kalender!$E$5:$E$370),0))*Szenarien!$D$14,0)</f>
        <v>0.89</v>
      </c>
      <c r="E1323" s="13" t="n">
        <f aca="false">IFERROR(MIN(C1323,Eingaben!$B$17)*Eingaben!$B$16,0)</f>
        <v>1.938</v>
      </c>
      <c r="F1323" s="13" t="n">
        <f aca="false">IFERROR(E1323*Eingaben!$B$15,0)</f>
        <v>1.7442</v>
      </c>
      <c r="G1323" s="13" t="n">
        <f aca="false">IFERROR(IF(Kalender!A225="",0,J1322*(1-Eingaben!$B$20)),0)</f>
        <v>1.709316</v>
      </c>
      <c r="H1323" s="13" t="n">
        <f aca="false">MIN(G1323,D1323)</f>
        <v>0.89</v>
      </c>
      <c r="I1323" s="13" t="n">
        <f aca="false">IFERROR(MIN(F1323*Eingaben!$B$19,MAX(0,D1323-H1323)),0)</f>
        <v>0</v>
      </c>
      <c r="J1323" s="13" t="n">
        <f aca="false">IFERROR(MIN(Eingaben!$B$18,MAX(0,F1323-I1323)),0)</f>
        <v>1.7442</v>
      </c>
      <c r="K1323" s="13" t="n">
        <f aca="false">H1323+I1323</f>
        <v>0.89</v>
      </c>
      <c r="L1323" s="13" t="n">
        <f aca="false">MAX(0,D1323-K1323)</f>
        <v>0</v>
      </c>
      <c r="M1323" s="13" t="n">
        <f aca="false">MAX(0,F1323-I1323-J1323)</f>
        <v>0</v>
      </c>
      <c r="N1323" s="13" t="n">
        <f aca="false">IF(Kalender!A225="",0,J1322-H1323)</f>
        <v>0.8542</v>
      </c>
    </row>
    <row r="1324" customFormat="false" ht="16.4" hidden="false" customHeight="false" outlineLevel="0" collapsed="false">
      <c r="A1324" s="13" t="str">
        <f aca="false">""</f>
        <v/>
      </c>
      <c r="B1324" s="13" t="n">
        <f aca="false">222</f>
        <v>222</v>
      </c>
      <c r="C1324" s="13" t="n">
        <f aca="false">IF(Szenarien!$H$14="OK",(IFERROR(SUMIF(Nutzungsprofile!$B$6:$B$11,"Schulbetrieb",Nutzungsprofile!$G$6:$G$11)*Kalender!C226/SUM(Kalender!$C$5:$C$370),0)+IFERROR(SUMIF(Nutzungsprofile!$B$6:$B$11,"Halle",Nutzungsprofile!$G$6:$G$11)*Kalender!D226/SUM(Kalender!$D$5:$D$370),0)+IFERROR(SUMIF(Nutzungsprofile!$B$6:$B$11,"Individuell",Nutzungsprofile!$G$6:$G$11)*Kalender!E226/SUM(Kalender!$E$5:$E$370),0))*Szenarien!$E$14,0)</f>
        <v>2.04</v>
      </c>
      <c r="D1324" s="13" t="n">
        <f aca="false">IF(Szenarien!$H$14="OK",(IFERROR(SUMIF(Nutzungsprofile!$B$17:$B$22,"Schulbetrieb",Nutzungsprofile!$G$17:$G$22)*Kalender!C226/SUM(Kalender!$C$5:$C$370),0)+IFERROR(SUMIF(Nutzungsprofile!$B$17:$B$22,"Halle",Nutzungsprofile!$G$17:$G$22)*Kalender!D226/SUM(Kalender!$D$5:$D$370),0)+IFERROR(SUMIF(Nutzungsprofile!$B$17:$B$22,"Individuell",Nutzungsprofile!$G$17:$G$22)*Kalender!E226/SUM(Kalender!$E$5:$E$370),0))*Szenarien!$D$14,0)</f>
        <v>0.89</v>
      </c>
      <c r="E1324" s="13" t="n">
        <f aca="false">IFERROR(MIN(C1324,Eingaben!$B$17)*Eingaben!$B$16,0)</f>
        <v>1.938</v>
      </c>
      <c r="F1324" s="13" t="n">
        <f aca="false">IFERROR(E1324*Eingaben!$B$15,0)</f>
        <v>1.7442</v>
      </c>
      <c r="G1324" s="13" t="n">
        <f aca="false">IFERROR(IF(Kalender!A226="",0,J1323*(1-Eingaben!$B$20)),0)</f>
        <v>1.709316</v>
      </c>
      <c r="H1324" s="13" t="n">
        <f aca="false">MIN(G1324,D1324)</f>
        <v>0.89</v>
      </c>
      <c r="I1324" s="13" t="n">
        <f aca="false">IFERROR(MIN(F1324*Eingaben!$B$19,MAX(0,D1324-H1324)),0)</f>
        <v>0</v>
      </c>
      <c r="J1324" s="13" t="n">
        <f aca="false">IFERROR(MIN(Eingaben!$B$18,MAX(0,F1324-I1324)),0)</f>
        <v>1.7442</v>
      </c>
      <c r="K1324" s="13" t="n">
        <f aca="false">H1324+I1324</f>
        <v>0.89</v>
      </c>
      <c r="L1324" s="13" t="n">
        <f aca="false">MAX(0,D1324-K1324)</f>
        <v>0</v>
      </c>
      <c r="M1324" s="13" t="n">
        <f aca="false">MAX(0,F1324-I1324-J1324)</f>
        <v>0</v>
      </c>
      <c r="N1324" s="13" t="n">
        <f aca="false">IF(Kalender!A226="",0,J1323-H1324)</f>
        <v>0.8542</v>
      </c>
    </row>
    <row r="1325" customFormat="false" ht="16.4" hidden="false" customHeight="false" outlineLevel="0" collapsed="false">
      <c r="A1325" s="13" t="str">
        <f aca="false">""</f>
        <v/>
      </c>
      <c r="B1325" s="13" t="n">
        <f aca="false">223</f>
        <v>223</v>
      </c>
      <c r="C1325" s="13" t="n">
        <f aca="false">IF(Szenarien!$H$14="OK",(IFERROR(SUMIF(Nutzungsprofile!$B$6:$B$11,"Schulbetrieb",Nutzungsprofile!$G$6:$G$11)*Kalender!C227/SUM(Kalender!$C$5:$C$370),0)+IFERROR(SUMIF(Nutzungsprofile!$B$6:$B$11,"Halle",Nutzungsprofile!$G$6:$G$11)*Kalender!D227/SUM(Kalender!$D$5:$D$370),0)+IFERROR(SUMIF(Nutzungsprofile!$B$6:$B$11,"Individuell",Nutzungsprofile!$G$6:$G$11)*Kalender!E227/SUM(Kalender!$E$5:$E$370),0))*Szenarien!$E$14,0)</f>
        <v>2.04</v>
      </c>
      <c r="D1325" s="13" t="n">
        <f aca="false">IF(Szenarien!$H$14="OK",(IFERROR(SUMIF(Nutzungsprofile!$B$17:$B$22,"Schulbetrieb",Nutzungsprofile!$G$17:$G$22)*Kalender!C227/SUM(Kalender!$C$5:$C$370),0)+IFERROR(SUMIF(Nutzungsprofile!$B$17:$B$22,"Halle",Nutzungsprofile!$G$17:$G$22)*Kalender!D227/SUM(Kalender!$D$5:$D$370),0)+IFERROR(SUMIF(Nutzungsprofile!$B$17:$B$22,"Individuell",Nutzungsprofile!$G$17:$G$22)*Kalender!E227/SUM(Kalender!$E$5:$E$370),0))*Szenarien!$D$14,0)</f>
        <v>0.89</v>
      </c>
      <c r="E1325" s="13" t="n">
        <f aca="false">IFERROR(MIN(C1325,Eingaben!$B$17)*Eingaben!$B$16,0)</f>
        <v>1.938</v>
      </c>
      <c r="F1325" s="13" t="n">
        <f aca="false">IFERROR(E1325*Eingaben!$B$15,0)</f>
        <v>1.7442</v>
      </c>
      <c r="G1325" s="13" t="n">
        <f aca="false">IFERROR(IF(Kalender!A227="",0,J1324*(1-Eingaben!$B$20)),0)</f>
        <v>1.709316</v>
      </c>
      <c r="H1325" s="13" t="n">
        <f aca="false">MIN(G1325,D1325)</f>
        <v>0.89</v>
      </c>
      <c r="I1325" s="13" t="n">
        <f aca="false">IFERROR(MIN(F1325*Eingaben!$B$19,MAX(0,D1325-H1325)),0)</f>
        <v>0</v>
      </c>
      <c r="J1325" s="13" t="n">
        <f aca="false">IFERROR(MIN(Eingaben!$B$18,MAX(0,F1325-I1325)),0)</f>
        <v>1.7442</v>
      </c>
      <c r="K1325" s="13" t="n">
        <f aca="false">H1325+I1325</f>
        <v>0.89</v>
      </c>
      <c r="L1325" s="13" t="n">
        <f aca="false">MAX(0,D1325-K1325)</f>
        <v>0</v>
      </c>
      <c r="M1325" s="13" t="n">
        <f aca="false">MAX(0,F1325-I1325-J1325)</f>
        <v>0</v>
      </c>
      <c r="N1325" s="13" t="n">
        <f aca="false">IF(Kalender!A227="",0,J1324-H1325)</f>
        <v>0.8542</v>
      </c>
    </row>
    <row r="1326" customFormat="false" ht="16.4" hidden="false" customHeight="false" outlineLevel="0" collapsed="false">
      <c r="A1326" s="13" t="str">
        <f aca="false">""</f>
        <v/>
      </c>
      <c r="B1326" s="13" t="n">
        <f aca="false">224</f>
        <v>224</v>
      </c>
      <c r="C1326" s="13" t="n">
        <f aca="false">IF(Szenarien!$H$14="OK",(IFERROR(SUMIF(Nutzungsprofile!$B$6:$B$11,"Schulbetrieb",Nutzungsprofile!$G$6:$G$11)*Kalender!C228/SUM(Kalender!$C$5:$C$370),0)+IFERROR(SUMIF(Nutzungsprofile!$B$6:$B$11,"Halle",Nutzungsprofile!$G$6:$G$11)*Kalender!D228/SUM(Kalender!$D$5:$D$370),0)+IFERROR(SUMIF(Nutzungsprofile!$B$6:$B$11,"Individuell",Nutzungsprofile!$G$6:$G$11)*Kalender!E228/SUM(Kalender!$E$5:$E$370),0))*Szenarien!$E$14,0)</f>
        <v>2.04</v>
      </c>
      <c r="D1326" s="13" t="n">
        <f aca="false">IF(Szenarien!$H$14="OK",(IFERROR(SUMIF(Nutzungsprofile!$B$17:$B$22,"Schulbetrieb",Nutzungsprofile!$G$17:$G$22)*Kalender!C228/SUM(Kalender!$C$5:$C$370),0)+IFERROR(SUMIF(Nutzungsprofile!$B$17:$B$22,"Halle",Nutzungsprofile!$G$17:$G$22)*Kalender!D228/SUM(Kalender!$D$5:$D$370),0)+IFERROR(SUMIF(Nutzungsprofile!$B$17:$B$22,"Individuell",Nutzungsprofile!$G$17:$G$22)*Kalender!E228/SUM(Kalender!$E$5:$E$370),0))*Szenarien!$D$14,0)</f>
        <v>0.89</v>
      </c>
      <c r="E1326" s="13" t="n">
        <f aca="false">IFERROR(MIN(C1326,Eingaben!$B$17)*Eingaben!$B$16,0)</f>
        <v>1.938</v>
      </c>
      <c r="F1326" s="13" t="n">
        <f aca="false">IFERROR(E1326*Eingaben!$B$15,0)</f>
        <v>1.7442</v>
      </c>
      <c r="G1326" s="13" t="n">
        <f aca="false">IFERROR(IF(Kalender!A228="",0,J1325*(1-Eingaben!$B$20)),0)</f>
        <v>1.709316</v>
      </c>
      <c r="H1326" s="13" t="n">
        <f aca="false">MIN(G1326,D1326)</f>
        <v>0.89</v>
      </c>
      <c r="I1326" s="13" t="n">
        <f aca="false">IFERROR(MIN(F1326*Eingaben!$B$19,MAX(0,D1326-H1326)),0)</f>
        <v>0</v>
      </c>
      <c r="J1326" s="13" t="n">
        <f aca="false">IFERROR(MIN(Eingaben!$B$18,MAX(0,F1326-I1326)),0)</f>
        <v>1.7442</v>
      </c>
      <c r="K1326" s="13" t="n">
        <f aca="false">H1326+I1326</f>
        <v>0.89</v>
      </c>
      <c r="L1326" s="13" t="n">
        <f aca="false">MAX(0,D1326-K1326)</f>
        <v>0</v>
      </c>
      <c r="M1326" s="13" t="n">
        <f aca="false">MAX(0,F1326-I1326-J1326)</f>
        <v>0</v>
      </c>
      <c r="N1326" s="13" t="n">
        <f aca="false">IF(Kalender!A228="",0,J1325-H1326)</f>
        <v>0.8542</v>
      </c>
    </row>
    <row r="1327" customFormat="false" ht="16.4" hidden="false" customHeight="false" outlineLevel="0" collapsed="false">
      <c r="A1327" s="13" t="str">
        <f aca="false">""</f>
        <v/>
      </c>
      <c r="B1327" s="13" t="n">
        <f aca="false">225</f>
        <v>225</v>
      </c>
      <c r="C1327" s="13" t="n">
        <f aca="false">IF(Szenarien!$H$14="OK",(IFERROR(SUMIF(Nutzungsprofile!$B$6:$B$11,"Schulbetrieb",Nutzungsprofile!$G$6:$G$11)*Kalender!C229/SUM(Kalender!$C$5:$C$370),0)+IFERROR(SUMIF(Nutzungsprofile!$B$6:$B$11,"Halle",Nutzungsprofile!$G$6:$G$11)*Kalender!D229/SUM(Kalender!$D$5:$D$370),0)+IFERROR(SUMIF(Nutzungsprofile!$B$6:$B$11,"Individuell",Nutzungsprofile!$G$6:$G$11)*Kalender!E229/SUM(Kalender!$E$5:$E$370),0))*Szenarien!$E$14,0)</f>
        <v>2.04</v>
      </c>
      <c r="D1327" s="13" t="n">
        <f aca="false">IF(Szenarien!$H$14="OK",(IFERROR(SUMIF(Nutzungsprofile!$B$17:$B$22,"Schulbetrieb",Nutzungsprofile!$G$17:$G$22)*Kalender!C229/SUM(Kalender!$C$5:$C$370),0)+IFERROR(SUMIF(Nutzungsprofile!$B$17:$B$22,"Halle",Nutzungsprofile!$G$17:$G$22)*Kalender!D229/SUM(Kalender!$D$5:$D$370),0)+IFERROR(SUMIF(Nutzungsprofile!$B$17:$B$22,"Individuell",Nutzungsprofile!$G$17:$G$22)*Kalender!E229/SUM(Kalender!$E$5:$E$370),0))*Szenarien!$D$14,0)</f>
        <v>0.89</v>
      </c>
      <c r="E1327" s="13" t="n">
        <f aca="false">IFERROR(MIN(C1327,Eingaben!$B$17)*Eingaben!$B$16,0)</f>
        <v>1.938</v>
      </c>
      <c r="F1327" s="13" t="n">
        <f aca="false">IFERROR(E1327*Eingaben!$B$15,0)</f>
        <v>1.7442</v>
      </c>
      <c r="G1327" s="13" t="n">
        <f aca="false">IFERROR(IF(Kalender!A229="",0,J1326*(1-Eingaben!$B$20)),0)</f>
        <v>1.709316</v>
      </c>
      <c r="H1327" s="13" t="n">
        <f aca="false">MIN(G1327,D1327)</f>
        <v>0.89</v>
      </c>
      <c r="I1327" s="13" t="n">
        <f aca="false">IFERROR(MIN(F1327*Eingaben!$B$19,MAX(0,D1327-H1327)),0)</f>
        <v>0</v>
      </c>
      <c r="J1327" s="13" t="n">
        <f aca="false">IFERROR(MIN(Eingaben!$B$18,MAX(0,F1327-I1327)),0)</f>
        <v>1.7442</v>
      </c>
      <c r="K1327" s="13" t="n">
        <f aca="false">H1327+I1327</f>
        <v>0.89</v>
      </c>
      <c r="L1327" s="13" t="n">
        <f aca="false">MAX(0,D1327-K1327)</f>
        <v>0</v>
      </c>
      <c r="M1327" s="13" t="n">
        <f aca="false">MAX(0,F1327-I1327-J1327)</f>
        <v>0</v>
      </c>
      <c r="N1327" s="13" t="n">
        <f aca="false">IF(Kalender!A229="",0,J1326-H1327)</f>
        <v>0.8542</v>
      </c>
    </row>
    <row r="1328" customFormat="false" ht="16.4" hidden="false" customHeight="false" outlineLevel="0" collapsed="false">
      <c r="A1328" s="13" t="str">
        <f aca="false">""</f>
        <v/>
      </c>
      <c r="B1328" s="13" t="n">
        <f aca="false">226</f>
        <v>226</v>
      </c>
      <c r="C1328" s="13" t="n">
        <f aca="false">IF(Szenarien!$H$14="OK",(IFERROR(SUMIF(Nutzungsprofile!$B$6:$B$11,"Schulbetrieb",Nutzungsprofile!$G$6:$G$11)*Kalender!C230/SUM(Kalender!$C$5:$C$370),0)+IFERROR(SUMIF(Nutzungsprofile!$B$6:$B$11,"Halle",Nutzungsprofile!$G$6:$G$11)*Kalender!D230/SUM(Kalender!$D$5:$D$370),0)+IFERROR(SUMIF(Nutzungsprofile!$B$6:$B$11,"Individuell",Nutzungsprofile!$G$6:$G$11)*Kalender!E230/SUM(Kalender!$E$5:$E$370),0))*Szenarien!$E$14,0)</f>
        <v>2.04</v>
      </c>
      <c r="D1328" s="13" t="n">
        <f aca="false">IF(Szenarien!$H$14="OK",(IFERROR(SUMIF(Nutzungsprofile!$B$17:$B$22,"Schulbetrieb",Nutzungsprofile!$G$17:$G$22)*Kalender!C230/SUM(Kalender!$C$5:$C$370),0)+IFERROR(SUMIF(Nutzungsprofile!$B$17:$B$22,"Halle",Nutzungsprofile!$G$17:$G$22)*Kalender!D230/SUM(Kalender!$D$5:$D$370),0)+IFERROR(SUMIF(Nutzungsprofile!$B$17:$B$22,"Individuell",Nutzungsprofile!$G$17:$G$22)*Kalender!E230/SUM(Kalender!$E$5:$E$370),0))*Szenarien!$D$14,0)</f>
        <v>0.89</v>
      </c>
      <c r="E1328" s="13" t="n">
        <f aca="false">IFERROR(MIN(C1328,Eingaben!$B$17)*Eingaben!$B$16,0)</f>
        <v>1.938</v>
      </c>
      <c r="F1328" s="13" t="n">
        <f aca="false">IFERROR(E1328*Eingaben!$B$15,0)</f>
        <v>1.7442</v>
      </c>
      <c r="G1328" s="13" t="n">
        <f aca="false">IFERROR(IF(Kalender!A230="",0,J1327*(1-Eingaben!$B$20)),0)</f>
        <v>1.709316</v>
      </c>
      <c r="H1328" s="13" t="n">
        <f aca="false">MIN(G1328,D1328)</f>
        <v>0.89</v>
      </c>
      <c r="I1328" s="13" t="n">
        <f aca="false">IFERROR(MIN(F1328*Eingaben!$B$19,MAX(0,D1328-H1328)),0)</f>
        <v>0</v>
      </c>
      <c r="J1328" s="13" t="n">
        <f aca="false">IFERROR(MIN(Eingaben!$B$18,MAX(0,F1328-I1328)),0)</f>
        <v>1.7442</v>
      </c>
      <c r="K1328" s="13" t="n">
        <f aca="false">H1328+I1328</f>
        <v>0.89</v>
      </c>
      <c r="L1328" s="13" t="n">
        <f aca="false">MAX(0,D1328-K1328)</f>
        <v>0</v>
      </c>
      <c r="M1328" s="13" t="n">
        <f aca="false">MAX(0,F1328-I1328-J1328)</f>
        <v>0</v>
      </c>
      <c r="N1328" s="13" t="n">
        <f aca="false">IF(Kalender!A230="",0,J1327-H1328)</f>
        <v>0.8542</v>
      </c>
    </row>
    <row r="1329" customFormat="false" ht="16.4" hidden="false" customHeight="false" outlineLevel="0" collapsed="false">
      <c r="A1329" s="13" t="str">
        <f aca="false">""</f>
        <v/>
      </c>
      <c r="B1329" s="13" t="n">
        <f aca="false">227</f>
        <v>227</v>
      </c>
      <c r="C1329" s="13" t="n">
        <f aca="false">IF(Szenarien!$H$14="OK",(IFERROR(SUMIF(Nutzungsprofile!$B$6:$B$11,"Schulbetrieb",Nutzungsprofile!$G$6:$G$11)*Kalender!C231/SUM(Kalender!$C$5:$C$370),0)+IFERROR(SUMIF(Nutzungsprofile!$B$6:$B$11,"Halle",Nutzungsprofile!$G$6:$G$11)*Kalender!D231/SUM(Kalender!$D$5:$D$370),0)+IFERROR(SUMIF(Nutzungsprofile!$B$6:$B$11,"Individuell",Nutzungsprofile!$G$6:$G$11)*Kalender!E231/SUM(Kalender!$E$5:$E$370),0))*Szenarien!$E$14,0)</f>
        <v>2.04</v>
      </c>
      <c r="D1329" s="13" t="n">
        <f aca="false">IF(Szenarien!$H$14="OK",(IFERROR(SUMIF(Nutzungsprofile!$B$17:$B$22,"Schulbetrieb",Nutzungsprofile!$G$17:$G$22)*Kalender!C231/SUM(Kalender!$C$5:$C$370),0)+IFERROR(SUMIF(Nutzungsprofile!$B$17:$B$22,"Halle",Nutzungsprofile!$G$17:$G$22)*Kalender!D231/SUM(Kalender!$D$5:$D$370),0)+IFERROR(SUMIF(Nutzungsprofile!$B$17:$B$22,"Individuell",Nutzungsprofile!$G$17:$G$22)*Kalender!E231/SUM(Kalender!$E$5:$E$370),0))*Szenarien!$D$14,0)</f>
        <v>0.89</v>
      </c>
      <c r="E1329" s="13" t="n">
        <f aca="false">IFERROR(MIN(C1329,Eingaben!$B$17)*Eingaben!$B$16,0)</f>
        <v>1.938</v>
      </c>
      <c r="F1329" s="13" t="n">
        <f aca="false">IFERROR(E1329*Eingaben!$B$15,0)</f>
        <v>1.7442</v>
      </c>
      <c r="G1329" s="13" t="n">
        <f aca="false">IFERROR(IF(Kalender!A231="",0,J1328*(1-Eingaben!$B$20)),0)</f>
        <v>1.709316</v>
      </c>
      <c r="H1329" s="13" t="n">
        <f aca="false">MIN(G1329,D1329)</f>
        <v>0.89</v>
      </c>
      <c r="I1329" s="13" t="n">
        <f aca="false">IFERROR(MIN(F1329*Eingaben!$B$19,MAX(0,D1329-H1329)),0)</f>
        <v>0</v>
      </c>
      <c r="J1329" s="13" t="n">
        <f aca="false">IFERROR(MIN(Eingaben!$B$18,MAX(0,F1329-I1329)),0)</f>
        <v>1.7442</v>
      </c>
      <c r="K1329" s="13" t="n">
        <f aca="false">H1329+I1329</f>
        <v>0.89</v>
      </c>
      <c r="L1329" s="13" t="n">
        <f aca="false">MAX(0,D1329-K1329)</f>
        <v>0</v>
      </c>
      <c r="M1329" s="13" t="n">
        <f aca="false">MAX(0,F1329-I1329-J1329)</f>
        <v>0</v>
      </c>
      <c r="N1329" s="13" t="n">
        <f aca="false">IF(Kalender!A231="",0,J1328-H1329)</f>
        <v>0.8542</v>
      </c>
    </row>
    <row r="1330" customFormat="false" ht="16.4" hidden="false" customHeight="false" outlineLevel="0" collapsed="false">
      <c r="A1330" s="13" t="str">
        <f aca="false">""</f>
        <v/>
      </c>
      <c r="B1330" s="13" t="n">
        <f aca="false">228</f>
        <v>228</v>
      </c>
      <c r="C1330" s="13" t="n">
        <f aca="false">IF(Szenarien!$H$14="OK",(IFERROR(SUMIF(Nutzungsprofile!$B$6:$B$11,"Schulbetrieb",Nutzungsprofile!$G$6:$G$11)*Kalender!C232/SUM(Kalender!$C$5:$C$370),0)+IFERROR(SUMIF(Nutzungsprofile!$B$6:$B$11,"Halle",Nutzungsprofile!$G$6:$G$11)*Kalender!D232/SUM(Kalender!$D$5:$D$370),0)+IFERROR(SUMIF(Nutzungsprofile!$B$6:$B$11,"Individuell",Nutzungsprofile!$G$6:$G$11)*Kalender!E232/SUM(Kalender!$E$5:$E$370),0))*Szenarien!$E$14,0)</f>
        <v>2.04</v>
      </c>
      <c r="D1330" s="13" t="n">
        <f aca="false">IF(Szenarien!$H$14="OK",(IFERROR(SUMIF(Nutzungsprofile!$B$17:$B$22,"Schulbetrieb",Nutzungsprofile!$G$17:$G$22)*Kalender!C232/SUM(Kalender!$C$5:$C$370),0)+IFERROR(SUMIF(Nutzungsprofile!$B$17:$B$22,"Halle",Nutzungsprofile!$G$17:$G$22)*Kalender!D232/SUM(Kalender!$D$5:$D$370),0)+IFERROR(SUMIF(Nutzungsprofile!$B$17:$B$22,"Individuell",Nutzungsprofile!$G$17:$G$22)*Kalender!E232/SUM(Kalender!$E$5:$E$370),0))*Szenarien!$D$14,0)</f>
        <v>0.89</v>
      </c>
      <c r="E1330" s="13" t="n">
        <f aca="false">IFERROR(MIN(C1330,Eingaben!$B$17)*Eingaben!$B$16,0)</f>
        <v>1.938</v>
      </c>
      <c r="F1330" s="13" t="n">
        <f aca="false">IFERROR(E1330*Eingaben!$B$15,0)</f>
        <v>1.7442</v>
      </c>
      <c r="G1330" s="13" t="n">
        <f aca="false">IFERROR(IF(Kalender!A232="",0,J1329*(1-Eingaben!$B$20)),0)</f>
        <v>1.709316</v>
      </c>
      <c r="H1330" s="13" t="n">
        <f aca="false">MIN(G1330,D1330)</f>
        <v>0.89</v>
      </c>
      <c r="I1330" s="13" t="n">
        <f aca="false">IFERROR(MIN(F1330*Eingaben!$B$19,MAX(0,D1330-H1330)),0)</f>
        <v>0</v>
      </c>
      <c r="J1330" s="13" t="n">
        <f aca="false">IFERROR(MIN(Eingaben!$B$18,MAX(0,F1330-I1330)),0)</f>
        <v>1.7442</v>
      </c>
      <c r="K1330" s="13" t="n">
        <f aca="false">H1330+I1330</f>
        <v>0.89</v>
      </c>
      <c r="L1330" s="13" t="n">
        <f aca="false">MAX(0,D1330-K1330)</f>
        <v>0</v>
      </c>
      <c r="M1330" s="13" t="n">
        <f aca="false">MAX(0,F1330-I1330-J1330)</f>
        <v>0</v>
      </c>
      <c r="N1330" s="13" t="n">
        <f aca="false">IF(Kalender!A232="",0,J1329-H1330)</f>
        <v>0.8542</v>
      </c>
    </row>
    <row r="1331" customFormat="false" ht="16.4" hidden="false" customHeight="false" outlineLevel="0" collapsed="false">
      <c r="A1331" s="13" t="str">
        <f aca="false">""</f>
        <v/>
      </c>
      <c r="B1331" s="13" t="n">
        <f aca="false">229</f>
        <v>229</v>
      </c>
      <c r="C1331" s="13" t="n">
        <f aca="false">IF(Szenarien!$H$14="OK",(IFERROR(SUMIF(Nutzungsprofile!$B$6:$B$11,"Schulbetrieb",Nutzungsprofile!$G$6:$G$11)*Kalender!C233/SUM(Kalender!$C$5:$C$370),0)+IFERROR(SUMIF(Nutzungsprofile!$B$6:$B$11,"Halle",Nutzungsprofile!$G$6:$G$11)*Kalender!D233/SUM(Kalender!$D$5:$D$370),0)+IFERROR(SUMIF(Nutzungsprofile!$B$6:$B$11,"Individuell",Nutzungsprofile!$G$6:$G$11)*Kalender!E233/SUM(Kalender!$E$5:$E$370),0))*Szenarien!$E$14,0)</f>
        <v>2.04</v>
      </c>
      <c r="D1331" s="13" t="n">
        <f aca="false">IF(Szenarien!$H$14="OK",(IFERROR(SUMIF(Nutzungsprofile!$B$17:$B$22,"Schulbetrieb",Nutzungsprofile!$G$17:$G$22)*Kalender!C233/SUM(Kalender!$C$5:$C$370),0)+IFERROR(SUMIF(Nutzungsprofile!$B$17:$B$22,"Halle",Nutzungsprofile!$G$17:$G$22)*Kalender!D233/SUM(Kalender!$D$5:$D$370),0)+IFERROR(SUMIF(Nutzungsprofile!$B$17:$B$22,"Individuell",Nutzungsprofile!$G$17:$G$22)*Kalender!E233/SUM(Kalender!$E$5:$E$370),0))*Szenarien!$D$14,0)</f>
        <v>0.89</v>
      </c>
      <c r="E1331" s="13" t="n">
        <f aca="false">IFERROR(MIN(C1331,Eingaben!$B$17)*Eingaben!$B$16,0)</f>
        <v>1.938</v>
      </c>
      <c r="F1331" s="13" t="n">
        <f aca="false">IFERROR(E1331*Eingaben!$B$15,0)</f>
        <v>1.7442</v>
      </c>
      <c r="G1331" s="13" t="n">
        <f aca="false">IFERROR(IF(Kalender!A233="",0,J1330*(1-Eingaben!$B$20)),0)</f>
        <v>1.709316</v>
      </c>
      <c r="H1331" s="13" t="n">
        <f aca="false">MIN(G1331,D1331)</f>
        <v>0.89</v>
      </c>
      <c r="I1331" s="13" t="n">
        <f aca="false">IFERROR(MIN(F1331*Eingaben!$B$19,MAX(0,D1331-H1331)),0)</f>
        <v>0</v>
      </c>
      <c r="J1331" s="13" t="n">
        <f aca="false">IFERROR(MIN(Eingaben!$B$18,MAX(0,F1331-I1331)),0)</f>
        <v>1.7442</v>
      </c>
      <c r="K1331" s="13" t="n">
        <f aca="false">H1331+I1331</f>
        <v>0.89</v>
      </c>
      <c r="L1331" s="13" t="n">
        <f aca="false">MAX(0,D1331-K1331)</f>
        <v>0</v>
      </c>
      <c r="M1331" s="13" t="n">
        <f aca="false">MAX(0,F1331-I1331-J1331)</f>
        <v>0</v>
      </c>
      <c r="N1331" s="13" t="n">
        <f aca="false">IF(Kalender!A233="",0,J1330-H1331)</f>
        <v>0.8542</v>
      </c>
    </row>
    <row r="1332" customFormat="false" ht="16.4" hidden="false" customHeight="false" outlineLevel="0" collapsed="false">
      <c r="A1332" s="13" t="str">
        <f aca="false">""</f>
        <v/>
      </c>
      <c r="B1332" s="13" t="n">
        <f aca="false">230</f>
        <v>230</v>
      </c>
      <c r="C1332" s="13" t="n">
        <f aca="false">IF(Szenarien!$H$14="OK",(IFERROR(SUMIF(Nutzungsprofile!$B$6:$B$11,"Schulbetrieb",Nutzungsprofile!$G$6:$G$11)*Kalender!C234/SUM(Kalender!$C$5:$C$370),0)+IFERROR(SUMIF(Nutzungsprofile!$B$6:$B$11,"Halle",Nutzungsprofile!$G$6:$G$11)*Kalender!D234/SUM(Kalender!$D$5:$D$370),0)+IFERROR(SUMIF(Nutzungsprofile!$B$6:$B$11,"Individuell",Nutzungsprofile!$G$6:$G$11)*Kalender!E234/SUM(Kalender!$E$5:$E$370),0))*Szenarien!$E$14,0)</f>
        <v>2.04</v>
      </c>
      <c r="D1332" s="13" t="n">
        <f aca="false">IF(Szenarien!$H$14="OK",(IFERROR(SUMIF(Nutzungsprofile!$B$17:$B$22,"Schulbetrieb",Nutzungsprofile!$G$17:$G$22)*Kalender!C234/SUM(Kalender!$C$5:$C$370),0)+IFERROR(SUMIF(Nutzungsprofile!$B$17:$B$22,"Halle",Nutzungsprofile!$G$17:$G$22)*Kalender!D234/SUM(Kalender!$D$5:$D$370),0)+IFERROR(SUMIF(Nutzungsprofile!$B$17:$B$22,"Individuell",Nutzungsprofile!$G$17:$G$22)*Kalender!E234/SUM(Kalender!$E$5:$E$370),0))*Szenarien!$D$14,0)</f>
        <v>0.89</v>
      </c>
      <c r="E1332" s="13" t="n">
        <f aca="false">IFERROR(MIN(C1332,Eingaben!$B$17)*Eingaben!$B$16,0)</f>
        <v>1.938</v>
      </c>
      <c r="F1332" s="13" t="n">
        <f aca="false">IFERROR(E1332*Eingaben!$B$15,0)</f>
        <v>1.7442</v>
      </c>
      <c r="G1332" s="13" t="n">
        <f aca="false">IFERROR(IF(Kalender!A234="",0,J1331*(1-Eingaben!$B$20)),0)</f>
        <v>1.709316</v>
      </c>
      <c r="H1332" s="13" t="n">
        <f aca="false">MIN(G1332,D1332)</f>
        <v>0.89</v>
      </c>
      <c r="I1332" s="13" t="n">
        <f aca="false">IFERROR(MIN(F1332*Eingaben!$B$19,MAX(0,D1332-H1332)),0)</f>
        <v>0</v>
      </c>
      <c r="J1332" s="13" t="n">
        <f aca="false">IFERROR(MIN(Eingaben!$B$18,MAX(0,F1332-I1332)),0)</f>
        <v>1.7442</v>
      </c>
      <c r="K1332" s="13" t="n">
        <f aca="false">H1332+I1332</f>
        <v>0.89</v>
      </c>
      <c r="L1332" s="13" t="n">
        <f aca="false">MAX(0,D1332-K1332)</f>
        <v>0</v>
      </c>
      <c r="M1332" s="13" t="n">
        <f aca="false">MAX(0,F1332-I1332-J1332)</f>
        <v>0</v>
      </c>
      <c r="N1332" s="13" t="n">
        <f aca="false">IF(Kalender!A234="",0,J1331-H1332)</f>
        <v>0.8542</v>
      </c>
    </row>
    <row r="1333" customFormat="false" ht="16.4" hidden="false" customHeight="false" outlineLevel="0" collapsed="false">
      <c r="A1333" s="13" t="str">
        <f aca="false">""</f>
        <v/>
      </c>
      <c r="B1333" s="13" t="n">
        <f aca="false">231</f>
        <v>231</v>
      </c>
      <c r="C1333" s="13" t="n">
        <f aca="false">IF(Szenarien!$H$14="OK",(IFERROR(SUMIF(Nutzungsprofile!$B$6:$B$11,"Schulbetrieb",Nutzungsprofile!$G$6:$G$11)*Kalender!C235/SUM(Kalender!$C$5:$C$370),0)+IFERROR(SUMIF(Nutzungsprofile!$B$6:$B$11,"Halle",Nutzungsprofile!$G$6:$G$11)*Kalender!D235/SUM(Kalender!$D$5:$D$370),0)+IFERROR(SUMIF(Nutzungsprofile!$B$6:$B$11,"Individuell",Nutzungsprofile!$G$6:$G$11)*Kalender!E235/SUM(Kalender!$E$5:$E$370),0))*Szenarien!$E$14,0)</f>
        <v>2.04</v>
      </c>
      <c r="D1333" s="13" t="n">
        <f aca="false">IF(Szenarien!$H$14="OK",(IFERROR(SUMIF(Nutzungsprofile!$B$17:$B$22,"Schulbetrieb",Nutzungsprofile!$G$17:$G$22)*Kalender!C235/SUM(Kalender!$C$5:$C$370),0)+IFERROR(SUMIF(Nutzungsprofile!$B$17:$B$22,"Halle",Nutzungsprofile!$G$17:$G$22)*Kalender!D235/SUM(Kalender!$D$5:$D$370),0)+IFERROR(SUMIF(Nutzungsprofile!$B$17:$B$22,"Individuell",Nutzungsprofile!$G$17:$G$22)*Kalender!E235/SUM(Kalender!$E$5:$E$370),0))*Szenarien!$D$14,0)</f>
        <v>0.89</v>
      </c>
      <c r="E1333" s="13" t="n">
        <f aca="false">IFERROR(MIN(C1333,Eingaben!$B$17)*Eingaben!$B$16,0)</f>
        <v>1.938</v>
      </c>
      <c r="F1333" s="13" t="n">
        <f aca="false">IFERROR(E1333*Eingaben!$B$15,0)</f>
        <v>1.7442</v>
      </c>
      <c r="G1333" s="13" t="n">
        <f aca="false">IFERROR(IF(Kalender!A235="",0,J1332*(1-Eingaben!$B$20)),0)</f>
        <v>1.709316</v>
      </c>
      <c r="H1333" s="13" t="n">
        <f aca="false">MIN(G1333,D1333)</f>
        <v>0.89</v>
      </c>
      <c r="I1333" s="13" t="n">
        <f aca="false">IFERROR(MIN(F1333*Eingaben!$B$19,MAX(0,D1333-H1333)),0)</f>
        <v>0</v>
      </c>
      <c r="J1333" s="13" t="n">
        <f aca="false">IFERROR(MIN(Eingaben!$B$18,MAX(0,F1333-I1333)),0)</f>
        <v>1.7442</v>
      </c>
      <c r="K1333" s="13" t="n">
        <f aca="false">H1333+I1333</f>
        <v>0.89</v>
      </c>
      <c r="L1333" s="13" t="n">
        <f aca="false">MAX(0,D1333-K1333)</f>
        <v>0</v>
      </c>
      <c r="M1333" s="13" t="n">
        <f aca="false">MAX(0,F1333-I1333-J1333)</f>
        <v>0</v>
      </c>
      <c r="N1333" s="13" t="n">
        <f aca="false">IF(Kalender!A235="",0,J1332-H1333)</f>
        <v>0.8542</v>
      </c>
    </row>
    <row r="1334" customFormat="false" ht="16.4" hidden="false" customHeight="false" outlineLevel="0" collapsed="false">
      <c r="A1334" s="13" t="str">
        <f aca="false">""</f>
        <v/>
      </c>
      <c r="B1334" s="13" t="n">
        <f aca="false">232</f>
        <v>232</v>
      </c>
      <c r="C1334" s="13" t="n">
        <f aca="false">IF(Szenarien!$H$14="OK",(IFERROR(SUMIF(Nutzungsprofile!$B$6:$B$11,"Schulbetrieb",Nutzungsprofile!$G$6:$G$11)*Kalender!C236/SUM(Kalender!$C$5:$C$370),0)+IFERROR(SUMIF(Nutzungsprofile!$B$6:$B$11,"Halle",Nutzungsprofile!$G$6:$G$11)*Kalender!D236/SUM(Kalender!$D$5:$D$370),0)+IFERROR(SUMIF(Nutzungsprofile!$B$6:$B$11,"Individuell",Nutzungsprofile!$G$6:$G$11)*Kalender!E236/SUM(Kalender!$E$5:$E$370),0))*Szenarien!$E$14,0)</f>
        <v>2.04</v>
      </c>
      <c r="D1334" s="13" t="n">
        <f aca="false">IF(Szenarien!$H$14="OK",(IFERROR(SUMIF(Nutzungsprofile!$B$17:$B$22,"Schulbetrieb",Nutzungsprofile!$G$17:$G$22)*Kalender!C236/SUM(Kalender!$C$5:$C$370),0)+IFERROR(SUMIF(Nutzungsprofile!$B$17:$B$22,"Halle",Nutzungsprofile!$G$17:$G$22)*Kalender!D236/SUM(Kalender!$D$5:$D$370),0)+IFERROR(SUMIF(Nutzungsprofile!$B$17:$B$22,"Individuell",Nutzungsprofile!$G$17:$G$22)*Kalender!E236/SUM(Kalender!$E$5:$E$370),0))*Szenarien!$D$14,0)</f>
        <v>0.89</v>
      </c>
      <c r="E1334" s="13" t="n">
        <f aca="false">IFERROR(MIN(C1334,Eingaben!$B$17)*Eingaben!$B$16,0)</f>
        <v>1.938</v>
      </c>
      <c r="F1334" s="13" t="n">
        <f aca="false">IFERROR(E1334*Eingaben!$B$15,0)</f>
        <v>1.7442</v>
      </c>
      <c r="G1334" s="13" t="n">
        <f aca="false">IFERROR(IF(Kalender!A236="",0,J1333*(1-Eingaben!$B$20)),0)</f>
        <v>1.709316</v>
      </c>
      <c r="H1334" s="13" t="n">
        <f aca="false">MIN(G1334,D1334)</f>
        <v>0.89</v>
      </c>
      <c r="I1334" s="13" t="n">
        <f aca="false">IFERROR(MIN(F1334*Eingaben!$B$19,MAX(0,D1334-H1334)),0)</f>
        <v>0</v>
      </c>
      <c r="J1334" s="13" t="n">
        <f aca="false">IFERROR(MIN(Eingaben!$B$18,MAX(0,F1334-I1334)),0)</f>
        <v>1.7442</v>
      </c>
      <c r="K1334" s="13" t="n">
        <f aca="false">H1334+I1334</f>
        <v>0.89</v>
      </c>
      <c r="L1334" s="13" t="n">
        <f aca="false">MAX(0,D1334-K1334)</f>
        <v>0</v>
      </c>
      <c r="M1334" s="13" t="n">
        <f aca="false">MAX(0,F1334-I1334-J1334)</f>
        <v>0</v>
      </c>
      <c r="N1334" s="13" t="n">
        <f aca="false">IF(Kalender!A236="",0,J1333-H1334)</f>
        <v>0.8542</v>
      </c>
    </row>
    <row r="1335" customFormat="false" ht="16.4" hidden="false" customHeight="false" outlineLevel="0" collapsed="false">
      <c r="A1335" s="13" t="str">
        <f aca="false">""</f>
        <v/>
      </c>
      <c r="B1335" s="13" t="n">
        <f aca="false">233</f>
        <v>233</v>
      </c>
      <c r="C1335" s="13" t="n">
        <f aca="false">IF(Szenarien!$H$14="OK",(IFERROR(SUMIF(Nutzungsprofile!$B$6:$B$11,"Schulbetrieb",Nutzungsprofile!$G$6:$G$11)*Kalender!C237/SUM(Kalender!$C$5:$C$370),0)+IFERROR(SUMIF(Nutzungsprofile!$B$6:$B$11,"Halle",Nutzungsprofile!$G$6:$G$11)*Kalender!D237/SUM(Kalender!$D$5:$D$370),0)+IFERROR(SUMIF(Nutzungsprofile!$B$6:$B$11,"Individuell",Nutzungsprofile!$G$6:$G$11)*Kalender!E237/SUM(Kalender!$E$5:$E$370),0))*Szenarien!$E$14,0)</f>
        <v>2.04</v>
      </c>
      <c r="D1335" s="13" t="n">
        <f aca="false">IF(Szenarien!$H$14="OK",(IFERROR(SUMIF(Nutzungsprofile!$B$17:$B$22,"Schulbetrieb",Nutzungsprofile!$G$17:$G$22)*Kalender!C237/SUM(Kalender!$C$5:$C$370),0)+IFERROR(SUMIF(Nutzungsprofile!$B$17:$B$22,"Halle",Nutzungsprofile!$G$17:$G$22)*Kalender!D237/SUM(Kalender!$D$5:$D$370),0)+IFERROR(SUMIF(Nutzungsprofile!$B$17:$B$22,"Individuell",Nutzungsprofile!$G$17:$G$22)*Kalender!E237/SUM(Kalender!$E$5:$E$370),0))*Szenarien!$D$14,0)</f>
        <v>0.89</v>
      </c>
      <c r="E1335" s="13" t="n">
        <f aca="false">IFERROR(MIN(C1335,Eingaben!$B$17)*Eingaben!$B$16,0)</f>
        <v>1.938</v>
      </c>
      <c r="F1335" s="13" t="n">
        <f aca="false">IFERROR(E1335*Eingaben!$B$15,0)</f>
        <v>1.7442</v>
      </c>
      <c r="G1335" s="13" t="n">
        <f aca="false">IFERROR(IF(Kalender!A237="",0,J1334*(1-Eingaben!$B$20)),0)</f>
        <v>1.709316</v>
      </c>
      <c r="H1335" s="13" t="n">
        <f aca="false">MIN(G1335,D1335)</f>
        <v>0.89</v>
      </c>
      <c r="I1335" s="13" t="n">
        <f aca="false">IFERROR(MIN(F1335*Eingaben!$B$19,MAX(0,D1335-H1335)),0)</f>
        <v>0</v>
      </c>
      <c r="J1335" s="13" t="n">
        <f aca="false">IFERROR(MIN(Eingaben!$B$18,MAX(0,F1335-I1335)),0)</f>
        <v>1.7442</v>
      </c>
      <c r="K1335" s="13" t="n">
        <f aca="false">H1335+I1335</f>
        <v>0.89</v>
      </c>
      <c r="L1335" s="13" t="n">
        <f aca="false">MAX(0,D1335-K1335)</f>
        <v>0</v>
      </c>
      <c r="M1335" s="13" t="n">
        <f aca="false">MAX(0,F1335-I1335-J1335)</f>
        <v>0</v>
      </c>
      <c r="N1335" s="13" t="n">
        <f aca="false">IF(Kalender!A237="",0,J1334-H1335)</f>
        <v>0.8542</v>
      </c>
    </row>
    <row r="1336" customFormat="false" ht="16.4" hidden="false" customHeight="false" outlineLevel="0" collapsed="false">
      <c r="A1336" s="13" t="str">
        <f aca="false">""</f>
        <v/>
      </c>
      <c r="B1336" s="13" t="n">
        <f aca="false">234</f>
        <v>234</v>
      </c>
      <c r="C1336" s="13" t="n">
        <f aca="false">IF(Szenarien!$H$14="OK",(IFERROR(SUMIF(Nutzungsprofile!$B$6:$B$11,"Schulbetrieb",Nutzungsprofile!$G$6:$G$11)*Kalender!C238/SUM(Kalender!$C$5:$C$370),0)+IFERROR(SUMIF(Nutzungsprofile!$B$6:$B$11,"Halle",Nutzungsprofile!$G$6:$G$11)*Kalender!D238/SUM(Kalender!$D$5:$D$370),0)+IFERROR(SUMIF(Nutzungsprofile!$B$6:$B$11,"Individuell",Nutzungsprofile!$G$6:$G$11)*Kalender!E238/SUM(Kalender!$E$5:$E$370),0))*Szenarien!$E$14,0)</f>
        <v>2.04</v>
      </c>
      <c r="D1336" s="13" t="n">
        <f aca="false">IF(Szenarien!$H$14="OK",(IFERROR(SUMIF(Nutzungsprofile!$B$17:$B$22,"Schulbetrieb",Nutzungsprofile!$G$17:$G$22)*Kalender!C238/SUM(Kalender!$C$5:$C$370),0)+IFERROR(SUMIF(Nutzungsprofile!$B$17:$B$22,"Halle",Nutzungsprofile!$G$17:$G$22)*Kalender!D238/SUM(Kalender!$D$5:$D$370),0)+IFERROR(SUMIF(Nutzungsprofile!$B$17:$B$22,"Individuell",Nutzungsprofile!$G$17:$G$22)*Kalender!E238/SUM(Kalender!$E$5:$E$370),0))*Szenarien!$D$14,0)</f>
        <v>0.89</v>
      </c>
      <c r="E1336" s="13" t="n">
        <f aca="false">IFERROR(MIN(C1336,Eingaben!$B$17)*Eingaben!$B$16,0)</f>
        <v>1.938</v>
      </c>
      <c r="F1336" s="13" t="n">
        <f aca="false">IFERROR(E1336*Eingaben!$B$15,0)</f>
        <v>1.7442</v>
      </c>
      <c r="G1336" s="13" t="n">
        <f aca="false">IFERROR(IF(Kalender!A238="",0,J1335*(1-Eingaben!$B$20)),0)</f>
        <v>1.709316</v>
      </c>
      <c r="H1336" s="13" t="n">
        <f aca="false">MIN(G1336,D1336)</f>
        <v>0.89</v>
      </c>
      <c r="I1336" s="13" t="n">
        <f aca="false">IFERROR(MIN(F1336*Eingaben!$B$19,MAX(0,D1336-H1336)),0)</f>
        <v>0</v>
      </c>
      <c r="J1336" s="13" t="n">
        <f aca="false">IFERROR(MIN(Eingaben!$B$18,MAX(0,F1336-I1336)),0)</f>
        <v>1.7442</v>
      </c>
      <c r="K1336" s="13" t="n">
        <f aca="false">H1336+I1336</f>
        <v>0.89</v>
      </c>
      <c r="L1336" s="13" t="n">
        <f aca="false">MAX(0,D1336-K1336)</f>
        <v>0</v>
      </c>
      <c r="M1336" s="13" t="n">
        <f aca="false">MAX(0,F1336-I1336-J1336)</f>
        <v>0</v>
      </c>
      <c r="N1336" s="13" t="n">
        <f aca="false">IF(Kalender!A238="",0,J1335-H1336)</f>
        <v>0.8542</v>
      </c>
    </row>
    <row r="1337" customFormat="false" ht="16.4" hidden="false" customHeight="false" outlineLevel="0" collapsed="false">
      <c r="A1337" s="13" t="str">
        <f aca="false">""</f>
        <v/>
      </c>
      <c r="B1337" s="13" t="n">
        <f aca="false">235</f>
        <v>235</v>
      </c>
      <c r="C1337" s="13" t="n">
        <f aca="false">IF(Szenarien!$H$14="OK",(IFERROR(SUMIF(Nutzungsprofile!$B$6:$B$11,"Schulbetrieb",Nutzungsprofile!$G$6:$G$11)*Kalender!C239/SUM(Kalender!$C$5:$C$370),0)+IFERROR(SUMIF(Nutzungsprofile!$B$6:$B$11,"Halle",Nutzungsprofile!$G$6:$G$11)*Kalender!D239/SUM(Kalender!$D$5:$D$370),0)+IFERROR(SUMIF(Nutzungsprofile!$B$6:$B$11,"Individuell",Nutzungsprofile!$G$6:$G$11)*Kalender!E239/SUM(Kalender!$E$5:$E$370),0))*Szenarien!$E$14,0)</f>
        <v>2.04</v>
      </c>
      <c r="D1337" s="13" t="n">
        <f aca="false">IF(Szenarien!$H$14="OK",(IFERROR(SUMIF(Nutzungsprofile!$B$17:$B$22,"Schulbetrieb",Nutzungsprofile!$G$17:$G$22)*Kalender!C239/SUM(Kalender!$C$5:$C$370),0)+IFERROR(SUMIF(Nutzungsprofile!$B$17:$B$22,"Halle",Nutzungsprofile!$G$17:$G$22)*Kalender!D239/SUM(Kalender!$D$5:$D$370),0)+IFERROR(SUMIF(Nutzungsprofile!$B$17:$B$22,"Individuell",Nutzungsprofile!$G$17:$G$22)*Kalender!E239/SUM(Kalender!$E$5:$E$370),0))*Szenarien!$D$14,0)</f>
        <v>0.89</v>
      </c>
      <c r="E1337" s="13" t="n">
        <f aca="false">IFERROR(MIN(C1337,Eingaben!$B$17)*Eingaben!$B$16,0)</f>
        <v>1.938</v>
      </c>
      <c r="F1337" s="13" t="n">
        <f aca="false">IFERROR(E1337*Eingaben!$B$15,0)</f>
        <v>1.7442</v>
      </c>
      <c r="G1337" s="13" t="n">
        <f aca="false">IFERROR(IF(Kalender!A239="",0,J1336*(1-Eingaben!$B$20)),0)</f>
        <v>1.709316</v>
      </c>
      <c r="H1337" s="13" t="n">
        <f aca="false">MIN(G1337,D1337)</f>
        <v>0.89</v>
      </c>
      <c r="I1337" s="13" t="n">
        <f aca="false">IFERROR(MIN(F1337*Eingaben!$B$19,MAX(0,D1337-H1337)),0)</f>
        <v>0</v>
      </c>
      <c r="J1337" s="13" t="n">
        <f aca="false">IFERROR(MIN(Eingaben!$B$18,MAX(0,F1337-I1337)),0)</f>
        <v>1.7442</v>
      </c>
      <c r="K1337" s="13" t="n">
        <f aca="false">H1337+I1337</f>
        <v>0.89</v>
      </c>
      <c r="L1337" s="13" t="n">
        <f aca="false">MAX(0,D1337-K1337)</f>
        <v>0</v>
      </c>
      <c r="M1337" s="13" t="n">
        <f aca="false">MAX(0,F1337-I1337-J1337)</f>
        <v>0</v>
      </c>
      <c r="N1337" s="13" t="n">
        <f aca="false">IF(Kalender!A239="",0,J1336-H1337)</f>
        <v>0.8542</v>
      </c>
    </row>
    <row r="1338" customFormat="false" ht="16.4" hidden="false" customHeight="false" outlineLevel="0" collapsed="false">
      <c r="A1338" s="13" t="str">
        <f aca="false">""</f>
        <v/>
      </c>
      <c r="B1338" s="13" t="n">
        <f aca="false">236</f>
        <v>236</v>
      </c>
      <c r="C1338" s="13" t="n">
        <f aca="false">IF(Szenarien!$H$14="OK",(IFERROR(SUMIF(Nutzungsprofile!$B$6:$B$11,"Schulbetrieb",Nutzungsprofile!$G$6:$G$11)*Kalender!C240/SUM(Kalender!$C$5:$C$370),0)+IFERROR(SUMIF(Nutzungsprofile!$B$6:$B$11,"Halle",Nutzungsprofile!$G$6:$G$11)*Kalender!D240/SUM(Kalender!$D$5:$D$370),0)+IFERROR(SUMIF(Nutzungsprofile!$B$6:$B$11,"Individuell",Nutzungsprofile!$G$6:$G$11)*Kalender!E240/SUM(Kalender!$E$5:$E$370),0))*Szenarien!$E$14,0)</f>
        <v>2.04</v>
      </c>
      <c r="D1338" s="13" t="n">
        <f aca="false">IF(Szenarien!$H$14="OK",(IFERROR(SUMIF(Nutzungsprofile!$B$17:$B$22,"Schulbetrieb",Nutzungsprofile!$G$17:$G$22)*Kalender!C240/SUM(Kalender!$C$5:$C$370),0)+IFERROR(SUMIF(Nutzungsprofile!$B$17:$B$22,"Halle",Nutzungsprofile!$G$17:$G$22)*Kalender!D240/SUM(Kalender!$D$5:$D$370),0)+IFERROR(SUMIF(Nutzungsprofile!$B$17:$B$22,"Individuell",Nutzungsprofile!$G$17:$G$22)*Kalender!E240/SUM(Kalender!$E$5:$E$370),0))*Szenarien!$D$14,0)</f>
        <v>0.89</v>
      </c>
      <c r="E1338" s="13" t="n">
        <f aca="false">IFERROR(MIN(C1338,Eingaben!$B$17)*Eingaben!$B$16,0)</f>
        <v>1.938</v>
      </c>
      <c r="F1338" s="13" t="n">
        <f aca="false">IFERROR(E1338*Eingaben!$B$15,0)</f>
        <v>1.7442</v>
      </c>
      <c r="G1338" s="13" t="n">
        <f aca="false">IFERROR(IF(Kalender!A240="",0,J1337*(1-Eingaben!$B$20)),0)</f>
        <v>1.709316</v>
      </c>
      <c r="H1338" s="13" t="n">
        <f aca="false">MIN(G1338,D1338)</f>
        <v>0.89</v>
      </c>
      <c r="I1338" s="13" t="n">
        <f aca="false">IFERROR(MIN(F1338*Eingaben!$B$19,MAX(0,D1338-H1338)),0)</f>
        <v>0</v>
      </c>
      <c r="J1338" s="13" t="n">
        <f aca="false">IFERROR(MIN(Eingaben!$B$18,MAX(0,F1338-I1338)),0)</f>
        <v>1.7442</v>
      </c>
      <c r="K1338" s="13" t="n">
        <f aca="false">H1338+I1338</f>
        <v>0.89</v>
      </c>
      <c r="L1338" s="13" t="n">
        <f aca="false">MAX(0,D1338-K1338)</f>
        <v>0</v>
      </c>
      <c r="M1338" s="13" t="n">
        <f aca="false">MAX(0,F1338-I1338-J1338)</f>
        <v>0</v>
      </c>
      <c r="N1338" s="13" t="n">
        <f aca="false">IF(Kalender!A240="",0,J1337-H1338)</f>
        <v>0.8542</v>
      </c>
    </row>
    <row r="1339" customFormat="false" ht="16.4" hidden="false" customHeight="false" outlineLevel="0" collapsed="false">
      <c r="A1339" s="13" t="str">
        <f aca="false">""</f>
        <v/>
      </c>
      <c r="B1339" s="13" t="n">
        <f aca="false">237</f>
        <v>237</v>
      </c>
      <c r="C1339" s="13" t="n">
        <f aca="false">IF(Szenarien!$H$14="OK",(IFERROR(SUMIF(Nutzungsprofile!$B$6:$B$11,"Schulbetrieb",Nutzungsprofile!$G$6:$G$11)*Kalender!C241/SUM(Kalender!$C$5:$C$370),0)+IFERROR(SUMIF(Nutzungsprofile!$B$6:$B$11,"Halle",Nutzungsprofile!$G$6:$G$11)*Kalender!D241/SUM(Kalender!$D$5:$D$370),0)+IFERROR(SUMIF(Nutzungsprofile!$B$6:$B$11,"Individuell",Nutzungsprofile!$G$6:$G$11)*Kalender!E241/SUM(Kalender!$E$5:$E$370),0))*Szenarien!$E$14,0)</f>
        <v>2.04</v>
      </c>
      <c r="D1339" s="13" t="n">
        <f aca="false">IF(Szenarien!$H$14="OK",(IFERROR(SUMIF(Nutzungsprofile!$B$17:$B$22,"Schulbetrieb",Nutzungsprofile!$G$17:$G$22)*Kalender!C241/SUM(Kalender!$C$5:$C$370),0)+IFERROR(SUMIF(Nutzungsprofile!$B$17:$B$22,"Halle",Nutzungsprofile!$G$17:$G$22)*Kalender!D241/SUM(Kalender!$D$5:$D$370),0)+IFERROR(SUMIF(Nutzungsprofile!$B$17:$B$22,"Individuell",Nutzungsprofile!$G$17:$G$22)*Kalender!E241/SUM(Kalender!$E$5:$E$370),0))*Szenarien!$D$14,0)</f>
        <v>0.89</v>
      </c>
      <c r="E1339" s="13" t="n">
        <f aca="false">IFERROR(MIN(C1339,Eingaben!$B$17)*Eingaben!$B$16,0)</f>
        <v>1.938</v>
      </c>
      <c r="F1339" s="13" t="n">
        <f aca="false">IFERROR(E1339*Eingaben!$B$15,0)</f>
        <v>1.7442</v>
      </c>
      <c r="G1339" s="13" t="n">
        <f aca="false">IFERROR(IF(Kalender!A241="",0,J1338*(1-Eingaben!$B$20)),0)</f>
        <v>1.709316</v>
      </c>
      <c r="H1339" s="13" t="n">
        <f aca="false">MIN(G1339,D1339)</f>
        <v>0.89</v>
      </c>
      <c r="I1339" s="13" t="n">
        <f aca="false">IFERROR(MIN(F1339*Eingaben!$B$19,MAX(0,D1339-H1339)),0)</f>
        <v>0</v>
      </c>
      <c r="J1339" s="13" t="n">
        <f aca="false">IFERROR(MIN(Eingaben!$B$18,MAX(0,F1339-I1339)),0)</f>
        <v>1.7442</v>
      </c>
      <c r="K1339" s="13" t="n">
        <f aca="false">H1339+I1339</f>
        <v>0.89</v>
      </c>
      <c r="L1339" s="13" t="n">
        <f aca="false">MAX(0,D1339-K1339)</f>
        <v>0</v>
      </c>
      <c r="M1339" s="13" t="n">
        <f aca="false">MAX(0,F1339-I1339-J1339)</f>
        <v>0</v>
      </c>
      <c r="N1339" s="13" t="n">
        <f aca="false">IF(Kalender!A241="",0,J1338-H1339)</f>
        <v>0.8542</v>
      </c>
    </row>
    <row r="1340" customFormat="false" ht="16.4" hidden="false" customHeight="false" outlineLevel="0" collapsed="false">
      <c r="A1340" s="13" t="str">
        <f aca="false">""</f>
        <v/>
      </c>
      <c r="B1340" s="13" t="n">
        <f aca="false">238</f>
        <v>238</v>
      </c>
      <c r="C1340" s="13" t="n">
        <f aca="false">IF(Szenarien!$H$14="OK",(IFERROR(SUMIF(Nutzungsprofile!$B$6:$B$11,"Schulbetrieb",Nutzungsprofile!$G$6:$G$11)*Kalender!C242/SUM(Kalender!$C$5:$C$370),0)+IFERROR(SUMIF(Nutzungsprofile!$B$6:$B$11,"Halle",Nutzungsprofile!$G$6:$G$11)*Kalender!D242/SUM(Kalender!$D$5:$D$370),0)+IFERROR(SUMIF(Nutzungsprofile!$B$6:$B$11,"Individuell",Nutzungsprofile!$G$6:$G$11)*Kalender!E242/SUM(Kalender!$E$5:$E$370),0))*Szenarien!$E$14,0)</f>
        <v>2.04</v>
      </c>
      <c r="D1340" s="13" t="n">
        <f aca="false">IF(Szenarien!$H$14="OK",(IFERROR(SUMIF(Nutzungsprofile!$B$17:$B$22,"Schulbetrieb",Nutzungsprofile!$G$17:$G$22)*Kalender!C242/SUM(Kalender!$C$5:$C$370),0)+IFERROR(SUMIF(Nutzungsprofile!$B$17:$B$22,"Halle",Nutzungsprofile!$G$17:$G$22)*Kalender!D242/SUM(Kalender!$D$5:$D$370),0)+IFERROR(SUMIF(Nutzungsprofile!$B$17:$B$22,"Individuell",Nutzungsprofile!$G$17:$G$22)*Kalender!E242/SUM(Kalender!$E$5:$E$370),0))*Szenarien!$D$14,0)</f>
        <v>0.89</v>
      </c>
      <c r="E1340" s="13" t="n">
        <f aca="false">IFERROR(MIN(C1340,Eingaben!$B$17)*Eingaben!$B$16,0)</f>
        <v>1.938</v>
      </c>
      <c r="F1340" s="13" t="n">
        <f aca="false">IFERROR(E1340*Eingaben!$B$15,0)</f>
        <v>1.7442</v>
      </c>
      <c r="G1340" s="13" t="n">
        <f aca="false">IFERROR(IF(Kalender!A242="",0,J1339*(1-Eingaben!$B$20)),0)</f>
        <v>1.709316</v>
      </c>
      <c r="H1340" s="13" t="n">
        <f aca="false">MIN(G1340,D1340)</f>
        <v>0.89</v>
      </c>
      <c r="I1340" s="13" t="n">
        <f aca="false">IFERROR(MIN(F1340*Eingaben!$B$19,MAX(0,D1340-H1340)),0)</f>
        <v>0</v>
      </c>
      <c r="J1340" s="13" t="n">
        <f aca="false">IFERROR(MIN(Eingaben!$B$18,MAX(0,F1340-I1340)),0)</f>
        <v>1.7442</v>
      </c>
      <c r="K1340" s="13" t="n">
        <f aca="false">H1340+I1340</f>
        <v>0.89</v>
      </c>
      <c r="L1340" s="13" t="n">
        <f aca="false">MAX(0,D1340-K1340)</f>
        <v>0</v>
      </c>
      <c r="M1340" s="13" t="n">
        <f aca="false">MAX(0,F1340-I1340-J1340)</f>
        <v>0</v>
      </c>
      <c r="N1340" s="13" t="n">
        <f aca="false">IF(Kalender!A242="",0,J1339-H1340)</f>
        <v>0.8542</v>
      </c>
    </row>
    <row r="1341" customFormat="false" ht="16.4" hidden="false" customHeight="false" outlineLevel="0" collapsed="false">
      <c r="A1341" s="13" t="str">
        <f aca="false">""</f>
        <v/>
      </c>
      <c r="B1341" s="13" t="n">
        <f aca="false">239</f>
        <v>239</v>
      </c>
      <c r="C1341" s="13" t="n">
        <f aca="false">IF(Szenarien!$H$14="OK",(IFERROR(SUMIF(Nutzungsprofile!$B$6:$B$11,"Schulbetrieb",Nutzungsprofile!$G$6:$G$11)*Kalender!C243/SUM(Kalender!$C$5:$C$370),0)+IFERROR(SUMIF(Nutzungsprofile!$B$6:$B$11,"Halle",Nutzungsprofile!$G$6:$G$11)*Kalender!D243/SUM(Kalender!$D$5:$D$370),0)+IFERROR(SUMIF(Nutzungsprofile!$B$6:$B$11,"Individuell",Nutzungsprofile!$G$6:$G$11)*Kalender!E243/SUM(Kalender!$E$5:$E$370),0))*Szenarien!$E$14,0)</f>
        <v>2.04</v>
      </c>
      <c r="D1341" s="13" t="n">
        <f aca="false">IF(Szenarien!$H$14="OK",(IFERROR(SUMIF(Nutzungsprofile!$B$17:$B$22,"Schulbetrieb",Nutzungsprofile!$G$17:$G$22)*Kalender!C243/SUM(Kalender!$C$5:$C$370),0)+IFERROR(SUMIF(Nutzungsprofile!$B$17:$B$22,"Halle",Nutzungsprofile!$G$17:$G$22)*Kalender!D243/SUM(Kalender!$D$5:$D$370),0)+IFERROR(SUMIF(Nutzungsprofile!$B$17:$B$22,"Individuell",Nutzungsprofile!$G$17:$G$22)*Kalender!E243/SUM(Kalender!$E$5:$E$370),0))*Szenarien!$D$14,0)</f>
        <v>0.89</v>
      </c>
      <c r="E1341" s="13" t="n">
        <f aca="false">IFERROR(MIN(C1341,Eingaben!$B$17)*Eingaben!$B$16,0)</f>
        <v>1.938</v>
      </c>
      <c r="F1341" s="13" t="n">
        <f aca="false">IFERROR(E1341*Eingaben!$B$15,0)</f>
        <v>1.7442</v>
      </c>
      <c r="G1341" s="13" t="n">
        <f aca="false">IFERROR(IF(Kalender!A243="",0,J1340*(1-Eingaben!$B$20)),0)</f>
        <v>1.709316</v>
      </c>
      <c r="H1341" s="13" t="n">
        <f aca="false">MIN(G1341,D1341)</f>
        <v>0.89</v>
      </c>
      <c r="I1341" s="13" t="n">
        <f aca="false">IFERROR(MIN(F1341*Eingaben!$B$19,MAX(0,D1341-H1341)),0)</f>
        <v>0</v>
      </c>
      <c r="J1341" s="13" t="n">
        <f aca="false">IFERROR(MIN(Eingaben!$B$18,MAX(0,F1341-I1341)),0)</f>
        <v>1.7442</v>
      </c>
      <c r="K1341" s="13" t="n">
        <f aca="false">H1341+I1341</f>
        <v>0.89</v>
      </c>
      <c r="L1341" s="13" t="n">
        <f aca="false">MAX(0,D1341-K1341)</f>
        <v>0</v>
      </c>
      <c r="M1341" s="13" t="n">
        <f aca="false">MAX(0,F1341-I1341-J1341)</f>
        <v>0</v>
      </c>
      <c r="N1341" s="13" t="n">
        <f aca="false">IF(Kalender!A243="",0,J1340-H1341)</f>
        <v>0.8542</v>
      </c>
    </row>
    <row r="1342" customFormat="false" ht="16.4" hidden="false" customHeight="false" outlineLevel="0" collapsed="false">
      <c r="A1342" s="13" t="str">
        <f aca="false">""</f>
        <v/>
      </c>
      <c r="B1342" s="13" t="n">
        <f aca="false">240</f>
        <v>240</v>
      </c>
      <c r="C1342" s="13" t="n">
        <f aca="false">IF(Szenarien!$H$14="OK",(IFERROR(SUMIF(Nutzungsprofile!$B$6:$B$11,"Schulbetrieb",Nutzungsprofile!$G$6:$G$11)*Kalender!C244/SUM(Kalender!$C$5:$C$370),0)+IFERROR(SUMIF(Nutzungsprofile!$B$6:$B$11,"Halle",Nutzungsprofile!$G$6:$G$11)*Kalender!D244/SUM(Kalender!$D$5:$D$370),0)+IFERROR(SUMIF(Nutzungsprofile!$B$6:$B$11,"Individuell",Nutzungsprofile!$G$6:$G$11)*Kalender!E244/SUM(Kalender!$E$5:$E$370),0))*Szenarien!$E$14,0)</f>
        <v>2.04</v>
      </c>
      <c r="D1342" s="13" t="n">
        <f aca="false">IF(Szenarien!$H$14="OK",(IFERROR(SUMIF(Nutzungsprofile!$B$17:$B$22,"Schulbetrieb",Nutzungsprofile!$G$17:$G$22)*Kalender!C244/SUM(Kalender!$C$5:$C$370),0)+IFERROR(SUMIF(Nutzungsprofile!$B$17:$B$22,"Halle",Nutzungsprofile!$G$17:$G$22)*Kalender!D244/SUM(Kalender!$D$5:$D$370),0)+IFERROR(SUMIF(Nutzungsprofile!$B$17:$B$22,"Individuell",Nutzungsprofile!$G$17:$G$22)*Kalender!E244/SUM(Kalender!$E$5:$E$370),0))*Szenarien!$D$14,0)</f>
        <v>0.89</v>
      </c>
      <c r="E1342" s="13" t="n">
        <f aca="false">IFERROR(MIN(C1342,Eingaben!$B$17)*Eingaben!$B$16,0)</f>
        <v>1.938</v>
      </c>
      <c r="F1342" s="13" t="n">
        <f aca="false">IFERROR(E1342*Eingaben!$B$15,0)</f>
        <v>1.7442</v>
      </c>
      <c r="G1342" s="13" t="n">
        <f aca="false">IFERROR(IF(Kalender!A244="",0,J1341*(1-Eingaben!$B$20)),0)</f>
        <v>1.709316</v>
      </c>
      <c r="H1342" s="13" t="n">
        <f aca="false">MIN(G1342,D1342)</f>
        <v>0.89</v>
      </c>
      <c r="I1342" s="13" t="n">
        <f aca="false">IFERROR(MIN(F1342*Eingaben!$B$19,MAX(0,D1342-H1342)),0)</f>
        <v>0</v>
      </c>
      <c r="J1342" s="13" t="n">
        <f aca="false">IFERROR(MIN(Eingaben!$B$18,MAX(0,F1342-I1342)),0)</f>
        <v>1.7442</v>
      </c>
      <c r="K1342" s="13" t="n">
        <f aca="false">H1342+I1342</f>
        <v>0.89</v>
      </c>
      <c r="L1342" s="13" t="n">
        <f aca="false">MAX(0,D1342-K1342)</f>
        <v>0</v>
      </c>
      <c r="M1342" s="13" t="n">
        <f aca="false">MAX(0,F1342-I1342-J1342)</f>
        <v>0</v>
      </c>
      <c r="N1342" s="13" t="n">
        <f aca="false">IF(Kalender!A244="",0,J1341-H1342)</f>
        <v>0.8542</v>
      </c>
    </row>
    <row r="1343" customFormat="false" ht="16.4" hidden="false" customHeight="false" outlineLevel="0" collapsed="false">
      <c r="A1343" s="13" t="str">
        <f aca="false">""</f>
        <v/>
      </c>
      <c r="B1343" s="13" t="n">
        <f aca="false">241</f>
        <v>241</v>
      </c>
      <c r="C1343" s="13" t="n">
        <f aca="false">IF(Szenarien!$H$14="OK",(IFERROR(SUMIF(Nutzungsprofile!$B$6:$B$11,"Schulbetrieb",Nutzungsprofile!$G$6:$G$11)*Kalender!C245/SUM(Kalender!$C$5:$C$370),0)+IFERROR(SUMIF(Nutzungsprofile!$B$6:$B$11,"Halle",Nutzungsprofile!$G$6:$G$11)*Kalender!D245/SUM(Kalender!$D$5:$D$370),0)+IFERROR(SUMIF(Nutzungsprofile!$B$6:$B$11,"Individuell",Nutzungsprofile!$G$6:$G$11)*Kalender!E245/SUM(Kalender!$E$5:$E$370),0))*Szenarien!$E$14,0)</f>
        <v>2.04</v>
      </c>
      <c r="D1343" s="13" t="n">
        <f aca="false">IF(Szenarien!$H$14="OK",(IFERROR(SUMIF(Nutzungsprofile!$B$17:$B$22,"Schulbetrieb",Nutzungsprofile!$G$17:$G$22)*Kalender!C245/SUM(Kalender!$C$5:$C$370),0)+IFERROR(SUMIF(Nutzungsprofile!$B$17:$B$22,"Halle",Nutzungsprofile!$G$17:$G$22)*Kalender!D245/SUM(Kalender!$D$5:$D$370),0)+IFERROR(SUMIF(Nutzungsprofile!$B$17:$B$22,"Individuell",Nutzungsprofile!$G$17:$G$22)*Kalender!E245/SUM(Kalender!$E$5:$E$370),0))*Szenarien!$D$14,0)</f>
        <v>0.89</v>
      </c>
      <c r="E1343" s="13" t="n">
        <f aca="false">IFERROR(MIN(C1343,Eingaben!$B$17)*Eingaben!$B$16,0)</f>
        <v>1.938</v>
      </c>
      <c r="F1343" s="13" t="n">
        <f aca="false">IFERROR(E1343*Eingaben!$B$15,0)</f>
        <v>1.7442</v>
      </c>
      <c r="G1343" s="13" t="n">
        <f aca="false">IFERROR(IF(Kalender!A245="",0,J1342*(1-Eingaben!$B$20)),0)</f>
        <v>1.709316</v>
      </c>
      <c r="H1343" s="13" t="n">
        <f aca="false">MIN(G1343,D1343)</f>
        <v>0.89</v>
      </c>
      <c r="I1343" s="13" t="n">
        <f aca="false">IFERROR(MIN(F1343*Eingaben!$B$19,MAX(0,D1343-H1343)),0)</f>
        <v>0</v>
      </c>
      <c r="J1343" s="13" t="n">
        <f aca="false">IFERROR(MIN(Eingaben!$B$18,MAX(0,F1343-I1343)),0)</f>
        <v>1.7442</v>
      </c>
      <c r="K1343" s="13" t="n">
        <f aca="false">H1343+I1343</f>
        <v>0.89</v>
      </c>
      <c r="L1343" s="13" t="n">
        <f aca="false">MAX(0,D1343-K1343)</f>
        <v>0</v>
      </c>
      <c r="M1343" s="13" t="n">
        <f aca="false">MAX(0,F1343-I1343-J1343)</f>
        <v>0</v>
      </c>
      <c r="N1343" s="13" t="n">
        <f aca="false">IF(Kalender!A245="",0,J1342-H1343)</f>
        <v>0.8542</v>
      </c>
    </row>
    <row r="1344" customFormat="false" ht="16.4" hidden="false" customHeight="false" outlineLevel="0" collapsed="false">
      <c r="A1344" s="13" t="str">
        <f aca="false">""</f>
        <v/>
      </c>
      <c r="B1344" s="13" t="n">
        <f aca="false">242</f>
        <v>242</v>
      </c>
      <c r="C1344" s="13" t="n">
        <f aca="false">IF(Szenarien!$H$14="OK",(IFERROR(SUMIF(Nutzungsprofile!$B$6:$B$11,"Schulbetrieb",Nutzungsprofile!$G$6:$G$11)*Kalender!C246/SUM(Kalender!$C$5:$C$370),0)+IFERROR(SUMIF(Nutzungsprofile!$B$6:$B$11,"Halle",Nutzungsprofile!$G$6:$G$11)*Kalender!D246/SUM(Kalender!$D$5:$D$370),0)+IFERROR(SUMIF(Nutzungsprofile!$B$6:$B$11,"Individuell",Nutzungsprofile!$G$6:$G$11)*Kalender!E246/SUM(Kalender!$E$5:$E$370),0))*Szenarien!$E$14,0)</f>
        <v>2.04</v>
      </c>
      <c r="D1344" s="13" t="n">
        <f aca="false">IF(Szenarien!$H$14="OK",(IFERROR(SUMIF(Nutzungsprofile!$B$17:$B$22,"Schulbetrieb",Nutzungsprofile!$G$17:$G$22)*Kalender!C246/SUM(Kalender!$C$5:$C$370),0)+IFERROR(SUMIF(Nutzungsprofile!$B$17:$B$22,"Halle",Nutzungsprofile!$G$17:$G$22)*Kalender!D246/SUM(Kalender!$D$5:$D$370),0)+IFERROR(SUMIF(Nutzungsprofile!$B$17:$B$22,"Individuell",Nutzungsprofile!$G$17:$G$22)*Kalender!E246/SUM(Kalender!$E$5:$E$370),0))*Szenarien!$D$14,0)</f>
        <v>0.89</v>
      </c>
      <c r="E1344" s="13" t="n">
        <f aca="false">IFERROR(MIN(C1344,Eingaben!$B$17)*Eingaben!$B$16,0)</f>
        <v>1.938</v>
      </c>
      <c r="F1344" s="13" t="n">
        <f aca="false">IFERROR(E1344*Eingaben!$B$15,0)</f>
        <v>1.7442</v>
      </c>
      <c r="G1344" s="13" t="n">
        <f aca="false">IFERROR(IF(Kalender!A246="",0,J1343*(1-Eingaben!$B$20)),0)</f>
        <v>1.709316</v>
      </c>
      <c r="H1344" s="13" t="n">
        <f aca="false">MIN(G1344,D1344)</f>
        <v>0.89</v>
      </c>
      <c r="I1344" s="13" t="n">
        <f aca="false">IFERROR(MIN(F1344*Eingaben!$B$19,MAX(0,D1344-H1344)),0)</f>
        <v>0</v>
      </c>
      <c r="J1344" s="13" t="n">
        <f aca="false">IFERROR(MIN(Eingaben!$B$18,MAX(0,F1344-I1344)),0)</f>
        <v>1.7442</v>
      </c>
      <c r="K1344" s="13" t="n">
        <f aca="false">H1344+I1344</f>
        <v>0.89</v>
      </c>
      <c r="L1344" s="13" t="n">
        <f aca="false">MAX(0,D1344-K1344)</f>
        <v>0</v>
      </c>
      <c r="M1344" s="13" t="n">
        <f aca="false">MAX(0,F1344-I1344-J1344)</f>
        <v>0</v>
      </c>
      <c r="N1344" s="13" t="n">
        <f aca="false">IF(Kalender!A246="",0,J1343-H1344)</f>
        <v>0.8542</v>
      </c>
    </row>
    <row r="1345" customFormat="false" ht="16.4" hidden="false" customHeight="false" outlineLevel="0" collapsed="false">
      <c r="A1345" s="13" t="str">
        <f aca="false">""</f>
        <v/>
      </c>
      <c r="B1345" s="13" t="n">
        <f aca="false">243</f>
        <v>243</v>
      </c>
      <c r="C1345" s="13" t="n">
        <f aca="false">IF(Szenarien!$H$14="OK",(IFERROR(SUMIF(Nutzungsprofile!$B$6:$B$11,"Schulbetrieb",Nutzungsprofile!$G$6:$G$11)*Kalender!C247/SUM(Kalender!$C$5:$C$370),0)+IFERROR(SUMIF(Nutzungsprofile!$B$6:$B$11,"Halle",Nutzungsprofile!$G$6:$G$11)*Kalender!D247/SUM(Kalender!$D$5:$D$370),0)+IFERROR(SUMIF(Nutzungsprofile!$B$6:$B$11,"Individuell",Nutzungsprofile!$G$6:$G$11)*Kalender!E247/SUM(Kalender!$E$5:$E$370),0))*Szenarien!$E$14,0)</f>
        <v>2.04</v>
      </c>
      <c r="D1345" s="13" t="n">
        <f aca="false">IF(Szenarien!$H$14="OK",(IFERROR(SUMIF(Nutzungsprofile!$B$17:$B$22,"Schulbetrieb",Nutzungsprofile!$G$17:$G$22)*Kalender!C247/SUM(Kalender!$C$5:$C$370),0)+IFERROR(SUMIF(Nutzungsprofile!$B$17:$B$22,"Halle",Nutzungsprofile!$G$17:$G$22)*Kalender!D247/SUM(Kalender!$D$5:$D$370),0)+IFERROR(SUMIF(Nutzungsprofile!$B$17:$B$22,"Individuell",Nutzungsprofile!$G$17:$G$22)*Kalender!E247/SUM(Kalender!$E$5:$E$370),0))*Szenarien!$D$14,0)</f>
        <v>0.89</v>
      </c>
      <c r="E1345" s="13" t="n">
        <f aca="false">IFERROR(MIN(C1345,Eingaben!$B$17)*Eingaben!$B$16,0)</f>
        <v>1.938</v>
      </c>
      <c r="F1345" s="13" t="n">
        <f aca="false">IFERROR(E1345*Eingaben!$B$15,0)</f>
        <v>1.7442</v>
      </c>
      <c r="G1345" s="13" t="n">
        <f aca="false">IFERROR(IF(Kalender!A247="",0,J1344*(1-Eingaben!$B$20)),0)</f>
        <v>1.709316</v>
      </c>
      <c r="H1345" s="13" t="n">
        <f aca="false">MIN(G1345,D1345)</f>
        <v>0.89</v>
      </c>
      <c r="I1345" s="13" t="n">
        <f aca="false">IFERROR(MIN(F1345*Eingaben!$B$19,MAX(0,D1345-H1345)),0)</f>
        <v>0</v>
      </c>
      <c r="J1345" s="13" t="n">
        <f aca="false">IFERROR(MIN(Eingaben!$B$18,MAX(0,F1345-I1345)),0)</f>
        <v>1.7442</v>
      </c>
      <c r="K1345" s="13" t="n">
        <f aca="false">H1345+I1345</f>
        <v>0.89</v>
      </c>
      <c r="L1345" s="13" t="n">
        <f aca="false">MAX(0,D1345-K1345)</f>
        <v>0</v>
      </c>
      <c r="M1345" s="13" t="n">
        <f aca="false">MAX(0,F1345-I1345-J1345)</f>
        <v>0</v>
      </c>
      <c r="N1345" s="13" t="n">
        <f aca="false">IF(Kalender!A247="",0,J1344-H1345)</f>
        <v>0.8542</v>
      </c>
    </row>
    <row r="1346" customFormat="false" ht="16.4" hidden="false" customHeight="false" outlineLevel="0" collapsed="false">
      <c r="A1346" s="13" t="str">
        <f aca="false">""</f>
        <v/>
      </c>
      <c r="B1346" s="13" t="n">
        <f aca="false">244</f>
        <v>244</v>
      </c>
      <c r="C1346" s="13" t="n">
        <f aca="false">IF(Szenarien!$H$14="OK",(IFERROR(SUMIF(Nutzungsprofile!$B$6:$B$11,"Schulbetrieb",Nutzungsprofile!$G$6:$G$11)*Kalender!C248/SUM(Kalender!$C$5:$C$370),0)+IFERROR(SUMIF(Nutzungsprofile!$B$6:$B$11,"Halle",Nutzungsprofile!$G$6:$G$11)*Kalender!D248/SUM(Kalender!$D$5:$D$370),0)+IFERROR(SUMIF(Nutzungsprofile!$B$6:$B$11,"Individuell",Nutzungsprofile!$G$6:$G$11)*Kalender!E248/SUM(Kalender!$E$5:$E$370),0))*Szenarien!$E$14,0)</f>
        <v>2.94</v>
      </c>
      <c r="D1346" s="13" t="n">
        <f aca="false">IF(Szenarien!$H$14="OK",(IFERROR(SUMIF(Nutzungsprofile!$B$17:$B$22,"Schulbetrieb",Nutzungsprofile!$G$17:$G$22)*Kalender!C248/SUM(Kalender!$C$5:$C$370),0)+IFERROR(SUMIF(Nutzungsprofile!$B$17:$B$22,"Halle",Nutzungsprofile!$G$17:$G$22)*Kalender!D248/SUM(Kalender!$D$5:$D$370),0)+IFERROR(SUMIF(Nutzungsprofile!$B$17:$B$22,"Individuell",Nutzungsprofile!$G$17:$G$22)*Kalender!E248/SUM(Kalender!$E$5:$E$370),0))*Szenarien!$D$14,0)</f>
        <v>4.94</v>
      </c>
      <c r="E1346" s="13" t="n">
        <f aca="false">IFERROR(MIN(C1346,Eingaben!$B$17)*Eingaben!$B$16,0)</f>
        <v>2.793</v>
      </c>
      <c r="F1346" s="13" t="n">
        <f aca="false">IFERROR(E1346*Eingaben!$B$15,0)</f>
        <v>2.5137</v>
      </c>
      <c r="G1346" s="13" t="n">
        <f aca="false">IFERROR(IF(Kalender!A248="",0,J1345*(1-Eingaben!$B$20)),0)</f>
        <v>1.709316</v>
      </c>
      <c r="H1346" s="13" t="n">
        <f aca="false">MIN(G1346,D1346)</f>
        <v>1.709316</v>
      </c>
      <c r="I1346" s="13" t="n">
        <f aca="false">IFERROR(MIN(F1346*Eingaben!$B$19,MAX(0,D1346-H1346)),0)</f>
        <v>1.75959</v>
      </c>
      <c r="J1346" s="13" t="n">
        <f aca="false">IFERROR(MIN(Eingaben!$B$18,MAX(0,F1346-I1346)),0)</f>
        <v>0.75411</v>
      </c>
      <c r="K1346" s="13" t="n">
        <f aca="false">H1346+I1346</f>
        <v>3.468906</v>
      </c>
      <c r="L1346" s="13" t="n">
        <f aca="false">MAX(0,D1346-K1346)</f>
        <v>1.471094</v>
      </c>
      <c r="M1346" s="13" t="n">
        <f aca="false">MAX(0,F1346-I1346-J1346)</f>
        <v>0</v>
      </c>
      <c r="N1346" s="13" t="n">
        <f aca="false">IF(Kalender!A248="",0,J1345-H1346)</f>
        <v>0.0348840000000001</v>
      </c>
    </row>
    <row r="1347" customFormat="false" ht="16.4" hidden="false" customHeight="false" outlineLevel="0" collapsed="false">
      <c r="A1347" s="13" t="str">
        <f aca="false">""</f>
        <v/>
      </c>
      <c r="B1347" s="13" t="n">
        <f aca="false">245</f>
        <v>245</v>
      </c>
      <c r="C1347" s="13" t="n">
        <f aca="false">IF(Szenarien!$H$14="OK",(IFERROR(SUMIF(Nutzungsprofile!$B$6:$B$11,"Schulbetrieb",Nutzungsprofile!$G$6:$G$11)*Kalender!C249/SUM(Kalender!$C$5:$C$370),0)+IFERROR(SUMIF(Nutzungsprofile!$B$6:$B$11,"Halle",Nutzungsprofile!$G$6:$G$11)*Kalender!D249/SUM(Kalender!$D$5:$D$370),0)+IFERROR(SUMIF(Nutzungsprofile!$B$6:$B$11,"Individuell",Nutzungsprofile!$G$6:$G$11)*Kalender!E249/SUM(Kalender!$E$5:$E$370),0))*Szenarien!$E$14,0)</f>
        <v>2.94</v>
      </c>
      <c r="D1347" s="13" t="n">
        <f aca="false">IF(Szenarien!$H$14="OK",(IFERROR(SUMIF(Nutzungsprofile!$B$17:$B$22,"Schulbetrieb",Nutzungsprofile!$G$17:$G$22)*Kalender!C249/SUM(Kalender!$C$5:$C$370),0)+IFERROR(SUMIF(Nutzungsprofile!$B$17:$B$22,"Halle",Nutzungsprofile!$G$17:$G$22)*Kalender!D249/SUM(Kalender!$D$5:$D$370),0)+IFERROR(SUMIF(Nutzungsprofile!$B$17:$B$22,"Individuell",Nutzungsprofile!$G$17:$G$22)*Kalender!E249/SUM(Kalender!$E$5:$E$370),0))*Szenarien!$D$14,0)</f>
        <v>4.94</v>
      </c>
      <c r="E1347" s="13" t="n">
        <f aca="false">IFERROR(MIN(C1347,Eingaben!$B$17)*Eingaben!$B$16,0)</f>
        <v>2.793</v>
      </c>
      <c r="F1347" s="13" t="n">
        <f aca="false">IFERROR(E1347*Eingaben!$B$15,0)</f>
        <v>2.5137</v>
      </c>
      <c r="G1347" s="13" t="n">
        <f aca="false">IFERROR(IF(Kalender!A249="",0,J1346*(1-Eingaben!$B$20)),0)</f>
        <v>0.7390278</v>
      </c>
      <c r="H1347" s="13" t="n">
        <f aca="false">MIN(G1347,D1347)</f>
        <v>0.7390278</v>
      </c>
      <c r="I1347" s="13" t="n">
        <f aca="false">IFERROR(MIN(F1347*Eingaben!$B$19,MAX(0,D1347-H1347)),0)</f>
        <v>1.75959</v>
      </c>
      <c r="J1347" s="13" t="n">
        <f aca="false">IFERROR(MIN(Eingaben!$B$18,MAX(0,F1347-I1347)),0)</f>
        <v>0.75411</v>
      </c>
      <c r="K1347" s="13" t="n">
        <f aca="false">H1347+I1347</f>
        <v>2.4986178</v>
      </c>
      <c r="L1347" s="13" t="n">
        <f aca="false">MAX(0,D1347-K1347)</f>
        <v>2.4413822</v>
      </c>
      <c r="M1347" s="13" t="n">
        <f aca="false">MAX(0,F1347-I1347-J1347)</f>
        <v>0</v>
      </c>
      <c r="N1347" s="13" t="n">
        <f aca="false">IF(Kalender!A249="",0,J1346-H1347)</f>
        <v>0.0150822</v>
      </c>
    </row>
    <row r="1348" customFormat="false" ht="16.4" hidden="false" customHeight="false" outlineLevel="0" collapsed="false">
      <c r="A1348" s="13" t="str">
        <f aca="false">""</f>
        <v/>
      </c>
      <c r="B1348" s="13" t="n">
        <f aca="false">246</f>
        <v>246</v>
      </c>
      <c r="C1348" s="13" t="n">
        <f aca="false">IF(Szenarien!$H$14="OK",(IFERROR(SUMIF(Nutzungsprofile!$B$6:$B$11,"Schulbetrieb",Nutzungsprofile!$G$6:$G$11)*Kalender!C250/SUM(Kalender!$C$5:$C$370),0)+IFERROR(SUMIF(Nutzungsprofile!$B$6:$B$11,"Halle",Nutzungsprofile!$G$6:$G$11)*Kalender!D250/SUM(Kalender!$D$5:$D$370),0)+IFERROR(SUMIF(Nutzungsprofile!$B$6:$B$11,"Individuell",Nutzungsprofile!$G$6:$G$11)*Kalender!E250/SUM(Kalender!$E$5:$E$370),0))*Szenarien!$E$14,0)</f>
        <v>2.94</v>
      </c>
      <c r="D1348" s="13" t="n">
        <f aca="false">IF(Szenarien!$H$14="OK",(IFERROR(SUMIF(Nutzungsprofile!$B$17:$B$22,"Schulbetrieb",Nutzungsprofile!$G$17:$G$22)*Kalender!C250/SUM(Kalender!$C$5:$C$370),0)+IFERROR(SUMIF(Nutzungsprofile!$B$17:$B$22,"Halle",Nutzungsprofile!$G$17:$G$22)*Kalender!D250/SUM(Kalender!$D$5:$D$370),0)+IFERROR(SUMIF(Nutzungsprofile!$B$17:$B$22,"Individuell",Nutzungsprofile!$G$17:$G$22)*Kalender!E250/SUM(Kalender!$E$5:$E$370),0))*Szenarien!$D$14,0)</f>
        <v>4.94</v>
      </c>
      <c r="E1348" s="13" t="n">
        <f aca="false">IFERROR(MIN(C1348,Eingaben!$B$17)*Eingaben!$B$16,0)</f>
        <v>2.793</v>
      </c>
      <c r="F1348" s="13" t="n">
        <f aca="false">IFERROR(E1348*Eingaben!$B$15,0)</f>
        <v>2.5137</v>
      </c>
      <c r="G1348" s="13" t="n">
        <f aca="false">IFERROR(IF(Kalender!A250="",0,J1347*(1-Eingaben!$B$20)),0)</f>
        <v>0.7390278</v>
      </c>
      <c r="H1348" s="13" t="n">
        <f aca="false">MIN(G1348,D1348)</f>
        <v>0.7390278</v>
      </c>
      <c r="I1348" s="13" t="n">
        <f aca="false">IFERROR(MIN(F1348*Eingaben!$B$19,MAX(0,D1348-H1348)),0)</f>
        <v>1.75959</v>
      </c>
      <c r="J1348" s="13" t="n">
        <f aca="false">IFERROR(MIN(Eingaben!$B$18,MAX(0,F1348-I1348)),0)</f>
        <v>0.75411</v>
      </c>
      <c r="K1348" s="13" t="n">
        <f aca="false">H1348+I1348</f>
        <v>2.4986178</v>
      </c>
      <c r="L1348" s="13" t="n">
        <f aca="false">MAX(0,D1348-K1348)</f>
        <v>2.4413822</v>
      </c>
      <c r="M1348" s="13" t="n">
        <f aca="false">MAX(0,F1348-I1348-J1348)</f>
        <v>0</v>
      </c>
      <c r="N1348" s="13" t="n">
        <f aca="false">IF(Kalender!A250="",0,J1347-H1348)</f>
        <v>0.0150822</v>
      </c>
    </row>
    <row r="1349" customFormat="false" ht="16.4" hidden="false" customHeight="false" outlineLevel="0" collapsed="false">
      <c r="A1349" s="13" t="str">
        <f aca="false">""</f>
        <v/>
      </c>
      <c r="B1349" s="13" t="n">
        <f aca="false">247</f>
        <v>247</v>
      </c>
      <c r="C1349" s="13" t="n">
        <f aca="false">IF(Szenarien!$H$14="OK",(IFERROR(SUMIF(Nutzungsprofile!$B$6:$B$11,"Schulbetrieb",Nutzungsprofile!$G$6:$G$11)*Kalender!C251/SUM(Kalender!$C$5:$C$370),0)+IFERROR(SUMIF(Nutzungsprofile!$B$6:$B$11,"Halle",Nutzungsprofile!$G$6:$G$11)*Kalender!D251/SUM(Kalender!$D$5:$D$370),0)+IFERROR(SUMIF(Nutzungsprofile!$B$6:$B$11,"Individuell",Nutzungsprofile!$G$6:$G$11)*Kalender!E251/SUM(Kalender!$E$5:$E$370),0))*Szenarien!$E$14,0)</f>
        <v>2.94</v>
      </c>
      <c r="D1349" s="13" t="n">
        <f aca="false">IF(Szenarien!$H$14="OK",(IFERROR(SUMIF(Nutzungsprofile!$B$17:$B$22,"Schulbetrieb",Nutzungsprofile!$G$17:$G$22)*Kalender!C251/SUM(Kalender!$C$5:$C$370),0)+IFERROR(SUMIF(Nutzungsprofile!$B$17:$B$22,"Halle",Nutzungsprofile!$G$17:$G$22)*Kalender!D251/SUM(Kalender!$D$5:$D$370),0)+IFERROR(SUMIF(Nutzungsprofile!$B$17:$B$22,"Individuell",Nutzungsprofile!$G$17:$G$22)*Kalender!E251/SUM(Kalender!$E$5:$E$370),0))*Szenarien!$D$14,0)</f>
        <v>4.94</v>
      </c>
      <c r="E1349" s="13" t="n">
        <f aca="false">IFERROR(MIN(C1349,Eingaben!$B$17)*Eingaben!$B$16,0)</f>
        <v>2.793</v>
      </c>
      <c r="F1349" s="13" t="n">
        <f aca="false">IFERROR(E1349*Eingaben!$B$15,0)</f>
        <v>2.5137</v>
      </c>
      <c r="G1349" s="13" t="n">
        <f aca="false">IFERROR(IF(Kalender!A251="",0,J1348*(1-Eingaben!$B$20)),0)</f>
        <v>0.7390278</v>
      </c>
      <c r="H1349" s="13" t="n">
        <f aca="false">MIN(G1349,D1349)</f>
        <v>0.7390278</v>
      </c>
      <c r="I1349" s="13" t="n">
        <f aca="false">IFERROR(MIN(F1349*Eingaben!$B$19,MAX(0,D1349-H1349)),0)</f>
        <v>1.75959</v>
      </c>
      <c r="J1349" s="13" t="n">
        <f aca="false">IFERROR(MIN(Eingaben!$B$18,MAX(0,F1349-I1349)),0)</f>
        <v>0.75411</v>
      </c>
      <c r="K1349" s="13" t="n">
        <f aca="false">H1349+I1349</f>
        <v>2.4986178</v>
      </c>
      <c r="L1349" s="13" t="n">
        <f aca="false">MAX(0,D1349-K1349)</f>
        <v>2.4413822</v>
      </c>
      <c r="M1349" s="13" t="n">
        <f aca="false">MAX(0,F1349-I1349-J1349)</f>
        <v>0</v>
      </c>
      <c r="N1349" s="13" t="n">
        <f aca="false">IF(Kalender!A251="",0,J1348-H1349)</f>
        <v>0.0150822</v>
      </c>
    </row>
    <row r="1350" customFormat="false" ht="16.4" hidden="false" customHeight="false" outlineLevel="0" collapsed="false">
      <c r="A1350" s="13" t="str">
        <f aca="false">""</f>
        <v/>
      </c>
      <c r="B1350" s="13" t="n">
        <f aca="false">248</f>
        <v>248</v>
      </c>
      <c r="C1350" s="13" t="n">
        <f aca="false">IF(Szenarien!$H$14="OK",(IFERROR(SUMIF(Nutzungsprofile!$B$6:$B$11,"Schulbetrieb",Nutzungsprofile!$G$6:$G$11)*Kalender!C252/SUM(Kalender!$C$5:$C$370),0)+IFERROR(SUMIF(Nutzungsprofile!$B$6:$B$11,"Halle",Nutzungsprofile!$G$6:$G$11)*Kalender!D252/SUM(Kalender!$D$5:$D$370),0)+IFERROR(SUMIF(Nutzungsprofile!$B$6:$B$11,"Individuell",Nutzungsprofile!$G$6:$G$11)*Kalender!E252/SUM(Kalender!$E$5:$E$370),0))*Szenarien!$E$14,0)</f>
        <v>2.04</v>
      </c>
      <c r="D1350" s="13" t="n">
        <f aca="false">IF(Szenarien!$H$14="OK",(IFERROR(SUMIF(Nutzungsprofile!$B$17:$B$22,"Schulbetrieb",Nutzungsprofile!$G$17:$G$22)*Kalender!C252/SUM(Kalender!$C$5:$C$370),0)+IFERROR(SUMIF(Nutzungsprofile!$B$17:$B$22,"Halle",Nutzungsprofile!$G$17:$G$22)*Kalender!D252/SUM(Kalender!$D$5:$D$370),0)+IFERROR(SUMIF(Nutzungsprofile!$B$17:$B$22,"Individuell",Nutzungsprofile!$G$17:$G$22)*Kalender!E252/SUM(Kalender!$E$5:$E$370),0))*Szenarien!$D$14,0)</f>
        <v>0.89</v>
      </c>
      <c r="E1350" s="13" t="n">
        <f aca="false">IFERROR(MIN(C1350,Eingaben!$B$17)*Eingaben!$B$16,0)</f>
        <v>1.938</v>
      </c>
      <c r="F1350" s="13" t="n">
        <f aca="false">IFERROR(E1350*Eingaben!$B$15,0)</f>
        <v>1.7442</v>
      </c>
      <c r="G1350" s="13" t="n">
        <f aca="false">IFERROR(IF(Kalender!A252="",0,J1349*(1-Eingaben!$B$20)),0)</f>
        <v>0.7390278</v>
      </c>
      <c r="H1350" s="13" t="n">
        <f aca="false">MIN(G1350,D1350)</f>
        <v>0.7390278</v>
      </c>
      <c r="I1350" s="13" t="n">
        <f aca="false">IFERROR(MIN(F1350*Eingaben!$B$19,MAX(0,D1350-H1350)),0)</f>
        <v>0.1509722</v>
      </c>
      <c r="J1350" s="13" t="n">
        <f aca="false">IFERROR(MIN(Eingaben!$B$18,MAX(0,F1350-I1350)),0)</f>
        <v>1.5932278</v>
      </c>
      <c r="K1350" s="13" t="n">
        <f aca="false">H1350+I1350</f>
        <v>0.89</v>
      </c>
      <c r="L1350" s="13" t="n">
        <f aca="false">MAX(0,D1350-K1350)</f>
        <v>0</v>
      </c>
      <c r="M1350" s="13" t="n">
        <f aca="false">MAX(0,F1350-I1350-J1350)</f>
        <v>0</v>
      </c>
      <c r="N1350" s="13" t="n">
        <f aca="false">IF(Kalender!A252="",0,J1349-H1350)</f>
        <v>0.0150822</v>
      </c>
    </row>
    <row r="1351" customFormat="false" ht="16.4" hidden="false" customHeight="false" outlineLevel="0" collapsed="false">
      <c r="A1351" s="13" t="str">
        <f aca="false">""</f>
        <v/>
      </c>
      <c r="B1351" s="13" t="n">
        <f aca="false">249</f>
        <v>249</v>
      </c>
      <c r="C1351" s="13" t="n">
        <f aca="false">IF(Szenarien!$H$14="OK",(IFERROR(SUMIF(Nutzungsprofile!$B$6:$B$11,"Schulbetrieb",Nutzungsprofile!$G$6:$G$11)*Kalender!C253/SUM(Kalender!$C$5:$C$370),0)+IFERROR(SUMIF(Nutzungsprofile!$B$6:$B$11,"Halle",Nutzungsprofile!$G$6:$G$11)*Kalender!D253/SUM(Kalender!$D$5:$D$370),0)+IFERROR(SUMIF(Nutzungsprofile!$B$6:$B$11,"Individuell",Nutzungsprofile!$G$6:$G$11)*Kalender!E253/SUM(Kalender!$E$5:$E$370),0))*Szenarien!$E$14,0)</f>
        <v>2.04</v>
      </c>
      <c r="D1351" s="13" t="n">
        <f aca="false">IF(Szenarien!$H$14="OK",(IFERROR(SUMIF(Nutzungsprofile!$B$17:$B$22,"Schulbetrieb",Nutzungsprofile!$G$17:$G$22)*Kalender!C253/SUM(Kalender!$C$5:$C$370),0)+IFERROR(SUMIF(Nutzungsprofile!$B$17:$B$22,"Halle",Nutzungsprofile!$G$17:$G$22)*Kalender!D253/SUM(Kalender!$D$5:$D$370),0)+IFERROR(SUMIF(Nutzungsprofile!$B$17:$B$22,"Individuell",Nutzungsprofile!$G$17:$G$22)*Kalender!E253/SUM(Kalender!$E$5:$E$370),0))*Szenarien!$D$14,0)</f>
        <v>0.89</v>
      </c>
      <c r="E1351" s="13" t="n">
        <f aca="false">IFERROR(MIN(C1351,Eingaben!$B$17)*Eingaben!$B$16,0)</f>
        <v>1.938</v>
      </c>
      <c r="F1351" s="13" t="n">
        <f aca="false">IFERROR(E1351*Eingaben!$B$15,0)</f>
        <v>1.7442</v>
      </c>
      <c r="G1351" s="13" t="n">
        <f aca="false">IFERROR(IF(Kalender!A253="",0,J1350*(1-Eingaben!$B$20)),0)</f>
        <v>1.561363244</v>
      </c>
      <c r="H1351" s="13" t="n">
        <f aca="false">MIN(G1351,D1351)</f>
        <v>0.89</v>
      </c>
      <c r="I1351" s="13" t="n">
        <f aca="false">IFERROR(MIN(F1351*Eingaben!$B$19,MAX(0,D1351-H1351)),0)</f>
        <v>0</v>
      </c>
      <c r="J1351" s="13" t="n">
        <f aca="false">IFERROR(MIN(Eingaben!$B$18,MAX(0,F1351-I1351)),0)</f>
        <v>1.7442</v>
      </c>
      <c r="K1351" s="13" t="n">
        <f aca="false">H1351+I1351</f>
        <v>0.89</v>
      </c>
      <c r="L1351" s="13" t="n">
        <f aca="false">MAX(0,D1351-K1351)</f>
        <v>0</v>
      </c>
      <c r="M1351" s="13" t="n">
        <f aca="false">MAX(0,F1351-I1351-J1351)</f>
        <v>0</v>
      </c>
      <c r="N1351" s="13" t="n">
        <f aca="false">IF(Kalender!A253="",0,J1350-H1351)</f>
        <v>0.7032278</v>
      </c>
    </row>
    <row r="1352" customFormat="false" ht="16.4" hidden="false" customHeight="false" outlineLevel="0" collapsed="false">
      <c r="A1352" s="13" t="str">
        <f aca="false">""</f>
        <v/>
      </c>
      <c r="B1352" s="13" t="n">
        <f aca="false">250</f>
        <v>250</v>
      </c>
      <c r="C1352" s="13" t="n">
        <f aca="false">IF(Szenarien!$H$14="OK",(IFERROR(SUMIF(Nutzungsprofile!$B$6:$B$11,"Schulbetrieb",Nutzungsprofile!$G$6:$G$11)*Kalender!C254/SUM(Kalender!$C$5:$C$370),0)+IFERROR(SUMIF(Nutzungsprofile!$B$6:$B$11,"Halle",Nutzungsprofile!$G$6:$G$11)*Kalender!D254/SUM(Kalender!$D$5:$D$370),0)+IFERROR(SUMIF(Nutzungsprofile!$B$6:$B$11,"Individuell",Nutzungsprofile!$G$6:$G$11)*Kalender!E254/SUM(Kalender!$E$5:$E$370),0))*Szenarien!$E$14,0)</f>
        <v>2.94</v>
      </c>
      <c r="D1352" s="13" t="n">
        <f aca="false">IF(Szenarien!$H$14="OK",(IFERROR(SUMIF(Nutzungsprofile!$B$17:$B$22,"Schulbetrieb",Nutzungsprofile!$G$17:$G$22)*Kalender!C254/SUM(Kalender!$C$5:$C$370),0)+IFERROR(SUMIF(Nutzungsprofile!$B$17:$B$22,"Halle",Nutzungsprofile!$G$17:$G$22)*Kalender!D254/SUM(Kalender!$D$5:$D$370),0)+IFERROR(SUMIF(Nutzungsprofile!$B$17:$B$22,"Individuell",Nutzungsprofile!$G$17:$G$22)*Kalender!E254/SUM(Kalender!$E$5:$E$370),0))*Szenarien!$D$14,0)</f>
        <v>4.94</v>
      </c>
      <c r="E1352" s="13" t="n">
        <f aca="false">IFERROR(MIN(C1352,Eingaben!$B$17)*Eingaben!$B$16,0)</f>
        <v>2.793</v>
      </c>
      <c r="F1352" s="13" t="n">
        <f aca="false">IFERROR(E1352*Eingaben!$B$15,0)</f>
        <v>2.5137</v>
      </c>
      <c r="G1352" s="13" t="n">
        <f aca="false">IFERROR(IF(Kalender!A254="",0,J1351*(1-Eingaben!$B$20)),0)</f>
        <v>1.709316</v>
      </c>
      <c r="H1352" s="13" t="n">
        <f aca="false">MIN(G1352,D1352)</f>
        <v>1.709316</v>
      </c>
      <c r="I1352" s="13" t="n">
        <f aca="false">IFERROR(MIN(F1352*Eingaben!$B$19,MAX(0,D1352-H1352)),0)</f>
        <v>1.75959</v>
      </c>
      <c r="J1352" s="13" t="n">
        <f aca="false">IFERROR(MIN(Eingaben!$B$18,MAX(0,F1352-I1352)),0)</f>
        <v>0.75411</v>
      </c>
      <c r="K1352" s="13" t="n">
        <f aca="false">H1352+I1352</f>
        <v>3.468906</v>
      </c>
      <c r="L1352" s="13" t="n">
        <f aca="false">MAX(0,D1352-K1352)</f>
        <v>1.471094</v>
      </c>
      <c r="M1352" s="13" t="n">
        <f aca="false">MAX(0,F1352-I1352-J1352)</f>
        <v>0</v>
      </c>
      <c r="N1352" s="13" t="n">
        <f aca="false">IF(Kalender!A254="",0,J1351-H1352)</f>
        <v>0.0348840000000001</v>
      </c>
    </row>
    <row r="1353" customFormat="false" ht="16.4" hidden="false" customHeight="false" outlineLevel="0" collapsed="false">
      <c r="A1353" s="13" t="str">
        <f aca="false">""</f>
        <v/>
      </c>
      <c r="B1353" s="13" t="n">
        <f aca="false">251</f>
        <v>251</v>
      </c>
      <c r="C1353" s="13" t="n">
        <f aca="false">IF(Szenarien!$H$14="OK",(IFERROR(SUMIF(Nutzungsprofile!$B$6:$B$11,"Schulbetrieb",Nutzungsprofile!$G$6:$G$11)*Kalender!C255/SUM(Kalender!$C$5:$C$370),0)+IFERROR(SUMIF(Nutzungsprofile!$B$6:$B$11,"Halle",Nutzungsprofile!$G$6:$G$11)*Kalender!D255/SUM(Kalender!$D$5:$D$370),0)+IFERROR(SUMIF(Nutzungsprofile!$B$6:$B$11,"Individuell",Nutzungsprofile!$G$6:$G$11)*Kalender!E255/SUM(Kalender!$E$5:$E$370),0))*Szenarien!$E$14,0)</f>
        <v>2.94</v>
      </c>
      <c r="D1353" s="13" t="n">
        <f aca="false">IF(Szenarien!$H$14="OK",(IFERROR(SUMIF(Nutzungsprofile!$B$17:$B$22,"Schulbetrieb",Nutzungsprofile!$G$17:$G$22)*Kalender!C255/SUM(Kalender!$C$5:$C$370),0)+IFERROR(SUMIF(Nutzungsprofile!$B$17:$B$22,"Halle",Nutzungsprofile!$G$17:$G$22)*Kalender!D255/SUM(Kalender!$D$5:$D$370),0)+IFERROR(SUMIF(Nutzungsprofile!$B$17:$B$22,"Individuell",Nutzungsprofile!$G$17:$G$22)*Kalender!E255/SUM(Kalender!$E$5:$E$370),0))*Szenarien!$D$14,0)</f>
        <v>4.94</v>
      </c>
      <c r="E1353" s="13" t="n">
        <f aca="false">IFERROR(MIN(C1353,Eingaben!$B$17)*Eingaben!$B$16,0)</f>
        <v>2.793</v>
      </c>
      <c r="F1353" s="13" t="n">
        <f aca="false">IFERROR(E1353*Eingaben!$B$15,0)</f>
        <v>2.5137</v>
      </c>
      <c r="G1353" s="13" t="n">
        <f aca="false">IFERROR(IF(Kalender!A255="",0,J1352*(1-Eingaben!$B$20)),0)</f>
        <v>0.7390278</v>
      </c>
      <c r="H1353" s="13" t="n">
        <f aca="false">MIN(G1353,D1353)</f>
        <v>0.7390278</v>
      </c>
      <c r="I1353" s="13" t="n">
        <f aca="false">IFERROR(MIN(F1353*Eingaben!$B$19,MAX(0,D1353-H1353)),0)</f>
        <v>1.75959</v>
      </c>
      <c r="J1353" s="13" t="n">
        <f aca="false">IFERROR(MIN(Eingaben!$B$18,MAX(0,F1353-I1353)),0)</f>
        <v>0.75411</v>
      </c>
      <c r="K1353" s="13" t="n">
        <f aca="false">H1353+I1353</f>
        <v>2.4986178</v>
      </c>
      <c r="L1353" s="13" t="n">
        <f aca="false">MAX(0,D1353-K1353)</f>
        <v>2.4413822</v>
      </c>
      <c r="M1353" s="13" t="n">
        <f aca="false">MAX(0,F1353-I1353-J1353)</f>
        <v>0</v>
      </c>
      <c r="N1353" s="13" t="n">
        <f aca="false">IF(Kalender!A255="",0,J1352-H1353)</f>
        <v>0.0150822</v>
      </c>
    </row>
    <row r="1354" customFormat="false" ht="16.4" hidden="false" customHeight="false" outlineLevel="0" collapsed="false">
      <c r="A1354" s="13" t="str">
        <f aca="false">""</f>
        <v/>
      </c>
      <c r="B1354" s="13" t="n">
        <f aca="false">252</f>
        <v>252</v>
      </c>
      <c r="C1354" s="13" t="n">
        <f aca="false">IF(Szenarien!$H$14="OK",(IFERROR(SUMIF(Nutzungsprofile!$B$6:$B$11,"Schulbetrieb",Nutzungsprofile!$G$6:$G$11)*Kalender!C256/SUM(Kalender!$C$5:$C$370),0)+IFERROR(SUMIF(Nutzungsprofile!$B$6:$B$11,"Halle",Nutzungsprofile!$G$6:$G$11)*Kalender!D256/SUM(Kalender!$D$5:$D$370),0)+IFERROR(SUMIF(Nutzungsprofile!$B$6:$B$11,"Individuell",Nutzungsprofile!$G$6:$G$11)*Kalender!E256/SUM(Kalender!$E$5:$E$370),0))*Szenarien!$E$14,0)</f>
        <v>2.94</v>
      </c>
      <c r="D1354" s="13" t="n">
        <f aca="false">IF(Szenarien!$H$14="OK",(IFERROR(SUMIF(Nutzungsprofile!$B$17:$B$22,"Schulbetrieb",Nutzungsprofile!$G$17:$G$22)*Kalender!C256/SUM(Kalender!$C$5:$C$370),0)+IFERROR(SUMIF(Nutzungsprofile!$B$17:$B$22,"Halle",Nutzungsprofile!$G$17:$G$22)*Kalender!D256/SUM(Kalender!$D$5:$D$370),0)+IFERROR(SUMIF(Nutzungsprofile!$B$17:$B$22,"Individuell",Nutzungsprofile!$G$17:$G$22)*Kalender!E256/SUM(Kalender!$E$5:$E$370),0))*Szenarien!$D$14,0)</f>
        <v>4.94</v>
      </c>
      <c r="E1354" s="13" t="n">
        <f aca="false">IFERROR(MIN(C1354,Eingaben!$B$17)*Eingaben!$B$16,0)</f>
        <v>2.793</v>
      </c>
      <c r="F1354" s="13" t="n">
        <f aca="false">IFERROR(E1354*Eingaben!$B$15,0)</f>
        <v>2.5137</v>
      </c>
      <c r="G1354" s="13" t="n">
        <f aca="false">IFERROR(IF(Kalender!A256="",0,J1353*(1-Eingaben!$B$20)),0)</f>
        <v>0.7390278</v>
      </c>
      <c r="H1354" s="13" t="n">
        <f aca="false">MIN(G1354,D1354)</f>
        <v>0.7390278</v>
      </c>
      <c r="I1354" s="13" t="n">
        <f aca="false">IFERROR(MIN(F1354*Eingaben!$B$19,MAX(0,D1354-H1354)),0)</f>
        <v>1.75959</v>
      </c>
      <c r="J1354" s="13" t="n">
        <f aca="false">IFERROR(MIN(Eingaben!$B$18,MAX(0,F1354-I1354)),0)</f>
        <v>0.75411</v>
      </c>
      <c r="K1354" s="13" t="n">
        <f aca="false">H1354+I1354</f>
        <v>2.4986178</v>
      </c>
      <c r="L1354" s="13" t="n">
        <f aca="false">MAX(0,D1354-K1354)</f>
        <v>2.4413822</v>
      </c>
      <c r="M1354" s="13" t="n">
        <f aca="false">MAX(0,F1354-I1354-J1354)</f>
        <v>0</v>
      </c>
      <c r="N1354" s="13" t="n">
        <f aca="false">IF(Kalender!A256="",0,J1353-H1354)</f>
        <v>0.0150822</v>
      </c>
    </row>
    <row r="1355" customFormat="false" ht="16.4" hidden="false" customHeight="false" outlineLevel="0" collapsed="false">
      <c r="A1355" s="13" t="str">
        <f aca="false">""</f>
        <v/>
      </c>
      <c r="B1355" s="13" t="n">
        <f aca="false">253</f>
        <v>253</v>
      </c>
      <c r="C1355" s="13" t="n">
        <f aca="false">IF(Szenarien!$H$14="OK",(IFERROR(SUMIF(Nutzungsprofile!$B$6:$B$11,"Schulbetrieb",Nutzungsprofile!$G$6:$G$11)*Kalender!C257/SUM(Kalender!$C$5:$C$370),0)+IFERROR(SUMIF(Nutzungsprofile!$B$6:$B$11,"Halle",Nutzungsprofile!$G$6:$G$11)*Kalender!D257/SUM(Kalender!$D$5:$D$370),0)+IFERROR(SUMIF(Nutzungsprofile!$B$6:$B$11,"Individuell",Nutzungsprofile!$G$6:$G$11)*Kalender!E257/SUM(Kalender!$E$5:$E$370),0))*Szenarien!$E$14,0)</f>
        <v>2.94</v>
      </c>
      <c r="D1355" s="13" t="n">
        <f aca="false">IF(Szenarien!$H$14="OK",(IFERROR(SUMIF(Nutzungsprofile!$B$17:$B$22,"Schulbetrieb",Nutzungsprofile!$G$17:$G$22)*Kalender!C257/SUM(Kalender!$C$5:$C$370),0)+IFERROR(SUMIF(Nutzungsprofile!$B$17:$B$22,"Halle",Nutzungsprofile!$G$17:$G$22)*Kalender!D257/SUM(Kalender!$D$5:$D$370),0)+IFERROR(SUMIF(Nutzungsprofile!$B$17:$B$22,"Individuell",Nutzungsprofile!$G$17:$G$22)*Kalender!E257/SUM(Kalender!$E$5:$E$370),0))*Szenarien!$D$14,0)</f>
        <v>4.94</v>
      </c>
      <c r="E1355" s="13" t="n">
        <f aca="false">IFERROR(MIN(C1355,Eingaben!$B$17)*Eingaben!$B$16,0)</f>
        <v>2.793</v>
      </c>
      <c r="F1355" s="13" t="n">
        <f aca="false">IFERROR(E1355*Eingaben!$B$15,0)</f>
        <v>2.5137</v>
      </c>
      <c r="G1355" s="13" t="n">
        <f aca="false">IFERROR(IF(Kalender!A257="",0,J1354*(1-Eingaben!$B$20)),0)</f>
        <v>0.7390278</v>
      </c>
      <c r="H1355" s="13" t="n">
        <f aca="false">MIN(G1355,D1355)</f>
        <v>0.7390278</v>
      </c>
      <c r="I1355" s="13" t="n">
        <f aca="false">IFERROR(MIN(F1355*Eingaben!$B$19,MAX(0,D1355-H1355)),0)</f>
        <v>1.75959</v>
      </c>
      <c r="J1355" s="13" t="n">
        <f aca="false">IFERROR(MIN(Eingaben!$B$18,MAX(0,F1355-I1355)),0)</f>
        <v>0.75411</v>
      </c>
      <c r="K1355" s="13" t="n">
        <f aca="false">H1355+I1355</f>
        <v>2.4986178</v>
      </c>
      <c r="L1355" s="13" t="n">
        <f aca="false">MAX(0,D1355-K1355)</f>
        <v>2.4413822</v>
      </c>
      <c r="M1355" s="13" t="n">
        <f aca="false">MAX(0,F1355-I1355-J1355)</f>
        <v>0</v>
      </c>
      <c r="N1355" s="13" t="n">
        <f aca="false">IF(Kalender!A257="",0,J1354-H1355)</f>
        <v>0.0150822</v>
      </c>
    </row>
    <row r="1356" customFormat="false" ht="16.4" hidden="false" customHeight="false" outlineLevel="0" collapsed="false">
      <c r="A1356" s="13" t="str">
        <f aca="false">""</f>
        <v/>
      </c>
      <c r="B1356" s="13" t="n">
        <f aca="false">254</f>
        <v>254</v>
      </c>
      <c r="C1356" s="13" t="n">
        <f aca="false">IF(Szenarien!$H$14="OK",(IFERROR(SUMIF(Nutzungsprofile!$B$6:$B$11,"Schulbetrieb",Nutzungsprofile!$G$6:$G$11)*Kalender!C258/SUM(Kalender!$C$5:$C$370),0)+IFERROR(SUMIF(Nutzungsprofile!$B$6:$B$11,"Halle",Nutzungsprofile!$G$6:$G$11)*Kalender!D258/SUM(Kalender!$D$5:$D$370),0)+IFERROR(SUMIF(Nutzungsprofile!$B$6:$B$11,"Individuell",Nutzungsprofile!$G$6:$G$11)*Kalender!E258/SUM(Kalender!$E$5:$E$370),0))*Szenarien!$E$14,0)</f>
        <v>2.94</v>
      </c>
      <c r="D1356" s="13" t="n">
        <f aca="false">IF(Szenarien!$H$14="OK",(IFERROR(SUMIF(Nutzungsprofile!$B$17:$B$22,"Schulbetrieb",Nutzungsprofile!$G$17:$G$22)*Kalender!C258/SUM(Kalender!$C$5:$C$370),0)+IFERROR(SUMIF(Nutzungsprofile!$B$17:$B$22,"Halle",Nutzungsprofile!$G$17:$G$22)*Kalender!D258/SUM(Kalender!$D$5:$D$370),0)+IFERROR(SUMIF(Nutzungsprofile!$B$17:$B$22,"Individuell",Nutzungsprofile!$G$17:$G$22)*Kalender!E258/SUM(Kalender!$E$5:$E$370),0))*Szenarien!$D$14,0)</f>
        <v>4.94</v>
      </c>
      <c r="E1356" s="13" t="n">
        <f aca="false">IFERROR(MIN(C1356,Eingaben!$B$17)*Eingaben!$B$16,0)</f>
        <v>2.793</v>
      </c>
      <c r="F1356" s="13" t="n">
        <f aca="false">IFERROR(E1356*Eingaben!$B$15,0)</f>
        <v>2.5137</v>
      </c>
      <c r="G1356" s="13" t="n">
        <f aca="false">IFERROR(IF(Kalender!A258="",0,J1355*(1-Eingaben!$B$20)),0)</f>
        <v>0.7390278</v>
      </c>
      <c r="H1356" s="13" t="n">
        <f aca="false">MIN(G1356,D1356)</f>
        <v>0.7390278</v>
      </c>
      <c r="I1356" s="13" t="n">
        <f aca="false">IFERROR(MIN(F1356*Eingaben!$B$19,MAX(0,D1356-H1356)),0)</f>
        <v>1.75959</v>
      </c>
      <c r="J1356" s="13" t="n">
        <f aca="false">IFERROR(MIN(Eingaben!$B$18,MAX(0,F1356-I1356)),0)</f>
        <v>0.75411</v>
      </c>
      <c r="K1356" s="13" t="n">
        <f aca="false">H1356+I1356</f>
        <v>2.4986178</v>
      </c>
      <c r="L1356" s="13" t="n">
        <f aca="false">MAX(0,D1356-K1356)</f>
        <v>2.4413822</v>
      </c>
      <c r="M1356" s="13" t="n">
        <f aca="false">MAX(0,F1356-I1356-J1356)</f>
        <v>0</v>
      </c>
      <c r="N1356" s="13" t="n">
        <f aca="false">IF(Kalender!A258="",0,J1355-H1356)</f>
        <v>0.0150822</v>
      </c>
    </row>
    <row r="1357" customFormat="false" ht="16.4" hidden="false" customHeight="false" outlineLevel="0" collapsed="false">
      <c r="A1357" s="13" t="str">
        <f aca="false">""</f>
        <v/>
      </c>
      <c r="B1357" s="13" t="n">
        <f aca="false">255</f>
        <v>255</v>
      </c>
      <c r="C1357" s="13" t="n">
        <f aca="false">IF(Szenarien!$H$14="OK",(IFERROR(SUMIF(Nutzungsprofile!$B$6:$B$11,"Schulbetrieb",Nutzungsprofile!$G$6:$G$11)*Kalender!C259/SUM(Kalender!$C$5:$C$370),0)+IFERROR(SUMIF(Nutzungsprofile!$B$6:$B$11,"Halle",Nutzungsprofile!$G$6:$G$11)*Kalender!D259/SUM(Kalender!$D$5:$D$370),0)+IFERROR(SUMIF(Nutzungsprofile!$B$6:$B$11,"Individuell",Nutzungsprofile!$G$6:$G$11)*Kalender!E259/SUM(Kalender!$E$5:$E$370),0))*Szenarien!$E$14,0)</f>
        <v>2.04</v>
      </c>
      <c r="D1357" s="13" t="n">
        <f aca="false">IF(Szenarien!$H$14="OK",(IFERROR(SUMIF(Nutzungsprofile!$B$17:$B$22,"Schulbetrieb",Nutzungsprofile!$G$17:$G$22)*Kalender!C259/SUM(Kalender!$C$5:$C$370),0)+IFERROR(SUMIF(Nutzungsprofile!$B$17:$B$22,"Halle",Nutzungsprofile!$G$17:$G$22)*Kalender!D259/SUM(Kalender!$D$5:$D$370),0)+IFERROR(SUMIF(Nutzungsprofile!$B$17:$B$22,"Individuell",Nutzungsprofile!$G$17:$G$22)*Kalender!E259/SUM(Kalender!$E$5:$E$370),0))*Szenarien!$D$14,0)</f>
        <v>0.89</v>
      </c>
      <c r="E1357" s="13" t="n">
        <f aca="false">IFERROR(MIN(C1357,Eingaben!$B$17)*Eingaben!$B$16,0)</f>
        <v>1.938</v>
      </c>
      <c r="F1357" s="13" t="n">
        <f aca="false">IFERROR(E1357*Eingaben!$B$15,0)</f>
        <v>1.7442</v>
      </c>
      <c r="G1357" s="13" t="n">
        <f aca="false">IFERROR(IF(Kalender!A259="",0,J1356*(1-Eingaben!$B$20)),0)</f>
        <v>0.7390278</v>
      </c>
      <c r="H1357" s="13" t="n">
        <f aca="false">MIN(G1357,D1357)</f>
        <v>0.7390278</v>
      </c>
      <c r="I1357" s="13" t="n">
        <f aca="false">IFERROR(MIN(F1357*Eingaben!$B$19,MAX(0,D1357-H1357)),0)</f>
        <v>0.1509722</v>
      </c>
      <c r="J1357" s="13" t="n">
        <f aca="false">IFERROR(MIN(Eingaben!$B$18,MAX(0,F1357-I1357)),0)</f>
        <v>1.5932278</v>
      </c>
      <c r="K1357" s="13" t="n">
        <f aca="false">H1357+I1357</f>
        <v>0.89</v>
      </c>
      <c r="L1357" s="13" t="n">
        <f aca="false">MAX(0,D1357-K1357)</f>
        <v>0</v>
      </c>
      <c r="M1357" s="13" t="n">
        <f aca="false">MAX(0,F1357-I1357-J1357)</f>
        <v>0</v>
      </c>
      <c r="N1357" s="13" t="n">
        <f aca="false">IF(Kalender!A259="",0,J1356-H1357)</f>
        <v>0.0150822</v>
      </c>
    </row>
    <row r="1358" customFormat="false" ht="16.4" hidden="false" customHeight="false" outlineLevel="0" collapsed="false">
      <c r="A1358" s="13" t="str">
        <f aca="false">""</f>
        <v/>
      </c>
      <c r="B1358" s="13" t="n">
        <f aca="false">256</f>
        <v>256</v>
      </c>
      <c r="C1358" s="13" t="n">
        <f aca="false">IF(Szenarien!$H$14="OK",(IFERROR(SUMIF(Nutzungsprofile!$B$6:$B$11,"Schulbetrieb",Nutzungsprofile!$G$6:$G$11)*Kalender!C260/SUM(Kalender!$C$5:$C$370),0)+IFERROR(SUMIF(Nutzungsprofile!$B$6:$B$11,"Halle",Nutzungsprofile!$G$6:$G$11)*Kalender!D260/SUM(Kalender!$D$5:$D$370),0)+IFERROR(SUMIF(Nutzungsprofile!$B$6:$B$11,"Individuell",Nutzungsprofile!$G$6:$G$11)*Kalender!E260/SUM(Kalender!$E$5:$E$370),0))*Szenarien!$E$14,0)</f>
        <v>2.04</v>
      </c>
      <c r="D1358" s="13" t="n">
        <f aca="false">IF(Szenarien!$H$14="OK",(IFERROR(SUMIF(Nutzungsprofile!$B$17:$B$22,"Schulbetrieb",Nutzungsprofile!$G$17:$G$22)*Kalender!C260/SUM(Kalender!$C$5:$C$370),0)+IFERROR(SUMIF(Nutzungsprofile!$B$17:$B$22,"Halle",Nutzungsprofile!$G$17:$G$22)*Kalender!D260/SUM(Kalender!$D$5:$D$370),0)+IFERROR(SUMIF(Nutzungsprofile!$B$17:$B$22,"Individuell",Nutzungsprofile!$G$17:$G$22)*Kalender!E260/SUM(Kalender!$E$5:$E$370),0))*Szenarien!$D$14,0)</f>
        <v>0.89</v>
      </c>
      <c r="E1358" s="13" t="n">
        <f aca="false">IFERROR(MIN(C1358,Eingaben!$B$17)*Eingaben!$B$16,0)</f>
        <v>1.938</v>
      </c>
      <c r="F1358" s="13" t="n">
        <f aca="false">IFERROR(E1358*Eingaben!$B$15,0)</f>
        <v>1.7442</v>
      </c>
      <c r="G1358" s="13" t="n">
        <f aca="false">IFERROR(IF(Kalender!A260="",0,J1357*(1-Eingaben!$B$20)),0)</f>
        <v>1.561363244</v>
      </c>
      <c r="H1358" s="13" t="n">
        <f aca="false">MIN(G1358,D1358)</f>
        <v>0.89</v>
      </c>
      <c r="I1358" s="13" t="n">
        <f aca="false">IFERROR(MIN(F1358*Eingaben!$B$19,MAX(0,D1358-H1358)),0)</f>
        <v>0</v>
      </c>
      <c r="J1358" s="13" t="n">
        <f aca="false">IFERROR(MIN(Eingaben!$B$18,MAX(0,F1358-I1358)),0)</f>
        <v>1.7442</v>
      </c>
      <c r="K1358" s="13" t="n">
        <f aca="false">H1358+I1358</f>
        <v>0.89</v>
      </c>
      <c r="L1358" s="13" t="n">
        <f aca="false">MAX(0,D1358-K1358)</f>
        <v>0</v>
      </c>
      <c r="M1358" s="13" t="n">
        <f aca="false">MAX(0,F1358-I1358-J1358)</f>
        <v>0</v>
      </c>
      <c r="N1358" s="13" t="n">
        <f aca="false">IF(Kalender!A260="",0,J1357-H1358)</f>
        <v>0.7032278</v>
      </c>
    </row>
    <row r="1359" customFormat="false" ht="16.4" hidden="false" customHeight="false" outlineLevel="0" collapsed="false">
      <c r="A1359" s="13" t="str">
        <f aca="false">""</f>
        <v/>
      </c>
      <c r="B1359" s="13" t="n">
        <f aca="false">257</f>
        <v>257</v>
      </c>
      <c r="C1359" s="13" t="n">
        <f aca="false">IF(Szenarien!$H$14="OK",(IFERROR(SUMIF(Nutzungsprofile!$B$6:$B$11,"Schulbetrieb",Nutzungsprofile!$G$6:$G$11)*Kalender!C261/SUM(Kalender!$C$5:$C$370),0)+IFERROR(SUMIF(Nutzungsprofile!$B$6:$B$11,"Halle",Nutzungsprofile!$G$6:$G$11)*Kalender!D261/SUM(Kalender!$D$5:$D$370),0)+IFERROR(SUMIF(Nutzungsprofile!$B$6:$B$11,"Individuell",Nutzungsprofile!$G$6:$G$11)*Kalender!E261/SUM(Kalender!$E$5:$E$370),0))*Szenarien!$E$14,0)</f>
        <v>2.94</v>
      </c>
      <c r="D1359" s="13" t="n">
        <f aca="false">IF(Szenarien!$H$14="OK",(IFERROR(SUMIF(Nutzungsprofile!$B$17:$B$22,"Schulbetrieb",Nutzungsprofile!$G$17:$G$22)*Kalender!C261/SUM(Kalender!$C$5:$C$370),0)+IFERROR(SUMIF(Nutzungsprofile!$B$17:$B$22,"Halle",Nutzungsprofile!$G$17:$G$22)*Kalender!D261/SUM(Kalender!$D$5:$D$370),0)+IFERROR(SUMIF(Nutzungsprofile!$B$17:$B$22,"Individuell",Nutzungsprofile!$G$17:$G$22)*Kalender!E261/SUM(Kalender!$E$5:$E$370),0))*Szenarien!$D$14,0)</f>
        <v>4.94</v>
      </c>
      <c r="E1359" s="13" t="n">
        <f aca="false">IFERROR(MIN(C1359,Eingaben!$B$17)*Eingaben!$B$16,0)</f>
        <v>2.793</v>
      </c>
      <c r="F1359" s="13" t="n">
        <f aca="false">IFERROR(E1359*Eingaben!$B$15,0)</f>
        <v>2.5137</v>
      </c>
      <c r="G1359" s="13" t="n">
        <f aca="false">IFERROR(IF(Kalender!A261="",0,J1358*(1-Eingaben!$B$20)),0)</f>
        <v>1.709316</v>
      </c>
      <c r="H1359" s="13" t="n">
        <f aca="false">MIN(G1359,D1359)</f>
        <v>1.709316</v>
      </c>
      <c r="I1359" s="13" t="n">
        <f aca="false">IFERROR(MIN(F1359*Eingaben!$B$19,MAX(0,D1359-H1359)),0)</f>
        <v>1.75959</v>
      </c>
      <c r="J1359" s="13" t="n">
        <f aca="false">IFERROR(MIN(Eingaben!$B$18,MAX(0,F1359-I1359)),0)</f>
        <v>0.75411</v>
      </c>
      <c r="K1359" s="13" t="n">
        <f aca="false">H1359+I1359</f>
        <v>3.468906</v>
      </c>
      <c r="L1359" s="13" t="n">
        <f aca="false">MAX(0,D1359-K1359)</f>
        <v>1.471094</v>
      </c>
      <c r="M1359" s="13" t="n">
        <f aca="false">MAX(0,F1359-I1359-J1359)</f>
        <v>0</v>
      </c>
      <c r="N1359" s="13" t="n">
        <f aca="false">IF(Kalender!A261="",0,J1358-H1359)</f>
        <v>0.0348840000000001</v>
      </c>
    </row>
    <row r="1360" customFormat="false" ht="16.4" hidden="false" customHeight="false" outlineLevel="0" collapsed="false">
      <c r="A1360" s="13" t="str">
        <f aca="false">""</f>
        <v/>
      </c>
      <c r="B1360" s="13" t="n">
        <f aca="false">258</f>
        <v>258</v>
      </c>
      <c r="C1360" s="13" t="n">
        <f aca="false">IF(Szenarien!$H$14="OK",(IFERROR(SUMIF(Nutzungsprofile!$B$6:$B$11,"Schulbetrieb",Nutzungsprofile!$G$6:$G$11)*Kalender!C262/SUM(Kalender!$C$5:$C$370),0)+IFERROR(SUMIF(Nutzungsprofile!$B$6:$B$11,"Halle",Nutzungsprofile!$G$6:$G$11)*Kalender!D262/SUM(Kalender!$D$5:$D$370),0)+IFERROR(SUMIF(Nutzungsprofile!$B$6:$B$11,"Individuell",Nutzungsprofile!$G$6:$G$11)*Kalender!E262/SUM(Kalender!$E$5:$E$370),0))*Szenarien!$E$14,0)</f>
        <v>2.94</v>
      </c>
      <c r="D1360" s="13" t="n">
        <f aca="false">IF(Szenarien!$H$14="OK",(IFERROR(SUMIF(Nutzungsprofile!$B$17:$B$22,"Schulbetrieb",Nutzungsprofile!$G$17:$G$22)*Kalender!C262/SUM(Kalender!$C$5:$C$370),0)+IFERROR(SUMIF(Nutzungsprofile!$B$17:$B$22,"Halle",Nutzungsprofile!$G$17:$G$22)*Kalender!D262/SUM(Kalender!$D$5:$D$370),0)+IFERROR(SUMIF(Nutzungsprofile!$B$17:$B$22,"Individuell",Nutzungsprofile!$G$17:$G$22)*Kalender!E262/SUM(Kalender!$E$5:$E$370),0))*Szenarien!$D$14,0)</f>
        <v>4.94</v>
      </c>
      <c r="E1360" s="13" t="n">
        <f aca="false">IFERROR(MIN(C1360,Eingaben!$B$17)*Eingaben!$B$16,0)</f>
        <v>2.793</v>
      </c>
      <c r="F1360" s="13" t="n">
        <f aca="false">IFERROR(E1360*Eingaben!$B$15,0)</f>
        <v>2.5137</v>
      </c>
      <c r="G1360" s="13" t="n">
        <f aca="false">IFERROR(IF(Kalender!A262="",0,J1359*(1-Eingaben!$B$20)),0)</f>
        <v>0.7390278</v>
      </c>
      <c r="H1360" s="13" t="n">
        <f aca="false">MIN(G1360,D1360)</f>
        <v>0.7390278</v>
      </c>
      <c r="I1360" s="13" t="n">
        <f aca="false">IFERROR(MIN(F1360*Eingaben!$B$19,MAX(0,D1360-H1360)),0)</f>
        <v>1.75959</v>
      </c>
      <c r="J1360" s="13" t="n">
        <f aca="false">IFERROR(MIN(Eingaben!$B$18,MAX(0,F1360-I1360)),0)</f>
        <v>0.75411</v>
      </c>
      <c r="K1360" s="13" t="n">
        <f aca="false">H1360+I1360</f>
        <v>2.4986178</v>
      </c>
      <c r="L1360" s="13" t="n">
        <f aca="false">MAX(0,D1360-K1360)</f>
        <v>2.4413822</v>
      </c>
      <c r="M1360" s="13" t="n">
        <f aca="false">MAX(0,F1360-I1360-J1360)</f>
        <v>0</v>
      </c>
      <c r="N1360" s="13" t="n">
        <f aca="false">IF(Kalender!A262="",0,J1359-H1360)</f>
        <v>0.0150822</v>
      </c>
    </row>
    <row r="1361" customFormat="false" ht="16.4" hidden="false" customHeight="false" outlineLevel="0" collapsed="false">
      <c r="A1361" s="13" t="str">
        <f aca="false">""</f>
        <v/>
      </c>
      <c r="B1361" s="13" t="n">
        <f aca="false">259</f>
        <v>259</v>
      </c>
      <c r="C1361" s="13" t="n">
        <f aca="false">IF(Szenarien!$H$14="OK",(IFERROR(SUMIF(Nutzungsprofile!$B$6:$B$11,"Schulbetrieb",Nutzungsprofile!$G$6:$G$11)*Kalender!C263/SUM(Kalender!$C$5:$C$370),0)+IFERROR(SUMIF(Nutzungsprofile!$B$6:$B$11,"Halle",Nutzungsprofile!$G$6:$G$11)*Kalender!D263/SUM(Kalender!$D$5:$D$370),0)+IFERROR(SUMIF(Nutzungsprofile!$B$6:$B$11,"Individuell",Nutzungsprofile!$G$6:$G$11)*Kalender!E263/SUM(Kalender!$E$5:$E$370),0))*Szenarien!$E$14,0)</f>
        <v>2.94</v>
      </c>
      <c r="D1361" s="13" t="n">
        <f aca="false">IF(Szenarien!$H$14="OK",(IFERROR(SUMIF(Nutzungsprofile!$B$17:$B$22,"Schulbetrieb",Nutzungsprofile!$G$17:$G$22)*Kalender!C263/SUM(Kalender!$C$5:$C$370),0)+IFERROR(SUMIF(Nutzungsprofile!$B$17:$B$22,"Halle",Nutzungsprofile!$G$17:$G$22)*Kalender!D263/SUM(Kalender!$D$5:$D$370),0)+IFERROR(SUMIF(Nutzungsprofile!$B$17:$B$22,"Individuell",Nutzungsprofile!$G$17:$G$22)*Kalender!E263/SUM(Kalender!$E$5:$E$370),0))*Szenarien!$D$14,0)</f>
        <v>4.94</v>
      </c>
      <c r="E1361" s="13" t="n">
        <f aca="false">IFERROR(MIN(C1361,Eingaben!$B$17)*Eingaben!$B$16,0)</f>
        <v>2.793</v>
      </c>
      <c r="F1361" s="13" t="n">
        <f aca="false">IFERROR(E1361*Eingaben!$B$15,0)</f>
        <v>2.5137</v>
      </c>
      <c r="G1361" s="13" t="n">
        <f aca="false">IFERROR(IF(Kalender!A263="",0,J1360*(1-Eingaben!$B$20)),0)</f>
        <v>0.7390278</v>
      </c>
      <c r="H1361" s="13" t="n">
        <f aca="false">MIN(G1361,D1361)</f>
        <v>0.7390278</v>
      </c>
      <c r="I1361" s="13" t="n">
        <f aca="false">IFERROR(MIN(F1361*Eingaben!$B$19,MAX(0,D1361-H1361)),0)</f>
        <v>1.75959</v>
      </c>
      <c r="J1361" s="13" t="n">
        <f aca="false">IFERROR(MIN(Eingaben!$B$18,MAX(0,F1361-I1361)),0)</f>
        <v>0.75411</v>
      </c>
      <c r="K1361" s="13" t="n">
        <f aca="false">H1361+I1361</f>
        <v>2.4986178</v>
      </c>
      <c r="L1361" s="13" t="n">
        <f aca="false">MAX(0,D1361-K1361)</f>
        <v>2.4413822</v>
      </c>
      <c r="M1361" s="13" t="n">
        <f aca="false">MAX(0,F1361-I1361-J1361)</f>
        <v>0</v>
      </c>
      <c r="N1361" s="13" t="n">
        <f aca="false">IF(Kalender!A263="",0,J1360-H1361)</f>
        <v>0.0150822</v>
      </c>
    </row>
    <row r="1362" customFormat="false" ht="16.4" hidden="false" customHeight="false" outlineLevel="0" collapsed="false">
      <c r="A1362" s="13" t="str">
        <f aca="false">""</f>
        <v/>
      </c>
      <c r="B1362" s="13" t="n">
        <f aca="false">260</f>
        <v>260</v>
      </c>
      <c r="C1362" s="13" t="n">
        <f aca="false">IF(Szenarien!$H$14="OK",(IFERROR(SUMIF(Nutzungsprofile!$B$6:$B$11,"Schulbetrieb",Nutzungsprofile!$G$6:$G$11)*Kalender!C264/SUM(Kalender!$C$5:$C$370),0)+IFERROR(SUMIF(Nutzungsprofile!$B$6:$B$11,"Halle",Nutzungsprofile!$G$6:$G$11)*Kalender!D264/SUM(Kalender!$D$5:$D$370),0)+IFERROR(SUMIF(Nutzungsprofile!$B$6:$B$11,"Individuell",Nutzungsprofile!$G$6:$G$11)*Kalender!E264/SUM(Kalender!$E$5:$E$370),0))*Szenarien!$E$14,0)</f>
        <v>2.94</v>
      </c>
      <c r="D1362" s="13" t="n">
        <f aca="false">IF(Szenarien!$H$14="OK",(IFERROR(SUMIF(Nutzungsprofile!$B$17:$B$22,"Schulbetrieb",Nutzungsprofile!$G$17:$G$22)*Kalender!C264/SUM(Kalender!$C$5:$C$370),0)+IFERROR(SUMIF(Nutzungsprofile!$B$17:$B$22,"Halle",Nutzungsprofile!$G$17:$G$22)*Kalender!D264/SUM(Kalender!$D$5:$D$370),0)+IFERROR(SUMIF(Nutzungsprofile!$B$17:$B$22,"Individuell",Nutzungsprofile!$G$17:$G$22)*Kalender!E264/SUM(Kalender!$E$5:$E$370),0))*Szenarien!$D$14,0)</f>
        <v>4.94</v>
      </c>
      <c r="E1362" s="13" t="n">
        <f aca="false">IFERROR(MIN(C1362,Eingaben!$B$17)*Eingaben!$B$16,0)</f>
        <v>2.793</v>
      </c>
      <c r="F1362" s="13" t="n">
        <f aca="false">IFERROR(E1362*Eingaben!$B$15,0)</f>
        <v>2.5137</v>
      </c>
      <c r="G1362" s="13" t="n">
        <f aca="false">IFERROR(IF(Kalender!A264="",0,J1361*(1-Eingaben!$B$20)),0)</f>
        <v>0.7390278</v>
      </c>
      <c r="H1362" s="13" t="n">
        <f aca="false">MIN(G1362,D1362)</f>
        <v>0.7390278</v>
      </c>
      <c r="I1362" s="13" t="n">
        <f aca="false">IFERROR(MIN(F1362*Eingaben!$B$19,MAX(0,D1362-H1362)),0)</f>
        <v>1.75959</v>
      </c>
      <c r="J1362" s="13" t="n">
        <f aca="false">IFERROR(MIN(Eingaben!$B$18,MAX(0,F1362-I1362)),0)</f>
        <v>0.75411</v>
      </c>
      <c r="K1362" s="13" t="n">
        <f aca="false">H1362+I1362</f>
        <v>2.4986178</v>
      </c>
      <c r="L1362" s="13" t="n">
        <f aca="false">MAX(0,D1362-K1362)</f>
        <v>2.4413822</v>
      </c>
      <c r="M1362" s="13" t="n">
        <f aca="false">MAX(0,F1362-I1362-J1362)</f>
        <v>0</v>
      </c>
      <c r="N1362" s="13" t="n">
        <f aca="false">IF(Kalender!A264="",0,J1361-H1362)</f>
        <v>0.0150822</v>
      </c>
    </row>
    <row r="1363" customFormat="false" ht="16.4" hidden="false" customHeight="false" outlineLevel="0" collapsed="false">
      <c r="A1363" s="13" t="str">
        <f aca="false">""</f>
        <v/>
      </c>
      <c r="B1363" s="13" t="n">
        <f aca="false">261</f>
        <v>261</v>
      </c>
      <c r="C1363" s="13" t="n">
        <f aca="false">IF(Szenarien!$H$14="OK",(IFERROR(SUMIF(Nutzungsprofile!$B$6:$B$11,"Schulbetrieb",Nutzungsprofile!$G$6:$G$11)*Kalender!C265/SUM(Kalender!$C$5:$C$370),0)+IFERROR(SUMIF(Nutzungsprofile!$B$6:$B$11,"Halle",Nutzungsprofile!$G$6:$G$11)*Kalender!D265/SUM(Kalender!$D$5:$D$370),0)+IFERROR(SUMIF(Nutzungsprofile!$B$6:$B$11,"Individuell",Nutzungsprofile!$G$6:$G$11)*Kalender!E265/SUM(Kalender!$E$5:$E$370),0))*Szenarien!$E$14,0)</f>
        <v>2.94</v>
      </c>
      <c r="D1363" s="13" t="n">
        <f aca="false">IF(Szenarien!$H$14="OK",(IFERROR(SUMIF(Nutzungsprofile!$B$17:$B$22,"Schulbetrieb",Nutzungsprofile!$G$17:$G$22)*Kalender!C265/SUM(Kalender!$C$5:$C$370),0)+IFERROR(SUMIF(Nutzungsprofile!$B$17:$B$22,"Halle",Nutzungsprofile!$G$17:$G$22)*Kalender!D265/SUM(Kalender!$D$5:$D$370),0)+IFERROR(SUMIF(Nutzungsprofile!$B$17:$B$22,"Individuell",Nutzungsprofile!$G$17:$G$22)*Kalender!E265/SUM(Kalender!$E$5:$E$370),0))*Szenarien!$D$14,0)</f>
        <v>4.94</v>
      </c>
      <c r="E1363" s="13" t="n">
        <f aca="false">IFERROR(MIN(C1363,Eingaben!$B$17)*Eingaben!$B$16,0)</f>
        <v>2.793</v>
      </c>
      <c r="F1363" s="13" t="n">
        <f aca="false">IFERROR(E1363*Eingaben!$B$15,0)</f>
        <v>2.5137</v>
      </c>
      <c r="G1363" s="13" t="n">
        <f aca="false">IFERROR(IF(Kalender!A265="",0,J1362*(1-Eingaben!$B$20)),0)</f>
        <v>0.7390278</v>
      </c>
      <c r="H1363" s="13" t="n">
        <f aca="false">MIN(G1363,D1363)</f>
        <v>0.7390278</v>
      </c>
      <c r="I1363" s="13" t="n">
        <f aca="false">IFERROR(MIN(F1363*Eingaben!$B$19,MAX(0,D1363-H1363)),0)</f>
        <v>1.75959</v>
      </c>
      <c r="J1363" s="13" t="n">
        <f aca="false">IFERROR(MIN(Eingaben!$B$18,MAX(0,F1363-I1363)),0)</f>
        <v>0.75411</v>
      </c>
      <c r="K1363" s="13" t="n">
        <f aca="false">H1363+I1363</f>
        <v>2.4986178</v>
      </c>
      <c r="L1363" s="13" t="n">
        <f aca="false">MAX(0,D1363-K1363)</f>
        <v>2.4413822</v>
      </c>
      <c r="M1363" s="13" t="n">
        <f aca="false">MAX(0,F1363-I1363-J1363)</f>
        <v>0</v>
      </c>
      <c r="N1363" s="13" t="n">
        <f aca="false">IF(Kalender!A265="",0,J1362-H1363)</f>
        <v>0.0150822</v>
      </c>
    </row>
    <row r="1364" customFormat="false" ht="16.4" hidden="false" customHeight="false" outlineLevel="0" collapsed="false">
      <c r="A1364" s="13" t="str">
        <f aca="false">""</f>
        <v/>
      </c>
      <c r="B1364" s="13" t="n">
        <f aca="false">262</f>
        <v>262</v>
      </c>
      <c r="C1364" s="13" t="n">
        <f aca="false">IF(Szenarien!$H$14="OK",(IFERROR(SUMIF(Nutzungsprofile!$B$6:$B$11,"Schulbetrieb",Nutzungsprofile!$G$6:$G$11)*Kalender!C266/SUM(Kalender!$C$5:$C$370),0)+IFERROR(SUMIF(Nutzungsprofile!$B$6:$B$11,"Halle",Nutzungsprofile!$G$6:$G$11)*Kalender!D266/SUM(Kalender!$D$5:$D$370),0)+IFERROR(SUMIF(Nutzungsprofile!$B$6:$B$11,"Individuell",Nutzungsprofile!$G$6:$G$11)*Kalender!E266/SUM(Kalender!$E$5:$E$370),0))*Szenarien!$E$14,0)</f>
        <v>2.04</v>
      </c>
      <c r="D1364" s="13" t="n">
        <f aca="false">IF(Szenarien!$H$14="OK",(IFERROR(SUMIF(Nutzungsprofile!$B$17:$B$22,"Schulbetrieb",Nutzungsprofile!$G$17:$G$22)*Kalender!C266/SUM(Kalender!$C$5:$C$370),0)+IFERROR(SUMIF(Nutzungsprofile!$B$17:$B$22,"Halle",Nutzungsprofile!$G$17:$G$22)*Kalender!D266/SUM(Kalender!$D$5:$D$370),0)+IFERROR(SUMIF(Nutzungsprofile!$B$17:$B$22,"Individuell",Nutzungsprofile!$G$17:$G$22)*Kalender!E266/SUM(Kalender!$E$5:$E$370),0))*Szenarien!$D$14,0)</f>
        <v>0.89</v>
      </c>
      <c r="E1364" s="13" t="n">
        <f aca="false">IFERROR(MIN(C1364,Eingaben!$B$17)*Eingaben!$B$16,0)</f>
        <v>1.938</v>
      </c>
      <c r="F1364" s="13" t="n">
        <f aca="false">IFERROR(E1364*Eingaben!$B$15,0)</f>
        <v>1.7442</v>
      </c>
      <c r="G1364" s="13" t="n">
        <f aca="false">IFERROR(IF(Kalender!A266="",0,J1363*(1-Eingaben!$B$20)),0)</f>
        <v>0.7390278</v>
      </c>
      <c r="H1364" s="13" t="n">
        <f aca="false">MIN(G1364,D1364)</f>
        <v>0.7390278</v>
      </c>
      <c r="I1364" s="13" t="n">
        <f aca="false">IFERROR(MIN(F1364*Eingaben!$B$19,MAX(0,D1364-H1364)),0)</f>
        <v>0.1509722</v>
      </c>
      <c r="J1364" s="13" t="n">
        <f aca="false">IFERROR(MIN(Eingaben!$B$18,MAX(0,F1364-I1364)),0)</f>
        <v>1.5932278</v>
      </c>
      <c r="K1364" s="13" t="n">
        <f aca="false">H1364+I1364</f>
        <v>0.89</v>
      </c>
      <c r="L1364" s="13" t="n">
        <f aca="false">MAX(0,D1364-K1364)</f>
        <v>0</v>
      </c>
      <c r="M1364" s="13" t="n">
        <f aca="false">MAX(0,F1364-I1364-J1364)</f>
        <v>0</v>
      </c>
      <c r="N1364" s="13" t="n">
        <f aca="false">IF(Kalender!A266="",0,J1363-H1364)</f>
        <v>0.0150822</v>
      </c>
    </row>
    <row r="1365" customFormat="false" ht="16.4" hidden="false" customHeight="false" outlineLevel="0" collapsed="false">
      <c r="A1365" s="13" t="str">
        <f aca="false">""</f>
        <v/>
      </c>
      <c r="B1365" s="13" t="n">
        <f aca="false">263</f>
        <v>263</v>
      </c>
      <c r="C1365" s="13" t="n">
        <f aca="false">IF(Szenarien!$H$14="OK",(IFERROR(SUMIF(Nutzungsprofile!$B$6:$B$11,"Schulbetrieb",Nutzungsprofile!$G$6:$G$11)*Kalender!C267/SUM(Kalender!$C$5:$C$370),0)+IFERROR(SUMIF(Nutzungsprofile!$B$6:$B$11,"Halle",Nutzungsprofile!$G$6:$G$11)*Kalender!D267/SUM(Kalender!$D$5:$D$370),0)+IFERROR(SUMIF(Nutzungsprofile!$B$6:$B$11,"Individuell",Nutzungsprofile!$G$6:$G$11)*Kalender!E267/SUM(Kalender!$E$5:$E$370),0))*Szenarien!$E$14,0)</f>
        <v>2.04</v>
      </c>
      <c r="D1365" s="13" t="n">
        <f aca="false">IF(Szenarien!$H$14="OK",(IFERROR(SUMIF(Nutzungsprofile!$B$17:$B$22,"Schulbetrieb",Nutzungsprofile!$G$17:$G$22)*Kalender!C267/SUM(Kalender!$C$5:$C$370),0)+IFERROR(SUMIF(Nutzungsprofile!$B$17:$B$22,"Halle",Nutzungsprofile!$G$17:$G$22)*Kalender!D267/SUM(Kalender!$D$5:$D$370),0)+IFERROR(SUMIF(Nutzungsprofile!$B$17:$B$22,"Individuell",Nutzungsprofile!$G$17:$G$22)*Kalender!E267/SUM(Kalender!$E$5:$E$370),0))*Szenarien!$D$14,0)</f>
        <v>0.89</v>
      </c>
      <c r="E1365" s="13" t="n">
        <f aca="false">IFERROR(MIN(C1365,Eingaben!$B$17)*Eingaben!$B$16,0)</f>
        <v>1.938</v>
      </c>
      <c r="F1365" s="13" t="n">
        <f aca="false">IFERROR(E1365*Eingaben!$B$15,0)</f>
        <v>1.7442</v>
      </c>
      <c r="G1365" s="13" t="n">
        <f aca="false">IFERROR(IF(Kalender!A267="",0,J1364*(1-Eingaben!$B$20)),0)</f>
        <v>1.561363244</v>
      </c>
      <c r="H1365" s="13" t="n">
        <f aca="false">MIN(G1365,D1365)</f>
        <v>0.89</v>
      </c>
      <c r="I1365" s="13" t="n">
        <f aca="false">IFERROR(MIN(F1365*Eingaben!$B$19,MAX(0,D1365-H1365)),0)</f>
        <v>0</v>
      </c>
      <c r="J1365" s="13" t="n">
        <f aca="false">IFERROR(MIN(Eingaben!$B$18,MAX(0,F1365-I1365)),0)</f>
        <v>1.7442</v>
      </c>
      <c r="K1365" s="13" t="n">
        <f aca="false">H1365+I1365</f>
        <v>0.89</v>
      </c>
      <c r="L1365" s="13" t="n">
        <f aca="false">MAX(0,D1365-K1365)</f>
        <v>0</v>
      </c>
      <c r="M1365" s="13" t="n">
        <f aca="false">MAX(0,F1365-I1365-J1365)</f>
        <v>0</v>
      </c>
      <c r="N1365" s="13" t="n">
        <f aca="false">IF(Kalender!A267="",0,J1364-H1365)</f>
        <v>0.7032278</v>
      </c>
    </row>
    <row r="1366" customFormat="false" ht="16.4" hidden="false" customHeight="false" outlineLevel="0" collapsed="false">
      <c r="A1366" s="13" t="str">
        <f aca="false">""</f>
        <v/>
      </c>
      <c r="B1366" s="13" t="n">
        <f aca="false">264</f>
        <v>264</v>
      </c>
      <c r="C1366" s="13" t="n">
        <f aca="false">IF(Szenarien!$H$14="OK",(IFERROR(SUMIF(Nutzungsprofile!$B$6:$B$11,"Schulbetrieb",Nutzungsprofile!$G$6:$G$11)*Kalender!C268/SUM(Kalender!$C$5:$C$370),0)+IFERROR(SUMIF(Nutzungsprofile!$B$6:$B$11,"Halle",Nutzungsprofile!$G$6:$G$11)*Kalender!D268/SUM(Kalender!$D$5:$D$370),0)+IFERROR(SUMIF(Nutzungsprofile!$B$6:$B$11,"Individuell",Nutzungsprofile!$G$6:$G$11)*Kalender!E268/SUM(Kalender!$E$5:$E$370),0))*Szenarien!$E$14,0)</f>
        <v>2.94</v>
      </c>
      <c r="D1366" s="13" t="n">
        <f aca="false">IF(Szenarien!$H$14="OK",(IFERROR(SUMIF(Nutzungsprofile!$B$17:$B$22,"Schulbetrieb",Nutzungsprofile!$G$17:$G$22)*Kalender!C268/SUM(Kalender!$C$5:$C$370),0)+IFERROR(SUMIF(Nutzungsprofile!$B$17:$B$22,"Halle",Nutzungsprofile!$G$17:$G$22)*Kalender!D268/SUM(Kalender!$D$5:$D$370),0)+IFERROR(SUMIF(Nutzungsprofile!$B$17:$B$22,"Individuell",Nutzungsprofile!$G$17:$G$22)*Kalender!E268/SUM(Kalender!$E$5:$E$370),0))*Szenarien!$D$14,0)</f>
        <v>4.94</v>
      </c>
      <c r="E1366" s="13" t="n">
        <f aca="false">IFERROR(MIN(C1366,Eingaben!$B$17)*Eingaben!$B$16,0)</f>
        <v>2.793</v>
      </c>
      <c r="F1366" s="13" t="n">
        <f aca="false">IFERROR(E1366*Eingaben!$B$15,0)</f>
        <v>2.5137</v>
      </c>
      <c r="G1366" s="13" t="n">
        <f aca="false">IFERROR(IF(Kalender!A268="",0,J1365*(1-Eingaben!$B$20)),0)</f>
        <v>1.709316</v>
      </c>
      <c r="H1366" s="13" t="n">
        <f aca="false">MIN(G1366,D1366)</f>
        <v>1.709316</v>
      </c>
      <c r="I1366" s="13" t="n">
        <f aca="false">IFERROR(MIN(F1366*Eingaben!$B$19,MAX(0,D1366-H1366)),0)</f>
        <v>1.75959</v>
      </c>
      <c r="J1366" s="13" t="n">
        <f aca="false">IFERROR(MIN(Eingaben!$B$18,MAX(0,F1366-I1366)),0)</f>
        <v>0.75411</v>
      </c>
      <c r="K1366" s="13" t="n">
        <f aca="false">H1366+I1366</f>
        <v>3.468906</v>
      </c>
      <c r="L1366" s="13" t="n">
        <f aca="false">MAX(0,D1366-K1366)</f>
        <v>1.471094</v>
      </c>
      <c r="M1366" s="13" t="n">
        <f aca="false">MAX(0,F1366-I1366-J1366)</f>
        <v>0</v>
      </c>
      <c r="N1366" s="13" t="n">
        <f aca="false">IF(Kalender!A268="",0,J1365-H1366)</f>
        <v>0.0348840000000001</v>
      </c>
    </row>
    <row r="1367" customFormat="false" ht="16.4" hidden="false" customHeight="false" outlineLevel="0" collapsed="false">
      <c r="A1367" s="13" t="str">
        <f aca="false">""</f>
        <v/>
      </c>
      <c r="B1367" s="13" t="n">
        <f aca="false">265</f>
        <v>265</v>
      </c>
      <c r="C1367" s="13" t="n">
        <f aca="false">IF(Szenarien!$H$14="OK",(IFERROR(SUMIF(Nutzungsprofile!$B$6:$B$11,"Schulbetrieb",Nutzungsprofile!$G$6:$G$11)*Kalender!C269/SUM(Kalender!$C$5:$C$370),0)+IFERROR(SUMIF(Nutzungsprofile!$B$6:$B$11,"Halle",Nutzungsprofile!$G$6:$G$11)*Kalender!D269/SUM(Kalender!$D$5:$D$370),0)+IFERROR(SUMIF(Nutzungsprofile!$B$6:$B$11,"Individuell",Nutzungsprofile!$G$6:$G$11)*Kalender!E269/SUM(Kalender!$E$5:$E$370),0))*Szenarien!$E$14,0)</f>
        <v>2.94</v>
      </c>
      <c r="D1367" s="13" t="n">
        <f aca="false">IF(Szenarien!$H$14="OK",(IFERROR(SUMIF(Nutzungsprofile!$B$17:$B$22,"Schulbetrieb",Nutzungsprofile!$G$17:$G$22)*Kalender!C269/SUM(Kalender!$C$5:$C$370),0)+IFERROR(SUMIF(Nutzungsprofile!$B$17:$B$22,"Halle",Nutzungsprofile!$G$17:$G$22)*Kalender!D269/SUM(Kalender!$D$5:$D$370),0)+IFERROR(SUMIF(Nutzungsprofile!$B$17:$B$22,"Individuell",Nutzungsprofile!$G$17:$G$22)*Kalender!E269/SUM(Kalender!$E$5:$E$370),0))*Szenarien!$D$14,0)</f>
        <v>4.94</v>
      </c>
      <c r="E1367" s="13" t="n">
        <f aca="false">IFERROR(MIN(C1367,Eingaben!$B$17)*Eingaben!$B$16,0)</f>
        <v>2.793</v>
      </c>
      <c r="F1367" s="13" t="n">
        <f aca="false">IFERROR(E1367*Eingaben!$B$15,0)</f>
        <v>2.5137</v>
      </c>
      <c r="G1367" s="13" t="n">
        <f aca="false">IFERROR(IF(Kalender!A269="",0,J1366*(1-Eingaben!$B$20)),0)</f>
        <v>0.7390278</v>
      </c>
      <c r="H1367" s="13" t="n">
        <f aca="false">MIN(G1367,D1367)</f>
        <v>0.7390278</v>
      </c>
      <c r="I1367" s="13" t="n">
        <f aca="false">IFERROR(MIN(F1367*Eingaben!$B$19,MAX(0,D1367-H1367)),0)</f>
        <v>1.75959</v>
      </c>
      <c r="J1367" s="13" t="n">
        <f aca="false">IFERROR(MIN(Eingaben!$B$18,MAX(0,F1367-I1367)),0)</f>
        <v>0.75411</v>
      </c>
      <c r="K1367" s="13" t="n">
        <f aca="false">H1367+I1367</f>
        <v>2.4986178</v>
      </c>
      <c r="L1367" s="13" t="n">
        <f aca="false">MAX(0,D1367-K1367)</f>
        <v>2.4413822</v>
      </c>
      <c r="M1367" s="13" t="n">
        <f aca="false">MAX(0,F1367-I1367-J1367)</f>
        <v>0</v>
      </c>
      <c r="N1367" s="13" t="n">
        <f aca="false">IF(Kalender!A269="",0,J1366-H1367)</f>
        <v>0.0150822</v>
      </c>
    </row>
    <row r="1368" customFormat="false" ht="16.4" hidden="false" customHeight="false" outlineLevel="0" collapsed="false">
      <c r="A1368" s="13" t="str">
        <f aca="false">""</f>
        <v/>
      </c>
      <c r="B1368" s="13" t="n">
        <f aca="false">266</f>
        <v>266</v>
      </c>
      <c r="C1368" s="13" t="n">
        <f aca="false">IF(Szenarien!$H$14="OK",(IFERROR(SUMIF(Nutzungsprofile!$B$6:$B$11,"Schulbetrieb",Nutzungsprofile!$G$6:$G$11)*Kalender!C270/SUM(Kalender!$C$5:$C$370),0)+IFERROR(SUMIF(Nutzungsprofile!$B$6:$B$11,"Halle",Nutzungsprofile!$G$6:$G$11)*Kalender!D270/SUM(Kalender!$D$5:$D$370),0)+IFERROR(SUMIF(Nutzungsprofile!$B$6:$B$11,"Individuell",Nutzungsprofile!$G$6:$G$11)*Kalender!E270/SUM(Kalender!$E$5:$E$370),0))*Szenarien!$E$14,0)</f>
        <v>2.94</v>
      </c>
      <c r="D1368" s="13" t="n">
        <f aca="false">IF(Szenarien!$H$14="OK",(IFERROR(SUMIF(Nutzungsprofile!$B$17:$B$22,"Schulbetrieb",Nutzungsprofile!$G$17:$G$22)*Kalender!C270/SUM(Kalender!$C$5:$C$370),0)+IFERROR(SUMIF(Nutzungsprofile!$B$17:$B$22,"Halle",Nutzungsprofile!$G$17:$G$22)*Kalender!D270/SUM(Kalender!$D$5:$D$370),0)+IFERROR(SUMIF(Nutzungsprofile!$B$17:$B$22,"Individuell",Nutzungsprofile!$G$17:$G$22)*Kalender!E270/SUM(Kalender!$E$5:$E$370),0))*Szenarien!$D$14,0)</f>
        <v>4.94</v>
      </c>
      <c r="E1368" s="13" t="n">
        <f aca="false">IFERROR(MIN(C1368,Eingaben!$B$17)*Eingaben!$B$16,0)</f>
        <v>2.793</v>
      </c>
      <c r="F1368" s="13" t="n">
        <f aca="false">IFERROR(E1368*Eingaben!$B$15,0)</f>
        <v>2.5137</v>
      </c>
      <c r="G1368" s="13" t="n">
        <f aca="false">IFERROR(IF(Kalender!A270="",0,J1367*(1-Eingaben!$B$20)),0)</f>
        <v>0.7390278</v>
      </c>
      <c r="H1368" s="13" t="n">
        <f aca="false">MIN(G1368,D1368)</f>
        <v>0.7390278</v>
      </c>
      <c r="I1368" s="13" t="n">
        <f aca="false">IFERROR(MIN(F1368*Eingaben!$B$19,MAX(0,D1368-H1368)),0)</f>
        <v>1.75959</v>
      </c>
      <c r="J1368" s="13" t="n">
        <f aca="false">IFERROR(MIN(Eingaben!$B$18,MAX(0,F1368-I1368)),0)</f>
        <v>0.75411</v>
      </c>
      <c r="K1368" s="13" t="n">
        <f aca="false">H1368+I1368</f>
        <v>2.4986178</v>
      </c>
      <c r="L1368" s="13" t="n">
        <f aca="false">MAX(0,D1368-K1368)</f>
        <v>2.4413822</v>
      </c>
      <c r="M1368" s="13" t="n">
        <f aca="false">MAX(0,F1368-I1368-J1368)</f>
        <v>0</v>
      </c>
      <c r="N1368" s="13" t="n">
        <f aca="false">IF(Kalender!A270="",0,J1367-H1368)</f>
        <v>0.0150822</v>
      </c>
    </row>
    <row r="1369" customFormat="false" ht="16.4" hidden="false" customHeight="false" outlineLevel="0" collapsed="false">
      <c r="A1369" s="13" t="str">
        <f aca="false">""</f>
        <v/>
      </c>
      <c r="B1369" s="13" t="n">
        <f aca="false">267</f>
        <v>267</v>
      </c>
      <c r="C1369" s="13" t="n">
        <f aca="false">IF(Szenarien!$H$14="OK",(IFERROR(SUMIF(Nutzungsprofile!$B$6:$B$11,"Schulbetrieb",Nutzungsprofile!$G$6:$G$11)*Kalender!C271/SUM(Kalender!$C$5:$C$370),0)+IFERROR(SUMIF(Nutzungsprofile!$B$6:$B$11,"Halle",Nutzungsprofile!$G$6:$G$11)*Kalender!D271/SUM(Kalender!$D$5:$D$370),0)+IFERROR(SUMIF(Nutzungsprofile!$B$6:$B$11,"Individuell",Nutzungsprofile!$G$6:$G$11)*Kalender!E271/SUM(Kalender!$E$5:$E$370),0))*Szenarien!$E$14,0)</f>
        <v>2.94</v>
      </c>
      <c r="D1369" s="13" t="n">
        <f aca="false">IF(Szenarien!$H$14="OK",(IFERROR(SUMIF(Nutzungsprofile!$B$17:$B$22,"Schulbetrieb",Nutzungsprofile!$G$17:$G$22)*Kalender!C271/SUM(Kalender!$C$5:$C$370),0)+IFERROR(SUMIF(Nutzungsprofile!$B$17:$B$22,"Halle",Nutzungsprofile!$G$17:$G$22)*Kalender!D271/SUM(Kalender!$D$5:$D$370),0)+IFERROR(SUMIF(Nutzungsprofile!$B$17:$B$22,"Individuell",Nutzungsprofile!$G$17:$G$22)*Kalender!E271/SUM(Kalender!$E$5:$E$370),0))*Szenarien!$D$14,0)</f>
        <v>4.94</v>
      </c>
      <c r="E1369" s="13" t="n">
        <f aca="false">IFERROR(MIN(C1369,Eingaben!$B$17)*Eingaben!$B$16,0)</f>
        <v>2.793</v>
      </c>
      <c r="F1369" s="13" t="n">
        <f aca="false">IFERROR(E1369*Eingaben!$B$15,0)</f>
        <v>2.5137</v>
      </c>
      <c r="G1369" s="13" t="n">
        <f aca="false">IFERROR(IF(Kalender!A271="",0,J1368*(1-Eingaben!$B$20)),0)</f>
        <v>0.7390278</v>
      </c>
      <c r="H1369" s="13" t="n">
        <f aca="false">MIN(G1369,D1369)</f>
        <v>0.7390278</v>
      </c>
      <c r="I1369" s="13" t="n">
        <f aca="false">IFERROR(MIN(F1369*Eingaben!$B$19,MAX(0,D1369-H1369)),0)</f>
        <v>1.75959</v>
      </c>
      <c r="J1369" s="13" t="n">
        <f aca="false">IFERROR(MIN(Eingaben!$B$18,MAX(0,F1369-I1369)),0)</f>
        <v>0.75411</v>
      </c>
      <c r="K1369" s="13" t="n">
        <f aca="false">H1369+I1369</f>
        <v>2.4986178</v>
      </c>
      <c r="L1369" s="13" t="n">
        <f aca="false">MAX(0,D1369-K1369)</f>
        <v>2.4413822</v>
      </c>
      <c r="M1369" s="13" t="n">
        <f aca="false">MAX(0,F1369-I1369-J1369)</f>
        <v>0</v>
      </c>
      <c r="N1369" s="13" t="n">
        <f aca="false">IF(Kalender!A271="",0,J1368-H1369)</f>
        <v>0.0150822</v>
      </c>
    </row>
    <row r="1370" customFormat="false" ht="16.4" hidden="false" customHeight="false" outlineLevel="0" collapsed="false">
      <c r="A1370" s="13" t="str">
        <f aca="false">""</f>
        <v/>
      </c>
      <c r="B1370" s="13" t="n">
        <f aca="false">268</f>
        <v>268</v>
      </c>
      <c r="C1370" s="13" t="n">
        <f aca="false">IF(Szenarien!$H$14="OK",(IFERROR(SUMIF(Nutzungsprofile!$B$6:$B$11,"Schulbetrieb",Nutzungsprofile!$G$6:$G$11)*Kalender!C272/SUM(Kalender!$C$5:$C$370),0)+IFERROR(SUMIF(Nutzungsprofile!$B$6:$B$11,"Halle",Nutzungsprofile!$G$6:$G$11)*Kalender!D272/SUM(Kalender!$D$5:$D$370),0)+IFERROR(SUMIF(Nutzungsprofile!$B$6:$B$11,"Individuell",Nutzungsprofile!$G$6:$G$11)*Kalender!E272/SUM(Kalender!$E$5:$E$370),0))*Szenarien!$E$14,0)</f>
        <v>2.94</v>
      </c>
      <c r="D1370" s="13" t="n">
        <f aca="false">IF(Szenarien!$H$14="OK",(IFERROR(SUMIF(Nutzungsprofile!$B$17:$B$22,"Schulbetrieb",Nutzungsprofile!$G$17:$G$22)*Kalender!C272/SUM(Kalender!$C$5:$C$370),0)+IFERROR(SUMIF(Nutzungsprofile!$B$17:$B$22,"Halle",Nutzungsprofile!$G$17:$G$22)*Kalender!D272/SUM(Kalender!$D$5:$D$370),0)+IFERROR(SUMIF(Nutzungsprofile!$B$17:$B$22,"Individuell",Nutzungsprofile!$G$17:$G$22)*Kalender!E272/SUM(Kalender!$E$5:$E$370),0))*Szenarien!$D$14,0)</f>
        <v>4.94</v>
      </c>
      <c r="E1370" s="13" t="n">
        <f aca="false">IFERROR(MIN(C1370,Eingaben!$B$17)*Eingaben!$B$16,0)</f>
        <v>2.793</v>
      </c>
      <c r="F1370" s="13" t="n">
        <f aca="false">IFERROR(E1370*Eingaben!$B$15,0)</f>
        <v>2.5137</v>
      </c>
      <c r="G1370" s="13" t="n">
        <f aca="false">IFERROR(IF(Kalender!A272="",0,J1369*(1-Eingaben!$B$20)),0)</f>
        <v>0.7390278</v>
      </c>
      <c r="H1370" s="13" t="n">
        <f aca="false">MIN(G1370,D1370)</f>
        <v>0.7390278</v>
      </c>
      <c r="I1370" s="13" t="n">
        <f aca="false">IFERROR(MIN(F1370*Eingaben!$B$19,MAX(0,D1370-H1370)),0)</f>
        <v>1.75959</v>
      </c>
      <c r="J1370" s="13" t="n">
        <f aca="false">IFERROR(MIN(Eingaben!$B$18,MAX(0,F1370-I1370)),0)</f>
        <v>0.75411</v>
      </c>
      <c r="K1370" s="13" t="n">
        <f aca="false">H1370+I1370</f>
        <v>2.4986178</v>
      </c>
      <c r="L1370" s="13" t="n">
        <f aca="false">MAX(0,D1370-K1370)</f>
        <v>2.4413822</v>
      </c>
      <c r="M1370" s="13" t="n">
        <f aca="false">MAX(0,F1370-I1370-J1370)</f>
        <v>0</v>
      </c>
      <c r="N1370" s="13" t="n">
        <f aca="false">IF(Kalender!A272="",0,J1369-H1370)</f>
        <v>0.0150822</v>
      </c>
    </row>
    <row r="1371" customFormat="false" ht="16.4" hidden="false" customHeight="false" outlineLevel="0" collapsed="false">
      <c r="A1371" s="13" t="str">
        <f aca="false">""</f>
        <v/>
      </c>
      <c r="B1371" s="13" t="n">
        <f aca="false">269</f>
        <v>269</v>
      </c>
      <c r="C1371" s="13" t="n">
        <f aca="false">IF(Szenarien!$H$14="OK",(IFERROR(SUMIF(Nutzungsprofile!$B$6:$B$11,"Schulbetrieb",Nutzungsprofile!$G$6:$G$11)*Kalender!C273/SUM(Kalender!$C$5:$C$370),0)+IFERROR(SUMIF(Nutzungsprofile!$B$6:$B$11,"Halle",Nutzungsprofile!$G$6:$G$11)*Kalender!D273/SUM(Kalender!$D$5:$D$370),0)+IFERROR(SUMIF(Nutzungsprofile!$B$6:$B$11,"Individuell",Nutzungsprofile!$G$6:$G$11)*Kalender!E273/SUM(Kalender!$E$5:$E$370),0))*Szenarien!$E$14,0)</f>
        <v>2.04</v>
      </c>
      <c r="D1371" s="13" t="n">
        <f aca="false">IF(Szenarien!$H$14="OK",(IFERROR(SUMIF(Nutzungsprofile!$B$17:$B$22,"Schulbetrieb",Nutzungsprofile!$G$17:$G$22)*Kalender!C273/SUM(Kalender!$C$5:$C$370),0)+IFERROR(SUMIF(Nutzungsprofile!$B$17:$B$22,"Halle",Nutzungsprofile!$G$17:$G$22)*Kalender!D273/SUM(Kalender!$D$5:$D$370),0)+IFERROR(SUMIF(Nutzungsprofile!$B$17:$B$22,"Individuell",Nutzungsprofile!$G$17:$G$22)*Kalender!E273/SUM(Kalender!$E$5:$E$370),0))*Szenarien!$D$14,0)</f>
        <v>0.89</v>
      </c>
      <c r="E1371" s="13" t="n">
        <f aca="false">IFERROR(MIN(C1371,Eingaben!$B$17)*Eingaben!$B$16,0)</f>
        <v>1.938</v>
      </c>
      <c r="F1371" s="13" t="n">
        <f aca="false">IFERROR(E1371*Eingaben!$B$15,0)</f>
        <v>1.7442</v>
      </c>
      <c r="G1371" s="13" t="n">
        <f aca="false">IFERROR(IF(Kalender!A273="",0,J1370*(1-Eingaben!$B$20)),0)</f>
        <v>0.7390278</v>
      </c>
      <c r="H1371" s="13" t="n">
        <f aca="false">MIN(G1371,D1371)</f>
        <v>0.7390278</v>
      </c>
      <c r="I1371" s="13" t="n">
        <f aca="false">IFERROR(MIN(F1371*Eingaben!$B$19,MAX(0,D1371-H1371)),0)</f>
        <v>0.1509722</v>
      </c>
      <c r="J1371" s="13" t="n">
        <f aca="false">IFERROR(MIN(Eingaben!$B$18,MAX(0,F1371-I1371)),0)</f>
        <v>1.5932278</v>
      </c>
      <c r="K1371" s="13" t="n">
        <f aca="false">H1371+I1371</f>
        <v>0.89</v>
      </c>
      <c r="L1371" s="13" t="n">
        <f aca="false">MAX(0,D1371-K1371)</f>
        <v>0</v>
      </c>
      <c r="M1371" s="13" t="n">
        <f aca="false">MAX(0,F1371-I1371-J1371)</f>
        <v>0</v>
      </c>
      <c r="N1371" s="13" t="n">
        <f aca="false">IF(Kalender!A273="",0,J1370-H1371)</f>
        <v>0.0150822</v>
      </c>
    </row>
    <row r="1372" customFormat="false" ht="16.4" hidden="false" customHeight="false" outlineLevel="0" collapsed="false">
      <c r="A1372" s="13" t="str">
        <f aca="false">""</f>
        <v/>
      </c>
      <c r="B1372" s="13" t="n">
        <f aca="false">270</f>
        <v>270</v>
      </c>
      <c r="C1372" s="13" t="n">
        <f aca="false">IF(Szenarien!$H$14="OK",(IFERROR(SUMIF(Nutzungsprofile!$B$6:$B$11,"Schulbetrieb",Nutzungsprofile!$G$6:$G$11)*Kalender!C274/SUM(Kalender!$C$5:$C$370),0)+IFERROR(SUMIF(Nutzungsprofile!$B$6:$B$11,"Halle",Nutzungsprofile!$G$6:$G$11)*Kalender!D274/SUM(Kalender!$D$5:$D$370),0)+IFERROR(SUMIF(Nutzungsprofile!$B$6:$B$11,"Individuell",Nutzungsprofile!$G$6:$G$11)*Kalender!E274/SUM(Kalender!$E$5:$E$370),0))*Szenarien!$E$14,0)</f>
        <v>2.04</v>
      </c>
      <c r="D1372" s="13" t="n">
        <f aca="false">IF(Szenarien!$H$14="OK",(IFERROR(SUMIF(Nutzungsprofile!$B$17:$B$22,"Schulbetrieb",Nutzungsprofile!$G$17:$G$22)*Kalender!C274/SUM(Kalender!$C$5:$C$370),0)+IFERROR(SUMIF(Nutzungsprofile!$B$17:$B$22,"Halle",Nutzungsprofile!$G$17:$G$22)*Kalender!D274/SUM(Kalender!$D$5:$D$370),0)+IFERROR(SUMIF(Nutzungsprofile!$B$17:$B$22,"Individuell",Nutzungsprofile!$G$17:$G$22)*Kalender!E274/SUM(Kalender!$E$5:$E$370),0))*Szenarien!$D$14,0)</f>
        <v>0.89</v>
      </c>
      <c r="E1372" s="13" t="n">
        <f aca="false">IFERROR(MIN(C1372,Eingaben!$B$17)*Eingaben!$B$16,0)</f>
        <v>1.938</v>
      </c>
      <c r="F1372" s="13" t="n">
        <f aca="false">IFERROR(E1372*Eingaben!$B$15,0)</f>
        <v>1.7442</v>
      </c>
      <c r="G1372" s="13" t="n">
        <f aca="false">IFERROR(IF(Kalender!A274="",0,J1371*(1-Eingaben!$B$20)),0)</f>
        <v>1.561363244</v>
      </c>
      <c r="H1372" s="13" t="n">
        <f aca="false">MIN(G1372,D1372)</f>
        <v>0.89</v>
      </c>
      <c r="I1372" s="13" t="n">
        <f aca="false">IFERROR(MIN(F1372*Eingaben!$B$19,MAX(0,D1372-H1372)),0)</f>
        <v>0</v>
      </c>
      <c r="J1372" s="13" t="n">
        <f aca="false">IFERROR(MIN(Eingaben!$B$18,MAX(0,F1372-I1372)),0)</f>
        <v>1.7442</v>
      </c>
      <c r="K1372" s="13" t="n">
        <f aca="false">H1372+I1372</f>
        <v>0.89</v>
      </c>
      <c r="L1372" s="13" t="n">
        <f aca="false">MAX(0,D1372-K1372)</f>
        <v>0</v>
      </c>
      <c r="M1372" s="13" t="n">
        <f aca="false">MAX(0,F1372-I1372-J1372)</f>
        <v>0</v>
      </c>
      <c r="N1372" s="13" t="n">
        <f aca="false">IF(Kalender!A274="",0,J1371-H1372)</f>
        <v>0.7032278</v>
      </c>
    </row>
    <row r="1373" customFormat="false" ht="16.4" hidden="false" customHeight="false" outlineLevel="0" collapsed="false">
      <c r="A1373" s="13" t="str">
        <f aca="false">""</f>
        <v/>
      </c>
      <c r="B1373" s="13" t="n">
        <f aca="false">271</f>
        <v>271</v>
      </c>
      <c r="C1373" s="13" t="n">
        <f aca="false">IF(Szenarien!$H$14="OK",(IFERROR(SUMIF(Nutzungsprofile!$B$6:$B$11,"Schulbetrieb",Nutzungsprofile!$G$6:$G$11)*Kalender!C275/SUM(Kalender!$C$5:$C$370),0)+IFERROR(SUMIF(Nutzungsprofile!$B$6:$B$11,"Halle",Nutzungsprofile!$G$6:$G$11)*Kalender!D275/SUM(Kalender!$D$5:$D$370),0)+IFERROR(SUMIF(Nutzungsprofile!$B$6:$B$11,"Individuell",Nutzungsprofile!$G$6:$G$11)*Kalender!E275/SUM(Kalender!$E$5:$E$370),0))*Szenarien!$E$14,0)</f>
        <v>2.94</v>
      </c>
      <c r="D1373" s="13" t="n">
        <f aca="false">IF(Szenarien!$H$14="OK",(IFERROR(SUMIF(Nutzungsprofile!$B$17:$B$22,"Schulbetrieb",Nutzungsprofile!$G$17:$G$22)*Kalender!C275/SUM(Kalender!$C$5:$C$370),0)+IFERROR(SUMIF(Nutzungsprofile!$B$17:$B$22,"Halle",Nutzungsprofile!$G$17:$G$22)*Kalender!D275/SUM(Kalender!$D$5:$D$370),0)+IFERROR(SUMIF(Nutzungsprofile!$B$17:$B$22,"Individuell",Nutzungsprofile!$G$17:$G$22)*Kalender!E275/SUM(Kalender!$E$5:$E$370),0))*Szenarien!$D$14,0)</f>
        <v>4.94</v>
      </c>
      <c r="E1373" s="13" t="n">
        <f aca="false">IFERROR(MIN(C1373,Eingaben!$B$17)*Eingaben!$B$16,0)</f>
        <v>2.793</v>
      </c>
      <c r="F1373" s="13" t="n">
        <f aca="false">IFERROR(E1373*Eingaben!$B$15,0)</f>
        <v>2.5137</v>
      </c>
      <c r="G1373" s="13" t="n">
        <f aca="false">IFERROR(IF(Kalender!A275="",0,J1372*(1-Eingaben!$B$20)),0)</f>
        <v>1.709316</v>
      </c>
      <c r="H1373" s="13" t="n">
        <f aca="false">MIN(G1373,D1373)</f>
        <v>1.709316</v>
      </c>
      <c r="I1373" s="13" t="n">
        <f aca="false">IFERROR(MIN(F1373*Eingaben!$B$19,MAX(0,D1373-H1373)),0)</f>
        <v>1.75959</v>
      </c>
      <c r="J1373" s="13" t="n">
        <f aca="false">IFERROR(MIN(Eingaben!$B$18,MAX(0,F1373-I1373)),0)</f>
        <v>0.75411</v>
      </c>
      <c r="K1373" s="13" t="n">
        <f aca="false">H1373+I1373</f>
        <v>3.468906</v>
      </c>
      <c r="L1373" s="13" t="n">
        <f aca="false">MAX(0,D1373-K1373)</f>
        <v>1.471094</v>
      </c>
      <c r="M1373" s="13" t="n">
        <f aca="false">MAX(0,F1373-I1373-J1373)</f>
        <v>0</v>
      </c>
      <c r="N1373" s="13" t="n">
        <f aca="false">IF(Kalender!A275="",0,J1372-H1373)</f>
        <v>0.0348840000000001</v>
      </c>
    </row>
    <row r="1374" customFormat="false" ht="16.4" hidden="false" customHeight="false" outlineLevel="0" collapsed="false">
      <c r="A1374" s="13" t="str">
        <f aca="false">""</f>
        <v/>
      </c>
      <c r="B1374" s="13" t="n">
        <f aca="false">272</f>
        <v>272</v>
      </c>
      <c r="C1374" s="13" t="n">
        <f aca="false">IF(Szenarien!$H$14="OK",(IFERROR(SUMIF(Nutzungsprofile!$B$6:$B$11,"Schulbetrieb",Nutzungsprofile!$G$6:$G$11)*Kalender!C276/SUM(Kalender!$C$5:$C$370),0)+IFERROR(SUMIF(Nutzungsprofile!$B$6:$B$11,"Halle",Nutzungsprofile!$G$6:$G$11)*Kalender!D276/SUM(Kalender!$D$5:$D$370),0)+IFERROR(SUMIF(Nutzungsprofile!$B$6:$B$11,"Individuell",Nutzungsprofile!$G$6:$G$11)*Kalender!E276/SUM(Kalender!$E$5:$E$370),0))*Szenarien!$E$14,0)</f>
        <v>2.94</v>
      </c>
      <c r="D1374" s="13" t="n">
        <f aca="false">IF(Szenarien!$H$14="OK",(IFERROR(SUMIF(Nutzungsprofile!$B$17:$B$22,"Schulbetrieb",Nutzungsprofile!$G$17:$G$22)*Kalender!C276/SUM(Kalender!$C$5:$C$370),0)+IFERROR(SUMIF(Nutzungsprofile!$B$17:$B$22,"Halle",Nutzungsprofile!$G$17:$G$22)*Kalender!D276/SUM(Kalender!$D$5:$D$370),0)+IFERROR(SUMIF(Nutzungsprofile!$B$17:$B$22,"Individuell",Nutzungsprofile!$G$17:$G$22)*Kalender!E276/SUM(Kalender!$E$5:$E$370),0))*Szenarien!$D$14,0)</f>
        <v>4.94</v>
      </c>
      <c r="E1374" s="13" t="n">
        <f aca="false">IFERROR(MIN(C1374,Eingaben!$B$17)*Eingaben!$B$16,0)</f>
        <v>2.793</v>
      </c>
      <c r="F1374" s="13" t="n">
        <f aca="false">IFERROR(E1374*Eingaben!$B$15,0)</f>
        <v>2.5137</v>
      </c>
      <c r="G1374" s="13" t="n">
        <f aca="false">IFERROR(IF(Kalender!A276="",0,J1373*(1-Eingaben!$B$20)),0)</f>
        <v>0.7390278</v>
      </c>
      <c r="H1374" s="13" t="n">
        <f aca="false">MIN(G1374,D1374)</f>
        <v>0.7390278</v>
      </c>
      <c r="I1374" s="13" t="n">
        <f aca="false">IFERROR(MIN(F1374*Eingaben!$B$19,MAX(0,D1374-H1374)),0)</f>
        <v>1.75959</v>
      </c>
      <c r="J1374" s="13" t="n">
        <f aca="false">IFERROR(MIN(Eingaben!$B$18,MAX(0,F1374-I1374)),0)</f>
        <v>0.75411</v>
      </c>
      <c r="K1374" s="13" t="n">
        <f aca="false">H1374+I1374</f>
        <v>2.4986178</v>
      </c>
      <c r="L1374" s="13" t="n">
        <f aca="false">MAX(0,D1374-K1374)</f>
        <v>2.4413822</v>
      </c>
      <c r="M1374" s="13" t="n">
        <f aca="false">MAX(0,F1374-I1374-J1374)</f>
        <v>0</v>
      </c>
      <c r="N1374" s="13" t="n">
        <f aca="false">IF(Kalender!A276="",0,J1373-H1374)</f>
        <v>0.0150822</v>
      </c>
    </row>
    <row r="1375" customFormat="false" ht="16.4" hidden="false" customHeight="false" outlineLevel="0" collapsed="false">
      <c r="A1375" s="13" t="str">
        <f aca="false">""</f>
        <v/>
      </c>
      <c r="B1375" s="13" t="n">
        <f aca="false">273</f>
        <v>273</v>
      </c>
      <c r="C1375" s="13" t="n">
        <f aca="false">IF(Szenarien!$H$14="OK",(IFERROR(SUMIF(Nutzungsprofile!$B$6:$B$11,"Schulbetrieb",Nutzungsprofile!$G$6:$G$11)*Kalender!C277/SUM(Kalender!$C$5:$C$370),0)+IFERROR(SUMIF(Nutzungsprofile!$B$6:$B$11,"Halle",Nutzungsprofile!$G$6:$G$11)*Kalender!D277/SUM(Kalender!$D$5:$D$370),0)+IFERROR(SUMIF(Nutzungsprofile!$B$6:$B$11,"Individuell",Nutzungsprofile!$G$6:$G$11)*Kalender!E277/SUM(Kalender!$E$5:$E$370),0))*Szenarien!$E$14,0)</f>
        <v>2.94</v>
      </c>
      <c r="D1375" s="13" t="n">
        <f aca="false">IF(Szenarien!$H$14="OK",(IFERROR(SUMIF(Nutzungsprofile!$B$17:$B$22,"Schulbetrieb",Nutzungsprofile!$G$17:$G$22)*Kalender!C277/SUM(Kalender!$C$5:$C$370),0)+IFERROR(SUMIF(Nutzungsprofile!$B$17:$B$22,"Halle",Nutzungsprofile!$G$17:$G$22)*Kalender!D277/SUM(Kalender!$D$5:$D$370),0)+IFERROR(SUMIF(Nutzungsprofile!$B$17:$B$22,"Individuell",Nutzungsprofile!$G$17:$G$22)*Kalender!E277/SUM(Kalender!$E$5:$E$370),0))*Szenarien!$D$14,0)</f>
        <v>4.94</v>
      </c>
      <c r="E1375" s="13" t="n">
        <f aca="false">IFERROR(MIN(C1375,Eingaben!$B$17)*Eingaben!$B$16,0)</f>
        <v>2.793</v>
      </c>
      <c r="F1375" s="13" t="n">
        <f aca="false">IFERROR(E1375*Eingaben!$B$15,0)</f>
        <v>2.5137</v>
      </c>
      <c r="G1375" s="13" t="n">
        <f aca="false">IFERROR(IF(Kalender!A277="",0,J1374*(1-Eingaben!$B$20)),0)</f>
        <v>0.7390278</v>
      </c>
      <c r="H1375" s="13" t="n">
        <f aca="false">MIN(G1375,D1375)</f>
        <v>0.7390278</v>
      </c>
      <c r="I1375" s="13" t="n">
        <f aca="false">IFERROR(MIN(F1375*Eingaben!$B$19,MAX(0,D1375-H1375)),0)</f>
        <v>1.75959</v>
      </c>
      <c r="J1375" s="13" t="n">
        <f aca="false">IFERROR(MIN(Eingaben!$B$18,MAX(0,F1375-I1375)),0)</f>
        <v>0.75411</v>
      </c>
      <c r="K1375" s="13" t="n">
        <f aca="false">H1375+I1375</f>
        <v>2.4986178</v>
      </c>
      <c r="L1375" s="13" t="n">
        <f aca="false">MAX(0,D1375-K1375)</f>
        <v>2.4413822</v>
      </c>
      <c r="M1375" s="13" t="n">
        <f aca="false">MAX(0,F1375-I1375-J1375)</f>
        <v>0</v>
      </c>
      <c r="N1375" s="13" t="n">
        <f aca="false">IF(Kalender!A277="",0,J1374-H1375)</f>
        <v>0.0150822</v>
      </c>
    </row>
    <row r="1376" customFormat="false" ht="16.4" hidden="false" customHeight="false" outlineLevel="0" collapsed="false">
      <c r="A1376" s="13" t="str">
        <f aca="false">""</f>
        <v/>
      </c>
      <c r="B1376" s="13" t="n">
        <f aca="false">274</f>
        <v>274</v>
      </c>
      <c r="C1376" s="13" t="n">
        <f aca="false">IF(Szenarien!$H$14="OK",(IFERROR(SUMIF(Nutzungsprofile!$B$6:$B$11,"Schulbetrieb",Nutzungsprofile!$G$6:$G$11)*Kalender!C278/SUM(Kalender!$C$5:$C$370),0)+IFERROR(SUMIF(Nutzungsprofile!$B$6:$B$11,"Halle",Nutzungsprofile!$G$6:$G$11)*Kalender!D278/SUM(Kalender!$D$5:$D$370),0)+IFERROR(SUMIF(Nutzungsprofile!$B$6:$B$11,"Individuell",Nutzungsprofile!$G$6:$G$11)*Kalender!E278/SUM(Kalender!$E$5:$E$370),0))*Szenarien!$E$14,0)</f>
        <v>2.94</v>
      </c>
      <c r="D1376" s="13" t="n">
        <f aca="false">IF(Szenarien!$H$14="OK",(IFERROR(SUMIF(Nutzungsprofile!$B$17:$B$22,"Schulbetrieb",Nutzungsprofile!$G$17:$G$22)*Kalender!C278/SUM(Kalender!$C$5:$C$370),0)+IFERROR(SUMIF(Nutzungsprofile!$B$17:$B$22,"Halle",Nutzungsprofile!$G$17:$G$22)*Kalender!D278/SUM(Kalender!$D$5:$D$370),0)+IFERROR(SUMIF(Nutzungsprofile!$B$17:$B$22,"Individuell",Nutzungsprofile!$G$17:$G$22)*Kalender!E278/SUM(Kalender!$E$5:$E$370),0))*Szenarien!$D$14,0)</f>
        <v>4.94</v>
      </c>
      <c r="E1376" s="13" t="n">
        <f aca="false">IFERROR(MIN(C1376,Eingaben!$B$17)*Eingaben!$B$16,0)</f>
        <v>2.793</v>
      </c>
      <c r="F1376" s="13" t="n">
        <f aca="false">IFERROR(E1376*Eingaben!$B$15,0)</f>
        <v>2.5137</v>
      </c>
      <c r="G1376" s="13" t="n">
        <f aca="false">IFERROR(IF(Kalender!A278="",0,J1375*(1-Eingaben!$B$20)),0)</f>
        <v>0.7390278</v>
      </c>
      <c r="H1376" s="13" t="n">
        <f aca="false">MIN(G1376,D1376)</f>
        <v>0.7390278</v>
      </c>
      <c r="I1376" s="13" t="n">
        <f aca="false">IFERROR(MIN(F1376*Eingaben!$B$19,MAX(0,D1376-H1376)),0)</f>
        <v>1.75959</v>
      </c>
      <c r="J1376" s="13" t="n">
        <f aca="false">IFERROR(MIN(Eingaben!$B$18,MAX(0,F1376-I1376)),0)</f>
        <v>0.75411</v>
      </c>
      <c r="K1376" s="13" t="n">
        <f aca="false">H1376+I1376</f>
        <v>2.4986178</v>
      </c>
      <c r="L1376" s="13" t="n">
        <f aca="false">MAX(0,D1376-K1376)</f>
        <v>2.4413822</v>
      </c>
      <c r="M1376" s="13" t="n">
        <f aca="false">MAX(0,F1376-I1376-J1376)</f>
        <v>0</v>
      </c>
      <c r="N1376" s="13" t="n">
        <f aca="false">IF(Kalender!A278="",0,J1375-H1376)</f>
        <v>0.0150822</v>
      </c>
    </row>
    <row r="1377" customFormat="false" ht="16.4" hidden="false" customHeight="false" outlineLevel="0" collapsed="false">
      <c r="A1377" s="13" t="str">
        <f aca="false">""</f>
        <v/>
      </c>
      <c r="B1377" s="13" t="n">
        <f aca="false">275</f>
        <v>275</v>
      </c>
      <c r="C1377" s="13" t="n">
        <f aca="false">IF(Szenarien!$H$14="OK",(IFERROR(SUMIF(Nutzungsprofile!$B$6:$B$11,"Schulbetrieb",Nutzungsprofile!$G$6:$G$11)*Kalender!C279/SUM(Kalender!$C$5:$C$370),0)+IFERROR(SUMIF(Nutzungsprofile!$B$6:$B$11,"Halle",Nutzungsprofile!$G$6:$G$11)*Kalender!D279/SUM(Kalender!$D$5:$D$370),0)+IFERROR(SUMIF(Nutzungsprofile!$B$6:$B$11,"Individuell",Nutzungsprofile!$G$6:$G$11)*Kalender!E279/SUM(Kalender!$E$5:$E$370),0))*Szenarien!$E$14,0)</f>
        <v>2.94</v>
      </c>
      <c r="D1377" s="13" t="n">
        <f aca="false">IF(Szenarien!$H$14="OK",(IFERROR(SUMIF(Nutzungsprofile!$B$17:$B$22,"Schulbetrieb",Nutzungsprofile!$G$17:$G$22)*Kalender!C279/SUM(Kalender!$C$5:$C$370),0)+IFERROR(SUMIF(Nutzungsprofile!$B$17:$B$22,"Halle",Nutzungsprofile!$G$17:$G$22)*Kalender!D279/SUM(Kalender!$D$5:$D$370),0)+IFERROR(SUMIF(Nutzungsprofile!$B$17:$B$22,"Individuell",Nutzungsprofile!$G$17:$G$22)*Kalender!E279/SUM(Kalender!$E$5:$E$370),0))*Szenarien!$D$14,0)</f>
        <v>4.94</v>
      </c>
      <c r="E1377" s="13" t="n">
        <f aca="false">IFERROR(MIN(C1377,Eingaben!$B$17)*Eingaben!$B$16,0)</f>
        <v>2.793</v>
      </c>
      <c r="F1377" s="13" t="n">
        <f aca="false">IFERROR(E1377*Eingaben!$B$15,0)</f>
        <v>2.5137</v>
      </c>
      <c r="G1377" s="13" t="n">
        <f aca="false">IFERROR(IF(Kalender!A279="",0,J1376*(1-Eingaben!$B$20)),0)</f>
        <v>0.7390278</v>
      </c>
      <c r="H1377" s="13" t="n">
        <f aca="false">MIN(G1377,D1377)</f>
        <v>0.7390278</v>
      </c>
      <c r="I1377" s="13" t="n">
        <f aca="false">IFERROR(MIN(F1377*Eingaben!$B$19,MAX(0,D1377-H1377)),0)</f>
        <v>1.75959</v>
      </c>
      <c r="J1377" s="13" t="n">
        <f aca="false">IFERROR(MIN(Eingaben!$B$18,MAX(0,F1377-I1377)),0)</f>
        <v>0.75411</v>
      </c>
      <c r="K1377" s="13" t="n">
        <f aca="false">H1377+I1377</f>
        <v>2.4986178</v>
      </c>
      <c r="L1377" s="13" t="n">
        <f aca="false">MAX(0,D1377-K1377)</f>
        <v>2.4413822</v>
      </c>
      <c r="M1377" s="13" t="n">
        <f aca="false">MAX(0,F1377-I1377-J1377)</f>
        <v>0</v>
      </c>
      <c r="N1377" s="13" t="n">
        <f aca="false">IF(Kalender!A279="",0,J1376-H1377)</f>
        <v>0.0150822</v>
      </c>
    </row>
    <row r="1378" customFormat="false" ht="16.4" hidden="false" customHeight="false" outlineLevel="0" collapsed="false">
      <c r="A1378" s="13" t="str">
        <f aca="false">""</f>
        <v/>
      </c>
      <c r="B1378" s="13" t="n">
        <f aca="false">276</f>
        <v>276</v>
      </c>
      <c r="C1378" s="13" t="n">
        <f aca="false">IF(Szenarien!$H$14="OK",(IFERROR(SUMIF(Nutzungsprofile!$B$6:$B$11,"Schulbetrieb",Nutzungsprofile!$G$6:$G$11)*Kalender!C280/SUM(Kalender!$C$5:$C$370),0)+IFERROR(SUMIF(Nutzungsprofile!$B$6:$B$11,"Halle",Nutzungsprofile!$G$6:$G$11)*Kalender!D280/SUM(Kalender!$D$5:$D$370),0)+IFERROR(SUMIF(Nutzungsprofile!$B$6:$B$11,"Individuell",Nutzungsprofile!$G$6:$G$11)*Kalender!E280/SUM(Kalender!$E$5:$E$370),0))*Szenarien!$E$14,0)</f>
        <v>2.04</v>
      </c>
      <c r="D1378" s="13" t="n">
        <f aca="false">IF(Szenarien!$H$14="OK",(IFERROR(SUMIF(Nutzungsprofile!$B$17:$B$22,"Schulbetrieb",Nutzungsprofile!$G$17:$G$22)*Kalender!C280/SUM(Kalender!$C$5:$C$370),0)+IFERROR(SUMIF(Nutzungsprofile!$B$17:$B$22,"Halle",Nutzungsprofile!$G$17:$G$22)*Kalender!D280/SUM(Kalender!$D$5:$D$370),0)+IFERROR(SUMIF(Nutzungsprofile!$B$17:$B$22,"Individuell",Nutzungsprofile!$G$17:$G$22)*Kalender!E280/SUM(Kalender!$E$5:$E$370),0))*Szenarien!$D$14,0)</f>
        <v>0.89</v>
      </c>
      <c r="E1378" s="13" t="n">
        <f aca="false">IFERROR(MIN(C1378,Eingaben!$B$17)*Eingaben!$B$16,0)</f>
        <v>1.938</v>
      </c>
      <c r="F1378" s="13" t="n">
        <f aca="false">IFERROR(E1378*Eingaben!$B$15,0)</f>
        <v>1.7442</v>
      </c>
      <c r="G1378" s="13" t="n">
        <f aca="false">IFERROR(IF(Kalender!A280="",0,J1377*(1-Eingaben!$B$20)),0)</f>
        <v>0.7390278</v>
      </c>
      <c r="H1378" s="13" t="n">
        <f aca="false">MIN(G1378,D1378)</f>
        <v>0.7390278</v>
      </c>
      <c r="I1378" s="13" t="n">
        <f aca="false">IFERROR(MIN(F1378*Eingaben!$B$19,MAX(0,D1378-H1378)),0)</f>
        <v>0.1509722</v>
      </c>
      <c r="J1378" s="13" t="n">
        <f aca="false">IFERROR(MIN(Eingaben!$B$18,MAX(0,F1378-I1378)),0)</f>
        <v>1.5932278</v>
      </c>
      <c r="K1378" s="13" t="n">
        <f aca="false">H1378+I1378</f>
        <v>0.89</v>
      </c>
      <c r="L1378" s="13" t="n">
        <f aca="false">MAX(0,D1378-K1378)</f>
        <v>0</v>
      </c>
      <c r="M1378" s="13" t="n">
        <f aca="false">MAX(0,F1378-I1378-J1378)</f>
        <v>0</v>
      </c>
      <c r="N1378" s="13" t="n">
        <f aca="false">IF(Kalender!A280="",0,J1377-H1378)</f>
        <v>0.0150822</v>
      </c>
    </row>
    <row r="1379" customFormat="false" ht="16.4" hidden="false" customHeight="false" outlineLevel="0" collapsed="false">
      <c r="A1379" s="13" t="str">
        <f aca="false">""</f>
        <v/>
      </c>
      <c r="B1379" s="13" t="n">
        <f aca="false">277</f>
        <v>277</v>
      </c>
      <c r="C1379" s="13" t="n">
        <f aca="false">IF(Szenarien!$H$14="OK",(IFERROR(SUMIF(Nutzungsprofile!$B$6:$B$11,"Schulbetrieb",Nutzungsprofile!$G$6:$G$11)*Kalender!C281/SUM(Kalender!$C$5:$C$370),0)+IFERROR(SUMIF(Nutzungsprofile!$B$6:$B$11,"Halle",Nutzungsprofile!$G$6:$G$11)*Kalender!D281/SUM(Kalender!$D$5:$D$370),0)+IFERROR(SUMIF(Nutzungsprofile!$B$6:$B$11,"Individuell",Nutzungsprofile!$G$6:$G$11)*Kalender!E281/SUM(Kalender!$E$5:$E$370),0))*Szenarien!$E$14,0)</f>
        <v>2.04</v>
      </c>
      <c r="D1379" s="13" t="n">
        <f aca="false">IF(Szenarien!$H$14="OK",(IFERROR(SUMIF(Nutzungsprofile!$B$17:$B$22,"Schulbetrieb",Nutzungsprofile!$G$17:$G$22)*Kalender!C281/SUM(Kalender!$C$5:$C$370),0)+IFERROR(SUMIF(Nutzungsprofile!$B$17:$B$22,"Halle",Nutzungsprofile!$G$17:$G$22)*Kalender!D281/SUM(Kalender!$D$5:$D$370),0)+IFERROR(SUMIF(Nutzungsprofile!$B$17:$B$22,"Individuell",Nutzungsprofile!$G$17:$G$22)*Kalender!E281/SUM(Kalender!$E$5:$E$370),0))*Szenarien!$D$14,0)</f>
        <v>0.89</v>
      </c>
      <c r="E1379" s="13" t="n">
        <f aca="false">IFERROR(MIN(C1379,Eingaben!$B$17)*Eingaben!$B$16,0)</f>
        <v>1.938</v>
      </c>
      <c r="F1379" s="13" t="n">
        <f aca="false">IFERROR(E1379*Eingaben!$B$15,0)</f>
        <v>1.7442</v>
      </c>
      <c r="G1379" s="13" t="n">
        <f aca="false">IFERROR(IF(Kalender!A281="",0,J1378*(1-Eingaben!$B$20)),0)</f>
        <v>1.561363244</v>
      </c>
      <c r="H1379" s="13" t="n">
        <f aca="false">MIN(G1379,D1379)</f>
        <v>0.89</v>
      </c>
      <c r="I1379" s="13" t="n">
        <f aca="false">IFERROR(MIN(F1379*Eingaben!$B$19,MAX(0,D1379-H1379)),0)</f>
        <v>0</v>
      </c>
      <c r="J1379" s="13" t="n">
        <f aca="false">IFERROR(MIN(Eingaben!$B$18,MAX(0,F1379-I1379)),0)</f>
        <v>1.7442</v>
      </c>
      <c r="K1379" s="13" t="n">
        <f aca="false">H1379+I1379</f>
        <v>0.89</v>
      </c>
      <c r="L1379" s="13" t="n">
        <f aca="false">MAX(0,D1379-K1379)</f>
        <v>0</v>
      </c>
      <c r="M1379" s="13" t="n">
        <f aca="false">MAX(0,F1379-I1379-J1379)</f>
        <v>0</v>
      </c>
      <c r="N1379" s="13" t="n">
        <f aca="false">IF(Kalender!A281="",0,J1378-H1379)</f>
        <v>0.7032278</v>
      </c>
    </row>
    <row r="1380" customFormat="false" ht="16.4" hidden="false" customHeight="false" outlineLevel="0" collapsed="false">
      <c r="A1380" s="13" t="str">
        <f aca="false">""</f>
        <v/>
      </c>
      <c r="B1380" s="13" t="n">
        <f aca="false">278</f>
        <v>278</v>
      </c>
      <c r="C1380" s="13" t="n">
        <f aca="false">IF(Szenarien!$H$14="OK",(IFERROR(SUMIF(Nutzungsprofile!$B$6:$B$11,"Schulbetrieb",Nutzungsprofile!$G$6:$G$11)*Kalender!C282/SUM(Kalender!$C$5:$C$370),0)+IFERROR(SUMIF(Nutzungsprofile!$B$6:$B$11,"Halle",Nutzungsprofile!$G$6:$G$11)*Kalender!D282/SUM(Kalender!$D$5:$D$370),0)+IFERROR(SUMIF(Nutzungsprofile!$B$6:$B$11,"Individuell",Nutzungsprofile!$G$6:$G$11)*Kalender!E282/SUM(Kalender!$E$5:$E$370),0))*Szenarien!$E$14,0)</f>
        <v>2.94</v>
      </c>
      <c r="D1380" s="13" t="n">
        <f aca="false">IF(Szenarien!$H$14="OK",(IFERROR(SUMIF(Nutzungsprofile!$B$17:$B$22,"Schulbetrieb",Nutzungsprofile!$G$17:$G$22)*Kalender!C282/SUM(Kalender!$C$5:$C$370),0)+IFERROR(SUMIF(Nutzungsprofile!$B$17:$B$22,"Halle",Nutzungsprofile!$G$17:$G$22)*Kalender!D282/SUM(Kalender!$D$5:$D$370),0)+IFERROR(SUMIF(Nutzungsprofile!$B$17:$B$22,"Individuell",Nutzungsprofile!$G$17:$G$22)*Kalender!E282/SUM(Kalender!$E$5:$E$370),0))*Szenarien!$D$14,0)</f>
        <v>4.94</v>
      </c>
      <c r="E1380" s="13" t="n">
        <f aca="false">IFERROR(MIN(C1380,Eingaben!$B$17)*Eingaben!$B$16,0)</f>
        <v>2.793</v>
      </c>
      <c r="F1380" s="13" t="n">
        <f aca="false">IFERROR(E1380*Eingaben!$B$15,0)</f>
        <v>2.5137</v>
      </c>
      <c r="G1380" s="13" t="n">
        <f aca="false">IFERROR(IF(Kalender!A282="",0,J1379*(1-Eingaben!$B$20)),0)</f>
        <v>1.709316</v>
      </c>
      <c r="H1380" s="13" t="n">
        <f aca="false">MIN(G1380,D1380)</f>
        <v>1.709316</v>
      </c>
      <c r="I1380" s="13" t="n">
        <f aca="false">IFERROR(MIN(F1380*Eingaben!$B$19,MAX(0,D1380-H1380)),0)</f>
        <v>1.75959</v>
      </c>
      <c r="J1380" s="13" t="n">
        <f aca="false">IFERROR(MIN(Eingaben!$B$18,MAX(0,F1380-I1380)),0)</f>
        <v>0.75411</v>
      </c>
      <c r="K1380" s="13" t="n">
        <f aca="false">H1380+I1380</f>
        <v>3.468906</v>
      </c>
      <c r="L1380" s="13" t="n">
        <f aca="false">MAX(0,D1380-K1380)</f>
        <v>1.471094</v>
      </c>
      <c r="M1380" s="13" t="n">
        <f aca="false">MAX(0,F1380-I1380-J1380)</f>
        <v>0</v>
      </c>
      <c r="N1380" s="13" t="n">
        <f aca="false">IF(Kalender!A282="",0,J1379-H1380)</f>
        <v>0.0348840000000001</v>
      </c>
    </row>
    <row r="1381" customFormat="false" ht="16.4" hidden="false" customHeight="false" outlineLevel="0" collapsed="false">
      <c r="A1381" s="13" t="str">
        <f aca="false">""</f>
        <v/>
      </c>
      <c r="B1381" s="13" t="n">
        <f aca="false">279</f>
        <v>279</v>
      </c>
      <c r="C1381" s="13" t="n">
        <f aca="false">IF(Szenarien!$H$14="OK",(IFERROR(SUMIF(Nutzungsprofile!$B$6:$B$11,"Schulbetrieb",Nutzungsprofile!$G$6:$G$11)*Kalender!C283/SUM(Kalender!$C$5:$C$370),0)+IFERROR(SUMIF(Nutzungsprofile!$B$6:$B$11,"Halle",Nutzungsprofile!$G$6:$G$11)*Kalender!D283/SUM(Kalender!$D$5:$D$370),0)+IFERROR(SUMIF(Nutzungsprofile!$B$6:$B$11,"Individuell",Nutzungsprofile!$G$6:$G$11)*Kalender!E283/SUM(Kalender!$E$5:$E$370),0))*Szenarien!$E$14,0)</f>
        <v>2.94</v>
      </c>
      <c r="D1381" s="13" t="n">
        <f aca="false">IF(Szenarien!$H$14="OK",(IFERROR(SUMIF(Nutzungsprofile!$B$17:$B$22,"Schulbetrieb",Nutzungsprofile!$G$17:$G$22)*Kalender!C283/SUM(Kalender!$C$5:$C$370),0)+IFERROR(SUMIF(Nutzungsprofile!$B$17:$B$22,"Halle",Nutzungsprofile!$G$17:$G$22)*Kalender!D283/SUM(Kalender!$D$5:$D$370),0)+IFERROR(SUMIF(Nutzungsprofile!$B$17:$B$22,"Individuell",Nutzungsprofile!$G$17:$G$22)*Kalender!E283/SUM(Kalender!$E$5:$E$370),0))*Szenarien!$D$14,0)</f>
        <v>4.94</v>
      </c>
      <c r="E1381" s="13" t="n">
        <f aca="false">IFERROR(MIN(C1381,Eingaben!$B$17)*Eingaben!$B$16,0)</f>
        <v>2.793</v>
      </c>
      <c r="F1381" s="13" t="n">
        <f aca="false">IFERROR(E1381*Eingaben!$B$15,0)</f>
        <v>2.5137</v>
      </c>
      <c r="G1381" s="13" t="n">
        <f aca="false">IFERROR(IF(Kalender!A283="",0,J1380*(1-Eingaben!$B$20)),0)</f>
        <v>0.7390278</v>
      </c>
      <c r="H1381" s="13" t="n">
        <f aca="false">MIN(G1381,D1381)</f>
        <v>0.7390278</v>
      </c>
      <c r="I1381" s="13" t="n">
        <f aca="false">IFERROR(MIN(F1381*Eingaben!$B$19,MAX(0,D1381-H1381)),0)</f>
        <v>1.75959</v>
      </c>
      <c r="J1381" s="13" t="n">
        <f aca="false">IFERROR(MIN(Eingaben!$B$18,MAX(0,F1381-I1381)),0)</f>
        <v>0.75411</v>
      </c>
      <c r="K1381" s="13" t="n">
        <f aca="false">H1381+I1381</f>
        <v>2.4986178</v>
      </c>
      <c r="L1381" s="13" t="n">
        <f aca="false">MAX(0,D1381-K1381)</f>
        <v>2.4413822</v>
      </c>
      <c r="M1381" s="13" t="n">
        <f aca="false">MAX(0,F1381-I1381-J1381)</f>
        <v>0</v>
      </c>
      <c r="N1381" s="13" t="n">
        <f aca="false">IF(Kalender!A283="",0,J1380-H1381)</f>
        <v>0.0150822</v>
      </c>
    </row>
    <row r="1382" customFormat="false" ht="16.4" hidden="false" customHeight="false" outlineLevel="0" collapsed="false">
      <c r="A1382" s="13" t="str">
        <f aca="false">""</f>
        <v/>
      </c>
      <c r="B1382" s="13" t="n">
        <f aca="false">280</f>
        <v>280</v>
      </c>
      <c r="C1382" s="13" t="n">
        <f aca="false">IF(Szenarien!$H$14="OK",(IFERROR(SUMIF(Nutzungsprofile!$B$6:$B$11,"Schulbetrieb",Nutzungsprofile!$G$6:$G$11)*Kalender!C284/SUM(Kalender!$C$5:$C$370),0)+IFERROR(SUMIF(Nutzungsprofile!$B$6:$B$11,"Halle",Nutzungsprofile!$G$6:$G$11)*Kalender!D284/SUM(Kalender!$D$5:$D$370),0)+IFERROR(SUMIF(Nutzungsprofile!$B$6:$B$11,"Individuell",Nutzungsprofile!$G$6:$G$11)*Kalender!E284/SUM(Kalender!$E$5:$E$370),0))*Szenarien!$E$14,0)</f>
        <v>2.94</v>
      </c>
      <c r="D1382" s="13" t="n">
        <f aca="false">IF(Szenarien!$H$14="OK",(IFERROR(SUMIF(Nutzungsprofile!$B$17:$B$22,"Schulbetrieb",Nutzungsprofile!$G$17:$G$22)*Kalender!C284/SUM(Kalender!$C$5:$C$370),0)+IFERROR(SUMIF(Nutzungsprofile!$B$17:$B$22,"Halle",Nutzungsprofile!$G$17:$G$22)*Kalender!D284/SUM(Kalender!$D$5:$D$370),0)+IFERROR(SUMIF(Nutzungsprofile!$B$17:$B$22,"Individuell",Nutzungsprofile!$G$17:$G$22)*Kalender!E284/SUM(Kalender!$E$5:$E$370),0))*Szenarien!$D$14,0)</f>
        <v>4.94</v>
      </c>
      <c r="E1382" s="13" t="n">
        <f aca="false">IFERROR(MIN(C1382,Eingaben!$B$17)*Eingaben!$B$16,0)</f>
        <v>2.793</v>
      </c>
      <c r="F1382" s="13" t="n">
        <f aca="false">IFERROR(E1382*Eingaben!$B$15,0)</f>
        <v>2.5137</v>
      </c>
      <c r="G1382" s="13" t="n">
        <f aca="false">IFERROR(IF(Kalender!A284="",0,J1381*(1-Eingaben!$B$20)),0)</f>
        <v>0.7390278</v>
      </c>
      <c r="H1382" s="13" t="n">
        <f aca="false">MIN(G1382,D1382)</f>
        <v>0.7390278</v>
      </c>
      <c r="I1382" s="13" t="n">
        <f aca="false">IFERROR(MIN(F1382*Eingaben!$B$19,MAX(0,D1382-H1382)),0)</f>
        <v>1.75959</v>
      </c>
      <c r="J1382" s="13" t="n">
        <f aca="false">IFERROR(MIN(Eingaben!$B$18,MAX(0,F1382-I1382)),0)</f>
        <v>0.75411</v>
      </c>
      <c r="K1382" s="13" t="n">
        <f aca="false">H1382+I1382</f>
        <v>2.4986178</v>
      </c>
      <c r="L1382" s="13" t="n">
        <f aca="false">MAX(0,D1382-K1382)</f>
        <v>2.4413822</v>
      </c>
      <c r="M1382" s="13" t="n">
        <f aca="false">MAX(0,F1382-I1382-J1382)</f>
        <v>0</v>
      </c>
      <c r="N1382" s="13" t="n">
        <f aca="false">IF(Kalender!A284="",0,J1381-H1382)</f>
        <v>0.0150822</v>
      </c>
    </row>
    <row r="1383" customFormat="false" ht="16.4" hidden="false" customHeight="false" outlineLevel="0" collapsed="false">
      <c r="A1383" s="13" t="str">
        <f aca="false">""</f>
        <v/>
      </c>
      <c r="B1383" s="13" t="n">
        <f aca="false">281</f>
        <v>281</v>
      </c>
      <c r="C1383" s="13" t="n">
        <f aca="false">IF(Szenarien!$H$14="OK",(IFERROR(SUMIF(Nutzungsprofile!$B$6:$B$11,"Schulbetrieb",Nutzungsprofile!$G$6:$G$11)*Kalender!C285/SUM(Kalender!$C$5:$C$370),0)+IFERROR(SUMIF(Nutzungsprofile!$B$6:$B$11,"Halle",Nutzungsprofile!$G$6:$G$11)*Kalender!D285/SUM(Kalender!$D$5:$D$370),0)+IFERROR(SUMIF(Nutzungsprofile!$B$6:$B$11,"Individuell",Nutzungsprofile!$G$6:$G$11)*Kalender!E285/SUM(Kalender!$E$5:$E$370),0))*Szenarien!$E$14,0)</f>
        <v>0.9</v>
      </c>
      <c r="D1383" s="13" t="n">
        <f aca="false">IF(Szenarien!$H$14="OK",(IFERROR(SUMIF(Nutzungsprofile!$B$17:$B$22,"Schulbetrieb",Nutzungsprofile!$G$17:$G$22)*Kalender!C285/SUM(Kalender!$C$5:$C$370),0)+IFERROR(SUMIF(Nutzungsprofile!$B$17:$B$22,"Halle",Nutzungsprofile!$G$17:$G$22)*Kalender!D285/SUM(Kalender!$D$5:$D$370),0)+IFERROR(SUMIF(Nutzungsprofile!$B$17:$B$22,"Individuell",Nutzungsprofile!$G$17:$G$22)*Kalender!E285/SUM(Kalender!$E$5:$E$370),0))*Szenarien!$D$14,0)</f>
        <v>4.05</v>
      </c>
      <c r="E1383" s="13" t="n">
        <f aca="false">IFERROR(MIN(C1383,Eingaben!$B$17)*Eingaben!$B$16,0)</f>
        <v>0.855</v>
      </c>
      <c r="F1383" s="13" t="n">
        <f aca="false">IFERROR(E1383*Eingaben!$B$15,0)</f>
        <v>0.7695</v>
      </c>
      <c r="G1383" s="13" t="n">
        <f aca="false">IFERROR(IF(Kalender!A285="",0,J1382*(1-Eingaben!$B$20)),0)</f>
        <v>0.7390278</v>
      </c>
      <c r="H1383" s="13" t="n">
        <f aca="false">MIN(G1383,D1383)</f>
        <v>0.7390278</v>
      </c>
      <c r="I1383" s="13" t="n">
        <f aca="false">IFERROR(MIN(F1383*Eingaben!$B$19,MAX(0,D1383-H1383)),0)</f>
        <v>0.53865</v>
      </c>
      <c r="J1383" s="13" t="n">
        <f aca="false">IFERROR(MIN(Eingaben!$B$18,MAX(0,F1383-I1383)),0)</f>
        <v>0.23085</v>
      </c>
      <c r="K1383" s="13" t="n">
        <f aca="false">H1383+I1383</f>
        <v>1.2776778</v>
      </c>
      <c r="L1383" s="13" t="n">
        <f aca="false">MAX(0,D1383-K1383)</f>
        <v>2.7723222</v>
      </c>
      <c r="M1383" s="13" t="n">
        <f aca="false">MAX(0,F1383-I1383-J1383)</f>
        <v>0</v>
      </c>
      <c r="N1383" s="13" t="n">
        <f aca="false">IF(Kalender!A285="",0,J1382-H1383)</f>
        <v>0.0150822</v>
      </c>
    </row>
    <row r="1384" customFormat="false" ht="16.4" hidden="false" customHeight="false" outlineLevel="0" collapsed="false">
      <c r="A1384" s="13" t="str">
        <f aca="false">""</f>
        <v/>
      </c>
      <c r="B1384" s="13" t="n">
        <f aca="false">282</f>
        <v>282</v>
      </c>
      <c r="C1384" s="13" t="n">
        <f aca="false">IF(Szenarien!$H$14="OK",(IFERROR(SUMIF(Nutzungsprofile!$B$6:$B$11,"Schulbetrieb",Nutzungsprofile!$G$6:$G$11)*Kalender!C286/SUM(Kalender!$C$5:$C$370),0)+IFERROR(SUMIF(Nutzungsprofile!$B$6:$B$11,"Halle",Nutzungsprofile!$G$6:$G$11)*Kalender!D286/SUM(Kalender!$D$5:$D$370),0)+IFERROR(SUMIF(Nutzungsprofile!$B$6:$B$11,"Individuell",Nutzungsprofile!$G$6:$G$11)*Kalender!E286/SUM(Kalender!$E$5:$E$370),0))*Szenarien!$E$14,0)</f>
        <v>0.9</v>
      </c>
      <c r="D1384" s="13" t="n">
        <f aca="false">IF(Szenarien!$H$14="OK",(IFERROR(SUMIF(Nutzungsprofile!$B$17:$B$22,"Schulbetrieb",Nutzungsprofile!$G$17:$G$22)*Kalender!C286/SUM(Kalender!$C$5:$C$370),0)+IFERROR(SUMIF(Nutzungsprofile!$B$17:$B$22,"Halle",Nutzungsprofile!$G$17:$G$22)*Kalender!D286/SUM(Kalender!$D$5:$D$370),0)+IFERROR(SUMIF(Nutzungsprofile!$B$17:$B$22,"Individuell",Nutzungsprofile!$G$17:$G$22)*Kalender!E286/SUM(Kalender!$E$5:$E$370),0))*Szenarien!$D$14,0)</f>
        <v>4.05</v>
      </c>
      <c r="E1384" s="13" t="n">
        <f aca="false">IFERROR(MIN(C1384,Eingaben!$B$17)*Eingaben!$B$16,0)</f>
        <v>0.855</v>
      </c>
      <c r="F1384" s="13" t="n">
        <f aca="false">IFERROR(E1384*Eingaben!$B$15,0)</f>
        <v>0.7695</v>
      </c>
      <c r="G1384" s="13" t="n">
        <f aca="false">IFERROR(IF(Kalender!A286="",0,J1383*(1-Eingaben!$B$20)),0)</f>
        <v>0.226233</v>
      </c>
      <c r="H1384" s="13" t="n">
        <f aca="false">MIN(G1384,D1384)</f>
        <v>0.226233</v>
      </c>
      <c r="I1384" s="13" t="n">
        <f aca="false">IFERROR(MIN(F1384*Eingaben!$B$19,MAX(0,D1384-H1384)),0)</f>
        <v>0.53865</v>
      </c>
      <c r="J1384" s="13" t="n">
        <f aca="false">IFERROR(MIN(Eingaben!$B$18,MAX(0,F1384-I1384)),0)</f>
        <v>0.23085</v>
      </c>
      <c r="K1384" s="13" t="n">
        <f aca="false">H1384+I1384</f>
        <v>0.764883</v>
      </c>
      <c r="L1384" s="13" t="n">
        <f aca="false">MAX(0,D1384-K1384)</f>
        <v>3.285117</v>
      </c>
      <c r="M1384" s="13" t="n">
        <f aca="false">MAX(0,F1384-I1384-J1384)</f>
        <v>0</v>
      </c>
      <c r="N1384" s="13" t="n">
        <f aca="false">IF(Kalender!A286="",0,J1383-H1384)</f>
        <v>0.00461700000000001</v>
      </c>
    </row>
    <row r="1385" customFormat="false" ht="16.4" hidden="false" customHeight="false" outlineLevel="0" collapsed="false">
      <c r="A1385" s="13" t="str">
        <f aca="false">""</f>
        <v/>
      </c>
      <c r="B1385" s="13" t="n">
        <f aca="false">283</f>
        <v>283</v>
      </c>
      <c r="C1385" s="13" t="n">
        <f aca="false">IF(Szenarien!$H$14="OK",(IFERROR(SUMIF(Nutzungsprofile!$B$6:$B$11,"Schulbetrieb",Nutzungsprofile!$G$6:$G$11)*Kalender!C287/SUM(Kalender!$C$5:$C$370),0)+IFERROR(SUMIF(Nutzungsprofile!$B$6:$B$11,"Halle",Nutzungsprofile!$G$6:$G$11)*Kalender!D287/SUM(Kalender!$D$5:$D$370),0)+IFERROR(SUMIF(Nutzungsprofile!$B$6:$B$11,"Individuell",Nutzungsprofile!$G$6:$G$11)*Kalender!E287/SUM(Kalender!$E$5:$E$370),0))*Szenarien!$E$14,0)</f>
        <v>0</v>
      </c>
      <c r="D1385" s="13" t="n">
        <f aca="false">IF(Szenarien!$H$14="OK",(IFERROR(SUMIF(Nutzungsprofile!$B$17:$B$22,"Schulbetrieb",Nutzungsprofile!$G$17:$G$22)*Kalender!C287/SUM(Kalender!$C$5:$C$370),0)+IFERROR(SUMIF(Nutzungsprofile!$B$17:$B$22,"Halle",Nutzungsprofile!$G$17:$G$22)*Kalender!D287/SUM(Kalender!$D$5:$D$370),0)+IFERROR(SUMIF(Nutzungsprofile!$B$17:$B$22,"Individuell",Nutzungsprofile!$G$17:$G$22)*Kalender!E287/SUM(Kalender!$E$5:$E$370),0))*Szenarien!$D$14,0)</f>
        <v>0</v>
      </c>
      <c r="E1385" s="13" t="n">
        <f aca="false">IFERROR(MIN(C1385,Eingaben!$B$17)*Eingaben!$B$16,0)</f>
        <v>0</v>
      </c>
      <c r="F1385" s="13" t="n">
        <f aca="false">IFERROR(E1385*Eingaben!$B$15,0)</f>
        <v>0</v>
      </c>
      <c r="G1385" s="13" t="n">
        <f aca="false">IFERROR(IF(Kalender!A287="",0,J1384*(1-Eingaben!$B$20)),0)</f>
        <v>0.226233</v>
      </c>
      <c r="H1385" s="13" t="n">
        <f aca="false">MIN(G1385,D1385)</f>
        <v>0</v>
      </c>
      <c r="I1385" s="13" t="n">
        <f aca="false">IFERROR(MIN(F1385*Eingaben!$B$19,MAX(0,D1385-H1385)),0)</f>
        <v>0</v>
      </c>
      <c r="J1385" s="13" t="n">
        <f aca="false">IFERROR(MIN(Eingaben!$B$18,MAX(0,F1385-I1385)),0)</f>
        <v>0</v>
      </c>
      <c r="K1385" s="13" t="n">
        <f aca="false">H1385+I1385</f>
        <v>0</v>
      </c>
      <c r="L1385" s="13" t="n">
        <f aca="false">MAX(0,D1385-K1385)</f>
        <v>0</v>
      </c>
      <c r="M1385" s="13" t="n">
        <f aca="false">MAX(0,F1385-I1385-J1385)</f>
        <v>0</v>
      </c>
      <c r="N1385" s="13" t="n">
        <f aca="false">IF(Kalender!A287="",0,J1384-H1385)</f>
        <v>0.23085</v>
      </c>
    </row>
    <row r="1386" customFormat="false" ht="16.4" hidden="false" customHeight="false" outlineLevel="0" collapsed="false">
      <c r="A1386" s="13" t="str">
        <f aca="false">""</f>
        <v/>
      </c>
      <c r="B1386" s="13" t="n">
        <f aca="false">284</f>
        <v>284</v>
      </c>
      <c r="C1386" s="13" t="n">
        <f aca="false">IF(Szenarien!$H$14="OK",(IFERROR(SUMIF(Nutzungsprofile!$B$6:$B$11,"Schulbetrieb",Nutzungsprofile!$G$6:$G$11)*Kalender!C288/SUM(Kalender!$C$5:$C$370),0)+IFERROR(SUMIF(Nutzungsprofile!$B$6:$B$11,"Halle",Nutzungsprofile!$G$6:$G$11)*Kalender!D288/SUM(Kalender!$D$5:$D$370),0)+IFERROR(SUMIF(Nutzungsprofile!$B$6:$B$11,"Individuell",Nutzungsprofile!$G$6:$G$11)*Kalender!E288/SUM(Kalender!$E$5:$E$370),0))*Szenarien!$E$14,0)</f>
        <v>0</v>
      </c>
      <c r="D1386" s="13" t="n">
        <f aca="false">IF(Szenarien!$H$14="OK",(IFERROR(SUMIF(Nutzungsprofile!$B$17:$B$22,"Schulbetrieb",Nutzungsprofile!$G$17:$G$22)*Kalender!C288/SUM(Kalender!$C$5:$C$370),0)+IFERROR(SUMIF(Nutzungsprofile!$B$17:$B$22,"Halle",Nutzungsprofile!$G$17:$G$22)*Kalender!D288/SUM(Kalender!$D$5:$D$370),0)+IFERROR(SUMIF(Nutzungsprofile!$B$17:$B$22,"Individuell",Nutzungsprofile!$G$17:$G$22)*Kalender!E288/SUM(Kalender!$E$5:$E$370),0))*Szenarien!$D$14,0)</f>
        <v>0</v>
      </c>
      <c r="E1386" s="13" t="n">
        <f aca="false">IFERROR(MIN(C1386,Eingaben!$B$17)*Eingaben!$B$16,0)</f>
        <v>0</v>
      </c>
      <c r="F1386" s="13" t="n">
        <f aca="false">IFERROR(E1386*Eingaben!$B$15,0)</f>
        <v>0</v>
      </c>
      <c r="G1386" s="13" t="n">
        <f aca="false">IFERROR(IF(Kalender!A288="",0,J1385*(1-Eingaben!$B$20)),0)</f>
        <v>0</v>
      </c>
      <c r="H1386" s="13" t="n">
        <f aca="false">MIN(G1386,D1386)</f>
        <v>0</v>
      </c>
      <c r="I1386" s="13" t="n">
        <f aca="false">IFERROR(MIN(F1386*Eingaben!$B$19,MAX(0,D1386-H1386)),0)</f>
        <v>0</v>
      </c>
      <c r="J1386" s="13" t="n">
        <f aca="false">IFERROR(MIN(Eingaben!$B$18,MAX(0,F1386-I1386)),0)</f>
        <v>0</v>
      </c>
      <c r="K1386" s="13" t="n">
        <f aca="false">H1386+I1386</f>
        <v>0</v>
      </c>
      <c r="L1386" s="13" t="n">
        <f aca="false">MAX(0,D1386-K1386)</f>
        <v>0</v>
      </c>
      <c r="M1386" s="13" t="n">
        <f aca="false">MAX(0,F1386-I1386-J1386)</f>
        <v>0</v>
      </c>
      <c r="N1386" s="13" t="n">
        <f aca="false">IF(Kalender!A288="",0,J1385-H1386)</f>
        <v>0</v>
      </c>
    </row>
    <row r="1387" customFormat="false" ht="16.4" hidden="false" customHeight="false" outlineLevel="0" collapsed="false">
      <c r="A1387" s="13" t="str">
        <f aca="false">""</f>
        <v/>
      </c>
      <c r="B1387" s="13" t="n">
        <f aca="false">285</f>
        <v>285</v>
      </c>
      <c r="C1387" s="13" t="n">
        <f aca="false">IF(Szenarien!$H$14="OK",(IFERROR(SUMIF(Nutzungsprofile!$B$6:$B$11,"Schulbetrieb",Nutzungsprofile!$G$6:$G$11)*Kalender!C289/SUM(Kalender!$C$5:$C$370),0)+IFERROR(SUMIF(Nutzungsprofile!$B$6:$B$11,"Halle",Nutzungsprofile!$G$6:$G$11)*Kalender!D289/SUM(Kalender!$D$5:$D$370),0)+IFERROR(SUMIF(Nutzungsprofile!$B$6:$B$11,"Individuell",Nutzungsprofile!$G$6:$G$11)*Kalender!E289/SUM(Kalender!$E$5:$E$370),0))*Szenarien!$E$14,0)</f>
        <v>0.9</v>
      </c>
      <c r="D1387" s="13" t="n">
        <f aca="false">IF(Szenarien!$H$14="OK",(IFERROR(SUMIF(Nutzungsprofile!$B$17:$B$22,"Schulbetrieb",Nutzungsprofile!$G$17:$G$22)*Kalender!C289/SUM(Kalender!$C$5:$C$370),0)+IFERROR(SUMIF(Nutzungsprofile!$B$17:$B$22,"Halle",Nutzungsprofile!$G$17:$G$22)*Kalender!D289/SUM(Kalender!$D$5:$D$370),0)+IFERROR(SUMIF(Nutzungsprofile!$B$17:$B$22,"Individuell",Nutzungsprofile!$G$17:$G$22)*Kalender!E289/SUM(Kalender!$E$5:$E$370),0))*Szenarien!$D$14,0)</f>
        <v>4.05</v>
      </c>
      <c r="E1387" s="13" t="n">
        <f aca="false">IFERROR(MIN(C1387,Eingaben!$B$17)*Eingaben!$B$16,0)</f>
        <v>0.855</v>
      </c>
      <c r="F1387" s="13" t="n">
        <f aca="false">IFERROR(E1387*Eingaben!$B$15,0)</f>
        <v>0.7695</v>
      </c>
      <c r="G1387" s="13" t="n">
        <f aca="false">IFERROR(IF(Kalender!A289="",0,J1386*(1-Eingaben!$B$20)),0)</f>
        <v>0</v>
      </c>
      <c r="H1387" s="13" t="n">
        <f aca="false">MIN(G1387,D1387)</f>
        <v>0</v>
      </c>
      <c r="I1387" s="13" t="n">
        <f aca="false">IFERROR(MIN(F1387*Eingaben!$B$19,MAX(0,D1387-H1387)),0)</f>
        <v>0.53865</v>
      </c>
      <c r="J1387" s="13" t="n">
        <f aca="false">IFERROR(MIN(Eingaben!$B$18,MAX(0,F1387-I1387)),0)</f>
        <v>0.23085</v>
      </c>
      <c r="K1387" s="13" t="n">
        <f aca="false">H1387+I1387</f>
        <v>0.53865</v>
      </c>
      <c r="L1387" s="13" t="n">
        <f aca="false">MAX(0,D1387-K1387)</f>
        <v>3.51135</v>
      </c>
      <c r="M1387" s="13" t="n">
        <f aca="false">MAX(0,F1387-I1387-J1387)</f>
        <v>0</v>
      </c>
      <c r="N1387" s="13" t="n">
        <f aca="false">IF(Kalender!A289="",0,J1386-H1387)</f>
        <v>0</v>
      </c>
    </row>
    <row r="1388" customFormat="false" ht="16.4" hidden="false" customHeight="false" outlineLevel="0" collapsed="false">
      <c r="A1388" s="13" t="str">
        <f aca="false">""</f>
        <v/>
      </c>
      <c r="B1388" s="13" t="n">
        <f aca="false">286</f>
        <v>286</v>
      </c>
      <c r="C1388" s="13" t="n">
        <f aca="false">IF(Szenarien!$H$14="OK",(IFERROR(SUMIF(Nutzungsprofile!$B$6:$B$11,"Schulbetrieb",Nutzungsprofile!$G$6:$G$11)*Kalender!C290/SUM(Kalender!$C$5:$C$370),0)+IFERROR(SUMIF(Nutzungsprofile!$B$6:$B$11,"Halle",Nutzungsprofile!$G$6:$G$11)*Kalender!D290/SUM(Kalender!$D$5:$D$370),0)+IFERROR(SUMIF(Nutzungsprofile!$B$6:$B$11,"Individuell",Nutzungsprofile!$G$6:$G$11)*Kalender!E290/SUM(Kalender!$E$5:$E$370),0))*Szenarien!$E$14,0)</f>
        <v>0.9</v>
      </c>
      <c r="D1388" s="13" t="n">
        <f aca="false">IF(Szenarien!$H$14="OK",(IFERROR(SUMIF(Nutzungsprofile!$B$17:$B$22,"Schulbetrieb",Nutzungsprofile!$G$17:$G$22)*Kalender!C290/SUM(Kalender!$C$5:$C$370),0)+IFERROR(SUMIF(Nutzungsprofile!$B$17:$B$22,"Halle",Nutzungsprofile!$G$17:$G$22)*Kalender!D290/SUM(Kalender!$D$5:$D$370),0)+IFERROR(SUMIF(Nutzungsprofile!$B$17:$B$22,"Individuell",Nutzungsprofile!$G$17:$G$22)*Kalender!E290/SUM(Kalender!$E$5:$E$370),0))*Szenarien!$D$14,0)</f>
        <v>4.05</v>
      </c>
      <c r="E1388" s="13" t="n">
        <f aca="false">IFERROR(MIN(C1388,Eingaben!$B$17)*Eingaben!$B$16,0)</f>
        <v>0.855</v>
      </c>
      <c r="F1388" s="13" t="n">
        <f aca="false">IFERROR(E1388*Eingaben!$B$15,0)</f>
        <v>0.7695</v>
      </c>
      <c r="G1388" s="13" t="n">
        <f aca="false">IFERROR(IF(Kalender!A290="",0,J1387*(1-Eingaben!$B$20)),0)</f>
        <v>0.226233</v>
      </c>
      <c r="H1388" s="13" t="n">
        <f aca="false">MIN(G1388,D1388)</f>
        <v>0.226233</v>
      </c>
      <c r="I1388" s="13" t="n">
        <f aca="false">IFERROR(MIN(F1388*Eingaben!$B$19,MAX(0,D1388-H1388)),0)</f>
        <v>0.53865</v>
      </c>
      <c r="J1388" s="13" t="n">
        <f aca="false">IFERROR(MIN(Eingaben!$B$18,MAX(0,F1388-I1388)),0)</f>
        <v>0.23085</v>
      </c>
      <c r="K1388" s="13" t="n">
        <f aca="false">H1388+I1388</f>
        <v>0.764883</v>
      </c>
      <c r="L1388" s="13" t="n">
        <f aca="false">MAX(0,D1388-K1388)</f>
        <v>3.285117</v>
      </c>
      <c r="M1388" s="13" t="n">
        <f aca="false">MAX(0,F1388-I1388-J1388)</f>
        <v>0</v>
      </c>
      <c r="N1388" s="13" t="n">
        <f aca="false">IF(Kalender!A290="",0,J1387-H1388)</f>
        <v>0.00461700000000001</v>
      </c>
    </row>
    <row r="1389" customFormat="false" ht="16.4" hidden="false" customHeight="false" outlineLevel="0" collapsed="false">
      <c r="A1389" s="13" t="str">
        <f aca="false">""</f>
        <v/>
      </c>
      <c r="B1389" s="13" t="n">
        <f aca="false">287</f>
        <v>287</v>
      </c>
      <c r="C1389" s="13" t="n">
        <f aca="false">IF(Szenarien!$H$14="OK",(IFERROR(SUMIF(Nutzungsprofile!$B$6:$B$11,"Schulbetrieb",Nutzungsprofile!$G$6:$G$11)*Kalender!C291/SUM(Kalender!$C$5:$C$370),0)+IFERROR(SUMIF(Nutzungsprofile!$B$6:$B$11,"Halle",Nutzungsprofile!$G$6:$G$11)*Kalender!D291/SUM(Kalender!$D$5:$D$370),0)+IFERROR(SUMIF(Nutzungsprofile!$B$6:$B$11,"Individuell",Nutzungsprofile!$G$6:$G$11)*Kalender!E291/SUM(Kalender!$E$5:$E$370),0))*Szenarien!$E$14,0)</f>
        <v>0.9</v>
      </c>
      <c r="D1389" s="13" t="n">
        <f aca="false">IF(Szenarien!$H$14="OK",(IFERROR(SUMIF(Nutzungsprofile!$B$17:$B$22,"Schulbetrieb",Nutzungsprofile!$G$17:$G$22)*Kalender!C291/SUM(Kalender!$C$5:$C$370),0)+IFERROR(SUMIF(Nutzungsprofile!$B$17:$B$22,"Halle",Nutzungsprofile!$G$17:$G$22)*Kalender!D291/SUM(Kalender!$D$5:$D$370),0)+IFERROR(SUMIF(Nutzungsprofile!$B$17:$B$22,"Individuell",Nutzungsprofile!$G$17:$G$22)*Kalender!E291/SUM(Kalender!$E$5:$E$370),0))*Szenarien!$D$14,0)</f>
        <v>4.05</v>
      </c>
      <c r="E1389" s="13" t="n">
        <f aca="false">IFERROR(MIN(C1389,Eingaben!$B$17)*Eingaben!$B$16,0)</f>
        <v>0.855</v>
      </c>
      <c r="F1389" s="13" t="n">
        <f aca="false">IFERROR(E1389*Eingaben!$B$15,0)</f>
        <v>0.7695</v>
      </c>
      <c r="G1389" s="13" t="n">
        <f aca="false">IFERROR(IF(Kalender!A291="",0,J1388*(1-Eingaben!$B$20)),0)</f>
        <v>0.226233</v>
      </c>
      <c r="H1389" s="13" t="n">
        <f aca="false">MIN(G1389,D1389)</f>
        <v>0.226233</v>
      </c>
      <c r="I1389" s="13" t="n">
        <f aca="false">IFERROR(MIN(F1389*Eingaben!$B$19,MAX(0,D1389-H1389)),0)</f>
        <v>0.53865</v>
      </c>
      <c r="J1389" s="13" t="n">
        <f aca="false">IFERROR(MIN(Eingaben!$B$18,MAX(0,F1389-I1389)),0)</f>
        <v>0.23085</v>
      </c>
      <c r="K1389" s="13" t="n">
        <f aca="false">H1389+I1389</f>
        <v>0.764883</v>
      </c>
      <c r="L1389" s="13" t="n">
        <f aca="false">MAX(0,D1389-K1389)</f>
        <v>3.285117</v>
      </c>
      <c r="M1389" s="13" t="n">
        <f aca="false">MAX(0,F1389-I1389-J1389)</f>
        <v>0</v>
      </c>
      <c r="N1389" s="13" t="n">
        <f aca="false">IF(Kalender!A291="",0,J1388-H1389)</f>
        <v>0.00461700000000001</v>
      </c>
    </row>
    <row r="1390" customFormat="false" ht="16.4" hidden="false" customHeight="false" outlineLevel="0" collapsed="false">
      <c r="A1390" s="13" t="str">
        <f aca="false">""</f>
        <v/>
      </c>
      <c r="B1390" s="13" t="n">
        <f aca="false">288</f>
        <v>288</v>
      </c>
      <c r="C1390" s="13" t="n">
        <f aca="false">IF(Szenarien!$H$14="OK",(IFERROR(SUMIF(Nutzungsprofile!$B$6:$B$11,"Schulbetrieb",Nutzungsprofile!$G$6:$G$11)*Kalender!C292/SUM(Kalender!$C$5:$C$370),0)+IFERROR(SUMIF(Nutzungsprofile!$B$6:$B$11,"Halle",Nutzungsprofile!$G$6:$G$11)*Kalender!D292/SUM(Kalender!$D$5:$D$370),0)+IFERROR(SUMIF(Nutzungsprofile!$B$6:$B$11,"Individuell",Nutzungsprofile!$G$6:$G$11)*Kalender!E292/SUM(Kalender!$E$5:$E$370),0))*Szenarien!$E$14,0)</f>
        <v>0.9</v>
      </c>
      <c r="D1390" s="13" t="n">
        <f aca="false">IF(Szenarien!$H$14="OK",(IFERROR(SUMIF(Nutzungsprofile!$B$17:$B$22,"Schulbetrieb",Nutzungsprofile!$G$17:$G$22)*Kalender!C292/SUM(Kalender!$C$5:$C$370),0)+IFERROR(SUMIF(Nutzungsprofile!$B$17:$B$22,"Halle",Nutzungsprofile!$G$17:$G$22)*Kalender!D292/SUM(Kalender!$D$5:$D$370),0)+IFERROR(SUMIF(Nutzungsprofile!$B$17:$B$22,"Individuell",Nutzungsprofile!$G$17:$G$22)*Kalender!E292/SUM(Kalender!$E$5:$E$370),0))*Szenarien!$D$14,0)</f>
        <v>4.05</v>
      </c>
      <c r="E1390" s="13" t="n">
        <f aca="false">IFERROR(MIN(C1390,Eingaben!$B$17)*Eingaben!$B$16,0)</f>
        <v>0.855</v>
      </c>
      <c r="F1390" s="13" t="n">
        <f aca="false">IFERROR(E1390*Eingaben!$B$15,0)</f>
        <v>0.7695</v>
      </c>
      <c r="G1390" s="13" t="n">
        <f aca="false">IFERROR(IF(Kalender!A292="",0,J1389*(1-Eingaben!$B$20)),0)</f>
        <v>0.226233</v>
      </c>
      <c r="H1390" s="13" t="n">
        <f aca="false">MIN(G1390,D1390)</f>
        <v>0.226233</v>
      </c>
      <c r="I1390" s="13" t="n">
        <f aca="false">IFERROR(MIN(F1390*Eingaben!$B$19,MAX(0,D1390-H1390)),0)</f>
        <v>0.53865</v>
      </c>
      <c r="J1390" s="13" t="n">
        <f aca="false">IFERROR(MIN(Eingaben!$B$18,MAX(0,F1390-I1390)),0)</f>
        <v>0.23085</v>
      </c>
      <c r="K1390" s="13" t="n">
        <f aca="false">H1390+I1390</f>
        <v>0.764883</v>
      </c>
      <c r="L1390" s="13" t="n">
        <f aca="false">MAX(0,D1390-K1390)</f>
        <v>3.285117</v>
      </c>
      <c r="M1390" s="13" t="n">
        <f aca="false">MAX(0,F1390-I1390-J1390)</f>
        <v>0</v>
      </c>
      <c r="N1390" s="13" t="n">
        <f aca="false">IF(Kalender!A292="",0,J1389-H1390)</f>
        <v>0.00461700000000001</v>
      </c>
    </row>
    <row r="1391" customFormat="false" ht="16.4" hidden="false" customHeight="false" outlineLevel="0" collapsed="false">
      <c r="A1391" s="13" t="str">
        <f aca="false">""</f>
        <v/>
      </c>
      <c r="B1391" s="13" t="n">
        <f aca="false">289</f>
        <v>289</v>
      </c>
      <c r="C1391" s="13" t="n">
        <f aca="false">IF(Szenarien!$H$14="OK",(IFERROR(SUMIF(Nutzungsprofile!$B$6:$B$11,"Schulbetrieb",Nutzungsprofile!$G$6:$G$11)*Kalender!C293/SUM(Kalender!$C$5:$C$370),0)+IFERROR(SUMIF(Nutzungsprofile!$B$6:$B$11,"Halle",Nutzungsprofile!$G$6:$G$11)*Kalender!D293/SUM(Kalender!$D$5:$D$370),0)+IFERROR(SUMIF(Nutzungsprofile!$B$6:$B$11,"Individuell",Nutzungsprofile!$G$6:$G$11)*Kalender!E293/SUM(Kalender!$E$5:$E$370),0))*Szenarien!$E$14,0)</f>
        <v>0.9</v>
      </c>
      <c r="D1391" s="13" t="n">
        <f aca="false">IF(Szenarien!$H$14="OK",(IFERROR(SUMIF(Nutzungsprofile!$B$17:$B$22,"Schulbetrieb",Nutzungsprofile!$G$17:$G$22)*Kalender!C293/SUM(Kalender!$C$5:$C$370),0)+IFERROR(SUMIF(Nutzungsprofile!$B$17:$B$22,"Halle",Nutzungsprofile!$G$17:$G$22)*Kalender!D293/SUM(Kalender!$D$5:$D$370),0)+IFERROR(SUMIF(Nutzungsprofile!$B$17:$B$22,"Individuell",Nutzungsprofile!$G$17:$G$22)*Kalender!E293/SUM(Kalender!$E$5:$E$370),0))*Szenarien!$D$14,0)</f>
        <v>4.05</v>
      </c>
      <c r="E1391" s="13" t="n">
        <f aca="false">IFERROR(MIN(C1391,Eingaben!$B$17)*Eingaben!$B$16,0)</f>
        <v>0.855</v>
      </c>
      <c r="F1391" s="13" t="n">
        <f aca="false">IFERROR(E1391*Eingaben!$B$15,0)</f>
        <v>0.7695</v>
      </c>
      <c r="G1391" s="13" t="n">
        <f aca="false">IFERROR(IF(Kalender!A293="",0,J1390*(1-Eingaben!$B$20)),0)</f>
        <v>0.226233</v>
      </c>
      <c r="H1391" s="13" t="n">
        <f aca="false">MIN(G1391,D1391)</f>
        <v>0.226233</v>
      </c>
      <c r="I1391" s="13" t="n">
        <f aca="false">IFERROR(MIN(F1391*Eingaben!$B$19,MAX(0,D1391-H1391)),0)</f>
        <v>0.53865</v>
      </c>
      <c r="J1391" s="13" t="n">
        <f aca="false">IFERROR(MIN(Eingaben!$B$18,MAX(0,F1391-I1391)),0)</f>
        <v>0.23085</v>
      </c>
      <c r="K1391" s="13" t="n">
        <f aca="false">H1391+I1391</f>
        <v>0.764883</v>
      </c>
      <c r="L1391" s="13" t="n">
        <f aca="false">MAX(0,D1391-K1391)</f>
        <v>3.285117</v>
      </c>
      <c r="M1391" s="13" t="n">
        <f aca="false">MAX(0,F1391-I1391-J1391)</f>
        <v>0</v>
      </c>
      <c r="N1391" s="13" t="n">
        <f aca="false">IF(Kalender!A293="",0,J1390-H1391)</f>
        <v>0.00461700000000001</v>
      </c>
    </row>
    <row r="1392" customFormat="false" ht="16.4" hidden="false" customHeight="false" outlineLevel="0" collapsed="false">
      <c r="A1392" s="13" t="str">
        <f aca="false">""</f>
        <v/>
      </c>
      <c r="B1392" s="13" t="n">
        <f aca="false">290</f>
        <v>290</v>
      </c>
      <c r="C1392" s="13" t="n">
        <f aca="false">IF(Szenarien!$H$14="OK",(IFERROR(SUMIF(Nutzungsprofile!$B$6:$B$11,"Schulbetrieb",Nutzungsprofile!$G$6:$G$11)*Kalender!C294/SUM(Kalender!$C$5:$C$370),0)+IFERROR(SUMIF(Nutzungsprofile!$B$6:$B$11,"Halle",Nutzungsprofile!$G$6:$G$11)*Kalender!D294/SUM(Kalender!$D$5:$D$370),0)+IFERROR(SUMIF(Nutzungsprofile!$B$6:$B$11,"Individuell",Nutzungsprofile!$G$6:$G$11)*Kalender!E294/SUM(Kalender!$E$5:$E$370),0))*Szenarien!$E$14,0)</f>
        <v>0</v>
      </c>
      <c r="D1392" s="13" t="n">
        <f aca="false">IF(Szenarien!$H$14="OK",(IFERROR(SUMIF(Nutzungsprofile!$B$17:$B$22,"Schulbetrieb",Nutzungsprofile!$G$17:$G$22)*Kalender!C294/SUM(Kalender!$C$5:$C$370),0)+IFERROR(SUMIF(Nutzungsprofile!$B$17:$B$22,"Halle",Nutzungsprofile!$G$17:$G$22)*Kalender!D294/SUM(Kalender!$D$5:$D$370),0)+IFERROR(SUMIF(Nutzungsprofile!$B$17:$B$22,"Individuell",Nutzungsprofile!$G$17:$G$22)*Kalender!E294/SUM(Kalender!$E$5:$E$370),0))*Szenarien!$D$14,0)</f>
        <v>0</v>
      </c>
      <c r="E1392" s="13" t="n">
        <f aca="false">IFERROR(MIN(C1392,Eingaben!$B$17)*Eingaben!$B$16,0)</f>
        <v>0</v>
      </c>
      <c r="F1392" s="13" t="n">
        <f aca="false">IFERROR(E1392*Eingaben!$B$15,0)</f>
        <v>0</v>
      </c>
      <c r="G1392" s="13" t="n">
        <f aca="false">IFERROR(IF(Kalender!A294="",0,J1391*(1-Eingaben!$B$20)),0)</f>
        <v>0.226233</v>
      </c>
      <c r="H1392" s="13" t="n">
        <f aca="false">MIN(G1392,D1392)</f>
        <v>0</v>
      </c>
      <c r="I1392" s="13" t="n">
        <f aca="false">IFERROR(MIN(F1392*Eingaben!$B$19,MAX(0,D1392-H1392)),0)</f>
        <v>0</v>
      </c>
      <c r="J1392" s="13" t="n">
        <f aca="false">IFERROR(MIN(Eingaben!$B$18,MAX(0,F1392-I1392)),0)</f>
        <v>0</v>
      </c>
      <c r="K1392" s="13" t="n">
        <f aca="false">H1392+I1392</f>
        <v>0</v>
      </c>
      <c r="L1392" s="13" t="n">
        <f aca="false">MAX(0,D1392-K1392)</f>
        <v>0</v>
      </c>
      <c r="M1392" s="13" t="n">
        <f aca="false">MAX(0,F1392-I1392-J1392)</f>
        <v>0</v>
      </c>
      <c r="N1392" s="13" t="n">
        <f aca="false">IF(Kalender!A294="",0,J1391-H1392)</f>
        <v>0.23085</v>
      </c>
    </row>
    <row r="1393" customFormat="false" ht="16.4" hidden="false" customHeight="false" outlineLevel="0" collapsed="false">
      <c r="A1393" s="13" t="str">
        <f aca="false">""</f>
        <v/>
      </c>
      <c r="B1393" s="13" t="n">
        <f aca="false">291</f>
        <v>291</v>
      </c>
      <c r="C1393" s="13" t="n">
        <f aca="false">IF(Szenarien!$H$14="OK",(IFERROR(SUMIF(Nutzungsprofile!$B$6:$B$11,"Schulbetrieb",Nutzungsprofile!$G$6:$G$11)*Kalender!C295/SUM(Kalender!$C$5:$C$370),0)+IFERROR(SUMIF(Nutzungsprofile!$B$6:$B$11,"Halle",Nutzungsprofile!$G$6:$G$11)*Kalender!D295/SUM(Kalender!$D$5:$D$370),0)+IFERROR(SUMIF(Nutzungsprofile!$B$6:$B$11,"Individuell",Nutzungsprofile!$G$6:$G$11)*Kalender!E295/SUM(Kalender!$E$5:$E$370),0))*Szenarien!$E$14,0)</f>
        <v>0</v>
      </c>
      <c r="D1393" s="13" t="n">
        <f aca="false">IF(Szenarien!$H$14="OK",(IFERROR(SUMIF(Nutzungsprofile!$B$17:$B$22,"Schulbetrieb",Nutzungsprofile!$G$17:$G$22)*Kalender!C295/SUM(Kalender!$C$5:$C$370),0)+IFERROR(SUMIF(Nutzungsprofile!$B$17:$B$22,"Halle",Nutzungsprofile!$G$17:$G$22)*Kalender!D295/SUM(Kalender!$D$5:$D$370),0)+IFERROR(SUMIF(Nutzungsprofile!$B$17:$B$22,"Individuell",Nutzungsprofile!$G$17:$G$22)*Kalender!E295/SUM(Kalender!$E$5:$E$370),0))*Szenarien!$D$14,0)</f>
        <v>0</v>
      </c>
      <c r="E1393" s="13" t="n">
        <f aca="false">IFERROR(MIN(C1393,Eingaben!$B$17)*Eingaben!$B$16,0)</f>
        <v>0</v>
      </c>
      <c r="F1393" s="13" t="n">
        <f aca="false">IFERROR(E1393*Eingaben!$B$15,0)</f>
        <v>0</v>
      </c>
      <c r="G1393" s="13" t="n">
        <f aca="false">IFERROR(IF(Kalender!A295="",0,J1392*(1-Eingaben!$B$20)),0)</f>
        <v>0</v>
      </c>
      <c r="H1393" s="13" t="n">
        <f aca="false">MIN(G1393,D1393)</f>
        <v>0</v>
      </c>
      <c r="I1393" s="13" t="n">
        <f aca="false">IFERROR(MIN(F1393*Eingaben!$B$19,MAX(0,D1393-H1393)),0)</f>
        <v>0</v>
      </c>
      <c r="J1393" s="13" t="n">
        <f aca="false">IFERROR(MIN(Eingaben!$B$18,MAX(0,F1393-I1393)),0)</f>
        <v>0</v>
      </c>
      <c r="K1393" s="13" t="n">
        <f aca="false">H1393+I1393</f>
        <v>0</v>
      </c>
      <c r="L1393" s="13" t="n">
        <f aca="false">MAX(0,D1393-K1393)</f>
        <v>0</v>
      </c>
      <c r="M1393" s="13" t="n">
        <f aca="false">MAX(0,F1393-I1393-J1393)</f>
        <v>0</v>
      </c>
      <c r="N1393" s="13" t="n">
        <f aca="false">IF(Kalender!A295="",0,J1392-H1393)</f>
        <v>0</v>
      </c>
    </row>
    <row r="1394" customFormat="false" ht="16.4" hidden="false" customHeight="false" outlineLevel="0" collapsed="false">
      <c r="A1394" s="13" t="str">
        <f aca="false">""</f>
        <v/>
      </c>
      <c r="B1394" s="13" t="n">
        <f aca="false">292</f>
        <v>292</v>
      </c>
      <c r="C1394" s="13" t="n">
        <f aca="false">IF(Szenarien!$H$14="OK",(IFERROR(SUMIF(Nutzungsprofile!$B$6:$B$11,"Schulbetrieb",Nutzungsprofile!$G$6:$G$11)*Kalender!C296/SUM(Kalender!$C$5:$C$370),0)+IFERROR(SUMIF(Nutzungsprofile!$B$6:$B$11,"Halle",Nutzungsprofile!$G$6:$G$11)*Kalender!D296/SUM(Kalender!$D$5:$D$370),0)+IFERROR(SUMIF(Nutzungsprofile!$B$6:$B$11,"Individuell",Nutzungsprofile!$G$6:$G$11)*Kalender!E296/SUM(Kalender!$E$5:$E$370),0))*Szenarien!$E$14,0)</f>
        <v>0.9</v>
      </c>
      <c r="D1394" s="13" t="n">
        <f aca="false">IF(Szenarien!$H$14="OK",(IFERROR(SUMIF(Nutzungsprofile!$B$17:$B$22,"Schulbetrieb",Nutzungsprofile!$G$17:$G$22)*Kalender!C296/SUM(Kalender!$C$5:$C$370),0)+IFERROR(SUMIF(Nutzungsprofile!$B$17:$B$22,"Halle",Nutzungsprofile!$G$17:$G$22)*Kalender!D296/SUM(Kalender!$D$5:$D$370),0)+IFERROR(SUMIF(Nutzungsprofile!$B$17:$B$22,"Individuell",Nutzungsprofile!$G$17:$G$22)*Kalender!E296/SUM(Kalender!$E$5:$E$370),0))*Szenarien!$D$14,0)</f>
        <v>4.05</v>
      </c>
      <c r="E1394" s="13" t="n">
        <f aca="false">IFERROR(MIN(C1394,Eingaben!$B$17)*Eingaben!$B$16,0)</f>
        <v>0.855</v>
      </c>
      <c r="F1394" s="13" t="n">
        <f aca="false">IFERROR(E1394*Eingaben!$B$15,0)</f>
        <v>0.7695</v>
      </c>
      <c r="G1394" s="13" t="n">
        <f aca="false">IFERROR(IF(Kalender!A296="",0,J1393*(1-Eingaben!$B$20)),0)</f>
        <v>0</v>
      </c>
      <c r="H1394" s="13" t="n">
        <f aca="false">MIN(G1394,D1394)</f>
        <v>0</v>
      </c>
      <c r="I1394" s="13" t="n">
        <f aca="false">IFERROR(MIN(F1394*Eingaben!$B$19,MAX(0,D1394-H1394)),0)</f>
        <v>0.53865</v>
      </c>
      <c r="J1394" s="13" t="n">
        <f aca="false">IFERROR(MIN(Eingaben!$B$18,MAX(0,F1394-I1394)),0)</f>
        <v>0.23085</v>
      </c>
      <c r="K1394" s="13" t="n">
        <f aca="false">H1394+I1394</f>
        <v>0.53865</v>
      </c>
      <c r="L1394" s="13" t="n">
        <f aca="false">MAX(0,D1394-K1394)</f>
        <v>3.51135</v>
      </c>
      <c r="M1394" s="13" t="n">
        <f aca="false">MAX(0,F1394-I1394-J1394)</f>
        <v>0</v>
      </c>
      <c r="N1394" s="13" t="n">
        <f aca="false">IF(Kalender!A296="",0,J1393-H1394)</f>
        <v>0</v>
      </c>
    </row>
    <row r="1395" customFormat="false" ht="16.4" hidden="false" customHeight="false" outlineLevel="0" collapsed="false">
      <c r="A1395" s="13" t="str">
        <f aca="false">""</f>
        <v/>
      </c>
      <c r="B1395" s="13" t="n">
        <f aca="false">293</f>
        <v>293</v>
      </c>
      <c r="C1395" s="13" t="n">
        <f aca="false">IF(Szenarien!$H$14="OK",(IFERROR(SUMIF(Nutzungsprofile!$B$6:$B$11,"Schulbetrieb",Nutzungsprofile!$G$6:$G$11)*Kalender!C297/SUM(Kalender!$C$5:$C$370),0)+IFERROR(SUMIF(Nutzungsprofile!$B$6:$B$11,"Halle",Nutzungsprofile!$G$6:$G$11)*Kalender!D297/SUM(Kalender!$D$5:$D$370),0)+IFERROR(SUMIF(Nutzungsprofile!$B$6:$B$11,"Individuell",Nutzungsprofile!$G$6:$G$11)*Kalender!E297/SUM(Kalender!$E$5:$E$370),0))*Szenarien!$E$14,0)</f>
        <v>0.9</v>
      </c>
      <c r="D1395" s="13" t="n">
        <f aca="false">IF(Szenarien!$H$14="OK",(IFERROR(SUMIF(Nutzungsprofile!$B$17:$B$22,"Schulbetrieb",Nutzungsprofile!$G$17:$G$22)*Kalender!C297/SUM(Kalender!$C$5:$C$370),0)+IFERROR(SUMIF(Nutzungsprofile!$B$17:$B$22,"Halle",Nutzungsprofile!$G$17:$G$22)*Kalender!D297/SUM(Kalender!$D$5:$D$370),0)+IFERROR(SUMIF(Nutzungsprofile!$B$17:$B$22,"Individuell",Nutzungsprofile!$G$17:$G$22)*Kalender!E297/SUM(Kalender!$E$5:$E$370),0))*Szenarien!$D$14,0)</f>
        <v>4.05</v>
      </c>
      <c r="E1395" s="13" t="n">
        <f aca="false">IFERROR(MIN(C1395,Eingaben!$B$17)*Eingaben!$B$16,0)</f>
        <v>0.855</v>
      </c>
      <c r="F1395" s="13" t="n">
        <f aca="false">IFERROR(E1395*Eingaben!$B$15,0)</f>
        <v>0.7695</v>
      </c>
      <c r="G1395" s="13" t="n">
        <f aca="false">IFERROR(IF(Kalender!A297="",0,J1394*(1-Eingaben!$B$20)),0)</f>
        <v>0.226233</v>
      </c>
      <c r="H1395" s="13" t="n">
        <f aca="false">MIN(G1395,D1395)</f>
        <v>0.226233</v>
      </c>
      <c r="I1395" s="13" t="n">
        <f aca="false">IFERROR(MIN(F1395*Eingaben!$B$19,MAX(0,D1395-H1395)),0)</f>
        <v>0.53865</v>
      </c>
      <c r="J1395" s="13" t="n">
        <f aca="false">IFERROR(MIN(Eingaben!$B$18,MAX(0,F1395-I1395)),0)</f>
        <v>0.23085</v>
      </c>
      <c r="K1395" s="13" t="n">
        <f aca="false">H1395+I1395</f>
        <v>0.764883</v>
      </c>
      <c r="L1395" s="13" t="n">
        <f aca="false">MAX(0,D1395-K1395)</f>
        <v>3.285117</v>
      </c>
      <c r="M1395" s="13" t="n">
        <f aca="false">MAX(0,F1395-I1395-J1395)</f>
        <v>0</v>
      </c>
      <c r="N1395" s="13" t="n">
        <f aca="false">IF(Kalender!A297="",0,J1394-H1395)</f>
        <v>0.00461700000000001</v>
      </c>
    </row>
    <row r="1396" customFormat="false" ht="16.4" hidden="false" customHeight="false" outlineLevel="0" collapsed="false">
      <c r="A1396" s="13" t="str">
        <f aca="false">""</f>
        <v/>
      </c>
      <c r="B1396" s="13" t="n">
        <f aca="false">294</f>
        <v>294</v>
      </c>
      <c r="C1396" s="13" t="n">
        <f aca="false">IF(Szenarien!$H$14="OK",(IFERROR(SUMIF(Nutzungsprofile!$B$6:$B$11,"Schulbetrieb",Nutzungsprofile!$G$6:$G$11)*Kalender!C298/SUM(Kalender!$C$5:$C$370),0)+IFERROR(SUMIF(Nutzungsprofile!$B$6:$B$11,"Halle",Nutzungsprofile!$G$6:$G$11)*Kalender!D298/SUM(Kalender!$D$5:$D$370),0)+IFERROR(SUMIF(Nutzungsprofile!$B$6:$B$11,"Individuell",Nutzungsprofile!$G$6:$G$11)*Kalender!E298/SUM(Kalender!$E$5:$E$370),0))*Szenarien!$E$14,0)</f>
        <v>0.9</v>
      </c>
      <c r="D1396" s="13" t="n">
        <f aca="false">IF(Szenarien!$H$14="OK",(IFERROR(SUMIF(Nutzungsprofile!$B$17:$B$22,"Schulbetrieb",Nutzungsprofile!$G$17:$G$22)*Kalender!C298/SUM(Kalender!$C$5:$C$370),0)+IFERROR(SUMIF(Nutzungsprofile!$B$17:$B$22,"Halle",Nutzungsprofile!$G$17:$G$22)*Kalender!D298/SUM(Kalender!$D$5:$D$370),0)+IFERROR(SUMIF(Nutzungsprofile!$B$17:$B$22,"Individuell",Nutzungsprofile!$G$17:$G$22)*Kalender!E298/SUM(Kalender!$E$5:$E$370),0))*Szenarien!$D$14,0)</f>
        <v>4.05</v>
      </c>
      <c r="E1396" s="13" t="n">
        <f aca="false">IFERROR(MIN(C1396,Eingaben!$B$17)*Eingaben!$B$16,0)</f>
        <v>0.855</v>
      </c>
      <c r="F1396" s="13" t="n">
        <f aca="false">IFERROR(E1396*Eingaben!$B$15,0)</f>
        <v>0.7695</v>
      </c>
      <c r="G1396" s="13" t="n">
        <f aca="false">IFERROR(IF(Kalender!A298="",0,J1395*(1-Eingaben!$B$20)),0)</f>
        <v>0.226233</v>
      </c>
      <c r="H1396" s="13" t="n">
        <f aca="false">MIN(G1396,D1396)</f>
        <v>0.226233</v>
      </c>
      <c r="I1396" s="13" t="n">
        <f aca="false">IFERROR(MIN(F1396*Eingaben!$B$19,MAX(0,D1396-H1396)),0)</f>
        <v>0.53865</v>
      </c>
      <c r="J1396" s="13" t="n">
        <f aca="false">IFERROR(MIN(Eingaben!$B$18,MAX(0,F1396-I1396)),0)</f>
        <v>0.23085</v>
      </c>
      <c r="K1396" s="13" t="n">
        <f aca="false">H1396+I1396</f>
        <v>0.764883</v>
      </c>
      <c r="L1396" s="13" t="n">
        <f aca="false">MAX(0,D1396-K1396)</f>
        <v>3.285117</v>
      </c>
      <c r="M1396" s="13" t="n">
        <f aca="false">MAX(0,F1396-I1396-J1396)</f>
        <v>0</v>
      </c>
      <c r="N1396" s="13" t="n">
        <f aca="false">IF(Kalender!A298="",0,J1395-H1396)</f>
        <v>0.00461700000000001</v>
      </c>
    </row>
    <row r="1397" customFormat="false" ht="16.4" hidden="false" customHeight="false" outlineLevel="0" collapsed="false">
      <c r="A1397" s="13" t="str">
        <f aca="false">""</f>
        <v/>
      </c>
      <c r="B1397" s="13" t="n">
        <f aca="false">295</f>
        <v>295</v>
      </c>
      <c r="C1397" s="13" t="n">
        <f aca="false">IF(Szenarien!$H$14="OK",(IFERROR(SUMIF(Nutzungsprofile!$B$6:$B$11,"Schulbetrieb",Nutzungsprofile!$G$6:$G$11)*Kalender!C299/SUM(Kalender!$C$5:$C$370),0)+IFERROR(SUMIF(Nutzungsprofile!$B$6:$B$11,"Halle",Nutzungsprofile!$G$6:$G$11)*Kalender!D299/SUM(Kalender!$D$5:$D$370),0)+IFERROR(SUMIF(Nutzungsprofile!$B$6:$B$11,"Individuell",Nutzungsprofile!$G$6:$G$11)*Kalender!E299/SUM(Kalender!$E$5:$E$370),0))*Szenarien!$E$14,0)</f>
        <v>0.9</v>
      </c>
      <c r="D1397" s="13" t="n">
        <f aca="false">IF(Szenarien!$H$14="OK",(IFERROR(SUMIF(Nutzungsprofile!$B$17:$B$22,"Schulbetrieb",Nutzungsprofile!$G$17:$G$22)*Kalender!C299/SUM(Kalender!$C$5:$C$370),0)+IFERROR(SUMIF(Nutzungsprofile!$B$17:$B$22,"Halle",Nutzungsprofile!$G$17:$G$22)*Kalender!D299/SUM(Kalender!$D$5:$D$370),0)+IFERROR(SUMIF(Nutzungsprofile!$B$17:$B$22,"Individuell",Nutzungsprofile!$G$17:$G$22)*Kalender!E299/SUM(Kalender!$E$5:$E$370),0))*Szenarien!$D$14,0)</f>
        <v>4.05</v>
      </c>
      <c r="E1397" s="13" t="n">
        <f aca="false">IFERROR(MIN(C1397,Eingaben!$B$17)*Eingaben!$B$16,0)</f>
        <v>0.855</v>
      </c>
      <c r="F1397" s="13" t="n">
        <f aca="false">IFERROR(E1397*Eingaben!$B$15,0)</f>
        <v>0.7695</v>
      </c>
      <c r="G1397" s="13" t="n">
        <f aca="false">IFERROR(IF(Kalender!A299="",0,J1396*(1-Eingaben!$B$20)),0)</f>
        <v>0.226233</v>
      </c>
      <c r="H1397" s="13" t="n">
        <f aca="false">MIN(G1397,D1397)</f>
        <v>0.226233</v>
      </c>
      <c r="I1397" s="13" t="n">
        <f aca="false">IFERROR(MIN(F1397*Eingaben!$B$19,MAX(0,D1397-H1397)),0)</f>
        <v>0.53865</v>
      </c>
      <c r="J1397" s="13" t="n">
        <f aca="false">IFERROR(MIN(Eingaben!$B$18,MAX(0,F1397-I1397)),0)</f>
        <v>0.23085</v>
      </c>
      <c r="K1397" s="13" t="n">
        <f aca="false">H1397+I1397</f>
        <v>0.764883</v>
      </c>
      <c r="L1397" s="13" t="n">
        <f aca="false">MAX(0,D1397-K1397)</f>
        <v>3.285117</v>
      </c>
      <c r="M1397" s="13" t="n">
        <f aca="false">MAX(0,F1397-I1397-J1397)</f>
        <v>0</v>
      </c>
      <c r="N1397" s="13" t="n">
        <f aca="false">IF(Kalender!A299="",0,J1396-H1397)</f>
        <v>0.00461700000000001</v>
      </c>
    </row>
    <row r="1398" customFormat="false" ht="16.4" hidden="false" customHeight="false" outlineLevel="0" collapsed="false">
      <c r="A1398" s="13" t="str">
        <f aca="false">""</f>
        <v/>
      </c>
      <c r="B1398" s="13" t="n">
        <f aca="false">296</f>
        <v>296</v>
      </c>
      <c r="C1398" s="13" t="n">
        <f aca="false">IF(Szenarien!$H$14="OK",(IFERROR(SUMIF(Nutzungsprofile!$B$6:$B$11,"Schulbetrieb",Nutzungsprofile!$G$6:$G$11)*Kalender!C300/SUM(Kalender!$C$5:$C$370),0)+IFERROR(SUMIF(Nutzungsprofile!$B$6:$B$11,"Halle",Nutzungsprofile!$G$6:$G$11)*Kalender!D300/SUM(Kalender!$D$5:$D$370),0)+IFERROR(SUMIF(Nutzungsprofile!$B$6:$B$11,"Individuell",Nutzungsprofile!$G$6:$G$11)*Kalender!E300/SUM(Kalender!$E$5:$E$370),0))*Szenarien!$E$14,0)</f>
        <v>0.9</v>
      </c>
      <c r="D1398" s="13" t="n">
        <f aca="false">IF(Szenarien!$H$14="OK",(IFERROR(SUMIF(Nutzungsprofile!$B$17:$B$22,"Schulbetrieb",Nutzungsprofile!$G$17:$G$22)*Kalender!C300/SUM(Kalender!$C$5:$C$370),0)+IFERROR(SUMIF(Nutzungsprofile!$B$17:$B$22,"Halle",Nutzungsprofile!$G$17:$G$22)*Kalender!D300/SUM(Kalender!$D$5:$D$370),0)+IFERROR(SUMIF(Nutzungsprofile!$B$17:$B$22,"Individuell",Nutzungsprofile!$G$17:$G$22)*Kalender!E300/SUM(Kalender!$E$5:$E$370),0))*Szenarien!$D$14,0)</f>
        <v>4.05</v>
      </c>
      <c r="E1398" s="13" t="n">
        <f aca="false">IFERROR(MIN(C1398,Eingaben!$B$17)*Eingaben!$B$16,0)</f>
        <v>0.855</v>
      </c>
      <c r="F1398" s="13" t="n">
        <f aca="false">IFERROR(E1398*Eingaben!$B$15,0)</f>
        <v>0.7695</v>
      </c>
      <c r="G1398" s="13" t="n">
        <f aca="false">IFERROR(IF(Kalender!A300="",0,J1397*(1-Eingaben!$B$20)),0)</f>
        <v>0.226233</v>
      </c>
      <c r="H1398" s="13" t="n">
        <f aca="false">MIN(G1398,D1398)</f>
        <v>0.226233</v>
      </c>
      <c r="I1398" s="13" t="n">
        <f aca="false">IFERROR(MIN(F1398*Eingaben!$B$19,MAX(0,D1398-H1398)),0)</f>
        <v>0.53865</v>
      </c>
      <c r="J1398" s="13" t="n">
        <f aca="false">IFERROR(MIN(Eingaben!$B$18,MAX(0,F1398-I1398)),0)</f>
        <v>0.23085</v>
      </c>
      <c r="K1398" s="13" t="n">
        <f aca="false">H1398+I1398</f>
        <v>0.764883</v>
      </c>
      <c r="L1398" s="13" t="n">
        <f aca="false">MAX(0,D1398-K1398)</f>
        <v>3.285117</v>
      </c>
      <c r="M1398" s="13" t="n">
        <f aca="false">MAX(0,F1398-I1398-J1398)</f>
        <v>0</v>
      </c>
      <c r="N1398" s="13" t="n">
        <f aca="false">IF(Kalender!A300="",0,J1397-H1398)</f>
        <v>0.00461700000000001</v>
      </c>
    </row>
    <row r="1399" customFormat="false" ht="16.4" hidden="false" customHeight="false" outlineLevel="0" collapsed="false">
      <c r="A1399" s="13" t="str">
        <f aca="false">""</f>
        <v/>
      </c>
      <c r="B1399" s="13" t="n">
        <f aca="false">297</f>
        <v>297</v>
      </c>
      <c r="C1399" s="13" t="n">
        <f aca="false">IF(Szenarien!$H$14="OK",(IFERROR(SUMIF(Nutzungsprofile!$B$6:$B$11,"Schulbetrieb",Nutzungsprofile!$G$6:$G$11)*Kalender!C301/SUM(Kalender!$C$5:$C$370),0)+IFERROR(SUMIF(Nutzungsprofile!$B$6:$B$11,"Halle",Nutzungsprofile!$G$6:$G$11)*Kalender!D301/SUM(Kalender!$D$5:$D$370),0)+IFERROR(SUMIF(Nutzungsprofile!$B$6:$B$11,"Individuell",Nutzungsprofile!$G$6:$G$11)*Kalender!E301/SUM(Kalender!$E$5:$E$370),0))*Szenarien!$E$14,0)</f>
        <v>0</v>
      </c>
      <c r="D1399" s="13" t="n">
        <f aca="false">IF(Szenarien!$H$14="OK",(IFERROR(SUMIF(Nutzungsprofile!$B$17:$B$22,"Schulbetrieb",Nutzungsprofile!$G$17:$G$22)*Kalender!C301/SUM(Kalender!$C$5:$C$370),0)+IFERROR(SUMIF(Nutzungsprofile!$B$17:$B$22,"Halle",Nutzungsprofile!$G$17:$G$22)*Kalender!D301/SUM(Kalender!$D$5:$D$370),0)+IFERROR(SUMIF(Nutzungsprofile!$B$17:$B$22,"Individuell",Nutzungsprofile!$G$17:$G$22)*Kalender!E301/SUM(Kalender!$E$5:$E$370),0))*Szenarien!$D$14,0)</f>
        <v>0</v>
      </c>
      <c r="E1399" s="13" t="n">
        <f aca="false">IFERROR(MIN(C1399,Eingaben!$B$17)*Eingaben!$B$16,0)</f>
        <v>0</v>
      </c>
      <c r="F1399" s="13" t="n">
        <f aca="false">IFERROR(E1399*Eingaben!$B$15,0)</f>
        <v>0</v>
      </c>
      <c r="G1399" s="13" t="n">
        <f aca="false">IFERROR(IF(Kalender!A301="",0,J1398*(1-Eingaben!$B$20)),0)</f>
        <v>0.226233</v>
      </c>
      <c r="H1399" s="13" t="n">
        <f aca="false">MIN(G1399,D1399)</f>
        <v>0</v>
      </c>
      <c r="I1399" s="13" t="n">
        <f aca="false">IFERROR(MIN(F1399*Eingaben!$B$19,MAX(0,D1399-H1399)),0)</f>
        <v>0</v>
      </c>
      <c r="J1399" s="13" t="n">
        <f aca="false">IFERROR(MIN(Eingaben!$B$18,MAX(0,F1399-I1399)),0)</f>
        <v>0</v>
      </c>
      <c r="K1399" s="13" t="n">
        <f aca="false">H1399+I1399</f>
        <v>0</v>
      </c>
      <c r="L1399" s="13" t="n">
        <f aca="false">MAX(0,D1399-K1399)</f>
        <v>0</v>
      </c>
      <c r="M1399" s="13" t="n">
        <f aca="false">MAX(0,F1399-I1399-J1399)</f>
        <v>0</v>
      </c>
      <c r="N1399" s="13" t="n">
        <f aca="false">IF(Kalender!A301="",0,J1398-H1399)</f>
        <v>0.23085</v>
      </c>
    </row>
    <row r="1400" customFormat="false" ht="16.4" hidden="false" customHeight="false" outlineLevel="0" collapsed="false">
      <c r="A1400" s="13" t="str">
        <f aca="false">""</f>
        <v/>
      </c>
      <c r="B1400" s="13" t="n">
        <f aca="false">298</f>
        <v>298</v>
      </c>
      <c r="C1400" s="13" t="n">
        <f aca="false">IF(Szenarien!$H$14="OK",(IFERROR(SUMIF(Nutzungsprofile!$B$6:$B$11,"Schulbetrieb",Nutzungsprofile!$G$6:$G$11)*Kalender!C302/SUM(Kalender!$C$5:$C$370),0)+IFERROR(SUMIF(Nutzungsprofile!$B$6:$B$11,"Halle",Nutzungsprofile!$G$6:$G$11)*Kalender!D302/SUM(Kalender!$D$5:$D$370),0)+IFERROR(SUMIF(Nutzungsprofile!$B$6:$B$11,"Individuell",Nutzungsprofile!$G$6:$G$11)*Kalender!E302/SUM(Kalender!$E$5:$E$370),0))*Szenarien!$E$14,0)</f>
        <v>0</v>
      </c>
      <c r="D1400" s="13" t="n">
        <f aca="false">IF(Szenarien!$H$14="OK",(IFERROR(SUMIF(Nutzungsprofile!$B$17:$B$22,"Schulbetrieb",Nutzungsprofile!$G$17:$G$22)*Kalender!C302/SUM(Kalender!$C$5:$C$370),0)+IFERROR(SUMIF(Nutzungsprofile!$B$17:$B$22,"Halle",Nutzungsprofile!$G$17:$G$22)*Kalender!D302/SUM(Kalender!$D$5:$D$370),0)+IFERROR(SUMIF(Nutzungsprofile!$B$17:$B$22,"Individuell",Nutzungsprofile!$G$17:$G$22)*Kalender!E302/SUM(Kalender!$E$5:$E$370),0))*Szenarien!$D$14,0)</f>
        <v>0</v>
      </c>
      <c r="E1400" s="13" t="n">
        <f aca="false">IFERROR(MIN(C1400,Eingaben!$B$17)*Eingaben!$B$16,0)</f>
        <v>0</v>
      </c>
      <c r="F1400" s="13" t="n">
        <f aca="false">IFERROR(E1400*Eingaben!$B$15,0)</f>
        <v>0</v>
      </c>
      <c r="G1400" s="13" t="n">
        <f aca="false">IFERROR(IF(Kalender!A302="",0,J1399*(1-Eingaben!$B$20)),0)</f>
        <v>0</v>
      </c>
      <c r="H1400" s="13" t="n">
        <f aca="false">MIN(G1400,D1400)</f>
        <v>0</v>
      </c>
      <c r="I1400" s="13" t="n">
        <f aca="false">IFERROR(MIN(F1400*Eingaben!$B$19,MAX(0,D1400-H1400)),0)</f>
        <v>0</v>
      </c>
      <c r="J1400" s="13" t="n">
        <f aca="false">IFERROR(MIN(Eingaben!$B$18,MAX(0,F1400-I1400)),0)</f>
        <v>0</v>
      </c>
      <c r="K1400" s="13" t="n">
        <f aca="false">H1400+I1400</f>
        <v>0</v>
      </c>
      <c r="L1400" s="13" t="n">
        <f aca="false">MAX(0,D1400-K1400)</f>
        <v>0</v>
      </c>
      <c r="M1400" s="13" t="n">
        <f aca="false">MAX(0,F1400-I1400-J1400)</f>
        <v>0</v>
      </c>
      <c r="N1400" s="13" t="n">
        <f aca="false">IF(Kalender!A302="",0,J1399-H1400)</f>
        <v>0</v>
      </c>
    </row>
    <row r="1401" customFormat="false" ht="16.4" hidden="false" customHeight="false" outlineLevel="0" collapsed="false">
      <c r="A1401" s="13" t="str">
        <f aca="false">""</f>
        <v/>
      </c>
      <c r="B1401" s="13" t="n">
        <f aca="false">299</f>
        <v>299</v>
      </c>
      <c r="C1401" s="13" t="n">
        <f aca="false">IF(Szenarien!$H$14="OK",(IFERROR(SUMIF(Nutzungsprofile!$B$6:$B$11,"Schulbetrieb",Nutzungsprofile!$G$6:$G$11)*Kalender!C303/SUM(Kalender!$C$5:$C$370),0)+IFERROR(SUMIF(Nutzungsprofile!$B$6:$B$11,"Halle",Nutzungsprofile!$G$6:$G$11)*Kalender!D303/SUM(Kalender!$D$5:$D$370),0)+IFERROR(SUMIF(Nutzungsprofile!$B$6:$B$11,"Individuell",Nutzungsprofile!$G$6:$G$11)*Kalender!E303/SUM(Kalender!$E$5:$E$370),0))*Szenarien!$E$14,0)</f>
        <v>0.9</v>
      </c>
      <c r="D1401" s="13" t="n">
        <f aca="false">IF(Szenarien!$H$14="OK",(IFERROR(SUMIF(Nutzungsprofile!$B$17:$B$22,"Schulbetrieb",Nutzungsprofile!$G$17:$G$22)*Kalender!C303/SUM(Kalender!$C$5:$C$370),0)+IFERROR(SUMIF(Nutzungsprofile!$B$17:$B$22,"Halle",Nutzungsprofile!$G$17:$G$22)*Kalender!D303/SUM(Kalender!$D$5:$D$370),0)+IFERROR(SUMIF(Nutzungsprofile!$B$17:$B$22,"Individuell",Nutzungsprofile!$G$17:$G$22)*Kalender!E303/SUM(Kalender!$E$5:$E$370),0))*Szenarien!$D$14,0)</f>
        <v>4.05</v>
      </c>
      <c r="E1401" s="13" t="n">
        <f aca="false">IFERROR(MIN(C1401,Eingaben!$B$17)*Eingaben!$B$16,0)</f>
        <v>0.855</v>
      </c>
      <c r="F1401" s="13" t="n">
        <f aca="false">IFERROR(E1401*Eingaben!$B$15,0)</f>
        <v>0.7695</v>
      </c>
      <c r="G1401" s="13" t="n">
        <f aca="false">IFERROR(IF(Kalender!A303="",0,J1400*(1-Eingaben!$B$20)),0)</f>
        <v>0</v>
      </c>
      <c r="H1401" s="13" t="n">
        <f aca="false">MIN(G1401,D1401)</f>
        <v>0</v>
      </c>
      <c r="I1401" s="13" t="n">
        <f aca="false">IFERROR(MIN(F1401*Eingaben!$B$19,MAX(0,D1401-H1401)),0)</f>
        <v>0.53865</v>
      </c>
      <c r="J1401" s="13" t="n">
        <f aca="false">IFERROR(MIN(Eingaben!$B$18,MAX(0,F1401-I1401)),0)</f>
        <v>0.23085</v>
      </c>
      <c r="K1401" s="13" t="n">
        <f aca="false">H1401+I1401</f>
        <v>0.53865</v>
      </c>
      <c r="L1401" s="13" t="n">
        <f aca="false">MAX(0,D1401-K1401)</f>
        <v>3.51135</v>
      </c>
      <c r="M1401" s="13" t="n">
        <f aca="false">MAX(0,F1401-I1401-J1401)</f>
        <v>0</v>
      </c>
      <c r="N1401" s="13" t="n">
        <f aca="false">IF(Kalender!A303="",0,J1400-H1401)</f>
        <v>0</v>
      </c>
    </row>
    <row r="1402" customFormat="false" ht="16.4" hidden="false" customHeight="false" outlineLevel="0" collapsed="false">
      <c r="A1402" s="13" t="str">
        <f aca="false">""</f>
        <v/>
      </c>
      <c r="B1402" s="13" t="n">
        <f aca="false">300</f>
        <v>300</v>
      </c>
      <c r="C1402" s="13" t="n">
        <f aca="false">IF(Szenarien!$H$14="OK",(IFERROR(SUMIF(Nutzungsprofile!$B$6:$B$11,"Schulbetrieb",Nutzungsprofile!$G$6:$G$11)*Kalender!C304/SUM(Kalender!$C$5:$C$370),0)+IFERROR(SUMIF(Nutzungsprofile!$B$6:$B$11,"Halle",Nutzungsprofile!$G$6:$G$11)*Kalender!D304/SUM(Kalender!$D$5:$D$370),0)+IFERROR(SUMIF(Nutzungsprofile!$B$6:$B$11,"Individuell",Nutzungsprofile!$G$6:$G$11)*Kalender!E304/SUM(Kalender!$E$5:$E$370),0))*Szenarien!$E$14,0)</f>
        <v>0.9</v>
      </c>
      <c r="D1402" s="13" t="n">
        <f aca="false">IF(Szenarien!$H$14="OK",(IFERROR(SUMIF(Nutzungsprofile!$B$17:$B$22,"Schulbetrieb",Nutzungsprofile!$G$17:$G$22)*Kalender!C304/SUM(Kalender!$C$5:$C$370),0)+IFERROR(SUMIF(Nutzungsprofile!$B$17:$B$22,"Halle",Nutzungsprofile!$G$17:$G$22)*Kalender!D304/SUM(Kalender!$D$5:$D$370),0)+IFERROR(SUMIF(Nutzungsprofile!$B$17:$B$22,"Individuell",Nutzungsprofile!$G$17:$G$22)*Kalender!E304/SUM(Kalender!$E$5:$E$370),0))*Szenarien!$D$14,0)</f>
        <v>4.05</v>
      </c>
      <c r="E1402" s="13" t="n">
        <f aca="false">IFERROR(MIN(C1402,Eingaben!$B$17)*Eingaben!$B$16,0)</f>
        <v>0.855</v>
      </c>
      <c r="F1402" s="13" t="n">
        <f aca="false">IFERROR(E1402*Eingaben!$B$15,0)</f>
        <v>0.7695</v>
      </c>
      <c r="G1402" s="13" t="n">
        <f aca="false">IFERROR(IF(Kalender!A304="",0,J1401*(1-Eingaben!$B$20)),0)</f>
        <v>0.226233</v>
      </c>
      <c r="H1402" s="13" t="n">
        <f aca="false">MIN(G1402,D1402)</f>
        <v>0.226233</v>
      </c>
      <c r="I1402" s="13" t="n">
        <f aca="false">IFERROR(MIN(F1402*Eingaben!$B$19,MAX(0,D1402-H1402)),0)</f>
        <v>0.53865</v>
      </c>
      <c r="J1402" s="13" t="n">
        <f aca="false">IFERROR(MIN(Eingaben!$B$18,MAX(0,F1402-I1402)),0)</f>
        <v>0.23085</v>
      </c>
      <c r="K1402" s="13" t="n">
        <f aca="false">H1402+I1402</f>
        <v>0.764883</v>
      </c>
      <c r="L1402" s="13" t="n">
        <f aca="false">MAX(0,D1402-K1402)</f>
        <v>3.285117</v>
      </c>
      <c r="M1402" s="13" t="n">
        <f aca="false">MAX(0,F1402-I1402-J1402)</f>
        <v>0</v>
      </c>
      <c r="N1402" s="13" t="n">
        <f aca="false">IF(Kalender!A304="",0,J1401-H1402)</f>
        <v>0.00461700000000001</v>
      </c>
    </row>
    <row r="1403" customFormat="false" ht="16.4" hidden="false" customHeight="false" outlineLevel="0" collapsed="false">
      <c r="A1403" s="13" t="str">
        <f aca="false">""</f>
        <v/>
      </c>
      <c r="B1403" s="13" t="n">
        <f aca="false">301</f>
        <v>301</v>
      </c>
      <c r="C1403" s="13" t="n">
        <f aca="false">IF(Szenarien!$H$14="OK",(IFERROR(SUMIF(Nutzungsprofile!$B$6:$B$11,"Schulbetrieb",Nutzungsprofile!$G$6:$G$11)*Kalender!C305/SUM(Kalender!$C$5:$C$370),0)+IFERROR(SUMIF(Nutzungsprofile!$B$6:$B$11,"Halle",Nutzungsprofile!$G$6:$G$11)*Kalender!D305/SUM(Kalender!$D$5:$D$370),0)+IFERROR(SUMIF(Nutzungsprofile!$B$6:$B$11,"Individuell",Nutzungsprofile!$G$6:$G$11)*Kalender!E305/SUM(Kalender!$E$5:$E$370),0))*Szenarien!$E$14,0)</f>
        <v>0.9</v>
      </c>
      <c r="D1403" s="13" t="n">
        <f aca="false">IF(Szenarien!$H$14="OK",(IFERROR(SUMIF(Nutzungsprofile!$B$17:$B$22,"Schulbetrieb",Nutzungsprofile!$G$17:$G$22)*Kalender!C305/SUM(Kalender!$C$5:$C$370),0)+IFERROR(SUMIF(Nutzungsprofile!$B$17:$B$22,"Halle",Nutzungsprofile!$G$17:$G$22)*Kalender!D305/SUM(Kalender!$D$5:$D$370),0)+IFERROR(SUMIF(Nutzungsprofile!$B$17:$B$22,"Individuell",Nutzungsprofile!$G$17:$G$22)*Kalender!E305/SUM(Kalender!$E$5:$E$370),0))*Szenarien!$D$14,0)</f>
        <v>4.05</v>
      </c>
      <c r="E1403" s="13" t="n">
        <f aca="false">IFERROR(MIN(C1403,Eingaben!$B$17)*Eingaben!$B$16,0)</f>
        <v>0.855</v>
      </c>
      <c r="F1403" s="13" t="n">
        <f aca="false">IFERROR(E1403*Eingaben!$B$15,0)</f>
        <v>0.7695</v>
      </c>
      <c r="G1403" s="13" t="n">
        <f aca="false">IFERROR(IF(Kalender!A305="",0,J1402*(1-Eingaben!$B$20)),0)</f>
        <v>0.226233</v>
      </c>
      <c r="H1403" s="13" t="n">
        <f aca="false">MIN(G1403,D1403)</f>
        <v>0.226233</v>
      </c>
      <c r="I1403" s="13" t="n">
        <f aca="false">IFERROR(MIN(F1403*Eingaben!$B$19,MAX(0,D1403-H1403)),0)</f>
        <v>0.53865</v>
      </c>
      <c r="J1403" s="13" t="n">
        <f aca="false">IFERROR(MIN(Eingaben!$B$18,MAX(0,F1403-I1403)),0)</f>
        <v>0.23085</v>
      </c>
      <c r="K1403" s="13" t="n">
        <f aca="false">H1403+I1403</f>
        <v>0.764883</v>
      </c>
      <c r="L1403" s="13" t="n">
        <f aca="false">MAX(0,D1403-K1403)</f>
        <v>3.285117</v>
      </c>
      <c r="M1403" s="13" t="n">
        <f aca="false">MAX(0,F1403-I1403-J1403)</f>
        <v>0</v>
      </c>
      <c r="N1403" s="13" t="n">
        <f aca="false">IF(Kalender!A305="",0,J1402-H1403)</f>
        <v>0.00461700000000001</v>
      </c>
    </row>
    <row r="1404" customFormat="false" ht="16.4" hidden="false" customHeight="false" outlineLevel="0" collapsed="false">
      <c r="A1404" s="13" t="str">
        <f aca="false">""</f>
        <v/>
      </c>
      <c r="B1404" s="13" t="n">
        <f aca="false">302</f>
        <v>302</v>
      </c>
      <c r="C1404" s="13" t="n">
        <f aca="false">IF(Szenarien!$H$14="OK",(IFERROR(SUMIF(Nutzungsprofile!$B$6:$B$11,"Schulbetrieb",Nutzungsprofile!$G$6:$G$11)*Kalender!C306/SUM(Kalender!$C$5:$C$370),0)+IFERROR(SUMIF(Nutzungsprofile!$B$6:$B$11,"Halle",Nutzungsprofile!$G$6:$G$11)*Kalender!D306/SUM(Kalender!$D$5:$D$370),0)+IFERROR(SUMIF(Nutzungsprofile!$B$6:$B$11,"Individuell",Nutzungsprofile!$G$6:$G$11)*Kalender!E306/SUM(Kalender!$E$5:$E$370),0))*Szenarien!$E$14,0)</f>
        <v>0.9</v>
      </c>
      <c r="D1404" s="13" t="n">
        <f aca="false">IF(Szenarien!$H$14="OK",(IFERROR(SUMIF(Nutzungsprofile!$B$17:$B$22,"Schulbetrieb",Nutzungsprofile!$G$17:$G$22)*Kalender!C306/SUM(Kalender!$C$5:$C$370),0)+IFERROR(SUMIF(Nutzungsprofile!$B$17:$B$22,"Halle",Nutzungsprofile!$G$17:$G$22)*Kalender!D306/SUM(Kalender!$D$5:$D$370),0)+IFERROR(SUMIF(Nutzungsprofile!$B$17:$B$22,"Individuell",Nutzungsprofile!$G$17:$G$22)*Kalender!E306/SUM(Kalender!$E$5:$E$370),0))*Szenarien!$D$14,0)</f>
        <v>4.05</v>
      </c>
      <c r="E1404" s="13" t="n">
        <f aca="false">IFERROR(MIN(C1404,Eingaben!$B$17)*Eingaben!$B$16,0)</f>
        <v>0.855</v>
      </c>
      <c r="F1404" s="13" t="n">
        <f aca="false">IFERROR(E1404*Eingaben!$B$15,0)</f>
        <v>0.7695</v>
      </c>
      <c r="G1404" s="13" t="n">
        <f aca="false">IFERROR(IF(Kalender!A306="",0,J1403*(1-Eingaben!$B$20)),0)</f>
        <v>0.226233</v>
      </c>
      <c r="H1404" s="13" t="n">
        <f aca="false">MIN(G1404,D1404)</f>
        <v>0.226233</v>
      </c>
      <c r="I1404" s="13" t="n">
        <f aca="false">IFERROR(MIN(F1404*Eingaben!$B$19,MAX(0,D1404-H1404)),0)</f>
        <v>0.53865</v>
      </c>
      <c r="J1404" s="13" t="n">
        <f aca="false">IFERROR(MIN(Eingaben!$B$18,MAX(0,F1404-I1404)),0)</f>
        <v>0.23085</v>
      </c>
      <c r="K1404" s="13" t="n">
        <f aca="false">H1404+I1404</f>
        <v>0.764883</v>
      </c>
      <c r="L1404" s="13" t="n">
        <f aca="false">MAX(0,D1404-K1404)</f>
        <v>3.285117</v>
      </c>
      <c r="M1404" s="13" t="n">
        <f aca="false">MAX(0,F1404-I1404-J1404)</f>
        <v>0</v>
      </c>
      <c r="N1404" s="13" t="n">
        <f aca="false">IF(Kalender!A306="",0,J1403-H1404)</f>
        <v>0.00461700000000001</v>
      </c>
    </row>
    <row r="1405" customFormat="false" ht="16.4" hidden="false" customHeight="false" outlineLevel="0" collapsed="false">
      <c r="A1405" s="13" t="str">
        <f aca="false">""</f>
        <v/>
      </c>
      <c r="B1405" s="13" t="n">
        <f aca="false">303</f>
        <v>303</v>
      </c>
      <c r="C1405" s="13" t="n">
        <f aca="false">IF(Szenarien!$H$14="OK",(IFERROR(SUMIF(Nutzungsprofile!$B$6:$B$11,"Schulbetrieb",Nutzungsprofile!$G$6:$G$11)*Kalender!C307/SUM(Kalender!$C$5:$C$370),0)+IFERROR(SUMIF(Nutzungsprofile!$B$6:$B$11,"Halle",Nutzungsprofile!$G$6:$G$11)*Kalender!D307/SUM(Kalender!$D$5:$D$370),0)+IFERROR(SUMIF(Nutzungsprofile!$B$6:$B$11,"Individuell",Nutzungsprofile!$G$6:$G$11)*Kalender!E307/SUM(Kalender!$E$5:$E$370),0))*Szenarien!$E$14,0)</f>
        <v>0.9</v>
      </c>
      <c r="D1405" s="13" t="n">
        <f aca="false">IF(Szenarien!$H$14="OK",(IFERROR(SUMIF(Nutzungsprofile!$B$17:$B$22,"Schulbetrieb",Nutzungsprofile!$G$17:$G$22)*Kalender!C307/SUM(Kalender!$C$5:$C$370),0)+IFERROR(SUMIF(Nutzungsprofile!$B$17:$B$22,"Halle",Nutzungsprofile!$G$17:$G$22)*Kalender!D307/SUM(Kalender!$D$5:$D$370),0)+IFERROR(SUMIF(Nutzungsprofile!$B$17:$B$22,"Individuell",Nutzungsprofile!$G$17:$G$22)*Kalender!E307/SUM(Kalender!$E$5:$E$370),0))*Szenarien!$D$14,0)</f>
        <v>4.05</v>
      </c>
      <c r="E1405" s="13" t="n">
        <f aca="false">IFERROR(MIN(C1405,Eingaben!$B$17)*Eingaben!$B$16,0)</f>
        <v>0.855</v>
      </c>
      <c r="F1405" s="13" t="n">
        <f aca="false">IFERROR(E1405*Eingaben!$B$15,0)</f>
        <v>0.7695</v>
      </c>
      <c r="G1405" s="13" t="n">
        <f aca="false">IFERROR(IF(Kalender!A307="",0,J1404*(1-Eingaben!$B$20)),0)</f>
        <v>0.226233</v>
      </c>
      <c r="H1405" s="13" t="n">
        <f aca="false">MIN(G1405,D1405)</f>
        <v>0.226233</v>
      </c>
      <c r="I1405" s="13" t="n">
        <f aca="false">IFERROR(MIN(F1405*Eingaben!$B$19,MAX(0,D1405-H1405)),0)</f>
        <v>0.53865</v>
      </c>
      <c r="J1405" s="13" t="n">
        <f aca="false">IFERROR(MIN(Eingaben!$B$18,MAX(0,F1405-I1405)),0)</f>
        <v>0.23085</v>
      </c>
      <c r="K1405" s="13" t="n">
        <f aca="false">H1405+I1405</f>
        <v>0.764883</v>
      </c>
      <c r="L1405" s="13" t="n">
        <f aca="false">MAX(0,D1405-K1405)</f>
        <v>3.285117</v>
      </c>
      <c r="M1405" s="13" t="n">
        <f aca="false">MAX(0,F1405-I1405-J1405)</f>
        <v>0</v>
      </c>
      <c r="N1405" s="13" t="n">
        <f aca="false">IF(Kalender!A307="",0,J1404-H1405)</f>
        <v>0.00461700000000001</v>
      </c>
    </row>
    <row r="1406" customFormat="false" ht="16.4" hidden="false" customHeight="false" outlineLevel="0" collapsed="false">
      <c r="A1406" s="13" t="str">
        <f aca="false">""</f>
        <v/>
      </c>
      <c r="B1406" s="13" t="n">
        <f aca="false">304</f>
        <v>304</v>
      </c>
      <c r="C1406" s="13" t="n">
        <f aca="false">IF(Szenarien!$H$14="OK",(IFERROR(SUMIF(Nutzungsprofile!$B$6:$B$11,"Schulbetrieb",Nutzungsprofile!$G$6:$G$11)*Kalender!C308/SUM(Kalender!$C$5:$C$370),0)+IFERROR(SUMIF(Nutzungsprofile!$B$6:$B$11,"Halle",Nutzungsprofile!$G$6:$G$11)*Kalender!D308/SUM(Kalender!$D$5:$D$370),0)+IFERROR(SUMIF(Nutzungsprofile!$B$6:$B$11,"Individuell",Nutzungsprofile!$G$6:$G$11)*Kalender!E308/SUM(Kalender!$E$5:$E$370),0))*Szenarien!$E$14,0)</f>
        <v>0</v>
      </c>
      <c r="D1406" s="13" t="n">
        <f aca="false">IF(Szenarien!$H$14="OK",(IFERROR(SUMIF(Nutzungsprofile!$B$17:$B$22,"Schulbetrieb",Nutzungsprofile!$G$17:$G$22)*Kalender!C308/SUM(Kalender!$C$5:$C$370),0)+IFERROR(SUMIF(Nutzungsprofile!$B$17:$B$22,"Halle",Nutzungsprofile!$G$17:$G$22)*Kalender!D308/SUM(Kalender!$D$5:$D$370),0)+IFERROR(SUMIF(Nutzungsprofile!$B$17:$B$22,"Individuell",Nutzungsprofile!$G$17:$G$22)*Kalender!E308/SUM(Kalender!$E$5:$E$370),0))*Szenarien!$D$14,0)</f>
        <v>0</v>
      </c>
      <c r="E1406" s="13" t="n">
        <f aca="false">IFERROR(MIN(C1406,Eingaben!$B$17)*Eingaben!$B$16,0)</f>
        <v>0</v>
      </c>
      <c r="F1406" s="13" t="n">
        <f aca="false">IFERROR(E1406*Eingaben!$B$15,0)</f>
        <v>0</v>
      </c>
      <c r="G1406" s="13" t="n">
        <f aca="false">IFERROR(IF(Kalender!A308="",0,J1405*(1-Eingaben!$B$20)),0)</f>
        <v>0.226233</v>
      </c>
      <c r="H1406" s="13" t="n">
        <f aca="false">MIN(G1406,D1406)</f>
        <v>0</v>
      </c>
      <c r="I1406" s="13" t="n">
        <f aca="false">IFERROR(MIN(F1406*Eingaben!$B$19,MAX(0,D1406-H1406)),0)</f>
        <v>0</v>
      </c>
      <c r="J1406" s="13" t="n">
        <f aca="false">IFERROR(MIN(Eingaben!$B$18,MAX(0,F1406-I1406)),0)</f>
        <v>0</v>
      </c>
      <c r="K1406" s="13" t="n">
        <f aca="false">H1406+I1406</f>
        <v>0</v>
      </c>
      <c r="L1406" s="13" t="n">
        <f aca="false">MAX(0,D1406-K1406)</f>
        <v>0</v>
      </c>
      <c r="M1406" s="13" t="n">
        <f aca="false">MAX(0,F1406-I1406-J1406)</f>
        <v>0</v>
      </c>
      <c r="N1406" s="13" t="n">
        <f aca="false">IF(Kalender!A308="",0,J1405-H1406)</f>
        <v>0.23085</v>
      </c>
    </row>
    <row r="1407" customFormat="false" ht="16.4" hidden="false" customHeight="false" outlineLevel="0" collapsed="false">
      <c r="A1407" s="13" t="str">
        <f aca="false">""</f>
        <v/>
      </c>
      <c r="B1407" s="13" t="n">
        <f aca="false">305</f>
        <v>305</v>
      </c>
      <c r="C1407" s="13" t="n">
        <f aca="false">IF(Szenarien!$H$14="OK",(IFERROR(SUMIF(Nutzungsprofile!$B$6:$B$11,"Schulbetrieb",Nutzungsprofile!$G$6:$G$11)*Kalender!C309/SUM(Kalender!$C$5:$C$370),0)+IFERROR(SUMIF(Nutzungsprofile!$B$6:$B$11,"Halle",Nutzungsprofile!$G$6:$G$11)*Kalender!D309/SUM(Kalender!$D$5:$D$370),0)+IFERROR(SUMIF(Nutzungsprofile!$B$6:$B$11,"Individuell",Nutzungsprofile!$G$6:$G$11)*Kalender!E309/SUM(Kalender!$E$5:$E$370),0))*Szenarien!$E$14,0)</f>
        <v>0</v>
      </c>
      <c r="D1407" s="13" t="n">
        <f aca="false">IF(Szenarien!$H$14="OK",(IFERROR(SUMIF(Nutzungsprofile!$B$17:$B$22,"Schulbetrieb",Nutzungsprofile!$G$17:$G$22)*Kalender!C309/SUM(Kalender!$C$5:$C$370),0)+IFERROR(SUMIF(Nutzungsprofile!$B$17:$B$22,"Halle",Nutzungsprofile!$G$17:$G$22)*Kalender!D309/SUM(Kalender!$D$5:$D$370),0)+IFERROR(SUMIF(Nutzungsprofile!$B$17:$B$22,"Individuell",Nutzungsprofile!$G$17:$G$22)*Kalender!E309/SUM(Kalender!$E$5:$E$370),0))*Szenarien!$D$14,0)</f>
        <v>0</v>
      </c>
      <c r="E1407" s="13" t="n">
        <f aca="false">IFERROR(MIN(C1407,Eingaben!$B$17)*Eingaben!$B$16,0)</f>
        <v>0</v>
      </c>
      <c r="F1407" s="13" t="n">
        <f aca="false">IFERROR(E1407*Eingaben!$B$15,0)</f>
        <v>0</v>
      </c>
      <c r="G1407" s="13" t="n">
        <f aca="false">IFERROR(IF(Kalender!A309="",0,J1406*(1-Eingaben!$B$20)),0)</f>
        <v>0</v>
      </c>
      <c r="H1407" s="13" t="n">
        <f aca="false">MIN(G1407,D1407)</f>
        <v>0</v>
      </c>
      <c r="I1407" s="13" t="n">
        <f aca="false">IFERROR(MIN(F1407*Eingaben!$B$19,MAX(0,D1407-H1407)),0)</f>
        <v>0</v>
      </c>
      <c r="J1407" s="13" t="n">
        <f aca="false">IFERROR(MIN(Eingaben!$B$18,MAX(0,F1407-I1407)),0)</f>
        <v>0</v>
      </c>
      <c r="K1407" s="13" t="n">
        <f aca="false">H1407+I1407</f>
        <v>0</v>
      </c>
      <c r="L1407" s="13" t="n">
        <f aca="false">MAX(0,D1407-K1407)</f>
        <v>0</v>
      </c>
      <c r="M1407" s="13" t="n">
        <f aca="false">MAX(0,F1407-I1407-J1407)</f>
        <v>0</v>
      </c>
      <c r="N1407" s="13" t="n">
        <f aca="false">IF(Kalender!A309="",0,J1406-H1407)</f>
        <v>0</v>
      </c>
    </row>
    <row r="1408" customFormat="false" ht="16.4" hidden="false" customHeight="false" outlineLevel="0" collapsed="false">
      <c r="A1408" s="13" t="str">
        <f aca="false">""</f>
        <v/>
      </c>
      <c r="B1408" s="13" t="n">
        <f aca="false">306</f>
        <v>306</v>
      </c>
      <c r="C1408" s="13" t="n">
        <f aca="false">IF(Szenarien!$H$14="OK",(IFERROR(SUMIF(Nutzungsprofile!$B$6:$B$11,"Schulbetrieb",Nutzungsprofile!$G$6:$G$11)*Kalender!C310/SUM(Kalender!$C$5:$C$370),0)+IFERROR(SUMIF(Nutzungsprofile!$B$6:$B$11,"Halle",Nutzungsprofile!$G$6:$G$11)*Kalender!D310/SUM(Kalender!$D$5:$D$370),0)+IFERROR(SUMIF(Nutzungsprofile!$B$6:$B$11,"Individuell",Nutzungsprofile!$G$6:$G$11)*Kalender!E310/SUM(Kalender!$E$5:$E$370),0))*Szenarien!$E$14,0)</f>
        <v>0.9</v>
      </c>
      <c r="D1408" s="13" t="n">
        <f aca="false">IF(Szenarien!$H$14="OK",(IFERROR(SUMIF(Nutzungsprofile!$B$17:$B$22,"Schulbetrieb",Nutzungsprofile!$G$17:$G$22)*Kalender!C310/SUM(Kalender!$C$5:$C$370),0)+IFERROR(SUMIF(Nutzungsprofile!$B$17:$B$22,"Halle",Nutzungsprofile!$G$17:$G$22)*Kalender!D310/SUM(Kalender!$D$5:$D$370),0)+IFERROR(SUMIF(Nutzungsprofile!$B$17:$B$22,"Individuell",Nutzungsprofile!$G$17:$G$22)*Kalender!E310/SUM(Kalender!$E$5:$E$370),0))*Szenarien!$D$14,0)</f>
        <v>4.05</v>
      </c>
      <c r="E1408" s="13" t="n">
        <f aca="false">IFERROR(MIN(C1408,Eingaben!$B$17)*Eingaben!$B$16,0)</f>
        <v>0.855</v>
      </c>
      <c r="F1408" s="13" t="n">
        <f aca="false">IFERROR(E1408*Eingaben!$B$15,0)</f>
        <v>0.7695</v>
      </c>
      <c r="G1408" s="13" t="n">
        <f aca="false">IFERROR(IF(Kalender!A310="",0,J1407*(1-Eingaben!$B$20)),0)</f>
        <v>0</v>
      </c>
      <c r="H1408" s="13" t="n">
        <f aca="false">MIN(G1408,D1408)</f>
        <v>0</v>
      </c>
      <c r="I1408" s="13" t="n">
        <f aca="false">IFERROR(MIN(F1408*Eingaben!$B$19,MAX(0,D1408-H1408)),0)</f>
        <v>0.53865</v>
      </c>
      <c r="J1408" s="13" t="n">
        <f aca="false">IFERROR(MIN(Eingaben!$B$18,MAX(0,F1408-I1408)),0)</f>
        <v>0.23085</v>
      </c>
      <c r="K1408" s="13" t="n">
        <f aca="false">H1408+I1408</f>
        <v>0.53865</v>
      </c>
      <c r="L1408" s="13" t="n">
        <f aca="false">MAX(0,D1408-K1408)</f>
        <v>3.51135</v>
      </c>
      <c r="M1408" s="13" t="n">
        <f aca="false">MAX(0,F1408-I1408-J1408)</f>
        <v>0</v>
      </c>
      <c r="N1408" s="13" t="n">
        <f aca="false">IF(Kalender!A310="",0,J1407-H1408)</f>
        <v>0</v>
      </c>
    </row>
    <row r="1409" customFormat="false" ht="16.4" hidden="false" customHeight="false" outlineLevel="0" collapsed="false">
      <c r="A1409" s="13" t="str">
        <f aca="false">""</f>
        <v/>
      </c>
      <c r="B1409" s="13" t="n">
        <f aca="false">307</f>
        <v>307</v>
      </c>
      <c r="C1409" s="13" t="n">
        <f aca="false">IF(Szenarien!$H$14="OK",(IFERROR(SUMIF(Nutzungsprofile!$B$6:$B$11,"Schulbetrieb",Nutzungsprofile!$G$6:$G$11)*Kalender!C311/SUM(Kalender!$C$5:$C$370),0)+IFERROR(SUMIF(Nutzungsprofile!$B$6:$B$11,"Halle",Nutzungsprofile!$G$6:$G$11)*Kalender!D311/SUM(Kalender!$D$5:$D$370),0)+IFERROR(SUMIF(Nutzungsprofile!$B$6:$B$11,"Individuell",Nutzungsprofile!$G$6:$G$11)*Kalender!E311/SUM(Kalender!$E$5:$E$370),0))*Szenarien!$E$14,0)</f>
        <v>0.9</v>
      </c>
      <c r="D1409" s="13" t="n">
        <f aca="false">IF(Szenarien!$H$14="OK",(IFERROR(SUMIF(Nutzungsprofile!$B$17:$B$22,"Schulbetrieb",Nutzungsprofile!$G$17:$G$22)*Kalender!C311/SUM(Kalender!$C$5:$C$370),0)+IFERROR(SUMIF(Nutzungsprofile!$B$17:$B$22,"Halle",Nutzungsprofile!$G$17:$G$22)*Kalender!D311/SUM(Kalender!$D$5:$D$370),0)+IFERROR(SUMIF(Nutzungsprofile!$B$17:$B$22,"Individuell",Nutzungsprofile!$G$17:$G$22)*Kalender!E311/SUM(Kalender!$E$5:$E$370),0))*Szenarien!$D$14,0)</f>
        <v>4.05</v>
      </c>
      <c r="E1409" s="13" t="n">
        <f aca="false">IFERROR(MIN(C1409,Eingaben!$B$17)*Eingaben!$B$16,0)</f>
        <v>0.855</v>
      </c>
      <c r="F1409" s="13" t="n">
        <f aca="false">IFERROR(E1409*Eingaben!$B$15,0)</f>
        <v>0.7695</v>
      </c>
      <c r="G1409" s="13" t="n">
        <f aca="false">IFERROR(IF(Kalender!A311="",0,J1408*(1-Eingaben!$B$20)),0)</f>
        <v>0.226233</v>
      </c>
      <c r="H1409" s="13" t="n">
        <f aca="false">MIN(G1409,D1409)</f>
        <v>0.226233</v>
      </c>
      <c r="I1409" s="13" t="n">
        <f aca="false">IFERROR(MIN(F1409*Eingaben!$B$19,MAX(0,D1409-H1409)),0)</f>
        <v>0.53865</v>
      </c>
      <c r="J1409" s="13" t="n">
        <f aca="false">IFERROR(MIN(Eingaben!$B$18,MAX(0,F1409-I1409)),0)</f>
        <v>0.23085</v>
      </c>
      <c r="K1409" s="13" t="n">
        <f aca="false">H1409+I1409</f>
        <v>0.764883</v>
      </c>
      <c r="L1409" s="13" t="n">
        <f aca="false">MAX(0,D1409-K1409)</f>
        <v>3.285117</v>
      </c>
      <c r="M1409" s="13" t="n">
        <f aca="false">MAX(0,F1409-I1409-J1409)</f>
        <v>0</v>
      </c>
      <c r="N1409" s="13" t="n">
        <f aca="false">IF(Kalender!A311="",0,J1408-H1409)</f>
        <v>0.00461700000000001</v>
      </c>
    </row>
    <row r="1410" customFormat="false" ht="16.4" hidden="false" customHeight="false" outlineLevel="0" collapsed="false">
      <c r="A1410" s="13" t="str">
        <f aca="false">""</f>
        <v/>
      </c>
      <c r="B1410" s="13" t="n">
        <f aca="false">308</f>
        <v>308</v>
      </c>
      <c r="C1410" s="13" t="n">
        <f aca="false">IF(Szenarien!$H$14="OK",(IFERROR(SUMIF(Nutzungsprofile!$B$6:$B$11,"Schulbetrieb",Nutzungsprofile!$G$6:$G$11)*Kalender!C312/SUM(Kalender!$C$5:$C$370),0)+IFERROR(SUMIF(Nutzungsprofile!$B$6:$B$11,"Halle",Nutzungsprofile!$G$6:$G$11)*Kalender!D312/SUM(Kalender!$D$5:$D$370),0)+IFERROR(SUMIF(Nutzungsprofile!$B$6:$B$11,"Individuell",Nutzungsprofile!$G$6:$G$11)*Kalender!E312/SUM(Kalender!$E$5:$E$370),0))*Szenarien!$E$14,0)</f>
        <v>0.9</v>
      </c>
      <c r="D1410" s="13" t="n">
        <f aca="false">IF(Szenarien!$H$14="OK",(IFERROR(SUMIF(Nutzungsprofile!$B$17:$B$22,"Schulbetrieb",Nutzungsprofile!$G$17:$G$22)*Kalender!C312/SUM(Kalender!$C$5:$C$370),0)+IFERROR(SUMIF(Nutzungsprofile!$B$17:$B$22,"Halle",Nutzungsprofile!$G$17:$G$22)*Kalender!D312/SUM(Kalender!$D$5:$D$370),0)+IFERROR(SUMIF(Nutzungsprofile!$B$17:$B$22,"Individuell",Nutzungsprofile!$G$17:$G$22)*Kalender!E312/SUM(Kalender!$E$5:$E$370),0))*Szenarien!$D$14,0)</f>
        <v>4.05</v>
      </c>
      <c r="E1410" s="13" t="n">
        <f aca="false">IFERROR(MIN(C1410,Eingaben!$B$17)*Eingaben!$B$16,0)</f>
        <v>0.855</v>
      </c>
      <c r="F1410" s="13" t="n">
        <f aca="false">IFERROR(E1410*Eingaben!$B$15,0)</f>
        <v>0.7695</v>
      </c>
      <c r="G1410" s="13" t="n">
        <f aca="false">IFERROR(IF(Kalender!A312="",0,J1409*(1-Eingaben!$B$20)),0)</f>
        <v>0.226233</v>
      </c>
      <c r="H1410" s="13" t="n">
        <f aca="false">MIN(G1410,D1410)</f>
        <v>0.226233</v>
      </c>
      <c r="I1410" s="13" t="n">
        <f aca="false">IFERROR(MIN(F1410*Eingaben!$B$19,MAX(0,D1410-H1410)),0)</f>
        <v>0.53865</v>
      </c>
      <c r="J1410" s="13" t="n">
        <f aca="false">IFERROR(MIN(Eingaben!$B$18,MAX(0,F1410-I1410)),0)</f>
        <v>0.23085</v>
      </c>
      <c r="K1410" s="13" t="n">
        <f aca="false">H1410+I1410</f>
        <v>0.764883</v>
      </c>
      <c r="L1410" s="13" t="n">
        <f aca="false">MAX(0,D1410-K1410)</f>
        <v>3.285117</v>
      </c>
      <c r="M1410" s="13" t="n">
        <f aca="false">MAX(0,F1410-I1410-J1410)</f>
        <v>0</v>
      </c>
      <c r="N1410" s="13" t="n">
        <f aca="false">IF(Kalender!A312="",0,J1409-H1410)</f>
        <v>0.00461700000000001</v>
      </c>
    </row>
    <row r="1411" customFormat="false" ht="16.4" hidden="false" customHeight="false" outlineLevel="0" collapsed="false">
      <c r="A1411" s="13" t="str">
        <f aca="false">""</f>
        <v/>
      </c>
      <c r="B1411" s="13" t="n">
        <f aca="false">309</f>
        <v>309</v>
      </c>
      <c r="C1411" s="13" t="n">
        <f aca="false">IF(Szenarien!$H$14="OK",(IFERROR(SUMIF(Nutzungsprofile!$B$6:$B$11,"Schulbetrieb",Nutzungsprofile!$G$6:$G$11)*Kalender!C313/SUM(Kalender!$C$5:$C$370),0)+IFERROR(SUMIF(Nutzungsprofile!$B$6:$B$11,"Halle",Nutzungsprofile!$G$6:$G$11)*Kalender!D313/SUM(Kalender!$D$5:$D$370),0)+IFERROR(SUMIF(Nutzungsprofile!$B$6:$B$11,"Individuell",Nutzungsprofile!$G$6:$G$11)*Kalender!E313/SUM(Kalender!$E$5:$E$370),0))*Szenarien!$E$14,0)</f>
        <v>0.9</v>
      </c>
      <c r="D1411" s="13" t="n">
        <f aca="false">IF(Szenarien!$H$14="OK",(IFERROR(SUMIF(Nutzungsprofile!$B$17:$B$22,"Schulbetrieb",Nutzungsprofile!$G$17:$G$22)*Kalender!C313/SUM(Kalender!$C$5:$C$370),0)+IFERROR(SUMIF(Nutzungsprofile!$B$17:$B$22,"Halle",Nutzungsprofile!$G$17:$G$22)*Kalender!D313/SUM(Kalender!$D$5:$D$370),0)+IFERROR(SUMIF(Nutzungsprofile!$B$17:$B$22,"Individuell",Nutzungsprofile!$G$17:$G$22)*Kalender!E313/SUM(Kalender!$E$5:$E$370),0))*Szenarien!$D$14,0)</f>
        <v>4.05</v>
      </c>
      <c r="E1411" s="13" t="n">
        <f aca="false">IFERROR(MIN(C1411,Eingaben!$B$17)*Eingaben!$B$16,0)</f>
        <v>0.855</v>
      </c>
      <c r="F1411" s="13" t="n">
        <f aca="false">IFERROR(E1411*Eingaben!$B$15,0)</f>
        <v>0.7695</v>
      </c>
      <c r="G1411" s="13" t="n">
        <f aca="false">IFERROR(IF(Kalender!A313="",0,J1410*(1-Eingaben!$B$20)),0)</f>
        <v>0.226233</v>
      </c>
      <c r="H1411" s="13" t="n">
        <f aca="false">MIN(G1411,D1411)</f>
        <v>0.226233</v>
      </c>
      <c r="I1411" s="13" t="n">
        <f aca="false">IFERROR(MIN(F1411*Eingaben!$B$19,MAX(0,D1411-H1411)),0)</f>
        <v>0.53865</v>
      </c>
      <c r="J1411" s="13" t="n">
        <f aca="false">IFERROR(MIN(Eingaben!$B$18,MAX(0,F1411-I1411)),0)</f>
        <v>0.23085</v>
      </c>
      <c r="K1411" s="13" t="n">
        <f aca="false">H1411+I1411</f>
        <v>0.764883</v>
      </c>
      <c r="L1411" s="13" t="n">
        <f aca="false">MAX(0,D1411-K1411)</f>
        <v>3.285117</v>
      </c>
      <c r="M1411" s="13" t="n">
        <f aca="false">MAX(0,F1411-I1411-J1411)</f>
        <v>0</v>
      </c>
      <c r="N1411" s="13" t="n">
        <f aca="false">IF(Kalender!A313="",0,J1410-H1411)</f>
        <v>0.00461700000000001</v>
      </c>
    </row>
    <row r="1412" customFormat="false" ht="16.4" hidden="false" customHeight="false" outlineLevel="0" collapsed="false">
      <c r="A1412" s="13" t="str">
        <f aca="false">""</f>
        <v/>
      </c>
      <c r="B1412" s="13" t="n">
        <f aca="false">310</f>
        <v>310</v>
      </c>
      <c r="C1412" s="13" t="n">
        <f aca="false">IF(Szenarien!$H$14="OK",(IFERROR(SUMIF(Nutzungsprofile!$B$6:$B$11,"Schulbetrieb",Nutzungsprofile!$G$6:$G$11)*Kalender!C314/SUM(Kalender!$C$5:$C$370),0)+IFERROR(SUMIF(Nutzungsprofile!$B$6:$B$11,"Halle",Nutzungsprofile!$G$6:$G$11)*Kalender!D314/SUM(Kalender!$D$5:$D$370),0)+IFERROR(SUMIF(Nutzungsprofile!$B$6:$B$11,"Individuell",Nutzungsprofile!$G$6:$G$11)*Kalender!E314/SUM(Kalender!$E$5:$E$370),0))*Szenarien!$E$14,0)</f>
        <v>0.9</v>
      </c>
      <c r="D1412" s="13" t="n">
        <f aca="false">IF(Szenarien!$H$14="OK",(IFERROR(SUMIF(Nutzungsprofile!$B$17:$B$22,"Schulbetrieb",Nutzungsprofile!$G$17:$G$22)*Kalender!C314/SUM(Kalender!$C$5:$C$370),0)+IFERROR(SUMIF(Nutzungsprofile!$B$17:$B$22,"Halle",Nutzungsprofile!$G$17:$G$22)*Kalender!D314/SUM(Kalender!$D$5:$D$370),0)+IFERROR(SUMIF(Nutzungsprofile!$B$17:$B$22,"Individuell",Nutzungsprofile!$G$17:$G$22)*Kalender!E314/SUM(Kalender!$E$5:$E$370),0))*Szenarien!$D$14,0)</f>
        <v>4.05</v>
      </c>
      <c r="E1412" s="13" t="n">
        <f aca="false">IFERROR(MIN(C1412,Eingaben!$B$17)*Eingaben!$B$16,0)</f>
        <v>0.855</v>
      </c>
      <c r="F1412" s="13" t="n">
        <f aca="false">IFERROR(E1412*Eingaben!$B$15,0)</f>
        <v>0.7695</v>
      </c>
      <c r="G1412" s="13" t="n">
        <f aca="false">IFERROR(IF(Kalender!A314="",0,J1411*(1-Eingaben!$B$20)),0)</f>
        <v>0.226233</v>
      </c>
      <c r="H1412" s="13" t="n">
        <f aca="false">MIN(G1412,D1412)</f>
        <v>0.226233</v>
      </c>
      <c r="I1412" s="13" t="n">
        <f aca="false">IFERROR(MIN(F1412*Eingaben!$B$19,MAX(0,D1412-H1412)),0)</f>
        <v>0.53865</v>
      </c>
      <c r="J1412" s="13" t="n">
        <f aca="false">IFERROR(MIN(Eingaben!$B$18,MAX(0,F1412-I1412)),0)</f>
        <v>0.23085</v>
      </c>
      <c r="K1412" s="13" t="n">
        <f aca="false">H1412+I1412</f>
        <v>0.764883</v>
      </c>
      <c r="L1412" s="13" t="n">
        <f aca="false">MAX(0,D1412-K1412)</f>
        <v>3.285117</v>
      </c>
      <c r="M1412" s="13" t="n">
        <f aca="false">MAX(0,F1412-I1412-J1412)</f>
        <v>0</v>
      </c>
      <c r="N1412" s="13" t="n">
        <f aca="false">IF(Kalender!A314="",0,J1411-H1412)</f>
        <v>0.00461700000000001</v>
      </c>
    </row>
    <row r="1413" customFormat="false" ht="16.4" hidden="false" customHeight="false" outlineLevel="0" collapsed="false">
      <c r="A1413" s="13" t="str">
        <f aca="false">""</f>
        <v/>
      </c>
      <c r="B1413" s="13" t="n">
        <f aca="false">311</f>
        <v>311</v>
      </c>
      <c r="C1413" s="13" t="n">
        <f aca="false">IF(Szenarien!$H$14="OK",(IFERROR(SUMIF(Nutzungsprofile!$B$6:$B$11,"Schulbetrieb",Nutzungsprofile!$G$6:$G$11)*Kalender!C315/SUM(Kalender!$C$5:$C$370),0)+IFERROR(SUMIF(Nutzungsprofile!$B$6:$B$11,"Halle",Nutzungsprofile!$G$6:$G$11)*Kalender!D315/SUM(Kalender!$D$5:$D$370),0)+IFERROR(SUMIF(Nutzungsprofile!$B$6:$B$11,"Individuell",Nutzungsprofile!$G$6:$G$11)*Kalender!E315/SUM(Kalender!$E$5:$E$370),0))*Szenarien!$E$14,0)</f>
        <v>0</v>
      </c>
      <c r="D1413" s="13" t="n">
        <f aca="false">IF(Szenarien!$H$14="OK",(IFERROR(SUMIF(Nutzungsprofile!$B$17:$B$22,"Schulbetrieb",Nutzungsprofile!$G$17:$G$22)*Kalender!C315/SUM(Kalender!$C$5:$C$370),0)+IFERROR(SUMIF(Nutzungsprofile!$B$17:$B$22,"Halle",Nutzungsprofile!$G$17:$G$22)*Kalender!D315/SUM(Kalender!$D$5:$D$370),0)+IFERROR(SUMIF(Nutzungsprofile!$B$17:$B$22,"Individuell",Nutzungsprofile!$G$17:$G$22)*Kalender!E315/SUM(Kalender!$E$5:$E$370),0))*Szenarien!$D$14,0)</f>
        <v>0</v>
      </c>
      <c r="E1413" s="13" t="n">
        <f aca="false">IFERROR(MIN(C1413,Eingaben!$B$17)*Eingaben!$B$16,0)</f>
        <v>0</v>
      </c>
      <c r="F1413" s="13" t="n">
        <f aca="false">IFERROR(E1413*Eingaben!$B$15,0)</f>
        <v>0</v>
      </c>
      <c r="G1413" s="13" t="n">
        <f aca="false">IFERROR(IF(Kalender!A315="",0,J1412*(1-Eingaben!$B$20)),0)</f>
        <v>0.226233</v>
      </c>
      <c r="H1413" s="13" t="n">
        <f aca="false">MIN(G1413,D1413)</f>
        <v>0</v>
      </c>
      <c r="I1413" s="13" t="n">
        <f aca="false">IFERROR(MIN(F1413*Eingaben!$B$19,MAX(0,D1413-H1413)),0)</f>
        <v>0</v>
      </c>
      <c r="J1413" s="13" t="n">
        <f aca="false">IFERROR(MIN(Eingaben!$B$18,MAX(0,F1413-I1413)),0)</f>
        <v>0</v>
      </c>
      <c r="K1413" s="13" t="n">
        <f aca="false">H1413+I1413</f>
        <v>0</v>
      </c>
      <c r="L1413" s="13" t="n">
        <f aca="false">MAX(0,D1413-K1413)</f>
        <v>0</v>
      </c>
      <c r="M1413" s="13" t="n">
        <f aca="false">MAX(0,F1413-I1413-J1413)</f>
        <v>0</v>
      </c>
      <c r="N1413" s="13" t="n">
        <f aca="false">IF(Kalender!A315="",0,J1412-H1413)</f>
        <v>0.23085</v>
      </c>
    </row>
    <row r="1414" customFormat="false" ht="16.4" hidden="false" customHeight="false" outlineLevel="0" collapsed="false">
      <c r="A1414" s="13" t="str">
        <f aca="false">""</f>
        <v/>
      </c>
      <c r="B1414" s="13" t="n">
        <f aca="false">312</f>
        <v>312</v>
      </c>
      <c r="C1414" s="13" t="n">
        <f aca="false">IF(Szenarien!$H$14="OK",(IFERROR(SUMIF(Nutzungsprofile!$B$6:$B$11,"Schulbetrieb",Nutzungsprofile!$G$6:$G$11)*Kalender!C316/SUM(Kalender!$C$5:$C$370),0)+IFERROR(SUMIF(Nutzungsprofile!$B$6:$B$11,"Halle",Nutzungsprofile!$G$6:$G$11)*Kalender!D316/SUM(Kalender!$D$5:$D$370),0)+IFERROR(SUMIF(Nutzungsprofile!$B$6:$B$11,"Individuell",Nutzungsprofile!$G$6:$G$11)*Kalender!E316/SUM(Kalender!$E$5:$E$370),0))*Szenarien!$E$14,0)</f>
        <v>0</v>
      </c>
      <c r="D1414" s="13" t="n">
        <f aca="false">IF(Szenarien!$H$14="OK",(IFERROR(SUMIF(Nutzungsprofile!$B$17:$B$22,"Schulbetrieb",Nutzungsprofile!$G$17:$G$22)*Kalender!C316/SUM(Kalender!$C$5:$C$370),0)+IFERROR(SUMIF(Nutzungsprofile!$B$17:$B$22,"Halle",Nutzungsprofile!$G$17:$G$22)*Kalender!D316/SUM(Kalender!$D$5:$D$370),0)+IFERROR(SUMIF(Nutzungsprofile!$B$17:$B$22,"Individuell",Nutzungsprofile!$G$17:$G$22)*Kalender!E316/SUM(Kalender!$E$5:$E$370),0))*Szenarien!$D$14,0)</f>
        <v>0</v>
      </c>
      <c r="E1414" s="13" t="n">
        <f aca="false">IFERROR(MIN(C1414,Eingaben!$B$17)*Eingaben!$B$16,0)</f>
        <v>0</v>
      </c>
      <c r="F1414" s="13" t="n">
        <f aca="false">IFERROR(E1414*Eingaben!$B$15,0)</f>
        <v>0</v>
      </c>
      <c r="G1414" s="13" t="n">
        <f aca="false">IFERROR(IF(Kalender!A316="",0,J1413*(1-Eingaben!$B$20)),0)</f>
        <v>0</v>
      </c>
      <c r="H1414" s="13" t="n">
        <f aca="false">MIN(G1414,D1414)</f>
        <v>0</v>
      </c>
      <c r="I1414" s="13" t="n">
        <f aca="false">IFERROR(MIN(F1414*Eingaben!$B$19,MAX(0,D1414-H1414)),0)</f>
        <v>0</v>
      </c>
      <c r="J1414" s="13" t="n">
        <f aca="false">IFERROR(MIN(Eingaben!$B$18,MAX(0,F1414-I1414)),0)</f>
        <v>0</v>
      </c>
      <c r="K1414" s="13" t="n">
        <f aca="false">H1414+I1414</f>
        <v>0</v>
      </c>
      <c r="L1414" s="13" t="n">
        <f aca="false">MAX(0,D1414-K1414)</f>
        <v>0</v>
      </c>
      <c r="M1414" s="13" t="n">
        <f aca="false">MAX(0,F1414-I1414-J1414)</f>
        <v>0</v>
      </c>
      <c r="N1414" s="13" t="n">
        <f aca="false">IF(Kalender!A316="",0,J1413-H1414)</f>
        <v>0</v>
      </c>
    </row>
    <row r="1415" customFormat="false" ht="16.4" hidden="false" customHeight="false" outlineLevel="0" collapsed="false">
      <c r="A1415" s="13" t="str">
        <f aca="false">""</f>
        <v/>
      </c>
      <c r="B1415" s="13" t="n">
        <f aca="false">313</f>
        <v>313</v>
      </c>
      <c r="C1415" s="13" t="n">
        <f aca="false">IF(Szenarien!$H$14="OK",(IFERROR(SUMIF(Nutzungsprofile!$B$6:$B$11,"Schulbetrieb",Nutzungsprofile!$G$6:$G$11)*Kalender!C317/SUM(Kalender!$C$5:$C$370),0)+IFERROR(SUMIF(Nutzungsprofile!$B$6:$B$11,"Halle",Nutzungsprofile!$G$6:$G$11)*Kalender!D317/SUM(Kalender!$D$5:$D$370),0)+IFERROR(SUMIF(Nutzungsprofile!$B$6:$B$11,"Individuell",Nutzungsprofile!$G$6:$G$11)*Kalender!E317/SUM(Kalender!$E$5:$E$370),0))*Szenarien!$E$14,0)</f>
        <v>0.9</v>
      </c>
      <c r="D1415" s="13" t="n">
        <f aca="false">IF(Szenarien!$H$14="OK",(IFERROR(SUMIF(Nutzungsprofile!$B$17:$B$22,"Schulbetrieb",Nutzungsprofile!$G$17:$G$22)*Kalender!C317/SUM(Kalender!$C$5:$C$370),0)+IFERROR(SUMIF(Nutzungsprofile!$B$17:$B$22,"Halle",Nutzungsprofile!$G$17:$G$22)*Kalender!D317/SUM(Kalender!$D$5:$D$370),0)+IFERROR(SUMIF(Nutzungsprofile!$B$17:$B$22,"Individuell",Nutzungsprofile!$G$17:$G$22)*Kalender!E317/SUM(Kalender!$E$5:$E$370),0))*Szenarien!$D$14,0)</f>
        <v>4.05</v>
      </c>
      <c r="E1415" s="13" t="n">
        <f aca="false">IFERROR(MIN(C1415,Eingaben!$B$17)*Eingaben!$B$16,0)</f>
        <v>0.855</v>
      </c>
      <c r="F1415" s="13" t="n">
        <f aca="false">IFERROR(E1415*Eingaben!$B$15,0)</f>
        <v>0.7695</v>
      </c>
      <c r="G1415" s="13" t="n">
        <f aca="false">IFERROR(IF(Kalender!A317="",0,J1414*(1-Eingaben!$B$20)),0)</f>
        <v>0</v>
      </c>
      <c r="H1415" s="13" t="n">
        <f aca="false">MIN(G1415,D1415)</f>
        <v>0</v>
      </c>
      <c r="I1415" s="13" t="n">
        <f aca="false">IFERROR(MIN(F1415*Eingaben!$B$19,MAX(0,D1415-H1415)),0)</f>
        <v>0.53865</v>
      </c>
      <c r="J1415" s="13" t="n">
        <f aca="false">IFERROR(MIN(Eingaben!$B$18,MAX(0,F1415-I1415)),0)</f>
        <v>0.23085</v>
      </c>
      <c r="K1415" s="13" t="n">
        <f aca="false">H1415+I1415</f>
        <v>0.53865</v>
      </c>
      <c r="L1415" s="13" t="n">
        <f aca="false">MAX(0,D1415-K1415)</f>
        <v>3.51135</v>
      </c>
      <c r="M1415" s="13" t="n">
        <f aca="false">MAX(0,F1415-I1415-J1415)</f>
        <v>0</v>
      </c>
      <c r="N1415" s="13" t="n">
        <f aca="false">IF(Kalender!A317="",0,J1414-H1415)</f>
        <v>0</v>
      </c>
    </row>
    <row r="1416" customFormat="false" ht="16.4" hidden="false" customHeight="false" outlineLevel="0" collapsed="false">
      <c r="A1416" s="13" t="str">
        <f aca="false">""</f>
        <v/>
      </c>
      <c r="B1416" s="13" t="n">
        <f aca="false">314</f>
        <v>314</v>
      </c>
      <c r="C1416" s="13" t="n">
        <f aca="false">IF(Szenarien!$H$14="OK",(IFERROR(SUMIF(Nutzungsprofile!$B$6:$B$11,"Schulbetrieb",Nutzungsprofile!$G$6:$G$11)*Kalender!C318/SUM(Kalender!$C$5:$C$370),0)+IFERROR(SUMIF(Nutzungsprofile!$B$6:$B$11,"Halle",Nutzungsprofile!$G$6:$G$11)*Kalender!D318/SUM(Kalender!$D$5:$D$370),0)+IFERROR(SUMIF(Nutzungsprofile!$B$6:$B$11,"Individuell",Nutzungsprofile!$G$6:$G$11)*Kalender!E318/SUM(Kalender!$E$5:$E$370),0))*Szenarien!$E$14,0)</f>
        <v>0.9</v>
      </c>
      <c r="D1416" s="13" t="n">
        <f aca="false">IF(Szenarien!$H$14="OK",(IFERROR(SUMIF(Nutzungsprofile!$B$17:$B$22,"Schulbetrieb",Nutzungsprofile!$G$17:$G$22)*Kalender!C318/SUM(Kalender!$C$5:$C$370),0)+IFERROR(SUMIF(Nutzungsprofile!$B$17:$B$22,"Halle",Nutzungsprofile!$G$17:$G$22)*Kalender!D318/SUM(Kalender!$D$5:$D$370),0)+IFERROR(SUMIF(Nutzungsprofile!$B$17:$B$22,"Individuell",Nutzungsprofile!$G$17:$G$22)*Kalender!E318/SUM(Kalender!$E$5:$E$370),0))*Szenarien!$D$14,0)</f>
        <v>4.05</v>
      </c>
      <c r="E1416" s="13" t="n">
        <f aca="false">IFERROR(MIN(C1416,Eingaben!$B$17)*Eingaben!$B$16,0)</f>
        <v>0.855</v>
      </c>
      <c r="F1416" s="13" t="n">
        <f aca="false">IFERROR(E1416*Eingaben!$B$15,0)</f>
        <v>0.7695</v>
      </c>
      <c r="G1416" s="13" t="n">
        <f aca="false">IFERROR(IF(Kalender!A318="",0,J1415*(1-Eingaben!$B$20)),0)</f>
        <v>0.226233</v>
      </c>
      <c r="H1416" s="13" t="n">
        <f aca="false">MIN(G1416,D1416)</f>
        <v>0.226233</v>
      </c>
      <c r="I1416" s="13" t="n">
        <f aca="false">IFERROR(MIN(F1416*Eingaben!$B$19,MAX(0,D1416-H1416)),0)</f>
        <v>0.53865</v>
      </c>
      <c r="J1416" s="13" t="n">
        <f aca="false">IFERROR(MIN(Eingaben!$B$18,MAX(0,F1416-I1416)),0)</f>
        <v>0.23085</v>
      </c>
      <c r="K1416" s="13" t="n">
        <f aca="false">H1416+I1416</f>
        <v>0.764883</v>
      </c>
      <c r="L1416" s="13" t="n">
        <f aca="false">MAX(0,D1416-K1416)</f>
        <v>3.285117</v>
      </c>
      <c r="M1416" s="13" t="n">
        <f aca="false">MAX(0,F1416-I1416-J1416)</f>
        <v>0</v>
      </c>
      <c r="N1416" s="13" t="n">
        <f aca="false">IF(Kalender!A318="",0,J1415-H1416)</f>
        <v>0.00461700000000001</v>
      </c>
    </row>
    <row r="1417" customFormat="false" ht="16.4" hidden="false" customHeight="false" outlineLevel="0" collapsed="false">
      <c r="A1417" s="13" t="str">
        <f aca="false">""</f>
        <v/>
      </c>
      <c r="B1417" s="13" t="n">
        <f aca="false">315</f>
        <v>315</v>
      </c>
      <c r="C1417" s="13" t="n">
        <f aca="false">IF(Szenarien!$H$14="OK",(IFERROR(SUMIF(Nutzungsprofile!$B$6:$B$11,"Schulbetrieb",Nutzungsprofile!$G$6:$G$11)*Kalender!C319/SUM(Kalender!$C$5:$C$370),0)+IFERROR(SUMIF(Nutzungsprofile!$B$6:$B$11,"Halle",Nutzungsprofile!$G$6:$G$11)*Kalender!D319/SUM(Kalender!$D$5:$D$370),0)+IFERROR(SUMIF(Nutzungsprofile!$B$6:$B$11,"Individuell",Nutzungsprofile!$G$6:$G$11)*Kalender!E319/SUM(Kalender!$E$5:$E$370),0))*Szenarien!$E$14,0)</f>
        <v>0.9</v>
      </c>
      <c r="D1417" s="13" t="n">
        <f aca="false">IF(Szenarien!$H$14="OK",(IFERROR(SUMIF(Nutzungsprofile!$B$17:$B$22,"Schulbetrieb",Nutzungsprofile!$G$17:$G$22)*Kalender!C319/SUM(Kalender!$C$5:$C$370),0)+IFERROR(SUMIF(Nutzungsprofile!$B$17:$B$22,"Halle",Nutzungsprofile!$G$17:$G$22)*Kalender!D319/SUM(Kalender!$D$5:$D$370),0)+IFERROR(SUMIF(Nutzungsprofile!$B$17:$B$22,"Individuell",Nutzungsprofile!$G$17:$G$22)*Kalender!E319/SUM(Kalender!$E$5:$E$370),0))*Szenarien!$D$14,0)</f>
        <v>4.05</v>
      </c>
      <c r="E1417" s="13" t="n">
        <f aca="false">IFERROR(MIN(C1417,Eingaben!$B$17)*Eingaben!$B$16,0)</f>
        <v>0.855</v>
      </c>
      <c r="F1417" s="13" t="n">
        <f aca="false">IFERROR(E1417*Eingaben!$B$15,0)</f>
        <v>0.7695</v>
      </c>
      <c r="G1417" s="13" t="n">
        <f aca="false">IFERROR(IF(Kalender!A319="",0,J1416*(1-Eingaben!$B$20)),0)</f>
        <v>0.226233</v>
      </c>
      <c r="H1417" s="13" t="n">
        <f aca="false">MIN(G1417,D1417)</f>
        <v>0.226233</v>
      </c>
      <c r="I1417" s="13" t="n">
        <f aca="false">IFERROR(MIN(F1417*Eingaben!$B$19,MAX(0,D1417-H1417)),0)</f>
        <v>0.53865</v>
      </c>
      <c r="J1417" s="13" t="n">
        <f aca="false">IFERROR(MIN(Eingaben!$B$18,MAX(0,F1417-I1417)),0)</f>
        <v>0.23085</v>
      </c>
      <c r="K1417" s="13" t="n">
        <f aca="false">H1417+I1417</f>
        <v>0.764883</v>
      </c>
      <c r="L1417" s="13" t="n">
        <f aca="false">MAX(0,D1417-K1417)</f>
        <v>3.285117</v>
      </c>
      <c r="M1417" s="13" t="n">
        <f aca="false">MAX(0,F1417-I1417-J1417)</f>
        <v>0</v>
      </c>
      <c r="N1417" s="13" t="n">
        <f aca="false">IF(Kalender!A319="",0,J1416-H1417)</f>
        <v>0.00461700000000001</v>
      </c>
    </row>
    <row r="1418" customFormat="false" ht="16.4" hidden="false" customHeight="false" outlineLevel="0" collapsed="false">
      <c r="A1418" s="13" t="str">
        <f aca="false">""</f>
        <v/>
      </c>
      <c r="B1418" s="13" t="n">
        <f aca="false">316</f>
        <v>316</v>
      </c>
      <c r="C1418" s="13" t="n">
        <f aca="false">IF(Szenarien!$H$14="OK",(IFERROR(SUMIF(Nutzungsprofile!$B$6:$B$11,"Schulbetrieb",Nutzungsprofile!$G$6:$G$11)*Kalender!C320/SUM(Kalender!$C$5:$C$370),0)+IFERROR(SUMIF(Nutzungsprofile!$B$6:$B$11,"Halle",Nutzungsprofile!$G$6:$G$11)*Kalender!D320/SUM(Kalender!$D$5:$D$370),0)+IFERROR(SUMIF(Nutzungsprofile!$B$6:$B$11,"Individuell",Nutzungsprofile!$G$6:$G$11)*Kalender!E320/SUM(Kalender!$E$5:$E$370),0))*Szenarien!$E$14,0)</f>
        <v>0.9</v>
      </c>
      <c r="D1418" s="13" t="n">
        <f aca="false">IF(Szenarien!$H$14="OK",(IFERROR(SUMIF(Nutzungsprofile!$B$17:$B$22,"Schulbetrieb",Nutzungsprofile!$G$17:$G$22)*Kalender!C320/SUM(Kalender!$C$5:$C$370),0)+IFERROR(SUMIF(Nutzungsprofile!$B$17:$B$22,"Halle",Nutzungsprofile!$G$17:$G$22)*Kalender!D320/SUM(Kalender!$D$5:$D$370),0)+IFERROR(SUMIF(Nutzungsprofile!$B$17:$B$22,"Individuell",Nutzungsprofile!$G$17:$G$22)*Kalender!E320/SUM(Kalender!$E$5:$E$370),0))*Szenarien!$D$14,0)</f>
        <v>4.05</v>
      </c>
      <c r="E1418" s="13" t="n">
        <f aca="false">IFERROR(MIN(C1418,Eingaben!$B$17)*Eingaben!$B$16,0)</f>
        <v>0.855</v>
      </c>
      <c r="F1418" s="13" t="n">
        <f aca="false">IFERROR(E1418*Eingaben!$B$15,0)</f>
        <v>0.7695</v>
      </c>
      <c r="G1418" s="13" t="n">
        <f aca="false">IFERROR(IF(Kalender!A320="",0,J1417*(1-Eingaben!$B$20)),0)</f>
        <v>0.226233</v>
      </c>
      <c r="H1418" s="13" t="n">
        <f aca="false">MIN(G1418,D1418)</f>
        <v>0.226233</v>
      </c>
      <c r="I1418" s="13" t="n">
        <f aca="false">IFERROR(MIN(F1418*Eingaben!$B$19,MAX(0,D1418-H1418)),0)</f>
        <v>0.53865</v>
      </c>
      <c r="J1418" s="13" t="n">
        <f aca="false">IFERROR(MIN(Eingaben!$B$18,MAX(0,F1418-I1418)),0)</f>
        <v>0.23085</v>
      </c>
      <c r="K1418" s="13" t="n">
        <f aca="false">H1418+I1418</f>
        <v>0.764883</v>
      </c>
      <c r="L1418" s="13" t="n">
        <f aca="false">MAX(0,D1418-K1418)</f>
        <v>3.285117</v>
      </c>
      <c r="M1418" s="13" t="n">
        <f aca="false">MAX(0,F1418-I1418-J1418)</f>
        <v>0</v>
      </c>
      <c r="N1418" s="13" t="n">
        <f aca="false">IF(Kalender!A320="",0,J1417-H1418)</f>
        <v>0.00461700000000001</v>
      </c>
    </row>
    <row r="1419" customFormat="false" ht="16.4" hidden="false" customHeight="false" outlineLevel="0" collapsed="false">
      <c r="A1419" s="13" t="str">
        <f aca="false">""</f>
        <v/>
      </c>
      <c r="B1419" s="13" t="n">
        <f aca="false">317</f>
        <v>317</v>
      </c>
      <c r="C1419" s="13" t="n">
        <f aca="false">IF(Szenarien!$H$14="OK",(IFERROR(SUMIF(Nutzungsprofile!$B$6:$B$11,"Schulbetrieb",Nutzungsprofile!$G$6:$G$11)*Kalender!C321/SUM(Kalender!$C$5:$C$370),0)+IFERROR(SUMIF(Nutzungsprofile!$B$6:$B$11,"Halle",Nutzungsprofile!$G$6:$G$11)*Kalender!D321/SUM(Kalender!$D$5:$D$370),0)+IFERROR(SUMIF(Nutzungsprofile!$B$6:$B$11,"Individuell",Nutzungsprofile!$G$6:$G$11)*Kalender!E321/SUM(Kalender!$E$5:$E$370),0))*Szenarien!$E$14,0)</f>
        <v>0.9</v>
      </c>
      <c r="D1419" s="13" t="n">
        <f aca="false">IF(Szenarien!$H$14="OK",(IFERROR(SUMIF(Nutzungsprofile!$B$17:$B$22,"Schulbetrieb",Nutzungsprofile!$G$17:$G$22)*Kalender!C321/SUM(Kalender!$C$5:$C$370),0)+IFERROR(SUMIF(Nutzungsprofile!$B$17:$B$22,"Halle",Nutzungsprofile!$G$17:$G$22)*Kalender!D321/SUM(Kalender!$D$5:$D$370),0)+IFERROR(SUMIF(Nutzungsprofile!$B$17:$B$22,"Individuell",Nutzungsprofile!$G$17:$G$22)*Kalender!E321/SUM(Kalender!$E$5:$E$370),0))*Szenarien!$D$14,0)</f>
        <v>4.05</v>
      </c>
      <c r="E1419" s="13" t="n">
        <f aca="false">IFERROR(MIN(C1419,Eingaben!$B$17)*Eingaben!$B$16,0)</f>
        <v>0.855</v>
      </c>
      <c r="F1419" s="13" t="n">
        <f aca="false">IFERROR(E1419*Eingaben!$B$15,0)</f>
        <v>0.7695</v>
      </c>
      <c r="G1419" s="13" t="n">
        <f aca="false">IFERROR(IF(Kalender!A321="",0,J1418*(1-Eingaben!$B$20)),0)</f>
        <v>0.226233</v>
      </c>
      <c r="H1419" s="13" t="n">
        <f aca="false">MIN(G1419,D1419)</f>
        <v>0.226233</v>
      </c>
      <c r="I1419" s="13" t="n">
        <f aca="false">IFERROR(MIN(F1419*Eingaben!$B$19,MAX(0,D1419-H1419)),0)</f>
        <v>0.53865</v>
      </c>
      <c r="J1419" s="13" t="n">
        <f aca="false">IFERROR(MIN(Eingaben!$B$18,MAX(0,F1419-I1419)),0)</f>
        <v>0.23085</v>
      </c>
      <c r="K1419" s="13" t="n">
        <f aca="false">H1419+I1419</f>
        <v>0.764883</v>
      </c>
      <c r="L1419" s="13" t="n">
        <f aca="false">MAX(0,D1419-K1419)</f>
        <v>3.285117</v>
      </c>
      <c r="M1419" s="13" t="n">
        <f aca="false">MAX(0,F1419-I1419-J1419)</f>
        <v>0</v>
      </c>
      <c r="N1419" s="13" t="n">
        <f aca="false">IF(Kalender!A321="",0,J1418-H1419)</f>
        <v>0.00461700000000001</v>
      </c>
    </row>
    <row r="1420" customFormat="false" ht="16.4" hidden="false" customHeight="false" outlineLevel="0" collapsed="false">
      <c r="A1420" s="13" t="str">
        <f aca="false">""</f>
        <v/>
      </c>
      <c r="B1420" s="13" t="n">
        <f aca="false">318</f>
        <v>318</v>
      </c>
      <c r="C1420" s="13" t="n">
        <f aca="false">IF(Szenarien!$H$14="OK",(IFERROR(SUMIF(Nutzungsprofile!$B$6:$B$11,"Schulbetrieb",Nutzungsprofile!$G$6:$G$11)*Kalender!C322/SUM(Kalender!$C$5:$C$370),0)+IFERROR(SUMIF(Nutzungsprofile!$B$6:$B$11,"Halle",Nutzungsprofile!$G$6:$G$11)*Kalender!D322/SUM(Kalender!$D$5:$D$370),0)+IFERROR(SUMIF(Nutzungsprofile!$B$6:$B$11,"Individuell",Nutzungsprofile!$G$6:$G$11)*Kalender!E322/SUM(Kalender!$E$5:$E$370),0))*Szenarien!$E$14,0)</f>
        <v>0</v>
      </c>
      <c r="D1420" s="13" t="n">
        <f aca="false">IF(Szenarien!$H$14="OK",(IFERROR(SUMIF(Nutzungsprofile!$B$17:$B$22,"Schulbetrieb",Nutzungsprofile!$G$17:$G$22)*Kalender!C322/SUM(Kalender!$C$5:$C$370),0)+IFERROR(SUMIF(Nutzungsprofile!$B$17:$B$22,"Halle",Nutzungsprofile!$G$17:$G$22)*Kalender!D322/SUM(Kalender!$D$5:$D$370),0)+IFERROR(SUMIF(Nutzungsprofile!$B$17:$B$22,"Individuell",Nutzungsprofile!$G$17:$G$22)*Kalender!E322/SUM(Kalender!$E$5:$E$370),0))*Szenarien!$D$14,0)</f>
        <v>0</v>
      </c>
      <c r="E1420" s="13" t="n">
        <f aca="false">IFERROR(MIN(C1420,Eingaben!$B$17)*Eingaben!$B$16,0)</f>
        <v>0</v>
      </c>
      <c r="F1420" s="13" t="n">
        <f aca="false">IFERROR(E1420*Eingaben!$B$15,0)</f>
        <v>0</v>
      </c>
      <c r="G1420" s="13" t="n">
        <f aca="false">IFERROR(IF(Kalender!A322="",0,J1419*(1-Eingaben!$B$20)),0)</f>
        <v>0.226233</v>
      </c>
      <c r="H1420" s="13" t="n">
        <f aca="false">MIN(G1420,D1420)</f>
        <v>0</v>
      </c>
      <c r="I1420" s="13" t="n">
        <f aca="false">IFERROR(MIN(F1420*Eingaben!$B$19,MAX(0,D1420-H1420)),0)</f>
        <v>0</v>
      </c>
      <c r="J1420" s="13" t="n">
        <f aca="false">IFERROR(MIN(Eingaben!$B$18,MAX(0,F1420-I1420)),0)</f>
        <v>0</v>
      </c>
      <c r="K1420" s="13" t="n">
        <f aca="false">H1420+I1420</f>
        <v>0</v>
      </c>
      <c r="L1420" s="13" t="n">
        <f aca="false">MAX(0,D1420-K1420)</f>
        <v>0</v>
      </c>
      <c r="M1420" s="13" t="n">
        <f aca="false">MAX(0,F1420-I1420-J1420)</f>
        <v>0</v>
      </c>
      <c r="N1420" s="13" t="n">
        <f aca="false">IF(Kalender!A322="",0,J1419-H1420)</f>
        <v>0.23085</v>
      </c>
    </row>
    <row r="1421" customFormat="false" ht="16.4" hidden="false" customHeight="false" outlineLevel="0" collapsed="false">
      <c r="A1421" s="13" t="str">
        <f aca="false">""</f>
        <v/>
      </c>
      <c r="B1421" s="13" t="n">
        <f aca="false">319</f>
        <v>319</v>
      </c>
      <c r="C1421" s="13" t="n">
        <f aca="false">IF(Szenarien!$H$14="OK",(IFERROR(SUMIF(Nutzungsprofile!$B$6:$B$11,"Schulbetrieb",Nutzungsprofile!$G$6:$G$11)*Kalender!C323/SUM(Kalender!$C$5:$C$370),0)+IFERROR(SUMIF(Nutzungsprofile!$B$6:$B$11,"Halle",Nutzungsprofile!$G$6:$G$11)*Kalender!D323/SUM(Kalender!$D$5:$D$370),0)+IFERROR(SUMIF(Nutzungsprofile!$B$6:$B$11,"Individuell",Nutzungsprofile!$G$6:$G$11)*Kalender!E323/SUM(Kalender!$E$5:$E$370),0))*Szenarien!$E$14,0)</f>
        <v>0</v>
      </c>
      <c r="D1421" s="13" t="n">
        <f aca="false">IF(Szenarien!$H$14="OK",(IFERROR(SUMIF(Nutzungsprofile!$B$17:$B$22,"Schulbetrieb",Nutzungsprofile!$G$17:$G$22)*Kalender!C323/SUM(Kalender!$C$5:$C$370),0)+IFERROR(SUMIF(Nutzungsprofile!$B$17:$B$22,"Halle",Nutzungsprofile!$G$17:$G$22)*Kalender!D323/SUM(Kalender!$D$5:$D$370),0)+IFERROR(SUMIF(Nutzungsprofile!$B$17:$B$22,"Individuell",Nutzungsprofile!$G$17:$G$22)*Kalender!E323/SUM(Kalender!$E$5:$E$370),0))*Szenarien!$D$14,0)</f>
        <v>0</v>
      </c>
      <c r="E1421" s="13" t="n">
        <f aca="false">IFERROR(MIN(C1421,Eingaben!$B$17)*Eingaben!$B$16,0)</f>
        <v>0</v>
      </c>
      <c r="F1421" s="13" t="n">
        <f aca="false">IFERROR(E1421*Eingaben!$B$15,0)</f>
        <v>0</v>
      </c>
      <c r="G1421" s="13" t="n">
        <f aca="false">IFERROR(IF(Kalender!A323="",0,J1420*(1-Eingaben!$B$20)),0)</f>
        <v>0</v>
      </c>
      <c r="H1421" s="13" t="n">
        <f aca="false">MIN(G1421,D1421)</f>
        <v>0</v>
      </c>
      <c r="I1421" s="13" t="n">
        <f aca="false">IFERROR(MIN(F1421*Eingaben!$B$19,MAX(0,D1421-H1421)),0)</f>
        <v>0</v>
      </c>
      <c r="J1421" s="13" t="n">
        <f aca="false">IFERROR(MIN(Eingaben!$B$18,MAX(0,F1421-I1421)),0)</f>
        <v>0</v>
      </c>
      <c r="K1421" s="13" t="n">
        <f aca="false">H1421+I1421</f>
        <v>0</v>
      </c>
      <c r="L1421" s="13" t="n">
        <f aca="false">MAX(0,D1421-K1421)</f>
        <v>0</v>
      </c>
      <c r="M1421" s="13" t="n">
        <f aca="false">MAX(0,F1421-I1421-J1421)</f>
        <v>0</v>
      </c>
      <c r="N1421" s="13" t="n">
        <f aca="false">IF(Kalender!A323="",0,J1420-H1421)</f>
        <v>0</v>
      </c>
    </row>
    <row r="1422" customFormat="false" ht="16.4" hidden="false" customHeight="false" outlineLevel="0" collapsed="false">
      <c r="A1422" s="13" t="str">
        <f aca="false">""</f>
        <v/>
      </c>
      <c r="B1422" s="13" t="n">
        <f aca="false">320</f>
        <v>320</v>
      </c>
      <c r="C1422" s="13" t="n">
        <f aca="false">IF(Szenarien!$H$14="OK",(IFERROR(SUMIF(Nutzungsprofile!$B$6:$B$11,"Schulbetrieb",Nutzungsprofile!$G$6:$G$11)*Kalender!C324/SUM(Kalender!$C$5:$C$370),0)+IFERROR(SUMIF(Nutzungsprofile!$B$6:$B$11,"Halle",Nutzungsprofile!$G$6:$G$11)*Kalender!D324/SUM(Kalender!$D$5:$D$370),0)+IFERROR(SUMIF(Nutzungsprofile!$B$6:$B$11,"Individuell",Nutzungsprofile!$G$6:$G$11)*Kalender!E324/SUM(Kalender!$E$5:$E$370),0))*Szenarien!$E$14,0)</f>
        <v>0.9</v>
      </c>
      <c r="D1422" s="13" t="n">
        <f aca="false">IF(Szenarien!$H$14="OK",(IFERROR(SUMIF(Nutzungsprofile!$B$17:$B$22,"Schulbetrieb",Nutzungsprofile!$G$17:$G$22)*Kalender!C324/SUM(Kalender!$C$5:$C$370),0)+IFERROR(SUMIF(Nutzungsprofile!$B$17:$B$22,"Halle",Nutzungsprofile!$G$17:$G$22)*Kalender!D324/SUM(Kalender!$D$5:$D$370),0)+IFERROR(SUMIF(Nutzungsprofile!$B$17:$B$22,"Individuell",Nutzungsprofile!$G$17:$G$22)*Kalender!E324/SUM(Kalender!$E$5:$E$370),0))*Szenarien!$D$14,0)</f>
        <v>4.05</v>
      </c>
      <c r="E1422" s="13" t="n">
        <f aca="false">IFERROR(MIN(C1422,Eingaben!$B$17)*Eingaben!$B$16,0)</f>
        <v>0.855</v>
      </c>
      <c r="F1422" s="13" t="n">
        <f aca="false">IFERROR(E1422*Eingaben!$B$15,0)</f>
        <v>0.7695</v>
      </c>
      <c r="G1422" s="13" t="n">
        <f aca="false">IFERROR(IF(Kalender!A324="",0,J1421*(1-Eingaben!$B$20)),0)</f>
        <v>0</v>
      </c>
      <c r="H1422" s="13" t="n">
        <f aca="false">MIN(G1422,D1422)</f>
        <v>0</v>
      </c>
      <c r="I1422" s="13" t="n">
        <f aca="false">IFERROR(MIN(F1422*Eingaben!$B$19,MAX(0,D1422-H1422)),0)</f>
        <v>0.53865</v>
      </c>
      <c r="J1422" s="13" t="n">
        <f aca="false">IFERROR(MIN(Eingaben!$B$18,MAX(0,F1422-I1422)),0)</f>
        <v>0.23085</v>
      </c>
      <c r="K1422" s="13" t="n">
        <f aca="false">H1422+I1422</f>
        <v>0.53865</v>
      </c>
      <c r="L1422" s="13" t="n">
        <f aca="false">MAX(0,D1422-K1422)</f>
        <v>3.51135</v>
      </c>
      <c r="M1422" s="13" t="n">
        <f aca="false">MAX(0,F1422-I1422-J1422)</f>
        <v>0</v>
      </c>
      <c r="N1422" s="13" t="n">
        <f aca="false">IF(Kalender!A324="",0,J1421-H1422)</f>
        <v>0</v>
      </c>
    </row>
    <row r="1423" customFormat="false" ht="16.4" hidden="false" customHeight="false" outlineLevel="0" collapsed="false">
      <c r="A1423" s="13" t="str">
        <f aca="false">""</f>
        <v/>
      </c>
      <c r="B1423" s="13" t="n">
        <f aca="false">321</f>
        <v>321</v>
      </c>
      <c r="C1423" s="13" t="n">
        <f aca="false">IF(Szenarien!$H$14="OK",(IFERROR(SUMIF(Nutzungsprofile!$B$6:$B$11,"Schulbetrieb",Nutzungsprofile!$G$6:$G$11)*Kalender!C325/SUM(Kalender!$C$5:$C$370),0)+IFERROR(SUMIF(Nutzungsprofile!$B$6:$B$11,"Halle",Nutzungsprofile!$G$6:$G$11)*Kalender!D325/SUM(Kalender!$D$5:$D$370),0)+IFERROR(SUMIF(Nutzungsprofile!$B$6:$B$11,"Individuell",Nutzungsprofile!$G$6:$G$11)*Kalender!E325/SUM(Kalender!$E$5:$E$370),0))*Szenarien!$E$14,0)</f>
        <v>0.9</v>
      </c>
      <c r="D1423" s="13" t="n">
        <f aca="false">IF(Szenarien!$H$14="OK",(IFERROR(SUMIF(Nutzungsprofile!$B$17:$B$22,"Schulbetrieb",Nutzungsprofile!$G$17:$G$22)*Kalender!C325/SUM(Kalender!$C$5:$C$370),0)+IFERROR(SUMIF(Nutzungsprofile!$B$17:$B$22,"Halle",Nutzungsprofile!$G$17:$G$22)*Kalender!D325/SUM(Kalender!$D$5:$D$370),0)+IFERROR(SUMIF(Nutzungsprofile!$B$17:$B$22,"Individuell",Nutzungsprofile!$G$17:$G$22)*Kalender!E325/SUM(Kalender!$E$5:$E$370),0))*Szenarien!$D$14,0)</f>
        <v>4.05</v>
      </c>
      <c r="E1423" s="13" t="n">
        <f aca="false">IFERROR(MIN(C1423,Eingaben!$B$17)*Eingaben!$B$16,0)</f>
        <v>0.855</v>
      </c>
      <c r="F1423" s="13" t="n">
        <f aca="false">IFERROR(E1423*Eingaben!$B$15,0)</f>
        <v>0.7695</v>
      </c>
      <c r="G1423" s="13" t="n">
        <f aca="false">IFERROR(IF(Kalender!A325="",0,J1422*(1-Eingaben!$B$20)),0)</f>
        <v>0.226233</v>
      </c>
      <c r="H1423" s="13" t="n">
        <f aca="false">MIN(G1423,D1423)</f>
        <v>0.226233</v>
      </c>
      <c r="I1423" s="13" t="n">
        <f aca="false">IFERROR(MIN(F1423*Eingaben!$B$19,MAX(0,D1423-H1423)),0)</f>
        <v>0.53865</v>
      </c>
      <c r="J1423" s="13" t="n">
        <f aca="false">IFERROR(MIN(Eingaben!$B$18,MAX(0,F1423-I1423)),0)</f>
        <v>0.23085</v>
      </c>
      <c r="K1423" s="13" t="n">
        <f aca="false">H1423+I1423</f>
        <v>0.764883</v>
      </c>
      <c r="L1423" s="13" t="n">
        <f aca="false">MAX(0,D1423-K1423)</f>
        <v>3.285117</v>
      </c>
      <c r="M1423" s="13" t="n">
        <f aca="false">MAX(0,F1423-I1423-J1423)</f>
        <v>0</v>
      </c>
      <c r="N1423" s="13" t="n">
        <f aca="false">IF(Kalender!A325="",0,J1422-H1423)</f>
        <v>0.00461700000000001</v>
      </c>
    </row>
    <row r="1424" customFormat="false" ht="16.4" hidden="false" customHeight="false" outlineLevel="0" collapsed="false">
      <c r="A1424" s="13" t="str">
        <f aca="false">""</f>
        <v/>
      </c>
      <c r="B1424" s="13" t="n">
        <f aca="false">322</f>
        <v>322</v>
      </c>
      <c r="C1424" s="13" t="n">
        <f aca="false">IF(Szenarien!$H$14="OK",(IFERROR(SUMIF(Nutzungsprofile!$B$6:$B$11,"Schulbetrieb",Nutzungsprofile!$G$6:$G$11)*Kalender!C326/SUM(Kalender!$C$5:$C$370),0)+IFERROR(SUMIF(Nutzungsprofile!$B$6:$B$11,"Halle",Nutzungsprofile!$G$6:$G$11)*Kalender!D326/SUM(Kalender!$D$5:$D$370),0)+IFERROR(SUMIF(Nutzungsprofile!$B$6:$B$11,"Individuell",Nutzungsprofile!$G$6:$G$11)*Kalender!E326/SUM(Kalender!$E$5:$E$370),0))*Szenarien!$E$14,0)</f>
        <v>0.9</v>
      </c>
      <c r="D1424" s="13" t="n">
        <f aca="false">IF(Szenarien!$H$14="OK",(IFERROR(SUMIF(Nutzungsprofile!$B$17:$B$22,"Schulbetrieb",Nutzungsprofile!$G$17:$G$22)*Kalender!C326/SUM(Kalender!$C$5:$C$370),0)+IFERROR(SUMIF(Nutzungsprofile!$B$17:$B$22,"Halle",Nutzungsprofile!$G$17:$G$22)*Kalender!D326/SUM(Kalender!$D$5:$D$370),0)+IFERROR(SUMIF(Nutzungsprofile!$B$17:$B$22,"Individuell",Nutzungsprofile!$G$17:$G$22)*Kalender!E326/SUM(Kalender!$E$5:$E$370),0))*Szenarien!$D$14,0)</f>
        <v>4.05</v>
      </c>
      <c r="E1424" s="13" t="n">
        <f aca="false">IFERROR(MIN(C1424,Eingaben!$B$17)*Eingaben!$B$16,0)</f>
        <v>0.855</v>
      </c>
      <c r="F1424" s="13" t="n">
        <f aca="false">IFERROR(E1424*Eingaben!$B$15,0)</f>
        <v>0.7695</v>
      </c>
      <c r="G1424" s="13" t="n">
        <f aca="false">IFERROR(IF(Kalender!A326="",0,J1423*(1-Eingaben!$B$20)),0)</f>
        <v>0.226233</v>
      </c>
      <c r="H1424" s="13" t="n">
        <f aca="false">MIN(G1424,D1424)</f>
        <v>0.226233</v>
      </c>
      <c r="I1424" s="13" t="n">
        <f aca="false">IFERROR(MIN(F1424*Eingaben!$B$19,MAX(0,D1424-H1424)),0)</f>
        <v>0.53865</v>
      </c>
      <c r="J1424" s="13" t="n">
        <f aca="false">IFERROR(MIN(Eingaben!$B$18,MAX(0,F1424-I1424)),0)</f>
        <v>0.23085</v>
      </c>
      <c r="K1424" s="13" t="n">
        <f aca="false">H1424+I1424</f>
        <v>0.764883</v>
      </c>
      <c r="L1424" s="13" t="n">
        <f aca="false">MAX(0,D1424-K1424)</f>
        <v>3.285117</v>
      </c>
      <c r="M1424" s="13" t="n">
        <f aca="false">MAX(0,F1424-I1424-J1424)</f>
        <v>0</v>
      </c>
      <c r="N1424" s="13" t="n">
        <f aca="false">IF(Kalender!A326="",0,J1423-H1424)</f>
        <v>0.00461700000000001</v>
      </c>
    </row>
    <row r="1425" customFormat="false" ht="16.4" hidden="false" customHeight="false" outlineLevel="0" collapsed="false">
      <c r="A1425" s="13" t="str">
        <f aca="false">""</f>
        <v/>
      </c>
      <c r="B1425" s="13" t="n">
        <f aca="false">323</f>
        <v>323</v>
      </c>
      <c r="C1425" s="13" t="n">
        <f aca="false">IF(Szenarien!$H$14="OK",(IFERROR(SUMIF(Nutzungsprofile!$B$6:$B$11,"Schulbetrieb",Nutzungsprofile!$G$6:$G$11)*Kalender!C327/SUM(Kalender!$C$5:$C$370),0)+IFERROR(SUMIF(Nutzungsprofile!$B$6:$B$11,"Halle",Nutzungsprofile!$G$6:$G$11)*Kalender!D327/SUM(Kalender!$D$5:$D$370),0)+IFERROR(SUMIF(Nutzungsprofile!$B$6:$B$11,"Individuell",Nutzungsprofile!$G$6:$G$11)*Kalender!E327/SUM(Kalender!$E$5:$E$370),0))*Szenarien!$E$14,0)</f>
        <v>0.9</v>
      </c>
      <c r="D1425" s="13" t="n">
        <f aca="false">IF(Szenarien!$H$14="OK",(IFERROR(SUMIF(Nutzungsprofile!$B$17:$B$22,"Schulbetrieb",Nutzungsprofile!$G$17:$G$22)*Kalender!C327/SUM(Kalender!$C$5:$C$370),0)+IFERROR(SUMIF(Nutzungsprofile!$B$17:$B$22,"Halle",Nutzungsprofile!$G$17:$G$22)*Kalender!D327/SUM(Kalender!$D$5:$D$370),0)+IFERROR(SUMIF(Nutzungsprofile!$B$17:$B$22,"Individuell",Nutzungsprofile!$G$17:$G$22)*Kalender!E327/SUM(Kalender!$E$5:$E$370),0))*Szenarien!$D$14,0)</f>
        <v>4.05</v>
      </c>
      <c r="E1425" s="13" t="n">
        <f aca="false">IFERROR(MIN(C1425,Eingaben!$B$17)*Eingaben!$B$16,0)</f>
        <v>0.855</v>
      </c>
      <c r="F1425" s="13" t="n">
        <f aca="false">IFERROR(E1425*Eingaben!$B$15,0)</f>
        <v>0.7695</v>
      </c>
      <c r="G1425" s="13" t="n">
        <f aca="false">IFERROR(IF(Kalender!A327="",0,J1424*(1-Eingaben!$B$20)),0)</f>
        <v>0.226233</v>
      </c>
      <c r="H1425" s="13" t="n">
        <f aca="false">MIN(G1425,D1425)</f>
        <v>0.226233</v>
      </c>
      <c r="I1425" s="13" t="n">
        <f aca="false">IFERROR(MIN(F1425*Eingaben!$B$19,MAX(0,D1425-H1425)),0)</f>
        <v>0.53865</v>
      </c>
      <c r="J1425" s="13" t="n">
        <f aca="false">IFERROR(MIN(Eingaben!$B$18,MAX(0,F1425-I1425)),0)</f>
        <v>0.23085</v>
      </c>
      <c r="K1425" s="13" t="n">
        <f aca="false">H1425+I1425</f>
        <v>0.764883</v>
      </c>
      <c r="L1425" s="13" t="n">
        <f aca="false">MAX(0,D1425-K1425)</f>
        <v>3.285117</v>
      </c>
      <c r="M1425" s="13" t="n">
        <f aca="false">MAX(0,F1425-I1425-J1425)</f>
        <v>0</v>
      </c>
      <c r="N1425" s="13" t="n">
        <f aca="false">IF(Kalender!A327="",0,J1424-H1425)</f>
        <v>0.00461700000000001</v>
      </c>
    </row>
    <row r="1426" customFormat="false" ht="16.4" hidden="false" customHeight="false" outlineLevel="0" collapsed="false">
      <c r="A1426" s="13" t="str">
        <f aca="false">""</f>
        <v/>
      </c>
      <c r="B1426" s="13" t="n">
        <f aca="false">324</f>
        <v>324</v>
      </c>
      <c r="C1426" s="13" t="n">
        <f aca="false">IF(Szenarien!$H$14="OK",(IFERROR(SUMIF(Nutzungsprofile!$B$6:$B$11,"Schulbetrieb",Nutzungsprofile!$G$6:$G$11)*Kalender!C328/SUM(Kalender!$C$5:$C$370),0)+IFERROR(SUMIF(Nutzungsprofile!$B$6:$B$11,"Halle",Nutzungsprofile!$G$6:$G$11)*Kalender!D328/SUM(Kalender!$D$5:$D$370),0)+IFERROR(SUMIF(Nutzungsprofile!$B$6:$B$11,"Individuell",Nutzungsprofile!$G$6:$G$11)*Kalender!E328/SUM(Kalender!$E$5:$E$370),0))*Szenarien!$E$14,0)</f>
        <v>0.9</v>
      </c>
      <c r="D1426" s="13" t="n">
        <f aca="false">IF(Szenarien!$H$14="OK",(IFERROR(SUMIF(Nutzungsprofile!$B$17:$B$22,"Schulbetrieb",Nutzungsprofile!$G$17:$G$22)*Kalender!C328/SUM(Kalender!$C$5:$C$370),0)+IFERROR(SUMIF(Nutzungsprofile!$B$17:$B$22,"Halle",Nutzungsprofile!$G$17:$G$22)*Kalender!D328/SUM(Kalender!$D$5:$D$370),0)+IFERROR(SUMIF(Nutzungsprofile!$B$17:$B$22,"Individuell",Nutzungsprofile!$G$17:$G$22)*Kalender!E328/SUM(Kalender!$E$5:$E$370),0))*Szenarien!$D$14,0)</f>
        <v>4.05</v>
      </c>
      <c r="E1426" s="13" t="n">
        <f aca="false">IFERROR(MIN(C1426,Eingaben!$B$17)*Eingaben!$B$16,0)</f>
        <v>0.855</v>
      </c>
      <c r="F1426" s="13" t="n">
        <f aca="false">IFERROR(E1426*Eingaben!$B$15,0)</f>
        <v>0.7695</v>
      </c>
      <c r="G1426" s="13" t="n">
        <f aca="false">IFERROR(IF(Kalender!A328="",0,J1425*(1-Eingaben!$B$20)),0)</f>
        <v>0.226233</v>
      </c>
      <c r="H1426" s="13" t="n">
        <f aca="false">MIN(G1426,D1426)</f>
        <v>0.226233</v>
      </c>
      <c r="I1426" s="13" t="n">
        <f aca="false">IFERROR(MIN(F1426*Eingaben!$B$19,MAX(0,D1426-H1426)),0)</f>
        <v>0.53865</v>
      </c>
      <c r="J1426" s="13" t="n">
        <f aca="false">IFERROR(MIN(Eingaben!$B$18,MAX(0,F1426-I1426)),0)</f>
        <v>0.23085</v>
      </c>
      <c r="K1426" s="13" t="n">
        <f aca="false">H1426+I1426</f>
        <v>0.764883</v>
      </c>
      <c r="L1426" s="13" t="n">
        <f aca="false">MAX(0,D1426-K1426)</f>
        <v>3.285117</v>
      </c>
      <c r="M1426" s="13" t="n">
        <f aca="false">MAX(0,F1426-I1426-J1426)</f>
        <v>0</v>
      </c>
      <c r="N1426" s="13" t="n">
        <f aca="false">IF(Kalender!A328="",0,J1425-H1426)</f>
        <v>0.00461700000000001</v>
      </c>
    </row>
    <row r="1427" customFormat="false" ht="16.4" hidden="false" customHeight="false" outlineLevel="0" collapsed="false">
      <c r="A1427" s="13" t="str">
        <f aca="false">""</f>
        <v/>
      </c>
      <c r="B1427" s="13" t="n">
        <f aca="false">325</f>
        <v>325</v>
      </c>
      <c r="C1427" s="13" t="n">
        <f aca="false">IF(Szenarien!$H$14="OK",(IFERROR(SUMIF(Nutzungsprofile!$B$6:$B$11,"Schulbetrieb",Nutzungsprofile!$G$6:$G$11)*Kalender!C329/SUM(Kalender!$C$5:$C$370),0)+IFERROR(SUMIF(Nutzungsprofile!$B$6:$B$11,"Halle",Nutzungsprofile!$G$6:$G$11)*Kalender!D329/SUM(Kalender!$D$5:$D$370),0)+IFERROR(SUMIF(Nutzungsprofile!$B$6:$B$11,"Individuell",Nutzungsprofile!$G$6:$G$11)*Kalender!E329/SUM(Kalender!$E$5:$E$370),0))*Szenarien!$E$14,0)</f>
        <v>0</v>
      </c>
      <c r="D1427" s="13" t="n">
        <f aca="false">IF(Szenarien!$H$14="OK",(IFERROR(SUMIF(Nutzungsprofile!$B$17:$B$22,"Schulbetrieb",Nutzungsprofile!$G$17:$G$22)*Kalender!C329/SUM(Kalender!$C$5:$C$370),0)+IFERROR(SUMIF(Nutzungsprofile!$B$17:$B$22,"Halle",Nutzungsprofile!$G$17:$G$22)*Kalender!D329/SUM(Kalender!$D$5:$D$370),0)+IFERROR(SUMIF(Nutzungsprofile!$B$17:$B$22,"Individuell",Nutzungsprofile!$G$17:$G$22)*Kalender!E329/SUM(Kalender!$E$5:$E$370),0))*Szenarien!$D$14,0)</f>
        <v>0</v>
      </c>
      <c r="E1427" s="13" t="n">
        <f aca="false">IFERROR(MIN(C1427,Eingaben!$B$17)*Eingaben!$B$16,0)</f>
        <v>0</v>
      </c>
      <c r="F1427" s="13" t="n">
        <f aca="false">IFERROR(E1427*Eingaben!$B$15,0)</f>
        <v>0</v>
      </c>
      <c r="G1427" s="13" t="n">
        <f aca="false">IFERROR(IF(Kalender!A329="",0,J1426*(1-Eingaben!$B$20)),0)</f>
        <v>0.226233</v>
      </c>
      <c r="H1427" s="13" t="n">
        <f aca="false">MIN(G1427,D1427)</f>
        <v>0</v>
      </c>
      <c r="I1427" s="13" t="n">
        <f aca="false">IFERROR(MIN(F1427*Eingaben!$B$19,MAX(0,D1427-H1427)),0)</f>
        <v>0</v>
      </c>
      <c r="J1427" s="13" t="n">
        <f aca="false">IFERROR(MIN(Eingaben!$B$18,MAX(0,F1427-I1427)),0)</f>
        <v>0</v>
      </c>
      <c r="K1427" s="13" t="n">
        <f aca="false">H1427+I1427</f>
        <v>0</v>
      </c>
      <c r="L1427" s="13" t="n">
        <f aca="false">MAX(0,D1427-K1427)</f>
        <v>0</v>
      </c>
      <c r="M1427" s="13" t="n">
        <f aca="false">MAX(0,F1427-I1427-J1427)</f>
        <v>0</v>
      </c>
      <c r="N1427" s="13" t="n">
        <f aca="false">IF(Kalender!A329="",0,J1426-H1427)</f>
        <v>0.23085</v>
      </c>
    </row>
    <row r="1428" customFormat="false" ht="16.4" hidden="false" customHeight="false" outlineLevel="0" collapsed="false">
      <c r="A1428" s="13" t="str">
        <f aca="false">""</f>
        <v/>
      </c>
      <c r="B1428" s="13" t="n">
        <f aca="false">326</f>
        <v>326</v>
      </c>
      <c r="C1428" s="13" t="n">
        <f aca="false">IF(Szenarien!$H$14="OK",(IFERROR(SUMIF(Nutzungsprofile!$B$6:$B$11,"Schulbetrieb",Nutzungsprofile!$G$6:$G$11)*Kalender!C330/SUM(Kalender!$C$5:$C$370),0)+IFERROR(SUMIF(Nutzungsprofile!$B$6:$B$11,"Halle",Nutzungsprofile!$G$6:$G$11)*Kalender!D330/SUM(Kalender!$D$5:$D$370),0)+IFERROR(SUMIF(Nutzungsprofile!$B$6:$B$11,"Individuell",Nutzungsprofile!$G$6:$G$11)*Kalender!E330/SUM(Kalender!$E$5:$E$370),0))*Szenarien!$E$14,0)</f>
        <v>0</v>
      </c>
      <c r="D1428" s="13" t="n">
        <f aca="false">IF(Szenarien!$H$14="OK",(IFERROR(SUMIF(Nutzungsprofile!$B$17:$B$22,"Schulbetrieb",Nutzungsprofile!$G$17:$G$22)*Kalender!C330/SUM(Kalender!$C$5:$C$370),0)+IFERROR(SUMIF(Nutzungsprofile!$B$17:$B$22,"Halle",Nutzungsprofile!$G$17:$G$22)*Kalender!D330/SUM(Kalender!$D$5:$D$370),0)+IFERROR(SUMIF(Nutzungsprofile!$B$17:$B$22,"Individuell",Nutzungsprofile!$G$17:$G$22)*Kalender!E330/SUM(Kalender!$E$5:$E$370),0))*Szenarien!$D$14,0)</f>
        <v>0</v>
      </c>
      <c r="E1428" s="13" t="n">
        <f aca="false">IFERROR(MIN(C1428,Eingaben!$B$17)*Eingaben!$B$16,0)</f>
        <v>0</v>
      </c>
      <c r="F1428" s="13" t="n">
        <f aca="false">IFERROR(E1428*Eingaben!$B$15,0)</f>
        <v>0</v>
      </c>
      <c r="G1428" s="13" t="n">
        <f aca="false">IFERROR(IF(Kalender!A330="",0,J1427*(1-Eingaben!$B$20)),0)</f>
        <v>0</v>
      </c>
      <c r="H1428" s="13" t="n">
        <f aca="false">MIN(G1428,D1428)</f>
        <v>0</v>
      </c>
      <c r="I1428" s="13" t="n">
        <f aca="false">IFERROR(MIN(F1428*Eingaben!$B$19,MAX(0,D1428-H1428)),0)</f>
        <v>0</v>
      </c>
      <c r="J1428" s="13" t="n">
        <f aca="false">IFERROR(MIN(Eingaben!$B$18,MAX(0,F1428-I1428)),0)</f>
        <v>0</v>
      </c>
      <c r="K1428" s="13" t="n">
        <f aca="false">H1428+I1428</f>
        <v>0</v>
      </c>
      <c r="L1428" s="13" t="n">
        <f aca="false">MAX(0,D1428-K1428)</f>
        <v>0</v>
      </c>
      <c r="M1428" s="13" t="n">
        <f aca="false">MAX(0,F1428-I1428-J1428)</f>
        <v>0</v>
      </c>
      <c r="N1428" s="13" t="n">
        <f aca="false">IF(Kalender!A330="",0,J1427-H1428)</f>
        <v>0</v>
      </c>
    </row>
    <row r="1429" customFormat="false" ht="16.4" hidden="false" customHeight="false" outlineLevel="0" collapsed="false">
      <c r="A1429" s="13" t="str">
        <f aca="false">""</f>
        <v/>
      </c>
      <c r="B1429" s="13" t="n">
        <f aca="false">327</f>
        <v>327</v>
      </c>
      <c r="C1429" s="13" t="n">
        <f aca="false">IF(Szenarien!$H$14="OK",(IFERROR(SUMIF(Nutzungsprofile!$B$6:$B$11,"Schulbetrieb",Nutzungsprofile!$G$6:$G$11)*Kalender!C331/SUM(Kalender!$C$5:$C$370),0)+IFERROR(SUMIF(Nutzungsprofile!$B$6:$B$11,"Halle",Nutzungsprofile!$G$6:$G$11)*Kalender!D331/SUM(Kalender!$D$5:$D$370),0)+IFERROR(SUMIF(Nutzungsprofile!$B$6:$B$11,"Individuell",Nutzungsprofile!$G$6:$G$11)*Kalender!E331/SUM(Kalender!$E$5:$E$370),0))*Szenarien!$E$14,0)</f>
        <v>0.9</v>
      </c>
      <c r="D1429" s="13" t="n">
        <f aca="false">IF(Szenarien!$H$14="OK",(IFERROR(SUMIF(Nutzungsprofile!$B$17:$B$22,"Schulbetrieb",Nutzungsprofile!$G$17:$G$22)*Kalender!C331/SUM(Kalender!$C$5:$C$370),0)+IFERROR(SUMIF(Nutzungsprofile!$B$17:$B$22,"Halle",Nutzungsprofile!$G$17:$G$22)*Kalender!D331/SUM(Kalender!$D$5:$D$370),0)+IFERROR(SUMIF(Nutzungsprofile!$B$17:$B$22,"Individuell",Nutzungsprofile!$G$17:$G$22)*Kalender!E331/SUM(Kalender!$E$5:$E$370),0))*Szenarien!$D$14,0)</f>
        <v>4.05</v>
      </c>
      <c r="E1429" s="13" t="n">
        <f aca="false">IFERROR(MIN(C1429,Eingaben!$B$17)*Eingaben!$B$16,0)</f>
        <v>0.855</v>
      </c>
      <c r="F1429" s="13" t="n">
        <f aca="false">IFERROR(E1429*Eingaben!$B$15,0)</f>
        <v>0.7695</v>
      </c>
      <c r="G1429" s="13" t="n">
        <f aca="false">IFERROR(IF(Kalender!A331="",0,J1428*(1-Eingaben!$B$20)),0)</f>
        <v>0</v>
      </c>
      <c r="H1429" s="13" t="n">
        <f aca="false">MIN(G1429,D1429)</f>
        <v>0</v>
      </c>
      <c r="I1429" s="13" t="n">
        <f aca="false">IFERROR(MIN(F1429*Eingaben!$B$19,MAX(0,D1429-H1429)),0)</f>
        <v>0.53865</v>
      </c>
      <c r="J1429" s="13" t="n">
        <f aca="false">IFERROR(MIN(Eingaben!$B$18,MAX(0,F1429-I1429)),0)</f>
        <v>0.23085</v>
      </c>
      <c r="K1429" s="13" t="n">
        <f aca="false">H1429+I1429</f>
        <v>0.53865</v>
      </c>
      <c r="L1429" s="13" t="n">
        <f aca="false">MAX(0,D1429-K1429)</f>
        <v>3.51135</v>
      </c>
      <c r="M1429" s="13" t="n">
        <f aca="false">MAX(0,F1429-I1429-J1429)</f>
        <v>0</v>
      </c>
      <c r="N1429" s="13" t="n">
        <f aca="false">IF(Kalender!A331="",0,J1428-H1429)</f>
        <v>0</v>
      </c>
    </row>
    <row r="1430" customFormat="false" ht="16.4" hidden="false" customHeight="false" outlineLevel="0" collapsed="false">
      <c r="A1430" s="13" t="str">
        <f aca="false">""</f>
        <v/>
      </c>
      <c r="B1430" s="13" t="n">
        <f aca="false">328</f>
        <v>328</v>
      </c>
      <c r="C1430" s="13" t="n">
        <f aca="false">IF(Szenarien!$H$14="OK",(IFERROR(SUMIF(Nutzungsprofile!$B$6:$B$11,"Schulbetrieb",Nutzungsprofile!$G$6:$G$11)*Kalender!C332/SUM(Kalender!$C$5:$C$370),0)+IFERROR(SUMIF(Nutzungsprofile!$B$6:$B$11,"Halle",Nutzungsprofile!$G$6:$G$11)*Kalender!D332/SUM(Kalender!$D$5:$D$370),0)+IFERROR(SUMIF(Nutzungsprofile!$B$6:$B$11,"Individuell",Nutzungsprofile!$G$6:$G$11)*Kalender!E332/SUM(Kalender!$E$5:$E$370),0))*Szenarien!$E$14,0)</f>
        <v>0.9</v>
      </c>
      <c r="D1430" s="13" t="n">
        <f aca="false">IF(Szenarien!$H$14="OK",(IFERROR(SUMIF(Nutzungsprofile!$B$17:$B$22,"Schulbetrieb",Nutzungsprofile!$G$17:$G$22)*Kalender!C332/SUM(Kalender!$C$5:$C$370),0)+IFERROR(SUMIF(Nutzungsprofile!$B$17:$B$22,"Halle",Nutzungsprofile!$G$17:$G$22)*Kalender!D332/SUM(Kalender!$D$5:$D$370),0)+IFERROR(SUMIF(Nutzungsprofile!$B$17:$B$22,"Individuell",Nutzungsprofile!$G$17:$G$22)*Kalender!E332/SUM(Kalender!$E$5:$E$370),0))*Szenarien!$D$14,0)</f>
        <v>4.05</v>
      </c>
      <c r="E1430" s="13" t="n">
        <f aca="false">IFERROR(MIN(C1430,Eingaben!$B$17)*Eingaben!$B$16,0)</f>
        <v>0.855</v>
      </c>
      <c r="F1430" s="13" t="n">
        <f aca="false">IFERROR(E1430*Eingaben!$B$15,0)</f>
        <v>0.7695</v>
      </c>
      <c r="G1430" s="13" t="n">
        <f aca="false">IFERROR(IF(Kalender!A332="",0,J1429*(1-Eingaben!$B$20)),0)</f>
        <v>0.226233</v>
      </c>
      <c r="H1430" s="13" t="n">
        <f aca="false">MIN(G1430,D1430)</f>
        <v>0.226233</v>
      </c>
      <c r="I1430" s="13" t="n">
        <f aca="false">IFERROR(MIN(F1430*Eingaben!$B$19,MAX(0,D1430-H1430)),0)</f>
        <v>0.53865</v>
      </c>
      <c r="J1430" s="13" t="n">
        <f aca="false">IFERROR(MIN(Eingaben!$B$18,MAX(0,F1430-I1430)),0)</f>
        <v>0.23085</v>
      </c>
      <c r="K1430" s="13" t="n">
        <f aca="false">H1430+I1430</f>
        <v>0.764883</v>
      </c>
      <c r="L1430" s="13" t="n">
        <f aca="false">MAX(0,D1430-K1430)</f>
        <v>3.285117</v>
      </c>
      <c r="M1430" s="13" t="n">
        <f aca="false">MAX(0,F1430-I1430-J1430)</f>
        <v>0</v>
      </c>
      <c r="N1430" s="13" t="n">
        <f aca="false">IF(Kalender!A332="",0,J1429-H1430)</f>
        <v>0.00461700000000001</v>
      </c>
    </row>
    <row r="1431" customFormat="false" ht="16.4" hidden="false" customHeight="false" outlineLevel="0" collapsed="false">
      <c r="A1431" s="13" t="str">
        <f aca="false">""</f>
        <v/>
      </c>
      <c r="B1431" s="13" t="n">
        <f aca="false">329</f>
        <v>329</v>
      </c>
      <c r="C1431" s="13" t="n">
        <f aca="false">IF(Szenarien!$H$14="OK",(IFERROR(SUMIF(Nutzungsprofile!$B$6:$B$11,"Schulbetrieb",Nutzungsprofile!$G$6:$G$11)*Kalender!C333/SUM(Kalender!$C$5:$C$370),0)+IFERROR(SUMIF(Nutzungsprofile!$B$6:$B$11,"Halle",Nutzungsprofile!$G$6:$G$11)*Kalender!D333/SUM(Kalender!$D$5:$D$370),0)+IFERROR(SUMIF(Nutzungsprofile!$B$6:$B$11,"Individuell",Nutzungsprofile!$G$6:$G$11)*Kalender!E333/SUM(Kalender!$E$5:$E$370),0))*Szenarien!$E$14,0)</f>
        <v>0</v>
      </c>
      <c r="D1431" s="13" t="n">
        <f aca="false">IF(Szenarien!$H$14="OK",(IFERROR(SUMIF(Nutzungsprofile!$B$17:$B$22,"Schulbetrieb",Nutzungsprofile!$G$17:$G$22)*Kalender!C333/SUM(Kalender!$C$5:$C$370),0)+IFERROR(SUMIF(Nutzungsprofile!$B$17:$B$22,"Halle",Nutzungsprofile!$G$17:$G$22)*Kalender!D333/SUM(Kalender!$D$5:$D$370),0)+IFERROR(SUMIF(Nutzungsprofile!$B$17:$B$22,"Individuell",Nutzungsprofile!$G$17:$G$22)*Kalender!E333/SUM(Kalender!$E$5:$E$370),0))*Szenarien!$D$14,0)</f>
        <v>0</v>
      </c>
      <c r="E1431" s="13" t="n">
        <f aca="false">IFERROR(MIN(C1431,Eingaben!$B$17)*Eingaben!$B$16,0)</f>
        <v>0</v>
      </c>
      <c r="F1431" s="13" t="n">
        <f aca="false">IFERROR(E1431*Eingaben!$B$15,0)</f>
        <v>0</v>
      </c>
      <c r="G1431" s="13" t="n">
        <f aca="false">IFERROR(IF(Kalender!A333="",0,J1430*(1-Eingaben!$B$20)),0)</f>
        <v>0.226233</v>
      </c>
      <c r="H1431" s="13" t="n">
        <f aca="false">MIN(G1431,D1431)</f>
        <v>0</v>
      </c>
      <c r="I1431" s="13" t="n">
        <f aca="false">IFERROR(MIN(F1431*Eingaben!$B$19,MAX(0,D1431-H1431)),0)</f>
        <v>0</v>
      </c>
      <c r="J1431" s="13" t="n">
        <f aca="false">IFERROR(MIN(Eingaben!$B$18,MAX(0,F1431-I1431)),0)</f>
        <v>0</v>
      </c>
      <c r="K1431" s="13" t="n">
        <f aca="false">H1431+I1431</f>
        <v>0</v>
      </c>
      <c r="L1431" s="13" t="n">
        <f aca="false">MAX(0,D1431-K1431)</f>
        <v>0</v>
      </c>
      <c r="M1431" s="13" t="n">
        <f aca="false">MAX(0,F1431-I1431-J1431)</f>
        <v>0</v>
      </c>
      <c r="N1431" s="13" t="n">
        <f aca="false">IF(Kalender!A333="",0,J1430-H1431)</f>
        <v>0.23085</v>
      </c>
    </row>
    <row r="1432" customFormat="false" ht="16.4" hidden="false" customHeight="false" outlineLevel="0" collapsed="false">
      <c r="A1432" s="13" t="str">
        <f aca="false">""</f>
        <v/>
      </c>
      <c r="B1432" s="13" t="n">
        <f aca="false">330</f>
        <v>330</v>
      </c>
      <c r="C1432" s="13" t="n">
        <f aca="false">IF(Szenarien!$H$14="OK",(IFERROR(SUMIF(Nutzungsprofile!$B$6:$B$11,"Schulbetrieb",Nutzungsprofile!$G$6:$G$11)*Kalender!C334/SUM(Kalender!$C$5:$C$370),0)+IFERROR(SUMIF(Nutzungsprofile!$B$6:$B$11,"Halle",Nutzungsprofile!$G$6:$G$11)*Kalender!D334/SUM(Kalender!$D$5:$D$370),0)+IFERROR(SUMIF(Nutzungsprofile!$B$6:$B$11,"Individuell",Nutzungsprofile!$G$6:$G$11)*Kalender!E334/SUM(Kalender!$E$5:$E$370),0))*Szenarien!$E$14,0)</f>
        <v>0</v>
      </c>
      <c r="D1432" s="13" t="n">
        <f aca="false">IF(Szenarien!$H$14="OK",(IFERROR(SUMIF(Nutzungsprofile!$B$17:$B$22,"Schulbetrieb",Nutzungsprofile!$G$17:$G$22)*Kalender!C334/SUM(Kalender!$C$5:$C$370),0)+IFERROR(SUMIF(Nutzungsprofile!$B$17:$B$22,"Halle",Nutzungsprofile!$G$17:$G$22)*Kalender!D334/SUM(Kalender!$D$5:$D$370),0)+IFERROR(SUMIF(Nutzungsprofile!$B$17:$B$22,"Individuell",Nutzungsprofile!$G$17:$G$22)*Kalender!E334/SUM(Kalender!$E$5:$E$370),0))*Szenarien!$D$14,0)</f>
        <v>0</v>
      </c>
      <c r="E1432" s="13" t="n">
        <f aca="false">IFERROR(MIN(C1432,Eingaben!$B$17)*Eingaben!$B$16,0)</f>
        <v>0</v>
      </c>
      <c r="F1432" s="13" t="n">
        <f aca="false">IFERROR(E1432*Eingaben!$B$15,0)</f>
        <v>0</v>
      </c>
      <c r="G1432" s="13" t="n">
        <f aca="false">IFERROR(IF(Kalender!A334="",0,J1431*(1-Eingaben!$B$20)),0)</f>
        <v>0</v>
      </c>
      <c r="H1432" s="13" t="n">
        <f aca="false">MIN(G1432,D1432)</f>
        <v>0</v>
      </c>
      <c r="I1432" s="13" t="n">
        <f aca="false">IFERROR(MIN(F1432*Eingaben!$B$19,MAX(0,D1432-H1432)),0)</f>
        <v>0</v>
      </c>
      <c r="J1432" s="13" t="n">
        <f aca="false">IFERROR(MIN(Eingaben!$B$18,MAX(0,F1432-I1432)),0)</f>
        <v>0</v>
      </c>
      <c r="K1432" s="13" t="n">
        <f aca="false">H1432+I1432</f>
        <v>0</v>
      </c>
      <c r="L1432" s="13" t="n">
        <f aca="false">MAX(0,D1432-K1432)</f>
        <v>0</v>
      </c>
      <c r="M1432" s="13" t="n">
        <f aca="false">MAX(0,F1432-I1432-J1432)</f>
        <v>0</v>
      </c>
      <c r="N1432" s="13" t="n">
        <f aca="false">IF(Kalender!A334="",0,J1431-H1432)</f>
        <v>0</v>
      </c>
    </row>
    <row r="1433" customFormat="false" ht="16.4" hidden="false" customHeight="false" outlineLevel="0" collapsed="false">
      <c r="A1433" s="13" t="str">
        <f aca="false">""</f>
        <v/>
      </c>
      <c r="B1433" s="13" t="n">
        <f aca="false">331</f>
        <v>331</v>
      </c>
      <c r="C1433" s="13" t="n">
        <f aca="false">IF(Szenarien!$H$14="OK",(IFERROR(SUMIF(Nutzungsprofile!$B$6:$B$11,"Schulbetrieb",Nutzungsprofile!$G$6:$G$11)*Kalender!C335/SUM(Kalender!$C$5:$C$370),0)+IFERROR(SUMIF(Nutzungsprofile!$B$6:$B$11,"Halle",Nutzungsprofile!$G$6:$G$11)*Kalender!D335/SUM(Kalender!$D$5:$D$370),0)+IFERROR(SUMIF(Nutzungsprofile!$B$6:$B$11,"Individuell",Nutzungsprofile!$G$6:$G$11)*Kalender!E335/SUM(Kalender!$E$5:$E$370),0))*Szenarien!$E$14,0)</f>
        <v>0</v>
      </c>
      <c r="D1433" s="13" t="n">
        <f aca="false">IF(Szenarien!$H$14="OK",(IFERROR(SUMIF(Nutzungsprofile!$B$17:$B$22,"Schulbetrieb",Nutzungsprofile!$G$17:$G$22)*Kalender!C335/SUM(Kalender!$C$5:$C$370),0)+IFERROR(SUMIF(Nutzungsprofile!$B$17:$B$22,"Halle",Nutzungsprofile!$G$17:$G$22)*Kalender!D335/SUM(Kalender!$D$5:$D$370),0)+IFERROR(SUMIF(Nutzungsprofile!$B$17:$B$22,"Individuell",Nutzungsprofile!$G$17:$G$22)*Kalender!E335/SUM(Kalender!$E$5:$E$370),0))*Szenarien!$D$14,0)</f>
        <v>0</v>
      </c>
      <c r="E1433" s="13" t="n">
        <f aca="false">IFERROR(MIN(C1433,Eingaben!$B$17)*Eingaben!$B$16,0)</f>
        <v>0</v>
      </c>
      <c r="F1433" s="13" t="n">
        <f aca="false">IFERROR(E1433*Eingaben!$B$15,0)</f>
        <v>0</v>
      </c>
      <c r="G1433" s="13" t="n">
        <f aca="false">IFERROR(IF(Kalender!A335="",0,J1432*(1-Eingaben!$B$20)),0)</f>
        <v>0</v>
      </c>
      <c r="H1433" s="13" t="n">
        <f aca="false">MIN(G1433,D1433)</f>
        <v>0</v>
      </c>
      <c r="I1433" s="13" t="n">
        <f aca="false">IFERROR(MIN(F1433*Eingaben!$B$19,MAX(0,D1433-H1433)),0)</f>
        <v>0</v>
      </c>
      <c r="J1433" s="13" t="n">
        <f aca="false">IFERROR(MIN(Eingaben!$B$18,MAX(0,F1433-I1433)),0)</f>
        <v>0</v>
      </c>
      <c r="K1433" s="13" t="n">
        <f aca="false">H1433+I1433</f>
        <v>0</v>
      </c>
      <c r="L1433" s="13" t="n">
        <f aca="false">MAX(0,D1433-K1433)</f>
        <v>0</v>
      </c>
      <c r="M1433" s="13" t="n">
        <f aca="false">MAX(0,F1433-I1433-J1433)</f>
        <v>0</v>
      </c>
      <c r="N1433" s="13" t="n">
        <f aca="false">IF(Kalender!A335="",0,J1432-H1433)</f>
        <v>0</v>
      </c>
    </row>
    <row r="1434" customFormat="false" ht="16.4" hidden="false" customHeight="false" outlineLevel="0" collapsed="false">
      <c r="A1434" s="13" t="str">
        <f aca="false">""</f>
        <v/>
      </c>
      <c r="B1434" s="13" t="n">
        <f aca="false">332</f>
        <v>332</v>
      </c>
      <c r="C1434" s="13" t="n">
        <f aca="false">IF(Szenarien!$H$14="OK",(IFERROR(SUMIF(Nutzungsprofile!$B$6:$B$11,"Schulbetrieb",Nutzungsprofile!$G$6:$G$11)*Kalender!C336/SUM(Kalender!$C$5:$C$370),0)+IFERROR(SUMIF(Nutzungsprofile!$B$6:$B$11,"Halle",Nutzungsprofile!$G$6:$G$11)*Kalender!D336/SUM(Kalender!$D$5:$D$370),0)+IFERROR(SUMIF(Nutzungsprofile!$B$6:$B$11,"Individuell",Nutzungsprofile!$G$6:$G$11)*Kalender!E336/SUM(Kalender!$E$5:$E$370),0))*Szenarien!$E$14,0)</f>
        <v>0</v>
      </c>
      <c r="D1434" s="13" t="n">
        <f aca="false">IF(Szenarien!$H$14="OK",(IFERROR(SUMIF(Nutzungsprofile!$B$17:$B$22,"Schulbetrieb",Nutzungsprofile!$G$17:$G$22)*Kalender!C336/SUM(Kalender!$C$5:$C$370),0)+IFERROR(SUMIF(Nutzungsprofile!$B$17:$B$22,"Halle",Nutzungsprofile!$G$17:$G$22)*Kalender!D336/SUM(Kalender!$D$5:$D$370),0)+IFERROR(SUMIF(Nutzungsprofile!$B$17:$B$22,"Individuell",Nutzungsprofile!$G$17:$G$22)*Kalender!E336/SUM(Kalender!$E$5:$E$370),0))*Szenarien!$D$14,0)</f>
        <v>0</v>
      </c>
      <c r="E1434" s="13" t="n">
        <f aca="false">IFERROR(MIN(C1434,Eingaben!$B$17)*Eingaben!$B$16,0)</f>
        <v>0</v>
      </c>
      <c r="F1434" s="13" t="n">
        <f aca="false">IFERROR(E1434*Eingaben!$B$15,0)</f>
        <v>0</v>
      </c>
      <c r="G1434" s="13" t="n">
        <f aca="false">IFERROR(IF(Kalender!A336="",0,J1433*(1-Eingaben!$B$20)),0)</f>
        <v>0</v>
      </c>
      <c r="H1434" s="13" t="n">
        <f aca="false">MIN(G1434,D1434)</f>
        <v>0</v>
      </c>
      <c r="I1434" s="13" t="n">
        <f aca="false">IFERROR(MIN(F1434*Eingaben!$B$19,MAX(0,D1434-H1434)),0)</f>
        <v>0</v>
      </c>
      <c r="J1434" s="13" t="n">
        <f aca="false">IFERROR(MIN(Eingaben!$B$18,MAX(0,F1434-I1434)),0)</f>
        <v>0</v>
      </c>
      <c r="K1434" s="13" t="n">
        <f aca="false">H1434+I1434</f>
        <v>0</v>
      </c>
      <c r="L1434" s="13" t="n">
        <f aca="false">MAX(0,D1434-K1434)</f>
        <v>0</v>
      </c>
      <c r="M1434" s="13" t="n">
        <f aca="false">MAX(0,F1434-I1434-J1434)</f>
        <v>0</v>
      </c>
      <c r="N1434" s="13" t="n">
        <f aca="false">IF(Kalender!A336="",0,J1433-H1434)</f>
        <v>0</v>
      </c>
    </row>
    <row r="1435" customFormat="false" ht="16.4" hidden="false" customHeight="false" outlineLevel="0" collapsed="false">
      <c r="A1435" s="13" t="str">
        <f aca="false">""</f>
        <v/>
      </c>
      <c r="B1435" s="13" t="n">
        <f aca="false">333</f>
        <v>333</v>
      </c>
      <c r="C1435" s="13" t="n">
        <f aca="false">IF(Szenarien!$H$14="OK",(IFERROR(SUMIF(Nutzungsprofile!$B$6:$B$11,"Schulbetrieb",Nutzungsprofile!$G$6:$G$11)*Kalender!C337/SUM(Kalender!$C$5:$C$370),0)+IFERROR(SUMIF(Nutzungsprofile!$B$6:$B$11,"Halle",Nutzungsprofile!$G$6:$G$11)*Kalender!D337/SUM(Kalender!$D$5:$D$370),0)+IFERROR(SUMIF(Nutzungsprofile!$B$6:$B$11,"Individuell",Nutzungsprofile!$G$6:$G$11)*Kalender!E337/SUM(Kalender!$E$5:$E$370),0))*Szenarien!$E$14,0)</f>
        <v>0</v>
      </c>
      <c r="D1435" s="13" t="n">
        <f aca="false">IF(Szenarien!$H$14="OK",(IFERROR(SUMIF(Nutzungsprofile!$B$17:$B$22,"Schulbetrieb",Nutzungsprofile!$G$17:$G$22)*Kalender!C337/SUM(Kalender!$C$5:$C$370),0)+IFERROR(SUMIF(Nutzungsprofile!$B$17:$B$22,"Halle",Nutzungsprofile!$G$17:$G$22)*Kalender!D337/SUM(Kalender!$D$5:$D$370),0)+IFERROR(SUMIF(Nutzungsprofile!$B$17:$B$22,"Individuell",Nutzungsprofile!$G$17:$G$22)*Kalender!E337/SUM(Kalender!$E$5:$E$370),0))*Szenarien!$D$14,0)</f>
        <v>0</v>
      </c>
      <c r="E1435" s="13" t="n">
        <f aca="false">IFERROR(MIN(C1435,Eingaben!$B$17)*Eingaben!$B$16,0)</f>
        <v>0</v>
      </c>
      <c r="F1435" s="13" t="n">
        <f aca="false">IFERROR(E1435*Eingaben!$B$15,0)</f>
        <v>0</v>
      </c>
      <c r="G1435" s="13" t="n">
        <f aca="false">IFERROR(IF(Kalender!A337="",0,J1434*(1-Eingaben!$B$20)),0)</f>
        <v>0</v>
      </c>
      <c r="H1435" s="13" t="n">
        <f aca="false">MIN(G1435,D1435)</f>
        <v>0</v>
      </c>
      <c r="I1435" s="13" t="n">
        <f aca="false">IFERROR(MIN(F1435*Eingaben!$B$19,MAX(0,D1435-H1435)),0)</f>
        <v>0</v>
      </c>
      <c r="J1435" s="13" t="n">
        <f aca="false">IFERROR(MIN(Eingaben!$B$18,MAX(0,F1435-I1435)),0)</f>
        <v>0</v>
      </c>
      <c r="K1435" s="13" t="n">
        <f aca="false">H1435+I1435</f>
        <v>0</v>
      </c>
      <c r="L1435" s="13" t="n">
        <f aca="false">MAX(0,D1435-K1435)</f>
        <v>0</v>
      </c>
      <c r="M1435" s="13" t="n">
        <f aca="false">MAX(0,F1435-I1435-J1435)</f>
        <v>0</v>
      </c>
      <c r="N1435" s="13" t="n">
        <f aca="false">IF(Kalender!A337="",0,J1434-H1435)</f>
        <v>0</v>
      </c>
    </row>
    <row r="1436" customFormat="false" ht="16.4" hidden="false" customHeight="false" outlineLevel="0" collapsed="false">
      <c r="A1436" s="13" t="str">
        <f aca="false">""</f>
        <v/>
      </c>
      <c r="B1436" s="13" t="n">
        <f aca="false">334</f>
        <v>334</v>
      </c>
      <c r="C1436" s="13" t="n">
        <f aca="false">IF(Szenarien!$H$14="OK",(IFERROR(SUMIF(Nutzungsprofile!$B$6:$B$11,"Schulbetrieb",Nutzungsprofile!$G$6:$G$11)*Kalender!C338/SUM(Kalender!$C$5:$C$370),0)+IFERROR(SUMIF(Nutzungsprofile!$B$6:$B$11,"Halle",Nutzungsprofile!$G$6:$G$11)*Kalender!D338/SUM(Kalender!$D$5:$D$370),0)+IFERROR(SUMIF(Nutzungsprofile!$B$6:$B$11,"Individuell",Nutzungsprofile!$G$6:$G$11)*Kalender!E338/SUM(Kalender!$E$5:$E$370),0))*Szenarien!$E$14,0)</f>
        <v>0</v>
      </c>
      <c r="D1436" s="13" t="n">
        <f aca="false">IF(Szenarien!$H$14="OK",(IFERROR(SUMIF(Nutzungsprofile!$B$17:$B$22,"Schulbetrieb",Nutzungsprofile!$G$17:$G$22)*Kalender!C338/SUM(Kalender!$C$5:$C$370),0)+IFERROR(SUMIF(Nutzungsprofile!$B$17:$B$22,"Halle",Nutzungsprofile!$G$17:$G$22)*Kalender!D338/SUM(Kalender!$D$5:$D$370),0)+IFERROR(SUMIF(Nutzungsprofile!$B$17:$B$22,"Individuell",Nutzungsprofile!$G$17:$G$22)*Kalender!E338/SUM(Kalender!$E$5:$E$370),0))*Szenarien!$D$14,0)</f>
        <v>0</v>
      </c>
      <c r="E1436" s="13" t="n">
        <f aca="false">IFERROR(MIN(C1436,Eingaben!$B$17)*Eingaben!$B$16,0)</f>
        <v>0</v>
      </c>
      <c r="F1436" s="13" t="n">
        <f aca="false">IFERROR(E1436*Eingaben!$B$15,0)</f>
        <v>0</v>
      </c>
      <c r="G1436" s="13" t="n">
        <f aca="false">IFERROR(IF(Kalender!A338="",0,J1435*(1-Eingaben!$B$20)),0)</f>
        <v>0</v>
      </c>
      <c r="H1436" s="13" t="n">
        <f aca="false">MIN(G1436,D1436)</f>
        <v>0</v>
      </c>
      <c r="I1436" s="13" t="n">
        <f aca="false">IFERROR(MIN(F1436*Eingaben!$B$19,MAX(0,D1436-H1436)),0)</f>
        <v>0</v>
      </c>
      <c r="J1436" s="13" t="n">
        <f aca="false">IFERROR(MIN(Eingaben!$B$18,MAX(0,F1436-I1436)),0)</f>
        <v>0</v>
      </c>
      <c r="K1436" s="13" t="n">
        <f aca="false">H1436+I1436</f>
        <v>0</v>
      </c>
      <c r="L1436" s="13" t="n">
        <f aca="false">MAX(0,D1436-K1436)</f>
        <v>0</v>
      </c>
      <c r="M1436" s="13" t="n">
        <f aca="false">MAX(0,F1436-I1436-J1436)</f>
        <v>0</v>
      </c>
      <c r="N1436" s="13" t="n">
        <f aca="false">IF(Kalender!A338="",0,J1435-H1436)</f>
        <v>0</v>
      </c>
    </row>
    <row r="1437" customFormat="false" ht="16.4" hidden="false" customHeight="false" outlineLevel="0" collapsed="false">
      <c r="A1437" s="13" t="str">
        <f aca="false">""</f>
        <v/>
      </c>
      <c r="B1437" s="13" t="n">
        <f aca="false">335</f>
        <v>335</v>
      </c>
      <c r="C1437" s="13" t="n">
        <f aca="false">IF(Szenarien!$H$14="OK",(IFERROR(SUMIF(Nutzungsprofile!$B$6:$B$11,"Schulbetrieb",Nutzungsprofile!$G$6:$G$11)*Kalender!C339/SUM(Kalender!$C$5:$C$370),0)+IFERROR(SUMIF(Nutzungsprofile!$B$6:$B$11,"Halle",Nutzungsprofile!$G$6:$G$11)*Kalender!D339/SUM(Kalender!$D$5:$D$370),0)+IFERROR(SUMIF(Nutzungsprofile!$B$6:$B$11,"Individuell",Nutzungsprofile!$G$6:$G$11)*Kalender!E339/SUM(Kalender!$E$5:$E$370),0))*Szenarien!$E$14,0)</f>
        <v>0</v>
      </c>
      <c r="D1437" s="13" t="n">
        <f aca="false">IF(Szenarien!$H$14="OK",(IFERROR(SUMIF(Nutzungsprofile!$B$17:$B$22,"Schulbetrieb",Nutzungsprofile!$G$17:$G$22)*Kalender!C339/SUM(Kalender!$C$5:$C$370),0)+IFERROR(SUMIF(Nutzungsprofile!$B$17:$B$22,"Halle",Nutzungsprofile!$G$17:$G$22)*Kalender!D339/SUM(Kalender!$D$5:$D$370),0)+IFERROR(SUMIF(Nutzungsprofile!$B$17:$B$22,"Individuell",Nutzungsprofile!$G$17:$G$22)*Kalender!E339/SUM(Kalender!$E$5:$E$370),0))*Szenarien!$D$14,0)</f>
        <v>0</v>
      </c>
      <c r="E1437" s="13" t="n">
        <f aca="false">IFERROR(MIN(C1437,Eingaben!$B$17)*Eingaben!$B$16,0)</f>
        <v>0</v>
      </c>
      <c r="F1437" s="13" t="n">
        <f aca="false">IFERROR(E1437*Eingaben!$B$15,0)</f>
        <v>0</v>
      </c>
      <c r="G1437" s="13" t="n">
        <f aca="false">IFERROR(IF(Kalender!A339="",0,J1436*(1-Eingaben!$B$20)),0)</f>
        <v>0</v>
      </c>
      <c r="H1437" s="13" t="n">
        <f aca="false">MIN(G1437,D1437)</f>
        <v>0</v>
      </c>
      <c r="I1437" s="13" t="n">
        <f aca="false">IFERROR(MIN(F1437*Eingaben!$B$19,MAX(0,D1437-H1437)),0)</f>
        <v>0</v>
      </c>
      <c r="J1437" s="13" t="n">
        <f aca="false">IFERROR(MIN(Eingaben!$B$18,MAX(0,F1437-I1437)),0)</f>
        <v>0</v>
      </c>
      <c r="K1437" s="13" t="n">
        <f aca="false">H1437+I1437</f>
        <v>0</v>
      </c>
      <c r="L1437" s="13" t="n">
        <f aca="false">MAX(0,D1437-K1437)</f>
        <v>0</v>
      </c>
      <c r="M1437" s="13" t="n">
        <f aca="false">MAX(0,F1437-I1437-J1437)</f>
        <v>0</v>
      </c>
      <c r="N1437" s="13" t="n">
        <f aca="false">IF(Kalender!A339="",0,J1436-H1437)</f>
        <v>0</v>
      </c>
    </row>
    <row r="1438" customFormat="false" ht="16.4" hidden="false" customHeight="false" outlineLevel="0" collapsed="false">
      <c r="A1438" s="13" t="str">
        <f aca="false">""</f>
        <v/>
      </c>
      <c r="B1438" s="13" t="n">
        <f aca="false">336</f>
        <v>336</v>
      </c>
      <c r="C1438" s="13" t="n">
        <f aca="false">IF(Szenarien!$H$14="OK",(IFERROR(SUMIF(Nutzungsprofile!$B$6:$B$11,"Schulbetrieb",Nutzungsprofile!$G$6:$G$11)*Kalender!C340/SUM(Kalender!$C$5:$C$370),0)+IFERROR(SUMIF(Nutzungsprofile!$B$6:$B$11,"Halle",Nutzungsprofile!$G$6:$G$11)*Kalender!D340/SUM(Kalender!$D$5:$D$370),0)+IFERROR(SUMIF(Nutzungsprofile!$B$6:$B$11,"Individuell",Nutzungsprofile!$G$6:$G$11)*Kalender!E340/SUM(Kalender!$E$5:$E$370),0))*Szenarien!$E$14,0)</f>
        <v>0</v>
      </c>
      <c r="D1438" s="13" t="n">
        <f aca="false">IF(Szenarien!$H$14="OK",(IFERROR(SUMIF(Nutzungsprofile!$B$17:$B$22,"Schulbetrieb",Nutzungsprofile!$G$17:$G$22)*Kalender!C340/SUM(Kalender!$C$5:$C$370),0)+IFERROR(SUMIF(Nutzungsprofile!$B$17:$B$22,"Halle",Nutzungsprofile!$G$17:$G$22)*Kalender!D340/SUM(Kalender!$D$5:$D$370),0)+IFERROR(SUMIF(Nutzungsprofile!$B$17:$B$22,"Individuell",Nutzungsprofile!$G$17:$G$22)*Kalender!E340/SUM(Kalender!$E$5:$E$370),0))*Szenarien!$D$14,0)</f>
        <v>0</v>
      </c>
      <c r="E1438" s="13" t="n">
        <f aca="false">IFERROR(MIN(C1438,Eingaben!$B$17)*Eingaben!$B$16,0)</f>
        <v>0</v>
      </c>
      <c r="F1438" s="13" t="n">
        <f aca="false">IFERROR(E1438*Eingaben!$B$15,0)</f>
        <v>0</v>
      </c>
      <c r="G1438" s="13" t="n">
        <f aca="false">IFERROR(IF(Kalender!A340="",0,J1437*(1-Eingaben!$B$20)),0)</f>
        <v>0</v>
      </c>
      <c r="H1438" s="13" t="n">
        <f aca="false">MIN(G1438,D1438)</f>
        <v>0</v>
      </c>
      <c r="I1438" s="13" t="n">
        <f aca="false">IFERROR(MIN(F1438*Eingaben!$B$19,MAX(0,D1438-H1438)),0)</f>
        <v>0</v>
      </c>
      <c r="J1438" s="13" t="n">
        <f aca="false">IFERROR(MIN(Eingaben!$B$18,MAX(0,F1438-I1438)),0)</f>
        <v>0</v>
      </c>
      <c r="K1438" s="13" t="n">
        <f aca="false">H1438+I1438</f>
        <v>0</v>
      </c>
      <c r="L1438" s="13" t="n">
        <f aca="false">MAX(0,D1438-K1438)</f>
        <v>0</v>
      </c>
      <c r="M1438" s="13" t="n">
        <f aca="false">MAX(0,F1438-I1438-J1438)</f>
        <v>0</v>
      </c>
      <c r="N1438" s="13" t="n">
        <f aca="false">IF(Kalender!A340="",0,J1437-H1438)</f>
        <v>0</v>
      </c>
    </row>
    <row r="1439" customFormat="false" ht="16.4" hidden="false" customHeight="false" outlineLevel="0" collapsed="false">
      <c r="A1439" s="13" t="str">
        <f aca="false">""</f>
        <v/>
      </c>
      <c r="B1439" s="13" t="n">
        <f aca="false">337</f>
        <v>337</v>
      </c>
      <c r="C1439" s="13" t="n">
        <f aca="false">IF(Szenarien!$H$14="OK",(IFERROR(SUMIF(Nutzungsprofile!$B$6:$B$11,"Schulbetrieb",Nutzungsprofile!$G$6:$G$11)*Kalender!C341/SUM(Kalender!$C$5:$C$370),0)+IFERROR(SUMIF(Nutzungsprofile!$B$6:$B$11,"Halle",Nutzungsprofile!$G$6:$G$11)*Kalender!D341/SUM(Kalender!$D$5:$D$370),0)+IFERROR(SUMIF(Nutzungsprofile!$B$6:$B$11,"Individuell",Nutzungsprofile!$G$6:$G$11)*Kalender!E341/SUM(Kalender!$E$5:$E$370),0))*Szenarien!$E$14,0)</f>
        <v>0</v>
      </c>
      <c r="D1439" s="13" t="n">
        <f aca="false">IF(Szenarien!$H$14="OK",(IFERROR(SUMIF(Nutzungsprofile!$B$17:$B$22,"Schulbetrieb",Nutzungsprofile!$G$17:$G$22)*Kalender!C341/SUM(Kalender!$C$5:$C$370),0)+IFERROR(SUMIF(Nutzungsprofile!$B$17:$B$22,"Halle",Nutzungsprofile!$G$17:$G$22)*Kalender!D341/SUM(Kalender!$D$5:$D$370),0)+IFERROR(SUMIF(Nutzungsprofile!$B$17:$B$22,"Individuell",Nutzungsprofile!$G$17:$G$22)*Kalender!E341/SUM(Kalender!$E$5:$E$370),0))*Szenarien!$D$14,0)</f>
        <v>0</v>
      </c>
      <c r="E1439" s="13" t="n">
        <f aca="false">IFERROR(MIN(C1439,Eingaben!$B$17)*Eingaben!$B$16,0)</f>
        <v>0</v>
      </c>
      <c r="F1439" s="13" t="n">
        <f aca="false">IFERROR(E1439*Eingaben!$B$15,0)</f>
        <v>0</v>
      </c>
      <c r="G1439" s="13" t="n">
        <f aca="false">IFERROR(IF(Kalender!A341="",0,J1438*(1-Eingaben!$B$20)),0)</f>
        <v>0</v>
      </c>
      <c r="H1439" s="13" t="n">
        <f aca="false">MIN(G1439,D1439)</f>
        <v>0</v>
      </c>
      <c r="I1439" s="13" t="n">
        <f aca="false">IFERROR(MIN(F1439*Eingaben!$B$19,MAX(0,D1439-H1439)),0)</f>
        <v>0</v>
      </c>
      <c r="J1439" s="13" t="n">
        <f aca="false">IFERROR(MIN(Eingaben!$B$18,MAX(0,F1439-I1439)),0)</f>
        <v>0</v>
      </c>
      <c r="K1439" s="13" t="n">
        <f aca="false">H1439+I1439</f>
        <v>0</v>
      </c>
      <c r="L1439" s="13" t="n">
        <f aca="false">MAX(0,D1439-K1439)</f>
        <v>0</v>
      </c>
      <c r="M1439" s="13" t="n">
        <f aca="false">MAX(0,F1439-I1439-J1439)</f>
        <v>0</v>
      </c>
      <c r="N1439" s="13" t="n">
        <f aca="false">IF(Kalender!A341="",0,J1438-H1439)</f>
        <v>0</v>
      </c>
    </row>
    <row r="1440" customFormat="false" ht="16.4" hidden="false" customHeight="false" outlineLevel="0" collapsed="false">
      <c r="A1440" s="13" t="str">
        <f aca="false">""</f>
        <v/>
      </c>
      <c r="B1440" s="13" t="n">
        <f aca="false">338</f>
        <v>338</v>
      </c>
      <c r="C1440" s="13" t="n">
        <f aca="false">IF(Szenarien!$H$14="OK",(IFERROR(SUMIF(Nutzungsprofile!$B$6:$B$11,"Schulbetrieb",Nutzungsprofile!$G$6:$G$11)*Kalender!C342/SUM(Kalender!$C$5:$C$370),0)+IFERROR(SUMIF(Nutzungsprofile!$B$6:$B$11,"Halle",Nutzungsprofile!$G$6:$G$11)*Kalender!D342/SUM(Kalender!$D$5:$D$370),0)+IFERROR(SUMIF(Nutzungsprofile!$B$6:$B$11,"Individuell",Nutzungsprofile!$G$6:$G$11)*Kalender!E342/SUM(Kalender!$E$5:$E$370),0))*Szenarien!$E$14,0)</f>
        <v>0</v>
      </c>
      <c r="D1440" s="13" t="n">
        <f aca="false">IF(Szenarien!$H$14="OK",(IFERROR(SUMIF(Nutzungsprofile!$B$17:$B$22,"Schulbetrieb",Nutzungsprofile!$G$17:$G$22)*Kalender!C342/SUM(Kalender!$C$5:$C$370),0)+IFERROR(SUMIF(Nutzungsprofile!$B$17:$B$22,"Halle",Nutzungsprofile!$G$17:$G$22)*Kalender!D342/SUM(Kalender!$D$5:$D$370),0)+IFERROR(SUMIF(Nutzungsprofile!$B$17:$B$22,"Individuell",Nutzungsprofile!$G$17:$G$22)*Kalender!E342/SUM(Kalender!$E$5:$E$370),0))*Szenarien!$D$14,0)</f>
        <v>0</v>
      </c>
      <c r="E1440" s="13" t="n">
        <f aca="false">IFERROR(MIN(C1440,Eingaben!$B$17)*Eingaben!$B$16,0)</f>
        <v>0</v>
      </c>
      <c r="F1440" s="13" t="n">
        <f aca="false">IFERROR(E1440*Eingaben!$B$15,0)</f>
        <v>0</v>
      </c>
      <c r="G1440" s="13" t="n">
        <f aca="false">IFERROR(IF(Kalender!A342="",0,J1439*(1-Eingaben!$B$20)),0)</f>
        <v>0</v>
      </c>
      <c r="H1440" s="13" t="n">
        <f aca="false">MIN(G1440,D1440)</f>
        <v>0</v>
      </c>
      <c r="I1440" s="13" t="n">
        <f aca="false">IFERROR(MIN(F1440*Eingaben!$B$19,MAX(0,D1440-H1440)),0)</f>
        <v>0</v>
      </c>
      <c r="J1440" s="13" t="n">
        <f aca="false">IFERROR(MIN(Eingaben!$B$18,MAX(0,F1440-I1440)),0)</f>
        <v>0</v>
      </c>
      <c r="K1440" s="13" t="n">
        <f aca="false">H1440+I1440</f>
        <v>0</v>
      </c>
      <c r="L1440" s="13" t="n">
        <f aca="false">MAX(0,D1440-K1440)</f>
        <v>0</v>
      </c>
      <c r="M1440" s="13" t="n">
        <f aca="false">MAX(0,F1440-I1440-J1440)</f>
        <v>0</v>
      </c>
      <c r="N1440" s="13" t="n">
        <f aca="false">IF(Kalender!A342="",0,J1439-H1440)</f>
        <v>0</v>
      </c>
    </row>
    <row r="1441" customFormat="false" ht="16.4" hidden="false" customHeight="false" outlineLevel="0" collapsed="false">
      <c r="A1441" s="13" t="str">
        <f aca="false">""</f>
        <v/>
      </c>
      <c r="B1441" s="13" t="n">
        <f aca="false">339</f>
        <v>339</v>
      </c>
      <c r="C1441" s="13" t="n">
        <f aca="false">IF(Szenarien!$H$14="OK",(IFERROR(SUMIF(Nutzungsprofile!$B$6:$B$11,"Schulbetrieb",Nutzungsprofile!$G$6:$G$11)*Kalender!C343/SUM(Kalender!$C$5:$C$370),0)+IFERROR(SUMIF(Nutzungsprofile!$B$6:$B$11,"Halle",Nutzungsprofile!$G$6:$G$11)*Kalender!D343/SUM(Kalender!$D$5:$D$370),0)+IFERROR(SUMIF(Nutzungsprofile!$B$6:$B$11,"Individuell",Nutzungsprofile!$G$6:$G$11)*Kalender!E343/SUM(Kalender!$E$5:$E$370),0))*Szenarien!$E$14,0)</f>
        <v>0</v>
      </c>
      <c r="D1441" s="13" t="n">
        <f aca="false">IF(Szenarien!$H$14="OK",(IFERROR(SUMIF(Nutzungsprofile!$B$17:$B$22,"Schulbetrieb",Nutzungsprofile!$G$17:$G$22)*Kalender!C343/SUM(Kalender!$C$5:$C$370),0)+IFERROR(SUMIF(Nutzungsprofile!$B$17:$B$22,"Halle",Nutzungsprofile!$G$17:$G$22)*Kalender!D343/SUM(Kalender!$D$5:$D$370),0)+IFERROR(SUMIF(Nutzungsprofile!$B$17:$B$22,"Individuell",Nutzungsprofile!$G$17:$G$22)*Kalender!E343/SUM(Kalender!$E$5:$E$370),0))*Szenarien!$D$14,0)</f>
        <v>0</v>
      </c>
      <c r="E1441" s="13" t="n">
        <f aca="false">IFERROR(MIN(C1441,Eingaben!$B$17)*Eingaben!$B$16,0)</f>
        <v>0</v>
      </c>
      <c r="F1441" s="13" t="n">
        <f aca="false">IFERROR(E1441*Eingaben!$B$15,0)</f>
        <v>0</v>
      </c>
      <c r="G1441" s="13" t="n">
        <f aca="false">IFERROR(IF(Kalender!A343="",0,J1440*(1-Eingaben!$B$20)),0)</f>
        <v>0</v>
      </c>
      <c r="H1441" s="13" t="n">
        <f aca="false">MIN(G1441,D1441)</f>
        <v>0</v>
      </c>
      <c r="I1441" s="13" t="n">
        <f aca="false">IFERROR(MIN(F1441*Eingaben!$B$19,MAX(0,D1441-H1441)),0)</f>
        <v>0</v>
      </c>
      <c r="J1441" s="13" t="n">
        <f aca="false">IFERROR(MIN(Eingaben!$B$18,MAX(0,F1441-I1441)),0)</f>
        <v>0</v>
      </c>
      <c r="K1441" s="13" t="n">
        <f aca="false">H1441+I1441</f>
        <v>0</v>
      </c>
      <c r="L1441" s="13" t="n">
        <f aca="false">MAX(0,D1441-K1441)</f>
        <v>0</v>
      </c>
      <c r="M1441" s="13" t="n">
        <f aca="false">MAX(0,F1441-I1441-J1441)</f>
        <v>0</v>
      </c>
      <c r="N1441" s="13" t="n">
        <f aca="false">IF(Kalender!A343="",0,J1440-H1441)</f>
        <v>0</v>
      </c>
    </row>
    <row r="1442" customFormat="false" ht="16.4" hidden="false" customHeight="false" outlineLevel="0" collapsed="false">
      <c r="A1442" s="13" t="str">
        <f aca="false">""</f>
        <v/>
      </c>
      <c r="B1442" s="13" t="n">
        <f aca="false">340</f>
        <v>340</v>
      </c>
      <c r="C1442" s="13" t="n">
        <f aca="false">IF(Szenarien!$H$14="OK",(IFERROR(SUMIF(Nutzungsprofile!$B$6:$B$11,"Schulbetrieb",Nutzungsprofile!$G$6:$G$11)*Kalender!C344/SUM(Kalender!$C$5:$C$370),0)+IFERROR(SUMIF(Nutzungsprofile!$B$6:$B$11,"Halle",Nutzungsprofile!$G$6:$G$11)*Kalender!D344/SUM(Kalender!$D$5:$D$370),0)+IFERROR(SUMIF(Nutzungsprofile!$B$6:$B$11,"Individuell",Nutzungsprofile!$G$6:$G$11)*Kalender!E344/SUM(Kalender!$E$5:$E$370),0))*Szenarien!$E$14,0)</f>
        <v>0</v>
      </c>
      <c r="D1442" s="13" t="n">
        <f aca="false">IF(Szenarien!$H$14="OK",(IFERROR(SUMIF(Nutzungsprofile!$B$17:$B$22,"Schulbetrieb",Nutzungsprofile!$G$17:$G$22)*Kalender!C344/SUM(Kalender!$C$5:$C$370),0)+IFERROR(SUMIF(Nutzungsprofile!$B$17:$B$22,"Halle",Nutzungsprofile!$G$17:$G$22)*Kalender!D344/SUM(Kalender!$D$5:$D$370),0)+IFERROR(SUMIF(Nutzungsprofile!$B$17:$B$22,"Individuell",Nutzungsprofile!$G$17:$G$22)*Kalender!E344/SUM(Kalender!$E$5:$E$370),0))*Szenarien!$D$14,0)</f>
        <v>0</v>
      </c>
      <c r="E1442" s="13" t="n">
        <f aca="false">IFERROR(MIN(C1442,Eingaben!$B$17)*Eingaben!$B$16,0)</f>
        <v>0</v>
      </c>
      <c r="F1442" s="13" t="n">
        <f aca="false">IFERROR(E1442*Eingaben!$B$15,0)</f>
        <v>0</v>
      </c>
      <c r="G1442" s="13" t="n">
        <f aca="false">IFERROR(IF(Kalender!A344="",0,J1441*(1-Eingaben!$B$20)),0)</f>
        <v>0</v>
      </c>
      <c r="H1442" s="13" t="n">
        <f aca="false">MIN(G1442,D1442)</f>
        <v>0</v>
      </c>
      <c r="I1442" s="13" t="n">
        <f aca="false">IFERROR(MIN(F1442*Eingaben!$B$19,MAX(0,D1442-H1442)),0)</f>
        <v>0</v>
      </c>
      <c r="J1442" s="13" t="n">
        <f aca="false">IFERROR(MIN(Eingaben!$B$18,MAX(0,F1442-I1442)),0)</f>
        <v>0</v>
      </c>
      <c r="K1442" s="13" t="n">
        <f aca="false">H1442+I1442</f>
        <v>0</v>
      </c>
      <c r="L1442" s="13" t="n">
        <f aca="false">MAX(0,D1442-K1442)</f>
        <v>0</v>
      </c>
      <c r="M1442" s="13" t="n">
        <f aca="false">MAX(0,F1442-I1442-J1442)</f>
        <v>0</v>
      </c>
      <c r="N1442" s="13" t="n">
        <f aca="false">IF(Kalender!A344="",0,J1441-H1442)</f>
        <v>0</v>
      </c>
    </row>
    <row r="1443" customFormat="false" ht="16.4" hidden="false" customHeight="false" outlineLevel="0" collapsed="false">
      <c r="A1443" s="13" t="str">
        <f aca="false">""</f>
        <v/>
      </c>
      <c r="B1443" s="13" t="n">
        <f aca="false">341</f>
        <v>341</v>
      </c>
      <c r="C1443" s="13" t="n">
        <f aca="false">IF(Szenarien!$H$14="OK",(IFERROR(SUMIF(Nutzungsprofile!$B$6:$B$11,"Schulbetrieb",Nutzungsprofile!$G$6:$G$11)*Kalender!C345/SUM(Kalender!$C$5:$C$370),0)+IFERROR(SUMIF(Nutzungsprofile!$B$6:$B$11,"Halle",Nutzungsprofile!$G$6:$G$11)*Kalender!D345/SUM(Kalender!$D$5:$D$370),0)+IFERROR(SUMIF(Nutzungsprofile!$B$6:$B$11,"Individuell",Nutzungsprofile!$G$6:$G$11)*Kalender!E345/SUM(Kalender!$E$5:$E$370),0))*Szenarien!$E$14,0)</f>
        <v>0</v>
      </c>
      <c r="D1443" s="13" t="n">
        <f aca="false">IF(Szenarien!$H$14="OK",(IFERROR(SUMIF(Nutzungsprofile!$B$17:$B$22,"Schulbetrieb",Nutzungsprofile!$G$17:$G$22)*Kalender!C345/SUM(Kalender!$C$5:$C$370),0)+IFERROR(SUMIF(Nutzungsprofile!$B$17:$B$22,"Halle",Nutzungsprofile!$G$17:$G$22)*Kalender!D345/SUM(Kalender!$D$5:$D$370),0)+IFERROR(SUMIF(Nutzungsprofile!$B$17:$B$22,"Individuell",Nutzungsprofile!$G$17:$G$22)*Kalender!E345/SUM(Kalender!$E$5:$E$370),0))*Szenarien!$D$14,0)</f>
        <v>0</v>
      </c>
      <c r="E1443" s="13" t="n">
        <f aca="false">IFERROR(MIN(C1443,Eingaben!$B$17)*Eingaben!$B$16,0)</f>
        <v>0</v>
      </c>
      <c r="F1443" s="13" t="n">
        <f aca="false">IFERROR(E1443*Eingaben!$B$15,0)</f>
        <v>0</v>
      </c>
      <c r="G1443" s="13" t="n">
        <f aca="false">IFERROR(IF(Kalender!A345="",0,J1442*(1-Eingaben!$B$20)),0)</f>
        <v>0</v>
      </c>
      <c r="H1443" s="13" t="n">
        <f aca="false">MIN(G1443,D1443)</f>
        <v>0</v>
      </c>
      <c r="I1443" s="13" t="n">
        <f aca="false">IFERROR(MIN(F1443*Eingaben!$B$19,MAX(0,D1443-H1443)),0)</f>
        <v>0</v>
      </c>
      <c r="J1443" s="13" t="n">
        <f aca="false">IFERROR(MIN(Eingaben!$B$18,MAX(0,F1443-I1443)),0)</f>
        <v>0</v>
      </c>
      <c r="K1443" s="13" t="n">
        <f aca="false">H1443+I1443</f>
        <v>0</v>
      </c>
      <c r="L1443" s="13" t="n">
        <f aca="false">MAX(0,D1443-K1443)</f>
        <v>0</v>
      </c>
      <c r="M1443" s="13" t="n">
        <f aca="false">MAX(0,F1443-I1443-J1443)</f>
        <v>0</v>
      </c>
      <c r="N1443" s="13" t="n">
        <f aca="false">IF(Kalender!A345="",0,J1442-H1443)</f>
        <v>0</v>
      </c>
    </row>
    <row r="1444" customFormat="false" ht="16.4" hidden="false" customHeight="false" outlineLevel="0" collapsed="false">
      <c r="A1444" s="13" t="str">
        <f aca="false">""</f>
        <v/>
      </c>
      <c r="B1444" s="13" t="n">
        <f aca="false">342</f>
        <v>342</v>
      </c>
      <c r="C1444" s="13" t="n">
        <f aca="false">IF(Szenarien!$H$14="OK",(IFERROR(SUMIF(Nutzungsprofile!$B$6:$B$11,"Schulbetrieb",Nutzungsprofile!$G$6:$G$11)*Kalender!C346/SUM(Kalender!$C$5:$C$370),0)+IFERROR(SUMIF(Nutzungsprofile!$B$6:$B$11,"Halle",Nutzungsprofile!$G$6:$G$11)*Kalender!D346/SUM(Kalender!$D$5:$D$370),0)+IFERROR(SUMIF(Nutzungsprofile!$B$6:$B$11,"Individuell",Nutzungsprofile!$G$6:$G$11)*Kalender!E346/SUM(Kalender!$E$5:$E$370),0))*Szenarien!$E$14,0)</f>
        <v>0</v>
      </c>
      <c r="D1444" s="13" t="n">
        <f aca="false">IF(Szenarien!$H$14="OK",(IFERROR(SUMIF(Nutzungsprofile!$B$17:$B$22,"Schulbetrieb",Nutzungsprofile!$G$17:$G$22)*Kalender!C346/SUM(Kalender!$C$5:$C$370),0)+IFERROR(SUMIF(Nutzungsprofile!$B$17:$B$22,"Halle",Nutzungsprofile!$G$17:$G$22)*Kalender!D346/SUM(Kalender!$D$5:$D$370),0)+IFERROR(SUMIF(Nutzungsprofile!$B$17:$B$22,"Individuell",Nutzungsprofile!$G$17:$G$22)*Kalender!E346/SUM(Kalender!$E$5:$E$370),0))*Szenarien!$D$14,0)</f>
        <v>0</v>
      </c>
      <c r="E1444" s="13" t="n">
        <f aca="false">IFERROR(MIN(C1444,Eingaben!$B$17)*Eingaben!$B$16,0)</f>
        <v>0</v>
      </c>
      <c r="F1444" s="13" t="n">
        <f aca="false">IFERROR(E1444*Eingaben!$B$15,0)</f>
        <v>0</v>
      </c>
      <c r="G1444" s="13" t="n">
        <f aca="false">IFERROR(IF(Kalender!A346="",0,J1443*(1-Eingaben!$B$20)),0)</f>
        <v>0</v>
      </c>
      <c r="H1444" s="13" t="n">
        <f aca="false">MIN(G1444,D1444)</f>
        <v>0</v>
      </c>
      <c r="I1444" s="13" t="n">
        <f aca="false">IFERROR(MIN(F1444*Eingaben!$B$19,MAX(0,D1444-H1444)),0)</f>
        <v>0</v>
      </c>
      <c r="J1444" s="13" t="n">
        <f aca="false">IFERROR(MIN(Eingaben!$B$18,MAX(0,F1444-I1444)),0)</f>
        <v>0</v>
      </c>
      <c r="K1444" s="13" t="n">
        <f aca="false">H1444+I1444</f>
        <v>0</v>
      </c>
      <c r="L1444" s="13" t="n">
        <f aca="false">MAX(0,D1444-K1444)</f>
        <v>0</v>
      </c>
      <c r="M1444" s="13" t="n">
        <f aca="false">MAX(0,F1444-I1444-J1444)</f>
        <v>0</v>
      </c>
      <c r="N1444" s="13" t="n">
        <f aca="false">IF(Kalender!A346="",0,J1443-H1444)</f>
        <v>0</v>
      </c>
    </row>
    <row r="1445" customFormat="false" ht="16.4" hidden="false" customHeight="false" outlineLevel="0" collapsed="false">
      <c r="A1445" s="13" t="str">
        <f aca="false">""</f>
        <v/>
      </c>
      <c r="B1445" s="13" t="n">
        <f aca="false">343</f>
        <v>343</v>
      </c>
      <c r="C1445" s="13" t="n">
        <f aca="false">IF(Szenarien!$H$14="OK",(IFERROR(SUMIF(Nutzungsprofile!$B$6:$B$11,"Schulbetrieb",Nutzungsprofile!$G$6:$G$11)*Kalender!C347/SUM(Kalender!$C$5:$C$370),0)+IFERROR(SUMIF(Nutzungsprofile!$B$6:$B$11,"Halle",Nutzungsprofile!$G$6:$G$11)*Kalender!D347/SUM(Kalender!$D$5:$D$370),0)+IFERROR(SUMIF(Nutzungsprofile!$B$6:$B$11,"Individuell",Nutzungsprofile!$G$6:$G$11)*Kalender!E347/SUM(Kalender!$E$5:$E$370),0))*Szenarien!$E$14,0)</f>
        <v>0</v>
      </c>
      <c r="D1445" s="13" t="n">
        <f aca="false">IF(Szenarien!$H$14="OK",(IFERROR(SUMIF(Nutzungsprofile!$B$17:$B$22,"Schulbetrieb",Nutzungsprofile!$G$17:$G$22)*Kalender!C347/SUM(Kalender!$C$5:$C$370),0)+IFERROR(SUMIF(Nutzungsprofile!$B$17:$B$22,"Halle",Nutzungsprofile!$G$17:$G$22)*Kalender!D347/SUM(Kalender!$D$5:$D$370),0)+IFERROR(SUMIF(Nutzungsprofile!$B$17:$B$22,"Individuell",Nutzungsprofile!$G$17:$G$22)*Kalender!E347/SUM(Kalender!$E$5:$E$370),0))*Szenarien!$D$14,0)</f>
        <v>0</v>
      </c>
      <c r="E1445" s="13" t="n">
        <f aca="false">IFERROR(MIN(C1445,Eingaben!$B$17)*Eingaben!$B$16,0)</f>
        <v>0</v>
      </c>
      <c r="F1445" s="13" t="n">
        <f aca="false">IFERROR(E1445*Eingaben!$B$15,0)</f>
        <v>0</v>
      </c>
      <c r="G1445" s="13" t="n">
        <f aca="false">IFERROR(IF(Kalender!A347="",0,J1444*(1-Eingaben!$B$20)),0)</f>
        <v>0</v>
      </c>
      <c r="H1445" s="13" t="n">
        <f aca="false">MIN(G1445,D1445)</f>
        <v>0</v>
      </c>
      <c r="I1445" s="13" t="n">
        <f aca="false">IFERROR(MIN(F1445*Eingaben!$B$19,MAX(0,D1445-H1445)),0)</f>
        <v>0</v>
      </c>
      <c r="J1445" s="13" t="n">
        <f aca="false">IFERROR(MIN(Eingaben!$B$18,MAX(0,F1445-I1445)),0)</f>
        <v>0</v>
      </c>
      <c r="K1445" s="13" t="n">
        <f aca="false">H1445+I1445</f>
        <v>0</v>
      </c>
      <c r="L1445" s="13" t="n">
        <f aca="false">MAX(0,D1445-K1445)</f>
        <v>0</v>
      </c>
      <c r="M1445" s="13" t="n">
        <f aca="false">MAX(0,F1445-I1445-J1445)</f>
        <v>0</v>
      </c>
      <c r="N1445" s="13" t="n">
        <f aca="false">IF(Kalender!A347="",0,J1444-H1445)</f>
        <v>0</v>
      </c>
    </row>
    <row r="1446" customFormat="false" ht="16.4" hidden="false" customHeight="false" outlineLevel="0" collapsed="false">
      <c r="A1446" s="13" t="str">
        <f aca="false">""</f>
        <v/>
      </c>
      <c r="B1446" s="13" t="n">
        <f aca="false">344</f>
        <v>344</v>
      </c>
      <c r="C1446" s="13" t="n">
        <f aca="false">IF(Szenarien!$H$14="OK",(IFERROR(SUMIF(Nutzungsprofile!$B$6:$B$11,"Schulbetrieb",Nutzungsprofile!$G$6:$G$11)*Kalender!C348/SUM(Kalender!$C$5:$C$370),0)+IFERROR(SUMIF(Nutzungsprofile!$B$6:$B$11,"Halle",Nutzungsprofile!$G$6:$G$11)*Kalender!D348/SUM(Kalender!$D$5:$D$370),0)+IFERROR(SUMIF(Nutzungsprofile!$B$6:$B$11,"Individuell",Nutzungsprofile!$G$6:$G$11)*Kalender!E348/SUM(Kalender!$E$5:$E$370),0))*Szenarien!$E$14,0)</f>
        <v>0</v>
      </c>
      <c r="D1446" s="13" t="n">
        <f aca="false">IF(Szenarien!$H$14="OK",(IFERROR(SUMIF(Nutzungsprofile!$B$17:$B$22,"Schulbetrieb",Nutzungsprofile!$G$17:$G$22)*Kalender!C348/SUM(Kalender!$C$5:$C$370),0)+IFERROR(SUMIF(Nutzungsprofile!$B$17:$B$22,"Halle",Nutzungsprofile!$G$17:$G$22)*Kalender!D348/SUM(Kalender!$D$5:$D$370),0)+IFERROR(SUMIF(Nutzungsprofile!$B$17:$B$22,"Individuell",Nutzungsprofile!$G$17:$G$22)*Kalender!E348/SUM(Kalender!$E$5:$E$370),0))*Szenarien!$D$14,0)</f>
        <v>0</v>
      </c>
      <c r="E1446" s="13" t="n">
        <f aca="false">IFERROR(MIN(C1446,Eingaben!$B$17)*Eingaben!$B$16,0)</f>
        <v>0</v>
      </c>
      <c r="F1446" s="13" t="n">
        <f aca="false">IFERROR(E1446*Eingaben!$B$15,0)</f>
        <v>0</v>
      </c>
      <c r="G1446" s="13" t="n">
        <f aca="false">IFERROR(IF(Kalender!A348="",0,J1445*(1-Eingaben!$B$20)),0)</f>
        <v>0</v>
      </c>
      <c r="H1446" s="13" t="n">
        <f aca="false">MIN(G1446,D1446)</f>
        <v>0</v>
      </c>
      <c r="I1446" s="13" t="n">
        <f aca="false">IFERROR(MIN(F1446*Eingaben!$B$19,MAX(0,D1446-H1446)),0)</f>
        <v>0</v>
      </c>
      <c r="J1446" s="13" t="n">
        <f aca="false">IFERROR(MIN(Eingaben!$B$18,MAX(0,F1446-I1446)),0)</f>
        <v>0</v>
      </c>
      <c r="K1446" s="13" t="n">
        <f aca="false">H1446+I1446</f>
        <v>0</v>
      </c>
      <c r="L1446" s="13" t="n">
        <f aca="false">MAX(0,D1446-K1446)</f>
        <v>0</v>
      </c>
      <c r="M1446" s="13" t="n">
        <f aca="false">MAX(0,F1446-I1446-J1446)</f>
        <v>0</v>
      </c>
      <c r="N1446" s="13" t="n">
        <f aca="false">IF(Kalender!A348="",0,J1445-H1446)</f>
        <v>0</v>
      </c>
    </row>
    <row r="1447" customFormat="false" ht="16.4" hidden="false" customHeight="false" outlineLevel="0" collapsed="false">
      <c r="A1447" s="13" t="str">
        <f aca="false">""</f>
        <v/>
      </c>
      <c r="B1447" s="13" t="n">
        <f aca="false">345</f>
        <v>345</v>
      </c>
      <c r="C1447" s="13" t="n">
        <f aca="false">IF(Szenarien!$H$14="OK",(IFERROR(SUMIF(Nutzungsprofile!$B$6:$B$11,"Schulbetrieb",Nutzungsprofile!$G$6:$G$11)*Kalender!C349/SUM(Kalender!$C$5:$C$370),0)+IFERROR(SUMIF(Nutzungsprofile!$B$6:$B$11,"Halle",Nutzungsprofile!$G$6:$G$11)*Kalender!D349/SUM(Kalender!$D$5:$D$370),0)+IFERROR(SUMIF(Nutzungsprofile!$B$6:$B$11,"Individuell",Nutzungsprofile!$G$6:$G$11)*Kalender!E349/SUM(Kalender!$E$5:$E$370),0))*Szenarien!$E$14,0)</f>
        <v>0</v>
      </c>
      <c r="D1447" s="13" t="n">
        <f aca="false">IF(Szenarien!$H$14="OK",(IFERROR(SUMIF(Nutzungsprofile!$B$17:$B$22,"Schulbetrieb",Nutzungsprofile!$G$17:$G$22)*Kalender!C349/SUM(Kalender!$C$5:$C$370),0)+IFERROR(SUMIF(Nutzungsprofile!$B$17:$B$22,"Halle",Nutzungsprofile!$G$17:$G$22)*Kalender!D349/SUM(Kalender!$D$5:$D$370),0)+IFERROR(SUMIF(Nutzungsprofile!$B$17:$B$22,"Individuell",Nutzungsprofile!$G$17:$G$22)*Kalender!E349/SUM(Kalender!$E$5:$E$370),0))*Szenarien!$D$14,0)</f>
        <v>0</v>
      </c>
      <c r="E1447" s="13" t="n">
        <f aca="false">IFERROR(MIN(C1447,Eingaben!$B$17)*Eingaben!$B$16,0)</f>
        <v>0</v>
      </c>
      <c r="F1447" s="13" t="n">
        <f aca="false">IFERROR(E1447*Eingaben!$B$15,0)</f>
        <v>0</v>
      </c>
      <c r="G1447" s="13" t="n">
        <f aca="false">IFERROR(IF(Kalender!A349="",0,J1446*(1-Eingaben!$B$20)),0)</f>
        <v>0</v>
      </c>
      <c r="H1447" s="13" t="n">
        <f aca="false">MIN(G1447,D1447)</f>
        <v>0</v>
      </c>
      <c r="I1447" s="13" t="n">
        <f aca="false">IFERROR(MIN(F1447*Eingaben!$B$19,MAX(0,D1447-H1447)),0)</f>
        <v>0</v>
      </c>
      <c r="J1447" s="13" t="n">
        <f aca="false">IFERROR(MIN(Eingaben!$B$18,MAX(0,F1447-I1447)),0)</f>
        <v>0</v>
      </c>
      <c r="K1447" s="13" t="n">
        <f aca="false">H1447+I1447</f>
        <v>0</v>
      </c>
      <c r="L1447" s="13" t="n">
        <f aca="false">MAX(0,D1447-K1447)</f>
        <v>0</v>
      </c>
      <c r="M1447" s="13" t="n">
        <f aca="false">MAX(0,F1447-I1447-J1447)</f>
        <v>0</v>
      </c>
      <c r="N1447" s="13" t="n">
        <f aca="false">IF(Kalender!A349="",0,J1446-H1447)</f>
        <v>0</v>
      </c>
    </row>
    <row r="1448" customFormat="false" ht="16.4" hidden="false" customHeight="false" outlineLevel="0" collapsed="false">
      <c r="A1448" s="13" t="str">
        <f aca="false">""</f>
        <v/>
      </c>
      <c r="B1448" s="13" t="n">
        <f aca="false">346</f>
        <v>346</v>
      </c>
      <c r="C1448" s="13" t="n">
        <f aca="false">IF(Szenarien!$H$14="OK",(IFERROR(SUMIF(Nutzungsprofile!$B$6:$B$11,"Schulbetrieb",Nutzungsprofile!$G$6:$G$11)*Kalender!C350/SUM(Kalender!$C$5:$C$370),0)+IFERROR(SUMIF(Nutzungsprofile!$B$6:$B$11,"Halle",Nutzungsprofile!$G$6:$G$11)*Kalender!D350/SUM(Kalender!$D$5:$D$370),0)+IFERROR(SUMIF(Nutzungsprofile!$B$6:$B$11,"Individuell",Nutzungsprofile!$G$6:$G$11)*Kalender!E350/SUM(Kalender!$E$5:$E$370),0))*Szenarien!$E$14,0)</f>
        <v>0</v>
      </c>
      <c r="D1448" s="13" t="n">
        <f aca="false">IF(Szenarien!$H$14="OK",(IFERROR(SUMIF(Nutzungsprofile!$B$17:$B$22,"Schulbetrieb",Nutzungsprofile!$G$17:$G$22)*Kalender!C350/SUM(Kalender!$C$5:$C$370),0)+IFERROR(SUMIF(Nutzungsprofile!$B$17:$B$22,"Halle",Nutzungsprofile!$G$17:$G$22)*Kalender!D350/SUM(Kalender!$D$5:$D$370),0)+IFERROR(SUMIF(Nutzungsprofile!$B$17:$B$22,"Individuell",Nutzungsprofile!$G$17:$G$22)*Kalender!E350/SUM(Kalender!$E$5:$E$370),0))*Szenarien!$D$14,0)</f>
        <v>0</v>
      </c>
      <c r="E1448" s="13" t="n">
        <f aca="false">IFERROR(MIN(C1448,Eingaben!$B$17)*Eingaben!$B$16,0)</f>
        <v>0</v>
      </c>
      <c r="F1448" s="13" t="n">
        <f aca="false">IFERROR(E1448*Eingaben!$B$15,0)</f>
        <v>0</v>
      </c>
      <c r="G1448" s="13" t="n">
        <f aca="false">IFERROR(IF(Kalender!A350="",0,J1447*(1-Eingaben!$B$20)),0)</f>
        <v>0</v>
      </c>
      <c r="H1448" s="13" t="n">
        <f aca="false">MIN(G1448,D1448)</f>
        <v>0</v>
      </c>
      <c r="I1448" s="13" t="n">
        <f aca="false">IFERROR(MIN(F1448*Eingaben!$B$19,MAX(0,D1448-H1448)),0)</f>
        <v>0</v>
      </c>
      <c r="J1448" s="13" t="n">
        <f aca="false">IFERROR(MIN(Eingaben!$B$18,MAX(0,F1448-I1448)),0)</f>
        <v>0</v>
      </c>
      <c r="K1448" s="13" t="n">
        <f aca="false">H1448+I1448</f>
        <v>0</v>
      </c>
      <c r="L1448" s="13" t="n">
        <f aca="false">MAX(0,D1448-K1448)</f>
        <v>0</v>
      </c>
      <c r="M1448" s="13" t="n">
        <f aca="false">MAX(0,F1448-I1448-J1448)</f>
        <v>0</v>
      </c>
      <c r="N1448" s="13" t="n">
        <f aca="false">IF(Kalender!A350="",0,J1447-H1448)</f>
        <v>0</v>
      </c>
    </row>
    <row r="1449" customFormat="false" ht="16.4" hidden="false" customHeight="false" outlineLevel="0" collapsed="false">
      <c r="A1449" s="13" t="str">
        <f aca="false">""</f>
        <v/>
      </c>
      <c r="B1449" s="13" t="n">
        <f aca="false">347</f>
        <v>347</v>
      </c>
      <c r="C1449" s="13" t="n">
        <f aca="false">IF(Szenarien!$H$14="OK",(IFERROR(SUMIF(Nutzungsprofile!$B$6:$B$11,"Schulbetrieb",Nutzungsprofile!$G$6:$G$11)*Kalender!C351/SUM(Kalender!$C$5:$C$370),0)+IFERROR(SUMIF(Nutzungsprofile!$B$6:$B$11,"Halle",Nutzungsprofile!$G$6:$G$11)*Kalender!D351/SUM(Kalender!$D$5:$D$370),0)+IFERROR(SUMIF(Nutzungsprofile!$B$6:$B$11,"Individuell",Nutzungsprofile!$G$6:$G$11)*Kalender!E351/SUM(Kalender!$E$5:$E$370),0))*Szenarien!$E$14,0)</f>
        <v>0</v>
      </c>
      <c r="D1449" s="13" t="n">
        <f aca="false">IF(Szenarien!$H$14="OK",(IFERROR(SUMIF(Nutzungsprofile!$B$17:$B$22,"Schulbetrieb",Nutzungsprofile!$G$17:$G$22)*Kalender!C351/SUM(Kalender!$C$5:$C$370),0)+IFERROR(SUMIF(Nutzungsprofile!$B$17:$B$22,"Halle",Nutzungsprofile!$G$17:$G$22)*Kalender!D351/SUM(Kalender!$D$5:$D$370),0)+IFERROR(SUMIF(Nutzungsprofile!$B$17:$B$22,"Individuell",Nutzungsprofile!$G$17:$G$22)*Kalender!E351/SUM(Kalender!$E$5:$E$370),0))*Szenarien!$D$14,0)</f>
        <v>0</v>
      </c>
      <c r="E1449" s="13" t="n">
        <f aca="false">IFERROR(MIN(C1449,Eingaben!$B$17)*Eingaben!$B$16,0)</f>
        <v>0</v>
      </c>
      <c r="F1449" s="13" t="n">
        <f aca="false">IFERROR(E1449*Eingaben!$B$15,0)</f>
        <v>0</v>
      </c>
      <c r="G1449" s="13" t="n">
        <f aca="false">IFERROR(IF(Kalender!A351="",0,J1448*(1-Eingaben!$B$20)),0)</f>
        <v>0</v>
      </c>
      <c r="H1449" s="13" t="n">
        <f aca="false">MIN(G1449,D1449)</f>
        <v>0</v>
      </c>
      <c r="I1449" s="13" t="n">
        <f aca="false">IFERROR(MIN(F1449*Eingaben!$B$19,MAX(0,D1449-H1449)),0)</f>
        <v>0</v>
      </c>
      <c r="J1449" s="13" t="n">
        <f aca="false">IFERROR(MIN(Eingaben!$B$18,MAX(0,F1449-I1449)),0)</f>
        <v>0</v>
      </c>
      <c r="K1449" s="13" t="n">
        <f aca="false">H1449+I1449</f>
        <v>0</v>
      </c>
      <c r="L1449" s="13" t="n">
        <f aca="false">MAX(0,D1449-K1449)</f>
        <v>0</v>
      </c>
      <c r="M1449" s="13" t="n">
        <f aca="false">MAX(0,F1449-I1449-J1449)</f>
        <v>0</v>
      </c>
      <c r="N1449" s="13" t="n">
        <f aca="false">IF(Kalender!A351="",0,J1448-H1449)</f>
        <v>0</v>
      </c>
    </row>
    <row r="1450" customFormat="false" ht="16.4" hidden="false" customHeight="false" outlineLevel="0" collapsed="false">
      <c r="A1450" s="13" t="str">
        <f aca="false">""</f>
        <v/>
      </c>
      <c r="B1450" s="13" t="n">
        <f aca="false">348</f>
        <v>348</v>
      </c>
      <c r="C1450" s="13" t="n">
        <f aca="false">IF(Szenarien!$H$14="OK",(IFERROR(SUMIF(Nutzungsprofile!$B$6:$B$11,"Schulbetrieb",Nutzungsprofile!$G$6:$G$11)*Kalender!C352/SUM(Kalender!$C$5:$C$370),0)+IFERROR(SUMIF(Nutzungsprofile!$B$6:$B$11,"Halle",Nutzungsprofile!$G$6:$G$11)*Kalender!D352/SUM(Kalender!$D$5:$D$370),0)+IFERROR(SUMIF(Nutzungsprofile!$B$6:$B$11,"Individuell",Nutzungsprofile!$G$6:$G$11)*Kalender!E352/SUM(Kalender!$E$5:$E$370),0))*Szenarien!$E$14,0)</f>
        <v>0</v>
      </c>
      <c r="D1450" s="13" t="n">
        <f aca="false">IF(Szenarien!$H$14="OK",(IFERROR(SUMIF(Nutzungsprofile!$B$17:$B$22,"Schulbetrieb",Nutzungsprofile!$G$17:$G$22)*Kalender!C352/SUM(Kalender!$C$5:$C$370),0)+IFERROR(SUMIF(Nutzungsprofile!$B$17:$B$22,"Halle",Nutzungsprofile!$G$17:$G$22)*Kalender!D352/SUM(Kalender!$D$5:$D$370),0)+IFERROR(SUMIF(Nutzungsprofile!$B$17:$B$22,"Individuell",Nutzungsprofile!$G$17:$G$22)*Kalender!E352/SUM(Kalender!$E$5:$E$370),0))*Szenarien!$D$14,0)</f>
        <v>0</v>
      </c>
      <c r="E1450" s="13" t="n">
        <f aca="false">IFERROR(MIN(C1450,Eingaben!$B$17)*Eingaben!$B$16,0)</f>
        <v>0</v>
      </c>
      <c r="F1450" s="13" t="n">
        <f aca="false">IFERROR(E1450*Eingaben!$B$15,0)</f>
        <v>0</v>
      </c>
      <c r="G1450" s="13" t="n">
        <f aca="false">IFERROR(IF(Kalender!A352="",0,J1449*(1-Eingaben!$B$20)),0)</f>
        <v>0</v>
      </c>
      <c r="H1450" s="13" t="n">
        <f aca="false">MIN(G1450,D1450)</f>
        <v>0</v>
      </c>
      <c r="I1450" s="13" t="n">
        <f aca="false">IFERROR(MIN(F1450*Eingaben!$B$19,MAX(0,D1450-H1450)),0)</f>
        <v>0</v>
      </c>
      <c r="J1450" s="13" t="n">
        <f aca="false">IFERROR(MIN(Eingaben!$B$18,MAX(0,F1450-I1450)),0)</f>
        <v>0</v>
      </c>
      <c r="K1450" s="13" t="n">
        <f aca="false">H1450+I1450</f>
        <v>0</v>
      </c>
      <c r="L1450" s="13" t="n">
        <f aca="false">MAX(0,D1450-K1450)</f>
        <v>0</v>
      </c>
      <c r="M1450" s="13" t="n">
        <f aca="false">MAX(0,F1450-I1450-J1450)</f>
        <v>0</v>
      </c>
      <c r="N1450" s="13" t="n">
        <f aca="false">IF(Kalender!A352="",0,J1449-H1450)</f>
        <v>0</v>
      </c>
    </row>
    <row r="1451" customFormat="false" ht="16.4" hidden="false" customHeight="false" outlineLevel="0" collapsed="false">
      <c r="A1451" s="13" t="str">
        <f aca="false">""</f>
        <v/>
      </c>
      <c r="B1451" s="13" t="n">
        <f aca="false">349</f>
        <v>349</v>
      </c>
      <c r="C1451" s="13" t="n">
        <f aca="false">IF(Szenarien!$H$14="OK",(IFERROR(SUMIF(Nutzungsprofile!$B$6:$B$11,"Schulbetrieb",Nutzungsprofile!$G$6:$G$11)*Kalender!C353/SUM(Kalender!$C$5:$C$370),0)+IFERROR(SUMIF(Nutzungsprofile!$B$6:$B$11,"Halle",Nutzungsprofile!$G$6:$G$11)*Kalender!D353/SUM(Kalender!$D$5:$D$370),0)+IFERROR(SUMIF(Nutzungsprofile!$B$6:$B$11,"Individuell",Nutzungsprofile!$G$6:$G$11)*Kalender!E353/SUM(Kalender!$E$5:$E$370),0))*Szenarien!$E$14,0)</f>
        <v>0</v>
      </c>
      <c r="D1451" s="13" t="n">
        <f aca="false">IF(Szenarien!$H$14="OK",(IFERROR(SUMIF(Nutzungsprofile!$B$17:$B$22,"Schulbetrieb",Nutzungsprofile!$G$17:$G$22)*Kalender!C353/SUM(Kalender!$C$5:$C$370),0)+IFERROR(SUMIF(Nutzungsprofile!$B$17:$B$22,"Halle",Nutzungsprofile!$G$17:$G$22)*Kalender!D353/SUM(Kalender!$D$5:$D$370),0)+IFERROR(SUMIF(Nutzungsprofile!$B$17:$B$22,"Individuell",Nutzungsprofile!$G$17:$G$22)*Kalender!E353/SUM(Kalender!$E$5:$E$370),0))*Szenarien!$D$14,0)</f>
        <v>0</v>
      </c>
      <c r="E1451" s="13" t="n">
        <f aca="false">IFERROR(MIN(C1451,Eingaben!$B$17)*Eingaben!$B$16,0)</f>
        <v>0</v>
      </c>
      <c r="F1451" s="13" t="n">
        <f aca="false">IFERROR(E1451*Eingaben!$B$15,0)</f>
        <v>0</v>
      </c>
      <c r="G1451" s="13" t="n">
        <f aca="false">IFERROR(IF(Kalender!A353="",0,J1450*(1-Eingaben!$B$20)),0)</f>
        <v>0</v>
      </c>
      <c r="H1451" s="13" t="n">
        <f aca="false">MIN(G1451,D1451)</f>
        <v>0</v>
      </c>
      <c r="I1451" s="13" t="n">
        <f aca="false">IFERROR(MIN(F1451*Eingaben!$B$19,MAX(0,D1451-H1451)),0)</f>
        <v>0</v>
      </c>
      <c r="J1451" s="13" t="n">
        <f aca="false">IFERROR(MIN(Eingaben!$B$18,MAX(0,F1451-I1451)),0)</f>
        <v>0</v>
      </c>
      <c r="K1451" s="13" t="n">
        <f aca="false">H1451+I1451</f>
        <v>0</v>
      </c>
      <c r="L1451" s="13" t="n">
        <f aca="false">MAX(0,D1451-K1451)</f>
        <v>0</v>
      </c>
      <c r="M1451" s="13" t="n">
        <f aca="false">MAX(0,F1451-I1451-J1451)</f>
        <v>0</v>
      </c>
      <c r="N1451" s="13" t="n">
        <f aca="false">IF(Kalender!A353="",0,J1450-H1451)</f>
        <v>0</v>
      </c>
    </row>
    <row r="1452" customFormat="false" ht="16.4" hidden="false" customHeight="false" outlineLevel="0" collapsed="false">
      <c r="A1452" s="13" t="str">
        <f aca="false">""</f>
        <v/>
      </c>
      <c r="B1452" s="13" t="n">
        <f aca="false">350</f>
        <v>350</v>
      </c>
      <c r="C1452" s="13" t="n">
        <f aca="false">IF(Szenarien!$H$14="OK",(IFERROR(SUMIF(Nutzungsprofile!$B$6:$B$11,"Schulbetrieb",Nutzungsprofile!$G$6:$G$11)*Kalender!C354/SUM(Kalender!$C$5:$C$370),0)+IFERROR(SUMIF(Nutzungsprofile!$B$6:$B$11,"Halle",Nutzungsprofile!$G$6:$G$11)*Kalender!D354/SUM(Kalender!$D$5:$D$370),0)+IFERROR(SUMIF(Nutzungsprofile!$B$6:$B$11,"Individuell",Nutzungsprofile!$G$6:$G$11)*Kalender!E354/SUM(Kalender!$E$5:$E$370),0))*Szenarien!$E$14,0)</f>
        <v>0</v>
      </c>
      <c r="D1452" s="13" t="n">
        <f aca="false">IF(Szenarien!$H$14="OK",(IFERROR(SUMIF(Nutzungsprofile!$B$17:$B$22,"Schulbetrieb",Nutzungsprofile!$G$17:$G$22)*Kalender!C354/SUM(Kalender!$C$5:$C$370),0)+IFERROR(SUMIF(Nutzungsprofile!$B$17:$B$22,"Halle",Nutzungsprofile!$G$17:$G$22)*Kalender!D354/SUM(Kalender!$D$5:$D$370),0)+IFERROR(SUMIF(Nutzungsprofile!$B$17:$B$22,"Individuell",Nutzungsprofile!$G$17:$G$22)*Kalender!E354/SUM(Kalender!$E$5:$E$370),0))*Szenarien!$D$14,0)</f>
        <v>0</v>
      </c>
      <c r="E1452" s="13" t="n">
        <f aca="false">IFERROR(MIN(C1452,Eingaben!$B$17)*Eingaben!$B$16,0)</f>
        <v>0</v>
      </c>
      <c r="F1452" s="13" t="n">
        <f aca="false">IFERROR(E1452*Eingaben!$B$15,0)</f>
        <v>0</v>
      </c>
      <c r="G1452" s="13" t="n">
        <f aca="false">IFERROR(IF(Kalender!A354="",0,J1451*(1-Eingaben!$B$20)),0)</f>
        <v>0</v>
      </c>
      <c r="H1452" s="13" t="n">
        <f aca="false">MIN(G1452,D1452)</f>
        <v>0</v>
      </c>
      <c r="I1452" s="13" t="n">
        <f aca="false">IFERROR(MIN(F1452*Eingaben!$B$19,MAX(0,D1452-H1452)),0)</f>
        <v>0</v>
      </c>
      <c r="J1452" s="13" t="n">
        <f aca="false">IFERROR(MIN(Eingaben!$B$18,MAX(0,F1452-I1452)),0)</f>
        <v>0</v>
      </c>
      <c r="K1452" s="13" t="n">
        <f aca="false">H1452+I1452</f>
        <v>0</v>
      </c>
      <c r="L1452" s="13" t="n">
        <f aca="false">MAX(0,D1452-K1452)</f>
        <v>0</v>
      </c>
      <c r="M1452" s="13" t="n">
        <f aca="false">MAX(0,F1452-I1452-J1452)</f>
        <v>0</v>
      </c>
      <c r="N1452" s="13" t="n">
        <f aca="false">IF(Kalender!A354="",0,J1451-H1452)</f>
        <v>0</v>
      </c>
    </row>
    <row r="1453" customFormat="false" ht="16.4" hidden="false" customHeight="false" outlineLevel="0" collapsed="false">
      <c r="A1453" s="13" t="str">
        <f aca="false">""</f>
        <v/>
      </c>
      <c r="B1453" s="13" t="n">
        <f aca="false">351</f>
        <v>351</v>
      </c>
      <c r="C1453" s="13" t="n">
        <f aca="false">IF(Szenarien!$H$14="OK",(IFERROR(SUMIF(Nutzungsprofile!$B$6:$B$11,"Schulbetrieb",Nutzungsprofile!$G$6:$G$11)*Kalender!C355/SUM(Kalender!$C$5:$C$370),0)+IFERROR(SUMIF(Nutzungsprofile!$B$6:$B$11,"Halle",Nutzungsprofile!$G$6:$G$11)*Kalender!D355/SUM(Kalender!$D$5:$D$370),0)+IFERROR(SUMIF(Nutzungsprofile!$B$6:$B$11,"Individuell",Nutzungsprofile!$G$6:$G$11)*Kalender!E355/SUM(Kalender!$E$5:$E$370),0))*Szenarien!$E$14,0)</f>
        <v>0</v>
      </c>
      <c r="D1453" s="13" t="n">
        <f aca="false">IF(Szenarien!$H$14="OK",(IFERROR(SUMIF(Nutzungsprofile!$B$17:$B$22,"Schulbetrieb",Nutzungsprofile!$G$17:$G$22)*Kalender!C355/SUM(Kalender!$C$5:$C$370),0)+IFERROR(SUMIF(Nutzungsprofile!$B$17:$B$22,"Halle",Nutzungsprofile!$G$17:$G$22)*Kalender!D355/SUM(Kalender!$D$5:$D$370),0)+IFERROR(SUMIF(Nutzungsprofile!$B$17:$B$22,"Individuell",Nutzungsprofile!$G$17:$G$22)*Kalender!E355/SUM(Kalender!$E$5:$E$370),0))*Szenarien!$D$14,0)</f>
        <v>0</v>
      </c>
      <c r="E1453" s="13" t="n">
        <f aca="false">IFERROR(MIN(C1453,Eingaben!$B$17)*Eingaben!$B$16,0)</f>
        <v>0</v>
      </c>
      <c r="F1453" s="13" t="n">
        <f aca="false">IFERROR(E1453*Eingaben!$B$15,0)</f>
        <v>0</v>
      </c>
      <c r="G1453" s="13" t="n">
        <f aca="false">IFERROR(IF(Kalender!A355="",0,J1452*(1-Eingaben!$B$20)),0)</f>
        <v>0</v>
      </c>
      <c r="H1453" s="13" t="n">
        <f aca="false">MIN(G1453,D1453)</f>
        <v>0</v>
      </c>
      <c r="I1453" s="13" t="n">
        <f aca="false">IFERROR(MIN(F1453*Eingaben!$B$19,MAX(0,D1453-H1453)),0)</f>
        <v>0</v>
      </c>
      <c r="J1453" s="13" t="n">
        <f aca="false">IFERROR(MIN(Eingaben!$B$18,MAX(0,F1453-I1453)),0)</f>
        <v>0</v>
      </c>
      <c r="K1453" s="13" t="n">
        <f aca="false">H1453+I1453</f>
        <v>0</v>
      </c>
      <c r="L1453" s="13" t="n">
        <f aca="false">MAX(0,D1453-K1453)</f>
        <v>0</v>
      </c>
      <c r="M1453" s="13" t="n">
        <f aca="false">MAX(0,F1453-I1453-J1453)</f>
        <v>0</v>
      </c>
      <c r="N1453" s="13" t="n">
        <f aca="false">IF(Kalender!A355="",0,J1452-H1453)</f>
        <v>0</v>
      </c>
    </row>
    <row r="1454" customFormat="false" ht="16.4" hidden="false" customHeight="false" outlineLevel="0" collapsed="false">
      <c r="A1454" s="13" t="str">
        <f aca="false">""</f>
        <v/>
      </c>
      <c r="B1454" s="13" t="n">
        <f aca="false">352</f>
        <v>352</v>
      </c>
      <c r="C1454" s="13" t="n">
        <f aca="false">IF(Szenarien!$H$14="OK",(IFERROR(SUMIF(Nutzungsprofile!$B$6:$B$11,"Schulbetrieb",Nutzungsprofile!$G$6:$G$11)*Kalender!C356/SUM(Kalender!$C$5:$C$370),0)+IFERROR(SUMIF(Nutzungsprofile!$B$6:$B$11,"Halle",Nutzungsprofile!$G$6:$G$11)*Kalender!D356/SUM(Kalender!$D$5:$D$370),0)+IFERROR(SUMIF(Nutzungsprofile!$B$6:$B$11,"Individuell",Nutzungsprofile!$G$6:$G$11)*Kalender!E356/SUM(Kalender!$E$5:$E$370),0))*Szenarien!$E$14,0)</f>
        <v>0</v>
      </c>
      <c r="D1454" s="13" t="n">
        <f aca="false">IF(Szenarien!$H$14="OK",(IFERROR(SUMIF(Nutzungsprofile!$B$17:$B$22,"Schulbetrieb",Nutzungsprofile!$G$17:$G$22)*Kalender!C356/SUM(Kalender!$C$5:$C$370),0)+IFERROR(SUMIF(Nutzungsprofile!$B$17:$B$22,"Halle",Nutzungsprofile!$G$17:$G$22)*Kalender!D356/SUM(Kalender!$D$5:$D$370),0)+IFERROR(SUMIF(Nutzungsprofile!$B$17:$B$22,"Individuell",Nutzungsprofile!$G$17:$G$22)*Kalender!E356/SUM(Kalender!$E$5:$E$370),0))*Szenarien!$D$14,0)</f>
        <v>0</v>
      </c>
      <c r="E1454" s="13" t="n">
        <f aca="false">IFERROR(MIN(C1454,Eingaben!$B$17)*Eingaben!$B$16,0)</f>
        <v>0</v>
      </c>
      <c r="F1454" s="13" t="n">
        <f aca="false">IFERROR(E1454*Eingaben!$B$15,0)</f>
        <v>0</v>
      </c>
      <c r="G1454" s="13" t="n">
        <f aca="false">IFERROR(IF(Kalender!A356="",0,J1453*(1-Eingaben!$B$20)),0)</f>
        <v>0</v>
      </c>
      <c r="H1454" s="13" t="n">
        <f aca="false">MIN(G1454,D1454)</f>
        <v>0</v>
      </c>
      <c r="I1454" s="13" t="n">
        <f aca="false">IFERROR(MIN(F1454*Eingaben!$B$19,MAX(0,D1454-H1454)),0)</f>
        <v>0</v>
      </c>
      <c r="J1454" s="13" t="n">
        <f aca="false">IFERROR(MIN(Eingaben!$B$18,MAX(0,F1454-I1454)),0)</f>
        <v>0</v>
      </c>
      <c r="K1454" s="13" t="n">
        <f aca="false">H1454+I1454</f>
        <v>0</v>
      </c>
      <c r="L1454" s="13" t="n">
        <f aca="false">MAX(0,D1454-K1454)</f>
        <v>0</v>
      </c>
      <c r="M1454" s="13" t="n">
        <f aca="false">MAX(0,F1454-I1454-J1454)</f>
        <v>0</v>
      </c>
      <c r="N1454" s="13" t="n">
        <f aca="false">IF(Kalender!A356="",0,J1453-H1454)</f>
        <v>0</v>
      </c>
    </row>
    <row r="1455" customFormat="false" ht="16.4" hidden="false" customHeight="false" outlineLevel="0" collapsed="false">
      <c r="A1455" s="13" t="str">
        <f aca="false">""</f>
        <v/>
      </c>
      <c r="B1455" s="13" t="n">
        <f aca="false">353</f>
        <v>353</v>
      </c>
      <c r="C1455" s="13" t="n">
        <f aca="false">IF(Szenarien!$H$14="OK",(IFERROR(SUMIF(Nutzungsprofile!$B$6:$B$11,"Schulbetrieb",Nutzungsprofile!$G$6:$G$11)*Kalender!C357/SUM(Kalender!$C$5:$C$370),0)+IFERROR(SUMIF(Nutzungsprofile!$B$6:$B$11,"Halle",Nutzungsprofile!$G$6:$G$11)*Kalender!D357/SUM(Kalender!$D$5:$D$370),0)+IFERROR(SUMIF(Nutzungsprofile!$B$6:$B$11,"Individuell",Nutzungsprofile!$G$6:$G$11)*Kalender!E357/SUM(Kalender!$E$5:$E$370),0))*Szenarien!$E$14,0)</f>
        <v>0</v>
      </c>
      <c r="D1455" s="13" t="n">
        <f aca="false">IF(Szenarien!$H$14="OK",(IFERROR(SUMIF(Nutzungsprofile!$B$17:$B$22,"Schulbetrieb",Nutzungsprofile!$G$17:$G$22)*Kalender!C357/SUM(Kalender!$C$5:$C$370),0)+IFERROR(SUMIF(Nutzungsprofile!$B$17:$B$22,"Halle",Nutzungsprofile!$G$17:$G$22)*Kalender!D357/SUM(Kalender!$D$5:$D$370),0)+IFERROR(SUMIF(Nutzungsprofile!$B$17:$B$22,"Individuell",Nutzungsprofile!$G$17:$G$22)*Kalender!E357/SUM(Kalender!$E$5:$E$370),0))*Szenarien!$D$14,0)</f>
        <v>0</v>
      </c>
      <c r="E1455" s="13" t="n">
        <f aca="false">IFERROR(MIN(C1455,Eingaben!$B$17)*Eingaben!$B$16,0)</f>
        <v>0</v>
      </c>
      <c r="F1455" s="13" t="n">
        <f aca="false">IFERROR(E1455*Eingaben!$B$15,0)</f>
        <v>0</v>
      </c>
      <c r="G1455" s="13" t="n">
        <f aca="false">IFERROR(IF(Kalender!A357="",0,J1454*(1-Eingaben!$B$20)),0)</f>
        <v>0</v>
      </c>
      <c r="H1455" s="13" t="n">
        <f aca="false">MIN(G1455,D1455)</f>
        <v>0</v>
      </c>
      <c r="I1455" s="13" t="n">
        <f aca="false">IFERROR(MIN(F1455*Eingaben!$B$19,MAX(0,D1455-H1455)),0)</f>
        <v>0</v>
      </c>
      <c r="J1455" s="13" t="n">
        <f aca="false">IFERROR(MIN(Eingaben!$B$18,MAX(0,F1455-I1455)),0)</f>
        <v>0</v>
      </c>
      <c r="K1455" s="13" t="n">
        <f aca="false">H1455+I1455</f>
        <v>0</v>
      </c>
      <c r="L1455" s="13" t="n">
        <f aca="false">MAX(0,D1455-K1455)</f>
        <v>0</v>
      </c>
      <c r="M1455" s="13" t="n">
        <f aca="false">MAX(0,F1455-I1455-J1455)</f>
        <v>0</v>
      </c>
      <c r="N1455" s="13" t="n">
        <f aca="false">IF(Kalender!A357="",0,J1454-H1455)</f>
        <v>0</v>
      </c>
    </row>
    <row r="1456" customFormat="false" ht="16.4" hidden="false" customHeight="false" outlineLevel="0" collapsed="false">
      <c r="A1456" s="13" t="str">
        <f aca="false">""</f>
        <v/>
      </c>
      <c r="B1456" s="13" t="n">
        <f aca="false">354</f>
        <v>354</v>
      </c>
      <c r="C1456" s="13" t="n">
        <f aca="false">IF(Szenarien!$H$14="OK",(IFERROR(SUMIF(Nutzungsprofile!$B$6:$B$11,"Schulbetrieb",Nutzungsprofile!$G$6:$G$11)*Kalender!C358/SUM(Kalender!$C$5:$C$370),0)+IFERROR(SUMIF(Nutzungsprofile!$B$6:$B$11,"Halle",Nutzungsprofile!$G$6:$G$11)*Kalender!D358/SUM(Kalender!$D$5:$D$370),0)+IFERROR(SUMIF(Nutzungsprofile!$B$6:$B$11,"Individuell",Nutzungsprofile!$G$6:$G$11)*Kalender!E358/SUM(Kalender!$E$5:$E$370),0))*Szenarien!$E$14,0)</f>
        <v>0</v>
      </c>
      <c r="D1456" s="13" t="n">
        <f aca="false">IF(Szenarien!$H$14="OK",(IFERROR(SUMIF(Nutzungsprofile!$B$17:$B$22,"Schulbetrieb",Nutzungsprofile!$G$17:$G$22)*Kalender!C358/SUM(Kalender!$C$5:$C$370),0)+IFERROR(SUMIF(Nutzungsprofile!$B$17:$B$22,"Halle",Nutzungsprofile!$G$17:$G$22)*Kalender!D358/SUM(Kalender!$D$5:$D$370),0)+IFERROR(SUMIF(Nutzungsprofile!$B$17:$B$22,"Individuell",Nutzungsprofile!$G$17:$G$22)*Kalender!E358/SUM(Kalender!$E$5:$E$370),0))*Szenarien!$D$14,0)</f>
        <v>0</v>
      </c>
      <c r="E1456" s="13" t="n">
        <f aca="false">IFERROR(MIN(C1456,Eingaben!$B$17)*Eingaben!$B$16,0)</f>
        <v>0</v>
      </c>
      <c r="F1456" s="13" t="n">
        <f aca="false">IFERROR(E1456*Eingaben!$B$15,0)</f>
        <v>0</v>
      </c>
      <c r="G1456" s="13" t="n">
        <f aca="false">IFERROR(IF(Kalender!A358="",0,J1455*(1-Eingaben!$B$20)),0)</f>
        <v>0</v>
      </c>
      <c r="H1456" s="13" t="n">
        <f aca="false">MIN(G1456,D1456)</f>
        <v>0</v>
      </c>
      <c r="I1456" s="13" t="n">
        <f aca="false">IFERROR(MIN(F1456*Eingaben!$B$19,MAX(0,D1456-H1456)),0)</f>
        <v>0</v>
      </c>
      <c r="J1456" s="13" t="n">
        <f aca="false">IFERROR(MIN(Eingaben!$B$18,MAX(0,F1456-I1456)),0)</f>
        <v>0</v>
      </c>
      <c r="K1456" s="13" t="n">
        <f aca="false">H1456+I1456</f>
        <v>0</v>
      </c>
      <c r="L1456" s="13" t="n">
        <f aca="false">MAX(0,D1456-K1456)</f>
        <v>0</v>
      </c>
      <c r="M1456" s="13" t="n">
        <f aca="false">MAX(0,F1456-I1456-J1456)</f>
        <v>0</v>
      </c>
      <c r="N1456" s="13" t="n">
        <f aca="false">IF(Kalender!A358="",0,J1455-H1456)</f>
        <v>0</v>
      </c>
    </row>
    <row r="1457" customFormat="false" ht="16.4" hidden="false" customHeight="false" outlineLevel="0" collapsed="false">
      <c r="A1457" s="13" t="str">
        <f aca="false">""</f>
        <v/>
      </c>
      <c r="B1457" s="13" t="n">
        <f aca="false">355</f>
        <v>355</v>
      </c>
      <c r="C1457" s="13" t="n">
        <f aca="false">IF(Szenarien!$H$14="OK",(IFERROR(SUMIF(Nutzungsprofile!$B$6:$B$11,"Schulbetrieb",Nutzungsprofile!$G$6:$G$11)*Kalender!C359/SUM(Kalender!$C$5:$C$370),0)+IFERROR(SUMIF(Nutzungsprofile!$B$6:$B$11,"Halle",Nutzungsprofile!$G$6:$G$11)*Kalender!D359/SUM(Kalender!$D$5:$D$370),0)+IFERROR(SUMIF(Nutzungsprofile!$B$6:$B$11,"Individuell",Nutzungsprofile!$G$6:$G$11)*Kalender!E359/SUM(Kalender!$E$5:$E$370),0))*Szenarien!$E$14,0)</f>
        <v>0</v>
      </c>
      <c r="D1457" s="13" t="n">
        <f aca="false">IF(Szenarien!$H$14="OK",(IFERROR(SUMIF(Nutzungsprofile!$B$17:$B$22,"Schulbetrieb",Nutzungsprofile!$G$17:$G$22)*Kalender!C359/SUM(Kalender!$C$5:$C$370),0)+IFERROR(SUMIF(Nutzungsprofile!$B$17:$B$22,"Halle",Nutzungsprofile!$G$17:$G$22)*Kalender!D359/SUM(Kalender!$D$5:$D$370),0)+IFERROR(SUMIF(Nutzungsprofile!$B$17:$B$22,"Individuell",Nutzungsprofile!$G$17:$G$22)*Kalender!E359/SUM(Kalender!$E$5:$E$370),0))*Szenarien!$D$14,0)</f>
        <v>0</v>
      </c>
      <c r="E1457" s="13" t="n">
        <f aca="false">IFERROR(MIN(C1457,Eingaben!$B$17)*Eingaben!$B$16,0)</f>
        <v>0</v>
      </c>
      <c r="F1457" s="13" t="n">
        <f aca="false">IFERROR(E1457*Eingaben!$B$15,0)</f>
        <v>0</v>
      </c>
      <c r="G1457" s="13" t="n">
        <f aca="false">IFERROR(IF(Kalender!A359="",0,J1456*(1-Eingaben!$B$20)),0)</f>
        <v>0</v>
      </c>
      <c r="H1457" s="13" t="n">
        <f aca="false">MIN(G1457,D1457)</f>
        <v>0</v>
      </c>
      <c r="I1457" s="13" t="n">
        <f aca="false">IFERROR(MIN(F1457*Eingaben!$B$19,MAX(0,D1457-H1457)),0)</f>
        <v>0</v>
      </c>
      <c r="J1457" s="13" t="n">
        <f aca="false">IFERROR(MIN(Eingaben!$B$18,MAX(0,F1457-I1457)),0)</f>
        <v>0</v>
      </c>
      <c r="K1457" s="13" t="n">
        <f aca="false">H1457+I1457</f>
        <v>0</v>
      </c>
      <c r="L1457" s="13" t="n">
        <f aca="false">MAX(0,D1457-K1457)</f>
        <v>0</v>
      </c>
      <c r="M1457" s="13" t="n">
        <f aca="false">MAX(0,F1457-I1457-J1457)</f>
        <v>0</v>
      </c>
      <c r="N1457" s="13" t="n">
        <f aca="false">IF(Kalender!A359="",0,J1456-H1457)</f>
        <v>0</v>
      </c>
    </row>
    <row r="1458" customFormat="false" ht="16.4" hidden="false" customHeight="false" outlineLevel="0" collapsed="false">
      <c r="A1458" s="13" t="str">
        <f aca="false">""</f>
        <v/>
      </c>
      <c r="B1458" s="13" t="n">
        <f aca="false">356</f>
        <v>356</v>
      </c>
      <c r="C1458" s="13" t="n">
        <f aca="false">IF(Szenarien!$H$14="OK",(IFERROR(SUMIF(Nutzungsprofile!$B$6:$B$11,"Schulbetrieb",Nutzungsprofile!$G$6:$G$11)*Kalender!C360/SUM(Kalender!$C$5:$C$370),0)+IFERROR(SUMIF(Nutzungsprofile!$B$6:$B$11,"Halle",Nutzungsprofile!$G$6:$G$11)*Kalender!D360/SUM(Kalender!$D$5:$D$370),0)+IFERROR(SUMIF(Nutzungsprofile!$B$6:$B$11,"Individuell",Nutzungsprofile!$G$6:$G$11)*Kalender!E360/SUM(Kalender!$E$5:$E$370),0))*Szenarien!$E$14,0)</f>
        <v>0</v>
      </c>
      <c r="D1458" s="13" t="n">
        <f aca="false">IF(Szenarien!$H$14="OK",(IFERROR(SUMIF(Nutzungsprofile!$B$17:$B$22,"Schulbetrieb",Nutzungsprofile!$G$17:$G$22)*Kalender!C360/SUM(Kalender!$C$5:$C$370),0)+IFERROR(SUMIF(Nutzungsprofile!$B$17:$B$22,"Halle",Nutzungsprofile!$G$17:$G$22)*Kalender!D360/SUM(Kalender!$D$5:$D$370),0)+IFERROR(SUMIF(Nutzungsprofile!$B$17:$B$22,"Individuell",Nutzungsprofile!$G$17:$G$22)*Kalender!E360/SUM(Kalender!$E$5:$E$370),0))*Szenarien!$D$14,0)</f>
        <v>0</v>
      </c>
      <c r="E1458" s="13" t="n">
        <f aca="false">IFERROR(MIN(C1458,Eingaben!$B$17)*Eingaben!$B$16,0)</f>
        <v>0</v>
      </c>
      <c r="F1458" s="13" t="n">
        <f aca="false">IFERROR(E1458*Eingaben!$B$15,0)</f>
        <v>0</v>
      </c>
      <c r="G1458" s="13" t="n">
        <f aca="false">IFERROR(IF(Kalender!A360="",0,J1457*(1-Eingaben!$B$20)),0)</f>
        <v>0</v>
      </c>
      <c r="H1458" s="13" t="n">
        <f aca="false">MIN(G1458,D1458)</f>
        <v>0</v>
      </c>
      <c r="I1458" s="13" t="n">
        <f aca="false">IFERROR(MIN(F1458*Eingaben!$B$19,MAX(0,D1458-H1458)),0)</f>
        <v>0</v>
      </c>
      <c r="J1458" s="13" t="n">
        <f aca="false">IFERROR(MIN(Eingaben!$B$18,MAX(0,F1458-I1458)),0)</f>
        <v>0</v>
      </c>
      <c r="K1458" s="13" t="n">
        <f aca="false">H1458+I1458</f>
        <v>0</v>
      </c>
      <c r="L1458" s="13" t="n">
        <f aca="false">MAX(0,D1458-K1458)</f>
        <v>0</v>
      </c>
      <c r="M1458" s="13" t="n">
        <f aca="false">MAX(0,F1458-I1458-J1458)</f>
        <v>0</v>
      </c>
      <c r="N1458" s="13" t="n">
        <f aca="false">IF(Kalender!A360="",0,J1457-H1458)</f>
        <v>0</v>
      </c>
    </row>
    <row r="1459" customFormat="false" ht="16.4" hidden="false" customHeight="false" outlineLevel="0" collapsed="false">
      <c r="A1459" s="13" t="str">
        <f aca="false">""</f>
        <v/>
      </c>
      <c r="B1459" s="13" t="n">
        <f aca="false">357</f>
        <v>357</v>
      </c>
      <c r="C1459" s="13" t="n">
        <f aca="false">IF(Szenarien!$H$14="OK",(IFERROR(SUMIF(Nutzungsprofile!$B$6:$B$11,"Schulbetrieb",Nutzungsprofile!$G$6:$G$11)*Kalender!C361/SUM(Kalender!$C$5:$C$370),0)+IFERROR(SUMIF(Nutzungsprofile!$B$6:$B$11,"Halle",Nutzungsprofile!$G$6:$G$11)*Kalender!D361/SUM(Kalender!$D$5:$D$370),0)+IFERROR(SUMIF(Nutzungsprofile!$B$6:$B$11,"Individuell",Nutzungsprofile!$G$6:$G$11)*Kalender!E361/SUM(Kalender!$E$5:$E$370),0))*Szenarien!$E$14,0)</f>
        <v>0</v>
      </c>
      <c r="D1459" s="13" t="n">
        <f aca="false">IF(Szenarien!$H$14="OK",(IFERROR(SUMIF(Nutzungsprofile!$B$17:$B$22,"Schulbetrieb",Nutzungsprofile!$G$17:$G$22)*Kalender!C361/SUM(Kalender!$C$5:$C$370),0)+IFERROR(SUMIF(Nutzungsprofile!$B$17:$B$22,"Halle",Nutzungsprofile!$G$17:$G$22)*Kalender!D361/SUM(Kalender!$D$5:$D$370),0)+IFERROR(SUMIF(Nutzungsprofile!$B$17:$B$22,"Individuell",Nutzungsprofile!$G$17:$G$22)*Kalender!E361/SUM(Kalender!$E$5:$E$370),0))*Szenarien!$D$14,0)</f>
        <v>0</v>
      </c>
      <c r="E1459" s="13" t="n">
        <f aca="false">IFERROR(MIN(C1459,Eingaben!$B$17)*Eingaben!$B$16,0)</f>
        <v>0</v>
      </c>
      <c r="F1459" s="13" t="n">
        <f aca="false">IFERROR(E1459*Eingaben!$B$15,0)</f>
        <v>0</v>
      </c>
      <c r="G1459" s="13" t="n">
        <f aca="false">IFERROR(IF(Kalender!A361="",0,J1458*(1-Eingaben!$B$20)),0)</f>
        <v>0</v>
      </c>
      <c r="H1459" s="13" t="n">
        <f aca="false">MIN(G1459,D1459)</f>
        <v>0</v>
      </c>
      <c r="I1459" s="13" t="n">
        <f aca="false">IFERROR(MIN(F1459*Eingaben!$B$19,MAX(0,D1459-H1459)),0)</f>
        <v>0</v>
      </c>
      <c r="J1459" s="13" t="n">
        <f aca="false">IFERROR(MIN(Eingaben!$B$18,MAX(0,F1459-I1459)),0)</f>
        <v>0</v>
      </c>
      <c r="K1459" s="13" t="n">
        <f aca="false">H1459+I1459</f>
        <v>0</v>
      </c>
      <c r="L1459" s="13" t="n">
        <f aca="false">MAX(0,D1459-K1459)</f>
        <v>0</v>
      </c>
      <c r="M1459" s="13" t="n">
        <f aca="false">MAX(0,F1459-I1459-J1459)</f>
        <v>0</v>
      </c>
      <c r="N1459" s="13" t="n">
        <f aca="false">IF(Kalender!A361="",0,J1458-H1459)</f>
        <v>0</v>
      </c>
    </row>
    <row r="1460" customFormat="false" ht="16.4" hidden="false" customHeight="false" outlineLevel="0" collapsed="false">
      <c r="A1460" s="13" t="str">
        <f aca="false">""</f>
        <v/>
      </c>
      <c r="B1460" s="13" t="n">
        <f aca="false">358</f>
        <v>358</v>
      </c>
      <c r="C1460" s="13" t="n">
        <f aca="false">IF(Szenarien!$H$14="OK",(IFERROR(SUMIF(Nutzungsprofile!$B$6:$B$11,"Schulbetrieb",Nutzungsprofile!$G$6:$G$11)*Kalender!C362/SUM(Kalender!$C$5:$C$370),0)+IFERROR(SUMIF(Nutzungsprofile!$B$6:$B$11,"Halle",Nutzungsprofile!$G$6:$G$11)*Kalender!D362/SUM(Kalender!$D$5:$D$370),0)+IFERROR(SUMIF(Nutzungsprofile!$B$6:$B$11,"Individuell",Nutzungsprofile!$G$6:$G$11)*Kalender!E362/SUM(Kalender!$E$5:$E$370),0))*Szenarien!$E$14,0)</f>
        <v>0</v>
      </c>
      <c r="D1460" s="13" t="n">
        <f aca="false">IF(Szenarien!$H$14="OK",(IFERROR(SUMIF(Nutzungsprofile!$B$17:$B$22,"Schulbetrieb",Nutzungsprofile!$G$17:$G$22)*Kalender!C362/SUM(Kalender!$C$5:$C$370),0)+IFERROR(SUMIF(Nutzungsprofile!$B$17:$B$22,"Halle",Nutzungsprofile!$G$17:$G$22)*Kalender!D362/SUM(Kalender!$D$5:$D$370),0)+IFERROR(SUMIF(Nutzungsprofile!$B$17:$B$22,"Individuell",Nutzungsprofile!$G$17:$G$22)*Kalender!E362/SUM(Kalender!$E$5:$E$370),0))*Szenarien!$D$14,0)</f>
        <v>0</v>
      </c>
      <c r="E1460" s="13" t="n">
        <f aca="false">IFERROR(MIN(C1460,Eingaben!$B$17)*Eingaben!$B$16,0)</f>
        <v>0</v>
      </c>
      <c r="F1460" s="13" t="n">
        <f aca="false">IFERROR(E1460*Eingaben!$B$15,0)</f>
        <v>0</v>
      </c>
      <c r="G1460" s="13" t="n">
        <f aca="false">IFERROR(IF(Kalender!A362="",0,J1459*(1-Eingaben!$B$20)),0)</f>
        <v>0</v>
      </c>
      <c r="H1460" s="13" t="n">
        <f aca="false">MIN(G1460,D1460)</f>
        <v>0</v>
      </c>
      <c r="I1460" s="13" t="n">
        <f aca="false">IFERROR(MIN(F1460*Eingaben!$B$19,MAX(0,D1460-H1460)),0)</f>
        <v>0</v>
      </c>
      <c r="J1460" s="13" t="n">
        <f aca="false">IFERROR(MIN(Eingaben!$B$18,MAX(0,F1460-I1460)),0)</f>
        <v>0</v>
      </c>
      <c r="K1460" s="13" t="n">
        <f aca="false">H1460+I1460</f>
        <v>0</v>
      </c>
      <c r="L1460" s="13" t="n">
        <f aca="false">MAX(0,D1460-K1460)</f>
        <v>0</v>
      </c>
      <c r="M1460" s="13" t="n">
        <f aca="false">MAX(0,F1460-I1460-J1460)</f>
        <v>0</v>
      </c>
      <c r="N1460" s="13" t="n">
        <f aca="false">IF(Kalender!A362="",0,J1459-H1460)</f>
        <v>0</v>
      </c>
    </row>
    <row r="1461" customFormat="false" ht="16.4" hidden="false" customHeight="false" outlineLevel="0" collapsed="false">
      <c r="A1461" s="13" t="str">
        <f aca="false">""</f>
        <v/>
      </c>
      <c r="B1461" s="13" t="n">
        <f aca="false">359</f>
        <v>359</v>
      </c>
      <c r="C1461" s="13" t="n">
        <f aca="false">IF(Szenarien!$H$14="OK",(IFERROR(SUMIF(Nutzungsprofile!$B$6:$B$11,"Schulbetrieb",Nutzungsprofile!$G$6:$G$11)*Kalender!C363/SUM(Kalender!$C$5:$C$370),0)+IFERROR(SUMIF(Nutzungsprofile!$B$6:$B$11,"Halle",Nutzungsprofile!$G$6:$G$11)*Kalender!D363/SUM(Kalender!$D$5:$D$370),0)+IFERROR(SUMIF(Nutzungsprofile!$B$6:$B$11,"Individuell",Nutzungsprofile!$G$6:$G$11)*Kalender!E363/SUM(Kalender!$E$5:$E$370),0))*Szenarien!$E$14,0)</f>
        <v>0</v>
      </c>
      <c r="D1461" s="13" t="n">
        <f aca="false">IF(Szenarien!$H$14="OK",(IFERROR(SUMIF(Nutzungsprofile!$B$17:$B$22,"Schulbetrieb",Nutzungsprofile!$G$17:$G$22)*Kalender!C363/SUM(Kalender!$C$5:$C$370),0)+IFERROR(SUMIF(Nutzungsprofile!$B$17:$B$22,"Halle",Nutzungsprofile!$G$17:$G$22)*Kalender!D363/SUM(Kalender!$D$5:$D$370),0)+IFERROR(SUMIF(Nutzungsprofile!$B$17:$B$22,"Individuell",Nutzungsprofile!$G$17:$G$22)*Kalender!E363/SUM(Kalender!$E$5:$E$370),0))*Szenarien!$D$14,0)</f>
        <v>0</v>
      </c>
      <c r="E1461" s="13" t="n">
        <f aca="false">IFERROR(MIN(C1461,Eingaben!$B$17)*Eingaben!$B$16,0)</f>
        <v>0</v>
      </c>
      <c r="F1461" s="13" t="n">
        <f aca="false">IFERROR(E1461*Eingaben!$B$15,0)</f>
        <v>0</v>
      </c>
      <c r="G1461" s="13" t="n">
        <f aca="false">IFERROR(IF(Kalender!A363="",0,J1460*(1-Eingaben!$B$20)),0)</f>
        <v>0</v>
      </c>
      <c r="H1461" s="13" t="n">
        <f aca="false">MIN(G1461,D1461)</f>
        <v>0</v>
      </c>
      <c r="I1461" s="13" t="n">
        <f aca="false">IFERROR(MIN(F1461*Eingaben!$B$19,MAX(0,D1461-H1461)),0)</f>
        <v>0</v>
      </c>
      <c r="J1461" s="13" t="n">
        <f aca="false">IFERROR(MIN(Eingaben!$B$18,MAX(0,F1461-I1461)),0)</f>
        <v>0</v>
      </c>
      <c r="K1461" s="13" t="n">
        <f aca="false">H1461+I1461</f>
        <v>0</v>
      </c>
      <c r="L1461" s="13" t="n">
        <f aca="false">MAX(0,D1461-K1461)</f>
        <v>0</v>
      </c>
      <c r="M1461" s="13" t="n">
        <f aca="false">MAX(0,F1461-I1461-J1461)</f>
        <v>0</v>
      </c>
      <c r="N1461" s="13" t="n">
        <f aca="false">IF(Kalender!A363="",0,J1460-H1461)</f>
        <v>0</v>
      </c>
    </row>
    <row r="1462" customFormat="false" ht="16.4" hidden="false" customHeight="false" outlineLevel="0" collapsed="false">
      <c r="A1462" s="13" t="str">
        <f aca="false">""</f>
        <v/>
      </c>
      <c r="B1462" s="13" t="n">
        <f aca="false">360</f>
        <v>360</v>
      </c>
      <c r="C1462" s="13" t="n">
        <f aca="false">IF(Szenarien!$H$14="OK",(IFERROR(SUMIF(Nutzungsprofile!$B$6:$B$11,"Schulbetrieb",Nutzungsprofile!$G$6:$G$11)*Kalender!C364/SUM(Kalender!$C$5:$C$370),0)+IFERROR(SUMIF(Nutzungsprofile!$B$6:$B$11,"Halle",Nutzungsprofile!$G$6:$G$11)*Kalender!D364/SUM(Kalender!$D$5:$D$370),0)+IFERROR(SUMIF(Nutzungsprofile!$B$6:$B$11,"Individuell",Nutzungsprofile!$G$6:$G$11)*Kalender!E364/SUM(Kalender!$E$5:$E$370),0))*Szenarien!$E$14,0)</f>
        <v>0</v>
      </c>
      <c r="D1462" s="13" t="n">
        <f aca="false">IF(Szenarien!$H$14="OK",(IFERROR(SUMIF(Nutzungsprofile!$B$17:$B$22,"Schulbetrieb",Nutzungsprofile!$G$17:$G$22)*Kalender!C364/SUM(Kalender!$C$5:$C$370),0)+IFERROR(SUMIF(Nutzungsprofile!$B$17:$B$22,"Halle",Nutzungsprofile!$G$17:$G$22)*Kalender!D364/SUM(Kalender!$D$5:$D$370),0)+IFERROR(SUMIF(Nutzungsprofile!$B$17:$B$22,"Individuell",Nutzungsprofile!$G$17:$G$22)*Kalender!E364/SUM(Kalender!$E$5:$E$370),0))*Szenarien!$D$14,0)</f>
        <v>0</v>
      </c>
      <c r="E1462" s="13" t="n">
        <f aca="false">IFERROR(MIN(C1462,Eingaben!$B$17)*Eingaben!$B$16,0)</f>
        <v>0</v>
      </c>
      <c r="F1462" s="13" t="n">
        <f aca="false">IFERROR(E1462*Eingaben!$B$15,0)</f>
        <v>0</v>
      </c>
      <c r="G1462" s="13" t="n">
        <f aca="false">IFERROR(IF(Kalender!A364="",0,J1461*(1-Eingaben!$B$20)),0)</f>
        <v>0</v>
      </c>
      <c r="H1462" s="13" t="n">
        <f aca="false">MIN(G1462,D1462)</f>
        <v>0</v>
      </c>
      <c r="I1462" s="13" t="n">
        <f aca="false">IFERROR(MIN(F1462*Eingaben!$B$19,MAX(0,D1462-H1462)),0)</f>
        <v>0</v>
      </c>
      <c r="J1462" s="13" t="n">
        <f aca="false">IFERROR(MIN(Eingaben!$B$18,MAX(0,F1462-I1462)),0)</f>
        <v>0</v>
      </c>
      <c r="K1462" s="13" t="n">
        <f aca="false">H1462+I1462</f>
        <v>0</v>
      </c>
      <c r="L1462" s="13" t="n">
        <f aca="false">MAX(0,D1462-K1462)</f>
        <v>0</v>
      </c>
      <c r="M1462" s="13" t="n">
        <f aca="false">MAX(0,F1462-I1462-J1462)</f>
        <v>0</v>
      </c>
      <c r="N1462" s="13" t="n">
        <f aca="false">IF(Kalender!A364="",0,J1461-H1462)</f>
        <v>0</v>
      </c>
    </row>
    <row r="1463" customFormat="false" ht="16.4" hidden="false" customHeight="false" outlineLevel="0" collapsed="false">
      <c r="A1463" s="13" t="str">
        <f aca="false">""</f>
        <v/>
      </c>
      <c r="B1463" s="13" t="n">
        <f aca="false">361</f>
        <v>361</v>
      </c>
      <c r="C1463" s="13" t="n">
        <f aca="false">IF(Szenarien!$H$14="OK",(IFERROR(SUMIF(Nutzungsprofile!$B$6:$B$11,"Schulbetrieb",Nutzungsprofile!$G$6:$G$11)*Kalender!C365/SUM(Kalender!$C$5:$C$370),0)+IFERROR(SUMIF(Nutzungsprofile!$B$6:$B$11,"Halle",Nutzungsprofile!$G$6:$G$11)*Kalender!D365/SUM(Kalender!$D$5:$D$370),0)+IFERROR(SUMIF(Nutzungsprofile!$B$6:$B$11,"Individuell",Nutzungsprofile!$G$6:$G$11)*Kalender!E365/SUM(Kalender!$E$5:$E$370),0))*Szenarien!$E$14,0)</f>
        <v>0</v>
      </c>
      <c r="D1463" s="13" t="n">
        <f aca="false">IF(Szenarien!$H$14="OK",(IFERROR(SUMIF(Nutzungsprofile!$B$17:$B$22,"Schulbetrieb",Nutzungsprofile!$G$17:$G$22)*Kalender!C365/SUM(Kalender!$C$5:$C$370),0)+IFERROR(SUMIF(Nutzungsprofile!$B$17:$B$22,"Halle",Nutzungsprofile!$G$17:$G$22)*Kalender!D365/SUM(Kalender!$D$5:$D$370),0)+IFERROR(SUMIF(Nutzungsprofile!$B$17:$B$22,"Individuell",Nutzungsprofile!$G$17:$G$22)*Kalender!E365/SUM(Kalender!$E$5:$E$370),0))*Szenarien!$D$14,0)</f>
        <v>0</v>
      </c>
      <c r="E1463" s="13" t="n">
        <f aca="false">IFERROR(MIN(C1463,Eingaben!$B$17)*Eingaben!$B$16,0)</f>
        <v>0</v>
      </c>
      <c r="F1463" s="13" t="n">
        <f aca="false">IFERROR(E1463*Eingaben!$B$15,0)</f>
        <v>0</v>
      </c>
      <c r="G1463" s="13" t="n">
        <f aca="false">IFERROR(IF(Kalender!A365="",0,J1462*(1-Eingaben!$B$20)),0)</f>
        <v>0</v>
      </c>
      <c r="H1463" s="13" t="n">
        <f aca="false">MIN(G1463,D1463)</f>
        <v>0</v>
      </c>
      <c r="I1463" s="13" t="n">
        <f aca="false">IFERROR(MIN(F1463*Eingaben!$B$19,MAX(0,D1463-H1463)),0)</f>
        <v>0</v>
      </c>
      <c r="J1463" s="13" t="n">
        <f aca="false">IFERROR(MIN(Eingaben!$B$18,MAX(0,F1463-I1463)),0)</f>
        <v>0</v>
      </c>
      <c r="K1463" s="13" t="n">
        <f aca="false">H1463+I1463</f>
        <v>0</v>
      </c>
      <c r="L1463" s="13" t="n">
        <f aca="false">MAX(0,D1463-K1463)</f>
        <v>0</v>
      </c>
      <c r="M1463" s="13" t="n">
        <f aca="false">MAX(0,F1463-I1463-J1463)</f>
        <v>0</v>
      </c>
      <c r="N1463" s="13" t="n">
        <f aca="false">IF(Kalender!A365="",0,J1462-H1463)</f>
        <v>0</v>
      </c>
    </row>
    <row r="1464" customFormat="false" ht="16.4" hidden="false" customHeight="false" outlineLevel="0" collapsed="false">
      <c r="A1464" s="13" t="str">
        <f aca="false">""</f>
        <v/>
      </c>
      <c r="B1464" s="13" t="n">
        <f aca="false">362</f>
        <v>362</v>
      </c>
      <c r="C1464" s="13" t="n">
        <f aca="false">IF(Szenarien!$H$14="OK",(IFERROR(SUMIF(Nutzungsprofile!$B$6:$B$11,"Schulbetrieb",Nutzungsprofile!$G$6:$G$11)*Kalender!C366/SUM(Kalender!$C$5:$C$370),0)+IFERROR(SUMIF(Nutzungsprofile!$B$6:$B$11,"Halle",Nutzungsprofile!$G$6:$G$11)*Kalender!D366/SUM(Kalender!$D$5:$D$370),0)+IFERROR(SUMIF(Nutzungsprofile!$B$6:$B$11,"Individuell",Nutzungsprofile!$G$6:$G$11)*Kalender!E366/SUM(Kalender!$E$5:$E$370),0))*Szenarien!$E$14,0)</f>
        <v>0</v>
      </c>
      <c r="D1464" s="13" t="n">
        <f aca="false">IF(Szenarien!$H$14="OK",(IFERROR(SUMIF(Nutzungsprofile!$B$17:$B$22,"Schulbetrieb",Nutzungsprofile!$G$17:$G$22)*Kalender!C366/SUM(Kalender!$C$5:$C$370),0)+IFERROR(SUMIF(Nutzungsprofile!$B$17:$B$22,"Halle",Nutzungsprofile!$G$17:$G$22)*Kalender!D366/SUM(Kalender!$D$5:$D$370),0)+IFERROR(SUMIF(Nutzungsprofile!$B$17:$B$22,"Individuell",Nutzungsprofile!$G$17:$G$22)*Kalender!E366/SUM(Kalender!$E$5:$E$370),0))*Szenarien!$D$14,0)</f>
        <v>0</v>
      </c>
      <c r="E1464" s="13" t="n">
        <f aca="false">IFERROR(MIN(C1464,Eingaben!$B$17)*Eingaben!$B$16,0)</f>
        <v>0</v>
      </c>
      <c r="F1464" s="13" t="n">
        <f aca="false">IFERROR(E1464*Eingaben!$B$15,0)</f>
        <v>0</v>
      </c>
      <c r="G1464" s="13" t="n">
        <f aca="false">IFERROR(IF(Kalender!A366="",0,J1463*(1-Eingaben!$B$20)),0)</f>
        <v>0</v>
      </c>
      <c r="H1464" s="13" t="n">
        <f aca="false">MIN(G1464,D1464)</f>
        <v>0</v>
      </c>
      <c r="I1464" s="13" t="n">
        <f aca="false">IFERROR(MIN(F1464*Eingaben!$B$19,MAX(0,D1464-H1464)),0)</f>
        <v>0</v>
      </c>
      <c r="J1464" s="13" t="n">
        <f aca="false">IFERROR(MIN(Eingaben!$B$18,MAX(0,F1464-I1464)),0)</f>
        <v>0</v>
      </c>
      <c r="K1464" s="13" t="n">
        <f aca="false">H1464+I1464</f>
        <v>0</v>
      </c>
      <c r="L1464" s="13" t="n">
        <f aca="false">MAX(0,D1464-K1464)</f>
        <v>0</v>
      </c>
      <c r="M1464" s="13" t="n">
        <f aca="false">MAX(0,F1464-I1464-J1464)</f>
        <v>0</v>
      </c>
      <c r="N1464" s="13" t="n">
        <f aca="false">IF(Kalender!A366="",0,J1463-H1464)</f>
        <v>0</v>
      </c>
    </row>
    <row r="1465" customFormat="false" ht="16.4" hidden="false" customHeight="false" outlineLevel="0" collapsed="false">
      <c r="A1465" s="13" t="str">
        <f aca="false">""</f>
        <v/>
      </c>
      <c r="B1465" s="13" t="n">
        <f aca="false">363</f>
        <v>363</v>
      </c>
      <c r="C1465" s="13" t="n">
        <f aca="false">IF(Szenarien!$H$14="OK",(IFERROR(SUMIF(Nutzungsprofile!$B$6:$B$11,"Schulbetrieb",Nutzungsprofile!$G$6:$G$11)*Kalender!C367/SUM(Kalender!$C$5:$C$370),0)+IFERROR(SUMIF(Nutzungsprofile!$B$6:$B$11,"Halle",Nutzungsprofile!$G$6:$G$11)*Kalender!D367/SUM(Kalender!$D$5:$D$370),0)+IFERROR(SUMIF(Nutzungsprofile!$B$6:$B$11,"Individuell",Nutzungsprofile!$G$6:$G$11)*Kalender!E367/SUM(Kalender!$E$5:$E$370),0))*Szenarien!$E$14,0)</f>
        <v>0</v>
      </c>
      <c r="D1465" s="13" t="n">
        <f aca="false">IF(Szenarien!$H$14="OK",(IFERROR(SUMIF(Nutzungsprofile!$B$17:$B$22,"Schulbetrieb",Nutzungsprofile!$G$17:$G$22)*Kalender!C367/SUM(Kalender!$C$5:$C$370),0)+IFERROR(SUMIF(Nutzungsprofile!$B$17:$B$22,"Halle",Nutzungsprofile!$G$17:$G$22)*Kalender!D367/SUM(Kalender!$D$5:$D$370),0)+IFERROR(SUMIF(Nutzungsprofile!$B$17:$B$22,"Individuell",Nutzungsprofile!$G$17:$G$22)*Kalender!E367/SUM(Kalender!$E$5:$E$370),0))*Szenarien!$D$14,0)</f>
        <v>0</v>
      </c>
      <c r="E1465" s="13" t="n">
        <f aca="false">IFERROR(MIN(C1465,Eingaben!$B$17)*Eingaben!$B$16,0)</f>
        <v>0</v>
      </c>
      <c r="F1465" s="13" t="n">
        <f aca="false">IFERROR(E1465*Eingaben!$B$15,0)</f>
        <v>0</v>
      </c>
      <c r="G1465" s="13" t="n">
        <f aca="false">IFERROR(IF(Kalender!A367="",0,J1464*(1-Eingaben!$B$20)),0)</f>
        <v>0</v>
      </c>
      <c r="H1465" s="13" t="n">
        <f aca="false">MIN(G1465,D1465)</f>
        <v>0</v>
      </c>
      <c r="I1465" s="13" t="n">
        <f aca="false">IFERROR(MIN(F1465*Eingaben!$B$19,MAX(0,D1465-H1465)),0)</f>
        <v>0</v>
      </c>
      <c r="J1465" s="13" t="n">
        <f aca="false">IFERROR(MIN(Eingaben!$B$18,MAX(0,F1465-I1465)),0)</f>
        <v>0</v>
      </c>
      <c r="K1465" s="13" t="n">
        <f aca="false">H1465+I1465</f>
        <v>0</v>
      </c>
      <c r="L1465" s="13" t="n">
        <f aca="false">MAX(0,D1465-K1465)</f>
        <v>0</v>
      </c>
      <c r="M1465" s="13" t="n">
        <f aca="false">MAX(0,F1465-I1465-J1465)</f>
        <v>0</v>
      </c>
      <c r="N1465" s="13" t="n">
        <f aca="false">IF(Kalender!A367="",0,J1464-H1465)</f>
        <v>0</v>
      </c>
    </row>
    <row r="1466" customFormat="false" ht="16.4" hidden="false" customHeight="false" outlineLevel="0" collapsed="false">
      <c r="A1466" s="13" t="str">
        <f aca="false">""</f>
        <v/>
      </c>
      <c r="B1466" s="13" t="n">
        <f aca="false">364</f>
        <v>364</v>
      </c>
      <c r="C1466" s="13" t="n">
        <f aca="false">IF(Szenarien!$H$14="OK",(IFERROR(SUMIF(Nutzungsprofile!$B$6:$B$11,"Schulbetrieb",Nutzungsprofile!$G$6:$G$11)*Kalender!C368/SUM(Kalender!$C$5:$C$370),0)+IFERROR(SUMIF(Nutzungsprofile!$B$6:$B$11,"Halle",Nutzungsprofile!$G$6:$G$11)*Kalender!D368/SUM(Kalender!$D$5:$D$370),0)+IFERROR(SUMIF(Nutzungsprofile!$B$6:$B$11,"Individuell",Nutzungsprofile!$G$6:$G$11)*Kalender!E368/SUM(Kalender!$E$5:$E$370),0))*Szenarien!$E$14,0)</f>
        <v>0</v>
      </c>
      <c r="D1466" s="13" t="n">
        <f aca="false">IF(Szenarien!$H$14="OK",(IFERROR(SUMIF(Nutzungsprofile!$B$17:$B$22,"Schulbetrieb",Nutzungsprofile!$G$17:$G$22)*Kalender!C368/SUM(Kalender!$C$5:$C$370),0)+IFERROR(SUMIF(Nutzungsprofile!$B$17:$B$22,"Halle",Nutzungsprofile!$G$17:$G$22)*Kalender!D368/SUM(Kalender!$D$5:$D$370),0)+IFERROR(SUMIF(Nutzungsprofile!$B$17:$B$22,"Individuell",Nutzungsprofile!$G$17:$G$22)*Kalender!E368/SUM(Kalender!$E$5:$E$370),0))*Szenarien!$D$14,0)</f>
        <v>0</v>
      </c>
      <c r="E1466" s="13" t="n">
        <f aca="false">IFERROR(MIN(C1466,Eingaben!$B$17)*Eingaben!$B$16,0)</f>
        <v>0</v>
      </c>
      <c r="F1466" s="13" t="n">
        <f aca="false">IFERROR(E1466*Eingaben!$B$15,0)</f>
        <v>0</v>
      </c>
      <c r="G1466" s="13" t="n">
        <f aca="false">IFERROR(IF(Kalender!A368="",0,J1465*(1-Eingaben!$B$20)),0)</f>
        <v>0</v>
      </c>
      <c r="H1466" s="13" t="n">
        <f aca="false">MIN(G1466,D1466)</f>
        <v>0</v>
      </c>
      <c r="I1466" s="13" t="n">
        <f aca="false">IFERROR(MIN(F1466*Eingaben!$B$19,MAX(0,D1466-H1466)),0)</f>
        <v>0</v>
      </c>
      <c r="J1466" s="13" t="n">
        <f aca="false">IFERROR(MIN(Eingaben!$B$18,MAX(0,F1466-I1466)),0)</f>
        <v>0</v>
      </c>
      <c r="K1466" s="13" t="n">
        <f aca="false">H1466+I1466</f>
        <v>0</v>
      </c>
      <c r="L1466" s="13" t="n">
        <f aca="false">MAX(0,D1466-K1466)</f>
        <v>0</v>
      </c>
      <c r="M1466" s="13" t="n">
        <f aca="false">MAX(0,F1466-I1466-J1466)</f>
        <v>0</v>
      </c>
      <c r="N1466" s="13" t="n">
        <f aca="false">IF(Kalender!A368="",0,J1465-H1466)</f>
        <v>0</v>
      </c>
    </row>
    <row r="1467" customFormat="false" ht="16.4" hidden="false" customHeight="false" outlineLevel="0" collapsed="false">
      <c r="A1467" s="13" t="str">
        <f aca="false">""</f>
        <v/>
      </c>
      <c r="B1467" s="13" t="n">
        <f aca="false">365</f>
        <v>365</v>
      </c>
      <c r="C1467" s="13" t="n">
        <f aca="false">IF(Szenarien!$H$14="OK",(IFERROR(SUMIF(Nutzungsprofile!$B$6:$B$11,"Schulbetrieb",Nutzungsprofile!$G$6:$G$11)*Kalender!C369/SUM(Kalender!$C$5:$C$370),0)+IFERROR(SUMIF(Nutzungsprofile!$B$6:$B$11,"Halle",Nutzungsprofile!$G$6:$G$11)*Kalender!D369/SUM(Kalender!$D$5:$D$370),0)+IFERROR(SUMIF(Nutzungsprofile!$B$6:$B$11,"Individuell",Nutzungsprofile!$G$6:$G$11)*Kalender!E369/SUM(Kalender!$E$5:$E$370),0))*Szenarien!$E$14,0)</f>
        <v>0</v>
      </c>
      <c r="D1467" s="13" t="n">
        <f aca="false">IF(Szenarien!$H$14="OK",(IFERROR(SUMIF(Nutzungsprofile!$B$17:$B$22,"Schulbetrieb",Nutzungsprofile!$G$17:$G$22)*Kalender!C369/SUM(Kalender!$C$5:$C$370),0)+IFERROR(SUMIF(Nutzungsprofile!$B$17:$B$22,"Halle",Nutzungsprofile!$G$17:$G$22)*Kalender!D369/SUM(Kalender!$D$5:$D$370),0)+IFERROR(SUMIF(Nutzungsprofile!$B$17:$B$22,"Individuell",Nutzungsprofile!$G$17:$G$22)*Kalender!E369/SUM(Kalender!$E$5:$E$370),0))*Szenarien!$D$14,0)</f>
        <v>0</v>
      </c>
      <c r="E1467" s="13" t="n">
        <f aca="false">IFERROR(MIN(C1467,Eingaben!$B$17)*Eingaben!$B$16,0)</f>
        <v>0</v>
      </c>
      <c r="F1467" s="13" t="n">
        <f aca="false">IFERROR(E1467*Eingaben!$B$15,0)</f>
        <v>0</v>
      </c>
      <c r="G1467" s="13" t="n">
        <f aca="false">IFERROR(IF(Kalender!A369="",0,J1466*(1-Eingaben!$B$20)),0)</f>
        <v>0</v>
      </c>
      <c r="H1467" s="13" t="n">
        <f aca="false">MIN(G1467,D1467)</f>
        <v>0</v>
      </c>
      <c r="I1467" s="13" t="n">
        <f aca="false">IFERROR(MIN(F1467*Eingaben!$B$19,MAX(0,D1467-H1467)),0)</f>
        <v>0</v>
      </c>
      <c r="J1467" s="13" t="n">
        <f aca="false">IFERROR(MIN(Eingaben!$B$18,MAX(0,F1467-I1467)),0)</f>
        <v>0</v>
      </c>
      <c r="K1467" s="13" t="n">
        <f aca="false">H1467+I1467</f>
        <v>0</v>
      </c>
      <c r="L1467" s="13" t="n">
        <f aca="false">MAX(0,D1467-K1467)</f>
        <v>0</v>
      </c>
      <c r="M1467" s="13" t="n">
        <f aca="false">MAX(0,F1467-I1467-J1467)</f>
        <v>0</v>
      </c>
      <c r="N1467" s="13" t="n">
        <f aca="false">IF(Kalender!A369="",0,J1466-H1467)</f>
        <v>0</v>
      </c>
    </row>
    <row r="1468" customFormat="false" ht="16.4" hidden="false" customHeight="false" outlineLevel="0" collapsed="false">
      <c r="A1468" s="13" t="str">
        <f aca="false">""</f>
        <v/>
      </c>
      <c r="B1468" s="13" t="n">
        <f aca="false">366</f>
        <v>366</v>
      </c>
      <c r="C1468" s="13" t="n">
        <f aca="false">IF(Szenarien!$H$14="OK",(IFERROR(SUMIF(Nutzungsprofile!$B$6:$B$11,"Schulbetrieb",Nutzungsprofile!$G$6:$G$11)*Kalender!C370/SUM(Kalender!$C$5:$C$370),0)+IFERROR(SUMIF(Nutzungsprofile!$B$6:$B$11,"Halle",Nutzungsprofile!$G$6:$G$11)*Kalender!D370/SUM(Kalender!$D$5:$D$370),0)+IFERROR(SUMIF(Nutzungsprofile!$B$6:$B$11,"Individuell",Nutzungsprofile!$G$6:$G$11)*Kalender!E370/SUM(Kalender!$E$5:$E$370),0))*Szenarien!$E$14,0)</f>
        <v>0</v>
      </c>
      <c r="D1468" s="13" t="n">
        <f aca="false">IF(Szenarien!$H$14="OK",(IFERROR(SUMIF(Nutzungsprofile!$B$17:$B$22,"Schulbetrieb",Nutzungsprofile!$G$17:$G$22)*Kalender!C370/SUM(Kalender!$C$5:$C$370),0)+IFERROR(SUMIF(Nutzungsprofile!$B$17:$B$22,"Halle",Nutzungsprofile!$G$17:$G$22)*Kalender!D370/SUM(Kalender!$D$5:$D$370),0)+IFERROR(SUMIF(Nutzungsprofile!$B$17:$B$22,"Individuell",Nutzungsprofile!$G$17:$G$22)*Kalender!E370/SUM(Kalender!$E$5:$E$370),0))*Szenarien!$D$14,0)</f>
        <v>0</v>
      </c>
      <c r="E1468" s="13" t="n">
        <f aca="false">IFERROR(MIN(C1468,Eingaben!$B$17)*Eingaben!$B$16,0)</f>
        <v>0</v>
      </c>
      <c r="F1468" s="13" t="n">
        <f aca="false">IFERROR(E1468*Eingaben!$B$15,0)</f>
        <v>0</v>
      </c>
      <c r="G1468" s="13" t="n">
        <f aca="false">IFERROR(IF(Kalender!A370="",0,J1467*(1-Eingaben!$B$20)),0)</f>
        <v>0</v>
      </c>
      <c r="H1468" s="13" t="n">
        <f aca="false">MIN(G1468,D1468)</f>
        <v>0</v>
      </c>
      <c r="I1468" s="13" t="n">
        <f aca="false">IFERROR(MIN(F1468*Eingaben!$B$19,MAX(0,D1468-H1468)),0)</f>
        <v>0</v>
      </c>
      <c r="J1468" s="13" t="n">
        <f aca="false">IFERROR(MIN(Eingaben!$B$18,MAX(0,F1468-I1468)),0)</f>
        <v>0</v>
      </c>
      <c r="K1468" s="13" t="n">
        <f aca="false">H1468+I1468</f>
        <v>0</v>
      </c>
      <c r="L1468" s="13" t="n">
        <f aca="false">MAX(0,D1468-K1468)</f>
        <v>0</v>
      </c>
      <c r="M1468" s="13" t="n">
        <f aca="false">MAX(0,F1468-I1468-J1468)</f>
        <v>0</v>
      </c>
      <c r="N1468" s="13" t="n">
        <f aca="false">IF(Kalender!A370="",0,J1467-H1468)</f>
        <v>0</v>
      </c>
    </row>
    <row r="1469" customFormat="false" ht="31.3" hidden="false" customHeight="false" outlineLevel="0" collapsed="false">
      <c r="A1469" s="13" t="str">
        <f aca="false">"Investition +20 %"</f>
        <v>Investition +20 %</v>
      </c>
      <c r="B1469" s="13" t="n">
        <f aca="false">1</f>
        <v>1</v>
      </c>
      <c r="C1469" s="13" t="n">
        <f aca="false">IF(Szenarien!$H$15="OK",(IFERROR(SUMIF(Nutzungsprofile!$B$6:$B$11,"Schulbetrieb",Nutzungsprofile!$G$6:$G$11)*Kalender!C5/SUM(Kalender!$C$5:$C$370),0)+IFERROR(SUMIF(Nutzungsprofile!$B$6:$B$11,"Halle",Nutzungsprofile!$G$6:$G$11)*Kalender!D5/SUM(Kalender!$D$5:$D$370),0)+IFERROR(SUMIF(Nutzungsprofile!$B$6:$B$11,"Individuell",Nutzungsprofile!$G$6:$G$11)*Kalender!E5/SUM(Kalender!$E$5:$E$370),0))*Szenarien!$E$15,0)</f>
        <v>2.94</v>
      </c>
      <c r="D1469" s="13" t="n">
        <f aca="false">IF(Szenarien!$H$15="OK",(IFERROR(SUMIF(Nutzungsprofile!$B$17:$B$22,"Schulbetrieb",Nutzungsprofile!$G$17:$G$22)*Kalender!C5/SUM(Kalender!$C$5:$C$370),0)+IFERROR(SUMIF(Nutzungsprofile!$B$17:$B$22,"Halle",Nutzungsprofile!$G$17:$G$22)*Kalender!D5/SUM(Kalender!$D$5:$D$370),0)+IFERROR(SUMIF(Nutzungsprofile!$B$17:$B$22,"Individuell",Nutzungsprofile!$G$17:$G$22)*Kalender!E5/SUM(Kalender!$E$5:$E$370),0))*Szenarien!$D$15,0)</f>
        <v>4.94</v>
      </c>
      <c r="E1469" s="13" t="n">
        <f aca="false">IFERROR(MIN(C1469,Eingaben!$B$17)*Eingaben!$B$16,0)</f>
        <v>2.793</v>
      </c>
      <c r="F1469" s="13" t="n">
        <f aca="false">IFERROR(E1469*Eingaben!$B$15,0)</f>
        <v>2.5137</v>
      </c>
      <c r="G1469" s="13" t="n">
        <f aca="false">0</f>
        <v>0</v>
      </c>
      <c r="H1469" s="13" t="n">
        <f aca="false">MIN(G1469,D1469)</f>
        <v>0</v>
      </c>
      <c r="I1469" s="13" t="n">
        <f aca="false">IFERROR(MIN(F1469*Eingaben!$B$19,MAX(0,D1469-H1469)),0)</f>
        <v>1.75959</v>
      </c>
      <c r="J1469" s="13" t="n">
        <f aca="false">IFERROR(MIN(Eingaben!$B$18,MAX(0,F1469-I1469)),0)</f>
        <v>0.75411</v>
      </c>
      <c r="K1469" s="13" t="n">
        <f aca="false">H1469+I1469</f>
        <v>1.75959</v>
      </c>
      <c r="L1469" s="13" t="n">
        <f aca="false">MAX(0,D1469-K1469)</f>
        <v>3.18041</v>
      </c>
      <c r="M1469" s="13" t="n">
        <f aca="false">MAX(0,F1469-I1469-J1469)</f>
        <v>0</v>
      </c>
      <c r="N1469" s="13" t="n">
        <f aca="false">0</f>
        <v>0</v>
      </c>
    </row>
    <row r="1470" customFormat="false" ht="16.4" hidden="false" customHeight="false" outlineLevel="0" collapsed="false">
      <c r="A1470" s="13" t="str">
        <f aca="false">""</f>
        <v/>
      </c>
      <c r="B1470" s="13" t="n">
        <f aca="false">2</f>
        <v>2</v>
      </c>
      <c r="C1470" s="13" t="n">
        <f aca="false">IF(Szenarien!$H$15="OK",(IFERROR(SUMIF(Nutzungsprofile!$B$6:$B$11,"Schulbetrieb",Nutzungsprofile!$G$6:$G$11)*Kalender!C6/SUM(Kalender!$C$5:$C$370),0)+IFERROR(SUMIF(Nutzungsprofile!$B$6:$B$11,"Halle",Nutzungsprofile!$G$6:$G$11)*Kalender!D6/SUM(Kalender!$D$5:$D$370),0)+IFERROR(SUMIF(Nutzungsprofile!$B$6:$B$11,"Individuell",Nutzungsprofile!$G$6:$G$11)*Kalender!E6/SUM(Kalender!$E$5:$E$370),0))*Szenarien!$E$15,0)</f>
        <v>2.94</v>
      </c>
      <c r="D1470" s="13" t="n">
        <f aca="false">IF(Szenarien!$H$15="OK",(IFERROR(SUMIF(Nutzungsprofile!$B$17:$B$22,"Schulbetrieb",Nutzungsprofile!$G$17:$G$22)*Kalender!C6/SUM(Kalender!$C$5:$C$370),0)+IFERROR(SUMIF(Nutzungsprofile!$B$17:$B$22,"Halle",Nutzungsprofile!$G$17:$G$22)*Kalender!D6/SUM(Kalender!$D$5:$D$370),0)+IFERROR(SUMIF(Nutzungsprofile!$B$17:$B$22,"Individuell",Nutzungsprofile!$G$17:$G$22)*Kalender!E6/SUM(Kalender!$E$5:$E$370),0))*Szenarien!$D$15,0)</f>
        <v>4.94</v>
      </c>
      <c r="E1470" s="13" t="n">
        <f aca="false">IFERROR(MIN(C1470,Eingaben!$B$17)*Eingaben!$B$16,0)</f>
        <v>2.793</v>
      </c>
      <c r="F1470" s="13" t="n">
        <f aca="false">IFERROR(E1470*Eingaben!$B$15,0)</f>
        <v>2.5137</v>
      </c>
      <c r="G1470" s="13" t="n">
        <f aca="false">IFERROR(IF(Kalender!A6="",0,J1469*(1-Eingaben!$B$20)),0)</f>
        <v>0.7390278</v>
      </c>
      <c r="H1470" s="13" t="n">
        <f aca="false">MIN(G1470,D1470)</f>
        <v>0.7390278</v>
      </c>
      <c r="I1470" s="13" t="n">
        <f aca="false">IFERROR(MIN(F1470*Eingaben!$B$19,MAX(0,D1470-H1470)),0)</f>
        <v>1.75959</v>
      </c>
      <c r="J1470" s="13" t="n">
        <f aca="false">IFERROR(MIN(Eingaben!$B$18,MAX(0,F1470-I1470)),0)</f>
        <v>0.75411</v>
      </c>
      <c r="K1470" s="13" t="n">
        <f aca="false">H1470+I1470</f>
        <v>2.4986178</v>
      </c>
      <c r="L1470" s="13" t="n">
        <f aca="false">MAX(0,D1470-K1470)</f>
        <v>2.4413822</v>
      </c>
      <c r="M1470" s="13" t="n">
        <f aca="false">MAX(0,F1470-I1470-J1470)</f>
        <v>0</v>
      </c>
      <c r="N1470" s="13" t="n">
        <f aca="false">IF(Kalender!A6="",0,J1469-H1470)</f>
        <v>0.0150822</v>
      </c>
    </row>
    <row r="1471" customFormat="false" ht="16.4" hidden="false" customHeight="false" outlineLevel="0" collapsed="false">
      <c r="A1471" s="13" t="str">
        <f aca="false">""</f>
        <v/>
      </c>
      <c r="B1471" s="13" t="n">
        <f aca="false">3</f>
        <v>3</v>
      </c>
      <c r="C1471" s="13" t="n">
        <f aca="false">IF(Szenarien!$H$15="OK",(IFERROR(SUMIF(Nutzungsprofile!$B$6:$B$11,"Schulbetrieb",Nutzungsprofile!$G$6:$G$11)*Kalender!C7/SUM(Kalender!$C$5:$C$370),0)+IFERROR(SUMIF(Nutzungsprofile!$B$6:$B$11,"Halle",Nutzungsprofile!$G$6:$G$11)*Kalender!D7/SUM(Kalender!$D$5:$D$370),0)+IFERROR(SUMIF(Nutzungsprofile!$B$6:$B$11,"Individuell",Nutzungsprofile!$G$6:$G$11)*Kalender!E7/SUM(Kalender!$E$5:$E$370),0))*Szenarien!$E$15,0)</f>
        <v>2.04</v>
      </c>
      <c r="D1471" s="13" t="n">
        <f aca="false">IF(Szenarien!$H$15="OK",(IFERROR(SUMIF(Nutzungsprofile!$B$17:$B$22,"Schulbetrieb",Nutzungsprofile!$G$17:$G$22)*Kalender!C7/SUM(Kalender!$C$5:$C$370),0)+IFERROR(SUMIF(Nutzungsprofile!$B$17:$B$22,"Halle",Nutzungsprofile!$G$17:$G$22)*Kalender!D7/SUM(Kalender!$D$5:$D$370),0)+IFERROR(SUMIF(Nutzungsprofile!$B$17:$B$22,"Individuell",Nutzungsprofile!$G$17:$G$22)*Kalender!E7/SUM(Kalender!$E$5:$E$370),0))*Szenarien!$D$15,0)</f>
        <v>0.89</v>
      </c>
      <c r="E1471" s="13" t="n">
        <f aca="false">IFERROR(MIN(C1471,Eingaben!$B$17)*Eingaben!$B$16,0)</f>
        <v>1.938</v>
      </c>
      <c r="F1471" s="13" t="n">
        <f aca="false">IFERROR(E1471*Eingaben!$B$15,0)</f>
        <v>1.7442</v>
      </c>
      <c r="G1471" s="13" t="n">
        <f aca="false">IFERROR(IF(Kalender!A7="",0,J1470*(1-Eingaben!$B$20)),0)</f>
        <v>0.7390278</v>
      </c>
      <c r="H1471" s="13" t="n">
        <f aca="false">MIN(G1471,D1471)</f>
        <v>0.7390278</v>
      </c>
      <c r="I1471" s="13" t="n">
        <f aca="false">IFERROR(MIN(F1471*Eingaben!$B$19,MAX(0,D1471-H1471)),0)</f>
        <v>0.1509722</v>
      </c>
      <c r="J1471" s="13" t="n">
        <f aca="false">IFERROR(MIN(Eingaben!$B$18,MAX(0,F1471-I1471)),0)</f>
        <v>1.5932278</v>
      </c>
      <c r="K1471" s="13" t="n">
        <f aca="false">H1471+I1471</f>
        <v>0.89</v>
      </c>
      <c r="L1471" s="13" t="n">
        <f aca="false">MAX(0,D1471-K1471)</f>
        <v>0</v>
      </c>
      <c r="M1471" s="13" t="n">
        <f aca="false">MAX(0,F1471-I1471-J1471)</f>
        <v>0</v>
      </c>
      <c r="N1471" s="13" t="n">
        <f aca="false">IF(Kalender!A7="",0,J1470-H1471)</f>
        <v>0.0150822</v>
      </c>
    </row>
    <row r="1472" customFormat="false" ht="16.4" hidden="false" customHeight="false" outlineLevel="0" collapsed="false">
      <c r="A1472" s="13" t="str">
        <f aca="false">""</f>
        <v/>
      </c>
      <c r="B1472" s="13" t="n">
        <f aca="false">4</f>
        <v>4</v>
      </c>
      <c r="C1472" s="13" t="n">
        <f aca="false">IF(Szenarien!$H$15="OK",(IFERROR(SUMIF(Nutzungsprofile!$B$6:$B$11,"Schulbetrieb",Nutzungsprofile!$G$6:$G$11)*Kalender!C8/SUM(Kalender!$C$5:$C$370),0)+IFERROR(SUMIF(Nutzungsprofile!$B$6:$B$11,"Halle",Nutzungsprofile!$G$6:$G$11)*Kalender!D8/SUM(Kalender!$D$5:$D$370),0)+IFERROR(SUMIF(Nutzungsprofile!$B$6:$B$11,"Individuell",Nutzungsprofile!$G$6:$G$11)*Kalender!E8/SUM(Kalender!$E$5:$E$370),0))*Szenarien!$E$15,0)</f>
        <v>2.04</v>
      </c>
      <c r="D1472" s="13" t="n">
        <f aca="false">IF(Szenarien!$H$15="OK",(IFERROR(SUMIF(Nutzungsprofile!$B$17:$B$22,"Schulbetrieb",Nutzungsprofile!$G$17:$G$22)*Kalender!C8/SUM(Kalender!$C$5:$C$370),0)+IFERROR(SUMIF(Nutzungsprofile!$B$17:$B$22,"Halle",Nutzungsprofile!$G$17:$G$22)*Kalender!D8/SUM(Kalender!$D$5:$D$370),0)+IFERROR(SUMIF(Nutzungsprofile!$B$17:$B$22,"Individuell",Nutzungsprofile!$G$17:$G$22)*Kalender!E8/SUM(Kalender!$E$5:$E$370),0))*Szenarien!$D$15,0)</f>
        <v>0.89</v>
      </c>
      <c r="E1472" s="13" t="n">
        <f aca="false">IFERROR(MIN(C1472,Eingaben!$B$17)*Eingaben!$B$16,0)</f>
        <v>1.938</v>
      </c>
      <c r="F1472" s="13" t="n">
        <f aca="false">IFERROR(E1472*Eingaben!$B$15,0)</f>
        <v>1.7442</v>
      </c>
      <c r="G1472" s="13" t="n">
        <f aca="false">IFERROR(IF(Kalender!A8="",0,J1471*(1-Eingaben!$B$20)),0)</f>
        <v>1.561363244</v>
      </c>
      <c r="H1472" s="13" t="n">
        <f aca="false">MIN(G1472,D1472)</f>
        <v>0.89</v>
      </c>
      <c r="I1472" s="13" t="n">
        <f aca="false">IFERROR(MIN(F1472*Eingaben!$B$19,MAX(0,D1472-H1472)),0)</f>
        <v>0</v>
      </c>
      <c r="J1472" s="13" t="n">
        <f aca="false">IFERROR(MIN(Eingaben!$B$18,MAX(0,F1472-I1472)),0)</f>
        <v>1.7442</v>
      </c>
      <c r="K1472" s="13" t="n">
        <f aca="false">H1472+I1472</f>
        <v>0.89</v>
      </c>
      <c r="L1472" s="13" t="n">
        <f aca="false">MAX(0,D1472-K1472)</f>
        <v>0</v>
      </c>
      <c r="M1472" s="13" t="n">
        <f aca="false">MAX(0,F1472-I1472-J1472)</f>
        <v>0</v>
      </c>
      <c r="N1472" s="13" t="n">
        <f aca="false">IF(Kalender!A8="",0,J1471-H1472)</f>
        <v>0.7032278</v>
      </c>
    </row>
    <row r="1473" customFormat="false" ht="16.4" hidden="false" customHeight="false" outlineLevel="0" collapsed="false">
      <c r="A1473" s="13" t="str">
        <f aca="false">""</f>
        <v/>
      </c>
      <c r="B1473" s="13" t="n">
        <f aca="false">5</f>
        <v>5</v>
      </c>
      <c r="C1473" s="13" t="n">
        <f aca="false">IF(Szenarien!$H$15="OK",(IFERROR(SUMIF(Nutzungsprofile!$B$6:$B$11,"Schulbetrieb",Nutzungsprofile!$G$6:$G$11)*Kalender!C9/SUM(Kalender!$C$5:$C$370),0)+IFERROR(SUMIF(Nutzungsprofile!$B$6:$B$11,"Halle",Nutzungsprofile!$G$6:$G$11)*Kalender!D9/SUM(Kalender!$D$5:$D$370),0)+IFERROR(SUMIF(Nutzungsprofile!$B$6:$B$11,"Individuell",Nutzungsprofile!$G$6:$G$11)*Kalender!E9/SUM(Kalender!$E$5:$E$370),0))*Szenarien!$E$15,0)</f>
        <v>2.94</v>
      </c>
      <c r="D1473" s="13" t="n">
        <f aca="false">IF(Szenarien!$H$15="OK",(IFERROR(SUMIF(Nutzungsprofile!$B$17:$B$22,"Schulbetrieb",Nutzungsprofile!$G$17:$G$22)*Kalender!C9/SUM(Kalender!$C$5:$C$370),0)+IFERROR(SUMIF(Nutzungsprofile!$B$17:$B$22,"Halle",Nutzungsprofile!$G$17:$G$22)*Kalender!D9/SUM(Kalender!$D$5:$D$370),0)+IFERROR(SUMIF(Nutzungsprofile!$B$17:$B$22,"Individuell",Nutzungsprofile!$G$17:$G$22)*Kalender!E9/SUM(Kalender!$E$5:$E$370),0))*Szenarien!$D$15,0)</f>
        <v>4.94</v>
      </c>
      <c r="E1473" s="13" t="n">
        <f aca="false">IFERROR(MIN(C1473,Eingaben!$B$17)*Eingaben!$B$16,0)</f>
        <v>2.793</v>
      </c>
      <c r="F1473" s="13" t="n">
        <f aca="false">IFERROR(E1473*Eingaben!$B$15,0)</f>
        <v>2.5137</v>
      </c>
      <c r="G1473" s="13" t="n">
        <f aca="false">IFERROR(IF(Kalender!A9="",0,J1472*(1-Eingaben!$B$20)),0)</f>
        <v>1.709316</v>
      </c>
      <c r="H1473" s="13" t="n">
        <f aca="false">MIN(G1473,D1473)</f>
        <v>1.709316</v>
      </c>
      <c r="I1473" s="13" t="n">
        <f aca="false">IFERROR(MIN(F1473*Eingaben!$B$19,MAX(0,D1473-H1473)),0)</f>
        <v>1.75959</v>
      </c>
      <c r="J1473" s="13" t="n">
        <f aca="false">IFERROR(MIN(Eingaben!$B$18,MAX(0,F1473-I1473)),0)</f>
        <v>0.75411</v>
      </c>
      <c r="K1473" s="13" t="n">
        <f aca="false">H1473+I1473</f>
        <v>3.468906</v>
      </c>
      <c r="L1473" s="13" t="n">
        <f aca="false">MAX(0,D1473-K1473)</f>
        <v>1.471094</v>
      </c>
      <c r="M1473" s="13" t="n">
        <f aca="false">MAX(0,F1473-I1473-J1473)</f>
        <v>0</v>
      </c>
      <c r="N1473" s="13" t="n">
        <f aca="false">IF(Kalender!A9="",0,J1472-H1473)</f>
        <v>0.0348840000000001</v>
      </c>
    </row>
    <row r="1474" customFormat="false" ht="16.4" hidden="false" customHeight="false" outlineLevel="0" collapsed="false">
      <c r="A1474" s="13" t="str">
        <f aca="false">""</f>
        <v/>
      </c>
      <c r="B1474" s="13" t="n">
        <f aca="false">6</f>
        <v>6</v>
      </c>
      <c r="C1474" s="13" t="n">
        <f aca="false">IF(Szenarien!$H$15="OK",(IFERROR(SUMIF(Nutzungsprofile!$B$6:$B$11,"Schulbetrieb",Nutzungsprofile!$G$6:$G$11)*Kalender!C10/SUM(Kalender!$C$5:$C$370),0)+IFERROR(SUMIF(Nutzungsprofile!$B$6:$B$11,"Halle",Nutzungsprofile!$G$6:$G$11)*Kalender!D10/SUM(Kalender!$D$5:$D$370),0)+IFERROR(SUMIF(Nutzungsprofile!$B$6:$B$11,"Individuell",Nutzungsprofile!$G$6:$G$11)*Kalender!E10/SUM(Kalender!$E$5:$E$370),0))*Szenarien!$E$15,0)</f>
        <v>2.94</v>
      </c>
      <c r="D1474" s="13" t="n">
        <f aca="false">IF(Szenarien!$H$15="OK",(IFERROR(SUMIF(Nutzungsprofile!$B$17:$B$22,"Schulbetrieb",Nutzungsprofile!$G$17:$G$22)*Kalender!C10/SUM(Kalender!$C$5:$C$370),0)+IFERROR(SUMIF(Nutzungsprofile!$B$17:$B$22,"Halle",Nutzungsprofile!$G$17:$G$22)*Kalender!D10/SUM(Kalender!$D$5:$D$370),0)+IFERROR(SUMIF(Nutzungsprofile!$B$17:$B$22,"Individuell",Nutzungsprofile!$G$17:$G$22)*Kalender!E10/SUM(Kalender!$E$5:$E$370),0))*Szenarien!$D$15,0)</f>
        <v>4.94</v>
      </c>
      <c r="E1474" s="13" t="n">
        <f aca="false">IFERROR(MIN(C1474,Eingaben!$B$17)*Eingaben!$B$16,0)</f>
        <v>2.793</v>
      </c>
      <c r="F1474" s="13" t="n">
        <f aca="false">IFERROR(E1474*Eingaben!$B$15,0)</f>
        <v>2.5137</v>
      </c>
      <c r="G1474" s="13" t="n">
        <f aca="false">IFERROR(IF(Kalender!A10="",0,J1473*(1-Eingaben!$B$20)),0)</f>
        <v>0.7390278</v>
      </c>
      <c r="H1474" s="13" t="n">
        <f aca="false">MIN(G1474,D1474)</f>
        <v>0.7390278</v>
      </c>
      <c r="I1474" s="13" t="n">
        <f aca="false">IFERROR(MIN(F1474*Eingaben!$B$19,MAX(0,D1474-H1474)),0)</f>
        <v>1.75959</v>
      </c>
      <c r="J1474" s="13" t="n">
        <f aca="false">IFERROR(MIN(Eingaben!$B$18,MAX(0,F1474-I1474)),0)</f>
        <v>0.75411</v>
      </c>
      <c r="K1474" s="13" t="n">
        <f aca="false">H1474+I1474</f>
        <v>2.4986178</v>
      </c>
      <c r="L1474" s="13" t="n">
        <f aca="false">MAX(0,D1474-K1474)</f>
        <v>2.4413822</v>
      </c>
      <c r="M1474" s="13" t="n">
        <f aca="false">MAX(0,F1474-I1474-J1474)</f>
        <v>0</v>
      </c>
      <c r="N1474" s="13" t="n">
        <f aca="false">IF(Kalender!A10="",0,J1473-H1474)</f>
        <v>0.0150822</v>
      </c>
    </row>
    <row r="1475" customFormat="false" ht="16.4" hidden="false" customHeight="false" outlineLevel="0" collapsed="false">
      <c r="A1475" s="13" t="str">
        <f aca="false">""</f>
        <v/>
      </c>
      <c r="B1475" s="13" t="n">
        <f aca="false">7</f>
        <v>7</v>
      </c>
      <c r="C1475" s="13" t="n">
        <f aca="false">IF(Szenarien!$H$15="OK",(IFERROR(SUMIF(Nutzungsprofile!$B$6:$B$11,"Schulbetrieb",Nutzungsprofile!$G$6:$G$11)*Kalender!C11/SUM(Kalender!$C$5:$C$370),0)+IFERROR(SUMIF(Nutzungsprofile!$B$6:$B$11,"Halle",Nutzungsprofile!$G$6:$G$11)*Kalender!D11/SUM(Kalender!$D$5:$D$370),0)+IFERROR(SUMIF(Nutzungsprofile!$B$6:$B$11,"Individuell",Nutzungsprofile!$G$6:$G$11)*Kalender!E11/SUM(Kalender!$E$5:$E$370),0))*Szenarien!$E$15,0)</f>
        <v>2.94</v>
      </c>
      <c r="D1475" s="13" t="n">
        <f aca="false">IF(Szenarien!$H$15="OK",(IFERROR(SUMIF(Nutzungsprofile!$B$17:$B$22,"Schulbetrieb",Nutzungsprofile!$G$17:$G$22)*Kalender!C11/SUM(Kalender!$C$5:$C$370),0)+IFERROR(SUMIF(Nutzungsprofile!$B$17:$B$22,"Halle",Nutzungsprofile!$G$17:$G$22)*Kalender!D11/SUM(Kalender!$D$5:$D$370),0)+IFERROR(SUMIF(Nutzungsprofile!$B$17:$B$22,"Individuell",Nutzungsprofile!$G$17:$G$22)*Kalender!E11/SUM(Kalender!$E$5:$E$370),0))*Szenarien!$D$15,0)</f>
        <v>4.94</v>
      </c>
      <c r="E1475" s="13" t="n">
        <f aca="false">IFERROR(MIN(C1475,Eingaben!$B$17)*Eingaben!$B$16,0)</f>
        <v>2.793</v>
      </c>
      <c r="F1475" s="13" t="n">
        <f aca="false">IFERROR(E1475*Eingaben!$B$15,0)</f>
        <v>2.5137</v>
      </c>
      <c r="G1475" s="13" t="n">
        <f aca="false">IFERROR(IF(Kalender!A11="",0,J1474*(1-Eingaben!$B$20)),0)</f>
        <v>0.7390278</v>
      </c>
      <c r="H1475" s="13" t="n">
        <f aca="false">MIN(G1475,D1475)</f>
        <v>0.7390278</v>
      </c>
      <c r="I1475" s="13" t="n">
        <f aca="false">IFERROR(MIN(F1475*Eingaben!$B$19,MAX(0,D1475-H1475)),0)</f>
        <v>1.75959</v>
      </c>
      <c r="J1475" s="13" t="n">
        <f aca="false">IFERROR(MIN(Eingaben!$B$18,MAX(0,F1475-I1475)),0)</f>
        <v>0.75411</v>
      </c>
      <c r="K1475" s="13" t="n">
        <f aca="false">H1475+I1475</f>
        <v>2.4986178</v>
      </c>
      <c r="L1475" s="13" t="n">
        <f aca="false">MAX(0,D1475-K1475)</f>
        <v>2.4413822</v>
      </c>
      <c r="M1475" s="13" t="n">
        <f aca="false">MAX(0,F1475-I1475-J1475)</f>
        <v>0</v>
      </c>
      <c r="N1475" s="13" t="n">
        <f aca="false">IF(Kalender!A11="",0,J1474-H1475)</f>
        <v>0.0150822</v>
      </c>
    </row>
    <row r="1476" customFormat="false" ht="16.4" hidden="false" customHeight="false" outlineLevel="0" collapsed="false">
      <c r="A1476" s="13" t="str">
        <f aca="false">""</f>
        <v/>
      </c>
      <c r="B1476" s="13" t="n">
        <f aca="false">8</f>
        <v>8</v>
      </c>
      <c r="C1476" s="13" t="n">
        <f aca="false">IF(Szenarien!$H$15="OK",(IFERROR(SUMIF(Nutzungsprofile!$B$6:$B$11,"Schulbetrieb",Nutzungsprofile!$G$6:$G$11)*Kalender!C12/SUM(Kalender!$C$5:$C$370),0)+IFERROR(SUMIF(Nutzungsprofile!$B$6:$B$11,"Halle",Nutzungsprofile!$G$6:$G$11)*Kalender!D12/SUM(Kalender!$D$5:$D$370),0)+IFERROR(SUMIF(Nutzungsprofile!$B$6:$B$11,"Individuell",Nutzungsprofile!$G$6:$G$11)*Kalender!E12/SUM(Kalender!$E$5:$E$370),0))*Szenarien!$E$15,0)</f>
        <v>2.94</v>
      </c>
      <c r="D1476" s="13" t="n">
        <f aca="false">IF(Szenarien!$H$15="OK",(IFERROR(SUMIF(Nutzungsprofile!$B$17:$B$22,"Schulbetrieb",Nutzungsprofile!$G$17:$G$22)*Kalender!C12/SUM(Kalender!$C$5:$C$370),0)+IFERROR(SUMIF(Nutzungsprofile!$B$17:$B$22,"Halle",Nutzungsprofile!$G$17:$G$22)*Kalender!D12/SUM(Kalender!$D$5:$D$370),0)+IFERROR(SUMIF(Nutzungsprofile!$B$17:$B$22,"Individuell",Nutzungsprofile!$G$17:$G$22)*Kalender!E12/SUM(Kalender!$E$5:$E$370),0))*Szenarien!$D$15,0)</f>
        <v>4.94</v>
      </c>
      <c r="E1476" s="13" t="n">
        <f aca="false">IFERROR(MIN(C1476,Eingaben!$B$17)*Eingaben!$B$16,0)</f>
        <v>2.793</v>
      </c>
      <c r="F1476" s="13" t="n">
        <f aca="false">IFERROR(E1476*Eingaben!$B$15,0)</f>
        <v>2.5137</v>
      </c>
      <c r="G1476" s="13" t="n">
        <f aca="false">IFERROR(IF(Kalender!A12="",0,J1475*(1-Eingaben!$B$20)),0)</f>
        <v>0.7390278</v>
      </c>
      <c r="H1476" s="13" t="n">
        <f aca="false">MIN(G1476,D1476)</f>
        <v>0.7390278</v>
      </c>
      <c r="I1476" s="13" t="n">
        <f aca="false">IFERROR(MIN(F1476*Eingaben!$B$19,MAX(0,D1476-H1476)),0)</f>
        <v>1.75959</v>
      </c>
      <c r="J1476" s="13" t="n">
        <f aca="false">IFERROR(MIN(Eingaben!$B$18,MAX(0,F1476-I1476)),0)</f>
        <v>0.75411</v>
      </c>
      <c r="K1476" s="13" t="n">
        <f aca="false">H1476+I1476</f>
        <v>2.4986178</v>
      </c>
      <c r="L1476" s="13" t="n">
        <f aca="false">MAX(0,D1476-K1476)</f>
        <v>2.4413822</v>
      </c>
      <c r="M1476" s="13" t="n">
        <f aca="false">MAX(0,F1476-I1476-J1476)</f>
        <v>0</v>
      </c>
      <c r="N1476" s="13" t="n">
        <f aca="false">IF(Kalender!A12="",0,J1475-H1476)</f>
        <v>0.0150822</v>
      </c>
    </row>
    <row r="1477" customFormat="false" ht="16.4" hidden="false" customHeight="false" outlineLevel="0" collapsed="false">
      <c r="A1477" s="13" t="str">
        <f aca="false">""</f>
        <v/>
      </c>
      <c r="B1477" s="13" t="n">
        <f aca="false">9</f>
        <v>9</v>
      </c>
      <c r="C1477" s="13" t="n">
        <f aca="false">IF(Szenarien!$H$15="OK",(IFERROR(SUMIF(Nutzungsprofile!$B$6:$B$11,"Schulbetrieb",Nutzungsprofile!$G$6:$G$11)*Kalender!C13/SUM(Kalender!$C$5:$C$370),0)+IFERROR(SUMIF(Nutzungsprofile!$B$6:$B$11,"Halle",Nutzungsprofile!$G$6:$G$11)*Kalender!D13/SUM(Kalender!$D$5:$D$370),0)+IFERROR(SUMIF(Nutzungsprofile!$B$6:$B$11,"Individuell",Nutzungsprofile!$G$6:$G$11)*Kalender!E13/SUM(Kalender!$E$5:$E$370),0))*Szenarien!$E$15,0)</f>
        <v>2.94</v>
      </c>
      <c r="D1477" s="13" t="n">
        <f aca="false">IF(Szenarien!$H$15="OK",(IFERROR(SUMIF(Nutzungsprofile!$B$17:$B$22,"Schulbetrieb",Nutzungsprofile!$G$17:$G$22)*Kalender!C13/SUM(Kalender!$C$5:$C$370),0)+IFERROR(SUMIF(Nutzungsprofile!$B$17:$B$22,"Halle",Nutzungsprofile!$G$17:$G$22)*Kalender!D13/SUM(Kalender!$D$5:$D$370),0)+IFERROR(SUMIF(Nutzungsprofile!$B$17:$B$22,"Individuell",Nutzungsprofile!$G$17:$G$22)*Kalender!E13/SUM(Kalender!$E$5:$E$370),0))*Szenarien!$D$15,0)</f>
        <v>4.94</v>
      </c>
      <c r="E1477" s="13" t="n">
        <f aca="false">IFERROR(MIN(C1477,Eingaben!$B$17)*Eingaben!$B$16,0)</f>
        <v>2.793</v>
      </c>
      <c r="F1477" s="13" t="n">
        <f aca="false">IFERROR(E1477*Eingaben!$B$15,0)</f>
        <v>2.5137</v>
      </c>
      <c r="G1477" s="13" t="n">
        <f aca="false">IFERROR(IF(Kalender!A13="",0,J1476*(1-Eingaben!$B$20)),0)</f>
        <v>0.7390278</v>
      </c>
      <c r="H1477" s="13" t="n">
        <f aca="false">MIN(G1477,D1477)</f>
        <v>0.7390278</v>
      </c>
      <c r="I1477" s="13" t="n">
        <f aca="false">IFERROR(MIN(F1477*Eingaben!$B$19,MAX(0,D1477-H1477)),0)</f>
        <v>1.75959</v>
      </c>
      <c r="J1477" s="13" t="n">
        <f aca="false">IFERROR(MIN(Eingaben!$B$18,MAX(0,F1477-I1477)),0)</f>
        <v>0.75411</v>
      </c>
      <c r="K1477" s="13" t="n">
        <f aca="false">H1477+I1477</f>
        <v>2.4986178</v>
      </c>
      <c r="L1477" s="13" t="n">
        <f aca="false">MAX(0,D1477-K1477)</f>
        <v>2.4413822</v>
      </c>
      <c r="M1477" s="13" t="n">
        <f aca="false">MAX(0,F1477-I1477-J1477)</f>
        <v>0</v>
      </c>
      <c r="N1477" s="13" t="n">
        <f aca="false">IF(Kalender!A13="",0,J1476-H1477)</f>
        <v>0.0150822</v>
      </c>
    </row>
    <row r="1478" customFormat="false" ht="16.4" hidden="false" customHeight="false" outlineLevel="0" collapsed="false">
      <c r="A1478" s="13" t="str">
        <f aca="false">""</f>
        <v/>
      </c>
      <c r="B1478" s="13" t="n">
        <f aca="false">10</f>
        <v>10</v>
      </c>
      <c r="C1478" s="13" t="n">
        <f aca="false">IF(Szenarien!$H$15="OK",(IFERROR(SUMIF(Nutzungsprofile!$B$6:$B$11,"Schulbetrieb",Nutzungsprofile!$G$6:$G$11)*Kalender!C14/SUM(Kalender!$C$5:$C$370),0)+IFERROR(SUMIF(Nutzungsprofile!$B$6:$B$11,"Halle",Nutzungsprofile!$G$6:$G$11)*Kalender!D14/SUM(Kalender!$D$5:$D$370),0)+IFERROR(SUMIF(Nutzungsprofile!$B$6:$B$11,"Individuell",Nutzungsprofile!$G$6:$G$11)*Kalender!E14/SUM(Kalender!$E$5:$E$370),0))*Szenarien!$E$15,0)</f>
        <v>2.04</v>
      </c>
      <c r="D1478" s="13" t="n">
        <f aca="false">IF(Szenarien!$H$15="OK",(IFERROR(SUMIF(Nutzungsprofile!$B$17:$B$22,"Schulbetrieb",Nutzungsprofile!$G$17:$G$22)*Kalender!C14/SUM(Kalender!$C$5:$C$370),0)+IFERROR(SUMIF(Nutzungsprofile!$B$17:$B$22,"Halle",Nutzungsprofile!$G$17:$G$22)*Kalender!D14/SUM(Kalender!$D$5:$D$370),0)+IFERROR(SUMIF(Nutzungsprofile!$B$17:$B$22,"Individuell",Nutzungsprofile!$G$17:$G$22)*Kalender!E14/SUM(Kalender!$E$5:$E$370),0))*Szenarien!$D$15,0)</f>
        <v>0.89</v>
      </c>
      <c r="E1478" s="13" t="n">
        <f aca="false">IFERROR(MIN(C1478,Eingaben!$B$17)*Eingaben!$B$16,0)</f>
        <v>1.938</v>
      </c>
      <c r="F1478" s="13" t="n">
        <f aca="false">IFERROR(E1478*Eingaben!$B$15,0)</f>
        <v>1.7442</v>
      </c>
      <c r="G1478" s="13" t="n">
        <f aca="false">IFERROR(IF(Kalender!A14="",0,J1477*(1-Eingaben!$B$20)),0)</f>
        <v>0.7390278</v>
      </c>
      <c r="H1478" s="13" t="n">
        <f aca="false">MIN(G1478,D1478)</f>
        <v>0.7390278</v>
      </c>
      <c r="I1478" s="13" t="n">
        <f aca="false">IFERROR(MIN(F1478*Eingaben!$B$19,MAX(0,D1478-H1478)),0)</f>
        <v>0.1509722</v>
      </c>
      <c r="J1478" s="13" t="n">
        <f aca="false">IFERROR(MIN(Eingaben!$B$18,MAX(0,F1478-I1478)),0)</f>
        <v>1.5932278</v>
      </c>
      <c r="K1478" s="13" t="n">
        <f aca="false">H1478+I1478</f>
        <v>0.89</v>
      </c>
      <c r="L1478" s="13" t="n">
        <f aca="false">MAX(0,D1478-K1478)</f>
        <v>0</v>
      </c>
      <c r="M1478" s="13" t="n">
        <f aca="false">MAX(0,F1478-I1478-J1478)</f>
        <v>0</v>
      </c>
      <c r="N1478" s="13" t="n">
        <f aca="false">IF(Kalender!A14="",0,J1477-H1478)</f>
        <v>0.0150822</v>
      </c>
    </row>
    <row r="1479" customFormat="false" ht="16.4" hidden="false" customHeight="false" outlineLevel="0" collapsed="false">
      <c r="A1479" s="13" t="str">
        <f aca="false">""</f>
        <v/>
      </c>
      <c r="B1479" s="13" t="n">
        <f aca="false">11</f>
        <v>11</v>
      </c>
      <c r="C1479" s="13" t="n">
        <f aca="false">IF(Szenarien!$H$15="OK",(IFERROR(SUMIF(Nutzungsprofile!$B$6:$B$11,"Schulbetrieb",Nutzungsprofile!$G$6:$G$11)*Kalender!C15/SUM(Kalender!$C$5:$C$370),0)+IFERROR(SUMIF(Nutzungsprofile!$B$6:$B$11,"Halle",Nutzungsprofile!$G$6:$G$11)*Kalender!D15/SUM(Kalender!$D$5:$D$370),0)+IFERROR(SUMIF(Nutzungsprofile!$B$6:$B$11,"Individuell",Nutzungsprofile!$G$6:$G$11)*Kalender!E15/SUM(Kalender!$E$5:$E$370),0))*Szenarien!$E$15,0)</f>
        <v>2.04</v>
      </c>
      <c r="D1479" s="13" t="n">
        <f aca="false">IF(Szenarien!$H$15="OK",(IFERROR(SUMIF(Nutzungsprofile!$B$17:$B$22,"Schulbetrieb",Nutzungsprofile!$G$17:$G$22)*Kalender!C15/SUM(Kalender!$C$5:$C$370),0)+IFERROR(SUMIF(Nutzungsprofile!$B$17:$B$22,"Halle",Nutzungsprofile!$G$17:$G$22)*Kalender!D15/SUM(Kalender!$D$5:$D$370),0)+IFERROR(SUMIF(Nutzungsprofile!$B$17:$B$22,"Individuell",Nutzungsprofile!$G$17:$G$22)*Kalender!E15/SUM(Kalender!$E$5:$E$370),0))*Szenarien!$D$15,0)</f>
        <v>0.89</v>
      </c>
      <c r="E1479" s="13" t="n">
        <f aca="false">IFERROR(MIN(C1479,Eingaben!$B$17)*Eingaben!$B$16,0)</f>
        <v>1.938</v>
      </c>
      <c r="F1479" s="13" t="n">
        <f aca="false">IFERROR(E1479*Eingaben!$B$15,0)</f>
        <v>1.7442</v>
      </c>
      <c r="G1479" s="13" t="n">
        <f aca="false">IFERROR(IF(Kalender!A15="",0,J1478*(1-Eingaben!$B$20)),0)</f>
        <v>1.561363244</v>
      </c>
      <c r="H1479" s="13" t="n">
        <f aca="false">MIN(G1479,D1479)</f>
        <v>0.89</v>
      </c>
      <c r="I1479" s="13" t="n">
        <f aca="false">IFERROR(MIN(F1479*Eingaben!$B$19,MAX(0,D1479-H1479)),0)</f>
        <v>0</v>
      </c>
      <c r="J1479" s="13" t="n">
        <f aca="false">IFERROR(MIN(Eingaben!$B$18,MAX(0,F1479-I1479)),0)</f>
        <v>1.7442</v>
      </c>
      <c r="K1479" s="13" t="n">
        <f aca="false">H1479+I1479</f>
        <v>0.89</v>
      </c>
      <c r="L1479" s="13" t="n">
        <f aca="false">MAX(0,D1479-K1479)</f>
        <v>0</v>
      </c>
      <c r="M1479" s="13" t="n">
        <f aca="false">MAX(0,F1479-I1479-J1479)</f>
        <v>0</v>
      </c>
      <c r="N1479" s="13" t="n">
        <f aca="false">IF(Kalender!A15="",0,J1478-H1479)</f>
        <v>0.7032278</v>
      </c>
    </row>
    <row r="1480" customFormat="false" ht="16.4" hidden="false" customHeight="false" outlineLevel="0" collapsed="false">
      <c r="A1480" s="13" t="str">
        <f aca="false">""</f>
        <v/>
      </c>
      <c r="B1480" s="13" t="n">
        <f aca="false">12</f>
        <v>12</v>
      </c>
      <c r="C1480" s="13" t="n">
        <f aca="false">IF(Szenarien!$H$15="OK",(IFERROR(SUMIF(Nutzungsprofile!$B$6:$B$11,"Schulbetrieb",Nutzungsprofile!$G$6:$G$11)*Kalender!C16/SUM(Kalender!$C$5:$C$370),0)+IFERROR(SUMIF(Nutzungsprofile!$B$6:$B$11,"Halle",Nutzungsprofile!$G$6:$G$11)*Kalender!D16/SUM(Kalender!$D$5:$D$370),0)+IFERROR(SUMIF(Nutzungsprofile!$B$6:$B$11,"Individuell",Nutzungsprofile!$G$6:$G$11)*Kalender!E16/SUM(Kalender!$E$5:$E$370),0))*Szenarien!$E$15,0)</f>
        <v>2.94</v>
      </c>
      <c r="D1480" s="13" t="n">
        <f aca="false">IF(Szenarien!$H$15="OK",(IFERROR(SUMIF(Nutzungsprofile!$B$17:$B$22,"Schulbetrieb",Nutzungsprofile!$G$17:$G$22)*Kalender!C16/SUM(Kalender!$C$5:$C$370),0)+IFERROR(SUMIF(Nutzungsprofile!$B$17:$B$22,"Halle",Nutzungsprofile!$G$17:$G$22)*Kalender!D16/SUM(Kalender!$D$5:$D$370),0)+IFERROR(SUMIF(Nutzungsprofile!$B$17:$B$22,"Individuell",Nutzungsprofile!$G$17:$G$22)*Kalender!E16/SUM(Kalender!$E$5:$E$370),0))*Szenarien!$D$15,0)</f>
        <v>4.94</v>
      </c>
      <c r="E1480" s="13" t="n">
        <f aca="false">IFERROR(MIN(C1480,Eingaben!$B$17)*Eingaben!$B$16,0)</f>
        <v>2.793</v>
      </c>
      <c r="F1480" s="13" t="n">
        <f aca="false">IFERROR(E1480*Eingaben!$B$15,0)</f>
        <v>2.5137</v>
      </c>
      <c r="G1480" s="13" t="n">
        <f aca="false">IFERROR(IF(Kalender!A16="",0,J1479*(1-Eingaben!$B$20)),0)</f>
        <v>1.709316</v>
      </c>
      <c r="H1480" s="13" t="n">
        <f aca="false">MIN(G1480,D1480)</f>
        <v>1.709316</v>
      </c>
      <c r="I1480" s="13" t="n">
        <f aca="false">IFERROR(MIN(F1480*Eingaben!$B$19,MAX(0,D1480-H1480)),0)</f>
        <v>1.75959</v>
      </c>
      <c r="J1480" s="13" t="n">
        <f aca="false">IFERROR(MIN(Eingaben!$B$18,MAX(0,F1480-I1480)),0)</f>
        <v>0.75411</v>
      </c>
      <c r="K1480" s="13" t="n">
        <f aca="false">H1480+I1480</f>
        <v>3.468906</v>
      </c>
      <c r="L1480" s="13" t="n">
        <f aca="false">MAX(0,D1480-K1480)</f>
        <v>1.471094</v>
      </c>
      <c r="M1480" s="13" t="n">
        <f aca="false">MAX(0,F1480-I1480-J1480)</f>
        <v>0</v>
      </c>
      <c r="N1480" s="13" t="n">
        <f aca="false">IF(Kalender!A16="",0,J1479-H1480)</f>
        <v>0.0348840000000001</v>
      </c>
    </row>
    <row r="1481" customFormat="false" ht="16.4" hidden="false" customHeight="false" outlineLevel="0" collapsed="false">
      <c r="A1481" s="13" t="str">
        <f aca="false">""</f>
        <v/>
      </c>
      <c r="B1481" s="13" t="n">
        <f aca="false">13</f>
        <v>13</v>
      </c>
      <c r="C1481" s="13" t="n">
        <f aca="false">IF(Szenarien!$H$15="OK",(IFERROR(SUMIF(Nutzungsprofile!$B$6:$B$11,"Schulbetrieb",Nutzungsprofile!$G$6:$G$11)*Kalender!C17/SUM(Kalender!$C$5:$C$370),0)+IFERROR(SUMIF(Nutzungsprofile!$B$6:$B$11,"Halle",Nutzungsprofile!$G$6:$G$11)*Kalender!D17/SUM(Kalender!$D$5:$D$370),0)+IFERROR(SUMIF(Nutzungsprofile!$B$6:$B$11,"Individuell",Nutzungsprofile!$G$6:$G$11)*Kalender!E17/SUM(Kalender!$E$5:$E$370),0))*Szenarien!$E$15,0)</f>
        <v>2.94</v>
      </c>
      <c r="D1481" s="13" t="n">
        <f aca="false">IF(Szenarien!$H$15="OK",(IFERROR(SUMIF(Nutzungsprofile!$B$17:$B$22,"Schulbetrieb",Nutzungsprofile!$G$17:$G$22)*Kalender!C17/SUM(Kalender!$C$5:$C$370),0)+IFERROR(SUMIF(Nutzungsprofile!$B$17:$B$22,"Halle",Nutzungsprofile!$G$17:$G$22)*Kalender!D17/SUM(Kalender!$D$5:$D$370),0)+IFERROR(SUMIF(Nutzungsprofile!$B$17:$B$22,"Individuell",Nutzungsprofile!$G$17:$G$22)*Kalender!E17/SUM(Kalender!$E$5:$E$370),0))*Szenarien!$D$15,0)</f>
        <v>4.94</v>
      </c>
      <c r="E1481" s="13" t="n">
        <f aca="false">IFERROR(MIN(C1481,Eingaben!$B$17)*Eingaben!$B$16,0)</f>
        <v>2.793</v>
      </c>
      <c r="F1481" s="13" t="n">
        <f aca="false">IFERROR(E1481*Eingaben!$B$15,0)</f>
        <v>2.5137</v>
      </c>
      <c r="G1481" s="13" t="n">
        <f aca="false">IFERROR(IF(Kalender!A17="",0,J1480*(1-Eingaben!$B$20)),0)</f>
        <v>0.7390278</v>
      </c>
      <c r="H1481" s="13" t="n">
        <f aca="false">MIN(G1481,D1481)</f>
        <v>0.7390278</v>
      </c>
      <c r="I1481" s="13" t="n">
        <f aca="false">IFERROR(MIN(F1481*Eingaben!$B$19,MAX(0,D1481-H1481)),0)</f>
        <v>1.75959</v>
      </c>
      <c r="J1481" s="13" t="n">
        <f aca="false">IFERROR(MIN(Eingaben!$B$18,MAX(0,F1481-I1481)),0)</f>
        <v>0.75411</v>
      </c>
      <c r="K1481" s="13" t="n">
        <f aca="false">H1481+I1481</f>
        <v>2.4986178</v>
      </c>
      <c r="L1481" s="13" t="n">
        <f aca="false">MAX(0,D1481-K1481)</f>
        <v>2.4413822</v>
      </c>
      <c r="M1481" s="13" t="n">
        <f aca="false">MAX(0,F1481-I1481-J1481)</f>
        <v>0</v>
      </c>
      <c r="N1481" s="13" t="n">
        <f aca="false">IF(Kalender!A17="",0,J1480-H1481)</f>
        <v>0.0150822</v>
      </c>
    </row>
    <row r="1482" customFormat="false" ht="16.4" hidden="false" customHeight="false" outlineLevel="0" collapsed="false">
      <c r="A1482" s="13" t="str">
        <f aca="false">""</f>
        <v/>
      </c>
      <c r="B1482" s="13" t="n">
        <f aca="false">14</f>
        <v>14</v>
      </c>
      <c r="C1482" s="13" t="n">
        <f aca="false">IF(Szenarien!$H$15="OK",(IFERROR(SUMIF(Nutzungsprofile!$B$6:$B$11,"Schulbetrieb",Nutzungsprofile!$G$6:$G$11)*Kalender!C18/SUM(Kalender!$C$5:$C$370),0)+IFERROR(SUMIF(Nutzungsprofile!$B$6:$B$11,"Halle",Nutzungsprofile!$G$6:$G$11)*Kalender!D18/SUM(Kalender!$D$5:$D$370),0)+IFERROR(SUMIF(Nutzungsprofile!$B$6:$B$11,"Individuell",Nutzungsprofile!$G$6:$G$11)*Kalender!E18/SUM(Kalender!$E$5:$E$370),0))*Szenarien!$E$15,0)</f>
        <v>2.94</v>
      </c>
      <c r="D1482" s="13" t="n">
        <f aca="false">IF(Szenarien!$H$15="OK",(IFERROR(SUMIF(Nutzungsprofile!$B$17:$B$22,"Schulbetrieb",Nutzungsprofile!$G$17:$G$22)*Kalender!C18/SUM(Kalender!$C$5:$C$370),0)+IFERROR(SUMIF(Nutzungsprofile!$B$17:$B$22,"Halle",Nutzungsprofile!$G$17:$G$22)*Kalender!D18/SUM(Kalender!$D$5:$D$370),0)+IFERROR(SUMIF(Nutzungsprofile!$B$17:$B$22,"Individuell",Nutzungsprofile!$G$17:$G$22)*Kalender!E18/SUM(Kalender!$E$5:$E$370),0))*Szenarien!$D$15,0)</f>
        <v>4.94</v>
      </c>
      <c r="E1482" s="13" t="n">
        <f aca="false">IFERROR(MIN(C1482,Eingaben!$B$17)*Eingaben!$B$16,0)</f>
        <v>2.793</v>
      </c>
      <c r="F1482" s="13" t="n">
        <f aca="false">IFERROR(E1482*Eingaben!$B$15,0)</f>
        <v>2.5137</v>
      </c>
      <c r="G1482" s="13" t="n">
        <f aca="false">IFERROR(IF(Kalender!A18="",0,J1481*(1-Eingaben!$B$20)),0)</f>
        <v>0.7390278</v>
      </c>
      <c r="H1482" s="13" t="n">
        <f aca="false">MIN(G1482,D1482)</f>
        <v>0.7390278</v>
      </c>
      <c r="I1482" s="13" t="n">
        <f aca="false">IFERROR(MIN(F1482*Eingaben!$B$19,MAX(0,D1482-H1482)),0)</f>
        <v>1.75959</v>
      </c>
      <c r="J1482" s="13" t="n">
        <f aca="false">IFERROR(MIN(Eingaben!$B$18,MAX(0,F1482-I1482)),0)</f>
        <v>0.75411</v>
      </c>
      <c r="K1482" s="13" t="n">
        <f aca="false">H1482+I1482</f>
        <v>2.4986178</v>
      </c>
      <c r="L1482" s="13" t="n">
        <f aca="false">MAX(0,D1482-K1482)</f>
        <v>2.4413822</v>
      </c>
      <c r="M1482" s="13" t="n">
        <f aca="false">MAX(0,F1482-I1482-J1482)</f>
        <v>0</v>
      </c>
      <c r="N1482" s="13" t="n">
        <f aca="false">IF(Kalender!A18="",0,J1481-H1482)</f>
        <v>0.0150822</v>
      </c>
    </row>
    <row r="1483" customFormat="false" ht="16.4" hidden="false" customHeight="false" outlineLevel="0" collapsed="false">
      <c r="A1483" s="13" t="str">
        <f aca="false">""</f>
        <v/>
      </c>
      <c r="B1483" s="13" t="n">
        <f aca="false">15</f>
        <v>15</v>
      </c>
      <c r="C1483" s="13" t="n">
        <f aca="false">IF(Szenarien!$H$15="OK",(IFERROR(SUMIF(Nutzungsprofile!$B$6:$B$11,"Schulbetrieb",Nutzungsprofile!$G$6:$G$11)*Kalender!C19/SUM(Kalender!$C$5:$C$370),0)+IFERROR(SUMIF(Nutzungsprofile!$B$6:$B$11,"Halle",Nutzungsprofile!$G$6:$G$11)*Kalender!D19/SUM(Kalender!$D$5:$D$370),0)+IFERROR(SUMIF(Nutzungsprofile!$B$6:$B$11,"Individuell",Nutzungsprofile!$G$6:$G$11)*Kalender!E19/SUM(Kalender!$E$5:$E$370),0))*Szenarien!$E$15,0)</f>
        <v>2.94</v>
      </c>
      <c r="D1483" s="13" t="n">
        <f aca="false">IF(Szenarien!$H$15="OK",(IFERROR(SUMIF(Nutzungsprofile!$B$17:$B$22,"Schulbetrieb",Nutzungsprofile!$G$17:$G$22)*Kalender!C19/SUM(Kalender!$C$5:$C$370),0)+IFERROR(SUMIF(Nutzungsprofile!$B$17:$B$22,"Halle",Nutzungsprofile!$G$17:$G$22)*Kalender!D19/SUM(Kalender!$D$5:$D$370),0)+IFERROR(SUMIF(Nutzungsprofile!$B$17:$B$22,"Individuell",Nutzungsprofile!$G$17:$G$22)*Kalender!E19/SUM(Kalender!$E$5:$E$370),0))*Szenarien!$D$15,0)</f>
        <v>4.94</v>
      </c>
      <c r="E1483" s="13" t="n">
        <f aca="false">IFERROR(MIN(C1483,Eingaben!$B$17)*Eingaben!$B$16,0)</f>
        <v>2.793</v>
      </c>
      <c r="F1483" s="13" t="n">
        <f aca="false">IFERROR(E1483*Eingaben!$B$15,0)</f>
        <v>2.5137</v>
      </c>
      <c r="G1483" s="13" t="n">
        <f aca="false">IFERROR(IF(Kalender!A19="",0,J1482*(1-Eingaben!$B$20)),0)</f>
        <v>0.7390278</v>
      </c>
      <c r="H1483" s="13" t="n">
        <f aca="false">MIN(G1483,D1483)</f>
        <v>0.7390278</v>
      </c>
      <c r="I1483" s="13" t="n">
        <f aca="false">IFERROR(MIN(F1483*Eingaben!$B$19,MAX(0,D1483-H1483)),0)</f>
        <v>1.75959</v>
      </c>
      <c r="J1483" s="13" t="n">
        <f aca="false">IFERROR(MIN(Eingaben!$B$18,MAX(0,F1483-I1483)),0)</f>
        <v>0.75411</v>
      </c>
      <c r="K1483" s="13" t="n">
        <f aca="false">H1483+I1483</f>
        <v>2.4986178</v>
      </c>
      <c r="L1483" s="13" t="n">
        <f aca="false">MAX(0,D1483-K1483)</f>
        <v>2.4413822</v>
      </c>
      <c r="M1483" s="13" t="n">
        <f aca="false">MAX(0,F1483-I1483-J1483)</f>
        <v>0</v>
      </c>
      <c r="N1483" s="13" t="n">
        <f aca="false">IF(Kalender!A19="",0,J1482-H1483)</f>
        <v>0.0150822</v>
      </c>
    </row>
    <row r="1484" customFormat="false" ht="16.4" hidden="false" customHeight="false" outlineLevel="0" collapsed="false">
      <c r="A1484" s="13" t="str">
        <f aca="false">""</f>
        <v/>
      </c>
      <c r="B1484" s="13" t="n">
        <f aca="false">16</f>
        <v>16</v>
      </c>
      <c r="C1484" s="13" t="n">
        <f aca="false">IF(Szenarien!$H$15="OK",(IFERROR(SUMIF(Nutzungsprofile!$B$6:$B$11,"Schulbetrieb",Nutzungsprofile!$G$6:$G$11)*Kalender!C20/SUM(Kalender!$C$5:$C$370),0)+IFERROR(SUMIF(Nutzungsprofile!$B$6:$B$11,"Halle",Nutzungsprofile!$G$6:$G$11)*Kalender!D20/SUM(Kalender!$D$5:$D$370),0)+IFERROR(SUMIF(Nutzungsprofile!$B$6:$B$11,"Individuell",Nutzungsprofile!$G$6:$G$11)*Kalender!E20/SUM(Kalender!$E$5:$E$370),0))*Szenarien!$E$15,0)</f>
        <v>2.94</v>
      </c>
      <c r="D1484" s="13" t="n">
        <f aca="false">IF(Szenarien!$H$15="OK",(IFERROR(SUMIF(Nutzungsprofile!$B$17:$B$22,"Schulbetrieb",Nutzungsprofile!$G$17:$G$22)*Kalender!C20/SUM(Kalender!$C$5:$C$370),0)+IFERROR(SUMIF(Nutzungsprofile!$B$17:$B$22,"Halle",Nutzungsprofile!$G$17:$G$22)*Kalender!D20/SUM(Kalender!$D$5:$D$370),0)+IFERROR(SUMIF(Nutzungsprofile!$B$17:$B$22,"Individuell",Nutzungsprofile!$G$17:$G$22)*Kalender!E20/SUM(Kalender!$E$5:$E$370),0))*Szenarien!$D$15,0)</f>
        <v>4.94</v>
      </c>
      <c r="E1484" s="13" t="n">
        <f aca="false">IFERROR(MIN(C1484,Eingaben!$B$17)*Eingaben!$B$16,0)</f>
        <v>2.793</v>
      </c>
      <c r="F1484" s="13" t="n">
        <f aca="false">IFERROR(E1484*Eingaben!$B$15,0)</f>
        <v>2.5137</v>
      </c>
      <c r="G1484" s="13" t="n">
        <f aca="false">IFERROR(IF(Kalender!A20="",0,J1483*(1-Eingaben!$B$20)),0)</f>
        <v>0.7390278</v>
      </c>
      <c r="H1484" s="13" t="n">
        <f aca="false">MIN(G1484,D1484)</f>
        <v>0.7390278</v>
      </c>
      <c r="I1484" s="13" t="n">
        <f aca="false">IFERROR(MIN(F1484*Eingaben!$B$19,MAX(0,D1484-H1484)),0)</f>
        <v>1.75959</v>
      </c>
      <c r="J1484" s="13" t="n">
        <f aca="false">IFERROR(MIN(Eingaben!$B$18,MAX(0,F1484-I1484)),0)</f>
        <v>0.75411</v>
      </c>
      <c r="K1484" s="13" t="n">
        <f aca="false">H1484+I1484</f>
        <v>2.4986178</v>
      </c>
      <c r="L1484" s="13" t="n">
        <f aca="false">MAX(0,D1484-K1484)</f>
        <v>2.4413822</v>
      </c>
      <c r="M1484" s="13" t="n">
        <f aca="false">MAX(0,F1484-I1484-J1484)</f>
        <v>0</v>
      </c>
      <c r="N1484" s="13" t="n">
        <f aca="false">IF(Kalender!A20="",0,J1483-H1484)</f>
        <v>0.0150822</v>
      </c>
    </row>
    <row r="1485" customFormat="false" ht="16.4" hidden="false" customHeight="false" outlineLevel="0" collapsed="false">
      <c r="A1485" s="13" t="str">
        <f aca="false">""</f>
        <v/>
      </c>
      <c r="B1485" s="13" t="n">
        <f aca="false">17</f>
        <v>17</v>
      </c>
      <c r="C1485" s="13" t="n">
        <f aca="false">IF(Szenarien!$H$15="OK",(IFERROR(SUMIF(Nutzungsprofile!$B$6:$B$11,"Schulbetrieb",Nutzungsprofile!$G$6:$G$11)*Kalender!C21/SUM(Kalender!$C$5:$C$370),0)+IFERROR(SUMIF(Nutzungsprofile!$B$6:$B$11,"Halle",Nutzungsprofile!$G$6:$G$11)*Kalender!D21/SUM(Kalender!$D$5:$D$370),0)+IFERROR(SUMIF(Nutzungsprofile!$B$6:$B$11,"Individuell",Nutzungsprofile!$G$6:$G$11)*Kalender!E21/SUM(Kalender!$E$5:$E$370),0))*Szenarien!$E$15,0)</f>
        <v>2.04</v>
      </c>
      <c r="D1485" s="13" t="n">
        <f aca="false">IF(Szenarien!$H$15="OK",(IFERROR(SUMIF(Nutzungsprofile!$B$17:$B$22,"Schulbetrieb",Nutzungsprofile!$G$17:$G$22)*Kalender!C21/SUM(Kalender!$C$5:$C$370),0)+IFERROR(SUMIF(Nutzungsprofile!$B$17:$B$22,"Halle",Nutzungsprofile!$G$17:$G$22)*Kalender!D21/SUM(Kalender!$D$5:$D$370),0)+IFERROR(SUMIF(Nutzungsprofile!$B$17:$B$22,"Individuell",Nutzungsprofile!$G$17:$G$22)*Kalender!E21/SUM(Kalender!$E$5:$E$370),0))*Szenarien!$D$15,0)</f>
        <v>0.89</v>
      </c>
      <c r="E1485" s="13" t="n">
        <f aca="false">IFERROR(MIN(C1485,Eingaben!$B$17)*Eingaben!$B$16,0)</f>
        <v>1.938</v>
      </c>
      <c r="F1485" s="13" t="n">
        <f aca="false">IFERROR(E1485*Eingaben!$B$15,0)</f>
        <v>1.7442</v>
      </c>
      <c r="G1485" s="13" t="n">
        <f aca="false">IFERROR(IF(Kalender!A21="",0,J1484*(1-Eingaben!$B$20)),0)</f>
        <v>0.7390278</v>
      </c>
      <c r="H1485" s="13" t="n">
        <f aca="false">MIN(G1485,D1485)</f>
        <v>0.7390278</v>
      </c>
      <c r="I1485" s="13" t="n">
        <f aca="false">IFERROR(MIN(F1485*Eingaben!$B$19,MAX(0,D1485-H1485)),0)</f>
        <v>0.1509722</v>
      </c>
      <c r="J1485" s="13" t="n">
        <f aca="false">IFERROR(MIN(Eingaben!$B$18,MAX(0,F1485-I1485)),0)</f>
        <v>1.5932278</v>
      </c>
      <c r="K1485" s="13" t="n">
        <f aca="false">H1485+I1485</f>
        <v>0.89</v>
      </c>
      <c r="L1485" s="13" t="n">
        <f aca="false">MAX(0,D1485-K1485)</f>
        <v>0</v>
      </c>
      <c r="M1485" s="13" t="n">
        <f aca="false">MAX(0,F1485-I1485-J1485)</f>
        <v>0</v>
      </c>
      <c r="N1485" s="13" t="n">
        <f aca="false">IF(Kalender!A21="",0,J1484-H1485)</f>
        <v>0.0150822</v>
      </c>
    </row>
    <row r="1486" customFormat="false" ht="16.4" hidden="false" customHeight="false" outlineLevel="0" collapsed="false">
      <c r="A1486" s="13" t="str">
        <f aca="false">""</f>
        <v/>
      </c>
      <c r="B1486" s="13" t="n">
        <f aca="false">18</f>
        <v>18</v>
      </c>
      <c r="C1486" s="13" t="n">
        <f aca="false">IF(Szenarien!$H$15="OK",(IFERROR(SUMIF(Nutzungsprofile!$B$6:$B$11,"Schulbetrieb",Nutzungsprofile!$G$6:$G$11)*Kalender!C22/SUM(Kalender!$C$5:$C$370),0)+IFERROR(SUMIF(Nutzungsprofile!$B$6:$B$11,"Halle",Nutzungsprofile!$G$6:$G$11)*Kalender!D22/SUM(Kalender!$D$5:$D$370),0)+IFERROR(SUMIF(Nutzungsprofile!$B$6:$B$11,"Individuell",Nutzungsprofile!$G$6:$G$11)*Kalender!E22/SUM(Kalender!$E$5:$E$370),0))*Szenarien!$E$15,0)</f>
        <v>2.04</v>
      </c>
      <c r="D1486" s="13" t="n">
        <f aca="false">IF(Szenarien!$H$15="OK",(IFERROR(SUMIF(Nutzungsprofile!$B$17:$B$22,"Schulbetrieb",Nutzungsprofile!$G$17:$G$22)*Kalender!C22/SUM(Kalender!$C$5:$C$370),0)+IFERROR(SUMIF(Nutzungsprofile!$B$17:$B$22,"Halle",Nutzungsprofile!$G$17:$G$22)*Kalender!D22/SUM(Kalender!$D$5:$D$370),0)+IFERROR(SUMIF(Nutzungsprofile!$B$17:$B$22,"Individuell",Nutzungsprofile!$G$17:$G$22)*Kalender!E22/SUM(Kalender!$E$5:$E$370),0))*Szenarien!$D$15,0)</f>
        <v>0.89</v>
      </c>
      <c r="E1486" s="13" t="n">
        <f aca="false">IFERROR(MIN(C1486,Eingaben!$B$17)*Eingaben!$B$16,0)</f>
        <v>1.938</v>
      </c>
      <c r="F1486" s="13" t="n">
        <f aca="false">IFERROR(E1486*Eingaben!$B$15,0)</f>
        <v>1.7442</v>
      </c>
      <c r="G1486" s="13" t="n">
        <f aca="false">IFERROR(IF(Kalender!A22="",0,J1485*(1-Eingaben!$B$20)),0)</f>
        <v>1.561363244</v>
      </c>
      <c r="H1486" s="13" t="n">
        <f aca="false">MIN(G1486,D1486)</f>
        <v>0.89</v>
      </c>
      <c r="I1486" s="13" t="n">
        <f aca="false">IFERROR(MIN(F1486*Eingaben!$B$19,MAX(0,D1486-H1486)),0)</f>
        <v>0</v>
      </c>
      <c r="J1486" s="13" t="n">
        <f aca="false">IFERROR(MIN(Eingaben!$B$18,MAX(0,F1486-I1486)),0)</f>
        <v>1.7442</v>
      </c>
      <c r="K1486" s="13" t="n">
        <f aca="false">H1486+I1486</f>
        <v>0.89</v>
      </c>
      <c r="L1486" s="13" t="n">
        <f aca="false">MAX(0,D1486-K1486)</f>
        <v>0</v>
      </c>
      <c r="M1486" s="13" t="n">
        <f aca="false">MAX(0,F1486-I1486-J1486)</f>
        <v>0</v>
      </c>
      <c r="N1486" s="13" t="n">
        <f aca="false">IF(Kalender!A22="",0,J1485-H1486)</f>
        <v>0.7032278</v>
      </c>
    </row>
    <row r="1487" customFormat="false" ht="16.4" hidden="false" customHeight="false" outlineLevel="0" collapsed="false">
      <c r="A1487" s="13" t="str">
        <f aca="false">""</f>
        <v/>
      </c>
      <c r="B1487" s="13" t="n">
        <f aca="false">19</f>
        <v>19</v>
      </c>
      <c r="C1487" s="13" t="n">
        <f aca="false">IF(Szenarien!$H$15="OK",(IFERROR(SUMIF(Nutzungsprofile!$B$6:$B$11,"Schulbetrieb",Nutzungsprofile!$G$6:$G$11)*Kalender!C23/SUM(Kalender!$C$5:$C$370),0)+IFERROR(SUMIF(Nutzungsprofile!$B$6:$B$11,"Halle",Nutzungsprofile!$G$6:$G$11)*Kalender!D23/SUM(Kalender!$D$5:$D$370),0)+IFERROR(SUMIF(Nutzungsprofile!$B$6:$B$11,"Individuell",Nutzungsprofile!$G$6:$G$11)*Kalender!E23/SUM(Kalender!$E$5:$E$370),0))*Szenarien!$E$15,0)</f>
        <v>2.94</v>
      </c>
      <c r="D1487" s="13" t="n">
        <f aca="false">IF(Szenarien!$H$15="OK",(IFERROR(SUMIF(Nutzungsprofile!$B$17:$B$22,"Schulbetrieb",Nutzungsprofile!$G$17:$G$22)*Kalender!C23/SUM(Kalender!$C$5:$C$370),0)+IFERROR(SUMIF(Nutzungsprofile!$B$17:$B$22,"Halle",Nutzungsprofile!$G$17:$G$22)*Kalender!D23/SUM(Kalender!$D$5:$D$370),0)+IFERROR(SUMIF(Nutzungsprofile!$B$17:$B$22,"Individuell",Nutzungsprofile!$G$17:$G$22)*Kalender!E23/SUM(Kalender!$E$5:$E$370),0))*Szenarien!$D$15,0)</f>
        <v>4.94</v>
      </c>
      <c r="E1487" s="13" t="n">
        <f aca="false">IFERROR(MIN(C1487,Eingaben!$B$17)*Eingaben!$B$16,0)</f>
        <v>2.793</v>
      </c>
      <c r="F1487" s="13" t="n">
        <f aca="false">IFERROR(E1487*Eingaben!$B$15,0)</f>
        <v>2.5137</v>
      </c>
      <c r="G1487" s="13" t="n">
        <f aca="false">IFERROR(IF(Kalender!A23="",0,J1486*(1-Eingaben!$B$20)),0)</f>
        <v>1.709316</v>
      </c>
      <c r="H1487" s="13" t="n">
        <f aca="false">MIN(G1487,D1487)</f>
        <v>1.709316</v>
      </c>
      <c r="I1487" s="13" t="n">
        <f aca="false">IFERROR(MIN(F1487*Eingaben!$B$19,MAX(0,D1487-H1487)),0)</f>
        <v>1.75959</v>
      </c>
      <c r="J1487" s="13" t="n">
        <f aca="false">IFERROR(MIN(Eingaben!$B$18,MAX(0,F1487-I1487)),0)</f>
        <v>0.75411</v>
      </c>
      <c r="K1487" s="13" t="n">
        <f aca="false">H1487+I1487</f>
        <v>3.468906</v>
      </c>
      <c r="L1487" s="13" t="n">
        <f aca="false">MAX(0,D1487-K1487)</f>
        <v>1.471094</v>
      </c>
      <c r="M1487" s="13" t="n">
        <f aca="false">MAX(0,F1487-I1487-J1487)</f>
        <v>0</v>
      </c>
      <c r="N1487" s="13" t="n">
        <f aca="false">IF(Kalender!A23="",0,J1486-H1487)</f>
        <v>0.0348840000000001</v>
      </c>
    </row>
    <row r="1488" customFormat="false" ht="16.4" hidden="false" customHeight="false" outlineLevel="0" collapsed="false">
      <c r="A1488" s="13" t="str">
        <f aca="false">""</f>
        <v/>
      </c>
      <c r="B1488" s="13" t="n">
        <f aca="false">20</f>
        <v>20</v>
      </c>
      <c r="C1488" s="13" t="n">
        <f aca="false">IF(Szenarien!$H$15="OK",(IFERROR(SUMIF(Nutzungsprofile!$B$6:$B$11,"Schulbetrieb",Nutzungsprofile!$G$6:$G$11)*Kalender!C24/SUM(Kalender!$C$5:$C$370),0)+IFERROR(SUMIF(Nutzungsprofile!$B$6:$B$11,"Halle",Nutzungsprofile!$G$6:$G$11)*Kalender!D24/SUM(Kalender!$D$5:$D$370),0)+IFERROR(SUMIF(Nutzungsprofile!$B$6:$B$11,"Individuell",Nutzungsprofile!$G$6:$G$11)*Kalender!E24/SUM(Kalender!$E$5:$E$370),0))*Szenarien!$E$15,0)</f>
        <v>2.94</v>
      </c>
      <c r="D1488" s="13" t="n">
        <f aca="false">IF(Szenarien!$H$15="OK",(IFERROR(SUMIF(Nutzungsprofile!$B$17:$B$22,"Schulbetrieb",Nutzungsprofile!$G$17:$G$22)*Kalender!C24/SUM(Kalender!$C$5:$C$370),0)+IFERROR(SUMIF(Nutzungsprofile!$B$17:$B$22,"Halle",Nutzungsprofile!$G$17:$G$22)*Kalender!D24/SUM(Kalender!$D$5:$D$370),0)+IFERROR(SUMIF(Nutzungsprofile!$B$17:$B$22,"Individuell",Nutzungsprofile!$G$17:$G$22)*Kalender!E24/SUM(Kalender!$E$5:$E$370),0))*Szenarien!$D$15,0)</f>
        <v>4.94</v>
      </c>
      <c r="E1488" s="13" t="n">
        <f aca="false">IFERROR(MIN(C1488,Eingaben!$B$17)*Eingaben!$B$16,0)</f>
        <v>2.793</v>
      </c>
      <c r="F1488" s="13" t="n">
        <f aca="false">IFERROR(E1488*Eingaben!$B$15,0)</f>
        <v>2.5137</v>
      </c>
      <c r="G1488" s="13" t="n">
        <f aca="false">IFERROR(IF(Kalender!A24="",0,J1487*(1-Eingaben!$B$20)),0)</f>
        <v>0.7390278</v>
      </c>
      <c r="H1488" s="13" t="n">
        <f aca="false">MIN(G1488,D1488)</f>
        <v>0.7390278</v>
      </c>
      <c r="I1488" s="13" t="n">
        <f aca="false">IFERROR(MIN(F1488*Eingaben!$B$19,MAX(0,D1488-H1488)),0)</f>
        <v>1.75959</v>
      </c>
      <c r="J1488" s="13" t="n">
        <f aca="false">IFERROR(MIN(Eingaben!$B$18,MAX(0,F1488-I1488)),0)</f>
        <v>0.75411</v>
      </c>
      <c r="K1488" s="13" t="n">
        <f aca="false">H1488+I1488</f>
        <v>2.4986178</v>
      </c>
      <c r="L1488" s="13" t="n">
        <f aca="false">MAX(0,D1488-K1488)</f>
        <v>2.4413822</v>
      </c>
      <c r="M1488" s="13" t="n">
        <f aca="false">MAX(0,F1488-I1488-J1488)</f>
        <v>0</v>
      </c>
      <c r="N1488" s="13" t="n">
        <f aca="false">IF(Kalender!A24="",0,J1487-H1488)</f>
        <v>0.0150822</v>
      </c>
    </row>
    <row r="1489" customFormat="false" ht="16.4" hidden="false" customHeight="false" outlineLevel="0" collapsed="false">
      <c r="A1489" s="13" t="str">
        <f aca="false">""</f>
        <v/>
      </c>
      <c r="B1489" s="13" t="n">
        <f aca="false">21</f>
        <v>21</v>
      </c>
      <c r="C1489" s="13" t="n">
        <f aca="false">IF(Szenarien!$H$15="OK",(IFERROR(SUMIF(Nutzungsprofile!$B$6:$B$11,"Schulbetrieb",Nutzungsprofile!$G$6:$G$11)*Kalender!C25/SUM(Kalender!$C$5:$C$370),0)+IFERROR(SUMIF(Nutzungsprofile!$B$6:$B$11,"Halle",Nutzungsprofile!$G$6:$G$11)*Kalender!D25/SUM(Kalender!$D$5:$D$370),0)+IFERROR(SUMIF(Nutzungsprofile!$B$6:$B$11,"Individuell",Nutzungsprofile!$G$6:$G$11)*Kalender!E25/SUM(Kalender!$E$5:$E$370),0))*Szenarien!$E$15,0)</f>
        <v>2.94</v>
      </c>
      <c r="D1489" s="13" t="n">
        <f aca="false">IF(Szenarien!$H$15="OK",(IFERROR(SUMIF(Nutzungsprofile!$B$17:$B$22,"Schulbetrieb",Nutzungsprofile!$G$17:$G$22)*Kalender!C25/SUM(Kalender!$C$5:$C$370),0)+IFERROR(SUMIF(Nutzungsprofile!$B$17:$B$22,"Halle",Nutzungsprofile!$G$17:$G$22)*Kalender!D25/SUM(Kalender!$D$5:$D$370),0)+IFERROR(SUMIF(Nutzungsprofile!$B$17:$B$22,"Individuell",Nutzungsprofile!$G$17:$G$22)*Kalender!E25/SUM(Kalender!$E$5:$E$370),0))*Szenarien!$D$15,0)</f>
        <v>4.94</v>
      </c>
      <c r="E1489" s="13" t="n">
        <f aca="false">IFERROR(MIN(C1489,Eingaben!$B$17)*Eingaben!$B$16,0)</f>
        <v>2.793</v>
      </c>
      <c r="F1489" s="13" t="n">
        <f aca="false">IFERROR(E1489*Eingaben!$B$15,0)</f>
        <v>2.5137</v>
      </c>
      <c r="G1489" s="13" t="n">
        <f aca="false">IFERROR(IF(Kalender!A25="",0,J1488*(1-Eingaben!$B$20)),0)</f>
        <v>0.7390278</v>
      </c>
      <c r="H1489" s="13" t="n">
        <f aca="false">MIN(G1489,D1489)</f>
        <v>0.7390278</v>
      </c>
      <c r="I1489" s="13" t="n">
        <f aca="false">IFERROR(MIN(F1489*Eingaben!$B$19,MAX(0,D1489-H1489)),0)</f>
        <v>1.75959</v>
      </c>
      <c r="J1489" s="13" t="n">
        <f aca="false">IFERROR(MIN(Eingaben!$B$18,MAX(0,F1489-I1489)),0)</f>
        <v>0.75411</v>
      </c>
      <c r="K1489" s="13" t="n">
        <f aca="false">H1489+I1489</f>
        <v>2.4986178</v>
      </c>
      <c r="L1489" s="13" t="n">
        <f aca="false">MAX(0,D1489-K1489)</f>
        <v>2.4413822</v>
      </c>
      <c r="M1489" s="13" t="n">
        <f aca="false">MAX(0,F1489-I1489-J1489)</f>
        <v>0</v>
      </c>
      <c r="N1489" s="13" t="n">
        <f aca="false">IF(Kalender!A25="",0,J1488-H1489)</f>
        <v>0.0150822</v>
      </c>
    </row>
    <row r="1490" customFormat="false" ht="16.4" hidden="false" customHeight="false" outlineLevel="0" collapsed="false">
      <c r="A1490" s="13" t="str">
        <f aca="false">""</f>
        <v/>
      </c>
      <c r="B1490" s="13" t="n">
        <f aca="false">22</f>
        <v>22</v>
      </c>
      <c r="C1490" s="13" t="n">
        <f aca="false">IF(Szenarien!$H$15="OK",(IFERROR(SUMIF(Nutzungsprofile!$B$6:$B$11,"Schulbetrieb",Nutzungsprofile!$G$6:$G$11)*Kalender!C26/SUM(Kalender!$C$5:$C$370),0)+IFERROR(SUMIF(Nutzungsprofile!$B$6:$B$11,"Halle",Nutzungsprofile!$G$6:$G$11)*Kalender!D26/SUM(Kalender!$D$5:$D$370),0)+IFERROR(SUMIF(Nutzungsprofile!$B$6:$B$11,"Individuell",Nutzungsprofile!$G$6:$G$11)*Kalender!E26/SUM(Kalender!$E$5:$E$370),0))*Szenarien!$E$15,0)</f>
        <v>2.94</v>
      </c>
      <c r="D1490" s="13" t="n">
        <f aca="false">IF(Szenarien!$H$15="OK",(IFERROR(SUMIF(Nutzungsprofile!$B$17:$B$22,"Schulbetrieb",Nutzungsprofile!$G$17:$G$22)*Kalender!C26/SUM(Kalender!$C$5:$C$370),0)+IFERROR(SUMIF(Nutzungsprofile!$B$17:$B$22,"Halle",Nutzungsprofile!$G$17:$G$22)*Kalender!D26/SUM(Kalender!$D$5:$D$370),0)+IFERROR(SUMIF(Nutzungsprofile!$B$17:$B$22,"Individuell",Nutzungsprofile!$G$17:$G$22)*Kalender!E26/SUM(Kalender!$E$5:$E$370),0))*Szenarien!$D$15,0)</f>
        <v>4.94</v>
      </c>
      <c r="E1490" s="13" t="n">
        <f aca="false">IFERROR(MIN(C1490,Eingaben!$B$17)*Eingaben!$B$16,0)</f>
        <v>2.793</v>
      </c>
      <c r="F1490" s="13" t="n">
        <f aca="false">IFERROR(E1490*Eingaben!$B$15,0)</f>
        <v>2.5137</v>
      </c>
      <c r="G1490" s="13" t="n">
        <f aca="false">IFERROR(IF(Kalender!A26="",0,J1489*(1-Eingaben!$B$20)),0)</f>
        <v>0.7390278</v>
      </c>
      <c r="H1490" s="13" t="n">
        <f aca="false">MIN(G1490,D1490)</f>
        <v>0.7390278</v>
      </c>
      <c r="I1490" s="13" t="n">
        <f aca="false">IFERROR(MIN(F1490*Eingaben!$B$19,MAX(0,D1490-H1490)),0)</f>
        <v>1.75959</v>
      </c>
      <c r="J1490" s="13" t="n">
        <f aca="false">IFERROR(MIN(Eingaben!$B$18,MAX(0,F1490-I1490)),0)</f>
        <v>0.75411</v>
      </c>
      <c r="K1490" s="13" t="n">
        <f aca="false">H1490+I1490</f>
        <v>2.4986178</v>
      </c>
      <c r="L1490" s="13" t="n">
        <f aca="false">MAX(0,D1490-K1490)</f>
        <v>2.4413822</v>
      </c>
      <c r="M1490" s="13" t="n">
        <f aca="false">MAX(0,F1490-I1490-J1490)</f>
        <v>0</v>
      </c>
      <c r="N1490" s="13" t="n">
        <f aca="false">IF(Kalender!A26="",0,J1489-H1490)</f>
        <v>0.0150822</v>
      </c>
    </row>
    <row r="1491" customFormat="false" ht="16.4" hidden="false" customHeight="false" outlineLevel="0" collapsed="false">
      <c r="A1491" s="13" t="str">
        <f aca="false">""</f>
        <v/>
      </c>
      <c r="B1491" s="13" t="n">
        <f aca="false">23</f>
        <v>23</v>
      </c>
      <c r="C1491" s="13" t="n">
        <f aca="false">IF(Szenarien!$H$15="OK",(IFERROR(SUMIF(Nutzungsprofile!$B$6:$B$11,"Schulbetrieb",Nutzungsprofile!$G$6:$G$11)*Kalender!C27/SUM(Kalender!$C$5:$C$370),0)+IFERROR(SUMIF(Nutzungsprofile!$B$6:$B$11,"Halle",Nutzungsprofile!$G$6:$G$11)*Kalender!D27/SUM(Kalender!$D$5:$D$370),0)+IFERROR(SUMIF(Nutzungsprofile!$B$6:$B$11,"Individuell",Nutzungsprofile!$G$6:$G$11)*Kalender!E27/SUM(Kalender!$E$5:$E$370),0))*Szenarien!$E$15,0)</f>
        <v>2.94</v>
      </c>
      <c r="D1491" s="13" t="n">
        <f aca="false">IF(Szenarien!$H$15="OK",(IFERROR(SUMIF(Nutzungsprofile!$B$17:$B$22,"Schulbetrieb",Nutzungsprofile!$G$17:$G$22)*Kalender!C27/SUM(Kalender!$C$5:$C$370),0)+IFERROR(SUMIF(Nutzungsprofile!$B$17:$B$22,"Halle",Nutzungsprofile!$G$17:$G$22)*Kalender!D27/SUM(Kalender!$D$5:$D$370),0)+IFERROR(SUMIF(Nutzungsprofile!$B$17:$B$22,"Individuell",Nutzungsprofile!$G$17:$G$22)*Kalender!E27/SUM(Kalender!$E$5:$E$370),0))*Szenarien!$D$15,0)</f>
        <v>4.94</v>
      </c>
      <c r="E1491" s="13" t="n">
        <f aca="false">IFERROR(MIN(C1491,Eingaben!$B$17)*Eingaben!$B$16,0)</f>
        <v>2.793</v>
      </c>
      <c r="F1491" s="13" t="n">
        <f aca="false">IFERROR(E1491*Eingaben!$B$15,0)</f>
        <v>2.5137</v>
      </c>
      <c r="G1491" s="13" t="n">
        <f aca="false">IFERROR(IF(Kalender!A27="",0,J1490*(1-Eingaben!$B$20)),0)</f>
        <v>0.7390278</v>
      </c>
      <c r="H1491" s="13" t="n">
        <f aca="false">MIN(G1491,D1491)</f>
        <v>0.7390278</v>
      </c>
      <c r="I1491" s="13" t="n">
        <f aca="false">IFERROR(MIN(F1491*Eingaben!$B$19,MAX(0,D1491-H1491)),0)</f>
        <v>1.75959</v>
      </c>
      <c r="J1491" s="13" t="n">
        <f aca="false">IFERROR(MIN(Eingaben!$B$18,MAX(0,F1491-I1491)),0)</f>
        <v>0.75411</v>
      </c>
      <c r="K1491" s="13" t="n">
        <f aca="false">H1491+I1491</f>
        <v>2.4986178</v>
      </c>
      <c r="L1491" s="13" t="n">
        <f aca="false">MAX(0,D1491-K1491)</f>
        <v>2.4413822</v>
      </c>
      <c r="M1491" s="13" t="n">
        <f aca="false">MAX(0,F1491-I1491-J1491)</f>
        <v>0</v>
      </c>
      <c r="N1491" s="13" t="n">
        <f aca="false">IF(Kalender!A27="",0,J1490-H1491)</f>
        <v>0.0150822</v>
      </c>
    </row>
    <row r="1492" customFormat="false" ht="16.4" hidden="false" customHeight="false" outlineLevel="0" collapsed="false">
      <c r="A1492" s="13" t="str">
        <f aca="false">""</f>
        <v/>
      </c>
      <c r="B1492" s="13" t="n">
        <f aca="false">24</f>
        <v>24</v>
      </c>
      <c r="C1492" s="13" t="n">
        <f aca="false">IF(Szenarien!$H$15="OK",(IFERROR(SUMIF(Nutzungsprofile!$B$6:$B$11,"Schulbetrieb",Nutzungsprofile!$G$6:$G$11)*Kalender!C28/SUM(Kalender!$C$5:$C$370),0)+IFERROR(SUMIF(Nutzungsprofile!$B$6:$B$11,"Halle",Nutzungsprofile!$G$6:$G$11)*Kalender!D28/SUM(Kalender!$D$5:$D$370),0)+IFERROR(SUMIF(Nutzungsprofile!$B$6:$B$11,"Individuell",Nutzungsprofile!$G$6:$G$11)*Kalender!E28/SUM(Kalender!$E$5:$E$370),0))*Szenarien!$E$15,0)</f>
        <v>2.04</v>
      </c>
      <c r="D1492" s="13" t="n">
        <f aca="false">IF(Szenarien!$H$15="OK",(IFERROR(SUMIF(Nutzungsprofile!$B$17:$B$22,"Schulbetrieb",Nutzungsprofile!$G$17:$G$22)*Kalender!C28/SUM(Kalender!$C$5:$C$370),0)+IFERROR(SUMIF(Nutzungsprofile!$B$17:$B$22,"Halle",Nutzungsprofile!$G$17:$G$22)*Kalender!D28/SUM(Kalender!$D$5:$D$370),0)+IFERROR(SUMIF(Nutzungsprofile!$B$17:$B$22,"Individuell",Nutzungsprofile!$G$17:$G$22)*Kalender!E28/SUM(Kalender!$E$5:$E$370),0))*Szenarien!$D$15,0)</f>
        <v>0.89</v>
      </c>
      <c r="E1492" s="13" t="n">
        <f aca="false">IFERROR(MIN(C1492,Eingaben!$B$17)*Eingaben!$B$16,0)</f>
        <v>1.938</v>
      </c>
      <c r="F1492" s="13" t="n">
        <f aca="false">IFERROR(E1492*Eingaben!$B$15,0)</f>
        <v>1.7442</v>
      </c>
      <c r="G1492" s="13" t="n">
        <f aca="false">IFERROR(IF(Kalender!A28="",0,J1491*(1-Eingaben!$B$20)),0)</f>
        <v>0.7390278</v>
      </c>
      <c r="H1492" s="13" t="n">
        <f aca="false">MIN(G1492,D1492)</f>
        <v>0.7390278</v>
      </c>
      <c r="I1492" s="13" t="n">
        <f aca="false">IFERROR(MIN(F1492*Eingaben!$B$19,MAX(0,D1492-H1492)),0)</f>
        <v>0.1509722</v>
      </c>
      <c r="J1492" s="13" t="n">
        <f aca="false">IFERROR(MIN(Eingaben!$B$18,MAX(0,F1492-I1492)),0)</f>
        <v>1.5932278</v>
      </c>
      <c r="K1492" s="13" t="n">
        <f aca="false">H1492+I1492</f>
        <v>0.89</v>
      </c>
      <c r="L1492" s="13" t="n">
        <f aca="false">MAX(0,D1492-K1492)</f>
        <v>0</v>
      </c>
      <c r="M1492" s="13" t="n">
        <f aca="false">MAX(0,F1492-I1492-J1492)</f>
        <v>0</v>
      </c>
      <c r="N1492" s="13" t="n">
        <f aca="false">IF(Kalender!A28="",0,J1491-H1492)</f>
        <v>0.0150822</v>
      </c>
    </row>
    <row r="1493" customFormat="false" ht="16.4" hidden="false" customHeight="false" outlineLevel="0" collapsed="false">
      <c r="A1493" s="13" t="str">
        <f aca="false">""</f>
        <v/>
      </c>
      <c r="B1493" s="13" t="n">
        <f aca="false">25</f>
        <v>25</v>
      </c>
      <c r="C1493" s="13" t="n">
        <f aca="false">IF(Szenarien!$H$15="OK",(IFERROR(SUMIF(Nutzungsprofile!$B$6:$B$11,"Schulbetrieb",Nutzungsprofile!$G$6:$G$11)*Kalender!C29/SUM(Kalender!$C$5:$C$370),0)+IFERROR(SUMIF(Nutzungsprofile!$B$6:$B$11,"Halle",Nutzungsprofile!$G$6:$G$11)*Kalender!D29/SUM(Kalender!$D$5:$D$370),0)+IFERROR(SUMIF(Nutzungsprofile!$B$6:$B$11,"Individuell",Nutzungsprofile!$G$6:$G$11)*Kalender!E29/SUM(Kalender!$E$5:$E$370),0))*Szenarien!$E$15,0)</f>
        <v>2.04</v>
      </c>
      <c r="D1493" s="13" t="n">
        <f aca="false">IF(Szenarien!$H$15="OK",(IFERROR(SUMIF(Nutzungsprofile!$B$17:$B$22,"Schulbetrieb",Nutzungsprofile!$G$17:$G$22)*Kalender!C29/SUM(Kalender!$C$5:$C$370),0)+IFERROR(SUMIF(Nutzungsprofile!$B$17:$B$22,"Halle",Nutzungsprofile!$G$17:$G$22)*Kalender!D29/SUM(Kalender!$D$5:$D$370),0)+IFERROR(SUMIF(Nutzungsprofile!$B$17:$B$22,"Individuell",Nutzungsprofile!$G$17:$G$22)*Kalender!E29/SUM(Kalender!$E$5:$E$370),0))*Szenarien!$D$15,0)</f>
        <v>0.89</v>
      </c>
      <c r="E1493" s="13" t="n">
        <f aca="false">IFERROR(MIN(C1493,Eingaben!$B$17)*Eingaben!$B$16,0)</f>
        <v>1.938</v>
      </c>
      <c r="F1493" s="13" t="n">
        <f aca="false">IFERROR(E1493*Eingaben!$B$15,0)</f>
        <v>1.7442</v>
      </c>
      <c r="G1493" s="13" t="n">
        <f aca="false">IFERROR(IF(Kalender!A29="",0,J1492*(1-Eingaben!$B$20)),0)</f>
        <v>1.561363244</v>
      </c>
      <c r="H1493" s="13" t="n">
        <f aca="false">MIN(G1493,D1493)</f>
        <v>0.89</v>
      </c>
      <c r="I1493" s="13" t="n">
        <f aca="false">IFERROR(MIN(F1493*Eingaben!$B$19,MAX(0,D1493-H1493)),0)</f>
        <v>0</v>
      </c>
      <c r="J1493" s="13" t="n">
        <f aca="false">IFERROR(MIN(Eingaben!$B$18,MAX(0,F1493-I1493)),0)</f>
        <v>1.7442</v>
      </c>
      <c r="K1493" s="13" t="n">
        <f aca="false">H1493+I1493</f>
        <v>0.89</v>
      </c>
      <c r="L1493" s="13" t="n">
        <f aca="false">MAX(0,D1493-K1493)</f>
        <v>0</v>
      </c>
      <c r="M1493" s="13" t="n">
        <f aca="false">MAX(0,F1493-I1493-J1493)</f>
        <v>0</v>
      </c>
      <c r="N1493" s="13" t="n">
        <f aca="false">IF(Kalender!A29="",0,J1492-H1493)</f>
        <v>0.7032278</v>
      </c>
    </row>
    <row r="1494" customFormat="false" ht="16.4" hidden="false" customHeight="false" outlineLevel="0" collapsed="false">
      <c r="A1494" s="13" t="str">
        <f aca="false">""</f>
        <v/>
      </c>
      <c r="B1494" s="13" t="n">
        <f aca="false">26</f>
        <v>26</v>
      </c>
      <c r="C1494" s="13" t="n">
        <f aca="false">IF(Szenarien!$H$15="OK",(IFERROR(SUMIF(Nutzungsprofile!$B$6:$B$11,"Schulbetrieb",Nutzungsprofile!$G$6:$G$11)*Kalender!C30/SUM(Kalender!$C$5:$C$370),0)+IFERROR(SUMIF(Nutzungsprofile!$B$6:$B$11,"Halle",Nutzungsprofile!$G$6:$G$11)*Kalender!D30/SUM(Kalender!$D$5:$D$370),0)+IFERROR(SUMIF(Nutzungsprofile!$B$6:$B$11,"Individuell",Nutzungsprofile!$G$6:$G$11)*Kalender!E30/SUM(Kalender!$E$5:$E$370),0))*Szenarien!$E$15,0)</f>
        <v>2.94</v>
      </c>
      <c r="D1494" s="13" t="n">
        <f aca="false">IF(Szenarien!$H$15="OK",(IFERROR(SUMIF(Nutzungsprofile!$B$17:$B$22,"Schulbetrieb",Nutzungsprofile!$G$17:$G$22)*Kalender!C30/SUM(Kalender!$C$5:$C$370),0)+IFERROR(SUMIF(Nutzungsprofile!$B$17:$B$22,"Halle",Nutzungsprofile!$G$17:$G$22)*Kalender!D30/SUM(Kalender!$D$5:$D$370),0)+IFERROR(SUMIF(Nutzungsprofile!$B$17:$B$22,"Individuell",Nutzungsprofile!$G$17:$G$22)*Kalender!E30/SUM(Kalender!$E$5:$E$370),0))*Szenarien!$D$15,0)</f>
        <v>4.94</v>
      </c>
      <c r="E1494" s="13" t="n">
        <f aca="false">IFERROR(MIN(C1494,Eingaben!$B$17)*Eingaben!$B$16,0)</f>
        <v>2.793</v>
      </c>
      <c r="F1494" s="13" t="n">
        <f aca="false">IFERROR(E1494*Eingaben!$B$15,0)</f>
        <v>2.5137</v>
      </c>
      <c r="G1494" s="13" t="n">
        <f aca="false">IFERROR(IF(Kalender!A30="",0,J1493*(1-Eingaben!$B$20)),0)</f>
        <v>1.709316</v>
      </c>
      <c r="H1494" s="13" t="n">
        <f aca="false">MIN(G1494,D1494)</f>
        <v>1.709316</v>
      </c>
      <c r="I1494" s="13" t="n">
        <f aca="false">IFERROR(MIN(F1494*Eingaben!$B$19,MAX(0,D1494-H1494)),0)</f>
        <v>1.75959</v>
      </c>
      <c r="J1494" s="13" t="n">
        <f aca="false">IFERROR(MIN(Eingaben!$B$18,MAX(0,F1494-I1494)),0)</f>
        <v>0.75411</v>
      </c>
      <c r="K1494" s="13" t="n">
        <f aca="false">H1494+I1494</f>
        <v>3.468906</v>
      </c>
      <c r="L1494" s="13" t="n">
        <f aca="false">MAX(0,D1494-K1494)</f>
        <v>1.471094</v>
      </c>
      <c r="M1494" s="13" t="n">
        <f aca="false">MAX(0,F1494-I1494-J1494)</f>
        <v>0</v>
      </c>
      <c r="N1494" s="13" t="n">
        <f aca="false">IF(Kalender!A30="",0,J1493-H1494)</f>
        <v>0.0348840000000001</v>
      </c>
    </row>
    <row r="1495" customFormat="false" ht="16.4" hidden="false" customHeight="false" outlineLevel="0" collapsed="false">
      <c r="A1495" s="13" t="str">
        <f aca="false">""</f>
        <v/>
      </c>
      <c r="B1495" s="13" t="n">
        <f aca="false">27</f>
        <v>27</v>
      </c>
      <c r="C1495" s="13" t="n">
        <f aca="false">IF(Szenarien!$H$15="OK",(IFERROR(SUMIF(Nutzungsprofile!$B$6:$B$11,"Schulbetrieb",Nutzungsprofile!$G$6:$G$11)*Kalender!C31/SUM(Kalender!$C$5:$C$370),0)+IFERROR(SUMIF(Nutzungsprofile!$B$6:$B$11,"Halle",Nutzungsprofile!$G$6:$G$11)*Kalender!D31/SUM(Kalender!$D$5:$D$370),0)+IFERROR(SUMIF(Nutzungsprofile!$B$6:$B$11,"Individuell",Nutzungsprofile!$G$6:$G$11)*Kalender!E31/SUM(Kalender!$E$5:$E$370),0))*Szenarien!$E$15,0)</f>
        <v>2.94</v>
      </c>
      <c r="D1495" s="13" t="n">
        <f aca="false">IF(Szenarien!$H$15="OK",(IFERROR(SUMIF(Nutzungsprofile!$B$17:$B$22,"Schulbetrieb",Nutzungsprofile!$G$17:$G$22)*Kalender!C31/SUM(Kalender!$C$5:$C$370),0)+IFERROR(SUMIF(Nutzungsprofile!$B$17:$B$22,"Halle",Nutzungsprofile!$G$17:$G$22)*Kalender!D31/SUM(Kalender!$D$5:$D$370),0)+IFERROR(SUMIF(Nutzungsprofile!$B$17:$B$22,"Individuell",Nutzungsprofile!$G$17:$G$22)*Kalender!E31/SUM(Kalender!$E$5:$E$370),0))*Szenarien!$D$15,0)</f>
        <v>4.94</v>
      </c>
      <c r="E1495" s="13" t="n">
        <f aca="false">IFERROR(MIN(C1495,Eingaben!$B$17)*Eingaben!$B$16,0)</f>
        <v>2.793</v>
      </c>
      <c r="F1495" s="13" t="n">
        <f aca="false">IFERROR(E1495*Eingaben!$B$15,0)</f>
        <v>2.5137</v>
      </c>
      <c r="G1495" s="13" t="n">
        <f aca="false">IFERROR(IF(Kalender!A31="",0,J1494*(1-Eingaben!$B$20)),0)</f>
        <v>0.7390278</v>
      </c>
      <c r="H1495" s="13" t="n">
        <f aca="false">MIN(G1495,D1495)</f>
        <v>0.7390278</v>
      </c>
      <c r="I1495" s="13" t="n">
        <f aca="false">IFERROR(MIN(F1495*Eingaben!$B$19,MAX(0,D1495-H1495)),0)</f>
        <v>1.75959</v>
      </c>
      <c r="J1495" s="13" t="n">
        <f aca="false">IFERROR(MIN(Eingaben!$B$18,MAX(0,F1495-I1495)),0)</f>
        <v>0.75411</v>
      </c>
      <c r="K1495" s="13" t="n">
        <f aca="false">H1495+I1495</f>
        <v>2.4986178</v>
      </c>
      <c r="L1495" s="13" t="n">
        <f aca="false">MAX(0,D1495-K1495)</f>
        <v>2.4413822</v>
      </c>
      <c r="M1495" s="13" t="n">
        <f aca="false">MAX(0,F1495-I1495-J1495)</f>
        <v>0</v>
      </c>
      <c r="N1495" s="13" t="n">
        <f aca="false">IF(Kalender!A31="",0,J1494-H1495)</f>
        <v>0.0150822</v>
      </c>
    </row>
    <row r="1496" customFormat="false" ht="16.4" hidden="false" customHeight="false" outlineLevel="0" collapsed="false">
      <c r="A1496" s="13" t="str">
        <f aca="false">""</f>
        <v/>
      </c>
      <c r="B1496" s="13" t="n">
        <f aca="false">28</f>
        <v>28</v>
      </c>
      <c r="C1496" s="13" t="n">
        <f aca="false">IF(Szenarien!$H$15="OK",(IFERROR(SUMIF(Nutzungsprofile!$B$6:$B$11,"Schulbetrieb",Nutzungsprofile!$G$6:$G$11)*Kalender!C32/SUM(Kalender!$C$5:$C$370),0)+IFERROR(SUMIF(Nutzungsprofile!$B$6:$B$11,"Halle",Nutzungsprofile!$G$6:$G$11)*Kalender!D32/SUM(Kalender!$D$5:$D$370),0)+IFERROR(SUMIF(Nutzungsprofile!$B$6:$B$11,"Individuell",Nutzungsprofile!$G$6:$G$11)*Kalender!E32/SUM(Kalender!$E$5:$E$370),0))*Szenarien!$E$15,0)</f>
        <v>2.94</v>
      </c>
      <c r="D1496" s="13" t="n">
        <f aca="false">IF(Szenarien!$H$15="OK",(IFERROR(SUMIF(Nutzungsprofile!$B$17:$B$22,"Schulbetrieb",Nutzungsprofile!$G$17:$G$22)*Kalender!C32/SUM(Kalender!$C$5:$C$370),0)+IFERROR(SUMIF(Nutzungsprofile!$B$17:$B$22,"Halle",Nutzungsprofile!$G$17:$G$22)*Kalender!D32/SUM(Kalender!$D$5:$D$370),0)+IFERROR(SUMIF(Nutzungsprofile!$B$17:$B$22,"Individuell",Nutzungsprofile!$G$17:$G$22)*Kalender!E32/SUM(Kalender!$E$5:$E$370),0))*Szenarien!$D$15,0)</f>
        <v>4.94</v>
      </c>
      <c r="E1496" s="13" t="n">
        <f aca="false">IFERROR(MIN(C1496,Eingaben!$B$17)*Eingaben!$B$16,0)</f>
        <v>2.793</v>
      </c>
      <c r="F1496" s="13" t="n">
        <f aca="false">IFERROR(E1496*Eingaben!$B$15,0)</f>
        <v>2.5137</v>
      </c>
      <c r="G1496" s="13" t="n">
        <f aca="false">IFERROR(IF(Kalender!A32="",0,J1495*(1-Eingaben!$B$20)),0)</f>
        <v>0.7390278</v>
      </c>
      <c r="H1496" s="13" t="n">
        <f aca="false">MIN(G1496,D1496)</f>
        <v>0.7390278</v>
      </c>
      <c r="I1496" s="13" t="n">
        <f aca="false">IFERROR(MIN(F1496*Eingaben!$B$19,MAX(0,D1496-H1496)),0)</f>
        <v>1.75959</v>
      </c>
      <c r="J1496" s="13" t="n">
        <f aca="false">IFERROR(MIN(Eingaben!$B$18,MAX(0,F1496-I1496)),0)</f>
        <v>0.75411</v>
      </c>
      <c r="K1496" s="13" t="n">
        <f aca="false">H1496+I1496</f>
        <v>2.4986178</v>
      </c>
      <c r="L1496" s="13" t="n">
        <f aca="false">MAX(0,D1496-K1496)</f>
        <v>2.4413822</v>
      </c>
      <c r="M1496" s="13" t="n">
        <f aca="false">MAX(0,F1496-I1496-J1496)</f>
        <v>0</v>
      </c>
      <c r="N1496" s="13" t="n">
        <f aca="false">IF(Kalender!A32="",0,J1495-H1496)</f>
        <v>0.0150822</v>
      </c>
    </row>
    <row r="1497" customFormat="false" ht="16.4" hidden="false" customHeight="false" outlineLevel="0" collapsed="false">
      <c r="A1497" s="13" t="str">
        <f aca="false">""</f>
        <v/>
      </c>
      <c r="B1497" s="13" t="n">
        <f aca="false">29</f>
        <v>29</v>
      </c>
      <c r="C1497" s="13" t="n">
        <f aca="false">IF(Szenarien!$H$15="OK",(IFERROR(SUMIF(Nutzungsprofile!$B$6:$B$11,"Schulbetrieb",Nutzungsprofile!$G$6:$G$11)*Kalender!C33/SUM(Kalender!$C$5:$C$370),0)+IFERROR(SUMIF(Nutzungsprofile!$B$6:$B$11,"Halle",Nutzungsprofile!$G$6:$G$11)*Kalender!D33/SUM(Kalender!$D$5:$D$370),0)+IFERROR(SUMIF(Nutzungsprofile!$B$6:$B$11,"Individuell",Nutzungsprofile!$G$6:$G$11)*Kalender!E33/SUM(Kalender!$E$5:$E$370),0))*Szenarien!$E$15,0)</f>
        <v>2.94</v>
      </c>
      <c r="D1497" s="13" t="n">
        <f aca="false">IF(Szenarien!$H$15="OK",(IFERROR(SUMIF(Nutzungsprofile!$B$17:$B$22,"Schulbetrieb",Nutzungsprofile!$G$17:$G$22)*Kalender!C33/SUM(Kalender!$C$5:$C$370),0)+IFERROR(SUMIF(Nutzungsprofile!$B$17:$B$22,"Halle",Nutzungsprofile!$G$17:$G$22)*Kalender!D33/SUM(Kalender!$D$5:$D$370),0)+IFERROR(SUMIF(Nutzungsprofile!$B$17:$B$22,"Individuell",Nutzungsprofile!$G$17:$G$22)*Kalender!E33/SUM(Kalender!$E$5:$E$370),0))*Szenarien!$D$15,0)</f>
        <v>4.94</v>
      </c>
      <c r="E1497" s="13" t="n">
        <f aca="false">IFERROR(MIN(C1497,Eingaben!$B$17)*Eingaben!$B$16,0)</f>
        <v>2.793</v>
      </c>
      <c r="F1497" s="13" t="n">
        <f aca="false">IFERROR(E1497*Eingaben!$B$15,0)</f>
        <v>2.5137</v>
      </c>
      <c r="G1497" s="13" t="n">
        <f aca="false">IFERROR(IF(Kalender!A33="",0,J1496*(1-Eingaben!$B$20)),0)</f>
        <v>0.7390278</v>
      </c>
      <c r="H1497" s="13" t="n">
        <f aca="false">MIN(G1497,D1497)</f>
        <v>0.7390278</v>
      </c>
      <c r="I1497" s="13" t="n">
        <f aca="false">IFERROR(MIN(F1497*Eingaben!$B$19,MAX(0,D1497-H1497)),0)</f>
        <v>1.75959</v>
      </c>
      <c r="J1497" s="13" t="n">
        <f aca="false">IFERROR(MIN(Eingaben!$B$18,MAX(0,F1497-I1497)),0)</f>
        <v>0.75411</v>
      </c>
      <c r="K1497" s="13" t="n">
        <f aca="false">H1497+I1497</f>
        <v>2.4986178</v>
      </c>
      <c r="L1497" s="13" t="n">
        <f aca="false">MAX(0,D1497-K1497)</f>
        <v>2.4413822</v>
      </c>
      <c r="M1497" s="13" t="n">
        <f aca="false">MAX(0,F1497-I1497-J1497)</f>
        <v>0</v>
      </c>
      <c r="N1497" s="13" t="n">
        <f aca="false">IF(Kalender!A33="",0,J1496-H1497)</f>
        <v>0.0150822</v>
      </c>
    </row>
    <row r="1498" customFormat="false" ht="16.4" hidden="false" customHeight="false" outlineLevel="0" collapsed="false">
      <c r="A1498" s="13" t="str">
        <f aca="false">""</f>
        <v/>
      </c>
      <c r="B1498" s="13" t="n">
        <f aca="false">30</f>
        <v>30</v>
      </c>
      <c r="C1498" s="13" t="n">
        <f aca="false">IF(Szenarien!$H$15="OK",(IFERROR(SUMIF(Nutzungsprofile!$B$6:$B$11,"Schulbetrieb",Nutzungsprofile!$G$6:$G$11)*Kalender!C34/SUM(Kalender!$C$5:$C$370),0)+IFERROR(SUMIF(Nutzungsprofile!$B$6:$B$11,"Halle",Nutzungsprofile!$G$6:$G$11)*Kalender!D34/SUM(Kalender!$D$5:$D$370),0)+IFERROR(SUMIF(Nutzungsprofile!$B$6:$B$11,"Individuell",Nutzungsprofile!$G$6:$G$11)*Kalender!E34/SUM(Kalender!$E$5:$E$370),0))*Szenarien!$E$15,0)</f>
        <v>2.94</v>
      </c>
      <c r="D1498" s="13" t="n">
        <f aca="false">IF(Szenarien!$H$15="OK",(IFERROR(SUMIF(Nutzungsprofile!$B$17:$B$22,"Schulbetrieb",Nutzungsprofile!$G$17:$G$22)*Kalender!C34/SUM(Kalender!$C$5:$C$370),0)+IFERROR(SUMIF(Nutzungsprofile!$B$17:$B$22,"Halle",Nutzungsprofile!$G$17:$G$22)*Kalender!D34/SUM(Kalender!$D$5:$D$370),0)+IFERROR(SUMIF(Nutzungsprofile!$B$17:$B$22,"Individuell",Nutzungsprofile!$G$17:$G$22)*Kalender!E34/SUM(Kalender!$E$5:$E$370),0))*Szenarien!$D$15,0)</f>
        <v>4.94</v>
      </c>
      <c r="E1498" s="13" t="n">
        <f aca="false">IFERROR(MIN(C1498,Eingaben!$B$17)*Eingaben!$B$16,0)</f>
        <v>2.793</v>
      </c>
      <c r="F1498" s="13" t="n">
        <f aca="false">IFERROR(E1498*Eingaben!$B$15,0)</f>
        <v>2.5137</v>
      </c>
      <c r="G1498" s="13" t="n">
        <f aca="false">IFERROR(IF(Kalender!A34="",0,J1497*(1-Eingaben!$B$20)),0)</f>
        <v>0.7390278</v>
      </c>
      <c r="H1498" s="13" t="n">
        <f aca="false">MIN(G1498,D1498)</f>
        <v>0.7390278</v>
      </c>
      <c r="I1498" s="13" t="n">
        <f aca="false">IFERROR(MIN(F1498*Eingaben!$B$19,MAX(0,D1498-H1498)),0)</f>
        <v>1.75959</v>
      </c>
      <c r="J1498" s="13" t="n">
        <f aca="false">IFERROR(MIN(Eingaben!$B$18,MAX(0,F1498-I1498)),0)</f>
        <v>0.75411</v>
      </c>
      <c r="K1498" s="13" t="n">
        <f aca="false">H1498+I1498</f>
        <v>2.4986178</v>
      </c>
      <c r="L1498" s="13" t="n">
        <f aca="false">MAX(0,D1498-K1498)</f>
        <v>2.4413822</v>
      </c>
      <c r="M1498" s="13" t="n">
        <f aca="false">MAX(0,F1498-I1498-J1498)</f>
        <v>0</v>
      </c>
      <c r="N1498" s="13" t="n">
        <f aca="false">IF(Kalender!A34="",0,J1497-H1498)</f>
        <v>0.0150822</v>
      </c>
    </row>
    <row r="1499" customFormat="false" ht="16.4" hidden="false" customHeight="false" outlineLevel="0" collapsed="false">
      <c r="A1499" s="13" t="str">
        <f aca="false">""</f>
        <v/>
      </c>
      <c r="B1499" s="13" t="n">
        <f aca="false">31</f>
        <v>31</v>
      </c>
      <c r="C1499" s="13" t="n">
        <f aca="false">IF(Szenarien!$H$15="OK",(IFERROR(SUMIF(Nutzungsprofile!$B$6:$B$11,"Schulbetrieb",Nutzungsprofile!$G$6:$G$11)*Kalender!C35/SUM(Kalender!$C$5:$C$370),0)+IFERROR(SUMIF(Nutzungsprofile!$B$6:$B$11,"Halle",Nutzungsprofile!$G$6:$G$11)*Kalender!D35/SUM(Kalender!$D$5:$D$370),0)+IFERROR(SUMIF(Nutzungsprofile!$B$6:$B$11,"Individuell",Nutzungsprofile!$G$6:$G$11)*Kalender!E35/SUM(Kalender!$E$5:$E$370),0))*Szenarien!$E$15,0)</f>
        <v>2.04</v>
      </c>
      <c r="D1499" s="13" t="n">
        <f aca="false">IF(Szenarien!$H$15="OK",(IFERROR(SUMIF(Nutzungsprofile!$B$17:$B$22,"Schulbetrieb",Nutzungsprofile!$G$17:$G$22)*Kalender!C35/SUM(Kalender!$C$5:$C$370),0)+IFERROR(SUMIF(Nutzungsprofile!$B$17:$B$22,"Halle",Nutzungsprofile!$G$17:$G$22)*Kalender!D35/SUM(Kalender!$D$5:$D$370),0)+IFERROR(SUMIF(Nutzungsprofile!$B$17:$B$22,"Individuell",Nutzungsprofile!$G$17:$G$22)*Kalender!E35/SUM(Kalender!$E$5:$E$370),0))*Szenarien!$D$15,0)</f>
        <v>0.89</v>
      </c>
      <c r="E1499" s="13" t="n">
        <f aca="false">IFERROR(MIN(C1499,Eingaben!$B$17)*Eingaben!$B$16,0)</f>
        <v>1.938</v>
      </c>
      <c r="F1499" s="13" t="n">
        <f aca="false">IFERROR(E1499*Eingaben!$B$15,0)</f>
        <v>1.7442</v>
      </c>
      <c r="G1499" s="13" t="n">
        <f aca="false">IFERROR(IF(Kalender!A35="",0,J1498*(1-Eingaben!$B$20)),0)</f>
        <v>0.7390278</v>
      </c>
      <c r="H1499" s="13" t="n">
        <f aca="false">MIN(G1499,D1499)</f>
        <v>0.7390278</v>
      </c>
      <c r="I1499" s="13" t="n">
        <f aca="false">IFERROR(MIN(F1499*Eingaben!$B$19,MAX(0,D1499-H1499)),0)</f>
        <v>0.1509722</v>
      </c>
      <c r="J1499" s="13" t="n">
        <f aca="false">IFERROR(MIN(Eingaben!$B$18,MAX(0,F1499-I1499)),0)</f>
        <v>1.5932278</v>
      </c>
      <c r="K1499" s="13" t="n">
        <f aca="false">H1499+I1499</f>
        <v>0.89</v>
      </c>
      <c r="L1499" s="13" t="n">
        <f aca="false">MAX(0,D1499-K1499)</f>
        <v>0</v>
      </c>
      <c r="M1499" s="13" t="n">
        <f aca="false">MAX(0,F1499-I1499-J1499)</f>
        <v>0</v>
      </c>
      <c r="N1499" s="13" t="n">
        <f aca="false">IF(Kalender!A35="",0,J1498-H1499)</f>
        <v>0.0150822</v>
      </c>
    </row>
    <row r="1500" customFormat="false" ht="16.4" hidden="false" customHeight="false" outlineLevel="0" collapsed="false">
      <c r="A1500" s="13" t="str">
        <f aca="false">""</f>
        <v/>
      </c>
      <c r="B1500" s="13" t="n">
        <f aca="false">32</f>
        <v>32</v>
      </c>
      <c r="C1500" s="13" t="n">
        <f aca="false">IF(Szenarien!$H$15="OK",(IFERROR(SUMIF(Nutzungsprofile!$B$6:$B$11,"Schulbetrieb",Nutzungsprofile!$G$6:$G$11)*Kalender!C36/SUM(Kalender!$C$5:$C$370),0)+IFERROR(SUMIF(Nutzungsprofile!$B$6:$B$11,"Halle",Nutzungsprofile!$G$6:$G$11)*Kalender!D36/SUM(Kalender!$D$5:$D$370),0)+IFERROR(SUMIF(Nutzungsprofile!$B$6:$B$11,"Individuell",Nutzungsprofile!$G$6:$G$11)*Kalender!E36/SUM(Kalender!$E$5:$E$370),0))*Szenarien!$E$15,0)</f>
        <v>2.04</v>
      </c>
      <c r="D1500" s="13" t="n">
        <f aca="false">IF(Szenarien!$H$15="OK",(IFERROR(SUMIF(Nutzungsprofile!$B$17:$B$22,"Schulbetrieb",Nutzungsprofile!$G$17:$G$22)*Kalender!C36/SUM(Kalender!$C$5:$C$370),0)+IFERROR(SUMIF(Nutzungsprofile!$B$17:$B$22,"Halle",Nutzungsprofile!$G$17:$G$22)*Kalender!D36/SUM(Kalender!$D$5:$D$370),0)+IFERROR(SUMIF(Nutzungsprofile!$B$17:$B$22,"Individuell",Nutzungsprofile!$G$17:$G$22)*Kalender!E36/SUM(Kalender!$E$5:$E$370),0))*Szenarien!$D$15,0)</f>
        <v>0.89</v>
      </c>
      <c r="E1500" s="13" t="n">
        <f aca="false">IFERROR(MIN(C1500,Eingaben!$B$17)*Eingaben!$B$16,0)</f>
        <v>1.938</v>
      </c>
      <c r="F1500" s="13" t="n">
        <f aca="false">IFERROR(E1500*Eingaben!$B$15,0)</f>
        <v>1.7442</v>
      </c>
      <c r="G1500" s="13" t="n">
        <f aca="false">IFERROR(IF(Kalender!A36="",0,J1499*(1-Eingaben!$B$20)),0)</f>
        <v>1.561363244</v>
      </c>
      <c r="H1500" s="13" t="n">
        <f aca="false">MIN(G1500,D1500)</f>
        <v>0.89</v>
      </c>
      <c r="I1500" s="13" t="n">
        <f aca="false">IFERROR(MIN(F1500*Eingaben!$B$19,MAX(0,D1500-H1500)),0)</f>
        <v>0</v>
      </c>
      <c r="J1500" s="13" t="n">
        <f aca="false">IFERROR(MIN(Eingaben!$B$18,MAX(0,F1500-I1500)),0)</f>
        <v>1.7442</v>
      </c>
      <c r="K1500" s="13" t="n">
        <f aca="false">H1500+I1500</f>
        <v>0.89</v>
      </c>
      <c r="L1500" s="13" t="n">
        <f aca="false">MAX(0,D1500-K1500)</f>
        <v>0</v>
      </c>
      <c r="M1500" s="13" t="n">
        <f aca="false">MAX(0,F1500-I1500-J1500)</f>
        <v>0</v>
      </c>
      <c r="N1500" s="13" t="n">
        <f aca="false">IF(Kalender!A36="",0,J1499-H1500)</f>
        <v>0.7032278</v>
      </c>
    </row>
    <row r="1501" customFormat="false" ht="16.4" hidden="false" customHeight="false" outlineLevel="0" collapsed="false">
      <c r="A1501" s="13" t="str">
        <f aca="false">""</f>
        <v/>
      </c>
      <c r="B1501" s="13" t="n">
        <f aca="false">33</f>
        <v>33</v>
      </c>
      <c r="C1501" s="13" t="n">
        <f aca="false">IF(Szenarien!$H$15="OK",(IFERROR(SUMIF(Nutzungsprofile!$B$6:$B$11,"Schulbetrieb",Nutzungsprofile!$G$6:$G$11)*Kalender!C37/SUM(Kalender!$C$5:$C$370),0)+IFERROR(SUMIF(Nutzungsprofile!$B$6:$B$11,"Halle",Nutzungsprofile!$G$6:$G$11)*Kalender!D37/SUM(Kalender!$D$5:$D$370),0)+IFERROR(SUMIF(Nutzungsprofile!$B$6:$B$11,"Individuell",Nutzungsprofile!$G$6:$G$11)*Kalender!E37/SUM(Kalender!$E$5:$E$370),0))*Szenarien!$E$15,0)</f>
        <v>2.94</v>
      </c>
      <c r="D1501" s="13" t="n">
        <f aca="false">IF(Szenarien!$H$15="OK",(IFERROR(SUMIF(Nutzungsprofile!$B$17:$B$22,"Schulbetrieb",Nutzungsprofile!$G$17:$G$22)*Kalender!C37/SUM(Kalender!$C$5:$C$370),0)+IFERROR(SUMIF(Nutzungsprofile!$B$17:$B$22,"Halle",Nutzungsprofile!$G$17:$G$22)*Kalender!D37/SUM(Kalender!$D$5:$D$370),0)+IFERROR(SUMIF(Nutzungsprofile!$B$17:$B$22,"Individuell",Nutzungsprofile!$G$17:$G$22)*Kalender!E37/SUM(Kalender!$E$5:$E$370),0))*Szenarien!$D$15,0)</f>
        <v>4.94</v>
      </c>
      <c r="E1501" s="13" t="n">
        <f aca="false">IFERROR(MIN(C1501,Eingaben!$B$17)*Eingaben!$B$16,0)</f>
        <v>2.793</v>
      </c>
      <c r="F1501" s="13" t="n">
        <f aca="false">IFERROR(E1501*Eingaben!$B$15,0)</f>
        <v>2.5137</v>
      </c>
      <c r="G1501" s="13" t="n">
        <f aca="false">IFERROR(IF(Kalender!A37="",0,J1500*(1-Eingaben!$B$20)),0)</f>
        <v>1.709316</v>
      </c>
      <c r="H1501" s="13" t="n">
        <f aca="false">MIN(G1501,D1501)</f>
        <v>1.709316</v>
      </c>
      <c r="I1501" s="13" t="n">
        <f aca="false">IFERROR(MIN(F1501*Eingaben!$B$19,MAX(0,D1501-H1501)),0)</f>
        <v>1.75959</v>
      </c>
      <c r="J1501" s="13" t="n">
        <f aca="false">IFERROR(MIN(Eingaben!$B$18,MAX(0,F1501-I1501)),0)</f>
        <v>0.75411</v>
      </c>
      <c r="K1501" s="13" t="n">
        <f aca="false">H1501+I1501</f>
        <v>3.468906</v>
      </c>
      <c r="L1501" s="13" t="n">
        <f aca="false">MAX(0,D1501-K1501)</f>
        <v>1.471094</v>
      </c>
      <c r="M1501" s="13" t="n">
        <f aca="false">MAX(0,F1501-I1501-J1501)</f>
        <v>0</v>
      </c>
      <c r="N1501" s="13" t="n">
        <f aca="false">IF(Kalender!A37="",0,J1500-H1501)</f>
        <v>0.0348840000000001</v>
      </c>
    </row>
    <row r="1502" customFormat="false" ht="16.4" hidden="false" customHeight="false" outlineLevel="0" collapsed="false">
      <c r="A1502" s="13" t="str">
        <f aca="false">""</f>
        <v/>
      </c>
      <c r="B1502" s="13" t="n">
        <f aca="false">34</f>
        <v>34</v>
      </c>
      <c r="C1502" s="13" t="n">
        <f aca="false">IF(Szenarien!$H$15="OK",(IFERROR(SUMIF(Nutzungsprofile!$B$6:$B$11,"Schulbetrieb",Nutzungsprofile!$G$6:$G$11)*Kalender!C38/SUM(Kalender!$C$5:$C$370),0)+IFERROR(SUMIF(Nutzungsprofile!$B$6:$B$11,"Halle",Nutzungsprofile!$G$6:$G$11)*Kalender!D38/SUM(Kalender!$D$5:$D$370),0)+IFERROR(SUMIF(Nutzungsprofile!$B$6:$B$11,"Individuell",Nutzungsprofile!$G$6:$G$11)*Kalender!E38/SUM(Kalender!$E$5:$E$370),0))*Szenarien!$E$15,0)</f>
        <v>2.94</v>
      </c>
      <c r="D1502" s="13" t="n">
        <f aca="false">IF(Szenarien!$H$15="OK",(IFERROR(SUMIF(Nutzungsprofile!$B$17:$B$22,"Schulbetrieb",Nutzungsprofile!$G$17:$G$22)*Kalender!C38/SUM(Kalender!$C$5:$C$370),0)+IFERROR(SUMIF(Nutzungsprofile!$B$17:$B$22,"Halle",Nutzungsprofile!$G$17:$G$22)*Kalender!D38/SUM(Kalender!$D$5:$D$370),0)+IFERROR(SUMIF(Nutzungsprofile!$B$17:$B$22,"Individuell",Nutzungsprofile!$G$17:$G$22)*Kalender!E38/SUM(Kalender!$E$5:$E$370),0))*Szenarien!$D$15,0)</f>
        <v>4.94</v>
      </c>
      <c r="E1502" s="13" t="n">
        <f aca="false">IFERROR(MIN(C1502,Eingaben!$B$17)*Eingaben!$B$16,0)</f>
        <v>2.793</v>
      </c>
      <c r="F1502" s="13" t="n">
        <f aca="false">IFERROR(E1502*Eingaben!$B$15,0)</f>
        <v>2.5137</v>
      </c>
      <c r="G1502" s="13" t="n">
        <f aca="false">IFERROR(IF(Kalender!A38="",0,J1501*(1-Eingaben!$B$20)),0)</f>
        <v>0.7390278</v>
      </c>
      <c r="H1502" s="13" t="n">
        <f aca="false">MIN(G1502,D1502)</f>
        <v>0.7390278</v>
      </c>
      <c r="I1502" s="13" t="n">
        <f aca="false">IFERROR(MIN(F1502*Eingaben!$B$19,MAX(0,D1502-H1502)),0)</f>
        <v>1.75959</v>
      </c>
      <c r="J1502" s="13" t="n">
        <f aca="false">IFERROR(MIN(Eingaben!$B$18,MAX(0,F1502-I1502)),0)</f>
        <v>0.75411</v>
      </c>
      <c r="K1502" s="13" t="n">
        <f aca="false">H1502+I1502</f>
        <v>2.4986178</v>
      </c>
      <c r="L1502" s="13" t="n">
        <f aca="false">MAX(0,D1502-K1502)</f>
        <v>2.4413822</v>
      </c>
      <c r="M1502" s="13" t="n">
        <f aca="false">MAX(0,F1502-I1502-J1502)</f>
        <v>0</v>
      </c>
      <c r="N1502" s="13" t="n">
        <f aca="false">IF(Kalender!A38="",0,J1501-H1502)</f>
        <v>0.0150822</v>
      </c>
    </row>
    <row r="1503" customFormat="false" ht="16.4" hidden="false" customHeight="false" outlineLevel="0" collapsed="false">
      <c r="A1503" s="13" t="str">
        <f aca="false">""</f>
        <v/>
      </c>
      <c r="B1503" s="13" t="n">
        <f aca="false">35</f>
        <v>35</v>
      </c>
      <c r="C1503" s="13" t="n">
        <f aca="false">IF(Szenarien!$H$15="OK",(IFERROR(SUMIF(Nutzungsprofile!$B$6:$B$11,"Schulbetrieb",Nutzungsprofile!$G$6:$G$11)*Kalender!C39/SUM(Kalender!$C$5:$C$370),0)+IFERROR(SUMIF(Nutzungsprofile!$B$6:$B$11,"Halle",Nutzungsprofile!$G$6:$G$11)*Kalender!D39/SUM(Kalender!$D$5:$D$370),0)+IFERROR(SUMIF(Nutzungsprofile!$B$6:$B$11,"Individuell",Nutzungsprofile!$G$6:$G$11)*Kalender!E39/SUM(Kalender!$E$5:$E$370),0))*Szenarien!$E$15,0)</f>
        <v>2.94</v>
      </c>
      <c r="D1503" s="13" t="n">
        <f aca="false">IF(Szenarien!$H$15="OK",(IFERROR(SUMIF(Nutzungsprofile!$B$17:$B$22,"Schulbetrieb",Nutzungsprofile!$G$17:$G$22)*Kalender!C39/SUM(Kalender!$C$5:$C$370),0)+IFERROR(SUMIF(Nutzungsprofile!$B$17:$B$22,"Halle",Nutzungsprofile!$G$17:$G$22)*Kalender!D39/SUM(Kalender!$D$5:$D$370),0)+IFERROR(SUMIF(Nutzungsprofile!$B$17:$B$22,"Individuell",Nutzungsprofile!$G$17:$G$22)*Kalender!E39/SUM(Kalender!$E$5:$E$370),0))*Szenarien!$D$15,0)</f>
        <v>4.94</v>
      </c>
      <c r="E1503" s="13" t="n">
        <f aca="false">IFERROR(MIN(C1503,Eingaben!$B$17)*Eingaben!$B$16,0)</f>
        <v>2.793</v>
      </c>
      <c r="F1503" s="13" t="n">
        <f aca="false">IFERROR(E1503*Eingaben!$B$15,0)</f>
        <v>2.5137</v>
      </c>
      <c r="G1503" s="13" t="n">
        <f aca="false">IFERROR(IF(Kalender!A39="",0,J1502*(1-Eingaben!$B$20)),0)</f>
        <v>0.7390278</v>
      </c>
      <c r="H1503" s="13" t="n">
        <f aca="false">MIN(G1503,D1503)</f>
        <v>0.7390278</v>
      </c>
      <c r="I1503" s="13" t="n">
        <f aca="false">IFERROR(MIN(F1503*Eingaben!$B$19,MAX(0,D1503-H1503)),0)</f>
        <v>1.75959</v>
      </c>
      <c r="J1503" s="13" t="n">
        <f aca="false">IFERROR(MIN(Eingaben!$B$18,MAX(0,F1503-I1503)),0)</f>
        <v>0.75411</v>
      </c>
      <c r="K1503" s="13" t="n">
        <f aca="false">H1503+I1503</f>
        <v>2.4986178</v>
      </c>
      <c r="L1503" s="13" t="n">
        <f aca="false">MAX(0,D1503-K1503)</f>
        <v>2.4413822</v>
      </c>
      <c r="M1503" s="13" t="n">
        <f aca="false">MAX(0,F1503-I1503-J1503)</f>
        <v>0</v>
      </c>
      <c r="N1503" s="13" t="n">
        <f aca="false">IF(Kalender!A39="",0,J1502-H1503)</f>
        <v>0.0150822</v>
      </c>
    </row>
    <row r="1504" customFormat="false" ht="16.4" hidden="false" customHeight="false" outlineLevel="0" collapsed="false">
      <c r="A1504" s="13" t="str">
        <f aca="false">""</f>
        <v/>
      </c>
      <c r="B1504" s="13" t="n">
        <f aca="false">36</f>
        <v>36</v>
      </c>
      <c r="C1504" s="13" t="n">
        <f aca="false">IF(Szenarien!$H$15="OK",(IFERROR(SUMIF(Nutzungsprofile!$B$6:$B$11,"Schulbetrieb",Nutzungsprofile!$G$6:$G$11)*Kalender!C40/SUM(Kalender!$C$5:$C$370),0)+IFERROR(SUMIF(Nutzungsprofile!$B$6:$B$11,"Halle",Nutzungsprofile!$G$6:$G$11)*Kalender!D40/SUM(Kalender!$D$5:$D$370),0)+IFERROR(SUMIF(Nutzungsprofile!$B$6:$B$11,"Individuell",Nutzungsprofile!$G$6:$G$11)*Kalender!E40/SUM(Kalender!$E$5:$E$370),0))*Szenarien!$E$15,0)</f>
        <v>2.94</v>
      </c>
      <c r="D1504" s="13" t="n">
        <f aca="false">IF(Szenarien!$H$15="OK",(IFERROR(SUMIF(Nutzungsprofile!$B$17:$B$22,"Schulbetrieb",Nutzungsprofile!$G$17:$G$22)*Kalender!C40/SUM(Kalender!$C$5:$C$370),0)+IFERROR(SUMIF(Nutzungsprofile!$B$17:$B$22,"Halle",Nutzungsprofile!$G$17:$G$22)*Kalender!D40/SUM(Kalender!$D$5:$D$370),0)+IFERROR(SUMIF(Nutzungsprofile!$B$17:$B$22,"Individuell",Nutzungsprofile!$G$17:$G$22)*Kalender!E40/SUM(Kalender!$E$5:$E$370),0))*Szenarien!$D$15,0)</f>
        <v>4.94</v>
      </c>
      <c r="E1504" s="13" t="n">
        <f aca="false">IFERROR(MIN(C1504,Eingaben!$B$17)*Eingaben!$B$16,0)</f>
        <v>2.793</v>
      </c>
      <c r="F1504" s="13" t="n">
        <f aca="false">IFERROR(E1504*Eingaben!$B$15,0)</f>
        <v>2.5137</v>
      </c>
      <c r="G1504" s="13" t="n">
        <f aca="false">IFERROR(IF(Kalender!A40="",0,J1503*(1-Eingaben!$B$20)),0)</f>
        <v>0.7390278</v>
      </c>
      <c r="H1504" s="13" t="n">
        <f aca="false">MIN(G1504,D1504)</f>
        <v>0.7390278</v>
      </c>
      <c r="I1504" s="13" t="n">
        <f aca="false">IFERROR(MIN(F1504*Eingaben!$B$19,MAX(0,D1504-H1504)),0)</f>
        <v>1.75959</v>
      </c>
      <c r="J1504" s="13" t="n">
        <f aca="false">IFERROR(MIN(Eingaben!$B$18,MAX(0,F1504-I1504)),0)</f>
        <v>0.75411</v>
      </c>
      <c r="K1504" s="13" t="n">
        <f aca="false">H1504+I1504</f>
        <v>2.4986178</v>
      </c>
      <c r="L1504" s="13" t="n">
        <f aca="false">MAX(0,D1504-K1504)</f>
        <v>2.4413822</v>
      </c>
      <c r="M1504" s="13" t="n">
        <f aca="false">MAX(0,F1504-I1504-J1504)</f>
        <v>0</v>
      </c>
      <c r="N1504" s="13" t="n">
        <f aca="false">IF(Kalender!A40="",0,J1503-H1504)</f>
        <v>0.0150822</v>
      </c>
    </row>
    <row r="1505" customFormat="false" ht="16.4" hidden="false" customHeight="false" outlineLevel="0" collapsed="false">
      <c r="A1505" s="13" t="str">
        <f aca="false">""</f>
        <v/>
      </c>
      <c r="B1505" s="13" t="n">
        <f aca="false">37</f>
        <v>37</v>
      </c>
      <c r="C1505" s="13" t="n">
        <f aca="false">IF(Szenarien!$H$15="OK",(IFERROR(SUMIF(Nutzungsprofile!$B$6:$B$11,"Schulbetrieb",Nutzungsprofile!$G$6:$G$11)*Kalender!C41/SUM(Kalender!$C$5:$C$370),0)+IFERROR(SUMIF(Nutzungsprofile!$B$6:$B$11,"Halle",Nutzungsprofile!$G$6:$G$11)*Kalender!D41/SUM(Kalender!$D$5:$D$370),0)+IFERROR(SUMIF(Nutzungsprofile!$B$6:$B$11,"Individuell",Nutzungsprofile!$G$6:$G$11)*Kalender!E41/SUM(Kalender!$E$5:$E$370),0))*Szenarien!$E$15,0)</f>
        <v>2.94</v>
      </c>
      <c r="D1505" s="13" t="n">
        <f aca="false">IF(Szenarien!$H$15="OK",(IFERROR(SUMIF(Nutzungsprofile!$B$17:$B$22,"Schulbetrieb",Nutzungsprofile!$G$17:$G$22)*Kalender!C41/SUM(Kalender!$C$5:$C$370),0)+IFERROR(SUMIF(Nutzungsprofile!$B$17:$B$22,"Halle",Nutzungsprofile!$G$17:$G$22)*Kalender!D41/SUM(Kalender!$D$5:$D$370),0)+IFERROR(SUMIF(Nutzungsprofile!$B$17:$B$22,"Individuell",Nutzungsprofile!$G$17:$G$22)*Kalender!E41/SUM(Kalender!$E$5:$E$370),0))*Szenarien!$D$15,0)</f>
        <v>4.94</v>
      </c>
      <c r="E1505" s="13" t="n">
        <f aca="false">IFERROR(MIN(C1505,Eingaben!$B$17)*Eingaben!$B$16,0)</f>
        <v>2.793</v>
      </c>
      <c r="F1505" s="13" t="n">
        <f aca="false">IFERROR(E1505*Eingaben!$B$15,0)</f>
        <v>2.5137</v>
      </c>
      <c r="G1505" s="13" t="n">
        <f aca="false">IFERROR(IF(Kalender!A41="",0,J1504*(1-Eingaben!$B$20)),0)</f>
        <v>0.7390278</v>
      </c>
      <c r="H1505" s="13" t="n">
        <f aca="false">MIN(G1505,D1505)</f>
        <v>0.7390278</v>
      </c>
      <c r="I1505" s="13" t="n">
        <f aca="false">IFERROR(MIN(F1505*Eingaben!$B$19,MAX(0,D1505-H1505)),0)</f>
        <v>1.75959</v>
      </c>
      <c r="J1505" s="13" t="n">
        <f aca="false">IFERROR(MIN(Eingaben!$B$18,MAX(0,F1505-I1505)),0)</f>
        <v>0.75411</v>
      </c>
      <c r="K1505" s="13" t="n">
        <f aca="false">H1505+I1505</f>
        <v>2.4986178</v>
      </c>
      <c r="L1505" s="13" t="n">
        <f aca="false">MAX(0,D1505-K1505)</f>
        <v>2.4413822</v>
      </c>
      <c r="M1505" s="13" t="n">
        <f aca="false">MAX(0,F1505-I1505-J1505)</f>
        <v>0</v>
      </c>
      <c r="N1505" s="13" t="n">
        <f aca="false">IF(Kalender!A41="",0,J1504-H1505)</f>
        <v>0.0150822</v>
      </c>
    </row>
    <row r="1506" customFormat="false" ht="16.4" hidden="false" customHeight="false" outlineLevel="0" collapsed="false">
      <c r="A1506" s="13" t="str">
        <f aca="false">""</f>
        <v/>
      </c>
      <c r="B1506" s="13" t="n">
        <f aca="false">38</f>
        <v>38</v>
      </c>
      <c r="C1506" s="13" t="n">
        <f aca="false">IF(Szenarien!$H$15="OK",(IFERROR(SUMIF(Nutzungsprofile!$B$6:$B$11,"Schulbetrieb",Nutzungsprofile!$G$6:$G$11)*Kalender!C42/SUM(Kalender!$C$5:$C$370),0)+IFERROR(SUMIF(Nutzungsprofile!$B$6:$B$11,"Halle",Nutzungsprofile!$G$6:$G$11)*Kalender!D42/SUM(Kalender!$D$5:$D$370),0)+IFERROR(SUMIF(Nutzungsprofile!$B$6:$B$11,"Individuell",Nutzungsprofile!$G$6:$G$11)*Kalender!E42/SUM(Kalender!$E$5:$E$370),0))*Szenarien!$E$15,0)</f>
        <v>2.04</v>
      </c>
      <c r="D1506" s="13" t="n">
        <f aca="false">IF(Szenarien!$H$15="OK",(IFERROR(SUMIF(Nutzungsprofile!$B$17:$B$22,"Schulbetrieb",Nutzungsprofile!$G$17:$G$22)*Kalender!C42/SUM(Kalender!$C$5:$C$370),0)+IFERROR(SUMIF(Nutzungsprofile!$B$17:$B$22,"Halle",Nutzungsprofile!$G$17:$G$22)*Kalender!D42/SUM(Kalender!$D$5:$D$370),0)+IFERROR(SUMIF(Nutzungsprofile!$B$17:$B$22,"Individuell",Nutzungsprofile!$G$17:$G$22)*Kalender!E42/SUM(Kalender!$E$5:$E$370),0))*Szenarien!$D$15,0)</f>
        <v>0.89</v>
      </c>
      <c r="E1506" s="13" t="n">
        <f aca="false">IFERROR(MIN(C1506,Eingaben!$B$17)*Eingaben!$B$16,0)</f>
        <v>1.938</v>
      </c>
      <c r="F1506" s="13" t="n">
        <f aca="false">IFERROR(E1506*Eingaben!$B$15,0)</f>
        <v>1.7442</v>
      </c>
      <c r="G1506" s="13" t="n">
        <f aca="false">IFERROR(IF(Kalender!A42="",0,J1505*(1-Eingaben!$B$20)),0)</f>
        <v>0.7390278</v>
      </c>
      <c r="H1506" s="13" t="n">
        <f aca="false">MIN(G1506,D1506)</f>
        <v>0.7390278</v>
      </c>
      <c r="I1506" s="13" t="n">
        <f aca="false">IFERROR(MIN(F1506*Eingaben!$B$19,MAX(0,D1506-H1506)),0)</f>
        <v>0.1509722</v>
      </c>
      <c r="J1506" s="13" t="n">
        <f aca="false">IFERROR(MIN(Eingaben!$B$18,MAX(0,F1506-I1506)),0)</f>
        <v>1.5932278</v>
      </c>
      <c r="K1506" s="13" t="n">
        <f aca="false">H1506+I1506</f>
        <v>0.89</v>
      </c>
      <c r="L1506" s="13" t="n">
        <f aca="false">MAX(0,D1506-K1506)</f>
        <v>0</v>
      </c>
      <c r="M1506" s="13" t="n">
        <f aca="false">MAX(0,F1506-I1506-J1506)</f>
        <v>0</v>
      </c>
      <c r="N1506" s="13" t="n">
        <f aca="false">IF(Kalender!A42="",0,J1505-H1506)</f>
        <v>0.0150822</v>
      </c>
    </row>
    <row r="1507" customFormat="false" ht="16.4" hidden="false" customHeight="false" outlineLevel="0" collapsed="false">
      <c r="A1507" s="13" t="str">
        <f aca="false">""</f>
        <v/>
      </c>
      <c r="B1507" s="13" t="n">
        <f aca="false">39</f>
        <v>39</v>
      </c>
      <c r="C1507" s="13" t="n">
        <f aca="false">IF(Szenarien!$H$15="OK",(IFERROR(SUMIF(Nutzungsprofile!$B$6:$B$11,"Schulbetrieb",Nutzungsprofile!$G$6:$G$11)*Kalender!C43/SUM(Kalender!$C$5:$C$370),0)+IFERROR(SUMIF(Nutzungsprofile!$B$6:$B$11,"Halle",Nutzungsprofile!$G$6:$G$11)*Kalender!D43/SUM(Kalender!$D$5:$D$370),0)+IFERROR(SUMIF(Nutzungsprofile!$B$6:$B$11,"Individuell",Nutzungsprofile!$G$6:$G$11)*Kalender!E43/SUM(Kalender!$E$5:$E$370),0))*Szenarien!$E$15,0)</f>
        <v>2.04</v>
      </c>
      <c r="D1507" s="13" t="n">
        <f aca="false">IF(Szenarien!$H$15="OK",(IFERROR(SUMIF(Nutzungsprofile!$B$17:$B$22,"Schulbetrieb",Nutzungsprofile!$G$17:$G$22)*Kalender!C43/SUM(Kalender!$C$5:$C$370),0)+IFERROR(SUMIF(Nutzungsprofile!$B$17:$B$22,"Halle",Nutzungsprofile!$G$17:$G$22)*Kalender!D43/SUM(Kalender!$D$5:$D$370),0)+IFERROR(SUMIF(Nutzungsprofile!$B$17:$B$22,"Individuell",Nutzungsprofile!$G$17:$G$22)*Kalender!E43/SUM(Kalender!$E$5:$E$370),0))*Szenarien!$D$15,0)</f>
        <v>0.89</v>
      </c>
      <c r="E1507" s="13" t="n">
        <f aca="false">IFERROR(MIN(C1507,Eingaben!$B$17)*Eingaben!$B$16,0)</f>
        <v>1.938</v>
      </c>
      <c r="F1507" s="13" t="n">
        <f aca="false">IFERROR(E1507*Eingaben!$B$15,0)</f>
        <v>1.7442</v>
      </c>
      <c r="G1507" s="13" t="n">
        <f aca="false">IFERROR(IF(Kalender!A43="",0,J1506*(1-Eingaben!$B$20)),0)</f>
        <v>1.561363244</v>
      </c>
      <c r="H1507" s="13" t="n">
        <f aca="false">MIN(G1507,D1507)</f>
        <v>0.89</v>
      </c>
      <c r="I1507" s="13" t="n">
        <f aca="false">IFERROR(MIN(F1507*Eingaben!$B$19,MAX(0,D1507-H1507)),0)</f>
        <v>0</v>
      </c>
      <c r="J1507" s="13" t="n">
        <f aca="false">IFERROR(MIN(Eingaben!$B$18,MAX(0,F1507-I1507)),0)</f>
        <v>1.7442</v>
      </c>
      <c r="K1507" s="13" t="n">
        <f aca="false">H1507+I1507</f>
        <v>0.89</v>
      </c>
      <c r="L1507" s="13" t="n">
        <f aca="false">MAX(0,D1507-K1507)</f>
        <v>0</v>
      </c>
      <c r="M1507" s="13" t="n">
        <f aca="false">MAX(0,F1507-I1507-J1507)</f>
        <v>0</v>
      </c>
      <c r="N1507" s="13" t="n">
        <f aca="false">IF(Kalender!A43="",0,J1506-H1507)</f>
        <v>0.7032278</v>
      </c>
    </row>
    <row r="1508" customFormat="false" ht="16.4" hidden="false" customHeight="false" outlineLevel="0" collapsed="false">
      <c r="A1508" s="13" t="str">
        <f aca="false">""</f>
        <v/>
      </c>
      <c r="B1508" s="13" t="n">
        <f aca="false">40</f>
        <v>40</v>
      </c>
      <c r="C1508" s="13" t="n">
        <f aca="false">IF(Szenarien!$H$15="OK",(IFERROR(SUMIF(Nutzungsprofile!$B$6:$B$11,"Schulbetrieb",Nutzungsprofile!$G$6:$G$11)*Kalender!C44/SUM(Kalender!$C$5:$C$370),0)+IFERROR(SUMIF(Nutzungsprofile!$B$6:$B$11,"Halle",Nutzungsprofile!$G$6:$G$11)*Kalender!D44/SUM(Kalender!$D$5:$D$370),0)+IFERROR(SUMIF(Nutzungsprofile!$B$6:$B$11,"Individuell",Nutzungsprofile!$G$6:$G$11)*Kalender!E44/SUM(Kalender!$E$5:$E$370),0))*Szenarien!$E$15,0)</f>
        <v>2.94</v>
      </c>
      <c r="D1508" s="13" t="n">
        <f aca="false">IF(Szenarien!$H$15="OK",(IFERROR(SUMIF(Nutzungsprofile!$B$17:$B$22,"Schulbetrieb",Nutzungsprofile!$G$17:$G$22)*Kalender!C44/SUM(Kalender!$C$5:$C$370),0)+IFERROR(SUMIF(Nutzungsprofile!$B$17:$B$22,"Halle",Nutzungsprofile!$G$17:$G$22)*Kalender!D44/SUM(Kalender!$D$5:$D$370),0)+IFERROR(SUMIF(Nutzungsprofile!$B$17:$B$22,"Individuell",Nutzungsprofile!$G$17:$G$22)*Kalender!E44/SUM(Kalender!$E$5:$E$370),0))*Szenarien!$D$15,0)</f>
        <v>4.94</v>
      </c>
      <c r="E1508" s="13" t="n">
        <f aca="false">IFERROR(MIN(C1508,Eingaben!$B$17)*Eingaben!$B$16,0)</f>
        <v>2.793</v>
      </c>
      <c r="F1508" s="13" t="n">
        <f aca="false">IFERROR(E1508*Eingaben!$B$15,0)</f>
        <v>2.5137</v>
      </c>
      <c r="G1508" s="13" t="n">
        <f aca="false">IFERROR(IF(Kalender!A44="",0,J1507*(1-Eingaben!$B$20)),0)</f>
        <v>1.709316</v>
      </c>
      <c r="H1508" s="13" t="n">
        <f aca="false">MIN(G1508,D1508)</f>
        <v>1.709316</v>
      </c>
      <c r="I1508" s="13" t="n">
        <f aca="false">IFERROR(MIN(F1508*Eingaben!$B$19,MAX(0,D1508-H1508)),0)</f>
        <v>1.75959</v>
      </c>
      <c r="J1508" s="13" t="n">
        <f aca="false">IFERROR(MIN(Eingaben!$B$18,MAX(0,F1508-I1508)),0)</f>
        <v>0.75411</v>
      </c>
      <c r="K1508" s="13" t="n">
        <f aca="false">H1508+I1508</f>
        <v>3.468906</v>
      </c>
      <c r="L1508" s="13" t="n">
        <f aca="false">MAX(0,D1508-K1508)</f>
        <v>1.471094</v>
      </c>
      <c r="M1508" s="13" t="n">
        <f aca="false">MAX(0,F1508-I1508-J1508)</f>
        <v>0</v>
      </c>
      <c r="N1508" s="13" t="n">
        <f aca="false">IF(Kalender!A44="",0,J1507-H1508)</f>
        <v>0.0348840000000001</v>
      </c>
    </row>
    <row r="1509" customFormat="false" ht="16.4" hidden="false" customHeight="false" outlineLevel="0" collapsed="false">
      <c r="A1509" s="13" t="str">
        <f aca="false">""</f>
        <v/>
      </c>
      <c r="B1509" s="13" t="n">
        <f aca="false">41</f>
        <v>41</v>
      </c>
      <c r="C1509" s="13" t="n">
        <f aca="false">IF(Szenarien!$H$15="OK",(IFERROR(SUMIF(Nutzungsprofile!$B$6:$B$11,"Schulbetrieb",Nutzungsprofile!$G$6:$G$11)*Kalender!C45/SUM(Kalender!$C$5:$C$370),0)+IFERROR(SUMIF(Nutzungsprofile!$B$6:$B$11,"Halle",Nutzungsprofile!$G$6:$G$11)*Kalender!D45/SUM(Kalender!$D$5:$D$370),0)+IFERROR(SUMIF(Nutzungsprofile!$B$6:$B$11,"Individuell",Nutzungsprofile!$G$6:$G$11)*Kalender!E45/SUM(Kalender!$E$5:$E$370),0))*Szenarien!$E$15,0)</f>
        <v>2.94</v>
      </c>
      <c r="D1509" s="13" t="n">
        <f aca="false">IF(Szenarien!$H$15="OK",(IFERROR(SUMIF(Nutzungsprofile!$B$17:$B$22,"Schulbetrieb",Nutzungsprofile!$G$17:$G$22)*Kalender!C45/SUM(Kalender!$C$5:$C$370),0)+IFERROR(SUMIF(Nutzungsprofile!$B$17:$B$22,"Halle",Nutzungsprofile!$G$17:$G$22)*Kalender!D45/SUM(Kalender!$D$5:$D$370),0)+IFERROR(SUMIF(Nutzungsprofile!$B$17:$B$22,"Individuell",Nutzungsprofile!$G$17:$G$22)*Kalender!E45/SUM(Kalender!$E$5:$E$370),0))*Szenarien!$D$15,0)</f>
        <v>4.94</v>
      </c>
      <c r="E1509" s="13" t="n">
        <f aca="false">IFERROR(MIN(C1509,Eingaben!$B$17)*Eingaben!$B$16,0)</f>
        <v>2.793</v>
      </c>
      <c r="F1509" s="13" t="n">
        <f aca="false">IFERROR(E1509*Eingaben!$B$15,0)</f>
        <v>2.5137</v>
      </c>
      <c r="G1509" s="13" t="n">
        <f aca="false">IFERROR(IF(Kalender!A45="",0,J1508*(1-Eingaben!$B$20)),0)</f>
        <v>0.7390278</v>
      </c>
      <c r="H1509" s="13" t="n">
        <f aca="false">MIN(G1509,D1509)</f>
        <v>0.7390278</v>
      </c>
      <c r="I1509" s="13" t="n">
        <f aca="false">IFERROR(MIN(F1509*Eingaben!$B$19,MAX(0,D1509-H1509)),0)</f>
        <v>1.75959</v>
      </c>
      <c r="J1509" s="13" t="n">
        <f aca="false">IFERROR(MIN(Eingaben!$B$18,MAX(0,F1509-I1509)),0)</f>
        <v>0.75411</v>
      </c>
      <c r="K1509" s="13" t="n">
        <f aca="false">H1509+I1509</f>
        <v>2.4986178</v>
      </c>
      <c r="L1509" s="13" t="n">
        <f aca="false">MAX(0,D1509-K1509)</f>
        <v>2.4413822</v>
      </c>
      <c r="M1509" s="13" t="n">
        <f aca="false">MAX(0,F1509-I1509-J1509)</f>
        <v>0</v>
      </c>
      <c r="N1509" s="13" t="n">
        <f aca="false">IF(Kalender!A45="",0,J1508-H1509)</f>
        <v>0.0150822</v>
      </c>
    </row>
    <row r="1510" customFormat="false" ht="16.4" hidden="false" customHeight="false" outlineLevel="0" collapsed="false">
      <c r="A1510" s="13" t="str">
        <f aca="false">""</f>
        <v/>
      </c>
      <c r="B1510" s="13" t="n">
        <f aca="false">42</f>
        <v>42</v>
      </c>
      <c r="C1510" s="13" t="n">
        <f aca="false">IF(Szenarien!$H$15="OK",(IFERROR(SUMIF(Nutzungsprofile!$B$6:$B$11,"Schulbetrieb",Nutzungsprofile!$G$6:$G$11)*Kalender!C46/SUM(Kalender!$C$5:$C$370),0)+IFERROR(SUMIF(Nutzungsprofile!$B$6:$B$11,"Halle",Nutzungsprofile!$G$6:$G$11)*Kalender!D46/SUM(Kalender!$D$5:$D$370),0)+IFERROR(SUMIF(Nutzungsprofile!$B$6:$B$11,"Individuell",Nutzungsprofile!$G$6:$G$11)*Kalender!E46/SUM(Kalender!$E$5:$E$370),0))*Szenarien!$E$15,0)</f>
        <v>2.94</v>
      </c>
      <c r="D1510" s="13" t="n">
        <f aca="false">IF(Szenarien!$H$15="OK",(IFERROR(SUMIF(Nutzungsprofile!$B$17:$B$22,"Schulbetrieb",Nutzungsprofile!$G$17:$G$22)*Kalender!C46/SUM(Kalender!$C$5:$C$370),0)+IFERROR(SUMIF(Nutzungsprofile!$B$17:$B$22,"Halle",Nutzungsprofile!$G$17:$G$22)*Kalender!D46/SUM(Kalender!$D$5:$D$370),0)+IFERROR(SUMIF(Nutzungsprofile!$B$17:$B$22,"Individuell",Nutzungsprofile!$G$17:$G$22)*Kalender!E46/SUM(Kalender!$E$5:$E$370),0))*Szenarien!$D$15,0)</f>
        <v>4.94</v>
      </c>
      <c r="E1510" s="13" t="n">
        <f aca="false">IFERROR(MIN(C1510,Eingaben!$B$17)*Eingaben!$B$16,0)</f>
        <v>2.793</v>
      </c>
      <c r="F1510" s="13" t="n">
        <f aca="false">IFERROR(E1510*Eingaben!$B$15,0)</f>
        <v>2.5137</v>
      </c>
      <c r="G1510" s="13" t="n">
        <f aca="false">IFERROR(IF(Kalender!A46="",0,J1509*(1-Eingaben!$B$20)),0)</f>
        <v>0.7390278</v>
      </c>
      <c r="H1510" s="13" t="n">
        <f aca="false">MIN(G1510,D1510)</f>
        <v>0.7390278</v>
      </c>
      <c r="I1510" s="13" t="n">
        <f aca="false">IFERROR(MIN(F1510*Eingaben!$B$19,MAX(0,D1510-H1510)),0)</f>
        <v>1.75959</v>
      </c>
      <c r="J1510" s="13" t="n">
        <f aca="false">IFERROR(MIN(Eingaben!$B$18,MAX(0,F1510-I1510)),0)</f>
        <v>0.75411</v>
      </c>
      <c r="K1510" s="13" t="n">
        <f aca="false">H1510+I1510</f>
        <v>2.4986178</v>
      </c>
      <c r="L1510" s="13" t="n">
        <f aca="false">MAX(0,D1510-K1510)</f>
        <v>2.4413822</v>
      </c>
      <c r="M1510" s="13" t="n">
        <f aca="false">MAX(0,F1510-I1510-J1510)</f>
        <v>0</v>
      </c>
      <c r="N1510" s="13" t="n">
        <f aca="false">IF(Kalender!A46="",0,J1509-H1510)</f>
        <v>0.0150822</v>
      </c>
    </row>
    <row r="1511" customFormat="false" ht="16.4" hidden="false" customHeight="false" outlineLevel="0" collapsed="false">
      <c r="A1511" s="13" t="str">
        <f aca="false">""</f>
        <v/>
      </c>
      <c r="B1511" s="13" t="n">
        <f aca="false">43</f>
        <v>43</v>
      </c>
      <c r="C1511" s="13" t="n">
        <f aca="false">IF(Szenarien!$H$15="OK",(IFERROR(SUMIF(Nutzungsprofile!$B$6:$B$11,"Schulbetrieb",Nutzungsprofile!$G$6:$G$11)*Kalender!C47/SUM(Kalender!$C$5:$C$370),0)+IFERROR(SUMIF(Nutzungsprofile!$B$6:$B$11,"Halle",Nutzungsprofile!$G$6:$G$11)*Kalender!D47/SUM(Kalender!$D$5:$D$370),0)+IFERROR(SUMIF(Nutzungsprofile!$B$6:$B$11,"Individuell",Nutzungsprofile!$G$6:$G$11)*Kalender!E47/SUM(Kalender!$E$5:$E$370),0))*Szenarien!$E$15,0)</f>
        <v>2.94</v>
      </c>
      <c r="D1511" s="13" t="n">
        <f aca="false">IF(Szenarien!$H$15="OK",(IFERROR(SUMIF(Nutzungsprofile!$B$17:$B$22,"Schulbetrieb",Nutzungsprofile!$G$17:$G$22)*Kalender!C47/SUM(Kalender!$C$5:$C$370),0)+IFERROR(SUMIF(Nutzungsprofile!$B$17:$B$22,"Halle",Nutzungsprofile!$G$17:$G$22)*Kalender!D47/SUM(Kalender!$D$5:$D$370),0)+IFERROR(SUMIF(Nutzungsprofile!$B$17:$B$22,"Individuell",Nutzungsprofile!$G$17:$G$22)*Kalender!E47/SUM(Kalender!$E$5:$E$370),0))*Szenarien!$D$15,0)</f>
        <v>4.94</v>
      </c>
      <c r="E1511" s="13" t="n">
        <f aca="false">IFERROR(MIN(C1511,Eingaben!$B$17)*Eingaben!$B$16,0)</f>
        <v>2.793</v>
      </c>
      <c r="F1511" s="13" t="n">
        <f aca="false">IFERROR(E1511*Eingaben!$B$15,0)</f>
        <v>2.5137</v>
      </c>
      <c r="G1511" s="13" t="n">
        <f aca="false">IFERROR(IF(Kalender!A47="",0,J1510*(1-Eingaben!$B$20)),0)</f>
        <v>0.7390278</v>
      </c>
      <c r="H1511" s="13" t="n">
        <f aca="false">MIN(G1511,D1511)</f>
        <v>0.7390278</v>
      </c>
      <c r="I1511" s="13" t="n">
        <f aca="false">IFERROR(MIN(F1511*Eingaben!$B$19,MAX(0,D1511-H1511)),0)</f>
        <v>1.75959</v>
      </c>
      <c r="J1511" s="13" t="n">
        <f aca="false">IFERROR(MIN(Eingaben!$B$18,MAX(0,F1511-I1511)),0)</f>
        <v>0.75411</v>
      </c>
      <c r="K1511" s="13" t="n">
        <f aca="false">H1511+I1511</f>
        <v>2.4986178</v>
      </c>
      <c r="L1511" s="13" t="n">
        <f aca="false">MAX(0,D1511-K1511)</f>
        <v>2.4413822</v>
      </c>
      <c r="M1511" s="13" t="n">
        <f aca="false">MAX(0,F1511-I1511-J1511)</f>
        <v>0</v>
      </c>
      <c r="N1511" s="13" t="n">
        <f aca="false">IF(Kalender!A47="",0,J1510-H1511)</f>
        <v>0.0150822</v>
      </c>
    </row>
    <row r="1512" customFormat="false" ht="16.4" hidden="false" customHeight="false" outlineLevel="0" collapsed="false">
      <c r="A1512" s="13" t="str">
        <f aca="false">""</f>
        <v/>
      </c>
      <c r="B1512" s="13" t="n">
        <f aca="false">44</f>
        <v>44</v>
      </c>
      <c r="C1512" s="13" t="n">
        <f aca="false">IF(Szenarien!$H$15="OK",(IFERROR(SUMIF(Nutzungsprofile!$B$6:$B$11,"Schulbetrieb",Nutzungsprofile!$G$6:$G$11)*Kalender!C48/SUM(Kalender!$C$5:$C$370),0)+IFERROR(SUMIF(Nutzungsprofile!$B$6:$B$11,"Halle",Nutzungsprofile!$G$6:$G$11)*Kalender!D48/SUM(Kalender!$D$5:$D$370),0)+IFERROR(SUMIF(Nutzungsprofile!$B$6:$B$11,"Individuell",Nutzungsprofile!$G$6:$G$11)*Kalender!E48/SUM(Kalender!$E$5:$E$370),0))*Szenarien!$E$15,0)</f>
        <v>2.94</v>
      </c>
      <c r="D1512" s="13" t="n">
        <f aca="false">IF(Szenarien!$H$15="OK",(IFERROR(SUMIF(Nutzungsprofile!$B$17:$B$22,"Schulbetrieb",Nutzungsprofile!$G$17:$G$22)*Kalender!C48/SUM(Kalender!$C$5:$C$370),0)+IFERROR(SUMIF(Nutzungsprofile!$B$17:$B$22,"Halle",Nutzungsprofile!$G$17:$G$22)*Kalender!D48/SUM(Kalender!$D$5:$D$370),0)+IFERROR(SUMIF(Nutzungsprofile!$B$17:$B$22,"Individuell",Nutzungsprofile!$G$17:$G$22)*Kalender!E48/SUM(Kalender!$E$5:$E$370),0))*Szenarien!$D$15,0)</f>
        <v>4.94</v>
      </c>
      <c r="E1512" s="13" t="n">
        <f aca="false">IFERROR(MIN(C1512,Eingaben!$B$17)*Eingaben!$B$16,0)</f>
        <v>2.793</v>
      </c>
      <c r="F1512" s="13" t="n">
        <f aca="false">IFERROR(E1512*Eingaben!$B$15,0)</f>
        <v>2.5137</v>
      </c>
      <c r="G1512" s="13" t="n">
        <f aca="false">IFERROR(IF(Kalender!A48="",0,J1511*(1-Eingaben!$B$20)),0)</f>
        <v>0.7390278</v>
      </c>
      <c r="H1512" s="13" t="n">
        <f aca="false">MIN(G1512,D1512)</f>
        <v>0.7390278</v>
      </c>
      <c r="I1512" s="13" t="n">
        <f aca="false">IFERROR(MIN(F1512*Eingaben!$B$19,MAX(0,D1512-H1512)),0)</f>
        <v>1.75959</v>
      </c>
      <c r="J1512" s="13" t="n">
        <f aca="false">IFERROR(MIN(Eingaben!$B$18,MAX(0,F1512-I1512)),0)</f>
        <v>0.75411</v>
      </c>
      <c r="K1512" s="13" t="n">
        <f aca="false">H1512+I1512</f>
        <v>2.4986178</v>
      </c>
      <c r="L1512" s="13" t="n">
        <f aca="false">MAX(0,D1512-K1512)</f>
        <v>2.4413822</v>
      </c>
      <c r="M1512" s="13" t="n">
        <f aca="false">MAX(0,F1512-I1512-J1512)</f>
        <v>0</v>
      </c>
      <c r="N1512" s="13" t="n">
        <f aca="false">IF(Kalender!A48="",0,J1511-H1512)</f>
        <v>0.0150822</v>
      </c>
    </row>
    <row r="1513" customFormat="false" ht="16.4" hidden="false" customHeight="false" outlineLevel="0" collapsed="false">
      <c r="A1513" s="13" t="str">
        <f aca="false">""</f>
        <v/>
      </c>
      <c r="B1513" s="13" t="n">
        <f aca="false">45</f>
        <v>45</v>
      </c>
      <c r="C1513" s="13" t="n">
        <f aca="false">IF(Szenarien!$H$15="OK",(IFERROR(SUMIF(Nutzungsprofile!$B$6:$B$11,"Schulbetrieb",Nutzungsprofile!$G$6:$G$11)*Kalender!C49/SUM(Kalender!$C$5:$C$370),0)+IFERROR(SUMIF(Nutzungsprofile!$B$6:$B$11,"Halle",Nutzungsprofile!$G$6:$G$11)*Kalender!D49/SUM(Kalender!$D$5:$D$370),0)+IFERROR(SUMIF(Nutzungsprofile!$B$6:$B$11,"Individuell",Nutzungsprofile!$G$6:$G$11)*Kalender!E49/SUM(Kalender!$E$5:$E$370),0))*Szenarien!$E$15,0)</f>
        <v>2.04</v>
      </c>
      <c r="D1513" s="13" t="n">
        <f aca="false">IF(Szenarien!$H$15="OK",(IFERROR(SUMIF(Nutzungsprofile!$B$17:$B$22,"Schulbetrieb",Nutzungsprofile!$G$17:$G$22)*Kalender!C49/SUM(Kalender!$C$5:$C$370),0)+IFERROR(SUMIF(Nutzungsprofile!$B$17:$B$22,"Halle",Nutzungsprofile!$G$17:$G$22)*Kalender!D49/SUM(Kalender!$D$5:$D$370),0)+IFERROR(SUMIF(Nutzungsprofile!$B$17:$B$22,"Individuell",Nutzungsprofile!$G$17:$G$22)*Kalender!E49/SUM(Kalender!$E$5:$E$370),0))*Szenarien!$D$15,0)</f>
        <v>0.89</v>
      </c>
      <c r="E1513" s="13" t="n">
        <f aca="false">IFERROR(MIN(C1513,Eingaben!$B$17)*Eingaben!$B$16,0)</f>
        <v>1.938</v>
      </c>
      <c r="F1513" s="13" t="n">
        <f aca="false">IFERROR(E1513*Eingaben!$B$15,0)</f>
        <v>1.7442</v>
      </c>
      <c r="G1513" s="13" t="n">
        <f aca="false">IFERROR(IF(Kalender!A49="",0,J1512*(1-Eingaben!$B$20)),0)</f>
        <v>0.7390278</v>
      </c>
      <c r="H1513" s="13" t="n">
        <f aca="false">MIN(G1513,D1513)</f>
        <v>0.7390278</v>
      </c>
      <c r="I1513" s="13" t="n">
        <f aca="false">IFERROR(MIN(F1513*Eingaben!$B$19,MAX(0,D1513-H1513)),0)</f>
        <v>0.1509722</v>
      </c>
      <c r="J1513" s="13" t="n">
        <f aca="false">IFERROR(MIN(Eingaben!$B$18,MAX(0,F1513-I1513)),0)</f>
        <v>1.5932278</v>
      </c>
      <c r="K1513" s="13" t="n">
        <f aca="false">H1513+I1513</f>
        <v>0.89</v>
      </c>
      <c r="L1513" s="13" t="n">
        <f aca="false">MAX(0,D1513-K1513)</f>
        <v>0</v>
      </c>
      <c r="M1513" s="13" t="n">
        <f aca="false">MAX(0,F1513-I1513-J1513)</f>
        <v>0</v>
      </c>
      <c r="N1513" s="13" t="n">
        <f aca="false">IF(Kalender!A49="",0,J1512-H1513)</f>
        <v>0.0150822</v>
      </c>
    </row>
    <row r="1514" customFormat="false" ht="16.4" hidden="false" customHeight="false" outlineLevel="0" collapsed="false">
      <c r="A1514" s="13" t="str">
        <f aca="false">""</f>
        <v/>
      </c>
      <c r="B1514" s="13" t="n">
        <f aca="false">46</f>
        <v>46</v>
      </c>
      <c r="C1514" s="13" t="n">
        <f aca="false">IF(Szenarien!$H$15="OK",(IFERROR(SUMIF(Nutzungsprofile!$B$6:$B$11,"Schulbetrieb",Nutzungsprofile!$G$6:$G$11)*Kalender!C50/SUM(Kalender!$C$5:$C$370),0)+IFERROR(SUMIF(Nutzungsprofile!$B$6:$B$11,"Halle",Nutzungsprofile!$G$6:$G$11)*Kalender!D50/SUM(Kalender!$D$5:$D$370),0)+IFERROR(SUMIF(Nutzungsprofile!$B$6:$B$11,"Individuell",Nutzungsprofile!$G$6:$G$11)*Kalender!E50/SUM(Kalender!$E$5:$E$370),0))*Szenarien!$E$15,0)</f>
        <v>2.04</v>
      </c>
      <c r="D1514" s="13" t="n">
        <f aca="false">IF(Szenarien!$H$15="OK",(IFERROR(SUMIF(Nutzungsprofile!$B$17:$B$22,"Schulbetrieb",Nutzungsprofile!$G$17:$G$22)*Kalender!C50/SUM(Kalender!$C$5:$C$370),0)+IFERROR(SUMIF(Nutzungsprofile!$B$17:$B$22,"Halle",Nutzungsprofile!$G$17:$G$22)*Kalender!D50/SUM(Kalender!$D$5:$D$370),0)+IFERROR(SUMIF(Nutzungsprofile!$B$17:$B$22,"Individuell",Nutzungsprofile!$G$17:$G$22)*Kalender!E50/SUM(Kalender!$E$5:$E$370),0))*Szenarien!$D$15,0)</f>
        <v>0.89</v>
      </c>
      <c r="E1514" s="13" t="n">
        <f aca="false">IFERROR(MIN(C1514,Eingaben!$B$17)*Eingaben!$B$16,0)</f>
        <v>1.938</v>
      </c>
      <c r="F1514" s="13" t="n">
        <f aca="false">IFERROR(E1514*Eingaben!$B$15,0)</f>
        <v>1.7442</v>
      </c>
      <c r="G1514" s="13" t="n">
        <f aca="false">IFERROR(IF(Kalender!A50="",0,J1513*(1-Eingaben!$B$20)),0)</f>
        <v>1.561363244</v>
      </c>
      <c r="H1514" s="13" t="n">
        <f aca="false">MIN(G1514,D1514)</f>
        <v>0.89</v>
      </c>
      <c r="I1514" s="13" t="n">
        <f aca="false">IFERROR(MIN(F1514*Eingaben!$B$19,MAX(0,D1514-H1514)),0)</f>
        <v>0</v>
      </c>
      <c r="J1514" s="13" t="n">
        <f aca="false">IFERROR(MIN(Eingaben!$B$18,MAX(0,F1514-I1514)),0)</f>
        <v>1.7442</v>
      </c>
      <c r="K1514" s="13" t="n">
        <f aca="false">H1514+I1514</f>
        <v>0.89</v>
      </c>
      <c r="L1514" s="13" t="n">
        <f aca="false">MAX(0,D1514-K1514)</f>
        <v>0</v>
      </c>
      <c r="M1514" s="13" t="n">
        <f aca="false">MAX(0,F1514-I1514-J1514)</f>
        <v>0</v>
      </c>
      <c r="N1514" s="13" t="n">
        <f aca="false">IF(Kalender!A50="",0,J1513-H1514)</f>
        <v>0.7032278</v>
      </c>
    </row>
    <row r="1515" customFormat="false" ht="16.4" hidden="false" customHeight="false" outlineLevel="0" collapsed="false">
      <c r="A1515" s="13" t="str">
        <f aca="false">""</f>
        <v/>
      </c>
      <c r="B1515" s="13" t="n">
        <f aca="false">47</f>
        <v>47</v>
      </c>
      <c r="C1515" s="13" t="n">
        <f aca="false">IF(Szenarien!$H$15="OK",(IFERROR(SUMIF(Nutzungsprofile!$B$6:$B$11,"Schulbetrieb",Nutzungsprofile!$G$6:$G$11)*Kalender!C51/SUM(Kalender!$C$5:$C$370),0)+IFERROR(SUMIF(Nutzungsprofile!$B$6:$B$11,"Halle",Nutzungsprofile!$G$6:$G$11)*Kalender!D51/SUM(Kalender!$D$5:$D$370),0)+IFERROR(SUMIF(Nutzungsprofile!$B$6:$B$11,"Individuell",Nutzungsprofile!$G$6:$G$11)*Kalender!E51/SUM(Kalender!$E$5:$E$370),0))*Szenarien!$E$15,0)</f>
        <v>2.94</v>
      </c>
      <c r="D1515" s="13" t="n">
        <f aca="false">IF(Szenarien!$H$15="OK",(IFERROR(SUMIF(Nutzungsprofile!$B$17:$B$22,"Schulbetrieb",Nutzungsprofile!$G$17:$G$22)*Kalender!C51/SUM(Kalender!$C$5:$C$370),0)+IFERROR(SUMIF(Nutzungsprofile!$B$17:$B$22,"Halle",Nutzungsprofile!$G$17:$G$22)*Kalender!D51/SUM(Kalender!$D$5:$D$370),0)+IFERROR(SUMIF(Nutzungsprofile!$B$17:$B$22,"Individuell",Nutzungsprofile!$G$17:$G$22)*Kalender!E51/SUM(Kalender!$E$5:$E$370),0))*Szenarien!$D$15,0)</f>
        <v>4.94</v>
      </c>
      <c r="E1515" s="13" t="n">
        <f aca="false">IFERROR(MIN(C1515,Eingaben!$B$17)*Eingaben!$B$16,0)</f>
        <v>2.793</v>
      </c>
      <c r="F1515" s="13" t="n">
        <f aca="false">IFERROR(E1515*Eingaben!$B$15,0)</f>
        <v>2.5137</v>
      </c>
      <c r="G1515" s="13" t="n">
        <f aca="false">IFERROR(IF(Kalender!A51="",0,J1514*(1-Eingaben!$B$20)),0)</f>
        <v>1.709316</v>
      </c>
      <c r="H1515" s="13" t="n">
        <f aca="false">MIN(G1515,D1515)</f>
        <v>1.709316</v>
      </c>
      <c r="I1515" s="13" t="n">
        <f aca="false">IFERROR(MIN(F1515*Eingaben!$B$19,MAX(0,D1515-H1515)),0)</f>
        <v>1.75959</v>
      </c>
      <c r="J1515" s="13" t="n">
        <f aca="false">IFERROR(MIN(Eingaben!$B$18,MAX(0,F1515-I1515)),0)</f>
        <v>0.75411</v>
      </c>
      <c r="K1515" s="13" t="n">
        <f aca="false">H1515+I1515</f>
        <v>3.468906</v>
      </c>
      <c r="L1515" s="13" t="n">
        <f aca="false">MAX(0,D1515-K1515)</f>
        <v>1.471094</v>
      </c>
      <c r="M1515" s="13" t="n">
        <f aca="false">MAX(0,F1515-I1515-J1515)</f>
        <v>0</v>
      </c>
      <c r="N1515" s="13" t="n">
        <f aca="false">IF(Kalender!A51="",0,J1514-H1515)</f>
        <v>0.0348840000000001</v>
      </c>
    </row>
    <row r="1516" customFormat="false" ht="16.4" hidden="false" customHeight="false" outlineLevel="0" collapsed="false">
      <c r="A1516" s="13" t="str">
        <f aca="false">""</f>
        <v/>
      </c>
      <c r="B1516" s="13" t="n">
        <f aca="false">48</f>
        <v>48</v>
      </c>
      <c r="C1516" s="13" t="n">
        <f aca="false">IF(Szenarien!$H$15="OK",(IFERROR(SUMIF(Nutzungsprofile!$B$6:$B$11,"Schulbetrieb",Nutzungsprofile!$G$6:$G$11)*Kalender!C52/SUM(Kalender!$C$5:$C$370),0)+IFERROR(SUMIF(Nutzungsprofile!$B$6:$B$11,"Halle",Nutzungsprofile!$G$6:$G$11)*Kalender!D52/SUM(Kalender!$D$5:$D$370),0)+IFERROR(SUMIF(Nutzungsprofile!$B$6:$B$11,"Individuell",Nutzungsprofile!$G$6:$G$11)*Kalender!E52/SUM(Kalender!$E$5:$E$370),0))*Szenarien!$E$15,0)</f>
        <v>2.94</v>
      </c>
      <c r="D1516" s="13" t="n">
        <f aca="false">IF(Szenarien!$H$15="OK",(IFERROR(SUMIF(Nutzungsprofile!$B$17:$B$22,"Schulbetrieb",Nutzungsprofile!$G$17:$G$22)*Kalender!C52/SUM(Kalender!$C$5:$C$370),0)+IFERROR(SUMIF(Nutzungsprofile!$B$17:$B$22,"Halle",Nutzungsprofile!$G$17:$G$22)*Kalender!D52/SUM(Kalender!$D$5:$D$370),0)+IFERROR(SUMIF(Nutzungsprofile!$B$17:$B$22,"Individuell",Nutzungsprofile!$G$17:$G$22)*Kalender!E52/SUM(Kalender!$E$5:$E$370),0))*Szenarien!$D$15,0)</f>
        <v>4.94</v>
      </c>
      <c r="E1516" s="13" t="n">
        <f aca="false">IFERROR(MIN(C1516,Eingaben!$B$17)*Eingaben!$B$16,0)</f>
        <v>2.793</v>
      </c>
      <c r="F1516" s="13" t="n">
        <f aca="false">IFERROR(E1516*Eingaben!$B$15,0)</f>
        <v>2.5137</v>
      </c>
      <c r="G1516" s="13" t="n">
        <f aca="false">IFERROR(IF(Kalender!A52="",0,J1515*(1-Eingaben!$B$20)),0)</f>
        <v>0.7390278</v>
      </c>
      <c r="H1516" s="13" t="n">
        <f aca="false">MIN(G1516,D1516)</f>
        <v>0.7390278</v>
      </c>
      <c r="I1516" s="13" t="n">
        <f aca="false">IFERROR(MIN(F1516*Eingaben!$B$19,MAX(0,D1516-H1516)),0)</f>
        <v>1.75959</v>
      </c>
      <c r="J1516" s="13" t="n">
        <f aca="false">IFERROR(MIN(Eingaben!$B$18,MAX(0,F1516-I1516)),0)</f>
        <v>0.75411</v>
      </c>
      <c r="K1516" s="13" t="n">
        <f aca="false">H1516+I1516</f>
        <v>2.4986178</v>
      </c>
      <c r="L1516" s="13" t="n">
        <f aca="false">MAX(0,D1516-K1516)</f>
        <v>2.4413822</v>
      </c>
      <c r="M1516" s="13" t="n">
        <f aca="false">MAX(0,F1516-I1516-J1516)</f>
        <v>0</v>
      </c>
      <c r="N1516" s="13" t="n">
        <f aca="false">IF(Kalender!A52="",0,J1515-H1516)</f>
        <v>0.0150822</v>
      </c>
    </row>
    <row r="1517" customFormat="false" ht="16.4" hidden="false" customHeight="false" outlineLevel="0" collapsed="false">
      <c r="A1517" s="13" t="str">
        <f aca="false">""</f>
        <v/>
      </c>
      <c r="B1517" s="13" t="n">
        <f aca="false">49</f>
        <v>49</v>
      </c>
      <c r="C1517" s="13" t="n">
        <f aca="false">IF(Szenarien!$H$15="OK",(IFERROR(SUMIF(Nutzungsprofile!$B$6:$B$11,"Schulbetrieb",Nutzungsprofile!$G$6:$G$11)*Kalender!C53/SUM(Kalender!$C$5:$C$370),0)+IFERROR(SUMIF(Nutzungsprofile!$B$6:$B$11,"Halle",Nutzungsprofile!$G$6:$G$11)*Kalender!D53/SUM(Kalender!$D$5:$D$370),0)+IFERROR(SUMIF(Nutzungsprofile!$B$6:$B$11,"Individuell",Nutzungsprofile!$G$6:$G$11)*Kalender!E53/SUM(Kalender!$E$5:$E$370),0))*Szenarien!$E$15,0)</f>
        <v>2.94</v>
      </c>
      <c r="D1517" s="13" t="n">
        <f aca="false">IF(Szenarien!$H$15="OK",(IFERROR(SUMIF(Nutzungsprofile!$B$17:$B$22,"Schulbetrieb",Nutzungsprofile!$G$17:$G$22)*Kalender!C53/SUM(Kalender!$C$5:$C$370),0)+IFERROR(SUMIF(Nutzungsprofile!$B$17:$B$22,"Halle",Nutzungsprofile!$G$17:$G$22)*Kalender!D53/SUM(Kalender!$D$5:$D$370),0)+IFERROR(SUMIF(Nutzungsprofile!$B$17:$B$22,"Individuell",Nutzungsprofile!$G$17:$G$22)*Kalender!E53/SUM(Kalender!$E$5:$E$370),0))*Szenarien!$D$15,0)</f>
        <v>4.94</v>
      </c>
      <c r="E1517" s="13" t="n">
        <f aca="false">IFERROR(MIN(C1517,Eingaben!$B$17)*Eingaben!$B$16,0)</f>
        <v>2.793</v>
      </c>
      <c r="F1517" s="13" t="n">
        <f aca="false">IFERROR(E1517*Eingaben!$B$15,0)</f>
        <v>2.5137</v>
      </c>
      <c r="G1517" s="13" t="n">
        <f aca="false">IFERROR(IF(Kalender!A53="",0,J1516*(1-Eingaben!$B$20)),0)</f>
        <v>0.7390278</v>
      </c>
      <c r="H1517" s="13" t="n">
        <f aca="false">MIN(G1517,D1517)</f>
        <v>0.7390278</v>
      </c>
      <c r="I1517" s="13" t="n">
        <f aca="false">IFERROR(MIN(F1517*Eingaben!$B$19,MAX(0,D1517-H1517)),0)</f>
        <v>1.75959</v>
      </c>
      <c r="J1517" s="13" t="n">
        <f aca="false">IFERROR(MIN(Eingaben!$B$18,MAX(0,F1517-I1517)),0)</f>
        <v>0.75411</v>
      </c>
      <c r="K1517" s="13" t="n">
        <f aca="false">H1517+I1517</f>
        <v>2.4986178</v>
      </c>
      <c r="L1517" s="13" t="n">
        <f aca="false">MAX(0,D1517-K1517)</f>
        <v>2.4413822</v>
      </c>
      <c r="M1517" s="13" t="n">
        <f aca="false">MAX(0,F1517-I1517-J1517)</f>
        <v>0</v>
      </c>
      <c r="N1517" s="13" t="n">
        <f aca="false">IF(Kalender!A53="",0,J1516-H1517)</f>
        <v>0.0150822</v>
      </c>
    </row>
    <row r="1518" customFormat="false" ht="16.4" hidden="false" customHeight="false" outlineLevel="0" collapsed="false">
      <c r="A1518" s="13" t="str">
        <f aca="false">""</f>
        <v/>
      </c>
      <c r="B1518" s="13" t="n">
        <f aca="false">50</f>
        <v>50</v>
      </c>
      <c r="C1518" s="13" t="n">
        <f aca="false">IF(Szenarien!$H$15="OK",(IFERROR(SUMIF(Nutzungsprofile!$B$6:$B$11,"Schulbetrieb",Nutzungsprofile!$G$6:$G$11)*Kalender!C54/SUM(Kalender!$C$5:$C$370),0)+IFERROR(SUMIF(Nutzungsprofile!$B$6:$B$11,"Halle",Nutzungsprofile!$G$6:$G$11)*Kalender!D54/SUM(Kalender!$D$5:$D$370),0)+IFERROR(SUMIF(Nutzungsprofile!$B$6:$B$11,"Individuell",Nutzungsprofile!$G$6:$G$11)*Kalender!E54/SUM(Kalender!$E$5:$E$370),0))*Szenarien!$E$15,0)</f>
        <v>2.94</v>
      </c>
      <c r="D1518" s="13" t="n">
        <f aca="false">IF(Szenarien!$H$15="OK",(IFERROR(SUMIF(Nutzungsprofile!$B$17:$B$22,"Schulbetrieb",Nutzungsprofile!$G$17:$G$22)*Kalender!C54/SUM(Kalender!$C$5:$C$370),0)+IFERROR(SUMIF(Nutzungsprofile!$B$17:$B$22,"Halle",Nutzungsprofile!$G$17:$G$22)*Kalender!D54/SUM(Kalender!$D$5:$D$370),0)+IFERROR(SUMIF(Nutzungsprofile!$B$17:$B$22,"Individuell",Nutzungsprofile!$G$17:$G$22)*Kalender!E54/SUM(Kalender!$E$5:$E$370),0))*Szenarien!$D$15,0)</f>
        <v>4.94</v>
      </c>
      <c r="E1518" s="13" t="n">
        <f aca="false">IFERROR(MIN(C1518,Eingaben!$B$17)*Eingaben!$B$16,0)</f>
        <v>2.793</v>
      </c>
      <c r="F1518" s="13" t="n">
        <f aca="false">IFERROR(E1518*Eingaben!$B$15,0)</f>
        <v>2.5137</v>
      </c>
      <c r="G1518" s="13" t="n">
        <f aca="false">IFERROR(IF(Kalender!A54="",0,J1517*(1-Eingaben!$B$20)),0)</f>
        <v>0.7390278</v>
      </c>
      <c r="H1518" s="13" t="n">
        <f aca="false">MIN(G1518,D1518)</f>
        <v>0.7390278</v>
      </c>
      <c r="I1518" s="13" t="n">
        <f aca="false">IFERROR(MIN(F1518*Eingaben!$B$19,MAX(0,D1518-H1518)),0)</f>
        <v>1.75959</v>
      </c>
      <c r="J1518" s="13" t="n">
        <f aca="false">IFERROR(MIN(Eingaben!$B$18,MAX(0,F1518-I1518)),0)</f>
        <v>0.75411</v>
      </c>
      <c r="K1518" s="13" t="n">
        <f aca="false">H1518+I1518</f>
        <v>2.4986178</v>
      </c>
      <c r="L1518" s="13" t="n">
        <f aca="false">MAX(0,D1518-K1518)</f>
        <v>2.4413822</v>
      </c>
      <c r="M1518" s="13" t="n">
        <f aca="false">MAX(0,F1518-I1518-J1518)</f>
        <v>0</v>
      </c>
      <c r="N1518" s="13" t="n">
        <f aca="false">IF(Kalender!A54="",0,J1517-H1518)</f>
        <v>0.0150822</v>
      </c>
    </row>
    <row r="1519" customFormat="false" ht="16.4" hidden="false" customHeight="false" outlineLevel="0" collapsed="false">
      <c r="A1519" s="13" t="str">
        <f aca="false">""</f>
        <v/>
      </c>
      <c r="B1519" s="13" t="n">
        <f aca="false">51</f>
        <v>51</v>
      </c>
      <c r="C1519" s="13" t="n">
        <f aca="false">IF(Szenarien!$H$15="OK",(IFERROR(SUMIF(Nutzungsprofile!$B$6:$B$11,"Schulbetrieb",Nutzungsprofile!$G$6:$G$11)*Kalender!C55/SUM(Kalender!$C$5:$C$370),0)+IFERROR(SUMIF(Nutzungsprofile!$B$6:$B$11,"Halle",Nutzungsprofile!$G$6:$G$11)*Kalender!D55/SUM(Kalender!$D$5:$D$370),0)+IFERROR(SUMIF(Nutzungsprofile!$B$6:$B$11,"Individuell",Nutzungsprofile!$G$6:$G$11)*Kalender!E55/SUM(Kalender!$E$5:$E$370),0))*Szenarien!$E$15,0)</f>
        <v>2.94</v>
      </c>
      <c r="D1519" s="13" t="n">
        <f aca="false">IF(Szenarien!$H$15="OK",(IFERROR(SUMIF(Nutzungsprofile!$B$17:$B$22,"Schulbetrieb",Nutzungsprofile!$G$17:$G$22)*Kalender!C55/SUM(Kalender!$C$5:$C$370),0)+IFERROR(SUMIF(Nutzungsprofile!$B$17:$B$22,"Halle",Nutzungsprofile!$G$17:$G$22)*Kalender!D55/SUM(Kalender!$D$5:$D$370),0)+IFERROR(SUMIF(Nutzungsprofile!$B$17:$B$22,"Individuell",Nutzungsprofile!$G$17:$G$22)*Kalender!E55/SUM(Kalender!$E$5:$E$370),0))*Szenarien!$D$15,0)</f>
        <v>4.94</v>
      </c>
      <c r="E1519" s="13" t="n">
        <f aca="false">IFERROR(MIN(C1519,Eingaben!$B$17)*Eingaben!$B$16,0)</f>
        <v>2.793</v>
      </c>
      <c r="F1519" s="13" t="n">
        <f aca="false">IFERROR(E1519*Eingaben!$B$15,0)</f>
        <v>2.5137</v>
      </c>
      <c r="G1519" s="13" t="n">
        <f aca="false">IFERROR(IF(Kalender!A55="",0,J1518*(1-Eingaben!$B$20)),0)</f>
        <v>0.7390278</v>
      </c>
      <c r="H1519" s="13" t="n">
        <f aca="false">MIN(G1519,D1519)</f>
        <v>0.7390278</v>
      </c>
      <c r="I1519" s="13" t="n">
        <f aca="false">IFERROR(MIN(F1519*Eingaben!$B$19,MAX(0,D1519-H1519)),0)</f>
        <v>1.75959</v>
      </c>
      <c r="J1519" s="13" t="n">
        <f aca="false">IFERROR(MIN(Eingaben!$B$18,MAX(0,F1519-I1519)),0)</f>
        <v>0.75411</v>
      </c>
      <c r="K1519" s="13" t="n">
        <f aca="false">H1519+I1519</f>
        <v>2.4986178</v>
      </c>
      <c r="L1519" s="13" t="n">
        <f aca="false">MAX(0,D1519-K1519)</f>
        <v>2.4413822</v>
      </c>
      <c r="M1519" s="13" t="n">
        <f aca="false">MAX(0,F1519-I1519-J1519)</f>
        <v>0</v>
      </c>
      <c r="N1519" s="13" t="n">
        <f aca="false">IF(Kalender!A55="",0,J1518-H1519)</f>
        <v>0.0150822</v>
      </c>
    </row>
    <row r="1520" customFormat="false" ht="16.4" hidden="false" customHeight="false" outlineLevel="0" collapsed="false">
      <c r="A1520" s="13" t="str">
        <f aca="false">""</f>
        <v/>
      </c>
      <c r="B1520" s="13" t="n">
        <f aca="false">52</f>
        <v>52</v>
      </c>
      <c r="C1520" s="13" t="n">
        <f aca="false">IF(Szenarien!$H$15="OK",(IFERROR(SUMIF(Nutzungsprofile!$B$6:$B$11,"Schulbetrieb",Nutzungsprofile!$G$6:$G$11)*Kalender!C56/SUM(Kalender!$C$5:$C$370),0)+IFERROR(SUMIF(Nutzungsprofile!$B$6:$B$11,"Halle",Nutzungsprofile!$G$6:$G$11)*Kalender!D56/SUM(Kalender!$D$5:$D$370),0)+IFERROR(SUMIF(Nutzungsprofile!$B$6:$B$11,"Individuell",Nutzungsprofile!$G$6:$G$11)*Kalender!E56/SUM(Kalender!$E$5:$E$370),0))*Szenarien!$E$15,0)</f>
        <v>2.04</v>
      </c>
      <c r="D1520" s="13" t="n">
        <f aca="false">IF(Szenarien!$H$15="OK",(IFERROR(SUMIF(Nutzungsprofile!$B$17:$B$22,"Schulbetrieb",Nutzungsprofile!$G$17:$G$22)*Kalender!C56/SUM(Kalender!$C$5:$C$370),0)+IFERROR(SUMIF(Nutzungsprofile!$B$17:$B$22,"Halle",Nutzungsprofile!$G$17:$G$22)*Kalender!D56/SUM(Kalender!$D$5:$D$370),0)+IFERROR(SUMIF(Nutzungsprofile!$B$17:$B$22,"Individuell",Nutzungsprofile!$G$17:$G$22)*Kalender!E56/SUM(Kalender!$E$5:$E$370),0))*Szenarien!$D$15,0)</f>
        <v>0.89</v>
      </c>
      <c r="E1520" s="13" t="n">
        <f aca="false">IFERROR(MIN(C1520,Eingaben!$B$17)*Eingaben!$B$16,0)</f>
        <v>1.938</v>
      </c>
      <c r="F1520" s="13" t="n">
        <f aca="false">IFERROR(E1520*Eingaben!$B$15,0)</f>
        <v>1.7442</v>
      </c>
      <c r="G1520" s="13" t="n">
        <f aca="false">IFERROR(IF(Kalender!A56="",0,J1519*(1-Eingaben!$B$20)),0)</f>
        <v>0.7390278</v>
      </c>
      <c r="H1520" s="13" t="n">
        <f aca="false">MIN(G1520,D1520)</f>
        <v>0.7390278</v>
      </c>
      <c r="I1520" s="13" t="n">
        <f aca="false">IFERROR(MIN(F1520*Eingaben!$B$19,MAX(0,D1520-H1520)),0)</f>
        <v>0.1509722</v>
      </c>
      <c r="J1520" s="13" t="n">
        <f aca="false">IFERROR(MIN(Eingaben!$B$18,MAX(0,F1520-I1520)),0)</f>
        <v>1.5932278</v>
      </c>
      <c r="K1520" s="13" t="n">
        <f aca="false">H1520+I1520</f>
        <v>0.89</v>
      </c>
      <c r="L1520" s="13" t="n">
        <f aca="false">MAX(0,D1520-K1520)</f>
        <v>0</v>
      </c>
      <c r="M1520" s="13" t="n">
        <f aca="false">MAX(0,F1520-I1520-J1520)</f>
        <v>0</v>
      </c>
      <c r="N1520" s="13" t="n">
        <f aca="false">IF(Kalender!A56="",0,J1519-H1520)</f>
        <v>0.0150822</v>
      </c>
    </row>
    <row r="1521" customFormat="false" ht="16.4" hidden="false" customHeight="false" outlineLevel="0" collapsed="false">
      <c r="A1521" s="13" t="str">
        <f aca="false">""</f>
        <v/>
      </c>
      <c r="B1521" s="13" t="n">
        <f aca="false">53</f>
        <v>53</v>
      </c>
      <c r="C1521" s="13" t="n">
        <f aca="false">IF(Szenarien!$H$15="OK",(IFERROR(SUMIF(Nutzungsprofile!$B$6:$B$11,"Schulbetrieb",Nutzungsprofile!$G$6:$G$11)*Kalender!C57/SUM(Kalender!$C$5:$C$370),0)+IFERROR(SUMIF(Nutzungsprofile!$B$6:$B$11,"Halle",Nutzungsprofile!$G$6:$G$11)*Kalender!D57/SUM(Kalender!$D$5:$D$370),0)+IFERROR(SUMIF(Nutzungsprofile!$B$6:$B$11,"Individuell",Nutzungsprofile!$G$6:$G$11)*Kalender!E57/SUM(Kalender!$E$5:$E$370),0))*Szenarien!$E$15,0)</f>
        <v>2.04</v>
      </c>
      <c r="D1521" s="13" t="n">
        <f aca="false">IF(Szenarien!$H$15="OK",(IFERROR(SUMIF(Nutzungsprofile!$B$17:$B$22,"Schulbetrieb",Nutzungsprofile!$G$17:$G$22)*Kalender!C57/SUM(Kalender!$C$5:$C$370),0)+IFERROR(SUMIF(Nutzungsprofile!$B$17:$B$22,"Halle",Nutzungsprofile!$G$17:$G$22)*Kalender!D57/SUM(Kalender!$D$5:$D$370),0)+IFERROR(SUMIF(Nutzungsprofile!$B$17:$B$22,"Individuell",Nutzungsprofile!$G$17:$G$22)*Kalender!E57/SUM(Kalender!$E$5:$E$370),0))*Szenarien!$D$15,0)</f>
        <v>0.89</v>
      </c>
      <c r="E1521" s="13" t="n">
        <f aca="false">IFERROR(MIN(C1521,Eingaben!$B$17)*Eingaben!$B$16,0)</f>
        <v>1.938</v>
      </c>
      <c r="F1521" s="13" t="n">
        <f aca="false">IFERROR(E1521*Eingaben!$B$15,0)</f>
        <v>1.7442</v>
      </c>
      <c r="G1521" s="13" t="n">
        <f aca="false">IFERROR(IF(Kalender!A57="",0,J1520*(1-Eingaben!$B$20)),0)</f>
        <v>1.561363244</v>
      </c>
      <c r="H1521" s="13" t="n">
        <f aca="false">MIN(G1521,D1521)</f>
        <v>0.89</v>
      </c>
      <c r="I1521" s="13" t="n">
        <f aca="false">IFERROR(MIN(F1521*Eingaben!$B$19,MAX(0,D1521-H1521)),0)</f>
        <v>0</v>
      </c>
      <c r="J1521" s="13" t="n">
        <f aca="false">IFERROR(MIN(Eingaben!$B$18,MAX(0,F1521-I1521)),0)</f>
        <v>1.7442</v>
      </c>
      <c r="K1521" s="13" t="n">
        <f aca="false">H1521+I1521</f>
        <v>0.89</v>
      </c>
      <c r="L1521" s="13" t="n">
        <f aca="false">MAX(0,D1521-K1521)</f>
        <v>0</v>
      </c>
      <c r="M1521" s="13" t="n">
        <f aca="false">MAX(0,F1521-I1521-J1521)</f>
        <v>0</v>
      </c>
      <c r="N1521" s="13" t="n">
        <f aca="false">IF(Kalender!A57="",0,J1520-H1521)</f>
        <v>0.7032278</v>
      </c>
    </row>
    <row r="1522" customFormat="false" ht="16.4" hidden="false" customHeight="false" outlineLevel="0" collapsed="false">
      <c r="A1522" s="13" t="str">
        <f aca="false">""</f>
        <v/>
      </c>
      <c r="B1522" s="13" t="n">
        <f aca="false">54</f>
        <v>54</v>
      </c>
      <c r="C1522" s="13" t="n">
        <f aca="false">IF(Szenarien!$H$15="OK",(IFERROR(SUMIF(Nutzungsprofile!$B$6:$B$11,"Schulbetrieb",Nutzungsprofile!$G$6:$G$11)*Kalender!C58/SUM(Kalender!$C$5:$C$370),0)+IFERROR(SUMIF(Nutzungsprofile!$B$6:$B$11,"Halle",Nutzungsprofile!$G$6:$G$11)*Kalender!D58/SUM(Kalender!$D$5:$D$370),0)+IFERROR(SUMIF(Nutzungsprofile!$B$6:$B$11,"Individuell",Nutzungsprofile!$G$6:$G$11)*Kalender!E58/SUM(Kalender!$E$5:$E$370),0))*Szenarien!$E$15,0)</f>
        <v>2.94</v>
      </c>
      <c r="D1522" s="13" t="n">
        <f aca="false">IF(Szenarien!$H$15="OK",(IFERROR(SUMIF(Nutzungsprofile!$B$17:$B$22,"Schulbetrieb",Nutzungsprofile!$G$17:$G$22)*Kalender!C58/SUM(Kalender!$C$5:$C$370),0)+IFERROR(SUMIF(Nutzungsprofile!$B$17:$B$22,"Halle",Nutzungsprofile!$G$17:$G$22)*Kalender!D58/SUM(Kalender!$D$5:$D$370),0)+IFERROR(SUMIF(Nutzungsprofile!$B$17:$B$22,"Individuell",Nutzungsprofile!$G$17:$G$22)*Kalender!E58/SUM(Kalender!$E$5:$E$370),0))*Szenarien!$D$15,0)</f>
        <v>4.94</v>
      </c>
      <c r="E1522" s="13" t="n">
        <f aca="false">IFERROR(MIN(C1522,Eingaben!$B$17)*Eingaben!$B$16,0)</f>
        <v>2.793</v>
      </c>
      <c r="F1522" s="13" t="n">
        <f aca="false">IFERROR(E1522*Eingaben!$B$15,0)</f>
        <v>2.5137</v>
      </c>
      <c r="G1522" s="13" t="n">
        <f aca="false">IFERROR(IF(Kalender!A58="",0,J1521*(1-Eingaben!$B$20)),0)</f>
        <v>1.709316</v>
      </c>
      <c r="H1522" s="13" t="n">
        <f aca="false">MIN(G1522,D1522)</f>
        <v>1.709316</v>
      </c>
      <c r="I1522" s="13" t="n">
        <f aca="false">IFERROR(MIN(F1522*Eingaben!$B$19,MAX(0,D1522-H1522)),0)</f>
        <v>1.75959</v>
      </c>
      <c r="J1522" s="13" t="n">
        <f aca="false">IFERROR(MIN(Eingaben!$B$18,MAX(0,F1522-I1522)),0)</f>
        <v>0.75411</v>
      </c>
      <c r="K1522" s="13" t="n">
        <f aca="false">H1522+I1522</f>
        <v>3.468906</v>
      </c>
      <c r="L1522" s="13" t="n">
        <f aca="false">MAX(0,D1522-K1522)</f>
        <v>1.471094</v>
      </c>
      <c r="M1522" s="13" t="n">
        <f aca="false">MAX(0,F1522-I1522-J1522)</f>
        <v>0</v>
      </c>
      <c r="N1522" s="13" t="n">
        <f aca="false">IF(Kalender!A58="",0,J1521-H1522)</f>
        <v>0.0348840000000001</v>
      </c>
    </row>
    <row r="1523" customFormat="false" ht="16.4" hidden="false" customHeight="false" outlineLevel="0" collapsed="false">
      <c r="A1523" s="13" t="str">
        <f aca="false">""</f>
        <v/>
      </c>
      <c r="B1523" s="13" t="n">
        <f aca="false">55</f>
        <v>55</v>
      </c>
      <c r="C1523" s="13" t="n">
        <f aca="false">IF(Szenarien!$H$15="OK",(IFERROR(SUMIF(Nutzungsprofile!$B$6:$B$11,"Schulbetrieb",Nutzungsprofile!$G$6:$G$11)*Kalender!C59/SUM(Kalender!$C$5:$C$370),0)+IFERROR(SUMIF(Nutzungsprofile!$B$6:$B$11,"Halle",Nutzungsprofile!$G$6:$G$11)*Kalender!D59/SUM(Kalender!$D$5:$D$370),0)+IFERROR(SUMIF(Nutzungsprofile!$B$6:$B$11,"Individuell",Nutzungsprofile!$G$6:$G$11)*Kalender!E59/SUM(Kalender!$E$5:$E$370),0))*Szenarien!$E$15,0)</f>
        <v>2.94</v>
      </c>
      <c r="D1523" s="13" t="n">
        <f aca="false">IF(Szenarien!$H$15="OK",(IFERROR(SUMIF(Nutzungsprofile!$B$17:$B$22,"Schulbetrieb",Nutzungsprofile!$G$17:$G$22)*Kalender!C59/SUM(Kalender!$C$5:$C$370),0)+IFERROR(SUMIF(Nutzungsprofile!$B$17:$B$22,"Halle",Nutzungsprofile!$G$17:$G$22)*Kalender!D59/SUM(Kalender!$D$5:$D$370),0)+IFERROR(SUMIF(Nutzungsprofile!$B$17:$B$22,"Individuell",Nutzungsprofile!$G$17:$G$22)*Kalender!E59/SUM(Kalender!$E$5:$E$370),0))*Szenarien!$D$15,0)</f>
        <v>4.94</v>
      </c>
      <c r="E1523" s="13" t="n">
        <f aca="false">IFERROR(MIN(C1523,Eingaben!$B$17)*Eingaben!$B$16,0)</f>
        <v>2.793</v>
      </c>
      <c r="F1523" s="13" t="n">
        <f aca="false">IFERROR(E1523*Eingaben!$B$15,0)</f>
        <v>2.5137</v>
      </c>
      <c r="G1523" s="13" t="n">
        <f aca="false">IFERROR(IF(Kalender!A59="",0,J1522*(1-Eingaben!$B$20)),0)</f>
        <v>0.7390278</v>
      </c>
      <c r="H1523" s="13" t="n">
        <f aca="false">MIN(G1523,D1523)</f>
        <v>0.7390278</v>
      </c>
      <c r="I1523" s="13" t="n">
        <f aca="false">IFERROR(MIN(F1523*Eingaben!$B$19,MAX(0,D1523-H1523)),0)</f>
        <v>1.75959</v>
      </c>
      <c r="J1523" s="13" t="n">
        <f aca="false">IFERROR(MIN(Eingaben!$B$18,MAX(0,F1523-I1523)),0)</f>
        <v>0.75411</v>
      </c>
      <c r="K1523" s="13" t="n">
        <f aca="false">H1523+I1523</f>
        <v>2.4986178</v>
      </c>
      <c r="L1523" s="13" t="n">
        <f aca="false">MAX(0,D1523-K1523)</f>
        <v>2.4413822</v>
      </c>
      <c r="M1523" s="13" t="n">
        <f aca="false">MAX(0,F1523-I1523-J1523)</f>
        <v>0</v>
      </c>
      <c r="N1523" s="13" t="n">
        <f aca="false">IF(Kalender!A59="",0,J1522-H1523)</f>
        <v>0.0150822</v>
      </c>
    </row>
    <row r="1524" customFormat="false" ht="16.4" hidden="false" customHeight="false" outlineLevel="0" collapsed="false">
      <c r="A1524" s="13" t="str">
        <f aca="false">""</f>
        <v/>
      </c>
      <c r="B1524" s="13" t="n">
        <f aca="false">56</f>
        <v>56</v>
      </c>
      <c r="C1524" s="13" t="n">
        <f aca="false">IF(Szenarien!$H$15="OK",(IFERROR(SUMIF(Nutzungsprofile!$B$6:$B$11,"Schulbetrieb",Nutzungsprofile!$G$6:$G$11)*Kalender!C60/SUM(Kalender!$C$5:$C$370),0)+IFERROR(SUMIF(Nutzungsprofile!$B$6:$B$11,"Halle",Nutzungsprofile!$G$6:$G$11)*Kalender!D60/SUM(Kalender!$D$5:$D$370),0)+IFERROR(SUMIF(Nutzungsprofile!$B$6:$B$11,"Individuell",Nutzungsprofile!$G$6:$G$11)*Kalender!E60/SUM(Kalender!$E$5:$E$370),0))*Szenarien!$E$15,0)</f>
        <v>2.94</v>
      </c>
      <c r="D1524" s="13" t="n">
        <f aca="false">IF(Szenarien!$H$15="OK",(IFERROR(SUMIF(Nutzungsprofile!$B$17:$B$22,"Schulbetrieb",Nutzungsprofile!$G$17:$G$22)*Kalender!C60/SUM(Kalender!$C$5:$C$370),0)+IFERROR(SUMIF(Nutzungsprofile!$B$17:$B$22,"Halle",Nutzungsprofile!$G$17:$G$22)*Kalender!D60/SUM(Kalender!$D$5:$D$370),0)+IFERROR(SUMIF(Nutzungsprofile!$B$17:$B$22,"Individuell",Nutzungsprofile!$G$17:$G$22)*Kalender!E60/SUM(Kalender!$E$5:$E$370),0))*Szenarien!$D$15,0)</f>
        <v>4.94</v>
      </c>
      <c r="E1524" s="13" t="n">
        <f aca="false">IFERROR(MIN(C1524,Eingaben!$B$17)*Eingaben!$B$16,0)</f>
        <v>2.793</v>
      </c>
      <c r="F1524" s="13" t="n">
        <f aca="false">IFERROR(E1524*Eingaben!$B$15,0)</f>
        <v>2.5137</v>
      </c>
      <c r="G1524" s="13" t="n">
        <f aca="false">IFERROR(IF(Kalender!A60="",0,J1523*(1-Eingaben!$B$20)),0)</f>
        <v>0.7390278</v>
      </c>
      <c r="H1524" s="13" t="n">
        <f aca="false">MIN(G1524,D1524)</f>
        <v>0.7390278</v>
      </c>
      <c r="I1524" s="13" t="n">
        <f aca="false">IFERROR(MIN(F1524*Eingaben!$B$19,MAX(0,D1524-H1524)),0)</f>
        <v>1.75959</v>
      </c>
      <c r="J1524" s="13" t="n">
        <f aca="false">IFERROR(MIN(Eingaben!$B$18,MAX(0,F1524-I1524)),0)</f>
        <v>0.75411</v>
      </c>
      <c r="K1524" s="13" t="n">
        <f aca="false">H1524+I1524</f>
        <v>2.4986178</v>
      </c>
      <c r="L1524" s="13" t="n">
        <f aca="false">MAX(0,D1524-K1524)</f>
        <v>2.4413822</v>
      </c>
      <c r="M1524" s="13" t="n">
        <f aca="false">MAX(0,F1524-I1524-J1524)</f>
        <v>0</v>
      </c>
      <c r="N1524" s="13" t="n">
        <f aca="false">IF(Kalender!A60="",0,J1523-H1524)</f>
        <v>0.0150822</v>
      </c>
    </row>
    <row r="1525" customFormat="false" ht="16.4" hidden="false" customHeight="false" outlineLevel="0" collapsed="false">
      <c r="A1525" s="13" t="str">
        <f aca="false">""</f>
        <v/>
      </c>
      <c r="B1525" s="13" t="n">
        <f aca="false">57</f>
        <v>57</v>
      </c>
      <c r="C1525" s="13" t="n">
        <f aca="false">IF(Szenarien!$H$15="OK",(IFERROR(SUMIF(Nutzungsprofile!$B$6:$B$11,"Schulbetrieb",Nutzungsprofile!$G$6:$G$11)*Kalender!C61/SUM(Kalender!$C$5:$C$370),0)+IFERROR(SUMIF(Nutzungsprofile!$B$6:$B$11,"Halle",Nutzungsprofile!$G$6:$G$11)*Kalender!D61/SUM(Kalender!$D$5:$D$370),0)+IFERROR(SUMIF(Nutzungsprofile!$B$6:$B$11,"Individuell",Nutzungsprofile!$G$6:$G$11)*Kalender!E61/SUM(Kalender!$E$5:$E$370),0))*Szenarien!$E$15,0)</f>
        <v>2.94</v>
      </c>
      <c r="D1525" s="13" t="n">
        <f aca="false">IF(Szenarien!$H$15="OK",(IFERROR(SUMIF(Nutzungsprofile!$B$17:$B$22,"Schulbetrieb",Nutzungsprofile!$G$17:$G$22)*Kalender!C61/SUM(Kalender!$C$5:$C$370),0)+IFERROR(SUMIF(Nutzungsprofile!$B$17:$B$22,"Halle",Nutzungsprofile!$G$17:$G$22)*Kalender!D61/SUM(Kalender!$D$5:$D$370),0)+IFERROR(SUMIF(Nutzungsprofile!$B$17:$B$22,"Individuell",Nutzungsprofile!$G$17:$G$22)*Kalender!E61/SUM(Kalender!$E$5:$E$370),0))*Szenarien!$D$15,0)</f>
        <v>4.94</v>
      </c>
      <c r="E1525" s="13" t="n">
        <f aca="false">IFERROR(MIN(C1525,Eingaben!$B$17)*Eingaben!$B$16,0)</f>
        <v>2.793</v>
      </c>
      <c r="F1525" s="13" t="n">
        <f aca="false">IFERROR(E1525*Eingaben!$B$15,0)</f>
        <v>2.5137</v>
      </c>
      <c r="G1525" s="13" t="n">
        <f aca="false">IFERROR(IF(Kalender!A61="",0,J1524*(1-Eingaben!$B$20)),0)</f>
        <v>0.7390278</v>
      </c>
      <c r="H1525" s="13" t="n">
        <f aca="false">MIN(G1525,D1525)</f>
        <v>0.7390278</v>
      </c>
      <c r="I1525" s="13" t="n">
        <f aca="false">IFERROR(MIN(F1525*Eingaben!$B$19,MAX(0,D1525-H1525)),0)</f>
        <v>1.75959</v>
      </c>
      <c r="J1525" s="13" t="n">
        <f aca="false">IFERROR(MIN(Eingaben!$B$18,MAX(0,F1525-I1525)),0)</f>
        <v>0.75411</v>
      </c>
      <c r="K1525" s="13" t="n">
        <f aca="false">H1525+I1525</f>
        <v>2.4986178</v>
      </c>
      <c r="L1525" s="13" t="n">
        <f aca="false">MAX(0,D1525-K1525)</f>
        <v>2.4413822</v>
      </c>
      <c r="M1525" s="13" t="n">
        <f aca="false">MAX(0,F1525-I1525-J1525)</f>
        <v>0</v>
      </c>
      <c r="N1525" s="13" t="n">
        <f aca="false">IF(Kalender!A61="",0,J1524-H1525)</f>
        <v>0.0150822</v>
      </c>
    </row>
    <row r="1526" customFormat="false" ht="16.4" hidden="false" customHeight="false" outlineLevel="0" collapsed="false">
      <c r="A1526" s="13" t="str">
        <f aca="false">""</f>
        <v/>
      </c>
      <c r="B1526" s="13" t="n">
        <f aca="false">58</f>
        <v>58</v>
      </c>
      <c r="C1526" s="13" t="n">
        <f aca="false">IF(Szenarien!$H$15="OK",(IFERROR(SUMIF(Nutzungsprofile!$B$6:$B$11,"Schulbetrieb",Nutzungsprofile!$G$6:$G$11)*Kalender!C62/SUM(Kalender!$C$5:$C$370),0)+IFERROR(SUMIF(Nutzungsprofile!$B$6:$B$11,"Halle",Nutzungsprofile!$G$6:$G$11)*Kalender!D62/SUM(Kalender!$D$5:$D$370),0)+IFERROR(SUMIF(Nutzungsprofile!$B$6:$B$11,"Individuell",Nutzungsprofile!$G$6:$G$11)*Kalender!E62/SUM(Kalender!$E$5:$E$370),0))*Szenarien!$E$15,0)</f>
        <v>2.94</v>
      </c>
      <c r="D1526" s="13" t="n">
        <f aca="false">IF(Szenarien!$H$15="OK",(IFERROR(SUMIF(Nutzungsprofile!$B$17:$B$22,"Schulbetrieb",Nutzungsprofile!$G$17:$G$22)*Kalender!C62/SUM(Kalender!$C$5:$C$370),0)+IFERROR(SUMIF(Nutzungsprofile!$B$17:$B$22,"Halle",Nutzungsprofile!$G$17:$G$22)*Kalender!D62/SUM(Kalender!$D$5:$D$370),0)+IFERROR(SUMIF(Nutzungsprofile!$B$17:$B$22,"Individuell",Nutzungsprofile!$G$17:$G$22)*Kalender!E62/SUM(Kalender!$E$5:$E$370),0))*Szenarien!$D$15,0)</f>
        <v>4.94</v>
      </c>
      <c r="E1526" s="13" t="n">
        <f aca="false">IFERROR(MIN(C1526,Eingaben!$B$17)*Eingaben!$B$16,0)</f>
        <v>2.793</v>
      </c>
      <c r="F1526" s="13" t="n">
        <f aca="false">IFERROR(E1526*Eingaben!$B$15,0)</f>
        <v>2.5137</v>
      </c>
      <c r="G1526" s="13" t="n">
        <f aca="false">IFERROR(IF(Kalender!A62="",0,J1525*(1-Eingaben!$B$20)),0)</f>
        <v>0.7390278</v>
      </c>
      <c r="H1526" s="13" t="n">
        <f aca="false">MIN(G1526,D1526)</f>
        <v>0.7390278</v>
      </c>
      <c r="I1526" s="13" t="n">
        <f aca="false">IFERROR(MIN(F1526*Eingaben!$B$19,MAX(0,D1526-H1526)),0)</f>
        <v>1.75959</v>
      </c>
      <c r="J1526" s="13" t="n">
        <f aca="false">IFERROR(MIN(Eingaben!$B$18,MAX(0,F1526-I1526)),0)</f>
        <v>0.75411</v>
      </c>
      <c r="K1526" s="13" t="n">
        <f aca="false">H1526+I1526</f>
        <v>2.4986178</v>
      </c>
      <c r="L1526" s="13" t="n">
        <f aca="false">MAX(0,D1526-K1526)</f>
        <v>2.4413822</v>
      </c>
      <c r="M1526" s="13" t="n">
        <f aca="false">MAX(0,F1526-I1526-J1526)</f>
        <v>0</v>
      </c>
      <c r="N1526" s="13" t="n">
        <f aca="false">IF(Kalender!A62="",0,J1525-H1526)</f>
        <v>0.0150822</v>
      </c>
    </row>
    <row r="1527" customFormat="false" ht="16.4" hidden="false" customHeight="false" outlineLevel="0" collapsed="false">
      <c r="A1527" s="13" t="str">
        <f aca="false">""</f>
        <v/>
      </c>
      <c r="B1527" s="13" t="n">
        <f aca="false">59</f>
        <v>59</v>
      </c>
      <c r="C1527" s="13" t="n">
        <f aca="false">IF(Szenarien!$H$15="OK",(IFERROR(SUMIF(Nutzungsprofile!$B$6:$B$11,"Schulbetrieb",Nutzungsprofile!$G$6:$G$11)*Kalender!C63/SUM(Kalender!$C$5:$C$370),0)+IFERROR(SUMIF(Nutzungsprofile!$B$6:$B$11,"Halle",Nutzungsprofile!$G$6:$G$11)*Kalender!D63/SUM(Kalender!$D$5:$D$370),0)+IFERROR(SUMIF(Nutzungsprofile!$B$6:$B$11,"Individuell",Nutzungsprofile!$G$6:$G$11)*Kalender!E63/SUM(Kalender!$E$5:$E$370),0))*Szenarien!$E$15,0)</f>
        <v>2.04</v>
      </c>
      <c r="D1527" s="13" t="n">
        <f aca="false">IF(Szenarien!$H$15="OK",(IFERROR(SUMIF(Nutzungsprofile!$B$17:$B$22,"Schulbetrieb",Nutzungsprofile!$G$17:$G$22)*Kalender!C63/SUM(Kalender!$C$5:$C$370),0)+IFERROR(SUMIF(Nutzungsprofile!$B$17:$B$22,"Halle",Nutzungsprofile!$G$17:$G$22)*Kalender!D63/SUM(Kalender!$D$5:$D$370),0)+IFERROR(SUMIF(Nutzungsprofile!$B$17:$B$22,"Individuell",Nutzungsprofile!$G$17:$G$22)*Kalender!E63/SUM(Kalender!$E$5:$E$370),0))*Szenarien!$D$15,0)</f>
        <v>0.89</v>
      </c>
      <c r="E1527" s="13" t="n">
        <f aca="false">IFERROR(MIN(C1527,Eingaben!$B$17)*Eingaben!$B$16,0)</f>
        <v>1.938</v>
      </c>
      <c r="F1527" s="13" t="n">
        <f aca="false">IFERROR(E1527*Eingaben!$B$15,0)</f>
        <v>1.7442</v>
      </c>
      <c r="G1527" s="13" t="n">
        <f aca="false">IFERROR(IF(Kalender!A63="",0,J1526*(1-Eingaben!$B$20)),0)</f>
        <v>0.7390278</v>
      </c>
      <c r="H1527" s="13" t="n">
        <f aca="false">MIN(G1527,D1527)</f>
        <v>0.7390278</v>
      </c>
      <c r="I1527" s="13" t="n">
        <f aca="false">IFERROR(MIN(F1527*Eingaben!$B$19,MAX(0,D1527-H1527)),0)</f>
        <v>0.1509722</v>
      </c>
      <c r="J1527" s="13" t="n">
        <f aca="false">IFERROR(MIN(Eingaben!$B$18,MAX(0,F1527-I1527)),0)</f>
        <v>1.5932278</v>
      </c>
      <c r="K1527" s="13" t="n">
        <f aca="false">H1527+I1527</f>
        <v>0.89</v>
      </c>
      <c r="L1527" s="13" t="n">
        <f aca="false">MAX(0,D1527-K1527)</f>
        <v>0</v>
      </c>
      <c r="M1527" s="13" t="n">
        <f aca="false">MAX(0,F1527-I1527-J1527)</f>
        <v>0</v>
      </c>
      <c r="N1527" s="13" t="n">
        <f aca="false">IF(Kalender!A63="",0,J1526-H1527)</f>
        <v>0.0150822</v>
      </c>
    </row>
    <row r="1528" customFormat="false" ht="16.4" hidden="false" customHeight="false" outlineLevel="0" collapsed="false">
      <c r="A1528" s="13" t="str">
        <f aca="false">""</f>
        <v/>
      </c>
      <c r="B1528" s="13" t="n">
        <f aca="false">60</f>
        <v>60</v>
      </c>
      <c r="C1528" s="13" t="n">
        <f aca="false">IF(Szenarien!$H$15="OK",(IFERROR(SUMIF(Nutzungsprofile!$B$6:$B$11,"Schulbetrieb",Nutzungsprofile!$G$6:$G$11)*Kalender!C64/SUM(Kalender!$C$5:$C$370),0)+IFERROR(SUMIF(Nutzungsprofile!$B$6:$B$11,"Halle",Nutzungsprofile!$G$6:$G$11)*Kalender!D64/SUM(Kalender!$D$5:$D$370),0)+IFERROR(SUMIF(Nutzungsprofile!$B$6:$B$11,"Individuell",Nutzungsprofile!$G$6:$G$11)*Kalender!E64/SUM(Kalender!$E$5:$E$370),0))*Szenarien!$E$15,0)</f>
        <v>2.04</v>
      </c>
      <c r="D1528" s="13" t="n">
        <f aca="false">IF(Szenarien!$H$15="OK",(IFERROR(SUMIF(Nutzungsprofile!$B$17:$B$22,"Schulbetrieb",Nutzungsprofile!$G$17:$G$22)*Kalender!C64/SUM(Kalender!$C$5:$C$370),0)+IFERROR(SUMIF(Nutzungsprofile!$B$17:$B$22,"Halle",Nutzungsprofile!$G$17:$G$22)*Kalender!D64/SUM(Kalender!$D$5:$D$370),0)+IFERROR(SUMIF(Nutzungsprofile!$B$17:$B$22,"Individuell",Nutzungsprofile!$G$17:$G$22)*Kalender!E64/SUM(Kalender!$E$5:$E$370),0))*Szenarien!$D$15,0)</f>
        <v>0.89</v>
      </c>
      <c r="E1528" s="13" t="n">
        <f aca="false">IFERROR(MIN(C1528,Eingaben!$B$17)*Eingaben!$B$16,0)</f>
        <v>1.938</v>
      </c>
      <c r="F1528" s="13" t="n">
        <f aca="false">IFERROR(E1528*Eingaben!$B$15,0)</f>
        <v>1.7442</v>
      </c>
      <c r="G1528" s="13" t="n">
        <f aca="false">IFERROR(IF(Kalender!A64="",0,J1527*(1-Eingaben!$B$20)),0)</f>
        <v>1.561363244</v>
      </c>
      <c r="H1528" s="13" t="n">
        <f aca="false">MIN(G1528,D1528)</f>
        <v>0.89</v>
      </c>
      <c r="I1528" s="13" t="n">
        <f aca="false">IFERROR(MIN(F1528*Eingaben!$B$19,MAX(0,D1528-H1528)),0)</f>
        <v>0</v>
      </c>
      <c r="J1528" s="13" t="n">
        <f aca="false">IFERROR(MIN(Eingaben!$B$18,MAX(0,F1528-I1528)),0)</f>
        <v>1.7442</v>
      </c>
      <c r="K1528" s="13" t="n">
        <f aca="false">H1528+I1528</f>
        <v>0.89</v>
      </c>
      <c r="L1528" s="13" t="n">
        <f aca="false">MAX(0,D1528-K1528)</f>
        <v>0</v>
      </c>
      <c r="M1528" s="13" t="n">
        <f aca="false">MAX(0,F1528-I1528-J1528)</f>
        <v>0</v>
      </c>
      <c r="N1528" s="13" t="n">
        <f aca="false">IF(Kalender!A64="",0,J1527-H1528)</f>
        <v>0.7032278</v>
      </c>
    </row>
    <row r="1529" customFormat="false" ht="16.4" hidden="false" customHeight="false" outlineLevel="0" collapsed="false">
      <c r="A1529" s="13" t="str">
        <f aca="false">""</f>
        <v/>
      </c>
      <c r="B1529" s="13" t="n">
        <f aca="false">61</f>
        <v>61</v>
      </c>
      <c r="C1529" s="13" t="n">
        <f aca="false">IF(Szenarien!$H$15="OK",(IFERROR(SUMIF(Nutzungsprofile!$B$6:$B$11,"Schulbetrieb",Nutzungsprofile!$G$6:$G$11)*Kalender!C65/SUM(Kalender!$C$5:$C$370),0)+IFERROR(SUMIF(Nutzungsprofile!$B$6:$B$11,"Halle",Nutzungsprofile!$G$6:$G$11)*Kalender!D65/SUM(Kalender!$D$5:$D$370),0)+IFERROR(SUMIF(Nutzungsprofile!$B$6:$B$11,"Individuell",Nutzungsprofile!$G$6:$G$11)*Kalender!E65/SUM(Kalender!$E$5:$E$370),0))*Szenarien!$E$15,0)</f>
        <v>2.94</v>
      </c>
      <c r="D1529" s="13" t="n">
        <f aca="false">IF(Szenarien!$H$15="OK",(IFERROR(SUMIF(Nutzungsprofile!$B$17:$B$22,"Schulbetrieb",Nutzungsprofile!$G$17:$G$22)*Kalender!C65/SUM(Kalender!$C$5:$C$370),0)+IFERROR(SUMIF(Nutzungsprofile!$B$17:$B$22,"Halle",Nutzungsprofile!$G$17:$G$22)*Kalender!D65/SUM(Kalender!$D$5:$D$370),0)+IFERROR(SUMIF(Nutzungsprofile!$B$17:$B$22,"Individuell",Nutzungsprofile!$G$17:$G$22)*Kalender!E65/SUM(Kalender!$E$5:$E$370),0))*Szenarien!$D$15,0)</f>
        <v>4.94</v>
      </c>
      <c r="E1529" s="13" t="n">
        <f aca="false">IFERROR(MIN(C1529,Eingaben!$B$17)*Eingaben!$B$16,0)</f>
        <v>2.793</v>
      </c>
      <c r="F1529" s="13" t="n">
        <f aca="false">IFERROR(E1529*Eingaben!$B$15,0)</f>
        <v>2.5137</v>
      </c>
      <c r="G1529" s="13" t="n">
        <f aca="false">IFERROR(IF(Kalender!A65="",0,J1528*(1-Eingaben!$B$20)),0)</f>
        <v>1.709316</v>
      </c>
      <c r="H1529" s="13" t="n">
        <f aca="false">MIN(G1529,D1529)</f>
        <v>1.709316</v>
      </c>
      <c r="I1529" s="13" t="n">
        <f aca="false">IFERROR(MIN(F1529*Eingaben!$B$19,MAX(0,D1529-H1529)),0)</f>
        <v>1.75959</v>
      </c>
      <c r="J1529" s="13" t="n">
        <f aca="false">IFERROR(MIN(Eingaben!$B$18,MAX(0,F1529-I1529)),0)</f>
        <v>0.75411</v>
      </c>
      <c r="K1529" s="13" t="n">
        <f aca="false">H1529+I1529</f>
        <v>3.468906</v>
      </c>
      <c r="L1529" s="13" t="n">
        <f aca="false">MAX(0,D1529-K1529)</f>
        <v>1.471094</v>
      </c>
      <c r="M1529" s="13" t="n">
        <f aca="false">MAX(0,F1529-I1529-J1529)</f>
        <v>0</v>
      </c>
      <c r="N1529" s="13" t="n">
        <f aca="false">IF(Kalender!A65="",0,J1528-H1529)</f>
        <v>0.0348840000000001</v>
      </c>
    </row>
    <row r="1530" customFormat="false" ht="16.4" hidden="false" customHeight="false" outlineLevel="0" collapsed="false">
      <c r="A1530" s="13" t="str">
        <f aca="false">""</f>
        <v/>
      </c>
      <c r="B1530" s="13" t="n">
        <f aca="false">62</f>
        <v>62</v>
      </c>
      <c r="C1530" s="13" t="n">
        <f aca="false">IF(Szenarien!$H$15="OK",(IFERROR(SUMIF(Nutzungsprofile!$B$6:$B$11,"Schulbetrieb",Nutzungsprofile!$G$6:$G$11)*Kalender!C66/SUM(Kalender!$C$5:$C$370),0)+IFERROR(SUMIF(Nutzungsprofile!$B$6:$B$11,"Halle",Nutzungsprofile!$G$6:$G$11)*Kalender!D66/SUM(Kalender!$D$5:$D$370),0)+IFERROR(SUMIF(Nutzungsprofile!$B$6:$B$11,"Individuell",Nutzungsprofile!$G$6:$G$11)*Kalender!E66/SUM(Kalender!$E$5:$E$370),0))*Szenarien!$E$15,0)</f>
        <v>2.94</v>
      </c>
      <c r="D1530" s="13" t="n">
        <f aca="false">IF(Szenarien!$H$15="OK",(IFERROR(SUMIF(Nutzungsprofile!$B$17:$B$22,"Schulbetrieb",Nutzungsprofile!$G$17:$G$22)*Kalender!C66/SUM(Kalender!$C$5:$C$370),0)+IFERROR(SUMIF(Nutzungsprofile!$B$17:$B$22,"Halle",Nutzungsprofile!$G$17:$G$22)*Kalender!D66/SUM(Kalender!$D$5:$D$370),0)+IFERROR(SUMIF(Nutzungsprofile!$B$17:$B$22,"Individuell",Nutzungsprofile!$G$17:$G$22)*Kalender!E66/SUM(Kalender!$E$5:$E$370),0))*Szenarien!$D$15,0)</f>
        <v>4.94</v>
      </c>
      <c r="E1530" s="13" t="n">
        <f aca="false">IFERROR(MIN(C1530,Eingaben!$B$17)*Eingaben!$B$16,0)</f>
        <v>2.793</v>
      </c>
      <c r="F1530" s="13" t="n">
        <f aca="false">IFERROR(E1530*Eingaben!$B$15,0)</f>
        <v>2.5137</v>
      </c>
      <c r="G1530" s="13" t="n">
        <f aca="false">IFERROR(IF(Kalender!A66="",0,J1529*(1-Eingaben!$B$20)),0)</f>
        <v>0.7390278</v>
      </c>
      <c r="H1530" s="13" t="n">
        <f aca="false">MIN(G1530,D1530)</f>
        <v>0.7390278</v>
      </c>
      <c r="I1530" s="13" t="n">
        <f aca="false">IFERROR(MIN(F1530*Eingaben!$B$19,MAX(0,D1530-H1530)),0)</f>
        <v>1.75959</v>
      </c>
      <c r="J1530" s="13" t="n">
        <f aca="false">IFERROR(MIN(Eingaben!$B$18,MAX(0,F1530-I1530)),0)</f>
        <v>0.75411</v>
      </c>
      <c r="K1530" s="13" t="n">
        <f aca="false">H1530+I1530</f>
        <v>2.4986178</v>
      </c>
      <c r="L1530" s="13" t="n">
        <f aca="false">MAX(0,D1530-K1530)</f>
        <v>2.4413822</v>
      </c>
      <c r="M1530" s="13" t="n">
        <f aca="false">MAX(0,F1530-I1530-J1530)</f>
        <v>0</v>
      </c>
      <c r="N1530" s="13" t="n">
        <f aca="false">IF(Kalender!A66="",0,J1529-H1530)</f>
        <v>0.0150822</v>
      </c>
    </row>
    <row r="1531" customFormat="false" ht="16.4" hidden="false" customHeight="false" outlineLevel="0" collapsed="false">
      <c r="A1531" s="13" t="str">
        <f aca="false">""</f>
        <v/>
      </c>
      <c r="B1531" s="13" t="n">
        <f aca="false">63</f>
        <v>63</v>
      </c>
      <c r="C1531" s="13" t="n">
        <f aca="false">IF(Szenarien!$H$15="OK",(IFERROR(SUMIF(Nutzungsprofile!$B$6:$B$11,"Schulbetrieb",Nutzungsprofile!$G$6:$G$11)*Kalender!C67/SUM(Kalender!$C$5:$C$370),0)+IFERROR(SUMIF(Nutzungsprofile!$B$6:$B$11,"Halle",Nutzungsprofile!$G$6:$G$11)*Kalender!D67/SUM(Kalender!$D$5:$D$370),0)+IFERROR(SUMIF(Nutzungsprofile!$B$6:$B$11,"Individuell",Nutzungsprofile!$G$6:$G$11)*Kalender!E67/SUM(Kalender!$E$5:$E$370),0))*Szenarien!$E$15,0)</f>
        <v>2.94</v>
      </c>
      <c r="D1531" s="13" t="n">
        <f aca="false">IF(Szenarien!$H$15="OK",(IFERROR(SUMIF(Nutzungsprofile!$B$17:$B$22,"Schulbetrieb",Nutzungsprofile!$G$17:$G$22)*Kalender!C67/SUM(Kalender!$C$5:$C$370),0)+IFERROR(SUMIF(Nutzungsprofile!$B$17:$B$22,"Halle",Nutzungsprofile!$G$17:$G$22)*Kalender!D67/SUM(Kalender!$D$5:$D$370),0)+IFERROR(SUMIF(Nutzungsprofile!$B$17:$B$22,"Individuell",Nutzungsprofile!$G$17:$G$22)*Kalender!E67/SUM(Kalender!$E$5:$E$370),0))*Szenarien!$D$15,0)</f>
        <v>4.94</v>
      </c>
      <c r="E1531" s="13" t="n">
        <f aca="false">IFERROR(MIN(C1531,Eingaben!$B$17)*Eingaben!$B$16,0)</f>
        <v>2.793</v>
      </c>
      <c r="F1531" s="13" t="n">
        <f aca="false">IFERROR(E1531*Eingaben!$B$15,0)</f>
        <v>2.5137</v>
      </c>
      <c r="G1531" s="13" t="n">
        <f aca="false">IFERROR(IF(Kalender!A67="",0,J1530*(1-Eingaben!$B$20)),0)</f>
        <v>0.7390278</v>
      </c>
      <c r="H1531" s="13" t="n">
        <f aca="false">MIN(G1531,D1531)</f>
        <v>0.7390278</v>
      </c>
      <c r="I1531" s="13" t="n">
        <f aca="false">IFERROR(MIN(F1531*Eingaben!$B$19,MAX(0,D1531-H1531)),0)</f>
        <v>1.75959</v>
      </c>
      <c r="J1531" s="13" t="n">
        <f aca="false">IFERROR(MIN(Eingaben!$B$18,MAX(0,F1531-I1531)),0)</f>
        <v>0.75411</v>
      </c>
      <c r="K1531" s="13" t="n">
        <f aca="false">H1531+I1531</f>
        <v>2.4986178</v>
      </c>
      <c r="L1531" s="13" t="n">
        <f aca="false">MAX(0,D1531-K1531)</f>
        <v>2.4413822</v>
      </c>
      <c r="M1531" s="13" t="n">
        <f aca="false">MAX(0,F1531-I1531-J1531)</f>
        <v>0</v>
      </c>
      <c r="N1531" s="13" t="n">
        <f aca="false">IF(Kalender!A67="",0,J1530-H1531)</f>
        <v>0.0150822</v>
      </c>
    </row>
    <row r="1532" customFormat="false" ht="16.4" hidden="false" customHeight="false" outlineLevel="0" collapsed="false">
      <c r="A1532" s="13" t="str">
        <f aca="false">""</f>
        <v/>
      </c>
      <c r="B1532" s="13" t="n">
        <f aca="false">64</f>
        <v>64</v>
      </c>
      <c r="C1532" s="13" t="n">
        <f aca="false">IF(Szenarien!$H$15="OK",(IFERROR(SUMIF(Nutzungsprofile!$B$6:$B$11,"Schulbetrieb",Nutzungsprofile!$G$6:$G$11)*Kalender!C68/SUM(Kalender!$C$5:$C$370),0)+IFERROR(SUMIF(Nutzungsprofile!$B$6:$B$11,"Halle",Nutzungsprofile!$G$6:$G$11)*Kalender!D68/SUM(Kalender!$D$5:$D$370),0)+IFERROR(SUMIF(Nutzungsprofile!$B$6:$B$11,"Individuell",Nutzungsprofile!$G$6:$G$11)*Kalender!E68/SUM(Kalender!$E$5:$E$370),0))*Szenarien!$E$15,0)</f>
        <v>2.94</v>
      </c>
      <c r="D1532" s="13" t="n">
        <f aca="false">IF(Szenarien!$H$15="OK",(IFERROR(SUMIF(Nutzungsprofile!$B$17:$B$22,"Schulbetrieb",Nutzungsprofile!$G$17:$G$22)*Kalender!C68/SUM(Kalender!$C$5:$C$370),0)+IFERROR(SUMIF(Nutzungsprofile!$B$17:$B$22,"Halle",Nutzungsprofile!$G$17:$G$22)*Kalender!D68/SUM(Kalender!$D$5:$D$370),0)+IFERROR(SUMIF(Nutzungsprofile!$B$17:$B$22,"Individuell",Nutzungsprofile!$G$17:$G$22)*Kalender!E68/SUM(Kalender!$E$5:$E$370),0))*Szenarien!$D$15,0)</f>
        <v>4.94</v>
      </c>
      <c r="E1532" s="13" t="n">
        <f aca="false">IFERROR(MIN(C1532,Eingaben!$B$17)*Eingaben!$B$16,0)</f>
        <v>2.793</v>
      </c>
      <c r="F1532" s="13" t="n">
        <f aca="false">IFERROR(E1532*Eingaben!$B$15,0)</f>
        <v>2.5137</v>
      </c>
      <c r="G1532" s="13" t="n">
        <f aca="false">IFERROR(IF(Kalender!A68="",0,J1531*(1-Eingaben!$B$20)),0)</f>
        <v>0.7390278</v>
      </c>
      <c r="H1532" s="13" t="n">
        <f aca="false">MIN(G1532,D1532)</f>
        <v>0.7390278</v>
      </c>
      <c r="I1532" s="13" t="n">
        <f aca="false">IFERROR(MIN(F1532*Eingaben!$B$19,MAX(0,D1532-H1532)),0)</f>
        <v>1.75959</v>
      </c>
      <c r="J1532" s="13" t="n">
        <f aca="false">IFERROR(MIN(Eingaben!$B$18,MAX(0,F1532-I1532)),0)</f>
        <v>0.75411</v>
      </c>
      <c r="K1532" s="13" t="n">
        <f aca="false">H1532+I1532</f>
        <v>2.4986178</v>
      </c>
      <c r="L1532" s="13" t="n">
        <f aca="false">MAX(0,D1532-K1532)</f>
        <v>2.4413822</v>
      </c>
      <c r="M1532" s="13" t="n">
        <f aca="false">MAX(0,F1532-I1532-J1532)</f>
        <v>0</v>
      </c>
      <c r="N1532" s="13" t="n">
        <f aca="false">IF(Kalender!A68="",0,J1531-H1532)</f>
        <v>0.0150822</v>
      </c>
    </row>
    <row r="1533" customFormat="false" ht="16.4" hidden="false" customHeight="false" outlineLevel="0" collapsed="false">
      <c r="A1533" s="13" t="str">
        <f aca="false">""</f>
        <v/>
      </c>
      <c r="B1533" s="13" t="n">
        <f aca="false">65</f>
        <v>65</v>
      </c>
      <c r="C1533" s="13" t="n">
        <f aca="false">IF(Szenarien!$H$15="OK",(IFERROR(SUMIF(Nutzungsprofile!$B$6:$B$11,"Schulbetrieb",Nutzungsprofile!$G$6:$G$11)*Kalender!C69/SUM(Kalender!$C$5:$C$370),0)+IFERROR(SUMIF(Nutzungsprofile!$B$6:$B$11,"Halle",Nutzungsprofile!$G$6:$G$11)*Kalender!D69/SUM(Kalender!$D$5:$D$370),0)+IFERROR(SUMIF(Nutzungsprofile!$B$6:$B$11,"Individuell",Nutzungsprofile!$G$6:$G$11)*Kalender!E69/SUM(Kalender!$E$5:$E$370),0))*Szenarien!$E$15,0)</f>
        <v>2.94</v>
      </c>
      <c r="D1533" s="13" t="n">
        <f aca="false">IF(Szenarien!$H$15="OK",(IFERROR(SUMIF(Nutzungsprofile!$B$17:$B$22,"Schulbetrieb",Nutzungsprofile!$G$17:$G$22)*Kalender!C69/SUM(Kalender!$C$5:$C$370),0)+IFERROR(SUMIF(Nutzungsprofile!$B$17:$B$22,"Halle",Nutzungsprofile!$G$17:$G$22)*Kalender!D69/SUM(Kalender!$D$5:$D$370),0)+IFERROR(SUMIF(Nutzungsprofile!$B$17:$B$22,"Individuell",Nutzungsprofile!$G$17:$G$22)*Kalender!E69/SUM(Kalender!$E$5:$E$370),0))*Szenarien!$D$15,0)</f>
        <v>4.94</v>
      </c>
      <c r="E1533" s="13" t="n">
        <f aca="false">IFERROR(MIN(C1533,Eingaben!$B$17)*Eingaben!$B$16,0)</f>
        <v>2.793</v>
      </c>
      <c r="F1533" s="13" t="n">
        <f aca="false">IFERROR(E1533*Eingaben!$B$15,0)</f>
        <v>2.5137</v>
      </c>
      <c r="G1533" s="13" t="n">
        <f aca="false">IFERROR(IF(Kalender!A69="",0,J1532*(1-Eingaben!$B$20)),0)</f>
        <v>0.7390278</v>
      </c>
      <c r="H1533" s="13" t="n">
        <f aca="false">MIN(G1533,D1533)</f>
        <v>0.7390278</v>
      </c>
      <c r="I1533" s="13" t="n">
        <f aca="false">IFERROR(MIN(F1533*Eingaben!$B$19,MAX(0,D1533-H1533)),0)</f>
        <v>1.75959</v>
      </c>
      <c r="J1533" s="13" t="n">
        <f aca="false">IFERROR(MIN(Eingaben!$B$18,MAX(0,F1533-I1533)),0)</f>
        <v>0.75411</v>
      </c>
      <c r="K1533" s="13" t="n">
        <f aca="false">H1533+I1533</f>
        <v>2.4986178</v>
      </c>
      <c r="L1533" s="13" t="n">
        <f aca="false">MAX(0,D1533-K1533)</f>
        <v>2.4413822</v>
      </c>
      <c r="M1533" s="13" t="n">
        <f aca="false">MAX(0,F1533-I1533-J1533)</f>
        <v>0</v>
      </c>
      <c r="N1533" s="13" t="n">
        <f aca="false">IF(Kalender!A69="",0,J1532-H1533)</f>
        <v>0.0150822</v>
      </c>
    </row>
    <row r="1534" customFormat="false" ht="16.4" hidden="false" customHeight="false" outlineLevel="0" collapsed="false">
      <c r="A1534" s="13" t="str">
        <f aca="false">""</f>
        <v/>
      </c>
      <c r="B1534" s="13" t="n">
        <f aca="false">66</f>
        <v>66</v>
      </c>
      <c r="C1534" s="13" t="n">
        <f aca="false">IF(Szenarien!$H$15="OK",(IFERROR(SUMIF(Nutzungsprofile!$B$6:$B$11,"Schulbetrieb",Nutzungsprofile!$G$6:$G$11)*Kalender!C70/SUM(Kalender!$C$5:$C$370),0)+IFERROR(SUMIF(Nutzungsprofile!$B$6:$B$11,"Halle",Nutzungsprofile!$G$6:$G$11)*Kalender!D70/SUM(Kalender!$D$5:$D$370),0)+IFERROR(SUMIF(Nutzungsprofile!$B$6:$B$11,"Individuell",Nutzungsprofile!$G$6:$G$11)*Kalender!E70/SUM(Kalender!$E$5:$E$370),0))*Szenarien!$E$15,0)</f>
        <v>2.04</v>
      </c>
      <c r="D1534" s="13" t="n">
        <f aca="false">IF(Szenarien!$H$15="OK",(IFERROR(SUMIF(Nutzungsprofile!$B$17:$B$22,"Schulbetrieb",Nutzungsprofile!$G$17:$G$22)*Kalender!C70/SUM(Kalender!$C$5:$C$370),0)+IFERROR(SUMIF(Nutzungsprofile!$B$17:$B$22,"Halle",Nutzungsprofile!$G$17:$G$22)*Kalender!D70/SUM(Kalender!$D$5:$D$370),0)+IFERROR(SUMIF(Nutzungsprofile!$B$17:$B$22,"Individuell",Nutzungsprofile!$G$17:$G$22)*Kalender!E70/SUM(Kalender!$E$5:$E$370),0))*Szenarien!$D$15,0)</f>
        <v>0.89</v>
      </c>
      <c r="E1534" s="13" t="n">
        <f aca="false">IFERROR(MIN(C1534,Eingaben!$B$17)*Eingaben!$B$16,0)</f>
        <v>1.938</v>
      </c>
      <c r="F1534" s="13" t="n">
        <f aca="false">IFERROR(E1534*Eingaben!$B$15,0)</f>
        <v>1.7442</v>
      </c>
      <c r="G1534" s="13" t="n">
        <f aca="false">IFERROR(IF(Kalender!A70="",0,J1533*(1-Eingaben!$B$20)),0)</f>
        <v>0.7390278</v>
      </c>
      <c r="H1534" s="13" t="n">
        <f aca="false">MIN(G1534,D1534)</f>
        <v>0.7390278</v>
      </c>
      <c r="I1534" s="13" t="n">
        <f aca="false">IFERROR(MIN(F1534*Eingaben!$B$19,MAX(0,D1534-H1534)),0)</f>
        <v>0.1509722</v>
      </c>
      <c r="J1534" s="13" t="n">
        <f aca="false">IFERROR(MIN(Eingaben!$B$18,MAX(0,F1534-I1534)),0)</f>
        <v>1.5932278</v>
      </c>
      <c r="K1534" s="13" t="n">
        <f aca="false">H1534+I1534</f>
        <v>0.89</v>
      </c>
      <c r="L1534" s="13" t="n">
        <f aca="false">MAX(0,D1534-K1534)</f>
        <v>0</v>
      </c>
      <c r="M1534" s="13" t="n">
        <f aca="false">MAX(0,F1534-I1534-J1534)</f>
        <v>0</v>
      </c>
      <c r="N1534" s="13" t="n">
        <f aca="false">IF(Kalender!A70="",0,J1533-H1534)</f>
        <v>0.0150822</v>
      </c>
    </row>
    <row r="1535" customFormat="false" ht="16.4" hidden="false" customHeight="false" outlineLevel="0" collapsed="false">
      <c r="A1535" s="13" t="str">
        <f aca="false">""</f>
        <v/>
      </c>
      <c r="B1535" s="13" t="n">
        <f aca="false">67</f>
        <v>67</v>
      </c>
      <c r="C1535" s="13" t="n">
        <f aca="false">IF(Szenarien!$H$15="OK",(IFERROR(SUMIF(Nutzungsprofile!$B$6:$B$11,"Schulbetrieb",Nutzungsprofile!$G$6:$G$11)*Kalender!C71/SUM(Kalender!$C$5:$C$370),0)+IFERROR(SUMIF(Nutzungsprofile!$B$6:$B$11,"Halle",Nutzungsprofile!$G$6:$G$11)*Kalender!D71/SUM(Kalender!$D$5:$D$370),0)+IFERROR(SUMIF(Nutzungsprofile!$B$6:$B$11,"Individuell",Nutzungsprofile!$G$6:$G$11)*Kalender!E71/SUM(Kalender!$E$5:$E$370),0))*Szenarien!$E$15,0)</f>
        <v>2.04</v>
      </c>
      <c r="D1535" s="13" t="n">
        <f aca="false">IF(Szenarien!$H$15="OK",(IFERROR(SUMIF(Nutzungsprofile!$B$17:$B$22,"Schulbetrieb",Nutzungsprofile!$G$17:$G$22)*Kalender!C71/SUM(Kalender!$C$5:$C$370),0)+IFERROR(SUMIF(Nutzungsprofile!$B$17:$B$22,"Halle",Nutzungsprofile!$G$17:$G$22)*Kalender!D71/SUM(Kalender!$D$5:$D$370),0)+IFERROR(SUMIF(Nutzungsprofile!$B$17:$B$22,"Individuell",Nutzungsprofile!$G$17:$G$22)*Kalender!E71/SUM(Kalender!$E$5:$E$370),0))*Szenarien!$D$15,0)</f>
        <v>0.89</v>
      </c>
      <c r="E1535" s="13" t="n">
        <f aca="false">IFERROR(MIN(C1535,Eingaben!$B$17)*Eingaben!$B$16,0)</f>
        <v>1.938</v>
      </c>
      <c r="F1535" s="13" t="n">
        <f aca="false">IFERROR(E1535*Eingaben!$B$15,0)</f>
        <v>1.7442</v>
      </c>
      <c r="G1535" s="13" t="n">
        <f aca="false">IFERROR(IF(Kalender!A71="",0,J1534*(1-Eingaben!$B$20)),0)</f>
        <v>1.561363244</v>
      </c>
      <c r="H1535" s="13" t="n">
        <f aca="false">MIN(G1535,D1535)</f>
        <v>0.89</v>
      </c>
      <c r="I1535" s="13" t="n">
        <f aca="false">IFERROR(MIN(F1535*Eingaben!$B$19,MAX(0,D1535-H1535)),0)</f>
        <v>0</v>
      </c>
      <c r="J1535" s="13" t="n">
        <f aca="false">IFERROR(MIN(Eingaben!$B$18,MAX(0,F1535-I1535)),0)</f>
        <v>1.7442</v>
      </c>
      <c r="K1535" s="13" t="n">
        <f aca="false">H1535+I1535</f>
        <v>0.89</v>
      </c>
      <c r="L1535" s="13" t="n">
        <f aca="false">MAX(0,D1535-K1535)</f>
        <v>0</v>
      </c>
      <c r="M1535" s="13" t="n">
        <f aca="false">MAX(0,F1535-I1535-J1535)</f>
        <v>0</v>
      </c>
      <c r="N1535" s="13" t="n">
        <f aca="false">IF(Kalender!A71="",0,J1534-H1535)</f>
        <v>0.7032278</v>
      </c>
    </row>
    <row r="1536" customFormat="false" ht="16.4" hidden="false" customHeight="false" outlineLevel="0" collapsed="false">
      <c r="A1536" s="13" t="str">
        <f aca="false">""</f>
        <v/>
      </c>
      <c r="B1536" s="13" t="n">
        <f aca="false">68</f>
        <v>68</v>
      </c>
      <c r="C1536" s="13" t="n">
        <f aca="false">IF(Szenarien!$H$15="OK",(IFERROR(SUMIF(Nutzungsprofile!$B$6:$B$11,"Schulbetrieb",Nutzungsprofile!$G$6:$G$11)*Kalender!C72/SUM(Kalender!$C$5:$C$370),0)+IFERROR(SUMIF(Nutzungsprofile!$B$6:$B$11,"Halle",Nutzungsprofile!$G$6:$G$11)*Kalender!D72/SUM(Kalender!$D$5:$D$370),0)+IFERROR(SUMIF(Nutzungsprofile!$B$6:$B$11,"Individuell",Nutzungsprofile!$G$6:$G$11)*Kalender!E72/SUM(Kalender!$E$5:$E$370),0))*Szenarien!$E$15,0)</f>
        <v>2.94</v>
      </c>
      <c r="D1536" s="13" t="n">
        <f aca="false">IF(Szenarien!$H$15="OK",(IFERROR(SUMIF(Nutzungsprofile!$B$17:$B$22,"Schulbetrieb",Nutzungsprofile!$G$17:$G$22)*Kalender!C72/SUM(Kalender!$C$5:$C$370),0)+IFERROR(SUMIF(Nutzungsprofile!$B$17:$B$22,"Halle",Nutzungsprofile!$G$17:$G$22)*Kalender!D72/SUM(Kalender!$D$5:$D$370),0)+IFERROR(SUMIF(Nutzungsprofile!$B$17:$B$22,"Individuell",Nutzungsprofile!$G$17:$G$22)*Kalender!E72/SUM(Kalender!$E$5:$E$370),0))*Szenarien!$D$15,0)</f>
        <v>4.94</v>
      </c>
      <c r="E1536" s="13" t="n">
        <f aca="false">IFERROR(MIN(C1536,Eingaben!$B$17)*Eingaben!$B$16,0)</f>
        <v>2.793</v>
      </c>
      <c r="F1536" s="13" t="n">
        <f aca="false">IFERROR(E1536*Eingaben!$B$15,0)</f>
        <v>2.5137</v>
      </c>
      <c r="G1536" s="13" t="n">
        <f aca="false">IFERROR(IF(Kalender!A72="",0,J1535*(1-Eingaben!$B$20)),0)</f>
        <v>1.709316</v>
      </c>
      <c r="H1536" s="13" t="n">
        <f aca="false">MIN(G1536,D1536)</f>
        <v>1.709316</v>
      </c>
      <c r="I1536" s="13" t="n">
        <f aca="false">IFERROR(MIN(F1536*Eingaben!$B$19,MAX(0,D1536-H1536)),0)</f>
        <v>1.75959</v>
      </c>
      <c r="J1536" s="13" t="n">
        <f aca="false">IFERROR(MIN(Eingaben!$B$18,MAX(0,F1536-I1536)),0)</f>
        <v>0.75411</v>
      </c>
      <c r="K1536" s="13" t="n">
        <f aca="false">H1536+I1536</f>
        <v>3.468906</v>
      </c>
      <c r="L1536" s="13" t="n">
        <f aca="false">MAX(0,D1536-K1536)</f>
        <v>1.471094</v>
      </c>
      <c r="M1536" s="13" t="n">
        <f aca="false">MAX(0,F1536-I1536-J1536)</f>
        <v>0</v>
      </c>
      <c r="N1536" s="13" t="n">
        <f aca="false">IF(Kalender!A72="",0,J1535-H1536)</f>
        <v>0.0348840000000001</v>
      </c>
    </row>
    <row r="1537" customFormat="false" ht="16.4" hidden="false" customHeight="false" outlineLevel="0" collapsed="false">
      <c r="A1537" s="13" t="str">
        <f aca="false">""</f>
        <v/>
      </c>
      <c r="B1537" s="13" t="n">
        <f aca="false">69</f>
        <v>69</v>
      </c>
      <c r="C1537" s="13" t="n">
        <f aca="false">IF(Szenarien!$H$15="OK",(IFERROR(SUMIF(Nutzungsprofile!$B$6:$B$11,"Schulbetrieb",Nutzungsprofile!$G$6:$G$11)*Kalender!C73/SUM(Kalender!$C$5:$C$370),0)+IFERROR(SUMIF(Nutzungsprofile!$B$6:$B$11,"Halle",Nutzungsprofile!$G$6:$G$11)*Kalender!D73/SUM(Kalender!$D$5:$D$370),0)+IFERROR(SUMIF(Nutzungsprofile!$B$6:$B$11,"Individuell",Nutzungsprofile!$G$6:$G$11)*Kalender!E73/SUM(Kalender!$E$5:$E$370),0))*Szenarien!$E$15,0)</f>
        <v>2.94</v>
      </c>
      <c r="D1537" s="13" t="n">
        <f aca="false">IF(Szenarien!$H$15="OK",(IFERROR(SUMIF(Nutzungsprofile!$B$17:$B$22,"Schulbetrieb",Nutzungsprofile!$G$17:$G$22)*Kalender!C73/SUM(Kalender!$C$5:$C$370),0)+IFERROR(SUMIF(Nutzungsprofile!$B$17:$B$22,"Halle",Nutzungsprofile!$G$17:$G$22)*Kalender!D73/SUM(Kalender!$D$5:$D$370),0)+IFERROR(SUMIF(Nutzungsprofile!$B$17:$B$22,"Individuell",Nutzungsprofile!$G$17:$G$22)*Kalender!E73/SUM(Kalender!$E$5:$E$370),0))*Szenarien!$D$15,0)</f>
        <v>4.94</v>
      </c>
      <c r="E1537" s="13" t="n">
        <f aca="false">IFERROR(MIN(C1537,Eingaben!$B$17)*Eingaben!$B$16,0)</f>
        <v>2.793</v>
      </c>
      <c r="F1537" s="13" t="n">
        <f aca="false">IFERROR(E1537*Eingaben!$B$15,0)</f>
        <v>2.5137</v>
      </c>
      <c r="G1537" s="13" t="n">
        <f aca="false">IFERROR(IF(Kalender!A73="",0,J1536*(1-Eingaben!$B$20)),0)</f>
        <v>0.7390278</v>
      </c>
      <c r="H1537" s="13" t="n">
        <f aca="false">MIN(G1537,D1537)</f>
        <v>0.7390278</v>
      </c>
      <c r="I1537" s="13" t="n">
        <f aca="false">IFERROR(MIN(F1537*Eingaben!$B$19,MAX(0,D1537-H1537)),0)</f>
        <v>1.75959</v>
      </c>
      <c r="J1537" s="13" t="n">
        <f aca="false">IFERROR(MIN(Eingaben!$B$18,MAX(0,F1537-I1537)),0)</f>
        <v>0.75411</v>
      </c>
      <c r="K1537" s="13" t="n">
        <f aca="false">H1537+I1537</f>
        <v>2.4986178</v>
      </c>
      <c r="L1537" s="13" t="n">
        <f aca="false">MAX(0,D1537-K1537)</f>
        <v>2.4413822</v>
      </c>
      <c r="M1537" s="13" t="n">
        <f aca="false">MAX(0,F1537-I1537-J1537)</f>
        <v>0</v>
      </c>
      <c r="N1537" s="13" t="n">
        <f aca="false">IF(Kalender!A73="",0,J1536-H1537)</f>
        <v>0.0150822</v>
      </c>
    </row>
    <row r="1538" customFormat="false" ht="16.4" hidden="false" customHeight="false" outlineLevel="0" collapsed="false">
      <c r="A1538" s="13" t="str">
        <f aca="false">""</f>
        <v/>
      </c>
      <c r="B1538" s="13" t="n">
        <f aca="false">70</f>
        <v>70</v>
      </c>
      <c r="C1538" s="13" t="n">
        <f aca="false">IF(Szenarien!$H$15="OK",(IFERROR(SUMIF(Nutzungsprofile!$B$6:$B$11,"Schulbetrieb",Nutzungsprofile!$G$6:$G$11)*Kalender!C74/SUM(Kalender!$C$5:$C$370),0)+IFERROR(SUMIF(Nutzungsprofile!$B$6:$B$11,"Halle",Nutzungsprofile!$G$6:$G$11)*Kalender!D74/SUM(Kalender!$D$5:$D$370),0)+IFERROR(SUMIF(Nutzungsprofile!$B$6:$B$11,"Individuell",Nutzungsprofile!$G$6:$G$11)*Kalender!E74/SUM(Kalender!$E$5:$E$370),0))*Szenarien!$E$15,0)</f>
        <v>2.94</v>
      </c>
      <c r="D1538" s="13" t="n">
        <f aca="false">IF(Szenarien!$H$15="OK",(IFERROR(SUMIF(Nutzungsprofile!$B$17:$B$22,"Schulbetrieb",Nutzungsprofile!$G$17:$G$22)*Kalender!C74/SUM(Kalender!$C$5:$C$370),0)+IFERROR(SUMIF(Nutzungsprofile!$B$17:$B$22,"Halle",Nutzungsprofile!$G$17:$G$22)*Kalender!D74/SUM(Kalender!$D$5:$D$370),0)+IFERROR(SUMIF(Nutzungsprofile!$B$17:$B$22,"Individuell",Nutzungsprofile!$G$17:$G$22)*Kalender!E74/SUM(Kalender!$E$5:$E$370),0))*Szenarien!$D$15,0)</f>
        <v>4.94</v>
      </c>
      <c r="E1538" s="13" t="n">
        <f aca="false">IFERROR(MIN(C1538,Eingaben!$B$17)*Eingaben!$B$16,0)</f>
        <v>2.793</v>
      </c>
      <c r="F1538" s="13" t="n">
        <f aca="false">IFERROR(E1538*Eingaben!$B$15,0)</f>
        <v>2.5137</v>
      </c>
      <c r="G1538" s="13" t="n">
        <f aca="false">IFERROR(IF(Kalender!A74="",0,J1537*(1-Eingaben!$B$20)),0)</f>
        <v>0.7390278</v>
      </c>
      <c r="H1538" s="13" t="n">
        <f aca="false">MIN(G1538,D1538)</f>
        <v>0.7390278</v>
      </c>
      <c r="I1538" s="13" t="n">
        <f aca="false">IFERROR(MIN(F1538*Eingaben!$B$19,MAX(0,D1538-H1538)),0)</f>
        <v>1.75959</v>
      </c>
      <c r="J1538" s="13" t="n">
        <f aca="false">IFERROR(MIN(Eingaben!$B$18,MAX(0,F1538-I1538)),0)</f>
        <v>0.75411</v>
      </c>
      <c r="K1538" s="13" t="n">
        <f aca="false">H1538+I1538</f>
        <v>2.4986178</v>
      </c>
      <c r="L1538" s="13" t="n">
        <f aca="false">MAX(0,D1538-K1538)</f>
        <v>2.4413822</v>
      </c>
      <c r="M1538" s="13" t="n">
        <f aca="false">MAX(0,F1538-I1538-J1538)</f>
        <v>0</v>
      </c>
      <c r="N1538" s="13" t="n">
        <f aca="false">IF(Kalender!A74="",0,J1537-H1538)</f>
        <v>0.0150822</v>
      </c>
    </row>
    <row r="1539" customFormat="false" ht="16.4" hidden="false" customHeight="false" outlineLevel="0" collapsed="false">
      <c r="A1539" s="13" t="str">
        <f aca="false">""</f>
        <v/>
      </c>
      <c r="B1539" s="13" t="n">
        <f aca="false">71</f>
        <v>71</v>
      </c>
      <c r="C1539" s="13" t="n">
        <f aca="false">IF(Szenarien!$H$15="OK",(IFERROR(SUMIF(Nutzungsprofile!$B$6:$B$11,"Schulbetrieb",Nutzungsprofile!$G$6:$G$11)*Kalender!C75/SUM(Kalender!$C$5:$C$370),0)+IFERROR(SUMIF(Nutzungsprofile!$B$6:$B$11,"Halle",Nutzungsprofile!$G$6:$G$11)*Kalender!D75/SUM(Kalender!$D$5:$D$370),0)+IFERROR(SUMIF(Nutzungsprofile!$B$6:$B$11,"Individuell",Nutzungsprofile!$G$6:$G$11)*Kalender!E75/SUM(Kalender!$E$5:$E$370),0))*Szenarien!$E$15,0)</f>
        <v>2.94</v>
      </c>
      <c r="D1539" s="13" t="n">
        <f aca="false">IF(Szenarien!$H$15="OK",(IFERROR(SUMIF(Nutzungsprofile!$B$17:$B$22,"Schulbetrieb",Nutzungsprofile!$G$17:$G$22)*Kalender!C75/SUM(Kalender!$C$5:$C$370),0)+IFERROR(SUMIF(Nutzungsprofile!$B$17:$B$22,"Halle",Nutzungsprofile!$G$17:$G$22)*Kalender!D75/SUM(Kalender!$D$5:$D$370),0)+IFERROR(SUMIF(Nutzungsprofile!$B$17:$B$22,"Individuell",Nutzungsprofile!$G$17:$G$22)*Kalender!E75/SUM(Kalender!$E$5:$E$370),0))*Szenarien!$D$15,0)</f>
        <v>4.94</v>
      </c>
      <c r="E1539" s="13" t="n">
        <f aca="false">IFERROR(MIN(C1539,Eingaben!$B$17)*Eingaben!$B$16,0)</f>
        <v>2.793</v>
      </c>
      <c r="F1539" s="13" t="n">
        <f aca="false">IFERROR(E1539*Eingaben!$B$15,0)</f>
        <v>2.5137</v>
      </c>
      <c r="G1539" s="13" t="n">
        <f aca="false">IFERROR(IF(Kalender!A75="",0,J1538*(1-Eingaben!$B$20)),0)</f>
        <v>0.7390278</v>
      </c>
      <c r="H1539" s="13" t="n">
        <f aca="false">MIN(G1539,D1539)</f>
        <v>0.7390278</v>
      </c>
      <c r="I1539" s="13" t="n">
        <f aca="false">IFERROR(MIN(F1539*Eingaben!$B$19,MAX(0,D1539-H1539)),0)</f>
        <v>1.75959</v>
      </c>
      <c r="J1539" s="13" t="n">
        <f aca="false">IFERROR(MIN(Eingaben!$B$18,MAX(0,F1539-I1539)),0)</f>
        <v>0.75411</v>
      </c>
      <c r="K1539" s="13" t="n">
        <f aca="false">H1539+I1539</f>
        <v>2.4986178</v>
      </c>
      <c r="L1539" s="13" t="n">
        <f aca="false">MAX(0,D1539-K1539)</f>
        <v>2.4413822</v>
      </c>
      <c r="M1539" s="13" t="n">
        <f aca="false">MAX(0,F1539-I1539-J1539)</f>
        <v>0</v>
      </c>
      <c r="N1539" s="13" t="n">
        <f aca="false">IF(Kalender!A75="",0,J1538-H1539)</f>
        <v>0.0150822</v>
      </c>
    </row>
    <row r="1540" customFormat="false" ht="16.4" hidden="false" customHeight="false" outlineLevel="0" collapsed="false">
      <c r="A1540" s="13" t="str">
        <f aca="false">""</f>
        <v/>
      </c>
      <c r="B1540" s="13" t="n">
        <f aca="false">72</f>
        <v>72</v>
      </c>
      <c r="C1540" s="13" t="n">
        <f aca="false">IF(Szenarien!$H$15="OK",(IFERROR(SUMIF(Nutzungsprofile!$B$6:$B$11,"Schulbetrieb",Nutzungsprofile!$G$6:$G$11)*Kalender!C76/SUM(Kalender!$C$5:$C$370),0)+IFERROR(SUMIF(Nutzungsprofile!$B$6:$B$11,"Halle",Nutzungsprofile!$G$6:$G$11)*Kalender!D76/SUM(Kalender!$D$5:$D$370),0)+IFERROR(SUMIF(Nutzungsprofile!$B$6:$B$11,"Individuell",Nutzungsprofile!$G$6:$G$11)*Kalender!E76/SUM(Kalender!$E$5:$E$370),0))*Szenarien!$E$15,0)</f>
        <v>2.94</v>
      </c>
      <c r="D1540" s="13" t="n">
        <f aca="false">IF(Szenarien!$H$15="OK",(IFERROR(SUMIF(Nutzungsprofile!$B$17:$B$22,"Schulbetrieb",Nutzungsprofile!$G$17:$G$22)*Kalender!C76/SUM(Kalender!$C$5:$C$370),0)+IFERROR(SUMIF(Nutzungsprofile!$B$17:$B$22,"Halle",Nutzungsprofile!$G$17:$G$22)*Kalender!D76/SUM(Kalender!$D$5:$D$370),0)+IFERROR(SUMIF(Nutzungsprofile!$B$17:$B$22,"Individuell",Nutzungsprofile!$G$17:$G$22)*Kalender!E76/SUM(Kalender!$E$5:$E$370),0))*Szenarien!$D$15,0)</f>
        <v>4.94</v>
      </c>
      <c r="E1540" s="13" t="n">
        <f aca="false">IFERROR(MIN(C1540,Eingaben!$B$17)*Eingaben!$B$16,0)</f>
        <v>2.793</v>
      </c>
      <c r="F1540" s="13" t="n">
        <f aca="false">IFERROR(E1540*Eingaben!$B$15,0)</f>
        <v>2.5137</v>
      </c>
      <c r="G1540" s="13" t="n">
        <f aca="false">IFERROR(IF(Kalender!A76="",0,J1539*(1-Eingaben!$B$20)),0)</f>
        <v>0.7390278</v>
      </c>
      <c r="H1540" s="13" t="n">
        <f aca="false">MIN(G1540,D1540)</f>
        <v>0.7390278</v>
      </c>
      <c r="I1540" s="13" t="n">
        <f aca="false">IFERROR(MIN(F1540*Eingaben!$B$19,MAX(0,D1540-H1540)),0)</f>
        <v>1.75959</v>
      </c>
      <c r="J1540" s="13" t="n">
        <f aca="false">IFERROR(MIN(Eingaben!$B$18,MAX(0,F1540-I1540)),0)</f>
        <v>0.75411</v>
      </c>
      <c r="K1540" s="13" t="n">
        <f aca="false">H1540+I1540</f>
        <v>2.4986178</v>
      </c>
      <c r="L1540" s="13" t="n">
        <f aca="false">MAX(0,D1540-K1540)</f>
        <v>2.4413822</v>
      </c>
      <c r="M1540" s="13" t="n">
        <f aca="false">MAX(0,F1540-I1540-J1540)</f>
        <v>0</v>
      </c>
      <c r="N1540" s="13" t="n">
        <f aca="false">IF(Kalender!A76="",0,J1539-H1540)</f>
        <v>0.0150822</v>
      </c>
    </row>
    <row r="1541" customFormat="false" ht="16.4" hidden="false" customHeight="false" outlineLevel="0" collapsed="false">
      <c r="A1541" s="13" t="str">
        <f aca="false">""</f>
        <v/>
      </c>
      <c r="B1541" s="13" t="n">
        <f aca="false">73</f>
        <v>73</v>
      </c>
      <c r="C1541" s="13" t="n">
        <f aca="false">IF(Szenarien!$H$15="OK",(IFERROR(SUMIF(Nutzungsprofile!$B$6:$B$11,"Schulbetrieb",Nutzungsprofile!$G$6:$G$11)*Kalender!C77/SUM(Kalender!$C$5:$C$370),0)+IFERROR(SUMIF(Nutzungsprofile!$B$6:$B$11,"Halle",Nutzungsprofile!$G$6:$G$11)*Kalender!D77/SUM(Kalender!$D$5:$D$370),0)+IFERROR(SUMIF(Nutzungsprofile!$B$6:$B$11,"Individuell",Nutzungsprofile!$G$6:$G$11)*Kalender!E77/SUM(Kalender!$E$5:$E$370),0))*Szenarien!$E$15,0)</f>
        <v>2.04</v>
      </c>
      <c r="D1541" s="13" t="n">
        <f aca="false">IF(Szenarien!$H$15="OK",(IFERROR(SUMIF(Nutzungsprofile!$B$17:$B$22,"Schulbetrieb",Nutzungsprofile!$G$17:$G$22)*Kalender!C77/SUM(Kalender!$C$5:$C$370),0)+IFERROR(SUMIF(Nutzungsprofile!$B$17:$B$22,"Halle",Nutzungsprofile!$G$17:$G$22)*Kalender!D77/SUM(Kalender!$D$5:$D$370),0)+IFERROR(SUMIF(Nutzungsprofile!$B$17:$B$22,"Individuell",Nutzungsprofile!$G$17:$G$22)*Kalender!E77/SUM(Kalender!$E$5:$E$370),0))*Szenarien!$D$15,0)</f>
        <v>0.89</v>
      </c>
      <c r="E1541" s="13" t="n">
        <f aca="false">IFERROR(MIN(C1541,Eingaben!$B$17)*Eingaben!$B$16,0)</f>
        <v>1.938</v>
      </c>
      <c r="F1541" s="13" t="n">
        <f aca="false">IFERROR(E1541*Eingaben!$B$15,0)</f>
        <v>1.7442</v>
      </c>
      <c r="G1541" s="13" t="n">
        <f aca="false">IFERROR(IF(Kalender!A77="",0,J1540*(1-Eingaben!$B$20)),0)</f>
        <v>0.7390278</v>
      </c>
      <c r="H1541" s="13" t="n">
        <f aca="false">MIN(G1541,D1541)</f>
        <v>0.7390278</v>
      </c>
      <c r="I1541" s="13" t="n">
        <f aca="false">IFERROR(MIN(F1541*Eingaben!$B$19,MAX(0,D1541-H1541)),0)</f>
        <v>0.1509722</v>
      </c>
      <c r="J1541" s="13" t="n">
        <f aca="false">IFERROR(MIN(Eingaben!$B$18,MAX(0,F1541-I1541)),0)</f>
        <v>1.5932278</v>
      </c>
      <c r="K1541" s="13" t="n">
        <f aca="false">H1541+I1541</f>
        <v>0.89</v>
      </c>
      <c r="L1541" s="13" t="n">
        <f aca="false">MAX(0,D1541-K1541)</f>
        <v>0</v>
      </c>
      <c r="M1541" s="13" t="n">
        <f aca="false">MAX(0,F1541-I1541-J1541)</f>
        <v>0</v>
      </c>
      <c r="N1541" s="13" t="n">
        <f aca="false">IF(Kalender!A77="",0,J1540-H1541)</f>
        <v>0.0150822</v>
      </c>
    </row>
    <row r="1542" customFormat="false" ht="16.4" hidden="false" customHeight="false" outlineLevel="0" collapsed="false">
      <c r="A1542" s="13" t="str">
        <f aca="false">""</f>
        <v/>
      </c>
      <c r="B1542" s="13" t="n">
        <f aca="false">74</f>
        <v>74</v>
      </c>
      <c r="C1542" s="13" t="n">
        <f aca="false">IF(Szenarien!$H$15="OK",(IFERROR(SUMIF(Nutzungsprofile!$B$6:$B$11,"Schulbetrieb",Nutzungsprofile!$G$6:$G$11)*Kalender!C78/SUM(Kalender!$C$5:$C$370),0)+IFERROR(SUMIF(Nutzungsprofile!$B$6:$B$11,"Halle",Nutzungsprofile!$G$6:$G$11)*Kalender!D78/SUM(Kalender!$D$5:$D$370),0)+IFERROR(SUMIF(Nutzungsprofile!$B$6:$B$11,"Individuell",Nutzungsprofile!$G$6:$G$11)*Kalender!E78/SUM(Kalender!$E$5:$E$370),0))*Szenarien!$E$15,0)</f>
        <v>2.04</v>
      </c>
      <c r="D1542" s="13" t="n">
        <f aca="false">IF(Szenarien!$H$15="OK",(IFERROR(SUMIF(Nutzungsprofile!$B$17:$B$22,"Schulbetrieb",Nutzungsprofile!$G$17:$G$22)*Kalender!C78/SUM(Kalender!$C$5:$C$370),0)+IFERROR(SUMIF(Nutzungsprofile!$B$17:$B$22,"Halle",Nutzungsprofile!$G$17:$G$22)*Kalender!D78/SUM(Kalender!$D$5:$D$370),0)+IFERROR(SUMIF(Nutzungsprofile!$B$17:$B$22,"Individuell",Nutzungsprofile!$G$17:$G$22)*Kalender!E78/SUM(Kalender!$E$5:$E$370),0))*Szenarien!$D$15,0)</f>
        <v>0.89</v>
      </c>
      <c r="E1542" s="13" t="n">
        <f aca="false">IFERROR(MIN(C1542,Eingaben!$B$17)*Eingaben!$B$16,0)</f>
        <v>1.938</v>
      </c>
      <c r="F1542" s="13" t="n">
        <f aca="false">IFERROR(E1542*Eingaben!$B$15,0)</f>
        <v>1.7442</v>
      </c>
      <c r="G1542" s="13" t="n">
        <f aca="false">IFERROR(IF(Kalender!A78="",0,J1541*(1-Eingaben!$B$20)),0)</f>
        <v>1.561363244</v>
      </c>
      <c r="H1542" s="13" t="n">
        <f aca="false">MIN(G1542,D1542)</f>
        <v>0.89</v>
      </c>
      <c r="I1542" s="13" t="n">
        <f aca="false">IFERROR(MIN(F1542*Eingaben!$B$19,MAX(0,D1542-H1542)),0)</f>
        <v>0</v>
      </c>
      <c r="J1542" s="13" t="n">
        <f aca="false">IFERROR(MIN(Eingaben!$B$18,MAX(0,F1542-I1542)),0)</f>
        <v>1.7442</v>
      </c>
      <c r="K1542" s="13" t="n">
        <f aca="false">H1542+I1542</f>
        <v>0.89</v>
      </c>
      <c r="L1542" s="13" t="n">
        <f aca="false">MAX(0,D1542-K1542)</f>
        <v>0</v>
      </c>
      <c r="M1542" s="13" t="n">
        <f aca="false">MAX(0,F1542-I1542-J1542)</f>
        <v>0</v>
      </c>
      <c r="N1542" s="13" t="n">
        <f aca="false">IF(Kalender!A78="",0,J1541-H1542)</f>
        <v>0.7032278</v>
      </c>
    </row>
    <row r="1543" customFormat="false" ht="16.4" hidden="false" customHeight="false" outlineLevel="0" collapsed="false">
      <c r="A1543" s="13" t="str">
        <f aca="false">""</f>
        <v/>
      </c>
      <c r="B1543" s="13" t="n">
        <f aca="false">75</f>
        <v>75</v>
      </c>
      <c r="C1543" s="13" t="n">
        <f aca="false">IF(Szenarien!$H$15="OK",(IFERROR(SUMIF(Nutzungsprofile!$B$6:$B$11,"Schulbetrieb",Nutzungsprofile!$G$6:$G$11)*Kalender!C79/SUM(Kalender!$C$5:$C$370),0)+IFERROR(SUMIF(Nutzungsprofile!$B$6:$B$11,"Halle",Nutzungsprofile!$G$6:$G$11)*Kalender!D79/SUM(Kalender!$D$5:$D$370),0)+IFERROR(SUMIF(Nutzungsprofile!$B$6:$B$11,"Individuell",Nutzungsprofile!$G$6:$G$11)*Kalender!E79/SUM(Kalender!$E$5:$E$370),0))*Szenarien!$E$15,0)</f>
        <v>2.94</v>
      </c>
      <c r="D1543" s="13" t="n">
        <f aca="false">IF(Szenarien!$H$15="OK",(IFERROR(SUMIF(Nutzungsprofile!$B$17:$B$22,"Schulbetrieb",Nutzungsprofile!$G$17:$G$22)*Kalender!C79/SUM(Kalender!$C$5:$C$370),0)+IFERROR(SUMIF(Nutzungsprofile!$B$17:$B$22,"Halle",Nutzungsprofile!$G$17:$G$22)*Kalender!D79/SUM(Kalender!$D$5:$D$370),0)+IFERROR(SUMIF(Nutzungsprofile!$B$17:$B$22,"Individuell",Nutzungsprofile!$G$17:$G$22)*Kalender!E79/SUM(Kalender!$E$5:$E$370),0))*Szenarien!$D$15,0)</f>
        <v>4.94</v>
      </c>
      <c r="E1543" s="13" t="n">
        <f aca="false">IFERROR(MIN(C1543,Eingaben!$B$17)*Eingaben!$B$16,0)</f>
        <v>2.793</v>
      </c>
      <c r="F1543" s="13" t="n">
        <f aca="false">IFERROR(E1543*Eingaben!$B$15,0)</f>
        <v>2.5137</v>
      </c>
      <c r="G1543" s="13" t="n">
        <f aca="false">IFERROR(IF(Kalender!A79="",0,J1542*(1-Eingaben!$B$20)),0)</f>
        <v>1.709316</v>
      </c>
      <c r="H1543" s="13" t="n">
        <f aca="false">MIN(G1543,D1543)</f>
        <v>1.709316</v>
      </c>
      <c r="I1543" s="13" t="n">
        <f aca="false">IFERROR(MIN(F1543*Eingaben!$B$19,MAX(0,D1543-H1543)),0)</f>
        <v>1.75959</v>
      </c>
      <c r="J1543" s="13" t="n">
        <f aca="false">IFERROR(MIN(Eingaben!$B$18,MAX(0,F1543-I1543)),0)</f>
        <v>0.75411</v>
      </c>
      <c r="K1543" s="13" t="n">
        <f aca="false">H1543+I1543</f>
        <v>3.468906</v>
      </c>
      <c r="L1543" s="13" t="n">
        <f aca="false">MAX(0,D1543-K1543)</f>
        <v>1.471094</v>
      </c>
      <c r="M1543" s="13" t="n">
        <f aca="false">MAX(0,F1543-I1543-J1543)</f>
        <v>0</v>
      </c>
      <c r="N1543" s="13" t="n">
        <f aca="false">IF(Kalender!A79="",0,J1542-H1543)</f>
        <v>0.0348840000000001</v>
      </c>
    </row>
    <row r="1544" customFormat="false" ht="16.4" hidden="false" customHeight="false" outlineLevel="0" collapsed="false">
      <c r="A1544" s="13" t="str">
        <f aca="false">""</f>
        <v/>
      </c>
      <c r="B1544" s="13" t="n">
        <f aca="false">76</f>
        <v>76</v>
      </c>
      <c r="C1544" s="13" t="n">
        <f aca="false">IF(Szenarien!$H$15="OK",(IFERROR(SUMIF(Nutzungsprofile!$B$6:$B$11,"Schulbetrieb",Nutzungsprofile!$G$6:$G$11)*Kalender!C80/SUM(Kalender!$C$5:$C$370),0)+IFERROR(SUMIF(Nutzungsprofile!$B$6:$B$11,"Halle",Nutzungsprofile!$G$6:$G$11)*Kalender!D80/SUM(Kalender!$D$5:$D$370),0)+IFERROR(SUMIF(Nutzungsprofile!$B$6:$B$11,"Individuell",Nutzungsprofile!$G$6:$G$11)*Kalender!E80/SUM(Kalender!$E$5:$E$370),0))*Szenarien!$E$15,0)</f>
        <v>2.94</v>
      </c>
      <c r="D1544" s="13" t="n">
        <f aca="false">IF(Szenarien!$H$15="OK",(IFERROR(SUMIF(Nutzungsprofile!$B$17:$B$22,"Schulbetrieb",Nutzungsprofile!$G$17:$G$22)*Kalender!C80/SUM(Kalender!$C$5:$C$370),0)+IFERROR(SUMIF(Nutzungsprofile!$B$17:$B$22,"Halle",Nutzungsprofile!$G$17:$G$22)*Kalender!D80/SUM(Kalender!$D$5:$D$370),0)+IFERROR(SUMIF(Nutzungsprofile!$B$17:$B$22,"Individuell",Nutzungsprofile!$G$17:$G$22)*Kalender!E80/SUM(Kalender!$E$5:$E$370),0))*Szenarien!$D$15,0)</f>
        <v>4.94</v>
      </c>
      <c r="E1544" s="13" t="n">
        <f aca="false">IFERROR(MIN(C1544,Eingaben!$B$17)*Eingaben!$B$16,0)</f>
        <v>2.793</v>
      </c>
      <c r="F1544" s="13" t="n">
        <f aca="false">IFERROR(E1544*Eingaben!$B$15,0)</f>
        <v>2.5137</v>
      </c>
      <c r="G1544" s="13" t="n">
        <f aca="false">IFERROR(IF(Kalender!A80="",0,J1543*(1-Eingaben!$B$20)),0)</f>
        <v>0.7390278</v>
      </c>
      <c r="H1544" s="13" t="n">
        <f aca="false">MIN(G1544,D1544)</f>
        <v>0.7390278</v>
      </c>
      <c r="I1544" s="13" t="n">
        <f aca="false">IFERROR(MIN(F1544*Eingaben!$B$19,MAX(0,D1544-H1544)),0)</f>
        <v>1.75959</v>
      </c>
      <c r="J1544" s="13" t="n">
        <f aca="false">IFERROR(MIN(Eingaben!$B$18,MAX(0,F1544-I1544)),0)</f>
        <v>0.75411</v>
      </c>
      <c r="K1544" s="13" t="n">
        <f aca="false">H1544+I1544</f>
        <v>2.4986178</v>
      </c>
      <c r="L1544" s="13" t="n">
        <f aca="false">MAX(0,D1544-K1544)</f>
        <v>2.4413822</v>
      </c>
      <c r="M1544" s="13" t="n">
        <f aca="false">MAX(0,F1544-I1544-J1544)</f>
        <v>0</v>
      </c>
      <c r="N1544" s="13" t="n">
        <f aca="false">IF(Kalender!A80="",0,J1543-H1544)</f>
        <v>0.0150822</v>
      </c>
    </row>
    <row r="1545" customFormat="false" ht="16.4" hidden="false" customHeight="false" outlineLevel="0" collapsed="false">
      <c r="A1545" s="13" t="str">
        <f aca="false">""</f>
        <v/>
      </c>
      <c r="B1545" s="13" t="n">
        <f aca="false">77</f>
        <v>77</v>
      </c>
      <c r="C1545" s="13" t="n">
        <f aca="false">IF(Szenarien!$H$15="OK",(IFERROR(SUMIF(Nutzungsprofile!$B$6:$B$11,"Schulbetrieb",Nutzungsprofile!$G$6:$G$11)*Kalender!C81/SUM(Kalender!$C$5:$C$370),0)+IFERROR(SUMIF(Nutzungsprofile!$B$6:$B$11,"Halle",Nutzungsprofile!$G$6:$G$11)*Kalender!D81/SUM(Kalender!$D$5:$D$370),0)+IFERROR(SUMIF(Nutzungsprofile!$B$6:$B$11,"Individuell",Nutzungsprofile!$G$6:$G$11)*Kalender!E81/SUM(Kalender!$E$5:$E$370),0))*Szenarien!$E$15,0)</f>
        <v>2.94</v>
      </c>
      <c r="D1545" s="13" t="n">
        <f aca="false">IF(Szenarien!$H$15="OK",(IFERROR(SUMIF(Nutzungsprofile!$B$17:$B$22,"Schulbetrieb",Nutzungsprofile!$G$17:$G$22)*Kalender!C81/SUM(Kalender!$C$5:$C$370),0)+IFERROR(SUMIF(Nutzungsprofile!$B$17:$B$22,"Halle",Nutzungsprofile!$G$17:$G$22)*Kalender!D81/SUM(Kalender!$D$5:$D$370),0)+IFERROR(SUMIF(Nutzungsprofile!$B$17:$B$22,"Individuell",Nutzungsprofile!$G$17:$G$22)*Kalender!E81/SUM(Kalender!$E$5:$E$370),0))*Szenarien!$D$15,0)</f>
        <v>4.94</v>
      </c>
      <c r="E1545" s="13" t="n">
        <f aca="false">IFERROR(MIN(C1545,Eingaben!$B$17)*Eingaben!$B$16,0)</f>
        <v>2.793</v>
      </c>
      <c r="F1545" s="13" t="n">
        <f aca="false">IFERROR(E1545*Eingaben!$B$15,0)</f>
        <v>2.5137</v>
      </c>
      <c r="G1545" s="13" t="n">
        <f aca="false">IFERROR(IF(Kalender!A81="",0,J1544*(1-Eingaben!$B$20)),0)</f>
        <v>0.7390278</v>
      </c>
      <c r="H1545" s="13" t="n">
        <f aca="false">MIN(G1545,D1545)</f>
        <v>0.7390278</v>
      </c>
      <c r="I1545" s="13" t="n">
        <f aca="false">IFERROR(MIN(F1545*Eingaben!$B$19,MAX(0,D1545-H1545)),0)</f>
        <v>1.75959</v>
      </c>
      <c r="J1545" s="13" t="n">
        <f aca="false">IFERROR(MIN(Eingaben!$B$18,MAX(0,F1545-I1545)),0)</f>
        <v>0.75411</v>
      </c>
      <c r="K1545" s="13" t="n">
        <f aca="false">H1545+I1545</f>
        <v>2.4986178</v>
      </c>
      <c r="L1545" s="13" t="n">
        <f aca="false">MAX(0,D1545-K1545)</f>
        <v>2.4413822</v>
      </c>
      <c r="M1545" s="13" t="n">
        <f aca="false">MAX(0,F1545-I1545-J1545)</f>
        <v>0</v>
      </c>
      <c r="N1545" s="13" t="n">
        <f aca="false">IF(Kalender!A81="",0,J1544-H1545)</f>
        <v>0.0150822</v>
      </c>
    </row>
    <row r="1546" customFormat="false" ht="16.4" hidden="false" customHeight="false" outlineLevel="0" collapsed="false">
      <c r="A1546" s="13" t="str">
        <f aca="false">""</f>
        <v/>
      </c>
      <c r="B1546" s="13" t="n">
        <f aca="false">78</f>
        <v>78</v>
      </c>
      <c r="C1546" s="13" t="n">
        <f aca="false">IF(Szenarien!$H$15="OK",(IFERROR(SUMIF(Nutzungsprofile!$B$6:$B$11,"Schulbetrieb",Nutzungsprofile!$G$6:$G$11)*Kalender!C82/SUM(Kalender!$C$5:$C$370),0)+IFERROR(SUMIF(Nutzungsprofile!$B$6:$B$11,"Halle",Nutzungsprofile!$G$6:$G$11)*Kalender!D82/SUM(Kalender!$D$5:$D$370),0)+IFERROR(SUMIF(Nutzungsprofile!$B$6:$B$11,"Individuell",Nutzungsprofile!$G$6:$G$11)*Kalender!E82/SUM(Kalender!$E$5:$E$370),0))*Szenarien!$E$15,0)</f>
        <v>2.94</v>
      </c>
      <c r="D1546" s="13" t="n">
        <f aca="false">IF(Szenarien!$H$15="OK",(IFERROR(SUMIF(Nutzungsprofile!$B$17:$B$22,"Schulbetrieb",Nutzungsprofile!$G$17:$G$22)*Kalender!C82/SUM(Kalender!$C$5:$C$370),0)+IFERROR(SUMIF(Nutzungsprofile!$B$17:$B$22,"Halle",Nutzungsprofile!$G$17:$G$22)*Kalender!D82/SUM(Kalender!$D$5:$D$370),0)+IFERROR(SUMIF(Nutzungsprofile!$B$17:$B$22,"Individuell",Nutzungsprofile!$G$17:$G$22)*Kalender!E82/SUM(Kalender!$E$5:$E$370),0))*Szenarien!$D$15,0)</f>
        <v>4.94</v>
      </c>
      <c r="E1546" s="13" t="n">
        <f aca="false">IFERROR(MIN(C1546,Eingaben!$B$17)*Eingaben!$B$16,0)</f>
        <v>2.793</v>
      </c>
      <c r="F1546" s="13" t="n">
        <f aca="false">IFERROR(E1546*Eingaben!$B$15,0)</f>
        <v>2.5137</v>
      </c>
      <c r="G1546" s="13" t="n">
        <f aca="false">IFERROR(IF(Kalender!A82="",0,J1545*(1-Eingaben!$B$20)),0)</f>
        <v>0.7390278</v>
      </c>
      <c r="H1546" s="13" t="n">
        <f aca="false">MIN(G1546,D1546)</f>
        <v>0.7390278</v>
      </c>
      <c r="I1546" s="13" t="n">
        <f aca="false">IFERROR(MIN(F1546*Eingaben!$B$19,MAX(0,D1546-H1546)),0)</f>
        <v>1.75959</v>
      </c>
      <c r="J1546" s="13" t="n">
        <f aca="false">IFERROR(MIN(Eingaben!$B$18,MAX(0,F1546-I1546)),0)</f>
        <v>0.75411</v>
      </c>
      <c r="K1546" s="13" t="n">
        <f aca="false">H1546+I1546</f>
        <v>2.4986178</v>
      </c>
      <c r="L1546" s="13" t="n">
        <f aca="false">MAX(0,D1546-K1546)</f>
        <v>2.4413822</v>
      </c>
      <c r="M1546" s="13" t="n">
        <f aca="false">MAX(0,F1546-I1546-J1546)</f>
        <v>0</v>
      </c>
      <c r="N1546" s="13" t="n">
        <f aca="false">IF(Kalender!A82="",0,J1545-H1546)</f>
        <v>0.0150822</v>
      </c>
    </row>
    <row r="1547" customFormat="false" ht="16.4" hidden="false" customHeight="false" outlineLevel="0" collapsed="false">
      <c r="A1547" s="13" t="str">
        <f aca="false">""</f>
        <v/>
      </c>
      <c r="B1547" s="13" t="n">
        <f aca="false">79</f>
        <v>79</v>
      </c>
      <c r="C1547" s="13" t="n">
        <f aca="false">IF(Szenarien!$H$15="OK",(IFERROR(SUMIF(Nutzungsprofile!$B$6:$B$11,"Schulbetrieb",Nutzungsprofile!$G$6:$G$11)*Kalender!C83/SUM(Kalender!$C$5:$C$370),0)+IFERROR(SUMIF(Nutzungsprofile!$B$6:$B$11,"Halle",Nutzungsprofile!$G$6:$G$11)*Kalender!D83/SUM(Kalender!$D$5:$D$370),0)+IFERROR(SUMIF(Nutzungsprofile!$B$6:$B$11,"Individuell",Nutzungsprofile!$G$6:$G$11)*Kalender!E83/SUM(Kalender!$E$5:$E$370),0))*Szenarien!$E$15,0)</f>
        <v>2.94</v>
      </c>
      <c r="D1547" s="13" t="n">
        <f aca="false">IF(Szenarien!$H$15="OK",(IFERROR(SUMIF(Nutzungsprofile!$B$17:$B$22,"Schulbetrieb",Nutzungsprofile!$G$17:$G$22)*Kalender!C83/SUM(Kalender!$C$5:$C$370),0)+IFERROR(SUMIF(Nutzungsprofile!$B$17:$B$22,"Halle",Nutzungsprofile!$G$17:$G$22)*Kalender!D83/SUM(Kalender!$D$5:$D$370),0)+IFERROR(SUMIF(Nutzungsprofile!$B$17:$B$22,"Individuell",Nutzungsprofile!$G$17:$G$22)*Kalender!E83/SUM(Kalender!$E$5:$E$370),0))*Szenarien!$D$15,0)</f>
        <v>4.94</v>
      </c>
      <c r="E1547" s="13" t="n">
        <f aca="false">IFERROR(MIN(C1547,Eingaben!$B$17)*Eingaben!$B$16,0)</f>
        <v>2.793</v>
      </c>
      <c r="F1547" s="13" t="n">
        <f aca="false">IFERROR(E1547*Eingaben!$B$15,0)</f>
        <v>2.5137</v>
      </c>
      <c r="G1547" s="13" t="n">
        <f aca="false">IFERROR(IF(Kalender!A83="",0,J1546*(1-Eingaben!$B$20)),0)</f>
        <v>0.7390278</v>
      </c>
      <c r="H1547" s="13" t="n">
        <f aca="false">MIN(G1547,D1547)</f>
        <v>0.7390278</v>
      </c>
      <c r="I1547" s="13" t="n">
        <f aca="false">IFERROR(MIN(F1547*Eingaben!$B$19,MAX(0,D1547-H1547)),0)</f>
        <v>1.75959</v>
      </c>
      <c r="J1547" s="13" t="n">
        <f aca="false">IFERROR(MIN(Eingaben!$B$18,MAX(0,F1547-I1547)),0)</f>
        <v>0.75411</v>
      </c>
      <c r="K1547" s="13" t="n">
        <f aca="false">H1547+I1547</f>
        <v>2.4986178</v>
      </c>
      <c r="L1547" s="13" t="n">
        <f aca="false">MAX(0,D1547-K1547)</f>
        <v>2.4413822</v>
      </c>
      <c r="M1547" s="13" t="n">
        <f aca="false">MAX(0,F1547-I1547-J1547)</f>
        <v>0</v>
      </c>
      <c r="N1547" s="13" t="n">
        <f aca="false">IF(Kalender!A83="",0,J1546-H1547)</f>
        <v>0.0150822</v>
      </c>
    </row>
    <row r="1548" customFormat="false" ht="16.4" hidden="false" customHeight="false" outlineLevel="0" collapsed="false">
      <c r="A1548" s="13" t="str">
        <f aca="false">""</f>
        <v/>
      </c>
      <c r="B1548" s="13" t="n">
        <f aca="false">80</f>
        <v>80</v>
      </c>
      <c r="C1548" s="13" t="n">
        <f aca="false">IF(Szenarien!$H$15="OK",(IFERROR(SUMIF(Nutzungsprofile!$B$6:$B$11,"Schulbetrieb",Nutzungsprofile!$G$6:$G$11)*Kalender!C84/SUM(Kalender!$C$5:$C$370),0)+IFERROR(SUMIF(Nutzungsprofile!$B$6:$B$11,"Halle",Nutzungsprofile!$G$6:$G$11)*Kalender!D84/SUM(Kalender!$D$5:$D$370),0)+IFERROR(SUMIF(Nutzungsprofile!$B$6:$B$11,"Individuell",Nutzungsprofile!$G$6:$G$11)*Kalender!E84/SUM(Kalender!$E$5:$E$370),0))*Szenarien!$E$15,0)</f>
        <v>2.04</v>
      </c>
      <c r="D1548" s="13" t="n">
        <f aca="false">IF(Szenarien!$H$15="OK",(IFERROR(SUMIF(Nutzungsprofile!$B$17:$B$22,"Schulbetrieb",Nutzungsprofile!$G$17:$G$22)*Kalender!C84/SUM(Kalender!$C$5:$C$370),0)+IFERROR(SUMIF(Nutzungsprofile!$B$17:$B$22,"Halle",Nutzungsprofile!$G$17:$G$22)*Kalender!D84/SUM(Kalender!$D$5:$D$370),0)+IFERROR(SUMIF(Nutzungsprofile!$B$17:$B$22,"Individuell",Nutzungsprofile!$G$17:$G$22)*Kalender!E84/SUM(Kalender!$E$5:$E$370),0))*Szenarien!$D$15,0)</f>
        <v>0.89</v>
      </c>
      <c r="E1548" s="13" t="n">
        <f aca="false">IFERROR(MIN(C1548,Eingaben!$B$17)*Eingaben!$B$16,0)</f>
        <v>1.938</v>
      </c>
      <c r="F1548" s="13" t="n">
        <f aca="false">IFERROR(E1548*Eingaben!$B$15,0)</f>
        <v>1.7442</v>
      </c>
      <c r="G1548" s="13" t="n">
        <f aca="false">IFERROR(IF(Kalender!A84="",0,J1547*(1-Eingaben!$B$20)),0)</f>
        <v>0.7390278</v>
      </c>
      <c r="H1548" s="13" t="n">
        <f aca="false">MIN(G1548,D1548)</f>
        <v>0.7390278</v>
      </c>
      <c r="I1548" s="13" t="n">
        <f aca="false">IFERROR(MIN(F1548*Eingaben!$B$19,MAX(0,D1548-H1548)),0)</f>
        <v>0.1509722</v>
      </c>
      <c r="J1548" s="13" t="n">
        <f aca="false">IFERROR(MIN(Eingaben!$B$18,MAX(0,F1548-I1548)),0)</f>
        <v>1.5932278</v>
      </c>
      <c r="K1548" s="13" t="n">
        <f aca="false">H1548+I1548</f>
        <v>0.89</v>
      </c>
      <c r="L1548" s="13" t="n">
        <f aca="false">MAX(0,D1548-K1548)</f>
        <v>0</v>
      </c>
      <c r="M1548" s="13" t="n">
        <f aca="false">MAX(0,F1548-I1548-J1548)</f>
        <v>0</v>
      </c>
      <c r="N1548" s="13" t="n">
        <f aca="false">IF(Kalender!A84="",0,J1547-H1548)</f>
        <v>0.0150822</v>
      </c>
    </row>
    <row r="1549" customFormat="false" ht="16.4" hidden="false" customHeight="false" outlineLevel="0" collapsed="false">
      <c r="A1549" s="13" t="str">
        <f aca="false">""</f>
        <v/>
      </c>
      <c r="B1549" s="13" t="n">
        <f aca="false">81</f>
        <v>81</v>
      </c>
      <c r="C1549" s="13" t="n">
        <f aca="false">IF(Szenarien!$H$15="OK",(IFERROR(SUMIF(Nutzungsprofile!$B$6:$B$11,"Schulbetrieb",Nutzungsprofile!$G$6:$G$11)*Kalender!C85/SUM(Kalender!$C$5:$C$370),0)+IFERROR(SUMIF(Nutzungsprofile!$B$6:$B$11,"Halle",Nutzungsprofile!$G$6:$G$11)*Kalender!D85/SUM(Kalender!$D$5:$D$370),0)+IFERROR(SUMIF(Nutzungsprofile!$B$6:$B$11,"Individuell",Nutzungsprofile!$G$6:$G$11)*Kalender!E85/SUM(Kalender!$E$5:$E$370),0))*Szenarien!$E$15,0)</f>
        <v>2.04</v>
      </c>
      <c r="D1549" s="13" t="n">
        <f aca="false">IF(Szenarien!$H$15="OK",(IFERROR(SUMIF(Nutzungsprofile!$B$17:$B$22,"Schulbetrieb",Nutzungsprofile!$G$17:$G$22)*Kalender!C85/SUM(Kalender!$C$5:$C$370),0)+IFERROR(SUMIF(Nutzungsprofile!$B$17:$B$22,"Halle",Nutzungsprofile!$G$17:$G$22)*Kalender!D85/SUM(Kalender!$D$5:$D$370),0)+IFERROR(SUMIF(Nutzungsprofile!$B$17:$B$22,"Individuell",Nutzungsprofile!$G$17:$G$22)*Kalender!E85/SUM(Kalender!$E$5:$E$370),0))*Szenarien!$D$15,0)</f>
        <v>0.89</v>
      </c>
      <c r="E1549" s="13" t="n">
        <f aca="false">IFERROR(MIN(C1549,Eingaben!$B$17)*Eingaben!$B$16,0)</f>
        <v>1.938</v>
      </c>
      <c r="F1549" s="13" t="n">
        <f aca="false">IFERROR(E1549*Eingaben!$B$15,0)</f>
        <v>1.7442</v>
      </c>
      <c r="G1549" s="13" t="n">
        <f aca="false">IFERROR(IF(Kalender!A85="",0,J1548*(1-Eingaben!$B$20)),0)</f>
        <v>1.561363244</v>
      </c>
      <c r="H1549" s="13" t="n">
        <f aca="false">MIN(G1549,D1549)</f>
        <v>0.89</v>
      </c>
      <c r="I1549" s="13" t="n">
        <f aca="false">IFERROR(MIN(F1549*Eingaben!$B$19,MAX(0,D1549-H1549)),0)</f>
        <v>0</v>
      </c>
      <c r="J1549" s="13" t="n">
        <f aca="false">IFERROR(MIN(Eingaben!$B$18,MAX(0,F1549-I1549)),0)</f>
        <v>1.7442</v>
      </c>
      <c r="K1549" s="13" t="n">
        <f aca="false">H1549+I1549</f>
        <v>0.89</v>
      </c>
      <c r="L1549" s="13" t="n">
        <f aca="false">MAX(0,D1549-K1549)</f>
        <v>0</v>
      </c>
      <c r="M1549" s="13" t="n">
        <f aca="false">MAX(0,F1549-I1549-J1549)</f>
        <v>0</v>
      </c>
      <c r="N1549" s="13" t="n">
        <f aca="false">IF(Kalender!A85="",0,J1548-H1549)</f>
        <v>0.7032278</v>
      </c>
    </row>
    <row r="1550" customFormat="false" ht="16.4" hidden="false" customHeight="false" outlineLevel="0" collapsed="false">
      <c r="A1550" s="13" t="str">
        <f aca="false">""</f>
        <v/>
      </c>
      <c r="B1550" s="13" t="n">
        <f aca="false">82</f>
        <v>82</v>
      </c>
      <c r="C1550" s="13" t="n">
        <f aca="false">IF(Szenarien!$H$15="OK",(IFERROR(SUMIF(Nutzungsprofile!$B$6:$B$11,"Schulbetrieb",Nutzungsprofile!$G$6:$G$11)*Kalender!C86/SUM(Kalender!$C$5:$C$370),0)+IFERROR(SUMIF(Nutzungsprofile!$B$6:$B$11,"Halle",Nutzungsprofile!$G$6:$G$11)*Kalender!D86/SUM(Kalender!$D$5:$D$370),0)+IFERROR(SUMIF(Nutzungsprofile!$B$6:$B$11,"Individuell",Nutzungsprofile!$G$6:$G$11)*Kalender!E86/SUM(Kalender!$E$5:$E$370),0))*Szenarien!$E$15,0)</f>
        <v>2.94</v>
      </c>
      <c r="D1550" s="13" t="n">
        <f aca="false">IF(Szenarien!$H$15="OK",(IFERROR(SUMIF(Nutzungsprofile!$B$17:$B$22,"Schulbetrieb",Nutzungsprofile!$G$17:$G$22)*Kalender!C86/SUM(Kalender!$C$5:$C$370),0)+IFERROR(SUMIF(Nutzungsprofile!$B$17:$B$22,"Halle",Nutzungsprofile!$G$17:$G$22)*Kalender!D86/SUM(Kalender!$D$5:$D$370),0)+IFERROR(SUMIF(Nutzungsprofile!$B$17:$B$22,"Individuell",Nutzungsprofile!$G$17:$G$22)*Kalender!E86/SUM(Kalender!$E$5:$E$370),0))*Szenarien!$D$15,0)</f>
        <v>4.94</v>
      </c>
      <c r="E1550" s="13" t="n">
        <f aca="false">IFERROR(MIN(C1550,Eingaben!$B$17)*Eingaben!$B$16,0)</f>
        <v>2.793</v>
      </c>
      <c r="F1550" s="13" t="n">
        <f aca="false">IFERROR(E1550*Eingaben!$B$15,0)</f>
        <v>2.5137</v>
      </c>
      <c r="G1550" s="13" t="n">
        <f aca="false">IFERROR(IF(Kalender!A86="",0,J1549*(1-Eingaben!$B$20)),0)</f>
        <v>1.709316</v>
      </c>
      <c r="H1550" s="13" t="n">
        <f aca="false">MIN(G1550,D1550)</f>
        <v>1.709316</v>
      </c>
      <c r="I1550" s="13" t="n">
        <f aca="false">IFERROR(MIN(F1550*Eingaben!$B$19,MAX(0,D1550-H1550)),0)</f>
        <v>1.75959</v>
      </c>
      <c r="J1550" s="13" t="n">
        <f aca="false">IFERROR(MIN(Eingaben!$B$18,MAX(0,F1550-I1550)),0)</f>
        <v>0.75411</v>
      </c>
      <c r="K1550" s="13" t="n">
        <f aca="false">H1550+I1550</f>
        <v>3.468906</v>
      </c>
      <c r="L1550" s="13" t="n">
        <f aca="false">MAX(0,D1550-K1550)</f>
        <v>1.471094</v>
      </c>
      <c r="M1550" s="13" t="n">
        <f aca="false">MAX(0,F1550-I1550-J1550)</f>
        <v>0</v>
      </c>
      <c r="N1550" s="13" t="n">
        <f aca="false">IF(Kalender!A86="",0,J1549-H1550)</f>
        <v>0.0348840000000001</v>
      </c>
    </row>
    <row r="1551" customFormat="false" ht="16.4" hidden="false" customHeight="false" outlineLevel="0" collapsed="false">
      <c r="A1551" s="13" t="str">
        <f aca="false">""</f>
        <v/>
      </c>
      <c r="B1551" s="13" t="n">
        <f aca="false">83</f>
        <v>83</v>
      </c>
      <c r="C1551" s="13" t="n">
        <f aca="false">IF(Szenarien!$H$15="OK",(IFERROR(SUMIF(Nutzungsprofile!$B$6:$B$11,"Schulbetrieb",Nutzungsprofile!$G$6:$G$11)*Kalender!C87/SUM(Kalender!$C$5:$C$370),0)+IFERROR(SUMIF(Nutzungsprofile!$B$6:$B$11,"Halle",Nutzungsprofile!$G$6:$G$11)*Kalender!D87/SUM(Kalender!$D$5:$D$370),0)+IFERROR(SUMIF(Nutzungsprofile!$B$6:$B$11,"Individuell",Nutzungsprofile!$G$6:$G$11)*Kalender!E87/SUM(Kalender!$E$5:$E$370),0))*Szenarien!$E$15,0)</f>
        <v>2.94</v>
      </c>
      <c r="D1551" s="13" t="n">
        <f aca="false">IF(Szenarien!$H$15="OK",(IFERROR(SUMIF(Nutzungsprofile!$B$17:$B$22,"Schulbetrieb",Nutzungsprofile!$G$17:$G$22)*Kalender!C87/SUM(Kalender!$C$5:$C$370),0)+IFERROR(SUMIF(Nutzungsprofile!$B$17:$B$22,"Halle",Nutzungsprofile!$G$17:$G$22)*Kalender!D87/SUM(Kalender!$D$5:$D$370),0)+IFERROR(SUMIF(Nutzungsprofile!$B$17:$B$22,"Individuell",Nutzungsprofile!$G$17:$G$22)*Kalender!E87/SUM(Kalender!$E$5:$E$370),0))*Szenarien!$D$15,0)</f>
        <v>4.94</v>
      </c>
      <c r="E1551" s="13" t="n">
        <f aca="false">IFERROR(MIN(C1551,Eingaben!$B$17)*Eingaben!$B$16,0)</f>
        <v>2.793</v>
      </c>
      <c r="F1551" s="13" t="n">
        <f aca="false">IFERROR(E1551*Eingaben!$B$15,0)</f>
        <v>2.5137</v>
      </c>
      <c r="G1551" s="13" t="n">
        <f aca="false">IFERROR(IF(Kalender!A87="",0,J1550*(1-Eingaben!$B$20)),0)</f>
        <v>0.7390278</v>
      </c>
      <c r="H1551" s="13" t="n">
        <f aca="false">MIN(G1551,D1551)</f>
        <v>0.7390278</v>
      </c>
      <c r="I1551" s="13" t="n">
        <f aca="false">IFERROR(MIN(F1551*Eingaben!$B$19,MAX(0,D1551-H1551)),0)</f>
        <v>1.75959</v>
      </c>
      <c r="J1551" s="13" t="n">
        <f aca="false">IFERROR(MIN(Eingaben!$B$18,MAX(0,F1551-I1551)),0)</f>
        <v>0.75411</v>
      </c>
      <c r="K1551" s="13" t="n">
        <f aca="false">H1551+I1551</f>
        <v>2.4986178</v>
      </c>
      <c r="L1551" s="13" t="n">
        <f aca="false">MAX(0,D1551-K1551)</f>
        <v>2.4413822</v>
      </c>
      <c r="M1551" s="13" t="n">
        <f aca="false">MAX(0,F1551-I1551-J1551)</f>
        <v>0</v>
      </c>
      <c r="N1551" s="13" t="n">
        <f aca="false">IF(Kalender!A87="",0,J1550-H1551)</f>
        <v>0.0150822</v>
      </c>
    </row>
    <row r="1552" customFormat="false" ht="16.4" hidden="false" customHeight="false" outlineLevel="0" collapsed="false">
      <c r="A1552" s="13" t="str">
        <f aca="false">""</f>
        <v/>
      </c>
      <c r="B1552" s="13" t="n">
        <f aca="false">84</f>
        <v>84</v>
      </c>
      <c r="C1552" s="13" t="n">
        <f aca="false">IF(Szenarien!$H$15="OK",(IFERROR(SUMIF(Nutzungsprofile!$B$6:$B$11,"Schulbetrieb",Nutzungsprofile!$G$6:$G$11)*Kalender!C88/SUM(Kalender!$C$5:$C$370),0)+IFERROR(SUMIF(Nutzungsprofile!$B$6:$B$11,"Halle",Nutzungsprofile!$G$6:$G$11)*Kalender!D88/SUM(Kalender!$D$5:$D$370),0)+IFERROR(SUMIF(Nutzungsprofile!$B$6:$B$11,"Individuell",Nutzungsprofile!$G$6:$G$11)*Kalender!E88/SUM(Kalender!$E$5:$E$370),0))*Szenarien!$E$15,0)</f>
        <v>2.94</v>
      </c>
      <c r="D1552" s="13" t="n">
        <f aca="false">IF(Szenarien!$H$15="OK",(IFERROR(SUMIF(Nutzungsprofile!$B$17:$B$22,"Schulbetrieb",Nutzungsprofile!$G$17:$G$22)*Kalender!C88/SUM(Kalender!$C$5:$C$370),0)+IFERROR(SUMIF(Nutzungsprofile!$B$17:$B$22,"Halle",Nutzungsprofile!$G$17:$G$22)*Kalender!D88/SUM(Kalender!$D$5:$D$370),0)+IFERROR(SUMIF(Nutzungsprofile!$B$17:$B$22,"Individuell",Nutzungsprofile!$G$17:$G$22)*Kalender!E88/SUM(Kalender!$E$5:$E$370),0))*Szenarien!$D$15,0)</f>
        <v>4.94</v>
      </c>
      <c r="E1552" s="13" t="n">
        <f aca="false">IFERROR(MIN(C1552,Eingaben!$B$17)*Eingaben!$B$16,0)</f>
        <v>2.793</v>
      </c>
      <c r="F1552" s="13" t="n">
        <f aca="false">IFERROR(E1552*Eingaben!$B$15,0)</f>
        <v>2.5137</v>
      </c>
      <c r="G1552" s="13" t="n">
        <f aca="false">IFERROR(IF(Kalender!A88="",0,J1551*(1-Eingaben!$B$20)),0)</f>
        <v>0.7390278</v>
      </c>
      <c r="H1552" s="13" t="n">
        <f aca="false">MIN(G1552,D1552)</f>
        <v>0.7390278</v>
      </c>
      <c r="I1552" s="13" t="n">
        <f aca="false">IFERROR(MIN(F1552*Eingaben!$B$19,MAX(0,D1552-H1552)),0)</f>
        <v>1.75959</v>
      </c>
      <c r="J1552" s="13" t="n">
        <f aca="false">IFERROR(MIN(Eingaben!$B$18,MAX(0,F1552-I1552)),0)</f>
        <v>0.75411</v>
      </c>
      <c r="K1552" s="13" t="n">
        <f aca="false">H1552+I1552</f>
        <v>2.4986178</v>
      </c>
      <c r="L1552" s="13" t="n">
        <f aca="false">MAX(0,D1552-K1552)</f>
        <v>2.4413822</v>
      </c>
      <c r="M1552" s="13" t="n">
        <f aca="false">MAX(0,F1552-I1552-J1552)</f>
        <v>0</v>
      </c>
      <c r="N1552" s="13" t="n">
        <f aca="false">IF(Kalender!A88="",0,J1551-H1552)</f>
        <v>0.0150822</v>
      </c>
    </row>
    <row r="1553" customFormat="false" ht="16.4" hidden="false" customHeight="false" outlineLevel="0" collapsed="false">
      <c r="A1553" s="13" t="str">
        <f aca="false">""</f>
        <v/>
      </c>
      <c r="B1553" s="13" t="n">
        <f aca="false">85</f>
        <v>85</v>
      </c>
      <c r="C1553" s="13" t="n">
        <f aca="false">IF(Szenarien!$H$15="OK",(IFERROR(SUMIF(Nutzungsprofile!$B$6:$B$11,"Schulbetrieb",Nutzungsprofile!$G$6:$G$11)*Kalender!C89/SUM(Kalender!$C$5:$C$370),0)+IFERROR(SUMIF(Nutzungsprofile!$B$6:$B$11,"Halle",Nutzungsprofile!$G$6:$G$11)*Kalender!D89/SUM(Kalender!$D$5:$D$370),0)+IFERROR(SUMIF(Nutzungsprofile!$B$6:$B$11,"Individuell",Nutzungsprofile!$G$6:$G$11)*Kalender!E89/SUM(Kalender!$E$5:$E$370),0))*Szenarien!$E$15,0)</f>
        <v>2.94</v>
      </c>
      <c r="D1553" s="13" t="n">
        <f aca="false">IF(Szenarien!$H$15="OK",(IFERROR(SUMIF(Nutzungsprofile!$B$17:$B$22,"Schulbetrieb",Nutzungsprofile!$G$17:$G$22)*Kalender!C89/SUM(Kalender!$C$5:$C$370),0)+IFERROR(SUMIF(Nutzungsprofile!$B$17:$B$22,"Halle",Nutzungsprofile!$G$17:$G$22)*Kalender!D89/SUM(Kalender!$D$5:$D$370),0)+IFERROR(SUMIF(Nutzungsprofile!$B$17:$B$22,"Individuell",Nutzungsprofile!$G$17:$G$22)*Kalender!E89/SUM(Kalender!$E$5:$E$370),0))*Szenarien!$D$15,0)</f>
        <v>4.94</v>
      </c>
      <c r="E1553" s="13" t="n">
        <f aca="false">IFERROR(MIN(C1553,Eingaben!$B$17)*Eingaben!$B$16,0)</f>
        <v>2.793</v>
      </c>
      <c r="F1553" s="13" t="n">
        <f aca="false">IFERROR(E1553*Eingaben!$B$15,0)</f>
        <v>2.5137</v>
      </c>
      <c r="G1553" s="13" t="n">
        <f aca="false">IFERROR(IF(Kalender!A89="",0,J1552*(1-Eingaben!$B$20)),0)</f>
        <v>0.7390278</v>
      </c>
      <c r="H1553" s="13" t="n">
        <f aca="false">MIN(G1553,D1553)</f>
        <v>0.7390278</v>
      </c>
      <c r="I1553" s="13" t="n">
        <f aca="false">IFERROR(MIN(F1553*Eingaben!$B$19,MAX(0,D1553-H1553)),0)</f>
        <v>1.75959</v>
      </c>
      <c r="J1553" s="13" t="n">
        <f aca="false">IFERROR(MIN(Eingaben!$B$18,MAX(0,F1553-I1553)),0)</f>
        <v>0.75411</v>
      </c>
      <c r="K1553" s="13" t="n">
        <f aca="false">H1553+I1553</f>
        <v>2.4986178</v>
      </c>
      <c r="L1553" s="13" t="n">
        <f aca="false">MAX(0,D1553-K1553)</f>
        <v>2.4413822</v>
      </c>
      <c r="M1553" s="13" t="n">
        <f aca="false">MAX(0,F1553-I1553-J1553)</f>
        <v>0</v>
      </c>
      <c r="N1553" s="13" t="n">
        <f aca="false">IF(Kalender!A89="",0,J1552-H1553)</f>
        <v>0.0150822</v>
      </c>
    </row>
    <row r="1554" customFormat="false" ht="16.4" hidden="false" customHeight="false" outlineLevel="0" collapsed="false">
      <c r="A1554" s="13" t="str">
        <f aca="false">""</f>
        <v/>
      </c>
      <c r="B1554" s="13" t="n">
        <f aca="false">86</f>
        <v>86</v>
      </c>
      <c r="C1554" s="13" t="n">
        <f aca="false">IF(Szenarien!$H$15="OK",(IFERROR(SUMIF(Nutzungsprofile!$B$6:$B$11,"Schulbetrieb",Nutzungsprofile!$G$6:$G$11)*Kalender!C90/SUM(Kalender!$C$5:$C$370),0)+IFERROR(SUMIF(Nutzungsprofile!$B$6:$B$11,"Halle",Nutzungsprofile!$G$6:$G$11)*Kalender!D90/SUM(Kalender!$D$5:$D$370),0)+IFERROR(SUMIF(Nutzungsprofile!$B$6:$B$11,"Individuell",Nutzungsprofile!$G$6:$G$11)*Kalender!E90/SUM(Kalender!$E$5:$E$370),0))*Szenarien!$E$15,0)</f>
        <v>2.94</v>
      </c>
      <c r="D1554" s="13" t="n">
        <f aca="false">IF(Szenarien!$H$15="OK",(IFERROR(SUMIF(Nutzungsprofile!$B$17:$B$22,"Schulbetrieb",Nutzungsprofile!$G$17:$G$22)*Kalender!C90/SUM(Kalender!$C$5:$C$370),0)+IFERROR(SUMIF(Nutzungsprofile!$B$17:$B$22,"Halle",Nutzungsprofile!$G$17:$G$22)*Kalender!D90/SUM(Kalender!$D$5:$D$370),0)+IFERROR(SUMIF(Nutzungsprofile!$B$17:$B$22,"Individuell",Nutzungsprofile!$G$17:$G$22)*Kalender!E90/SUM(Kalender!$E$5:$E$370),0))*Szenarien!$D$15,0)</f>
        <v>4.94</v>
      </c>
      <c r="E1554" s="13" t="n">
        <f aca="false">IFERROR(MIN(C1554,Eingaben!$B$17)*Eingaben!$B$16,0)</f>
        <v>2.793</v>
      </c>
      <c r="F1554" s="13" t="n">
        <f aca="false">IFERROR(E1554*Eingaben!$B$15,0)</f>
        <v>2.5137</v>
      </c>
      <c r="G1554" s="13" t="n">
        <f aca="false">IFERROR(IF(Kalender!A90="",0,J1553*(1-Eingaben!$B$20)),0)</f>
        <v>0.7390278</v>
      </c>
      <c r="H1554" s="13" t="n">
        <f aca="false">MIN(G1554,D1554)</f>
        <v>0.7390278</v>
      </c>
      <c r="I1554" s="13" t="n">
        <f aca="false">IFERROR(MIN(F1554*Eingaben!$B$19,MAX(0,D1554-H1554)),0)</f>
        <v>1.75959</v>
      </c>
      <c r="J1554" s="13" t="n">
        <f aca="false">IFERROR(MIN(Eingaben!$B$18,MAX(0,F1554-I1554)),0)</f>
        <v>0.75411</v>
      </c>
      <c r="K1554" s="13" t="n">
        <f aca="false">H1554+I1554</f>
        <v>2.4986178</v>
      </c>
      <c r="L1554" s="13" t="n">
        <f aca="false">MAX(0,D1554-K1554)</f>
        <v>2.4413822</v>
      </c>
      <c r="M1554" s="13" t="n">
        <f aca="false">MAX(0,F1554-I1554-J1554)</f>
        <v>0</v>
      </c>
      <c r="N1554" s="13" t="n">
        <f aca="false">IF(Kalender!A90="",0,J1553-H1554)</f>
        <v>0.0150822</v>
      </c>
    </row>
    <row r="1555" customFormat="false" ht="16.4" hidden="false" customHeight="false" outlineLevel="0" collapsed="false">
      <c r="A1555" s="13" t="str">
        <f aca="false">""</f>
        <v/>
      </c>
      <c r="B1555" s="13" t="n">
        <f aca="false">87</f>
        <v>87</v>
      </c>
      <c r="C1555" s="13" t="n">
        <f aca="false">IF(Szenarien!$H$15="OK",(IFERROR(SUMIF(Nutzungsprofile!$B$6:$B$11,"Schulbetrieb",Nutzungsprofile!$G$6:$G$11)*Kalender!C91/SUM(Kalender!$C$5:$C$370),0)+IFERROR(SUMIF(Nutzungsprofile!$B$6:$B$11,"Halle",Nutzungsprofile!$G$6:$G$11)*Kalender!D91/SUM(Kalender!$D$5:$D$370),0)+IFERROR(SUMIF(Nutzungsprofile!$B$6:$B$11,"Individuell",Nutzungsprofile!$G$6:$G$11)*Kalender!E91/SUM(Kalender!$E$5:$E$370),0))*Szenarien!$E$15,0)</f>
        <v>2.04</v>
      </c>
      <c r="D1555" s="13" t="n">
        <f aca="false">IF(Szenarien!$H$15="OK",(IFERROR(SUMIF(Nutzungsprofile!$B$17:$B$22,"Schulbetrieb",Nutzungsprofile!$G$17:$G$22)*Kalender!C91/SUM(Kalender!$C$5:$C$370),0)+IFERROR(SUMIF(Nutzungsprofile!$B$17:$B$22,"Halle",Nutzungsprofile!$G$17:$G$22)*Kalender!D91/SUM(Kalender!$D$5:$D$370),0)+IFERROR(SUMIF(Nutzungsprofile!$B$17:$B$22,"Individuell",Nutzungsprofile!$G$17:$G$22)*Kalender!E91/SUM(Kalender!$E$5:$E$370),0))*Szenarien!$D$15,0)</f>
        <v>0.89</v>
      </c>
      <c r="E1555" s="13" t="n">
        <f aca="false">IFERROR(MIN(C1555,Eingaben!$B$17)*Eingaben!$B$16,0)</f>
        <v>1.938</v>
      </c>
      <c r="F1555" s="13" t="n">
        <f aca="false">IFERROR(E1555*Eingaben!$B$15,0)</f>
        <v>1.7442</v>
      </c>
      <c r="G1555" s="13" t="n">
        <f aca="false">IFERROR(IF(Kalender!A91="",0,J1554*(1-Eingaben!$B$20)),0)</f>
        <v>0.7390278</v>
      </c>
      <c r="H1555" s="13" t="n">
        <f aca="false">MIN(G1555,D1555)</f>
        <v>0.7390278</v>
      </c>
      <c r="I1555" s="13" t="n">
        <f aca="false">IFERROR(MIN(F1555*Eingaben!$B$19,MAX(0,D1555-H1555)),0)</f>
        <v>0.1509722</v>
      </c>
      <c r="J1555" s="13" t="n">
        <f aca="false">IFERROR(MIN(Eingaben!$B$18,MAX(0,F1555-I1555)),0)</f>
        <v>1.5932278</v>
      </c>
      <c r="K1555" s="13" t="n">
        <f aca="false">H1555+I1555</f>
        <v>0.89</v>
      </c>
      <c r="L1555" s="13" t="n">
        <f aca="false">MAX(0,D1555-K1555)</f>
        <v>0</v>
      </c>
      <c r="M1555" s="13" t="n">
        <f aca="false">MAX(0,F1555-I1555-J1555)</f>
        <v>0</v>
      </c>
      <c r="N1555" s="13" t="n">
        <f aca="false">IF(Kalender!A91="",0,J1554-H1555)</f>
        <v>0.0150822</v>
      </c>
    </row>
    <row r="1556" customFormat="false" ht="16.4" hidden="false" customHeight="false" outlineLevel="0" collapsed="false">
      <c r="A1556" s="13" t="str">
        <f aca="false">""</f>
        <v/>
      </c>
      <c r="B1556" s="13" t="n">
        <f aca="false">88</f>
        <v>88</v>
      </c>
      <c r="C1556" s="13" t="n">
        <f aca="false">IF(Szenarien!$H$15="OK",(IFERROR(SUMIF(Nutzungsprofile!$B$6:$B$11,"Schulbetrieb",Nutzungsprofile!$G$6:$G$11)*Kalender!C92/SUM(Kalender!$C$5:$C$370),0)+IFERROR(SUMIF(Nutzungsprofile!$B$6:$B$11,"Halle",Nutzungsprofile!$G$6:$G$11)*Kalender!D92/SUM(Kalender!$D$5:$D$370),0)+IFERROR(SUMIF(Nutzungsprofile!$B$6:$B$11,"Individuell",Nutzungsprofile!$G$6:$G$11)*Kalender!E92/SUM(Kalender!$E$5:$E$370),0))*Szenarien!$E$15,0)</f>
        <v>2.04</v>
      </c>
      <c r="D1556" s="13" t="n">
        <f aca="false">IF(Szenarien!$H$15="OK",(IFERROR(SUMIF(Nutzungsprofile!$B$17:$B$22,"Schulbetrieb",Nutzungsprofile!$G$17:$G$22)*Kalender!C92/SUM(Kalender!$C$5:$C$370),0)+IFERROR(SUMIF(Nutzungsprofile!$B$17:$B$22,"Halle",Nutzungsprofile!$G$17:$G$22)*Kalender!D92/SUM(Kalender!$D$5:$D$370),0)+IFERROR(SUMIF(Nutzungsprofile!$B$17:$B$22,"Individuell",Nutzungsprofile!$G$17:$G$22)*Kalender!E92/SUM(Kalender!$E$5:$E$370),0))*Szenarien!$D$15,0)</f>
        <v>0.89</v>
      </c>
      <c r="E1556" s="13" t="n">
        <f aca="false">IFERROR(MIN(C1556,Eingaben!$B$17)*Eingaben!$B$16,0)</f>
        <v>1.938</v>
      </c>
      <c r="F1556" s="13" t="n">
        <f aca="false">IFERROR(E1556*Eingaben!$B$15,0)</f>
        <v>1.7442</v>
      </c>
      <c r="G1556" s="13" t="n">
        <f aca="false">IFERROR(IF(Kalender!A92="",0,J1555*(1-Eingaben!$B$20)),0)</f>
        <v>1.561363244</v>
      </c>
      <c r="H1556" s="13" t="n">
        <f aca="false">MIN(G1556,D1556)</f>
        <v>0.89</v>
      </c>
      <c r="I1556" s="13" t="n">
        <f aca="false">IFERROR(MIN(F1556*Eingaben!$B$19,MAX(0,D1556-H1556)),0)</f>
        <v>0</v>
      </c>
      <c r="J1556" s="13" t="n">
        <f aca="false">IFERROR(MIN(Eingaben!$B$18,MAX(0,F1556-I1556)),0)</f>
        <v>1.7442</v>
      </c>
      <c r="K1556" s="13" t="n">
        <f aca="false">H1556+I1556</f>
        <v>0.89</v>
      </c>
      <c r="L1556" s="13" t="n">
        <f aca="false">MAX(0,D1556-K1556)</f>
        <v>0</v>
      </c>
      <c r="M1556" s="13" t="n">
        <f aca="false">MAX(0,F1556-I1556-J1556)</f>
        <v>0</v>
      </c>
      <c r="N1556" s="13" t="n">
        <f aca="false">IF(Kalender!A92="",0,J1555-H1556)</f>
        <v>0.7032278</v>
      </c>
    </row>
    <row r="1557" customFormat="false" ht="16.4" hidden="false" customHeight="false" outlineLevel="0" collapsed="false">
      <c r="A1557" s="13" t="str">
        <f aca="false">""</f>
        <v/>
      </c>
      <c r="B1557" s="13" t="n">
        <f aca="false">89</f>
        <v>89</v>
      </c>
      <c r="C1557" s="13" t="n">
        <f aca="false">IF(Szenarien!$H$15="OK",(IFERROR(SUMIF(Nutzungsprofile!$B$6:$B$11,"Schulbetrieb",Nutzungsprofile!$G$6:$G$11)*Kalender!C93/SUM(Kalender!$C$5:$C$370),0)+IFERROR(SUMIF(Nutzungsprofile!$B$6:$B$11,"Halle",Nutzungsprofile!$G$6:$G$11)*Kalender!D93/SUM(Kalender!$D$5:$D$370),0)+IFERROR(SUMIF(Nutzungsprofile!$B$6:$B$11,"Individuell",Nutzungsprofile!$G$6:$G$11)*Kalender!E93/SUM(Kalender!$E$5:$E$370),0))*Szenarien!$E$15,0)</f>
        <v>2.94</v>
      </c>
      <c r="D1557" s="13" t="n">
        <f aca="false">IF(Szenarien!$H$15="OK",(IFERROR(SUMIF(Nutzungsprofile!$B$17:$B$22,"Schulbetrieb",Nutzungsprofile!$G$17:$G$22)*Kalender!C93/SUM(Kalender!$C$5:$C$370),0)+IFERROR(SUMIF(Nutzungsprofile!$B$17:$B$22,"Halle",Nutzungsprofile!$G$17:$G$22)*Kalender!D93/SUM(Kalender!$D$5:$D$370),0)+IFERROR(SUMIF(Nutzungsprofile!$B$17:$B$22,"Individuell",Nutzungsprofile!$G$17:$G$22)*Kalender!E93/SUM(Kalender!$E$5:$E$370),0))*Szenarien!$D$15,0)</f>
        <v>4.94</v>
      </c>
      <c r="E1557" s="13" t="n">
        <f aca="false">IFERROR(MIN(C1557,Eingaben!$B$17)*Eingaben!$B$16,0)</f>
        <v>2.793</v>
      </c>
      <c r="F1557" s="13" t="n">
        <f aca="false">IFERROR(E1557*Eingaben!$B$15,0)</f>
        <v>2.5137</v>
      </c>
      <c r="G1557" s="13" t="n">
        <f aca="false">IFERROR(IF(Kalender!A93="",0,J1556*(1-Eingaben!$B$20)),0)</f>
        <v>1.709316</v>
      </c>
      <c r="H1557" s="13" t="n">
        <f aca="false">MIN(G1557,D1557)</f>
        <v>1.709316</v>
      </c>
      <c r="I1557" s="13" t="n">
        <f aca="false">IFERROR(MIN(F1557*Eingaben!$B$19,MAX(0,D1557-H1557)),0)</f>
        <v>1.75959</v>
      </c>
      <c r="J1557" s="13" t="n">
        <f aca="false">IFERROR(MIN(Eingaben!$B$18,MAX(0,F1557-I1557)),0)</f>
        <v>0.75411</v>
      </c>
      <c r="K1557" s="13" t="n">
        <f aca="false">H1557+I1557</f>
        <v>3.468906</v>
      </c>
      <c r="L1557" s="13" t="n">
        <f aca="false">MAX(0,D1557-K1557)</f>
        <v>1.471094</v>
      </c>
      <c r="M1557" s="13" t="n">
        <f aca="false">MAX(0,F1557-I1557-J1557)</f>
        <v>0</v>
      </c>
      <c r="N1557" s="13" t="n">
        <f aca="false">IF(Kalender!A93="",0,J1556-H1557)</f>
        <v>0.0348840000000001</v>
      </c>
    </row>
    <row r="1558" customFormat="false" ht="16.4" hidden="false" customHeight="false" outlineLevel="0" collapsed="false">
      <c r="A1558" s="13" t="str">
        <f aca="false">""</f>
        <v/>
      </c>
      <c r="B1558" s="13" t="n">
        <f aca="false">90</f>
        <v>90</v>
      </c>
      <c r="C1558" s="13" t="n">
        <f aca="false">IF(Szenarien!$H$15="OK",(IFERROR(SUMIF(Nutzungsprofile!$B$6:$B$11,"Schulbetrieb",Nutzungsprofile!$G$6:$G$11)*Kalender!C94/SUM(Kalender!$C$5:$C$370),0)+IFERROR(SUMIF(Nutzungsprofile!$B$6:$B$11,"Halle",Nutzungsprofile!$G$6:$G$11)*Kalender!D94/SUM(Kalender!$D$5:$D$370),0)+IFERROR(SUMIF(Nutzungsprofile!$B$6:$B$11,"Individuell",Nutzungsprofile!$G$6:$G$11)*Kalender!E94/SUM(Kalender!$E$5:$E$370),0))*Szenarien!$E$15,0)</f>
        <v>2.94</v>
      </c>
      <c r="D1558" s="13" t="n">
        <f aca="false">IF(Szenarien!$H$15="OK",(IFERROR(SUMIF(Nutzungsprofile!$B$17:$B$22,"Schulbetrieb",Nutzungsprofile!$G$17:$G$22)*Kalender!C94/SUM(Kalender!$C$5:$C$370),0)+IFERROR(SUMIF(Nutzungsprofile!$B$17:$B$22,"Halle",Nutzungsprofile!$G$17:$G$22)*Kalender!D94/SUM(Kalender!$D$5:$D$370),0)+IFERROR(SUMIF(Nutzungsprofile!$B$17:$B$22,"Individuell",Nutzungsprofile!$G$17:$G$22)*Kalender!E94/SUM(Kalender!$E$5:$E$370),0))*Szenarien!$D$15,0)</f>
        <v>4.94</v>
      </c>
      <c r="E1558" s="13" t="n">
        <f aca="false">IFERROR(MIN(C1558,Eingaben!$B$17)*Eingaben!$B$16,0)</f>
        <v>2.793</v>
      </c>
      <c r="F1558" s="13" t="n">
        <f aca="false">IFERROR(E1558*Eingaben!$B$15,0)</f>
        <v>2.5137</v>
      </c>
      <c r="G1558" s="13" t="n">
        <f aca="false">IFERROR(IF(Kalender!A94="",0,J1557*(1-Eingaben!$B$20)),0)</f>
        <v>0.7390278</v>
      </c>
      <c r="H1558" s="13" t="n">
        <f aca="false">MIN(G1558,D1558)</f>
        <v>0.7390278</v>
      </c>
      <c r="I1558" s="13" t="n">
        <f aca="false">IFERROR(MIN(F1558*Eingaben!$B$19,MAX(0,D1558-H1558)),0)</f>
        <v>1.75959</v>
      </c>
      <c r="J1558" s="13" t="n">
        <f aca="false">IFERROR(MIN(Eingaben!$B$18,MAX(0,F1558-I1558)),0)</f>
        <v>0.75411</v>
      </c>
      <c r="K1558" s="13" t="n">
        <f aca="false">H1558+I1558</f>
        <v>2.4986178</v>
      </c>
      <c r="L1558" s="13" t="n">
        <f aca="false">MAX(0,D1558-K1558)</f>
        <v>2.4413822</v>
      </c>
      <c r="M1558" s="13" t="n">
        <f aca="false">MAX(0,F1558-I1558-J1558)</f>
        <v>0</v>
      </c>
      <c r="N1558" s="13" t="n">
        <f aca="false">IF(Kalender!A94="",0,J1557-H1558)</f>
        <v>0.0150822</v>
      </c>
    </row>
    <row r="1559" customFormat="false" ht="16.4" hidden="false" customHeight="false" outlineLevel="0" collapsed="false">
      <c r="A1559" s="13" t="str">
        <f aca="false">""</f>
        <v/>
      </c>
      <c r="B1559" s="13" t="n">
        <f aca="false">91</f>
        <v>91</v>
      </c>
      <c r="C1559" s="13" t="n">
        <f aca="false">IF(Szenarien!$H$15="OK",(IFERROR(SUMIF(Nutzungsprofile!$B$6:$B$11,"Schulbetrieb",Nutzungsprofile!$G$6:$G$11)*Kalender!C95/SUM(Kalender!$C$5:$C$370),0)+IFERROR(SUMIF(Nutzungsprofile!$B$6:$B$11,"Halle",Nutzungsprofile!$G$6:$G$11)*Kalender!D95/SUM(Kalender!$D$5:$D$370),0)+IFERROR(SUMIF(Nutzungsprofile!$B$6:$B$11,"Individuell",Nutzungsprofile!$G$6:$G$11)*Kalender!E95/SUM(Kalender!$E$5:$E$370),0))*Szenarien!$E$15,0)</f>
        <v>2.94</v>
      </c>
      <c r="D1559" s="13" t="n">
        <f aca="false">IF(Szenarien!$H$15="OK",(IFERROR(SUMIF(Nutzungsprofile!$B$17:$B$22,"Schulbetrieb",Nutzungsprofile!$G$17:$G$22)*Kalender!C95/SUM(Kalender!$C$5:$C$370),0)+IFERROR(SUMIF(Nutzungsprofile!$B$17:$B$22,"Halle",Nutzungsprofile!$G$17:$G$22)*Kalender!D95/SUM(Kalender!$D$5:$D$370),0)+IFERROR(SUMIF(Nutzungsprofile!$B$17:$B$22,"Individuell",Nutzungsprofile!$G$17:$G$22)*Kalender!E95/SUM(Kalender!$E$5:$E$370),0))*Szenarien!$D$15,0)</f>
        <v>4.94</v>
      </c>
      <c r="E1559" s="13" t="n">
        <f aca="false">IFERROR(MIN(C1559,Eingaben!$B$17)*Eingaben!$B$16,0)</f>
        <v>2.793</v>
      </c>
      <c r="F1559" s="13" t="n">
        <f aca="false">IFERROR(E1559*Eingaben!$B$15,0)</f>
        <v>2.5137</v>
      </c>
      <c r="G1559" s="13" t="n">
        <f aca="false">IFERROR(IF(Kalender!A95="",0,J1558*(1-Eingaben!$B$20)),0)</f>
        <v>0.7390278</v>
      </c>
      <c r="H1559" s="13" t="n">
        <f aca="false">MIN(G1559,D1559)</f>
        <v>0.7390278</v>
      </c>
      <c r="I1559" s="13" t="n">
        <f aca="false">IFERROR(MIN(F1559*Eingaben!$B$19,MAX(0,D1559-H1559)),0)</f>
        <v>1.75959</v>
      </c>
      <c r="J1559" s="13" t="n">
        <f aca="false">IFERROR(MIN(Eingaben!$B$18,MAX(0,F1559-I1559)),0)</f>
        <v>0.75411</v>
      </c>
      <c r="K1559" s="13" t="n">
        <f aca="false">H1559+I1559</f>
        <v>2.4986178</v>
      </c>
      <c r="L1559" s="13" t="n">
        <f aca="false">MAX(0,D1559-K1559)</f>
        <v>2.4413822</v>
      </c>
      <c r="M1559" s="13" t="n">
        <f aca="false">MAX(0,F1559-I1559-J1559)</f>
        <v>0</v>
      </c>
      <c r="N1559" s="13" t="n">
        <f aca="false">IF(Kalender!A95="",0,J1558-H1559)</f>
        <v>0.0150822</v>
      </c>
    </row>
    <row r="1560" customFormat="false" ht="16.4" hidden="false" customHeight="false" outlineLevel="0" collapsed="false">
      <c r="A1560" s="13" t="str">
        <f aca="false">""</f>
        <v/>
      </c>
      <c r="B1560" s="13" t="n">
        <f aca="false">92</f>
        <v>92</v>
      </c>
      <c r="C1560" s="13" t="n">
        <f aca="false">IF(Szenarien!$H$15="OK",(IFERROR(SUMIF(Nutzungsprofile!$B$6:$B$11,"Schulbetrieb",Nutzungsprofile!$G$6:$G$11)*Kalender!C96/SUM(Kalender!$C$5:$C$370),0)+IFERROR(SUMIF(Nutzungsprofile!$B$6:$B$11,"Halle",Nutzungsprofile!$G$6:$G$11)*Kalender!D96/SUM(Kalender!$D$5:$D$370),0)+IFERROR(SUMIF(Nutzungsprofile!$B$6:$B$11,"Individuell",Nutzungsprofile!$G$6:$G$11)*Kalender!E96/SUM(Kalender!$E$5:$E$370),0))*Szenarien!$E$15,0)</f>
        <v>2.94</v>
      </c>
      <c r="D1560" s="13" t="n">
        <f aca="false">IF(Szenarien!$H$15="OK",(IFERROR(SUMIF(Nutzungsprofile!$B$17:$B$22,"Schulbetrieb",Nutzungsprofile!$G$17:$G$22)*Kalender!C96/SUM(Kalender!$C$5:$C$370),0)+IFERROR(SUMIF(Nutzungsprofile!$B$17:$B$22,"Halle",Nutzungsprofile!$G$17:$G$22)*Kalender!D96/SUM(Kalender!$D$5:$D$370),0)+IFERROR(SUMIF(Nutzungsprofile!$B$17:$B$22,"Individuell",Nutzungsprofile!$G$17:$G$22)*Kalender!E96/SUM(Kalender!$E$5:$E$370),0))*Szenarien!$D$15,0)</f>
        <v>4.94</v>
      </c>
      <c r="E1560" s="13" t="n">
        <f aca="false">IFERROR(MIN(C1560,Eingaben!$B$17)*Eingaben!$B$16,0)</f>
        <v>2.793</v>
      </c>
      <c r="F1560" s="13" t="n">
        <f aca="false">IFERROR(E1560*Eingaben!$B$15,0)</f>
        <v>2.5137</v>
      </c>
      <c r="G1560" s="13" t="n">
        <f aca="false">IFERROR(IF(Kalender!A96="",0,J1559*(1-Eingaben!$B$20)),0)</f>
        <v>0.7390278</v>
      </c>
      <c r="H1560" s="13" t="n">
        <f aca="false">MIN(G1560,D1560)</f>
        <v>0.7390278</v>
      </c>
      <c r="I1560" s="13" t="n">
        <f aca="false">IFERROR(MIN(F1560*Eingaben!$B$19,MAX(0,D1560-H1560)),0)</f>
        <v>1.75959</v>
      </c>
      <c r="J1560" s="13" t="n">
        <f aca="false">IFERROR(MIN(Eingaben!$B$18,MAX(0,F1560-I1560)),0)</f>
        <v>0.75411</v>
      </c>
      <c r="K1560" s="13" t="n">
        <f aca="false">H1560+I1560</f>
        <v>2.4986178</v>
      </c>
      <c r="L1560" s="13" t="n">
        <f aca="false">MAX(0,D1560-K1560)</f>
        <v>2.4413822</v>
      </c>
      <c r="M1560" s="13" t="n">
        <f aca="false">MAX(0,F1560-I1560-J1560)</f>
        <v>0</v>
      </c>
      <c r="N1560" s="13" t="n">
        <f aca="false">IF(Kalender!A96="",0,J1559-H1560)</f>
        <v>0.0150822</v>
      </c>
    </row>
    <row r="1561" customFormat="false" ht="16.4" hidden="false" customHeight="false" outlineLevel="0" collapsed="false">
      <c r="A1561" s="13" t="str">
        <f aca="false">""</f>
        <v/>
      </c>
      <c r="B1561" s="13" t="n">
        <f aca="false">93</f>
        <v>93</v>
      </c>
      <c r="C1561" s="13" t="n">
        <f aca="false">IF(Szenarien!$H$15="OK",(IFERROR(SUMIF(Nutzungsprofile!$B$6:$B$11,"Schulbetrieb",Nutzungsprofile!$G$6:$G$11)*Kalender!C97/SUM(Kalender!$C$5:$C$370),0)+IFERROR(SUMIF(Nutzungsprofile!$B$6:$B$11,"Halle",Nutzungsprofile!$G$6:$G$11)*Kalender!D97/SUM(Kalender!$D$5:$D$370),0)+IFERROR(SUMIF(Nutzungsprofile!$B$6:$B$11,"Individuell",Nutzungsprofile!$G$6:$G$11)*Kalender!E97/SUM(Kalender!$E$5:$E$370),0))*Szenarien!$E$15,0)</f>
        <v>2.94</v>
      </c>
      <c r="D1561" s="13" t="n">
        <f aca="false">IF(Szenarien!$H$15="OK",(IFERROR(SUMIF(Nutzungsprofile!$B$17:$B$22,"Schulbetrieb",Nutzungsprofile!$G$17:$G$22)*Kalender!C97/SUM(Kalender!$C$5:$C$370),0)+IFERROR(SUMIF(Nutzungsprofile!$B$17:$B$22,"Halle",Nutzungsprofile!$G$17:$G$22)*Kalender!D97/SUM(Kalender!$D$5:$D$370),0)+IFERROR(SUMIF(Nutzungsprofile!$B$17:$B$22,"Individuell",Nutzungsprofile!$G$17:$G$22)*Kalender!E97/SUM(Kalender!$E$5:$E$370),0))*Szenarien!$D$15,0)</f>
        <v>4.94</v>
      </c>
      <c r="E1561" s="13" t="n">
        <f aca="false">IFERROR(MIN(C1561,Eingaben!$B$17)*Eingaben!$B$16,0)</f>
        <v>2.793</v>
      </c>
      <c r="F1561" s="13" t="n">
        <f aca="false">IFERROR(E1561*Eingaben!$B$15,0)</f>
        <v>2.5137</v>
      </c>
      <c r="G1561" s="13" t="n">
        <f aca="false">IFERROR(IF(Kalender!A97="",0,J1560*(1-Eingaben!$B$20)),0)</f>
        <v>0.7390278</v>
      </c>
      <c r="H1561" s="13" t="n">
        <f aca="false">MIN(G1561,D1561)</f>
        <v>0.7390278</v>
      </c>
      <c r="I1561" s="13" t="n">
        <f aca="false">IFERROR(MIN(F1561*Eingaben!$B$19,MAX(0,D1561-H1561)),0)</f>
        <v>1.75959</v>
      </c>
      <c r="J1561" s="13" t="n">
        <f aca="false">IFERROR(MIN(Eingaben!$B$18,MAX(0,F1561-I1561)),0)</f>
        <v>0.75411</v>
      </c>
      <c r="K1561" s="13" t="n">
        <f aca="false">H1561+I1561</f>
        <v>2.4986178</v>
      </c>
      <c r="L1561" s="13" t="n">
        <f aca="false">MAX(0,D1561-K1561)</f>
        <v>2.4413822</v>
      </c>
      <c r="M1561" s="13" t="n">
        <f aca="false">MAX(0,F1561-I1561-J1561)</f>
        <v>0</v>
      </c>
      <c r="N1561" s="13" t="n">
        <f aca="false">IF(Kalender!A97="",0,J1560-H1561)</f>
        <v>0.0150822</v>
      </c>
    </row>
    <row r="1562" customFormat="false" ht="16.4" hidden="false" customHeight="false" outlineLevel="0" collapsed="false">
      <c r="A1562" s="13" t="str">
        <f aca="false">""</f>
        <v/>
      </c>
      <c r="B1562" s="13" t="n">
        <f aca="false">94</f>
        <v>94</v>
      </c>
      <c r="C1562" s="13" t="n">
        <f aca="false">IF(Szenarien!$H$15="OK",(IFERROR(SUMIF(Nutzungsprofile!$B$6:$B$11,"Schulbetrieb",Nutzungsprofile!$G$6:$G$11)*Kalender!C98/SUM(Kalender!$C$5:$C$370),0)+IFERROR(SUMIF(Nutzungsprofile!$B$6:$B$11,"Halle",Nutzungsprofile!$G$6:$G$11)*Kalender!D98/SUM(Kalender!$D$5:$D$370),0)+IFERROR(SUMIF(Nutzungsprofile!$B$6:$B$11,"Individuell",Nutzungsprofile!$G$6:$G$11)*Kalender!E98/SUM(Kalender!$E$5:$E$370),0))*Szenarien!$E$15,0)</f>
        <v>2.04</v>
      </c>
      <c r="D1562" s="13" t="n">
        <f aca="false">IF(Szenarien!$H$15="OK",(IFERROR(SUMIF(Nutzungsprofile!$B$17:$B$22,"Schulbetrieb",Nutzungsprofile!$G$17:$G$22)*Kalender!C98/SUM(Kalender!$C$5:$C$370),0)+IFERROR(SUMIF(Nutzungsprofile!$B$17:$B$22,"Halle",Nutzungsprofile!$G$17:$G$22)*Kalender!D98/SUM(Kalender!$D$5:$D$370),0)+IFERROR(SUMIF(Nutzungsprofile!$B$17:$B$22,"Individuell",Nutzungsprofile!$G$17:$G$22)*Kalender!E98/SUM(Kalender!$E$5:$E$370),0))*Szenarien!$D$15,0)</f>
        <v>0.89</v>
      </c>
      <c r="E1562" s="13" t="n">
        <f aca="false">IFERROR(MIN(C1562,Eingaben!$B$17)*Eingaben!$B$16,0)</f>
        <v>1.938</v>
      </c>
      <c r="F1562" s="13" t="n">
        <f aca="false">IFERROR(E1562*Eingaben!$B$15,0)</f>
        <v>1.7442</v>
      </c>
      <c r="G1562" s="13" t="n">
        <f aca="false">IFERROR(IF(Kalender!A98="",0,J1561*(1-Eingaben!$B$20)),0)</f>
        <v>0.7390278</v>
      </c>
      <c r="H1562" s="13" t="n">
        <f aca="false">MIN(G1562,D1562)</f>
        <v>0.7390278</v>
      </c>
      <c r="I1562" s="13" t="n">
        <f aca="false">IFERROR(MIN(F1562*Eingaben!$B$19,MAX(0,D1562-H1562)),0)</f>
        <v>0.1509722</v>
      </c>
      <c r="J1562" s="13" t="n">
        <f aca="false">IFERROR(MIN(Eingaben!$B$18,MAX(0,F1562-I1562)),0)</f>
        <v>1.5932278</v>
      </c>
      <c r="K1562" s="13" t="n">
        <f aca="false">H1562+I1562</f>
        <v>0.89</v>
      </c>
      <c r="L1562" s="13" t="n">
        <f aca="false">MAX(0,D1562-K1562)</f>
        <v>0</v>
      </c>
      <c r="M1562" s="13" t="n">
        <f aca="false">MAX(0,F1562-I1562-J1562)</f>
        <v>0</v>
      </c>
      <c r="N1562" s="13" t="n">
        <f aca="false">IF(Kalender!A98="",0,J1561-H1562)</f>
        <v>0.0150822</v>
      </c>
    </row>
    <row r="1563" customFormat="false" ht="16.4" hidden="false" customHeight="false" outlineLevel="0" collapsed="false">
      <c r="A1563" s="13" t="str">
        <f aca="false">""</f>
        <v/>
      </c>
      <c r="B1563" s="13" t="n">
        <f aca="false">95</f>
        <v>95</v>
      </c>
      <c r="C1563" s="13" t="n">
        <f aca="false">IF(Szenarien!$H$15="OK",(IFERROR(SUMIF(Nutzungsprofile!$B$6:$B$11,"Schulbetrieb",Nutzungsprofile!$G$6:$G$11)*Kalender!C99/SUM(Kalender!$C$5:$C$370),0)+IFERROR(SUMIF(Nutzungsprofile!$B$6:$B$11,"Halle",Nutzungsprofile!$G$6:$G$11)*Kalender!D99/SUM(Kalender!$D$5:$D$370),0)+IFERROR(SUMIF(Nutzungsprofile!$B$6:$B$11,"Individuell",Nutzungsprofile!$G$6:$G$11)*Kalender!E99/SUM(Kalender!$E$5:$E$370),0))*Szenarien!$E$15,0)</f>
        <v>2.04</v>
      </c>
      <c r="D1563" s="13" t="n">
        <f aca="false">IF(Szenarien!$H$15="OK",(IFERROR(SUMIF(Nutzungsprofile!$B$17:$B$22,"Schulbetrieb",Nutzungsprofile!$G$17:$G$22)*Kalender!C99/SUM(Kalender!$C$5:$C$370),0)+IFERROR(SUMIF(Nutzungsprofile!$B$17:$B$22,"Halle",Nutzungsprofile!$G$17:$G$22)*Kalender!D99/SUM(Kalender!$D$5:$D$370),0)+IFERROR(SUMIF(Nutzungsprofile!$B$17:$B$22,"Individuell",Nutzungsprofile!$G$17:$G$22)*Kalender!E99/SUM(Kalender!$E$5:$E$370),0))*Szenarien!$D$15,0)</f>
        <v>0.89</v>
      </c>
      <c r="E1563" s="13" t="n">
        <f aca="false">IFERROR(MIN(C1563,Eingaben!$B$17)*Eingaben!$B$16,0)</f>
        <v>1.938</v>
      </c>
      <c r="F1563" s="13" t="n">
        <f aca="false">IFERROR(E1563*Eingaben!$B$15,0)</f>
        <v>1.7442</v>
      </c>
      <c r="G1563" s="13" t="n">
        <f aca="false">IFERROR(IF(Kalender!A99="",0,J1562*(1-Eingaben!$B$20)),0)</f>
        <v>1.561363244</v>
      </c>
      <c r="H1563" s="13" t="n">
        <f aca="false">MIN(G1563,D1563)</f>
        <v>0.89</v>
      </c>
      <c r="I1563" s="13" t="n">
        <f aca="false">IFERROR(MIN(F1563*Eingaben!$B$19,MAX(0,D1563-H1563)),0)</f>
        <v>0</v>
      </c>
      <c r="J1563" s="13" t="n">
        <f aca="false">IFERROR(MIN(Eingaben!$B$18,MAX(0,F1563-I1563)),0)</f>
        <v>1.7442</v>
      </c>
      <c r="K1563" s="13" t="n">
        <f aca="false">H1563+I1563</f>
        <v>0.89</v>
      </c>
      <c r="L1563" s="13" t="n">
        <f aca="false">MAX(0,D1563-K1563)</f>
        <v>0</v>
      </c>
      <c r="M1563" s="13" t="n">
        <f aca="false">MAX(0,F1563-I1563-J1563)</f>
        <v>0</v>
      </c>
      <c r="N1563" s="13" t="n">
        <f aca="false">IF(Kalender!A99="",0,J1562-H1563)</f>
        <v>0.7032278</v>
      </c>
    </row>
    <row r="1564" customFormat="false" ht="16.4" hidden="false" customHeight="false" outlineLevel="0" collapsed="false">
      <c r="A1564" s="13" t="str">
        <f aca="false">""</f>
        <v/>
      </c>
      <c r="B1564" s="13" t="n">
        <f aca="false">96</f>
        <v>96</v>
      </c>
      <c r="C1564" s="13" t="n">
        <f aca="false">IF(Szenarien!$H$15="OK",(IFERROR(SUMIF(Nutzungsprofile!$B$6:$B$11,"Schulbetrieb",Nutzungsprofile!$G$6:$G$11)*Kalender!C100/SUM(Kalender!$C$5:$C$370),0)+IFERROR(SUMIF(Nutzungsprofile!$B$6:$B$11,"Halle",Nutzungsprofile!$G$6:$G$11)*Kalender!D100/SUM(Kalender!$D$5:$D$370),0)+IFERROR(SUMIF(Nutzungsprofile!$B$6:$B$11,"Individuell",Nutzungsprofile!$G$6:$G$11)*Kalender!E100/SUM(Kalender!$E$5:$E$370),0))*Szenarien!$E$15,0)</f>
        <v>2.94</v>
      </c>
      <c r="D1564" s="13" t="n">
        <f aca="false">IF(Szenarien!$H$15="OK",(IFERROR(SUMIF(Nutzungsprofile!$B$17:$B$22,"Schulbetrieb",Nutzungsprofile!$G$17:$G$22)*Kalender!C100/SUM(Kalender!$C$5:$C$370),0)+IFERROR(SUMIF(Nutzungsprofile!$B$17:$B$22,"Halle",Nutzungsprofile!$G$17:$G$22)*Kalender!D100/SUM(Kalender!$D$5:$D$370),0)+IFERROR(SUMIF(Nutzungsprofile!$B$17:$B$22,"Individuell",Nutzungsprofile!$G$17:$G$22)*Kalender!E100/SUM(Kalender!$E$5:$E$370),0))*Szenarien!$D$15,0)</f>
        <v>4.94</v>
      </c>
      <c r="E1564" s="13" t="n">
        <f aca="false">IFERROR(MIN(C1564,Eingaben!$B$17)*Eingaben!$B$16,0)</f>
        <v>2.793</v>
      </c>
      <c r="F1564" s="13" t="n">
        <f aca="false">IFERROR(E1564*Eingaben!$B$15,0)</f>
        <v>2.5137</v>
      </c>
      <c r="G1564" s="13" t="n">
        <f aca="false">IFERROR(IF(Kalender!A100="",0,J1563*(1-Eingaben!$B$20)),0)</f>
        <v>1.709316</v>
      </c>
      <c r="H1564" s="13" t="n">
        <f aca="false">MIN(G1564,D1564)</f>
        <v>1.709316</v>
      </c>
      <c r="I1564" s="13" t="n">
        <f aca="false">IFERROR(MIN(F1564*Eingaben!$B$19,MAX(0,D1564-H1564)),0)</f>
        <v>1.75959</v>
      </c>
      <c r="J1564" s="13" t="n">
        <f aca="false">IFERROR(MIN(Eingaben!$B$18,MAX(0,F1564-I1564)),0)</f>
        <v>0.75411</v>
      </c>
      <c r="K1564" s="13" t="n">
        <f aca="false">H1564+I1564</f>
        <v>3.468906</v>
      </c>
      <c r="L1564" s="13" t="n">
        <f aca="false">MAX(0,D1564-K1564)</f>
        <v>1.471094</v>
      </c>
      <c r="M1564" s="13" t="n">
        <f aca="false">MAX(0,F1564-I1564-J1564)</f>
        <v>0</v>
      </c>
      <c r="N1564" s="13" t="n">
        <f aca="false">IF(Kalender!A100="",0,J1563-H1564)</f>
        <v>0.0348840000000001</v>
      </c>
    </row>
    <row r="1565" customFormat="false" ht="16.4" hidden="false" customHeight="false" outlineLevel="0" collapsed="false">
      <c r="A1565" s="13" t="str">
        <f aca="false">""</f>
        <v/>
      </c>
      <c r="B1565" s="13" t="n">
        <f aca="false">97</f>
        <v>97</v>
      </c>
      <c r="C1565" s="13" t="n">
        <f aca="false">IF(Szenarien!$H$15="OK",(IFERROR(SUMIF(Nutzungsprofile!$B$6:$B$11,"Schulbetrieb",Nutzungsprofile!$G$6:$G$11)*Kalender!C101/SUM(Kalender!$C$5:$C$370),0)+IFERROR(SUMIF(Nutzungsprofile!$B$6:$B$11,"Halle",Nutzungsprofile!$G$6:$G$11)*Kalender!D101/SUM(Kalender!$D$5:$D$370),0)+IFERROR(SUMIF(Nutzungsprofile!$B$6:$B$11,"Individuell",Nutzungsprofile!$G$6:$G$11)*Kalender!E101/SUM(Kalender!$E$5:$E$370),0))*Szenarien!$E$15,0)</f>
        <v>2.94</v>
      </c>
      <c r="D1565" s="13" t="n">
        <f aca="false">IF(Szenarien!$H$15="OK",(IFERROR(SUMIF(Nutzungsprofile!$B$17:$B$22,"Schulbetrieb",Nutzungsprofile!$G$17:$G$22)*Kalender!C101/SUM(Kalender!$C$5:$C$370),0)+IFERROR(SUMIF(Nutzungsprofile!$B$17:$B$22,"Halle",Nutzungsprofile!$G$17:$G$22)*Kalender!D101/SUM(Kalender!$D$5:$D$370),0)+IFERROR(SUMIF(Nutzungsprofile!$B$17:$B$22,"Individuell",Nutzungsprofile!$G$17:$G$22)*Kalender!E101/SUM(Kalender!$E$5:$E$370),0))*Szenarien!$D$15,0)</f>
        <v>4.94</v>
      </c>
      <c r="E1565" s="13" t="n">
        <f aca="false">IFERROR(MIN(C1565,Eingaben!$B$17)*Eingaben!$B$16,0)</f>
        <v>2.793</v>
      </c>
      <c r="F1565" s="13" t="n">
        <f aca="false">IFERROR(E1565*Eingaben!$B$15,0)</f>
        <v>2.5137</v>
      </c>
      <c r="G1565" s="13" t="n">
        <f aca="false">IFERROR(IF(Kalender!A101="",0,J1564*(1-Eingaben!$B$20)),0)</f>
        <v>0.7390278</v>
      </c>
      <c r="H1565" s="13" t="n">
        <f aca="false">MIN(G1565,D1565)</f>
        <v>0.7390278</v>
      </c>
      <c r="I1565" s="13" t="n">
        <f aca="false">IFERROR(MIN(F1565*Eingaben!$B$19,MAX(0,D1565-H1565)),0)</f>
        <v>1.75959</v>
      </c>
      <c r="J1565" s="13" t="n">
        <f aca="false">IFERROR(MIN(Eingaben!$B$18,MAX(0,F1565-I1565)),0)</f>
        <v>0.75411</v>
      </c>
      <c r="K1565" s="13" t="n">
        <f aca="false">H1565+I1565</f>
        <v>2.4986178</v>
      </c>
      <c r="L1565" s="13" t="n">
        <f aca="false">MAX(0,D1565-K1565)</f>
        <v>2.4413822</v>
      </c>
      <c r="M1565" s="13" t="n">
        <f aca="false">MAX(0,F1565-I1565-J1565)</f>
        <v>0</v>
      </c>
      <c r="N1565" s="13" t="n">
        <f aca="false">IF(Kalender!A101="",0,J1564-H1565)</f>
        <v>0.0150822</v>
      </c>
    </row>
    <row r="1566" customFormat="false" ht="16.4" hidden="false" customHeight="false" outlineLevel="0" collapsed="false">
      <c r="A1566" s="13" t="str">
        <f aca="false">""</f>
        <v/>
      </c>
      <c r="B1566" s="13" t="n">
        <f aca="false">98</f>
        <v>98</v>
      </c>
      <c r="C1566" s="13" t="n">
        <f aca="false">IF(Szenarien!$H$15="OK",(IFERROR(SUMIF(Nutzungsprofile!$B$6:$B$11,"Schulbetrieb",Nutzungsprofile!$G$6:$G$11)*Kalender!C102/SUM(Kalender!$C$5:$C$370),0)+IFERROR(SUMIF(Nutzungsprofile!$B$6:$B$11,"Halle",Nutzungsprofile!$G$6:$G$11)*Kalender!D102/SUM(Kalender!$D$5:$D$370),0)+IFERROR(SUMIF(Nutzungsprofile!$B$6:$B$11,"Individuell",Nutzungsprofile!$G$6:$G$11)*Kalender!E102/SUM(Kalender!$E$5:$E$370),0))*Szenarien!$E$15,0)</f>
        <v>2.94</v>
      </c>
      <c r="D1566" s="13" t="n">
        <f aca="false">IF(Szenarien!$H$15="OK",(IFERROR(SUMIF(Nutzungsprofile!$B$17:$B$22,"Schulbetrieb",Nutzungsprofile!$G$17:$G$22)*Kalender!C102/SUM(Kalender!$C$5:$C$370),0)+IFERROR(SUMIF(Nutzungsprofile!$B$17:$B$22,"Halle",Nutzungsprofile!$G$17:$G$22)*Kalender!D102/SUM(Kalender!$D$5:$D$370),0)+IFERROR(SUMIF(Nutzungsprofile!$B$17:$B$22,"Individuell",Nutzungsprofile!$G$17:$G$22)*Kalender!E102/SUM(Kalender!$E$5:$E$370),0))*Szenarien!$D$15,0)</f>
        <v>4.94</v>
      </c>
      <c r="E1566" s="13" t="n">
        <f aca="false">IFERROR(MIN(C1566,Eingaben!$B$17)*Eingaben!$B$16,0)</f>
        <v>2.793</v>
      </c>
      <c r="F1566" s="13" t="n">
        <f aca="false">IFERROR(E1566*Eingaben!$B$15,0)</f>
        <v>2.5137</v>
      </c>
      <c r="G1566" s="13" t="n">
        <f aca="false">IFERROR(IF(Kalender!A102="",0,J1565*(1-Eingaben!$B$20)),0)</f>
        <v>0.7390278</v>
      </c>
      <c r="H1566" s="13" t="n">
        <f aca="false">MIN(G1566,D1566)</f>
        <v>0.7390278</v>
      </c>
      <c r="I1566" s="13" t="n">
        <f aca="false">IFERROR(MIN(F1566*Eingaben!$B$19,MAX(0,D1566-H1566)),0)</f>
        <v>1.75959</v>
      </c>
      <c r="J1566" s="13" t="n">
        <f aca="false">IFERROR(MIN(Eingaben!$B$18,MAX(0,F1566-I1566)),0)</f>
        <v>0.75411</v>
      </c>
      <c r="K1566" s="13" t="n">
        <f aca="false">H1566+I1566</f>
        <v>2.4986178</v>
      </c>
      <c r="L1566" s="13" t="n">
        <f aca="false">MAX(0,D1566-K1566)</f>
        <v>2.4413822</v>
      </c>
      <c r="M1566" s="13" t="n">
        <f aca="false">MAX(0,F1566-I1566-J1566)</f>
        <v>0</v>
      </c>
      <c r="N1566" s="13" t="n">
        <f aca="false">IF(Kalender!A102="",0,J1565-H1566)</f>
        <v>0.0150822</v>
      </c>
    </row>
    <row r="1567" customFormat="false" ht="16.4" hidden="false" customHeight="false" outlineLevel="0" collapsed="false">
      <c r="A1567" s="13" t="str">
        <f aca="false">""</f>
        <v/>
      </c>
      <c r="B1567" s="13" t="n">
        <f aca="false">99</f>
        <v>99</v>
      </c>
      <c r="C1567" s="13" t="n">
        <f aca="false">IF(Szenarien!$H$15="OK",(IFERROR(SUMIF(Nutzungsprofile!$B$6:$B$11,"Schulbetrieb",Nutzungsprofile!$G$6:$G$11)*Kalender!C103/SUM(Kalender!$C$5:$C$370),0)+IFERROR(SUMIF(Nutzungsprofile!$B$6:$B$11,"Halle",Nutzungsprofile!$G$6:$G$11)*Kalender!D103/SUM(Kalender!$D$5:$D$370),0)+IFERROR(SUMIF(Nutzungsprofile!$B$6:$B$11,"Individuell",Nutzungsprofile!$G$6:$G$11)*Kalender!E103/SUM(Kalender!$E$5:$E$370),0))*Szenarien!$E$15,0)</f>
        <v>2.94</v>
      </c>
      <c r="D1567" s="13" t="n">
        <f aca="false">IF(Szenarien!$H$15="OK",(IFERROR(SUMIF(Nutzungsprofile!$B$17:$B$22,"Schulbetrieb",Nutzungsprofile!$G$17:$G$22)*Kalender!C103/SUM(Kalender!$C$5:$C$370),0)+IFERROR(SUMIF(Nutzungsprofile!$B$17:$B$22,"Halle",Nutzungsprofile!$G$17:$G$22)*Kalender!D103/SUM(Kalender!$D$5:$D$370),0)+IFERROR(SUMIF(Nutzungsprofile!$B$17:$B$22,"Individuell",Nutzungsprofile!$G$17:$G$22)*Kalender!E103/SUM(Kalender!$E$5:$E$370),0))*Szenarien!$D$15,0)</f>
        <v>4.94</v>
      </c>
      <c r="E1567" s="13" t="n">
        <f aca="false">IFERROR(MIN(C1567,Eingaben!$B$17)*Eingaben!$B$16,0)</f>
        <v>2.793</v>
      </c>
      <c r="F1567" s="13" t="n">
        <f aca="false">IFERROR(E1567*Eingaben!$B$15,0)</f>
        <v>2.5137</v>
      </c>
      <c r="G1567" s="13" t="n">
        <f aca="false">IFERROR(IF(Kalender!A103="",0,J1566*(1-Eingaben!$B$20)),0)</f>
        <v>0.7390278</v>
      </c>
      <c r="H1567" s="13" t="n">
        <f aca="false">MIN(G1567,D1567)</f>
        <v>0.7390278</v>
      </c>
      <c r="I1567" s="13" t="n">
        <f aca="false">IFERROR(MIN(F1567*Eingaben!$B$19,MAX(0,D1567-H1567)),0)</f>
        <v>1.75959</v>
      </c>
      <c r="J1567" s="13" t="n">
        <f aca="false">IFERROR(MIN(Eingaben!$B$18,MAX(0,F1567-I1567)),0)</f>
        <v>0.75411</v>
      </c>
      <c r="K1567" s="13" t="n">
        <f aca="false">H1567+I1567</f>
        <v>2.4986178</v>
      </c>
      <c r="L1567" s="13" t="n">
        <f aca="false">MAX(0,D1567-K1567)</f>
        <v>2.4413822</v>
      </c>
      <c r="M1567" s="13" t="n">
        <f aca="false">MAX(0,F1567-I1567-J1567)</f>
        <v>0</v>
      </c>
      <c r="N1567" s="13" t="n">
        <f aca="false">IF(Kalender!A103="",0,J1566-H1567)</f>
        <v>0.0150822</v>
      </c>
    </row>
    <row r="1568" customFormat="false" ht="16.4" hidden="false" customHeight="false" outlineLevel="0" collapsed="false">
      <c r="A1568" s="13" t="str">
        <f aca="false">""</f>
        <v/>
      </c>
      <c r="B1568" s="13" t="n">
        <f aca="false">100</f>
        <v>100</v>
      </c>
      <c r="C1568" s="13" t="n">
        <f aca="false">IF(Szenarien!$H$15="OK",(IFERROR(SUMIF(Nutzungsprofile!$B$6:$B$11,"Schulbetrieb",Nutzungsprofile!$G$6:$G$11)*Kalender!C104/SUM(Kalender!$C$5:$C$370),0)+IFERROR(SUMIF(Nutzungsprofile!$B$6:$B$11,"Halle",Nutzungsprofile!$G$6:$G$11)*Kalender!D104/SUM(Kalender!$D$5:$D$370),0)+IFERROR(SUMIF(Nutzungsprofile!$B$6:$B$11,"Individuell",Nutzungsprofile!$G$6:$G$11)*Kalender!E104/SUM(Kalender!$E$5:$E$370),0))*Szenarien!$E$15,0)</f>
        <v>2.94</v>
      </c>
      <c r="D1568" s="13" t="n">
        <f aca="false">IF(Szenarien!$H$15="OK",(IFERROR(SUMIF(Nutzungsprofile!$B$17:$B$22,"Schulbetrieb",Nutzungsprofile!$G$17:$G$22)*Kalender!C104/SUM(Kalender!$C$5:$C$370),0)+IFERROR(SUMIF(Nutzungsprofile!$B$17:$B$22,"Halle",Nutzungsprofile!$G$17:$G$22)*Kalender!D104/SUM(Kalender!$D$5:$D$370),0)+IFERROR(SUMIF(Nutzungsprofile!$B$17:$B$22,"Individuell",Nutzungsprofile!$G$17:$G$22)*Kalender!E104/SUM(Kalender!$E$5:$E$370),0))*Szenarien!$D$15,0)</f>
        <v>4.94</v>
      </c>
      <c r="E1568" s="13" t="n">
        <f aca="false">IFERROR(MIN(C1568,Eingaben!$B$17)*Eingaben!$B$16,0)</f>
        <v>2.793</v>
      </c>
      <c r="F1568" s="13" t="n">
        <f aca="false">IFERROR(E1568*Eingaben!$B$15,0)</f>
        <v>2.5137</v>
      </c>
      <c r="G1568" s="13" t="n">
        <f aca="false">IFERROR(IF(Kalender!A104="",0,J1567*(1-Eingaben!$B$20)),0)</f>
        <v>0.7390278</v>
      </c>
      <c r="H1568" s="13" t="n">
        <f aca="false">MIN(G1568,D1568)</f>
        <v>0.7390278</v>
      </c>
      <c r="I1568" s="13" t="n">
        <f aca="false">IFERROR(MIN(F1568*Eingaben!$B$19,MAX(0,D1568-H1568)),0)</f>
        <v>1.75959</v>
      </c>
      <c r="J1568" s="13" t="n">
        <f aca="false">IFERROR(MIN(Eingaben!$B$18,MAX(0,F1568-I1568)),0)</f>
        <v>0.75411</v>
      </c>
      <c r="K1568" s="13" t="n">
        <f aca="false">H1568+I1568</f>
        <v>2.4986178</v>
      </c>
      <c r="L1568" s="13" t="n">
        <f aca="false">MAX(0,D1568-K1568)</f>
        <v>2.4413822</v>
      </c>
      <c r="M1568" s="13" t="n">
        <f aca="false">MAX(0,F1568-I1568-J1568)</f>
        <v>0</v>
      </c>
      <c r="N1568" s="13" t="n">
        <f aca="false">IF(Kalender!A104="",0,J1567-H1568)</f>
        <v>0.0150822</v>
      </c>
    </row>
    <row r="1569" customFormat="false" ht="16.4" hidden="false" customHeight="false" outlineLevel="0" collapsed="false">
      <c r="A1569" s="13" t="str">
        <f aca="false">""</f>
        <v/>
      </c>
      <c r="B1569" s="13" t="n">
        <f aca="false">101</f>
        <v>101</v>
      </c>
      <c r="C1569" s="13" t="n">
        <f aca="false">IF(Szenarien!$H$15="OK",(IFERROR(SUMIF(Nutzungsprofile!$B$6:$B$11,"Schulbetrieb",Nutzungsprofile!$G$6:$G$11)*Kalender!C105/SUM(Kalender!$C$5:$C$370),0)+IFERROR(SUMIF(Nutzungsprofile!$B$6:$B$11,"Halle",Nutzungsprofile!$G$6:$G$11)*Kalender!D105/SUM(Kalender!$D$5:$D$370),0)+IFERROR(SUMIF(Nutzungsprofile!$B$6:$B$11,"Individuell",Nutzungsprofile!$G$6:$G$11)*Kalender!E105/SUM(Kalender!$E$5:$E$370),0))*Szenarien!$E$15,0)</f>
        <v>2.04</v>
      </c>
      <c r="D1569" s="13" t="n">
        <f aca="false">IF(Szenarien!$H$15="OK",(IFERROR(SUMIF(Nutzungsprofile!$B$17:$B$22,"Schulbetrieb",Nutzungsprofile!$G$17:$G$22)*Kalender!C105/SUM(Kalender!$C$5:$C$370),0)+IFERROR(SUMIF(Nutzungsprofile!$B$17:$B$22,"Halle",Nutzungsprofile!$G$17:$G$22)*Kalender!D105/SUM(Kalender!$D$5:$D$370),0)+IFERROR(SUMIF(Nutzungsprofile!$B$17:$B$22,"Individuell",Nutzungsprofile!$G$17:$G$22)*Kalender!E105/SUM(Kalender!$E$5:$E$370),0))*Szenarien!$D$15,0)</f>
        <v>0.89</v>
      </c>
      <c r="E1569" s="13" t="n">
        <f aca="false">IFERROR(MIN(C1569,Eingaben!$B$17)*Eingaben!$B$16,0)</f>
        <v>1.938</v>
      </c>
      <c r="F1569" s="13" t="n">
        <f aca="false">IFERROR(E1569*Eingaben!$B$15,0)</f>
        <v>1.7442</v>
      </c>
      <c r="G1569" s="13" t="n">
        <f aca="false">IFERROR(IF(Kalender!A105="",0,J1568*(1-Eingaben!$B$20)),0)</f>
        <v>0.7390278</v>
      </c>
      <c r="H1569" s="13" t="n">
        <f aca="false">MIN(G1569,D1569)</f>
        <v>0.7390278</v>
      </c>
      <c r="I1569" s="13" t="n">
        <f aca="false">IFERROR(MIN(F1569*Eingaben!$B$19,MAX(0,D1569-H1569)),0)</f>
        <v>0.1509722</v>
      </c>
      <c r="J1569" s="13" t="n">
        <f aca="false">IFERROR(MIN(Eingaben!$B$18,MAX(0,F1569-I1569)),0)</f>
        <v>1.5932278</v>
      </c>
      <c r="K1569" s="13" t="n">
        <f aca="false">H1569+I1569</f>
        <v>0.89</v>
      </c>
      <c r="L1569" s="13" t="n">
        <f aca="false">MAX(0,D1569-K1569)</f>
        <v>0</v>
      </c>
      <c r="M1569" s="13" t="n">
        <f aca="false">MAX(0,F1569-I1569-J1569)</f>
        <v>0</v>
      </c>
      <c r="N1569" s="13" t="n">
        <f aca="false">IF(Kalender!A105="",0,J1568-H1569)</f>
        <v>0.0150822</v>
      </c>
    </row>
    <row r="1570" customFormat="false" ht="16.4" hidden="false" customHeight="false" outlineLevel="0" collapsed="false">
      <c r="A1570" s="13" t="str">
        <f aca="false">""</f>
        <v/>
      </c>
      <c r="B1570" s="13" t="n">
        <f aca="false">102</f>
        <v>102</v>
      </c>
      <c r="C1570" s="13" t="n">
        <f aca="false">IF(Szenarien!$H$15="OK",(IFERROR(SUMIF(Nutzungsprofile!$B$6:$B$11,"Schulbetrieb",Nutzungsprofile!$G$6:$G$11)*Kalender!C106/SUM(Kalender!$C$5:$C$370),0)+IFERROR(SUMIF(Nutzungsprofile!$B$6:$B$11,"Halle",Nutzungsprofile!$G$6:$G$11)*Kalender!D106/SUM(Kalender!$D$5:$D$370),0)+IFERROR(SUMIF(Nutzungsprofile!$B$6:$B$11,"Individuell",Nutzungsprofile!$G$6:$G$11)*Kalender!E106/SUM(Kalender!$E$5:$E$370),0))*Szenarien!$E$15,0)</f>
        <v>2.04</v>
      </c>
      <c r="D1570" s="13" t="n">
        <f aca="false">IF(Szenarien!$H$15="OK",(IFERROR(SUMIF(Nutzungsprofile!$B$17:$B$22,"Schulbetrieb",Nutzungsprofile!$G$17:$G$22)*Kalender!C106/SUM(Kalender!$C$5:$C$370),0)+IFERROR(SUMIF(Nutzungsprofile!$B$17:$B$22,"Halle",Nutzungsprofile!$G$17:$G$22)*Kalender!D106/SUM(Kalender!$D$5:$D$370),0)+IFERROR(SUMIF(Nutzungsprofile!$B$17:$B$22,"Individuell",Nutzungsprofile!$G$17:$G$22)*Kalender!E106/SUM(Kalender!$E$5:$E$370),0))*Szenarien!$D$15,0)</f>
        <v>0.89</v>
      </c>
      <c r="E1570" s="13" t="n">
        <f aca="false">IFERROR(MIN(C1570,Eingaben!$B$17)*Eingaben!$B$16,0)</f>
        <v>1.938</v>
      </c>
      <c r="F1570" s="13" t="n">
        <f aca="false">IFERROR(E1570*Eingaben!$B$15,0)</f>
        <v>1.7442</v>
      </c>
      <c r="G1570" s="13" t="n">
        <f aca="false">IFERROR(IF(Kalender!A106="",0,J1569*(1-Eingaben!$B$20)),0)</f>
        <v>1.561363244</v>
      </c>
      <c r="H1570" s="13" t="n">
        <f aca="false">MIN(G1570,D1570)</f>
        <v>0.89</v>
      </c>
      <c r="I1570" s="13" t="n">
        <f aca="false">IFERROR(MIN(F1570*Eingaben!$B$19,MAX(0,D1570-H1570)),0)</f>
        <v>0</v>
      </c>
      <c r="J1570" s="13" t="n">
        <f aca="false">IFERROR(MIN(Eingaben!$B$18,MAX(0,F1570-I1570)),0)</f>
        <v>1.7442</v>
      </c>
      <c r="K1570" s="13" t="n">
        <f aca="false">H1570+I1570</f>
        <v>0.89</v>
      </c>
      <c r="L1570" s="13" t="n">
        <f aca="false">MAX(0,D1570-K1570)</f>
        <v>0</v>
      </c>
      <c r="M1570" s="13" t="n">
        <f aca="false">MAX(0,F1570-I1570-J1570)</f>
        <v>0</v>
      </c>
      <c r="N1570" s="13" t="n">
        <f aca="false">IF(Kalender!A106="",0,J1569-H1570)</f>
        <v>0.7032278</v>
      </c>
    </row>
    <row r="1571" customFormat="false" ht="16.4" hidden="false" customHeight="false" outlineLevel="0" collapsed="false">
      <c r="A1571" s="13" t="str">
        <f aca="false">""</f>
        <v/>
      </c>
      <c r="B1571" s="13" t="n">
        <f aca="false">103</f>
        <v>103</v>
      </c>
      <c r="C1571" s="13" t="n">
        <f aca="false">IF(Szenarien!$H$15="OK",(IFERROR(SUMIF(Nutzungsprofile!$B$6:$B$11,"Schulbetrieb",Nutzungsprofile!$G$6:$G$11)*Kalender!C107/SUM(Kalender!$C$5:$C$370),0)+IFERROR(SUMIF(Nutzungsprofile!$B$6:$B$11,"Halle",Nutzungsprofile!$G$6:$G$11)*Kalender!D107/SUM(Kalender!$D$5:$D$370),0)+IFERROR(SUMIF(Nutzungsprofile!$B$6:$B$11,"Individuell",Nutzungsprofile!$G$6:$G$11)*Kalender!E107/SUM(Kalender!$E$5:$E$370),0))*Szenarien!$E$15,0)</f>
        <v>2.94</v>
      </c>
      <c r="D1571" s="13" t="n">
        <f aca="false">IF(Szenarien!$H$15="OK",(IFERROR(SUMIF(Nutzungsprofile!$B$17:$B$22,"Schulbetrieb",Nutzungsprofile!$G$17:$G$22)*Kalender!C107/SUM(Kalender!$C$5:$C$370),0)+IFERROR(SUMIF(Nutzungsprofile!$B$17:$B$22,"Halle",Nutzungsprofile!$G$17:$G$22)*Kalender!D107/SUM(Kalender!$D$5:$D$370),0)+IFERROR(SUMIF(Nutzungsprofile!$B$17:$B$22,"Individuell",Nutzungsprofile!$G$17:$G$22)*Kalender!E107/SUM(Kalender!$E$5:$E$370),0))*Szenarien!$D$15,0)</f>
        <v>4.94</v>
      </c>
      <c r="E1571" s="13" t="n">
        <f aca="false">IFERROR(MIN(C1571,Eingaben!$B$17)*Eingaben!$B$16,0)</f>
        <v>2.793</v>
      </c>
      <c r="F1571" s="13" t="n">
        <f aca="false">IFERROR(E1571*Eingaben!$B$15,0)</f>
        <v>2.5137</v>
      </c>
      <c r="G1571" s="13" t="n">
        <f aca="false">IFERROR(IF(Kalender!A107="",0,J1570*(1-Eingaben!$B$20)),0)</f>
        <v>1.709316</v>
      </c>
      <c r="H1571" s="13" t="n">
        <f aca="false">MIN(G1571,D1571)</f>
        <v>1.709316</v>
      </c>
      <c r="I1571" s="13" t="n">
        <f aca="false">IFERROR(MIN(F1571*Eingaben!$B$19,MAX(0,D1571-H1571)),0)</f>
        <v>1.75959</v>
      </c>
      <c r="J1571" s="13" t="n">
        <f aca="false">IFERROR(MIN(Eingaben!$B$18,MAX(0,F1571-I1571)),0)</f>
        <v>0.75411</v>
      </c>
      <c r="K1571" s="13" t="n">
        <f aca="false">H1571+I1571</f>
        <v>3.468906</v>
      </c>
      <c r="L1571" s="13" t="n">
        <f aca="false">MAX(0,D1571-K1571)</f>
        <v>1.471094</v>
      </c>
      <c r="M1571" s="13" t="n">
        <f aca="false">MAX(0,F1571-I1571-J1571)</f>
        <v>0</v>
      </c>
      <c r="N1571" s="13" t="n">
        <f aca="false">IF(Kalender!A107="",0,J1570-H1571)</f>
        <v>0.0348840000000001</v>
      </c>
    </row>
    <row r="1572" customFormat="false" ht="16.4" hidden="false" customHeight="false" outlineLevel="0" collapsed="false">
      <c r="A1572" s="13" t="str">
        <f aca="false">""</f>
        <v/>
      </c>
      <c r="B1572" s="13" t="n">
        <f aca="false">104</f>
        <v>104</v>
      </c>
      <c r="C1572" s="13" t="n">
        <f aca="false">IF(Szenarien!$H$15="OK",(IFERROR(SUMIF(Nutzungsprofile!$B$6:$B$11,"Schulbetrieb",Nutzungsprofile!$G$6:$G$11)*Kalender!C108/SUM(Kalender!$C$5:$C$370),0)+IFERROR(SUMIF(Nutzungsprofile!$B$6:$B$11,"Halle",Nutzungsprofile!$G$6:$G$11)*Kalender!D108/SUM(Kalender!$D$5:$D$370),0)+IFERROR(SUMIF(Nutzungsprofile!$B$6:$B$11,"Individuell",Nutzungsprofile!$G$6:$G$11)*Kalender!E108/SUM(Kalender!$E$5:$E$370),0))*Szenarien!$E$15,0)</f>
        <v>2.94</v>
      </c>
      <c r="D1572" s="13" t="n">
        <f aca="false">IF(Szenarien!$H$15="OK",(IFERROR(SUMIF(Nutzungsprofile!$B$17:$B$22,"Schulbetrieb",Nutzungsprofile!$G$17:$G$22)*Kalender!C108/SUM(Kalender!$C$5:$C$370),0)+IFERROR(SUMIF(Nutzungsprofile!$B$17:$B$22,"Halle",Nutzungsprofile!$G$17:$G$22)*Kalender!D108/SUM(Kalender!$D$5:$D$370),0)+IFERROR(SUMIF(Nutzungsprofile!$B$17:$B$22,"Individuell",Nutzungsprofile!$G$17:$G$22)*Kalender!E108/SUM(Kalender!$E$5:$E$370),0))*Szenarien!$D$15,0)</f>
        <v>4.94</v>
      </c>
      <c r="E1572" s="13" t="n">
        <f aca="false">IFERROR(MIN(C1572,Eingaben!$B$17)*Eingaben!$B$16,0)</f>
        <v>2.793</v>
      </c>
      <c r="F1572" s="13" t="n">
        <f aca="false">IFERROR(E1572*Eingaben!$B$15,0)</f>
        <v>2.5137</v>
      </c>
      <c r="G1572" s="13" t="n">
        <f aca="false">IFERROR(IF(Kalender!A108="",0,J1571*(1-Eingaben!$B$20)),0)</f>
        <v>0.7390278</v>
      </c>
      <c r="H1572" s="13" t="n">
        <f aca="false">MIN(G1572,D1572)</f>
        <v>0.7390278</v>
      </c>
      <c r="I1572" s="13" t="n">
        <f aca="false">IFERROR(MIN(F1572*Eingaben!$B$19,MAX(0,D1572-H1572)),0)</f>
        <v>1.75959</v>
      </c>
      <c r="J1572" s="13" t="n">
        <f aca="false">IFERROR(MIN(Eingaben!$B$18,MAX(0,F1572-I1572)),0)</f>
        <v>0.75411</v>
      </c>
      <c r="K1572" s="13" t="n">
        <f aca="false">H1572+I1572</f>
        <v>2.4986178</v>
      </c>
      <c r="L1572" s="13" t="n">
        <f aca="false">MAX(0,D1572-K1572)</f>
        <v>2.4413822</v>
      </c>
      <c r="M1572" s="13" t="n">
        <f aca="false">MAX(0,F1572-I1572-J1572)</f>
        <v>0</v>
      </c>
      <c r="N1572" s="13" t="n">
        <f aca="false">IF(Kalender!A108="",0,J1571-H1572)</f>
        <v>0.0150822</v>
      </c>
    </row>
    <row r="1573" customFormat="false" ht="16.4" hidden="false" customHeight="false" outlineLevel="0" collapsed="false">
      <c r="A1573" s="13" t="str">
        <f aca="false">""</f>
        <v/>
      </c>
      <c r="B1573" s="13" t="n">
        <f aca="false">105</f>
        <v>105</v>
      </c>
      <c r="C1573" s="13" t="n">
        <f aca="false">IF(Szenarien!$H$15="OK",(IFERROR(SUMIF(Nutzungsprofile!$B$6:$B$11,"Schulbetrieb",Nutzungsprofile!$G$6:$G$11)*Kalender!C109/SUM(Kalender!$C$5:$C$370),0)+IFERROR(SUMIF(Nutzungsprofile!$B$6:$B$11,"Halle",Nutzungsprofile!$G$6:$G$11)*Kalender!D109/SUM(Kalender!$D$5:$D$370),0)+IFERROR(SUMIF(Nutzungsprofile!$B$6:$B$11,"Individuell",Nutzungsprofile!$G$6:$G$11)*Kalender!E109/SUM(Kalender!$E$5:$E$370),0))*Szenarien!$E$15,0)</f>
        <v>2.94</v>
      </c>
      <c r="D1573" s="13" t="n">
        <f aca="false">IF(Szenarien!$H$15="OK",(IFERROR(SUMIF(Nutzungsprofile!$B$17:$B$22,"Schulbetrieb",Nutzungsprofile!$G$17:$G$22)*Kalender!C109/SUM(Kalender!$C$5:$C$370),0)+IFERROR(SUMIF(Nutzungsprofile!$B$17:$B$22,"Halle",Nutzungsprofile!$G$17:$G$22)*Kalender!D109/SUM(Kalender!$D$5:$D$370),0)+IFERROR(SUMIF(Nutzungsprofile!$B$17:$B$22,"Individuell",Nutzungsprofile!$G$17:$G$22)*Kalender!E109/SUM(Kalender!$E$5:$E$370),0))*Szenarien!$D$15,0)</f>
        <v>4.94</v>
      </c>
      <c r="E1573" s="13" t="n">
        <f aca="false">IFERROR(MIN(C1573,Eingaben!$B$17)*Eingaben!$B$16,0)</f>
        <v>2.793</v>
      </c>
      <c r="F1573" s="13" t="n">
        <f aca="false">IFERROR(E1573*Eingaben!$B$15,0)</f>
        <v>2.5137</v>
      </c>
      <c r="G1573" s="13" t="n">
        <f aca="false">IFERROR(IF(Kalender!A109="",0,J1572*(1-Eingaben!$B$20)),0)</f>
        <v>0.7390278</v>
      </c>
      <c r="H1573" s="13" t="n">
        <f aca="false">MIN(G1573,D1573)</f>
        <v>0.7390278</v>
      </c>
      <c r="I1573" s="13" t="n">
        <f aca="false">IFERROR(MIN(F1573*Eingaben!$B$19,MAX(0,D1573-H1573)),0)</f>
        <v>1.75959</v>
      </c>
      <c r="J1573" s="13" t="n">
        <f aca="false">IFERROR(MIN(Eingaben!$B$18,MAX(0,F1573-I1573)),0)</f>
        <v>0.75411</v>
      </c>
      <c r="K1573" s="13" t="n">
        <f aca="false">H1573+I1573</f>
        <v>2.4986178</v>
      </c>
      <c r="L1573" s="13" t="n">
        <f aca="false">MAX(0,D1573-K1573)</f>
        <v>2.4413822</v>
      </c>
      <c r="M1573" s="13" t="n">
        <f aca="false">MAX(0,F1573-I1573-J1573)</f>
        <v>0</v>
      </c>
      <c r="N1573" s="13" t="n">
        <f aca="false">IF(Kalender!A109="",0,J1572-H1573)</f>
        <v>0.0150822</v>
      </c>
    </row>
    <row r="1574" customFormat="false" ht="16.4" hidden="false" customHeight="false" outlineLevel="0" collapsed="false">
      <c r="A1574" s="13" t="str">
        <f aca="false">""</f>
        <v/>
      </c>
      <c r="B1574" s="13" t="n">
        <f aca="false">106</f>
        <v>106</v>
      </c>
      <c r="C1574" s="13" t="n">
        <f aca="false">IF(Szenarien!$H$15="OK",(IFERROR(SUMIF(Nutzungsprofile!$B$6:$B$11,"Schulbetrieb",Nutzungsprofile!$G$6:$G$11)*Kalender!C110/SUM(Kalender!$C$5:$C$370),0)+IFERROR(SUMIF(Nutzungsprofile!$B$6:$B$11,"Halle",Nutzungsprofile!$G$6:$G$11)*Kalender!D110/SUM(Kalender!$D$5:$D$370),0)+IFERROR(SUMIF(Nutzungsprofile!$B$6:$B$11,"Individuell",Nutzungsprofile!$G$6:$G$11)*Kalender!E110/SUM(Kalender!$E$5:$E$370),0))*Szenarien!$E$15,0)</f>
        <v>2.94</v>
      </c>
      <c r="D1574" s="13" t="n">
        <f aca="false">IF(Szenarien!$H$15="OK",(IFERROR(SUMIF(Nutzungsprofile!$B$17:$B$22,"Schulbetrieb",Nutzungsprofile!$G$17:$G$22)*Kalender!C110/SUM(Kalender!$C$5:$C$370),0)+IFERROR(SUMIF(Nutzungsprofile!$B$17:$B$22,"Halle",Nutzungsprofile!$G$17:$G$22)*Kalender!D110/SUM(Kalender!$D$5:$D$370),0)+IFERROR(SUMIF(Nutzungsprofile!$B$17:$B$22,"Individuell",Nutzungsprofile!$G$17:$G$22)*Kalender!E110/SUM(Kalender!$E$5:$E$370),0))*Szenarien!$D$15,0)</f>
        <v>4.94</v>
      </c>
      <c r="E1574" s="13" t="n">
        <f aca="false">IFERROR(MIN(C1574,Eingaben!$B$17)*Eingaben!$B$16,0)</f>
        <v>2.793</v>
      </c>
      <c r="F1574" s="13" t="n">
        <f aca="false">IFERROR(E1574*Eingaben!$B$15,0)</f>
        <v>2.5137</v>
      </c>
      <c r="G1574" s="13" t="n">
        <f aca="false">IFERROR(IF(Kalender!A110="",0,J1573*(1-Eingaben!$B$20)),0)</f>
        <v>0.7390278</v>
      </c>
      <c r="H1574" s="13" t="n">
        <f aca="false">MIN(G1574,D1574)</f>
        <v>0.7390278</v>
      </c>
      <c r="I1574" s="13" t="n">
        <f aca="false">IFERROR(MIN(F1574*Eingaben!$B$19,MAX(0,D1574-H1574)),0)</f>
        <v>1.75959</v>
      </c>
      <c r="J1574" s="13" t="n">
        <f aca="false">IFERROR(MIN(Eingaben!$B$18,MAX(0,F1574-I1574)),0)</f>
        <v>0.75411</v>
      </c>
      <c r="K1574" s="13" t="n">
        <f aca="false">H1574+I1574</f>
        <v>2.4986178</v>
      </c>
      <c r="L1574" s="13" t="n">
        <f aca="false">MAX(0,D1574-K1574)</f>
        <v>2.4413822</v>
      </c>
      <c r="M1574" s="13" t="n">
        <f aca="false">MAX(0,F1574-I1574-J1574)</f>
        <v>0</v>
      </c>
      <c r="N1574" s="13" t="n">
        <f aca="false">IF(Kalender!A110="",0,J1573-H1574)</f>
        <v>0.0150822</v>
      </c>
    </row>
    <row r="1575" customFormat="false" ht="16.4" hidden="false" customHeight="false" outlineLevel="0" collapsed="false">
      <c r="A1575" s="13" t="str">
        <f aca="false">""</f>
        <v/>
      </c>
      <c r="B1575" s="13" t="n">
        <f aca="false">107</f>
        <v>107</v>
      </c>
      <c r="C1575" s="13" t="n">
        <f aca="false">IF(Szenarien!$H$15="OK",(IFERROR(SUMIF(Nutzungsprofile!$B$6:$B$11,"Schulbetrieb",Nutzungsprofile!$G$6:$G$11)*Kalender!C111/SUM(Kalender!$C$5:$C$370),0)+IFERROR(SUMIF(Nutzungsprofile!$B$6:$B$11,"Halle",Nutzungsprofile!$G$6:$G$11)*Kalender!D111/SUM(Kalender!$D$5:$D$370),0)+IFERROR(SUMIF(Nutzungsprofile!$B$6:$B$11,"Individuell",Nutzungsprofile!$G$6:$G$11)*Kalender!E111/SUM(Kalender!$E$5:$E$370),0))*Szenarien!$E$15,0)</f>
        <v>2.94</v>
      </c>
      <c r="D1575" s="13" t="n">
        <f aca="false">IF(Szenarien!$H$15="OK",(IFERROR(SUMIF(Nutzungsprofile!$B$17:$B$22,"Schulbetrieb",Nutzungsprofile!$G$17:$G$22)*Kalender!C111/SUM(Kalender!$C$5:$C$370),0)+IFERROR(SUMIF(Nutzungsprofile!$B$17:$B$22,"Halle",Nutzungsprofile!$G$17:$G$22)*Kalender!D111/SUM(Kalender!$D$5:$D$370),0)+IFERROR(SUMIF(Nutzungsprofile!$B$17:$B$22,"Individuell",Nutzungsprofile!$G$17:$G$22)*Kalender!E111/SUM(Kalender!$E$5:$E$370),0))*Szenarien!$D$15,0)</f>
        <v>4.94</v>
      </c>
      <c r="E1575" s="13" t="n">
        <f aca="false">IFERROR(MIN(C1575,Eingaben!$B$17)*Eingaben!$B$16,0)</f>
        <v>2.793</v>
      </c>
      <c r="F1575" s="13" t="n">
        <f aca="false">IFERROR(E1575*Eingaben!$B$15,0)</f>
        <v>2.5137</v>
      </c>
      <c r="G1575" s="13" t="n">
        <f aca="false">IFERROR(IF(Kalender!A111="",0,J1574*(1-Eingaben!$B$20)),0)</f>
        <v>0.7390278</v>
      </c>
      <c r="H1575" s="13" t="n">
        <f aca="false">MIN(G1575,D1575)</f>
        <v>0.7390278</v>
      </c>
      <c r="I1575" s="13" t="n">
        <f aca="false">IFERROR(MIN(F1575*Eingaben!$B$19,MAX(0,D1575-H1575)),0)</f>
        <v>1.75959</v>
      </c>
      <c r="J1575" s="13" t="n">
        <f aca="false">IFERROR(MIN(Eingaben!$B$18,MAX(0,F1575-I1575)),0)</f>
        <v>0.75411</v>
      </c>
      <c r="K1575" s="13" t="n">
        <f aca="false">H1575+I1575</f>
        <v>2.4986178</v>
      </c>
      <c r="L1575" s="13" t="n">
        <f aca="false">MAX(0,D1575-K1575)</f>
        <v>2.4413822</v>
      </c>
      <c r="M1575" s="13" t="n">
        <f aca="false">MAX(0,F1575-I1575-J1575)</f>
        <v>0</v>
      </c>
      <c r="N1575" s="13" t="n">
        <f aca="false">IF(Kalender!A111="",0,J1574-H1575)</f>
        <v>0.0150822</v>
      </c>
    </row>
    <row r="1576" customFormat="false" ht="16.4" hidden="false" customHeight="false" outlineLevel="0" collapsed="false">
      <c r="A1576" s="13" t="str">
        <f aca="false">""</f>
        <v/>
      </c>
      <c r="B1576" s="13" t="n">
        <f aca="false">108</f>
        <v>108</v>
      </c>
      <c r="C1576" s="13" t="n">
        <f aca="false">IF(Szenarien!$H$15="OK",(IFERROR(SUMIF(Nutzungsprofile!$B$6:$B$11,"Schulbetrieb",Nutzungsprofile!$G$6:$G$11)*Kalender!C112/SUM(Kalender!$C$5:$C$370),0)+IFERROR(SUMIF(Nutzungsprofile!$B$6:$B$11,"Halle",Nutzungsprofile!$G$6:$G$11)*Kalender!D112/SUM(Kalender!$D$5:$D$370),0)+IFERROR(SUMIF(Nutzungsprofile!$B$6:$B$11,"Individuell",Nutzungsprofile!$G$6:$G$11)*Kalender!E112/SUM(Kalender!$E$5:$E$370),0))*Szenarien!$E$15,0)</f>
        <v>2.04</v>
      </c>
      <c r="D1576" s="13" t="n">
        <f aca="false">IF(Szenarien!$H$15="OK",(IFERROR(SUMIF(Nutzungsprofile!$B$17:$B$22,"Schulbetrieb",Nutzungsprofile!$G$17:$G$22)*Kalender!C112/SUM(Kalender!$C$5:$C$370),0)+IFERROR(SUMIF(Nutzungsprofile!$B$17:$B$22,"Halle",Nutzungsprofile!$G$17:$G$22)*Kalender!D112/SUM(Kalender!$D$5:$D$370),0)+IFERROR(SUMIF(Nutzungsprofile!$B$17:$B$22,"Individuell",Nutzungsprofile!$G$17:$G$22)*Kalender!E112/SUM(Kalender!$E$5:$E$370),0))*Szenarien!$D$15,0)</f>
        <v>0.89</v>
      </c>
      <c r="E1576" s="13" t="n">
        <f aca="false">IFERROR(MIN(C1576,Eingaben!$B$17)*Eingaben!$B$16,0)</f>
        <v>1.938</v>
      </c>
      <c r="F1576" s="13" t="n">
        <f aca="false">IFERROR(E1576*Eingaben!$B$15,0)</f>
        <v>1.7442</v>
      </c>
      <c r="G1576" s="13" t="n">
        <f aca="false">IFERROR(IF(Kalender!A112="",0,J1575*(1-Eingaben!$B$20)),0)</f>
        <v>0.7390278</v>
      </c>
      <c r="H1576" s="13" t="n">
        <f aca="false">MIN(G1576,D1576)</f>
        <v>0.7390278</v>
      </c>
      <c r="I1576" s="13" t="n">
        <f aca="false">IFERROR(MIN(F1576*Eingaben!$B$19,MAX(0,D1576-H1576)),0)</f>
        <v>0.1509722</v>
      </c>
      <c r="J1576" s="13" t="n">
        <f aca="false">IFERROR(MIN(Eingaben!$B$18,MAX(0,F1576-I1576)),0)</f>
        <v>1.5932278</v>
      </c>
      <c r="K1576" s="13" t="n">
        <f aca="false">H1576+I1576</f>
        <v>0.89</v>
      </c>
      <c r="L1576" s="13" t="n">
        <f aca="false">MAX(0,D1576-K1576)</f>
        <v>0</v>
      </c>
      <c r="M1576" s="13" t="n">
        <f aca="false">MAX(0,F1576-I1576-J1576)</f>
        <v>0</v>
      </c>
      <c r="N1576" s="13" t="n">
        <f aca="false">IF(Kalender!A112="",0,J1575-H1576)</f>
        <v>0.0150822</v>
      </c>
    </row>
    <row r="1577" customFormat="false" ht="16.4" hidden="false" customHeight="false" outlineLevel="0" collapsed="false">
      <c r="A1577" s="13" t="str">
        <f aca="false">""</f>
        <v/>
      </c>
      <c r="B1577" s="13" t="n">
        <f aca="false">109</f>
        <v>109</v>
      </c>
      <c r="C1577" s="13" t="n">
        <f aca="false">IF(Szenarien!$H$15="OK",(IFERROR(SUMIF(Nutzungsprofile!$B$6:$B$11,"Schulbetrieb",Nutzungsprofile!$G$6:$G$11)*Kalender!C113/SUM(Kalender!$C$5:$C$370),0)+IFERROR(SUMIF(Nutzungsprofile!$B$6:$B$11,"Halle",Nutzungsprofile!$G$6:$G$11)*Kalender!D113/SUM(Kalender!$D$5:$D$370),0)+IFERROR(SUMIF(Nutzungsprofile!$B$6:$B$11,"Individuell",Nutzungsprofile!$G$6:$G$11)*Kalender!E113/SUM(Kalender!$E$5:$E$370),0))*Szenarien!$E$15,0)</f>
        <v>2.04</v>
      </c>
      <c r="D1577" s="13" t="n">
        <f aca="false">IF(Szenarien!$H$15="OK",(IFERROR(SUMIF(Nutzungsprofile!$B$17:$B$22,"Schulbetrieb",Nutzungsprofile!$G$17:$G$22)*Kalender!C113/SUM(Kalender!$C$5:$C$370),0)+IFERROR(SUMIF(Nutzungsprofile!$B$17:$B$22,"Halle",Nutzungsprofile!$G$17:$G$22)*Kalender!D113/SUM(Kalender!$D$5:$D$370),0)+IFERROR(SUMIF(Nutzungsprofile!$B$17:$B$22,"Individuell",Nutzungsprofile!$G$17:$G$22)*Kalender!E113/SUM(Kalender!$E$5:$E$370),0))*Szenarien!$D$15,0)</f>
        <v>0.89</v>
      </c>
      <c r="E1577" s="13" t="n">
        <f aca="false">IFERROR(MIN(C1577,Eingaben!$B$17)*Eingaben!$B$16,0)</f>
        <v>1.938</v>
      </c>
      <c r="F1577" s="13" t="n">
        <f aca="false">IFERROR(E1577*Eingaben!$B$15,0)</f>
        <v>1.7442</v>
      </c>
      <c r="G1577" s="13" t="n">
        <f aca="false">IFERROR(IF(Kalender!A113="",0,J1576*(1-Eingaben!$B$20)),0)</f>
        <v>1.561363244</v>
      </c>
      <c r="H1577" s="13" t="n">
        <f aca="false">MIN(G1577,D1577)</f>
        <v>0.89</v>
      </c>
      <c r="I1577" s="13" t="n">
        <f aca="false">IFERROR(MIN(F1577*Eingaben!$B$19,MAX(0,D1577-H1577)),0)</f>
        <v>0</v>
      </c>
      <c r="J1577" s="13" t="n">
        <f aca="false">IFERROR(MIN(Eingaben!$B$18,MAX(0,F1577-I1577)),0)</f>
        <v>1.7442</v>
      </c>
      <c r="K1577" s="13" t="n">
        <f aca="false">H1577+I1577</f>
        <v>0.89</v>
      </c>
      <c r="L1577" s="13" t="n">
        <f aca="false">MAX(0,D1577-K1577)</f>
        <v>0</v>
      </c>
      <c r="M1577" s="13" t="n">
        <f aca="false">MAX(0,F1577-I1577-J1577)</f>
        <v>0</v>
      </c>
      <c r="N1577" s="13" t="n">
        <f aca="false">IF(Kalender!A113="",0,J1576-H1577)</f>
        <v>0.7032278</v>
      </c>
    </row>
    <row r="1578" customFormat="false" ht="16.4" hidden="false" customHeight="false" outlineLevel="0" collapsed="false">
      <c r="A1578" s="13" t="str">
        <f aca="false">""</f>
        <v/>
      </c>
      <c r="B1578" s="13" t="n">
        <f aca="false">110</f>
        <v>110</v>
      </c>
      <c r="C1578" s="13" t="n">
        <f aca="false">IF(Szenarien!$H$15="OK",(IFERROR(SUMIF(Nutzungsprofile!$B$6:$B$11,"Schulbetrieb",Nutzungsprofile!$G$6:$G$11)*Kalender!C114/SUM(Kalender!$C$5:$C$370),0)+IFERROR(SUMIF(Nutzungsprofile!$B$6:$B$11,"Halle",Nutzungsprofile!$G$6:$G$11)*Kalender!D114/SUM(Kalender!$D$5:$D$370),0)+IFERROR(SUMIF(Nutzungsprofile!$B$6:$B$11,"Individuell",Nutzungsprofile!$G$6:$G$11)*Kalender!E114/SUM(Kalender!$E$5:$E$370),0))*Szenarien!$E$15,0)</f>
        <v>2.94</v>
      </c>
      <c r="D1578" s="13" t="n">
        <f aca="false">IF(Szenarien!$H$15="OK",(IFERROR(SUMIF(Nutzungsprofile!$B$17:$B$22,"Schulbetrieb",Nutzungsprofile!$G$17:$G$22)*Kalender!C114/SUM(Kalender!$C$5:$C$370),0)+IFERROR(SUMIF(Nutzungsprofile!$B$17:$B$22,"Halle",Nutzungsprofile!$G$17:$G$22)*Kalender!D114/SUM(Kalender!$D$5:$D$370),0)+IFERROR(SUMIF(Nutzungsprofile!$B$17:$B$22,"Individuell",Nutzungsprofile!$G$17:$G$22)*Kalender!E114/SUM(Kalender!$E$5:$E$370),0))*Szenarien!$D$15,0)</f>
        <v>4.94</v>
      </c>
      <c r="E1578" s="13" t="n">
        <f aca="false">IFERROR(MIN(C1578,Eingaben!$B$17)*Eingaben!$B$16,0)</f>
        <v>2.793</v>
      </c>
      <c r="F1578" s="13" t="n">
        <f aca="false">IFERROR(E1578*Eingaben!$B$15,0)</f>
        <v>2.5137</v>
      </c>
      <c r="G1578" s="13" t="n">
        <f aca="false">IFERROR(IF(Kalender!A114="",0,J1577*(1-Eingaben!$B$20)),0)</f>
        <v>1.709316</v>
      </c>
      <c r="H1578" s="13" t="n">
        <f aca="false">MIN(G1578,D1578)</f>
        <v>1.709316</v>
      </c>
      <c r="I1578" s="13" t="n">
        <f aca="false">IFERROR(MIN(F1578*Eingaben!$B$19,MAX(0,D1578-H1578)),0)</f>
        <v>1.75959</v>
      </c>
      <c r="J1578" s="13" t="n">
        <f aca="false">IFERROR(MIN(Eingaben!$B$18,MAX(0,F1578-I1578)),0)</f>
        <v>0.75411</v>
      </c>
      <c r="K1578" s="13" t="n">
        <f aca="false">H1578+I1578</f>
        <v>3.468906</v>
      </c>
      <c r="L1578" s="13" t="n">
        <f aca="false">MAX(0,D1578-K1578)</f>
        <v>1.471094</v>
      </c>
      <c r="M1578" s="13" t="n">
        <f aca="false">MAX(0,F1578-I1578-J1578)</f>
        <v>0</v>
      </c>
      <c r="N1578" s="13" t="n">
        <f aca="false">IF(Kalender!A114="",0,J1577-H1578)</f>
        <v>0.0348840000000001</v>
      </c>
    </row>
    <row r="1579" customFormat="false" ht="16.4" hidden="false" customHeight="false" outlineLevel="0" collapsed="false">
      <c r="A1579" s="13" t="str">
        <f aca="false">""</f>
        <v/>
      </c>
      <c r="B1579" s="13" t="n">
        <f aca="false">111</f>
        <v>111</v>
      </c>
      <c r="C1579" s="13" t="n">
        <f aca="false">IF(Szenarien!$H$15="OK",(IFERROR(SUMIF(Nutzungsprofile!$B$6:$B$11,"Schulbetrieb",Nutzungsprofile!$G$6:$G$11)*Kalender!C115/SUM(Kalender!$C$5:$C$370),0)+IFERROR(SUMIF(Nutzungsprofile!$B$6:$B$11,"Halle",Nutzungsprofile!$G$6:$G$11)*Kalender!D115/SUM(Kalender!$D$5:$D$370),0)+IFERROR(SUMIF(Nutzungsprofile!$B$6:$B$11,"Individuell",Nutzungsprofile!$G$6:$G$11)*Kalender!E115/SUM(Kalender!$E$5:$E$370),0))*Szenarien!$E$15,0)</f>
        <v>2.94</v>
      </c>
      <c r="D1579" s="13" t="n">
        <f aca="false">IF(Szenarien!$H$15="OK",(IFERROR(SUMIF(Nutzungsprofile!$B$17:$B$22,"Schulbetrieb",Nutzungsprofile!$G$17:$G$22)*Kalender!C115/SUM(Kalender!$C$5:$C$370),0)+IFERROR(SUMIF(Nutzungsprofile!$B$17:$B$22,"Halle",Nutzungsprofile!$G$17:$G$22)*Kalender!D115/SUM(Kalender!$D$5:$D$370),0)+IFERROR(SUMIF(Nutzungsprofile!$B$17:$B$22,"Individuell",Nutzungsprofile!$G$17:$G$22)*Kalender!E115/SUM(Kalender!$E$5:$E$370),0))*Szenarien!$D$15,0)</f>
        <v>4.94</v>
      </c>
      <c r="E1579" s="13" t="n">
        <f aca="false">IFERROR(MIN(C1579,Eingaben!$B$17)*Eingaben!$B$16,0)</f>
        <v>2.793</v>
      </c>
      <c r="F1579" s="13" t="n">
        <f aca="false">IFERROR(E1579*Eingaben!$B$15,0)</f>
        <v>2.5137</v>
      </c>
      <c r="G1579" s="13" t="n">
        <f aca="false">IFERROR(IF(Kalender!A115="",0,J1578*(1-Eingaben!$B$20)),0)</f>
        <v>0.7390278</v>
      </c>
      <c r="H1579" s="13" t="n">
        <f aca="false">MIN(G1579,D1579)</f>
        <v>0.7390278</v>
      </c>
      <c r="I1579" s="13" t="n">
        <f aca="false">IFERROR(MIN(F1579*Eingaben!$B$19,MAX(0,D1579-H1579)),0)</f>
        <v>1.75959</v>
      </c>
      <c r="J1579" s="13" t="n">
        <f aca="false">IFERROR(MIN(Eingaben!$B$18,MAX(0,F1579-I1579)),0)</f>
        <v>0.75411</v>
      </c>
      <c r="K1579" s="13" t="n">
        <f aca="false">H1579+I1579</f>
        <v>2.4986178</v>
      </c>
      <c r="L1579" s="13" t="n">
        <f aca="false">MAX(0,D1579-K1579)</f>
        <v>2.4413822</v>
      </c>
      <c r="M1579" s="13" t="n">
        <f aca="false">MAX(0,F1579-I1579-J1579)</f>
        <v>0</v>
      </c>
      <c r="N1579" s="13" t="n">
        <f aca="false">IF(Kalender!A115="",0,J1578-H1579)</f>
        <v>0.0150822</v>
      </c>
    </row>
    <row r="1580" customFormat="false" ht="16.4" hidden="false" customHeight="false" outlineLevel="0" collapsed="false">
      <c r="A1580" s="13" t="str">
        <f aca="false">""</f>
        <v/>
      </c>
      <c r="B1580" s="13" t="n">
        <f aca="false">112</f>
        <v>112</v>
      </c>
      <c r="C1580" s="13" t="n">
        <f aca="false">IF(Szenarien!$H$15="OK",(IFERROR(SUMIF(Nutzungsprofile!$B$6:$B$11,"Schulbetrieb",Nutzungsprofile!$G$6:$G$11)*Kalender!C116/SUM(Kalender!$C$5:$C$370),0)+IFERROR(SUMIF(Nutzungsprofile!$B$6:$B$11,"Halle",Nutzungsprofile!$G$6:$G$11)*Kalender!D116/SUM(Kalender!$D$5:$D$370),0)+IFERROR(SUMIF(Nutzungsprofile!$B$6:$B$11,"Individuell",Nutzungsprofile!$G$6:$G$11)*Kalender!E116/SUM(Kalender!$E$5:$E$370),0))*Szenarien!$E$15,0)</f>
        <v>2.94</v>
      </c>
      <c r="D1580" s="13" t="n">
        <f aca="false">IF(Szenarien!$H$15="OK",(IFERROR(SUMIF(Nutzungsprofile!$B$17:$B$22,"Schulbetrieb",Nutzungsprofile!$G$17:$G$22)*Kalender!C116/SUM(Kalender!$C$5:$C$370),0)+IFERROR(SUMIF(Nutzungsprofile!$B$17:$B$22,"Halle",Nutzungsprofile!$G$17:$G$22)*Kalender!D116/SUM(Kalender!$D$5:$D$370),0)+IFERROR(SUMIF(Nutzungsprofile!$B$17:$B$22,"Individuell",Nutzungsprofile!$G$17:$G$22)*Kalender!E116/SUM(Kalender!$E$5:$E$370),0))*Szenarien!$D$15,0)</f>
        <v>4.94</v>
      </c>
      <c r="E1580" s="13" t="n">
        <f aca="false">IFERROR(MIN(C1580,Eingaben!$B$17)*Eingaben!$B$16,0)</f>
        <v>2.793</v>
      </c>
      <c r="F1580" s="13" t="n">
        <f aca="false">IFERROR(E1580*Eingaben!$B$15,0)</f>
        <v>2.5137</v>
      </c>
      <c r="G1580" s="13" t="n">
        <f aca="false">IFERROR(IF(Kalender!A116="",0,J1579*(1-Eingaben!$B$20)),0)</f>
        <v>0.7390278</v>
      </c>
      <c r="H1580" s="13" t="n">
        <f aca="false">MIN(G1580,D1580)</f>
        <v>0.7390278</v>
      </c>
      <c r="I1580" s="13" t="n">
        <f aca="false">IFERROR(MIN(F1580*Eingaben!$B$19,MAX(0,D1580-H1580)),0)</f>
        <v>1.75959</v>
      </c>
      <c r="J1580" s="13" t="n">
        <f aca="false">IFERROR(MIN(Eingaben!$B$18,MAX(0,F1580-I1580)),0)</f>
        <v>0.75411</v>
      </c>
      <c r="K1580" s="13" t="n">
        <f aca="false">H1580+I1580</f>
        <v>2.4986178</v>
      </c>
      <c r="L1580" s="13" t="n">
        <f aca="false">MAX(0,D1580-K1580)</f>
        <v>2.4413822</v>
      </c>
      <c r="M1580" s="13" t="n">
        <f aca="false">MAX(0,F1580-I1580-J1580)</f>
        <v>0</v>
      </c>
      <c r="N1580" s="13" t="n">
        <f aca="false">IF(Kalender!A116="",0,J1579-H1580)</f>
        <v>0.0150822</v>
      </c>
    </row>
    <row r="1581" customFormat="false" ht="16.4" hidden="false" customHeight="false" outlineLevel="0" collapsed="false">
      <c r="A1581" s="13" t="str">
        <f aca="false">""</f>
        <v/>
      </c>
      <c r="B1581" s="13" t="n">
        <f aca="false">113</f>
        <v>113</v>
      </c>
      <c r="C1581" s="13" t="n">
        <f aca="false">IF(Szenarien!$H$15="OK",(IFERROR(SUMIF(Nutzungsprofile!$B$6:$B$11,"Schulbetrieb",Nutzungsprofile!$G$6:$G$11)*Kalender!C117/SUM(Kalender!$C$5:$C$370),0)+IFERROR(SUMIF(Nutzungsprofile!$B$6:$B$11,"Halle",Nutzungsprofile!$G$6:$G$11)*Kalender!D117/SUM(Kalender!$D$5:$D$370),0)+IFERROR(SUMIF(Nutzungsprofile!$B$6:$B$11,"Individuell",Nutzungsprofile!$G$6:$G$11)*Kalender!E117/SUM(Kalender!$E$5:$E$370),0))*Szenarien!$E$15,0)</f>
        <v>2.94</v>
      </c>
      <c r="D1581" s="13" t="n">
        <f aca="false">IF(Szenarien!$H$15="OK",(IFERROR(SUMIF(Nutzungsprofile!$B$17:$B$22,"Schulbetrieb",Nutzungsprofile!$G$17:$G$22)*Kalender!C117/SUM(Kalender!$C$5:$C$370),0)+IFERROR(SUMIF(Nutzungsprofile!$B$17:$B$22,"Halle",Nutzungsprofile!$G$17:$G$22)*Kalender!D117/SUM(Kalender!$D$5:$D$370),0)+IFERROR(SUMIF(Nutzungsprofile!$B$17:$B$22,"Individuell",Nutzungsprofile!$G$17:$G$22)*Kalender!E117/SUM(Kalender!$E$5:$E$370),0))*Szenarien!$D$15,0)</f>
        <v>4.94</v>
      </c>
      <c r="E1581" s="13" t="n">
        <f aca="false">IFERROR(MIN(C1581,Eingaben!$B$17)*Eingaben!$B$16,0)</f>
        <v>2.793</v>
      </c>
      <c r="F1581" s="13" t="n">
        <f aca="false">IFERROR(E1581*Eingaben!$B$15,0)</f>
        <v>2.5137</v>
      </c>
      <c r="G1581" s="13" t="n">
        <f aca="false">IFERROR(IF(Kalender!A117="",0,J1580*(1-Eingaben!$B$20)),0)</f>
        <v>0.7390278</v>
      </c>
      <c r="H1581" s="13" t="n">
        <f aca="false">MIN(G1581,D1581)</f>
        <v>0.7390278</v>
      </c>
      <c r="I1581" s="13" t="n">
        <f aca="false">IFERROR(MIN(F1581*Eingaben!$B$19,MAX(0,D1581-H1581)),0)</f>
        <v>1.75959</v>
      </c>
      <c r="J1581" s="13" t="n">
        <f aca="false">IFERROR(MIN(Eingaben!$B$18,MAX(0,F1581-I1581)),0)</f>
        <v>0.75411</v>
      </c>
      <c r="K1581" s="13" t="n">
        <f aca="false">H1581+I1581</f>
        <v>2.4986178</v>
      </c>
      <c r="L1581" s="13" t="n">
        <f aca="false">MAX(0,D1581-K1581)</f>
        <v>2.4413822</v>
      </c>
      <c r="M1581" s="13" t="n">
        <f aca="false">MAX(0,F1581-I1581-J1581)</f>
        <v>0</v>
      </c>
      <c r="N1581" s="13" t="n">
        <f aca="false">IF(Kalender!A117="",0,J1580-H1581)</f>
        <v>0.0150822</v>
      </c>
    </row>
    <row r="1582" customFormat="false" ht="16.4" hidden="false" customHeight="false" outlineLevel="0" collapsed="false">
      <c r="A1582" s="13" t="str">
        <f aca="false">""</f>
        <v/>
      </c>
      <c r="B1582" s="13" t="n">
        <f aca="false">114</f>
        <v>114</v>
      </c>
      <c r="C1582" s="13" t="n">
        <f aca="false">IF(Szenarien!$H$15="OK",(IFERROR(SUMIF(Nutzungsprofile!$B$6:$B$11,"Schulbetrieb",Nutzungsprofile!$G$6:$G$11)*Kalender!C118/SUM(Kalender!$C$5:$C$370),0)+IFERROR(SUMIF(Nutzungsprofile!$B$6:$B$11,"Halle",Nutzungsprofile!$G$6:$G$11)*Kalender!D118/SUM(Kalender!$D$5:$D$370),0)+IFERROR(SUMIF(Nutzungsprofile!$B$6:$B$11,"Individuell",Nutzungsprofile!$G$6:$G$11)*Kalender!E118/SUM(Kalender!$E$5:$E$370),0))*Szenarien!$E$15,0)</f>
        <v>2.94</v>
      </c>
      <c r="D1582" s="13" t="n">
        <f aca="false">IF(Szenarien!$H$15="OK",(IFERROR(SUMIF(Nutzungsprofile!$B$17:$B$22,"Schulbetrieb",Nutzungsprofile!$G$17:$G$22)*Kalender!C118/SUM(Kalender!$C$5:$C$370),0)+IFERROR(SUMIF(Nutzungsprofile!$B$17:$B$22,"Halle",Nutzungsprofile!$G$17:$G$22)*Kalender!D118/SUM(Kalender!$D$5:$D$370),0)+IFERROR(SUMIF(Nutzungsprofile!$B$17:$B$22,"Individuell",Nutzungsprofile!$G$17:$G$22)*Kalender!E118/SUM(Kalender!$E$5:$E$370),0))*Szenarien!$D$15,0)</f>
        <v>4.94</v>
      </c>
      <c r="E1582" s="13" t="n">
        <f aca="false">IFERROR(MIN(C1582,Eingaben!$B$17)*Eingaben!$B$16,0)</f>
        <v>2.793</v>
      </c>
      <c r="F1582" s="13" t="n">
        <f aca="false">IFERROR(E1582*Eingaben!$B$15,0)</f>
        <v>2.5137</v>
      </c>
      <c r="G1582" s="13" t="n">
        <f aca="false">IFERROR(IF(Kalender!A118="",0,J1581*(1-Eingaben!$B$20)),0)</f>
        <v>0.7390278</v>
      </c>
      <c r="H1582" s="13" t="n">
        <f aca="false">MIN(G1582,D1582)</f>
        <v>0.7390278</v>
      </c>
      <c r="I1582" s="13" t="n">
        <f aca="false">IFERROR(MIN(F1582*Eingaben!$B$19,MAX(0,D1582-H1582)),0)</f>
        <v>1.75959</v>
      </c>
      <c r="J1582" s="13" t="n">
        <f aca="false">IFERROR(MIN(Eingaben!$B$18,MAX(0,F1582-I1582)),0)</f>
        <v>0.75411</v>
      </c>
      <c r="K1582" s="13" t="n">
        <f aca="false">H1582+I1582</f>
        <v>2.4986178</v>
      </c>
      <c r="L1582" s="13" t="n">
        <f aca="false">MAX(0,D1582-K1582)</f>
        <v>2.4413822</v>
      </c>
      <c r="M1582" s="13" t="n">
        <f aca="false">MAX(0,F1582-I1582-J1582)</f>
        <v>0</v>
      </c>
      <c r="N1582" s="13" t="n">
        <f aca="false">IF(Kalender!A118="",0,J1581-H1582)</f>
        <v>0.0150822</v>
      </c>
    </row>
    <row r="1583" customFormat="false" ht="16.4" hidden="false" customHeight="false" outlineLevel="0" collapsed="false">
      <c r="A1583" s="13" t="str">
        <f aca="false">""</f>
        <v/>
      </c>
      <c r="B1583" s="13" t="n">
        <f aca="false">115</f>
        <v>115</v>
      </c>
      <c r="C1583" s="13" t="n">
        <f aca="false">IF(Szenarien!$H$15="OK",(IFERROR(SUMIF(Nutzungsprofile!$B$6:$B$11,"Schulbetrieb",Nutzungsprofile!$G$6:$G$11)*Kalender!C119/SUM(Kalender!$C$5:$C$370),0)+IFERROR(SUMIF(Nutzungsprofile!$B$6:$B$11,"Halle",Nutzungsprofile!$G$6:$G$11)*Kalender!D119/SUM(Kalender!$D$5:$D$370),0)+IFERROR(SUMIF(Nutzungsprofile!$B$6:$B$11,"Individuell",Nutzungsprofile!$G$6:$G$11)*Kalender!E119/SUM(Kalender!$E$5:$E$370),0))*Szenarien!$E$15,0)</f>
        <v>2.04</v>
      </c>
      <c r="D1583" s="13" t="n">
        <f aca="false">IF(Szenarien!$H$15="OK",(IFERROR(SUMIF(Nutzungsprofile!$B$17:$B$22,"Schulbetrieb",Nutzungsprofile!$G$17:$G$22)*Kalender!C119/SUM(Kalender!$C$5:$C$370),0)+IFERROR(SUMIF(Nutzungsprofile!$B$17:$B$22,"Halle",Nutzungsprofile!$G$17:$G$22)*Kalender!D119/SUM(Kalender!$D$5:$D$370),0)+IFERROR(SUMIF(Nutzungsprofile!$B$17:$B$22,"Individuell",Nutzungsprofile!$G$17:$G$22)*Kalender!E119/SUM(Kalender!$E$5:$E$370),0))*Szenarien!$D$15,0)</f>
        <v>0.89</v>
      </c>
      <c r="E1583" s="13" t="n">
        <f aca="false">IFERROR(MIN(C1583,Eingaben!$B$17)*Eingaben!$B$16,0)</f>
        <v>1.938</v>
      </c>
      <c r="F1583" s="13" t="n">
        <f aca="false">IFERROR(E1583*Eingaben!$B$15,0)</f>
        <v>1.7442</v>
      </c>
      <c r="G1583" s="13" t="n">
        <f aca="false">IFERROR(IF(Kalender!A119="",0,J1582*(1-Eingaben!$B$20)),0)</f>
        <v>0.7390278</v>
      </c>
      <c r="H1583" s="13" t="n">
        <f aca="false">MIN(G1583,D1583)</f>
        <v>0.7390278</v>
      </c>
      <c r="I1583" s="13" t="n">
        <f aca="false">IFERROR(MIN(F1583*Eingaben!$B$19,MAX(0,D1583-H1583)),0)</f>
        <v>0.1509722</v>
      </c>
      <c r="J1583" s="13" t="n">
        <f aca="false">IFERROR(MIN(Eingaben!$B$18,MAX(0,F1583-I1583)),0)</f>
        <v>1.5932278</v>
      </c>
      <c r="K1583" s="13" t="n">
        <f aca="false">H1583+I1583</f>
        <v>0.89</v>
      </c>
      <c r="L1583" s="13" t="n">
        <f aca="false">MAX(0,D1583-K1583)</f>
        <v>0</v>
      </c>
      <c r="M1583" s="13" t="n">
        <f aca="false">MAX(0,F1583-I1583-J1583)</f>
        <v>0</v>
      </c>
      <c r="N1583" s="13" t="n">
        <f aca="false">IF(Kalender!A119="",0,J1582-H1583)</f>
        <v>0.0150822</v>
      </c>
    </row>
    <row r="1584" customFormat="false" ht="16.4" hidden="false" customHeight="false" outlineLevel="0" collapsed="false">
      <c r="A1584" s="13" t="str">
        <f aca="false">""</f>
        <v/>
      </c>
      <c r="B1584" s="13" t="n">
        <f aca="false">116</f>
        <v>116</v>
      </c>
      <c r="C1584" s="13" t="n">
        <f aca="false">IF(Szenarien!$H$15="OK",(IFERROR(SUMIF(Nutzungsprofile!$B$6:$B$11,"Schulbetrieb",Nutzungsprofile!$G$6:$G$11)*Kalender!C120/SUM(Kalender!$C$5:$C$370),0)+IFERROR(SUMIF(Nutzungsprofile!$B$6:$B$11,"Halle",Nutzungsprofile!$G$6:$G$11)*Kalender!D120/SUM(Kalender!$D$5:$D$370),0)+IFERROR(SUMIF(Nutzungsprofile!$B$6:$B$11,"Individuell",Nutzungsprofile!$G$6:$G$11)*Kalender!E120/SUM(Kalender!$E$5:$E$370),0))*Szenarien!$E$15,0)</f>
        <v>2.04</v>
      </c>
      <c r="D1584" s="13" t="n">
        <f aca="false">IF(Szenarien!$H$15="OK",(IFERROR(SUMIF(Nutzungsprofile!$B$17:$B$22,"Schulbetrieb",Nutzungsprofile!$G$17:$G$22)*Kalender!C120/SUM(Kalender!$C$5:$C$370),0)+IFERROR(SUMIF(Nutzungsprofile!$B$17:$B$22,"Halle",Nutzungsprofile!$G$17:$G$22)*Kalender!D120/SUM(Kalender!$D$5:$D$370),0)+IFERROR(SUMIF(Nutzungsprofile!$B$17:$B$22,"Individuell",Nutzungsprofile!$G$17:$G$22)*Kalender!E120/SUM(Kalender!$E$5:$E$370),0))*Szenarien!$D$15,0)</f>
        <v>0.89</v>
      </c>
      <c r="E1584" s="13" t="n">
        <f aca="false">IFERROR(MIN(C1584,Eingaben!$B$17)*Eingaben!$B$16,0)</f>
        <v>1.938</v>
      </c>
      <c r="F1584" s="13" t="n">
        <f aca="false">IFERROR(E1584*Eingaben!$B$15,0)</f>
        <v>1.7442</v>
      </c>
      <c r="G1584" s="13" t="n">
        <f aca="false">IFERROR(IF(Kalender!A120="",0,J1583*(1-Eingaben!$B$20)),0)</f>
        <v>1.561363244</v>
      </c>
      <c r="H1584" s="13" t="n">
        <f aca="false">MIN(G1584,D1584)</f>
        <v>0.89</v>
      </c>
      <c r="I1584" s="13" t="n">
        <f aca="false">IFERROR(MIN(F1584*Eingaben!$B$19,MAX(0,D1584-H1584)),0)</f>
        <v>0</v>
      </c>
      <c r="J1584" s="13" t="n">
        <f aca="false">IFERROR(MIN(Eingaben!$B$18,MAX(0,F1584-I1584)),0)</f>
        <v>1.7442</v>
      </c>
      <c r="K1584" s="13" t="n">
        <f aca="false">H1584+I1584</f>
        <v>0.89</v>
      </c>
      <c r="L1584" s="13" t="n">
        <f aca="false">MAX(0,D1584-K1584)</f>
        <v>0</v>
      </c>
      <c r="M1584" s="13" t="n">
        <f aca="false">MAX(0,F1584-I1584-J1584)</f>
        <v>0</v>
      </c>
      <c r="N1584" s="13" t="n">
        <f aca="false">IF(Kalender!A120="",0,J1583-H1584)</f>
        <v>0.7032278</v>
      </c>
    </row>
    <row r="1585" customFormat="false" ht="16.4" hidden="false" customHeight="false" outlineLevel="0" collapsed="false">
      <c r="A1585" s="13" t="str">
        <f aca="false">""</f>
        <v/>
      </c>
      <c r="B1585" s="13" t="n">
        <f aca="false">117</f>
        <v>117</v>
      </c>
      <c r="C1585" s="13" t="n">
        <f aca="false">IF(Szenarien!$H$15="OK",(IFERROR(SUMIF(Nutzungsprofile!$B$6:$B$11,"Schulbetrieb",Nutzungsprofile!$G$6:$G$11)*Kalender!C121/SUM(Kalender!$C$5:$C$370),0)+IFERROR(SUMIF(Nutzungsprofile!$B$6:$B$11,"Halle",Nutzungsprofile!$G$6:$G$11)*Kalender!D121/SUM(Kalender!$D$5:$D$370),0)+IFERROR(SUMIF(Nutzungsprofile!$B$6:$B$11,"Individuell",Nutzungsprofile!$G$6:$G$11)*Kalender!E121/SUM(Kalender!$E$5:$E$370),0))*Szenarien!$E$15,0)</f>
        <v>2.94</v>
      </c>
      <c r="D1585" s="13" t="n">
        <f aca="false">IF(Szenarien!$H$15="OK",(IFERROR(SUMIF(Nutzungsprofile!$B$17:$B$22,"Schulbetrieb",Nutzungsprofile!$G$17:$G$22)*Kalender!C121/SUM(Kalender!$C$5:$C$370),0)+IFERROR(SUMIF(Nutzungsprofile!$B$17:$B$22,"Halle",Nutzungsprofile!$G$17:$G$22)*Kalender!D121/SUM(Kalender!$D$5:$D$370),0)+IFERROR(SUMIF(Nutzungsprofile!$B$17:$B$22,"Individuell",Nutzungsprofile!$G$17:$G$22)*Kalender!E121/SUM(Kalender!$E$5:$E$370),0))*Szenarien!$D$15,0)</f>
        <v>4.94</v>
      </c>
      <c r="E1585" s="13" t="n">
        <f aca="false">IFERROR(MIN(C1585,Eingaben!$B$17)*Eingaben!$B$16,0)</f>
        <v>2.793</v>
      </c>
      <c r="F1585" s="13" t="n">
        <f aca="false">IFERROR(E1585*Eingaben!$B$15,0)</f>
        <v>2.5137</v>
      </c>
      <c r="G1585" s="13" t="n">
        <f aca="false">IFERROR(IF(Kalender!A121="",0,J1584*(1-Eingaben!$B$20)),0)</f>
        <v>1.709316</v>
      </c>
      <c r="H1585" s="13" t="n">
        <f aca="false">MIN(G1585,D1585)</f>
        <v>1.709316</v>
      </c>
      <c r="I1585" s="13" t="n">
        <f aca="false">IFERROR(MIN(F1585*Eingaben!$B$19,MAX(0,D1585-H1585)),0)</f>
        <v>1.75959</v>
      </c>
      <c r="J1585" s="13" t="n">
        <f aca="false">IFERROR(MIN(Eingaben!$B$18,MAX(0,F1585-I1585)),0)</f>
        <v>0.75411</v>
      </c>
      <c r="K1585" s="13" t="n">
        <f aca="false">H1585+I1585</f>
        <v>3.468906</v>
      </c>
      <c r="L1585" s="13" t="n">
        <f aca="false">MAX(0,D1585-K1585)</f>
        <v>1.471094</v>
      </c>
      <c r="M1585" s="13" t="n">
        <f aca="false">MAX(0,F1585-I1585-J1585)</f>
        <v>0</v>
      </c>
      <c r="N1585" s="13" t="n">
        <f aca="false">IF(Kalender!A121="",0,J1584-H1585)</f>
        <v>0.0348840000000001</v>
      </c>
    </row>
    <row r="1586" customFormat="false" ht="16.4" hidden="false" customHeight="false" outlineLevel="0" collapsed="false">
      <c r="A1586" s="13" t="str">
        <f aca="false">""</f>
        <v/>
      </c>
      <c r="B1586" s="13" t="n">
        <f aca="false">118</f>
        <v>118</v>
      </c>
      <c r="C1586" s="13" t="n">
        <f aca="false">IF(Szenarien!$H$15="OK",(IFERROR(SUMIF(Nutzungsprofile!$B$6:$B$11,"Schulbetrieb",Nutzungsprofile!$G$6:$G$11)*Kalender!C122/SUM(Kalender!$C$5:$C$370),0)+IFERROR(SUMIF(Nutzungsprofile!$B$6:$B$11,"Halle",Nutzungsprofile!$G$6:$G$11)*Kalender!D122/SUM(Kalender!$D$5:$D$370),0)+IFERROR(SUMIF(Nutzungsprofile!$B$6:$B$11,"Individuell",Nutzungsprofile!$G$6:$G$11)*Kalender!E122/SUM(Kalender!$E$5:$E$370),0))*Szenarien!$E$15,0)</f>
        <v>2.94</v>
      </c>
      <c r="D1586" s="13" t="n">
        <f aca="false">IF(Szenarien!$H$15="OK",(IFERROR(SUMIF(Nutzungsprofile!$B$17:$B$22,"Schulbetrieb",Nutzungsprofile!$G$17:$G$22)*Kalender!C122/SUM(Kalender!$C$5:$C$370),0)+IFERROR(SUMIF(Nutzungsprofile!$B$17:$B$22,"Halle",Nutzungsprofile!$G$17:$G$22)*Kalender!D122/SUM(Kalender!$D$5:$D$370),0)+IFERROR(SUMIF(Nutzungsprofile!$B$17:$B$22,"Individuell",Nutzungsprofile!$G$17:$G$22)*Kalender!E122/SUM(Kalender!$E$5:$E$370),0))*Szenarien!$D$15,0)</f>
        <v>4.94</v>
      </c>
      <c r="E1586" s="13" t="n">
        <f aca="false">IFERROR(MIN(C1586,Eingaben!$B$17)*Eingaben!$B$16,0)</f>
        <v>2.793</v>
      </c>
      <c r="F1586" s="13" t="n">
        <f aca="false">IFERROR(E1586*Eingaben!$B$15,0)</f>
        <v>2.5137</v>
      </c>
      <c r="G1586" s="13" t="n">
        <f aca="false">IFERROR(IF(Kalender!A122="",0,J1585*(1-Eingaben!$B$20)),0)</f>
        <v>0.7390278</v>
      </c>
      <c r="H1586" s="13" t="n">
        <f aca="false">MIN(G1586,D1586)</f>
        <v>0.7390278</v>
      </c>
      <c r="I1586" s="13" t="n">
        <f aca="false">IFERROR(MIN(F1586*Eingaben!$B$19,MAX(0,D1586-H1586)),0)</f>
        <v>1.75959</v>
      </c>
      <c r="J1586" s="13" t="n">
        <f aca="false">IFERROR(MIN(Eingaben!$B$18,MAX(0,F1586-I1586)),0)</f>
        <v>0.75411</v>
      </c>
      <c r="K1586" s="13" t="n">
        <f aca="false">H1586+I1586</f>
        <v>2.4986178</v>
      </c>
      <c r="L1586" s="13" t="n">
        <f aca="false">MAX(0,D1586-K1586)</f>
        <v>2.4413822</v>
      </c>
      <c r="M1586" s="13" t="n">
        <f aca="false">MAX(0,F1586-I1586-J1586)</f>
        <v>0</v>
      </c>
      <c r="N1586" s="13" t="n">
        <f aca="false">IF(Kalender!A122="",0,J1585-H1586)</f>
        <v>0.0150822</v>
      </c>
    </row>
    <row r="1587" customFormat="false" ht="16.4" hidden="false" customHeight="false" outlineLevel="0" collapsed="false">
      <c r="A1587" s="13" t="str">
        <f aca="false">""</f>
        <v/>
      </c>
      <c r="B1587" s="13" t="n">
        <f aca="false">119</f>
        <v>119</v>
      </c>
      <c r="C1587" s="13" t="n">
        <f aca="false">IF(Szenarien!$H$15="OK",(IFERROR(SUMIF(Nutzungsprofile!$B$6:$B$11,"Schulbetrieb",Nutzungsprofile!$G$6:$G$11)*Kalender!C123/SUM(Kalender!$C$5:$C$370),0)+IFERROR(SUMIF(Nutzungsprofile!$B$6:$B$11,"Halle",Nutzungsprofile!$G$6:$G$11)*Kalender!D123/SUM(Kalender!$D$5:$D$370),0)+IFERROR(SUMIF(Nutzungsprofile!$B$6:$B$11,"Individuell",Nutzungsprofile!$G$6:$G$11)*Kalender!E123/SUM(Kalender!$E$5:$E$370),0))*Szenarien!$E$15,0)</f>
        <v>2.94</v>
      </c>
      <c r="D1587" s="13" t="n">
        <f aca="false">IF(Szenarien!$H$15="OK",(IFERROR(SUMIF(Nutzungsprofile!$B$17:$B$22,"Schulbetrieb",Nutzungsprofile!$G$17:$G$22)*Kalender!C123/SUM(Kalender!$C$5:$C$370),0)+IFERROR(SUMIF(Nutzungsprofile!$B$17:$B$22,"Halle",Nutzungsprofile!$G$17:$G$22)*Kalender!D123/SUM(Kalender!$D$5:$D$370),0)+IFERROR(SUMIF(Nutzungsprofile!$B$17:$B$22,"Individuell",Nutzungsprofile!$G$17:$G$22)*Kalender!E123/SUM(Kalender!$E$5:$E$370),0))*Szenarien!$D$15,0)</f>
        <v>4.94</v>
      </c>
      <c r="E1587" s="13" t="n">
        <f aca="false">IFERROR(MIN(C1587,Eingaben!$B$17)*Eingaben!$B$16,0)</f>
        <v>2.793</v>
      </c>
      <c r="F1587" s="13" t="n">
        <f aca="false">IFERROR(E1587*Eingaben!$B$15,0)</f>
        <v>2.5137</v>
      </c>
      <c r="G1587" s="13" t="n">
        <f aca="false">IFERROR(IF(Kalender!A123="",0,J1586*(1-Eingaben!$B$20)),0)</f>
        <v>0.7390278</v>
      </c>
      <c r="H1587" s="13" t="n">
        <f aca="false">MIN(G1587,D1587)</f>
        <v>0.7390278</v>
      </c>
      <c r="I1587" s="13" t="n">
        <f aca="false">IFERROR(MIN(F1587*Eingaben!$B$19,MAX(0,D1587-H1587)),0)</f>
        <v>1.75959</v>
      </c>
      <c r="J1587" s="13" t="n">
        <f aca="false">IFERROR(MIN(Eingaben!$B$18,MAX(0,F1587-I1587)),0)</f>
        <v>0.75411</v>
      </c>
      <c r="K1587" s="13" t="n">
        <f aca="false">H1587+I1587</f>
        <v>2.4986178</v>
      </c>
      <c r="L1587" s="13" t="n">
        <f aca="false">MAX(0,D1587-K1587)</f>
        <v>2.4413822</v>
      </c>
      <c r="M1587" s="13" t="n">
        <f aca="false">MAX(0,F1587-I1587-J1587)</f>
        <v>0</v>
      </c>
      <c r="N1587" s="13" t="n">
        <f aca="false">IF(Kalender!A123="",0,J1586-H1587)</f>
        <v>0.0150822</v>
      </c>
    </row>
    <row r="1588" customFormat="false" ht="16.4" hidden="false" customHeight="false" outlineLevel="0" collapsed="false">
      <c r="A1588" s="13" t="str">
        <f aca="false">""</f>
        <v/>
      </c>
      <c r="B1588" s="13" t="n">
        <f aca="false">120</f>
        <v>120</v>
      </c>
      <c r="C1588" s="13" t="n">
        <f aca="false">IF(Szenarien!$H$15="OK",(IFERROR(SUMIF(Nutzungsprofile!$B$6:$B$11,"Schulbetrieb",Nutzungsprofile!$G$6:$G$11)*Kalender!C124/SUM(Kalender!$C$5:$C$370),0)+IFERROR(SUMIF(Nutzungsprofile!$B$6:$B$11,"Halle",Nutzungsprofile!$G$6:$G$11)*Kalender!D124/SUM(Kalender!$D$5:$D$370),0)+IFERROR(SUMIF(Nutzungsprofile!$B$6:$B$11,"Individuell",Nutzungsprofile!$G$6:$G$11)*Kalender!E124/SUM(Kalender!$E$5:$E$370),0))*Szenarien!$E$15,0)</f>
        <v>2.94</v>
      </c>
      <c r="D1588" s="13" t="n">
        <f aca="false">IF(Szenarien!$H$15="OK",(IFERROR(SUMIF(Nutzungsprofile!$B$17:$B$22,"Schulbetrieb",Nutzungsprofile!$G$17:$G$22)*Kalender!C124/SUM(Kalender!$C$5:$C$370),0)+IFERROR(SUMIF(Nutzungsprofile!$B$17:$B$22,"Halle",Nutzungsprofile!$G$17:$G$22)*Kalender!D124/SUM(Kalender!$D$5:$D$370),0)+IFERROR(SUMIF(Nutzungsprofile!$B$17:$B$22,"Individuell",Nutzungsprofile!$G$17:$G$22)*Kalender!E124/SUM(Kalender!$E$5:$E$370),0))*Szenarien!$D$15,0)</f>
        <v>4.94</v>
      </c>
      <c r="E1588" s="13" t="n">
        <f aca="false">IFERROR(MIN(C1588,Eingaben!$B$17)*Eingaben!$B$16,0)</f>
        <v>2.793</v>
      </c>
      <c r="F1588" s="13" t="n">
        <f aca="false">IFERROR(E1588*Eingaben!$B$15,0)</f>
        <v>2.5137</v>
      </c>
      <c r="G1588" s="13" t="n">
        <f aca="false">IFERROR(IF(Kalender!A124="",0,J1587*(1-Eingaben!$B$20)),0)</f>
        <v>0.7390278</v>
      </c>
      <c r="H1588" s="13" t="n">
        <f aca="false">MIN(G1588,D1588)</f>
        <v>0.7390278</v>
      </c>
      <c r="I1588" s="13" t="n">
        <f aca="false">IFERROR(MIN(F1588*Eingaben!$B$19,MAX(0,D1588-H1588)),0)</f>
        <v>1.75959</v>
      </c>
      <c r="J1588" s="13" t="n">
        <f aca="false">IFERROR(MIN(Eingaben!$B$18,MAX(0,F1588-I1588)),0)</f>
        <v>0.75411</v>
      </c>
      <c r="K1588" s="13" t="n">
        <f aca="false">H1588+I1588</f>
        <v>2.4986178</v>
      </c>
      <c r="L1588" s="13" t="n">
        <f aca="false">MAX(0,D1588-K1588)</f>
        <v>2.4413822</v>
      </c>
      <c r="M1588" s="13" t="n">
        <f aca="false">MAX(0,F1588-I1588-J1588)</f>
        <v>0</v>
      </c>
      <c r="N1588" s="13" t="n">
        <f aca="false">IF(Kalender!A124="",0,J1587-H1588)</f>
        <v>0.0150822</v>
      </c>
    </row>
    <row r="1589" customFormat="false" ht="16.4" hidden="false" customHeight="false" outlineLevel="0" collapsed="false">
      <c r="A1589" s="13" t="str">
        <f aca="false">""</f>
        <v/>
      </c>
      <c r="B1589" s="13" t="n">
        <f aca="false">121</f>
        <v>121</v>
      </c>
      <c r="C1589" s="13" t="n">
        <f aca="false">IF(Szenarien!$H$15="OK",(IFERROR(SUMIF(Nutzungsprofile!$B$6:$B$11,"Schulbetrieb",Nutzungsprofile!$G$6:$G$11)*Kalender!C125/SUM(Kalender!$C$5:$C$370),0)+IFERROR(SUMIF(Nutzungsprofile!$B$6:$B$11,"Halle",Nutzungsprofile!$G$6:$G$11)*Kalender!D125/SUM(Kalender!$D$5:$D$370),0)+IFERROR(SUMIF(Nutzungsprofile!$B$6:$B$11,"Individuell",Nutzungsprofile!$G$6:$G$11)*Kalender!E125/SUM(Kalender!$E$5:$E$370),0))*Szenarien!$E$15,0)</f>
        <v>2.94</v>
      </c>
      <c r="D1589" s="13" t="n">
        <f aca="false">IF(Szenarien!$H$15="OK",(IFERROR(SUMIF(Nutzungsprofile!$B$17:$B$22,"Schulbetrieb",Nutzungsprofile!$G$17:$G$22)*Kalender!C125/SUM(Kalender!$C$5:$C$370),0)+IFERROR(SUMIF(Nutzungsprofile!$B$17:$B$22,"Halle",Nutzungsprofile!$G$17:$G$22)*Kalender!D125/SUM(Kalender!$D$5:$D$370),0)+IFERROR(SUMIF(Nutzungsprofile!$B$17:$B$22,"Individuell",Nutzungsprofile!$G$17:$G$22)*Kalender!E125/SUM(Kalender!$E$5:$E$370),0))*Szenarien!$D$15,0)</f>
        <v>4.94</v>
      </c>
      <c r="E1589" s="13" t="n">
        <f aca="false">IFERROR(MIN(C1589,Eingaben!$B$17)*Eingaben!$B$16,0)</f>
        <v>2.793</v>
      </c>
      <c r="F1589" s="13" t="n">
        <f aca="false">IFERROR(E1589*Eingaben!$B$15,0)</f>
        <v>2.5137</v>
      </c>
      <c r="G1589" s="13" t="n">
        <f aca="false">IFERROR(IF(Kalender!A125="",0,J1588*(1-Eingaben!$B$20)),0)</f>
        <v>0.7390278</v>
      </c>
      <c r="H1589" s="13" t="n">
        <f aca="false">MIN(G1589,D1589)</f>
        <v>0.7390278</v>
      </c>
      <c r="I1589" s="13" t="n">
        <f aca="false">IFERROR(MIN(F1589*Eingaben!$B$19,MAX(0,D1589-H1589)),0)</f>
        <v>1.75959</v>
      </c>
      <c r="J1589" s="13" t="n">
        <f aca="false">IFERROR(MIN(Eingaben!$B$18,MAX(0,F1589-I1589)),0)</f>
        <v>0.75411</v>
      </c>
      <c r="K1589" s="13" t="n">
        <f aca="false">H1589+I1589</f>
        <v>2.4986178</v>
      </c>
      <c r="L1589" s="13" t="n">
        <f aca="false">MAX(0,D1589-K1589)</f>
        <v>2.4413822</v>
      </c>
      <c r="M1589" s="13" t="n">
        <f aca="false">MAX(0,F1589-I1589-J1589)</f>
        <v>0</v>
      </c>
      <c r="N1589" s="13" t="n">
        <f aca="false">IF(Kalender!A125="",0,J1588-H1589)</f>
        <v>0.0150822</v>
      </c>
    </row>
    <row r="1590" customFormat="false" ht="16.4" hidden="false" customHeight="false" outlineLevel="0" collapsed="false">
      <c r="A1590" s="13" t="str">
        <f aca="false">""</f>
        <v/>
      </c>
      <c r="B1590" s="13" t="n">
        <f aca="false">122</f>
        <v>122</v>
      </c>
      <c r="C1590" s="13" t="n">
        <f aca="false">IF(Szenarien!$H$15="OK",(IFERROR(SUMIF(Nutzungsprofile!$B$6:$B$11,"Schulbetrieb",Nutzungsprofile!$G$6:$G$11)*Kalender!C126/SUM(Kalender!$C$5:$C$370),0)+IFERROR(SUMIF(Nutzungsprofile!$B$6:$B$11,"Halle",Nutzungsprofile!$G$6:$G$11)*Kalender!D126/SUM(Kalender!$D$5:$D$370),0)+IFERROR(SUMIF(Nutzungsprofile!$B$6:$B$11,"Individuell",Nutzungsprofile!$G$6:$G$11)*Kalender!E126/SUM(Kalender!$E$5:$E$370),0))*Szenarien!$E$15,0)</f>
        <v>2.04</v>
      </c>
      <c r="D1590" s="13" t="n">
        <f aca="false">IF(Szenarien!$H$15="OK",(IFERROR(SUMIF(Nutzungsprofile!$B$17:$B$22,"Schulbetrieb",Nutzungsprofile!$G$17:$G$22)*Kalender!C126/SUM(Kalender!$C$5:$C$370),0)+IFERROR(SUMIF(Nutzungsprofile!$B$17:$B$22,"Halle",Nutzungsprofile!$G$17:$G$22)*Kalender!D126/SUM(Kalender!$D$5:$D$370),0)+IFERROR(SUMIF(Nutzungsprofile!$B$17:$B$22,"Individuell",Nutzungsprofile!$G$17:$G$22)*Kalender!E126/SUM(Kalender!$E$5:$E$370),0))*Szenarien!$D$15,0)</f>
        <v>0.89</v>
      </c>
      <c r="E1590" s="13" t="n">
        <f aca="false">IFERROR(MIN(C1590,Eingaben!$B$17)*Eingaben!$B$16,0)</f>
        <v>1.938</v>
      </c>
      <c r="F1590" s="13" t="n">
        <f aca="false">IFERROR(E1590*Eingaben!$B$15,0)</f>
        <v>1.7442</v>
      </c>
      <c r="G1590" s="13" t="n">
        <f aca="false">IFERROR(IF(Kalender!A126="",0,J1589*(1-Eingaben!$B$20)),0)</f>
        <v>0.7390278</v>
      </c>
      <c r="H1590" s="13" t="n">
        <f aca="false">MIN(G1590,D1590)</f>
        <v>0.7390278</v>
      </c>
      <c r="I1590" s="13" t="n">
        <f aca="false">IFERROR(MIN(F1590*Eingaben!$B$19,MAX(0,D1590-H1590)),0)</f>
        <v>0.1509722</v>
      </c>
      <c r="J1590" s="13" t="n">
        <f aca="false">IFERROR(MIN(Eingaben!$B$18,MAX(0,F1590-I1590)),0)</f>
        <v>1.5932278</v>
      </c>
      <c r="K1590" s="13" t="n">
        <f aca="false">H1590+I1590</f>
        <v>0.89</v>
      </c>
      <c r="L1590" s="13" t="n">
        <f aca="false">MAX(0,D1590-K1590)</f>
        <v>0</v>
      </c>
      <c r="M1590" s="13" t="n">
        <f aca="false">MAX(0,F1590-I1590-J1590)</f>
        <v>0</v>
      </c>
      <c r="N1590" s="13" t="n">
        <f aca="false">IF(Kalender!A126="",0,J1589-H1590)</f>
        <v>0.0150822</v>
      </c>
    </row>
    <row r="1591" customFormat="false" ht="16.4" hidden="false" customHeight="false" outlineLevel="0" collapsed="false">
      <c r="A1591" s="13" t="str">
        <f aca="false">""</f>
        <v/>
      </c>
      <c r="B1591" s="13" t="n">
        <f aca="false">123</f>
        <v>123</v>
      </c>
      <c r="C1591" s="13" t="n">
        <f aca="false">IF(Szenarien!$H$15="OK",(IFERROR(SUMIF(Nutzungsprofile!$B$6:$B$11,"Schulbetrieb",Nutzungsprofile!$G$6:$G$11)*Kalender!C127/SUM(Kalender!$C$5:$C$370),0)+IFERROR(SUMIF(Nutzungsprofile!$B$6:$B$11,"Halle",Nutzungsprofile!$G$6:$G$11)*Kalender!D127/SUM(Kalender!$D$5:$D$370),0)+IFERROR(SUMIF(Nutzungsprofile!$B$6:$B$11,"Individuell",Nutzungsprofile!$G$6:$G$11)*Kalender!E127/SUM(Kalender!$E$5:$E$370),0))*Szenarien!$E$15,0)</f>
        <v>2.04</v>
      </c>
      <c r="D1591" s="13" t="n">
        <f aca="false">IF(Szenarien!$H$15="OK",(IFERROR(SUMIF(Nutzungsprofile!$B$17:$B$22,"Schulbetrieb",Nutzungsprofile!$G$17:$G$22)*Kalender!C127/SUM(Kalender!$C$5:$C$370),0)+IFERROR(SUMIF(Nutzungsprofile!$B$17:$B$22,"Halle",Nutzungsprofile!$G$17:$G$22)*Kalender!D127/SUM(Kalender!$D$5:$D$370),0)+IFERROR(SUMIF(Nutzungsprofile!$B$17:$B$22,"Individuell",Nutzungsprofile!$G$17:$G$22)*Kalender!E127/SUM(Kalender!$E$5:$E$370),0))*Szenarien!$D$15,0)</f>
        <v>0.89</v>
      </c>
      <c r="E1591" s="13" t="n">
        <f aca="false">IFERROR(MIN(C1591,Eingaben!$B$17)*Eingaben!$B$16,0)</f>
        <v>1.938</v>
      </c>
      <c r="F1591" s="13" t="n">
        <f aca="false">IFERROR(E1591*Eingaben!$B$15,0)</f>
        <v>1.7442</v>
      </c>
      <c r="G1591" s="13" t="n">
        <f aca="false">IFERROR(IF(Kalender!A127="",0,J1590*(1-Eingaben!$B$20)),0)</f>
        <v>1.561363244</v>
      </c>
      <c r="H1591" s="13" t="n">
        <f aca="false">MIN(G1591,D1591)</f>
        <v>0.89</v>
      </c>
      <c r="I1591" s="13" t="n">
        <f aca="false">IFERROR(MIN(F1591*Eingaben!$B$19,MAX(0,D1591-H1591)),0)</f>
        <v>0</v>
      </c>
      <c r="J1591" s="13" t="n">
        <f aca="false">IFERROR(MIN(Eingaben!$B$18,MAX(0,F1591-I1591)),0)</f>
        <v>1.7442</v>
      </c>
      <c r="K1591" s="13" t="n">
        <f aca="false">H1591+I1591</f>
        <v>0.89</v>
      </c>
      <c r="L1591" s="13" t="n">
        <f aca="false">MAX(0,D1591-K1591)</f>
        <v>0</v>
      </c>
      <c r="M1591" s="13" t="n">
        <f aca="false">MAX(0,F1591-I1591-J1591)</f>
        <v>0</v>
      </c>
      <c r="N1591" s="13" t="n">
        <f aca="false">IF(Kalender!A127="",0,J1590-H1591)</f>
        <v>0.7032278</v>
      </c>
    </row>
    <row r="1592" customFormat="false" ht="16.4" hidden="false" customHeight="false" outlineLevel="0" collapsed="false">
      <c r="A1592" s="13" t="str">
        <f aca="false">""</f>
        <v/>
      </c>
      <c r="B1592" s="13" t="n">
        <f aca="false">124</f>
        <v>124</v>
      </c>
      <c r="C1592" s="13" t="n">
        <f aca="false">IF(Szenarien!$H$15="OK",(IFERROR(SUMIF(Nutzungsprofile!$B$6:$B$11,"Schulbetrieb",Nutzungsprofile!$G$6:$G$11)*Kalender!C128/SUM(Kalender!$C$5:$C$370),0)+IFERROR(SUMIF(Nutzungsprofile!$B$6:$B$11,"Halle",Nutzungsprofile!$G$6:$G$11)*Kalender!D128/SUM(Kalender!$D$5:$D$370),0)+IFERROR(SUMIF(Nutzungsprofile!$B$6:$B$11,"Individuell",Nutzungsprofile!$G$6:$G$11)*Kalender!E128/SUM(Kalender!$E$5:$E$370),0))*Szenarien!$E$15,0)</f>
        <v>2.94</v>
      </c>
      <c r="D1592" s="13" t="n">
        <f aca="false">IF(Szenarien!$H$15="OK",(IFERROR(SUMIF(Nutzungsprofile!$B$17:$B$22,"Schulbetrieb",Nutzungsprofile!$G$17:$G$22)*Kalender!C128/SUM(Kalender!$C$5:$C$370),0)+IFERROR(SUMIF(Nutzungsprofile!$B$17:$B$22,"Halle",Nutzungsprofile!$G$17:$G$22)*Kalender!D128/SUM(Kalender!$D$5:$D$370),0)+IFERROR(SUMIF(Nutzungsprofile!$B$17:$B$22,"Individuell",Nutzungsprofile!$G$17:$G$22)*Kalender!E128/SUM(Kalender!$E$5:$E$370),0))*Szenarien!$D$15,0)</f>
        <v>4.94</v>
      </c>
      <c r="E1592" s="13" t="n">
        <f aca="false">IFERROR(MIN(C1592,Eingaben!$B$17)*Eingaben!$B$16,0)</f>
        <v>2.793</v>
      </c>
      <c r="F1592" s="13" t="n">
        <f aca="false">IFERROR(E1592*Eingaben!$B$15,0)</f>
        <v>2.5137</v>
      </c>
      <c r="G1592" s="13" t="n">
        <f aca="false">IFERROR(IF(Kalender!A128="",0,J1591*(1-Eingaben!$B$20)),0)</f>
        <v>1.709316</v>
      </c>
      <c r="H1592" s="13" t="n">
        <f aca="false">MIN(G1592,D1592)</f>
        <v>1.709316</v>
      </c>
      <c r="I1592" s="13" t="n">
        <f aca="false">IFERROR(MIN(F1592*Eingaben!$B$19,MAX(0,D1592-H1592)),0)</f>
        <v>1.75959</v>
      </c>
      <c r="J1592" s="13" t="n">
        <f aca="false">IFERROR(MIN(Eingaben!$B$18,MAX(0,F1592-I1592)),0)</f>
        <v>0.75411</v>
      </c>
      <c r="K1592" s="13" t="n">
        <f aca="false">H1592+I1592</f>
        <v>3.468906</v>
      </c>
      <c r="L1592" s="13" t="n">
        <f aca="false">MAX(0,D1592-K1592)</f>
        <v>1.471094</v>
      </c>
      <c r="M1592" s="13" t="n">
        <f aca="false">MAX(0,F1592-I1592-J1592)</f>
        <v>0</v>
      </c>
      <c r="N1592" s="13" t="n">
        <f aca="false">IF(Kalender!A128="",0,J1591-H1592)</f>
        <v>0.0348840000000001</v>
      </c>
    </row>
    <row r="1593" customFormat="false" ht="16.4" hidden="false" customHeight="false" outlineLevel="0" collapsed="false">
      <c r="A1593" s="13" t="str">
        <f aca="false">""</f>
        <v/>
      </c>
      <c r="B1593" s="13" t="n">
        <f aca="false">125</f>
        <v>125</v>
      </c>
      <c r="C1593" s="13" t="n">
        <f aca="false">IF(Szenarien!$H$15="OK",(IFERROR(SUMIF(Nutzungsprofile!$B$6:$B$11,"Schulbetrieb",Nutzungsprofile!$G$6:$G$11)*Kalender!C129/SUM(Kalender!$C$5:$C$370),0)+IFERROR(SUMIF(Nutzungsprofile!$B$6:$B$11,"Halle",Nutzungsprofile!$G$6:$G$11)*Kalender!D129/SUM(Kalender!$D$5:$D$370),0)+IFERROR(SUMIF(Nutzungsprofile!$B$6:$B$11,"Individuell",Nutzungsprofile!$G$6:$G$11)*Kalender!E129/SUM(Kalender!$E$5:$E$370),0))*Szenarien!$E$15,0)</f>
        <v>2.94</v>
      </c>
      <c r="D1593" s="13" t="n">
        <f aca="false">IF(Szenarien!$H$15="OK",(IFERROR(SUMIF(Nutzungsprofile!$B$17:$B$22,"Schulbetrieb",Nutzungsprofile!$G$17:$G$22)*Kalender!C129/SUM(Kalender!$C$5:$C$370),0)+IFERROR(SUMIF(Nutzungsprofile!$B$17:$B$22,"Halle",Nutzungsprofile!$G$17:$G$22)*Kalender!D129/SUM(Kalender!$D$5:$D$370),0)+IFERROR(SUMIF(Nutzungsprofile!$B$17:$B$22,"Individuell",Nutzungsprofile!$G$17:$G$22)*Kalender!E129/SUM(Kalender!$E$5:$E$370),0))*Szenarien!$D$15,0)</f>
        <v>4.94</v>
      </c>
      <c r="E1593" s="13" t="n">
        <f aca="false">IFERROR(MIN(C1593,Eingaben!$B$17)*Eingaben!$B$16,0)</f>
        <v>2.793</v>
      </c>
      <c r="F1593" s="13" t="n">
        <f aca="false">IFERROR(E1593*Eingaben!$B$15,0)</f>
        <v>2.5137</v>
      </c>
      <c r="G1593" s="13" t="n">
        <f aca="false">IFERROR(IF(Kalender!A129="",0,J1592*(1-Eingaben!$B$20)),0)</f>
        <v>0.7390278</v>
      </c>
      <c r="H1593" s="13" t="n">
        <f aca="false">MIN(G1593,D1593)</f>
        <v>0.7390278</v>
      </c>
      <c r="I1593" s="13" t="n">
        <f aca="false">IFERROR(MIN(F1593*Eingaben!$B$19,MAX(0,D1593-H1593)),0)</f>
        <v>1.75959</v>
      </c>
      <c r="J1593" s="13" t="n">
        <f aca="false">IFERROR(MIN(Eingaben!$B$18,MAX(0,F1593-I1593)),0)</f>
        <v>0.75411</v>
      </c>
      <c r="K1593" s="13" t="n">
        <f aca="false">H1593+I1593</f>
        <v>2.4986178</v>
      </c>
      <c r="L1593" s="13" t="n">
        <f aca="false">MAX(0,D1593-K1593)</f>
        <v>2.4413822</v>
      </c>
      <c r="M1593" s="13" t="n">
        <f aca="false">MAX(0,F1593-I1593-J1593)</f>
        <v>0</v>
      </c>
      <c r="N1593" s="13" t="n">
        <f aca="false">IF(Kalender!A129="",0,J1592-H1593)</f>
        <v>0.0150822</v>
      </c>
    </row>
    <row r="1594" customFormat="false" ht="16.4" hidden="false" customHeight="false" outlineLevel="0" collapsed="false">
      <c r="A1594" s="13" t="str">
        <f aca="false">""</f>
        <v/>
      </c>
      <c r="B1594" s="13" t="n">
        <f aca="false">126</f>
        <v>126</v>
      </c>
      <c r="C1594" s="13" t="n">
        <f aca="false">IF(Szenarien!$H$15="OK",(IFERROR(SUMIF(Nutzungsprofile!$B$6:$B$11,"Schulbetrieb",Nutzungsprofile!$G$6:$G$11)*Kalender!C130/SUM(Kalender!$C$5:$C$370),0)+IFERROR(SUMIF(Nutzungsprofile!$B$6:$B$11,"Halle",Nutzungsprofile!$G$6:$G$11)*Kalender!D130/SUM(Kalender!$D$5:$D$370),0)+IFERROR(SUMIF(Nutzungsprofile!$B$6:$B$11,"Individuell",Nutzungsprofile!$G$6:$G$11)*Kalender!E130/SUM(Kalender!$E$5:$E$370),0))*Szenarien!$E$15,0)</f>
        <v>2.94</v>
      </c>
      <c r="D1594" s="13" t="n">
        <f aca="false">IF(Szenarien!$H$15="OK",(IFERROR(SUMIF(Nutzungsprofile!$B$17:$B$22,"Schulbetrieb",Nutzungsprofile!$G$17:$G$22)*Kalender!C130/SUM(Kalender!$C$5:$C$370),0)+IFERROR(SUMIF(Nutzungsprofile!$B$17:$B$22,"Halle",Nutzungsprofile!$G$17:$G$22)*Kalender!D130/SUM(Kalender!$D$5:$D$370),0)+IFERROR(SUMIF(Nutzungsprofile!$B$17:$B$22,"Individuell",Nutzungsprofile!$G$17:$G$22)*Kalender!E130/SUM(Kalender!$E$5:$E$370),0))*Szenarien!$D$15,0)</f>
        <v>4.94</v>
      </c>
      <c r="E1594" s="13" t="n">
        <f aca="false">IFERROR(MIN(C1594,Eingaben!$B$17)*Eingaben!$B$16,0)</f>
        <v>2.793</v>
      </c>
      <c r="F1594" s="13" t="n">
        <f aca="false">IFERROR(E1594*Eingaben!$B$15,0)</f>
        <v>2.5137</v>
      </c>
      <c r="G1594" s="13" t="n">
        <f aca="false">IFERROR(IF(Kalender!A130="",0,J1593*(1-Eingaben!$B$20)),0)</f>
        <v>0.7390278</v>
      </c>
      <c r="H1594" s="13" t="n">
        <f aca="false">MIN(G1594,D1594)</f>
        <v>0.7390278</v>
      </c>
      <c r="I1594" s="13" t="n">
        <f aca="false">IFERROR(MIN(F1594*Eingaben!$B$19,MAX(0,D1594-H1594)),0)</f>
        <v>1.75959</v>
      </c>
      <c r="J1594" s="13" t="n">
        <f aca="false">IFERROR(MIN(Eingaben!$B$18,MAX(0,F1594-I1594)),0)</f>
        <v>0.75411</v>
      </c>
      <c r="K1594" s="13" t="n">
        <f aca="false">H1594+I1594</f>
        <v>2.4986178</v>
      </c>
      <c r="L1594" s="13" t="n">
        <f aca="false">MAX(0,D1594-K1594)</f>
        <v>2.4413822</v>
      </c>
      <c r="M1594" s="13" t="n">
        <f aca="false">MAX(0,F1594-I1594-J1594)</f>
        <v>0</v>
      </c>
      <c r="N1594" s="13" t="n">
        <f aca="false">IF(Kalender!A130="",0,J1593-H1594)</f>
        <v>0.0150822</v>
      </c>
    </row>
    <row r="1595" customFormat="false" ht="16.4" hidden="false" customHeight="false" outlineLevel="0" collapsed="false">
      <c r="A1595" s="13" t="str">
        <f aca="false">""</f>
        <v/>
      </c>
      <c r="B1595" s="13" t="n">
        <f aca="false">127</f>
        <v>127</v>
      </c>
      <c r="C1595" s="13" t="n">
        <f aca="false">IF(Szenarien!$H$15="OK",(IFERROR(SUMIF(Nutzungsprofile!$B$6:$B$11,"Schulbetrieb",Nutzungsprofile!$G$6:$G$11)*Kalender!C131/SUM(Kalender!$C$5:$C$370),0)+IFERROR(SUMIF(Nutzungsprofile!$B$6:$B$11,"Halle",Nutzungsprofile!$G$6:$G$11)*Kalender!D131/SUM(Kalender!$D$5:$D$370),0)+IFERROR(SUMIF(Nutzungsprofile!$B$6:$B$11,"Individuell",Nutzungsprofile!$G$6:$G$11)*Kalender!E131/SUM(Kalender!$E$5:$E$370),0))*Szenarien!$E$15,0)</f>
        <v>2.94</v>
      </c>
      <c r="D1595" s="13" t="n">
        <f aca="false">IF(Szenarien!$H$15="OK",(IFERROR(SUMIF(Nutzungsprofile!$B$17:$B$22,"Schulbetrieb",Nutzungsprofile!$G$17:$G$22)*Kalender!C131/SUM(Kalender!$C$5:$C$370),0)+IFERROR(SUMIF(Nutzungsprofile!$B$17:$B$22,"Halle",Nutzungsprofile!$G$17:$G$22)*Kalender!D131/SUM(Kalender!$D$5:$D$370),0)+IFERROR(SUMIF(Nutzungsprofile!$B$17:$B$22,"Individuell",Nutzungsprofile!$G$17:$G$22)*Kalender!E131/SUM(Kalender!$E$5:$E$370),0))*Szenarien!$D$15,0)</f>
        <v>4.94</v>
      </c>
      <c r="E1595" s="13" t="n">
        <f aca="false">IFERROR(MIN(C1595,Eingaben!$B$17)*Eingaben!$B$16,0)</f>
        <v>2.793</v>
      </c>
      <c r="F1595" s="13" t="n">
        <f aca="false">IFERROR(E1595*Eingaben!$B$15,0)</f>
        <v>2.5137</v>
      </c>
      <c r="G1595" s="13" t="n">
        <f aca="false">IFERROR(IF(Kalender!A131="",0,J1594*(1-Eingaben!$B$20)),0)</f>
        <v>0.7390278</v>
      </c>
      <c r="H1595" s="13" t="n">
        <f aca="false">MIN(G1595,D1595)</f>
        <v>0.7390278</v>
      </c>
      <c r="I1595" s="13" t="n">
        <f aca="false">IFERROR(MIN(F1595*Eingaben!$B$19,MAX(0,D1595-H1595)),0)</f>
        <v>1.75959</v>
      </c>
      <c r="J1595" s="13" t="n">
        <f aca="false">IFERROR(MIN(Eingaben!$B$18,MAX(0,F1595-I1595)),0)</f>
        <v>0.75411</v>
      </c>
      <c r="K1595" s="13" t="n">
        <f aca="false">H1595+I1595</f>
        <v>2.4986178</v>
      </c>
      <c r="L1595" s="13" t="n">
        <f aca="false">MAX(0,D1595-K1595)</f>
        <v>2.4413822</v>
      </c>
      <c r="M1595" s="13" t="n">
        <f aca="false">MAX(0,F1595-I1595-J1595)</f>
        <v>0</v>
      </c>
      <c r="N1595" s="13" t="n">
        <f aca="false">IF(Kalender!A131="",0,J1594-H1595)</f>
        <v>0.0150822</v>
      </c>
    </row>
    <row r="1596" customFormat="false" ht="16.4" hidden="false" customHeight="false" outlineLevel="0" collapsed="false">
      <c r="A1596" s="13" t="str">
        <f aca="false">""</f>
        <v/>
      </c>
      <c r="B1596" s="13" t="n">
        <f aca="false">128</f>
        <v>128</v>
      </c>
      <c r="C1596" s="13" t="n">
        <f aca="false">IF(Szenarien!$H$15="OK",(IFERROR(SUMIF(Nutzungsprofile!$B$6:$B$11,"Schulbetrieb",Nutzungsprofile!$G$6:$G$11)*Kalender!C132/SUM(Kalender!$C$5:$C$370),0)+IFERROR(SUMIF(Nutzungsprofile!$B$6:$B$11,"Halle",Nutzungsprofile!$G$6:$G$11)*Kalender!D132/SUM(Kalender!$D$5:$D$370),0)+IFERROR(SUMIF(Nutzungsprofile!$B$6:$B$11,"Individuell",Nutzungsprofile!$G$6:$G$11)*Kalender!E132/SUM(Kalender!$E$5:$E$370),0))*Szenarien!$E$15,0)</f>
        <v>2.94</v>
      </c>
      <c r="D1596" s="13" t="n">
        <f aca="false">IF(Szenarien!$H$15="OK",(IFERROR(SUMIF(Nutzungsprofile!$B$17:$B$22,"Schulbetrieb",Nutzungsprofile!$G$17:$G$22)*Kalender!C132/SUM(Kalender!$C$5:$C$370),0)+IFERROR(SUMIF(Nutzungsprofile!$B$17:$B$22,"Halle",Nutzungsprofile!$G$17:$G$22)*Kalender!D132/SUM(Kalender!$D$5:$D$370),0)+IFERROR(SUMIF(Nutzungsprofile!$B$17:$B$22,"Individuell",Nutzungsprofile!$G$17:$G$22)*Kalender!E132/SUM(Kalender!$E$5:$E$370),0))*Szenarien!$D$15,0)</f>
        <v>4.94</v>
      </c>
      <c r="E1596" s="13" t="n">
        <f aca="false">IFERROR(MIN(C1596,Eingaben!$B$17)*Eingaben!$B$16,0)</f>
        <v>2.793</v>
      </c>
      <c r="F1596" s="13" t="n">
        <f aca="false">IFERROR(E1596*Eingaben!$B$15,0)</f>
        <v>2.5137</v>
      </c>
      <c r="G1596" s="13" t="n">
        <f aca="false">IFERROR(IF(Kalender!A132="",0,J1595*(1-Eingaben!$B$20)),0)</f>
        <v>0.7390278</v>
      </c>
      <c r="H1596" s="13" t="n">
        <f aca="false">MIN(G1596,D1596)</f>
        <v>0.7390278</v>
      </c>
      <c r="I1596" s="13" t="n">
        <f aca="false">IFERROR(MIN(F1596*Eingaben!$B$19,MAX(0,D1596-H1596)),0)</f>
        <v>1.75959</v>
      </c>
      <c r="J1596" s="13" t="n">
        <f aca="false">IFERROR(MIN(Eingaben!$B$18,MAX(0,F1596-I1596)),0)</f>
        <v>0.75411</v>
      </c>
      <c r="K1596" s="13" t="n">
        <f aca="false">H1596+I1596</f>
        <v>2.4986178</v>
      </c>
      <c r="L1596" s="13" t="n">
        <f aca="false">MAX(0,D1596-K1596)</f>
        <v>2.4413822</v>
      </c>
      <c r="M1596" s="13" t="n">
        <f aca="false">MAX(0,F1596-I1596-J1596)</f>
        <v>0</v>
      </c>
      <c r="N1596" s="13" t="n">
        <f aca="false">IF(Kalender!A132="",0,J1595-H1596)</f>
        <v>0.0150822</v>
      </c>
    </row>
    <row r="1597" customFormat="false" ht="16.4" hidden="false" customHeight="false" outlineLevel="0" collapsed="false">
      <c r="A1597" s="13" t="str">
        <f aca="false">""</f>
        <v/>
      </c>
      <c r="B1597" s="13" t="n">
        <f aca="false">129</f>
        <v>129</v>
      </c>
      <c r="C1597" s="13" t="n">
        <f aca="false">IF(Szenarien!$H$15="OK",(IFERROR(SUMIF(Nutzungsprofile!$B$6:$B$11,"Schulbetrieb",Nutzungsprofile!$G$6:$G$11)*Kalender!C133/SUM(Kalender!$C$5:$C$370),0)+IFERROR(SUMIF(Nutzungsprofile!$B$6:$B$11,"Halle",Nutzungsprofile!$G$6:$G$11)*Kalender!D133/SUM(Kalender!$D$5:$D$370),0)+IFERROR(SUMIF(Nutzungsprofile!$B$6:$B$11,"Individuell",Nutzungsprofile!$G$6:$G$11)*Kalender!E133/SUM(Kalender!$E$5:$E$370),0))*Szenarien!$E$15,0)</f>
        <v>2.04</v>
      </c>
      <c r="D1597" s="13" t="n">
        <f aca="false">IF(Szenarien!$H$15="OK",(IFERROR(SUMIF(Nutzungsprofile!$B$17:$B$22,"Schulbetrieb",Nutzungsprofile!$G$17:$G$22)*Kalender!C133/SUM(Kalender!$C$5:$C$370),0)+IFERROR(SUMIF(Nutzungsprofile!$B$17:$B$22,"Halle",Nutzungsprofile!$G$17:$G$22)*Kalender!D133/SUM(Kalender!$D$5:$D$370),0)+IFERROR(SUMIF(Nutzungsprofile!$B$17:$B$22,"Individuell",Nutzungsprofile!$G$17:$G$22)*Kalender!E133/SUM(Kalender!$E$5:$E$370),0))*Szenarien!$D$15,0)</f>
        <v>0.89</v>
      </c>
      <c r="E1597" s="13" t="n">
        <f aca="false">IFERROR(MIN(C1597,Eingaben!$B$17)*Eingaben!$B$16,0)</f>
        <v>1.938</v>
      </c>
      <c r="F1597" s="13" t="n">
        <f aca="false">IFERROR(E1597*Eingaben!$B$15,0)</f>
        <v>1.7442</v>
      </c>
      <c r="G1597" s="13" t="n">
        <f aca="false">IFERROR(IF(Kalender!A133="",0,J1596*(1-Eingaben!$B$20)),0)</f>
        <v>0.7390278</v>
      </c>
      <c r="H1597" s="13" t="n">
        <f aca="false">MIN(G1597,D1597)</f>
        <v>0.7390278</v>
      </c>
      <c r="I1597" s="13" t="n">
        <f aca="false">IFERROR(MIN(F1597*Eingaben!$B$19,MAX(0,D1597-H1597)),0)</f>
        <v>0.1509722</v>
      </c>
      <c r="J1597" s="13" t="n">
        <f aca="false">IFERROR(MIN(Eingaben!$B$18,MAX(0,F1597-I1597)),0)</f>
        <v>1.5932278</v>
      </c>
      <c r="K1597" s="13" t="n">
        <f aca="false">H1597+I1597</f>
        <v>0.89</v>
      </c>
      <c r="L1597" s="13" t="n">
        <f aca="false">MAX(0,D1597-K1597)</f>
        <v>0</v>
      </c>
      <c r="M1597" s="13" t="n">
        <f aca="false">MAX(0,F1597-I1597-J1597)</f>
        <v>0</v>
      </c>
      <c r="N1597" s="13" t="n">
        <f aca="false">IF(Kalender!A133="",0,J1596-H1597)</f>
        <v>0.0150822</v>
      </c>
    </row>
    <row r="1598" customFormat="false" ht="16.4" hidden="false" customHeight="false" outlineLevel="0" collapsed="false">
      <c r="A1598" s="13" t="str">
        <f aca="false">""</f>
        <v/>
      </c>
      <c r="B1598" s="13" t="n">
        <f aca="false">130</f>
        <v>130</v>
      </c>
      <c r="C1598" s="13" t="n">
        <f aca="false">IF(Szenarien!$H$15="OK",(IFERROR(SUMIF(Nutzungsprofile!$B$6:$B$11,"Schulbetrieb",Nutzungsprofile!$G$6:$G$11)*Kalender!C134/SUM(Kalender!$C$5:$C$370),0)+IFERROR(SUMIF(Nutzungsprofile!$B$6:$B$11,"Halle",Nutzungsprofile!$G$6:$G$11)*Kalender!D134/SUM(Kalender!$D$5:$D$370),0)+IFERROR(SUMIF(Nutzungsprofile!$B$6:$B$11,"Individuell",Nutzungsprofile!$G$6:$G$11)*Kalender!E134/SUM(Kalender!$E$5:$E$370),0))*Szenarien!$E$15,0)</f>
        <v>2.04</v>
      </c>
      <c r="D1598" s="13" t="n">
        <f aca="false">IF(Szenarien!$H$15="OK",(IFERROR(SUMIF(Nutzungsprofile!$B$17:$B$22,"Schulbetrieb",Nutzungsprofile!$G$17:$G$22)*Kalender!C134/SUM(Kalender!$C$5:$C$370),0)+IFERROR(SUMIF(Nutzungsprofile!$B$17:$B$22,"Halle",Nutzungsprofile!$G$17:$G$22)*Kalender!D134/SUM(Kalender!$D$5:$D$370),0)+IFERROR(SUMIF(Nutzungsprofile!$B$17:$B$22,"Individuell",Nutzungsprofile!$G$17:$G$22)*Kalender!E134/SUM(Kalender!$E$5:$E$370),0))*Szenarien!$D$15,0)</f>
        <v>0.89</v>
      </c>
      <c r="E1598" s="13" t="n">
        <f aca="false">IFERROR(MIN(C1598,Eingaben!$B$17)*Eingaben!$B$16,0)</f>
        <v>1.938</v>
      </c>
      <c r="F1598" s="13" t="n">
        <f aca="false">IFERROR(E1598*Eingaben!$B$15,0)</f>
        <v>1.7442</v>
      </c>
      <c r="G1598" s="13" t="n">
        <f aca="false">IFERROR(IF(Kalender!A134="",0,J1597*(1-Eingaben!$B$20)),0)</f>
        <v>1.561363244</v>
      </c>
      <c r="H1598" s="13" t="n">
        <f aca="false">MIN(G1598,D1598)</f>
        <v>0.89</v>
      </c>
      <c r="I1598" s="13" t="n">
        <f aca="false">IFERROR(MIN(F1598*Eingaben!$B$19,MAX(0,D1598-H1598)),0)</f>
        <v>0</v>
      </c>
      <c r="J1598" s="13" t="n">
        <f aca="false">IFERROR(MIN(Eingaben!$B$18,MAX(0,F1598-I1598)),0)</f>
        <v>1.7442</v>
      </c>
      <c r="K1598" s="13" t="n">
        <f aca="false">H1598+I1598</f>
        <v>0.89</v>
      </c>
      <c r="L1598" s="13" t="n">
        <f aca="false">MAX(0,D1598-K1598)</f>
        <v>0</v>
      </c>
      <c r="M1598" s="13" t="n">
        <f aca="false">MAX(0,F1598-I1598-J1598)</f>
        <v>0</v>
      </c>
      <c r="N1598" s="13" t="n">
        <f aca="false">IF(Kalender!A134="",0,J1597-H1598)</f>
        <v>0.7032278</v>
      </c>
    </row>
    <row r="1599" customFormat="false" ht="16.4" hidden="false" customHeight="false" outlineLevel="0" collapsed="false">
      <c r="A1599" s="13" t="str">
        <f aca="false">""</f>
        <v/>
      </c>
      <c r="B1599" s="13" t="n">
        <f aca="false">131</f>
        <v>131</v>
      </c>
      <c r="C1599" s="13" t="n">
        <f aca="false">IF(Szenarien!$H$15="OK",(IFERROR(SUMIF(Nutzungsprofile!$B$6:$B$11,"Schulbetrieb",Nutzungsprofile!$G$6:$G$11)*Kalender!C135/SUM(Kalender!$C$5:$C$370),0)+IFERROR(SUMIF(Nutzungsprofile!$B$6:$B$11,"Halle",Nutzungsprofile!$G$6:$G$11)*Kalender!D135/SUM(Kalender!$D$5:$D$370),0)+IFERROR(SUMIF(Nutzungsprofile!$B$6:$B$11,"Individuell",Nutzungsprofile!$G$6:$G$11)*Kalender!E135/SUM(Kalender!$E$5:$E$370),0))*Szenarien!$E$15,0)</f>
        <v>2.94</v>
      </c>
      <c r="D1599" s="13" t="n">
        <f aca="false">IF(Szenarien!$H$15="OK",(IFERROR(SUMIF(Nutzungsprofile!$B$17:$B$22,"Schulbetrieb",Nutzungsprofile!$G$17:$G$22)*Kalender!C135/SUM(Kalender!$C$5:$C$370),0)+IFERROR(SUMIF(Nutzungsprofile!$B$17:$B$22,"Halle",Nutzungsprofile!$G$17:$G$22)*Kalender!D135/SUM(Kalender!$D$5:$D$370),0)+IFERROR(SUMIF(Nutzungsprofile!$B$17:$B$22,"Individuell",Nutzungsprofile!$G$17:$G$22)*Kalender!E135/SUM(Kalender!$E$5:$E$370),0))*Szenarien!$D$15,0)</f>
        <v>4.94</v>
      </c>
      <c r="E1599" s="13" t="n">
        <f aca="false">IFERROR(MIN(C1599,Eingaben!$B$17)*Eingaben!$B$16,0)</f>
        <v>2.793</v>
      </c>
      <c r="F1599" s="13" t="n">
        <f aca="false">IFERROR(E1599*Eingaben!$B$15,0)</f>
        <v>2.5137</v>
      </c>
      <c r="G1599" s="13" t="n">
        <f aca="false">IFERROR(IF(Kalender!A135="",0,J1598*(1-Eingaben!$B$20)),0)</f>
        <v>1.709316</v>
      </c>
      <c r="H1599" s="13" t="n">
        <f aca="false">MIN(G1599,D1599)</f>
        <v>1.709316</v>
      </c>
      <c r="I1599" s="13" t="n">
        <f aca="false">IFERROR(MIN(F1599*Eingaben!$B$19,MAX(0,D1599-H1599)),0)</f>
        <v>1.75959</v>
      </c>
      <c r="J1599" s="13" t="n">
        <f aca="false">IFERROR(MIN(Eingaben!$B$18,MAX(0,F1599-I1599)),0)</f>
        <v>0.75411</v>
      </c>
      <c r="K1599" s="13" t="n">
        <f aca="false">H1599+I1599</f>
        <v>3.468906</v>
      </c>
      <c r="L1599" s="13" t="n">
        <f aca="false">MAX(0,D1599-K1599)</f>
        <v>1.471094</v>
      </c>
      <c r="M1599" s="13" t="n">
        <f aca="false">MAX(0,F1599-I1599-J1599)</f>
        <v>0</v>
      </c>
      <c r="N1599" s="13" t="n">
        <f aca="false">IF(Kalender!A135="",0,J1598-H1599)</f>
        <v>0.0348840000000001</v>
      </c>
    </row>
    <row r="1600" customFormat="false" ht="16.4" hidden="false" customHeight="false" outlineLevel="0" collapsed="false">
      <c r="A1600" s="13" t="str">
        <f aca="false">""</f>
        <v/>
      </c>
      <c r="B1600" s="13" t="n">
        <f aca="false">132</f>
        <v>132</v>
      </c>
      <c r="C1600" s="13" t="n">
        <f aca="false">IF(Szenarien!$H$15="OK",(IFERROR(SUMIF(Nutzungsprofile!$B$6:$B$11,"Schulbetrieb",Nutzungsprofile!$G$6:$G$11)*Kalender!C136/SUM(Kalender!$C$5:$C$370),0)+IFERROR(SUMIF(Nutzungsprofile!$B$6:$B$11,"Halle",Nutzungsprofile!$G$6:$G$11)*Kalender!D136/SUM(Kalender!$D$5:$D$370),0)+IFERROR(SUMIF(Nutzungsprofile!$B$6:$B$11,"Individuell",Nutzungsprofile!$G$6:$G$11)*Kalender!E136/SUM(Kalender!$E$5:$E$370),0))*Szenarien!$E$15,0)</f>
        <v>2.94</v>
      </c>
      <c r="D1600" s="13" t="n">
        <f aca="false">IF(Szenarien!$H$15="OK",(IFERROR(SUMIF(Nutzungsprofile!$B$17:$B$22,"Schulbetrieb",Nutzungsprofile!$G$17:$G$22)*Kalender!C136/SUM(Kalender!$C$5:$C$370),0)+IFERROR(SUMIF(Nutzungsprofile!$B$17:$B$22,"Halle",Nutzungsprofile!$G$17:$G$22)*Kalender!D136/SUM(Kalender!$D$5:$D$370),0)+IFERROR(SUMIF(Nutzungsprofile!$B$17:$B$22,"Individuell",Nutzungsprofile!$G$17:$G$22)*Kalender!E136/SUM(Kalender!$E$5:$E$370),0))*Szenarien!$D$15,0)</f>
        <v>4.94</v>
      </c>
      <c r="E1600" s="13" t="n">
        <f aca="false">IFERROR(MIN(C1600,Eingaben!$B$17)*Eingaben!$B$16,0)</f>
        <v>2.793</v>
      </c>
      <c r="F1600" s="13" t="n">
        <f aca="false">IFERROR(E1600*Eingaben!$B$15,0)</f>
        <v>2.5137</v>
      </c>
      <c r="G1600" s="13" t="n">
        <f aca="false">IFERROR(IF(Kalender!A136="",0,J1599*(1-Eingaben!$B$20)),0)</f>
        <v>0.7390278</v>
      </c>
      <c r="H1600" s="13" t="n">
        <f aca="false">MIN(G1600,D1600)</f>
        <v>0.7390278</v>
      </c>
      <c r="I1600" s="13" t="n">
        <f aca="false">IFERROR(MIN(F1600*Eingaben!$B$19,MAX(0,D1600-H1600)),0)</f>
        <v>1.75959</v>
      </c>
      <c r="J1600" s="13" t="n">
        <f aca="false">IFERROR(MIN(Eingaben!$B$18,MAX(0,F1600-I1600)),0)</f>
        <v>0.75411</v>
      </c>
      <c r="K1600" s="13" t="n">
        <f aca="false">H1600+I1600</f>
        <v>2.4986178</v>
      </c>
      <c r="L1600" s="13" t="n">
        <f aca="false">MAX(0,D1600-K1600)</f>
        <v>2.4413822</v>
      </c>
      <c r="M1600" s="13" t="n">
        <f aca="false">MAX(0,F1600-I1600-J1600)</f>
        <v>0</v>
      </c>
      <c r="N1600" s="13" t="n">
        <f aca="false">IF(Kalender!A136="",0,J1599-H1600)</f>
        <v>0.0150822</v>
      </c>
    </row>
    <row r="1601" customFormat="false" ht="16.4" hidden="false" customHeight="false" outlineLevel="0" collapsed="false">
      <c r="A1601" s="13" t="str">
        <f aca="false">""</f>
        <v/>
      </c>
      <c r="B1601" s="13" t="n">
        <f aca="false">133</f>
        <v>133</v>
      </c>
      <c r="C1601" s="13" t="n">
        <f aca="false">IF(Szenarien!$H$15="OK",(IFERROR(SUMIF(Nutzungsprofile!$B$6:$B$11,"Schulbetrieb",Nutzungsprofile!$G$6:$G$11)*Kalender!C137/SUM(Kalender!$C$5:$C$370),0)+IFERROR(SUMIF(Nutzungsprofile!$B$6:$B$11,"Halle",Nutzungsprofile!$G$6:$G$11)*Kalender!D137/SUM(Kalender!$D$5:$D$370),0)+IFERROR(SUMIF(Nutzungsprofile!$B$6:$B$11,"Individuell",Nutzungsprofile!$G$6:$G$11)*Kalender!E137/SUM(Kalender!$E$5:$E$370),0))*Szenarien!$E$15,0)</f>
        <v>2.94</v>
      </c>
      <c r="D1601" s="13" t="n">
        <f aca="false">IF(Szenarien!$H$15="OK",(IFERROR(SUMIF(Nutzungsprofile!$B$17:$B$22,"Schulbetrieb",Nutzungsprofile!$G$17:$G$22)*Kalender!C137/SUM(Kalender!$C$5:$C$370),0)+IFERROR(SUMIF(Nutzungsprofile!$B$17:$B$22,"Halle",Nutzungsprofile!$G$17:$G$22)*Kalender!D137/SUM(Kalender!$D$5:$D$370),0)+IFERROR(SUMIF(Nutzungsprofile!$B$17:$B$22,"Individuell",Nutzungsprofile!$G$17:$G$22)*Kalender!E137/SUM(Kalender!$E$5:$E$370),0))*Szenarien!$D$15,0)</f>
        <v>4.94</v>
      </c>
      <c r="E1601" s="13" t="n">
        <f aca="false">IFERROR(MIN(C1601,Eingaben!$B$17)*Eingaben!$B$16,0)</f>
        <v>2.793</v>
      </c>
      <c r="F1601" s="13" t="n">
        <f aca="false">IFERROR(E1601*Eingaben!$B$15,0)</f>
        <v>2.5137</v>
      </c>
      <c r="G1601" s="13" t="n">
        <f aca="false">IFERROR(IF(Kalender!A137="",0,J1600*(1-Eingaben!$B$20)),0)</f>
        <v>0.7390278</v>
      </c>
      <c r="H1601" s="13" t="n">
        <f aca="false">MIN(G1601,D1601)</f>
        <v>0.7390278</v>
      </c>
      <c r="I1601" s="13" t="n">
        <f aca="false">IFERROR(MIN(F1601*Eingaben!$B$19,MAX(0,D1601-H1601)),0)</f>
        <v>1.75959</v>
      </c>
      <c r="J1601" s="13" t="n">
        <f aca="false">IFERROR(MIN(Eingaben!$B$18,MAX(0,F1601-I1601)),0)</f>
        <v>0.75411</v>
      </c>
      <c r="K1601" s="13" t="n">
        <f aca="false">H1601+I1601</f>
        <v>2.4986178</v>
      </c>
      <c r="L1601" s="13" t="n">
        <f aca="false">MAX(0,D1601-K1601)</f>
        <v>2.4413822</v>
      </c>
      <c r="M1601" s="13" t="n">
        <f aca="false">MAX(0,F1601-I1601-J1601)</f>
        <v>0</v>
      </c>
      <c r="N1601" s="13" t="n">
        <f aca="false">IF(Kalender!A137="",0,J1600-H1601)</f>
        <v>0.0150822</v>
      </c>
    </row>
    <row r="1602" customFormat="false" ht="16.4" hidden="false" customHeight="false" outlineLevel="0" collapsed="false">
      <c r="A1602" s="13" t="str">
        <f aca="false">""</f>
        <v/>
      </c>
      <c r="B1602" s="13" t="n">
        <f aca="false">134</f>
        <v>134</v>
      </c>
      <c r="C1602" s="13" t="n">
        <f aca="false">IF(Szenarien!$H$15="OK",(IFERROR(SUMIF(Nutzungsprofile!$B$6:$B$11,"Schulbetrieb",Nutzungsprofile!$G$6:$G$11)*Kalender!C138/SUM(Kalender!$C$5:$C$370),0)+IFERROR(SUMIF(Nutzungsprofile!$B$6:$B$11,"Halle",Nutzungsprofile!$G$6:$G$11)*Kalender!D138/SUM(Kalender!$D$5:$D$370),0)+IFERROR(SUMIF(Nutzungsprofile!$B$6:$B$11,"Individuell",Nutzungsprofile!$G$6:$G$11)*Kalender!E138/SUM(Kalender!$E$5:$E$370),0))*Szenarien!$E$15,0)</f>
        <v>2.94</v>
      </c>
      <c r="D1602" s="13" t="n">
        <f aca="false">IF(Szenarien!$H$15="OK",(IFERROR(SUMIF(Nutzungsprofile!$B$17:$B$22,"Schulbetrieb",Nutzungsprofile!$G$17:$G$22)*Kalender!C138/SUM(Kalender!$C$5:$C$370),0)+IFERROR(SUMIF(Nutzungsprofile!$B$17:$B$22,"Halle",Nutzungsprofile!$G$17:$G$22)*Kalender!D138/SUM(Kalender!$D$5:$D$370),0)+IFERROR(SUMIF(Nutzungsprofile!$B$17:$B$22,"Individuell",Nutzungsprofile!$G$17:$G$22)*Kalender!E138/SUM(Kalender!$E$5:$E$370),0))*Szenarien!$D$15,0)</f>
        <v>4.94</v>
      </c>
      <c r="E1602" s="13" t="n">
        <f aca="false">IFERROR(MIN(C1602,Eingaben!$B$17)*Eingaben!$B$16,0)</f>
        <v>2.793</v>
      </c>
      <c r="F1602" s="13" t="n">
        <f aca="false">IFERROR(E1602*Eingaben!$B$15,0)</f>
        <v>2.5137</v>
      </c>
      <c r="G1602" s="13" t="n">
        <f aca="false">IFERROR(IF(Kalender!A138="",0,J1601*(1-Eingaben!$B$20)),0)</f>
        <v>0.7390278</v>
      </c>
      <c r="H1602" s="13" t="n">
        <f aca="false">MIN(G1602,D1602)</f>
        <v>0.7390278</v>
      </c>
      <c r="I1602" s="13" t="n">
        <f aca="false">IFERROR(MIN(F1602*Eingaben!$B$19,MAX(0,D1602-H1602)),0)</f>
        <v>1.75959</v>
      </c>
      <c r="J1602" s="13" t="n">
        <f aca="false">IFERROR(MIN(Eingaben!$B$18,MAX(0,F1602-I1602)),0)</f>
        <v>0.75411</v>
      </c>
      <c r="K1602" s="13" t="n">
        <f aca="false">H1602+I1602</f>
        <v>2.4986178</v>
      </c>
      <c r="L1602" s="13" t="n">
        <f aca="false">MAX(0,D1602-K1602)</f>
        <v>2.4413822</v>
      </c>
      <c r="M1602" s="13" t="n">
        <f aca="false">MAX(0,F1602-I1602-J1602)</f>
        <v>0</v>
      </c>
      <c r="N1602" s="13" t="n">
        <f aca="false">IF(Kalender!A138="",0,J1601-H1602)</f>
        <v>0.0150822</v>
      </c>
    </row>
    <row r="1603" customFormat="false" ht="16.4" hidden="false" customHeight="false" outlineLevel="0" collapsed="false">
      <c r="A1603" s="13" t="str">
        <f aca="false">""</f>
        <v/>
      </c>
      <c r="B1603" s="13" t="n">
        <f aca="false">135</f>
        <v>135</v>
      </c>
      <c r="C1603" s="13" t="n">
        <f aca="false">IF(Szenarien!$H$15="OK",(IFERROR(SUMIF(Nutzungsprofile!$B$6:$B$11,"Schulbetrieb",Nutzungsprofile!$G$6:$G$11)*Kalender!C139/SUM(Kalender!$C$5:$C$370),0)+IFERROR(SUMIF(Nutzungsprofile!$B$6:$B$11,"Halle",Nutzungsprofile!$G$6:$G$11)*Kalender!D139/SUM(Kalender!$D$5:$D$370),0)+IFERROR(SUMIF(Nutzungsprofile!$B$6:$B$11,"Individuell",Nutzungsprofile!$G$6:$G$11)*Kalender!E139/SUM(Kalender!$E$5:$E$370),0))*Szenarien!$E$15,0)</f>
        <v>2.94</v>
      </c>
      <c r="D1603" s="13" t="n">
        <f aca="false">IF(Szenarien!$H$15="OK",(IFERROR(SUMIF(Nutzungsprofile!$B$17:$B$22,"Schulbetrieb",Nutzungsprofile!$G$17:$G$22)*Kalender!C139/SUM(Kalender!$C$5:$C$370),0)+IFERROR(SUMIF(Nutzungsprofile!$B$17:$B$22,"Halle",Nutzungsprofile!$G$17:$G$22)*Kalender!D139/SUM(Kalender!$D$5:$D$370),0)+IFERROR(SUMIF(Nutzungsprofile!$B$17:$B$22,"Individuell",Nutzungsprofile!$G$17:$G$22)*Kalender!E139/SUM(Kalender!$E$5:$E$370),0))*Szenarien!$D$15,0)</f>
        <v>4.94</v>
      </c>
      <c r="E1603" s="13" t="n">
        <f aca="false">IFERROR(MIN(C1603,Eingaben!$B$17)*Eingaben!$B$16,0)</f>
        <v>2.793</v>
      </c>
      <c r="F1603" s="13" t="n">
        <f aca="false">IFERROR(E1603*Eingaben!$B$15,0)</f>
        <v>2.5137</v>
      </c>
      <c r="G1603" s="13" t="n">
        <f aca="false">IFERROR(IF(Kalender!A139="",0,J1602*(1-Eingaben!$B$20)),0)</f>
        <v>0.7390278</v>
      </c>
      <c r="H1603" s="13" t="n">
        <f aca="false">MIN(G1603,D1603)</f>
        <v>0.7390278</v>
      </c>
      <c r="I1603" s="13" t="n">
        <f aca="false">IFERROR(MIN(F1603*Eingaben!$B$19,MAX(0,D1603-H1603)),0)</f>
        <v>1.75959</v>
      </c>
      <c r="J1603" s="13" t="n">
        <f aca="false">IFERROR(MIN(Eingaben!$B$18,MAX(0,F1603-I1603)),0)</f>
        <v>0.75411</v>
      </c>
      <c r="K1603" s="13" t="n">
        <f aca="false">H1603+I1603</f>
        <v>2.4986178</v>
      </c>
      <c r="L1603" s="13" t="n">
        <f aca="false">MAX(0,D1603-K1603)</f>
        <v>2.4413822</v>
      </c>
      <c r="M1603" s="13" t="n">
        <f aca="false">MAX(0,F1603-I1603-J1603)</f>
        <v>0</v>
      </c>
      <c r="N1603" s="13" t="n">
        <f aca="false">IF(Kalender!A139="",0,J1602-H1603)</f>
        <v>0.0150822</v>
      </c>
    </row>
    <row r="1604" customFormat="false" ht="16.4" hidden="false" customHeight="false" outlineLevel="0" collapsed="false">
      <c r="A1604" s="13" t="str">
        <f aca="false">""</f>
        <v/>
      </c>
      <c r="B1604" s="13" t="n">
        <f aca="false">136</f>
        <v>136</v>
      </c>
      <c r="C1604" s="13" t="n">
        <f aca="false">IF(Szenarien!$H$15="OK",(IFERROR(SUMIF(Nutzungsprofile!$B$6:$B$11,"Schulbetrieb",Nutzungsprofile!$G$6:$G$11)*Kalender!C140/SUM(Kalender!$C$5:$C$370),0)+IFERROR(SUMIF(Nutzungsprofile!$B$6:$B$11,"Halle",Nutzungsprofile!$G$6:$G$11)*Kalender!D140/SUM(Kalender!$D$5:$D$370),0)+IFERROR(SUMIF(Nutzungsprofile!$B$6:$B$11,"Individuell",Nutzungsprofile!$G$6:$G$11)*Kalender!E140/SUM(Kalender!$E$5:$E$370),0))*Szenarien!$E$15,0)</f>
        <v>2.04</v>
      </c>
      <c r="D1604" s="13" t="n">
        <f aca="false">IF(Szenarien!$H$15="OK",(IFERROR(SUMIF(Nutzungsprofile!$B$17:$B$22,"Schulbetrieb",Nutzungsprofile!$G$17:$G$22)*Kalender!C140/SUM(Kalender!$C$5:$C$370),0)+IFERROR(SUMIF(Nutzungsprofile!$B$17:$B$22,"Halle",Nutzungsprofile!$G$17:$G$22)*Kalender!D140/SUM(Kalender!$D$5:$D$370),0)+IFERROR(SUMIF(Nutzungsprofile!$B$17:$B$22,"Individuell",Nutzungsprofile!$G$17:$G$22)*Kalender!E140/SUM(Kalender!$E$5:$E$370),0))*Szenarien!$D$15,0)</f>
        <v>0.89</v>
      </c>
      <c r="E1604" s="13" t="n">
        <f aca="false">IFERROR(MIN(C1604,Eingaben!$B$17)*Eingaben!$B$16,0)</f>
        <v>1.938</v>
      </c>
      <c r="F1604" s="13" t="n">
        <f aca="false">IFERROR(E1604*Eingaben!$B$15,0)</f>
        <v>1.7442</v>
      </c>
      <c r="G1604" s="13" t="n">
        <f aca="false">IFERROR(IF(Kalender!A140="",0,J1603*(1-Eingaben!$B$20)),0)</f>
        <v>0.7390278</v>
      </c>
      <c r="H1604" s="13" t="n">
        <f aca="false">MIN(G1604,D1604)</f>
        <v>0.7390278</v>
      </c>
      <c r="I1604" s="13" t="n">
        <f aca="false">IFERROR(MIN(F1604*Eingaben!$B$19,MAX(0,D1604-H1604)),0)</f>
        <v>0.1509722</v>
      </c>
      <c r="J1604" s="13" t="n">
        <f aca="false">IFERROR(MIN(Eingaben!$B$18,MAX(0,F1604-I1604)),0)</f>
        <v>1.5932278</v>
      </c>
      <c r="K1604" s="13" t="n">
        <f aca="false">H1604+I1604</f>
        <v>0.89</v>
      </c>
      <c r="L1604" s="13" t="n">
        <f aca="false">MAX(0,D1604-K1604)</f>
        <v>0</v>
      </c>
      <c r="M1604" s="13" t="n">
        <f aca="false">MAX(0,F1604-I1604-J1604)</f>
        <v>0</v>
      </c>
      <c r="N1604" s="13" t="n">
        <f aca="false">IF(Kalender!A140="",0,J1603-H1604)</f>
        <v>0.0150822</v>
      </c>
    </row>
    <row r="1605" customFormat="false" ht="16.4" hidden="false" customHeight="false" outlineLevel="0" collapsed="false">
      <c r="A1605" s="13" t="str">
        <f aca="false">""</f>
        <v/>
      </c>
      <c r="B1605" s="13" t="n">
        <f aca="false">137</f>
        <v>137</v>
      </c>
      <c r="C1605" s="13" t="n">
        <f aca="false">IF(Szenarien!$H$15="OK",(IFERROR(SUMIF(Nutzungsprofile!$B$6:$B$11,"Schulbetrieb",Nutzungsprofile!$G$6:$G$11)*Kalender!C141/SUM(Kalender!$C$5:$C$370),0)+IFERROR(SUMIF(Nutzungsprofile!$B$6:$B$11,"Halle",Nutzungsprofile!$G$6:$G$11)*Kalender!D141/SUM(Kalender!$D$5:$D$370),0)+IFERROR(SUMIF(Nutzungsprofile!$B$6:$B$11,"Individuell",Nutzungsprofile!$G$6:$G$11)*Kalender!E141/SUM(Kalender!$E$5:$E$370),0))*Szenarien!$E$15,0)</f>
        <v>2.04</v>
      </c>
      <c r="D1605" s="13" t="n">
        <f aca="false">IF(Szenarien!$H$15="OK",(IFERROR(SUMIF(Nutzungsprofile!$B$17:$B$22,"Schulbetrieb",Nutzungsprofile!$G$17:$G$22)*Kalender!C141/SUM(Kalender!$C$5:$C$370),0)+IFERROR(SUMIF(Nutzungsprofile!$B$17:$B$22,"Halle",Nutzungsprofile!$G$17:$G$22)*Kalender!D141/SUM(Kalender!$D$5:$D$370),0)+IFERROR(SUMIF(Nutzungsprofile!$B$17:$B$22,"Individuell",Nutzungsprofile!$G$17:$G$22)*Kalender!E141/SUM(Kalender!$E$5:$E$370),0))*Szenarien!$D$15,0)</f>
        <v>0.89</v>
      </c>
      <c r="E1605" s="13" t="n">
        <f aca="false">IFERROR(MIN(C1605,Eingaben!$B$17)*Eingaben!$B$16,0)</f>
        <v>1.938</v>
      </c>
      <c r="F1605" s="13" t="n">
        <f aca="false">IFERROR(E1605*Eingaben!$B$15,0)</f>
        <v>1.7442</v>
      </c>
      <c r="G1605" s="13" t="n">
        <f aca="false">IFERROR(IF(Kalender!A141="",0,J1604*(1-Eingaben!$B$20)),0)</f>
        <v>1.561363244</v>
      </c>
      <c r="H1605" s="13" t="n">
        <f aca="false">MIN(G1605,D1605)</f>
        <v>0.89</v>
      </c>
      <c r="I1605" s="13" t="n">
        <f aca="false">IFERROR(MIN(F1605*Eingaben!$B$19,MAX(0,D1605-H1605)),0)</f>
        <v>0</v>
      </c>
      <c r="J1605" s="13" t="n">
        <f aca="false">IFERROR(MIN(Eingaben!$B$18,MAX(0,F1605-I1605)),0)</f>
        <v>1.7442</v>
      </c>
      <c r="K1605" s="13" t="n">
        <f aca="false">H1605+I1605</f>
        <v>0.89</v>
      </c>
      <c r="L1605" s="13" t="n">
        <f aca="false">MAX(0,D1605-K1605)</f>
        <v>0</v>
      </c>
      <c r="M1605" s="13" t="n">
        <f aca="false">MAX(0,F1605-I1605-J1605)</f>
        <v>0</v>
      </c>
      <c r="N1605" s="13" t="n">
        <f aca="false">IF(Kalender!A141="",0,J1604-H1605)</f>
        <v>0.7032278</v>
      </c>
    </row>
    <row r="1606" customFormat="false" ht="16.4" hidden="false" customHeight="false" outlineLevel="0" collapsed="false">
      <c r="A1606" s="13" t="str">
        <f aca="false">""</f>
        <v/>
      </c>
      <c r="B1606" s="13" t="n">
        <f aca="false">138</f>
        <v>138</v>
      </c>
      <c r="C1606" s="13" t="n">
        <f aca="false">IF(Szenarien!$H$15="OK",(IFERROR(SUMIF(Nutzungsprofile!$B$6:$B$11,"Schulbetrieb",Nutzungsprofile!$G$6:$G$11)*Kalender!C142/SUM(Kalender!$C$5:$C$370),0)+IFERROR(SUMIF(Nutzungsprofile!$B$6:$B$11,"Halle",Nutzungsprofile!$G$6:$G$11)*Kalender!D142/SUM(Kalender!$D$5:$D$370),0)+IFERROR(SUMIF(Nutzungsprofile!$B$6:$B$11,"Individuell",Nutzungsprofile!$G$6:$G$11)*Kalender!E142/SUM(Kalender!$E$5:$E$370),0))*Szenarien!$E$15,0)</f>
        <v>2.94</v>
      </c>
      <c r="D1606" s="13" t="n">
        <f aca="false">IF(Szenarien!$H$15="OK",(IFERROR(SUMIF(Nutzungsprofile!$B$17:$B$22,"Schulbetrieb",Nutzungsprofile!$G$17:$G$22)*Kalender!C142/SUM(Kalender!$C$5:$C$370),0)+IFERROR(SUMIF(Nutzungsprofile!$B$17:$B$22,"Halle",Nutzungsprofile!$G$17:$G$22)*Kalender!D142/SUM(Kalender!$D$5:$D$370),0)+IFERROR(SUMIF(Nutzungsprofile!$B$17:$B$22,"Individuell",Nutzungsprofile!$G$17:$G$22)*Kalender!E142/SUM(Kalender!$E$5:$E$370),0))*Szenarien!$D$15,0)</f>
        <v>4.94</v>
      </c>
      <c r="E1606" s="13" t="n">
        <f aca="false">IFERROR(MIN(C1606,Eingaben!$B$17)*Eingaben!$B$16,0)</f>
        <v>2.793</v>
      </c>
      <c r="F1606" s="13" t="n">
        <f aca="false">IFERROR(E1606*Eingaben!$B$15,0)</f>
        <v>2.5137</v>
      </c>
      <c r="G1606" s="13" t="n">
        <f aca="false">IFERROR(IF(Kalender!A142="",0,J1605*(1-Eingaben!$B$20)),0)</f>
        <v>1.709316</v>
      </c>
      <c r="H1606" s="13" t="n">
        <f aca="false">MIN(G1606,D1606)</f>
        <v>1.709316</v>
      </c>
      <c r="I1606" s="13" t="n">
        <f aca="false">IFERROR(MIN(F1606*Eingaben!$B$19,MAX(0,D1606-H1606)),0)</f>
        <v>1.75959</v>
      </c>
      <c r="J1606" s="13" t="n">
        <f aca="false">IFERROR(MIN(Eingaben!$B$18,MAX(0,F1606-I1606)),0)</f>
        <v>0.75411</v>
      </c>
      <c r="K1606" s="13" t="n">
        <f aca="false">H1606+I1606</f>
        <v>3.468906</v>
      </c>
      <c r="L1606" s="13" t="n">
        <f aca="false">MAX(0,D1606-K1606)</f>
        <v>1.471094</v>
      </c>
      <c r="M1606" s="13" t="n">
        <f aca="false">MAX(0,F1606-I1606-J1606)</f>
        <v>0</v>
      </c>
      <c r="N1606" s="13" t="n">
        <f aca="false">IF(Kalender!A142="",0,J1605-H1606)</f>
        <v>0.0348840000000001</v>
      </c>
    </row>
    <row r="1607" customFormat="false" ht="16.4" hidden="false" customHeight="false" outlineLevel="0" collapsed="false">
      <c r="A1607" s="13" t="str">
        <f aca="false">""</f>
        <v/>
      </c>
      <c r="B1607" s="13" t="n">
        <f aca="false">139</f>
        <v>139</v>
      </c>
      <c r="C1607" s="13" t="n">
        <f aca="false">IF(Szenarien!$H$15="OK",(IFERROR(SUMIF(Nutzungsprofile!$B$6:$B$11,"Schulbetrieb",Nutzungsprofile!$G$6:$G$11)*Kalender!C143/SUM(Kalender!$C$5:$C$370),0)+IFERROR(SUMIF(Nutzungsprofile!$B$6:$B$11,"Halle",Nutzungsprofile!$G$6:$G$11)*Kalender!D143/SUM(Kalender!$D$5:$D$370),0)+IFERROR(SUMIF(Nutzungsprofile!$B$6:$B$11,"Individuell",Nutzungsprofile!$G$6:$G$11)*Kalender!E143/SUM(Kalender!$E$5:$E$370),0))*Szenarien!$E$15,0)</f>
        <v>2.94</v>
      </c>
      <c r="D1607" s="13" t="n">
        <f aca="false">IF(Szenarien!$H$15="OK",(IFERROR(SUMIF(Nutzungsprofile!$B$17:$B$22,"Schulbetrieb",Nutzungsprofile!$G$17:$G$22)*Kalender!C143/SUM(Kalender!$C$5:$C$370),0)+IFERROR(SUMIF(Nutzungsprofile!$B$17:$B$22,"Halle",Nutzungsprofile!$G$17:$G$22)*Kalender!D143/SUM(Kalender!$D$5:$D$370),0)+IFERROR(SUMIF(Nutzungsprofile!$B$17:$B$22,"Individuell",Nutzungsprofile!$G$17:$G$22)*Kalender!E143/SUM(Kalender!$E$5:$E$370),0))*Szenarien!$D$15,0)</f>
        <v>4.94</v>
      </c>
      <c r="E1607" s="13" t="n">
        <f aca="false">IFERROR(MIN(C1607,Eingaben!$B$17)*Eingaben!$B$16,0)</f>
        <v>2.793</v>
      </c>
      <c r="F1607" s="13" t="n">
        <f aca="false">IFERROR(E1607*Eingaben!$B$15,0)</f>
        <v>2.5137</v>
      </c>
      <c r="G1607" s="13" t="n">
        <f aca="false">IFERROR(IF(Kalender!A143="",0,J1606*(1-Eingaben!$B$20)),0)</f>
        <v>0.7390278</v>
      </c>
      <c r="H1607" s="13" t="n">
        <f aca="false">MIN(G1607,D1607)</f>
        <v>0.7390278</v>
      </c>
      <c r="I1607" s="13" t="n">
        <f aca="false">IFERROR(MIN(F1607*Eingaben!$B$19,MAX(0,D1607-H1607)),0)</f>
        <v>1.75959</v>
      </c>
      <c r="J1607" s="13" t="n">
        <f aca="false">IFERROR(MIN(Eingaben!$B$18,MAX(0,F1607-I1607)),0)</f>
        <v>0.75411</v>
      </c>
      <c r="K1607" s="13" t="n">
        <f aca="false">H1607+I1607</f>
        <v>2.4986178</v>
      </c>
      <c r="L1607" s="13" t="n">
        <f aca="false">MAX(0,D1607-K1607)</f>
        <v>2.4413822</v>
      </c>
      <c r="M1607" s="13" t="n">
        <f aca="false">MAX(0,F1607-I1607-J1607)</f>
        <v>0</v>
      </c>
      <c r="N1607" s="13" t="n">
        <f aca="false">IF(Kalender!A143="",0,J1606-H1607)</f>
        <v>0.0150822</v>
      </c>
    </row>
    <row r="1608" customFormat="false" ht="16.4" hidden="false" customHeight="false" outlineLevel="0" collapsed="false">
      <c r="A1608" s="13" t="str">
        <f aca="false">""</f>
        <v/>
      </c>
      <c r="B1608" s="13" t="n">
        <f aca="false">140</f>
        <v>140</v>
      </c>
      <c r="C1608" s="13" t="n">
        <f aca="false">IF(Szenarien!$H$15="OK",(IFERROR(SUMIF(Nutzungsprofile!$B$6:$B$11,"Schulbetrieb",Nutzungsprofile!$G$6:$G$11)*Kalender!C144/SUM(Kalender!$C$5:$C$370),0)+IFERROR(SUMIF(Nutzungsprofile!$B$6:$B$11,"Halle",Nutzungsprofile!$G$6:$G$11)*Kalender!D144/SUM(Kalender!$D$5:$D$370),0)+IFERROR(SUMIF(Nutzungsprofile!$B$6:$B$11,"Individuell",Nutzungsprofile!$G$6:$G$11)*Kalender!E144/SUM(Kalender!$E$5:$E$370),0))*Szenarien!$E$15,0)</f>
        <v>2.94</v>
      </c>
      <c r="D1608" s="13" t="n">
        <f aca="false">IF(Szenarien!$H$15="OK",(IFERROR(SUMIF(Nutzungsprofile!$B$17:$B$22,"Schulbetrieb",Nutzungsprofile!$G$17:$G$22)*Kalender!C144/SUM(Kalender!$C$5:$C$370),0)+IFERROR(SUMIF(Nutzungsprofile!$B$17:$B$22,"Halle",Nutzungsprofile!$G$17:$G$22)*Kalender!D144/SUM(Kalender!$D$5:$D$370),0)+IFERROR(SUMIF(Nutzungsprofile!$B$17:$B$22,"Individuell",Nutzungsprofile!$G$17:$G$22)*Kalender!E144/SUM(Kalender!$E$5:$E$370),0))*Szenarien!$D$15,0)</f>
        <v>4.94</v>
      </c>
      <c r="E1608" s="13" t="n">
        <f aca="false">IFERROR(MIN(C1608,Eingaben!$B$17)*Eingaben!$B$16,0)</f>
        <v>2.793</v>
      </c>
      <c r="F1608" s="13" t="n">
        <f aca="false">IFERROR(E1608*Eingaben!$B$15,0)</f>
        <v>2.5137</v>
      </c>
      <c r="G1608" s="13" t="n">
        <f aca="false">IFERROR(IF(Kalender!A144="",0,J1607*(1-Eingaben!$B$20)),0)</f>
        <v>0.7390278</v>
      </c>
      <c r="H1608" s="13" t="n">
        <f aca="false">MIN(G1608,D1608)</f>
        <v>0.7390278</v>
      </c>
      <c r="I1608" s="13" t="n">
        <f aca="false">IFERROR(MIN(F1608*Eingaben!$B$19,MAX(0,D1608-H1608)),0)</f>
        <v>1.75959</v>
      </c>
      <c r="J1608" s="13" t="n">
        <f aca="false">IFERROR(MIN(Eingaben!$B$18,MAX(0,F1608-I1608)),0)</f>
        <v>0.75411</v>
      </c>
      <c r="K1608" s="13" t="n">
        <f aca="false">H1608+I1608</f>
        <v>2.4986178</v>
      </c>
      <c r="L1608" s="13" t="n">
        <f aca="false">MAX(0,D1608-K1608)</f>
        <v>2.4413822</v>
      </c>
      <c r="M1608" s="13" t="n">
        <f aca="false">MAX(0,F1608-I1608-J1608)</f>
        <v>0</v>
      </c>
      <c r="N1608" s="13" t="n">
        <f aca="false">IF(Kalender!A144="",0,J1607-H1608)</f>
        <v>0.0150822</v>
      </c>
    </row>
    <row r="1609" customFormat="false" ht="16.4" hidden="false" customHeight="false" outlineLevel="0" collapsed="false">
      <c r="A1609" s="13" t="str">
        <f aca="false">""</f>
        <v/>
      </c>
      <c r="B1609" s="13" t="n">
        <f aca="false">141</f>
        <v>141</v>
      </c>
      <c r="C1609" s="13" t="n">
        <f aca="false">IF(Szenarien!$H$15="OK",(IFERROR(SUMIF(Nutzungsprofile!$B$6:$B$11,"Schulbetrieb",Nutzungsprofile!$G$6:$G$11)*Kalender!C145/SUM(Kalender!$C$5:$C$370),0)+IFERROR(SUMIF(Nutzungsprofile!$B$6:$B$11,"Halle",Nutzungsprofile!$G$6:$G$11)*Kalender!D145/SUM(Kalender!$D$5:$D$370),0)+IFERROR(SUMIF(Nutzungsprofile!$B$6:$B$11,"Individuell",Nutzungsprofile!$G$6:$G$11)*Kalender!E145/SUM(Kalender!$E$5:$E$370),0))*Szenarien!$E$15,0)</f>
        <v>2.94</v>
      </c>
      <c r="D1609" s="13" t="n">
        <f aca="false">IF(Szenarien!$H$15="OK",(IFERROR(SUMIF(Nutzungsprofile!$B$17:$B$22,"Schulbetrieb",Nutzungsprofile!$G$17:$G$22)*Kalender!C145/SUM(Kalender!$C$5:$C$370),0)+IFERROR(SUMIF(Nutzungsprofile!$B$17:$B$22,"Halle",Nutzungsprofile!$G$17:$G$22)*Kalender!D145/SUM(Kalender!$D$5:$D$370),0)+IFERROR(SUMIF(Nutzungsprofile!$B$17:$B$22,"Individuell",Nutzungsprofile!$G$17:$G$22)*Kalender!E145/SUM(Kalender!$E$5:$E$370),0))*Szenarien!$D$15,0)</f>
        <v>4.94</v>
      </c>
      <c r="E1609" s="13" t="n">
        <f aca="false">IFERROR(MIN(C1609,Eingaben!$B$17)*Eingaben!$B$16,0)</f>
        <v>2.793</v>
      </c>
      <c r="F1609" s="13" t="n">
        <f aca="false">IFERROR(E1609*Eingaben!$B$15,0)</f>
        <v>2.5137</v>
      </c>
      <c r="G1609" s="13" t="n">
        <f aca="false">IFERROR(IF(Kalender!A145="",0,J1608*(1-Eingaben!$B$20)),0)</f>
        <v>0.7390278</v>
      </c>
      <c r="H1609" s="13" t="n">
        <f aca="false">MIN(G1609,D1609)</f>
        <v>0.7390278</v>
      </c>
      <c r="I1609" s="13" t="n">
        <f aca="false">IFERROR(MIN(F1609*Eingaben!$B$19,MAX(0,D1609-H1609)),0)</f>
        <v>1.75959</v>
      </c>
      <c r="J1609" s="13" t="n">
        <f aca="false">IFERROR(MIN(Eingaben!$B$18,MAX(0,F1609-I1609)),0)</f>
        <v>0.75411</v>
      </c>
      <c r="K1609" s="13" t="n">
        <f aca="false">H1609+I1609</f>
        <v>2.4986178</v>
      </c>
      <c r="L1609" s="13" t="n">
        <f aca="false">MAX(0,D1609-K1609)</f>
        <v>2.4413822</v>
      </c>
      <c r="M1609" s="13" t="n">
        <f aca="false">MAX(0,F1609-I1609-J1609)</f>
        <v>0</v>
      </c>
      <c r="N1609" s="13" t="n">
        <f aca="false">IF(Kalender!A145="",0,J1608-H1609)</f>
        <v>0.0150822</v>
      </c>
    </row>
    <row r="1610" customFormat="false" ht="16.4" hidden="false" customHeight="false" outlineLevel="0" collapsed="false">
      <c r="A1610" s="13" t="str">
        <f aca="false">""</f>
        <v/>
      </c>
      <c r="B1610" s="13" t="n">
        <f aca="false">142</f>
        <v>142</v>
      </c>
      <c r="C1610" s="13" t="n">
        <f aca="false">IF(Szenarien!$H$15="OK",(IFERROR(SUMIF(Nutzungsprofile!$B$6:$B$11,"Schulbetrieb",Nutzungsprofile!$G$6:$G$11)*Kalender!C146/SUM(Kalender!$C$5:$C$370),0)+IFERROR(SUMIF(Nutzungsprofile!$B$6:$B$11,"Halle",Nutzungsprofile!$G$6:$G$11)*Kalender!D146/SUM(Kalender!$D$5:$D$370),0)+IFERROR(SUMIF(Nutzungsprofile!$B$6:$B$11,"Individuell",Nutzungsprofile!$G$6:$G$11)*Kalender!E146/SUM(Kalender!$E$5:$E$370),0))*Szenarien!$E$15,0)</f>
        <v>2.94</v>
      </c>
      <c r="D1610" s="13" t="n">
        <f aca="false">IF(Szenarien!$H$15="OK",(IFERROR(SUMIF(Nutzungsprofile!$B$17:$B$22,"Schulbetrieb",Nutzungsprofile!$G$17:$G$22)*Kalender!C146/SUM(Kalender!$C$5:$C$370),0)+IFERROR(SUMIF(Nutzungsprofile!$B$17:$B$22,"Halle",Nutzungsprofile!$G$17:$G$22)*Kalender!D146/SUM(Kalender!$D$5:$D$370),0)+IFERROR(SUMIF(Nutzungsprofile!$B$17:$B$22,"Individuell",Nutzungsprofile!$G$17:$G$22)*Kalender!E146/SUM(Kalender!$E$5:$E$370),0))*Szenarien!$D$15,0)</f>
        <v>4.94</v>
      </c>
      <c r="E1610" s="13" t="n">
        <f aca="false">IFERROR(MIN(C1610,Eingaben!$B$17)*Eingaben!$B$16,0)</f>
        <v>2.793</v>
      </c>
      <c r="F1610" s="13" t="n">
        <f aca="false">IFERROR(E1610*Eingaben!$B$15,0)</f>
        <v>2.5137</v>
      </c>
      <c r="G1610" s="13" t="n">
        <f aca="false">IFERROR(IF(Kalender!A146="",0,J1609*(1-Eingaben!$B$20)),0)</f>
        <v>0.7390278</v>
      </c>
      <c r="H1610" s="13" t="n">
        <f aca="false">MIN(G1610,D1610)</f>
        <v>0.7390278</v>
      </c>
      <c r="I1610" s="13" t="n">
        <f aca="false">IFERROR(MIN(F1610*Eingaben!$B$19,MAX(0,D1610-H1610)),0)</f>
        <v>1.75959</v>
      </c>
      <c r="J1610" s="13" t="n">
        <f aca="false">IFERROR(MIN(Eingaben!$B$18,MAX(0,F1610-I1610)),0)</f>
        <v>0.75411</v>
      </c>
      <c r="K1610" s="13" t="n">
        <f aca="false">H1610+I1610</f>
        <v>2.4986178</v>
      </c>
      <c r="L1610" s="13" t="n">
        <f aca="false">MAX(0,D1610-K1610)</f>
        <v>2.4413822</v>
      </c>
      <c r="M1610" s="13" t="n">
        <f aca="false">MAX(0,F1610-I1610-J1610)</f>
        <v>0</v>
      </c>
      <c r="N1610" s="13" t="n">
        <f aca="false">IF(Kalender!A146="",0,J1609-H1610)</f>
        <v>0.0150822</v>
      </c>
    </row>
    <row r="1611" customFormat="false" ht="16.4" hidden="false" customHeight="false" outlineLevel="0" collapsed="false">
      <c r="A1611" s="13" t="str">
        <f aca="false">""</f>
        <v/>
      </c>
      <c r="B1611" s="13" t="n">
        <f aca="false">143</f>
        <v>143</v>
      </c>
      <c r="C1611" s="13" t="n">
        <f aca="false">IF(Szenarien!$H$15="OK",(IFERROR(SUMIF(Nutzungsprofile!$B$6:$B$11,"Schulbetrieb",Nutzungsprofile!$G$6:$G$11)*Kalender!C147/SUM(Kalender!$C$5:$C$370),0)+IFERROR(SUMIF(Nutzungsprofile!$B$6:$B$11,"Halle",Nutzungsprofile!$G$6:$G$11)*Kalender!D147/SUM(Kalender!$D$5:$D$370),0)+IFERROR(SUMIF(Nutzungsprofile!$B$6:$B$11,"Individuell",Nutzungsprofile!$G$6:$G$11)*Kalender!E147/SUM(Kalender!$E$5:$E$370),0))*Szenarien!$E$15,0)</f>
        <v>2.04</v>
      </c>
      <c r="D1611" s="13" t="n">
        <f aca="false">IF(Szenarien!$H$15="OK",(IFERROR(SUMIF(Nutzungsprofile!$B$17:$B$22,"Schulbetrieb",Nutzungsprofile!$G$17:$G$22)*Kalender!C147/SUM(Kalender!$C$5:$C$370),0)+IFERROR(SUMIF(Nutzungsprofile!$B$17:$B$22,"Halle",Nutzungsprofile!$G$17:$G$22)*Kalender!D147/SUM(Kalender!$D$5:$D$370),0)+IFERROR(SUMIF(Nutzungsprofile!$B$17:$B$22,"Individuell",Nutzungsprofile!$G$17:$G$22)*Kalender!E147/SUM(Kalender!$E$5:$E$370),0))*Szenarien!$D$15,0)</f>
        <v>0.89</v>
      </c>
      <c r="E1611" s="13" t="n">
        <f aca="false">IFERROR(MIN(C1611,Eingaben!$B$17)*Eingaben!$B$16,0)</f>
        <v>1.938</v>
      </c>
      <c r="F1611" s="13" t="n">
        <f aca="false">IFERROR(E1611*Eingaben!$B$15,0)</f>
        <v>1.7442</v>
      </c>
      <c r="G1611" s="13" t="n">
        <f aca="false">IFERROR(IF(Kalender!A147="",0,J1610*(1-Eingaben!$B$20)),0)</f>
        <v>0.7390278</v>
      </c>
      <c r="H1611" s="13" t="n">
        <f aca="false">MIN(G1611,D1611)</f>
        <v>0.7390278</v>
      </c>
      <c r="I1611" s="13" t="n">
        <f aca="false">IFERROR(MIN(F1611*Eingaben!$B$19,MAX(0,D1611-H1611)),0)</f>
        <v>0.1509722</v>
      </c>
      <c r="J1611" s="13" t="n">
        <f aca="false">IFERROR(MIN(Eingaben!$B$18,MAX(0,F1611-I1611)),0)</f>
        <v>1.5932278</v>
      </c>
      <c r="K1611" s="13" t="n">
        <f aca="false">H1611+I1611</f>
        <v>0.89</v>
      </c>
      <c r="L1611" s="13" t="n">
        <f aca="false">MAX(0,D1611-K1611)</f>
        <v>0</v>
      </c>
      <c r="M1611" s="13" t="n">
        <f aca="false">MAX(0,F1611-I1611-J1611)</f>
        <v>0</v>
      </c>
      <c r="N1611" s="13" t="n">
        <f aca="false">IF(Kalender!A147="",0,J1610-H1611)</f>
        <v>0.0150822</v>
      </c>
    </row>
    <row r="1612" customFormat="false" ht="16.4" hidden="false" customHeight="false" outlineLevel="0" collapsed="false">
      <c r="A1612" s="13" t="str">
        <f aca="false">""</f>
        <v/>
      </c>
      <c r="B1612" s="13" t="n">
        <f aca="false">144</f>
        <v>144</v>
      </c>
      <c r="C1612" s="13" t="n">
        <f aca="false">IF(Szenarien!$H$15="OK",(IFERROR(SUMIF(Nutzungsprofile!$B$6:$B$11,"Schulbetrieb",Nutzungsprofile!$G$6:$G$11)*Kalender!C148/SUM(Kalender!$C$5:$C$370),0)+IFERROR(SUMIF(Nutzungsprofile!$B$6:$B$11,"Halle",Nutzungsprofile!$G$6:$G$11)*Kalender!D148/SUM(Kalender!$D$5:$D$370),0)+IFERROR(SUMIF(Nutzungsprofile!$B$6:$B$11,"Individuell",Nutzungsprofile!$G$6:$G$11)*Kalender!E148/SUM(Kalender!$E$5:$E$370),0))*Szenarien!$E$15,0)</f>
        <v>2.04</v>
      </c>
      <c r="D1612" s="13" t="n">
        <f aca="false">IF(Szenarien!$H$15="OK",(IFERROR(SUMIF(Nutzungsprofile!$B$17:$B$22,"Schulbetrieb",Nutzungsprofile!$G$17:$G$22)*Kalender!C148/SUM(Kalender!$C$5:$C$370),0)+IFERROR(SUMIF(Nutzungsprofile!$B$17:$B$22,"Halle",Nutzungsprofile!$G$17:$G$22)*Kalender!D148/SUM(Kalender!$D$5:$D$370),0)+IFERROR(SUMIF(Nutzungsprofile!$B$17:$B$22,"Individuell",Nutzungsprofile!$G$17:$G$22)*Kalender!E148/SUM(Kalender!$E$5:$E$370),0))*Szenarien!$D$15,0)</f>
        <v>0.89</v>
      </c>
      <c r="E1612" s="13" t="n">
        <f aca="false">IFERROR(MIN(C1612,Eingaben!$B$17)*Eingaben!$B$16,0)</f>
        <v>1.938</v>
      </c>
      <c r="F1612" s="13" t="n">
        <f aca="false">IFERROR(E1612*Eingaben!$B$15,0)</f>
        <v>1.7442</v>
      </c>
      <c r="G1612" s="13" t="n">
        <f aca="false">IFERROR(IF(Kalender!A148="",0,J1611*(1-Eingaben!$B$20)),0)</f>
        <v>1.561363244</v>
      </c>
      <c r="H1612" s="13" t="n">
        <f aca="false">MIN(G1612,D1612)</f>
        <v>0.89</v>
      </c>
      <c r="I1612" s="13" t="n">
        <f aca="false">IFERROR(MIN(F1612*Eingaben!$B$19,MAX(0,D1612-H1612)),0)</f>
        <v>0</v>
      </c>
      <c r="J1612" s="13" t="n">
        <f aca="false">IFERROR(MIN(Eingaben!$B$18,MAX(0,F1612-I1612)),0)</f>
        <v>1.7442</v>
      </c>
      <c r="K1612" s="13" t="n">
        <f aca="false">H1612+I1612</f>
        <v>0.89</v>
      </c>
      <c r="L1612" s="13" t="n">
        <f aca="false">MAX(0,D1612-K1612)</f>
        <v>0</v>
      </c>
      <c r="M1612" s="13" t="n">
        <f aca="false">MAX(0,F1612-I1612-J1612)</f>
        <v>0</v>
      </c>
      <c r="N1612" s="13" t="n">
        <f aca="false">IF(Kalender!A148="",0,J1611-H1612)</f>
        <v>0.7032278</v>
      </c>
    </row>
    <row r="1613" customFormat="false" ht="16.4" hidden="false" customHeight="false" outlineLevel="0" collapsed="false">
      <c r="A1613" s="13" t="str">
        <f aca="false">""</f>
        <v/>
      </c>
      <c r="B1613" s="13" t="n">
        <f aca="false">145</f>
        <v>145</v>
      </c>
      <c r="C1613" s="13" t="n">
        <f aca="false">IF(Szenarien!$H$15="OK",(IFERROR(SUMIF(Nutzungsprofile!$B$6:$B$11,"Schulbetrieb",Nutzungsprofile!$G$6:$G$11)*Kalender!C149/SUM(Kalender!$C$5:$C$370),0)+IFERROR(SUMIF(Nutzungsprofile!$B$6:$B$11,"Halle",Nutzungsprofile!$G$6:$G$11)*Kalender!D149/SUM(Kalender!$D$5:$D$370),0)+IFERROR(SUMIF(Nutzungsprofile!$B$6:$B$11,"Individuell",Nutzungsprofile!$G$6:$G$11)*Kalender!E149/SUM(Kalender!$E$5:$E$370),0))*Szenarien!$E$15,0)</f>
        <v>2.94</v>
      </c>
      <c r="D1613" s="13" t="n">
        <f aca="false">IF(Szenarien!$H$15="OK",(IFERROR(SUMIF(Nutzungsprofile!$B$17:$B$22,"Schulbetrieb",Nutzungsprofile!$G$17:$G$22)*Kalender!C149/SUM(Kalender!$C$5:$C$370),0)+IFERROR(SUMIF(Nutzungsprofile!$B$17:$B$22,"Halle",Nutzungsprofile!$G$17:$G$22)*Kalender!D149/SUM(Kalender!$D$5:$D$370),0)+IFERROR(SUMIF(Nutzungsprofile!$B$17:$B$22,"Individuell",Nutzungsprofile!$G$17:$G$22)*Kalender!E149/SUM(Kalender!$E$5:$E$370),0))*Szenarien!$D$15,0)</f>
        <v>4.94</v>
      </c>
      <c r="E1613" s="13" t="n">
        <f aca="false">IFERROR(MIN(C1613,Eingaben!$B$17)*Eingaben!$B$16,0)</f>
        <v>2.793</v>
      </c>
      <c r="F1613" s="13" t="n">
        <f aca="false">IFERROR(E1613*Eingaben!$B$15,0)</f>
        <v>2.5137</v>
      </c>
      <c r="G1613" s="13" t="n">
        <f aca="false">IFERROR(IF(Kalender!A149="",0,J1612*(1-Eingaben!$B$20)),0)</f>
        <v>1.709316</v>
      </c>
      <c r="H1613" s="13" t="n">
        <f aca="false">MIN(G1613,D1613)</f>
        <v>1.709316</v>
      </c>
      <c r="I1613" s="13" t="n">
        <f aca="false">IFERROR(MIN(F1613*Eingaben!$B$19,MAX(0,D1613-H1613)),0)</f>
        <v>1.75959</v>
      </c>
      <c r="J1613" s="13" t="n">
        <f aca="false">IFERROR(MIN(Eingaben!$B$18,MAX(0,F1613-I1613)),0)</f>
        <v>0.75411</v>
      </c>
      <c r="K1613" s="13" t="n">
        <f aca="false">H1613+I1613</f>
        <v>3.468906</v>
      </c>
      <c r="L1613" s="13" t="n">
        <f aca="false">MAX(0,D1613-K1613)</f>
        <v>1.471094</v>
      </c>
      <c r="M1613" s="13" t="n">
        <f aca="false">MAX(0,F1613-I1613-J1613)</f>
        <v>0</v>
      </c>
      <c r="N1613" s="13" t="n">
        <f aca="false">IF(Kalender!A149="",0,J1612-H1613)</f>
        <v>0.0348840000000001</v>
      </c>
    </row>
    <row r="1614" customFormat="false" ht="16.4" hidden="false" customHeight="false" outlineLevel="0" collapsed="false">
      <c r="A1614" s="13" t="str">
        <f aca="false">""</f>
        <v/>
      </c>
      <c r="B1614" s="13" t="n">
        <f aca="false">146</f>
        <v>146</v>
      </c>
      <c r="C1614" s="13" t="n">
        <f aca="false">IF(Szenarien!$H$15="OK",(IFERROR(SUMIF(Nutzungsprofile!$B$6:$B$11,"Schulbetrieb",Nutzungsprofile!$G$6:$G$11)*Kalender!C150/SUM(Kalender!$C$5:$C$370),0)+IFERROR(SUMIF(Nutzungsprofile!$B$6:$B$11,"Halle",Nutzungsprofile!$G$6:$G$11)*Kalender!D150/SUM(Kalender!$D$5:$D$370),0)+IFERROR(SUMIF(Nutzungsprofile!$B$6:$B$11,"Individuell",Nutzungsprofile!$G$6:$G$11)*Kalender!E150/SUM(Kalender!$E$5:$E$370),0))*Szenarien!$E$15,0)</f>
        <v>2.94</v>
      </c>
      <c r="D1614" s="13" t="n">
        <f aca="false">IF(Szenarien!$H$15="OK",(IFERROR(SUMIF(Nutzungsprofile!$B$17:$B$22,"Schulbetrieb",Nutzungsprofile!$G$17:$G$22)*Kalender!C150/SUM(Kalender!$C$5:$C$370),0)+IFERROR(SUMIF(Nutzungsprofile!$B$17:$B$22,"Halle",Nutzungsprofile!$G$17:$G$22)*Kalender!D150/SUM(Kalender!$D$5:$D$370),0)+IFERROR(SUMIF(Nutzungsprofile!$B$17:$B$22,"Individuell",Nutzungsprofile!$G$17:$G$22)*Kalender!E150/SUM(Kalender!$E$5:$E$370),0))*Szenarien!$D$15,0)</f>
        <v>4.94</v>
      </c>
      <c r="E1614" s="13" t="n">
        <f aca="false">IFERROR(MIN(C1614,Eingaben!$B$17)*Eingaben!$B$16,0)</f>
        <v>2.793</v>
      </c>
      <c r="F1614" s="13" t="n">
        <f aca="false">IFERROR(E1614*Eingaben!$B$15,0)</f>
        <v>2.5137</v>
      </c>
      <c r="G1614" s="13" t="n">
        <f aca="false">IFERROR(IF(Kalender!A150="",0,J1613*(1-Eingaben!$B$20)),0)</f>
        <v>0.7390278</v>
      </c>
      <c r="H1614" s="13" t="n">
        <f aca="false">MIN(G1614,D1614)</f>
        <v>0.7390278</v>
      </c>
      <c r="I1614" s="13" t="n">
        <f aca="false">IFERROR(MIN(F1614*Eingaben!$B$19,MAX(0,D1614-H1614)),0)</f>
        <v>1.75959</v>
      </c>
      <c r="J1614" s="13" t="n">
        <f aca="false">IFERROR(MIN(Eingaben!$B$18,MAX(0,F1614-I1614)),0)</f>
        <v>0.75411</v>
      </c>
      <c r="K1614" s="13" t="n">
        <f aca="false">H1614+I1614</f>
        <v>2.4986178</v>
      </c>
      <c r="L1614" s="13" t="n">
        <f aca="false">MAX(0,D1614-K1614)</f>
        <v>2.4413822</v>
      </c>
      <c r="M1614" s="13" t="n">
        <f aca="false">MAX(0,F1614-I1614-J1614)</f>
        <v>0</v>
      </c>
      <c r="N1614" s="13" t="n">
        <f aca="false">IF(Kalender!A150="",0,J1613-H1614)</f>
        <v>0.0150822</v>
      </c>
    </row>
    <row r="1615" customFormat="false" ht="16.4" hidden="false" customHeight="false" outlineLevel="0" collapsed="false">
      <c r="A1615" s="13" t="str">
        <f aca="false">""</f>
        <v/>
      </c>
      <c r="B1615" s="13" t="n">
        <f aca="false">147</f>
        <v>147</v>
      </c>
      <c r="C1615" s="13" t="n">
        <f aca="false">IF(Szenarien!$H$15="OK",(IFERROR(SUMIF(Nutzungsprofile!$B$6:$B$11,"Schulbetrieb",Nutzungsprofile!$G$6:$G$11)*Kalender!C151/SUM(Kalender!$C$5:$C$370),0)+IFERROR(SUMIF(Nutzungsprofile!$B$6:$B$11,"Halle",Nutzungsprofile!$G$6:$G$11)*Kalender!D151/SUM(Kalender!$D$5:$D$370),0)+IFERROR(SUMIF(Nutzungsprofile!$B$6:$B$11,"Individuell",Nutzungsprofile!$G$6:$G$11)*Kalender!E151/SUM(Kalender!$E$5:$E$370),0))*Szenarien!$E$15,0)</f>
        <v>2.94</v>
      </c>
      <c r="D1615" s="13" t="n">
        <f aca="false">IF(Szenarien!$H$15="OK",(IFERROR(SUMIF(Nutzungsprofile!$B$17:$B$22,"Schulbetrieb",Nutzungsprofile!$G$17:$G$22)*Kalender!C151/SUM(Kalender!$C$5:$C$370),0)+IFERROR(SUMIF(Nutzungsprofile!$B$17:$B$22,"Halle",Nutzungsprofile!$G$17:$G$22)*Kalender!D151/SUM(Kalender!$D$5:$D$370),0)+IFERROR(SUMIF(Nutzungsprofile!$B$17:$B$22,"Individuell",Nutzungsprofile!$G$17:$G$22)*Kalender!E151/SUM(Kalender!$E$5:$E$370),0))*Szenarien!$D$15,0)</f>
        <v>4.94</v>
      </c>
      <c r="E1615" s="13" t="n">
        <f aca="false">IFERROR(MIN(C1615,Eingaben!$B$17)*Eingaben!$B$16,0)</f>
        <v>2.793</v>
      </c>
      <c r="F1615" s="13" t="n">
        <f aca="false">IFERROR(E1615*Eingaben!$B$15,0)</f>
        <v>2.5137</v>
      </c>
      <c r="G1615" s="13" t="n">
        <f aca="false">IFERROR(IF(Kalender!A151="",0,J1614*(1-Eingaben!$B$20)),0)</f>
        <v>0.7390278</v>
      </c>
      <c r="H1615" s="13" t="n">
        <f aca="false">MIN(G1615,D1615)</f>
        <v>0.7390278</v>
      </c>
      <c r="I1615" s="13" t="n">
        <f aca="false">IFERROR(MIN(F1615*Eingaben!$B$19,MAX(0,D1615-H1615)),0)</f>
        <v>1.75959</v>
      </c>
      <c r="J1615" s="13" t="n">
        <f aca="false">IFERROR(MIN(Eingaben!$B$18,MAX(0,F1615-I1615)),0)</f>
        <v>0.75411</v>
      </c>
      <c r="K1615" s="13" t="n">
        <f aca="false">H1615+I1615</f>
        <v>2.4986178</v>
      </c>
      <c r="L1615" s="13" t="n">
        <f aca="false">MAX(0,D1615-K1615)</f>
        <v>2.4413822</v>
      </c>
      <c r="M1615" s="13" t="n">
        <f aca="false">MAX(0,F1615-I1615-J1615)</f>
        <v>0</v>
      </c>
      <c r="N1615" s="13" t="n">
        <f aca="false">IF(Kalender!A151="",0,J1614-H1615)</f>
        <v>0.0150822</v>
      </c>
    </row>
    <row r="1616" customFormat="false" ht="16.4" hidden="false" customHeight="false" outlineLevel="0" collapsed="false">
      <c r="A1616" s="13" t="str">
        <f aca="false">""</f>
        <v/>
      </c>
      <c r="B1616" s="13" t="n">
        <f aca="false">148</f>
        <v>148</v>
      </c>
      <c r="C1616" s="13" t="n">
        <f aca="false">IF(Szenarien!$H$15="OK",(IFERROR(SUMIF(Nutzungsprofile!$B$6:$B$11,"Schulbetrieb",Nutzungsprofile!$G$6:$G$11)*Kalender!C152/SUM(Kalender!$C$5:$C$370),0)+IFERROR(SUMIF(Nutzungsprofile!$B$6:$B$11,"Halle",Nutzungsprofile!$G$6:$G$11)*Kalender!D152/SUM(Kalender!$D$5:$D$370),0)+IFERROR(SUMIF(Nutzungsprofile!$B$6:$B$11,"Individuell",Nutzungsprofile!$G$6:$G$11)*Kalender!E152/SUM(Kalender!$E$5:$E$370),0))*Szenarien!$E$15,0)</f>
        <v>2.94</v>
      </c>
      <c r="D1616" s="13" t="n">
        <f aca="false">IF(Szenarien!$H$15="OK",(IFERROR(SUMIF(Nutzungsprofile!$B$17:$B$22,"Schulbetrieb",Nutzungsprofile!$G$17:$G$22)*Kalender!C152/SUM(Kalender!$C$5:$C$370),0)+IFERROR(SUMIF(Nutzungsprofile!$B$17:$B$22,"Halle",Nutzungsprofile!$G$17:$G$22)*Kalender!D152/SUM(Kalender!$D$5:$D$370),0)+IFERROR(SUMIF(Nutzungsprofile!$B$17:$B$22,"Individuell",Nutzungsprofile!$G$17:$G$22)*Kalender!E152/SUM(Kalender!$E$5:$E$370),0))*Szenarien!$D$15,0)</f>
        <v>4.94</v>
      </c>
      <c r="E1616" s="13" t="n">
        <f aca="false">IFERROR(MIN(C1616,Eingaben!$B$17)*Eingaben!$B$16,0)</f>
        <v>2.793</v>
      </c>
      <c r="F1616" s="13" t="n">
        <f aca="false">IFERROR(E1616*Eingaben!$B$15,0)</f>
        <v>2.5137</v>
      </c>
      <c r="G1616" s="13" t="n">
        <f aca="false">IFERROR(IF(Kalender!A152="",0,J1615*(1-Eingaben!$B$20)),0)</f>
        <v>0.7390278</v>
      </c>
      <c r="H1616" s="13" t="n">
        <f aca="false">MIN(G1616,D1616)</f>
        <v>0.7390278</v>
      </c>
      <c r="I1616" s="13" t="n">
        <f aca="false">IFERROR(MIN(F1616*Eingaben!$B$19,MAX(0,D1616-H1616)),0)</f>
        <v>1.75959</v>
      </c>
      <c r="J1616" s="13" t="n">
        <f aca="false">IFERROR(MIN(Eingaben!$B$18,MAX(0,F1616-I1616)),0)</f>
        <v>0.75411</v>
      </c>
      <c r="K1616" s="13" t="n">
        <f aca="false">H1616+I1616</f>
        <v>2.4986178</v>
      </c>
      <c r="L1616" s="13" t="n">
        <f aca="false">MAX(0,D1616-K1616)</f>
        <v>2.4413822</v>
      </c>
      <c r="M1616" s="13" t="n">
        <f aca="false">MAX(0,F1616-I1616-J1616)</f>
        <v>0</v>
      </c>
      <c r="N1616" s="13" t="n">
        <f aca="false">IF(Kalender!A152="",0,J1615-H1616)</f>
        <v>0.0150822</v>
      </c>
    </row>
    <row r="1617" customFormat="false" ht="16.4" hidden="false" customHeight="false" outlineLevel="0" collapsed="false">
      <c r="A1617" s="13" t="str">
        <f aca="false">""</f>
        <v/>
      </c>
      <c r="B1617" s="13" t="n">
        <f aca="false">149</f>
        <v>149</v>
      </c>
      <c r="C1617" s="13" t="n">
        <f aca="false">IF(Szenarien!$H$15="OK",(IFERROR(SUMIF(Nutzungsprofile!$B$6:$B$11,"Schulbetrieb",Nutzungsprofile!$G$6:$G$11)*Kalender!C153/SUM(Kalender!$C$5:$C$370),0)+IFERROR(SUMIF(Nutzungsprofile!$B$6:$B$11,"Halle",Nutzungsprofile!$G$6:$G$11)*Kalender!D153/SUM(Kalender!$D$5:$D$370),0)+IFERROR(SUMIF(Nutzungsprofile!$B$6:$B$11,"Individuell",Nutzungsprofile!$G$6:$G$11)*Kalender!E153/SUM(Kalender!$E$5:$E$370),0))*Szenarien!$E$15,0)</f>
        <v>2.94</v>
      </c>
      <c r="D1617" s="13" t="n">
        <f aca="false">IF(Szenarien!$H$15="OK",(IFERROR(SUMIF(Nutzungsprofile!$B$17:$B$22,"Schulbetrieb",Nutzungsprofile!$G$17:$G$22)*Kalender!C153/SUM(Kalender!$C$5:$C$370),0)+IFERROR(SUMIF(Nutzungsprofile!$B$17:$B$22,"Halle",Nutzungsprofile!$G$17:$G$22)*Kalender!D153/SUM(Kalender!$D$5:$D$370),0)+IFERROR(SUMIF(Nutzungsprofile!$B$17:$B$22,"Individuell",Nutzungsprofile!$G$17:$G$22)*Kalender!E153/SUM(Kalender!$E$5:$E$370),0))*Szenarien!$D$15,0)</f>
        <v>4.94</v>
      </c>
      <c r="E1617" s="13" t="n">
        <f aca="false">IFERROR(MIN(C1617,Eingaben!$B$17)*Eingaben!$B$16,0)</f>
        <v>2.793</v>
      </c>
      <c r="F1617" s="13" t="n">
        <f aca="false">IFERROR(E1617*Eingaben!$B$15,0)</f>
        <v>2.5137</v>
      </c>
      <c r="G1617" s="13" t="n">
        <f aca="false">IFERROR(IF(Kalender!A153="",0,J1616*(1-Eingaben!$B$20)),0)</f>
        <v>0.7390278</v>
      </c>
      <c r="H1617" s="13" t="n">
        <f aca="false">MIN(G1617,D1617)</f>
        <v>0.7390278</v>
      </c>
      <c r="I1617" s="13" t="n">
        <f aca="false">IFERROR(MIN(F1617*Eingaben!$B$19,MAX(0,D1617-H1617)),0)</f>
        <v>1.75959</v>
      </c>
      <c r="J1617" s="13" t="n">
        <f aca="false">IFERROR(MIN(Eingaben!$B$18,MAX(0,F1617-I1617)),0)</f>
        <v>0.75411</v>
      </c>
      <c r="K1617" s="13" t="n">
        <f aca="false">H1617+I1617</f>
        <v>2.4986178</v>
      </c>
      <c r="L1617" s="13" t="n">
        <f aca="false">MAX(0,D1617-K1617)</f>
        <v>2.4413822</v>
      </c>
      <c r="M1617" s="13" t="n">
        <f aca="false">MAX(0,F1617-I1617-J1617)</f>
        <v>0</v>
      </c>
      <c r="N1617" s="13" t="n">
        <f aca="false">IF(Kalender!A153="",0,J1616-H1617)</f>
        <v>0.0150822</v>
      </c>
    </row>
    <row r="1618" customFormat="false" ht="16.4" hidden="false" customHeight="false" outlineLevel="0" collapsed="false">
      <c r="A1618" s="13" t="str">
        <f aca="false">""</f>
        <v/>
      </c>
      <c r="B1618" s="13" t="n">
        <f aca="false">150</f>
        <v>150</v>
      </c>
      <c r="C1618" s="13" t="n">
        <f aca="false">IF(Szenarien!$H$15="OK",(IFERROR(SUMIF(Nutzungsprofile!$B$6:$B$11,"Schulbetrieb",Nutzungsprofile!$G$6:$G$11)*Kalender!C154/SUM(Kalender!$C$5:$C$370),0)+IFERROR(SUMIF(Nutzungsprofile!$B$6:$B$11,"Halle",Nutzungsprofile!$G$6:$G$11)*Kalender!D154/SUM(Kalender!$D$5:$D$370),0)+IFERROR(SUMIF(Nutzungsprofile!$B$6:$B$11,"Individuell",Nutzungsprofile!$G$6:$G$11)*Kalender!E154/SUM(Kalender!$E$5:$E$370),0))*Szenarien!$E$15,0)</f>
        <v>2.04</v>
      </c>
      <c r="D1618" s="13" t="n">
        <f aca="false">IF(Szenarien!$H$15="OK",(IFERROR(SUMIF(Nutzungsprofile!$B$17:$B$22,"Schulbetrieb",Nutzungsprofile!$G$17:$G$22)*Kalender!C154/SUM(Kalender!$C$5:$C$370),0)+IFERROR(SUMIF(Nutzungsprofile!$B$17:$B$22,"Halle",Nutzungsprofile!$G$17:$G$22)*Kalender!D154/SUM(Kalender!$D$5:$D$370),0)+IFERROR(SUMIF(Nutzungsprofile!$B$17:$B$22,"Individuell",Nutzungsprofile!$G$17:$G$22)*Kalender!E154/SUM(Kalender!$E$5:$E$370),0))*Szenarien!$D$15,0)</f>
        <v>0.89</v>
      </c>
      <c r="E1618" s="13" t="n">
        <f aca="false">IFERROR(MIN(C1618,Eingaben!$B$17)*Eingaben!$B$16,0)</f>
        <v>1.938</v>
      </c>
      <c r="F1618" s="13" t="n">
        <f aca="false">IFERROR(E1618*Eingaben!$B$15,0)</f>
        <v>1.7442</v>
      </c>
      <c r="G1618" s="13" t="n">
        <f aca="false">IFERROR(IF(Kalender!A154="",0,J1617*(1-Eingaben!$B$20)),0)</f>
        <v>0.7390278</v>
      </c>
      <c r="H1618" s="13" t="n">
        <f aca="false">MIN(G1618,D1618)</f>
        <v>0.7390278</v>
      </c>
      <c r="I1618" s="13" t="n">
        <f aca="false">IFERROR(MIN(F1618*Eingaben!$B$19,MAX(0,D1618-H1618)),0)</f>
        <v>0.1509722</v>
      </c>
      <c r="J1618" s="13" t="n">
        <f aca="false">IFERROR(MIN(Eingaben!$B$18,MAX(0,F1618-I1618)),0)</f>
        <v>1.5932278</v>
      </c>
      <c r="K1618" s="13" t="n">
        <f aca="false">H1618+I1618</f>
        <v>0.89</v>
      </c>
      <c r="L1618" s="13" t="n">
        <f aca="false">MAX(0,D1618-K1618)</f>
        <v>0</v>
      </c>
      <c r="M1618" s="13" t="n">
        <f aca="false">MAX(0,F1618-I1618-J1618)</f>
        <v>0</v>
      </c>
      <c r="N1618" s="13" t="n">
        <f aca="false">IF(Kalender!A154="",0,J1617-H1618)</f>
        <v>0.0150822</v>
      </c>
    </row>
    <row r="1619" customFormat="false" ht="16.4" hidden="false" customHeight="false" outlineLevel="0" collapsed="false">
      <c r="A1619" s="13" t="str">
        <f aca="false">""</f>
        <v/>
      </c>
      <c r="B1619" s="13" t="n">
        <f aca="false">151</f>
        <v>151</v>
      </c>
      <c r="C1619" s="13" t="n">
        <f aca="false">IF(Szenarien!$H$15="OK",(IFERROR(SUMIF(Nutzungsprofile!$B$6:$B$11,"Schulbetrieb",Nutzungsprofile!$G$6:$G$11)*Kalender!C155/SUM(Kalender!$C$5:$C$370),0)+IFERROR(SUMIF(Nutzungsprofile!$B$6:$B$11,"Halle",Nutzungsprofile!$G$6:$G$11)*Kalender!D155/SUM(Kalender!$D$5:$D$370),0)+IFERROR(SUMIF(Nutzungsprofile!$B$6:$B$11,"Individuell",Nutzungsprofile!$G$6:$G$11)*Kalender!E155/SUM(Kalender!$E$5:$E$370),0))*Szenarien!$E$15,0)</f>
        <v>2.04</v>
      </c>
      <c r="D1619" s="13" t="n">
        <f aca="false">IF(Szenarien!$H$15="OK",(IFERROR(SUMIF(Nutzungsprofile!$B$17:$B$22,"Schulbetrieb",Nutzungsprofile!$G$17:$G$22)*Kalender!C155/SUM(Kalender!$C$5:$C$370),0)+IFERROR(SUMIF(Nutzungsprofile!$B$17:$B$22,"Halle",Nutzungsprofile!$G$17:$G$22)*Kalender!D155/SUM(Kalender!$D$5:$D$370),0)+IFERROR(SUMIF(Nutzungsprofile!$B$17:$B$22,"Individuell",Nutzungsprofile!$G$17:$G$22)*Kalender!E155/SUM(Kalender!$E$5:$E$370),0))*Szenarien!$D$15,0)</f>
        <v>0.89</v>
      </c>
      <c r="E1619" s="13" t="n">
        <f aca="false">IFERROR(MIN(C1619,Eingaben!$B$17)*Eingaben!$B$16,0)</f>
        <v>1.938</v>
      </c>
      <c r="F1619" s="13" t="n">
        <f aca="false">IFERROR(E1619*Eingaben!$B$15,0)</f>
        <v>1.7442</v>
      </c>
      <c r="G1619" s="13" t="n">
        <f aca="false">IFERROR(IF(Kalender!A155="",0,J1618*(1-Eingaben!$B$20)),0)</f>
        <v>1.561363244</v>
      </c>
      <c r="H1619" s="13" t="n">
        <f aca="false">MIN(G1619,D1619)</f>
        <v>0.89</v>
      </c>
      <c r="I1619" s="13" t="n">
        <f aca="false">IFERROR(MIN(F1619*Eingaben!$B$19,MAX(0,D1619-H1619)),0)</f>
        <v>0</v>
      </c>
      <c r="J1619" s="13" t="n">
        <f aca="false">IFERROR(MIN(Eingaben!$B$18,MAX(0,F1619-I1619)),0)</f>
        <v>1.7442</v>
      </c>
      <c r="K1619" s="13" t="n">
        <f aca="false">H1619+I1619</f>
        <v>0.89</v>
      </c>
      <c r="L1619" s="13" t="n">
        <f aca="false">MAX(0,D1619-K1619)</f>
        <v>0</v>
      </c>
      <c r="M1619" s="13" t="n">
        <f aca="false">MAX(0,F1619-I1619-J1619)</f>
        <v>0</v>
      </c>
      <c r="N1619" s="13" t="n">
        <f aca="false">IF(Kalender!A155="",0,J1618-H1619)</f>
        <v>0.7032278</v>
      </c>
    </row>
    <row r="1620" customFormat="false" ht="16.4" hidden="false" customHeight="false" outlineLevel="0" collapsed="false">
      <c r="A1620" s="13" t="str">
        <f aca="false">""</f>
        <v/>
      </c>
      <c r="B1620" s="13" t="n">
        <f aca="false">152</f>
        <v>152</v>
      </c>
      <c r="C1620" s="13" t="n">
        <f aca="false">IF(Szenarien!$H$15="OK",(IFERROR(SUMIF(Nutzungsprofile!$B$6:$B$11,"Schulbetrieb",Nutzungsprofile!$G$6:$G$11)*Kalender!C156/SUM(Kalender!$C$5:$C$370),0)+IFERROR(SUMIF(Nutzungsprofile!$B$6:$B$11,"Halle",Nutzungsprofile!$G$6:$G$11)*Kalender!D156/SUM(Kalender!$D$5:$D$370),0)+IFERROR(SUMIF(Nutzungsprofile!$B$6:$B$11,"Individuell",Nutzungsprofile!$G$6:$G$11)*Kalender!E156/SUM(Kalender!$E$5:$E$370),0))*Szenarien!$E$15,0)</f>
        <v>2.94</v>
      </c>
      <c r="D1620" s="13" t="n">
        <f aca="false">IF(Szenarien!$H$15="OK",(IFERROR(SUMIF(Nutzungsprofile!$B$17:$B$22,"Schulbetrieb",Nutzungsprofile!$G$17:$G$22)*Kalender!C156/SUM(Kalender!$C$5:$C$370),0)+IFERROR(SUMIF(Nutzungsprofile!$B$17:$B$22,"Halle",Nutzungsprofile!$G$17:$G$22)*Kalender!D156/SUM(Kalender!$D$5:$D$370),0)+IFERROR(SUMIF(Nutzungsprofile!$B$17:$B$22,"Individuell",Nutzungsprofile!$G$17:$G$22)*Kalender!E156/SUM(Kalender!$E$5:$E$370),0))*Szenarien!$D$15,0)</f>
        <v>4.94</v>
      </c>
      <c r="E1620" s="13" t="n">
        <f aca="false">IFERROR(MIN(C1620,Eingaben!$B$17)*Eingaben!$B$16,0)</f>
        <v>2.793</v>
      </c>
      <c r="F1620" s="13" t="n">
        <f aca="false">IFERROR(E1620*Eingaben!$B$15,0)</f>
        <v>2.5137</v>
      </c>
      <c r="G1620" s="13" t="n">
        <f aca="false">IFERROR(IF(Kalender!A156="",0,J1619*(1-Eingaben!$B$20)),0)</f>
        <v>1.709316</v>
      </c>
      <c r="H1620" s="13" t="n">
        <f aca="false">MIN(G1620,D1620)</f>
        <v>1.709316</v>
      </c>
      <c r="I1620" s="13" t="n">
        <f aca="false">IFERROR(MIN(F1620*Eingaben!$B$19,MAX(0,D1620-H1620)),0)</f>
        <v>1.75959</v>
      </c>
      <c r="J1620" s="13" t="n">
        <f aca="false">IFERROR(MIN(Eingaben!$B$18,MAX(0,F1620-I1620)),0)</f>
        <v>0.75411</v>
      </c>
      <c r="K1620" s="13" t="n">
        <f aca="false">H1620+I1620</f>
        <v>3.468906</v>
      </c>
      <c r="L1620" s="13" t="n">
        <f aca="false">MAX(0,D1620-K1620)</f>
        <v>1.471094</v>
      </c>
      <c r="M1620" s="13" t="n">
        <f aca="false">MAX(0,F1620-I1620-J1620)</f>
        <v>0</v>
      </c>
      <c r="N1620" s="13" t="n">
        <f aca="false">IF(Kalender!A156="",0,J1619-H1620)</f>
        <v>0.0348840000000001</v>
      </c>
    </row>
    <row r="1621" customFormat="false" ht="16.4" hidden="false" customHeight="false" outlineLevel="0" collapsed="false">
      <c r="A1621" s="13" t="str">
        <f aca="false">""</f>
        <v/>
      </c>
      <c r="B1621" s="13" t="n">
        <f aca="false">153</f>
        <v>153</v>
      </c>
      <c r="C1621" s="13" t="n">
        <f aca="false">IF(Szenarien!$H$15="OK",(IFERROR(SUMIF(Nutzungsprofile!$B$6:$B$11,"Schulbetrieb",Nutzungsprofile!$G$6:$G$11)*Kalender!C157/SUM(Kalender!$C$5:$C$370),0)+IFERROR(SUMIF(Nutzungsprofile!$B$6:$B$11,"Halle",Nutzungsprofile!$G$6:$G$11)*Kalender!D157/SUM(Kalender!$D$5:$D$370),0)+IFERROR(SUMIF(Nutzungsprofile!$B$6:$B$11,"Individuell",Nutzungsprofile!$G$6:$G$11)*Kalender!E157/SUM(Kalender!$E$5:$E$370),0))*Szenarien!$E$15,0)</f>
        <v>2.94</v>
      </c>
      <c r="D1621" s="13" t="n">
        <f aca="false">IF(Szenarien!$H$15="OK",(IFERROR(SUMIF(Nutzungsprofile!$B$17:$B$22,"Schulbetrieb",Nutzungsprofile!$G$17:$G$22)*Kalender!C157/SUM(Kalender!$C$5:$C$370),0)+IFERROR(SUMIF(Nutzungsprofile!$B$17:$B$22,"Halle",Nutzungsprofile!$G$17:$G$22)*Kalender!D157/SUM(Kalender!$D$5:$D$370),0)+IFERROR(SUMIF(Nutzungsprofile!$B$17:$B$22,"Individuell",Nutzungsprofile!$G$17:$G$22)*Kalender!E157/SUM(Kalender!$E$5:$E$370),0))*Szenarien!$D$15,0)</f>
        <v>4.94</v>
      </c>
      <c r="E1621" s="13" t="n">
        <f aca="false">IFERROR(MIN(C1621,Eingaben!$B$17)*Eingaben!$B$16,0)</f>
        <v>2.793</v>
      </c>
      <c r="F1621" s="13" t="n">
        <f aca="false">IFERROR(E1621*Eingaben!$B$15,0)</f>
        <v>2.5137</v>
      </c>
      <c r="G1621" s="13" t="n">
        <f aca="false">IFERROR(IF(Kalender!A157="",0,J1620*(1-Eingaben!$B$20)),0)</f>
        <v>0.7390278</v>
      </c>
      <c r="H1621" s="13" t="n">
        <f aca="false">MIN(G1621,D1621)</f>
        <v>0.7390278</v>
      </c>
      <c r="I1621" s="13" t="n">
        <f aca="false">IFERROR(MIN(F1621*Eingaben!$B$19,MAX(0,D1621-H1621)),0)</f>
        <v>1.75959</v>
      </c>
      <c r="J1621" s="13" t="n">
        <f aca="false">IFERROR(MIN(Eingaben!$B$18,MAX(0,F1621-I1621)),0)</f>
        <v>0.75411</v>
      </c>
      <c r="K1621" s="13" t="n">
        <f aca="false">H1621+I1621</f>
        <v>2.4986178</v>
      </c>
      <c r="L1621" s="13" t="n">
        <f aca="false">MAX(0,D1621-K1621)</f>
        <v>2.4413822</v>
      </c>
      <c r="M1621" s="13" t="n">
        <f aca="false">MAX(0,F1621-I1621-J1621)</f>
        <v>0</v>
      </c>
      <c r="N1621" s="13" t="n">
        <f aca="false">IF(Kalender!A157="",0,J1620-H1621)</f>
        <v>0.0150822</v>
      </c>
    </row>
    <row r="1622" customFormat="false" ht="16.4" hidden="false" customHeight="false" outlineLevel="0" collapsed="false">
      <c r="A1622" s="13" t="str">
        <f aca="false">""</f>
        <v/>
      </c>
      <c r="B1622" s="13" t="n">
        <f aca="false">154</f>
        <v>154</v>
      </c>
      <c r="C1622" s="13" t="n">
        <f aca="false">IF(Szenarien!$H$15="OK",(IFERROR(SUMIF(Nutzungsprofile!$B$6:$B$11,"Schulbetrieb",Nutzungsprofile!$G$6:$G$11)*Kalender!C158/SUM(Kalender!$C$5:$C$370),0)+IFERROR(SUMIF(Nutzungsprofile!$B$6:$B$11,"Halle",Nutzungsprofile!$G$6:$G$11)*Kalender!D158/SUM(Kalender!$D$5:$D$370),0)+IFERROR(SUMIF(Nutzungsprofile!$B$6:$B$11,"Individuell",Nutzungsprofile!$G$6:$G$11)*Kalender!E158/SUM(Kalender!$E$5:$E$370),0))*Szenarien!$E$15,0)</f>
        <v>2.94</v>
      </c>
      <c r="D1622" s="13" t="n">
        <f aca="false">IF(Szenarien!$H$15="OK",(IFERROR(SUMIF(Nutzungsprofile!$B$17:$B$22,"Schulbetrieb",Nutzungsprofile!$G$17:$G$22)*Kalender!C158/SUM(Kalender!$C$5:$C$370),0)+IFERROR(SUMIF(Nutzungsprofile!$B$17:$B$22,"Halle",Nutzungsprofile!$G$17:$G$22)*Kalender!D158/SUM(Kalender!$D$5:$D$370),0)+IFERROR(SUMIF(Nutzungsprofile!$B$17:$B$22,"Individuell",Nutzungsprofile!$G$17:$G$22)*Kalender!E158/SUM(Kalender!$E$5:$E$370),0))*Szenarien!$D$15,0)</f>
        <v>4.94</v>
      </c>
      <c r="E1622" s="13" t="n">
        <f aca="false">IFERROR(MIN(C1622,Eingaben!$B$17)*Eingaben!$B$16,0)</f>
        <v>2.793</v>
      </c>
      <c r="F1622" s="13" t="n">
        <f aca="false">IFERROR(E1622*Eingaben!$B$15,0)</f>
        <v>2.5137</v>
      </c>
      <c r="G1622" s="13" t="n">
        <f aca="false">IFERROR(IF(Kalender!A158="",0,J1621*(1-Eingaben!$B$20)),0)</f>
        <v>0.7390278</v>
      </c>
      <c r="H1622" s="13" t="n">
        <f aca="false">MIN(G1622,D1622)</f>
        <v>0.7390278</v>
      </c>
      <c r="I1622" s="13" t="n">
        <f aca="false">IFERROR(MIN(F1622*Eingaben!$B$19,MAX(0,D1622-H1622)),0)</f>
        <v>1.75959</v>
      </c>
      <c r="J1622" s="13" t="n">
        <f aca="false">IFERROR(MIN(Eingaben!$B$18,MAX(0,F1622-I1622)),0)</f>
        <v>0.75411</v>
      </c>
      <c r="K1622" s="13" t="n">
        <f aca="false">H1622+I1622</f>
        <v>2.4986178</v>
      </c>
      <c r="L1622" s="13" t="n">
        <f aca="false">MAX(0,D1622-K1622)</f>
        <v>2.4413822</v>
      </c>
      <c r="M1622" s="13" t="n">
        <f aca="false">MAX(0,F1622-I1622-J1622)</f>
        <v>0</v>
      </c>
      <c r="N1622" s="13" t="n">
        <f aca="false">IF(Kalender!A158="",0,J1621-H1622)</f>
        <v>0.0150822</v>
      </c>
    </row>
    <row r="1623" customFormat="false" ht="16.4" hidden="false" customHeight="false" outlineLevel="0" collapsed="false">
      <c r="A1623" s="13" t="str">
        <f aca="false">""</f>
        <v/>
      </c>
      <c r="B1623" s="13" t="n">
        <f aca="false">155</f>
        <v>155</v>
      </c>
      <c r="C1623" s="13" t="n">
        <f aca="false">IF(Szenarien!$H$15="OK",(IFERROR(SUMIF(Nutzungsprofile!$B$6:$B$11,"Schulbetrieb",Nutzungsprofile!$G$6:$G$11)*Kalender!C159/SUM(Kalender!$C$5:$C$370),0)+IFERROR(SUMIF(Nutzungsprofile!$B$6:$B$11,"Halle",Nutzungsprofile!$G$6:$G$11)*Kalender!D159/SUM(Kalender!$D$5:$D$370),0)+IFERROR(SUMIF(Nutzungsprofile!$B$6:$B$11,"Individuell",Nutzungsprofile!$G$6:$G$11)*Kalender!E159/SUM(Kalender!$E$5:$E$370),0))*Szenarien!$E$15,0)</f>
        <v>2.94</v>
      </c>
      <c r="D1623" s="13" t="n">
        <f aca="false">IF(Szenarien!$H$15="OK",(IFERROR(SUMIF(Nutzungsprofile!$B$17:$B$22,"Schulbetrieb",Nutzungsprofile!$G$17:$G$22)*Kalender!C159/SUM(Kalender!$C$5:$C$370),0)+IFERROR(SUMIF(Nutzungsprofile!$B$17:$B$22,"Halle",Nutzungsprofile!$G$17:$G$22)*Kalender!D159/SUM(Kalender!$D$5:$D$370),0)+IFERROR(SUMIF(Nutzungsprofile!$B$17:$B$22,"Individuell",Nutzungsprofile!$G$17:$G$22)*Kalender!E159/SUM(Kalender!$E$5:$E$370),0))*Szenarien!$D$15,0)</f>
        <v>4.94</v>
      </c>
      <c r="E1623" s="13" t="n">
        <f aca="false">IFERROR(MIN(C1623,Eingaben!$B$17)*Eingaben!$B$16,0)</f>
        <v>2.793</v>
      </c>
      <c r="F1623" s="13" t="n">
        <f aca="false">IFERROR(E1623*Eingaben!$B$15,0)</f>
        <v>2.5137</v>
      </c>
      <c r="G1623" s="13" t="n">
        <f aca="false">IFERROR(IF(Kalender!A159="",0,J1622*(1-Eingaben!$B$20)),0)</f>
        <v>0.7390278</v>
      </c>
      <c r="H1623" s="13" t="n">
        <f aca="false">MIN(G1623,D1623)</f>
        <v>0.7390278</v>
      </c>
      <c r="I1623" s="13" t="n">
        <f aca="false">IFERROR(MIN(F1623*Eingaben!$B$19,MAX(0,D1623-H1623)),0)</f>
        <v>1.75959</v>
      </c>
      <c r="J1623" s="13" t="n">
        <f aca="false">IFERROR(MIN(Eingaben!$B$18,MAX(0,F1623-I1623)),0)</f>
        <v>0.75411</v>
      </c>
      <c r="K1623" s="13" t="n">
        <f aca="false">H1623+I1623</f>
        <v>2.4986178</v>
      </c>
      <c r="L1623" s="13" t="n">
        <f aca="false">MAX(0,D1623-K1623)</f>
        <v>2.4413822</v>
      </c>
      <c r="M1623" s="13" t="n">
        <f aca="false">MAX(0,F1623-I1623-J1623)</f>
        <v>0</v>
      </c>
      <c r="N1623" s="13" t="n">
        <f aca="false">IF(Kalender!A159="",0,J1622-H1623)</f>
        <v>0.0150822</v>
      </c>
    </row>
    <row r="1624" customFormat="false" ht="16.4" hidden="false" customHeight="false" outlineLevel="0" collapsed="false">
      <c r="A1624" s="13" t="str">
        <f aca="false">""</f>
        <v/>
      </c>
      <c r="B1624" s="13" t="n">
        <f aca="false">156</f>
        <v>156</v>
      </c>
      <c r="C1624" s="13" t="n">
        <f aca="false">IF(Szenarien!$H$15="OK",(IFERROR(SUMIF(Nutzungsprofile!$B$6:$B$11,"Schulbetrieb",Nutzungsprofile!$G$6:$G$11)*Kalender!C160/SUM(Kalender!$C$5:$C$370),0)+IFERROR(SUMIF(Nutzungsprofile!$B$6:$B$11,"Halle",Nutzungsprofile!$G$6:$G$11)*Kalender!D160/SUM(Kalender!$D$5:$D$370),0)+IFERROR(SUMIF(Nutzungsprofile!$B$6:$B$11,"Individuell",Nutzungsprofile!$G$6:$G$11)*Kalender!E160/SUM(Kalender!$E$5:$E$370),0))*Szenarien!$E$15,0)</f>
        <v>2.94</v>
      </c>
      <c r="D1624" s="13" t="n">
        <f aca="false">IF(Szenarien!$H$15="OK",(IFERROR(SUMIF(Nutzungsprofile!$B$17:$B$22,"Schulbetrieb",Nutzungsprofile!$G$17:$G$22)*Kalender!C160/SUM(Kalender!$C$5:$C$370),0)+IFERROR(SUMIF(Nutzungsprofile!$B$17:$B$22,"Halle",Nutzungsprofile!$G$17:$G$22)*Kalender!D160/SUM(Kalender!$D$5:$D$370),0)+IFERROR(SUMIF(Nutzungsprofile!$B$17:$B$22,"Individuell",Nutzungsprofile!$G$17:$G$22)*Kalender!E160/SUM(Kalender!$E$5:$E$370),0))*Szenarien!$D$15,0)</f>
        <v>4.94</v>
      </c>
      <c r="E1624" s="13" t="n">
        <f aca="false">IFERROR(MIN(C1624,Eingaben!$B$17)*Eingaben!$B$16,0)</f>
        <v>2.793</v>
      </c>
      <c r="F1624" s="13" t="n">
        <f aca="false">IFERROR(E1624*Eingaben!$B$15,0)</f>
        <v>2.5137</v>
      </c>
      <c r="G1624" s="13" t="n">
        <f aca="false">IFERROR(IF(Kalender!A160="",0,J1623*(1-Eingaben!$B$20)),0)</f>
        <v>0.7390278</v>
      </c>
      <c r="H1624" s="13" t="n">
        <f aca="false">MIN(G1624,D1624)</f>
        <v>0.7390278</v>
      </c>
      <c r="I1624" s="13" t="n">
        <f aca="false">IFERROR(MIN(F1624*Eingaben!$B$19,MAX(0,D1624-H1624)),0)</f>
        <v>1.75959</v>
      </c>
      <c r="J1624" s="13" t="n">
        <f aca="false">IFERROR(MIN(Eingaben!$B$18,MAX(0,F1624-I1624)),0)</f>
        <v>0.75411</v>
      </c>
      <c r="K1624" s="13" t="n">
        <f aca="false">H1624+I1624</f>
        <v>2.4986178</v>
      </c>
      <c r="L1624" s="13" t="n">
        <f aca="false">MAX(0,D1624-K1624)</f>
        <v>2.4413822</v>
      </c>
      <c r="M1624" s="13" t="n">
        <f aca="false">MAX(0,F1624-I1624-J1624)</f>
        <v>0</v>
      </c>
      <c r="N1624" s="13" t="n">
        <f aca="false">IF(Kalender!A160="",0,J1623-H1624)</f>
        <v>0.0150822</v>
      </c>
    </row>
    <row r="1625" customFormat="false" ht="16.4" hidden="false" customHeight="false" outlineLevel="0" collapsed="false">
      <c r="A1625" s="13" t="str">
        <f aca="false">""</f>
        <v/>
      </c>
      <c r="B1625" s="13" t="n">
        <f aca="false">157</f>
        <v>157</v>
      </c>
      <c r="C1625" s="13" t="n">
        <f aca="false">IF(Szenarien!$H$15="OK",(IFERROR(SUMIF(Nutzungsprofile!$B$6:$B$11,"Schulbetrieb",Nutzungsprofile!$G$6:$G$11)*Kalender!C161/SUM(Kalender!$C$5:$C$370),0)+IFERROR(SUMIF(Nutzungsprofile!$B$6:$B$11,"Halle",Nutzungsprofile!$G$6:$G$11)*Kalender!D161/SUM(Kalender!$D$5:$D$370),0)+IFERROR(SUMIF(Nutzungsprofile!$B$6:$B$11,"Individuell",Nutzungsprofile!$G$6:$G$11)*Kalender!E161/SUM(Kalender!$E$5:$E$370),0))*Szenarien!$E$15,0)</f>
        <v>2.04</v>
      </c>
      <c r="D1625" s="13" t="n">
        <f aca="false">IF(Szenarien!$H$15="OK",(IFERROR(SUMIF(Nutzungsprofile!$B$17:$B$22,"Schulbetrieb",Nutzungsprofile!$G$17:$G$22)*Kalender!C161/SUM(Kalender!$C$5:$C$370),0)+IFERROR(SUMIF(Nutzungsprofile!$B$17:$B$22,"Halle",Nutzungsprofile!$G$17:$G$22)*Kalender!D161/SUM(Kalender!$D$5:$D$370),0)+IFERROR(SUMIF(Nutzungsprofile!$B$17:$B$22,"Individuell",Nutzungsprofile!$G$17:$G$22)*Kalender!E161/SUM(Kalender!$E$5:$E$370),0))*Szenarien!$D$15,0)</f>
        <v>0.89</v>
      </c>
      <c r="E1625" s="13" t="n">
        <f aca="false">IFERROR(MIN(C1625,Eingaben!$B$17)*Eingaben!$B$16,0)</f>
        <v>1.938</v>
      </c>
      <c r="F1625" s="13" t="n">
        <f aca="false">IFERROR(E1625*Eingaben!$B$15,0)</f>
        <v>1.7442</v>
      </c>
      <c r="G1625" s="13" t="n">
        <f aca="false">IFERROR(IF(Kalender!A161="",0,J1624*(1-Eingaben!$B$20)),0)</f>
        <v>0.7390278</v>
      </c>
      <c r="H1625" s="13" t="n">
        <f aca="false">MIN(G1625,D1625)</f>
        <v>0.7390278</v>
      </c>
      <c r="I1625" s="13" t="n">
        <f aca="false">IFERROR(MIN(F1625*Eingaben!$B$19,MAX(0,D1625-H1625)),0)</f>
        <v>0.1509722</v>
      </c>
      <c r="J1625" s="13" t="n">
        <f aca="false">IFERROR(MIN(Eingaben!$B$18,MAX(0,F1625-I1625)),0)</f>
        <v>1.5932278</v>
      </c>
      <c r="K1625" s="13" t="n">
        <f aca="false">H1625+I1625</f>
        <v>0.89</v>
      </c>
      <c r="L1625" s="13" t="n">
        <f aca="false">MAX(0,D1625-K1625)</f>
        <v>0</v>
      </c>
      <c r="M1625" s="13" t="n">
        <f aca="false">MAX(0,F1625-I1625-J1625)</f>
        <v>0</v>
      </c>
      <c r="N1625" s="13" t="n">
        <f aca="false">IF(Kalender!A161="",0,J1624-H1625)</f>
        <v>0.0150822</v>
      </c>
    </row>
    <row r="1626" customFormat="false" ht="16.4" hidden="false" customHeight="false" outlineLevel="0" collapsed="false">
      <c r="A1626" s="13" t="str">
        <f aca="false">""</f>
        <v/>
      </c>
      <c r="B1626" s="13" t="n">
        <f aca="false">158</f>
        <v>158</v>
      </c>
      <c r="C1626" s="13" t="n">
        <f aca="false">IF(Szenarien!$H$15="OK",(IFERROR(SUMIF(Nutzungsprofile!$B$6:$B$11,"Schulbetrieb",Nutzungsprofile!$G$6:$G$11)*Kalender!C162/SUM(Kalender!$C$5:$C$370),0)+IFERROR(SUMIF(Nutzungsprofile!$B$6:$B$11,"Halle",Nutzungsprofile!$G$6:$G$11)*Kalender!D162/SUM(Kalender!$D$5:$D$370),0)+IFERROR(SUMIF(Nutzungsprofile!$B$6:$B$11,"Individuell",Nutzungsprofile!$G$6:$G$11)*Kalender!E162/SUM(Kalender!$E$5:$E$370),0))*Szenarien!$E$15,0)</f>
        <v>2.04</v>
      </c>
      <c r="D1626" s="13" t="n">
        <f aca="false">IF(Szenarien!$H$15="OK",(IFERROR(SUMIF(Nutzungsprofile!$B$17:$B$22,"Schulbetrieb",Nutzungsprofile!$G$17:$G$22)*Kalender!C162/SUM(Kalender!$C$5:$C$370),0)+IFERROR(SUMIF(Nutzungsprofile!$B$17:$B$22,"Halle",Nutzungsprofile!$G$17:$G$22)*Kalender!D162/SUM(Kalender!$D$5:$D$370),0)+IFERROR(SUMIF(Nutzungsprofile!$B$17:$B$22,"Individuell",Nutzungsprofile!$G$17:$G$22)*Kalender!E162/SUM(Kalender!$E$5:$E$370),0))*Szenarien!$D$15,0)</f>
        <v>0.89</v>
      </c>
      <c r="E1626" s="13" t="n">
        <f aca="false">IFERROR(MIN(C1626,Eingaben!$B$17)*Eingaben!$B$16,0)</f>
        <v>1.938</v>
      </c>
      <c r="F1626" s="13" t="n">
        <f aca="false">IFERROR(E1626*Eingaben!$B$15,0)</f>
        <v>1.7442</v>
      </c>
      <c r="G1626" s="13" t="n">
        <f aca="false">IFERROR(IF(Kalender!A162="",0,J1625*(1-Eingaben!$B$20)),0)</f>
        <v>1.561363244</v>
      </c>
      <c r="H1626" s="13" t="n">
        <f aca="false">MIN(G1626,D1626)</f>
        <v>0.89</v>
      </c>
      <c r="I1626" s="13" t="n">
        <f aca="false">IFERROR(MIN(F1626*Eingaben!$B$19,MAX(0,D1626-H1626)),0)</f>
        <v>0</v>
      </c>
      <c r="J1626" s="13" t="n">
        <f aca="false">IFERROR(MIN(Eingaben!$B$18,MAX(0,F1626-I1626)),0)</f>
        <v>1.7442</v>
      </c>
      <c r="K1626" s="13" t="n">
        <f aca="false">H1626+I1626</f>
        <v>0.89</v>
      </c>
      <c r="L1626" s="13" t="n">
        <f aca="false">MAX(0,D1626-K1626)</f>
        <v>0</v>
      </c>
      <c r="M1626" s="13" t="n">
        <f aca="false">MAX(0,F1626-I1626-J1626)</f>
        <v>0</v>
      </c>
      <c r="N1626" s="13" t="n">
        <f aca="false">IF(Kalender!A162="",0,J1625-H1626)</f>
        <v>0.7032278</v>
      </c>
    </row>
    <row r="1627" customFormat="false" ht="16.4" hidden="false" customHeight="false" outlineLevel="0" collapsed="false">
      <c r="A1627" s="13" t="str">
        <f aca="false">""</f>
        <v/>
      </c>
      <c r="B1627" s="13" t="n">
        <f aca="false">159</f>
        <v>159</v>
      </c>
      <c r="C1627" s="13" t="n">
        <f aca="false">IF(Szenarien!$H$15="OK",(IFERROR(SUMIF(Nutzungsprofile!$B$6:$B$11,"Schulbetrieb",Nutzungsprofile!$G$6:$G$11)*Kalender!C163/SUM(Kalender!$C$5:$C$370),0)+IFERROR(SUMIF(Nutzungsprofile!$B$6:$B$11,"Halle",Nutzungsprofile!$G$6:$G$11)*Kalender!D163/SUM(Kalender!$D$5:$D$370),0)+IFERROR(SUMIF(Nutzungsprofile!$B$6:$B$11,"Individuell",Nutzungsprofile!$G$6:$G$11)*Kalender!E163/SUM(Kalender!$E$5:$E$370),0))*Szenarien!$E$15,0)</f>
        <v>2.94</v>
      </c>
      <c r="D1627" s="13" t="n">
        <f aca="false">IF(Szenarien!$H$15="OK",(IFERROR(SUMIF(Nutzungsprofile!$B$17:$B$22,"Schulbetrieb",Nutzungsprofile!$G$17:$G$22)*Kalender!C163/SUM(Kalender!$C$5:$C$370),0)+IFERROR(SUMIF(Nutzungsprofile!$B$17:$B$22,"Halle",Nutzungsprofile!$G$17:$G$22)*Kalender!D163/SUM(Kalender!$D$5:$D$370),0)+IFERROR(SUMIF(Nutzungsprofile!$B$17:$B$22,"Individuell",Nutzungsprofile!$G$17:$G$22)*Kalender!E163/SUM(Kalender!$E$5:$E$370),0))*Szenarien!$D$15,0)</f>
        <v>4.94</v>
      </c>
      <c r="E1627" s="13" t="n">
        <f aca="false">IFERROR(MIN(C1627,Eingaben!$B$17)*Eingaben!$B$16,0)</f>
        <v>2.793</v>
      </c>
      <c r="F1627" s="13" t="n">
        <f aca="false">IFERROR(E1627*Eingaben!$B$15,0)</f>
        <v>2.5137</v>
      </c>
      <c r="G1627" s="13" t="n">
        <f aca="false">IFERROR(IF(Kalender!A163="",0,J1626*(1-Eingaben!$B$20)),0)</f>
        <v>1.709316</v>
      </c>
      <c r="H1627" s="13" t="n">
        <f aca="false">MIN(G1627,D1627)</f>
        <v>1.709316</v>
      </c>
      <c r="I1627" s="13" t="n">
        <f aca="false">IFERROR(MIN(F1627*Eingaben!$B$19,MAX(0,D1627-H1627)),0)</f>
        <v>1.75959</v>
      </c>
      <c r="J1627" s="13" t="n">
        <f aca="false">IFERROR(MIN(Eingaben!$B$18,MAX(0,F1627-I1627)),0)</f>
        <v>0.75411</v>
      </c>
      <c r="K1627" s="13" t="n">
        <f aca="false">H1627+I1627</f>
        <v>3.468906</v>
      </c>
      <c r="L1627" s="13" t="n">
        <f aca="false">MAX(0,D1627-K1627)</f>
        <v>1.471094</v>
      </c>
      <c r="M1627" s="13" t="n">
        <f aca="false">MAX(0,F1627-I1627-J1627)</f>
        <v>0</v>
      </c>
      <c r="N1627" s="13" t="n">
        <f aca="false">IF(Kalender!A163="",0,J1626-H1627)</f>
        <v>0.0348840000000001</v>
      </c>
    </row>
    <row r="1628" customFormat="false" ht="16.4" hidden="false" customHeight="false" outlineLevel="0" collapsed="false">
      <c r="A1628" s="13" t="str">
        <f aca="false">""</f>
        <v/>
      </c>
      <c r="B1628" s="13" t="n">
        <f aca="false">160</f>
        <v>160</v>
      </c>
      <c r="C1628" s="13" t="n">
        <f aca="false">IF(Szenarien!$H$15="OK",(IFERROR(SUMIF(Nutzungsprofile!$B$6:$B$11,"Schulbetrieb",Nutzungsprofile!$G$6:$G$11)*Kalender!C164/SUM(Kalender!$C$5:$C$370),0)+IFERROR(SUMIF(Nutzungsprofile!$B$6:$B$11,"Halle",Nutzungsprofile!$G$6:$G$11)*Kalender!D164/SUM(Kalender!$D$5:$D$370),0)+IFERROR(SUMIF(Nutzungsprofile!$B$6:$B$11,"Individuell",Nutzungsprofile!$G$6:$G$11)*Kalender!E164/SUM(Kalender!$E$5:$E$370),0))*Szenarien!$E$15,0)</f>
        <v>2.94</v>
      </c>
      <c r="D1628" s="13" t="n">
        <f aca="false">IF(Szenarien!$H$15="OK",(IFERROR(SUMIF(Nutzungsprofile!$B$17:$B$22,"Schulbetrieb",Nutzungsprofile!$G$17:$G$22)*Kalender!C164/SUM(Kalender!$C$5:$C$370),0)+IFERROR(SUMIF(Nutzungsprofile!$B$17:$B$22,"Halle",Nutzungsprofile!$G$17:$G$22)*Kalender!D164/SUM(Kalender!$D$5:$D$370),0)+IFERROR(SUMIF(Nutzungsprofile!$B$17:$B$22,"Individuell",Nutzungsprofile!$G$17:$G$22)*Kalender!E164/SUM(Kalender!$E$5:$E$370),0))*Szenarien!$D$15,0)</f>
        <v>4.94</v>
      </c>
      <c r="E1628" s="13" t="n">
        <f aca="false">IFERROR(MIN(C1628,Eingaben!$B$17)*Eingaben!$B$16,0)</f>
        <v>2.793</v>
      </c>
      <c r="F1628" s="13" t="n">
        <f aca="false">IFERROR(E1628*Eingaben!$B$15,0)</f>
        <v>2.5137</v>
      </c>
      <c r="G1628" s="13" t="n">
        <f aca="false">IFERROR(IF(Kalender!A164="",0,J1627*(1-Eingaben!$B$20)),0)</f>
        <v>0.7390278</v>
      </c>
      <c r="H1628" s="13" t="n">
        <f aca="false">MIN(G1628,D1628)</f>
        <v>0.7390278</v>
      </c>
      <c r="I1628" s="13" t="n">
        <f aca="false">IFERROR(MIN(F1628*Eingaben!$B$19,MAX(0,D1628-H1628)),0)</f>
        <v>1.75959</v>
      </c>
      <c r="J1628" s="13" t="n">
        <f aca="false">IFERROR(MIN(Eingaben!$B$18,MAX(0,F1628-I1628)),0)</f>
        <v>0.75411</v>
      </c>
      <c r="K1628" s="13" t="n">
        <f aca="false">H1628+I1628</f>
        <v>2.4986178</v>
      </c>
      <c r="L1628" s="13" t="n">
        <f aca="false">MAX(0,D1628-K1628)</f>
        <v>2.4413822</v>
      </c>
      <c r="M1628" s="13" t="n">
        <f aca="false">MAX(0,F1628-I1628-J1628)</f>
        <v>0</v>
      </c>
      <c r="N1628" s="13" t="n">
        <f aca="false">IF(Kalender!A164="",0,J1627-H1628)</f>
        <v>0.0150822</v>
      </c>
    </row>
    <row r="1629" customFormat="false" ht="16.4" hidden="false" customHeight="false" outlineLevel="0" collapsed="false">
      <c r="A1629" s="13" t="str">
        <f aca="false">""</f>
        <v/>
      </c>
      <c r="B1629" s="13" t="n">
        <f aca="false">161</f>
        <v>161</v>
      </c>
      <c r="C1629" s="13" t="n">
        <f aca="false">IF(Szenarien!$H$15="OK",(IFERROR(SUMIF(Nutzungsprofile!$B$6:$B$11,"Schulbetrieb",Nutzungsprofile!$G$6:$G$11)*Kalender!C165/SUM(Kalender!$C$5:$C$370),0)+IFERROR(SUMIF(Nutzungsprofile!$B$6:$B$11,"Halle",Nutzungsprofile!$G$6:$G$11)*Kalender!D165/SUM(Kalender!$D$5:$D$370),0)+IFERROR(SUMIF(Nutzungsprofile!$B$6:$B$11,"Individuell",Nutzungsprofile!$G$6:$G$11)*Kalender!E165/SUM(Kalender!$E$5:$E$370),0))*Szenarien!$E$15,0)</f>
        <v>2.94</v>
      </c>
      <c r="D1629" s="13" t="n">
        <f aca="false">IF(Szenarien!$H$15="OK",(IFERROR(SUMIF(Nutzungsprofile!$B$17:$B$22,"Schulbetrieb",Nutzungsprofile!$G$17:$G$22)*Kalender!C165/SUM(Kalender!$C$5:$C$370),0)+IFERROR(SUMIF(Nutzungsprofile!$B$17:$B$22,"Halle",Nutzungsprofile!$G$17:$G$22)*Kalender!D165/SUM(Kalender!$D$5:$D$370),0)+IFERROR(SUMIF(Nutzungsprofile!$B$17:$B$22,"Individuell",Nutzungsprofile!$G$17:$G$22)*Kalender!E165/SUM(Kalender!$E$5:$E$370),0))*Szenarien!$D$15,0)</f>
        <v>4.94</v>
      </c>
      <c r="E1629" s="13" t="n">
        <f aca="false">IFERROR(MIN(C1629,Eingaben!$B$17)*Eingaben!$B$16,0)</f>
        <v>2.793</v>
      </c>
      <c r="F1629" s="13" t="n">
        <f aca="false">IFERROR(E1629*Eingaben!$B$15,0)</f>
        <v>2.5137</v>
      </c>
      <c r="G1629" s="13" t="n">
        <f aca="false">IFERROR(IF(Kalender!A165="",0,J1628*(1-Eingaben!$B$20)),0)</f>
        <v>0.7390278</v>
      </c>
      <c r="H1629" s="13" t="n">
        <f aca="false">MIN(G1629,D1629)</f>
        <v>0.7390278</v>
      </c>
      <c r="I1629" s="13" t="n">
        <f aca="false">IFERROR(MIN(F1629*Eingaben!$B$19,MAX(0,D1629-H1629)),0)</f>
        <v>1.75959</v>
      </c>
      <c r="J1629" s="13" t="n">
        <f aca="false">IFERROR(MIN(Eingaben!$B$18,MAX(0,F1629-I1629)),0)</f>
        <v>0.75411</v>
      </c>
      <c r="K1629" s="13" t="n">
        <f aca="false">H1629+I1629</f>
        <v>2.4986178</v>
      </c>
      <c r="L1629" s="13" t="n">
        <f aca="false">MAX(0,D1629-K1629)</f>
        <v>2.4413822</v>
      </c>
      <c r="M1629" s="13" t="n">
        <f aca="false">MAX(0,F1629-I1629-J1629)</f>
        <v>0</v>
      </c>
      <c r="N1629" s="13" t="n">
        <f aca="false">IF(Kalender!A165="",0,J1628-H1629)</f>
        <v>0.0150822</v>
      </c>
    </row>
    <row r="1630" customFormat="false" ht="16.4" hidden="false" customHeight="false" outlineLevel="0" collapsed="false">
      <c r="A1630" s="13" t="str">
        <f aca="false">""</f>
        <v/>
      </c>
      <c r="B1630" s="13" t="n">
        <f aca="false">162</f>
        <v>162</v>
      </c>
      <c r="C1630" s="13" t="n">
        <f aca="false">IF(Szenarien!$H$15="OK",(IFERROR(SUMIF(Nutzungsprofile!$B$6:$B$11,"Schulbetrieb",Nutzungsprofile!$G$6:$G$11)*Kalender!C166/SUM(Kalender!$C$5:$C$370),0)+IFERROR(SUMIF(Nutzungsprofile!$B$6:$B$11,"Halle",Nutzungsprofile!$G$6:$G$11)*Kalender!D166/SUM(Kalender!$D$5:$D$370),0)+IFERROR(SUMIF(Nutzungsprofile!$B$6:$B$11,"Individuell",Nutzungsprofile!$G$6:$G$11)*Kalender!E166/SUM(Kalender!$E$5:$E$370),0))*Szenarien!$E$15,0)</f>
        <v>2.94</v>
      </c>
      <c r="D1630" s="13" t="n">
        <f aca="false">IF(Szenarien!$H$15="OK",(IFERROR(SUMIF(Nutzungsprofile!$B$17:$B$22,"Schulbetrieb",Nutzungsprofile!$G$17:$G$22)*Kalender!C166/SUM(Kalender!$C$5:$C$370),0)+IFERROR(SUMIF(Nutzungsprofile!$B$17:$B$22,"Halle",Nutzungsprofile!$G$17:$G$22)*Kalender!D166/SUM(Kalender!$D$5:$D$370),0)+IFERROR(SUMIF(Nutzungsprofile!$B$17:$B$22,"Individuell",Nutzungsprofile!$G$17:$G$22)*Kalender!E166/SUM(Kalender!$E$5:$E$370),0))*Szenarien!$D$15,0)</f>
        <v>4.94</v>
      </c>
      <c r="E1630" s="13" t="n">
        <f aca="false">IFERROR(MIN(C1630,Eingaben!$B$17)*Eingaben!$B$16,0)</f>
        <v>2.793</v>
      </c>
      <c r="F1630" s="13" t="n">
        <f aca="false">IFERROR(E1630*Eingaben!$B$15,0)</f>
        <v>2.5137</v>
      </c>
      <c r="G1630" s="13" t="n">
        <f aca="false">IFERROR(IF(Kalender!A166="",0,J1629*(1-Eingaben!$B$20)),0)</f>
        <v>0.7390278</v>
      </c>
      <c r="H1630" s="13" t="n">
        <f aca="false">MIN(G1630,D1630)</f>
        <v>0.7390278</v>
      </c>
      <c r="I1630" s="13" t="n">
        <f aca="false">IFERROR(MIN(F1630*Eingaben!$B$19,MAX(0,D1630-H1630)),0)</f>
        <v>1.75959</v>
      </c>
      <c r="J1630" s="13" t="n">
        <f aca="false">IFERROR(MIN(Eingaben!$B$18,MAX(0,F1630-I1630)),0)</f>
        <v>0.75411</v>
      </c>
      <c r="K1630" s="13" t="n">
        <f aca="false">H1630+I1630</f>
        <v>2.4986178</v>
      </c>
      <c r="L1630" s="13" t="n">
        <f aca="false">MAX(0,D1630-K1630)</f>
        <v>2.4413822</v>
      </c>
      <c r="M1630" s="13" t="n">
        <f aca="false">MAX(0,F1630-I1630-J1630)</f>
        <v>0</v>
      </c>
      <c r="N1630" s="13" t="n">
        <f aca="false">IF(Kalender!A166="",0,J1629-H1630)</f>
        <v>0.0150822</v>
      </c>
    </row>
    <row r="1631" customFormat="false" ht="16.4" hidden="false" customHeight="false" outlineLevel="0" collapsed="false">
      <c r="A1631" s="13" t="str">
        <f aca="false">""</f>
        <v/>
      </c>
      <c r="B1631" s="13" t="n">
        <f aca="false">163</f>
        <v>163</v>
      </c>
      <c r="C1631" s="13" t="n">
        <f aca="false">IF(Szenarien!$H$15="OK",(IFERROR(SUMIF(Nutzungsprofile!$B$6:$B$11,"Schulbetrieb",Nutzungsprofile!$G$6:$G$11)*Kalender!C167/SUM(Kalender!$C$5:$C$370),0)+IFERROR(SUMIF(Nutzungsprofile!$B$6:$B$11,"Halle",Nutzungsprofile!$G$6:$G$11)*Kalender!D167/SUM(Kalender!$D$5:$D$370),0)+IFERROR(SUMIF(Nutzungsprofile!$B$6:$B$11,"Individuell",Nutzungsprofile!$G$6:$G$11)*Kalender!E167/SUM(Kalender!$E$5:$E$370),0))*Szenarien!$E$15,0)</f>
        <v>2.94</v>
      </c>
      <c r="D1631" s="13" t="n">
        <f aca="false">IF(Szenarien!$H$15="OK",(IFERROR(SUMIF(Nutzungsprofile!$B$17:$B$22,"Schulbetrieb",Nutzungsprofile!$G$17:$G$22)*Kalender!C167/SUM(Kalender!$C$5:$C$370),0)+IFERROR(SUMIF(Nutzungsprofile!$B$17:$B$22,"Halle",Nutzungsprofile!$G$17:$G$22)*Kalender!D167/SUM(Kalender!$D$5:$D$370),0)+IFERROR(SUMIF(Nutzungsprofile!$B$17:$B$22,"Individuell",Nutzungsprofile!$G$17:$G$22)*Kalender!E167/SUM(Kalender!$E$5:$E$370),0))*Szenarien!$D$15,0)</f>
        <v>4.94</v>
      </c>
      <c r="E1631" s="13" t="n">
        <f aca="false">IFERROR(MIN(C1631,Eingaben!$B$17)*Eingaben!$B$16,0)</f>
        <v>2.793</v>
      </c>
      <c r="F1631" s="13" t="n">
        <f aca="false">IFERROR(E1631*Eingaben!$B$15,0)</f>
        <v>2.5137</v>
      </c>
      <c r="G1631" s="13" t="n">
        <f aca="false">IFERROR(IF(Kalender!A167="",0,J1630*(1-Eingaben!$B$20)),0)</f>
        <v>0.7390278</v>
      </c>
      <c r="H1631" s="13" t="n">
        <f aca="false">MIN(G1631,D1631)</f>
        <v>0.7390278</v>
      </c>
      <c r="I1631" s="13" t="n">
        <f aca="false">IFERROR(MIN(F1631*Eingaben!$B$19,MAX(0,D1631-H1631)),0)</f>
        <v>1.75959</v>
      </c>
      <c r="J1631" s="13" t="n">
        <f aca="false">IFERROR(MIN(Eingaben!$B$18,MAX(0,F1631-I1631)),0)</f>
        <v>0.75411</v>
      </c>
      <c r="K1631" s="13" t="n">
        <f aca="false">H1631+I1631</f>
        <v>2.4986178</v>
      </c>
      <c r="L1631" s="13" t="n">
        <f aca="false">MAX(0,D1631-K1631)</f>
        <v>2.4413822</v>
      </c>
      <c r="M1631" s="13" t="n">
        <f aca="false">MAX(0,F1631-I1631-J1631)</f>
        <v>0</v>
      </c>
      <c r="N1631" s="13" t="n">
        <f aca="false">IF(Kalender!A167="",0,J1630-H1631)</f>
        <v>0.0150822</v>
      </c>
    </row>
    <row r="1632" customFormat="false" ht="16.4" hidden="false" customHeight="false" outlineLevel="0" collapsed="false">
      <c r="A1632" s="13" t="str">
        <f aca="false">""</f>
        <v/>
      </c>
      <c r="B1632" s="13" t="n">
        <f aca="false">164</f>
        <v>164</v>
      </c>
      <c r="C1632" s="13" t="n">
        <f aca="false">IF(Szenarien!$H$15="OK",(IFERROR(SUMIF(Nutzungsprofile!$B$6:$B$11,"Schulbetrieb",Nutzungsprofile!$G$6:$G$11)*Kalender!C168/SUM(Kalender!$C$5:$C$370),0)+IFERROR(SUMIF(Nutzungsprofile!$B$6:$B$11,"Halle",Nutzungsprofile!$G$6:$G$11)*Kalender!D168/SUM(Kalender!$D$5:$D$370),0)+IFERROR(SUMIF(Nutzungsprofile!$B$6:$B$11,"Individuell",Nutzungsprofile!$G$6:$G$11)*Kalender!E168/SUM(Kalender!$E$5:$E$370),0))*Szenarien!$E$15,0)</f>
        <v>2.04</v>
      </c>
      <c r="D1632" s="13" t="n">
        <f aca="false">IF(Szenarien!$H$15="OK",(IFERROR(SUMIF(Nutzungsprofile!$B$17:$B$22,"Schulbetrieb",Nutzungsprofile!$G$17:$G$22)*Kalender!C168/SUM(Kalender!$C$5:$C$370),0)+IFERROR(SUMIF(Nutzungsprofile!$B$17:$B$22,"Halle",Nutzungsprofile!$G$17:$G$22)*Kalender!D168/SUM(Kalender!$D$5:$D$370),0)+IFERROR(SUMIF(Nutzungsprofile!$B$17:$B$22,"Individuell",Nutzungsprofile!$G$17:$G$22)*Kalender!E168/SUM(Kalender!$E$5:$E$370),0))*Szenarien!$D$15,0)</f>
        <v>0.89</v>
      </c>
      <c r="E1632" s="13" t="n">
        <f aca="false">IFERROR(MIN(C1632,Eingaben!$B$17)*Eingaben!$B$16,0)</f>
        <v>1.938</v>
      </c>
      <c r="F1632" s="13" t="n">
        <f aca="false">IFERROR(E1632*Eingaben!$B$15,0)</f>
        <v>1.7442</v>
      </c>
      <c r="G1632" s="13" t="n">
        <f aca="false">IFERROR(IF(Kalender!A168="",0,J1631*(1-Eingaben!$B$20)),0)</f>
        <v>0.7390278</v>
      </c>
      <c r="H1632" s="13" t="n">
        <f aca="false">MIN(G1632,D1632)</f>
        <v>0.7390278</v>
      </c>
      <c r="I1632" s="13" t="n">
        <f aca="false">IFERROR(MIN(F1632*Eingaben!$B$19,MAX(0,D1632-H1632)),0)</f>
        <v>0.1509722</v>
      </c>
      <c r="J1632" s="13" t="n">
        <f aca="false">IFERROR(MIN(Eingaben!$B$18,MAX(0,F1632-I1632)),0)</f>
        <v>1.5932278</v>
      </c>
      <c r="K1632" s="13" t="n">
        <f aca="false">H1632+I1632</f>
        <v>0.89</v>
      </c>
      <c r="L1632" s="13" t="n">
        <f aca="false">MAX(0,D1632-K1632)</f>
        <v>0</v>
      </c>
      <c r="M1632" s="13" t="n">
        <f aca="false">MAX(0,F1632-I1632-J1632)</f>
        <v>0</v>
      </c>
      <c r="N1632" s="13" t="n">
        <f aca="false">IF(Kalender!A168="",0,J1631-H1632)</f>
        <v>0.0150822</v>
      </c>
    </row>
    <row r="1633" customFormat="false" ht="16.4" hidden="false" customHeight="false" outlineLevel="0" collapsed="false">
      <c r="A1633" s="13" t="str">
        <f aca="false">""</f>
        <v/>
      </c>
      <c r="B1633" s="13" t="n">
        <f aca="false">165</f>
        <v>165</v>
      </c>
      <c r="C1633" s="13" t="n">
        <f aca="false">IF(Szenarien!$H$15="OK",(IFERROR(SUMIF(Nutzungsprofile!$B$6:$B$11,"Schulbetrieb",Nutzungsprofile!$G$6:$G$11)*Kalender!C169/SUM(Kalender!$C$5:$C$370),0)+IFERROR(SUMIF(Nutzungsprofile!$B$6:$B$11,"Halle",Nutzungsprofile!$G$6:$G$11)*Kalender!D169/SUM(Kalender!$D$5:$D$370),0)+IFERROR(SUMIF(Nutzungsprofile!$B$6:$B$11,"Individuell",Nutzungsprofile!$G$6:$G$11)*Kalender!E169/SUM(Kalender!$E$5:$E$370),0))*Szenarien!$E$15,0)</f>
        <v>2.04</v>
      </c>
      <c r="D1633" s="13" t="n">
        <f aca="false">IF(Szenarien!$H$15="OK",(IFERROR(SUMIF(Nutzungsprofile!$B$17:$B$22,"Schulbetrieb",Nutzungsprofile!$G$17:$G$22)*Kalender!C169/SUM(Kalender!$C$5:$C$370),0)+IFERROR(SUMIF(Nutzungsprofile!$B$17:$B$22,"Halle",Nutzungsprofile!$G$17:$G$22)*Kalender!D169/SUM(Kalender!$D$5:$D$370),0)+IFERROR(SUMIF(Nutzungsprofile!$B$17:$B$22,"Individuell",Nutzungsprofile!$G$17:$G$22)*Kalender!E169/SUM(Kalender!$E$5:$E$370),0))*Szenarien!$D$15,0)</f>
        <v>0.89</v>
      </c>
      <c r="E1633" s="13" t="n">
        <f aca="false">IFERROR(MIN(C1633,Eingaben!$B$17)*Eingaben!$B$16,0)</f>
        <v>1.938</v>
      </c>
      <c r="F1633" s="13" t="n">
        <f aca="false">IFERROR(E1633*Eingaben!$B$15,0)</f>
        <v>1.7442</v>
      </c>
      <c r="G1633" s="13" t="n">
        <f aca="false">IFERROR(IF(Kalender!A169="",0,J1632*(1-Eingaben!$B$20)),0)</f>
        <v>1.561363244</v>
      </c>
      <c r="H1633" s="13" t="n">
        <f aca="false">MIN(G1633,D1633)</f>
        <v>0.89</v>
      </c>
      <c r="I1633" s="13" t="n">
        <f aca="false">IFERROR(MIN(F1633*Eingaben!$B$19,MAX(0,D1633-H1633)),0)</f>
        <v>0</v>
      </c>
      <c r="J1633" s="13" t="n">
        <f aca="false">IFERROR(MIN(Eingaben!$B$18,MAX(0,F1633-I1633)),0)</f>
        <v>1.7442</v>
      </c>
      <c r="K1633" s="13" t="n">
        <f aca="false">H1633+I1633</f>
        <v>0.89</v>
      </c>
      <c r="L1633" s="13" t="n">
        <f aca="false">MAX(0,D1633-K1633)</f>
        <v>0</v>
      </c>
      <c r="M1633" s="13" t="n">
        <f aca="false">MAX(0,F1633-I1633-J1633)</f>
        <v>0</v>
      </c>
      <c r="N1633" s="13" t="n">
        <f aca="false">IF(Kalender!A169="",0,J1632-H1633)</f>
        <v>0.7032278</v>
      </c>
    </row>
    <row r="1634" customFormat="false" ht="16.4" hidden="false" customHeight="false" outlineLevel="0" collapsed="false">
      <c r="A1634" s="13" t="str">
        <f aca="false">""</f>
        <v/>
      </c>
      <c r="B1634" s="13" t="n">
        <f aca="false">166</f>
        <v>166</v>
      </c>
      <c r="C1634" s="13" t="n">
        <f aca="false">IF(Szenarien!$H$15="OK",(IFERROR(SUMIF(Nutzungsprofile!$B$6:$B$11,"Schulbetrieb",Nutzungsprofile!$G$6:$G$11)*Kalender!C170/SUM(Kalender!$C$5:$C$370),0)+IFERROR(SUMIF(Nutzungsprofile!$B$6:$B$11,"Halle",Nutzungsprofile!$G$6:$G$11)*Kalender!D170/SUM(Kalender!$D$5:$D$370),0)+IFERROR(SUMIF(Nutzungsprofile!$B$6:$B$11,"Individuell",Nutzungsprofile!$G$6:$G$11)*Kalender!E170/SUM(Kalender!$E$5:$E$370),0))*Szenarien!$E$15,0)</f>
        <v>2.94</v>
      </c>
      <c r="D1634" s="13" t="n">
        <f aca="false">IF(Szenarien!$H$15="OK",(IFERROR(SUMIF(Nutzungsprofile!$B$17:$B$22,"Schulbetrieb",Nutzungsprofile!$G$17:$G$22)*Kalender!C170/SUM(Kalender!$C$5:$C$370),0)+IFERROR(SUMIF(Nutzungsprofile!$B$17:$B$22,"Halle",Nutzungsprofile!$G$17:$G$22)*Kalender!D170/SUM(Kalender!$D$5:$D$370),0)+IFERROR(SUMIF(Nutzungsprofile!$B$17:$B$22,"Individuell",Nutzungsprofile!$G$17:$G$22)*Kalender!E170/SUM(Kalender!$E$5:$E$370),0))*Szenarien!$D$15,0)</f>
        <v>4.94</v>
      </c>
      <c r="E1634" s="13" t="n">
        <f aca="false">IFERROR(MIN(C1634,Eingaben!$B$17)*Eingaben!$B$16,0)</f>
        <v>2.793</v>
      </c>
      <c r="F1634" s="13" t="n">
        <f aca="false">IFERROR(E1634*Eingaben!$B$15,0)</f>
        <v>2.5137</v>
      </c>
      <c r="G1634" s="13" t="n">
        <f aca="false">IFERROR(IF(Kalender!A170="",0,J1633*(1-Eingaben!$B$20)),0)</f>
        <v>1.709316</v>
      </c>
      <c r="H1634" s="13" t="n">
        <f aca="false">MIN(G1634,D1634)</f>
        <v>1.709316</v>
      </c>
      <c r="I1634" s="13" t="n">
        <f aca="false">IFERROR(MIN(F1634*Eingaben!$B$19,MAX(0,D1634-H1634)),0)</f>
        <v>1.75959</v>
      </c>
      <c r="J1634" s="13" t="n">
        <f aca="false">IFERROR(MIN(Eingaben!$B$18,MAX(0,F1634-I1634)),0)</f>
        <v>0.75411</v>
      </c>
      <c r="K1634" s="13" t="n">
        <f aca="false">H1634+I1634</f>
        <v>3.468906</v>
      </c>
      <c r="L1634" s="13" t="n">
        <f aca="false">MAX(0,D1634-K1634)</f>
        <v>1.471094</v>
      </c>
      <c r="M1634" s="13" t="n">
        <f aca="false">MAX(0,F1634-I1634-J1634)</f>
        <v>0</v>
      </c>
      <c r="N1634" s="13" t="n">
        <f aca="false">IF(Kalender!A170="",0,J1633-H1634)</f>
        <v>0.0348840000000001</v>
      </c>
    </row>
    <row r="1635" customFormat="false" ht="16.4" hidden="false" customHeight="false" outlineLevel="0" collapsed="false">
      <c r="A1635" s="13" t="str">
        <f aca="false">""</f>
        <v/>
      </c>
      <c r="B1635" s="13" t="n">
        <f aca="false">167</f>
        <v>167</v>
      </c>
      <c r="C1635" s="13" t="n">
        <f aca="false">IF(Szenarien!$H$15="OK",(IFERROR(SUMIF(Nutzungsprofile!$B$6:$B$11,"Schulbetrieb",Nutzungsprofile!$G$6:$G$11)*Kalender!C171/SUM(Kalender!$C$5:$C$370),0)+IFERROR(SUMIF(Nutzungsprofile!$B$6:$B$11,"Halle",Nutzungsprofile!$G$6:$G$11)*Kalender!D171/SUM(Kalender!$D$5:$D$370),0)+IFERROR(SUMIF(Nutzungsprofile!$B$6:$B$11,"Individuell",Nutzungsprofile!$G$6:$G$11)*Kalender!E171/SUM(Kalender!$E$5:$E$370),0))*Szenarien!$E$15,0)</f>
        <v>2.94</v>
      </c>
      <c r="D1635" s="13" t="n">
        <f aca="false">IF(Szenarien!$H$15="OK",(IFERROR(SUMIF(Nutzungsprofile!$B$17:$B$22,"Schulbetrieb",Nutzungsprofile!$G$17:$G$22)*Kalender!C171/SUM(Kalender!$C$5:$C$370),0)+IFERROR(SUMIF(Nutzungsprofile!$B$17:$B$22,"Halle",Nutzungsprofile!$G$17:$G$22)*Kalender!D171/SUM(Kalender!$D$5:$D$370),0)+IFERROR(SUMIF(Nutzungsprofile!$B$17:$B$22,"Individuell",Nutzungsprofile!$G$17:$G$22)*Kalender!E171/SUM(Kalender!$E$5:$E$370),0))*Szenarien!$D$15,0)</f>
        <v>4.94</v>
      </c>
      <c r="E1635" s="13" t="n">
        <f aca="false">IFERROR(MIN(C1635,Eingaben!$B$17)*Eingaben!$B$16,0)</f>
        <v>2.793</v>
      </c>
      <c r="F1635" s="13" t="n">
        <f aca="false">IFERROR(E1635*Eingaben!$B$15,0)</f>
        <v>2.5137</v>
      </c>
      <c r="G1635" s="13" t="n">
        <f aca="false">IFERROR(IF(Kalender!A171="",0,J1634*(1-Eingaben!$B$20)),0)</f>
        <v>0.7390278</v>
      </c>
      <c r="H1635" s="13" t="n">
        <f aca="false">MIN(G1635,D1635)</f>
        <v>0.7390278</v>
      </c>
      <c r="I1635" s="13" t="n">
        <f aca="false">IFERROR(MIN(F1635*Eingaben!$B$19,MAX(0,D1635-H1635)),0)</f>
        <v>1.75959</v>
      </c>
      <c r="J1635" s="13" t="n">
        <f aca="false">IFERROR(MIN(Eingaben!$B$18,MAX(0,F1635-I1635)),0)</f>
        <v>0.75411</v>
      </c>
      <c r="K1635" s="13" t="n">
        <f aca="false">H1635+I1635</f>
        <v>2.4986178</v>
      </c>
      <c r="L1635" s="13" t="n">
        <f aca="false">MAX(0,D1635-K1635)</f>
        <v>2.4413822</v>
      </c>
      <c r="M1635" s="13" t="n">
        <f aca="false">MAX(0,F1635-I1635-J1635)</f>
        <v>0</v>
      </c>
      <c r="N1635" s="13" t="n">
        <f aca="false">IF(Kalender!A171="",0,J1634-H1635)</f>
        <v>0.0150822</v>
      </c>
    </row>
    <row r="1636" customFormat="false" ht="16.4" hidden="false" customHeight="false" outlineLevel="0" collapsed="false">
      <c r="A1636" s="13" t="str">
        <f aca="false">""</f>
        <v/>
      </c>
      <c r="B1636" s="13" t="n">
        <f aca="false">168</f>
        <v>168</v>
      </c>
      <c r="C1636" s="13" t="n">
        <f aca="false">IF(Szenarien!$H$15="OK",(IFERROR(SUMIF(Nutzungsprofile!$B$6:$B$11,"Schulbetrieb",Nutzungsprofile!$G$6:$G$11)*Kalender!C172/SUM(Kalender!$C$5:$C$370),0)+IFERROR(SUMIF(Nutzungsprofile!$B$6:$B$11,"Halle",Nutzungsprofile!$G$6:$G$11)*Kalender!D172/SUM(Kalender!$D$5:$D$370),0)+IFERROR(SUMIF(Nutzungsprofile!$B$6:$B$11,"Individuell",Nutzungsprofile!$G$6:$G$11)*Kalender!E172/SUM(Kalender!$E$5:$E$370),0))*Szenarien!$E$15,0)</f>
        <v>2.94</v>
      </c>
      <c r="D1636" s="13" t="n">
        <f aca="false">IF(Szenarien!$H$15="OK",(IFERROR(SUMIF(Nutzungsprofile!$B$17:$B$22,"Schulbetrieb",Nutzungsprofile!$G$17:$G$22)*Kalender!C172/SUM(Kalender!$C$5:$C$370),0)+IFERROR(SUMIF(Nutzungsprofile!$B$17:$B$22,"Halle",Nutzungsprofile!$G$17:$G$22)*Kalender!D172/SUM(Kalender!$D$5:$D$370),0)+IFERROR(SUMIF(Nutzungsprofile!$B$17:$B$22,"Individuell",Nutzungsprofile!$G$17:$G$22)*Kalender!E172/SUM(Kalender!$E$5:$E$370),0))*Szenarien!$D$15,0)</f>
        <v>4.94</v>
      </c>
      <c r="E1636" s="13" t="n">
        <f aca="false">IFERROR(MIN(C1636,Eingaben!$B$17)*Eingaben!$B$16,0)</f>
        <v>2.793</v>
      </c>
      <c r="F1636" s="13" t="n">
        <f aca="false">IFERROR(E1636*Eingaben!$B$15,0)</f>
        <v>2.5137</v>
      </c>
      <c r="G1636" s="13" t="n">
        <f aca="false">IFERROR(IF(Kalender!A172="",0,J1635*(1-Eingaben!$B$20)),0)</f>
        <v>0.7390278</v>
      </c>
      <c r="H1636" s="13" t="n">
        <f aca="false">MIN(G1636,D1636)</f>
        <v>0.7390278</v>
      </c>
      <c r="I1636" s="13" t="n">
        <f aca="false">IFERROR(MIN(F1636*Eingaben!$B$19,MAX(0,D1636-H1636)),0)</f>
        <v>1.75959</v>
      </c>
      <c r="J1636" s="13" t="n">
        <f aca="false">IFERROR(MIN(Eingaben!$B$18,MAX(0,F1636-I1636)),0)</f>
        <v>0.75411</v>
      </c>
      <c r="K1636" s="13" t="n">
        <f aca="false">H1636+I1636</f>
        <v>2.4986178</v>
      </c>
      <c r="L1636" s="13" t="n">
        <f aca="false">MAX(0,D1636-K1636)</f>
        <v>2.4413822</v>
      </c>
      <c r="M1636" s="13" t="n">
        <f aca="false">MAX(0,F1636-I1636-J1636)</f>
        <v>0</v>
      </c>
      <c r="N1636" s="13" t="n">
        <f aca="false">IF(Kalender!A172="",0,J1635-H1636)</f>
        <v>0.0150822</v>
      </c>
    </row>
    <row r="1637" customFormat="false" ht="16.4" hidden="false" customHeight="false" outlineLevel="0" collapsed="false">
      <c r="A1637" s="13" t="str">
        <f aca="false">""</f>
        <v/>
      </c>
      <c r="B1637" s="13" t="n">
        <f aca="false">169</f>
        <v>169</v>
      </c>
      <c r="C1637" s="13" t="n">
        <f aca="false">IF(Szenarien!$H$15="OK",(IFERROR(SUMIF(Nutzungsprofile!$B$6:$B$11,"Schulbetrieb",Nutzungsprofile!$G$6:$G$11)*Kalender!C173/SUM(Kalender!$C$5:$C$370),0)+IFERROR(SUMIF(Nutzungsprofile!$B$6:$B$11,"Halle",Nutzungsprofile!$G$6:$G$11)*Kalender!D173/SUM(Kalender!$D$5:$D$370),0)+IFERROR(SUMIF(Nutzungsprofile!$B$6:$B$11,"Individuell",Nutzungsprofile!$G$6:$G$11)*Kalender!E173/SUM(Kalender!$E$5:$E$370),0))*Szenarien!$E$15,0)</f>
        <v>2.94</v>
      </c>
      <c r="D1637" s="13" t="n">
        <f aca="false">IF(Szenarien!$H$15="OK",(IFERROR(SUMIF(Nutzungsprofile!$B$17:$B$22,"Schulbetrieb",Nutzungsprofile!$G$17:$G$22)*Kalender!C173/SUM(Kalender!$C$5:$C$370),0)+IFERROR(SUMIF(Nutzungsprofile!$B$17:$B$22,"Halle",Nutzungsprofile!$G$17:$G$22)*Kalender!D173/SUM(Kalender!$D$5:$D$370),0)+IFERROR(SUMIF(Nutzungsprofile!$B$17:$B$22,"Individuell",Nutzungsprofile!$G$17:$G$22)*Kalender!E173/SUM(Kalender!$E$5:$E$370),0))*Szenarien!$D$15,0)</f>
        <v>4.94</v>
      </c>
      <c r="E1637" s="13" t="n">
        <f aca="false">IFERROR(MIN(C1637,Eingaben!$B$17)*Eingaben!$B$16,0)</f>
        <v>2.793</v>
      </c>
      <c r="F1637" s="13" t="n">
        <f aca="false">IFERROR(E1637*Eingaben!$B$15,0)</f>
        <v>2.5137</v>
      </c>
      <c r="G1637" s="13" t="n">
        <f aca="false">IFERROR(IF(Kalender!A173="",0,J1636*(1-Eingaben!$B$20)),0)</f>
        <v>0.7390278</v>
      </c>
      <c r="H1637" s="13" t="n">
        <f aca="false">MIN(G1637,D1637)</f>
        <v>0.7390278</v>
      </c>
      <c r="I1637" s="13" t="n">
        <f aca="false">IFERROR(MIN(F1637*Eingaben!$B$19,MAX(0,D1637-H1637)),0)</f>
        <v>1.75959</v>
      </c>
      <c r="J1637" s="13" t="n">
        <f aca="false">IFERROR(MIN(Eingaben!$B$18,MAX(0,F1637-I1637)),0)</f>
        <v>0.75411</v>
      </c>
      <c r="K1637" s="13" t="n">
        <f aca="false">H1637+I1637</f>
        <v>2.4986178</v>
      </c>
      <c r="L1637" s="13" t="n">
        <f aca="false">MAX(0,D1637-K1637)</f>
        <v>2.4413822</v>
      </c>
      <c r="M1637" s="13" t="n">
        <f aca="false">MAX(0,F1637-I1637-J1637)</f>
        <v>0</v>
      </c>
      <c r="N1637" s="13" t="n">
        <f aca="false">IF(Kalender!A173="",0,J1636-H1637)</f>
        <v>0.0150822</v>
      </c>
    </row>
    <row r="1638" customFormat="false" ht="16.4" hidden="false" customHeight="false" outlineLevel="0" collapsed="false">
      <c r="A1638" s="13" t="str">
        <f aca="false">""</f>
        <v/>
      </c>
      <c r="B1638" s="13" t="n">
        <f aca="false">170</f>
        <v>170</v>
      </c>
      <c r="C1638" s="13" t="n">
        <f aca="false">IF(Szenarien!$H$15="OK",(IFERROR(SUMIF(Nutzungsprofile!$B$6:$B$11,"Schulbetrieb",Nutzungsprofile!$G$6:$G$11)*Kalender!C174/SUM(Kalender!$C$5:$C$370),0)+IFERROR(SUMIF(Nutzungsprofile!$B$6:$B$11,"Halle",Nutzungsprofile!$G$6:$G$11)*Kalender!D174/SUM(Kalender!$D$5:$D$370),0)+IFERROR(SUMIF(Nutzungsprofile!$B$6:$B$11,"Individuell",Nutzungsprofile!$G$6:$G$11)*Kalender!E174/SUM(Kalender!$E$5:$E$370),0))*Szenarien!$E$15,0)</f>
        <v>2.94</v>
      </c>
      <c r="D1638" s="13" t="n">
        <f aca="false">IF(Szenarien!$H$15="OK",(IFERROR(SUMIF(Nutzungsprofile!$B$17:$B$22,"Schulbetrieb",Nutzungsprofile!$G$17:$G$22)*Kalender!C174/SUM(Kalender!$C$5:$C$370),0)+IFERROR(SUMIF(Nutzungsprofile!$B$17:$B$22,"Halle",Nutzungsprofile!$G$17:$G$22)*Kalender!D174/SUM(Kalender!$D$5:$D$370),0)+IFERROR(SUMIF(Nutzungsprofile!$B$17:$B$22,"Individuell",Nutzungsprofile!$G$17:$G$22)*Kalender!E174/SUM(Kalender!$E$5:$E$370),0))*Szenarien!$D$15,0)</f>
        <v>4.94</v>
      </c>
      <c r="E1638" s="13" t="n">
        <f aca="false">IFERROR(MIN(C1638,Eingaben!$B$17)*Eingaben!$B$16,0)</f>
        <v>2.793</v>
      </c>
      <c r="F1638" s="13" t="n">
        <f aca="false">IFERROR(E1638*Eingaben!$B$15,0)</f>
        <v>2.5137</v>
      </c>
      <c r="G1638" s="13" t="n">
        <f aca="false">IFERROR(IF(Kalender!A174="",0,J1637*(1-Eingaben!$B$20)),0)</f>
        <v>0.7390278</v>
      </c>
      <c r="H1638" s="13" t="n">
        <f aca="false">MIN(G1638,D1638)</f>
        <v>0.7390278</v>
      </c>
      <c r="I1638" s="13" t="n">
        <f aca="false">IFERROR(MIN(F1638*Eingaben!$B$19,MAX(0,D1638-H1638)),0)</f>
        <v>1.75959</v>
      </c>
      <c r="J1638" s="13" t="n">
        <f aca="false">IFERROR(MIN(Eingaben!$B$18,MAX(0,F1638-I1638)),0)</f>
        <v>0.75411</v>
      </c>
      <c r="K1638" s="13" t="n">
        <f aca="false">H1638+I1638</f>
        <v>2.4986178</v>
      </c>
      <c r="L1638" s="13" t="n">
        <f aca="false">MAX(0,D1638-K1638)</f>
        <v>2.4413822</v>
      </c>
      <c r="M1638" s="13" t="n">
        <f aca="false">MAX(0,F1638-I1638-J1638)</f>
        <v>0</v>
      </c>
      <c r="N1638" s="13" t="n">
        <f aca="false">IF(Kalender!A174="",0,J1637-H1638)</f>
        <v>0.0150822</v>
      </c>
    </row>
    <row r="1639" customFormat="false" ht="16.4" hidden="false" customHeight="false" outlineLevel="0" collapsed="false">
      <c r="A1639" s="13" t="str">
        <f aca="false">""</f>
        <v/>
      </c>
      <c r="B1639" s="13" t="n">
        <f aca="false">171</f>
        <v>171</v>
      </c>
      <c r="C1639" s="13" t="n">
        <f aca="false">IF(Szenarien!$H$15="OK",(IFERROR(SUMIF(Nutzungsprofile!$B$6:$B$11,"Schulbetrieb",Nutzungsprofile!$G$6:$G$11)*Kalender!C175/SUM(Kalender!$C$5:$C$370),0)+IFERROR(SUMIF(Nutzungsprofile!$B$6:$B$11,"Halle",Nutzungsprofile!$G$6:$G$11)*Kalender!D175/SUM(Kalender!$D$5:$D$370),0)+IFERROR(SUMIF(Nutzungsprofile!$B$6:$B$11,"Individuell",Nutzungsprofile!$G$6:$G$11)*Kalender!E175/SUM(Kalender!$E$5:$E$370),0))*Szenarien!$E$15,0)</f>
        <v>2.04</v>
      </c>
      <c r="D1639" s="13" t="n">
        <f aca="false">IF(Szenarien!$H$15="OK",(IFERROR(SUMIF(Nutzungsprofile!$B$17:$B$22,"Schulbetrieb",Nutzungsprofile!$G$17:$G$22)*Kalender!C175/SUM(Kalender!$C$5:$C$370),0)+IFERROR(SUMIF(Nutzungsprofile!$B$17:$B$22,"Halle",Nutzungsprofile!$G$17:$G$22)*Kalender!D175/SUM(Kalender!$D$5:$D$370),0)+IFERROR(SUMIF(Nutzungsprofile!$B$17:$B$22,"Individuell",Nutzungsprofile!$G$17:$G$22)*Kalender!E175/SUM(Kalender!$E$5:$E$370),0))*Szenarien!$D$15,0)</f>
        <v>0.89</v>
      </c>
      <c r="E1639" s="13" t="n">
        <f aca="false">IFERROR(MIN(C1639,Eingaben!$B$17)*Eingaben!$B$16,0)</f>
        <v>1.938</v>
      </c>
      <c r="F1639" s="13" t="n">
        <f aca="false">IFERROR(E1639*Eingaben!$B$15,0)</f>
        <v>1.7442</v>
      </c>
      <c r="G1639" s="13" t="n">
        <f aca="false">IFERROR(IF(Kalender!A175="",0,J1638*(1-Eingaben!$B$20)),0)</f>
        <v>0.7390278</v>
      </c>
      <c r="H1639" s="13" t="n">
        <f aca="false">MIN(G1639,D1639)</f>
        <v>0.7390278</v>
      </c>
      <c r="I1639" s="13" t="n">
        <f aca="false">IFERROR(MIN(F1639*Eingaben!$B$19,MAX(0,D1639-H1639)),0)</f>
        <v>0.1509722</v>
      </c>
      <c r="J1639" s="13" t="n">
        <f aca="false">IFERROR(MIN(Eingaben!$B$18,MAX(0,F1639-I1639)),0)</f>
        <v>1.5932278</v>
      </c>
      <c r="K1639" s="13" t="n">
        <f aca="false">H1639+I1639</f>
        <v>0.89</v>
      </c>
      <c r="L1639" s="13" t="n">
        <f aca="false">MAX(0,D1639-K1639)</f>
        <v>0</v>
      </c>
      <c r="M1639" s="13" t="n">
        <f aca="false">MAX(0,F1639-I1639-J1639)</f>
        <v>0</v>
      </c>
      <c r="N1639" s="13" t="n">
        <f aca="false">IF(Kalender!A175="",0,J1638-H1639)</f>
        <v>0.0150822</v>
      </c>
    </row>
    <row r="1640" customFormat="false" ht="16.4" hidden="false" customHeight="false" outlineLevel="0" collapsed="false">
      <c r="A1640" s="13" t="str">
        <f aca="false">""</f>
        <v/>
      </c>
      <c r="B1640" s="13" t="n">
        <f aca="false">172</f>
        <v>172</v>
      </c>
      <c r="C1640" s="13" t="n">
        <f aca="false">IF(Szenarien!$H$15="OK",(IFERROR(SUMIF(Nutzungsprofile!$B$6:$B$11,"Schulbetrieb",Nutzungsprofile!$G$6:$G$11)*Kalender!C176/SUM(Kalender!$C$5:$C$370),0)+IFERROR(SUMIF(Nutzungsprofile!$B$6:$B$11,"Halle",Nutzungsprofile!$G$6:$G$11)*Kalender!D176/SUM(Kalender!$D$5:$D$370),0)+IFERROR(SUMIF(Nutzungsprofile!$B$6:$B$11,"Individuell",Nutzungsprofile!$G$6:$G$11)*Kalender!E176/SUM(Kalender!$E$5:$E$370),0))*Szenarien!$E$15,0)</f>
        <v>2.04</v>
      </c>
      <c r="D1640" s="13" t="n">
        <f aca="false">IF(Szenarien!$H$15="OK",(IFERROR(SUMIF(Nutzungsprofile!$B$17:$B$22,"Schulbetrieb",Nutzungsprofile!$G$17:$G$22)*Kalender!C176/SUM(Kalender!$C$5:$C$370),0)+IFERROR(SUMIF(Nutzungsprofile!$B$17:$B$22,"Halle",Nutzungsprofile!$G$17:$G$22)*Kalender!D176/SUM(Kalender!$D$5:$D$370),0)+IFERROR(SUMIF(Nutzungsprofile!$B$17:$B$22,"Individuell",Nutzungsprofile!$G$17:$G$22)*Kalender!E176/SUM(Kalender!$E$5:$E$370),0))*Szenarien!$D$15,0)</f>
        <v>0.89</v>
      </c>
      <c r="E1640" s="13" t="n">
        <f aca="false">IFERROR(MIN(C1640,Eingaben!$B$17)*Eingaben!$B$16,0)</f>
        <v>1.938</v>
      </c>
      <c r="F1640" s="13" t="n">
        <f aca="false">IFERROR(E1640*Eingaben!$B$15,0)</f>
        <v>1.7442</v>
      </c>
      <c r="G1640" s="13" t="n">
        <f aca="false">IFERROR(IF(Kalender!A176="",0,J1639*(1-Eingaben!$B$20)),0)</f>
        <v>1.561363244</v>
      </c>
      <c r="H1640" s="13" t="n">
        <f aca="false">MIN(G1640,D1640)</f>
        <v>0.89</v>
      </c>
      <c r="I1640" s="13" t="n">
        <f aca="false">IFERROR(MIN(F1640*Eingaben!$B$19,MAX(0,D1640-H1640)),0)</f>
        <v>0</v>
      </c>
      <c r="J1640" s="13" t="n">
        <f aca="false">IFERROR(MIN(Eingaben!$B$18,MAX(0,F1640-I1640)),0)</f>
        <v>1.7442</v>
      </c>
      <c r="K1640" s="13" t="n">
        <f aca="false">H1640+I1640</f>
        <v>0.89</v>
      </c>
      <c r="L1640" s="13" t="n">
        <f aca="false">MAX(0,D1640-K1640)</f>
        <v>0</v>
      </c>
      <c r="M1640" s="13" t="n">
        <f aca="false">MAX(0,F1640-I1640-J1640)</f>
        <v>0</v>
      </c>
      <c r="N1640" s="13" t="n">
        <f aca="false">IF(Kalender!A176="",0,J1639-H1640)</f>
        <v>0.7032278</v>
      </c>
    </row>
    <row r="1641" customFormat="false" ht="16.4" hidden="false" customHeight="false" outlineLevel="0" collapsed="false">
      <c r="A1641" s="13" t="str">
        <f aca="false">""</f>
        <v/>
      </c>
      <c r="B1641" s="13" t="n">
        <f aca="false">173</f>
        <v>173</v>
      </c>
      <c r="C1641" s="13" t="n">
        <f aca="false">IF(Szenarien!$H$15="OK",(IFERROR(SUMIF(Nutzungsprofile!$B$6:$B$11,"Schulbetrieb",Nutzungsprofile!$G$6:$G$11)*Kalender!C177/SUM(Kalender!$C$5:$C$370),0)+IFERROR(SUMIF(Nutzungsprofile!$B$6:$B$11,"Halle",Nutzungsprofile!$G$6:$G$11)*Kalender!D177/SUM(Kalender!$D$5:$D$370),0)+IFERROR(SUMIF(Nutzungsprofile!$B$6:$B$11,"Individuell",Nutzungsprofile!$G$6:$G$11)*Kalender!E177/SUM(Kalender!$E$5:$E$370),0))*Szenarien!$E$15,0)</f>
        <v>2.94</v>
      </c>
      <c r="D1641" s="13" t="n">
        <f aca="false">IF(Szenarien!$H$15="OK",(IFERROR(SUMIF(Nutzungsprofile!$B$17:$B$22,"Schulbetrieb",Nutzungsprofile!$G$17:$G$22)*Kalender!C177/SUM(Kalender!$C$5:$C$370),0)+IFERROR(SUMIF(Nutzungsprofile!$B$17:$B$22,"Halle",Nutzungsprofile!$G$17:$G$22)*Kalender!D177/SUM(Kalender!$D$5:$D$370),0)+IFERROR(SUMIF(Nutzungsprofile!$B$17:$B$22,"Individuell",Nutzungsprofile!$G$17:$G$22)*Kalender!E177/SUM(Kalender!$E$5:$E$370),0))*Szenarien!$D$15,0)</f>
        <v>4.94</v>
      </c>
      <c r="E1641" s="13" t="n">
        <f aca="false">IFERROR(MIN(C1641,Eingaben!$B$17)*Eingaben!$B$16,0)</f>
        <v>2.793</v>
      </c>
      <c r="F1641" s="13" t="n">
        <f aca="false">IFERROR(E1641*Eingaben!$B$15,0)</f>
        <v>2.5137</v>
      </c>
      <c r="G1641" s="13" t="n">
        <f aca="false">IFERROR(IF(Kalender!A177="",0,J1640*(1-Eingaben!$B$20)),0)</f>
        <v>1.709316</v>
      </c>
      <c r="H1641" s="13" t="n">
        <f aca="false">MIN(G1641,D1641)</f>
        <v>1.709316</v>
      </c>
      <c r="I1641" s="13" t="n">
        <f aca="false">IFERROR(MIN(F1641*Eingaben!$B$19,MAX(0,D1641-H1641)),0)</f>
        <v>1.75959</v>
      </c>
      <c r="J1641" s="13" t="n">
        <f aca="false">IFERROR(MIN(Eingaben!$B$18,MAX(0,F1641-I1641)),0)</f>
        <v>0.75411</v>
      </c>
      <c r="K1641" s="13" t="n">
        <f aca="false">H1641+I1641</f>
        <v>3.468906</v>
      </c>
      <c r="L1641" s="13" t="n">
        <f aca="false">MAX(0,D1641-K1641)</f>
        <v>1.471094</v>
      </c>
      <c r="M1641" s="13" t="n">
        <f aca="false">MAX(0,F1641-I1641-J1641)</f>
        <v>0</v>
      </c>
      <c r="N1641" s="13" t="n">
        <f aca="false">IF(Kalender!A177="",0,J1640-H1641)</f>
        <v>0.0348840000000001</v>
      </c>
    </row>
    <row r="1642" customFormat="false" ht="16.4" hidden="false" customHeight="false" outlineLevel="0" collapsed="false">
      <c r="A1642" s="13" t="str">
        <f aca="false">""</f>
        <v/>
      </c>
      <c r="B1642" s="13" t="n">
        <f aca="false">174</f>
        <v>174</v>
      </c>
      <c r="C1642" s="13" t="n">
        <f aca="false">IF(Szenarien!$H$15="OK",(IFERROR(SUMIF(Nutzungsprofile!$B$6:$B$11,"Schulbetrieb",Nutzungsprofile!$G$6:$G$11)*Kalender!C178/SUM(Kalender!$C$5:$C$370),0)+IFERROR(SUMIF(Nutzungsprofile!$B$6:$B$11,"Halle",Nutzungsprofile!$G$6:$G$11)*Kalender!D178/SUM(Kalender!$D$5:$D$370),0)+IFERROR(SUMIF(Nutzungsprofile!$B$6:$B$11,"Individuell",Nutzungsprofile!$G$6:$G$11)*Kalender!E178/SUM(Kalender!$E$5:$E$370),0))*Szenarien!$E$15,0)</f>
        <v>2.94</v>
      </c>
      <c r="D1642" s="13" t="n">
        <f aca="false">IF(Szenarien!$H$15="OK",(IFERROR(SUMIF(Nutzungsprofile!$B$17:$B$22,"Schulbetrieb",Nutzungsprofile!$G$17:$G$22)*Kalender!C178/SUM(Kalender!$C$5:$C$370),0)+IFERROR(SUMIF(Nutzungsprofile!$B$17:$B$22,"Halle",Nutzungsprofile!$G$17:$G$22)*Kalender!D178/SUM(Kalender!$D$5:$D$370),0)+IFERROR(SUMIF(Nutzungsprofile!$B$17:$B$22,"Individuell",Nutzungsprofile!$G$17:$G$22)*Kalender!E178/SUM(Kalender!$E$5:$E$370),0))*Szenarien!$D$15,0)</f>
        <v>4.94</v>
      </c>
      <c r="E1642" s="13" t="n">
        <f aca="false">IFERROR(MIN(C1642,Eingaben!$B$17)*Eingaben!$B$16,0)</f>
        <v>2.793</v>
      </c>
      <c r="F1642" s="13" t="n">
        <f aca="false">IFERROR(E1642*Eingaben!$B$15,0)</f>
        <v>2.5137</v>
      </c>
      <c r="G1642" s="13" t="n">
        <f aca="false">IFERROR(IF(Kalender!A178="",0,J1641*(1-Eingaben!$B$20)),0)</f>
        <v>0.7390278</v>
      </c>
      <c r="H1642" s="13" t="n">
        <f aca="false">MIN(G1642,D1642)</f>
        <v>0.7390278</v>
      </c>
      <c r="I1642" s="13" t="n">
        <f aca="false">IFERROR(MIN(F1642*Eingaben!$B$19,MAX(0,D1642-H1642)),0)</f>
        <v>1.75959</v>
      </c>
      <c r="J1642" s="13" t="n">
        <f aca="false">IFERROR(MIN(Eingaben!$B$18,MAX(0,F1642-I1642)),0)</f>
        <v>0.75411</v>
      </c>
      <c r="K1642" s="13" t="n">
        <f aca="false">H1642+I1642</f>
        <v>2.4986178</v>
      </c>
      <c r="L1642" s="13" t="n">
        <f aca="false">MAX(0,D1642-K1642)</f>
        <v>2.4413822</v>
      </c>
      <c r="M1642" s="13" t="n">
        <f aca="false">MAX(0,F1642-I1642-J1642)</f>
        <v>0</v>
      </c>
      <c r="N1642" s="13" t="n">
        <f aca="false">IF(Kalender!A178="",0,J1641-H1642)</f>
        <v>0.0150822</v>
      </c>
    </row>
    <row r="1643" customFormat="false" ht="16.4" hidden="false" customHeight="false" outlineLevel="0" collapsed="false">
      <c r="A1643" s="13" t="str">
        <f aca="false">""</f>
        <v/>
      </c>
      <c r="B1643" s="13" t="n">
        <f aca="false">175</f>
        <v>175</v>
      </c>
      <c r="C1643" s="13" t="n">
        <f aca="false">IF(Szenarien!$H$15="OK",(IFERROR(SUMIF(Nutzungsprofile!$B$6:$B$11,"Schulbetrieb",Nutzungsprofile!$G$6:$G$11)*Kalender!C179/SUM(Kalender!$C$5:$C$370),0)+IFERROR(SUMIF(Nutzungsprofile!$B$6:$B$11,"Halle",Nutzungsprofile!$G$6:$G$11)*Kalender!D179/SUM(Kalender!$D$5:$D$370),0)+IFERROR(SUMIF(Nutzungsprofile!$B$6:$B$11,"Individuell",Nutzungsprofile!$G$6:$G$11)*Kalender!E179/SUM(Kalender!$E$5:$E$370),0))*Szenarien!$E$15,0)</f>
        <v>2.94</v>
      </c>
      <c r="D1643" s="13" t="n">
        <f aca="false">IF(Szenarien!$H$15="OK",(IFERROR(SUMIF(Nutzungsprofile!$B$17:$B$22,"Schulbetrieb",Nutzungsprofile!$G$17:$G$22)*Kalender!C179/SUM(Kalender!$C$5:$C$370),0)+IFERROR(SUMIF(Nutzungsprofile!$B$17:$B$22,"Halle",Nutzungsprofile!$G$17:$G$22)*Kalender!D179/SUM(Kalender!$D$5:$D$370),0)+IFERROR(SUMIF(Nutzungsprofile!$B$17:$B$22,"Individuell",Nutzungsprofile!$G$17:$G$22)*Kalender!E179/SUM(Kalender!$E$5:$E$370),0))*Szenarien!$D$15,0)</f>
        <v>4.94</v>
      </c>
      <c r="E1643" s="13" t="n">
        <f aca="false">IFERROR(MIN(C1643,Eingaben!$B$17)*Eingaben!$B$16,0)</f>
        <v>2.793</v>
      </c>
      <c r="F1643" s="13" t="n">
        <f aca="false">IFERROR(E1643*Eingaben!$B$15,0)</f>
        <v>2.5137</v>
      </c>
      <c r="G1643" s="13" t="n">
        <f aca="false">IFERROR(IF(Kalender!A179="",0,J1642*(1-Eingaben!$B$20)),0)</f>
        <v>0.7390278</v>
      </c>
      <c r="H1643" s="13" t="n">
        <f aca="false">MIN(G1643,D1643)</f>
        <v>0.7390278</v>
      </c>
      <c r="I1643" s="13" t="n">
        <f aca="false">IFERROR(MIN(F1643*Eingaben!$B$19,MAX(0,D1643-H1643)),0)</f>
        <v>1.75959</v>
      </c>
      <c r="J1643" s="13" t="n">
        <f aca="false">IFERROR(MIN(Eingaben!$B$18,MAX(0,F1643-I1643)),0)</f>
        <v>0.75411</v>
      </c>
      <c r="K1643" s="13" t="n">
        <f aca="false">H1643+I1643</f>
        <v>2.4986178</v>
      </c>
      <c r="L1643" s="13" t="n">
        <f aca="false">MAX(0,D1643-K1643)</f>
        <v>2.4413822</v>
      </c>
      <c r="M1643" s="13" t="n">
        <f aca="false">MAX(0,F1643-I1643-J1643)</f>
        <v>0</v>
      </c>
      <c r="N1643" s="13" t="n">
        <f aca="false">IF(Kalender!A179="",0,J1642-H1643)</f>
        <v>0.0150822</v>
      </c>
    </row>
    <row r="1644" customFormat="false" ht="16.4" hidden="false" customHeight="false" outlineLevel="0" collapsed="false">
      <c r="A1644" s="13" t="str">
        <f aca="false">""</f>
        <v/>
      </c>
      <c r="B1644" s="13" t="n">
        <f aca="false">176</f>
        <v>176</v>
      </c>
      <c r="C1644" s="13" t="n">
        <f aca="false">IF(Szenarien!$H$15="OK",(IFERROR(SUMIF(Nutzungsprofile!$B$6:$B$11,"Schulbetrieb",Nutzungsprofile!$G$6:$G$11)*Kalender!C180/SUM(Kalender!$C$5:$C$370),0)+IFERROR(SUMIF(Nutzungsprofile!$B$6:$B$11,"Halle",Nutzungsprofile!$G$6:$G$11)*Kalender!D180/SUM(Kalender!$D$5:$D$370),0)+IFERROR(SUMIF(Nutzungsprofile!$B$6:$B$11,"Individuell",Nutzungsprofile!$G$6:$G$11)*Kalender!E180/SUM(Kalender!$E$5:$E$370),0))*Szenarien!$E$15,0)</f>
        <v>2.94</v>
      </c>
      <c r="D1644" s="13" t="n">
        <f aca="false">IF(Szenarien!$H$15="OK",(IFERROR(SUMIF(Nutzungsprofile!$B$17:$B$22,"Schulbetrieb",Nutzungsprofile!$G$17:$G$22)*Kalender!C180/SUM(Kalender!$C$5:$C$370),0)+IFERROR(SUMIF(Nutzungsprofile!$B$17:$B$22,"Halle",Nutzungsprofile!$G$17:$G$22)*Kalender!D180/SUM(Kalender!$D$5:$D$370),0)+IFERROR(SUMIF(Nutzungsprofile!$B$17:$B$22,"Individuell",Nutzungsprofile!$G$17:$G$22)*Kalender!E180/SUM(Kalender!$E$5:$E$370),0))*Szenarien!$D$15,0)</f>
        <v>4.94</v>
      </c>
      <c r="E1644" s="13" t="n">
        <f aca="false">IFERROR(MIN(C1644,Eingaben!$B$17)*Eingaben!$B$16,0)</f>
        <v>2.793</v>
      </c>
      <c r="F1644" s="13" t="n">
        <f aca="false">IFERROR(E1644*Eingaben!$B$15,0)</f>
        <v>2.5137</v>
      </c>
      <c r="G1644" s="13" t="n">
        <f aca="false">IFERROR(IF(Kalender!A180="",0,J1643*(1-Eingaben!$B$20)),0)</f>
        <v>0.7390278</v>
      </c>
      <c r="H1644" s="13" t="n">
        <f aca="false">MIN(G1644,D1644)</f>
        <v>0.7390278</v>
      </c>
      <c r="I1644" s="13" t="n">
        <f aca="false">IFERROR(MIN(F1644*Eingaben!$B$19,MAX(0,D1644-H1644)),0)</f>
        <v>1.75959</v>
      </c>
      <c r="J1644" s="13" t="n">
        <f aca="false">IFERROR(MIN(Eingaben!$B$18,MAX(0,F1644-I1644)),0)</f>
        <v>0.75411</v>
      </c>
      <c r="K1644" s="13" t="n">
        <f aca="false">H1644+I1644</f>
        <v>2.4986178</v>
      </c>
      <c r="L1644" s="13" t="n">
        <f aca="false">MAX(0,D1644-K1644)</f>
        <v>2.4413822</v>
      </c>
      <c r="M1644" s="13" t="n">
        <f aca="false">MAX(0,F1644-I1644-J1644)</f>
        <v>0</v>
      </c>
      <c r="N1644" s="13" t="n">
        <f aca="false">IF(Kalender!A180="",0,J1643-H1644)</f>
        <v>0.0150822</v>
      </c>
    </row>
    <row r="1645" customFormat="false" ht="16.4" hidden="false" customHeight="false" outlineLevel="0" collapsed="false">
      <c r="A1645" s="13" t="str">
        <f aca="false">""</f>
        <v/>
      </c>
      <c r="B1645" s="13" t="n">
        <f aca="false">177</f>
        <v>177</v>
      </c>
      <c r="C1645" s="13" t="n">
        <f aca="false">IF(Szenarien!$H$15="OK",(IFERROR(SUMIF(Nutzungsprofile!$B$6:$B$11,"Schulbetrieb",Nutzungsprofile!$G$6:$G$11)*Kalender!C181/SUM(Kalender!$C$5:$C$370),0)+IFERROR(SUMIF(Nutzungsprofile!$B$6:$B$11,"Halle",Nutzungsprofile!$G$6:$G$11)*Kalender!D181/SUM(Kalender!$D$5:$D$370),0)+IFERROR(SUMIF(Nutzungsprofile!$B$6:$B$11,"Individuell",Nutzungsprofile!$G$6:$G$11)*Kalender!E181/SUM(Kalender!$E$5:$E$370),0))*Szenarien!$E$15,0)</f>
        <v>2.94</v>
      </c>
      <c r="D1645" s="13" t="n">
        <f aca="false">IF(Szenarien!$H$15="OK",(IFERROR(SUMIF(Nutzungsprofile!$B$17:$B$22,"Schulbetrieb",Nutzungsprofile!$G$17:$G$22)*Kalender!C181/SUM(Kalender!$C$5:$C$370),0)+IFERROR(SUMIF(Nutzungsprofile!$B$17:$B$22,"Halle",Nutzungsprofile!$G$17:$G$22)*Kalender!D181/SUM(Kalender!$D$5:$D$370),0)+IFERROR(SUMIF(Nutzungsprofile!$B$17:$B$22,"Individuell",Nutzungsprofile!$G$17:$G$22)*Kalender!E181/SUM(Kalender!$E$5:$E$370),0))*Szenarien!$D$15,0)</f>
        <v>4.94</v>
      </c>
      <c r="E1645" s="13" t="n">
        <f aca="false">IFERROR(MIN(C1645,Eingaben!$B$17)*Eingaben!$B$16,0)</f>
        <v>2.793</v>
      </c>
      <c r="F1645" s="13" t="n">
        <f aca="false">IFERROR(E1645*Eingaben!$B$15,0)</f>
        <v>2.5137</v>
      </c>
      <c r="G1645" s="13" t="n">
        <f aca="false">IFERROR(IF(Kalender!A181="",0,J1644*(1-Eingaben!$B$20)),0)</f>
        <v>0.7390278</v>
      </c>
      <c r="H1645" s="13" t="n">
        <f aca="false">MIN(G1645,D1645)</f>
        <v>0.7390278</v>
      </c>
      <c r="I1645" s="13" t="n">
        <f aca="false">IFERROR(MIN(F1645*Eingaben!$B$19,MAX(0,D1645-H1645)),0)</f>
        <v>1.75959</v>
      </c>
      <c r="J1645" s="13" t="n">
        <f aca="false">IFERROR(MIN(Eingaben!$B$18,MAX(0,F1645-I1645)),0)</f>
        <v>0.75411</v>
      </c>
      <c r="K1645" s="13" t="n">
        <f aca="false">H1645+I1645</f>
        <v>2.4986178</v>
      </c>
      <c r="L1645" s="13" t="n">
        <f aca="false">MAX(0,D1645-K1645)</f>
        <v>2.4413822</v>
      </c>
      <c r="M1645" s="13" t="n">
        <f aca="false">MAX(0,F1645-I1645-J1645)</f>
        <v>0</v>
      </c>
      <c r="N1645" s="13" t="n">
        <f aca="false">IF(Kalender!A181="",0,J1644-H1645)</f>
        <v>0.0150822</v>
      </c>
    </row>
    <row r="1646" customFormat="false" ht="16.4" hidden="false" customHeight="false" outlineLevel="0" collapsed="false">
      <c r="A1646" s="13" t="str">
        <f aca="false">""</f>
        <v/>
      </c>
      <c r="B1646" s="13" t="n">
        <f aca="false">178</f>
        <v>178</v>
      </c>
      <c r="C1646" s="13" t="n">
        <f aca="false">IF(Szenarien!$H$15="OK",(IFERROR(SUMIF(Nutzungsprofile!$B$6:$B$11,"Schulbetrieb",Nutzungsprofile!$G$6:$G$11)*Kalender!C182/SUM(Kalender!$C$5:$C$370),0)+IFERROR(SUMIF(Nutzungsprofile!$B$6:$B$11,"Halle",Nutzungsprofile!$G$6:$G$11)*Kalender!D182/SUM(Kalender!$D$5:$D$370),0)+IFERROR(SUMIF(Nutzungsprofile!$B$6:$B$11,"Individuell",Nutzungsprofile!$G$6:$G$11)*Kalender!E182/SUM(Kalender!$E$5:$E$370),0))*Szenarien!$E$15,0)</f>
        <v>2.04</v>
      </c>
      <c r="D1646" s="13" t="n">
        <f aca="false">IF(Szenarien!$H$15="OK",(IFERROR(SUMIF(Nutzungsprofile!$B$17:$B$22,"Schulbetrieb",Nutzungsprofile!$G$17:$G$22)*Kalender!C182/SUM(Kalender!$C$5:$C$370),0)+IFERROR(SUMIF(Nutzungsprofile!$B$17:$B$22,"Halle",Nutzungsprofile!$G$17:$G$22)*Kalender!D182/SUM(Kalender!$D$5:$D$370),0)+IFERROR(SUMIF(Nutzungsprofile!$B$17:$B$22,"Individuell",Nutzungsprofile!$G$17:$G$22)*Kalender!E182/SUM(Kalender!$E$5:$E$370),0))*Szenarien!$D$15,0)</f>
        <v>0.89</v>
      </c>
      <c r="E1646" s="13" t="n">
        <f aca="false">IFERROR(MIN(C1646,Eingaben!$B$17)*Eingaben!$B$16,0)</f>
        <v>1.938</v>
      </c>
      <c r="F1646" s="13" t="n">
        <f aca="false">IFERROR(E1646*Eingaben!$B$15,0)</f>
        <v>1.7442</v>
      </c>
      <c r="G1646" s="13" t="n">
        <f aca="false">IFERROR(IF(Kalender!A182="",0,J1645*(1-Eingaben!$B$20)),0)</f>
        <v>0.7390278</v>
      </c>
      <c r="H1646" s="13" t="n">
        <f aca="false">MIN(G1646,D1646)</f>
        <v>0.7390278</v>
      </c>
      <c r="I1646" s="13" t="n">
        <f aca="false">IFERROR(MIN(F1646*Eingaben!$B$19,MAX(0,D1646-H1646)),0)</f>
        <v>0.1509722</v>
      </c>
      <c r="J1646" s="13" t="n">
        <f aca="false">IFERROR(MIN(Eingaben!$B$18,MAX(0,F1646-I1646)),0)</f>
        <v>1.5932278</v>
      </c>
      <c r="K1646" s="13" t="n">
        <f aca="false">H1646+I1646</f>
        <v>0.89</v>
      </c>
      <c r="L1646" s="13" t="n">
        <f aca="false">MAX(0,D1646-K1646)</f>
        <v>0</v>
      </c>
      <c r="M1646" s="13" t="n">
        <f aca="false">MAX(0,F1646-I1646-J1646)</f>
        <v>0</v>
      </c>
      <c r="N1646" s="13" t="n">
        <f aca="false">IF(Kalender!A182="",0,J1645-H1646)</f>
        <v>0.0150822</v>
      </c>
    </row>
    <row r="1647" customFormat="false" ht="16.4" hidden="false" customHeight="false" outlineLevel="0" collapsed="false">
      <c r="A1647" s="13" t="str">
        <f aca="false">""</f>
        <v/>
      </c>
      <c r="B1647" s="13" t="n">
        <f aca="false">179</f>
        <v>179</v>
      </c>
      <c r="C1647" s="13" t="n">
        <f aca="false">IF(Szenarien!$H$15="OK",(IFERROR(SUMIF(Nutzungsprofile!$B$6:$B$11,"Schulbetrieb",Nutzungsprofile!$G$6:$G$11)*Kalender!C183/SUM(Kalender!$C$5:$C$370),0)+IFERROR(SUMIF(Nutzungsprofile!$B$6:$B$11,"Halle",Nutzungsprofile!$G$6:$G$11)*Kalender!D183/SUM(Kalender!$D$5:$D$370),0)+IFERROR(SUMIF(Nutzungsprofile!$B$6:$B$11,"Individuell",Nutzungsprofile!$G$6:$G$11)*Kalender!E183/SUM(Kalender!$E$5:$E$370),0))*Szenarien!$E$15,0)</f>
        <v>2.04</v>
      </c>
      <c r="D1647" s="13" t="n">
        <f aca="false">IF(Szenarien!$H$15="OK",(IFERROR(SUMIF(Nutzungsprofile!$B$17:$B$22,"Schulbetrieb",Nutzungsprofile!$G$17:$G$22)*Kalender!C183/SUM(Kalender!$C$5:$C$370),0)+IFERROR(SUMIF(Nutzungsprofile!$B$17:$B$22,"Halle",Nutzungsprofile!$G$17:$G$22)*Kalender!D183/SUM(Kalender!$D$5:$D$370),0)+IFERROR(SUMIF(Nutzungsprofile!$B$17:$B$22,"Individuell",Nutzungsprofile!$G$17:$G$22)*Kalender!E183/SUM(Kalender!$E$5:$E$370),0))*Szenarien!$D$15,0)</f>
        <v>0.89</v>
      </c>
      <c r="E1647" s="13" t="n">
        <f aca="false">IFERROR(MIN(C1647,Eingaben!$B$17)*Eingaben!$B$16,0)</f>
        <v>1.938</v>
      </c>
      <c r="F1647" s="13" t="n">
        <f aca="false">IFERROR(E1647*Eingaben!$B$15,0)</f>
        <v>1.7442</v>
      </c>
      <c r="G1647" s="13" t="n">
        <f aca="false">IFERROR(IF(Kalender!A183="",0,J1646*(1-Eingaben!$B$20)),0)</f>
        <v>1.561363244</v>
      </c>
      <c r="H1647" s="13" t="n">
        <f aca="false">MIN(G1647,D1647)</f>
        <v>0.89</v>
      </c>
      <c r="I1647" s="13" t="n">
        <f aca="false">IFERROR(MIN(F1647*Eingaben!$B$19,MAX(0,D1647-H1647)),0)</f>
        <v>0</v>
      </c>
      <c r="J1647" s="13" t="n">
        <f aca="false">IFERROR(MIN(Eingaben!$B$18,MAX(0,F1647-I1647)),0)</f>
        <v>1.7442</v>
      </c>
      <c r="K1647" s="13" t="n">
        <f aca="false">H1647+I1647</f>
        <v>0.89</v>
      </c>
      <c r="L1647" s="13" t="n">
        <f aca="false">MAX(0,D1647-K1647)</f>
        <v>0</v>
      </c>
      <c r="M1647" s="13" t="n">
        <f aca="false">MAX(0,F1647-I1647-J1647)</f>
        <v>0</v>
      </c>
      <c r="N1647" s="13" t="n">
        <f aca="false">IF(Kalender!A183="",0,J1646-H1647)</f>
        <v>0.7032278</v>
      </c>
    </row>
    <row r="1648" customFormat="false" ht="16.4" hidden="false" customHeight="false" outlineLevel="0" collapsed="false">
      <c r="A1648" s="13" t="str">
        <f aca="false">""</f>
        <v/>
      </c>
      <c r="B1648" s="13" t="n">
        <f aca="false">180</f>
        <v>180</v>
      </c>
      <c r="C1648" s="13" t="n">
        <f aca="false">IF(Szenarien!$H$15="OK",(IFERROR(SUMIF(Nutzungsprofile!$B$6:$B$11,"Schulbetrieb",Nutzungsprofile!$G$6:$G$11)*Kalender!C184/SUM(Kalender!$C$5:$C$370),0)+IFERROR(SUMIF(Nutzungsprofile!$B$6:$B$11,"Halle",Nutzungsprofile!$G$6:$G$11)*Kalender!D184/SUM(Kalender!$D$5:$D$370),0)+IFERROR(SUMIF(Nutzungsprofile!$B$6:$B$11,"Individuell",Nutzungsprofile!$G$6:$G$11)*Kalender!E184/SUM(Kalender!$E$5:$E$370),0))*Szenarien!$E$15,0)</f>
        <v>2.94</v>
      </c>
      <c r="D1648" s="13" t="n">
        <f aca="false">IF(Szenarien!$H$15="OK",(IFERROR(SUMIF(Nutzungsprofile!$B$17:$B$22,"Schulbetrieb",Nutzungsprofile!$G$17:$G$22)*Kalender!C184/SUM(Kalender!$C$5:$C$370),0)+IFERROR(SUMIF(Nutzungsprofile!$B$17:$B$22,"Halle",Nutzungsprofile!$G$17:$G$22)*Kalender!D184/SUM(Kalender!$D$5:$D$370),0)+IFERROR(SUMIF(Nutzungsprofile!$B$17:$B$22,"Individuell",Nutzungsprofile!$G$17:$G$22)*Kalender!E184/SUM(Kalender!$E$5:$E$370),0))*Szenarien!$D$15,0)</f>
        <v>4.94</v>
      </c>
      <c r="E1648" s="13" t="n">
        <f aca="false">IFERROR(MIN(C1648,Eingaben!$B$17)*Eingaben!$B$16,0)</f>
        <v>2.793</v>
      </c>
      <c r="F1648" s="13" t="n">
        <f aca="false">IFERROR(E1648*Eingaben!$B$15,0)</f>
        <v>2.5137</v>
      </c>
      <c r="G1648" s="13" t="n">
        <f aca="false">IFERROR(IF(Kalender!A184="",0,J1647*(1-Eingaben!$B$20)),0)</f>
        <v>1.709316</v>
      </c>
      <c r="H1648" s="13" t="n">
        <f aca="false">MIN(G1648,D1648)</f>
        <v>1.709316</v>
      </c>
      <c r="I1648" s="13" t="n">
        <f aca="false">IFERROR(MIN(F1648*Eingaben!$B$19,MAX(0,D1648-H1648)),0)</f>
        <v>1.75959</v>
      </c>
      <c r="J1648" s="13" t="n">
        <f aca="false">IFERROR(MIN(Eingaben!$B$18,MAX(0,F1648-I1648)),0)</f>
        <v>0.75411</v>
      </c>
      <c r="K1648" s="13" t="n">
        <f aca="false">H1648+I1648</f>
        <v>3.468906</v>
      </c>
      <c r="L1648" s="13" t="n">
        <f aca="false">MAX(0,D1648-K1648)</f>
        <v>1.471094</v>
      </c>
      <c r="M1648" s="13" t="n">
        <f aca="false">MAX(0,F1648-I1648-J1648)</f>
        <v>0</v>
      </c>
      <c r="N1648" s="13" t="n">
        <f aca="false">IF(Kalender!A184="",0,J1647-H1648)</f>
        <v>0.0348840000000001</v>
      </c>
    </row>
    <row r="1649" customFormat="false" ht="16.4" hidden="false" customHeight="false" outlineLevel="0" collapsed="false">
      <c r="A1649" s="13" t="str">
        <f aca="false">""</f>
        <v/>
      </c>
      <c r="B1649" s="13" t="n">
        <f aca="false">181</f>
        <v>181</v>
      </c>
      <c r="C1649" s="13" t="n">
        <f aca="false">IF(Szenarien!$H$15="OK",(IFERROR(SUMIF(Nutzungsprofile!$B$6:$B$11,"Schulbetrieb",Nutzungsprofile!$G$6:$G$11)*Kalender!C185/SUM(Kalender!$C$5:$C$370),0)+IFERROR(SUMIF(Nutzungsprofile!$B$6:$B$11,"Halle",Nutzungsprofile!$G$6:$G$11)*Kalender!D185/SUM(Kalender!$D$5:$D$370),0)+IFERROR(SUMIF(Nutzungsprofile!$B$6:$B$11,"Individuell",Nutzungsprofile!$G$6:$G$11)*Kalender!E185/SUM(Kalender!$E$5:$E$370),0))*Szenarien!$E$15,0)</f>
        <v>2.94</v>
      </c>
      <c r="D1649" s="13" t="n">
        <f aca="false">IF(Szenarien!$H$15="OK",(IFERROR(SUMIF(Nutzungsprofile!$B$17:$B$22,"Schulbetrieb",Nutzungsprofile!$G$17:$G$22)*Kalender!C185/SUM(Kalender!$C$5:$C$370),0)+IFERROR(SUMIF(Nutzungsprofile!$B$17:$B$22,"Halle",Nutzungsprofile!$G$17:$G$22)*Kalender!D185/SUM(Kalender!$D$5:$D$370),0)+IFERROR(SUMIF(Nutzungsprofile!$B$17:$B$22,"Individuell",Nutzungsprofile!$G$17:$G$22)*Kalender!E185/SUM(Kalender!$E$5:$E$370),0))*Szenarien!$D$15,0)</f>
        <v>4.94</v>
      </c>
      <c r="E1649" s="13" t="n">
        <f aca="false">IFERROR(MIN(C1649,Eingaben!$B$17)*Eingaben!$B$16,0)</f>
        <v>2.793</v>
      </c>
      <c r="F1649" s="13" t="n">
        <f aca="false">IFERROR(E1649*Eingaben!$B$15,0)</f>
        <v>2.5137</v>
      </c>
      <c r="G1649" s="13" t="n">
        <f aca="false">IFERROR(IF(Kalender!A185="",0,J1648*(1-Eingaben!$B$20)),0)</f>
        <v>0.7390278</v>
      </c>
      <c r="H1649" s="13" t="n">
        <f aca="false">MIN(G1649,D1649)</f>
        <v>0.7390278</v>
      </c>
      <c r="I1649" s="13" t="n">
        <f aca="false">IFERROR(MIN(F1649*Eingaben!$B$19,MAX(0,D1649-H1649)),0)</f>
        <v>1.75959</v>
      </c>
      <c r="J1649" s="13" t="n">
        <f aca="false">IFERROR(MIN(Eingaben!$B$18,MAX(0,F1649-I1649)),0)</f>
        <v>0.75411</v>
      </c>
      <c r="K1649" s="13" t="n">
        <f aca="false">H1649+I1649</f>
        <v>2.4986178</v>
      </c>
      <c r="L1649" s="13" t="n">
        <f aca="false">MAX(0,D1649-K1649)</f>
        <v>2.4413822</v>
      </c>
      <c r="M1649" s="13" t="n">
        <f aca="false">MAX(0,F1649-I1649-J1649)</f>
        <v>0</v>
      </c>
      <c r="N1649" s="13" t="n">
        <f aca="false">IF(Kalender!A185="",0,J1648-H1649)</f>
        <v>0.0150822</v>
      </c>
    </row>
    <row r="1650" customFormat="false" ht="16.4" hidden="false" customHeight="false" outlineLevel="0" collapsed="false">
      <c r="A1650" s="13" t="str">
        <f aca="false">""</f>
        <v/>
      </c>
      <c r="B1650" s="13" t="n">
        <f aca="false">182</f>
        <v>182</v>
      </c>
      <c r="C1650" s="13" t="n">
        <f aca="false">IF(Szenarien!$H$15="OK",(IFERROR(SUMIF(Nutzungsprofile!$B$6:$B$11,"Schulbetrieb",Nutzungsprofile!$G$6:$G$11)*Kalender!C186/SUM(Kalender!$C$5:$C$370),0)+IFERROR(SUMIF(Nutzungsprofile!$B$6:$B$11,"Halle",Nutzungsprofile!$G$6:$G$11)*Kalender!D186/SUM(Kalender!$D$5:$D$370),0)+IFERROR(SUMIF(Nutzungsprofile!$B$6:$B$11,"Individuell",Nutzungsprofile!$G$6:$G$11)*Kalender!E186/SUM(Kalender!$E$5:$E$370),0))*Szenarien!$E$15,0)</f>
        <v>2.04</v>
      </c>
      <c r="D1650" s="13" t="n">
        <f aca="false">IF(Szenarien!$H$15="OK",(IFERROR(SUMIF(Nutzungsprofile!$B$17:$B$22,"Schulbetrieb",Nutzungsprofile!$G$17:$G$22)*Kalender!C186/SUM(Kalender!$C$5:$C$370),0)+IFERROR(SUMIF(Nutzungsprofile!$B$17:$B$22,"Halle",Nutzungsprofile!$G$17:$G$22)*Kalender!D186/SUM(Kalender!$D$5:$D$370),0)+IFERROR(SUMIF(Nutzungsprofile!$B$17:$B$22,"Individuell",Nutzungsprofile!$G$17:$G$22)*Kalender!E186/SUM(Kalender!$E$5:$E$370),0))*Szenarien!$D$15,0)</f>
        <v>0.89</v>
      </c>
      <c r="E1650" s="13" t="n">
        <f aca="false">IFERROR(MIN(C1650,Eingaben!$B$17)*Eingaben!$B$16,0)</f>
        <v>1.938</v>
      </c>
      <c r="F1650" s="13" t="n">
        <f aca="false">IFERROR(E1650*Eingaben!$B$15,0)</f>
        <v>1.7442</v>
      </c>
      <c r="G1650" s="13" t="n">
        <f aca="false">IFERROR(IF(Kalender!A186="",0,J1649*(1-Eingaben!$B$20)),0)</f>
        <v>0.7390278</v>
      </c>
      <c r="H1650" s="13" t="n">
        <f aca="false">MIN(G1650,D1650)</f>
        <v>0.7390278</v>
      </c>
      <c r="I1650" s="13" t="n">
        <f aca="false">IFERROR(MIN(F1650*Eingaben!$B$19,MAX(0,D1650-H1650)),0)</f>
        <v>0.1509722</v>
      </c>
      <c r="J1650" s="13" t="n">
        <f aca="false">IFERROR(MIN(Eingaben!$B$18,MAX(0,F1650-I1650)),0)</f>
        <v>1.5932278</v>
      </c>
      <c r="K1650" s="13" t="n">
        <f aca="false">H1650+I1650</f>
        <v>0.89</v>
      </c>
      <c r="L1650" s="13" t="n">
        <f aca="false">MAX(0,D1650-K1650)</f>
        <v>0</v>
      </c>
      <c r="M1650" s="13" t="n">
        <f aca="false">MAX(0,F1650-I1650-J1650)</f>
        <v>0</v>
      </c>
      <c r="N1650" s="13" t="n">
        <f aca="false">IF(Kalender!A186="",0,J1649-H1650)</f>
        <v>0.0150822</v>
      </c>
    </row>
    <row r="1651" customFormat="false" ht="16.4" hidden="false" customHeight="false" outlineLevel="0" collapsed="false">
      <c r="A1651" s="13" t="str">
        <f aca="false">""</f>
        <v/>
      </c>
      <c r="B1651" s="13" t="n">
        <f aca="false">183</f>
        <v>183</v>
      </c>
      <c r="C1651" s="13" t="n">
        <f aca="false">IF(Szenarien!$H$15="OK",(IFERROR(SUMIF(Nutzungsprofile!$B$6:$B$11,"Schulbetrieb",Nutzungsprofile!$G$6:$G$11)*Kalender!C187/SUM(Kalender!$C$5:$C$370),0)+IFERROR(SUMIF(Nutzungsprofile!$B$6:$B$11,"Halle",Nutzungsprofile!$G$6:$G$11)*Kalender!D187/SUM(Kalender!$D$5:$D$370),0)+IFERROR(SUMIF(Nutzungsprofile!$B$6:$B$11,"Individuell",Nutzungsprofile!$G$6:$G$11)*Kalender!E187/SUM(Kalender!$E$5:$E$370),0))*Szenarien!$E$15,0)</f>
        <v>2.04</v>
      </c>
      <c r="D1651" s="13" t="n">
        <f aca="false">IF(Szenarien!$H$15="OK",(IFERROR(SUMIF(Nutzungsprofile!$B$17:$B$22,"Schulbetrieb",Nutzungsprofile!$G$17:$G$22)*Kalender!C187/SUM(Kalender!$C$5:$C$370),0)+IFERROR(SUMIF(Nutzungsprofile!$B$17:$B$22,"Halle",Nutzungsprofile!$G$17:$G$22)*Kalender!D187/SUM(Kalender!$D$5:$D$370),0)+IFERROR(SUMIF(Nutzungsprofile!$B$17:$B$22,"Individuell",Nutzungsprofile!$G$17:$G$22)*Kalender!E187/SUM(Kalender!$E$5:$E$370),0))*Szenarien!$D$15,0)</f>
        <v>0.89</v>
      </c>
      <c r="E1651" s="13" t="n">
        <f aca="false">IFERROR(MIN(C1651,Eingaben!$B$17)*Eingaben!$B$16,0)</f>
        <v>1.938</v>
      </c>
      <c r="F1651" s="13" t="n">
        <f aca="false">IFERROR(E1651*Eingaben!$B$15,0)</f>
        <v>1.7442</v>
      </c>
      <c r="G1651" s="13" t="n">
        <f aca="false">IFERROR(IF(Kalender!A187="",0,J1650*(1-Eingaben!$B$20)),0)</f>
        <v>1.561363244</v>
      </c>
      <c r="H1651" s="13" t="n">
        <f aca="false">MIN(G1651,D1651)</f>
        <v>0.89</v>
      </c>
      <c r="I1651" s="13" t="n">
        <f aca="false">IFERROR(MIN(F1651*Eingaben!$B$19,MAX(0,D1651-H1651)),0)</f>
        <v>0</v>
      </c>
      <c r="J1651" s="13" t="n">
        <f aca="false">IFERROR(MIN(Eingaben!$B$18,MAX(0,F1651-I1651)),0)</f>
        <v>1.7442</v>
      </c>
      <c r="K1651" s="13" t="n">
        <f aca="false">H1651+I1651</f>
        <v>0.89</v>
      </c>
      <c r="L1651" s="13" t="n">
        <f aca="false">MAX(0,D1651-K1651)</f>
        <v>0</v>
      </c>
      <c r="M1651" s="13" t="n">
        <f aca="false">MAX(0,F1651-I1651-J1651)</f>
        <v>0</v>
      </c>
      <c r="N1651" s="13" t="n">
        <f aca="false">IF(Kalender!A187="",0,J1650-H1651)</f>
        <v>0.7032278</v>
      </c>
    </row>
    <row r="1652" customFormat="false" ht="16.4" hidden="false" customHeight="false" outlineLevel="0" collapsed="false">
      <c r="A1652" s="13" t="str">
        <f aca="false">""</f>
        <v/>
      </c>
      <c r="B1652" s="13" t="n">
        <f aca="false">184</f>
        <v>184</v>
      </c>
      <c r="C1652" s="13" t="n">
        <f aca="false">IF(Szenarien!$H$15="OK",(IFERROR(SUMIF(Nutzungsprofile!$B$6:$B$11,"Schulbetrieb",Nutzungsprofile!$G$6:$G$11)*Kalender!C188/SUM(Kalender!$C$5:$C$370),0)+IFERROR(SUMIF(Nutzungsprofile!$B$6:$B$11,"Halle",Nutzungsprofile!$G$6:$G$11)*Kalender!D188/SUM(Kalender!$D$5:$D$370),0)+IFERROR(SUMIF(Nutzungsprofile!$B$6:$B$11,"Individuell",Nutzungsprofile!$G$6:$G$11)*Kalender!E188/SUM(Kalender!$E$5:$E$370),0))*Szenarien!$E$15,0)</f>
        <v>2.04</v>
      </c>
      <c r="D1652" s="13" t="n">
        <f aca="false">IF(Szenarien!$H$15="OK",(IFERROR(SUMIF(Nutzungsprofile!$B$17:$B$22,"Schulbetrieb",Nutzungsprofile!$G$17:$G$22)*Kalender!C188/SUM(Kalender!$C$5:$C$370),0)+IFERROR(SUMIF(Nutzungsprofile!$B$17:$B$22,"Halle",Nutzungsprofile!$G$17:$G$22)*Kalender!D188/SUM(Kalender!$D$5:$D$370),0)+IFERROR(SUMIF(Nutzungsprofile!$B$17:$B$22,"Individuell",Nutzungsprofile!$G$17:$G$22)*Kalender!E188/SUM(Kalender!$E$5:$E$370),0))*Szenarien!$D$15,0)</f>
        <v>0.89</v>
      </c>
      <c r="E1652" s="13" t="n">
        <f aca="false">IFERROR(MIN(C1652,Eingaben!$B$17)*Eingaben!$B$16,0)</f>
        <v>1.938</v>
      </c>
      <c r="F1652" s="13" t="n">
        <f aca="false">IFERROR(E1652*Eingaben!$B$15,0)</f>
        <v>1.7442</v>
      </c>
      <c r="G1652" s="13" t="n">
        <f aca="false">IFERROR(IF(Kalender!A188="",0,J1651*(1-Eingaben!$B$20)),0)</f>
        <v>1.709316</v>
      </c>
      <c r="H1652" s="13" t="n">
        <f aca="false">MIN(G1652,D1652)</f>
        <v>0.89</v>
      </c>
      <c r="I1652" s="13" t="n">
        <f aca="false">IFERROR(MIN(F1652*Eingaben!$B$19,MAX(0,D1652-H1652)),0)</f>
        <v>0</v>
      </c>
      <c r="J1652" s="13" t="n">
        <f aca="false">IFERROR(MIN(Eingaben!$B$18,MAX(0,F1652-I1652)),0)</f>
        <v>1.7442</v>
      </c>
      <c r="K1652" s="13" t="n">
        <f aca="false">H1652+I1652</f>
        <v>0.89</v>
      </c>
      <c r="L1652" s="13" t="n">
        <f aca="false">MAX(0,D1652-K1652)</f>
        <v>0</v>
      </c>
      <c r="M1652" s="13" t="n">
        <f aca="false">MAX(0,F1652-I1652-J1652)</f>
        <v>0</v>
      </c>
      <c r="N1652" s="13" t="n">
        <f aca="false">IF(Kalender!A188="",0,J1651-H1652)</f>
        <v>0.8542</v>
      </c>
    </row>
    <row r="1653" customFormat="false" ht="16.4" hidden="false" customHeight="false" outlineLevel="0" collapsed="false">
      <c r="A1653" s="13" t="str">
        <f aca="false">""</f>
        <v/>
      </c>
      <c r="B1653" s="13" t="n">
        <f aca="false">185</f>
        <v>185</v>
      </c>
      <c r="C1653" s="13" t="n">
        <f aca="false">IF(Szenarien!$H$15="OK",(IFERROR(SUMIF(Nutzungsprofile!$B$6:$B$11,"Schulbetrieb",Nutzungsprofile!$G$6:$G$11)*Kalender!C189/SUM(Kalender!$C$5:$C$370),0)+IFERROR(SUMIF(Nutzungsprofile!$B$6:$B$11,"Halle",Nutzungsprofile!$G$6:$G$11)*Kalender!D189/SUM(Kalender!$D$5:$D$370),0)+IFERROR(SUMIF(Nutzungsprofile!$B$6:$B$11,"Individuell",Nutzungsprofile!$G$6:$G$11)*Kalender!E189/SUM(Kalender!$E$5:$E$370),0))*Szenarien!$E$15,0)</f>
        <v>2.04</v>
      </c>
      <c r="D1653" s="13" t="n">
        <f aca="false">IF(Szenarien!$H$15="OK",(IFERROR(SUMIF(Nutzungsprofile!$B$17:$B$22,"Schulbetrieb",Nutzungsprofile!$G$17:$G$22)*Kalender!C189/SUM(Kalender!$C$5:$C$370),0)+IFERROR(SUMIF(Nutzungsprofile!$B$17:$B$22,"Halle",Nutzungsprofile!$G$17:$G$22)*Kalender!D189/SUM(Kalender!$D$5:$D$370),0)+IFERROR(SUMIF(Nutzungsprofile!$B$17:$B$22,"Individuell",Nutzungsprofile!$G$17:$G$22)*Kalender!E189/SUM(Kalender!$E$5:$E$370),0))*Szenarien!$D$15,0)</f>
        <v>0.89</v>
      </c>
      <c r="E1653" s="13" t="n">
        <f aca="false">IFERROR(MIN(C1653,Eingaben!$B$17)*Eingaben!$B$16,0)</f>
        <v>1.938</v>
      </c>
      <c r="F1653" s="13" t="n">
        <f aca="false">IFERROR(E1653*Eingaben!$B$15,0)</f>
        <v>1.7442</v>
      </c>
      <c r="G1653" s="13" t="n">
        <f aca="false">IFERROR(IF(Kalender!A189="",0,J1652*(1-Eingaben!$B$20)),0)</f>
        <v>1.709316</v>
      </c>
      <c r="H1653" s="13" t="n">
        <f aca="false">MIN(G1653,D1653)</f>
        <v>0.89</v>
      </c>
      <c r="I1653" s="13" t="n">
        <f aca="false">IFERROR(MIN(F1653*Eingaben!$B$19,MAX(0,D1653-H1653)),0)</f>
        <v>0</v>
      </c>
      <c r="J1653" s="13" t="n">
        <f aca="false">IFERROR(MIN(Eingaben!$B$18,MAX(0,F1653-I1653)),0)</f>
        <v>1.7442</v>
      </c>
      <c r="K1653" s="13" t="n">
        <f aca="false">H1653+I1653</f>
        <v>0.89</v>
      </c>
      <c r="L1653" s="13" t="n">
        <f aca="false">MAX(0,D1653-K1653)</f>
        <v>0</v>
      </c>
      <c r="M1653" s="13" t="n">
        <f aca="false">MAX(0,F1653-I1653-J1653)</f>
        <v>0</v>
      </c>
      <c r="N1653" s="13" t="n">
        <f aca="false">IF(Kalender!A189="",0,J1652-H1653)</f>
        <v>0.8542</v>
      </c>
    </row>
    <row r="1654" customFormat="false" ht="16.4" hidden="false" customHeight="false" outlineLevel="0" collapsed="false">
      <c r="A1654" s="13" t="str">
        <f aca="false">""</f>
        <v/>
      </c>
      <c r="B1654" s="13" t="n">
        <f aca="false">186</f>
        <v>186</v>
      </c>
      <c r="C1654" s="13" t="n">
        <f aca="false">IF(Szenarien!$H$15="OK",(IFERROR(SUMIF(Nutzungsprofile!$B$6:$B$11,"Schulbetrieb",Nutzungsprofile!$G$6:$G$11)*Kalender!C190/SUM(Kalender!$C$5:$C$370),0)+IFERROR(SUMIF(Nutzungsprofile!$B$6:$B$11,"Halle",Nutzungsprofile!$G$6:$G$11)*Kalender!D190/SUM(Kalender!$D$5:$D$370),0)+IFERROR(SUMIF(Nutzungsprofile!$B$6:$B$11,"Individuell",Nutzungsprofile!$G$6:$G$11)*Kalender!E190/SUM(Kalender!$E$5:$E$370),0))*Szenarien!$E$15,0)</f>
        <v>2.04</v>
      </c>
      <c r="D1654" s="13" t="n">
        <f aca="false">IF(Szenarien!$H$15="OK",(IFERROR(SUMIF(Nutzungsprofile!$B$17:$B$22,"Schulbetrieb",Nutzungsprofile!$G$17:$G$22)*Kalender!C190/SUM(Kalender!$C$5:$C$370),0)+IFERROR(SUMIF(Nutzungsprofile!$B$17:$B$22,"Halle",Nutzungsprofile!$G$17:$G$22)*Kalender!D190/SUM(Kalender!$D$5:$D$370),0)+IFERROR(SUMIF(Nutzungsprofile!$B$17:$B$22,"Individuell",Nutzungsprofile!$G$17:$G$22)*Kalender!E190/SUM(Kalender!$E$5:$E$370),0))*Szenarien!$D$15,0)</f>
        <v>0.89</v>
      </c>
      <c r="E1654" s="13" t="n">
        <f aca="false">IFERROR(MIN(C1654,Eingaben!$B$17)*Eingaben!$B$16,0)</f>
        <v>1.938</v>
      </c>
      <c r="F1654" s="13" t="n">
        <f aca="false">IFERROR(E1654*Eingaben!$B$15,0)</f>
        <v>1.7442</v>
      </c>
      <c r="G1654" s="13" t="n">
        <f aca="false">IFERROR(IF(Kalender!A190="",0,J1653*(1-Eingaben!$B$20)),0)</f>
        <v>1.709316</v>
      </c>
      <c r="H1654" s="13" t="n">
        <f aca="false">MIN(G1654,D1654)</f>
        <v>0.89</v>
      </c>
      <c r="I1654" s="13" t="n">
        <f aca="false">IFERROR(MIN(F1654*Eingaben!$B$19,MAX(0,D1654-H1654)),0)</f>
        <v>0</v>
      </c>
      <c r="J1654" s="13" t="n">
        <f aca="false">IFERROR(MIN(Eingaben!$B$18,MAX(0,F1654-I1654)),0)</f>
        <v>1.7442</v>
      </c>
      <c r="K1654" s="13" t="n">
        <f aca="false">H1654+I1654</f>
        <v>0.89</v>
      </c>
      <c r="L1654" s="13" t="n">
        <f aca="false">MAX(0,D1654-K1654)</f>
        <v>0</v>
      </c>
      <c r="M1654" s="13" t="n">
        <f aca="false">MAX(0,F1654-I1654-J1654)</f>
        <v>0</v>
      </c>
      <c r="N1654" s="13" t="n">
        <f aca="false">IF(Kalender!A190="",0,J1653-H1654)</f>
        <v>0.8542</v>
      </c>
    </row>
    <row r="1655" customFormat="false" ht="16.4" hidden="false" customHeight="false" outlineLevel="0" collapsed="false">
      <c r="A1655" s="13" t="str">
        <f aca="false">""</f>
        <v/>
      </c>
      <c r="B1655" s="13" t="n">
        <f aca="false">187</f>
        <v>187</v>
      </c>
      <c r="C1655" s="13" t="n">
        <f aca="false">IF(Szenarien!$H$15="OK",(IFERROR(SUMIF(Nutzungsprofile!$B$6:$B$11,"Schulbetrieb",Nutzungsprofile!$G$6:$G$11)*Kalender!C191/SUM(Kalender!$C$5:$C$370),0)+IFERROR(SUMIF(Nutzungsprofile!$B$6:$B$11,"Halle",Nutzungsprofile!$G$6:$G$11)*Kalender!D191/SUM(Kalender!$D$5:$D$370),0)+IFERROR(SUMIF(Nutzungsprofile!$B$6:$B$11,"Individuell",Nutzungsprofile!$G$6:$G$11)*Kalender!E191/SUM(Kalender!$E$5:$E$370),0))*Szenarien!$E$15,0)</f>
        <v>2.04</v>
      </c>
      <c r="D1655" s="13" t="n">
        <f aca="false">IF(Szenarien!$H$15="OK",(IFERROR(SUMIF(Nutzungsprofile!$B$17:$B$22,"Schulbetrieb",Nutzungsprofile!$G$17:$G$22)*Kalender!C191/SUM(Kalender!$C$5:$C$370),0)+IFERROR(SUMIF(Nutzungsprofile!$B$17:$B$22,"Halle",Nutzungsprofile!$G$17:$G$22)*Kalender!D191/SUM(Kalender!$D$5:$D$370),0)+IFERROR(SUMIF(Nutzungsprofile!$B$17:$B$22,"Individuell",Nutzungsprofile!$G$17:$G$22)*Kalender!E191/SUM(Kalender!$E$5:$E$370),0))*Szenarien!$D$15,0)</f>
        <v>0.89</v>
      </c>
      <c r="E1655" s="13" t="n">
        <f aca="false">IFERROR(MIN(C1655,Eingaben!$B$17)*Eingaben!$B$16,0)</f>
        <v>1.938</v>
      </c>
      <c r="F1655" s="13" t="n">
        <f aca="false">IFERROR(E1655*Eingaben!$B$15,0)</f>
        <v>1.7442</v>
      </c>
      <c r="G1655" s="13" t="n">
        <f aca="false">IFERROR(IF(Kalender!A191="",0,J1654*(1-Eingaben!$B$20)),0)</f>
        <v>1.709316</v>
      </c>
      <c r="H1655" s="13" t="n">
        <f aca="false">MIN(G1655,D1655)</f>
        <v>0.89</v>
      </c>
      <c r="I1655" s="13" t="n">
        <f aca="false">IFERROR(MIN(F1655*Eingaben!$B$19,MAX(0,D1655-H1655)),0)</f>
        <v>0</v>
      </c>
      <c r="J1655" s="13" t="n">
        <f aca="false">IFERROR(MIN(Eingaben!$B$18,MAX(0,F1655-I1655)),0)</f>
        <v>1.7442</v>
      </c>
      <c r="K1655" s="13" t="n">
        <f aca="false">H1655+I1655</f>
        <v>0.89</v>
      </c>
      <c r="L1655" s="13" t="n">
        <f aca="false">MAX(0,D1655-K1655)</f>
        <v>0</v>
      </c>
      <c r="M1655" s="13" t="n">
        <f aca="false">MAX(0,F1655-I1655-J1655)</f>
        <v>0</v>
      </c>
      <c r="N1655" s="13" t="n">
        <f aca="false">IF(Kalender!A191="",0,J1654-H1655)</f>
        <v>0.8542</v>
      </c>
    </row>
    <row r="1656" customFormat="false" ht="16.4" hidden="false" customHeight="false" outlineLevel="0" collapsed="false">
      <c r="A1656" s="13" t="str">
        <f aca="false">""</f>
        <v/>
      </c>
      <c r="B1656" s="13" t="n">
        <f aca="false">188</f>
        <v>188</v>
      </c>
      <c r="C1656" s="13" t="n">
        <f aca="false">IF(Szenarien!$H$15="OK",(IFERROR(SUMIF(Nutzungsprofile!$B$6:$B$11,"Schulbetrieb",Nutzungsprofile!$G$6:$G$11)*Kalender!C192/SUM(Kalender!$C$5:$C$370),0)+IFERROR(SUMIF(Nutzungsprofile!$B$6:$B$11,"Halle",Nutzungsprofile!$G$6:$G$11)*Kalender!D192/SUM(Kalender!$D$5:$D$370),0)+IFERROR(SUMIF(Nutzungsprofile!$B$6:$B$11,"Individuell",Nutzungsprofile!$G$6:$G$11)*Kalender!E192/SUM(Kalender!$E$5:$E$370),0))*Szenarien!$E$15,0)</f>
        <v>2.04</v>
      </c>
      <c r="D1656" s="13" t="n">
        <f aca="false">IF(Szenarien!$H$15="OK",(IFERROR(SUMIF(Nutzungsprofile!$B$17:$B$22,"Schulbetrieb",Nutzungsprofile!$G$17:$G$22)*Kalender!C192/SUM(Kalender!$C$5:$C$370),0)+IFERROR(SUMIF(Nutzungsprofile!$B$17:$B$22,"Halle",Nutzungsprofile!$G$17:$G$22)*Kalender!D192/SUM(Kalender!$D$5:$D$370),0)+IFERROR(SUMIF(Nutzungsprofile!$B$17:$B$22,"Individuell",Nutzungsprofile!$G$17:$G$22)*Kalender!E192/SUM(Kalender!$E$5:$E$370),0))*Szenarien!$D$15,0)</f>
        <v>0.89</v>
      </c>
      <c r="E1656" s="13" t="n">
        <f aca="false">IFERROR(MIN(C1656,Eingaben!$B$17)*Eingaben!$B$16,0)</f>
        <v>1.938</v>
      </c>
      <c r="F1656" s="13" t="n">
        <f aca="false">IFERROR(E1656*Eingaben!$B$15,0)</f>
        <v>1.7442</v>
      </c>
      <c r="G1656" s="13" t="n">
        <f aca="false">IFERROR(IF(Kalender!A192="",0,J1655*(1-Eingaben!$B$20)),0)</f>
        <v>1.709316</v>
      </c>
      <c r="H1656" s="13" t="n">
        <f aca="false">MIN(G1656,D1656)</f>
        <v>0.89</v>
      </c>
      <c r="I1656" s="13" t="n">
        <f aca="false">IFERROR(MIN(F1656*Eingaben!$B$19,MAX(0,D1656-H1656)),0)</f>
        <v>0</v>
      </c>
      <c r="J1656" s="13" t="n">
        <f aca="false">IFERROR(MIN(Eingaben!$B$18,MAX(0,F1656-I1656)),0)</f>
        <v>1.7442</v>
      </c>
      <c r="K1656" s="13" t="n">
        <f aca="false">H1656+I1656</f>
        <v>0.89</v>
      </c>
      <c r="L1656" s="13" t="n">
        <f aca="false">MAX(0,D1656-K1656)</f>
        <v>0</v>
      </c>
      <c r="M1656" s="13" t="n">
        <f aca="false">MAX(0,F1656-I1656-J1656)</f>
        <v>0</v>
      </c>
      <c r="N1656" s="13" t="n">
        <f aca="false">IF(Kalender!A192="",0,J1655-H1656)</f>
        <v>0.8542</v>
      </c>
    </row>
    <row r="1657" customFormat="false" ht="16.4" hidden="false" customHeight="false" outlineLevel="0" collapsed="false">
      <c r="A1657" s="13" t="str">
        <f aca="false">""</f>
        <v/>
      </c>
      <c r="B1657" s="13" t="n">
        <f aca="false">189</f>
        <v>189</v>
      </c>
      <c r="C1657" s="13" t="n">
        <f aca="false">IF(Szenarien!$H$15="OK",(IFERROR(SUMIF(Nutzungsprofile!$B$6:$B$11,"Schulbetrieb",Nutzungsprofile!$G$6:$G$11)*Kalender!C193/SUM(Kalender!$C$5:$C$370),0)+IFERROR(SUMIF(Nutzungsprofile!$B$6:$B$11,"Halle",Nutzungsprofile!$G$6:$G$11)*Kalender!D193/SUM(Kalender!$D$5:$D$370),0)+IFERROR(SUMIF(Nutzungsprofile!$B$6:$B$11,"Individuell",Nutzungsprofile!$G$6:$G$11)*Kalender!E193/SUM(Kalender!$E$5:$E$370),0))*Szenarien!$E$15,0)</f>
        <v>2.04</v>
      </c>
      <c r="D1657" s="13" t="n">
        <f aca="false">IF(Szenarien!$H$15="OK",(IFERROR(SUMIF(Nutzungsprofile!$B$17:$B$22,"Schulbetrieb",Nutzungsprofile!$G$17:$G$22)*Kalender!C193/SUM(Kalender!$C$5:$C$370),0)+IFERROR(SUMIF(Nutzungsprofile!$B$17:$B$22,"Halle",Nutzungsprofile!$G$17:$G$22)*Kalender!D193/SUM(Kalender!$D$5:$D$370),0)+IFERROR(SUMIF(Nutzungsprofile!$B$17:$B$22,"Individuell",Nutzungsprofile!$G$17:$G$22)*Kalender!E193/SUM(Kalender!$E$5:$E$370),0))*Szenarien!$D$15,0)</f>
        <v>0.89</v>
      </c>
      <c r="E1657" s="13" t="n">
        <f aca="false">IFERROR(MIN(C1657,Eingaben!$B$17)*Eingaben!$B$16,0)</f>
        <v>1.938</v>
      </c>
      <c r="F1657" s="13" t="n">
        <f aca="false">IFERROR(E1657*Eingaben!$B$15,0)</f>
        <v>1.7442</v>
      </c>
      <c r="G1657" s="13" t="n">
        <f aca="false">IFERROR(IF(Kalender!A193="",0,J1656*(1-Eingaben!$B$20)),0)</f>
        <v>1.709316</v>
      </c>
      <c r="H1657" s="13" t="n">
        <f aca="false">MIN(G1657,D1657)</f>
        <v>0.89</v>
      </c>
      <c r="I1657" s="13" t="n">
        <f aca="false">IFERROR(MIN(F1657*Eingaben!$B$19,MAX(0,D1657-H1657)),0)</f>
        <v>0</v>
      </c>
      <c r="J1657" s="13" t="n">
        <f aca="false">IFERROR(MIN(Eingaben!$B$18,MAX(0,F1657-I1657)),0)</f>
        <v>1.7442</v>
      </c>
      <c r="K1657" s="13" t="n">
        <f aca="false">H1657+I1657</f>
        <v>0.89</v>
      </c>
      <c r="L1657" s="13" t="n">
        <f aca="false">MAX(0,D1657-K1657)</f>
        <v>0</v>
      </c>
      <c r="M1657" s="13" t="n">
        <f aca="false">MAX(0,F1657-I1657-J1657)</f>
        <v>0</v>
      </c>
      <c r="N1657" s="13" t="n">
        <f aca="false">IF(Kalender!A193="",0,J1656-H1657)</f>
        <v>0.8542</v>
      </c>
    </row>
    <row r="1658" customFormat="false" ht="16.4" hidden="false" customHeight="false" outlineLevel="0" collapsed="false">
      <c r="A1658" s="13" t="str">
        <f aca="false">""</f>
        <v/>
      </c>
      <c r="B1658" s="13" t="n">
        <f aca="false">190</f>
        <v>190</v>
      </c>
      <c r="C1658" s="13" t="n">
        <f aca="false">IF(Szenarien!$H$15="OK",(IFERROR(SUMIF(Nutzungsprofile!$B$6:$B$11,"Schulbetrieb",Nutzungsprofile!$G$6:$G$11)*Kalender!C194/SUM(Kalender!$C$5:$C$370),0)+IFERROR(SUMIF(Nutzungsprofile!$B$6:$B$11,"Halle",Nutzungsprofile!$G$6:$G$11)*Kalender!D194/SUM(Kalender!$D$5:$D$370),0)+IFERROR(SUMIF(Nutzungsprofile!$B$6:$B$11,"Individuell",Nutzungsprofile!$G$6:$G$11)*Kalender!E194/SUM(Kalender!$E$5:$E$370),0))*Szenarien!$E$15,0)</f>
        <v>2.04</v>
      </c>
      <c r="D1658" s="13" t="n">
        <f aca="false">IF(Szenarien!$H$15="OK",(IFERROR(SUMIF(Nutzungsprofile!$B$17:$B$22,"Schulbetrieb",Nutzungsprofile!$G$17:$G$22)*Kalender!C194/SUM(Kalender!$C$5:$C$370),0)+IFERROR(SUMIF(Nutzungsprofile!$B$17:$B$22,"Halle",Nutzungsprofile!$G$17:$G$22)*Kalender!D194/SUM(Kalender!$D$5:$D$370),0)+IFERROR(SUMIF(Nutzungsprofile!$B$17:$B$22,"Individuell",Nutzungsprofile!$G$17:$G$22)*Kalender!E194/SUM(Kalender!$E$5:$E$370),0))*Szenarien!$D$15,0)</f>
        <v>0.89</v>
      </c>
      <c r="E1658" s="13" t="n">
        <f aca="false">IFERROR(MIN(C1658,Eingaben!$B$17)*Eingaben!$B$16,0)</f>
        <v>1.938</v>
      </c>
      <c r="F1658" s="13" t="n">
        <f aca="false">IFERROR(E1658*Eingaben!$B$15,0)</f>
        <v>1.7442</v>
      </c>
      <c r="G1658" s="13" t="n">
        <f aca="false">IFERROR(IF(Kalender!A194="",0,J1657*(1-Eingaben!$B$20)),0)</f>
        <v>1.709316</v>
      </c>
      <c r="H1658" s="13" t="n">
        <f aca="false">MIN(G1658,D1658)</f>
        <v>0.89</v>
      </c>
      <c r="I1658" s="13" t="n">
        <f aca="false">IFERROR(MIN(F1658*Eingaben!$B$19,MAX(0,D1658-H1658)),0)</f>
        <v>0</v>
      </c>
      <c r="J1658" s="13" t="n">
        <f aca="false">IFERROR(MIN(Eingaben!$B$18,MAX(0,F1658-I1658)),0)</f>
        <v>1.7442</v>
      </c>
      <c r="K1658" s="13" t="n">
        <f aca="false">H1658+I1658</f>
        <v>0.89</v>
      </c>
      <c r="L1658" s="13" t="n">
        <f aca="false">MAX(0,D1658-K1658)</f>
        <v>0</v>
      </c>
      <c r="M1658" s="13" t="n">
        <f aca="false">MAX(0,F1658-I1658-J1658)</f>
        <v>0</v>
      </c>
      <c r="N1658" s="13" t="n">
        <f aca="false">IF(Kalender!A194="",0,J1657-H1658)</f>
        <v>0.8542</v>
      </c>
    </row>
    <row r="1659" customFormat="false" ht="16.4" hidden="false" customHeight="false" outlineLevel="0" collapsed="false">
      <c r="A1659" s="13" t="str">
        <f aca="false">""</f>
        <v/>
      </c>
      <c r="B1659" s="13" t="n">
        <f aca="false">191</f>
        <v>191</v>
      </c>
      <c r="C1659" s="13" t="n">
        <f aca="false">IF(Szenarien!$H$15="OK",(IFERROR(SUMIF(Nutzungsprofile!$B$6:$B$11,"Schulbetrieb",Nutzungsprofile!$G$6:$G$11)*Kalender!C195/SUM(Kalender!$C$5:$C$370),0)+IFERROR(SUMIF(Nutzungsprofile!$B$6:$B$11,"Halle",Nutzungsprofile!$G$6:$G$11)*Kalender!D195/SUM(Kalender!$D$5:$D$370),0)+IFERROR(SUMIF(Nutzungsprofile!$B$6:$B$11,"Individuell",Nutzungsprofile!$G$6:$G$11)*Kalender!E195/SUM(Kalender!$E$5:$E$370),0))*Szenarien!$E$15,0)</f>
        <v>2.04</v>
      </c>
      <c r="D1659" s="13" t="n">
        <f aca="false">IF(Szenarien!$H$15="OK",(IFERROR(SUMIF(Nutzungsprofile!$B$17:$B$22,"Schulbetrieb",Nutzungsprofile!$G$17:$G$22)*Kalender!C195/SUM(Kalender!$C$5:$C$370),0)+IFERROR(SUMIF(Nutzungsprofile!$B$17:$B$22,"Halle",Nutzungsprofile!$G$17:$G$22)*Kalender!D195/SUM(Kalender!$D$5:$D$370),0)+IFERROR(SUMIF(Nutzungsprofile!$B$17:$B$22,"Individuell",Nutzungsprofile!$G$17:$G$22)*Kalender!E195/SUM(Kalender!$E$5:$E$370),0))*Szenarien!$D$15,0)</f>
        <v>0.89</v>
      </c>
      <c r="E1659" s="13" t="n">
        <f aca="false">IFERROR(MIN(C1659,Eingaben!$B$17)*Eingaben!$B$16,0)</f>
        <v>1.938</v>
      </c>
      <c r="F1659" s="13" t="n">
        <f aca="false">IFERROR(E1659*Eingaben!$B$15,0)</f>
        <v>1.7442</v>
      </c>
      <c r="G1659" s="13" t="n">
        <f aca="false">IFERROR(IF(Kalender!A195="",0,J1658*(1-Eingaben!$B$20)),0)</f>
        <v>1.709316</v>
      </c>
      <c r="H1659" s="13" t="n">
        <f aca="false">MIN(G1659,D1659)</f>
        <v>0.89</v>
      </c>
      <c r="I1659" s="13" t="n">
        <f aca="false">IFERROR(MIN(F1659*Eingaben!$B$19,MAX(0,D1659-H1659)),0)</f>
        <v>0</v>
      </c>
      <c r="J1659" s="13" t="n">
        <f aca="false">IFERROR(MIN(Eingaben!$B$18,MAX(0,F1659-I1659)),0)</f>
        <v>1.7442</v>
      </c>
      <c r="K1659" s="13" t="n">
        <f aca="false">H1659+I1659</f>
        <v>0.89</v>
      </c>
      <c r="L1659" s="13" t="n">
        <f aca="false">MAX(0,D1659-K1659)</f>
        <v>0</v>
      </c>
      <c r="M1659" s="13" t="n">
        <f aca="false">MAX(0,F1659-I1659-J1659)</f>
        <v>0</v>
      </c>
      <c r="N1659" s="13" t="n">
        <f aca="false">IF(Kalender!A195="",0,J1658-H1659)</f>
        <v>0.8542</v>
      </c>
    </row>
    <row r="1660" customFormat="false" ht="16.4" hidden="false" customHeight="false" outlineLevel="0" collapsed="false">
      <c r="A1660" s="13" t="str">
        <f aca="false">""</f>
        <v/>
      </c>
      <c r="B1660" s="13" t="n">
        <f aca="false">192</f>
        <v>192</v>
      </c>
      <c r="C1660" s="13" t="n">
        <f aca="false">IF(Szenarien!$H$15="OK",(IFERROR(SUMIF(Nutzungsprofile!$B$6:$B$11,"Schulbetrieb",Nutzungsprofile!$G$6:$G$11)*Kalender!C196/SUM(Kalender!$C$5:$C$370),0)+IFERROR(SUMIF(Nutzungsprofile!$B$6:$B$11,"Halle",Nutzungsprofile!$G$6:$G$11)*Kalender!D196/SUM(Kalender!$D$5:$D$370),0)+IFERROR(SUMIF(Nutzungsprofile!$B$6:$B$11,"Individuell",Nutzungsprofile!$G$6:$G$11)*Kalender!E196/SUM(Kalender!$E$5:$E$370),0))*Szenarien!$E$15,0)</f>
        <v>2.04</v>
      </c>
      <c r="D1660" s="13" t="n">
        <f aca="false">IF(Szenarien!$H$15="OK",(IFERROR(SUMIF(Nutzungsprofile!$B$17:$B$22,"Schulbetrieb",Nutzungsprofile!$G$17:$G$22)*Kalender!C196/SUM(Kalender!$C$5:$C$370),0)+IFERROR(SUMIF(Nutzungsprofile!$B$17:$B$22,"Halle",Nutzungsprofile!$G$17:$G$22)*Kalender!D196/SUM(Kalender!$D$5:$D$370),0)+IFERROR(SUMIF(Nutzungsprofile!$B$17:$B$22,"Individuell",Nutzungsprofile!$G$17:$G$22)*Kalender!E196/SUM(Kalender!$E$5:$E$370),0))*Szenarien!$D$15,0)</f>
        <v>0.89</v>
      </c>
      <c r="E1660" s="13" t="n">
        <f aca="false">IFERROR(MIN(C1660,Eingaben!$B$17)*Eingaben!$B$16,0)</f>
        <v>1.938</v>
      </c>
      <c r="F1660" s="13" t="n">
        <f aca="false">IFERROR(E1660*Eingaben!$B$15,0)</f>
        <v>1.7442</v>
      </c>
      <c r="G1660" s="13" t="n">
        <f aca="false">IFERROR(IF(Kalender!A196="",0,J1659*(1-Eingaben!$B$20)),0)</f>
        <v>1.709316</v>
      </c>
      <c r="H1660" s="13" t="n">
        <f aca="false">MIN(G1660,D1660)</f>
        <v>0.89</v>
      </c>
      <c r="I1660" s="13" t="n">
        <f aca="false">IFERROR(MIN(F1660*Eingaben!$B$19,MAX(0,D1660-H1660)),0)</f>
        <v>0</v>
      </c>
      <c r="J1660" s="13" t="n">
        <f aca="false">IFERROR(MIN(Eingaben!$B$18,MAX(0,F1660-I1660)),0)</f>
        <v>1.7442</v>
      </c>
      <c r="K1660" s="13" t="n">
        <f aca="false">H1660+I1660</f>
        <v>0.89</v>
      </c>
      <c r="L1660" s="13" t="n">
        <f aca="false">MAX(0,D1660-K1660)</f>
        <v>0</v>
      </c>
      <c r="M1660" s="13" t="n">
        <f aca="false">MAX(0,F1660-I1660-J1660)</f>
        <v>0</v>
      </c>
      <c r="N1660" s="13" t="n">
        <f aca="false">IF(Kalender!A196="",0,J1659-H1660)</f>
        <v>0.8542</v>
      </c>
    </row>
    <row r="1661" customFormat="false" ht="16.4" hidden="false" customHeight="false" outlineLevel="0" collapsed="false">
      <c r="A1661" s="13" t="str">
        <f aca="false">""</f>
        <v/>
      </c>
      <c r="B1661" s="13" t="n">
        <f aca="false">193</f>
        <v>193</v>
      </c>
      <c r="C1661" s="13" t="n">
        <f aca="false">IF(Szenarien!$H$15="OK",(IFERROR(SUMIF(Nutzungsprofile!$B$6:$B$11,"Schulbetrieb",Nutzungsprofile!$G$6:$G$11)*Kalender!C197/SUM(Kalender!$C$5:$C$370),0)+IFERROR(SUMIF(Nutzungsprofile!$B$6:$B$11,"Halle",Nutzungsprofile!$G$6:$G$11)*Kalender!D197/SUM(Kalender!$D$5:$D$370),0)+IFERROR(SUMIF(Nutzungsprofile!$B$6:$B$11,"Individuell",Nutzungsprofile!$G$6:$G$11)*Kalender!E197/SUM(Kalender!$E$5:$E$370),0))*Szenarien!$E$15,0)</f>
        <v>2.04</v>
      </c>
      <c r="D1661" s="13" t="n">
        <f aca="false">IF(Szenarien!$H$15="OK",(IFERROR(SUMIF(Nutzungsprofile!$B$17:$B$22,"Schulbetrieb",Nutzungsprofile!$G$17:$G$22)*Kalender!C197/SUM(Kalender!$C$5:$C$370),0)+IFERROR(SUMIF(Nutzungsprofile!$B$17:$B$22,"Halle",Nutzungsprofile!$G$17:$G$22)*Kalender!D197/SUM(Kalender!$D$5:$D$370),0)+IFERROR(SUMIF(Nutzungsprofile!$B$17:$B$22,"Individuell",Nutzungsprofile!$G$17:$G$22)*Kalender!E197/SUM(Kalender!$E$5:$E$370),0))*Szenarien!$D$15,0)</f>
        <v>0.89</v>
      </c>
      <c r="E1661" s="13" t="n">
        <f aca="false">IFERROR(MIN(C1661,Eingaben!$B$17)*Eingaben!$B$16,0)</f>
        <v>1.938</v>
      </c>
      <c r="F1661" s="13" t="n">
        <f aca="false">IFERROR(E1661*Eingaben!$B$15,0)</f>
        <v>1.7442</v>
      </c>
      <c r="G1661" s="13" t="n">
        <f aca="false">IFERROR(IF(Kalender!A197="",0,J1660*(1-Eingaben!$B$20)),0)</f>
        <v>1.709316</v>
      </c>
      <c r="H1661" s="13" t="n">
        <f aca="false">MIN(G1661,D1661)</f>
        <v>0.89</v>
      </c>
      <c r="I1661" s="13" t="n">
        <f aca="false">IFERROR(MIN(F1661*Eingaben!$B$19,MAX(0,D1661-H1661)),0)</f>
        <v>0</v>
      </c>
      <c r="J1661" s="13" t="n">
        <f aca="false">IFERROR(MIN(Eingaben!$B$18,MAX(0,F1661-I1661)),0)</f>
        <v>1.7442</v>
      </c>
      <c r="K1661" s="13" t="n">
        <f aca="false">H1661+I1661</f>
        <v>0.89</v>
      </c>
      <c r="L1661" s="13" t="n">
        <f aca="false">MAX(0,D1661-K1661)</f>
        <v>0</v>
      </c>
      <c r="M1661" s="13" t="n">
        <f aca="false">MAX(0,F1661-I1661-J1661)</f>
        <v>0</v>
      </c>
      <c r="N1661" s="13" t="n">
        <f aca="false">IF(Kalender!A197="",0,J1660-H1661)</f>
        <v>0.8542</v>
      </c>
    </row>
    <row r="1662" customFormat="false" ht="16.4" hidden="false" customHeight="false" outlineLevel="0" collapsed="false">
      <c r="A1662" s="13" t="str">
        <f aca="false">""</f>
        <v/>
      </c>
      <c r="B1662" s="13" t="n">
        <f aca="false">194</f>
        <v>194</v>
      </c>
      <c r="C1662" s="13" t="n">
        <f aca="false">IF(Szenarien!$H$15="OK",(IFERROR(SUMIF(Nutzungsprofile!$B$6:$B$11,"Schulbetrieb",Nutzungsprofile!$G$6:$G$11)*Kalender!C198/SUM(Kalender!$C$5:$C$370),0)+IFERROR(SUMIF(Nutzungsprofile!$B$6:$B$11,"Halle",Nutzungsprofile!$G$6:$G$11)*Kalender!D198/SUM(Kalender!$D$5:$D$370),0)+IFERROR(SUMIF(Nutzungsprofile!$B$6:$B$11,"Individuell",Nutzungsprofile!$G$6:$G$11)*Kalender!E198/SUM(Kalender!$E$5:$E$370),0))*Szenarien!$E$15,0)</f>
        <v>2.04</v>
      </c>
      <c r="D1662" s="13" t="n">
        <f aca="false">IF(Szenarien!$H$15="OK",(IFERROR(SUMIF(Nutzungsprofile!$B$17:$B$22,"Schulbetrieb",Nutzungsprofile!$G$17:$G$22)*Kalender!C198/SUM(Kalender!$C$5:$C$370),0)+IFERROR(SUMIF(Nutzungsprofile!$B$17:$B$22,"Halle",Nutzungsprofile!$G$17:$G$22)*Kalender!D198/SUM(Kalender!$D$5:$D$370),0)+IFERROR(SUMIF(Nutzungsprofile!$B$17:$B$22,"Individuell",Nutzungsprofile!$G$17:$G$22)*Kalender!E198/SUM(Kalender!$E$5:$E$370),0))*Szenarien!$D$15,0)</f>
        <v>0.89</v>
      </c>
      <c r="E1662" s="13" t="n">
        <f aca="false">IFERROR(MIN(C1662,Eingaben!$B$17)*Eingaben!$B$16,0)</f>
        <v>1.938</v>
      </c>
      <c r="F1662" s="13" t="n">
        <f aca="false">IFERROR(E1662*Eingaben!$B$15,0)</f>
        <v>1.7442</v>
      </c>
      <c r="G1662" s="13" t="n">
        <f aca="false">IFERROR(IF(Kalender!A198="",0,J1661*(1-Eingaben!$B$20)),0)</f>
        <v>1.709316</v>
      </c>
      <c r="H1662" s="13" t="n">
        <f aca="false">MIN(G1662,D1662)</f>
        <v>0.89</v>
      </c>
      <c r="I1662" s="13" t="n">
        <f aca="false">IFERROR(MIN(F1662*Eingaben!$B$19,MAX(0,D1662-H1662)),0)</f>
        <v>0</v>
      </c>
      <c r="J1662" s="13" t="n">
        <f aca="false">IFERROR(MIN(Eingaben!$B$18,MAX(0,F1662-I1662)),0)</f>
        <v>1.7442</v>
      </c>
      <c r="K1662" s="13" t="n">
        <f aca="false">H1662+I1662</f>
        <v>0.89</v>
      </c>
      <c r="L1662" s="13" t="n">
        <f aca="false">MAX(0,D1662-K1662)</f>
        <v>0</v>
      </c>
      <c r="M1662" s="13" t="n">
        <f aca="false">MAX(0,F1662-I1662-J1662)</f>
        <v>0</v>
      </c>
      <c r="N1662" s="13" t="n">
        <f aca="false">IF(Kalender!A198="",0,J1661-H1662)</f>
        <v>0.8542</v>
      </c>
    </row>
    <row r="1663" customFormat="false" ht="16.4" hidden="false" customHeight="false" outlineLevel="0" collapsed="false">
      <c r="A1663" s="13" t="str">
        <f aca="false">""</f>
        <v/>
      </c>
      <c r="B1663" s="13" t="n">
        <f aca="false">195</f>
        <v>195</v>
      </c>
      <c r="C1663" s="13" t="n">
        <f aca="false">IF(Szenarien!$H$15="OK",(IFERROR(SUMIF(Nutzungsprofile!$B$6:$B$11,"Schulbetrieb",Nutzungsprofile!$G$6:$G$11)*Kalender!C199/SUM(Kalender!$C$5:$C$370),0)+IFERROR(SUMIF(Nutzungsprofile!$B$6:$B$11,"Halle",Nutzungsprofile!$G$6:$G$11)*Kalender!D199/SUM(Kalender!$D$5:$D$370),0)+IFERROR(SUMIF(Nutzungsprofile!$B$6:$B$11,"Individuell",Nutzungsprofile!$G$6:$G$11)*Kalender!E199/SUM(Kalender!$E$5:$E$370),0))*Szenarien!$E$15,0)</f>
        <v>2.04</v>
      </c>
      <c r="D1663" s="13" t="n">
        <f aca="false">IF(Szenarien!$H$15="OK",(IFERROR(SUMIF(Nutzungsprofile!$B$17:$B$22,"Schulbetrieb",Nutzungsprofile!$G$17:$G$22)*Kalender!C199/SUM(Kalender!$C$5:$C$370),0)+IFERROR(SUMIF(Nutzungsprofile!$B$17:$B$22,"Halle",Nutzungsprofile!$G$17:$G$22)*Kalender!D199/SUM(Kalender!$D$5:$D$370),0)+IFERROR(SUMIF(Nutzungsprofile!$B$17:$B$22,"Individuell",Nutzungsprofile!$G$17:$G$22)*Kalender!E199/SUM(Kalender!$E$5:$E$370),0))*Szenarien!$D$15,0)</f>
        <v>0.89</v>
      </c>
      <c r="E1663" s="13" t="n">
        <f aca="false">IFERROR(MIN(C1663,Eingaben!$B$17)*Eingaben!$B$16,0)</f>
        <v>1.938</v>
      </c>
      <c r="F1663" s="13" t="n">
        <f aca="false">IFERROR(E1663*Eingaben!$B$15,0)</f>
        <v>1.7442</v>
      </c>
      <c r="G1663" s="13" t="n">
        <f aca="false">IFERROR(IF(Kalender!A199="",0,J1662*(1-Eingaben!$B$20)),0)</f>
        <v>1.709316</v>
      </c>
      <c r="H1663" s="13" t="n">
        <f aca="false">MIN(G1663,D1663)</f>
        <v>0.89</v>
      </c>
      <c r="I1663" s="13" t="n">
        <f aca="false">IFERROR(MIN(F1663*Eingaben!$B$19,MAX(0,D1663-H1663)),0)</f>
        <v>0</v>
      </c>
      <c r="J1663" s="13" t="n">
        <f aca="false">IFERROR(MIN(Eingaben!$B$18,MAX(0,F1663-I1663)),0)</f>
        <v>1.7442</v>
      </c>
      <c r="K1663" s="13" t="n">
        <f aca="false">H1663+I1663</f>
        <v>0.89</v>
      </c>
      <c r="L1663" s="13" t="n">
        <f aca="false">MAX(0,D1663-K1663)</f>
        <v>0</v>
      </c>
      <c r="M1663" s="13" t="n">
        <f aca="false">MAX(0,F1663-I1663-J1663)</f>
        <v>0</v>
      </c>
      <c r="N1663" s="13" t="n">
        <f aca="false">IF(Kalender!A199="",0,J1662-H1663)</f>
        <v>0.8542</v>
      </c>
    </row>
    <row r="1664" customFormat="false" ht="16.4" hidden="false" customHeight="false" outlineLevel="0" collapsed="false">
      <c r="A1664" s="13" t="str">
        <f aca="false">""</f>
        <v/>
      </c>
      <c r="B1664" s="13" t="n">
        <f aca="false">196</f>
        <v>196</v>
      </c>
      <c r="C1664" s="13" t="n">
        <f aca="false">IF(Szenarien!$H$15="OK",(IFERROR(SUMIF(Nutzungsprofile!$B$6:$B$11,"Schulbetrieb",Nutzungsprofile!$G$6:$G$11)*Kalender!C200/SUM(Kalender!$C$5:$C$370),0)+IFERROR(SUMIF(Nutzungsprofile!$B$6:$B$11,"Halle",Nutzungsprofile!$G$6:$G$11)*Kalender!D200/SUM(Kalender!$D$5:$D$370),0)+IFERROR(SUMIF(Nutzungsprofile!$B$6:$B$11,"Individuell",Nutzungsprofile!$G$6:$G$11)*Kalender!E200/SUM(Kalender!$E$5:$E$370),0))*Szenarien!$E$15,0)</f>
        <v>2.04</v>
      </c>
      <c r="D1664" s="13" t="n">
        <f aca="false">IF(Szenarien!$H$15="OK",(IFERROR(SUMIF(Nutzungsprofile!$B$17:$B$22,"Schulbetrieb",Nutzungsprofile!$G$17:$G$22)*Kalender!C200/SUM(Kalender!$C$5:$C$370),0)+IFERROR(SUMIF(Nutzungsprofile!$B$17:$B$22,"Halle",Nutzungsprofile!$G$17:$G$22)*Kalender!D200/SUM(Kalender!$D$5:$D$370),0)+IFERROR(SUMIF(Nutzungsprofile!$B$17:$B$22,"Individuell",Nutzungsprofile!$G$17:$G$22)*Kalender!E200/SUM(Kalender!$E$5:$E$370),0))*Szenarien!$D$15,0)</f>
        <v>0.89</v>
      </c>
      <c r="E1664" s="13" t="n">
        <f aca="false">IFERROR(MIN(C1664,Eingaben!$B$17)*Eingaben!$B$16,0)</f>
        <v>1.938</v>
      </c>
      <c r="F1664" s="13" t="n">
        <f aca="false">IFERROR(E1664*Eingaben!$B$15,0)</f>
        <v>1.7442</v>
      </c>
      <c r="G1664" s="13" t="n">
        <f aca="false">IFERROR(IF(Kalender!A200="",0,J1663*(1-Eingaben!$B$20)),0)</f>
        <v>1.709316</v>
      </c>
      <c r="H1664" s="13" t="n">
        <f aca="false">MIN(G1664,D1664)</f>
        <v>0.89</v>
      </c>
      <c r="I1664" s="13" t="n">
        <f aca="false">IFERROR(MIN(F1664*Eingaben!$B$19,MAX(0,D1664-H1664)),0)</f>
        <v>0</v>
      </c>
      <c r="J1664" s="13" t="n">
        <f aca="false">IFERROR(MIN(Eingaben!$B$18,MAX(0,F1664-I1664)),0)</f>
        <v>1.7442</v>
      </c>
      <c r="K1664" s="13" t="n">
        <f aca="false">H1664+I1664</f>
        <v>0.89</v>
      </c>
      <c r="L1664" s="13" t="n">
        <f aca="false">MAX(0,D1664-K1664)</f>
        <v>0</v>
      </c>
      <c r="M1664" s="13" t="n">
        <f aca="false">MAX(0,F1664-I1664-J1664)</f>
        <v>0</v>
      </c>
      <c r="N1664" s="13" t="n">
        <f aca="false">IF(Kalender!A200="",0,J1663-H1664)</f>
        <v>0.8542</v>
      </c>
    </row>
    <row r="1665" customFormat="false" ht="16.4" hidden="false" customHeight="false" outlineLevel="0" collapsed="false">
      <c r="A1665" s="13" t="str">
        <f aca="false">""</f>
        <v/>
      </c>
      <c r="B1665" s="13" t="n">
        <f aca="false">197</f>
        <v>197</v>
      </c>
      <c r="C1665" s="13" t="n">
        <f aca="false">IF(Szenarien!$H$15="OK",(IFERROR(SUMIF(Nutzungsprofile!$B$6:$B$11,"Schulbetrieb",Nutzungsprofile!$G$6:$G$11)*Kalender!C201/SUM(Kalender!$C$5:$C$370),0)+IFERROR(SUMIF(Nutzungsprofile!$B$6:$B$11,"Halle",Nutzungsprofile!$G$6:$G$11)*Kalender!D201/SUM(Kalender!$D$5:$D$370),0)+IFERROR(SUMIF(Nutzungsprofile!$B$6:$B$11,"Individuell",Nutzungsprofile!$G$6:$G$11)*Kalender!E201/SUM(Kalender!$E$5:$E$370),0))*Szenarien!$E$15,0)</f>
        <v>2.04</v>
      </c>
      <c r="D1665" s="13" t="n">
        <f aca="false">IF(Szenarien!$H$15="OK",(IFERROR(SUMIF(Nutzungsprofile!$B$17:$B$22,"Schulbetrieb",Nutzungsprofile!$G$17:$G$22)*Kalender!C201/SUM(Kalender!$C$5:$C$370),0)+IFERROR(SUMIF(Nutzungsprofile!$B$17:$B$22,"Halle",Nutzungsprofile!$G$17:$G$22)*Kalender!D201/SUM(Kalender!$D$5:$D$370),0)+IFERROR(SUMIF(Nutzungsprofile!$B$17:$B$22,"Individuell",Nutzungsprofile!$G$17:$G$22)*Kalender!E201/SUM(Kalender!$E$5:$E$370),0))*Szenarien!$D$15,0)</f>
        <v>0.89</v>
      </c>
      <c r="E1665" s="13" t="n">
        <f aca="false">IFERROR(MIN(C1665,Eingaben!$B$17)*Eingaben!$B$16,0)</f>
        <v>1.938</v>
      </c>
      <c r="F1665" s="13" t="n">
        <f aca="false">IFERROR(E1665*Eingaben!$B$15,0)</f>
        <v>1.7442</v>
      </c>
      <c r="G1665" s="13" t="n">
        <f aca="false">IFERROR(IF(Kalender!A201="",0,J1664*(1-Eingaben!$B$20)),0)</f>
        <v>1.709316</v>
      </c>
      <c r="H1665" s="13" t="n">
        <f aca="false">MIN(G1665,D1665)</f>
        <v>0.89</v>
      </c>
      <c r="I1665" s="13" t="n">
        <f aca="false">IFERROR(MIN(F1665*Eingaben!$B$19,MAX(0,D1665-H1665)),0)</f>
        <v>0</v>
      </c>
      <c r="J1665" s="13" t="n">
        <f aca="false">IFERROR(MIN(Eingaben!$B$18,MAX(0,F1665-I1665)),0)</f>
        <v>1.7442</v>
      </c>
      <c r="K1665" s="13" t="n">
        <f aca="false">H1665+I1665</f>
        <v>0.89</v>
      </c>
      <c r="L1665" s="13" t="n">
        <f aca="false">MAX(0,D1665-K1665)</f>
        <v>0</v>
      </c>
      <c r="M1665" s="13" t="n">
        <f aca="false">MAX(0,F1665-I1665-J1665)</f>
        <v>0</v>
      </c>
      <c r="N1665" s="13" t="n">
        <f aca="false">IF(Kalender!A201="",0,J1664-H1665)</f>
        <v>0.8542</v>
      </c>
    </row>
    <row r="1666" customFormat="false" ht="16.4" hidden="false" customHeight="false" outlineLevel="0" collapsed="false">
      <c r="A1666" s="13" t="str">
        <f aca="false">""</f>
        <v/>
      </c>
      <c r="B1666" s="13" t="n">
        <f aca="false">198</f>
        <v>198</v>
      </c>
      <c r="C1666" s="13" t="n">
        <f aca="false">IF(Szenarien!$H$15="OK",(IFERROR(SUMIF(Nutzungsprofile!$B$6:$B$11,"Schulbetrieb",Nutzungsprofile!$G$6:$G$11)*Kalender!C202/SUM(Kalender!$C$5:$C$370),0)+IFERROR(SUMIF(Nutzungsprofile!$B$6:$B$11,"Halle",Nutzungsprofile!$G$6:$G$11)*Kalender!D202/SUM(Kalender!$D$5:$D$370),0)+IFERROR(SUMIF(Nutzungsprofile!$B$6:$B$11,"Individuell",Nutzungsprofile!$G$6:$G$11)*Kalender!E202/SUM(Kalender!$E$5:$E$370),0))*Szenarien!$E$15,0)</f>
        <v>2.04</v>
      </c>
      <c r="D1666" s="13" t="n">
        <f aca="false">IF(Szenarien!$H$15="OK",(IFERROR(SUMIF(Nutzungsprofile!$B$17:$B$22,"Schulbetrieb",Nutzungsprofile!$G$17:$G$22)*Kalender!C202/SUM(Kalender!$C$5:$C$370),0)+IFERROR(SUMIF(Nutzungsprofile!$B$17:$B$22,"Halle",Nutzungsprofile!$G$17:$G$22)*Kalender!D202/SUM(Kalender!$D$5:$D$370),0)+IFERROR(SUMIF(Nutzungsprofile!$B$17:$B$22,"Individuell",Nutzungsprofile!$G$17:$G$22)*Kalender!E202/SUM(Kalender!$E$5:$E$370),0))*Szenarien!$D$15,0)</f>
        <v>0.89</v>
      </c>
      <c r="E1666" s="13" t="n">
        <f aca="false">IFERROR(MIN(C1666,Eingaben!$B$17)*Eingaben!$B$16,0)</f>
        <v>1.938</v>
      </c>
      <c r="F1666" s="13" t="n">
        <f aca="false">IFERROR(E1666*Eingaben!$B$15,0)</f>
        <v>1.7442</v>
      </c>
      <c r="G1666" s="13" t="n">
        <f aca="false">IFERROR(IF(Kalender!A202="",0,J1665*(1-Eingaben!$B$20)),0)</f>
        <v>1.709316</v>
      </c>
      <c r="H1666" s="13" t="n">
        <f aca="false">MIN(G1666,D1666)</f>
        <v>0.89</v>
      </c>
      <c r="I1666" s="13" t="n">
        <f aca="false">IFERROR(MIN(F1666*Eingaben!$B$19,MAX(0,D1666-H1666)),0)</f>
        <v>0</v>
      </c>
      <c r="J1666" s="13" t="n">
        <f aca="false">IFERROR(MIN(Eingaben!$B$18,MAX(0,F1666-I1666)),0)</f>
        <v>1.7442</v>
      </c>
      <c r="K1666" s="13" t="n">
        <f aca="false">H1666+I1666</f>
        <v>0.89</v>
      </c>
      <c r="L1666" s="13" t="n">
        <f aca="false">MAX(0,D1666-K1666)</f>
        <v>0</v>
      </c>
      <c r="M1666" s="13" t="n">
        <f aca="false">MAX(0,F1666-I1666-J1666)</f>
        <v>0</v>
      </c>
      <c r="N1666" s="13" t="n">
        <f aca="false">IF(Kalender!A202="",0,J1665-H1666)</f>
        <v>0.8542</v>
      </c>
    </row>
    <row r="1667" customFormat="false" ht="16.4" hidden="false" customHeight="false" outlineLevel="0" collapsed="false">
      <c r="A1667" s="13" t="str">
        <f aca="false">""</f>
        <v/>
      </c>
      <c r="B1667" s="13" t="n">
        <f aca="false">199</f>
        <v>199</v>
      </c>
      <c r="C1667" s="13" t="n">
        <f aca="false">IF(Szenarien!$H$15="OK",(IFERROR(SUMIF(Nutzungsprofile!$B$6:$B$11,"Schulbetrieb",Nutzungsprofile!$G$6:$G$11)*Kalender!C203/SUM(Kalender!$C$5:$C$370),0)+IFERROR(SUMIF(Nutzungsprofile!$B$6:$B$11,"Halle",Nutzungsprofile!$G$6:$G$11)*Kalender!D203/SUM(Kalender!$D$5:$D$370),0)+IFERROR(SUMIF(Nutzungsprofile!$B$6:$B$11,"Individuell",Nutzungsprofile!$G$6:$G$11)*Kalender!E203/SUM(Kalender!$E$5:$E$370),0))*Szenarien!$E$15,0)</f>
        <v>2.04</v>
      </c>
      <c r="D1667" s="13" t="n">
        <f aca="false">IF(Szenarien!$H$15="OK",(IFERROR(SUMIF(Nutzungsprofile!$B$17:$B$22,"Schulbetrieb",Nutzungsprofile!$G$17:$G$22)*Kalender!C203/SUM(Kalender!$C$5:$C$370),0)+IFERROR(SUMIF(Nutzungsprofile!$B$17:$B$22,"Halle",Nutzungsprofile!$G$17:$G$22)*Kalender!D203/SUM(Kalender!$D$5:$D$370),0)+IFERROR(SUMIF(Nutzungsprofile!$B$17:$B$22,"Individuell",Nutzungsprofile!$G$17:$G$22)*Kalender!E203/SUM(Kalender!$E$5:$E$370),0))*Szenarien!$D$15,0)</f>
        <v>0.89</v>
      </c>
      <c r="E1667" s="13" t="n">
        <f aca="false">IFERROR(MIN(C1667,Eingaben!$B$17)*Eingaben!$B$16,0)</f>
        <v>1.938</v>
      </c>
      <c r="F1667" s="13" t="n">
        <f aca="false">IFERROR(E1667*Eingaben!$B$15,0)</f>
        <v>1.7442</v>
      </c>
      <c r="G1667" s="13" t="n">
        <f aca="false">IFERROR(IF(Kalender!A203="",0,J1666*(1-Eingaben!$B$20)),0)</f>
        <v>1.709316</v>
      </c>
      <c r="H1667" s="13" t="n">
        <f aca="false">MIN(G1667,D1667)</f>
        <v>0.89</v>
      </c>
      <c r="I1667" s="13" t="n">
        <f aca="false">IFERROR(MIN(F1667*Eingaben!$B$19,MAX(0,D1667-H1667)),0)</f>
        <v>0</v>
      </c>
      <c r="J1667" s="13" t="n">
        <f aca="false">IFERROR(MIN(Eingaben!$B$18,MAX(0,F1667-I1667)),0)</f>
        <v>1.7442</v>
      </c>
      <c r="K1667" s="13" t="n">
        <f aca="false">H1667+I1667</f>
        <v>0.89</v>
      </c>
      <c r="L1667" s="13" t="n">
        <f aca="false">MAX(0,D1667-K1667)</f>
        <v>0</v>
      </c>
      <c r="M1667" s="13" t="n">
        <f aca="false">MAX(0,F1667-I1667-J1667)</f>
        <v>0</v>
      </c>
      <c r="N1667" s="13" t="n">
        <f aca="false">IF(Kalender!A203="",0,J1666-H1667)</f>
        <v>0.8542</v>
      </c>
    </row>
    <row r="1668" customFormat="false" ht="16.4" hidden="false" customHeight="false" outlineLevel="0" collapsed="false">
      <c r="A1668" s="13" t="str">
        <f aca="false">""</f>
        <v/>
      </c>
      <c r="B1668" s="13" t="n">
        <f aca="false">200</f>
        <v>200</v>
      </c>
      <c r="C1668" s="13" t="n">
        <f aca="false">IF(Szenarien!$H$15="OK",(IFERROR(SUMIF(Nutzungsprofile!$B$6:$B$11,"Schulbetrieb",Nutzungsprofile!$G$6:$G$11)*Kalender!C204/SUM(Kalender!$C$5:$C$370),0)+IFERROR(SUMIF(Nutzungsprofile!$B$6:$B$11,"Halle",Nutzungsprofile!$G$6:$G$11)*Kalender!D204/SUM(Kalender!$D$5:$D$370),0)+IFERROR(SUMIF(Nutzungsprofile!$B$6:$B$11,"Individuell",Nutzungsprofile!$G$6:$G$11)*Kalender!E204/SUM(Kalender!$E$5:$E$370),0))*Szenarien!$E$15,0)</f>
        <v>2.04</v>
      </c>
      <c r="D1668" s="13" t="n">
        <f aca="false">IF(Szenarien!$H$15="OK",(IFERROR(SUMIF(Nutzungsprofile!$B$17:$B$22,"Schulbetrieb",Nutzungsprofile!$G$17:$G$22)*Kalender!C204/SUM(Kalender!$C$5:$C$370),0)+IFERROR(SUMIF(Nutzungsprofile!$B$17:$B$22,"Halle",Nutzungsprofile!$G$17:$G$22)*Kalender!D204/SUM(Kalender!$D$5:$D$370),0)+IFERROR(SUMIF(Nutzungsprofile!$B$17:$B$22,"Individuell",Nutzungsprofile!$G$17:$G$22)*Kalender!E204/SUM(Kalender!$E$5:$E$370),0))*Szenarien!$D$15,0)</f>
        <v>0.89</v>
      </c>
      <c r="E1668" s="13" t="n">
        <f aca="false">IFERROR(MIN(C1668,Eingaben!$B$17)*Eingaben!$B$16,0)</f>
        <v>1.938</v>
      </c>
      <c r="F1668" s="13" t="n">
        <f aca="false">IFERROR(E1668*Eingaben!$B$15,0)</f>
        <v>1.7442</v>
      </c>
      <c r="G1668" s="13" t="n">
        <f aca="false">IFERROR(IF(Kalender!A204="",0,J1667*(1-Eingaben!$B$20)),0)</f>
        <v>1.709316</v>
      </c>
      <c r="H1668" s="13" t="n">
        <f aca="false">MIN(G1668,D1668)</f>
        <v>0.89</v>
      </c>
      <c r="I1668" s="13" t="n">
        <f aca="false">IFERROR(MIN(F1668*Eingaben!$B$19,MAX(0,D1668-H1668)),0)</f>
        <v>0</v>
      </c>
      <c r="J1668" s="13" t="n">
        <f aca="false">IFERROR(MIN(Eingaben!$B$18,MAX(0,F1668-I1668)),0)</f>
        <v>1.7442</v>
      </c>
      <c r="K1668" s="13" t="n">
        <f aca="false">H1668+I1668</f>
        <v>0.89</v>
      </c>
      <c r="L1668" s="13" t="n">
        <f aca="false">MAX(0,D1668-K1668)</f>
        <v>0</v>
      </c>
      <c r="M1668" s="13" t="n">
        <f aca="false">MAX(0,F1668-I1668-J1668)</f>
        <v>0</v>
      </c>
      <c r="N1668" s="13" t="n">
        <f aca="false">IF(Kalender!A204="",0,J1667-H1668)</f>
        <v>0.8542</v>
      </c>
    </row>
    <row r="1669" customFormat="false" ht="16.4" hidden="false" customHeight="false" outlineLevel="0" collapsed="false">
      <c r="A1669" s="13" t="str">
        <f aca="false">""</f>
        <v/>
      </c>
      <c r="B1669" s="13" t="n">
        <f aca="false">201</f>
        <v>201</v>
      </c>
      <c r="C1669" s="13" t="n">
        <f aca="false">IF(Szenarien!$H$15="OK",(IFERROR(SUMIF(Nutzungsprofile!$B$6:$B$11,"Schulbetrieb",Nutzungsprofile!$G$6:$G$11)*Kalender!C205/SUM(Kalender!$C$5:$C$370),0)+IFERROR(SUMIF(Nutzungsprofile!$B$6:$B$11,"Halle",Nutzungsprofile!$G$6:$G$11)*Kalender!D205/SUM(Kalender!$D$5:$D$370),0)+IFERROR(SUMIF(Nutzungsprofile!$B$6:$B$11,"Individuell",Nutzungsprofile!$G$6:$G$11)*Kalender!E205/SUM(Kalender!$E$5:$E$370),0))*Szenarien!$E$15,0)</f>
        <v>2.04</v>
      </c>
      <c r="D1669" s="13" t="n">
        <f aca="false">IF(Szenarien!$H$15="OK",(IFERROR(SUMIF(Nutzungsprofile!$B$17:$B$22,"Schulbetrieb",Nutzungsprofile!$G$17:$G$22)*Kalender!C205/SUM(Kalender!$C$5:$C$370),0)+IFERROR(SUMIF(Nutzungsprofile!$B$17:$B$22,"Halle",Nutzungsprofile!$G$17:$G$22)*Kalender!D205/SUM(Kalender!$D$5:$D$370),0)+IFERROR(SUMIF(Nutzungsprofile!$B$17:$B$22,"Individuell",Nutzungsprofile!$G$17:$G$22)*Kalender!E205/SUM(Kalender!$E$5:$E$370),0))*Szenarien!$D$15,0)</f>
        <v>0.89</v>
      </c>
      <c r="E1669" s="13" t="n">
        <f aca="false">IFERROR(MIN(C1669,Eingaben!$B$17)*Eingaben!$B$16,0)</f>
        <v>1.938</v>
      </c>
      <c r="F1669" s="13" t="n">
        <f aca="false">IFERROR(E1669*Eingaben!$B$15,0)</f>
        <v>1.7442</v>
      </c>
      <c r="G1669" s="13" t="n">
        <f aca="false">IFERROR(IF(Kalender!A205="",0,J1668*(1-Eingaben!$B$20)),0)</f>
        <v>1.709316</v>
      </c>
      <c r="H1669" s="13" t="n">
        <f aca="false">MIN(G1669,D1669)</f>
        <v>0.89</v>
      </c>
      <c r="I1669" s="13" t="n">
        <f aca="false">IFERROR(MIN(F1669*Eingaben!$B$19,MAX(0,D1669-H1669)),0)</f>
        <v>0</v>
      </c>
      <c r="J1669" s="13" t="n">
        <f aca="false">IFERROR(MIN(Eingaben!$B$18,MAX(0,F1669-I1669)),0)</f>
        <v>1.7442</v>
      </c>
      <c r="K1669" s="13" t="n">
        <f aca="false">H1669+I1669</f>
        <v>0.89</v>
      </c>
      <c r="L1669" s="13" t="n">
        <f aca="false">MAX(0,D1669-K1669)</f>
        <v>0</v>
      </c>
      <c r="M1669" s="13" t="n">
        <f aca="false">MAX(0,F1669-I1669-J1669)</f>
        <v>0</v>
      </c>
      <c r="N1669" s="13" t="n">
        <f aca="false">IF(Kalender!A205="",0,J1668-H1669)</f>
        <v>0.8542</v>
      </c>
    </row>
    <row r="1670" customFormat="false" ht="16.4" hidden="false" customHeight="false" outlineLevel="0" collapsed="false">
      <c r="A1670" s="13" t="str">
        <f aca="false">""</f>
        <v/>
      </c>
      <c r="B1670" s="13" t="n">
        <f aca="false">202</f>
        <v>202</v>
      </c>
      <c r="C1670" s="13" t="n">
        <f aca="false">IF(Szenarien!$H$15="OK",(IFERROR(SUMIF(Nutzungsprofile!$B$6:$B$11,"Schulbetrieb",Nutzungsprofile!$G$6:$G$11)*Kalender!C206/SUM(Kalender!$C$5:$C$370),0)+IFERROR(SUMIF(Nutzungsprofile!$B$6:$B$11,"Halle",Nutzungsprofile!$G$6:$G$11)*Kalender!D206/SUM(Kalender!$D$5:$D$370),0)+IFERROR(SUMIF(Nutzungsprofile!$B$6:$B$11,"Individuell",Nutzungsprofile!$G$6:$G$11)*Kalender!E206/SUM(Kalender!$E$5:$E$370),0))*Szenarien!$E$15,0)</f>
        <v>2.04</v>
      </c>
      <c r="D1670" s="13" t="n">
        <f aca="false">IF(Szenarien!$H$15="OK",(IFERROR(SUMIF(Nutzungsprofile!$B$17:$B$22,"Schulbetrieb",Nutzungsprofile!$G$17:$G$22)*Kalender!C206/SUM(Kalender!$C$5:$C$370),0)+IFERROR(SUMIF(Nutzungsprofile!$B$17:$B$22,"Halle",Nutzungsprofile!$G$17:$G$22)*Kalender!D206/SUM(Kalender!$D$5:$D$370),0)+IFERROR(SUMIF(Nutzungsprofile!$B$17:$B$22,"Individuell",Nutzungsprofile!$G$17:$G$22)*Kalender!E206/SUM(Kalender!$E$5:$E$370),0))*Szenarien!$D$15,0)</f>
        <v>0.89</v>
      </c>
      <c r="E1670" s="13" t="n">
        <f aca="false">IFERROR(MIN(C1670,Eingaben!$B$17)*Eingaben!$B$16,0)</f>
        <v>1.938</v>
      </c>
      <c r="F1670" s="13" t="n">
        <f aca="false">IFERROR(E1670*Eingaben!$B$15,0)</f>
        <v>1.7442</v>
      </c>
      <c r="G1670" s="13" t="n">
        <f aca="false">IFERROR(IF(Kalender!A206="",0,J1669*(1-Eingaben!$B$20)),0)</f>
        <v>1.709316</v>
      </c>
      <c r="H1670" s="13" t="n">
        <f aca="false">MIN(G1670,D1670)</f>
        <v>0.89</v>
      </c>
      <c r="I1670" s="13" t="n">
        <f aca="false">IFERROR(MIN(F1670*Eingaben!$B$19,MAX(0,D1670-H1670)),0)</f>
        <v>0</v>
      </c>
      <c r="J1670" s="13" t="n">
        <f aca="false">IFERROR(MIN(Eingaben!$B$18,MAX(0,F1670-I1670)),0)</f>
        <v>1.7442</v>
      </c>
      <c r="K1670" s="13" t="n">
        <f aca="false">H1670+I1670</f>
        <v>0.89</v>
      </c>
      <c r="L1670" s="13" t="n">
        <f aca="false">MAX(0,D1670-K1670)</f>
        <v>0</v>
      </c>
      <c r="M1670" s="13" t="n">
        <f aca="false">MAX(0,F1670-I1670-J1670)</f>
        <v>0</v>
      </c>
      <c r="N1670" s="13" t="n">
        <f aca="false">IF(Kalender!A206="",0,J1669-H1670)</f>
        <v>0.8542</v>
      </c>
    </row>
    <row r="1671" customFormat="false" ht="16.4" hidden="false" customHeight="false" outlineLevel="0" collapsed="false">
      <c r="A1671" s="13" t="str">
        <f aca="false">""</f>
        <v/>
      </c>
      <c r="B1671" s="13" t="n">
        <f aca="false">203</f>
        <v>203</v>
      </c>
      <c r="C1671" s="13" t="n">
        <f aca="false">IF(Szenarien!$H$15="OK",(IFERROR(SUMIF(Nutzungsprofile!$B$6:$B$11,"Schulbetrieb",Nutzungsprofile!$G$6:$G$11)*Kalender!C207/SUM(Kalender!$C$5:$C$370),0)+IFERROR(SUMIF(Nutzungsprofile!$B$6:$B$11,"Halle",Nutzungsprofile!$G$6:$G$11)*Kalender!D207/SUM(Kalender!$D$5:$D$370),0)+IFERROR(SUMIF(Nutzungsprofile!$B$6:$B$11,"Individuell",Nutzungsprofile!$G$6:$G$11)*Kalender!E207/SUM(Kalender!$E$5:$E$370),0))*Szenarien!$E$15,0)</f>
        <v>2.04</v>
      </c>
      <c r="D1671" s="13" t="n">
        <f aca="false">IF(Szenarien!$H$15="OK",(IFERROR(SUMIF(Nutzungsprofile!$B$17:$B$22,"Schulbetrieb",Nutzungsprofile!$G$17:$G$22)*Kalender!C207/SUM(Kalender!$C$5:$C$370),0)+IFERROR(SUMIF(Nutzungsprofile!$B$17:$B$22,"Halle",Nutzungsprofile!$G$17:$G$22)*Kalender!D207/SUM(Kalender!$D$5:$D$370),0)+IFERROR(SUMIF(Nutzungsprofile!$B$17:$B$22,"Individuell",Nutzungsprofile!$G$17:$G$22)*Kalender!E207/SUM(Kalender!$E$5:$E$370),0))*Szenarien!$D$15,0)</f>
        <v>0.89</v>
      </c>
      <c r="E1671" s="13" t="n">
        <f aca="false">IFERROR(MIN(C1671,Eingaben!$B$17)*Eingaben!$B$16,0)</f>
        <v>1.938</v>
      </c>
      <c r="F1671" s="13" t="n">
        <f aca="false">IFERROR(E1671*Eingaben!$B$15,0)</f>
        <v>1.7442</v>
      </c>
      <c r="G1671" s="13" t="n">
        <f aca="false">IFERROR(IF(Kalender!A207="",0,J1670*(1-Eingaben!$B$20)),0)</f>
        <v>1.709316</v>
      </c>
      <c r="H1671" s="13" t="n">
        <f aca="false">MIN(G1671,D1671)</f>
        <v>0.89</v>
      </c>
      <c r="I1671" s="13" t="n">
        <f aca="false">IFERROR(MIN(F1671*Eingaben!$B$19,MAX(0,D1671-H1671)),0)</f>
        <v>0</v>
      </c>
      <c r="J1671" s="13" t="n">
        <f aca="false">IFERROR(MIN(Eingaben!$B$18,MAX(0,F1671-I1671)),0)</f>
        <v>1.7442</v>
      </c>
      <c r="K1671" s="13" t="n">
        <f aca="false">H1671+I1671</f>
        <v>0.89</v>
      </c>
      <c r="L1671" s="13" t="n">
        <f aca="false">MAX(0,D1671-K1671)</f>
        <v>0</v>
      </c>
      <c r="M1671" s="13" t="n">
        <f aca="false">MAX(0,F1671-I1671-J1671)</f>
        <v>0</v>
      </c>
      <c r="N1671" s="13" t="n">
        <f aca="false">IF(Kalender!A207="",0,J1670-H1671)</f>
        <v>0.8542</v>
      </c>
    </row>
    <row r="1672" customFormat="false" ht="16.4" hidden="false" customHeight="false" outlineLevel="0" collapsed="false">
      <c r="A1672" s="13" t="str">
        <f aca="false">""</f>
        <v/>
      </c>
      <c r="B1672" s="13" t="n">
        <f aca="false">204</f>
        <v>204</v>
      </c>
      <c r="C1672" s="13" t="n">
        <f aca="false">IF(Szenarien!$H$15="OK",(IFERROR(SUMIF(Nutzungsprofile!$B$6:$B$11,"Schulbetrieb",Nutzungsprofile!$G$6:$G$11)*Kalender!C208/SUM(Kalender!$C$5:$C$370),0)+IFERROR(SUMIF(Nutzungsprofile!$B$6:$B$11,"Halle",Nutzungsprofile!$G$6:$G$11)*Kalender!D208/SUM(Kalender!$D$5:$D$370),0)+IFERROR(SUMIF(Nutzungsprofile!$B$6:$B$11,"Individuell",Nutzungsprofile!$G$6:$G$11)*Kalender!E208/SUM(Kalender!$E$5:$E$370),0))*Szenarien!$E$15,0)</f>
        <v>2.04</v>
      </c>
      <c r="D1672" s="13" t="n">
        <f aca="false">IF(Szenarien!$H$15="OK",(IFERROR(SUMIF(Nutzungsprofile!$B$17:$B$22,"Schulbetrieb",Nutzungsprofile!$G$17:$G$22)*Kalender!C208/SUM(Kalender!$C$5:$C$370),0)+IFERROR(SUMIF(Nutzungsprofile!$B$17:$B$22,"Halle",Nutzungsprofile!$G$17:$G$22)*Kalender!D208/SUM(Kalender!$D$5:$D$370),0)+IFERROR(SUMIF(Nutzungsprofile!$B$17:$B$22,"Individuell",Nutzungsprofile!$G$17:$G$22)*Kalender!E208/SUM(Kalender!$E$5:$E$370),0))*Szenarien!$D$15,0)</f>
        <v>0.89</v>
      </c>
      <c r="E1672" s="13" t="n">
        <f aca="false">IFERROR(MIN(C1672,Eingaben!$B$17)*Eingaben!$B$16,0)</f>
        <v>1.938</v>
      </c>
      <c r="F1672" s="13" t="n">
        <f aca="false">IFERROR(E1672*Eingaben!$B$15,0)</f>
        <v>1.7442</v>
      </c>
      <c r="G1672" s="13" t="n">
        <f aca="false">IFERROR(IF(Kalender!A208="",0,J1671*(1-Eingaben!$B$20)),0)</f>
        <v>1.709316</v>
      </c>
      <c r="H1672" s="13" t="n">
        <f aca="false">MIN(G1672,D1672)</f>
        <v>0.89</v>
      </c>
      <c r="I1672" s="13" t="n">
        <f aca="false">IFERROR(MIN(F1672*Eingaben!$B$19,MAX(0,D1672-H1672)),0)</f>
        <v>0</v>
      </c>
      <c r="J1672" s="13" t="n">
        <f aca="false">IFERROR(MIN(Eingaben!$B$18,MAX(0,F1672-I1672)),0)</f>
        <v>1.7442</v>
      </c>
      <c r="K1672" s="13" t="n">
        <f aca="false">H1672+I1672</f>
        <v>0.89</v>
      </c>
      <c r="L1672" s="13" t="n">
        <f aca="false">MAX(0,D1672-K1672)</f>
        <v>0</v>
      </c>
      <c r="M1672" s="13" t="n">
        <f aca="false">MAX(0,F1672-I1672-J1672)</f>
        <v>0</v>
      </c>
      <c r="N1672" s="13" t="n">
        <f aca="false">IF(Kalender!A208="",0,J1671-H1672)</f>
        <v>0.8542</v>
      </c>
    </row>
    <row r="1673" customFormat="false" ht="16.4" hidden="false" customHeight="false" outlineLevel="0" collapsed="false">
      <c r="A1673" s="13" t="str">
        <f aca="false">""</f>
        <v/>
      </c>
      <c r="B1673" s="13" t="n">
        <f aca="false">205</f>
        <v>205</v>
      </c>
      <c r="C1673" s="13" t="n">
        <f aca="false">IF(Szenarien!$H$15="OK",(IFERROR(SUMIF(Nutzungsprofile!$B$6:$B$11,"Schulbetrieb",Nutzungsprofile!$G$6:$G$11)*Kalender!C209/SUM(Kalender!$C$5:$C$370),0)+IFERROR(SUMIF(Nutzungsprofile!$B$6:$B$11,"Halle",Nutzungsprofile!$G$6:$G$11)*Kalender!D209/SUM(Kalender!$D$5:$D$370),0)+IFERROR(SUMIF(Nutzungsprofile!$B$6:$B$11,"Individuell",Nutzungsprofile!$G$6:$G$11)*Kalender!E209/SUM(Kalender!$E$5:$E$370),0))*Szenarien!$E$15,0)</f>
        <v>2.04</v>
      </c>
      <c r="D1673" s="13" t="n">
        <f aca="false">IF(Szenarien!$H$15="OK",(IFERROR(SUMIF(Nutzungsprofile!$B$17:$B$22,"Schulbetrieb",Nutzungsprofile!$G$17:$G$22)*Kalender!C209/SUM(Kalender!$C$5:$C$370),0)+IFERROR(SUMIF(Nutzungsprofile!$B$17:$B$22,"Halle",Nutzungsprofile!$G$17:$G$22)*Kalender!D209/SUM(Kalender!$D$5:$D$370),0)+IFERROR(SUMIF(Nutzungsprofile!$B$17:$B$22,"Individuell",Nutzungsprofile!$G$17:$G$22)*Kalender!E209/SUM(Kalender!$E$5:$E$370),0))*Szenarien!$D$15,0)</f>
        <v>0.89</v>
      </c>
      <c r="E1673" s="13" t="n">
        <f aca="false">IFERROR(MIN(C1673,Eingaben!$B$17)*Eingaben!$B$16,0)</f>
        <v>1.938</v>
      </c>
      <c r="F1673" s="13" t="n">
        <f aca="false">IFERROR(E1673*Eingaben!$B$15,0)</f>
        <v>1.7442</v>
      </c>
      <c r="G1673" s="13" t="n">
        <f aca="false">IFERROR(IF(Kalender!A209="",0,J1672*(1-Eingaben!$B$20)),0)</f>
        <v>1.709316</v>
      </c>
      <c r="H1673" s="13" t="n">
        <f aca="false">MIN(G1673,D1673)</f>
        <v>0.89</v>
      </c>
      <c r="I1673" s="13" t="n">
        <f aca="false">IFERROR(MIN(F1673*Eingaben!$B$19,MAX(0,D1673-H1673)),0)</f>
        <v>0</v>
      </c>
      <c r="J1673" s="13" t="n">
        <f aca="false">IFERROR(MIN(Eingaben!$B$18,MAX(0,F1673-I1673)),0)</f>
        <v>1.7442</v>
      </c>
      <c r="K1673" s="13" t="n">
        <f aca="false">H1673+I1673</f>
        <v>0.89</v>
      </c>
      <c r="L1673" s="13" t="n">
        <f aca="false">MAX(0,D1673-K1673)</f>
        <v>0</v>
      </c>
      <c r="M1673" s="13" t="n">
        <f aca="false">MAX(0,F1673-I1673-J1673)</f>
        <v>0</v>
      </c>
      <c r="N1673" s="13" t="n">
        <f aca="false">IF(Kalender!A209="",0,J1672-H1673)</f>
        <v>0.8542</v>
      </c>
    </row>
    <row r="1674" customFormat="false" ht="16.4" hidden="false" customHeight="false" outlineLevel="0" collapsed="false">
      <c r="A1674" s="13" t="str">
        <f aca="false">""</f>
        <v/>
      </c>
      <c r="B1674" s="13" t="n">
        <f aca="false">206</f>
        <v>206</v>
      </c>
      <c r="C1674" s="13" t="n">
        <f aca="false">IF(Szenarien!$H$15="OK",(IFERROR(SUMIF(Nutzungsprofile!$B$6:$B$11,"Schulbetrieb",Nutzungsprofile!$G$6:$G$11)*Kalender!C210/SUM(Kalender!$C$5:$C$370),0)+IFERROR(SUMIF(Nutzungsprofile!$B$6:$B$11,"Halle",Nutzungsprofile!$G$6:$G$11)*Kalender!D210/SUM(Kalender!$D$5:$D$370),0)+IFERROR(SUMIF(Nutzungsprofile!$B$6:$B$11,"Individuell",Nutzungsprofile!$G$6:$G$11)*Kalender!E210/SUM(Kalender!$E$5:$E$370),0))*Szenarien!$E$15,0)</f>
        <v>2.04</v>
      </c>
      <c r="D1674" s="13" t="n">
        <f aca="false">IF(Szenarien!$H$15="OK",(IFERROR(SUMIF(Nutzungsprofile!$B$17:$B$22,"Schulbetrieb",Nutzungsprofile!$G$17:$G$22)*Kalender!C210/SUM(Kalender!$C$5:$C$370),0)+IFERROR(SUMIF(Nutzungsprofile!$B$17:$B$22,"Halle",Nutzungsprofile!$G$17:$G$22)*Kalender!D210/SUM(Kalender!$D$5:$D$370),0)+IFERROR(SUMIF(Nutzungsprofile!$B$17:$B$22,"Individuell",Nutzungsprofile!$G$17:$G$22)*Kalender!E210/SUM(Kalender!$E$5:$E$370),0))*Szenarien!$D$15,0)</f>
        <v>0.89</v>
      </c>
      <c r="E1674" s="13" t="n">
        <f aca="false">IFERROR(MIN(C1674,Eingaben!$B$17)*Eingaben!$B$16,0)</f>
        <v>1.938</v>
      </c>
      <c r="F1674" s="13" t="n">
        <f aca="false">IFERROR(E1674*Eingaben!$B$15,0)</f>
        <v>1.7442</v>
      </c>
      <c r="G1674" s="13" t="n">
        <f aca="false">IFERROR(IF(Kalender!A210="",0,J1673*(1-Eingaben!$B$20)),0)</f>
        <v>1.709316</v>
      </c>
      <c r="H1674" s="13" t="n">
        <f aca="false">MIN(G1674,D1674)</f>
        <v>0.89</v>
      </c>
      <c r="I1674" s="13" t="n">
        <f aca="false">IFERROR(MIN(F1674*Eingaben!$B$19,MAX(0,D1674-H1674)),0)</f>
        <v>0</v>
      </c>
      <c r="J1674" s="13" t="n">
        <f aca="false">IFERROR(MIN(Eingaben!$B$18,MAX(0,F1674-I1674)),0)</f>
        <v>1.7442</v>
      </c>
      <c r="K1674" s="13" t="n">
        <f aca="false">H1674+I1674</f>
        <v>0.89</v>
      </c>
      <c r="L1674" s="13" t="n">
        <f aca="false">MAX(0,D1674-K1674)</f>
        <v>0</v>
      </c>
      <c r="M1674" s="13" t="n">
        <f aca="false">MAX(0,F1674-I1674-J1674)</f>
        <v>0</v>
      </c>
      <c r="N1674" s="13" t="n">
        <f aca="false">IF(Kalender!A210="",0,J1673-H1674)</f>
        <v>0.8542</v>
      </c>
    </row>
    <row r="1675" customFormat="false" ht="16.4" hidden="false" customHeight="false" outlineLevel="0" collapsed="false">
      <c r="A1675" s="13" t="str">
        <f aca="false">""</f>
        <v/>
      </c>
      <c r="B1675" s="13" t="n">
        <f aca="false">207</f>
        <v>207</v>
      </c>
      <c r="C1675" s="13" t="n">
        <f aca="false">IF(Szenarien!$H$15="OK",(IFERROR(SUMIF(Nutzungsprofile!$B$6:$B$11,"Schulbetrieb",Nutzungsprofile!$G$6:$G$11)*Kalender!C211/SUM(Kalender!$C$5:$C$370),0)+IFERROR(SUMIF(Nutzungsprofile!$B$6:$B$11,"Halle",Nutzungsprofile!$G$6:$G$11)*Kalender!D211/SUM(Kalender!$D$5:$D$370),0)+IFERROR(SUMIF(Nutzungsprofile!$B$6:$B$11,"Individuell",Nutzungsprofile!$G$6:$G$11)*Kalender!E211/SUM(Kalender!$E$5:$E$370),0))*Szenarien!$E$15,0)</f>
        <v>2.04</v>
      </c>
      <c r="D1675" s="13" t="n">
        <f aca="false">IF(Szenarien!$H$15="OK",(IFERROR(SUMIF(Nutzungsprofile!$B$17:$B$22,"Schulbetrieb",Nutzungsprofile!$G$17:$G$22)*Kalender!C211/SUM(Kalender!$C$5:$C$370),0)+IFERROR(SUMIF(Nutzungsprofile!$B$17:$B$22,"Halle",Nutzungsprofile!$G$17:$G$22)*Kalender!D211/SUM(Kalender!$D$5:$D$370),0)+IFERROR(SUMIF(Nutzungsprofile!$B$17:$B$22,"Individuell",Nutzungsprofile!$G$17:$G$22)*Kalender!E211/SUM(Kalender!$E$5:$E$370),0))*Szenarien!$D$15,0)</f>
        <v>0.89</v>
      </c>
      <c r="E1675" s="13" t="n">
        <f aca="false">IFERROR(MIN(C1675,Eingaben!$B$17)*Eingaben!$B$16,0)</f>
        <v>1.938</v>
      </c>
      <c r="F1675" s="13" t="n">
        <f aca="false">IFERROR(E1675*Eingaben!$B$15,0)</f>
        <v>1.7442</v>
      </c>
      <c r="G1675" s="13" t="n">
        <f aca="false">IFERROR(IF(Kalender!A211="",0,J1674*(1-Eingaben!$B$20)),0)</f>
        <v>1.709316</v>
      </c>
      <c r="H1675" s="13" t="n">
        <f aca="false">MIN(G1675,D1675)</f>
        <v>0.89</v>
      </c>
      <c r="I1675" s="13" t="n">
        <f aca="false">IFERROR(MIN(F1675*Eingaben!$B$19,MAX(0,D1675-H1675)),0)</f>
        <v>0</v>
      </c>
      <c r="J1675" s="13" t="n">
        <f aca="false">IFERROR(MIN(Eingaben!$B$18,MAX(0,F1675-I1675)),0)</f>
        <v>1.7442</v>
      </c>
      <c r="K1675" s="13" t="n">
        <f aca="false">H1675+I1675</f>
        <v>0.89</v>
      </c>
      <c r="L1675" s="13" t="n">
        <f aca="false">MAX(0,D1675-K1675)</f>
        <v>0</v>
      </c>
      <c r="M1675" s="13" t="n">
        <f aca="false">MAX(0,F1675-I1675-J1675)</f>
        <v>0</v>
      </c>
      <c r="N1675" s="13" t="n">
        <f aca="false">IF(Kalender!A211="",0,J1674-H1675)</f>
        <v>0.8542</v>
      </c>
    </row>
    <row r="1676" customFormat="false" ht="16.4" hidden="false" customHeight="false" outlineLevel="0" collapsed="false">
      <c r="A1676" s="13" t="str">
        <f aca="false">""</f>
        <v/>
      </c>
      <c r="B1676" s="13" t="n">
        <f aca="false">208</f>
        <v>208</v>
      </c>
      <c r="C1676" s="13" t="n">
        <f aca="false">IF(Szenarien!$H$15="OK",(IFERROR(SUMIF(Nutzungsprofile!$B$6:$B$11,"Schulbetrieb",Nutzungsprofile!$G$6:$G$11)*Kalender!C212/SUM(Kalender!$C$5:$C$370),0)+IFERROR(SUMIF(Nutzungsprofile!$B$6:$B$11,"Halle",Nutzungsprofile!$G$6:$G$11)*Kalender!D212/SUM(Kalender!$D$5:$D$370),0)+IFERROR(SUMIF(Nutzungsprofile!$B$6:$B$11,"Individuell",Nutzungsprofile!$G$6:$G$11)*Kalender!E212/SUM(Kalender!$E$5:$E$370),0))*Szenarien!$E$15,0)</f>
        <v>2.04</v>
      </c>
      <c r="D1676" s="13" t="n">
        <f aca="false">IF(Szenarien!$H$15="OK",(IFERROR(SUMIF(Nutzungsprofile!$B$17:$B$22,"Schulbetrieb",Nutzungsprofile!$G$17:$G$22)*Kalender!C212/SUM(Kalender!$C$5:$C$370),0)+IFERROR(SUMIF(Nutzungsprofile!$B$17:$B$22,"Halle",Nutzungsprofile!$G$17:$G$22)*Kalender!D212/SUM(Kalender!$D$5:$D$370),0)+IFERROR(SUMIF(Nutzungsprofile!$B$17:$B$22,"Individuell",Nutzungsprofile!$G$17:$G$22)*Kalender!E212/SUM(Kalender!$E$5:$E$370),0))*Szenarien!$D$15,0)</f>
        <v>0.89</v>
      </c>
      <c r="E1676" s="13" t="n">
        <f aca="false">IFERROR(MIN(C1676,Eingaben!$B$17)*Eingaben!$B$16,0)</f>
        <v>1.938</v>
      </c>
      <c r="F1676" s="13" t="n">
        <f aca="false">IFERROR(E1676*Eingaben!$B$15,0)</f>
        <v>1.7442</v>
      </c>
      <c r="G1676" s="13" t="n">
        <f aca="false">IFERROR(IF(Kalender!A212="",0,J1675*(1-Eingaben!$B$20)),0)</f>
        <v>1.709316</v>
      </c>
      <c r="H1676" s="13" t="n">
        <f aca="false">MIN(G1676,D1676)</f>
        <v>0.89</v>
      </c>
      <c r="I1676" s="13" t="n">
        <f aca="false">IFERROR(MIN(F1676*Eingaben!$B$19,MAX(0,D1676-H1676)),0)</f>
        <v>0</v>
      </c>
      <c r="J1676" s="13" t="n">
        <f aca="false">IFERROR(MIN(Eingaben!$B$18,MAX(0,F1676-I1676)),0)</f>
        <v>1.7442</v>
      </c>
      <c r="K1676" s="13" t="n">
        <f aca="false">H1676+I1676</f>
        <v>0.89</v>
      </c>
      <c r="L1676" s="13" t="n">
        <f aca="false">MAX(0,D1676-K1676)</f>
        <v>0</v>
      </c>
      <c r="M1676" s="13" t="n">
        <f aca="false">MAX(0,F1676-I1676-J1676)</f>
        <v>0</v>
      </c>
      <c r="N1676" s="13" t="n">
        <f aca="false">IF(Kalender!A212="",0,J1675-H1676)</f>
        <v>0.8542</v>
      </c>
    </row>
    <row r="1677" customFormat="false" ht="16.4" hidden="false" customHeight="false" outlineLevel="0" collapsed="false">
      <c r="A1677" s="13" t="str">
        <f aca="false">""</f>
        <v/>
      </c>
      <c r="B1677" s="13" t="n">
        <f aca="false">209</f>
        <v>209</v>
      </c>
      <c r="C1677" s="13" t="n">
        <f aca="false">IF(Szenarien!$H$15="OK",(IFERROR(SUMIF(Nutzungsprofile!$B$6:$B$11,"Schulbetrieb",Nutzungsprofile!$G$6:$G$11)*Kalender!C213/SUM(Kalender!$C$5:$C$370),0)+IFERROR(SUMIF(Nutzungsprofile!$B$6:$B$11,"Halle",Nutzungsprofile!$G$6:$G$11)*Kalender!D213/SUM(Kalender!$D$5:$D$370),0)+IFERROR(SUMIF(Nutzungsprofile!$B$6:$B$11,"Individuell",Nutzungsprofile!$G$6:$G$11)*Kalender!E213/SUM(Kalender!$E$5:$E$370),0))*Szenarien!$E$15,0)</f>
        <v>2.04</v>
      </c>
      <c r="D1677" s="13" t="n">
        <f aca="false">IF(Szenarien!$H$15="OK",(IFERROR(SUMIF(Nutzungsprofile!$B$17:$B$22,"Schulbetrieb",Nutzungsprofile!$G$17:$G$22)*Kalender!C213/SUM(Kalender!$C$5:$C$370),0)+IFERROR(SUMIF(Nutzungsprofile!$B$17:$B$22,"Halle",Nutzungsprofile!$G$17:$G$22)*Kalender!D213/SUM(Kalender!$D$5:$D$370),0)+IFERROR(SUMIF(Nutzungsprofile!$B$17:$B$22,"Individuell",Nutzungsprofile!$G$17:$G$22)*Kalender!E213/SUM(Kalender!$E$5:$E$370),0))*Szenarien!$D$15,0)</f>
        <v>0.89</v>
      </c>
      <c r="E1677" s="13" t="n">
        <f aca="false">IFERROR(MIN(C1677,Eingaben!$B$17)*Eingaben!$B$16,0)</f>
        <v>1.938</v>
      </c>
      <c r="F1677" s="13" t="n">
        <f aca="false">IFERROR(E1677*Eingaben!$B$15,0)</f>
        <v>1.7442</v>
      </c>
      <c r="G1677" s="13" t="n">
        <f aca="false">IFERROR(IF(Kalender!A213="",0,J1676*(1-Eingaben!$B$20)),0)</f>
        <v>1.709316</v>
      </c>
      <c r="H1677" s="13" t="n">
        <f aca="false">MIN(G1677,D1677)</f>
        <v>0.89</v>
      </c>
      <c r="I1677" s="13" t="n">
        <f aca="false">IFERROR(MIN(F1677*Eingaben!$B$19,MAX(0,D1677-H1677)),0)</f>
        <v>0</v>
      </c>
      <c r="J1677" s="13" t="n">
        <f aca="false">IFERROR(MIN(Eingaben!$B$18,MAX(0,F1677-I1677)),0)</f>
        <v>1.7442</v>
      </c>
      <c r="K1677" s="13" t="n">
        <f aca="false">H1677+I1677</f>
        <v>0.89</v>
      </c>
      <c r="L1677" s="13" t="n">
        <f aca="false">MAX(0,D1677-K1677)</f>
        <v>0</v>
      </c>
      <c r="M1677" s="13" t="n">
        <f aca="false">MAX(0,F1677-I1677-J1677)</f>
        <v>0</v>
      </c>
      <c r="N1677" s="13" t="n">
        <f aca="false">IF(Kalender!A213="",0,J1676-H1677)</f>
        <v>0.8542</v>
      </c>
    </row>
    <row r="1678" customFormat="false" ht="16.4" hidden="false" customHeight="false" outlineLevel="0" collapsed="false">
      <c r="A1678" s="13" t="str">
        <f aca="false">""</f>
        <v/>
      </c>
      <c r="B1678" s="13" t="n">
        <f aca="false">210</f>
        <v>210</v>
      </c>
      <c r="C1678" s="13" t="n">
        <f aca="false">IF(Szenarien!$H$15="OK",(IFERROR(SUMIF(Nutzungsprofile!$B$6:$B$11,"Schulbetrieb",Nutzungsprofile!$G$6:$G$11)*Kalender!C214/SUM(Kalender!$C$5:$C$370),0)+IFERROR(SUMIF(Nutzungsprofile!$B$6:$B$11,"Halle",Nutzungsprofile!$G$6:$G$11)*Kalender!D214/SUM(Kalender!$D$5:$D$370),0)+IFERROR(SUMIF(Nutzungsprofile!$B$6:$B$11,"Individuell",Nutzungsprofile!$G$6:$G$11)*Kalender!E214/SUM(Kalender!$E$5:$E$370),0))*Szenarien!$E$15,0)</f>
        <v>2.04</v>
      </c>
      <c r="D1678" s="13" t="n">
        <f aca="false">IF(Szenarien!$H$15="OK",(IFERROR(SUMIF(Nutzungsprofile!$B$17:$B$22,"Schulbetrieb",Nutzungsprofile!$G$17:$G$22)*Kalender!C214/SUM(Kalender!$C$5:$C$370),0)+IFERROR(SUMIF(Nutzungsprofile!$B$17:$B$22,"Halle",Nutzungsprofile!$G$17:$G$22)*Kalender!D214/SUM(Kalender!$D$5:$D$370),0)+IFERROR(SUMIF(Nutzungsprofile!$B$17:$B$22,"Individuell",Nutzungsprofile!$G$17:$G$22)*Kalender!E214/SUM(Kalender!$E$5:$E$370),0))*Szenarien!$D$15,0)</f>
        <v>0.89</v>
      </c>
      <c r="E1678" s="13" t="n">
        <f aca="false">IFERROR(MIN(C1678,Eingaben!$B$17)*Eingaben!$B$16,0)</f>
        <v>1.938</v>
      </c>
      <c r="F1678" s="13" t="n">
        <f aca="false">IFERROR(E1678*Eingaben!$B$15,0)</f>
        <v>1.7442</v>
      </c>
      <c r="G1678" s="13" t="n">
        <f aca="false">IFERROR(IF(Kalender!A214="",0,J1677*(1-Eingaben!$B$20)),0)</f>
        <v>1.709316</v>
      </c>
      <c r="H1678" s="13" t="n">
        <f aca="false">MIN(G1678,D1678)</f>
        <v>0.89</v>
      </c>
      <c r="I1678" s="13" t="n">
        <f aca="false">IFERROR(MIN(F1678*Eingaben!$B$19,MAX(0,D1678-H1678)),0)</f>
        <v>0</v>
      </c>
      <c r="J1678" s="13" t="n">
        <f aca="false">IFERROR(MIN(Eingaben!$B$18,MAX(0,F1678-I1678)),0)</f>
        <v>1.7442</v>
      </c>
      <c r="K1678" s="13" t="n">
        <f aca="false">H1678+I1678</f>
        <v>0.89</v>
      </c>
      <c r="L1678" s="13" t="n">
        <f aca="false">MAX(0,D1678-K1678)</f>
        <v>0</v>
      </c>
      <c r="M1678" s="13" t="n">
        <f aca="false">MAX(0,F1678-I1678-J1678)</f>
        <v>0</v>
      </c>
      <c r="N1678" s="13" t="n">
        <f aca="false">IF(Kalender!A214="",0,J1677-H1678)</f>
        <v>0.8542</v>
      </c>
    </row>
    <row r="1679" customFormat="false" ht="16.4" hidden="false" customHeight="false" outlineLevel="0" collapsed="false">
      <c r="A1679" s="13" t="str">
        <f aca="false">""</f>
        <v/>
      </c>
      <c r="B1679" s="13" t="n">
        <f aca="false">211</f>
        <v>211</v>
      </c>
      <c r="C1679" s="13" t="n">
        <f aca="false">IF(Szenarien!$H$15="OK",(IFERROR(SUMIF(Nutzungsprofile!$B$6:$B$11,"Schulbetrieb",Nutzungsprofile!$G$6:$G$11)*Kalender!C215/SUM(Kalender!$C$5:$C$370),0)+IFERROR(SUMIF(Nutzungsprofile!$B$6:$B$11,"Halle",Nutzungsprofile!$G$6:$G$11)*Kalender!D215/SUM(Kalender!$D$5:$D$370),0)+IFERROR(SUMIF(Nutzungsprofile!$B$6:$B$11,"Individuell",Nutzungsprofile!$G$6:$G$11)*Kalender!E215/SUM(Kalender!$E$5:$E$370),0))*Szenarien!$E$15,0)</f>
        <v>2.04</v>
      </c>
      <c r="D1679" s="13" t="n">
        <f aca="false">IF(Szenarien!$H$15="OK",(IFERROR(SUMIF(Nutzungsprofile!$B$17:$B$22,"Schulbetrieb",Nutzungsprofile!$G$17:$G$22)*Kalender!C215/SUM(Kalender!$C$5:$C$370),0)+IFERROR(SUMIF(Nutzungsprofile!$B$17:$B$22,"Halle",Nutzungsprofile!$G$17:$G$22)*Kalender!D215/SUM(Kalender!$D$5:$D$370),0)+IFERROR(SUMIF(Nutzungsprofile!$B$17:$B$22,"Individuell",Nutzungsprofile!$G$17:$G$22)*Kalender!E215/SUM(Kalender!$E$5:$E$370),0))*Szenarien!$D$15,0)</f>
        <v>0.89</v>
      </c>
      <c r="E1679" s="13" t="n">
        <f aca="false">IFERROR(MIN(C1679,Eingaben!$B$17)*Eingaben!$B$16,0)</f>
        <v>1.938</v>
      </c>
      <c r="F1679" s="13" t="n">
        <f aca="false">IFERROR(E1679*Eingaben!$B$15,0)</f>
        <v>1.7442</v>
      </c>
      <c r="G1679" s="13" t="n">
        <f aca="false">IFERROR(IF(Kalender!A215="",0,J1678*(1-Eingaben!$B$20)),0)</f>
        <v>1.709316</v>
      </c>
      <c r="H1679" s="13" t="n">
        <f aca="false">MIN(G1679,D1679)</f>
        <v>0.89</v>
      </c>
      <c r="I1679" s="13" t="n">
        <f aca="false">IFERROR(MIN(F1679*Eingaben!$B$19,MAX(0,D1679-H1679)),0)</f>
        <v>0</v>
      </c>
      <c r="J1679" s="13" t="n">
        <f aca="false">IFERROR(MIN(Eingaben!$B$18,MAX(0,F1679-I1679)),0)</f>
        <v>1.7442</v>
      </c>
      <c r="K1679" s="13" t="n">
        <f aca="false">H1679+I1679</f>
        <v>0.89</v>
      </c>
      <c r="L1679" s="13" t="n">
        <f aca="false">MAX(0,D1679-K1679)</f>
        <v>0</v>
      </c>
      <c r="M1679" s="13" t="n">
        <f aca="false">MAX(0,F1679-I1679-J1679)</f>
        <v>0</v>
      </c>
      <c r="N1679" s="13" t="n">
        <f aca="false">IF(Kalender!A215="",0,J1678-H1679)</f>
        <v>0.8542</v>
      </c>
    </row>
    <row r="1680" customFormat="false" ht="16.4" hidden="false" customHeight="false" outlineLevel="0" collapsed="false">
      <c r="A1680" s="13" t="str">
        <f aca="false">""</f>
        <v/>
      </c>
      <c r="B1680" s="13" t="n">
        <f aca="false">212</f>
        <v>212</v>
      </c>
      <c r="C1680" s="13" t="n">
        <f aca="false">IF(Szenarien!$H$15="OK",(IFERROR(SUMIF(Nutzungsprofile!$B$6:$B$11,"Schulbetrieb",Nutzungsprofile!$G$6:$G$11)*Kalender!C216/SUM(Kalender!$C$5:$C$370),0)+IFERROR(SUMIF(Nutzungsprofile!$B$6:$B$11,"Halle",Nutzungsprofile!$G$6:$G$11)*Kalender!D216/SUM(Kalender!$D$5:$D$370),0)+IFERROR(SUMIF(Nutzungsprofile!$B$6:$B$11,"Individuell",Nutzungsprofile!$G$6:$G$11)*Kalender!E216/SUM(Kalender!$E$5:$E$370),0))*Szenarien!$E$15,0)</f>
        <v>2.04</v>
      </c>
      <c r="D1680" s="13" t="n">
        <f aca="false">IF(Szenarien!$H$15="OK",(IFERROR(SUMIF(Nutzungsprofile!$B$17:$B$22,"Schulbetrieb",Nutzungsprofile!$G$17:$G$22)*Kalender!C216/SUM(Kalender!$C$5:$C$370),0)+IFERROR(SUMIF(Nutzungsprofile!$B$17:$B$22,"Halle",Nutzungsprofile!$G$17:$G$22)*Kalender!D216/SUM(Kalender!$D$5:$D$370),0)+IFERROR(SUMIF(Nutzungsprofile!$B$17:$B$22,"Individuell",Nutzungsprofile!$G$17:$G$22)*Kalender!E216/SUM(Kalender!$E$5:$E$370),0))*Szenarien!$D$15,0)</f>
        <v>0.89</v>
      </c>
      <c r="E1680" s="13" t="n">
        <f aca="false">IFERROR(MIN(C1680,Eingaben!$B$17)*Eingaben!$B$16,0)</f>
        <v>1.938</v>
      </c>
      <c r="F1680" s="13" t="n">
        <f aca="false">IFERROR(E1680*Eingaben!$B$15,0)</f>
        <v>1.7442</v>
      </c>
      <c r="G1680" s="13" t="n">
        <f aca="false">IFERROR(IF(Kalender!A216="",0,J1679*(1-Eingaben!$B$20)),0)</f>
        <v>1.709316</v>
      </c>
      <c r="H1680" s="13" t="n">
        <f aca="false">MIN(G1680,D1680)</f>
        <v>0.89</v>
      </c>
      <c r="I1680" s="13" t="n">
        <f aca="false">IFERROR(MIN(F1680*Eingaben!$B$19,MAX(0,D1680-H1680)),0)</f>
        <v>0</v>
      </c>
      <c r="J1680" s="13" t="n">
        <f aca="false">IFERROR(MIN(Eingaben!$B$18,MAX(0,F1680-I1680)),0)</f>
        <v>1.7442</v>
      </c>
      <c r="K1680" s="13" t="n">
        <f aca="false">H1680+I1680</f>
        <v>0.89</v>
      </c>
      <c r="L1680" s="13" t="n">
        <f aca="false">MAX(0,D1680-K1680)</f>
        <v>0</v>
      </c>
      <c r="M1680" s="13" t="n">
        <f aca="false">MAX(0,F1680-I1680-J1680)</f>
        <v>0</v>
      </c>
      <c r="N1680" s="13" t="n">
        <f aca="false">IF(Kalender!A216="",0,J1679-H1680)</f>
        <v>0.8542</v>
      </c>
    </row>
    <row r="1681" customFormat="false" ht="16.4" hidden="false" customHeight="false" outlineLevel="0" collapsed="false">
      <c r="A1681" s="13" t="str">
        <f aca="false">""</f>
        <v/>
      </c>
      <c r="B1681" s="13" t="n">
        <f aca="false">213</f>
        <v>213</v>
      </c>
      <c r="C1681" s="13" t="n">
        <f aca="false">IF(Szenarien!$H$15="OK",(IFERROR(SUMIF(Nutzungsprofile!$B$6:$B$11,"Schulbetrieb",Nutzungsprofile!$G$6:$G$11)*Kalender!C217/SUM(Kalender!$C$5:$C$370),0)+IFERROR(SUMIF(Nutzungsprofile!$B$6:$B$11,"Halle",Nutzungsprofile!$G$6:$G$11)*Kalender!D217/SUM(Kalender!$D$5:$D$370),0)+IFERROR(SUMIF(Nutzungsprofile!$B$6:$B$11,"Individuell",Nutzungsprofile!$G$6:$G$11)*Kalender!E217/SUM(Kalender!$E$5:$E$370),0))*Szenarien!$E$15,0)</f>
        <v>2.04</v>
      </c>
      <c r="D1681" s="13" t="n">
        <f aca="false">IF(Szenarien!$H$15="OK",(IFERROR(SUMIF(Nutzungsprofile!$B$17:$B$22,"Schulbetrieb",Nutzungsprofile!$G$17:$G$22)*Kalender!C217/SUM(Kalender!$C$5:$C$370),0)+IFERROR(SUMIF(Nutzungsprofile!$B$17:$B$22,"Halle",Nutzungsprofile!$G$17:$G$22)*Kalender!D217/SUM(Kalender!$D$5:$D$370),0)+IFERROR(SUMIF(Nutzungsprofile!$B$17:$B$22,"Individuell",Nutzungsprofile!$G$17:$G$22)*Kalender!E217/SUM(Kalender!$E$5:$E$370),0))*Szenarien!$D$15,0)</f>
        <v>0.89</v>
      </c>
      <c r="E1681" s="13" t="n">
        <f aca="false">IFERROR(MIN(C1681,Eingaben!$B$17)*Eingaben!$B$16,0)</f>
        <v>1.938</v>
      </c>
      <c r="F1681" s="13" t="n">
        <f aca="false">IFERROR(E1681*Eingaben!$B$15,0)</f>
        <v>1.7442</v>
      </c>
      <c r="G1681" s="13" t="n">
        <f aca="false">IFERROR(IF(Kalender!A217="",0,J1680*(1-Eingaben!$B$20)),0)</f>
        <v>1.709316</v>
      </c>
      <c r="H1681" s="13" t="n">
        <f aca="false">MIN(G1681,D1681)</f>
        <v>0.89</v>
      </c>
      <c r="I1681" s="13" t="n">
        <f aca="false">IFERROR(MIN(F1681*Eingaben!$B$19,MAX(0,D1681-H1681)),0)</f>
        <v>0</v>
      </c>
      <c r="J1681" s="13" t="n">
        <f aca="false">IFERROR(MIN(Eingaben!$B$18,MAX(0,F1681-I1681)),0)</f>
        <v>1.7442</v>
      </c>
      <c r="K1681" s="13" t="n">
        <f aca="false">H1681+I1681</f>
        <v>0.89</v>
      </c>
      <c r="L1681" s="13" t="n">
        <f aca="false">MAX(0,D1681-K1681)</f>
        <v>0</v>
      </c>
      <c r="M1681" s="13" t="n">
        <f aca="false">MAX(0,F1681-I1681-J1681)</f>
        <v>0</v>
      </c>
      <c r="N1681" s="13" t="n">
        <f aca="false">IF(Kalender!A217="",0,J1680-H1681)</f>
        <v>0.8542</v>
      </c>
    </row>
    <row r="1682" customFormat="false" ht="16.4" hidden="false" customHeight="false" outlineLevel="0" collapsed="false">
      <c r="A1682" s="13" t="str">
        <f aca="false">""</f>
        <v/>
      </c>
      <c r="B1682" s="13" t="n">
        <f aca="false">214</f>
        <v>214</v>
      </c>
      <c r="C1682" s="13" t="n">
        <f aca="false">IF(Szenarien!$H$15="OK",(IFERROR(SUMIF(Nutzungsprofile!$B$6:$B$11,"Schulbetrieb",Nutzungsprofile!$G$6:$G$11)*Kalender!C218/SUM(Kalender!$C$5:$C$370),0)+IFERROR(SUMIF(Nutzungsprofile!$B$6:$B$11,"Halle",Nutzungsprofile!$G$6:$G$11)*Kalender!D218/SUM(Kalender!$D$5:$D$370),0)+IFERROR(SUMIF(Nutzungsprofile!$B$6:$B$11,"Individuell",Nutzungsprofile!$G$6:$G$11)*Kalender!E218/SUM(Kalender!$E$5:$E$370),0))*Szenarien!$E$15,0)</f>
        <v>2.04</v>
      </c>
      <c r="D1682" s="13" t="n">
        <f aca="false">IF(Szenarien!$H$15="OK",(IFERROR(SUMIF(Nutzungsprofile!$B$17:$B$22,"Schulbetrieb",Nutzungsprofile!$G$17:$G$22)*Kalender!C218/SUM(Kalender!$C$5:$C$370),0)+IFERROR(SUMIF(Nutzungsprofile!$B$17:$B$22,"Halle",Nutzungsprofile!$G$17:$G$22)*Kalender!D218/SUM(Kalender!$D$5:$D$370),0)+IFERROR(SUMIF(Nutzungsprofile!$B$17:$B$22,"Individuell",Nutzungsprofile!$G$17:$G$22)*Kalender!E218/SUM(Kalender!$E$5:$E$370),0))*Szenarien!$D$15,0)</f>
        <v>0.89</v>
      </c>
      <c r="E1682" s="13" t="n">
        <f aca="false">IFERROR(MIN(C1682,Eingaben!$B$17)*Eingaben!$B$16,0)</f>
        <v>1.938</v>
      </c>
      <c r="F1682" s="13" t="n">
        <f aca="false">IFERROR(E1682*Eingaben!$B$15,0)</f>
        <v>1.7442</v>
      </c>
      <c r="G1682" s="13" t="n">
        <f aca="false">IFERROR(IF(Kalender!A218="",0,J1681*(1-Eingaben!$B$20)),0)</f>
        <v>1.709316</v>
      </c>
      <c r="H1682" s="13" t="n">
        <f aca="false">MIN(G1682,D1682)</f>
        <v>0.89</v>
      </c>
      <c r="I1682" s="13" t="n">
        <f aca="false">IFERROR(MIN(F1682*Eingaben!$B$19,MAX(0,D1682-H1682)),0)</f>
        <v>0</v>
      </c>
      <c r="J1682" s="13" t="n">
        <f aca="false">IFERROR(MIN(Eingaben!$B$18,MAX(0,F1682-I1682)),0)</f>
        <v>1.7442</v>
      </c>
      <c r="K1682" s="13" t="n">
        <f aca="false">H1682+I1682</f>
        <v>0.89</v>
      </c>
      <c r="L1682" s="13" t="n">
        <f aca="false">MAX(0,D1682-K1682)</f>
        <v>0</v>
      </c>
      <c r="M1682" s="13" t="n">
        <f aca="false">MAX(0,F1682-I1682-J1682)</f>
        <v>0</v>
      </c>
      <c r="N1682" s="13" t="n">
        <f aca="false">IF(Kalender!A218="",0,J1681-H1682)</f>
        <v>0.8542</v>
      </c>
    </row>
    <row r="1683" customFormat="false" ht="16.4" hidden="false" customHeight="false" outlineLevel="0" collapsed="false">
      <c r="A1683" s="13" t="str">
        <f aca="false">""</f>
        <v/>
      </c>
      <c r="B1683" s="13" t="n">
        <f aca="false">215</f>
        <v>215</v>
      </c>
      <c r="C1683" s="13" t="n">
        <f aca="false">IF(Szenarien!$H$15="OK",(IFERROR(SUMIF(Nutzungsprofile!$B$6:$B$11,"Schulbetrieb",Nutzungsprofile!$G$6:$G$11)*Kalender!C219/SUM(Kalender!$C$5:$C$370),0)+IFERROR(SUMIF(Nutzungsprofile!$B$6:$B$11,"Halle",Nutzungsprofile!$G$6:$G$11)*Kalender!D219/SUM(Kalender!$D$5:$D$370),0)+IFERROR(SUMIF(Nutzungsprofile!$B$6:$B$11,"Individuell",Nutzungsprofile!$G$6:$G$11)*Kalender!E219/SUM(Kalender!$E$5:$E$370),0))*Szenarien!$E$15,0)</f>
        <v>2.04</v>
      </c>
      <c r="D1683" s="13" t="n">
        <f aca="false">IF(Szenarien!$H$15="OK",(IFERROR(SUMIF(Nutzungsprofile!$B$17:$B$22,"Schulbetrieb",Nutzungsprofile!$G$17:$G$22)*Kalender!C219/SUM(Kalender!$C$5:$C$370),0)+IFERROR(SUMIF(Nutzungsprofile!$B$17:$B$22,"Halle",Nutzungsprofile!$G$17:$G$22)*Kalender!D219/SUM(Kalender!$D$5:$D$370),0)+IFERROR(SUMIF(Nutzungsprofile!$B$17:$B$22,"Individuell",Nutzungsprofile!$G$17:$G$22)*Kalender!E219/SUM(Kalender!$E$5:$E$370),0))*Szenarien!$D$15,0)</f>
        <v>0.89</v>
      </c>
      <c r="E1683" s="13" t="n">
        <f aca="false">IFERROR(MIN(C1683,Eingaben!$B$17)*Eingaben!$B$16,0)</f>
        <v>1.938</v>
      </c>
      <c r="F1683" s="13" t="n">
        <f aca="false">IFERROR(E1683*Eingaben!$B$15,0)</f>
        <v>1.7442</v>
      </c>
      <c r="G1683" s="13" t="n">
        <f aca="false">IFERROR(IF(Kalender!A219="",0,J1682*(1-Eingaben!$B$20)),0)</f>
        <v>1.709316</v>
      </c>
      <c r="H1683" s="13" t="n">
        <f aca="false">MIN(G1683,D1683)</f>
        <v>0.89</v>
      </c>
      <c r="I1683" s="13" t="n">
        <f aca="false">IFERROR(MIN(F1683*Eingaben!$B$19,MAX(0,D1683-H1683)),0)</f>
        <v>0</v>
      </c>
      <c r="J1683" s="13" t="n">
        <f aca="false">IFERROR(MIN(Eingaben!$B$18,MAX(0,F1683-I1683)),0)</f>
        <v>1.7442</v>
      </c>
      <c r="K1683" s="13" t="n">
        <f aca="false">H1683+I1683</f>
        <v>0.89</v>
      </c>
      <c r="L1683" s="13" t="n">
        <f aca="false">MAX(0,D1683-K1683)</f>
        <v>0</v>
      </c>
      <c r="M1683" s="13" t="n">
        <f aca="false">MAX(0,F1683-I1683-J1683)</f>
        <v>0</v>
      </c>
      <c r="N1683" s="13" t="n">
        <f aca="false">IF(Kalender!A219="",0,J1682-H1683)</f>
        <v>0.8542</v>
      </c>
    </row>
    <row r="1684" customFormat="false" ht="16.4" hidden="false" customHeight="false" outlineLevel="0" collapsed="false">
      <c r="A1684" s="13" t="str">
        <f aca="false">""</f>
        <v/>
      </c>
      <c r="B1684" s="13" t="n">
        <f aca="false">216</f>
        <v>216</v>
      </c>
      <c r="C1684" s="13" t="n">
        <f aca="false">IF(Szenarien!$H$15="OK",(IFERROR(SUMIF(Nutzungsprofile!$B$6:$B$11,"Schulbetrieb",Nutzungsprofile!$G$6:$G$11)*Kalender!C220/SUM(Kalender!$C$5:$C$370),0)+IFERROR(SUMIF(Nutzungsprofile!$B$6:$B$11,"Halle",Nutzungsprofile!$G$6:$G$11)*Kalender!D220/SUM(Kalender!$D$5:$D$370),0)+IFERROR(SUMIF(Nutzungsprofile!$B$6:$B$11,"Individuell",Nutzungsprofile!$G$6:$G$11)*Kalender!E220/SUM(Kalender!$E$5:$E$370),0))*Szenarien!$E$15,0)</f>
        <v>2.04</v>
      </c>
      <c r="D1684" s="13" t="n">
        <f aca="false">IF(Szenarien!$H$15="OK",(IFERROR(SUMIF(Nutzungsprofile!$B$17:$B$22,"Schulbetrieb",Nutzungsprofile!$G$17:$G$22)*Kalender!C220/SUM(Kalender!$C$5:$C$370),0)+IFERROR(SUMIF(Nutzungsprofile!$B$17:$B$22,"Halle",Nutzungsprofile!$G$17:$G$22)*Kalender!D220/SUM(Kalender!$D$5:$D$370),0)+IFERROR(SUMIF(Nutzungsprofile!$B$17:$B$22,"Individuell",Nutzungsprofile!$G$17:$G$22)*Kalender!E220/SUM(Kalender!$E$5:$E$370),0))*Szenarien!$D$15,0)</f>
        <v>0.89</v>
      </c>
      <c r="E1684" s="13" t="n">
        <f aca="false">IFERROR(MIN(C1684,Eingaben!$B$17)*Eingaben!$B$16,0)</f>
        <v>1.938</v>
      </c>
      <c r="F1684" s="13" t="n">
        <f aca="false">IFERROR(E1684*Eingaben!$B$15,0)</f>
        <v>1.7442</v>
      </c>
      <c r="G1684" s="13" t="n">
        <f aca="false">IFERROR(IF(Kalender!A220="",0,J1683*(1-Eingaben!$B$20)),0)</f>
        <v>1.709316</v>
      </c>
      <c r="H1684" s="13" t="n">
        <f aca="false">MIN(G1684,D1684)</f>
        <v>0.89</v>
      </c>
      <c r="I1684" s="13" t="n">
        <f aca="false">IFERROR(MIN(F1684*Eingaben!$B$19,MAX(0,D1684-H1684)),0)</f>
        <v>0</v>
      </c>
      <c r="J1684" s="13" t="n">
        <f aca="false">IFERROR(MIN(Eingaben!$B$18,MAX(0,F1684-I1684)),0)</f>
        <v>1.7442</v>
      </c>
      <c r="K1684" s="13" t="n">
        <f aca="false">H1684+I1684</f>
        <v>0.89</v>
      </c>
      <c r="L1684" s="13" t="n">
        <f aca="false">MAX(0,D1684-K1684)</f>
        <v>0</v>
      </c>
      <c r="M1684" s="13" t="n">
        <f aca="false">MAX(0,F1684-I1684-J1684)</f>
        <v>0</v>
      </c>
      <c r="N1684" s="13" t="n">
        <f aca="false">IF(Kalender!A220="",0,J1683-H1684)</f>
        <v>0.8542</v>
      </c>
    </row>
    <row r="1685" customFormat="false" ht="16.4" hidden="false" customHeight="false" outlineLevel="0" collapsed="false">
      <c r="A1685" s="13" t="str">
        <f aca="false">""</f>
        <v/>
      </c>
      <c r="B1685" s="13" t="n">
        <f aca="false">217</f>
        <v>217</v>
      </c>
      <c r="C1685" s="13" t="n">
        <f aca="false">IF(Szenarien!$H$15="OK",(IFERROR(SUMIF(Nutzungsprofile!$B$6:$B$11,"Schulbetrieb",Nutzungsprofile!$G$6:$G$11)*Kalender!C221/SUM(Kalender!$C$5:$C$370),0)+IFERROR(SUMIF(Nutzungsprofile!$B$6:$B$11,"Halle",Nutzungsprofile!$G$6:$G$11)*Kalender!D221/SUM(Kalender!$D$5:$D$370),0)+IFERROR(SUMIF(Nutzungsprofile!$B$6:$B$11,"Individuell",Nutzungsprofile!$G$6:$G$11)*Kalender!E221/SUM(Kalender!$E$5:$E$370),0))*Szenarien!$E$15,0)</f>
        <v>2.04</v>
      </c>
      <c r="D1685" s="13" t="n">
        <f aca="false">IF(Szenarien!$H$15="OK",(IFERROR(SUMIF(Nutzungsprofile!$B$17:$B$22,"Schulbetrieb",Nutzungsprofile!$G$17:$G$22)*Kalender!C221/SUM(Kalender!$C$5:$C$370),0)+IFERROR(SUMIF(Nutzungsprofile!$B$17:$B$22,"Halle",Nutzungsprofile!$G$17:$G$22)*Kalender!D221/SUM(Kalender!$D$5:$D$370),0)+IFERROR(SUMIF(Nutzungsprofile!$B$17:$B$22,"Individuell",Nutzungsprofile!$G$17:$G$22)*Kalender!E221/SUM(Kalender!$E$5:$E$370),0))*Szenarien!$D$15,0)</f>
        <v>0.89</v>
      </c>
      <c r="E1685" s="13" t="n">
        <f aca="false">IFERROR(MIN(C1685,Eingaben!$B$17)*Eingaben!$B$16,0)</f>
        <v>1.938</v>
      </c>
      <c r="F1685" s="13" t="n">
        <f aca="false">IFERROR(E1685*Eingaben!$B$15,0)</f>
        <v>1.7442</v>
      </c>
      <c r="G1685" s="13" t="n">
        <f aca="false">IFERROR(IF(Kalender!A221="",0,J1684*(1-Eingaben!$B$20)),0)</f>
        <v>1.709316</v>
      </c>
      <c r="H1685" s="13" t="n">
        <f aca="false">MIN(G1685,D1685)</f>
        <v>0.89</v>
      </c>
      <c r="I1685" s="13" t="n">
        <f aca="false">IFERROR(MIN(F1685*Eingaben!$B$19,MAX(0,D1685-H1685)),0)</f>
        <v>0</v>
      </c>
      <c r="J1685" s="13" t="n">
        <f aca="false">IFERROR(MIN(Eingaben!$B$18,MAX(0,F1685-I1685)),0)</f>
        <v>1.7442</v>
      </c>
      <c r="K1685" s="13" t="n">
        <f aca="false">H1685+I1685</f>
        <v>0.89</v>
      </c>
      <c r="L1685" s="13" t="n">
        <f aca="false">MAX(0,D1685-K1685)</f>
        <v>0</v>
      </c>
      <c r="M1685" s="13" t="n">
        <f aca="false">MAX(0,F1685-I1685-J1685)</f>
        <v>0</v>
      </c>
      <c r="N1685" s="13" t="n">
        <f aca="false">IF(Kalender!A221="",0,J1684-H1685)</f>
        <v>0.8542</v>
      </c>
    </row>
    <row r="1686" customFormat="false" ht="16.4" hidden="false" customHeight="false" outlineLevel="0" collapsed="false">
      <c r="A1686" s="13" t="str">
        <f aca="false">""</f>
        <v/>
      </c>
      <c r="B1686" s="13" t="n">
        <f aca="false">218</f>
        <v>218</v>
      </c>
      <c r="C1686" s="13" t="n">
        <f aca="false">IF(Szenarien!$H$15="OK",(IFERROR(SUMIF(Nutzungsprofile!$B$6:$B$11,"Schulbetrieb",Nutzungsprofile!$G$6:$G$11)*Kalender!C222/SUM(Kalender!$C$5:$C$370),0)+IFERROR(SUMIF(Nutzungsprofile!$B$6:$B$11,"Halle",Nutzungsprofile!$G$6:$G$11)*Kalender!D222/SUM(Kalender!$D$5:$D$370),0)+IFERROR(SUMIF(Nutzungsprofile!$B$6:$B$11,"Individuell",Nutzungsprofile!$G$6:$G$11)*Kalender!E222/SUM(Kalender!$E$5:$E$370),0))*Szenarien!$E$15,0)</f>
        <v>2.04</v>
      </c>
      <c r="D1686" s="13" t="n">
        <f aca="false">IF(Szenarien!$H$15="OK",(IFERROR(SUMIF(Nutzungsprofile!$B$17:$B$22,"Schulbetrieb",Nutzungsprofile!$G$17:$G$22)*Kalender!C222/SUM(Kalender!$C$5:$C$370),0)+IFERROR(SUMIF(Nutzungsprofile!$B$17:$B$22,"Halle",Nutzungsprofile!$G$17:$G$22)*Kalender!D222/SUM(Kalender!$D$5:$D$370),0)+IFERROR(SUMIF(Nutzungsprofile!$B$17:$B$22,"Individuell",Nutzungsprofile!$G$17:$G$22)*Kalender!E222/SUM(Kalender!$E$5:$E$370),0))*Szenarien!$D$15,0)</f>
        <v>0.89</v>
      </c>
      <c r="E1686" s="13" t="n">
        <f aca="false">IFERROR(MIN(C1686,Eingaben!$B$17)*Eingaben!$B$16,0)</f>
        <v>1.938</v>
      </c>
      <c r="F1686" s="13" t="n">
        <f aca="false">IFERROR(E1686*Eingaben!$B$15,0)</f>
        <v>1.7442</v>
      </c>
      <c r="G1686" s="13" t="n">
        <f aca="false">IFERROR(IF(Kalender!A222="",0,J1685*(1-Eingaben!$B$20)),0)</f>
        <v>1.709316</v>
      </c>
      <c r="H1686" s="13" t="n">
        <f aca="false">MIN(G1686,D1686)</f>
        <v>0.89</v>
      </c>
      <c r="I1686" s="13" t="n">
        <f aca="false">IFERROR(MIN(F1686*Eingaben!$B$19,MAX(0,D1686-H1686)),0)</f>
        <v>0</v>
      </c>
      <c r="J1686" s="13" t="n">
        <f aca="false">IFERROR(MIN(Eingaben!$B$18,MAX(0,F1686-I1686)),0)</f>
        <v>1.7442</v>
      </c>
      <c r="K1686" s="13" t="n">
        <f aca="false">H1686+I1686</f>
        <v>0.89</v>
      </c>
      <c r="L1686" s="13" t="n">
        <f aca="false">MAX(0,D1686-K1686)</f>
        <v>0</v>
      </c>
      <c r="M1686" s="13" t="n">
        <f aca="false">MAX(0,F1686-I1686-J1686)</f>
        <v>0</v>
      </c>
      <c r="N1686" s="13" t="n">
        <f aca="false">IF(Kalender!A222="",0,J1685-H1686)</f>
        <v>0.8542</v>
      </c>
    </row>
    <row r="1687" customFormat="false" ht="16.4" hidden="false" customHeight="false" outlineLevel="0" collapsed="false">
      <c r="A1687" s="13" t="str">
        <f aca="false">""</f>
        <v/>
      </c>
      <c r="B1687" s="13" t="n">
        <f aca="false">219</f>
        <v>219</v>
      </c>
      <c r="C1687" s="13" t="n">
        <f aca="false">IF(Szenarien!$H$15="OK",(IFERROR(SUMIF(Nutzungsprofile!$B$6:$B$11,"Schulbetrieb",Nutzungsprofile!$G$6:$G$11)*Kalender!C223/SUM(Kalender!$C$5:$C$370),0)+IFERROR(SUMIF(Nutzungsprofile!$B$6:$B$11,"Halle",Nutzungsprofile!$G$6:$G$11)*Kalender!D223/SUM(Kalender!$D$5:$D$370),0)+IFERROR(SUMIF(Nutzungsprofile!$B$6:$B$11,"Individuell",Nutzungsprofile!$G$6:$G$11)*Kalender!E223/SUM(Kalender!$E$5:$E$370),0))*Szenarien!$E$15,0)</f>
        <v>2.04</v>
      </c>
      <c r="D1687" s="13" t="n">
        <f aca="false">IF(Szenarien!$H$15="OK",(IFERROR(SUMIF(Nutzungsprofile!$B$17:$B$22,"Schulbetrieb",Nutzungsprofile!$G$17:$G$22)*Kalender!C223/SUM(Kalender!$C$5:$C$370),0)+IFERROR(SUMIF(Nutzungsprofile!$B$17:$B$22,"Halle",Nutzungsprofile!$G$17:$G$22)*Kalender!D223/SUM(Kalender!$D$5:$D$370),0)+IFERROR(SUMIF(Nutzungsprofile!$B$17:$B$22,"Individuell",Nutzungsprofile!$G$17:$G$22)*Kalender!E223/SUM(Kalender!$E$5:$E$370),0))*Szenarien!$D$15,0)</f>
        <v>0.89</v>
      </c>
      <c r="E1687" s="13" t="n">
        <f aca="false">IFERROR(MIN(C1687,Eingaben!$B$17)*Eingaben!$B$16,0)</f>
        <v>1.938</v>
      </c>
      <c r="F1687" s="13" t="n">
        <f aca="false">IFERROR(E1687*Eingaben!$B$15,0)</f>
        <v>1.7442</v>
      </c>
      <c r="G1687" s="13" t="n">
        <f aca="false">IFERROR(IF(Kalender!A223="",0,J1686*(1-Eingaben!$B$20)),0)</f>
        <v>1.709316</v>
      </c>
      <c r="H1687" s="13" t="n">
        <f aca="false">MIN(G1687,D1687)</f>
        <v>0.89</v>
      </c>
      <c r="I1687" s="13" t="n">
        <f aca="false">IFERROR(MIN(F1687*Eingaben!$B$19,MAX(0,D1687-H1687)),0)</f>
        <v>0</v>
      </c>
      <c r="J1687" s="13" t="n">
        <f aca="false">IFERROR(MIN(Eingaben!$B$18,MAX(0,F1687-I1687)),0)</f>
        <v>1.7442</v>
      </c>
      <c r="K1687" s="13" t="n">
        <f aca="false">H1687+I1687</f>
        <v>0.89</v>
      </c>
      <c r="L1687" s="13" t="n">
        <f aca="false">MAX(0,D1687-K1687)</f>
        <v>0</v>
      </c>
      <c r="M1687" s="13" t="n">
        <f aca="false">MAX(0,F1687-I1687-J1687)</f>
        <v>0</v>
      </c>
      <c r="N1687" s="13" t="n">
        <f aca="false">IF(Kalender!A223="",0,J1686-H1687)</f>
        <v>0.8542</v>
      </c>
    </row>
    <row r="1688" customFormat="false" ht="16.4" hidden="false" customHeight="false" outlineLevel="0" collapsed="false">
      <c r="A1688" s="13" t="str">
        <f aca="false">""</f>
        <v/>
      </c>
      <c r="B1688" s="13" t="n">
        <f aca="false">220</f>
        <v>220</v>
      </c>
      <c r="C1688" s="13" t="n">
        <f aca="false">IF(Szenarien!$H$15="OK",(IFERROR(SUMIF(Nutzungsprofile!$B$6:$B$11,"Schulbetrieb",Nutzungsprofile!$G$6:$G$11)*Kalender!C224/SUM(Kalender!$C$5:$C$370),0)+IFERROR(SUMIF(Nutzungsprofile!$B$6:$B$11,"Halle",Nutzungsprofile!$G$6:$G$11)*Kalender!D224/SUM(Kalender!$D$5:$D$370),0)+IFERROR(SUMIF(Nutzungsprofile!$B$6:$B$11,"Individuell",Nutzungsprofile!$G$6:$G$11)*Kalender!E224/SUM(Kalender!$E$5:$E$370),0))*Szenarien!$E$15,0)</f>
        <v>2.04</v>
      </c>
      <c r="D1688" s="13" t="n">
        <f aca="false">IF(Szenarien!$H$15="OK",(IFERROR(SUMIF(Nutzungsprofile!$B$17:$B$22,"Schulbetrieb",Nutzungsprofile!$G$17:$G$22)*Kalender!C224/SUM(Kalender!$C$5:$C$370),0)+IFERROR(SUMIF(Nutzungsprofile!$B$17:$B$22,"Halle",Nutzungsprofile!$G$17:$G$22)*Kalender!D224/SUM(Kalender!$D$5:$D$370),0)+IFERROR(SUMIF(Nutzungsprofile!$B$17:$B$22,"Individuell",Nutzungsprofile!$G$17:$G$22)*Kalender!E224/SUM(Kalender!$E$5:$E$370),0))*Szenarien!$D$15,0)</f>
        <v>0.89</v>
      </c>
      <c r="E1688" s="13" t="n">
        <f aca="false">IFERROR(MIN(C1688,Eingaben!$B$17)*Eingaben!$B$16,0)</f>
        <v>1.938</v>
      </c>
      <c r="F1688" s="13" t="n">
        <f aca="false">IFERROR(E1688*Eingaben!$B$15,0)</f>
        <v>1.7442</v>
      </c>
      <c r="G1688" s="13" t="n">
        <f aca="false">IFERROR(IF(Kalender!A224="",0,J1687*(1-Eingaben!$B$20)),0)</f>
        <v>1.709316</v>
      </c>
      <c r="H1688" s="13" t="n">
        <f aca="false">MIN(G1688,D1688)</f>
        <v>0.89</v>
      </c>
      <c r="I1688" s="13" t="n">
        <f aca="false">IFERROR(MIN(F1688*Eingaben!$B$19,MAX(0,D1688-H1688)),0)</f>
        <v>0</v>
      </c>
      <c r="J1688" s="13" t="n">
        <f aca="false">IFERROR(MIN(Eingaben!$B$18,MAX(0,F1688-I1688)),0)</f>
        <v>1.7442</v>
      </c>
      <c r="K1688" s="13" t="n">
        <f aca="false">H1688+I1688</f>
        <v>0.89</v>
      </c>
      <c r="L1688" s="13" t="n">
        <f aca="false">MAX(0,D1688-K1688)</f>
        <v>0</v>
      </c>
      <c r="M1688" s="13" t="n">
        <f aca="false">MAX(0,F1688-I1688-J1688)</f>
        <v>0</v>
      </c>
      <c r="N1688" s="13" t="n">
        <f aca="false">IF(Kalender!A224="",0,J1687-H1688)</f>
        <v>0.8542</v>
      </c>
    </row>
    <row r="1689" customFormat="false" ht="16.4" hidden="false" customHeight="false" outlineLevel="0" collapsed="false">
      <c r="A1689" s="13" t="str">
        <f aca="false">""</f>
        <v/>
      </c>
      <c r="B1689" s="13" t="n">
        <f aca="false">221</f>
        <v>221</v>
      </c>
      <c r="C1689" s="13" t="n">
        <f aca="false">IF(Szenarien!$H$15="OK",(IFERROR(SUMIF(Nutzungsprofile!$B$6:$B$11,"Schulbetrieb",Nutzungsprofile!$G$6:$G$11)*Kalender!C225/SUM(Kalender!$C$5:$C$370),0)+IFERROR(SUMIF(Nutzungsprofile!$B$6:$B$11,"Halle",Nutzungsprofile!$G$6:$G$11)*Kalender!D225/SUM(Kalender!$D$5:$D$370),0)+IFERROR(SUMIF(Nutzungsprofile!$B$6:$B$11,"Individuell",Nutzungsprofile!$G$6:$G$11)*Kalender!E225/SUM(Kalender!$E$5:$E$370),0))*Szenarien!$E$15,0)</f>
        <v>2.04</v>
      </c>
      <c r="D1689" s="13" t="n">
        <f aca="false">IF(Szenarien!$H$15="OK",(IFERROR(SUMIF(Nutzungsprofile!$B$17:$B$22,"Schulbetrieb",Nutzungsprofile!$G$17:$G$22)*Kalender!C225/SUM(Kalender!$C$5:$C$370),0)+IFERROR(SUMIF(Nutzungsprofile!$B$17:$B$22,"Halle",Nutzungsprofile!$G$17:$G$22)*Kalender!D225/SUM(Kalender!$D$5:$D$370),0)+IFERROR(SUMIF(Nutzungsprofile!$B$17:$B$22,"Individuell",Nutzungsprofile!$G$17:$G$22)*Kalender!E225/SUM(Kalender!$E$5:$E$370),0))*Szenarien!$D$15,0)</f>
        <v>0.89</v>
      </c>
      <c r="E1689" s="13" t="n">
        <f aca="false">IFERROR(MIN(C1689,Eingaben!$B$17)*Eingaben!$B$16,0)</f>
        <v>1.938</v>
      </c>
      <c r="F1689" s="13" t="n">
        <f aca="false">IFERROR(E1689*Eingaben!$B$15,0)</f>
        <v>1.7442</v>
      </c>
      <c r="G1689" s="13" t="n">
        <f aca="false">IFERROR(IF(Kalender!A225="",0,J1688*(1-Eingaben!$B$20)),0)</f>
        <v>1.709316</v>
      </c>
      <c r="H1689" s="13" t="n">
        <f aca="false">MIN(G1689,D1689)</f>
        <v>0.89</v>
      </c>
      <c r="I1689" s="13" t="n">
        <f aca="false">IFERROR(MIN(F1689*Eingaben!$B$19,MAX(0,D1689-H1689)),0)</f>
        <v>0</v>
      </c>
      <c r="J1689" s="13" t="n">
        <f aca="false">IFERROR(MIN(Eingaben!$B$18,MAX(0,F1689-I1689)),0)</f>
        <v>1.7442</v>
      </c>
      <c r="K1689" s="13" t="n">
        <f aca="false">H1689+I1689</f>
        <v>0.89</v>
      </c>
      <c r="L1689" s="13" t="n">
        <f aca="false">MAX(0,D1689-K1689)</f>
        <v>0</v>
      </c>
      <c r="M1689" s="13" t="n">
        <f aca="false">MAX(0,F1689-I1689-J1689)</f>
        <v>0</v>
      </c>
      <c r="N1689" s="13" t="n">
        <f aca="false">IF(Kalender!A225="",0,J1688-H1689)</f>
        <v>0.8542</v>
      </c>
    </row>
    <row r="1690" customFormat="false" ht="16.4" hidden="false" customHeight="false" outlineLevel="0" collapsed="false">
      <c r="A1690" s="13" t="str">
        <f aca="false">""</f>
        <v/>
      </c>
      <c r="B1690" s="13" t="n">
        <f aca="false">222</f>
        <v>222</v>
      </c>
      <c r="C1690" s="13" t="n">
        <f aca="false">IF(Szenarien!$H$15="OK",(IFERROR(SUMIF(Nutzungsprofile!$B$6:$B$11,"Schulbetrieb",Nutzungsprofile!$G$6:$G$11)*Kalender!C226/SUM(Kalender!$C$5:$C$370),0)+IFERROR(SUMIF(Nutzungsprofile!$B$6:$B$11,"Halle",Nutzungsprofile!$G$6:$G$11)*Kalender!D226/SUM(Kalender!$D$5:$D$370),0)+IFERROR(SUMIF(Nutzungsprofile!$B$6:$B$11,"Individuell",Nutzungsprofile!$G$6:$G$11)*Kalender!E226/SUM(Kalender!$E$5:$E$370),0))*Szenarien!$E$15,0)</f>
        <v>2.04</v>
      </c>
      <c r="D1690" s="13" t="n">
        <f aca="false">IF(Szenarien!$H$15="OK",(IFERROR(SUMIF(Nutzungsprofile!$B$17:$B$22,"Schulbetrieb",Nutzungsprofile!$G$17:$G$22)*Kalender!C226/SUM(Kalender!$C$5:$C$370),0)+IFERROR(SUMIF(Nutzungsprofile!$B$17:$B$22,"Halle",Nutzungsprofile!$G$17:$G$22)*Kalender!D226/SUM(Kalender!$D$5:$D$370),0)+IFERROR(SUMIF(Nutzungsprofile!$B$17:$B$22,"Individuell",Nutzungsprofile!$G$17:$G$22)*Kalender!E226/SUM(Kalender!$E$5:$E$370),0))*Szenarien!$D$15,0)</f>
        <v>0.89</v>
      </c>
      <c r="E1690" s="13" t="n">
        <f aca="false">IFERROR(MIN(C1690,Eingaben!$B$17)*Eingaben!$B$16,0)</f>
        <v>1.938</v>
      </c>
      <c r="F1690" s="13" t="n">
        <f aca="false">IFERROR(E1690*Eingaben!$B$15,0)</f>
        <v>1.7442</v>
      </c>
      <c r="G1690" s="13" t="n">
        <f aca="false">IFERROR(IF(Kalender!A226="",0,J1689*(1-Eingaben!$B$20)),0)</f>
        <v>1.709316</v>
      </c>
      <c r="H1690" s="13" t="n">
        <f aca="false">MIN(G1690,D1690)</f>
        <v>0.89</v>
      </c>
      <c r="I1690" s="13" t="n">
        <f aca="false">IFERROR(MIN(F1690*Eingaben!$B$19,MAX(0,D1690-H1690)),0)</f>
        <v>0</v>
      </c>
      <c r="J1690" s="13" t="n">
        <f aca="false">IFERROR(MIN(Eingaben!$B$18,MAX(0,F1690-I1690)),0)</f>
        <v>1.7442</v>
      </c>
      <c r="K1690" s="13" t="n">
        <f aca="false">H1690+I1690</f>
        <v>0.89</v>
      </c>
      <c r="L1690" s="13" t="n">
        <f aca="false">MAX(0,D1690-K1690)</f>
        <v>0</v>
      </c>
      <c r="M1690" s="13" t="n">
        <f aca="false">MAX(0,F1690-I1690-J1690)</f>
        <v>0</v>
      </c>
      <c r="N1690" s="13" t="n">
        <f aca="false">IF(Kalender!A226="",0,J1689-H1690)</f>
        <v>0.8542</v>
      </c>
    </row>
    <row r="1691" customFormat="false" ht="16.4" hidden="false" customHeight="false" outlineLevel="0" collapsed="false">
      <c r="A1691" s="13" t="str">
        <f aca="false">""</f>
        <v/>
      </c>
      <c r="B1691" s="13" t="n">
        <f aca="false">223</f>
        <v>223</v>
      </c>
      <c r="C1691" s="13" t="n">
        <f aca="false">IF(Szenarien!$H$15="OK",(IFERROR(SUMIF(Nutzungsprofile!$B$6:$B$11,"Schulbetrieb",Nutzungsprofile!$G$6:$G$11)*Kalender!C227/SUM(Kalender!$C$5:$C$370),0)+IFERROR(SUMIF(Nutzungsprofile!$B$6:$B$11,"Halle",Nutzungsprofile!$G$6:$G$11)*Kalender!D227/SUM(Kalender!$D$5:$D$370),0)+IFERROR(SUMIF(Nutzungsprofile!$B$6:$B$11,"Individuell",Nutzungsprofile!$G$6:$G$11)*Kalender!E227/SUM(Kalender!$E$5:$E$370),0))*Szenarien!$E$15,0)</f>
        <v>2.04</v>
      </c>
      <c r="D1691" s="13" t="n">
        <f aca="false">IF(Szenarien!$H$15="OK",(IFERROR(SUMIF(Nutzungsprofile!$B$17:$B$22,"Schulbetrieb",Nutzungsprofile!$G$17:$G$22)*Kalender!C227/SUM(Kalender!$C$5:$C$370),0)+IFERROR(SUMIF(Nutzungsprofile!$B$17:$B$22,"Halle",Nutzungsprofile!$G$17:$G$22)*Kalender!D227/SUM(Kalender!$D$5:$D$370),0)+IFERROR(SUMIF(Nutzungsprofile!$B$17:$B$22,"Individuell",Nutzungsprofile!$G$17:$G$22)*Kalender!E227/SUM(Kalender!$E$5:$E$370),0))*Szenarien!$D$15,0)</f>
        <v>0.89</v>
      </c>
      <c r="E1691" s="13" t="n">
        <f aca="false">IFERROR(MIN(C1691,Eingaben!$B$17)*Eingaben!$B$16,0)</f>
        <v>1.938</v>
      </c>
      <c r="F1691" s="13" t="n">
        <f aca="false">IFERROR(E1691*Eingaben!$B$15,0)</f>
        <v>1.7442</v>
      </c>
      <c r="G1691" s="13" t="n">
        <f aca="false">IFERROR(IF(Kalender!A227="",0,J1690*(1-Eingaben!$B$20)),0)</f>
        <v>1.709316</v>
      </c>
      <c r="H1691" s="13" t="n">
        <f aca="false">MIN(G1691,D1691)</f>
        <v>0.89</v>
      </c>
      <c r="I1691" s="13" t="n">
        <f aca="false">IFERROR(MIN(F1691*Eingaben!$B$19,MAX(0,D1691-H1691)),0)</f>
        <v>0</v>
      </c>
      <c r="J1691" s="13" t="n">
        <f aca="false">IFERROR(MIN(Eingaben!$B$18,MAX(0,F1691-I1691)),0)</f>
        <v>1.7442</v>
      </c>
      <c r="K1691" s="13" t="n">
        <f aca="false">H1691+I1691</f>
        <v>0.89</v>
      </c>
      <c r="L1691" s="13" t="n">
        <f aca="false">MAX(0,D1691-K1691)</f>
        <v>0</v>
      </c>
      <c r="M1691" s="13" t="n">
        <f aca="false">MAX(0,F1691-I1691-J1691)</f>
        <v>0</v>
      </c>
      <c r="N1691" s="13" t="n">
        <f aca="false">IF(Kalender!A227="",0,J1690-H1691)</f>
        <v>0.8542</v>
      </c>
    </row>
    <row r="1692" customFormat="false" ht="16.4" hidden="false" customHeight="false" outlineLevel="0" collapsed="false">
      <c r="A1692" s="13" t="str">
        <f aca="false">""</f>
        <v/>
      </c>
      <c r="B1692" s="13" t="n">
        <f aca="false">224</f>
        <v>224</v>
      </c>
      <c r="C1692" s="13" t="n">
        <f aca="false">IF(Szenarien!$H$15="OK",(IFERROR(SUMIF(Nutzungsprofile!$B$6:$B$11,"Schulbetrieb",Nutzungsprofile!$G$6:$G$11)*Kalender!C228/SUM(Kalender!$C$5:$C$370),0)+IFERROR(SUMIF(Nutzungsprofile!$B$6:$B$11,"Halle",Nutzungsprofile!$G$6:$G$11)*Kalender!D228/SUM(Kalender!$D$5:$D$370),0)+IFERROR(SUMIF(Nutzungsprofile!$B$6:$B$11,"Individuell",Nutzungsprofile!$G$6:$G$11)*Kalender!E228/SUM(Kalender!$E$5:$E$370),0))*Szenarien!$E$15,0)</f>
        <v>2.04</v>
      </c>
      <c r="D1692" s="13" t="n">
        <f aca="false">IF(Szenarien!$H$15="OK",(IFERROR(SUMIF(Nutzungsprofile!$B$17:$B$22,"Schulbetrieb",Nutzungsprofile!$G$17:$G$22)*Kalender!C228/SUM(Kalender!$C$5:$C$370),0)+IFERROR(SUMIF(Nutzungsprofile!$B$17:$B$22,"Halle",Nutzungsprofile!$G$17:$G$22)*Kalender!D228/SUM(Kalender!$D$5:$D$370),0)+IFERROR(SUMIF(Nutzungsprofile!$B$17:$B$22,"Individuell",Nutzungsprofile!$G$17:$G$22)*Kalender!E228/SUM(Kalender!$E$5:$E$370),0))*Szenarien!$D$15,0)</f>
        <v>0.89</v>
      </c>
      <c r="E1692" s="13" t="n">
        <f aca="false">IFERROR(MIN(C1692,Eingaben!$B$17)*Eingaben!$B$16,0)</f>
        <v>1.938</v>
      </c>
      <c r="F1692" s="13" t="n">
        <f aca="false">IFERROR(E1692*Eingaben!$B$15,0)</f>
        <v>1.7442</v>
      </c>
      <c r="G1692" s="13" t="n">
        <f aca="false">IFERROR(IF(Kalender!A228="",0,J1691*(1-Eingaben!$B$20)),0)</f>
        <v>1.709316</v>
      </c>
      <c r="H1692" s="13" t="n">
        <f aca="false">MIN(G1692,D1692)</f>
        <v>0.89</v>
      </c>
      <c r="I1692" s="13" t="n">
        <f aca="false">IFERROR(MIN(F1692*Eingaben!$B$19,MAX(0,D1692-H1692)),0)</f>
        <v>0</v>
      </c>
      <c r="J1692" s="13" t="n">
        <f aca="false">IFERROR(MIN(Eingaben!$B$18,MAX(0,F1692-I1692)),0)</f>
        <v>1.7442</v>
      </c>
      <c r="K1692" s="13" t="n">
        <f aca="false">H1692+I1692</f>
        <v>0.89</v>
      </c>
      <c r="L1692" s="13" t="n">
        <f aca="false">MAX(0,D1692-K1692)</f>
        <v>0</v>
      </c>
      <c r="M1692" s="13" t="n">
        <f aca="false">MAX(0,F1692-I1692-J1692)</f>
        <v>0</v>
      </c>
      <c r="N1692" s="13" t="n">
        <f aca="false">IF(Kalender!A228="",0,J1691-H1692)</f>
        <v>0.8542</v>
      </c>
    </row>
    <row r="1693" customFormat="false" ht="16.4" hidden="false" customHeight="false" outlineLevel="0" collapsed="false">
      <c r="A1693" s="13" t="str">
        <f aca="false">""</f>
        <v/>
      </c>
      <c r="B1693" s="13" t="n">
        <f aca="false">225</f>
        <v>225</v>
      </c>
      <c r="C1693" s="13" t="n">
        <f aca="false">IF(Szenarien!$H$15="OK",(IFERROR(SUMIF(Nutzungsprofile!$B$6:$B$11,"Schulbetrieb",Nutzungsprofile!$G$6:$G$11)*Kalender!C229/SUM(Kalender!$C$5:$C$370),0)+IFERROR(SUMIF(Nutzungsprofile!$B$6:$B$11,"Halle",Nutzungsprofile!$G$6:$G$11)*Kalender!D229/SUM(Kalender!$D$5:$D$370),0)+IFERROR(SUMIF(Nutzungsprofile!$B$6:$B$11,"Individuell",Nutzungsprofile!$G$6:$G$11)*Kalender!E229/SUM(Kalender!$E$5:$E$370),0))*Szenarien!$E$15,0)</f>
        <v>2.04</v>
      </c>
      <c r="D1693" s="13" t="n">
        <f aca="false">IF(Szenarien!$H$15="OK",(IFERROR(SUMIF(Nutzungsprofile!$B$17:$B$22,"Schulbetrieb",Nutzungsprofile!$G$17:$G$22)*Kalender!C229/SUM(Kalender!$C$5:$C$370),0)+IFERROR(SUMIF(Nutzungsprofile!$B$17:$B$22,"Halle",Nutzungsprofile!$G$17:$G$22)*Kalender!D229/SUM(Kalender!$D$5:$D$370),0)+IFERROR(SUMIF(Nutzungsprofile!$B$17:$B$22,"Individuell",Nutzungsprofile!$G$17:$G$22)*Kalender!E229/SUM(Kalender!$E$5:$E$370),0))*Szenarien!$D$15,0)</f>
        <v>0.89</v>
      </c>
      <c r="E1693" s="13" t="n">
        <f aca="false">IFERROR(MIN(C1693,Eingaben!$B$17)*Eingaben!$B$16,0)</f>
        <v>1.938</v>
      </c>
      <c r="F1693" s="13" t="n">
        <f aca="false">IFERROR(E1693*Eingaben!$B$15,0)</f>
        <v>1.7442</v>
      </c>
      <c r="G1693" s="13" t="n">
        <f aca="false">IFERROR(IF(Kalender!A229="",0,J1692*(1-Eingaben!$B$20)),0)</f>
        <v>1.709316</v>
      </c>
      <c r="H1693" s="13" t="n">
        <f aca="false">MIN(G1693,D1693)</f>
        <v>0.89</v>
      </c>
      <c r="I1693" s="13" t="n">
        <f aca="false">IFERROR(MIN(F1693*Eingaben!$B$19,MAX(0,D1693-H1693)),0)</f>
        <v>0</v>
      </c>
      <c r="J1693" s="13" t="n">
        <f aca="false">IFERROR(MIN(Eingaben!$B$18,MAX(0,F1693-I1693)),0)</f>
        <v>1.7442</v>
      </c>
      <c r="K1693" s="13" t="n">
        <f aca="false">H1693+I1693</f>
        <v>0.89</v>
      </c>
      <c r="L1693" s="13" t="n">
        <f aca="false">MAX(0,D1693-K1693)</f>
        <v>0</v>
      </c>
      <c r="M1693" s="13" t="n">
        <f aca="false">MAX(0,F1693-I1693-J1693)</f>
        <v>0</v>
      </c>
      <c r="N1693" s="13" t="n">
        <f aca="false">IF(Kalender!A229="",0,J1692-H1693)</f>
        <v>0.8542</v>
      </c>
    </row>
    <row r="1694" customFormat="false" ht="16.4" hidden="false" customHeight="false" outlineLevel="0" collapsed="false">
      <c r="A1694" s="13" t="str">
        <f aca="false">""</f>
        <v/>
      </c>
      <c r="B1694" s="13" t="n">
        <f aca="false">226</f>
        <v>226</v>
      </c>
      <c r="C1694" s="13" t="n">
        <f aca="false">IF(Szenarien!$H$15="OK",(IFERROR(SUMIF(Nutzungsprofile!$B$6:$B$11,"Schulbetrieb",Nutzungsprofile!$G$6:$G$11)*Kalender!C230/SUM(Kalender!$C$5:$C$370),0)+IFERROR(SUMIF(Nutzungsprofile!$B$6:$B$11,"Halle",Nutzungsprofile!$G$6:$G$11)*Kalender!D230/SUM(Kalender!$D$5:$D$370),0)+IFERROR(SUMIF(Nutzungsprofile!$B$6:$B$11,"Individuell",Nutzungsprofile!$G$6:$G$11)*Kalender!E230/SUM(Kalender!$E$5:$E$370),0))*Szenarien!$E$15,0)</f>
        <v>2.04</v>
      </c>
      <c r="D1694" s="13" t="n">
        <f aca="false">IF(Szenarien!$H$15="OK",(IFERROR(SUMIF(Nutzungsprofile!$B$17:$B$22,"Schulbetrieb",Nutzungsprofile!$G$17:$G$22)*Kalender!C230/SUM(Kalender!$C$5:$C$370),0)+IFERROR(SUMIF(Nutzungsprofile!$B$17:$B$22,"Halle",Nutzungsprofile!$G$17:$G$22)*Kalender!D230/SUM(Kalender!$D$5:$D$370),0)+IFERROR(SUMIF(Nutzungsprofile!$B$17:$B$22,"Individuell",Nutzungsprofile!$G$17:$G$22)*Kalender!E230/SUM(Kalender!$E$5:$E$370),0))*Szenarien!$D$15,0)</f>
        <v>0.89</v>
      </c>
      <c r="E1694" s="13" t="n">
        <f aca="false">IFERROR(MIN(C1694,Eingaben!$B$17)*Eingaben!$B$16,0)</f>
        <v>1.938</v>
      </c>
      <c r="F1694" s="13" t="n">
        <f aca="false">IFERROR(E1694*Eingaben!$B$15,0)</f>
        <v>1.7442</v>
      </c>
      <c r="G1694" s="13" t="n">
        <f aca="false">IFERROR(IF(Kalender!A230="",0,J1693*(1-Eingaben!$B$20)),0)</f>
        <v>1.709316</v>
      </c>
      <c r="H1694" s="13" t="n">
        <f aca="false">MIN(G1694,D1694)</f>
        <v>0.89</v>
      </c>
      <c r="I1694" s="13" t="n">
        <f aca="false">IFERROR(MIN(F1694*Eingaben!$B$19,MAX(0,D1694-H1694)),0)</f>
        <v>0</v>
      </c>
      <c r="J1694" s="13" t="n">
        <f aca="false">IFERROR(MIN(Eingaben!$B$18,MAX(0,F1694-I1694)),0)</f>
        <v>1.7442</v>
      </c>
      <c r="K1694" s="13" t="n">
        <f aca="false">H1694+I1694</f>
        <v>0.89</v>
      </c>
      <c r="L1694" s="13" t="n">
        <f aca="false">MAX(0,D1694-K1694)</f>
        <v>0</v>
      </c>
      <c r="M1694" s="13" t="n">
        <f aca="false">MAX(0,F1694-I1694-J1694)</f>
        <v>0</v>
      </c>
      <c r="N1694" s="13" t="n">
        <f aca="false">IF(Kalender!A230="",0,J1693-H1694)</f>
        <v>0.8542</v>
      </c>
    </row>
    <row r="1695" customFormat="false" ht="16.4" hidden="false" customHeight="false" outlineLevel="0" collapsed="false">
      <c r="A1695" s="13" t="str">
        <f aca="false">""</f>
        <v/>
      </c>
      <c r="B1695" s="13" t="n">
        <f aca="false">227</f>
        <v>227</v>
      </c>
      <c r="C1695" s="13" t="n">
        <f aca="false">IF(Szenarien!$H$15="OK",(IFERROR(SUMIF(Nutzungsprofile!$B$6:$B$11,"Schulbetrieb",Nutzungsprofile!$G$6:$G$11)*Kalender!C231/SUM(Kalender!$C$5:$C$370),0)+IFERROR(SUMIF(Nutzungsprofile!$B$6:$B$11,"Halle",Nutzungsprofile!$G$6:$G$11)*Kalender!D231/SUM(Kalender!$D$5:$D$370),0)+IFERROR(SUMIF(Nutzungsprofile!$B$6:$B$11,"Individuell",Nutzungsprofile!$G$6:$G$11)*Kalender!E231/SUM(Kalender!$E$5:$E$370),0))*Szenarien!$E$15,0)</f>
        <v>2.04</v>
      </c>
      <c r="D1695" s="13" t="n">
        <f aca="false">IF(Szenarien!$H$15="OK",(IFERROR(SUMIF(Nutzungsprofile!$B$17:$B$22,"Schulbetrieb",Nutzungsprofile!$G$17:$G$22)*Kalender!C231/SUM(Kalender!$C$5:$C$370),0)+IFERROR(SUMIF(Nutzungsprofile!$B$17:$B$22,"Halle",Nutzungsprofile!$G$17:$G$22)*Kalender!D231/SUM(Kalender!$D$5:$D$370),0)+IFERROR(SUMIF(Nutzungsprofile!$B$17:$B$22,"Individuell",Nutzungsprofile!$G$17:$G$22)*Kalender!E231/SUM(Kalender!$E$5:$E$370),0))*Szenarien!$D$15,0)</f>
        <v>0.89</v>
      </c>
      <c r="E1695" s="13" t="n">
        <f aca="false">IFERROR(MIN(C1695,Eingaben!$B$17)*Eingaben!$B$16,0)</f>
        <v>1.938</v>
      </c>
      <c r="F1695" s="13" t="n">
        <f aca="false">IFERROR(E1695*Eingaben!$B$15,0)</f>
        <v>1.7442</v>
      </c>
      <c r="G1695" s="13" t="n">
        <f aca="false">IFERROR(IF(Kalender!A231="",0,J1694*(1-Eingaben!$B$20)),0)</f>
        <v>1.709316</v>
      </c>
      <c r="H1695" s="13" t="n">
        <f aca="false">MIN(G1695,D1695)</f>
        <v>0.89</v>
      </c>
      <c r="I1695" s="13" t="n">
        <f aca="false">IFERROR(MIN(F1695*Eingaben!$B$19,MAX(0,D1695-H1695)),0)</f>
        <v>0</v>
      </c>
      <c r="J1695" s="13" t="n">
        <f aca="false">IFERROR(MIN(Eingaben!$B$18,MAX(0,F1695-I1695)),0)</f>
        <v>1.7442</v>
      </c>
      <c r="K1695" s="13" t="n">
        <f aca="false">H1695+I1695</f>
        <v>0.89</v>
      </c>
      <c r="L1695" s="13" t="n">
        <f aca="false">MAX(0,D1695-K1695)</f>
        <v>0</v>
      </c>
      <c r="M1695" s="13" t="n">
        <f aca="false">MAX(0,F1695-I1695-J1695)</f>
        <v>0</v>
      </c>
      <c r="N1695" s="13" t="n">
        <f aca="false">IF(Kalender!A231="",0,J1694-H1695)</f>
        <v>0.8542</v>
      </c>
    </row>
    <row r="1696" customFormat="false" ht="16.4" hidden="false" customHeight="false" outlineLevel="0" collapsed="false">
      <c r="A1696" s="13" t="str">
        <f aca="false">""</f>
        <v/>
      </c>
      <c r="B1696" s="13" t="n">
        <f aca="false">228</f>
        <v>228</v>
      </c>
      <c r="C1696" s="13" t="n">
        <f aca="false">IF(Szenarien!$H$15="OK",(IFERROR(SUMIF(Nutzungsprofile!$B$6:$B$11,"Schulbetrieb",Nutzungsprofile!$G$6:$G$11)*Kalender!C232/SUM(Kalender!$C$5:$C$370),0)+IFERROR(SUMIF(Nutzungsprofile!$B$6:$B$11,"Halle",Nutzungsprofile!$G$6:$G$11)*Kalender!D232/SUM(Kalender!$D$5:$D$370),0)+IFERROR(SUMIF(Nutzungsprofile!$B$6:$B$11,"Individuell",Nutzungsprofile!$G$6:$G$11)*Kalender!E232/SUM(Kalender!$E$5:$E$370),0))*Szenarien!$E$15,0)</f>
        <v>2.04</v>
      </c>
      <c r="D1696" s="13" t="n">
        <f aca="false">IF(Szenarien!$H$15="OK",(IFERROR(SUMIF(Nutzungsprofile!$B$17:$B$22,"Schulbetrieb",Nutzungsprofile!$G$17:$G$22)*Kalender!C232/SUM(Kalender!$C$5:$C$370),0)+IFERROR(SUMIF(Nutzungsprofile!$B$17:$B$22,"Halle",Nutzungsprofile!$G$17:$G$22)*Kalender!D232/SUM(Kalender!$D$5:$D$370),0)+IFERROR(SUMIF(Nutzungsprofile!$B$17:$B$22,"Individuell",Nutzungsprofile!$G$17:$G$22)*Kalender!E232/SUM(Kalender!$E$5:$E$370),0))*Szenarien!$D$15,0)</f>
        <v>0.89</v>
      </c>
      <c r="E1696" s="13" t="n">
        <f aca="false">IFERROR(MIN(C1696,Eingaben!$B$17)*Eingaben!$B$16,0)</f>
        <v>1.938</v>
      </c>
      <c r="F1696" s="13" t="n">
        <f aca="false">IFERROR(E1696*Eingaben!$B$15,0)</f>
        <v>1.7442</v>
      </c>
      <c r="G1696" s="13" t="n">
        <f aca="false">IFERROR(IF(Kalender!A232="",0,J1695*(1-Eingaben!$B$20)),0)</f>
        <v>1.709316</v>
      </c>
      <c r="H1696" s="13" t="n">
        <f aca="false">MIN(G1696,D1696)</f>
        <v>0.89</v>
      </c>
      <c r="I1696" s="13" t="n">
        <f aca="false">IFERROR(MIN(F1696*Eingaben!$B$19,MAX(0,D1696-H1696)),0)</f>
        <v>0</v>
      </c>
      <c r="J1696" s="13" t="n">
        <f aca="false">IFERROR(MIN(Eingaben!$B$18,MAX(0,F1696-I1696)),0)</f>
        <v>1.7442</v>
      </c>
      <c r="K1696" s="13" t="n">
        <f aca="false">H1696+I1696</f>
        <v>0.89</v>
      </c>
      <c r="L1696" s="13" t="n">
        <f aca="false">MAX(0,D1696-K1696)</f>
        <v>0</v>
      </c>
      <c r="M1696" s="13" t="n">
        <f aca="false">MAX(0,F1696-I1696-J1696)</f>
        <v>0</v>
      </c>
      <c r="N1696" s="13" t="n">
        <f aca="false">IF(Kalender!A232="",0,J1695-H1696)</f>
        <v>0.8542</v>
      </c>
    </row>
    <row r="1697" customFormat="false" ht="16.4" hidden="false" customHeight="false" outlineLevel="0" collapsed="false">
      <c r="A1697" s="13" t="str">
        <f aca="false">""</f>
        <v/>
      </c>
      <c r="B1697" s="13" t="n">
        <f aca="false">229</f>
        <v>229</v>
      </c>
      <c r="C1697" s="13" t="n">
        <f aca="false">IF(Szenarien!$H$15="OK",(IFERROR(SUMIF(Nutzungsprofile!$B$6:$B$11,"Schulbetrieb",Nutzungsprofile!$G$6:$G$11)*Kalender!C233/SUM(Kalender!$C$5:$C$370),0)+IFERROR(SUMIF(Nutzungsprofile!$B$6:$B$11,"Halle",Nutzungsprofile!$G$6:$G$11)*Kalender!D233/SUM(Kalender!$D$5:$D$370),0)+IFERROR(SUMIF(Nutzungsprofile!$B$6:$B$11,"Individuell",Nutzungsprofile!$G$6:$G$11)*Kalender!E233/SUM(Kalender!$E$5:$E$370),0))*Szenarien!$E$15,0)</f>
        <v>2.04</v>
      </c>
      <c r="D1697" s="13" t="n">
        <f aca="false">IF(Szenarien!$H$15="OK",(IFERROR(SUMIF(Nutzungsprofile!$B$17:$B$22,"Schulbetrieb",Nutzungsprofile!$G$17:$G$22)*Kalender!C233/SUM(Kalender!$C$5:$C$370),0)+IFERROR(SUMIF(Nutzungsprofile!$B$17:$B$22,"Halle",Nutzungsprofile!$G$17:$G$22)*Kalender!D233/SUM(Kalender!$D$5:$D$370),0)+IFERROR(SUMIF(Nutzungsprofile!$B$17:$B$22,"Individuell",Nutzungsprofile!$G$17:$G$22)*Kalender!E233/SUM(Kalender!$E$5:$E$370),0))*Szenarien!$D$15,0)</f>
        <v>0.89</v>
      </c>
      <c r="E1697" s="13" t="n">
        <f aca="false">IFERROR(MIN(C1697,Eingaben!$B$17)*Eingaben!$B$16,0)</f>
        <v>1.938</v>
      </c>
      <c r="F1697" s="13" t="n">
        <f aca="false">IFERROR(E1697*Eingaben!$B$15,0)</f>
        <v>1.7442</v>
      </c>
      <c r="G1697" s="13" t="n">
        <f aca="false">IFERROR(IF(Kalender!A233="",0,J1696*(1-Eingaben!$B$20)),0)</f>
        <v>1.709316</v>
      </c>
      <c r="H1697" s="13" t="n">
        <f aca="false">MIN(G1697,D1697)</f>
        <v>0.89</v>
      </c>
      <c r="I1697" s="13" t="n">
        <f aca="false">IFERROR(MIN(F1697*Eingaben!$B$19,MAX(0,D1697-H1697)),0)</f>
        <v>0</v>
      </c>
      <c r="J1697" s="13" t="n">
        <f aca="false">IFERROR(MIN(Eingaben!$B$18,MAX(0,F1697-I1697)),0)</f>
        <v>1.7442</v>
      </c>
      <c r="K1697" s="13" t="n">
        <f aca="false">H1697+I1697</f>
        <v>0.89</v>
      </c>
      <c r="L1697" s="13" t="n">
        <f aca="false">MAX(0,D1697-K1697)</f>
        <v>0</v>
      </c>
      <c r="M1697" s="13" t="n">
        <f aca="false">MAX(0,F1697-I1697-J1697)</f>
        <v>0</v>
      </c>
      <c r="N1697" s="13" t="n">
        <f aca="false">IF(Kalender!A233="",0,J1696-H1697)</f>
        <v>0.8542</v>
      </c>
    </row>
    <row r="1698" customFormat="false" ht="16.4" hidden="false" customHeight="false" outlineLevel="0" collapsed="false">
      <c r="A1698" s="13" t="str">
        <f aca="false">""</f>
        <v/>
      </c>
      <c r="B1698" s="13" t="n">
        <f aca="false">230</f>
        <v>230</v>
      </c>
      <c r="C1698" s="13" t="n">
        <f aca="false">IF(Szenarien!$H$15="OK",(IFERROR(SUMIF(Nutzungsprofile!$B$6:$B$11,"Schulbetrieb",Nutzungsprofile!$G$6:$G$11)*Kalender!C234/SUM(Kalender!$C$5:$C$370),0)+IFERROR(SUMIF(Nutzungsprofile!$B$6:$B$11,"Halle",Nutzungsprofile!$G$6:$G$11)*Kalender!D234/SUM(Kalender!$D$5:$D$370),0)+IFERROR(SUMIF(Nutzungsprofile!$B$6:$B$11,"Individuell",Nutzungsprofile!$G$6:$G$11)*Kalender!E234/SUM(Kalender!$E$5:$E$370),0))*Szenarien!$E$15,0)</f>
        <v>2.04</v>
      </c>
      <c r="D1698" s="13" t="n">
        <f aca="false">IF(Szenarien!$H$15="OK",(IFERROR(SUMIF(Nutzungsprofile!$B$17:$B$22,"Schulbetrieb",Nutzungsprofile!$G$17:$G$22)*Kalender!C234/SUM(Kalender!$C$5:$C$370),0)+IFERROR(SUMIF(Nutzungsprofile!$B$17:$B$22,"Halle",Nutzungsprofile!$G$17:$G$22)*Kalender!D234/SUM(Kalender!$D$5:$D$370),0)+IFERROR(SUMIF(Nutzungsprofile!$B$17:$B$22,"Individuell",Nutzungsprofile!$G$17:$G$22)*Kalender!E234/SUM(Kalender!$E$5:$E$370),0))*Szenarien!$D$15,0)</f>
        <v>0.89</v>
      </c>
      <c r="E1698" s="13" t="n">
        <f aca="false">IFERROR(MIN(C1698,Eingaben!$B$17)*Eingaben!$B$16,0)</f>
        <v>1.938</v>
      </c>
      <c r="F1698" s="13" t="n">
        <f aca="false">IFERROR(E1698*Eingaben!$B$15,0)</f>
        <v>1.7442</v>
      </c>
      <c r="G1698" s="13" t="n">
        <f aca="false">IFERROR(IF(Kalender!A234="",0,J1697*(1-Eingaben!$B$20)),0)</f>
        <v>1.709316</v>
      </c>
      <c r="H1698" s="13" t="n">
        <f aca="false">MIN(G1698,D1698)</f>
        <v>0.89</v>
      </c>
      <c r="I1698" s="13" t="n">
        <f aca="false">IFERROR(MIN(F1698*Eingaben!$B$19,MAX(0,D1698-H1698)),0)</f>
        <v>0</v>
      </c>
      <c r="J1698" s="13" t="n">
        <f aca="false">IFERROR(MIN(Eingaben!$B$18,MAX(0,F1698-I1698)),0)</f>
        <v>1.7442</v>
      </c>
      <c r="K1698" s="13" t="n">
        <f aca="false">H1698+I1698</f>
        <v>0.89</v>
      </c>
      <c r="L1698" s="13" t="n">
        <f aca="false">MAX(0,D1698-K1698)</f>
        <v>0</v>
      </c>
      <c r="M1698" s="13" t="n">
        <f aca="false">MAX(0,F1698-I1698-J1698)</f>
        <v>0</v>
      </c>
      <c r="N1698" s="13" t="n">
        <f aca="false">IF(Kalender!A234="",0,J1697-H1698)</f>
        <v>0.8542</v>
      </c>
    </row>
    <row r="1699" customFormat="false" ht="16.4" hidden="false" customHeight="false" outlineLevel="0" collapsed="false">
      <c r="A1699" s="13" t="str">
        <f aca="false">""</f>
        <v/>
      </c>
      <c r="B1699" s="13" t="n">
        <f aca="false">231</f>
        <v>231</v>
      </c>
      <c r="C1699" s="13" t="n">
        <f aca="false">IF(Szenarien!$H$15="OK",(IFERROR(SUMIF(Nutzungsprofile!$B$6:$B$11,"Schulbetrieb",Nutzungsprofile!$G$6:$G$11)*Kalender!C235/SUM(Kalender!$C$5:$C$370),0)+IFERROR(SUMIF(Nutzungsprofile!$B$6:$B$11,"Halle",Nutzungsprofile!$G$6:$G$11)*Kalender!D235/SUM(Kalender!$D$5:$D$370),0)+IFERROR(SUMIF(Nutzungsprofile!$B$6:$B$11,"Individuell",Nutzungsprofile!$G$6:$G$11)*Kalender!E235/SUM(Kalender!$E$5:$E$370),0))*Szenarien!$E$15,0)</f>
        <v>2.04</v>
      </c>
      <c r="D1699" s="13" t="n">
        <f aca="false">IF(Szenarien!$H$15="OK",(IFERROR(SUMIF(Nutzungsprofile!$B$17:$B$22,"Schulbetrieb",Nutzungsprofile!$G$17:$G$22)*Kalender!C235/SUM(Kalender!$C$5:$C$370),0)+IFERROR(SUMIF(Nutzungsprofile!$B$17:$B$22,"Halle",Nutzungsprofile!$G$17:$G$22)*Kalender!D235/SUM(Kalender!$D$5:$D$370),0)+IFERROR(SUMIF(Nutzungsprofile!$B$17:$B$22,"Individuell",Nutzungsprofile!$G$17:$G$22)*Kalender!E235/SUM(Kalender!$E$5:$E$370),0))*Szenarien!$D$15,0)</f>
        <v>0.89</v>
      </c>
      <c r="E1699" s="13" t="n">
        <f aca="false">IFERROR(MIN(C1699,Eingaben!$B$17)*Eingaben!$B$16,0)</f>
        <v>1.938</v>
      </c>
      <c r="F1699" s="13" t="n">
        <f aca="false">IFERROR(E1699*Eingaben!$B$15,0)</f>
        <v>1.7442</v>
      </c>
      <c r="G1699" s="13" t="n">
        <f aca="false">IFERROR(IF(Kalender!A235="",0,J1698*(1-Eingaben!$B$20)),0)</f>
        <v>1.709316</v>
      </c>
      <c r="H1699" s="13" t="n">
        <f aca="false">MIN(G1699,D1699)</f>
        <v>0.89</v>
      </c>
      <c r="I1699" s="13" t="n">
        <f aca="false">IFERROR(MIN(F1699*Eingaben!$B$19,MAX(0,D1699-H1699)),0)</f>
        <v>0</v>
      </c>
      <c r="J1699" s="13" t="n">
        <f aca="false">IFERROR(MIN(Eingaben!$B$18,MAX(0,F1699-I1699)),0)</f>
        <v>1.7442</v>
      </c>
      <c r="K1699" s="13" t="n">
        <f aca="false">H1699+I1699</f>
        <v>0.89</v>
      </c>
      <c r="L1699" s="13" t="n">
        <f aca="false">MAX(0,D1699-K1699)</f>
        <v>0</v>
      </c>
      <c r="M1699" s="13" t="n">
        <f aca="false">MAX(0,F1699-I1699-J1699)</f>
        <v>0</v>
      </c>
      <c r="N1699" s="13" t="n">
        <f aca="false">IF(Kalender!A235="",0,J1698-H1699)</f>
        <v>0.8542</v>
      </c>
    </row>
    <row r="1700" customFormat="false" ht="16.4" hidden="false" customHeight="false" outlineLevel="0" collapsed="false">
      <c r="A1700" s="13" t="str">
        <f aca="false">""</f>
        <v/>
      </c>
      <c r="B1700" s="13" t="n">
        <f aca="false">232</f>
        <v>232</v>
      </c>
      <c r="C1700" s="13" t="n">
        <f aca="false">IF(Szenarien!$H$15="OK",(IFERROR(SUMIF(Nutzungsprofile!$B$6:$B$11,"Schulbetrieb",Nutzungsprofile!$G$6:$G$11)*Kalender!C236/SUM(Kalender!$C$5:$C$370),0)+IFERROR(SUMIF(Nutzungsprofile!$B$6:$B$11,"Halle",Nutzungsprofile!$G$6:$G$11)*Kalender!D236/SUM(Kalender!$D$5:$D$370),0)+IFERROR(SUMIF(Nutzungsprofile!$B$6:$B$11,"Individuell",Nutzungsprofile!$G$6:$G$11)*Kalender!E236/SUM(Kalender!$E$5:$E$370),0))*Szenarien!$E$15,0)</f>
        <v>2.04</v>
      </c>
      <c r="D1700" s="13" t="n">
        <f aca="false">IF(Szenarien!$H$15="OK",(IFERROR(SUMIF(Nutzungsprofile!$B$17:$B$22,"Schulbetrieb",Nutzungsprofile!$G$17:$G$22)*Kalender!C236/SUM(Kalender!$C$5:$C$370),0)+IFERROR(SUMIF(Nutzungsprofile!$B$17:$B$22,"Halle",Nutzungsprofile!$G$17:$G$22)*Kalender!D236/SUM(Kalender!$D$5:$D$370),0)+IFERROR(SUMIF(Nutzungsprofile!$B$17:$B$22,"Individuell",Nutzungsprofile!$G$17:$G$22)*Kalender!E236/SUM(Kalender!$E$5:$E$370),0))*Szenarien!$D$15,0)</f>
        <v>0.89</v>
      </c>
      <c r="E1700" s="13" t="n">
        <f aca="false">IFERROR(MIN(C1700,Eingaben!$B$17)*Eingaben!$B$16,0)</f>
        <v>1.938</v>
      </c>
      <c r="F1700" s="13" t="n">
        <f aca="false">IFERROR(E1700*Eingaben!$B$15,0)</f>
        <v>1.7442</v>
      </c>
      <c r="G1700" s="13" t="n">
        <f aca="false">IFERROR(IF(Kalender!A236="",0,J1699*(1-Eingaben!$B$20)),0)</f>
        <v>1.709316</v>
      </c>
      <c r="H1700" s="13" t="n">
        <f aca="false">MIN(G1700,D1700)</f>
        <v>0.89</v>
      </c>
      <c r="I1700" s="13" t="n">
        <f aca="false">IFERROR(MIN(F1700*Eingaben!$B$19,MAX(0,D1700-H1700)),0)</f>
        <v>0</v>
      </c>
      <c r="J1700" s="13" t="n">
        <f aca="false">IFERROR(MIN(Eingaben!$B$18,MAX(0,F1700-I1700)),0)</f>
        <v>1.7442</v>
      </c>
      <c r="K1700" s="13" t="n">
        <f aca="false">H1700+I1700</f>
        <v>0.89</v>
      </c>
      <c r="L1700" s="13" t="n">
        <f aca="false">MAX(0,D1700-K1700)</f>
        <v>0</v>
      </c>
      <c r="M1700" s="13" t="n">
        <f aca="false">MAX(0,F1700-I1700-J1700)</f>
        <v>0</v>
      </c>
      <c r="N1700" s="13" t="n">
        <f aca="false">IF(Kalender!A236="",0,J1699-H1700)</f>
        <v>0.8542</v>
      </c>
    </row>
    <row r="1701" customFormat="false" ht="16.4" hidden="false" customHeight="false" outlineLevel="0" collapsed="false">
      <c r="A1701" s="13" t="str">
        <f aca="false">""</f>
        <v/>
      </c>
      <c r="B1701" s="13" t="n">
        <f aca="false">233</f>
        <v>233</v>
      </c>
      <c r="C1701" s="13" t="n">
        <f aca="false">IF(Szenarien!$H$15="OK",(IFERROR(SUMIF(Nutzungsprofile!$B$6:$B$11,"Schulbetrieb",Nutzungsprofile!$G$6:$G$11)*Kalender!C237/SUM(Kalender!$C$5:$C$370),0)+IFERROR(SUMIF(Nutzungsprofile!$B$6:$B$11,"Halle",Nutzungsprofile!$G$6:$G$11)*Kalender!D237/SUM(Kalender!$D$5:$D$370),0)+IFERROR(SUMIF(Nutzungsprofile!$B$6:$B$11,"Individuell",Nutzungsprofile!$G$6:$G$11)*Kalender!E237/SUM(Kalender!$E$5:$E$370),0))*Szenarien!$E$15,0)</f>
        <v>2.04</v>
      </c>
      <c r="D1701" s="13" t="n">
        <f aca="false">IF(Szenarien!$H$15="OK",(IFERROR(SUMIF(Nutzungsprofile!$B$17:$B$22,"Schulbetrieb",Nutzungsprofile!$G$17:$G$22)*Kalender!C237/SUM(Kalender!$C$5:$C$370),0)+IFERROR(SUMIF(Nutzungsprofile!$B$17:$B$22,"Halle",Nutzungsprofile!$G$17:$G$22)*Kalender!D237/SUM(Kalender!$D$5:$D$370),0)+IFERROR(SUMIF(Nutzungsprofile!$B$17:$B$22,"Individuell",Nutzungsprofile!$G$17:$G$22)*Kalender!E237/SUM(Kalender!$E$5:$E$370),0))*Szenarien!$D$15,0)</f>
        <v>0.89</v>
      </c>
      <c r="E1701" s="13" t="n">
        <f aca="false">IFERROR(MIN(C1701,Eingaben!$B$17)*Eingaben!$B$16,0)</f>
        <v>1.938</v>
      </c>
      <c r="F1701" s="13" t="n">
        <f aca="false">IFERROR(E1701*Eingaben!$B$15,0)</f>
        <v>1.7442</v>
      </c>
      <c r="G1701" s="13" t="n">
        <f aca="false">IFERROR(IF(Kalender!A237="",0,J1700*(1-Eingaben!$B$20)),0)</f>
        <v>1.709316</v>
      </c>
      <c r="H1701" s="13" t="n">
        <f aca="false">MIN(G1701,D1701)</f>
        <v>0.89</v>
      </c>
      <c r="I1701" s="13" t="n">
        <f aca="false">IFERROR(MIN(F1701*Eingaben!$B$19,MAX(0,D1701-H1701)),0)</f>
        <v>0</v>
      </c>
      <c r="J1701" s="13" t="n">
        <f aca="false">IFERROR(MIN(Eingaben!$B$18,MAX(0,F1701-I1701)),0)</f>
        <v>1.7442</v>
      </c>
      <c r="K1701" s="13" t="n">
        <f aca="false">H1701+I1701</f>
        <v>0.89</v>
      </c>
      <c r="L1701" s="13" t="n">
        <f aca="false">MAX(0,D1701-K1701)</f>
        <v>0</v>
      </c>
      <c r="M1701" s="13" t="n">
        <f aca="false">MAX(0,F1701-I1701-J1701)</f>
        <v>0</v>
      </c>
      <c r="N1701" s="13" t="n">
        <f aca="false">IF(Kalender!A237="",0,J1700-H1701)</f>
        <v>0.8542</v>
      </c>
    </row>
    <row r="1702" customFormat="false" ht="16.4" hidden="false" customHeight="false" outlineLevel="0" collapsed="false">
      <c r="A1702" s="13" t="str">
        <f aca="false">""</f>
        <v/>
      </c>
      <c r="B1702" s="13" t="n">
        <f aca="false">234</f>
        <v>234</v>
      </c>
      <c r="C1702" s="13" t="n">
        <f aca="false">IF(Szenarien!$H$15="OK",(IFERROR(SUMIF(Nutzungsprofile!$B$6:$B$11,"Schulbetrieb",Nutzungsprofile!$G$6:$G$11)*Kalender!C238/SUM(Kalender!$C$5:$C$370),0)+IFERROR(SUMIF(Nutzungsprofile!$B$6:$B$11,"Halle",Nutzungsprofile!$G$6:$G$11)*Kalender!D238/SUM(Kalender!$D$5:$D$370),0)+IFERROR(SUMIF(Nutzungsprofile!$B$6:$B$11,"Individuell",Nutzungsprofile!$G$6:$G$11)*Kalender!E238/SUM(Kalender!$E$5:$E$370),0))*Szenarien!$E$15,0)</f>
        <v>2.04</v>
      </c>
      <c r="D1702" s="13" t="n">
        <f aca="false">IF(Szenarien!$H$15="OK",(IFERROR(SUMIF(Nutzungsprofile!$B$17:$B$22,"Schulbetrieb",Nutzungsprofile!$G$17:$G$22)*Kalender!C238/SUM(Kalender!$C$5:$C$370),0)+IFERROR(SUMIF(Nutzungsprofile!$B$17:$B$22,"Halle",Nutzungsprofile!$G$17:$G$22)*Kalender!D238/SUM(Kalender!$D$5:$D$370),0)+IFERROR(SUMIF(Nutzungsprofile!$B$17:$B$22,"Individuell",Nutzungsprofile!$G$17:$G$22)*Kalender!E238/SUM(Kalender!$E$5:$E$370),0))*Szenarien!$D$15,0)</f>
        <v>0.89</v>
      </c>
      <c r="E1702" s="13" t="n">
        <f aca="false">IFERROR(MIN(C1702,Eingaben!$B$17)*Eingaben!$B$16,0)</f>
        <v>1.938</v>
      </c>
      <c r="F1702" s="13" t="n">
        <f aca="false">IFERROR(E1702*Eingaben!$B$15,0)</f>
        <v>1.7442</v>
      </c>
      <c r="G1702" s="13" t="n">
        <f aca="false">IFERROR(IF(Kalender!A238="",0,J1701*(1-Eingaben!$B$20)),0)</f>
        <v>1.709316</v>
      </c>
      <c r="H1702" s="13" t="n">
        <f aca="false">MIN(G1702,D1702)</f>
        <v>0.89</v>
      </c>
      <c r="I1702" s="13" t="n">
        <f aca="false">IFERROR(MIN(F1702*Eingaben!$B$19,MAX(0,D1702-H1702)),0)</f>
        <v>0</v>
      </c>
      <c r="J1702" s="13" t="n">
        <f aca="false">IFERROR(MIN(Eingaben!$B$18,MAX(0,F1702-I1702)),0)</f>
        <v>1.7442</v>
      </c>
      <c r="K1702" s="13" t="n">
        <f aca="false">H1702+I1702</f>
        <v>0.89</v>
      </c>
      <c r="L1702" s="13" t="n">
        <f aca="false">MAX(0,D1702-K1702)</f>
        <v>0</v>
      </c>
      <c r="M1702" s="13" t="n">
        <f aca="false">MAX(0,F1702-I1702-J1702)</f>
        <v>0</v>
      </c>
      <c r="N1702" s="13" t="n">
        <f aca="false">IF(Kalender!A238="",0,J1701-H1702)</f>
        <v>0.8542</v>
      </c>
    </row>
    <row r="1703" customFormat="false" ht="16.4" hidden="false" customHeight="false" outlineLevel="0" collapsed="false">
      <c r="A1703" s="13" t="str">
        <f aca="false">""</f>
        <v/>
      </c>
      <c r="B1703" s="13" t="n">
        <f aca="false">235</f>
        <v>235</v>
      </c>
      <c r="C1703" s="13" t="n">
        <f aca="false">IF(Szenarien!$H$15="OK",(IFERROR(SUMIF(Nutzungsprofile!$B$6:$B$11,"Schulbetrieb",Nutzungsprofile!$G$6:$G$11)*Kalender!C239/SUM(Kalender!$C$5:$C$370),0)+IFERROR(SUMIF(Nutzungsprofile!$B$6:$B$11,"Halle",Nutzungsprofile!$G$6:$G$11)*Kalender!D239/SUM(Kalender!$D$5:$D$370),0)+IFERROR(SUMIF(Nutzungsprofile!$B$6:$B$11,"Individuell",Nutzungsprofile!$G$6:$G$11)*Kalender!E239/SUM(Kalender!$E$5:$E$370),0))*Szenarien!$E$15,0)</f>
        <v>2.04</v>
      </c>
      <c r="D1703" s="13" t="n">
        <f aca="false">IF(Szenarien!$H$15="OK",(IFERROR(SUMIF(Nutzungsprofile!$B$17:$B$22,"Schulbetrieb",Nutzungsprofile!$G$17:$G$22)*Kalender!C239/SUM(Kalender!$C$5:$C$370),0)+IFERROR(SUMIF(Nutzungsprofile!$B$17:$B$22,"Halle",Nutzungsprofile!$G$17:$G$22)*Kalender!D239/SUM(Kalender!$D$5:$D$370),0)+IFERROR(SUMIF(Nutzungsprofile!$B$17:$B$22,"Individuell",Nutzungsprofile!$G$17:$G$22)*Kalender!E239/SUM(Kalender!$E$5:$E$370),0))*Szenarien!$D$15,0)</f>
        <v>0.89</v>
      </c>
      <c r="E1703" s="13" t="n">
        <f aca="false">IFERROR(MIN(C1703,Eingaben!$B$17)*Eingaben!$B$16,0)</f>
        <v>1.938</v>
      </c>
      <c r="F1703" s="13" t="n">
        <f aca="false">IFERROR(E1703*Eingaben!$B$15,0)</f>
        <v>1.7442</v>
      </c>
      <c r="G1703" s="13" t="n">
        <f aca="false">IFERROR(IF(Kalender!A239="",0,J1702*(1-Eingaben!$B$20)),0)</f>
        <v>1.709316</v>
      </c>
      <c r="H1703" s="13" t="n">
        <f aca="false">MIN(G1703,D1703)</f>
        <v>0.89</v>
      </c>
      <c r="I1703" s="13" t="n">
        <f aca="false">IFERROR(MIN(F1703*Eingaben!$B$19,MAX(0,D1703-H1703)),0)</f>
        <v>0</v>
      </c>
      <c r="J1703" s="13" t="n">
        <f aca="false">IFERROR(MIN(Eingaben!$B$18,MAX(0,F1703-I1703)),0)</f>
        <v>1.7442</v>
      </c>
      <c r="K1703" s="13" t="n">
        <f aca="false">H1703+I1703</f>
        <v>0.89</v>
      </c>
      <c r="L1703" s="13" t="n">
        <f aca="false">MAX(0,D1703-K1703)</f>
        <v>0</v>
      </c>
      <c r="M1703" s="13" t="n">
        <f aca="false">MAX(0,F1703-I1703-J1703)</f>
        <v>0</v>
      </c>
      <c r="N1703" s="13" t="n">
        <f aca="false">IF(Kalender!A239="",0,J1702-H1703)</f>
        <v>0.8542</v>
      </c>
    </row>
    <row r="1704" customFormat="false" ht="16.4" hidden="false" customHeight="false" outlineLevel="0" collapsed="false">
      <c r="A1704" s="13" t="str">
        <f aca="false">""</f>
        <v/>
      </c>
      <c r="B1704" s="13" t="n">
        <f aca="false">236</f>
        <v>236</v>
      </c>
      <c r="C1704" s="13" t="n">
        <f aca="false">IF(Szenarien!$H$15="OK",(IFERROR(SUMIF(Nutzungsprofile!$B$6:$B$11,"Schulbetrieb",Nutzungsprofile!$G$6:$G$11)*Kalender!C240/SUM(Kalender!$C$5:$C$370),0)+IFERROR(SUMIF(Nutzungsprofile!$B$6:$B$11,"Halle",Nutzungsprofile!$G$6:$G$11)*Kalender!D240/SUM(Kalender!$D$5:$D$370),0)+IFERROR(SUMIF(Nutzungsprofile!$B$6:$B$11,"Individuell",Nutzungsprofile!$G$6:$G$11)*Kalender!E240/SUM(Kalender!$E$5:$E$370),0))*Szenarien!$E$15,0)</f>
        <v>2.04</v>
      </c>
      <c r="D1704" s="13" t="n">
        <f aca="false">IF(Szenarien!$H$15="OK",(IFERROR(SUMIF(Nutzungsprofile!$B$17:$B$22,"Schulbetrieb",Nutzungsprofile!$G$17:$G$22)*Kalender!C240/SUM(Kalender!$C$5:$C$370),0)+IFERROR(SUMIF(Nutzungsprofile!$B$17:$B$22,"Halle",Nutzungsprofile!$G$17:$G$22)*Kalender!D240/SUM(Kalender!$D$5:$D$370),0)+IFERROR(SUMIF(Nutzungsprofile!$B$17:$B$22,"Individuell",Nutzungsprofile!$G$17:$G$22)*Kalender!E240/SUM(Kalender!$E$5:$E$370),0))*Szenarien!$D$15,0)</f>
        <v>0.89</v>
      </c>
      <c r="E1704" s="13" t="n">
        <f aca="false">IFERROR(MIN(C1704,Eingaben!$B$17)*Eingaben!$B$16,0)</f>
        <v>1.938</v>
      </c>
      <c r="F1704" s="13" t="n">
        <f aca="false">IFERROR(E1704*Eingaben!$B$15,0)</f>
        <v>1.7442</v>
      </c>
      <c r="G1704" s="13" t="n">
        <f aca="false">IFERROR(IF(Kalender!A240="",0,J1703*(1-Eingaben!$B$20)),0)</f>
        <v>1.709316</v>
      </c>
      <c r="H1704" s="13" t="n">
        <f aca="false">MIN(G1704,D1704)</f>
        <v>0.89</v>
      </c>
      <c r="I1704" s="13" t="n">
        <f aca="false">IFERROR(MIN(F1704*Eingaben!$B$19,MAX(0,D1704-H1704)),0)</f>
        <v>0</v>
      </c>
      <c r="J1704" s="13" t="n">
        <f aca="false">IFERROR(MIN(Eingaben!$B$18,MAX(0,F1704-I1704)),0)</f>
        <v>1.7442</v>
      </c>
      <c r="K1704" s="13" t="n">
        <f aca="false">H1704+I1704</f>
        <v>0.89</v>
      </c>
      <c r="L1704" s="13" t="n">
        <f aca="false">MAX(0,D1704-K1704)</f>
        <v>0</v>
      </c>
      <c r="M1704" s="13" t="n">
        <f aca="false">MAX(0,F1704-I1704-J1704)</f>
        <v>0</v>
      </c>
      <c r="N1704" s="13" t="n">
        <f aca="false">IF(Kalender!A240="",0,J1703-H1704)</f>
        <v>0.8542</v>
      </c>
    </row>
    <row r="1705" customFormat="false" ht="16.4" hidden="false" customHeight="false" outlineLevel="0" collapsed="false">
      <c r="A1705" s="13" t="str">
        <f aca="false">""</f>
        <v/>
      </c>
      <c r="B1705" s="13" t="n">
        <f aca="false">237</f>
        <v>237</v>
      </c>
      <c r="C1705" s="13" t="n">
        <f aca="false">IF(Szenarien!$H$15="OK",(IFERROR(SUMIF(Nutzungsprofile!$B$6:$B$11,"Schulbetrieb",Nutzungsprofile!$G$6:$G$11)*Kalender!C241/SUM(Kalender!$C$5:$C$370),0)+IFERROR(SUMIF(Nutzungsprofile!$B$6:$B$11,"Halle",Nutzungsprofile!$G$6:$G$11)*Kalender!D241/SUM(Kalender!$D$5:$D$370),0)+IFERROR(SUMIF(Nutzungsprofile!$B$6:$B$11,"Individuell",Nutzungsprofile!$G$6:$G$11)*Kalender!E241/SUM(Kalender!$E$5:$E$370),0))*Szenarien!$E$15,0)</f>
        <v>2.04</v>
      </c>
      <c r="D1705" s="13" t="n">
        <f aca="false">IF(Szenarien!$H$15="OK",(IFERROR(SUMIF(Nutzungsprofile!$B$17:$B$22,"Schulbetrieb",Nutzungsprofile!$G$17:$G$22)*Kalender!C241/SUM(Kalender!$C$5:$C$370),0)+IFERROR(SUMIF(Nutzungsprofile!$B$17:$B$22,"Halle",Nutzungsprofile!$G$17:$G$22)*Kalender!D241/SUM(Kalender!$D$5:$D$370),0)+IFERROR(SUMIF(Nutzungsprofile!$B$17:$B$22,"Individuell",Nutzungsprofile!$G$17:$G$22)*Kalender!E241/SUM(Kalender!$E$5:$E$370),0))*Szenarien!$D$15,0)</f>
        <v>0.89</v>
      </c>
      <c r="E1705" s="13" t="n">
        <f aca="false">IFERROR(MIN(C1705,Eingaben!$B$17)*Eingaben!$B$16,0)</f>
        <v>1.938</v>
      </c>
      <c r="F1705" s="13" t="n">
        <f aca="false">IFERROR(E1705*Eingaben!$B$15,0)</f>
        <v>1.7442</v>
      </c>
      <c r="G1705" s="13" t="n">
        <f aca="false">IFERROR(IF(Kalender!A241="",0,J1704*(1-Eingaben!$B$20)),0)</f>
        <v>1.709316</v>
      </c>
      <c r="H1705" s="13" t="n">
        <f aca="false">MIN(G1705,D1705)</f>
        <v>0.89</v>
      </c>
      <c r="I1705" s="13" t="n">
        <f aca="false">IFERROR(MIN(F1705*Eingaben!$B$19,MAX(0,D1705-H1705)),0)</f>
        <v>0</v>
      </c>
      <c r="J1705" s="13" t="n">
        <f aca="false">IFERROR(MIN(Eingaben!$B$18,MAX(0,F1705-I1705)),0)</f>
        <v>1.7442</v>
      </c>
      <c r="K1705" s="13" t="n">
        <f aca="false">H1705+I1705</f>
        <v>0.89</v>
      </c>
      <c r="L1705" s="13" t="n">
        <f aca="false">MAX(0,D1705-K1705)</f>
        <v>0</v>
      </c>
      <c r="M1705" s="13" t="n">
        <f aca="false">MAX(0,F1705-I1705-J1705)</f>
        <v>0</v>
      </c>
      <c r="N1705" s="13" t="n">
        <f aca="false">IF(Kalender!A241="",0,J1704-H1705)</f>
        <v>0.8542</v>
      </c>
    </row>
    <row r="1706" customFormat="false" ht="16.4" hidden="false" customHeight="false" outlineLevel="0" collapsed="false">
      <c r="A1706" s="13" t="str">
        <f aca="false">""</f>
        <v/>
      </c>
      <c r="B1706" s="13" t="n">
        <f aca="false">238</f>
        <v>238</v>
      </c>
      <c r="C1706" s="13" t="n">
        <f aca="false">IF(Szenarien!$H$15="OK",(IFERROR(SUMIF(Nutzungsprofile!$B$6:$B$11,"Schulbetrieb",Nutzungsprofile!$G$6:$G$11)*Kalender!C242/SUM(Kalender!$C$5:$C$370),0)+IFERROR(SUMIF(Nutzungsprofile!$B$6:$B$11,"Halle",Nutzungsprofile!$G$6:$G$11)*Kalender!D242/SUM(Kalender!$D$5:$D$370),0)+IFERROR(SUMIF(Nutzungsprofile!$B$6:$B$11,"Individuell",Nutzungsprofile!$G$6:$G$11)*Kalender!E242/SUM(Kalender!$E$5:$E$370),0))*Szenarien!$E$15,0)</f>
        <v>2.04</v>
      </c>
      <c r="D1706" s="13" t="n">
        <f aca="false">IF(Szenarien!$H$15="OK",(IFERROR(SUMIF(Nutzungsprofile!$B$17:$B$22,"Schulbetrieb",Nutzungsprofile!$G$17:$G$22)*Kalender!C242/SUM(Kalender!$C$5:$C$370),0)+IFERROR(SUMIF(Nutzungsprofile!$B$17:$B$22,"Halle",Nutzungsprofile!$G$17:$G$22)*Kalender!D242/SUM(Kalender!$D$5:$D$370),0)+IFERROR(SUMIF(Nutzungsprofile!$B$17:$B$22,"Individuell",Nutzungsprofile!$G$17:$G$22)*Kalender!E242/SUM(Kalender!$E$5:$E$370),0))*Szenarien!$D$15,0)</f>
        <v>0.89</v>
      </c>
      <c r="E1706" s="13" t="n">
        <f aca="false">IFERROR(MIN(C1706,Eingaben!$B$17)*Eingaben!$B$16,0)</f>
        <v>1.938</v>
      </c>
      <c r="F1706" s="13" t="n">
        <f aca="false">IFERROR(E1706*Eingaben!$B$15,0)</f>
        <v>1.7442</v>
      </c>
      <c r="G1706" s="13" t="n">
        <f aca="false">IFERROR(IF(Kalender!A242="",0,J1705*(1-Eingaben!$B$20)),0)</f>
        <v>1.709316</v>
      </c>
      <c r="H1706" s="13" t="n">
        <f aca="false">MIN(G1706,D1706)</f>
        <v>0.89</v>
      </c>
      <c r="I1706" s="13" t="n">
        <f aca="false">IFERROR(MIN(F1706*Eingaben!$B$19,MAX(0,D1706-H1706)),0)</f>
        <v>0</v>
      </c>
      <c r="J1706" s="13" t="n">
        <f aca="false">IFERROR(MIN(Eingaben!$B$18,MAX(0,F1706-I1706)),0)</f>
        <v>1.7442</v>
      </c>
      <c r="K1706" s="13" t="n">
        <f aca="false">H1706+I1706</f>
        <v>0.89</v>
      </c>
      <c r="L1706" s="13" t="n">
        <f aca="false">MAX(0,D1706-K1706)</f>
        <v>0</v>
      </c>
      <c r="M1706" s="13" t="n">
        <f aca="false">MAX(0,F1706-I1706-J1706)</f>
        <v>0</v>
      </c>
      <c r="N1706" s="13" t="n">
        <f aca="false">IF(Kalender!A242="",0,J1705-H1706)</f>
        <v>0.8542</v>
      </c>
    </row>
    <row r="1707" customFormat="false" ht="16.4" hidden="false" customHeight="false" outlineLevel="0" collapsed="false">
      <c r="A1707" s="13" t="str">
        <f aca="false">""</f>
        <v/>
      </c>
      <c r="B1707" s="13" t="n">
        <f aca="false">239</f>
        <v>239</v>
      </c>
      <c r="C1707" s="13" t="n">
        <f aca="false">IF(Szenarien!$H$15="OK",(IFERROR(SUMIF(Nutzungsprofile!$B$6:$B$11,"Schulbetrieb",Nutzungsprofile!$G$6:$G$11)*Kalender!C243/SUM(Kalender!$C$5:$C$370),0)+IFERROR(SUMIF(Nutzungsprofile!$B$6:$B$11,"Halle",Nutzungsprofile!$G$6:$G$11)*Kalender!D243/SUM(Kalender!$D$5:$D$370),0)+IFERROR(SUMIF(Nutzungsprofile!$B$6:$B$11,"Individuell",Nutzungsprofile!$G$6:$G$11)*Kalender!E243/SUM(Kalender!$E$5:$E$370),0))*Szenarien!$E$15,0)</f>
        <v>2.04</v>
      </c>
      <c r="D1707" s="13" t="n">
        <f aca="false">IF(Szenarien!$H$15="OK",(IFERROR(SUMIF(Nutzungsprofile!$B$17:$B$22,"Schulbetrieb",Nutzungsprofile!$G$17:$G$22)*Kalender!C243/SUM(Kalender!$C$5:$C$370),0)+IFERROR(SUMIF(Nutzungsprofile!$B$17:$B$22,"Halle",Nutzungsprofile!$G$17:$G$22)*Kalender!D243/SUM(Kalender!$D$5:$D$370),0)+IFERROR(SUMIF(Nutzungsprofile!$B$17:$B$22,"Individuell",Nutzungsprofile!$G$17:$G$22)*Kalender!E243/SUM(Kalender!$E$5:$E$370),0))*Szenarien!$D$15,0)</f>
        <v>0.89</v>
      </c>
      <c r="E1707" s="13" t="n">
        <f aca="false">IFERROR(MIN(C1707,Eingaben!$B$17)*Eingaben!$B$16,0)</f>
        <v>1.938</v>
      </c>
      <c r="F1707" s="13" t="n">
        <f aca="false">IFERROR(E1707*Eingaben!$B$15,0)</f>
        <v>1.7442</v>
      </c>
      <c r="G1707" s="13" t="n">
        <f aca="false">IFERROR(IF(Kalender!A243="",0,J1706*(1-Eingaben!$B$20)),0)</f>
        <v>1.709316</v>
      </c>
      <c r="H1707" s="13" t="n">
        <f aca="false">MIN(G1707,D1707)</f>
        <v>0.89</v>
      </c>
      <c r="I1707" s="13" t="n">
        <f aca="false">IFERROR(MIN(F1707*Eingaben!$B$19,MAX(0,D1707-H1707)),0)</f>
        <v>0</v>
      </c>
      <c r="J1707" s="13" t="n">
        <f aca="false">IFERROR(MIN(Eingaben!$B$18,MAX(0,F1707-I1707)),0)</f>
        <v>1.7442</v>
      </c>
      <c r="K1707" s="13" t="n">
        <f aca="false">H1707+I1707</f>
        <v>0.89</v>
      </c>
      <c r="L1707" s="13" t="n">
        <f aca="false">MAX(0,D1707-K1707)</f>
        <v>0</v>
      </c>
      <c r="M1707" s="13" t="n">
        <f aca="false">MAX(0,F1707-I1707-J1707)</f>
        <v>0</v>
      </c>
      <c r="N1707" s="13" t="n">
        <f aca="false">IF(Kalender!A243="",0,J1706-H1707)</f>
        <v>0.8542</v>
      </c>
    </row>
    <row r="1708" customFormat="false" ht="16.4" hidden="false" customHeight="false" outlineLevel="0" collapsed="false">
      <c r="A1708" s="13" t="str">
        <f aca="false">""</f>
        <v/>
      </c>
      <c r="B1708" s="13" t="n">
        <f aca="false">240</f>
        <v>240</v>
      </c>
      <c r="C1708" s="13" t="n">
        <f aca="false">IF(Szenarien!$H$15="OK",(IFERROR(SUMIF(Nutzungsprofile!$B$6:$B$11,"Schulbetrieb",Nutzungsprofile!$G$6:$G$11)*Kalender!C244/SUM(Kalender!$C$5:$C$370),0)+IFERROR(SUMIF(Nutzungsprofile!$B$6:$B$11,"Halle",Nutzungsprofile!$G$6:$G$11)*Kalender!D244/SUM(Kalender!$D$5:$D$370),0)+IFERROR(SUMIF(Nutzungsprofile!$B$6:$B$11,"Individuell",Nutzungsprofile!$G$6:$G$11)*Kalender!E244/SUM(Kalender!$E$5:$E$370),0))*Szenarien!$E$15,0)</f>
        <v>2.04</v>
      </c>
      <c r="D1708" s="13" t="n">
        <f aca="false">IF(Szenarien!$H$15="OK",(IFERROR(SUMIF(Nutzungsprofile!$B$17:$B$22,"Schulbetrieb",Nutzungsprofile!$G$17:$G$22)*Kalender!C244/SUM(Kalender!$C$5:$C$370),0)+IFERROR(SUMIF(Nutzungsprofile!$B$17:$B$22,"Halle",Nutzungsprofile!$G$17:$G$22)*Kalender!D244/SUM(Kalender!$D$5:$D$370),0)+IFERROR(SUMIF(Nutzungsprofile!$B$17:$B$22,"Individuell",Nutzungsprofile!$G$17:$G$22)*Kalender!E244/SUM(Kalender!$E$5:$E$370),0))*Szenarien!$D$15,0)</f>
        <v>0.89</v>
      </c>
      <c r="E1708" s="13" t="n">
        <f aca="false">IFERROR(MIN(C1708,Eingaben!$B$17)*Eingaben!$B$16,0)</f>
        <v>1.938</v>
      </c>
      <c r="F1708" s="13" t="n">
        <f aca="false">IFERROR(E1708*Eingaben!$B$15,0)</f>
        <v>1.7442</v>
      </c>
      <c r="G1708" s="13" t="n">
        <f aca="false">IFERROR(IF(Kalender!A244="",0,J1707*(1-Eingaben!$B$20)),0)</f>
        <v>1.709316</v>
      </c>
      <c r="H1708" s="13" t="n">
        <f aca="false">MIN(G1708,D1708)</f>
        <v>0.89</v>
      </c>
      <c r="I1708" s="13" t="n">
        <f aca="false">IFERROR(MIN(F1708*Eingaben!$B$19,MAX(0,D1708-H1708)),0)</f>
        <v>0</v>
      </c>
      <c r="J1708" s="13" t="n">
        <f aca="false">IFERROR(MIN(Eingaben!$B$18,MAX(0,F1708-I1708)),0)</f>
        <v>1.7442</v>
      </c>
      <c r="K1708" s="13" t="n">
        <f aca="false">H1708+I1708</f>
        <v>0.89</v>
      </c>
      <c r="L1708" s="13" t="n">
        <f aca="false">MAX(0,D1708-K1708)</f>
        <v>0</v>
      </c>
      <c r="M1708" s="13" t="n">
        <f aca="false">MAX(0,F1708-I1708-J1708)</f>
        <v>0</v>
      </c>
      <c r="N1708" s="13" t="n">
        <f aca="false">IF(Kalender!A244="",0,J1707-H1708)</f>
        <v>0.8542</v>
      </c>
    </row>
    <row r="1709" customFormat="false" ht="16.4" hidden="false" customHeight="false" outlineLevel="0" collapsed="false">
      <c r="A1709" s="13" t="str">
        <f aca="false">""</f>
        <v/>
      </c>
      <c r="B1709" s="13" t="n">
        <f aca="false">241</f>
        <v>241</v>
      </c>
      <c r="C1709" s="13" t="n">
        <f aca="false">IF(Szenarien!$H$15="OK",(IFERROR(SUMIF(Nutzungsprofile!$B$6:$B$11,"Schulbetrieb",Nutzungsprofile!$G$6:$G$11)*Kalender!C245/SUM(Kalender!$C$5:$C$370),0)+IFERROR(SUMIF(Nutzungsprofile!$B$6:$B$11,"Halle",Nutzungsprofile!$G$6:$G$11)*Kalender!D245/SUM(Kalender!$D$5:$D$370),0)+IFERROR(SUMIF(Nutzungsprofile!$B$6:$B$11,"Individuell",Nutzungsprofile!$G$6:$G$11)*Kalender!E245/SUM(Kalender!$E$5:$E$370),0))*Szenarien!$E$15,0)</f>
        <v>2.04</v>
      </c>
      <c r="D1709" s="13" t="n">
        <f aca="false">IF(Szenarien!$H$15="OK",(IFERROR(SUMIF(Nutzungsprofile!$B$17:$B$22,"Schulbetrieb",Nutzungsprofile!$G$17:$G$22)*Kalender!C245/SUM(Kalender!$C$5:$C$370),0)+IFERROR(SUMIF(Nutzungsprofile!$B$17:$B$22,"Halle",Nutzungsprofile!$G$17:$G$22)*Kalender!D245/SUM(Kalender!$D$5:$D$370),0)+IFERROR(SUMIF(Nutzungsprofile!$B$17:$B$22,"Individuell",Nutzungsprofile!$G$17:$G$22)*Kalender!E245/SUM(Kalender!$E$5:$E$370),0))*Szenarien!$D$15,0)</f>
        <v>0.89</v>
      </c>
      <c r="E1709" s="13" t="n">
        <f aca="false">IFERROR(MIN(C1709,Eingaben!$B$17)*Eingaben!$B$16,0)</f>
        <v>1.938</v>
      </c>
      <c r="F1709" s="13" t="n">
        <f aca="false">IFERROR(E1709*Eingaben!$B$15,0)</f>
        <v>1.7442</v>
      </c>
      <c r="G1709" s="13" t="n">
        <f aca="false">IFERROR(IF(Kalender!A245="",0,J1708*(1-Eingaben!$B$20)),0)</f>
        <v>1.709316</v>
      </c>
      <c r="H1709" s="13" t="n">
        <f aca="false">MIN(G1709,D1709)</f>
        <v>0.89</v>
      </c>
      <c r="I1709" s="13" t="n">
        <f aca="false">IFERROR(MIN(F1709*Eingaben!$B$19,MAX(0,D1709-H1709)),0)</f>
        <v>0</v>
      </c>
      <c r="J1709" s="13" t="n">
        <f aca="false">IFERROR(MIN(Eingaben!$B$18,MAX(0,F1709-I1709)),0)</f>
        <v>1.7442</v>
      </c>
      <c r="K1709" s="13" t="n">
        <f aca="false">H1709+I1709</f>
        <v>0.89</v>
      </c>
      <c r="L1709" s="13" t="n">
        <f aca="false">MAX(0,D1709-K1709)</f>
        <v>0</v>
      </c>
      <c r="M1709" s="13" t="n">
        <f aca="false">MAX(0,F1709-I1709-J1709)</f>
        <v>0</v>
      </c>
      <c r="N1709" s="13" t="n">
        <f aca="false">IF(Kalender!A245="",0,J1708-H1709)</f>
        <v>0.8542</v>
      </c>
    </row>
    <row r="1710" customFormat="false" ht="16.4" hidden="false" customHeight="false" outlineLevel="0" collapsed="false">
      <c r="A1710" s="13" t="str">
        <f aca="false">""</f>
        <v/>
      </c>
      <c r="B1710" s="13" t="n">
        <f aca="false">242</f>
        <v>242</v>
      </c>
      <c r="C1710" s="13" t="n">
        <f aca="false">IF(Szenarien!$H$15="OK",(IFERROR(SUMIF(Nutzungsprofile!$B$6:$B$11,"Schulbetrieb",Nutzungsprofile!$G$6:$G$11)*Kalender!C246/SUM(Kalender!$C$5:$C$370),0)+IFERROR(SUMIF(Nutzungsprofile!$B$6:$B$11,"Halle",Nutzungsprofile!$G$6:$G$11)*Kalender!D246/SUM(Kalender!$D$5:$D$370),0)+IFERROR(SUMIF(Nutzungsprofile!$B$6:$B$11,"Individuell",Nutzungsprofile!$G$6:$G$11)*Kalender!E246/SUM(Kalender!$E$5:$E$370),0))*Szenarien!$E$15,0)</f>
        <v>2.04</v>
      </c>
      <c r="D1710" s="13" t="n">
        <f aca="false">IF(Szenarien!$H$15="OK",(IFERROR(SUMIF(Nutzungsprofile!$B$17:$B$22,"Schulbetrieb",Nutzungsprofile!$G$17:$G$22)*Kalender!C246/SUM(Kalender!$C$5:$C$370),0)+IFERROR(SUMIF(Nutzungsprofile!$B$17:$B$22,"Halle",Nutzungsprofile!$G$17:$G$22)*Kalender!D246/SUM(Kalender!$D$5:$D$370),0)+IFERROR(SUMIF(Nutzungsprofile!$B$17:$B$22,"Individuell",Nutzungsprofile!$G$17:$G$22)*Kalender!E246/SUM(Kalender!$E$5:$E$370),0))*Szenarien!$D$15,0)</f>
        <v>0.89</v>
      </c>
      <c r="E1710" s="13" t="n">
        <f aca="false">IFERROR(MIN(C1710,Eingaben!$B$17)*Eingaben!$B$16,0)</f>
        <v>1.938</v>
      </c>
      <c r="F1710" s="13" t="n">
        <f aca="false">IFERROR(E1710*Eingaben!$B$15,0)</f>
        <v>1.7442</v>
      </c>
      <c r="G1710" s="13" t="n">
        <f aca="false">IFERROR(IF(Kalender!A246="",0,J1709*(1-Eingaben!$B$20)),0)</f>
        <v>1.709316</v>
      </c>
      <c r="H1710" s="13" t="n">
        <f aca="false">MIN(G1710,D1710)</f>
        <v>0.89</v>
      </c>
      <c r="I1710" s="13" t="n">
        <f aca="false">IFERROR(MIN(F1710*Eingaben!$B$19,MAX(0,D1710-H1710)),0)</f>
        <v>0</v>
      </c>
      <c r="J1710" s="13" t="n">
        <f aca="false">IFERROR(MIN(Eingaben!$B$18,MAX(0,F1710-I1710)),0)</f>
        <v>1.7442</v>
      </c>
      <c r="K1710" s="13" t="n">
        <f aca="false">H1710+I1710</f>
        <v>0.89</v>
      </c>
      <c r="L1710" s="13" t="n">
        <f aca="false">MAX(0,D1710-K1710)</f>
        <v>0</v>
      </c>
      <c r="M1710" s="13" t="n">
        <f aca="false">MAX(0,F1710-I1710-J1710)</f>
        <v>0</v>
      </c>
      <c r="N1710" s="13" t="n">
        <f aca="false">IF(Kalender!A246="",0,J1709-H1710)</f>
        <v>0.8542</v>
      </c>
    </row>
    <row r="1711" customFormat="false" ht="16.4" hidden="false" customHeight="false" outlineLevel="0" collapsed="false">
      <c r="A1711" s="13" t="str">
        <f aca="false">""</f>
        <v/>
      </c>
      <c r="B1711" s="13" t="n">
        <f aca="false">243</f>
        <v>243</v>
      </c>
      <c r="C1711" s="13" t="n">
        <f aca="false">IF(Szenarien!$H$15="OK",(IFERROR(SUMIF(Nutzungsprofile!$B$6:$B$11,"Schulbetrieb",Nutzungsprofile!$G$6:$G$11)*Kalender!C247/SUM(Kalender!$C$5:$C$370),0)+IFERROR(SUMIF(Nutzungsprofile!$B$6:$B$11,"Halle",Nutzungsprofile!$G$6:$G$11)*Kalender!D247/SUM(Kalender!$D$5:$D$370),0)+IFERROR(SUMIF(Nutzungsprofile!$B$6:$B$11,"Individuell",Nutzungsprofile!$G$6:$G$11)*Kalender!E247/SUM(Kalender!$E$5:$E$370),0))*Szenarien!$E$15,0)</f>
        <v>2.04</v>
      </c>
      <c r="D1711" s="13" t="n">
        <f aca="false">IF(Szenarien!$H$15="OK",(IFERROR(SUMIF(Nutzungsprofile!$B$17:$B$22,"Schulbetrieb",Nutzungsprofile!$G$17:$G$22)*Kalender!C247/SUM(Kalender!$C$5:$C$370),0)+IFERROR(SUMIF(Nutzungsprofile!$B$17:$B$22,"Halle",Nutzungsprofile!$G$17:$G$22)*Kalender!D247/SUM(Kalender!$D$5:$D$370),0)+IFERROR(SUMIF(Nutzungsprofile!$B$17:$B$22,"Individuell",Nutzungsprofile!$G$17:$G$22)*Kalender!E247/SUM(Kalender!$E$5:$E$370),0))*Szenarien!$D$15,0)</f>
        <v>0.89</v>
      </c>
      <c r="E1711" s="13" t="n">
        <f aca="false">IFERROR(MIN(C1711,Eingaben!$B$17)*Eingaben!$B$16,0)</f>
        <v>1.938</v>
      </c>
      <c r="F1711" s="13" t="n">
        <f aca="false">IFERROR(E1711*Eingaben!$B$15,0)</f>
        <v>1.7442</v>
      </c>
      <c r="G1711" s="13" t="n">
        <f aca="false">IFERROR(IF(Kalender!A247="",0,J1710*(1-Eingaben!$B$20)),0)</f>
        <v>1.709316</v>
      </c>
      <c r="H1711" s="13" t="n">
        <f aca="false">MIN(G1711,D1711)</f>
        <v>0.89</v>
      </c>
      <c r="I1711" s="13" t="n">
        <f aca="false">IFERROR(MIN(F1711*Eingaben!$B$19,MAX(0,D1711-H1711)),0)</f>
        <v>0</v>
      </c>
      <c r="J1711" s="13" t="n">
        <f aca="false">IFERROR(MIN(Eingaben!$B$18,MAX(0,F1711-I1711)),0)</f>
        <v>1.7442</v>
      </c>
      <c r="K1711" s="13" t="n">
        <f aca="false">H1711+I1711</f>
        <v>0.89</v>
      </c>
      <c r="L1711" s="13" t="n">
        <f aca="false">MAX(0,D1711-K1711)</f>
        <v>0</v>
      </c>
      <c r="M1711" s="13" t="n">
        <f aca="false">MAX(0,F1711-I1711-J1711)</f>
        <v>0</v>
      </c>
      <c r="N1711" s="13" t="n">
        <f aca="false">IF(Kalender!A247="",0,J1710-H1711)</f>
        <v>0.8542</v>
      </c>
    </row>
    <row r="1712" customFormat="false" ht="16.4" hidden="false" customHeight="false" outlineLevel="0" collapsed="false">
      <c r="A1712" s="13" t="str">
        <f aca="false">""</f>
        <v/>
      </c>
      <c r="B1712" s="13" t="n">
        <f aca="false">244</f>
        <v>244</v>
      </c>
      <c r="C1712" s="13" t="n">
        <f aca="false">IF(Szenarien!$H$15="OK",(IFERROR(SUMIF(Nutzungsprofile!$B$6:$B$11,"Schulbetrieb",Nutzungsprofile!$G$6:$G$11)*Kalender!C248/SUM(Kalender!$C$5:$C$370),0)+IFERROR(SUMIF(Nutzungsprofile!$B$6:$B$11,"Halle",Nutzungsprofile!$G$6:$G$11)*Kalender!D248/SUM(Kalender!$D$5:$D$370),0)+IFERROR(SUMIF(Nutzungsprofile!$B$6:$B$11,"Individuell",Nutzungsprofile!$G$6:$G$11)*Kalender!E248/SUM(Kalender!$E$5:$E$370),0))*Szenarien!$E$15,0)</f>
        <v>2.94</v>
      </c>
      <c r="D1712" s="13" t="n">
        <f aca="false">IF(Szenarien!$H$15="OK",(IFERROR(SUMIF(Nutzungsprofile!$B$17:$B$22,"Schulbetrieb",Nutzungsprofile!$G$17:$G$22)*Kalender!C248/SUM(Kalender!$C$5:$C$370),0)+IFERROR(SUMIF(Nutzungsprofile!$B$17:$B$22,"Halle",Nutzungsprofile!$G$17:$G$22)*Kalender!D248/SUM(Kalender!$D$5:$D$370),0)+IFERROR(SUMIF(Nutzungsprofile!$B$17:$B$22,"Individuell",Nutzungsprofile!$G$17:$G$22)*Kalender!E248/SUM(Kalender!$E$5:$E$370),0))*Szenarien!$D$15,0)</f>
        <v>4.94</v>
      </c>
      <c r="E1712" s="13" t="n">
        <f aca="false">IFERROR(MIN(C1712,Eingaben!$B$17)*Eingaben!$B$16,0)</f>
        <v>2.793</v>
      </c>
      <c r="F1712" s="13" t="n">
        <f aca="false">IFERROR(E1712*Eingaben!$B$15,0)</f>
        <v>2.5137</v>
      </c>
      <c r="G1712" s="13" t="n">
        <f aca="false">IFERROR(IF(Kalender!A248="",0,J1711*(1-Eingaben!$B$20)),0)</f>
        <v>1.709316</v>
      </c>
      <c r="H1712" s="13" t="n">
        <f aca="false">MIN(G1712,D1712)</f>
        <v>1.709316</v>
      </c>
      <c r="I1712" s="13" t="n">
        <f aca="false">IFERROR(MIN(F1712*Eingaben!$B$19,MAX(0,D1712-H1712)),0)</f>
        <v>1.75959</v>
      </c>
      <c r="J1712" s="13" t="n">
        <f aca="false">IFERROR(MIN(Eingaben!$B$18,MAX(0,F1712-I1712)),0)</f>
        <v>0.75411</v>
      </c>
      <c r="K1712" s="13" t="n">
        <f aca="false">H1712+I1712</f>
        <v>3.468906</v>
      </c>
      <c r="L1712" s="13" t="n">
        <f aca="false">MAX(0,D1712-K1712)</f>
        <v>1.471094</v>
      </c>
      <c r="M1712" s="13" t="n">
        <f aca="false">MAX(0,F1712-I1712-J1712)</f>
        <v>0</v>
      </c>
      <c r="N1712" s="13" t="n">
        <f aca="false">IF(Kalender!A248="",0,J1711-H1712)</f>
        <v>0.0348840000000001</v>
      </c>
    </row>
    <row r="1713" customFormat="false" ht="16.4" hidden="false" customHeight="false" outlineLevel="0" collapsed="false">
      <c r="A1713" s="13" t="str">
        <f aca="false">""</f>
        <v/>
      </c>
      <c r="B1713" s="13" t="n">
        <f aca="false">245</f>
        <v>245</v>
      </c>
      <c r="C1713" s="13" t="n">
        <f aca="false">IF(Szenarien!$H$15="OK",(IFERROR(SUMIF(Nutzungsprofile!$B$6:$B$11,"Schulbetrieb",Nutzungsprofile!$G$6:$G$11)*Kalender!C249/SUM(Kalender!$C$5:$C$370),0)+IFERROR(SUMIF(Nutzungsprofile!$B$6:$B$11,"Halle",Nutzungsprofile!$G$6:$G$11)*Kalender!D249/SUM(Kalender!$D$5:$D$370),0)+IFERROR(SUMIF(Nutzungsprofile!$B$6:$B$11,"Individuell",Nutzungsprofile!$G$6:$G$11)*Kalender!E249/SUM(Kalender!$E$5:$E$370),0))*Szenarien!$E$15,0)</f>
        <v>2.94</v>
      </c>
      <c r="D1713" s="13" t="n">
        <f aca="false">IF(Szenarien!$H$15="OK",(IFERROR(SUMIF(Nutzungsprofile!$B$17:$B$22,"Schulbetrieb",Nutzungsprofile!$G$17:$G$22)*Kalender!C249/SUM(Kalender!$C$5:$C$370),0)+IFERROR(SUMIF(Nutzungsprofile!$B$17:$B$22,"Halle",Nutzungsprofile!$G$17:$G$22)*Kalender!D249/SUM(Kalender!$D$5:$D$370),0)+IFERROR(SUMIF(Nutzungsprofile!$B$17:$B$22,"Individuell",Nutzungsprofile!$G$17:$G$22)*Kalender!E249/SUM(Kalender!$E$5:$E$370),0))*Szenarien!$D$15,0)</f>
        <v>4.94</v>
      </c>
      <c r="E1713" s="13" t="n">
        <f aca="false">IFERROR(MIN(C1713,Eingaben!$B$17)*Eingaben!$B$16,0)</f>
        <v>2.793</v>
      </c>
      <c r="F1713" s="13" t="n">
        <f aca="false">IFERROR(E1713*Eingaben!$B$15,0)</f>
        <v>2.5137</v>
      </c>
      <c r="G1713" s="13" t="n">
        <f aca="false">IFERROR(IF(Kalender!A249="",0,J1712*(1-Eingaben!$B$20)),0)</f>
        <v>0.7390278</v>
      </c>
      <c r="H1713" s="13" t="n">
        <f aca="false">MIN(G1713,D1713)</f>
        <v>0.7390278</v>
      </c>
      <c r="I1713" s="13" t="n">
        <f aca="false">IFERROR(MIN(F1713*Eingaben!$B$19,MAX(0,D1713-H1713)),0)</f>
        <v>1.75959</v>
      </c>
      <c r="J1713" s="13" t="n">
        <f aca="false">IFERROR(MIN(Eingaben!$B$18,MAX(0,F1713-I1713)),0)</f>
        <v>0.75411</v>
      </c>
      <c r="K1713" s="13" t="n">
        <f aca="false">H1713+I1713</f>
        <v>2.4986178</v>
      </c>
      <c r="L1713" s="13" t="n">
        <f aca="false">MAX(0,D1713-K1713)</f>
        <v>2.4413822</v>
      </c>
      <c r="M1713" s="13" t="n">
        <f aca="false">MAX(0,F1713-I1713-J1713)</f>
        <v>0</v>
      </c>
      <c r="N1713" s="13" t="n">
        <f aca="false">IF(Kalender!A249="",0,J1712-H1713)</f>
        <v>0.0150822</v>
      </c>
    </row>
    <row r="1714" customFormat="false" ht="16.4" hidden="false" customHeight="false" outlineLevel="0" collapsed="false">
      <c r="A1714" s="13" t="str">
        <f aca="false">""</f>
        <v/>
      </c>
      <c r="B1714" s="13" t="n">
        <f aca="false">246</f>
        <v>246</v>
      </c>
      <c r="C1714" s="13" t="n">
        <f aca="false">IF(Szenarien!$H$15="OK",(IFERROR(SUMIF(Nutzungsprofile!$B$6:$B$11,"Schulbetrieb",Nutzungsprofile!$G$6:$G$11)*Kalender!C250/SUM(Kalender!$C$5:$C$370),0)+IFERROR(SUMIF(Nutzungsprofile!$B$6:$B$11,"Halle",Nutzungsprofile!$G$6:$G$11)*Kalender!D250/SUM(Kalender!$D$5:$D$370),0)+IFERROR(SUMIF(Nutzungsprofile!$B$6:$B$11,"Individuell",Nutzungsprofile!$G$6:$G$11)*Kalender!E250/SUM(Kalender!$E$5:$E$370),0))*Szenarien!$E$15,0)</f>
        <v>2.94</v>
      </c>
      <c r="D1714" s="13" t="n">
        <f aca="false">IF(Szenarien!$H$15="OK",(IFERROR(SUMIF(Nutzungsprofile!$B$17:$B$22,"Schulbetrieb",Nutzungsprofile!$G$17:$G$22)*Kalender!C250/SUM(Kalender!$C$5:$C$370),0)+IFERROR(SUMIF(Nutzungsprofile!$B$17:$B$22,"Halle",Nutzungsprofile!$G$17:$G$22)*Kalender!D250/SUM(Kalender!$D$5:$D$370),0)+IFERROR(SUMIF(Nutzungsprofile!$B$17:$B$22,"Individuell",Nutzungsprofile!$G$17:$G$22)*Kalender!E250/SUM(Kalender!$E$5:$E$370),0))*Szenarien!$D$15,0)</f>
        <v>4.94</v>
      </c>
      <c r="E1714" s="13" t="n">
        <f aca="false">IFERROR(MIN(C1714,Eingaben!$B$17)*Eingaben!$B$16,0)</f>
        <v>2.793</v>
      </c>
      <c r="F1714" s="13" t="n">
        <f aca="false">IFERROR(E1714*Eingaben!$B$15,0)</f>
        <v>2.5137</v>
      </c>
      <c r="G1714" s="13" t="n">
        <f aca="false">IFERROR(IF(Kalender!A250="",0,J1713*(1-Eingaben!$B$20)),0)</f>
        <v>0.7390278</v>
      </c>
      <c r="H1714" s="13" t="n">
        <f aca="false">MIN(G1714,D1714)</f>
        <v>0.7390278</v>
      </c>
      <c r="I1714" s="13" t="n">
        <f aca="false">IFERROR(MIN(F1714*Eingaben!$B$19,MAX(0,D1714-H1714)),0)</f>
        <v>1.75959</v>
      </c>
      <c r="J1714" s="13" t="n">
        <f aca="false">IFERROR(MIN(Eingaben!$B$18,MAX(0,F1714-I1714)),0)</f>
        <v>0.75411</v>
      </c>
      <c r="K1714" s="13" t="n">
        <f aca="false">H1714+I1714</f>
        <v>2.4986178</v>
      </c>
      <c r="L1714" s="13" t="n">
        <f aca="false">MAX(0,D1714-K1714)</f>
        <v>2.4413822</v>
      </c>
      <c r="M1714" s="13" t="n">
        <f aca="false">MAX(0,F1714-I1714-J1714)</f>
        <v>0</v>
      </c>
      <c r="N1714" s="13" t="n">
        <f aca="false">IF(Kalender!A250="",0,J1713-H1714)</f>
        <v>0.0150822</v>
      </c>
    </row>
    <row r="1715" customFormat="false" ht="16.4" hidden="false" customHeight="false" outlineLevel="0" collapsed="false">
      <c r="A1715" s="13" t="str">
        <f aca="false">""</f>
        <v/>
      </c>
      <c r="B1715" s="13" t="n">
        <f aca="false">247</f>
        <v>247</v>
      </c>
      <c r="C1715" s="13" t="n">
        <f aca="false">IF(Szenarien!$H$15="OK",(IFERROR(SUMIF(Nutzungsprofile!$B$6:$B$11,"Schulbetrieb",Nutzungsprofile!$G$6:$G$11)*Kalender!C251/SUM(Kalender!$C$5:$C$370),0)+IFERROR(SUMIF(Nutzungsprofile!$B$6:$B$11,"Halle",Nutzungsprofile!$G$6:$G$11)*Kalender!D251/SUM(Kalender!$D$5:$D$370),0)+IFERROR(SUMIF(Nutzungsprofile!$B$6:$B$11,"Individuell",Nutzungsprofile!$G$6:$G$11)*Kalender!E251/SUM(Kalender!$E$5:$E$370),0))*Szenarien!$E$15,0)</f>
        <v>2.94</v>
      </c>
      <c r="D1715" s="13" t="n">
        <f aca="false">IF(Szenarien!$H$15="OK",(IFERROR(SUMIF(Nutzungsprofile!$B$17:$B$22,"Schulbetrieb",Nutzungsprofile!$G$17:$G$22)*Kalender!C251/SUM(Kalender!$C$5:$C$370),0)+IFERROR(SUMIF(Nutzungsprofile!$B$17:$B$22,"Halle",Nutzungsprofile!$G$17:$G$22)*Kalender!D251/SUM(Kalender!$D$5:$D$370),0)+IFERROR(SUMIF(Nutzungsprofile!$B$17:$B$22,"Individuell",Nutzungsprofile!$G$17:$G$22)*Kalender!E251/SUM(Kalender!$E$5:$E$370),0))*Szenarien!$D$15,0)</f>
        <v>4.94</v>
      </c>
      <c r="E1715" s="13" t="n">
        <f aca="false">IFERROR(MIN(C1715,Eingaben!$B$17)*Eingaben!$B$16,0)</f>
        <v>2.793</v>
      </c>
      <c r="F1715" s="13" t="n">
        <f aca="false">IFERROR(E1715*Eingaben!$B$15,0)</f>
        <v>2.5137</v>
      </c>
      <c r="G1715" s="13" t="n">
        <f aca="false">IFERROR(IF(Kalender!A251="",0,J1714*(1-Eingaben!$B$20)),0)</f>
        <v>0.7390278</v>
      </c>
      <c r="H1715" s="13" t="n">
        <f aca="false">MIN(G1715,D1715)</f>
        <v>0.7390278</v>
      </c>
      <c r="I1715" s="13" t="n">
        <f aca="false">IFERROR(MIN(F1715*Eingaben!$B$19,MAX(0,D1715-H1715)),0)</f>
        <v>1.75959</v>
      </c>
      <c r="J1715" s="13" t="n">
        <f aca="false">IFERROR(MIN(Eingaben!$B$18,MAX(0,F1715-I1715)),0)</f>
        <v>0.75411</v>
      </c>
      <c r="K1715" s="13" t="n">
        <f aca="false">H1715+I1715</f>
        <v>2.4986178</v>
      </c>
      <c r="L1715" s="13" t="n">
        <f aca="false">MAX(0,D1715-K1715)</f>
        <v>2.4413822</v>
      </c>
      <c r="M1715" s="13" t="n">
        <f aca="false">MAX(0,F1715-I1715-J1715)</f>
        <v>0</v>
      </c>
      <c r="N1715" s="13" t="n">
        <f aca="false">IF(Kalender!A251="",0,J1714-H1715)</f>
        <v>0.0150822</v>
      </c>
    </row>
    <row r="1716" customFormat="false" ht="16.4" hidden="false" customHeight="false" outlineLevel="0" collapsed="false">
      <c r="A1716" s="13" t="str">
        <f aca="false">""</f>
        <v/>
      </c>
      <c r="B1716" s="13" t="n">
        <f aca="false">248</f>
        <v>248</v>
      </c>
      <c r="C1716" s="13" t="n">
        <f aca="false">IF(Szenarien!$H$15="OK",(IFERROR(SUMIF(Nutzungsprofile!$B$6:$B$11,"Schulbetrieb",Nutzungsprofile!$G$6:$G$11)*Kalender!C252/SUM(Kalender!$C$5:$C$370),0)+IFERROR(SUMIF(Nutzungsprofile!$B$6:$B$11,"Halle",Nutzungsprofile!$G$6:$G$11)*Kalender!D252/SUM(Kalender!$D$5:$D$370),0)+IFERROR(SUMIF(Nutzungsprofile!$B$6:$B$11,"Individuell",Nutzungsprofile!$G$6:$G$11)*Kalender!E252/SUM(Kalender!$E$5:$E$370),0))*Szenarien!$E$15,0)</f>
        <v>2.04</v>
      </c>
      <c r="D1716" s="13" t="n">
        <f aca="false">IF(Szenarien!$H$15="OK",(IFERROR(SUMIF(Nutzungsprofile!$B$17:$B$22,"Schulbetrieb",Nutzungsprofile!$G$17:$G$22)*Kalender!C252/SUM(Kalender!$C$5:$C$370),0)+IFERROR(SUMIF(Nutzungsprofile!$B$17:$B$22,"Halle",Nutzungsprofile!$G$17:$G$22)*Kalender!D252/SUM(Kalender!$D$5:$D$370),0)+IFERROR(SUMIF(Nutzungsprofile!$B$17:$B$22,"Individuell",Nutzungsprofile!$G$17:$G$22)*Kalender!E252/SUM(Kalender!$E$5:$E$370),0))*Szenarien!$D$15,0)</f>
        <v>0.89</v>
      </c>
      <c r="E1716" s="13" t="n">
        <f aca="false">IFERROR(MIN(C1716,Eingaben!$B$17)*Eingaben!$B$16,0)</f>
        <v>1.938</v>
      </c>
      <c r="F1716" s="13" t="n">
        <f aca="false">IFERROR(E1716*Eingaben!$B$15,0)</f>
        <v>1.7442</v>
      </c>
      <c r="G1716" s="13" t="n">
        <f aca="false">IFERROR(IF(Kalender!A252="",0,J1715*(1-Eingaben!$B$20)),0)</f>
        <v>0.7390278</v>
      </c>
      <c r="H1716" s="13" t="n">
        <f aca="false">MIN(G1716,D1716)</f>
        <v>0.7390278</v>
      </c>
      <c r="I1716" s="13" t="n">
        <f aca="false">IFERROR(MIN(F1716*Eingaben!$B$19,MAX(0,D1716-H1716)),0)</f>
        <v>0.1509722</v>
      </c>
      <c r="J1716" s="13" t="n">
        <f aca="false">IFERROR(MIN(Eingaben!$B$18,MAX(0,F1716-I1716)),0)</f>
        <v>1.5932278</v>
      </c>
      <c r="K1716" s="13" t="n">
        <f aca="false">H1716+I1716</f>
        <v>0.89</v>
      </c>
      <c r="L1716" s="13" t="n">
        <f aca="false">MAX(0,D1716-K1716)</f>
        <v>0</v>
      </c>
      <c r="M1716" s="13" t="n">
        <f aca="false">MAX(0,F1716-I1716-J1716)</f>
        <v>0</v>
      </c>
      <c r="N1716" s="13" t="n">
        <f aca="false">IF(Kalender!A252="",0,J1715-H1716)</f>
        <v>0.0150822</v>
      </c>
    </row>
    <row r="1717" customFormat="false" ht="16.4" hidden="false" customHeight="false" outlineLevel="0" collapsed="false">
      <c r="A1717" s="13" t="str">
        <f aca="false">""</f>
        <v/>
      </c>
      <c r="B1717" s="13" t="n">
        <f aca="false">249</f>
        <v>249</v>
      </c>
      <c r="C1717" s="13" t="n">
        <f aca="false">IF(Szenarien!$H$15="OK",(IFERROR(SUMIF(Nutzungsprofile!$B$6:$B$11,"Schulbetrieb",Nutzungsprofile!$G$6:$G$11)*Kalender!C253/SUM(Kalender!$C$5:$C$370),0)+IFERROR(SUMIF(Nutzungsprofile!$B$6:$B$11,"Halle",Nutzungsprofile!$G$6:$G$11)*Kalender!D253/SUM(Kalender!$D$5:$D$370),0)+IFERROR(SUMIF(Nutzungsprofile!$B$6:$B$11,"Individuell",Nutzungsprofile!$G$6:$G$11)*Kalender!E253/SUM(Kalender!$E$5:$E$370),0))*Szenarien!$E$15,0)</f>
        <v>2.04</v>
      </c>
      <c r="D1717" s="13" t="n">
        <f aca="false">IF(Szenarien!$H$15="OK",(IFERROR(SUMIF(Nutzungsprofile!$B$17:$B$22,"Schulbetrieb",Nutzungsprofile!$G$17:$G$22)*Kalender!C253/SUM(Kalender!$C$5:$C$370),0)+IFERROR(SUMIF(Nutzungsprofile!$B$17:$B$22,"Halle",Nutzungsprofile!$G$17:$G$22)*Kalender!D253/SUM(Kalender!$D$5:$D$370),0)+IFERROR(SUMIF(Nutzungsprofile!$B$17:$B$22,"Individuell",Nutzungsprofile!$G$17:$G$22)*Kalender!E253/SUM(Kalender!$E$5:$E$370),0))*Szenarien!$D$15,0)</f>
        <v>0.89</v>
      </c>
      <c r="E1717" s="13" t="n">
        <f aca="false">IFERROR(MIN(C1717,Eingaben!$B$17)*Eingaben!$B$16,0)</f>
        <v>1.938</v>
      </c>
      <c r="F1717" s="13" t="n">
        <f aca="false">IFERROR(E1717*Eingaben!$B$15,0)</f>
        <v>1.7442</v>
      </c>
      <c r="G1717" s="13" t="n">
        <f aca="false">IFERROR(IF(Kalender!A253="",0,J1716*(1-Eingaben!$B$20)),0)</f>
        <v>1.561363244</v>
      </c>
      <c r="H1717" s="13" t="n">
        <f aca="false">MIN(G1717,D1717)</f>
        <v>0.89</v>
      </c>
      <c r="I1717" s="13" t="n">
        <f aca="false">IFERROR(MIN(F1717*Eingaben!$B$19,MAX(0,D1717-H1717)),0)</f>
        <v>0</v>
      </c>
      <c r="J1717" s="13" t="n">
        <f aca="false">IFERROR(MIN(Eingaben!$B$18,MAX(0,F1717-I1717)),0)</f>
        <v>1.7442</v>
      </c>
      <c r="K1717" s="13" t="n">
        <f aca="false">H1717+I1717</f>
        <v>0.89</v>
      </c>
      <c r="L1717" s="13" t="n">
        <f aca="false">MAX(0,D1717-K1717)</f>
        <v>0</v>
      </c>
      <c r="M1717" s="13" t="n">
        <f aca="false">MAX(0,F1717-I1717-J1717)</f>
        <v>0</v>
      </c>
      <c r="N1717" s="13" t="n">
        <f aca="false">IF(Kalender!A253="",0,J1716-H1717)</f>
        <v>0.7032278</v>
      </c>
    </row>
    <row r="1718" customFormat="false" ht="16.4" hidden="false" customHeight="false" outlineLevel="0" collapsed="false">
      <c r="A1718" s="13" t="str">
        <f aca="false">""</f>
        <v/>
      </c>
      <c r="B1718" s="13" t="n">
        <f aca="false">250</f>
        <v>250</v>
      </c>
      <c r="C1718" s="13" t="n">
        <f aca="false">IF(Szenarien!$H$15="OK",(IFERROR(SUMIF(Nutzungsprofile!$B$6:$B$11,"Schulbetrieb",Nutzungsprofile!$G$6:$G$11)*Kalender!C254/SUM(Kalender!$C$5:$C$370),0)+IFERROR(SUMIF(Nutzungsprofile!$B$6:$B$11,"Halle",Nutzungsprofile!$G$6:$G$11)*Kalender!D254/SUM(Kalender!$D$5:$D$370),0)+IFERROR(SUMIF(Nutzungsprofile!$B$6:$B$11,"Individuell",Nutzungsprofile!$G$6:$G$11)*Kalender!E254/SUM(Kalender!$E$5:$E$370),0))*Szenarien!$E$15,0)</f>
        <v>2.94</v>
      </c>
      <c r="D1718" s="13" t="n">
        <f aca="false">IF(Szenarien!$H$15="OK",(IFERROR(SUMIF(Nutzungsprofile!$B$17:$B$22,"Schulbetrieb",Nutzungsprofile!$G$17:$G$22)*Kalender!C254/SUM(Kalender!$C$5:$C$370),0)+IFERROR(SUMIF(Nutzungsprofile!$B$17:$B$22,"Halle",Nutzungsprofile!$G$17:$G$22)*Kalender!D254/SUM(Kalender!$D$5:$D$370),0)+IFERROR(SUMIF(Nutzungsprofile!$B$17:$B$22,"Individuell",Nutzungsprofile!$G$17:$G$22)*Kalender!E254/SUM(Kalender!$E$5:$E$370),0))*Szenarien!$D$15,0)</f>
        <v>4.94</v>
      </c>
      <c r="E1718" s="13" t="n">
        <f aca="false">IFERROR(MIN(C1718,Eingaben!$B$17)*Eingaben!$B$16,0)</f>
        <v>2.793</v>
      </c>
      <c r="F1718" s="13" t="n">
        <f aca="false">IFERROR(E1718*Eingaben!$B$15,0)</f>
        <v>2.5137</v>
      </c>
      <c r="G1718" s="13" t="n">
        <f aca="false">IFERROR(IF(Kalender!A254="",0,J1717*(1-Eingaben!$B$20)),0)</f>
        <v>1.709316</v>
      </c>
      <c r="H1718" s="13" t="n">
        <f aca="false">MIN(G1718,D1718)</f>
        <v>1.709316</v>
      </c>
      <c r="I1718" s="13" t="n">
        <f aca="false">IFERROR(MIN(F1718*Eingaben!$B$19,MAX(0,D1718-H1718)),0)</f>
        <v>1.75959</v>
      </c>
      <c r="J1718" s="13" t="n">
        <f aca="false">IFERROR(MIN(Eingaben!$B$18,MAX(0,F1718-I1718)),0)</f>
        <v>0.75411</v>
      </c>
      <c r="K1718" s="13" t="n">
        <f aca="false">H1718+I1718</f>
        <v>3.468906</v>
      </c>
      <c r="L1718" s="13" t="n">
        <f aca="false">MAX(0,D1718-K1718)</f>
        <v>1.471094</v>
      </c>
      <c r="M1718" s="13" t="n">
        <f aca="false">MAX(0,F1718-I1718-J1718)</f>
        <v>0</v>
      </c>
      <c r="N1718" s="13" t="n">
        <f aca="false">IF(Kalender!A254="",0,J1717-H1718)</f>
        <v>0.0348840000000001</v>
      </c>
    </row>
    <row r="1719" customFormat="false" ht="16.4" hidden="false" customHeight="false" outlineLevel="0" collapsed="false">
      <c r="A1719" s="13" t="str">
        <f aca="false">""</f>
        <v/>
      </c>
      <c r="B1719" s="13" t="n">
        <f aca="false">251</f>
        <v>251</v>
      </c>
      <c r="C1719" s="13" t="n">
        <f aca="false">IF(Szenarien!$H$15="OK",(IFERROR(SUMIF(Nutzungsprofile!$B$6:$B$11,"Schulbetrieb",Nutzungsprofile!$G$6:$G$11)*Kalender!C255/SUM(Kalender!$C$5:$C$370),0)+IFERROR(SUMIF(Nutzungsprofile!$B$6:$B$11,"Halle",Nutzungsprofile!$G$6:$G$11)*Kalender!D255/SUM(Kalender!$D$5:$D$370),0)+IFERROR(SUMIF(Nutzungsprofile!$B$6:$B$11,"Individuell",Nutzungsprofile!$G$6:$G$11)*Kalender!E255/SUM(Kalender!$E$5:$E$370),0))*Szenarien!$E$15,0)</f>
        <v>2.94</v>
      </c>
      <c r="D1719" s="13" t="n">
        <f aca="false">IF(Szenarien!$H$15="OK",(IFERROR(SUMIF(Nutzungsprofile!$B$17:$B$22,"Schulbetrieb",Nutzungsprofile!$G$17:$G$22)*Kalender!C255/SUM(Kalender!$C$5:$C$370),0)+IFERROR(SUMIF(Nutzungsprofile!$B$17:$B$22,"Halle",Nutzungsprofile!$G$17:$G$22)*Kalender!D255/SUM(Kalender!$D$5:$D$370),0)+IFERROR(SUMIF(Nutzungsprofile!$B$17:$B$22,"Individuell",Nutzungsprofile!$G$17:$G$22)*Kalender!E255/SUM(Kalender!$E$5:$E$370),0))*Szenarien!$D$15,0)</f>
        <v>4.94</v>
      </c>
      <c r="E1719" s="13" t="n">
        <f aca="false">IFERROR(MIN(C1719,Eingaben!$B$17)*Eingaben!$B$16,0)</f>
        <v>2.793</v>
      </c>
      <c r="F1719" s="13" t="n">
        <f aca="false">IFERROR(E1719*Eingaben!$B$15,0)</f>
        <v>2.5137</v>
      </c>
      <c r="G1719" s="13" t="n">
        <f aca="false">IFERROR(IF(Kalender!A255="",0,J1718*(1-Eingaben!$B$20)),0)</f>
        <v>0.7390278</v>
      </c>
      <c r="H1719" s="13" t="n">
        <f aca="false">MIN(G1719,D1719)</f>
        <v>0.7390278</v>
      </c>
      <c r="I1719" s="13" t="n">
        <f aca="false">IFERROR(MIN(F1719*Eingaben!$B$19,MAX(0,D1719-H1719)),0)</f>
        <v>1.75959</v>
      </c>
      <c r="J1719" s="13" t="n">
        <f aca="false">IFERROR(MIN(Eingaben!$B$18,MAX(0,F1719-I1719)),0)</f>
        <v>0.75411</v>
      </c>
      <c r="K1719" s="13" t="n">
        <f aca="false">H1719+I1719</f>
        <v>2.4986178</v>
      </c>
      <c r="L1719" s="13" t="n">
        <f aca="false">MAX(0,D1719-K1719)</f>
        <v>2.4413822</v>
      </c>
      <c r="M1719" s="13" t="n">
        <f aca="false">MAX(0,F1719-I1719-J1719)</f>
        <v>0</v>
      </c>
      <c r="N1719" s="13" t="n">
        <f aca="false">IF(Kalender!A255="",0,J1718-H1719)</f>
        <v>0.0150822</v>
      </c>
    </row>
    <row r="1720" customFormat="false" ht="16.4" hidden="false" customHeight="false" outlineLevel="0" collapsed="false">
      <c r="A1720" s="13" t="str">
        <f aca="false">""</f>
        <v/>
      </c>
      <c r="B1720" s="13" t="n">
        <f aca="false">252</f>
        <v>252</v>
      </c>
      <c r="C1720" s="13" t="n">
        <f aca="false">IF(Szenarien!$H$15="OK",(IFERROR(SUMIF(Nutzungsprofile!$B$6:$B$11,"Schulbetrieb",Nutzungsprofile!$G$6:$G$11)*Kalender!C256/SUM(Kalender!$C$5:$C$370),0)+IFERROR(SUMIF(Nutzungsprofile!$B$6:$B$11,"Halle",Nutzungsprofile!$G$6:$G$11)*Kalender!D256/SUM(Kalender!$D$5:$D$370),0)+IFERROR(SUMIF(Nutzungsprofile!$B$6:$B$11,"Individuell",Nutzungsprofile!$G$6:$G$11)*Kalender!E256/SUM(Kalender!$E$5:$E$370),0))*Szenarien!$E$15,0)</f>
        <v>2.94</v>
      </c>
      <c r="D1720" s="13" t="n">
        <f aca="false">IF(Szenarien!$H$15="OK",(IFERROR(SUMIF(Nutzungsprofile!$B$17:$B$22,"Schulbetrieb",Nutzungsprofile!$G$17:$G$22)*Kalender!C256/SUM(Kalender!$C$5:$C$370),0)+IFERROR(SUMIF(Nutzungsprofile!$B$17:$B$22,"Halle",Nutzungsprofile!$G$17:$G$22)*Kalender!D256/SUM(Kalender!$D$5:$D$370),0)+IFERROR(SUMIF(Nutzungsprofile!$B$17:$B$22,"Individuell",Nutzungsprofile!$G$17:$G$22)*Kalender!E256/SUM(Kalender!$E$5:$E$370),0))*Szenarien!$D$15,0)</f>
        <v>4.94</v>
      </c>
      <c r="E1720" s="13" t="n">
        <f aca="false">IFERROR(MIN(C1720,Eingaben!$B$17)*Eingaben!$B$16,0)</f>
        <v>2.793</v>
      </c>
      <c r="F1720" s="13" t="n">
        <f aca="false">IFERROR(E1720*Eingaben!$B$15,0)</f>
        <v>2.5137</v>
      </c>
      <c r="G1720" s="13" t="n">
        <f aca="false">IFERROR(IF(Kalender!A256="",0,J1719*(1-Eingaben!$B$20)),0)</f>
        <v>0.7390278</v>
      </c>
      <c r="H1720" s="13" t="n">
        <f aca="false">MIN(G1720,D1720)</f>
        <v>0.7390278</v>
      </c>
      <c r="I1720" s="13" t="n">
        <f aca="false">IFERROR(MIN(F1720*Eingaben!$B$19,MAX(0,D1720-H1720)),0)</f>
        <v>1.75959</v>
      </c>
      <c r="J1720" s="13" t="n">
        <f aca="false">IFERROR(MIN(Eingaben!$B$18,MAX(0,F1720-I1720)),0)</f>
        <v>0.75411</v>
      </c>
      <c r="K1720" s="13" t="n">
        <f aca="false">H1720+I1720</f>
        <v>2.4986178</v>
      </c>
      <c r="L1720" s="13" t="n">
        <f aca="false">MAX(0,D1720-K1720)</f>
        <v>2.4413822</v>
      </c>
      <c r="M1720" s="13" t="n">
        <f aca="false">MAX(0,F1720-I1720-J1720)</f>
        <v>0</v>
      </c>
      <c r="N1720" s="13" t="n">
        <f aca="false">IF(Kalender!A256="",0,J1719-H1720)</f>
        <v>0.0150822</v>
      </c>
    </row>
    <row r="1721" customFormat="false" ht="16.4" hidden="false" customHeight="false" outlineLevel="0" collapsed="false">
      <c r="A1721" s="13" t="str">
        <f aca="false">""</f>
        <v/>
      </c>
      <c r="B1721" s="13" t="n">
        <f aca="false">253</f>
        <v>253</v>
      </c>
      <c r="C1721" s="13" t="n">
        <f aca="false">IF(Szenarien!$H$15="OK",(IFERROR(SUMIF(Nutzungsprofile!$B$6:$B$11,"Schulbetrieb",Nutzungsprofile!$G$6:$G$11)*Kalender!C257/SUM(Kalender!$C$5:$C$370),0)+IFERROR(SUMIF(Nutzungsprofile!$B$6:$B$11,"Halle",Nutzungsprofile!$G$6:$G$11)*Kalender!D257/SUM(Kalender!$D$5:$D$370),0)+IFERROR(SUMIF(Nutzungsprofile!$B$6:$B$11,"Individuell",Nutzungsprofile!$G$6:$G$11)*Kalender!E257/SUM(Kalender!$E$5:$E$370),0))*Szenarien!$E$15,0)</f>
        <v>2.94</v>
      </c>
      <c r="D1721" s="13" t="n">
        <f aca="false">IF(Szenarien!$H$15="OK",(IFERROR(SUMIF(Nutzungsprofile!$B$17:$B$22,"Schulbetrieb",Nutzungsprofile!$G$17:$G$22)*Kalender!C257/SUM(Kalender!$C$5:$C$370),0)+IFERROR(SUMIF(Nutzungsprofile!$B$17:$B$22,"Halle",Nutzungsprofile!$G$17:$G$22)*Kalender!D257/SUM(Kalender!$D$5:$D$370),0)+IFERROR(SUMIF(Nutzungsprofile!$B$17:$B$22,"Individuell",Nutzungsprofile!$G$17:$G$22)*Kalender!E257/SUM(Kalender!$E$5:$E$370),0))*Szenarien!$D$15,0)</f>
        <v>4.94</v>
      </c>
      <c r="E1721" s="13" t="n">
        <f aca="false">IFERROR(MIN(C1721,Eingaben!$B$17)*Eingaben!$B$16,0)</f>
        <v>2.793</v>
      </c>
      <c r="F1721" s="13" t="n">
        <f aca="false">IFERROR(E1721*Eingaben!$B$15,0)</f>
        <v>2.5137</v>
      </c>
      <c r="G1721" s="13" t="n">
        <f aca="false">IFERROR(IF(Kalender!A257="",0,J1720*(1-Eingaben!$B$20)),0)</f>
        <v>0.7390278</v>
      </c>
      <c r="H1721" s="13" t="n">
        <f aca="false">MIN(G1721,D1721)</f>
        <v>0.7390278</v>
      </c>
      <c r="I1721" s="13" t="n">
        <f aca="false">IFERROR(MIN(F1721*Eingaben!$B$19,MAX(0,D1721-H1721)),0)</f>
        <v>1.75959</v>
      </c>
      <c r="J1721" s="13" t="n">
        <f aca="false">IFERROR(MIN(Eingaben!$B$18,MAX(0,F1721-I1721)),0)</f>
        <v>0.75411</v>
      </c>
      <c r="K1721" s="13" t="n">
        <f aca="false">H1721+I1721</f>
        <v>2.4986178</v>
      </c>
      <c r="L1721" s="13" t="n">
        <f aca="false">MAX(0,D1721-K1721)</f>
        <v>2.4413822</v>
      </c>
      <c r="M1721" s="13" t="n">
        <f aca="false">MAX(0,F1721-I1721-J1721)</f>
        <v>0</v>
      </c>
      <c r="N1721" s="13" t="n">
        <f aca="false">IF(Kalender!A257="",0,J1720-H1721)</f>
        <v>0.0150822</v>
      </c>
    </row>
    <row r="1722" customFormat="false" ht="16.4" hidden="false" customHeight="false" outlineLevel="0" collapsed="false">
      <c r="A1722" s="13" t="str">
        <f aca="false">""</f>
        <v/>
      </c>
      <c r="B1722" s="13" t="n">
        <f aca="false">254</f>
        <v>254</v>
      </c>
      <c r="C1722" s="13" t="n">
        <f aca="false">IF(Szenarien!$H$15="OK",(IFERROR(SUMIF(Nutzungsprofile!$B$6:$B$11,"Schulbetrieb",Nutzungsprofile!$G$6:$G$11)*Kalender!C258/SUM(Kalender!$C$5:$C$370),0)+IFERROR(SUMIF(Nutzungsprofile!$B$6:$B$11,"Halle",Nutzungsprofile!$G$6:$G$11)*Kalender!D258/SUM(Kalender!$D$5:$D$370),0)+IFERROR(SUMIF(Nutzungsprofile!$B$6:$B$11,"Individuell",Nutzungsprofile!$G$6:$G$11)*Kalender!E258/SUM(Kalender!$E$5:$E$370),0))*Szenarien!$E$15,0)</f>
        <v>2.94</v>
      </c>
      <c r="D1722" s="13" t="n">
        <f aca="false">IF(Szenarien!$H$15="OK",(IFERROR(SUMIF(Nutzungsprofile!$B$17:$B$22,"Schulbetrieb",Nutzungsprofile!$G$17:$G$22)*Kalender!C258/SUM(Kalender!$C$5:$C$370),0)+IFERROR(SUMIF(Nutzungsprofile!$B$17:$B$22,"Halle",Nutzungsprofile!$G$17:$G$22)*Kalender!D258/SUM(Kalender!$D$5:$D$370),0)+IFERROR(SUMIF(Nutzungsprofile!$B$17:$B$22,"Individuell",Nutzungsprofile!$G$17:$G$22)*Kalender!E258/SUM(Kalender!$E$5:$E$370),0))*Szenarien!$D$15,0)</f>
        <v>4.94</v>
      </c>
      <c r="E1722" s="13" t="n">
        <f aca="false">IFERROR(MIN(C1722,Eingaben!$B$17)*Eingaben!$B$16,0)</f>
        <v>2.793</v>
      </c>
      <c r="F1722" s="13" t="n">
        <f aca="false">IFERROR(E1722*Eingaben!$B$15,0)</f>
        <v>2.5137</v>
      </c>
      <c r="G1722" s="13" t="n">
        <f aca="false">IFERROR(IF(Kalender!A258="",0,J1721*(1-Eingaben!$B$20)),0)</f>
        <v>0.7390278</v>
      </c>
      <c r="H1722" s="13" t="n">
        <f aca="false">MIN(G1722,D1722)</f>
        <v>0.7390278</v>
      </c>
      <c r="I1722" s="13" t="n">
        <f aca="false">IFERROR(MIN(F1722*Eingaben!$B$19,MAX(0,D1722-H1722)),0)</f>
        <v>1.75959</v>
      </c>
      <c r="J1722" s="13" t="n">
        <f aca="false">IFERROR(MIN(Eingaben!$B$18,MAX(0,F1722-I1722)),0)</f>
        <v>0.75411</v>
      </c>
      <c r="K1722" s="13" t="n">
        <f aca="false">H1722+I1722</f>
        <v>2.4986178</v>
      </c>
      <c r="L1722" s="13" t="n">
        <f aca="false">MAX(0,D1722-K1722)</f>
        <v>2.4413822</v>
      </c>
      <c r="M1722" s="13" t="n">
        <f aca="false">MAX(0,F1722-I1722-J1722)</f>
        <v>0</v>
      </c>
      <c r="N1722" s="13" t="n">
        <f aca="false">IF(Kalender!A258="",0,J1721-H1722)</f>
        <v>0.0150822</v>
      </c>
    </row>
    <row r="1723" customFormat="false" ht="16.4" hidden="false" customHeight="false" outlineLevel="0" collapsed="false">
      <c r="A1723" s="13" t="str">
        <f aca="false">""</f>
        <v/>
      </c>
      <c r="B1723" s="13" t="n">
        <f aca="false">255</f>
        <v>255</v>
      </c>
      <c r="C1723" s="13" t="n">
        <f aca="false">IF(Szenarien!$H$15="OK",(IFERROR(SUMIF(Nutzungsprofile!$B$6:$B$11,"Schulbetrieb",Nutzungsprofile!$G$6:$G$11)*Kalender!C259/SUM(Kalender!$C$5:$C$370),0)+IFERROR(SUMIF(Nutzungsprofile!$B$6:$B$11,"Halle",Nutzungsprofile!$G$6:$G$11)*Kalender!D259/SUM(Kalender!$D$5:$D$370),0)+IFERROR(SUMIF(Nutzungsprofile!$B$6:$B$11,"Individuell",Nutzungsprofile!$G$6:$G$11)*Kalender!E259/SUM(Kalender!$E$5:$E$370),0))*Szenarien!$E$15,0)</f>
        <v>2.04</v>
      </c>
      <c r="D1723" s="13" t="n">
        <f aca="false">IF(Szenarien!$H$15="OK",(IFERROR(SUMIF(Nutzungsprofile!$B$17:$B$22,"Schulbetrieb",Nutzungsprofile!$G$17:$G$22)*Kalender!C259/SUM(Kalender!$C$5:$C$370),0)+IFERROR(SUMIF(Nutzungsprofile!$B$17:$B$22,"Halle",Nutzungsprofile!$G$17:$G$22)*Kalender!D259/SUM(Kalender!$D$5:$D$370),0)+IFERROR(SUMIF(Nutzungsprofile!$B$17:$B$22,"Individuell",Nutzungsprofile!$G$17:$G$22)*Kalender!E259/SUM(Kalender!$E$5:$E$370),0))*Szenarien!$D$15,0)</f>
        <v>0.89</v>
      </c>
      <c r="E1723" s="13" t="n">
        <f aca="false">IFERROR(MIN(C1723,Eingaben!$B$17)*Eingaben!$B$16,0)</f>
        <v>1.938</v>
      </c>
      <c r="F1723" s="13" t="n">
        <f aca="false">IFERROR(E1723*Eingaben!$B$15,0)</f>
        <v>1.7442</v>
      </c>
      <c r="G1723" s="13" t="n">
        <f aca="false">IFERROR(IF(Kalender!A259="",0,J1722*(1-Eingaben!$B$20)),0)</f>
        <v>0.7390278</v>
      </c>
      <c r="H1723" s="13" t="n">
        <f aca="false">MIN(G1723,D1723)</f>
        <v>0.7390278</v>
      </c>
      <c r="I1723" s="13" t="n">
        <f aca="false">IFERROR(MIN(F1723*Eingaben!$B$19,MAX(0,D1723-H1723)),0)</f>
        <v>0.1509722</v>
      </c>
      <c r="J1723" s="13" t="n">
        <f aca="false">IFERROR(MIN(Eingaben!$B$18,MAX(0,F1723-I1723)),0)</f>
        <v>1.5932278</v>
      </c>
      <c r="K1723" s="13" t="n">
        <f aca="false">H1723+I1723</f>
        <v>0.89</v>
      </c>
      <c r="L1723" s="13" t="n">
        <f aca="false">MAX(0,D1723-K1723)</f>
        <v>0</v>
      </c>
      <c r="M1723" s="13" t="n">
        <f aca="false">MAX(0,F1723-I1723-J1723)</f>
        <v>0</v>
      </c>
      <c r="N1723" s="13" t="n">
        <f aca="false">IF(Kalender!A259="",0,J1722-H1723)</f>
        <v>0.0150822</v>
      </c>
    </row>
    <row r="1724" customFormat="false" ht="16.4" hidden="false" customHeight="false" outlineLevel="0" collapsed="false">
      <c r="A1724" s="13" t="str">
        <f aca="false">""</f>
        <v/>
      </c>
      <c r="B1724" s="13" t="n">
        <f aca="false">256</f>
        <v>256</v>
      </c>
      <c r="C1724" s="13" t="n">
        <f aca="false">IF(Szenarien!$H$15="OK",(IFERROR(SUMIF(Nutzungsprofile!$B$6:$B$11,"Schulbetrieb",Nutzungsprofile!$G$6:$G$11)*Kalender!C260/SUM(Kalender!$C$5:$C$370),0)+IFERROR(SUMIF(Nutzungsprofile!$B$6:$B$11,"Halle",Nutzungsprofile!$G$6:$G$11)*Kalender!D260/SUM(Kalender!$D$5:$D$370),0)+IFERROR(SUMIF(Nutzungsprofile!$B$6:$B$11,"Individuell",Nutzungsprofile!$G$6:$G$11)*Kalender!E260/SUM(Kalender!$E$5:$E$370),0))*Szenarien!$E$15,0)</f>
        <v>2.04</v>
      </c>
      <c r="D1724" s="13" t="n">
        <f aca="false">IF(Szenarien!$H$15="OK",(IFERROR(SUMIF(Nutzungsprofile!$B$17:$B$22,"Schulbetrieb",Nutzungsprofile!$G$17:$G$22)*Kalender!C260/SUM(Kalender!$C$5:$C$370),0)+IFERROR(SUMIF(Nutzungsprofile!$B$17:$B$22,"Halle",Nutzungsprofile!$G$17:$G$22)*Kalender!D260/SUM(Kalender!$D$5:$D$370),0)+IFERROR(SUMIF(Nutzungsprofile!$B$17:$B$22,"Individuell",Nutzungsprofile!$G$17:$G$22)*Kalender!E260/SUM(Kalender!$E$5:$E$370),0))*Szenarien!$D$15,0)</f>
        <v>0.89</v>
      </c>
      <c r="E1724" s="13" t="n">
        <f aca="false">IFERROR(MIN(C1724,Eingaben!$B$17)*Eingaben!$B$16,0)</f>
        <v>1.938</v>
      </c>
      <c r="F1724" s="13" t="n">
        <f aca="false">IFERROR(E1724*Eingaben!$B$15,0)</f>
        <v>1.7442</v>
      </c>
      <c r="G1724" s="13" t="n">
        <f aca="false">IFERROR(IF(Kalender!A260="",0,J1723*(1-Eingaben!$B$20)),0)</f>
        <v>1.561363244</v>
      </c>
      <c r="H1724" s="13" t="n">
        <f aca="false">MIN(G1724,D1724)</f>
        <v>0.89</v>
      </c>
      <c r="I1724" s="13" t="n">
        <f aca="false">IFERROR(MIN(F1724*Eingaben!$B$19,MAX(0,D1724-H1724)),0)</f>
        <v>0</v>
      </c>
      <c r="J1724" s="13" t="n">
        <f aca="false">IFERROR(MIN(Eingaben!$B$18,MAX(0,F1724-I1724)),0)</f>
        <v>1.7442</v>
      </c>
      <c r="K1724" s="13" t="n">
        <f aca="false">H1724+I1724</f>
        <v>0.89</v>
      </c>
      <c r="L1724" s="13" t="n">
        <f aca="false">MAX(0,D1724-K1724)</f>
        <v>0</v>
      </c>
      <c r="M1724" s="13" t="n">
        <f aca="false">MAX(0,F1724-I1724-J1724)</f>
        <v>0</v>
      </c>
      <c r="N1724" s="13" t="n">
        <f aca="false">IF(Kalender!A260="",0,J1723-H1724)</f>
        <v>0.7032278</v>
      </c>
    </row>
    <row r="1725" customFormat="false" ht="16.4" hidden="false" customHeight="false" outlineLevel="0" collapsed="false">
      <c r="A1725" s="13" t="str">
        <f aca="false">""</f>
        <v/>
      </c>
      <c r="B1725" s="13" t="n">
        <f aca="false">257</f>
        <v>257</v>
      </c>
      <c r="C1725" s="13" t="n">
        <f aca="false">IF(Szenarien!$H$15="OK",(IFERROR(SUMIF(Nutzungsprofile!$B$6:$B$11,"Schulbetrieb",Nutzungsprofile!$G$6:$G$11)*Kalender!C261/SUM(Kalender!$C$5:$C$370),0)+IFERROR(SUMIF(Nutzungsprofile!$B$6:$B$11,"Halle",Nutzungsprofile!$G$6:$G$11)*Kalender!D261/SUM(Kalender!$D$5:$D$370),0)+IFERROR(SUMIF(Nutzungsprofile!$B$6:$B$11,"Individuell",Nutzungsprofile!$G$6:$G$11)*Kalender!E261/SUM(Kalender!$E$5:$E$370),0))*Szenarien!$E$15,0)</f>
        <v>2.94</v>
      </c>
      <c r="D1725" s="13" t="n">
        <f aca="false">IF(Szenarien!$H$15="OK",(IFERROR(SUMIF(Nutzungsprofile!$B$17:$B$22,"Schulbetrieb",Nutzungsprofile!$G$17:$G$22)*Kalender!C261/SUM(Kalender!$C$5:$C$370),0)+IFERROR(SUMIF(Nutzungsprofile!$B$17:$B$22,"Halle",Nutzungsprofile!$G$17:$G$22)*Kalender!D261/SUM(Kalender!$D$5:$D$370),0)+IFERROR(SUMIF(Nutzungsprofile!$B$17:$B$22,"Individuell",Nutzungsprofile!$G$17:$G$22)*Kalender!E261/SUM(Kalender!$E$5:$E$370),0))*Szenarien!$D$15,0)</f>
        <v>4.94</v>
      </c>
      <c r="E1725" s="13" t="n">
        <f aca="false">IFERROR(MIN(C1725,Eingaben!$B$17)*Eingaben!$B$16,0)</f>
        <v>2.793</v>
      </c>
      <c r="F1725" s="13" t="n">
        <f aca="false">IFERROR(E1725*Eingaben!$B$15,0)</f>
        <v>2.5137</v>
      </c>
      <c r="G1725" s="13" t="n">
        <f aca="false">IFERROR(IF(Kalender!A261="",0,J1724*(1-Eingaben!$B$20)),0)</f>
        <v>1.709316</v>
      </c>
      <c r="H1725" s="13" t="n">
        <f aca="false">MIN(G1725,D1725)</f>
        <v>1.709316</v>
      </c>
      <c r="I1725" s="13" t="n">
        <f aca="false">IFERROR(MIN(F1725*Eingaben!$B$19,MAX(0,D1725-H1725)),0)</f>
        <v>1.75959</v>
      </c>
      <c r="J1725" s="13" t="n">
        <f aca="false">IFERROR(MIN(Eingaben!$B$18,MAX(0,F1725-I1725)),0)</f>
        <v>0.75411</v>
      </c>
      <c r="K1725" s="13" t="n">
        <f aca="false">H1725+I1725</f>
        <v>3.468906</v>
      </c>
      <c r="L1725" s="13" t="n">
        <f aca="false">MAX(0,D1725-K1725)</f>
        <v>1.471094</v>
      </c>
      <c r="M1725" s="13" t="n">
        <f aca="false">MAX(0,F1725-I1725-J1725)</f>
        <v>0</v>
      </c>
      <c r="N1725" s="13" t="n">
        <f aca="false">IF(Kalender!A261="",0,J1724-H1725)</f>
        <v>0.0348840000000001</v>
      </c>
    </row>
    <row r="1726" customFormat="false" ht="16.4" hidden="false" customHeight="false" outlineLevel="0" collapsed="false">
      <c r="A1726" s="13" t="str">
        <f aca="false">""</f>
        <v/>
      </c>
      <c r="B1726" s="13" t="n">
        <f aca="false">258</f>
        <v>258</v>
      </c>
      <c r="C1726" s="13" t="n">
        <f aca="false">IF(Szenarien!$H$15="OK",(IFERROR(SUMIF(Nutzungsprofile!$B$6:$B$11,"Schulbetrieb",Nutzungsprofile!$G$6:$G$11)*Kalender!C262/SUM(Kalender!$C$5:$C$370),0)+IFERROR(SUMIF(Nutzungsprofile!$B$6:$B$11,"Halle",Nutzungsprofile!$G$6:$G$11)*Kalender!D262/SUM(Kalender!$D$5:$D$370),0)+IFERROR(SUMIF(Nutzungsprofile!$B$6:$B$11,"Individuell",Nutzungsprofile!$G$6:$G$11)*Kalender!E262/SUM(Kalender!$E$5:$E$370),0))*Szenarien!$E$15,0)</f>
        <v>2.94</v>
      </c>
      <c r="D1726" s="13" t="n">
        <f aca="false">IF(Szenarien!$H$15="OK",(IFERROR(SUMIF(Nutzungsprofile!$B$17:$B$22,"Schulbetrieb",Nutzungsprofile!$G$17:$G$22)*Kalender!C262/SUM(Kalender!$C$5:$C$370),0)+IFERROR(SUMIF(Nutzungsprofile!$B$17:$B$22,"Halle",Nutzungsprofile!$G$17:$G$22)*Kalender!D262/SUM(Kalender!$D$5:$D$370),0)+IFERROR(SUMIF(Nutzungsprofile!$B$17:$B$22,"Individuell",Nutzungsprofile!$G$17:$G$22)*Kalender!E262/SUM(Kalender!$E$5:$E$370),0))*Szenarien!$D$15,0)</f>
        <v>4.94</v>
      </c>
      <c r="E1726" s="13" t="n">
        <f aca="false">IFERROR(MIN(C1726,Eingaben!$B$17)*Eingaben!$B$16,0)</f>
        <v>2.793</v>
      </c>
      <c r="F1726" s="13" t="n">
        <f aca="false">IFERROR(E1726*Eingaben!$B$15,0)</f>
        <v>2.5137</v>
      </c>
      <c r="G1726" s="13" t="n">
        <f aca="false">IFERROR(IF(Kalender!A262="",0,J1725*(1-Eingaben!$B$20)),0)</f>
        <v>0.7390278</v>
      </c>
      <c r="H1726" s="13" t="n">
        <f aca="false">MIN(G1726,D1726)</f>
        <v>0.7390278</v>
      </c>
      <c r="I1726" s="13" t="n">
        <f aca="false">IFERROR(MIN(F1726*Eingaben!$B$19,MAX(0,D1726-H1726)),0)</f>
        <v>1.75959</v>
      </c>
      <c r="J1726" s="13" t="n">
        <f aca="false">IFERROR(MIN(Eingaben!$B$18,MAX(0,F1726-I1726)),0)</f>
        <v>0.75411</v>
      </c>
      <c r="K1726" s="13" t="n">
        <f aca="false">H1726+I1726</f>
        <v>2.4986178</v>
      </c>
      <c r="L1726" s="13" t="n">
        <f aca="false">MAX(0,D1726-K1726)</f>
        <v>2.4413822</v>
      </c>
      <c r="M1726" s="13" t="n">
        <f aca="false">MAX(0,F1726-I1726-J1726)</f>
        <v>0</v>
      </c>
      <c r="N1726" s="13" t="n">
        <f aca="false">IF(Kalender!A262="",0,J1725-H1726)</f>
        <v>0.0150822</v>
      </c>
    </row>
    <row r="1727" customFormat="false" ht="16.4" hidden="false" customHeight="false" outlineLevel="0" collapsed="false">
      <c r="A1727" s="13" t="str">
        <f aca="false">""</f>
        <v/>
      </c>
      <c r="B1727" s="13" t="n">
        <f aca="false">259</f>
        <v>259</v>
      </c>
      <c r="C1727" s="13" t="n">
        <f aca="false">IF(Szenarien!$H$15="OK",(IFERROR(SUMIF(Nutzungsprofile!$B$6:$B$11,"Schulbetrieb",Nutzungsprofile!$G$6:$G$11)*Kalender!C263/SUM(Kalender!$C$5:$C$370),0)+IFERROR(SUMIF(Nutzungsprofile!$B$6:$B$11,"Halle",Nutzungsprofile!$G$6:$G$11)*Kalender!D263/SUM(Kalender!$D$5:$D$370),0)+IFERROR(SUMIF(Nutzungsprofile!$B$6:$B$11,"Individuell",Nutzungsprofile!$G$6:$G$11)*Kalender!E263/SUM(Kalender!$E$5:$E$370),0))*Szenarien!$E$15,0)</f>
        <v>2.94</v>
      </c>
      <c r="D1727" s="13" t="n">
        <f aca="false">IF(Szenarien!$H$15="OK",(IFERROR(SUMIF(Nutzungsprofile!$B$17:$B$22,"Schulbetrieb",Nutzungsprofile!$G$17:$G$22)*Kalender!C263/SUM(Kalender!$C$5:$C$370),0)+IFERROR(SUMIF(Nutzungsprofile!$B$17:$B$22,"Halle",Nutzungsprofile!$G$17:$G$22)*Kalender!D263/SUM(Kalender!$D$5:$D$370),0)+IFERROR(SUMIF(Nutzungsprofile!$B$17:$B$22,"Individuell",Nutzungsprofile!$G$17:$G$22)*Kalender!E263/SUM(Kalender!$E$5:$E$370),0))*Szenarien!$D$15,0)</f>
        <v>4.94</v>
      </c>
      <c r="E1727" s="13" t="n">
        <f aca="false">IFERROR(MIN(C1727,Eingaben!$B$17)*Eingaben!$B$16,0)</f>
        <v>2.793</v>
      </c>
      <c r="F1727" s="13" t="n">
        <f aca="false">IFERROR(E1727*Eingaben!$B$15,0)</f>
        <v>2.5137</v>
      </c>
      <c r="G1727" s="13" t="n">
        <f aca="false">IFERROR(IF(Kalender!A263="",0,J1726*(1-Eingaben!$B$20)),0)</f>
        <v>0.7390278</v>
      </c>
      <c r="H1727" s="13" t="n">
        <f aca="false">MIN(G1727,D1727)</f>
        <v>0.7390278</v>
      </c>
      <c r="I1727" s="13" t="n">
        <f aca="false">IFERROR(MIN(F1727*Eingaben!$B$19,MAX(0,D1727-H1727)),0)</f>
        <v>1.75959</v>
      </c>
      <c r="J1727" s="13" t="n">
        <f aca="false">IFERROR(MIN(Eingaben!$B$18,MAX(0,F1727-I1727)),0)</f>
        <v>0.75411</v>
      </c>
      <c r="K1727" s="13" t="n">
        <f aca="false">H1727+I1727</f>
        <v>2.4986178</v>
      </c>
      <c r="L1727" s="13" t="n">
        <f aca="false">MAX(0,D1727-K1727)</f>
        <v>2.4413822</v>
      </c>
      <c r="M1727" s="13" t="n">
        <f aca="false">MAX(0,F1727-I1727-J1727)</f>
        <v>0</v>
      </c>
      <c r="N1727" s="13" t="n">
        <f aca="false">IF(Kalender!A263="",0,J1726-H1727)</f>
        <v>0.0150822</v>
      </c>
    </row>
    <row r="1728" customFormat="false" ht="16.4" hidden="false" customHeight="false" outlineLevel="0" collapsed="false">
      <c r="A1728" s="13" t="str">
        <f aca="false">""</f>
        <v/>
      </c>
      <c r="B1728" s="13" t="n">
        <f aca="false">260</f>
        <v>260</v>
      </c>
      <c r="C1728" s="13" t="n">
        <f aca="false">IF(Szenarien!$H$15="OK",(IFERROR(SUMIF(Nutzungsprofile!$B$6:$B$11,"Schulbetrieb",Nutzungsprofile!$G$6:$G$11)*Kalender!C264/SUM(Kalender!$C$5:$C$370),0)+IFERROR(SUMIF(Nutzungsprofile!$B$6:$B$11,"Halle",Nutzungsprofile!$G$6:$G$11)*Kalender!D264/SUM(Kalender!$D$5:$D$370),0)+IFERROR(SUMIF(Nutzungsprofile!$B$6:$B$11,"Individuell",Nutzungsprofile!$G$6:$G$11)*Kalender!E264/SUM(Kalender!$E$5:$E$370),0))*Szenarien!$E$15,0)</f>
        <v>2.94</v>
      </c>
      <c r="D1728" s="13" t="n">
        <f aca="false">IF(Szenarien!$H$15="OK",(IFERROR(SUMIF(Nutzungsprofile!$B$17:$B$22,"Schulbetrieb",Nutzungsprofile!$G$17:$G$22)*Kalender!C264/SUM(Kalender!$C$5:$C$370),0)+IFERROR(SUMIF(Nutzungsprofile!$B$17:$B$22,"Halle",Nutzungsprofile!$G$17:$G$22)*Kalender!D264/SUM(Kalender!$D$5:$D$370),0)+IFERROR(SUMIF(Nutzungsprofile!$B$17:$B$22,"Individuell",Nutzungsprofile!$G$17:$G$22)*Kalender!E264/SUM(Kalender!$E$5:$E$370),0))*Szenarien!$D$15,0)</f>
        <v>4.94</v>
      </c>
      <c r="E1728" s="13" t="n">
        <f aca="false">IFERROR(MIN(C1728,Eingaben!$B$17)*Eingaben!$B$16,0)</f>
        <v>2.793</v>
      </c>
      <c r="F1728" s="13" t="n">
        <f aca="false">IFERROR(E1728*Eingaben!$B$15,0)</f>
        <v>2.5137</v>
      </c>
      <c r="G1728" s="13" t="n">
        <f aca="false">IFERROR(IF(Kalender!A264="",0,J1727*(1-Eingaben!$B$20)),0)</f>
        <v>0.7390278</v>
      </c>
      <c r="H1728" s="13" t="n">
        <f aca="false">MIN(G1728,D1728)</f>
        <v>0.7390278</v>
      </c>
      <c r="I1728" s="13" t="n">
        <f aca="false">IFERROR(MIN(F1728*Eingaben!$B$19,MAX(0,D1728-H1728)),0)</f>
        <v>1.75959</v>
      </c>
      <c r="J1728" s="13" t="n">
        <f aca="false">IFERROR(MIN(Eingaben!$B$18,MAX(0,F1728-I1728)),0)</f>
        <v>0.75411</v>
      </c>
      <c r="K1728" s="13" t="n">
        <f aca="false">H1728+I1728</f>
        <v>2.4986178</v>
      </c>
      <c r="L1728" s="13" t="n">
        <f aca="false">MAX(0,D1728-K1728)</f>
        <v>2.4413822</v>
      </c>
      <c r="M1728" s="13" t="n">
        <f aca="false">MAX(0,F1728-I1728-J1728)</f>
        <v>0</v>
      </c>
      <c r="N1728" s="13" t="n">
        <f aca="false">IF(Kalender!A264="",0,J1727-H1728)</f>
        <v>0.0150822</v>
      </c>
    </row>
    <row r="1729" customFormat="false" ht="16.4" hidden="false" customHeight="false" outlineLevel="0" collapsed="false">
      <c r="A1729" s="13" t="str">
        <f aca="false">""</f>
        <v/>
      </c>
      <c r="B1729" s="13" t="n">
        <f aca="false">261</f>
        <v>261</v>
      </c>
      <c r="C1729" s="13" t="n">
        <f aca="false">IF(Szenarien!$H$15="OK",(IFERROR(SUMIF(Nutzungsprofile!$B$6:$B$11,"Schulbetrieb",Nutzungsprofile!$G$6:$G$11)*Kalender!C265/SUM(Kalender!$C$5:$C$370),0)+IFERROR(SUMIF(Nutzungsprofile!$B$6:$B$11,"Halle",Nutzungsprofile!$G$6:$G$11)*Kalender!D265/SUM(Kalender!$D$5:$D$370),0)+IFERROR(SUMIF(Nutzungsprofile!$B$6:$B$11,"Individuell",Nutzungsprofile!$G$6:$G$11)*Kalender!E265/SUM(Kalender!$E$5:$E$370),0))*Szenarien!$E$15,0)</f>
        <v>2.94</v>
      </c>
      <c r="D1729" s="13" t="n">
        <f aca="false">IF(Szenarien!$H$15="OK",(IFERROR(SUMIF(Nutzungsprofile!$B$17:$B$22,"Schulbetrieb",Nutzungsprofile!$G$17:$G$22)*Kalender!C265/SUM(Kalender!$C$5:$C$370),0)+IFERROR(SUMIF(Nutzungsprofile!$B$17:$B$22,"Halle",Nutzungsprofile!$G$17:$G$22)*Kalender!D265/SUM(Kalender!$D$5:$D$370),0)+IFERROR(SUMIF(Nutzungsprofile!$B$17:$B$22,"Individuell",Nutzungsprofile!$G$17:$G$22)*Kalender!E265/SUM(Kalender!$E$5:$E$370),0))*Szenarien!$D$15,0)</f>
        <v>4.94</v>
      </c>
      <c r="E1729" s="13" t="n">
        <f aca="false">IFERROR(MIN(C1729,Eingaben!$B$17)*Eingaben!$B$16,0)</f>
        <v>2.793</v>
      </c>
      <c r="F1729" s="13" t="n">
        <f aca="false">IFERROR(E1729*Eingaben!$B$15,0)</f>
        <v>2.5137</v>
      </c>
      <c r="G1729" s="13" t="n">
        <f aca="false">IFERROR(IF(Kalender!A265="",0,J1728*(1-Eingaben!$B$20)),0)</f>
        <v>0.7390278</v>
      </c>
      <c r="H1729" s="13" t="n">
        <f aca="false">MIN(G1729,D1729)</f>
        <v>0.7390278</v>
      </c>
      <c r="I1729" s="13" t="n">
        <f aca="false">IFERROR(MIN(F1729*Eingaben!$B$19,MAX(0,D1729-H1729)),0)</f>
        <v>1.75959</v>
      </c>
      <c r="J1729" s="13" t="n">
        <f aca="false">IFERROR(MIN(Eingaben!$B$18,MAX(0,F1729-I1729)),0)</f>
        <v>0.75411</v>
      </c>
      <c r="K1729" s="13" t="n">
        <f aca="false">H1729+I1729</f>
        <v>2.4986178</v>
      </c>
      <c r="L1729" s="13" t="n">
        <f aca="false">MAX(0,D1729-K1729)</f>
        <v>2.4413822</v>
      </c>
      <c r="M1729" s="13" t="n">
        <f aca="false">MAX(0,F1729-I1729-J1729)</f>
        <v>0</v>
      </c>
      <c r="N1729" s="13" t="n">
        <f aca="false">IF(Kalender!A265="",0,J1728-H1729)</f>
        <v>0.0150822</v>
      </c>
    </row>
    <row r="1730" customFormat="false" ht="16.4" hidden="false" customHeight="false" outlineLevel="0" collapsed="false">
      <c r="A1730" s="13" t="str">
        <f aca="false">""</f>
        <v/>
      </c>
      <c r="B1730" s="13" t="n">
        <f aca="false">262</f>
        <v>262</v>
      </c>
      <c r="C1730" s="13" t="n">
        <f aca="false">IF(Szenarien!$H$15="OK",(IFERROR(SUMIF(Nutzungsprofile!$B$6:$B$11,"Schulbetrieb",Nutzungsprofile!$G$6:$G$11)*Kalender!C266/SUM(Kalender!$C$5:$C$370),0)+IFERROR(SUMIF(Nutzungsprofile!$B$6:$B$11,"Halle",Nutzungsprofile!$G$6:$G$11)*Kalender!D266/SUM(Kalender!$D$5:$D$370),0)+IFERROR(SUMIF(Nutzungsprofile!$B$6:$B$11,"Individuell",Nutzungsprofile!$G$6:$G$11)*Kalender!E266/SUM(Kalender!$E$5:$E$370),0))*Szenarien!$E$15,0)</f>
        <v>2.04</v>
      </c>
      <c r="D1730" s="13" t="n">
        <f aca="false">IF(Szenarien!$H$15="OK",(IFERROR(SUMIF(Nutzungsprofile!$B$17:$B$22,"Schulbetrieb",Nutzungsprofile!$G$17:$G$22)*Kalender!C266/SUM(Kalender!$C$5:$C$370),0)+IFERROR(SUMIF(Nutzungsprofile!$B$17:$B$22,"Halle",Nutzungsprofile!$G$17:$G$22)*Kalender!D266/SUM(Kalender!$D$5:$D$370),0)+IFERROR(SUMIF(Nutzungsprofile!$B$17:$B$22,"Individuell",Nutzungsprofile!$G$17:$G$22)*Kalender!E266/SUM(Kalender!$E$5:$E$370),0))*Szenarien!$D$15,0)</f>
        <v>0.89</v>
      </c>
      <c r="E1730" s="13" t="n">
        <f aca="false">IFERROR(MIN(C1730,Eingaben!$B$17)*Eingaben!$B$16,0)</f>
        <v>1.938</v>
      </c>
      <c r="F1730" s="13" t="n">
        <f aca="false">IFERROR(E1730*Eingaben!$B$15,0)</f>
        <v>1.7442</v>
      </c>
      <c r="G1730" s="13" t="n">
        <f aca="false">IFERROR(IF(Kalender!A266="",0,J1729*(1-Eingaben!$B$20)),0)</f>
        <v>0.7390278</v>
      </c>
      <c r="H1730" s="13" t="n">
        <f aca="false">MIN(G1730,D1730)</f>
        <v>0.7390278</v>
      </c>
      <c r="I1730" s="13" t="n">
        <f aca="false">IFERROR(MIN(F1730*Eingaben!$B$19,MAX(0,D1730-H1730)),0)</f>
        <v>0.1509722</v>
      </c>
      <c r="J1730" s="13" t="n">
        <f aca="false">IFERROR(MIN(Eingaben!$B$18,MAX(0,F1730-I1730)),0)</f>
        <v>1.5932278</v>
      </c>
      <c r="K1730" s="13" t="n">
        <f aca="false">H1730+I1730</f>
        <v>0.89</v>
      </c>
      <c r="L1730" s="13" t="n">
        <f aca="false">MAX(0,D1730-K1730)</f>
        <v>0</v>
      </c>
      <c r="M1730" s="13" t="n">
        <f aca="false">MAX(0,F1730-I1730-J1730)</f>
        <v>0</v>
      </c>
      <c r="N1730" s="13" t="n">
        <f aca="false">IF(Kalender!A266="",0,J1729-H1730)</f>
        <v>0.0150822</v>
      </c>
    </row>
    <row r="1731" customFormat="false" ht="16.4" hidden="false" customHeight="false" outlineLevel="0" collapsed="false">
      <c r="A1731" s="13" t="str">
        <f aca="false">""</f>
        <v/>
      </c>
      <c r="B1731" s="13" t="n">
        <f aca="false">263</f>
        <v>263</v>
      </c>
      <c r="C1731" s="13" t="n">
        <f aca="false">IF(Szenarien!$H$15="OK",(IFERROR(SUMIF(Nutzungsprofile!$B$6:$B$11,"Schulbetrieb",Nutzungsprofile!$G$6:$G$11)*Kalender!C267/SUM(Kalender!$C$5:$C$370),0)+IFERROR(SUMIF(Nutzungsprofile!$B$6:$B$11,"Halle",Nutzungsprofile!$G$6:$G$11)*Kalender!D267/SUM(Kalender!$D$5:$D$370),0)+IFERROR(SUMIF(Nutzungsprofile!$B$6:$B$11,"Individuell",Nutzungsprofile!$G$6:$G$11)*Kalender!E267/SUM(Kalender!$E$5:$E$370),0))*Szenarien!$E$15,0)</f>
        <v>2.04</v>
      </c>
      <c r="D1731" s="13" t="n">
        <f aca="false">IF(Szenarien!$H$15="OK",(IFERROR(SUMIF(Nutzungsprofile!$B$17:$B$22,"Schulbetrieb",Nutzungsprofile!$G$17:$G$22)*Kalender!C267/SUM(Kalender!$C$5:$C$370),0)+IFERROR(SUMIF(Nutzungsprofile!$B$17:$B$22,"Halle",Nutzungsprofile!$G$17:$G$22)*Kalender!D267/SUM(Kalender!$D$5:$D$370),0)+IFERROR(SUMIF(Nutzungsprofile!$B$17:$B$22,"Individuell",Nutzungsprofile!$G$17:$G$22)*Kalender!E267/SUM(Kalender!$E$5:$E$370),0))*Szenarien!$D$15,0)</f>
        <v>0.89</v>
      </c>
      <c r="E1731" s="13" t="n">
        <f aca="false">IFERROR(MIN(C1731,Eingaben!$B$17)*Eingaben!$B$16,0)</f>
        <v>1.938</v>
      </c>
      <c r="F1731" s="13" t="n">
        <f aca="false">IFERROR(E1731*Eingaben!$B$15,0)</f>
        <v>1.7442</v>
      </c>
      <c r="G1731" s="13" t="n">
        <f aca="false">IFERROR(IF(Kalender!A267="",0,J1730*(1-Eingaben!$B$20)),0)</f>
        <v>1.561363244</v>
      </c>
      <c r="H1731" s="13" t="n">
        <f aca="false">MIN(G1731,D1731)</f>
        <v>0.89</v>
      </c>
      <c r="I1731" s="13" t="n">
        <f aca="false">IFERROR(MIN(F1731*Eingaben!$B$19,MAX(0,D1731-H1731)),0)</f>
        <v>0</v>
      </c>
      <c r="J1731" s="13" t="n">
        <f aca="false">IFERROR(MIN(Eingaben!$B$18,MAX(0,F1731-I1731)),0)</f>
        <v>1.7442</v>
      </c>
      <c r="K1731" s="13" t="n">
        <f aca="false">H1731+I1731</f>
        <v>0.89</v>
      </c>
      <c r="L1731" s="13" t="n">
        <f aca="false">MAX(0,D1731-K1731)</f>
        <v>0</v>
      </c>
      <c r="M1731" s="13" t="n">
        <f aca="false">MAX(0,F1731-I1731-J1731)</f>
        <v>0</v>
      </c>
      <c r="N1731" s="13" t="n">
        <f aca="false">IF(Kalender!A267="",0,J1730-H1731)</f>
        <v>0.7032278</v>
      </c>
    </row>
    <row r="1732" customFormat="false" ht="16.4" hidden="false" customHeight="false" outlineLevel="0" collapsed="false">
      <c r="A1732" s="13" t="str">
        <f aca="false">""</f>
        <v/>
      </c>
      <c r="B1732" s="13" t="n">
        <f aca="false">264</f>
        <v>264</v>
      </c>
      <c r="C1732" s="13" t="n">
        <f aca="false">IF(Szenarien!$H$15="OK",(IFERROR(SUMIF(Nutzungsprofile!$B$6:$B$11,"Schulbetrieb",Nutzungsprofile!$G$6:$G$11)*Kalender!C268/SUM(Kalender!$C$5:$C$370),0)+IFERROR(SUMIF(Nutzungsprofile!$B$6:$B$11,"Halle",Nutzungsprofile!$G$6:$G$11)*Kalender!D268/SUM(Kalender!$D$5:$D$370),0)+IFERROR(SUMIF(Nutzungsprofile!$B$6:$B$11,"Individuell",Nutzungsprofile!$G$6:$G$11)*Kalender!E268/SUM(Kalender!$E$5:$E$370),0))*Szenarien!$E$15,0)</f>
        <v>2.94</v>
      </c>
      <c r="D1732" s="13" t="n">
        <f aca="false">IF(Szenarien!$H$15="OK",(IFERROR(SUMIF(Nutzungsprofile!$B$17:$B$22,"Schulbetrieb",Nutzungsprofile!$G$17:$G$22)*Kalender!C268/SUM(Kalender!$C$5:$C$370),0)+IFERROR(SUMIF(Nutzungsprofile!$B$17:$B$22,"Halle",Nutzungsprofile!$G$17:$G$22)*Kalender!D268/SUM(Kalender!$D$5:$D$370),0)+IFERROR(SUMIF(Nutzungsprofile!$B$17:$B$22,"Individuell",Nutzungsprofile!$G$17:$G$22)*Kalender!E268/SUM(Kalender!$E$5:$E$370),0))*Szenarien!$D$15,0)</f>
        <v>4.94</v>
      </c>
      <c r="E1732" s="13" t="n">
        <f aca="false">IFERROR(MIN(C1732,Eingaben!$B$17)*Eingaben!$B$16,0)</f>
        <v>2.793</v>
      </c>
      <c r="F1732" s="13" t="n">
        <f aca="false">IFERROR(E1732*Eingaben!$B$15,0)</f>
        <v>2.5137</v>
      </c>
      <c r="G1732" s="13" t="n">
        <f aca="false">IFERROR(IF(Kalender!A268="",0,J1731*(1-Eingaben!$B$20)),0)</f>
        <v>1.709316</v>
      </c>
      <c r="H1732" s="13" t="n">
        <f aca="false">MIN(G1732,D1732)</f>
        <v>1.709316</v>
      </c>
      <c r="I1732" s="13" t="n">
        <f aca="false">IFERROR(MIN(F1732*Eingaben!$B$19,MAX(0,D1732-H1732)),0)</f>
        <v>1.75959</v>
      </c>
      <c r="J1732" s="13" t="n">
        <f aca="false">IFERROR(MIN(Eingaben!$B$18,MAX(0,F1732-I1732)),0)</f>
        <v>0.75411</v>
      </c>
      <c r="K1732" s="13" t="n">
        <f aca="false">H1732+I1732</f>
        <v>3.468906</v>
      </c>
      <c r="L1732" s="13" t="n">
        <f aca="false">MAX(0,D1732-K1732)</f>
        <v>1.471094</v>
      </c>
      <c r="M1732" s="13" t="n">
        <f aca="false">MAX(0,F1732-I1732-J1732)</f>
        <v>0</v>
      </c>
      <c r="N1732" s="13" t="n">
        <f aca="false">IF(Kalender!A268="",0,J1731-H1732)</f>
        <v>0.0348840000000001</v>
      </c>
    </row>
    <row r="1733" customFormat="false" ht="16.4" hidden="false" customHeight="false" outlineLevel="0" collapsed="false">
      <c r="A1733" s="13" t="str">
        <f aca="false">""</f>
        <v/>
      </c>
      <c r="B1733" s="13" t="n">
        <f aca="false">265</f>
        <v>265</v>
      </c>
      <c r="C1733" s="13" t="n">
        <f aca="false">IF(Szenarien!$H$15="OK",(IFERROR(SUMIF(Nutzungsprofile!$B$6:$B$11,"Schulbetrieb",Nutzungsprofile!$G$6:$G$11)*Kalender!C269/SUM(Kalender!$C$5:$C$370),0)+IFERROR(SUMIF(Nutzungsprofile!$B$6:$B$11,"Halle",Nutzungsprofile!$G$6:$G$11)*Kalender!D269/SUM(Kalender!$D$5:$D$370),0)+IFERROR(SUMIF(Nutzungsprofile!$B$6:$B$11,"Individuell",Nutzungsprofile!$G$6:$G$11)*Kalender!E269/SUM(Kalender!$E$5:$E$370),0))*Szenarien!$E$15,0)</f>
        <v>2.94</v>
      </c>
      <c r="D1733" s="13" t="n">
        <f aca="false">IF(Szenarien!$H$15="OK",(IFERROR(SUMIF(Nutzungsprofile!$B$17:$B$22,"Schulbetrieb",Nutzungsprofile!$G$17:$G$22)*Kalender!C269/SUM(Kalender!$C$5:$C$370),0)+IFERROR(SUMIF(Nutzungsprofile!$B$17:$B$22,"Halle",Nutzungsprofile!$G$17:$G$22)*Kalender!D269/SUM(Kalender!$D$5:$D$370),0)+IFERROR(SUMIF(Nutzungsprofile!$B$17:$B$22,"Individuell",Nutzungsprofile!$G$17:$G$22)*Kalender!E269/SUM(Kalender!$E$5:$E$370),0))*Szenarien!$D$15,0)</f>
        <v>4.94</v>
      </c>
      <c r="E1733" s="13" t="n">
        <f aca="false">IFERROR(MIN(C1733,Eingaben!$B$17)*Eingaben!$B$16,0)</f>
        <v>2.793</v>
      </c>
      <c r="F1733" s="13" t="n">
        <f aca="false">IFERROR(E1733*Eingaben!$B$15,0)</f>
        <v>2.5137</v>
      </c>
      <c r="G1733" s="13" t="n">
        <f aca="false">IFERROR(IF(Kalender!A269="",0,J1732*(1-Eingaben!$B$20)),0)</f>
        <v>0.7390278</v>
      </c>
      <c r="H1733" s="13" t="n">
        <f aca="false">MIN(G1733,D1733)</f>
        <v>0.7390278</v>
      </c>
      <c r="I1733" s="13" t="n">
        <f aca="false">IFERROR(MIN(F1733*Eingaben!$B$19,MAX(0,D1733-H1733)),0)</f>
        <v>1.75959</v>
      </c>
      <c r="J1733" s="13" t="n">
        <f aca="false">IFERROR(MIN(Eingaben!$B$18,MAX(0,F1733-I1733)),0)</f>
        <v>0.75411</v>
      </c>
      <c r="K1733" s="13" t="n">
        <f aca="false">H1733+I1733</f>
        <v>2.4986178</v>
      </c>
      <c r="L1733" s="13" t="n">
        <f aca="false">MAX(0,D1733-K1733)</f>
        <v>2.4413822</v>
      </c>
      <c r="M1733" s="13" t="n">
        <f aca="false">MAX(0,F1733-I1733-J1733)</f>
        <v>0</v>
      </c>
      <c r="N1733" s="13" t="n">
        <f aca="false">IF(Kalender!A269="",0,J1732-H1733)</f>
        <v>0.0150822</v>
      </c>
    </row>
    <row r="1734" customFormat="false" ht="16.4" hidden="false" customHeight="false" outlineLevel="0" collapsed="false">
      <c r="A1734" s="13" t="str">
        <f aca="false">""</f>
        <v/>
      </c>
      <c r="B1734" s="13" t="n">
        <f aca="false">266</f>
        <v>266</v>
      </c>
      <c r="C1734" s="13" t="n">
        <f aca="false">IF(Szenarien!$H$15="OK",(IFERROR(SUMIF(Nutzungsprofile!$B$6:$B$11,"Schulbetrieb",Nutzungsprofile!$G$6:$G$11)*Kalender!C270/SUM(Kalender!$C$5:$C$370),0)+IFERROR(SUMIF(Nutzungsprofile!$B$6:$B$11,"Halle",Nutzungsprofile!$G$6:$G$11)*Kalender!D270/SUM(Kalender!$D$5:$D$370),0)+IFERROR(SUMIF(Nutzungsprofile!$B$6:$B$11,"Individuell",Nutzungsprofile!$G$6:$G$11)*Kalender!E270/SUM(Kalender!$E$5:$E$370),0))*Szenarien!$E$15,0)</f>
        <v>2.94</v>
      </c>
      <c r="D1734" s="13" t="n">
        <f aca="false">IF(Szenarien!$H$15="OK",(IFERROR(SUMIF(Nutzungsprofile!$B$17:$B$22,"Schulbetrieb",Nutzungsprofile!$G$17:$G$22)*Kalender!C270/SUM(Kalender!$C$5:$C$370),0)+IFERROR(SUMIF(Nutzungsprofile!$B$17:$B$22,"Halle",Nutzungsprofile!$G$17:$G$22)*Kalender!D270/SUM(Kalender!$D$5:$D$370),0)+IFERROR(SUMIF(Nutzungsprofile!$B$17:$B$22,"Individuell",Nutzungsprofile!$G$17:$G$22)*Kalender!E270/SUM(Kalender!$E$5:$E$370),0))*Szenarien!$D$15,0)</f>
        <v>4.94</v>
      </c>
      <c r="E1734" s="13" t="n">
        <f aca="false">IFERROR(MIN(C1734,Eingaben!$B$17)*Eingaben!$B$16,0)</f>
        <v>2.793</v>
      </c>
      <c r="F1734" s="13" t="n">
        <f aca="false">IFERROR(E1734*Eingaben!$B$15,0)</f>
        <v>2.5137</v>
      </c>
      <c r="G1734" s="13" t="n">
        <f aca="false">IFERROR(IF(Kalender!A270="",0,J1733*(1-Eingaben!$B$20)),0)</f>
        <v>0.7390278</v>
      </c>
      <c r="H1734" s="13" t="n">
        <f aca="false">MIN(G1734,D1734)</f>
        <v>0.7390278</v>
      </c>
      <c r="I1734" s="13" t="n">
        <f aca="false">IFERROR(MIN(F1734*Eingaben!$B$19,MAX(0,D1734-H1734)),0)</f>
        <v>1.75959</v>
      </c>
      <c r="J1734" s="13" t="n">
        <f aca="false">IFERROR(MIN(Eingaben!$B$18,MAX(0,F1734-I1734)),0)</f>
        <v>0.75411</v>
      </c>
      <c r="K1734" s="13" t="n">
        <f aca="false">H1734+I1734</f>
        <v>2.4986178</v>
      </c>
      <c r="L1734" s="13" t="n">
        <f aca="false">MAX(0,D1734-K1734)</f>
        <v>2.4413822</v>
      </c>
      <c r="M1734" s="13" t="n">
        <f aca="false">MAX(0,F1734-I1734-J1734)</f>
        <v>0</v>
      </c>
      <c r="N1734" s="13" t="n">
        <f aca="false">IF(Kalender!A270="",0,J1733-H1734)</f>
        <v>0.0150822</v>
      </c>
    </row>
    <row r="1735" customFormat="false" ht="16.4" hidden="false" customHeight="false" outlineLevel="0" collapsed="false">
      <c r="A1735" s="13" t="str">
        <f aca="false">""</f>
        <v/>
      </c>
      <c r="B1735" s="13" t="n">
        <f aca="false">267</f>
        <v>267</v>
      </c>
      <c r="C1735" s="13" t="n">
        <f aca="false">IF(Szenarien!$H$15="OK",(IFERROR(SUMIF(Nutzungsprofile!$B$6:$B$11,"Schulbetrieb",Nutzungsprofile!$G$6:$G$11)*Kalender!C271/SUM(Kalender!$C$5:$C$370),0)+IFERROR(SUMIF(Nutzungsprofile!$B$6:$B$11,"Halle",Nutzungsprofile!$G$6:$G$11)*Kalender!D271/SUM(Kalender!$D$5:$D$370),0)+IFERROR(SUMIF(Nutzungsprofile!$B$6:$B$11,"Individuell",Nutzungsprofile!$G$6:$G$11)*Kalender!E271/SUM(Kalender!$E$5:$E$370),0))*Szenarien!$E$15,0)</f>
        <v>2.94</v>
      </c>
      <c r="D1735" s="13" t="n">
        <f aca="false">IF(Szenarien!$H$15="OK",(IFERROR(SUMIF(Nutzungsprofile!$B$17:$B$22,"Schulbetrieb",Nutzungsprofile!$G$17:$G$22)*Kalender!C271/SUM(Kalender!$C$5:$C$370),0)+IFERROR(SUMIF(Nutzungsprofile!$B$17:$B$22,"Halle",Nutzungsprofile!$G$17:$G$22)*Kalender!D271/SUM(Kalender!$D$5:$D$370),0)+IFERROR(SUMIF(Nutzungsprofile!$B$17:$B$22,"Individuell",Nutzungsprofile!$G$17:$G$22)*Kalender!E271/SUM(Kalender!$E$5:$E$370),0))*Szenarien!$D$15,0)</f>
        <v>4.94</v>
      </c>
      <c r="E1735" s="13" t="n">
        <f aca="false">IFERROR(MIN(C1735,Eingaben!$B$17)*Eingaben!$B$16,0)</f>
        <v>2.793</v>
      </c>
      <c r="F1735" s="13" t="n">
        <f aca="false">IFERROR(E1735*Eingaben!$B$15,0)</f>
        <v>2.5137</v>
      </c>
      <c r="G1735" s="13" t="n">
        <f aca="false">IFERROR(IF(Kalender!A271="",0,J1734*(1-Eingaben!$B$20)),0)</f>
        <v>0.7390278</v>
      </c>
      <c r="H1735" s="13" t="n">
        <f aca="false">MIN(G1735,D1735)</f>
        <v>0.7390278</v>
      </c>
      <c r="I1735" s="13" t="n">
        <f aca="false">IFERROR(MIN(F1735*Eingaben!$B$19,MAX(0,D1735-H1735)),0)</f>
        <v>1.75959</v>
      </c>
      <c r="J1735" s="13" t="n">
        <f aca="false">IFERROR(MIN(Eingaben!$B$18,MAX(0,F1735-I1735)),0)</f>
        <v>0.75411</v>
      </c>
      <c r="K1735" s="13" t="n">
        <f aca="false">H1735+I1735</f>
        <v>2.4986178</v>
      </c>
      <c r="L1735" s="13" t="n">
        <f aca="false">MAX(0,D1735-K1735)</f>
        <v>2.4413822</v>
      </c>
      <c r="M1735" s="13" t="n">
        <f aca="false">MAX(0,F1735-I1735-J1735)</f>
        <v>0</v>
      </c>
      <c r="N1735" s="13" t="n">
        <f aca="false">IF(Kalender!A271="",0,J1734-H1735)</f>
        <v>0.0150822</v>
      </c>
    </row>
    <row r="1736" customFormat="false" ht="16.4" hidden="false" customHeight="false" outlineLevel="0" collapsed="false">
      <c r="A1736" s="13" t="str">
        <f aca="false">""</f>
        <v/>
      </c>
      <c r="B1736" s="13" t="n">
        <f aca="false">268</f>
        <v>268</v>
      </c>
      <c r="C1736" s="13" t="n">
        <f aca="false">IF(Szenarien!$H$15="OK",(IFERROR(SUMIF(Nutzungsprofile!$B$6:$B$11,"Schulbetrieb",Nutzungsprofile!$G$6:$G$11)*Kalender!C272/SUM(Kalender!$C$5:$C$370),0)+IFERROR(SUMIF(Nutzungsprofile!$B$6:$B$11,"Halle",Nutzungsprofile!$G$6:$G$11)*Kalender!D272/SUM(Kalender!$D$5:$D$370),0)+IFERROR(SUMIF(Nutzungsprofile!$B$6:$B$11,"Individuell",Nutzungsprofile!$G$6:$G$11)*Kalender!E272/SUM(Kalender!$E$5:$E$370),0))*Szenarien!$E$15,0)</f>
        <v>2.94</v>
      </c>
      <c r="D1736" s="13" t="n">
        <f aca="false">IF(Szenarien!$H$15="OK",(IFERROR(SUMIF(Nutzungsprofile!$B$17:$B$22,"Schulbetrieb",Nutzungsprofile!$G$17:$G$22)*Kalender!C272/SUM(Kalender!$C$5:$C$370),0)+IFERROR(SUMIF(Nutzungsprofile!$B$17:$B$22,"Halle",Nutzungsprofile!$G$17:$G$22)*Kalender!D272/SUM(Kalender!$D$5:$D$370),0)+IFERROR(SUMIF(Nutzungsprofile!$B$17:$B$22,"Individuell",Nutzungsprofile!$G$17:$G$22)*Kalender!E272/SUM(Kalender!$E$5:$E$370),0))*Szenarien!$D$15,0)</f>
        <v>4.94</v>
      </c>
      <c r="E1736" s="13" t="n">
        <f aca="false">IFERROR(MIN(C1736,Eingaben!$B$17)*Eingaben!$B$16,0)</f>
        <v>2.793</v>
      </c>
      <c r="F1736" s="13" t="n">
        <f aca="false">IFERROR(E1736*Eingaben!$B$15,0)</f>
        <v>2.5137</v>
      </c>
      <c r="G1736" s="13" t="n">
        <f aca="false">IFERROR(IF(Kalender!A272="",0,J1735*(1-Eingaben!$B$20)),0)</f>
        <v>0.7390278</v>
      </c>
      <c r="H1736" s="13" t="n">
        <f aca="false">MIN(G1736,D1736)</f>
        <v>0.7390278</v>
      </c>
      <c r="I1736" s="13" t="n">
        <f aca="false">IFERROR(MIN(F1736*Eingaben!$B$19,MAX(0,D1736-H1736)),0)</f>
        <v>1.75959</v>
      </c>
      <c r="J1736" s="13" t="n">
        <f aca="false">IFERROR(MIN(Eingaben!$B$18,MAX(0,F1736-I1736)),0)</f>
        <v>0.75411</v>
      </c>
      <c r="K1736" s="13" t="n">
        <f aca="false">H1736+I1736</f>
        <v>2.4986178</v>
      </c>
      <c r="L1736" s="13" t="n">
        <f aca="false">MAX(0,D1736-K1736)</f>
        <v>2.4413822</v>
      </c>
      <c r="M1736" s="13" t="n">
        <f aca="false">MAX(0,F1736-I1736-J1736)</f>
        <v>0</v>
      </c>
      <c r="N1736" s="13" t="n">
        <f aca="false">IF(Kalender!A272="",0,J1735-H1736)</f>
        <v>0.0150822</v>
      </c>
    </row>
    <row r="1737" customFormat="false" ht="16.4" hidden="false" customHeight="false" outlineLevel="0" collapsed="false">
      <c r="A1737" s="13" t="str">
        <f aca="false">""</f>
        <v/>
      </c>
      <c r="B1737" s="13" t="n">
        <f aca="false">269</f>
        <v>269</v>
      </c>
      <c r="C1737" s="13" t="n">
        <f aca="false">IF(Szenarien!$H$15="OK",(IFERROR(SUMIF(Nutzungsprofile!$B$6:$B$11,"Schulbetrieb",Nutzungsprofile!$G$6:$G$11)*Kalender!C273/SUM(Kalender!$C$5:$C$370),0)+IFERROR(SUMIF(Nutzungsprofile!$B$6:$B$11,"Halle",Nutzungsprofile!$G$6:$G$11)*Kalender!D273/SUM(Kalender!$D$5:$D$370),0)+IFERROR(SUMIF(Nutzungsprofile!$B$6:$B$11,"Individuell",Nutzungsprofile!$G$6:$G$11)*Kalender!E273/SUM(Kalender!$E$5:$E$370),0))*Szenarien!$E$15,0)</f>
        <v>2.04</v>
      </c>
      <c r="D1737" s="13" t="n">
        <f aca="false">IF(Szenarien!$H$15="OK",(IFERROR(SUMIF(Nutzungsprofile!$B$17:$B$22,"Schulbetrieb",Nutzungsprofile!$G$17:$G$22)*Kalender!C273/SUM(Kalender!$C$5:$C$370),0)+IFERROR(SUMIF(Nutzungsprofile!$B$17:$B$22,"Halle",Nutzungsprofile!$G$17:$G$22)*Kalender!D273/SUM(Kalender!$D$5:$D$370),0)+IFERROR(SUMIF(Nutzungsprofile!$B$17:$B$22,"Individuell",Nutzungsprofile!$G$17:$G$22)*Kalender!E273/SUM(Kalender!$E$5:$E$370),0))*Szenarien!$D$15,0)</f>
        <v>0.89</v>
      </c>
      <c r="E1737" s="13" t="n">
        <f aca="false">IFERROR(MIN(C1737,Eingaben!$B$17)*Eingaben!$B$16,0)</f>
        <v>1.938</v>
      </c>
      <c r="F1737" s="13" t="n">
        <f aca="false">IFERROR(E1737*Eingaben!$B$15,0)</f>
        <v>1.7442</v>
      </c>
      <c r="G1737" s="13" t="n">
        <f aca="false">IFERROR(IF(Kalender!A273="",0,J1736*(1-Eingaben!$B$20)),0)</f>
        <v>0.7390278</v>
      </c>
      <c r="H1737" s="13" t="n">
        <f aca="false">MIN(G1737,D1737)</f>
        <v>0.7390278</v>
      </c>
      <c r="I1737" s="13" t="n">
        <f aca="false">IFERROR(MIN(F1737*Eingaben!$B$19,MAX(0,D1737-H1737)),0)</f>
        <v>0.1509722</v>
      </c>
      <c r="J1737" s="13" t="n">
        <f aca="false">IFERROR(MIN(Eingaben!$B$18,MAX(0,F1737-I1737)),0)</f>
        <v>1.5932278</v>
      </c>
      <c r="K1737" s="13" t="n">
        <f aca="false">H1737+I1737</f>
        <v>0.89</v>
      </c>
      <c r="L1737" s="13" t="n">
        <f aca="false">MAX(0,D1737-K1737)</f>
        <v>0</v>
      </c>
      <c r="M1737" s="13" t="n">
        <f aca="false">MAX(0,F1737-I1737-J1737)</f>
        <v>0</v>
      </c>
      <c r="N1737" s="13" t="n">
        <f aca="false">IF(Kalender!A273="",0,J1736-H1737)</f>
        <v>0.0150822</v>
      </c>
    </row>
    <row r="1738" customFormat="false" ht="16.4" hidden="false" customHeight="false" outlineLevel="0" collapsed="false">
      <c r="A1738" s="13" t="str">
        <f aca="false">""</f>
        <v/>
      </c>
      <c r="B1738" s="13" t="n">
        <f aca="false">270</f>
        <v>270</v>
      </c>
      <c r="C1738" s="13" t="n">
        <f aca="false">IF(Szenarien!$H$15="OK",(IFERROR(SUMIF(Nutzungsprofile!$B$6:$B$11,"Schulbetrieb",Nutzungsprofile!$G$6:$G$11)*Kalender!C274/SUM(Kalender!$C$5:$C$370),0)+IFERROR(SUMIF(Nutzungsprofile!$B$6:$B$11,"Halle",Nutzungsprofile!$G$6:$G$11)*Kalender!D274/SUM(Kalender!$D$5:$D$370),0)+IFERROR(SUMIF(Nutzungsprofile!$B$6:$B$11,"Individuell",Nutzungsprofile!$G$6:$G$11)*Kalender!E274/SUM(Kalender!$E$5:$E$370),0))*Szenarien!$E$15,0)</f>
        <v>2.04</v>
      </c>
      <c r="D1738" s="13" t="n">
        <f aca="false">IF(Szenarien!$H$15="OK",(IFERROR(SUMIF(Nutzungsprofile!$B$17:$B$22,"Schulbetrieb",Nutzungsprofile!$G$17:$G$22)*Kalender!C274/SUM(Kalender!$C$5:$C$370),0)+IFERROR(SUMIF(Nutzungsprofile!$B$17:$B$22,"Halle",Nutzungsprofile!$G$17:$G$22)*Kalender!D274/SUM(Kalender!$D$5:$D$370),0)+IFERROR(SUMIF(Nutzungsprofile!$B$17:$B$22,"Individuell",Nutzungsprofile!$G$17:$G$22)*Kalender!E274/SUM(Kalender!$E$5:$E$370),0))*Szenarien!$D$15,0)</f>
        <v>0.89</v>
      </c>
      <c r="E1738" s="13" t="n">
        <f aca="false">IFERROR(MIN(C1738,Eingaben!$B$17)*Eingaben!$B$16,0)</f>
        <v>1.938</v>
      </c>
      <c r="F1738" s="13" t="n">
        <f aca="false">IFERROR(E1738*Eingaben!$B$15,0)</f>
        <v>1.7442</v>
      </c>
      <c r="G1738" s="13" t="n">
        <f aca="false">IFERROR(IF(Kalender!A274="",0,J1737*(1-Eingaben!$B$20)),0)</f>
        <v>1.561363244</v>
      </c>
      <c r="H1738" s="13" t="n">
        <f aca="false">MIN(G1738,D1738)</f>
        <v>0.89</v>
      </c>
      <c r="I1738" s="13" t="n">
        <f aca="false">IFERROR(MIN(F1738*Eingaben!$B$19,MAX(0,D1738-H1738)),0)</f>
        <v>0</v>
      </c>
      <c r="J1738" s="13" t="n">
        <f aca="false">IFERROR(MIN(Eingaben!$B$18,MAX(0,F1738-I1738)),0)</f>
        <v>1.7442</v>
      </c>
      <c r="K1738" s="13" t="n">
        <f aca="false">H1738+I1738</f>
        <v>0.89</v>
      </c>
      <c r="L1738" s="13" t="n">
        <f aca="false">MAX(0,D1738-K1738)</f>
        <v>0</v>
      </c>
      <c r="M1738" s="13" t="n">
        <f aca="false">MAX(0,F1738-I1738-J1738)</f>
        <v>0</v>
      </c>
      <c r="N1738" s="13" t="n">
        <f aca="false">IF(Kalender!A274="",0,J1737-H1738)</f>
        <v>0.7032278</v>
      </c>
    </row>
    <row r="1739" customFormat="false" ht="16.4" hidden="false" customHeight="false" outlineLevel="0" collapsed="false">
      <c r="A1739" s="13" t="str">
        <f aca="false">""</f>
        <v/>
      </c>
      <c r="B1739" s="13" t="n">
        <f aca="false">271</f>
        <v>271</v>
      </c>
      <c r="C1739" s="13" t="n">
        <f aca="false">IF(Szenarien!$H$15="OK",(IFERROR(SUMIF(Nutzungsprofile!$B$6:$B$11,"Schulbetrieb",Nutzungsprofile!$G$6:$G$11)*Kalender!C275/SUM(Kalender!$C$5:$C$370),0)+IFERROR(SUMIF(Nutzungsprofile!$B$6:$B$11,"Halle",Nutzungsprofile!$G$6:$G$11)*Kalender!D275/SUM(Kalender!$D$5:$D$370),0)+IFERROR(SUMIF(Nutzungsprofile!$B$6:$B$11,"Individuell",Nutzungsprofile!$G$6:$G$11)*Kalender!E275/SUM(Kalender!$E$5:$E$370),0))*Szenarien!$E$15,0)</f>
        <v>2.94</v>
      </c>
      <c r="D1739" s="13" t="n">
        <f aca="false">IF(Szenarien!$H$15="OK",(IFERROR(SUMIF(Nutzungsprofile!$B$17:$B$22,"Schulbetrieb",Nutzungsprofile!$G$17:$G$22)*Kalender!C275/SUM(Kalender!$C$5:$C$370),0)+IFERROR(SUMIF(Nutzungsprofile!$B$17:$B$22,"Halle",Nutzungsprofile!$G$17:$G$22)*Kalender!D275/SUM(Kalender!$D$5:$D$370),0)+IFERROR(SUMIF(Nutzungsprofile!$B$17:$B$22,"Individuell",Nutzungsprofile!$G$17:$G$22)*Kalender!E275/SUM(Kalender!$E$5:$E$370),0))*Szenarien!$D$15,0)</f>
        <v>4.94</v>
      </c>
      <c r="E1739" s="13" t="n">
        <f aca="false">IFERROR(MIN(C1739,Eingaben!$B$17)*Eingaben!$B$16,0)</f>
        <v>2.793</v>
      </c>
      <c r="F1739" s="13" t="n">
        <f aca="false">IFERROR(E1739*Eingaben!$B$15,0)</f>
        <v>2.5137</v>
      </c>
      <c r="G1739" s="13" t="n">
        <f aca="false">IFERROR(IF(Kalender!A275="",0,J1738*(1-Eingaben!$B$20)),0)</f>
        <v>1.709316</v>
      </c>
      <c r="H1739" s="13" t="n">
        <f aca="false">MIN(G1739,D1739)</f>
        <v>1.709316</v>
      </c>
      <c r="I1739" s="13" t="n">
        <f aca="false">IFERROR(MIN(F1739*Eingaben!$B$19,MAX(0,D1739-H1739)),0)</f>
        <v>1.75959</v>
      </c>
      <c r="J1739" s="13" t="n">
        <f aca="false">IFERROR(MIN(Eingaben!$B$18,MAX(0,F1739-I1739)),0)</f>
        <v>0.75411</v>
      </c>
      <c r="K1739" s="13" t="n">
        <f aca="false">H1739+I1739</f>
        <v>3.468906</v>
      </c>
      <c r="L1739" s="13" t="n">
        <f aca="false">MAX(0,D1739-K1739)</f>
        <v>1.471094</v>
      </c>
      <c r="M1739" s="13" t="n">
        <f aca="false">MAX(0,F1739-I1739-J1739)</f>
        <v>0</v>
      </c>
      <c r="N1739" s="13" t="n">
        <f aca="false">IF(Kalender!A275="",0,J1738-H1739)</f>
        <v>0.0348840000000001</v>
      </c>
    </row>
    <row r="1740" customFormat="false" ht="16.4" hidden="false" customHeight="false" outlineLevel="0" collapsed="false">
      <c r="A1740" s="13" t="str">
        <f aca="false">""</f>
        <v/>
      </c>
      <c r="B1740" s="13" t="n">
        <f aca="false">272</f>
        <v>272</v>
      </c>
      <c r="C1740" s="13" t="n">
        <f aca="false">IF(Szenarien!$H$15="OK",(IFERROR(SUMIF(Nutzungsprofile!$B$6:$B$11,"Schulbetrieb",Nutzungsprofile!$G$6:$G$11)*Kalender!C276/SUM(Kalender!$C$5:$C$370),0)+IFERROR(SUMIF(Nutzungsprofile!$B$6:$B$11,"Halle",Nutzungsprofile!$G$6:$G$11)*Kalender!D276/SUM(Kalender!$D$5:$D$370),0)+IFERROR(SUMIF(Nutzungsprofile!$B$6:$B$11,"Individuell",Nutzungsprofile!$G$6:$G$11)*Kalender!E276/SUM(Kalender!$E$5:$E$370),0))*Szenarien!$E$15,0)</f>
        <v>2.94</v>
      </c>
      <c r="D1740" s="13" t="n">
        <f aca="false">IF(Szenarien!$H$15="OK",(IFERROR(SUMIF(Nutzungsprofile!$B$17:$B$22,"Schulbetrieb",Nutzungsprofile!$G$17:$G$22)*Kalender!C276/SUM(Kalender!$C$5:$C$370),0)+IFERROR(SUMIF(Nutzungsprofile!$B$17:$B$22,"Halle",Nutzungsprofile!$G$17:$G$22)*Kalender!D276/SUM(Kalender!$D$5:$D$370),0)+IFERROR(SUMIF(Nutzungsprofile!$B$17:$B$22,"Individuell",Nutzungsprofile!$G$17:$G$22)*Kalender!E276/SUM(Kalender!$E$5:$E$370),0))*Szenarien!$D$15,0)</f>
        <v>4.94</v>
      </c>
      <c r="E1740" s="13" t="n">
        <f aca="false">IFERROR(MIN(C1740,Eingaben!$B$17)*Eingaben!$B$16,0)</f>
        <v>2.793</v>
      </c>
      <c r="F1740" s="13" t="n">
        <f aca="false">IFERROR(E1740*Eingaben!$B$15,0)</f>
        <v>2.5137</v>
      </c>
      <c r="G1740" s="13" t="n">
        <f aca="false">IFERROR(IF(Kalender!A276="",0,J1739*(1-Eingaben!$B$20)),0)</f>
        <v>0.7390278</v>
      </c>
      <c r="H1740" s="13" t="n">
        <f aca="false">MIN(G1740,D1740)</f>
        <v>0.7390278</v>
      </c>
      <c r="I1740" s="13" t="n">
        <f aca="false">IFERROR(MIN(F1740*Eingaben!$B$19,MAX(0,D1740-H1740)),0)</f>
        <v>1.75959</v>
      </c>
      <c r="J1740" s="13" t="n">
        <f aca="false">IFERROR(MIN(Eingaben!$B$18,MAX(0,F1740-I1740)),0)</f>
        <v>0.75411</v>
      </c>
      <c r="K1740" s="13" t="n">
        <f aca="false">H1740+I1740</f>
        <v>2.4986178</v>
      </c>
      <c r="L1740" s="13" t="n">
        <f aca="false">MAX(0,D1740-K1740)</f>
        <v>2.4413822</v>
      </c>
      <c r="M1740" s="13" t="n">
        <f aca="false">MAX(0,F1740-I1740-J1740)</f>
        <v>0</v>
      </c>
      <c r="N1740" s="13" t="n">
        <f aca="false">IF(Kalender!A276="",0,J1739-H1740)</f>
        <v>0.0150822</v>
      </c>
    </row>
    <row r="1741" customFormat="false" ht="16.4" hidden="false" customHeight="false" outlineLevel="0" collapsed="false">
      <c r="A1741" s="13" t="str">
        <f aca="false">""</f>
        <v/>
      </c>
      <c r="B1741" s="13" t="n">
        <f aca="false">273</f>
        <v>273</v>
      </c>
      <c r="C1741" s="13" t="n">
        <f aca="false">IF(Szenarien!$H$15="OK",(IFERROR(SUMIF(Nutzungsprofile!$B$6:$B$11,"Schulbetrieb",Nutzungsprofile!$G$6:$G$11)*Kalender!C277/SUM(Kalender!$C$5:$C$370),0)+IFERROR(SUMIF(Nutzungsprofile!$B$6:$B$11,"Halle",Nutzungsprofile!$G$6:$G$11)*Kalender!D277/SUM(Kalender!$D$5:$D$370),0)+IFERROR(SUMIF(Nutzungsprofile!$B$6:$B$11,"Individuell",Nutzungsprofile!$G$6:$G$11)*Kalender!E277/SUM(Kalender!$E$5:$E$370),0))*Szenarien!$E$15,0)</f>
        <v>2.94</v>
      </c>
      <c r="D1741" s="13" t="n">
        <f aca="false">IF(Szenarien!$H$15="OK",(IFERROR(SUMIF(Nutzungsprofile!$B$17:$B$22,"Schulbetrieb",Nutzungsprofile!$G$17:$G$22)*Kalender!C277/SUM(Kalender!$C$5:$C$370),0)+IFERROR(SUMIF(Nutzungsprofile!$B$17:$B$22,"Halle",Nutzungsprofile!$G$17:$G$22)*Kalender!D277/SUM(Kalender!$D$5:$D$370),0)+IFERROR(SUMIF(Nutzungsprofile!$B$17:$B$22,"Individuell",Nutzungsprofile!$G$17:$G$22)*Kalender!E277/SUM(Kalender!$E$5:$E$370),0))*Szenarien!$D$15,0)</f>
        <v>4.94</v>
      </c>
      <c r="E1741" s="13" t="n">
        <f aca="false">IFERROR(MIN(C1741,Eingaben!$B$17)*Eingaben!$B$16,0)</f>
        <v>2.793</v>
      </c>
      <c r="F1741" s="13" t="n">
        <f aca="false">IFERROR(E1741*Eingaben!$B$15,0)</f>
        <v>2.5137</v>
      </c>
      <c r="G1741" s="13" t="n">
        <f aca="false">IFERROR(IF(Kalender!A277="",0,J1740*(1-Eingaben!$B$20)),0)</f>
        <v>0.7390278</v>
      </c>
      <c r="H1741" s="13" t="n">
        <f aca="false">MIN(G1741,D1741)</f>
        <v>0.7390278</v>
      </c>
      <c r="I1741" s="13" t="n">
        <f aca="false">IFERROR(MIN(F1741*Eingaben!$B$19,MAX(0,D1741-H1741)),0)</f>
        <v>1.75959</v>
      </c>
      <c r="J1741" s="13" t="n">
        <f aca="false">IFERROR(MIN(Eingaben!$B$18,MAX(0,F1741-I1741)),0)</f>
        <v>0.75411</v>
      </c>
      <c r="K1741" s="13" t="n">
        <f aca="false">H1741+I1741</f>
        <v>2.4986178</v>
      </c>
      <c r="L1741" s="13" t="n">
        <f aca="false">MAX(0,D1741-K1741)</f>
        <v>2.4413822</v>
      </c>
      <c r="M1741" s="13" t="n">
        <f aca="false">MAX(0,F1741-I1741-J1741)</f>
        <v>0</v>
      </c>
      <c r="N1741" s="13" t="n">
        <f aca="false">IF(Kalender!A277="",0,J1740-H1741)</f>
        <v>0.0150822</v>
      </c>
    </row>
    <row r="1742" customFormat="false" ht="16.4" hidden="false" customHeight="false" outlineLevel="0" collapsed="false">
      <c r="A1742" s="13" t="str">
        <f aca="false">""</f>
        <v/>
      </c>
      <c r="B1742" s="13" t="n">
        <f aca="false">274</f>
        <v>274</v>
      </c>
      <c r="C1742" s="13" t="n">
        <f aca="false">IF(Szenarien!$H$15="OK",(IFERROR(SUMIF(Nutzungsprofile!$B$6:$B$11,"Schulbetrieb",Nutzungsprofile!$G$6:$G$11)*Kalender!C278/SUM(Kalender!$C$5:$C$370),0)+IFERROR(SUMIF(Nutzungsprofile!$B$6:$B$11,"Halle",Nutzungsprofile!$G$6:$G$11)*Kalender!D278/SUM(Kalender!$D$5:$D$370),0)+IFERROR(SUMIF(Nutzungsprofile!$B$6:$B$11,"Individuell",Nutzungsprofile!$G$6:$G$11)*Kalender!E278/SUM(Kalender!$E$5:$E$370),0))*Szenarien!$E$15,0)</f>
        <v>2.94</v>
      </c>
      <c r="D1742" s="13" t="n">
        <f aca="false">IF(Szenarien!$H$15="OK",(IFERROR(SUMIF(Nutzungsprofile!$B$17:$B$22,"Schulbetrieb",Nutzungsprofile!$G$17:$G$22)*Kalender!C278/SUM(Kalender!$C$5:$C$370),0)+IFERROR(SUMIF(Nutzungsprofile!$B$17:$B$22,"Halle",Nutzungsprofile!$G$17:$G$22)*Kalender!D278/SUM(Kalender!$D$5:$D$370),0)+IFERROR(SUMIF(Nutzungsprofile!$B$17:$B$22,"Individuell",Nutzungsprofile!$G$17:$G$22)*Kalender!E278/SUM(Kalender!$E$5:$E$370),0))*Szenarien!$D$15,0)</f>
        <v>4.94</v>
      </c>
      <c r="E1742" s="13" t="n">
        <f aca="false">IFERROR(MIN(C1742,Eingaben!$B$17)*Eingaben!$B$16,0)</f>
        <v>2.793</v>
      </c>
      <c r="F1742" s="13" t="n">
        <f aca="false">IFERROR(E1742*Eingaben!$B$15,0)</f>
        <v>2.5137</v>
      </c>
      <c r="G1742" s="13" t="n">
        <f aca="false">IFERROR(IF(Kalender!A278="",0,J1741*(1-Eingaben!$B$20)),0)</f>
        <v>0.7390278</v>
      </c>
      <c r="H1742" s="13" t="n">
        <f aca="false">MIN(G1742,D1742)</f>
        <v>0.7390278</v>
      </c>
      <c r="I1742" s="13" t="n">
        <f aca="false">IFERROR(MIN(F1742*Eingaben!$B$19,MAX(0,D1742-H1742)),0)</f>
        <v>1.75959</v>
      </c>
      <c r="J1742" s="13" t="n">
        <f aca="false">IFERROR(MIN(Eingaben!$B$18,MAX(0,F1742-I1742)),0)</f>
        <v>0.75411</v>
      </c>
      <c r="K1742" s="13" t="n">
        <f aca="false">H1742+I1742</f>
        <v>2.4986178</v>
      </c>
      <c r="L1742" s="13" t="n">
        <f aca="false">MAX(0,D1742-K1742)</f>
        <v>2.4413822</v>
      </c>
      <c r="M1742" s="13" t="n">
        <f aca="false">MAX(0,F1742-I1742-J1742)</f>
        <v>0</v>
      </c>
      <c r="N1742" s="13" t="n">
        <f aca="false">IF(Kalender!A278="",0,J1741-H1742)</f>
        <v>0.0150822</v>
      </c>
    </row>
    <row r="1743" customFormat="false" ht="16.4" hidden="false" customHeight="false" outlineLevel="0" collapsed="false">
      <c r="A1743" s="13" t="str">
        <f aca="false">""</f>
        <v/>
      </c>
      <c r="B1743" s="13" t="n">
        <f aca="false">275</f>
        <v>275</v>
      </c>
      <c r="C1743" s="13" t="n">
        <f aca="false">IF(Szenarien!$H$15="OK",(IFERROR(SUMIF(Nutzungsprofile!$B$6:$B$11,"Schulbetrieb",Nutzungsprofile!$G$6:$G$11)*Kalender!C279/SUM(Kalender!$C$5:$C$370),0)+IFERROR(SUMIF(Nutzungsprofile!$B$6:$B$11,"Halle",Nutzungsprofile!$G$6:$G$11)*Kalender!D279/SUM(Kalender!$D$5:$D$370),0)+IFERROR(SUMIF(Nutzungsprofile!$B$6:$B$11,"Individuell",Nutzungsprofile!$G$6:$G$11)*Kalender!E279/SUM(Kalender!$E$5:$E$370),0))*Szenarien!$E$15,0)</f>
        <v>2.94</v>
      </c>
      <c r="D1743" s="13" t="n">
        <f aca="false">IF(Szenarien!$H$15="OK",(IFERROR(SUMIF(Nutzungsprofile!$B$17:$B$22,"Schulbetrieb",Nutzungsprofile!$G$17:$G$22)*Kalender!C279/SUM(Kalender!$C$5:$C$370),0)+IFERROR(SUMIF(Nutzungsprofile!$B$17:$B$22,"Halle",Nutzungsprofile!$G$17:$G$22)*Kalender!D279/SUM(Kalender!$D$5:$D$370),0)+IFERROR(SUMIF(Nutzungsprofile!$B$17:$B$22,"Individuell",Nutzungsprofile!$G$17:$G$22)*Kalender!E279/SUM(Kalender!$E$5:$E$370),0))*Szenarien!$D$15,0)</f>
        <v>4.94</v>
      </c>
      <c r="E1743" s="13" t="n">
        <f aca="false">IFERROR(MIN(C1743,Eingaben!$B$17)*Eingaben!$B$16,0)</f>
        <v>2.793</v>
      </c>
      <c r="F1743" s="13" t="n">
        <f aca="false">IFERROR(E1743*Eingaben!$B$15,0)</f>
        <v>2.5137</v>
      </c>
      <c r="G1743" s="13" t="n">
        <f aca="false">IFERROR(IF(Kalender!A279="",0,J1742*(1-Eingaben!$B$20)),0)</f>
        <v>0.7390278</v>
      </c>
      <c r="H1743" s="13" t="n">
        <f aca="false">MIN(G1743,D1743)</f>
        <v>0.7390278</v>
      </c>
      <c r="I1743" s="13" t="n">
        <f aca="false">IFERROR(MIN(F1743*Eingaben!$B$19,MAX(0,D1743-H1743)),0)</f>
        <v>1.75959</v>
      </c>
      <c r="J1743" s="13" t="n">
        <f aca="false">IFERROR(MIN(Eingaben!$B$18,MAX(0,F1743-I1743)),0)</f>
        <v>0.75411</v>
      </c>
      <c r="K1743" s="13" t="n">
        <f aca="false">H1743+I1743</f>
        <v>2.4986178</v>
      </c>
      <c r="L1743" s="13" t="n">
        <f aca="false">MAX(0,D1743-K1743)</f>
        <v>2.4413822</v>
      </c>
      <c r="M1743" s="13" t="n">
        <f aca="false">MAX(0,F1743-I1743-J1743)</f>
        <v>0</v>
      </c>
      <c r="N1743" s="13" t="n">
        <f aca="false">IF(Kalender!A279="",0,J1742-H1743)</f>
        <v>0.0150822</v>
      </c>
    </row>
    <row r="1744" customFormat="false" ht="16.4" hidden="false" customHeight="false" outlineLevel="0" collapsed="false">
      <c r="A1744" s="13" t="str">
        <f aca="false">""</f>
        <v/>
      </c>
      <c r="B1744" s="13" t="n">
        <f aca="false">276</f>
        <v>276</v>
      </c>
      <c r="C1744" s="13" t="n">
        <f aca="false">IF(Szenarien!$H$15="OK",(IFERROR(SUMIF(Nutzungsprofile!$B$6:$B$11,"Schulbetrieb",Nutzungsprofile!$G$6:$G$11)*Kalender!C280/SUM(Kalender!$C$5:$C$370),0)+IFERROR(SUMIF(Nutzungsprofile!$B$6:$B$11,"Halle",Nutzungsprofile!$G$6:$G$11)*Kalender!D280/SUM(Kalender!$D$5:$D$370),0)+IFERROR(SUMIF(Nutzungsprofile!$B$6:$B$11,"Individuell",Nutzungsprofile!$G$6:$G$11)*Kalender!E280/SUM(Kalender!$E$5:$E$370),0))*Szenarien!$E$15,0)</f>
        <v>2.04</v>
      </c>
      <c r="D1744" s="13" t="n">
        <f aca="false">IF(Szenarien!$H$15="OK",(IFERROR(SUMIF(Nutzungsprofile!$B$17:$B$22,"Schulbetrieb",Nutzungsprofile!$G$17:$G$22)*Kalender!C280/SUM(Kalender!$C$5:$C$370),0)+IFERROR(SUMIF(Nutzungsprofile!$B$17:$B$22,"Halle",Nutzungsprofile!$G$17:$G$22)*Kalender!D280/SUM(Kalender!$D$5:$D$370),0)+IFERROR(SUMIF(Nutzungsprofile!$B$17:$B$22,"Individuell",Nutzungsprofile!$G$17:$G$22)*Kalender!E280/SUM(Kalender!$E$5:$E$370),0))*Szenarien!$D$15,0)</f>
        <v>0.89</v>
      </c>
      <c r="E1744" s="13" t="n">
        <f aca="false">IFERROR(MIN(C1744,Eingaben!$B$17)*Eingaben!$B$16,0)</f>
        <v>1.938</v>
      </c>
      <c r="F1744" s="13" t="n">
        <f aca="false">IFERROR(E1744*Eingaben!$B$15,0)</f>
        <v>1.7442</v>
      </c>
      <c r="G1744" s="13" t="n">
        <f aca="false">IFERROR(IF(Kalender!A280="",0,J1743*(1-Eingaben!$B$20)),0)</f>
        <v>0.7390278</v>
      </c>
      <c r="H1744" s="13" t="n">
        <f aca="false">MIN(G1744,D1744)</f>
        <v>0.7390278</v>
      </c>
      <c r="I1744" s="13" t="n">
        <f aca="false">IFERROR(MIN(F1744*Eingaben!$B$19,MAX(0,D1744-H1744)),0)</f>
        <v>0.1509722</v>
      </c>
      <c r="J1744" s="13" t="n">
        <f aca="false">IFERROR(MIN(Eingaben!$B$18,MAX(0,F1744-I1744)),0)</f>
        <v>1.5932278</v>
      </c>
      <c r="K1744" s="13" t="n">
        <f aca="false">H1744+I1744</f>
        <v>0.89</v>
      </c>
      <c r="L1744" s="13" t="n">
        <f aca="false">MAX(0,D1744-K1744)</f>
        <v>0</v>
      </c>
      <c r="M1744" s="13" t="n">
        <f aca="false">MAX(0,F1744-I1744-J1744)</f>
        <v>0</v>
      </c>
      <c r="N1744" s="13" t="n">
        <f aca="false">IF(Kalender!A280="",0,J1743-H1744)</f>
        <v>0.0150822</v>
      </c>
    </row>
    <row r="1745" customFormat="false" ht="16.4" hidden="false" customHeight="false" outlineLevel="0" collapsed="false">
      <c r="A1745" s="13" t="str">
        <f aca="false">""</f>
        <v/>
      </c>
      <c r="B1745" s="13" t="n">
        <f aca="false">277</f>
        <v>277</v>
      </c>
      <c r="C1745" s="13" t="n">
        <f aca="false">IF(Szenarien!$H$15="OK",(IFERROR(SUMIF(Nutzungsprofile!$B$6:$B$11,"Schulbetrieb",Nutzungsprofile!$G$6:$G$11)*Kalender!C281/SUM(Kalender!$C$5:$C$370),0)+IFERROR(SUMIF(Nutzungsprofile!$B$6:$B$11,"Halle",Nutzungsprofile!$G$6:$G$11)*Kalender!D281/SUM(Kalender!$D$5:$D$370),0)+IFERROR(SUMIF(Nutzungsprofile!$B$6:$B$11,"Individuell",Nutzungsprofile!$G$6:$G$11)*Kalender!E281/SUM(Kalender!$E$5:$E$370),0))*Szenarien!$E$15,0)</f>
        <v>2.04</v>
      </c>
      <c r="D1745" s="13" t="n">
        <f aca="false">IF(Szenarien!$H$15="OK",(IFERROR(SUMIF(Nutzungsprofile!$B$17:$B$22,"Schulbetrieb",Nutzungsprofile!$G$17:$G$22)*Kalender!C281/SUM(Kalender!$C$5:$C$370),0)+IFERROR(SUMIF(Nutzungsprofile!$B$17:$B$22,"Halle",Nutzungsprofile!$G$17:$G$22)*Kalender!D281/SUM(Kalender!$D$5:$D$370),0)+IFERROR(SUMIF(Nutzungsprofile!$B$17:$B$22,"Individuell",Nutzungsprofile!$G$17:$G$22)*Kalender!E281/SUM(Kalender!$E$5:$E$370),0))*Szenarien!$D$15,0)</f>
        <v>0.89</v>
      </c>
      <c r="E1745" s="13" t="n">
        <f aca="false">IFERROR(MIN(C1745,Eingaben!$B$17)*Eingaben!$B$16,0)</f>
        <v>1.938</v>
      </c>
      <c r="F1745" s="13" t="n">
        <f aca="false">IFERROR(E1745*Eingaben!$B$15,0)</f>
        <v>1.7442</v>
      </c>
      <c r="G1745" s="13" t="n">
        <f aca="false">IFERROR(IF(Kalender!A281="",0,J1744*(1-Eingaben!$B$20)),0)</f>
        <v>1.561363244</v>
      </c>
      <c r="H1745" s="13" t="n">
        <f aca="false">MIN(G1745,D1745)</f>
        <v>0.89</v>
      </c>
      <c r="I1745" s="13" t="n">
        <f aca="false">IFERROR(MIN(F1745*Eingaben!$B$19,MAX(0,D1745-H1745)),0)</f>
        <v>0</v>
      </c>
      <c r="J1745" s="13" t="n">
        <f aca="false">IFERROR(MIN(Eingaben!$B$18,MAX(0,F1745-I1745)),0)</f>
        <v>1.7442</v>
      </c>
      <c r="K1745" s="13" t="n">
        <f aca="false">H1745+I1745</f>
        <v>0.89</v>
      </c>
      <c r="L1745" s="13" t="n">
        <f aca="false">MAX(0,D1745-K1745)</f>
        <v>0</v>
      </c>
      <c r="M1745" s="13" t="n">
        <f aca="false">MAX(0,F1745-I1745-J1745)</f>
        <v>0</v>
      </c>
      <c r="N1745" s="13" t="n">
        <f aca="false">IF(Kalender!A281="",0,J1744-H1745)</f>
        <v>0.7032278</v>
      </c>
    </row>
    <row r="1746" customFormat="false" ht="16.4" hidden="false" customHeight="false" outlineLevel="0" collapsed="false">
      <c r="A1746" s="13" t="str">
        <f aca="false">""</f>
        <v/>
      </c>
      <c r="B1746" s="13" t="n">
        <f aca="false">278</f>
        <v>278</v>
      </c>
      <c r="C1746" s="13" t="n">
        <f aca="false">IF(Szenarien!$H$15="OK",(IFERROR(SUMIF(Nutzungsprofile!$B$6:$B$11,"Schulbetrieb",Nutzungsprofile!$G$6:$G$11)*Kalender!C282/SUM(Kalender!$C$5:$C$370),0)+IFERROR(SUMIF(Nutzungsprofile!$B$6:$B$11,"Halle",Nutzungsprofile!$G$6:$G$11)*Kalender!D282/SUM(Kalender!$D$5:$D$370),0)+IFERROR(SUMIF(Nutzungsprofile!$B$6:$B$11,"Individuell",Nutzungsprofile!$G$6:$G$11)*Kalender!E282/SUM(Kalender!$E$5:$E$370),0))*Szenarien!$E$15,0)</f>
        <v>2.94</v>
      </c>
      <c r="D1746" s="13" t="n">
        <f aca="false">IF(Szenarien!$H$15="OK",(IFERROR(SUMIF(Nutzungsprofile!$B$17:$B$22,"Schulbetrieb",Nutzungsprofile!$G$17:$G$22)*Kalender!C282/SUM(Kalender!$C$5:$C$370),0)+IFERROR(SUMIF(Nutzungsprofile!$B$17:$B$22,"Halle",Nutzungsprofile!$G$17:$G$22)*Kalender!D282/SUM(Kalender!$D$5:$D$370),0)+IFERROR(SUMIF(Nutzungsprofile!$B$17:$B$22,"Individuell",Nutzungsprofile!$G$17:$G$22)*Kalender!E282/SUM(Kalender!$E$5:$E$370),0))*Szenarien!$D$15,0)</f>
        <v>4.94</v>
      </c>
      <c r="E1746" s="13" t="n">
        <f aca="false">IFERROR(MIN(C1746,Eingaben!$B$17)*Eingaben!$B$16,0)</f>
        <v>2.793</v>
      </c>
      <c r="F1746" s="13" t="n">
        <f aca="false">IFERROR(E1746*Eingaben!$B$15,0)</f>
        <v>2.5137</v>
      </c>
      <c r="G1746" s="13" t="n">
        <f aca="false">IFERROR(IF(Kalender!A282="",0,J1745*(1-Eingaben!$B$20)),0)</f>
        <v>1.709316</v>
      </c>
      <c r="H1746" s="13" t="n">
        <f aca="false">MIN(G1746,D1746)</f>
        <v>1.709316</v>
      </c>
      <c r="I1746" s="13" t="n">
        <f aca="false">IFERROR(MIN(F1746*Eingaben!$B$19,MAX(0,D1746-H1746)),0)</f>
        <v>1.75959</v>
      </c>
      <c r="J1746" s="13" t="n">
        <f aca="false">IFERROR(MIN(Eingaben!$B$18,MAX(0,F1746-I1746)),0)</f>
        <v>0.75411</v>
      </c>
      <c r="K1746" s="13" t="n">
        <f aca="false">H1746+I1746</f>
        <v>3.468906</v>
      </c>
      <c r="L1746" s="13" t="n">
        <f aca="false">MAX(0,D1746-K1746)</f>
        <v>1.471094</v>
      </c>
      <c r="M1746" s="13" t="n">
        <f aca="false">MAX(0,F1746-I1746-J1746)</f>
        <v>0</v>
      </c>
      <c r="N1746" s="13" t="n">
        <f aca="false">IF(Kalender!A282="",0,J1745-H1746)</f>
        <v>0.0348840000000001</v>
      </c>
    </row>
    <row r="1747" customFormat="false" ht="16.4" hidden="false" customHeight="false" outlineLevel="0" collapsed="false">
      <c r="A1747" s="13" t="str">
        <f aca="false">""</f>
        <v/>
      </c>
      <c r="B1747" s="13" t="n">
        <f aca="false">279</f>
        <v>279</v>
      </c>
      <c r="C1747" s="13" t="n">
        <f aca="false">IF(Szenarien!$H$15="OK",(IFERROR(SUMIF(Nutzungsprofile!$B$6:$B$11,"Schulbetrieb",Nutzungsprofile!$G$6:$G$11)*Kalender!C283/SUM(Kalender!$C$5:$C$370),0)+IFERROR(SUMIF(Nutzungsprofile!$B$6:$B$11,"Halle",Nutzungsprofile!$G$6:$G$11)*Kalender!D283/SUM(Kalender!$D$5:$D$370),0)+IFERROR(SUMIF(Nutzungsprofile!$B$6:$B$11,"Individuell",Nutzungsprofile!$G$6:$G$11)*Kalender!E283/SUM(Kalender!$E$5:$E$370),0))*Szenarien!$E$15,0)</f>
        <v>2.94</v>
      </c>
      <c r="D1747" s="13" t="n">
        <f aca="false">IF(Szenarien!$H$15="OK",(IFERROR(SUMIF(Nutzungsprofile!$B$17:$B$22,"Schulbetrieb",Nutzungsprofile!$G$17:$G$22)*Kalender!C283/SUM(Kalender!$C$5:$C$370),0)+IFERROR(SUMIF(Nutzungsprofile!$B$17:$B$22,"Halle",Nutzungsprofile!$G$17:$G$22)*Kalender!D283/SUM(Kalender!$D$5:$D$370),0)+IFERROR(SUMIF(Nutzungsprofile!$B$17:$B$22,"Individuell",Nutzungsprofile!$G$17:$G$22)*Kalender!E283/SUM(Kalender!$E$5:$E$370),0))*Szenarien!$D$15,0)</f>
        <v>4.94</v>
      </c>
      <c r="E1747" s="13" t="n">
        <f aca="false">IFERROR(MIN(C1747,Eingaben!$B$17)*Eingaben!$B$16,0)</f>
        <v>2.793</v>
      </c>
      <c r="F1747" s="13" t="n">
        <f aca="false">IFERROR(E1747*Eingaben!$B$15,0)</f>
        <v>2.5137</v>
      </c>
      <c r="G1747" s="13" t="n">
        <f aca="false">IFERROR(IF(Kalender!A283="",0,J1746*(1-Eingaben!$B$20)),0)</f>
        <v>0.7390278</v>
      </c>
      <c r="H1747" s="13" t="n">
        <f aca="false">MIN(G1747,D1747)</f>
        <v>0.7390278</v>
      </c>
      <c r="I1747" s="13" t="n">
        <f aca="false">IFERROR(MIN(F1747*Eingaben!$B$19,MAX(0,D1747-H1747)),0)</f>
        <v>1.75959</v>
      </c>
      <c r="J1747" s="13" t="n">
        <f aca="false">IFERROR(MIN(Eingaben!$B$18,MAX(0,F1747-I1747)),0)</f>
        <v>0.75411</v>
      </c>
      <c r="K1747" s="13" t="n">
        <f aca="false">H1747+I1747</f>
        <v>2.4986178</v>
      </c>
      <c r="L1747" s="13" t="n">
        <f aca="false">MAX(0,D1747-K1747)</f>
        <v>2.4413822</v>
      </c>
      <c r="M1747" s="13" t="n">
        <f aca="false">MAX(0,F1747-I1747-J1747)</f>
        <v>0</v>
      </c>
      <c r="N1747" s="13" t="n">
        <f aca="false">IF(Kalender!A283="",0,J1746-H1747)</f>
        <v>0.0150822</v>
      </c>
    </row>
    <row r="1748" customFormat="false" ht="16.4" hidden="false" customHeight="false" outlineLevel="0" collapsed="false">
      <c r="A1748" s="13" t="str">
        <f aca="false">""</f>
        <v/>
      </c>
      <c r="B1748" s="13" t="n">
        <f aca="false">280</f>
        <v>280</v>
      </c>
      <c r="C1748" s="13" t="n">
        <f aca="false">IF(Szenarien!$H$15="OK",(IFERROR(SUMIF(Nutzungsprofile!$B$6:$B$11,"Schulbetrieb",Nutzungsprofile!$G$6:$G$11)*Kalender!C284/SUM(Kalender!$C$5:$C$370),0)+IFERROR(SUMIF(Nutzungsprofile!$B$6:$B$11,"Halle",Nutzungsprofile!$G$6:$G$11)*Kalender!D284/SUM(Kalender!$D$5:$D$370),0)+IFERROR(SUMIF(Nutzungsprofile!$B$6:$B$11,"Individuell",Nutzungsprofile!$G$6:$G$11)*Kalender!E284/SUM(Kalender!$E$5:$E$370),0))*Szenarien!$E$15,0)</f>
        <v>2.94</v>
      </c>
      <c r="D1748" s="13" t="n">
        <f aca="false">IF(Szenarien!$H$15="OK",(IFERROR(SUMIF(Nutzungsprofile!$B$17:$B$22,"Schulbetrieb",Nutzungsprofile!$G$17:$G$22)*Kalender!C284/SUM(Kalender!$C$5:$C$370),0)+IFERROR(SUMIF(Nutzungsprofile!$B$17:$B$22,"Halle",Nutzungsprofile!$G$17:$G$22)*Kalender!D284/SUM(Kalender!$D$5:$D$370),0)+IFERROR(SUMIF(Nutzungsprofile!$B$17:$B$22,"Individuell",Nutzungsprofile!$G$17:$G$22)*Kalender!E284/SUM(Kalender!$E$5:$E$370),0))*Szenarien!$D$15,0)</f>
        <v>4.94</v>
      </c>
      <c r="E1748" s="13" t="n">
        <f aca="false">IFERROR(MIN(C1748,Eingaben!$B$17)*Eingaben!$B$16,0)</f>
        <v>2.793</v>
      </c>
      <c r="F1748" s="13" t="n">
        <f aca="false">IFERROR(E1748*Eingaben!$B$15,0)</f>
        <v>2.5137</v>
      </c>
      <c r="G1748" s="13" t="n">
        <f aca="false">IFERROR(IF(Kalender!A284="",0,J1747*(1-Eingaben!$B$20)),0)</f>
        <v>0.7390278</v>
      </c>
      <c r="H1748" s="13" t="n">
        <f aca="false">MIN(G1748,D1748)</f>
        <v>0.7390278</v>
      </c>
      <c r="I1748" s="13" t="n">
        <f aca="false">IFERROR(MIN(F1748*Eingaben!$B$19,MAX(0,D1748-H1748)),0)</f>
        <v>1.75959</v>
      </c>
      <c r="J1748" s="13" t="n">
        <f aca="false">IFERROR(MIN(Eingaben!$B$18,MAX(0,F1748-I1748)),0)</f>
        <v>0.75411</v>
      </c>
      <c r="K1748" s="13" t="n">
        <f aca="false">H1748+I1748</f>
        <v>2.4986178</v>
      </c>
      <c r="L1748" s="13" t="n">
        <f aca="false">MAX(0,D1748-K1748)</f>
        <v>2.4413822</v>
      </c>
      <c r="M1748" s="13" t="n">
        <f aca="false">MAX(0,F1748-I1748-J1748)</f>
        <v>0</v>
      </c>
      <c r="N1748" s="13" t="n">
        <f aca="false">IF(Kalender!A284="",0,J1747-H1748)</f>
        <v>0.0150822</v>
      </c>
    </row>
    <row r="1749" customFormat="false" ht="16.4" hidden="false" customHeight="false" outlineLevel="0" collapsed="false">
      <c r="A1749" s="13" t="str">
        <f aca="false">""</f>
        <v/>
      </c>
      <c r="B1749" s="13" t="n">
        <f aca="false">281</f>
        <v>281</v>
      </c>
      <c r="C1749" s="13" t="n">
        <f aca="false">IF(Szenarien!$H$15="OK",(IFERROR(SUMIF(Nutzungsprofile!$B$6:$B$11,"Schulbetrieb",Nutzungsprofile!$G$6:$G$11)*Kalender!C285/SUM(Kalender!$C$5:$C$370),0)+IFERROR(SUMIF(Nutzungsprofile!$B$6:$B$11,"Halle",Nutzungsprofile!$G$6:$G$11)*Kalender!D285/SUM(Kalender!$D$5:$D$370),0)+IFERROR(SUMIF(Nutzungsprofile!$B$6:$B$11,"Individuell",Nutzungsprofile!$G$6:$G$11)*Kalender!E285/SUM(Kalender!$E$5:$E$370),0))*Szenarien!$E$15,0)</f>
        <v>0.9</v>
      </c>
      <c r="D1749" s="13" t="n">
        <f aca="false">IF(Szenarien!$H$15="OK",(IFERROR(SUMIF(Nutzungsprofile!$B$17:$B$22,"Schulbetrieb",Nutzungsprofile!$G$17:$G$22)*Kalender!C285/SUM(Kalender!$C$5:$C$370),0)+IFERROR(SUMIF(Nutzungsprofile!$B$17:$B$22,"Halle",Nutzungsprofile!$G$17:$G$22)*Kalender!D285/SUM(Kalender!$D$5:$D$370),0)+IFERROR(SUMIF(Nutzungsprofile!$B$17:$B$22,"Individuell",Nutzungsprofile!$G$17:$G$22)*Kalender!E285/SUM(Kalender!$E$5:$E$370),0))*Szenarien!$D$15,0)</f>
        <v>4.05</v>
      </c>
      <c r="E1749" s="13" t="n">
        <f aca="false">IFERROR(MIN(C1749,Eingaben!$B$17)*Eingaben!$B$16,0)</f>
        <v>0.855</v>
      </c>
      <c r="F1749" s="13" t="n">
        <f aca="false">IFERROR(E1749*Eingaben!$B$15,0)</f>
        <v>0.7695</v>
      </c>
      <c r="G1749" s="13" t="n">
        <f aca="false">IFERROR(IF(Kalender!A285="",0,J1748*(1-Eingaben!$B$20)),0)</f>
        <v>0.7390278</v>
      </c>
      <c r="H1749" s="13" t="n">
        <f aca="false">MIN(G1749,D1749)</f>
        <v>0.7390278</v>
      </c>
      <c r="I1749" s="13" t="n">
        <f aca="false">IFERROR(MIN(F1749*Eingaben!$B$19,MAX(0,D1749-H1749)),0)</f>
        <v>0.53865</v>
      </c>
      <c r="J1749" s="13" t="n">
        <f aca="false">IFERROR(MIN(Eingaben!$B$18,MAX(0,F1749-I1749)),0)</f>
        <v>0.23085</v>
      </c>
      <c r="K1749" s="13" t="n">
        <f aca="false">H1749+I1749</f>
        <v>1.2776778</v>
      </c>
      <c r="L1749" s="13" t="n">
        <f aca="false">MAX(0,D1749-K1749)</f>
        <v>2.7723222</v>
      </c>
      <c r="M1749" s="13" t="n">
        <f aca="false">MAX(0,F1749-I1749-J1749)</f>
        <v>0</v>
      </c>
      <c r="N1749" s="13" t="n">
        <f aca="false">IF(Kalender!A285="",0,J1748-H1749)</f>
        <v>0.0150822</v>
      </c>
    </row>
    <row r="1750" customFormat="false" ht="16.4" hidden="false" customHeight="false" outlineLevel="0" collapsed="false">
      <c r="A1750" s="13" t="str">
        <f aca="false">""</f>
        <v/>
      </c>
      <c r="B1750" s="13" t="n">
        <f aca="false">282</f>
        <v>282</v>
      </c>
      <c r="C1750" s="13" t="n">
        <f aca="false">IF(Szenarien!$H$15="OK",(IFERROR(SUMIF(Nutzungsprofile!$B$6:$B$11,"Schulbetrieb",Nutzungsprofile!$G$6:$G$11)*Kalender!C286/SUM(Kalender!$C$5:$C$370),0)+IFERROR(SUMIF(Nutzungsprofile!$B$6:$B$11,"Halle",Nutzungsprofile!$G$6:$G$11)*Kalender!D286/SUM(Kalender!$D$5:$D$370),0)+IFERROR(SUMIF(Nutzungsprofile!$B$6:$B$11,"Individuell",Nutzungsprofile!$G$6:$G$11)*Kalender!E286/SUM(Kalender!$E$5:$E$370),0))*Szenarien!$E$15,0)</f>
        <v>0.9</v>
      </c>
      <c r="D1750" s="13" t="n">
        <f aca="false">IF(Szenarien!$H$15="OK",(IFERROR(SUMIF(Nutzungsprofile!$B$17:$B$22,"Schulbetrieb",Nutzungsprofile!$G$17:$G$22)*Kalender!C286/SUM(Kalender!$C$5:$C$370),0)+IFERROR(SUMIF(Nutzungsprofile!$B$17:$B$22,"Halle",Nutzungsprofile!$G$17:$G$22)*Kalender!D286/SUM(Kalender!$D$5:$D$370),0)+IFERROR(SUMIF(Nutzungsprofile!$B$17:$B$22,"Individuell",Nutzungsprofile!$G$17:$G$22)*Kalender!E286/SUM(Kalender!$E$5:$E$370),0))*Szenarien!$D$15,0)</f>
        <v>4.05</v>
      </c>
      <c r="E1750" s="13" t="n">
        <f aca="false">IFERROR(MIN(C1750,Eingaben!$B$17)*Eingaben!$B$16,0)</f>
        <v>0.855</v>
      </c>
      <c r="F1750" s="13" t="n">
        <f aca="false">IFERROR(E1750*Eingaben!$B$15,0)</f>
        <v>0.7695</v>
      </c>
      <c r="G1750" s="13" t="n">
        <f aca="false">IFERROR(IF(Kalender!A286="",0,J1749*(1-Eingaben!$B$20)),0)</f>
        <v>0.226233</v>
      </c>
      <c r="H1750" s="13" t="n">
        <f aca="false">MIN(G1750,D1750)</f>
        <v>0.226233</v>
      </c>
      <c r="I1750" s="13" t="n">
        <f aca="false">IFERROR(MIN(F1750*Eingaben!$B$19,MAX(0,D1750-H1750)),0)</f>
        <v>0.53865</v>
      </c>
      <c r="J1750" s="13" t="n">
        <f aca="false">IFERROR(MIN(Eingaben!$B$18,MAX(0,F1750-I1750)),0)</f>
        <v>0.23085</v>
      </c>
      <c r="K1750" s="13" t="n">
        <f aca="false">H1750+I1750</f>
        <v>0.764883</v>
      </c>
      <c r="L1750" s="13" t="n">
        <f aca="false">MAX(0,D1750-K1750)</f>
        <v>3.285117</v>
      </c>
      <c r="M1750" s="13" t="n">
        <f aca="false">MAX(0,F1750-I1750-J1750)</f>
        <v>0</v>
      </c>
      <c r="N1750" s="13" t="n">
        <f aca="false">IF(Kalender!A286="",0,J1749-H1750)</f>
        <v>0.00461700000000001</v>
      </c>
    </row>
    <row r="1751" customFormat="false" ht="16.4" hidden="false" customHeight="false" outlineLevel="0" collapsed="false">
      <c r="A1751" s="13" t="str">
        <f aca="false">""</f>
        <v/>
      </c>
      <c r="B1751" s="13" t="n">
        <f aca="false">283</f>
        <v>283</v>
      </c>
      <c r="C1751" s="13" t="n">
        <f aca="false">IF(Szenarien!$H$15="OK",(IFERROR(SUMIF(Nutzungsprofile!$B$6:$B$11,"Schulbetrieb",Nutzungsprofile!$G$6:$G$11)*Kalender!C287/SUM(Kalender!$C$5:$C$370),0)+IFERROR(SUMIF(Nutzungsprofile!$B$6:$B$11,"Halle",Nutzungsprofile!$G$6:$G$11)*Kalender!D287/SUM(Kalender!$D$5:$D$370),0)+IFERROR(SUMIF(Nutzungsprofile!$B$6:$B$11,"Individuell",Nutzungsprofile!$G$6:$G$11)*Kalender!E287/SUM(Kalender!$E$5:$E$370),0))*Szenarien!$E$15,0)</f>
        <v>0</v>
      </c>
      <c r="D1751" s="13" t="n">
        <f aca="false">IF(Szenarien!$H$15="OK",(IFERROR(SUMIF(Nutzungsprofile!$B$17:$B$22,"Schulbetrieb",Nutzungsprofile!$G$17:$G$22)*Kalender!C287/SUM(Kalender!$C$5:$C$370),0)+IFERROR(SUMIF(Nutzungsprofile!$B$17:$B$22,"Halle",Nutzungsprofile!$G$17:$G$22)*Kalender!D287/SUM(Kalender!$D$5:$D$370),0)+IFERROR(SUMIF(Nutzungsprofile!$B$17:$B$22,"Individuell",Nutzungsprofile!$G$17:$G$22)*Kalender!E287/SUM(Kalender!$E$5:$E$370),0))*Szenarien!$D$15,0)</f>
        <v>0</v>
      </c>
      <c r="E1751" s="13" t="n">
        <f aca="false">IFERROR(MIN(C1751,Eingaben!$B$17)*Eingaben!$B$16,0)</f>
        <v>0</v>
      </c>
      <c r="F1751" s="13" t="n">
        <f aca="false">IFERROR(E1751*Eingaben!$B$15,0)</f>
        <v>0</v>
      </c>
      <c r="G1751" s="13" t="n">
        <f aca="false">IFERROR(IF(Kalender!A287="",0,J1750*(1-Eingaben!$B$20)),0)</f>
        <v>0.226233</v>
      </c>
      <c r="H1751" s="13" t="n">
        <f aca="false">MIN(G1751,D1751)</f>
        <v>0</v>
      </c>
      <c r="I1751" s="13" t="n">
        <f aca="false">IFERROR(MIN(F1751*Eingaben!$B$19,MAX(0,D1751-H1751)),0)</f>
        <v>0</v>
      </c>
      <c r="J1751" s="13" t="n">
        <f aca="false">IFERROR(MIN(Eingaben!$B$18,MAX(0,F1751-I1751)),0)</f>
        <v>0</v>
      </c>
      <c r="K1751" s="13" t="n">
        <f aca="false">H1751+I1751</f>
        <v>0</v>
      </c>
      <c r="L1751" s="13" t="n">
        <f aca="false">MAX(0,D1751-K1751)</f>
        <v>0</v>
      </c>
      <c r="M1751" s="13" t="n">
        <f aca="false">MAX(0,F1751-I1751-J1751)</f>
        <v>0</v>
      </c>
      <c r="N1751" s="13" t="n">
        <f aca="false">IF(Kalender!A287="",0,J1750-H1751)</f>
        <v>0.23085</v>
      </c>
    </row>
    <row r="1752" customFormat="false" ht="16.4" hidden="false" customHeight="false" outlineLevel="0" collapsed="false">
      <c r="A1752" s="13" t="str">
        <f aca="false">""</f>
        <v/>
      </c>
      <c r="B1752" s="13" t="n">
        <f aca="false">284</f>
        <v>284</v>
      </c>
      <c r="C1752" s="13" t="n">
        <f aca="false">IF(Szenarien!$H$15="OK",(IFERROR(SUMIF(Nutzungsprofile!$B$6:$B$11,"Schulbetrieb",Nutzungsprofile!$G$6:$G$11)*Kalender!C288/SUM(Kalender!$C$5:$C$370),0)+IFERROR(SUMIF(Nutzungsprofile!$B$6:$B$11,"Halle",Nutzungsprofile!$G$6:$G$11)*Kalender!D288/SUM(Kalender!$D$5:$D$370),0)+IFERROR(SUMIF(Nutzungsprofile!$B$6:$B$11,"Individuell",Nutzungsprofile!$G$6:$G$11)*Kalender!E288/SUM(Kalender!$E$5:$E$370),0))*Szenarien!$E$15,0)</f>
        <v>0</v>
      </c>
      <c r="D1752" s="13" t="n">
        <f aca="false">IF(Szenarien!$H$15="OK",(IFERROR(SUMIF(Nutzungsprofile!$B$17:$B$22,"Schulbetrieb",Nutzungsprofile!$G$17:$G$22)*Kalender!C288/SUM(Kalender!$C$5:$C$370),0)+IFERROR(SUMIF(Nutzungsprofile!$B$17:$B$22,"Halle",Nutzungsprofile!$G$17:$G$22)*Kalender!D288/SUM(Kalender!$D$5:$D$370),0)+IFERROR(SUMIF(Nutzungsprofile!$B$17:$B$22,"Individuell",Nutzungsprofile!$G$17:$G$22)*Kalender!E288/SUM(Kalender!$E$5:$E$370),0))*Szenarien!$D$15,0)</f>
        <v>0</v>
      </c>
      <c r="E1752" s="13" t="n">
        <f aca="false">IFERROR(MIN(C1752,Eingaben!$B$17)*Eingaben!$B$16,0)</f>
        <v>0</v>
      </c>
      <c r="F1752" s="13" t="n">
        <f aca="false">IFERROR(E1752*Eingaben!$B$15,0)</f>
        <v>0</v>
      </c>
      <c r="G1752" s="13" t="n">
        <f aca="false">IFERROR(IF(Kalender!A288="",0,J1751*(1-Eingaben!$B$20)),0)</f>
        <v>0</v>
      </c>
      <c r="H1752" s="13" t="n">
        <f aca="false">MIN(G1752,D1752)</f>
        <v>0</v>
      </c>
      <c r="I1752" s="13" t="n">
        <f aca="false">IFERROR(MIN(F1752*Eingaben!$B$19,MAX(0,D1752-H1752)),0)</f>
        <v>0</v>
      </c>
      <c r="J1752" s="13" t="n">
        <f aca="false">IFERROR(MIN(Eingaben!$B$18,MAX(0,F1752-I1752)),0)</f>
        <v>0</v>
      </c>
      <c r="K1752" s="13" t="n">
        <f aca="false">H1752+I1752</f>
        <v>0</v>
      </c>
      <c r="L1752" s="13" t="n">
        <f aca="false">MAX(0,D1752-K1752)</f>
        <v>0</v>
      </c>
      <c r="M1752" s="13" t="n">
        <f aca="false">MAX(0,F1752-I1752-J1752)</f>
        <v>0</v>
      </c>
      <c r="N1752" s="13" t="n">
        <f aca="false">IF(Kalender!A288="",0,J1751-H1752)</f>
        <v>0</v>
      </c>
    </row>
    <row r="1753" customFormat="false" ht="16.4" hidden="false" customHeight="false" outlineLevel="0" collapsed="false">
      <c r="A1753" s="13" t="str">
        <f aca="false">""</f>
        <v/>
      </c>
      <c r="B1753" s="13" t="n">
        <f aca="false">285</f>
        <v>285</v>
      </c>
      <c r="C1753" s="13" t="n">
        <f aca="false">IF(Szenarien!$H$15="OK",(IFERROR(SUMIF(Nutzungsprofile!$B$6:$B$11,"Schulbetrieb",Nutzungsprofile!$G$6:$G$11)*Kalender!C289/SUM(Kalender!$C$5:$C$370),0)+IFERROR(SUMIF(Nutzungsprofile!$B$6:$B$11,"Halle",Nutzungsprofile!$G$6:$G$11)*Kalender!D289/SUM(Kalender!$D$5:$D$370),0)+IFERROR(SUMIF(Nutzungsprofile!$B$6:$B$11,"Individuell",Nutzungsprofile!$G$6:$G$11)*Kalender!E289/SUM(Kalender!$E$5:$E$370),0))*Szenarien!$E$15,0)</f>
        <v>0.9</v>
      </c>
      <c r="D1753" s="13" t="n">
        <f aca="false">IF(Szenarien!$H$15="OK",(IFERROR(SUMIF(Nutzungsprofile!$B$17:$B$22,"Schulbetrieb",Nutzungsprofile!$G$17:$G$22)*Kalender!C289/SUM(Kalender!$C$5:$C$370),0)+IFERROR(SUMIF(Nutzungsprofile!$B$17:$B$22,"Halle",Nutzungsprofile!$G$17:$G$22)*Kalender!D289/SUM(Kalender!$D$5:$D$370),0)+IFERROR(SUMIF(Nutzungsprofile!$B$17:$B$22,"Individuell",Nutzungsprofile!$G$17:$G$22)*Kalender!E289/SUM(Kalender!$E$5:$E$370),0))*Szenarien!$D$15,0)</f>
        <v>4.05</v>
      </c>
      <c r="E1753" s="13" t="n">
        <f aca="false">IFERROR(MIN(C1753,Eingaben!$B$17)*Eingaben!$B$16,0)</f>
        <v>0.855</v>
      </c>
      <c r="F1753" s="13" t="n">
        <f aca="false">IFERROR(E1753*Eingaben!$B$15,0)</f>
        <v>0.7695</v>
      </c>
      <c r="G1753" s="13" t="n">
        <f aca="false">IFERROR(IF(Kalender!A289="",0,J1752*(1-Eingaben!$B$20)),0)</f>
        <v>0</v>
      </c>
      <c r="H1753" s="13" t="n">
        <f aca="false">MIN(G1753,D1753)</f>
        <v>0</v>
      </c>
      <c r="I1753" s="13" t="n">
        <f aca="false">IFERROR(MIN(F1753*Eingaben!$B$19,MAX(0,D1753-H1753)),0)</f>
        <v>0.53865</v>
      </c>
      <c r="J1753" s="13" t="n">
        <f aca="false">IFERROR(MIN(Eingaben!$B$18,MAX(0,F1753-I1753)),0)</f>
        <v>0.23085</v>
      </c>
      <c r="K1753" s="13" t="n">
        <f aca="false">H1753+I1753</f>
        <v>0.53865</v>
      </c>
      <c r="L1753" s="13" t="n">
        <f aca="false">MAX(0,D1753-K1753)</f>
        <v>3.51135</v>
      </c>
      <c r="M1753" s="13" t="n">
        <f aca="false">MAX(0,F1753-I1753-J1753)</f>
        <v>0</v>
      </c>
      <c r="N1753" s="13" t="n">
        <f aca="false">IF(Kalender!A289="",0,J1752-H1753)</f>
        <v>0</v>
      </c>
    </row>
    <row r="1754" customFormat="false" ht="16.4" hidden="false" customHeight="false" outlineLevel="0" collapsed="false">
      <c r="A1754" s="13" t="str">
        <f aca="false">""</f>
        <v/>
      </c>
      <c r="B1754" s="13" t="n">
        <f aca="false">286</f>
        <v>286</v>
      </c>
      <c r="C1754" s="13" t="n">
        <f aca="false">IF(Szenarien!$H$15="OK",(IFERROR(SUMIF(Nutzungsprofile!$B$6:$B$11,"Schulbetrieb",Nutzungsprofile!$G$6:$G$11)*Kalender!C290/SUM(Kalender!$C$5:$C$370),0)+IFERROR(SUMIF(Nutzungsprofile!$B$6:$B$11,"Halle",Nutzungsprofile!$G$6:$G$11)*Kalender!D290/SUM(Kalender!$D$5:$D$370),0)+IFERROR(SUMIF(Nutzungsprofile!$B$6:$B$11,"Individuell",Nutzungsprofile!$G$6:$G$11)*Kalender!E290/SUM(Kalender!$E$5:$E$370),0))*Szenarien!$E$15,0)</f>
        <v>0.9</v>
      </c>
      <c r="D1754" s="13" t="n">
        <f aca="false">IF(Szenarien!$H$15="OK",(IFERROR(SUMIF(Nutzungsprofile!$B$17:$B$22,"Schulbetrieb",Nutzungsprofile!$G$17:$G$22)*Kalender!C290/SUM(Kalender!$C$5:$C$370),0)+IFERROR(SUMIF(Nutzungsprofile!$B$17:$B$22,"Halle",Nutzungsprofile!$G$17:$G$22)*Kalender!D290/SUM(Kalender!$D$5:$D$370),0)+IFERROR(SUMIF(Nutzungsprofile!$B$17:$B$22,"Individuell",Nutzungsprofile!$G$17:$G$22)*Kalender!E290/SUM(Kalender!$E$5:$E$370),0))*Szenarien!$D$15,0)</f>
        <v>4.05</v>
      </c>
      <c r="E1754" s="13" t="n">
        <f aca="false">IFERROR(MIN(C1754,Eingaben!$B$17)*Eingaben!$B$16,0)</f>
        <v>0.855</v>
      </c>
      <c r="F1754" s="13" t="n">
        <f aca="false">IFERROR(E1754*Eingaben!$B$15,0)</f>
        <v>0.7695</v>
      </c>
      <c r="G1754" s="13" t="n">
        <f aca="false">IFERROR(IF(Kalender!A290="",0,J1753*(1-Eingaben!$B$20)),0)</f>
        <v>0.226233</v>
      </c>
      <c r="H1754" s="13" t="n">
        <f aca="false">MIN(G1754,D1754)</f>
        <v>0.226233</v>
      </c>
      <c r="I1754" s="13" t="n">
        <f aca="false">IFERROR(MIN(F1754*Eingaben!$B$19,MAX(0,D1754-H1754)),0)</f>
        <v>0.53865</v>
      </c>
      <c r="J1754" s="13" t="n">
        <f aca="false">IFERROR(MIN(Eingaben!$B$18,MAX(0,F1754-I1754)),0)</f>
        <v>0.23085</v>
      </c>
      <c r="K1754" s="13" t="n">
        <f aca="false">H1754+I1754</f>
        <v>0.764883</v>
      </c>
      <c r="L1754" s="13" t="n">
        <f aca="false">MAX(0,D1754-K1754)</f>
        <v>3.285117</v>
      </c>
      <c r="M1754" s="13" t="n">
        <f aca="false">MAX(0,F1754-I1754-J1754)</f>
        <v>0</v>
      </c>
      <c r="N1754" s="13" t="n">
        <f aca="false">IF(Kalender!A290="",0,J1753-H1754)</f>
        <v>0.00461700000000001</v>
      </c>
    </row>
    <row r="1755" customFormat="false" ht="16.4" hidden="false" customHeight="false" outlineLevel="0" collapsed="false">
      <c r="A1755" s="13" t="str">
        <f aca="false">""</f>
        <v/>
      </c>
      <c r="B1755" s="13" t="n">
        <f aca="false">287</f>
        <v>287</v>
      </c>
      <c r="C1755" s="13" t="n">
        <f aca="false">IF(Szenarien!$H$15="OK",(IFERROR(SUMIF(Nutzungsprofile!$B$6:$B$11,"Schulbetrieb",Nutzungsprofile!$G$6:$G$11)*Kalender!C291/SUM(Kalender!$C$5:$C$370),0)+IFERROR(SUMIF(Nutzungsprofile!$B$6:$B$11,"Halle",Nutzungsprofile!$G$6:$G$11)*Kalender!D291/SUM(Kalender!$D$5:$D$370),0)+IFERROR(SUMIF(Nutzungsprofile!$B$6:$B$11,"Individuell",Nutzungsprofile!$G$6:$G$11)*Kalender!E291/SUM(Kalender!$E$5:$E$370),0))*Szenarien!$E$15,0)</f>
        <v>0.9</v>
      </c>
      <c r="D1755" s="13" t="n">
        <f aca="false">IF(Szenarien!$H$15="OK",(IFERROR(SUMIF(Nutzungsprofile!$B$17:$B$22,"Schulbetrieb",Nutzungsprofile!$G$17:$G$22)*Kalender!C291/SUM(Kalender!$C$5:$C$370),0)+IFERROR(SUMIF(Nutzungsprofile!$B$17:$B$22,"Halle",Nutzungsprofile!$G$17:$G$22)*Kalender!D291/SUM(Kalender!$D$5:$D$370),0)+IFERROR(SUMIF(Nutzungsprofile!$B$17:$B$22,"Individuell",Nutzungsprofile!$G$17:$G$22)*Kalender!E291/SUM(Kalender!$E$5:$E$370),0))*Szenarien!$D$15,0)</f>
        <v>4.05</v>
      </c>
      <c r="E1755" s="13" t="n">
        <f aca="false">IFERROR(MIN(C1755,Eingaben!$B$17)*Eingaben!$B$16,0)</f>
        <v>0.855</v>
      </c>
      <c r="F1755" s="13" t="n">
        <f aca="false">IFERROR(E1755*Eingaben!$B$15,0)</f>
        <v>0.7695</v>
      </c>
      <c r="G1755" s="13" t="n">
        <f aca="false">IFERROR(IF(Kalender!A291="",0,J1754*(1-Eingaben!$B$20)),0)</f>
        <v>0.226233</v>
      </c>
      <c r="H1755" s="13" t="n">
        <f aca="false">MIN(G1755,D1755)</f>
        <v>0.226233</v>
      </c>
      <c r="I1755" s="13" t="n">
        <f aca="false">IFERROR(MIN(F1755*Eingaben!$B$19,MAX(0,D1755-H1755)),0)</f>
        <v>0.53865</v>
      </c>
      <c r="J1755" s="13" t="n">
        <f aca="false">IFERROR(MIN(Eingaben!$B$18,MAX(0,F1755-I1755)),0)</f>
        <v>0.23085</v>
      </c>
      <c r="K1755" s="13" t="n">
        <f aca="false">H1755+I1755</f>
        <v>0.764883</v>
      </c>
      <c r="L1755" s="13" t="n">
        <f aca="false">MAX(0,D1755-K1755)</f>
        <v>3.285117</v>
      </c>
      <c r="M1755" s="13" t="n">
        <f aca="false">MAX(0,F1755-I1755-J1755)</f>
        <v>0</v>
      </c>
      <c r="N1755" s="13" t="n">
        <f aca="false">IF(Kalender!A291="",0,J1754-H1755)</f>
        <v>0.00461700000000001</v>
      </c>
    </row>
    <row r="1756" customFormat="false" ht="16.4" hidden="false" customHeight="false" outlineLevel="0" collapsed="false">
      <c r="A1756" s="13" t="str">
        <f aca="false">""</f>
        <v/>
      </c>
      <c r="B1756" s="13" t="n">
        <f aca="false">288</f>
        <v>288</v>
      </c>
      <c r="C1756" s="13" t="n">
        <f aca="false">IF(Szenarien!$H$15="OK",(IFERROR(SUMIF(Nutzungsprofile!$B$6:$B$11,"Schulbetrieb",Nutzungsprofile!$G$6:$G$11)*Kalender!C292/SUM(Kalender!$C$5:$C$370),0)+IFERROR(SUMIF(Nutzungsprofile!$B$6:$B$11,"Halle",Nutzungsprofile!$G$6:$G$11)*Kalender!D292/SUM(Kalender!$D$5:$D$370),0)+IFERROR(SUMIF(Nutzungsprofile!$B$6:$B$11,"Individuell",Nutzungsprofile!$G$6:$G$11)*Kalender!E292/SUM(Kalender!$E$5:$E$370),0))*Szenarien!$E$15,0)</f>
        <v>0.9</v>
      </c>
      <c r="D1756" s="13" t="n">
        <f aca="false">IF(Szenarien!$H$15="OK",(IFERROR(SUMIF(Nutzungsprofile!$B$17:$B$22,"Schulbetrieb",Nutzungsprofile!$G$17:$G$22)*Kalender!C292/SUM(Kalender!$C$5:$C$370),0)+IFERROR(SUMIF(Nutzungsprofile!$B$17:$B$22,"Halle",Nutzungsprofile!$G$17:$G$22)*Kalender!D292/SUM(Kalender!$D$5:$D$370),0)+IFERROR(SUMIF(Nutzungsprofile!$B$17:$B$22,"Individuell",Nutzungsprofile!$G$17:$G$22)*Kalender!E292/SUM(Kalender!$E$5:$E$370),0))*Szenarien!$D$15,0)</f>
        <v>4.05</v>
      </c>
      <c r="E1756" s="13" t="n">
        <f aca="false">IFERROR(MIN(C1756,Eingaben!$B$17)*Eingaben!$B$16,0)</f>
        <v>0.855</v>
      </c>
      <c r="F1756" s="13" t="n">
        <f aca="false">IFERROR(E1756*Eingaben!$B$15,0)</f>
        <v>0.7695</v>
      </c>
      <c r="G1756" s="13" t="n">
        <f aca="false">IFERROR(IF(Kalender!A292="",0,J1755*(1-Eingaben!$B$20)),0)</f>
        <v>0.226233</v>
      </c>
      <c r="H1756" s="13" t="n">
        <f aca="false">MIN(G1756,D1756)</f>
        <v>0.226233</v>
      </c>
      <c r="I1756" s="13" t="n">
        <f aca="false">IFERROR(MIN(F1756*Eingaben!$B$19,MAX(0,D1756-H1756)),0)</f>
        <v>0.53865</v>
      </c>
      <c r="J1756" s="13" t="n">
        <f aca="false">IFERROR(MIN(Eingaben!$B$18,MAX(0,F1756-I1756)),0)</f>
        <v>0.23085</v>
      </c>
      <c r="K1756" s="13" t="n">
        <f aca="false">H1756+I1756</f>
        <v>0.764883</v>
      </c>
      <c r="L1756" s="13" t="n">
        <f aca="false">MAX(0,D1756-K1756)</f>
        <v>3.285117</v>
      </c>
      <c r="M1756" s="13" t="n">
        <f aca="false">MAX(0,F1756-I1756-J1756)</f>
        <v>0</v>
      </c>
      <c r="N1756" s="13" t="n">
        <f aca="false">IF(Kalender!A292="",0,J1755-H1756)</f>
        <v>0.00461700000000001</v>
      </c>
    </row>
    <row r="1757" customFormat="false" ht="16.4" hidden="false" customHeight="false" outlineLevel="0" collapsed="false">
      <c r="A1757" s="13" t="str">
        <f aca="false">""</f>
        <v/>
      </c>
      <c r="B1757" s="13" t="n">
        <f aca="false">289</f>
        <v>289</v>
      </c>
      <c r="C1757" s="13" t="n">
        <f aca="false">IF(Szenarien!$H$15="OK",(IFERROR(SUMIF(Nutzungsprofile!$B$6:$B$11,"Schulbetrieb",Nutzungsprofile!$G$6:$G$11)*Kalender!C293/SUM(Kalender!$C$5:$C$370),0)+IFERROR(SUMIF(Nutzungsprofile!$B$6:$B$11,"Halle",Nutzungsprofile!$G$6:$G$11)*Kalender!D293/SUM(Kalender!$D$5:$D$370),0)+IFERROR(SUMIF(Nutzungsprofile!$B$6:$B$11,"Individuell",Nutzungsprofile!$G$6:$G$11)*Kalender!E293/SUM(Kalender!$E$5:$E$370),0))*Szenarien!$E$15,0)</f>
        <v>0.9</v>
      </c>
      <c r="D1757" s="13" t="n">
        <f aca="false">IF(Szenarien!$H$15="OK",(IFERROR(SUMIF(Nutzungsprofile!$B$17:$B$22,"Schulbetrieb",Nutzungsprofile!$G$17:$G$22)*Kalender!C293/SUM(Kalender!$C$5:$C$370),0)+IFERROR(SUMIF(Nutzungsprofile!$B$17:$B$22,"Halle",Nutzungsprofile!$G$17:$G$22)*Kalender!D293/SUM(Kalender!$D$5:$D$370),0)+IFERROR(SUMIF(Nutzungsprofile!$B$17:$B$22,"Individuell",Nutzungsprofile!$G$17:$G$22)*Kalender!E293/SUM(Kalender!$E$5:$E$370),0))*Szenarien!$D$15,0)</f>
        <v>4.05</v>
      </c>
      <c r="E1757" s="13" t="n">
        <f aca="false">IFERROR(MIN(C1757,Eingaben!$B$17)*Eingaben!$B$16,0)</f>
        <v>0.855</v>
      </c>
      <c r="F1757" s="13" t="n">
        <f aca="false">IFERROR(E1757*Eingaben!$B$15,0)</f>
        <v>0.7695</v>
      </c>
      <c r="G1757" s="13" t="n">
        <f aca="false">IFERROR(IF(Kalender!A293="",0,J1756*(1-Eingaben!$B$20)),0)</f>
        <v>0.226233</v>
      </c>
      <c r="H1757" s="13" t="n">
        <f aca="false">MIN(G1757,D1757)</f>
        <v>0.226233</v>
      </c>
      <c r="I1757" s="13" t="n">
        <f aca="false">IFERROR(MIN(F1757*Eingaben!$B$19,MAX(0,D1757-H1757)),0)</f>
        <v>0.53865</v>
      </c>
      <c r="J1757" s="13" t="n">
        <f aca="false">IFERROR(MIN(Eingaben!$B$18,MAX(0,F1757-I1757)),0)</f>
        <v>0.23085</v>
      </c>
      <c r="K1757" s="13" t="n">
        <f aca="false">H1757+I1757</f>
        <v>0.764883</v>
      </c>
      <c r="L1757" s="13" t="n">
        <f aca="false">MAX(0,D1757-K1757)</f>
        <v>3.285117</v>
      </c>
      <c r="M1757" s="13" t="n">
        <f aca="false">MAX(0,F1757-I1757-J1757)</f>
        <v>0</v>
      </c>
      <c r="N1757" s="13" t="n">
        <f aca="false">IF(Kalender!A293="",0,J1756-H1757)</f>
        <v>0.00461700000000001</v>
      </c>
    </row>
    <row r="1758" customFormat="false" ht="16.4" hidden="false" customHeight="false" outlineLevel="0" collapsed="false">
      <c r="A1758" s="13" t="str">
        <f aca="false">""</f>
        <v/>
      </c>
      <c r="B1758" s="13" t="n">
        <f aca="false">290</f>
        <v>290</v>
      </c>
      <c r="C1758" s="13" t="n">
        <f aca="false">IF(Szenarien!$H$15="OK",(IFERROR(SUMIF(Nutzungsprofile!$B$6:$B$11,"Schulbetrieb",Nutzungsprofile!$G$6:$G$11)*Kalender!C294/SUM(Kalender!$C$5:$C$370),0)+IFERROR(SUMIF(Nutzungsprofile!$B$6:$B$11,"Halle",Nutzungsprofile!$G$6:$G$11)*Kalender!D294/SUM(Kalender!$D$5:$D$370),0)+IFERROR(SUMIF(Nutzungsprofile!$B$6:$B$11,"Individuell",Nutzungsprofile!$G$6:$G$11)*Kalender!E294/SUM(Kalender!$E$5:$E$370),0))*Szenarien!$E$15,0)</f>
        <v>0</v>
      </c>
      <c r="D1758" s="13" t="n">
        <f aca="false">IF(Szenarien!$H$15="OK",(IFERROR(SUMIF(Nutzungsprofile!$B$17:$B$22,"Schulbetrieb",Nutzungsprofile!$G$17:$G$22)*Kalender!C294/SUM(Kalender!$C$5:$C$370),0)+IFERROR(SUMIF(Nutzungsprofile!$B$17:$B$22,"Halle",Nutzungsprofile!$G$17:$G$22)*Kalender!D294/SUM(Kalender!$D$5:$D$370),0)+IFERROR(SUMIF(Nutzungsprofile!$B$17:$B$22,"Individuell",Nutzungsprofile!$G$17:$G$22)*Kalender!E294/SUM(Kalender!$E$5:$E$370),0))*Szenarien!$D$15,0)</f>
        <v>0</v>
      </c>
      <c r="E1758" s="13" t="n">
        <f aca="false">IFERROR(MIN(C1758,Eingaben!$B$17)*Eingaben!$B$16,0)</f>
        <v>0</v>
      </c>
      <c r="F1758" s="13" t="n">
        <f aca="false">IFERROR(E1758*Eingaben!$B$15,0)</f>
        <v>0</v>
      </c>
      <c r="G1758" s="13" t="n">
        <f aca="false">IFERROR(IF(Kalender!A294="",0,J1757*(1-Eingaben!$B$20)),0)</f>
        <v>0.226233</v>
      </c>
      <c r="H1758" s="13" t="n">
        <f aca="false">MIN(G1758,D1758)</f>
        <v>0</v>
      </c>
      <c r="I1758" s="13" t="n">
        <f aca="false">IFERROR(MIN(F1758*Eingaben!$B$19,MAX(0,D1758-H1758)),0)</f>
        <v>0</v>
      </c>
      <c r="J1758" s="13" t="n">
        <f aca="false">IFERROR(MIN(Eingaben!$B$18,MAX(0,F1758-I1758)),0)</f>
        <v>0</v>
      </c>
      <c r="K1758" s="13" t="n">
        <f aca="false">H1758+I1758</f>
        <v>0</v>
      </c>
      <c r="L1758" s="13" t="n">
        <f aca="false">MAX(0,D1758-K1758)</f>
        <v>0</v>
      </c>
      <c r="M1758" s="13" t="n">
        <f aca="false">MAX(0,F1758-I1758-J1758)</f>
        <v>0</v>
      </c>
      <c r="N1758" s="13" t="n">
        <f aca="false">IF(Kalender!A294="",0,J1757-H1758)</f>
        <v>0.23085</v>
      </c>
    </row>
    <row r="1759" customFormat="false" ht="16.4" hidden="false" customHeight="false" outlineLevel="0" collapsed="false">
      <c r="A1759" s="13" t="str">
        <f aca="false">""</f>
        <v/>
      </c>
      <c r="B1759" s="13" t="n">
        <f aca="false">291</f>
        <v>291</v>
      </c>
      <c r="C1759" s="13" t="n">
        <f aca="false">IF(Szenarien!$H$15="OK",(IFERROR(SUMIF(Nutzungsprofile!$B$6:$B$11,"Schulbetrieb",Nutzungsprofile!$G$6:$G$11)*Kalender!C295/SUM(Kalender!$C$5:$C$370),0)+IFERROR(SUMIF(Nutzungsprofile!$B$6:$B$11,"Halle",Nutzungsprofile!$G$6:$G$11)*Kalender!D295/SUM(Kalender!$D$5:$D$370),0)+IFERROR(SUMIF(Nutzungsprofile!$B$6:$B$11,"Individuell",Nutzungsprofile!$G$6:$G$11)*Kalender!E295/SUM(Kalender!$E$5:$E$370),0))*Szenarien!$E$15,0)</f>
        <v>0</v>
      </c>
      <c r="D1759" s="13" t="n">
        <f aca="false">IF(Szenarien!$H$15="OK",(IFERROR(SUMIF(Nutzungsprofile!$B$17:$B$22,"Schulbetrieb",Nutzungsprofile!$G$17:$G$22)*Kalender!C295/SUM(Kalender!$C$5:$C$370),0)+IFERROR(SUMIF(Nutzungsprofile!$B$17:$B$22,"Halle",Nutzungsprofile!$G$17:$G$22)*Kalender!D295/SUM(Kalender!$D$5:$D$370),0)+IFERROR(SUMIF(Nutzungsprofile!$B$17:$B$22,"Individuell",Nutzungsprofile!$G$17:$G$22)*Kalender!E295/SUM(Kalender!$E$5:$E$370),0))*Szenarien!$D$15,0)</f>
        <v>0</v>
      </c>
      <c r="E1759" s="13" t="n">
        <f aca="false">IFERROR(MIN(C1759,Eingaben!$B$17)*Eingaben!$B$16,0)</f>
        <v>0</v>
      </c>
      <c r="F1759" s="13" t="n">
        <f aca="false">IFERROR(E1759*Eingaben!$B$15,0)</f>
        <v>0</v>
      </c>
      <c r="G1759" s="13" t="n">
        <f aca="false">IFERROR(IF(Kalender!A295="",0,J1758*(1-Eingaben!$B$20)),0)</f>
        <v>0</v>
      </c>
      <c r="H1759" s="13" t="n">
        <f aca="false">MIN(G1759,D1759)</f>
        <v>0</v>
      </c>
      <c r="I1759" s="13" t="n">
        <f aca="false">IFERROR(MIN(F1759*Eingaben!$B$19,MAX(0,D1759-H1759)),0)</f>
        <v>0</v>
      </c>
      <c r="J1759" s="13" t="n">
        <f aca="false">IFERROR(MIN(Eingaben!$B$18,MAX(0,F1759-I1759)),0)</f>
        <v>0</v>
      </c>
      <c r="K1759" s="13" t="n">
        <f aca="false">H1759+I1759</f>
        <v>0</v>
      </c>
      <c r="L1759" s="13" t="n">
        <f aca="false">MAX(0,D1759-K1759)</f>
        <v>0</v>
      </c>
      <c r="M1759" s="13" t="n">
        <f aca="false">MAX(0,F1759-I1759-J1759)</f>
        <v>0</v>
      </c>
      <c r="N1759" s="13" t="n">
        <f aca="false">IF(Kalender!A295="",0,J1758-H1759)</f>
        <v>0</v>
      </c>
    </row>
    <row r="1760" customFormat="false" ht="16.4" hidden="false" customHeight="false" outlineLevel="0" collapsed="false">
      <c r="A1760" s="13" t="str">
        <f aca="false">""</f>
        <v/>
      </c>
      <c r="B1760" s="13" t="n">
        <f aca="false">292</f>
        <v>292</v>
      </c>
      <c r="C1760" s="13" t="n">
        <f aca="false">IF(Szenarien!$H$15="OK",(IFERROR(SUMIF(Nutzungsprofile!$B$6:$B$11,"Schulbetrieb",Nutzungsprofile!$G$6:$G$11)*Kalender!C296/SUM(Kalender!$C$5:$C$370),0)+IFERROR(SUMIF(Nutzungsprofile!$B$6:$B$11,"Halle",Nutzungsprofile!$G$6:$G$11)*Kalender!D296/SUM(Kalender!$D$5:$D$370),0)+IFERROR(SUMIF(Nutzungsprofile!$B$6:$B$11,"Individuell",Nutzungsprofile!$G$6:$G$11)*Kalender!E296/SUM(Kalender!$E$5:$E$370),0))*Szenarien!$E$15,0)</f>
        <v>0.9</v>
      </c>
      <c r="D1760" s="13" t="n">
        <f aca="false">IF(Szenarien!$H$15="OK",(IFERROR(SUMIF(Nutzungsprofile!$B$17:$B$22,"Schulbetrieb",Nutzungsprofile!$G$17:$G$22)*Kalender!C296/SUM(Kalender!$C$5:$C$370),0)+IFERROR(SUMIF(Nutzungsprofile!$B$17:$B$22,"Halle",Nutzungsprofile!$G$17:$G$22)*Kalender!D296/SUM(Kalender!$D$5:$D$370),0)+IFERROR(SUMIF(Nutzungsprofile!$B$17:$B$22,"Individuell",Nutzungsprofile!$G$17:$G$22)*Kalender!E296/SUM(Kalender!$E$5:$E$370),0))*Szenarien!$D$15,0)</f>
        <v>4.05</v>
      </c>
      <c r="E1760" s="13" t="n">
        <f aca="false">IFERROR(MIN(C1760,Eingaben!$B$17)*Eingaben!$B$16,0)</f>
        <v>0.855</v>
      </c>
      <c r="F1760" s="13" t="n">
        <f aca="false">IFERROR(E1760*Eingaben!$B$15,0)</f>
        <v>0.7695</v>
      </c>
      <c r="G1760" s="13" t="n">
        <f aca="false">IFERROR(IF(Kalender!A296="",0,J1759*(1-Eingaben!$B$20)),0)</f>
        <v>0</v>
      </c>
      <c r="H1760" s="13" t="n">
        <f aca="false">MIN(G1760,D1760)</f>
        <v>0</v>
      </c>
      <c r="I1760" s="13" t="n">
        <f aca="false">IFERROR(MIN(F1760*Eingaben!$B$19,MAX(0,D1760-H1760)),0)</f>
        <v>0.53865</v>
      </c>
      <c r="J1760" s="13" t="n">
        <f aca="false">IFERROR(MIN(Eingaben!$B$18,MAX(0,F1760-I1760)),0)</f>
        <v>0.23085</v>
      </c>
      <c r="K1760" s="13" t="n">
        <f aca="false">H1760+I1760</f>
        <v>0.53865</v>
      </c>
      <c r="L1760" s="13" t="n">
        <f aca="false">MAX(0,D1760-K1760)</f>
        <v>3.51135</v>
      </c>
      <c r="M1760" s="13" t="n">
        <f aca="false">MAX(0,F1760-I1760-J1760)</f>
        <v>0</v>
      </c>
      <c r="N1760" s="13" t="n">
        <f aca="false">IF(Kalender!A296="",0,J1759-H1760)</f>
        <v>0</v>
      </c>
    </row>
    <row r="1761" customFormat="false" ht="16.4" hidden="false" customHeight="false" outlineLevel="0" collapsed="false">
      <c r="A1761" s="13" t="str">
        <f aca="false">""</f>
        <v/>
      </c>
      <c r="B1761" s="13" t="n">
        <f aca="false">293</f>
        <v>293</v>
      </c>
      <c r="C1761" s="13" t="n">
        <f aca="false">IF(Szenarien!$H$15="OK",(IFERROR(SUMIF(Nutzungsprofile!$B$6:$B$11,"Schulbetrieb",Nutzungsprofile!$G$6:$G$11)*Kalender!C297/SUM(Kalender!$C$5:$C$370),0)+IFERROR(SUMIF(Nutzungsprofile!$B$6:$B$11,"Halle",Nutzungsprofile!$G$6:$G$11)*Kalender!D297/SUM(Kalender!$D$5:$D$370),0)+IFERROR(SUMIF(Nutzungsprofile!$B$6:$B$11,"Individuell",Nutzungsprofile!$G$6:$G$11)*Kalender!E297/SUM(Kalender!$E$5:$E$370),0))*Szenarien!$E$15,0)</f>
        <v>0.9</v>
      </c>
      <c r="D1761" s="13" t="n">
        <f aca="false">IF(Szenarien!$H$15="OK",(IFERROR(SUMIF(Nutzungsprofile!$B$17:$B$22,"Schulbetrieb",Nutzungsprofile!$G$17:$G$22)*Kalender!C297/SUM(Kalender!$C$5:$C$370),0)+IFERROR(SUMIF(Nutzungsprofile!$B$17:$B$22,"Halle",Nutzungsprofile!$G$17:$G$22)*Kalender!D297/SUM(Kalender!$D$5:$D$370),0)+IFERROR(SUMIF(Nutzungsprofile!$B$17:$B$22,"Individuell",Nutzungsprofile!$G$17:$G$22)*Kalender!E297/SUM(Kalender!$E$5:$E$370),0))*Szenarien!$D$15,0)</f>
        <v>4.05</v>
      </c>
      <c r="E1761" s="13" t="n">
        <f aca="false">IFERROR(MIN(C1761,Eingaben!$B$17)*Eingaben!$B$16,0)</f>
        <v>0.855</v>
      </c>
      <c r="F1761" s="13" t="n">
        <f aca="false">IFERROR(E1761*Eingaben!$B$15,0)</f>
        <v>0.7695</v>
      </c>
      <c r="G1761" s="13" t="n">
        <f aca="false">IFERROR(IF(Kalender!A297="",0,J1760*(1-Eingaben!$B$20)),0)</f>
        <v>0.226233</v>
      </c>
      <c r="H1761" s="13" t="n">
        <f aca="false">MIN(G1761,D1761)</f>
        <v>0.226233</v>
      </c>
      <c r="I1761" s="13" t="n">
        <f aca="false">IFERROR(MIN(F1761*Eingaben!$B$19,MAX(0,D1761-H1761)),0)</f>
        <v>0.53865</v>
      </c>
      <c r="J1761" s="13" t="n">
        <f aca="false">IFERROR(MIN(Eingaben!$B$18,MAX(0,F1761-I1761)),0)</f>
        <v>0.23085</v>
      </c>
      <c r="K1761" s="13" t="n">
        <f aca="false">H1761+I1761</f>
        <v>0.764883</v>
      </c>
      <c r="L1761" s="13" t="n">
        <f aca="false">MAX(0,D1761-K1761)</f>
        <v>3.285117</v>
      </c>
      <c r="M1761" s="13" t="n">
        <f aca="false">MAX(0,F1761-I1761-J1761)</f>
        <v>0</v>
      </c>
      <c r="N1761" s="13" t="n">
        <f aca="false">IF(Kalender!A297="",0,J1760-H1761)</f>
        <v>0.00461700000000001</v>
      </c>
    </row>
    <row r="1762" customFormat="false" ht="16.4" hidden="false" customHeight="false" outlineLevel="0" collapsed="false">
      <c r="A1762" s="13" t="str">
        <f aca="false">""</f>
        <v/>
      </c>
      <c r="B1762" s="13" t="n">
        <f aca="false">294</f>
        <v>294</v>
      </c>
      <c r="C1762" s="13" t="n">
        <f aca="false">IF(Szenarien!$H$15="OK",(IFERROR(SUMIF(Nutzungsprofile!$B$6:$B$11,"Schulbetrieb",Nutzungsprofile!$G$6:$G$11)*Kalender!C298/SUM(Kalender!$C$5:$C$370),0)+IFERROR(SUMIF(Nutzungsprofile!$B$6:$B$11,"Halle",Nutzungsprofile!$G$6:$G$11)*Kalender!D298/SUM(Kalender!$D$5:$D$370),0)+IFERROR(SUMIF(Nutzungsprofile!$B$6:$B$11,"Individuell",Nutzungsprofile!$G$6:$G$11)*Kalender!E298/SUM(Kalender!$E$5:$E$370),0))*Szenarien!$E$15,0)</f>
        <v>0.9</v>
      </c>
      <c r="D1762" s="13" t="n">
        <f aca="false">IF(Szenarien!$H$15="OK",(IFERROR(SUMIF(Nutzungsprofile!$B$17:$B$22,"Schulbetrieb",Nutzungsprofile!$G$17:$G$22)*Kalender!C298/SUM(Kalender!$C$5:$C$370),0)+IFERROR(SUMIF(Nutzungsprofile!$B$17:$B$22,"Halle",Nutzungsprofile!$G$17:$G$22)*Kalender!D298/SUM(Kalender!$D$5:$D$370),0)+IFERROR(SUMIF(Nutzungsprofile!$B$17:$B$22,"Individuell",Nutzungsprofile!$G$17:$G$22)*Kalender!E298/SUM(Kalender!$E$5:$E$370),0))*Szenarien!$D$15,0)</f>
        <v>4.05</v>
      </c>
      <c r="E1762" s="13" t="n">
        <f aca="false">IFERROR(MIN(C1762,Eingaben!$B$17)*Eingaben!$B$16,0)</f>
        <v>0.855</v>
      </c>
      <c r="F1762" s="13" t="n">
        <f aca="false">IFERROR(E1762*Eingaben!$B$15,0)</f>
        <v>0.7695</v>
      </c>
      <c r="G1762" s="13" t="n">
        <f aca="false">IFERROR(IF(Kalender!A298="",0,J1761*(1-Eingaben!$B$20)),0)</f>
        <v>0.226233</v>
      </c>
      <c r="H1762" s="13" t="n">
        <f aca="false">MIN(G1762,D1762)</f>
        <v>0.226233</v>
      </c>
      <c r="I1762" s="13" t="n">
        <f aca="false">IFERROR(MIN(F1762*Eingaben!$B$19,MAX(0,D1762-H1762)),0)</f>
        <v>0.53865</v>
      </c>
      <c r="J1762" s="13" t="n">
        <f aca="false">IFERROR(MIN(Eingaben!$B$18,MAX(0,F1762-I1762)),0)</f>
        <v>0.23085</v>
      </c>
      <c r="K1762" s="13" t="n">
        <f aca="false">H1762+I1762</f>
        <v>0.764883</v>
      </c>
      <c r="L1762" s="13" t="n">
        <f aca="false">MAX(0,D1762-K1762)</f>
        <v>3.285117</v>
      </c>
      <c r="M1762" s="13" t="n">
        <f aca="false">MAX(0,F1762-I1762-J1762)</f>
        <v>0</v>
      </c>
      <c r="N1762" s="13" t="n">
        <f aca="false">IF(Kalender!A298="",0,J1761-H1762)</f>
        <v>0.00461700000000001</v>
      </c>
    </row>
    <row r="1763" customFormat="false" ht="16.4" hidden="false" customHeight="false" outlineLevel="0" collapsed="false">
      <c r="A1763" s="13" t="str">
        <f aca="false">""</f>
        <v/>
      </c>
      <c r="B1763" s="13" t="n">
        <f aca="false">295</f>
        <v>295</v>
      </c>
      <c r="C1763" s="13" t="n">
        <f aca="false">IF(Szenarien!$H$15="OK",(IFERROR(SUMIF(Nutzungsprofile!$B$6:$B$11,"Schulbetrieb",Nutzungsprofile!$G$6:$G$11)*Kalender!C299/SUM(Kalender!$C$5:$C$370),0)+IFERROR(SUMIF(Nutzungsprofile!$B$6:$B$11,"Halle",Nutzungsprofile!$G$6:$G$11)*Kalender!D299/SUM(Kalender!$D$5:$D$370),0)+IFERROR(SUMIF(Nutzungsprofile!$B$6:$B$11,"Individuell",Nutzungsprofile!$G$6:$G$11)*Kalender!E299/SUM(Kalender!$E$5:$E$370),0))*Szenarien!$E$15,0)</f>
        <v>0.9</v>
      </c>
      <c r="D1763" s="13" t="n">
        <f aca="false">IF(Szenarien!$H$15="OK",(IFERROR(SUMIF(Nutzungsprofile!$B$17:$B$22,"Schulbetrieb",Nutzungsprofile!$G$17:$G$22)*Kalender!C299/SUM(Kalender!$C$5:$C$370),0)+IFERROR(SUMIF(Nutzungsprofile!$B$17:$B$22,"Halle",Nutzungsprofile!$G$17:$G$22)*Kalender!D299/SUM(Kalender!$D$5:$D$370),0)+IFERROR(SUMIF(Nutzungsprofile!$B$17:$B$22,"Individuell",Nutzungsprofile!$G$17:$G$22)*Kalender!E299/SUM(Kalender!$E$5:$E$370),0))*Szenarien!$D$15,0)</f>
        <v>4.05</v>
      </c>
      <c r="E1763" s="13" t="n">
        <f aca="false">IFERROR(MIN(C1763,Eingaben!$B$17)*Eingaben!$B$16,0)</f>
        <v>0.855</v>
      </c>
      <c r="F1763" s="13" t="n">
        <f aca="false">IFERROR(E1763*Eingaben!$B$15,0)</f>
        <v>0.7695</v>
      </c>
      <c r="G1763" s="13" t="n">
        <f aca="false">IFERROR(IF(Kalender!A299="",0,J1762*(1-Eingaben!$B$20)),0)</f>
        <v>0.226233</v>
      </c>
      <c r="H1763" s="13" t="n">
        <f aca="false">MIN(G1763,D1763)</f>
        <v>0.226233</v>
      </c>
      <c r="I1763" s="13" t="n">
        <f aca="false">IFERROR(MIN(F1763*Eingaben!$B$19,MAX(0,D1763-H1763)),0)</f>
        <v>0.53865</v>
      </c>
      <c r="J1763" s="13" t="n">
        <f aca="false">IFERROR(MIN(Eingaben!$B$18,MAX(0,F1763-I1763)),0)</f>
        <v>0.23085</v>
      </c>
      <c r="K1763" s="13" t="n">
        <f aca="false">H1763+I1763</f>
        <v>0.764883</v>
      </c>
      <c r="L1763" s="13" t="n">
        <f aca="false">MAX(0,D1763-K1763)</f>
        <v>3.285117</v>
      </c>
      <c r="M1763" s="13" t="n">
        <f aca="false">MAX(0,F1763-I1763-J1763)</f>
        <v>0</v>
      </c>
      <c r="N1763" s="13" t="n">
        <f aca="false">IF(Kalender!A299="",0,J1762-H1763)</f>
        <v>0.00461700000000001</v>
      </c>
    </row>
    <row r="1764" customFormat="false" ht="16.4" hidden="false" customHeight="false" outlineLevel="0" collapsed="false">
      <c r="A1764" s="13" t="str">
        <f aca="false">""</f>
        <v/>
      </c>
      <c r="B1764" s="13" t="n">
        <f aca="false">296</f>
        <v>296</v>
      </c>
      <c r="C1764" s="13" t="n">
        <f aca="false">IF(Szenarien!$H$15="OK",(IFERROR(SUMIF(Nutzungsprofile!$B$6:$B$11,"Schulbetrieb",Nutzungsprofile!$G$6:$G$11)*Kalender!C300/SUM(Kalender!$C$5:$C$370),0)+IFERROR(SUMIF(Nutzungsprofile!$B$6:$B$11,"Halle",Nutzungsprofile!$G$6:$G$11)*Kalender!D300/SUM(Kalender!$D$5:$D$370),0)+IFERROR(SUMIF(Nutzungsprofile!$B$6:$B$11,"Individuell",Nutzungsprofile!$G$6:$G$11)*Kalender!E300/SUM(Kalender!$E$5:$E$370),0))*Szenarien!$E$15,0)</f>
        <v>0.9</v>
      </c>
      <c r="D1764" s="13" t="n">
        <f aca="false">IF(Szenarien!$H$15="OK",(IFERROR(SUMIF(Nutzungsprofile!$B$17:$B$22,"Schulbetrieb",Nutzungsprofile!$G$17:$G$22)*Kalender!C300/SUM(Kalender!$C$5:$C$370),0)+IFERROR(SUMIF(Nutzungsprofile!$B$17:$B$22,"Halle",Nutzungsprofile!$G$17:$G$22)*Kalender!D300/SUM(Kalender!$D$5:$D$370),0)+IFERROR(SUMIF(Nutzungsprofile!$B$17:$B$22,"Individuell",Nutzungsprofile!$G$17:$G$22)*Kalender!E300/SUM(Kalender!$E$5:$E$370),0))*Szenarien!$D$15,0)</f>
        <v>4.05</v>
      </c>
      <c r="E1764" s="13" t="n">
        <f aca="false">IFERROR(MIN(C1764,Eingaben!$B$17)*Eingaben!$B$16,0)</f>
        <v>0.855</v>
      </c>
      <c r="F1764" s="13" t="n">
        <f aca="false">IFERROR(E1764*Eingaben!$B$15,0)</f>
        <v>0.7695</v>
      </c>
      <c r="G1764" s="13" t="n">
        <f aca="false">IFERROR(IF(Kalender!A300="",0,J1763*(1-Eingaben!$B$20)),0)</f>
        <v>0.226233</v>
      </c>
      <c r="H1764" s="13" t="n">
        <f aca="false">MIN(G1764,D1764)</f>
        <v>0.226233</v>
      </c>
      <c r="I1764" s="13" t="n">
        <f aca="false">IFERROR(MIN(F1764*Eingaben!$B$19,MAX(0,D1764-H1764)),0)</f>
        <v>0.53865</v>
      </c>
      <c r="J1764" s="13" t="n">
        <f aca="false">IFERROR(MIN(Eingaben!$B$18,MAX(0,F1764-I1764)),0)</f>
        <v>0.23085</v>
      </c>
      <c r="K1764" s="13" t="n">
        <f aca="false">H1764+I1764</f>
        <v>0.764883</v>
      </c>
      <c r="L1764" s="13" t="n">
        <f aca="false">MAX(0,D1764-K1764)</f>
        <v>3.285117</v>
      </c>
      <c r="M1764" s="13" t="n">
        <f aca="false">MAX(0,F1764-I1764-J1764)</f>
        <v>0</v>
      </c>
      <c r="N1764" s="13" t="n">
        <f aca="false">IF(Kalender!A300="",0,J1763-H1764)</f>
        <v>0.00461700000000001</v>
      </c>
    </row>
    <row r="1765" customFormat="false" ht="16.4" hidden="false" customHeight="false" outlineLevel="0" collapsed="false">
      <c r="A1765" s="13" t="str">
        <f aca="false">""</f>
        <v/>
      </c>
      <c r="B1765" s="13" t="n">
        <f aca="false">297</f>
        <v>297</v>
      </c>
      <c r="C1765" s="13" t="n">
        <f aca="false">IF(Szenarien!$H$15="OK",(IFERROR(SUMIF(Nutzungsprofile!$B$6:$B$11,"Schulbetrieb",Nutzungsprofile!$G$6:$G$11)*Kalender!C301/SUM(Kalender!$C$5:$C$370),0)+IFERROR(SUMIF(Nutzungsprofile!$B$6:$B$11,"Halle",Nutzungsprofile!$G$6:$G$11)*Kalender!D301/SUM(Kalender!$D$5:$D$370),0)+IFERROR(SUMIF(Nutzungsprofile!$B$6:$B$11,"Individuell",Nutzungsprofile!$G$6:$G$11)*Kalender!E301/SUM(Kalender!$E$5:$E$370),0))*Szenarien!$E$15,0)</f>
        <v>0</v>
      </c>
      <c r="D1765" s="13" t="n">
        <f aca="false">IF(Szenarien!$H$15="OK",(IFERROR(SUMIF(Nutzungsprofile!$B$17:$B$22,"Schulbetrieb",Nutzungsprofile!$G$17:$G$22)*Kalender!C301/SUM(Kalender!$C$5:$C$370),0)+IFERROR(SUMIF(Nutzungsprofile!$B$17:$B$22,"Halle",Nutzungsprofile!$G$17:$G$22)*Kalender!D301/SUM(Kalender!$D$5:$D$370),0)+IFERROR(SUMIF(Nutzungsprofile!$B$17:$B$22,"Individuell",Nutzungsprofile!$G$17:$G$22)*Kalender!E301/SUM(Kalender!$E$5:$E$370),0))*Szenarien!$D$15,0)</f>
        <v>0</v>
      </c>
      <c r="E1765" s="13" t="n">
        <f aca="false">IFERROR(MIN(C1765,Eingaben!$B$17)*Eingaben!$B$16,0)</f>
        <v>0</v>
      </c>
      <c r="F1765" s="13" t="n">
        <f aca="false">IFERROR(E1765*Eingaben!$B$15,0)</f>
        <v>0</v>
      </c>
      <c r="G1765" s="13" t="n">
        <f aca="false">IFERROR(IF(Kalender!A301="",0,J1764*(1-Eingaben!$B$20)),0)</f>
        <v>0.226233</v>
      </c>
      <c r="H1765" s="13" t="n">
        <f aca="false">MIN(G1765,D1765)</f>
        <v>0</v>
      </c>
      <c r="I1765" s="13" t="n">
        <f aca="false">IFERROR(MIN(F1765*Eingaben!$B$19,MAX(0,D1765-H1765)),0)</f>
        <v>0</v>
      </c>
      <c r="J1765" s="13" t="n">
        <f aca="false">IFERROR(MIN(Eingaben!$B$18,MAX(0,F1765-I1765)),0)</f>
        <v>0</v>
      </c>
      <c r="K1765" s="13" t="n">
        <f aca="false">H1765+I1765</f>
        <v>0</v>
      </c>
      <c r="L1765" s="13" t="n">
        <f aca="false">MAX(0,D1765-K1765)</f>
        <v>0</v>
      </c>
      <c r="M1765" s="13" t="n">
        <f aca="false">MAX(0,F1765-I1765-J1765)</f>
        <v>0</v>
      </c>
      <c r="N1765" s="13" t="n">
        <f aca="false">IF(Kalender!A301="",0,J1764-H1765)</f>
        <v>0.23085</v>
      </c>
    </row>
    <row r="1766" customFormat="false" ht="16.4" hidden="false" customHeight="false" outlineLevel="0" collapsed="false">
      <c r="A1766" s="13" t="str">
        <f aca="false">""</f>
        <v/>
      </c>
      <c r="B1766" s="13" t="n">
        <f aca="false">298</f>
        <v>298</v>
      </c>
      <c r="C1766" s="13" t="n">
        <f aca="false">IF(Szenarien!$H$15="OK",(IFERROR(SUMIF(Nutzungsprofile!$B$6:$B$11,"Schulbetrieb",Nutzungsprofile!$G$6:$G$11)*Kalender!C302/SUM(Kalender!$C$5:$C$370),0)+IFERROR(SUMIF(Nutzungsprofile!$B$6:$B$11,"Halle",Nutzungsprofile!$G$6:$G$11)*Kalender!D302/SUM(Kalender!$D$5:$D$370),0)+IFERROR(SUMIF(Nutzungsprofile!$B$6:$B$11,"Individuell",Nutzungsprofile!$G$6:$G$11)*Kalender!E302/SUM(Kalender!$E$5:$E$370),0))*Szenarien!$E$15,0)</f>
        <v>0</v>
      </c>
      <c r="D1766" s="13" t="n">
        <f aca="false">IF(Szenarien!$H$15="OK",(IFERROR(SUMIF(Nutzungsprofile!$B$17:$B$22,"Schulbetrieb",Nutzungsprofile!$G$17:$G$22)*Kalender!C302/SUM(Kalender!$C$5:$C$370),0)+IFERROR(SUMIF(Nutzungsprofile!$B$17:$B$22,"Halle",Nutzungsprofile!$G$17:$G$22)*Kalender!D302/SUM(Kalender!$D$5:$D$370),0)+IFERROR(SUMIF(Nutzungsprofile!$B$17:$B$22,"Individuell",Nutzungsprofile!$G$17:$G$22)*Kalender!E302/SUM(Kalender!$E$5:$E$370),0))*Szenarien!$D$15,0)</f>
        <v>0</v>
      </c>
      <c r="E1766" s="13" t="n">
        <f aca="false">IFERROR(MIN(C1766,Eingaben!$B$17)*Eingaben!$B$16,0)</f>
        <v>0</v>
      </c>
      <c r="F1766" s="13" t="n">
        <f aca="false">IFERROR(E1766*Eingaben!$B$15,0)</f>
        <v>0</v>
      </c>
      <c r="G1766" s="13" t="n">
        <f aca="false">IFERROR(IF(Kalender!A302="",0,J1765*(1-Eingaben!$B$20)),0)</f>
        <v>0</v>
      </c>
      <c r="H1766" s="13" t="n">
        <f aca="false">MIN(G1766,D1766)</f>
        <v>0</v>
      </c>
      <c r="I1766" s="13" t="n">
        <f aca="false">IFERROR(MIN(F1766*Eingaben!$B$19,MAX(0,D1766-H1766)),0)</f>
        <v>0</v>
      </c>
      <c r="J1766" s="13" t="n">
        <f aca="false">IFERROR(MIN(Eingaben!$B$18,MAX(0,F1766-I1766)),0)</f>
        <v>0</v>
      </c>
      <c r="K1766" s="13" t="n">
        <f aca="false">H1766+I1766</f>
        <v>0</v>
      </c>
      <c r="L1766" s="13" t="n">
        <f aca="false">MAX(0,D1766-K1766)</f>
        <v>0</v>
      </c>
      <c r="M1766" s="13" t="n">
        <f aca="false">MAX(0,F1766-I1766-J1766)</f>
        <v>0</v>
      </c>
      <c r="N1766" s="13" t="n">
        <f aca="false">IF(Kalender!A302="",0,J1765-H1766)</f>
        <v>0</v>
      </c>
    </row>
    <row r="1767" customFormat="false" ht="16.4" hidden="false" customHeight="false" outlineLevel="0" collapsed="false">
      <c r="A1767" s="13" t="str">
        <f aca="false">""</f>
        <v/>
      </c>
      <c r="B1767" s="13" t="n">
        <f aca="false">299</f>
        <v>299</v>
      </c>
      <c r="C1767" s="13" t="n">
        <f aca="false">IF(Szenarien!$H$15="OK",(IFERROR(SUMIF(Nutzungsprofile!$B$6:$B$11,"Schulbetrieb",Nutzungsprofile!$G$6:$G$11)*Kalender!C303/SUM(Kalender!$C$5:$C$370),0)+IFERROR(SUMIF(Nutzungsprofile!$B$6:$B$11,"Halle",Nutzungsprofile!$G$6:$G$11)*Kalender!D303/SUM(Kalender!$D$5:$D$370),0)+IFERROR(SUMIF(Nutzungsprofile!$B$6:$B$11,"Individuell",Nutzungsprofile!$G$6:$G$11)*Kalender!E303/SUM(Kalender!$E$5:$E$370),0))*Szenarien!$E$15,0)</f>
        <v>0.9</v>
      </c>
      <c r="D1767" s="13" t="n">
        <f aca="false">IF(Szenarien!$H$15="OK",(IFERROR(SUMIF(Nutzungsprofile!$B$17:$B$22,"Schulbetrieb",Nutzungsprofile!$G$17:$G$22)*Kalender!C303/SUM(Kalender!$C$5:$C$370),0)+IFERROR(SUMIF(Nutzungsprofile!$B$17:$B$22,"Halle",Nutzungsprofile!$G$17:$G$22)*Kalender!D303/SUM(Kalender!$D$5:$D$370),0)+IFERROR(SUMIF(Nutzungsprofile!$B$17:$B$22,"Individuell",Nutzungsprofile!$G$17:$G$22)*Kalender!E303/SUM(Kalender!$E$5:$E$370),0))*Szenarien!$D$15,0)</f>
        <v>4.05</v>
      </c>
      <c r="E1767" s="13" t="n">
        <f aca="false">IFERROR(MIN(C1767,Eingaben!$B$17)*Eingaben!$B$16,0)</f>
        <v>0.855</v>
      </c>
      <c r="F1767" s="13" t="n">
        <f aca="false">IFERROR(E1767*Eingaben!$B$15,0)</f>
        <v>0.7695</v>
      </c>
      <c r="G1767" s="13" t="n">
        <f aca="false">IFERROR(IF(Kalender!A303="",0,J1766*(1-Eingaben!$B$20)),0)</f>
        <v>0</v>
      </c>
      <c r="H1767" s="13" t="n">
        <f aca="false">MIN(G1767,D1767)</f>
        <v>0</v>
      </c>
      <c r="I1767" s="13" t="n">
        <f aca="false">IFERROR(MIN(F1767*Eingaben!$B$19,MAX(0,D1767-H1767)),0)</f>
        <v>0.53865</v>
      </c>
      <c r="J1767" s="13" t="n">
        <f aca="false">IFERROR(MIN(Eingaben!$B$18,MAX(0,F1767-I1767)),0)</f>
        <v>0.23085</v>
      </c>
      <c r="K1767" s="13" t="n">
        <f aca="false">H1767+I1767</f>
        <v>0.53865</v>
      </c>
      <c r="L1767" s="13" t="n">
        <f aca="false">MAX(0,D1767-K1767)</f>
        <v>3.51135</v>
      </c>
      <c r="M1767" s="13" t="n">
        <f aca="false">MAX(0,F1767-I1767-J1767)</f>
        <v>0</v>
      </c>
      <c r="N1767" s="13" t="n">
        <f aca="false">IF(Kalender!A303="",0,J1766-H1767)</f>
        <v>0</v>
      </c>
    </row>
    <row r="1768" customFormat="false" ht="16.4" hidden="false" customHeight="false" outlineLevel="0" collapsed="false">
      <c r="A1768" s="13" t="str">
        <f aca="false">""</f>
        <v/>
      </c>
      <c r="B1768" s="13" t="n">
        <f aca="false">300</f>
        <v>300</v>
      </c>
      <c r="C1768" s="13" t="n">
        <f aca="false">IF(Szenarien!$H$15="OK",(IFERROR(SUMIF(Nutzungsprofile!$B$6:$B$11,"Schulbetrieb",Nutzungsprofile!$G$6:$G$11)*Kalender!C304/SUM(Kalender!$C$5:$C$370),0)+IFERROR(SUMIF(Nutzungsprofile!$B$6:$B$11,"Halle",Nutzungsprofile!$G$6:$G$11)*Kalender!D304/SUM(Kalender!$D$5:$D$370),0)+IFERROR(SUMIF(Nutzungsprofile!$B$6:$B$11,"Individuell",Nutzungsprofile!$G$6:$G$11)*Kalender!E304/SUM(Kalender!$E$5:$E$370),0))*Szenarien!$E$15,0)</f>
        <v>0.9</v>
      </c>
      <c r="D1768" s="13" t="n">
        <f aca="false">IF(Szenarien!$H$15="OK",(IFERROR(SUMIF(Nutzungsprofile!$B$17:$B$22,"Schulbetrieb",Nutzungsprofile!$G$17:$G$22)*Kalender!C304/SUM(Kalender!$C$5:$C$370),0)+IFERROR(SUMIF(Nutzungsprofile!$B$17:$B$22,"Halle",Nutzungsprofile!$G$17:$G$22)*Kalender!D304/SUM(Kalender!$D$5:$D$370),0)+IFERROR(SUMIF(Nutzungsprofile!$B$17:$B$22,"Individuell",Nutzungsprofile!$G$17:$G$22)*Kalender!E304/SUM(Kalender!$E$5:$E$370),0))*Szenarien!$D$15,0)</f>
        <v>4.05</v>
      </c>
      <c r="E1768" s="13" t="n">
        <f aca="false">IFERROR(MIN(C1768,Eingaben!$B$17)*Eingaben!$B$16,0)</f>
        <v>0.855</v>
      </c>
      <c r="F1768" s="13" t="n">
        <f aca="false">IFERROR(E1768*Eingaben!$B$15,0)</f>
        <v>0.7695</v>
      </c>
      <c r="G1768" s="13" t="n">
        <f aca="false">IFERROR(IF(Kalender!A304="",0,J1767*(1-Eingaben!$B$20)),0)</f>
        <v>0.226233</v>
      </c>
      <c r="H1768" s="13" t="n">
        <f aca="false">MIN(G1768,D1768)</f>
        <v>0.226233</v>
      </c>
      <c r="I1768" s="13" t="n">
        <f aca="false">IFERROR(MIN(F1768*Eingaben!$B$19,MAX(0,D1768-H1768)),0)</f>
        <v>0.53865</v>
      </c>
      <c r="J1768" s="13" t="n">
        <f aca="false">IFERROR(MIN(Eingaben!$B$18,MAX(0,F1768-I1768)),0)</f>
        <v>0.23085</v>
      </c>
      <c r="K1768" s="13" t="n">
        <f aca="false">H1768+I1768</f>
        <v>0.764883</v>
      </c>
      <c r="L1768" s="13" t="n">
        <f aca="false">MAX(0,D1768-K1768)</f>
        <v>3.285117</v>
      </c>
      <c r="M1768" s="13" t="n">
        <f aca="false">MAX(0,F1768-I1768-J1768)</f>
        <v>0</v>
      </c>
      <c r="N1768" s="13" t="n">
        <f aca="false">IF(Kalender!A304="",0,J1767-H1768)</f>
        <v>0.00461700000000001</v>
      </c>
    </row>
    <row r="1769" customFormat="false" ht="16.4" hidden="false" customHeight="false" outlineLevel="0" collapsed="false">
      <c r="A1769" s="13" t="str">
        <f aca="false">""</f>
        <v/>
      </c>
      <c r="B1769" s="13" t="n">
        <f aca="false">301</f>
        <v>301</v>
      </c>
      <c r="C1769" s="13" t="n">
        <f aca="false">IF(Szenarien!$H$15="OK",(IFERROR(SUMIF(Nutzungsprofile!$B$6:$B$11,"Schulbetrieb",Nutzungsprofile!$G$6:$G$11)*Kalender!C305/SUM(Kalender!$C$5:$C$370),0)+IFERROR(SUMIF(Nutzungsprofile!$B$6:$B$11,"Halle",Nutzungsprofile!$G$6:$G$11)*Kalender!D305/SUM(Kalender!$D$5:$D$370),0)+IFERROR(SUMIF(Nutzungsprofile!$B$6:$B$11,"Individuell",Nutzungsprofile!$G$6:$G$11)*Kalender!E305/SUM(Kalender!$E$5:$E$370),0))*Szenarien!$E$15,0)</f>
        <v>0.9</v>
      </c>
      <c r="D1769" s="13" t="n">
        <f aca="false">IF(Szenarien!$H$15="OK",(IFERROR(SUMIF(Nutzungsprofile!$B$17:$B$22,"Schulbetrieb",Nutzungsprofile!$G$17:$G$22)*Kalender!C305/SUM(Kalender!$C$5:$C$370),0)+IFERROR(SUMIF(Nutzungsprofile!$B$17:$B$22,"Halle",Nutzungsprofile!$G$17:$G$22)*Kalender!D305/SUM(Kalender!$D$5:$D$370),0)+IFERROR(SUMIF(Nutzungsprofile!$B$17:$B$22,"Individuell",Nutzungsprofile!$G$17:$G$22)*Kalender!E305/SUM(Kalender!$E$5:$E$370),0))*Szenarien!$D$15,0)</f>
        <v>4.05</v>
      </c>
      <c r="E1769" s="13" t="n">
        <f aca="false">IFERROR(MIN(C1769,Eingaben!$B$17)*Eingaben!$B$16,0)</f>
        <v>0.855</v>
      </c>
      <c r="F1769" s="13" t="n">
        <f aca="false">IFERROR(E1769*Eingaben!$B$15,0)</f>
        <v>0.7695</v>
      </c>
      <c r="G1769" s="13" t="n">
        <f aca="false">IFERROR(IF(Kalender!A305="",0,J1768*(1-Eingaben!$B$20)),0)</f>
        <v>0.226233</v>
      </c>
      <c r="H1769" s="13" t="n">
        <f aca="false">MIN(G1769,D1769)</f>
        <v>0.226233</v>
      </c>
      <c r="I1769" s="13" t="n">
        <f aca="false">IFERROR(MIN(F1769*Eingaben!$B$19,MAX(0,D1769-H1769)),0)</f>
        <v>0.53865</v>
      </c>
      <c r="J1769" s="13" t="n">
        <f aca="false">IFERROR(MIN(Eingaben!$B$18,MAX(0,F1769-I1769)),0)</f>
        <v>0.23085</v>
      </c>
      <c r="K1769" s="13" t="n">
        <f aca="false">H1769+I1769</f>
        <v>0.764883</v>
      </c>
      <c r="L1769" s="13" t="n">
        <f aca="false">MAX(0,D1769-K1769)</f>
        <v>3.285117</v>
      </c>
      <c r="M1769" s="13" t="n">
        <f aca="false">MAX(0,F1769-I1769-J1769)</f>
        <v>0</v>
      </c>
      <c r="N1769" s="13" t="n">
        <f aca="false">IF(Kalender!A305="",0,J1768-H1769)</f>
        <v>0.00461700000000001</v>
      </c>
    </row>
    <row r="1770" customFormat="false" ht="16.4" hidden="false" customHeight="false" outlineLevel="0" collapsed="false">
      <c r="A1770" s="13" t="str">
        <f aca="false">""</f>
        <v/>
      </c>
      <c r="B1770" s="13" t="n">
        <f aca="false">302</f>
        <v>302</v>
      </c>
      <c r="C1770" s="13" t="n">
        <f aca="false">IF(Szenarien!$H$15="OK",(IFERROR(SUMIF(Nutzungsprofile!$B$6:$B$11,"Schulbetrieb",Nutzungsprofile!$G$6:$G$11)*Kalender!C306/SUM(Kalender!$C$5:$C$370),0)+IFERROR(SUMIF(Nutzungsprofile!$B$6:$B$11,"Halle",Nutzungsprofile!$G$6:$G$11)*Kalender!D306/SUM(Kalender!$D$5:$D$370),0)+IFERROR(SUMIF(Nutzungsprofile!$B$6:$B$11,"Individuell",Nutzungsprofile!$G$6:$G$11)*Kalender!E306/SUM(Kalender!$E$5:$E$370),0))*Szenarien!$E$15,0)</f>
        <v>0.9</v>
      </c>
      <c r="D1770" s="13" t="n">
        <f aca="false">IF(Szenarien!$H$15="OK",(IFERROR(SUMIF(Nutzungsprofile!$B$17:$B$22,"Schulbetrieb",Nutzungsprofile!$G$17:$G$22)*Kalender!C306/SUM(Kalender!$C$5:$C$370),0)+IFERROR(SUMIF(Nutzungsprofile!$B$17:$B$22,"Halle",Nutzungsprofile!$G$17:$G$22)*Kalender!D306/SUM(Kalender!$D$5:$D$370),0)+IFERROR(SUMIF(Nutzungsprofile!$B$17:$B$22,"Individuell",Nutzungsprofile!$G$17:$G$22)*Kalender!E306/SUM(Kalender!$E$5:$E$370),0))*Szenarien!$D$15,0)</f>
        <v>4.05</v>
      </c>
      <c r="E1770" s="13" t="n">
        <f aca="false">IFERROR(MIN(C1770,Eingaben!$B$17)*Eingaben!$B$16,0)</f>
        <v>0.855</v>
      </c>
      <c r="F1770" s="13" t="n">
        <f aca="false">IFERROR(E1770*Eingaben!$B$15,0)</f>
        <v>0.7695</v>
      </c>
      <c r="G1770" s="13" t="n">
        <f aca="false">IFERROR(IF(Kalender!A306="",0,J1769*(1-Eingaben!$B$20)),0)</f>
        <v>0.226233</v>
      </c>
      <c r="H1770" s="13" t="n">
        <f aca="false">MIN(G1770,D1770)</f>
        <v>0.226233</v>
      </c>
      <c r="I1770" s="13" t="n">
        <f aca="false">IFERROR(MIN(F1770*Eingaben!$B$19,MAX(0,D1770-H1770)),0)</f>
        <v>0.53865</v>
      </c>
      <c r="J1770" s="13" t="n">
        <f aca="false">IFERROR(MIN(Eingaben!$B$18,MAX(0,F1770-I1770)),0)</f>
        <v>0.23085</v>
      </c>
      <c r="K1770" s="13" t="n">
        <f aca="false">H1770+I1770</f>
        <v>0.764883</v>
      </c>
      <c r="L1770" s="13" t="n">
        <f aca="false">MAX(0,D1770-K1770)</f>
        <v>3.285117</v>
      </c>
      <c r="M1770" s="13" t="n">
        <f aca="false">MAX(0,F1770-I1770-J1770)</f>
        <v>0</v>
      </c>
      <c r="N1770" s="13" t="n">
        <f aca="false">IF(Kalender!A306="",0,J1769-H1770)</f>
        <v>0.00461700000000001</v>
      </c>
    </row>
    <row r="1771" customFormat="false" ht="16.4" hidden="false" customHeight="false" outlineLevel="0" collapsed="false">
      <c r="A1771" s="13" t="str">
        <f aca="false">""</f>
        <v/>
      </c>
      <c r="B1771" s="13" t="n">
        <f aca="false">303</f>
        <v>303</v>
      </c>
      <c r="C1771" s="13" t="n">
        <f aca="false">IF(Szenarien!$H$15="OK",(IFERROR(SUMIF(Nutzungsprofile!$B$6:$B$11,"Schulbetrieb",Nutzungsprofile!$G$6:$G$11)*Kalender!C307/SUM(Kalender!$C$5:$C$370),0)+IFERROR(SUMIF(Nutzungsprofile!$B$6:$B$11,"Halle",Nutzungsprofile!$G$6:$G$11)*Kalender!D307/SUM(Kalender!$D$5:$D$370),0)+IFERROR(SUMIF(Nutzungsprofile!$B$6:$B$11,"Individuell",Nutzungsprofile!$G$6:$G$11)*Kalender!E307/SUM(Kalender!$E$5:$E$370),0))*Szenarien!$E$15,0)</f>
        <v>0.9</v>
      </c>
      <c r="D1771" s="13" t="n">
        <f aca="false">IF(Szenarien!$H$15="OK",(IFERROR(SUMIF(Nutzungsprofile!$B$17:$B$22,"Schulbetrieb",Nutzungsprofile!$G$17:$G$22)*Kalender!C307/SUM(Kalender!$C$5:$C$370),0)+IFERROR(SUMIF(Nutzungsprofile!$B$17:$B$22,"Halle",Nutzungsprofile!$G$17:$G$22)*Kalender!D307/SUM(Kalender!$D$5:$D$370),0)+IFERROR(SUMIF(Nutzungsprofile!$B$17:$B$22,"Individuell",Nutzungsprofile!$G$17:$G$22)*Kalender!E307/SUM(Kalender!$E$5:$E$370),0))*Szenarien!$D$15,0)</f>
        <v>4.05</v>
      </c>
      <c r="E1771" s="13" t="n">
        <f aca="false">IFERROR(MIN(C1771,Eingaben!$B$17)*Eingaben!$B$16,0)</f>
        <v>0.855</v>
      </c>
      <c r="F1771" s="13" t="n">
        <f aca="false">IFERROR(E1771*Eingaben!$B$15,0)</f>
        <v>0.7695</v>
      </c>
      <c r="G1771" s="13" t="n">
        <f aca="false">IFERROR(IF(Kalender!A307="",0,J1770*(1-Eingaben!$B$20)),0)</f>
        <v>0.226233</v>
      </c>
      <c r="H1771" s="13" t="n">
        <f aca="false">MIN(G1771,D1771)</f>
        <v>0.226233</v>
      </c>
      <c r="I1771" s="13" t="n">
        <f aca="false">IFERROR(MIN(F1771*Eingaben!$B$19,MAX(0,D1771-H1771)),0)</f>
        <v>0.53865</v>
      </c>
      <c r="J1771" s="13" t="n">
        <f aca="false">IFERROR(MIN(Eingaben!$B$18,MAX(0,F1771-I1771)),0)</f>
        <v>0.23085</v>
      </c>
      <c r="K1771" s="13" t="n">
        <f aca="false">H1771+I1771</f>
        <v>0.764883</v>
      </c>
      <c r="L1771" s="13" t="n">
        <f aca="false">MAX(0,D1771-K1771)</f>
        <v>3.285117</v>
      </c>
      <c r="M1771" s="13" t="n">
        <f aca="false">MAX(0,F1771-I1771-J1771)</f>
        <v>0</v>
      </c>
      <c r="N1771" s="13" t="n">
        <f aca="false">IF(Kalender!A307="",0,J1770-H1771)</f>
        <v>0.00461700000000001</v>
      </c>
    </row>
    <row r="1772" customFormat="false" ht="16.4" hidden="false" customHeight="false" outlineLevel="0" collapsed="false">
      <c r="A1772" s="13" t="str">
        <f aca="false">""</f>
        <v/>
      </c>
      <c r="B1772" s="13" t="n">
        <f aca="false">304</f>
        <v>304</v>
      </c>
      <c r="C1772" s="13" t="n">
        <f aca="false">IF(Szenarien!$H$15="OK",(IFERROR(SUMIF(Nutzungsprofile!$B$6:$B$11,"Schulbetrieb",Nutzungsprofile!$G$6:$G$11)*Kalender!C308/SUM(Kalender!$C$5:$C$370),0)+IFERROR(SUMIF(Nutzungsprofile!$B$6:$B$11,"Halle",Nutzungsprofile!$G$6:$G$11)*Kalender!D308/SUM(Kalender!$D$5:$D$370),0)+IFERROR(SUMIF(Nutzungsprofile!$B$6:$B$11,"Individuell",Nutzungsprofile!$G$6:$G$11)*Kalender!E308/SUM(Kalender!$E$5:$E$370),0))*Szenarien!$E$15,0)</f>
        <v>0</v>
      </c>
      <c r="D1772" s="13" t="n">
        <f aca="false">IF(Szenarien!$H$15="OK",(IFERROR(SUMIF(Nutzungsprofile!$B$17:$B$22,"Schulbetrieb",Nutzungsprofile!$G$17:$G$22)*Kalender!C308/SUM(Kalender!$C$5:$C$370),0)+IFERROR(SUMIF(Nutzungsprofile!$B$17:$B$22,"Halle",Nutzungsprofile!$G$17:$G$22)*Kalender!D308/SUM(Kalender!$D$5:$D$370),0)+IFERROR(SUMIF(Nutzungsprofile!$B$17:$B$22,"Individuell",Nutzungsprofile!$G$17:$G$22)*Kalender!E308/SUM(Kalender!$E$5:$E$370),0))*Szenarien!$D$15,0)</f>
        <v>0</v>
      </c>
      <c r="E1772" s="13" t="n">
        <f aca="false">IFERROR(MIN(C1772,Eingaben!$B$17)*Eingaben!$B$16,0)</f>
        <v>0</v>
      </c>
      <c r="F1772" s="13" t="n">
        <f aca="false">IFERROR(E1772*Eingaben!$B$15,0)</f>
        <v>0</v>
      </c>
      <c r="G1772" s="13" t="n">
        <f aca="false">IFERROR(IF(Kalender!A308="",0,J1771*(1-Eingaben!$B$20)),0)</f>
        <v>0.226233</v>
      </c>
      <c r="H1772" s="13" t="n">
        <f aca="false">MIN(G1772,D1772)</f>
        <v>0</v>
      </c>
      <c r="I1772" s="13" t="n">
        <f aca="false">IFERROR(MIN(F1772*Eingaben!$B$19,MAX(0,D1772-H1772)),0)</f>
        <v>0</v>
      </c>
      <c r="J1772" s="13" t="n">
        <f aca="false">IFERROR(MIN(Eingaben!$B$18,MAX(0,F1772-I1772)),0)</f>
        <v>0</v>
      </c>
      <c r="K1772" s="13" t="n">
        <f aca="false">H1772+I1772</f>
        <v>0</v>
      </c>
      <c r="L1772" s="13" t="n">
        <f aca="false">MAX(0,D1772-K1772)</f>
        <v>0</v>
      </c>
      <c r="M1772" s="13" t="n">
        <f aca="false">MAX(0,F1772-I1772-J1772)</f>
        <v>0</v>
      </c>
      <c r="N1772" s="13" t="n">
        <f aca="false">IF(Kalender!A308="",0,J1771-H1772)</f>
        <v>0.23085</v>
      </c>
    </row>
    <row r="1773" customFormat="false" ht="16.4" hidden="false" customHeight="false" outlineLevel="0" collapsed="false">
      <c r="A1773" s="13" t="str">
        <f aca="false">""</f>
        <v/>
      </c>
      <c r="B1773" s="13" t="n">
        <f aca="false">305</f>
        <v>305</v>
      </c>
      <c r="C1773" s="13" t="n">
        <f aca="false">IF(Szenarien!$H$15="OK",(IFERROR(SUMIF(Nutzungsprofile!$B$6:$B$11,"Schulbetrieb",Nutzungsprofile!$G$6:$G$11)*Kalender!C309/SUM(Kalender!$C$5:$C$370),0)+IFERROR(SUMIF(Nutzungsprofile!$B$6:$B$11,"Halle",Nutzungsprofile!$G$6:$G$11)*Kalender!D309/SUM(Kalender!$D$5:$D$370),0)+IFERROR(SUMIF(Nutzungsprofile!$B$6:$B$11,"Individuell",Nutzungsprofile!$G$6:$G$11)*Kalender!E309/SUM(Kalender!$E$5:$E$370),0))*Szenarien!$E$15,0)</f>
        <v>0</v>
      </c>
      <c r="D1773" s="13" t="n">
        <f aca="false">IF(Szenarien!$H$15="OK",(IFERROR(SUMIF(Nutzungsprofile!$B$17:$B$22,"Schulbetrieb",Nutzungsprofile!$G$17:$G$22)*Kalender!C309/SUM(Kalender!$C$5:$C$370),0)+IFERROR(SUMIF(Nutzungsprofile!$B$17:$B$22,"Halle",Nutzungsprofile!$G$17:$G$22)*Kalender!D309/SUM(Kalender!$D$5:$D$370),0)+IFERROR(SUMIF(Nutzungsprofile!$B$17:$B$22,"Individuell",Nutzungsprofile!$G$17:$G$22)*Kalender!E309/SUM(Kalender!$E$5:$E$370),0))*Szenarien!$D$15,0)</f>
        <v>0</v>
      </c>
      <c r="E1773" s="13" t="n">
        <f aca="false">IFERROR(MIN(C1773,Eingaben!$B$17)*Eingaben!$B$16,0)</f>
        <v>0</v>
      </c>
      <c r="F1773" s="13" t="n">
        <f aca="false">IFERROR(E1773*Eingaben!$B$15,0)</f>
        <v>0</v>
      </c>
      <c r="G1773" s="13" t="n">
        <f aca="false">IFERROR(IF(Kalender!A309="",0,J1772*(1-Eingaben!$B$20)),0)</f>
        <v>0</v>
      </c>
      <c r="H1773" s="13" t="n">
        <f aca="false">MIN(G1773,D1773)</f>
        <v>0</v>
      </c>
      <c r="I1773" s="13" t="n">
        <f aca="false">IFERROR(MIN(F1773*Eingaben!$B$19,MAX(0,D1773-H1773)),0)</f>
        <v>0</v>
      </c>
      <c r="J1773" s="13" t="n">
        <f aca="false">IFERROR(MIN(Eingaben!$B$18,MAX(0,F1773-I1773)),0)</f>
        <v>0</v>
      </c>
      <c r="K1773" s="13" t="n">
        <f aca="false">H1773+I1773</f>
        <v>0</v>
      </c>
      <c r="L1773" s="13" t="n">
        <f aca="false">MAX(0,D1773-K1773)</f>
        <v>0</v>
      </c>
      <c r="M1773" s="13" t="n">
        <f aca="false">MAX(0,F1773-I1773-J1773)</f>
        <v>0</v>
      </c>
      <c r="N1773" s="13" t="n">
        <f aca="false">IF(Kalender!A309="",0,J1772-H1773)</f>
        <v>0</v>
      </c>
    </row>
    <row r="1774" customFormat="false" ht="16.4" hidden="false" customHeight="false" outlineLevel="0" collapsed="false">
      <c r="A1774" s="13" t="str">
        <f aca="false">""</f>
        <v/>
      </c>
      <c r="B1774" s="13" t="n">
        <f aca="false">306</f>
        <v>306</v>
      </c>
      <c r="C1774" s="13" t="n">
        <f aca="false">IF(Szenarien!$H$15="OK",(IFERROR(SUMIF(Nutzungsprofile!$B$6:$B$11,"Schulbetrieb",Nutzungsprofile!$G$6:$G$11)*Kalender!C310/SUM(Kalender!$C$5:$C$370),0)+IFERROR(SUMIF(Nutzungsprofile!$B$6:$B$11,"Halle",Nutzungsprofile!$G$6:$G$11)*Kalender!D310/SUM(Kalender!$D$5:$D$370),0)+IFERROR(SUMIF(Nutzungsprofile!$B$6:$B$11,"Individuell",Nutzungsprofile!$G$6:$G$11)*Kalender!E310/SUM(Kalender!$E$5:$E$370),0))*Szenarien!$E$15,0)</f>
        <v>0.9</v>
      </c>
      <c r="D1774" s="13" t="n">
        <f aca="false">IF(Szenarien!$H$15="OK",(IFERROR(SUMIF(Nutzungsprofile!$B$17:$B$22,"Schulbetrieb",Nutzungsprofile!$G$17:$G$22)*Kalender!C310/SUM(Kalender!$C$5:$C$370),0)+IFERROR(SUMIF(Nutzungsprofile!$B$17:$B$22,"Halle",Nutzungsprofile!$G$17:$G$22)*Kalender!D310/SUM(Kalender!$D$5:$D$370),0)+IFERROR(SUMIF(Nutzungsprofile!$B$17:$B$22,"Individuell",Nutzungsprofile!$G$17:$G$22)*Kalender!E310/SUM(Kalender!$E$5:$E$370),0))*Szenarien!$D$15,0)</f>
        <v>4.05</v>
      </c>
      <c r="E1774" s="13" t="n">
        <f aca="false">IFERROR(MIN(C1774,Eingaben!$B$17)*Eingaben!$B$16,0)</f>
        <v>0.855</v>
      </c>
      <c r="F1774" s="13" t="n">
        <f aca="false">IFERROR(E1774*Eingaben!$B$15,0)</f>
        <v>0.7695</v>
      </c>
      <c r="G1774" s="13" t="n">
        <f aca="false">IFERROR(IF(Kalender!A310="",0,J1773*(1-Eingaben!$B$20)),0)</f>
        <v>0</v>
      </c>
      <c r="H1774" s="13" t="n">
        <f aca="false">MIN(G1774,D1774)</f>
        <v>0</v>
      </c>
      <c r="I1774" s="13" t="n">
        <f aca="false">IFERROR(MIN(F1774*Eingaben!$B$19,MAX(0,D1774-H1774)),0)</f>
        <v>0.53865</v>
      </c>
      <c r="J1774" s="13" t="n">
        <f aca="false">IFERROR(MIN(Eingaben!$B$18,MAX(0,F1774-I1774)),0)</f>
        <v>0.23085</v>
      </c>
      <c r="K1774" s="13" t="n">
        <f aca="false">H1774+I1774</f>
        <v>0.53865</v>
      </c>
      <c r="L1774" s="13" t="n">
        <f aca="false">MAX(0,D1774-K1774)</f>
        <v>3.51135</v>
      </c>
      <c r="M1774" s="13" t="n">
        <f aca="false">MAX(0,F1774-I1774-J1774)</f>
        <v>0</v>
      </c>
      <c r="N1774" s="13" t="n">
        <f aca="false">IF(Kalender!A310="",0,J1773-H1774)</f>
        <v>0</v>
      </c>
    </row>
    <row r="1775" customFormat="false" ht="16.4" hidden="false" customHeight="false" outlineLevel="0" collapsed="false">
      <c r="A1775" s="13" t="str">
        <f aca="false">""</f>
        <v/>
      </c>
      <c r="B1775" s="13" t="n">
        <f aca="false">307</f>
        <v>307</v>
      </c>
      <c r="C1775" s="13" t="n">
        <f aca="false">IF(Szenarien!$H$15="OK",(IFERROR(SUMIF(Nutzungsprofile!$B$6:$B$11,"Schulbetrieb",Nutzungsprofile!$G$6:$G$11)*Kalender!C311/SUM(Kalender!$C$5:$C$370),0)+IFERROR(SUMIF(Nutzungsprofile!$B$6:$B$11,"Halle",Nutzungsprofile!$G$6:$G$11)*Kalender!D311/SUM(Kalender!$D$5:$D$370),0)+IFERROR(SUMIF(Nutzungsprofile!$B$6:$B$11,"Individuell",Nutzungsprofile!$G$6:$G$11)*Kalender!E311/SUM(Kalender!$E$5:$E$370),0))*Szenarien!$E$15,0)</f>
        <v>0.9</v>
      </c>
      <c r="D1775" s="13" t="n">
        <f aca="false">IF(Szenarien!$H$15="OK",(IFERROR(SUMIF(Nutzungsprofile!$B$17:$B$22,"Schulbetrieb",Nutzungsprofile!$G$17:$G$22)*Kalender!C311/SUM(Kalender!$C$5:$C$370),0)+IFERROR(SUMIF(Nutzungsprofile!$B$17:$B$22,"Halle",Nutzungsprofile!$G$17:$G$22)*Kalender!D311/SUM(Kalender!$D$5:$D$370),0)+IFERROR(SUMIF(Nutzungsprofile!$B$17:$B$22,"Individuell",Nutzungsprofile!$G$17:$G$22)*Kalender!E311/SUM(Kalender!$E$5:$E$370),0))*Szenarien!$D$15,0)</f>
        <v>4.05</v>
      </c>
      <c r="E1775" s="13" t="n">
        <f aca="false">IFERROR(MIN(C1775,Eingaben!$B$17)*Eingaben!$B$16,0)</f>
        <v>0.855</v>
      </c>
      <c r="F1775" s="13" t="n">
        <f aca="false">IFERROR(E1775*Eingaben!$B$15,0)</f>
        <v>0.7695</v>
      </c>
      <c r="G1775" s="13" t="n">
        <f aca="false">IFERROR(IF(Kalender!A311="",0,J1774*(1-Eingaben!$B$20)),0)</f>
        <v>0.226233</v>
      </c>
      <c r="H1775" s="13" t="n">
        <f aca="false">MIN(G1775,D1775)</f>
        <v>0.226233</v>
      </c>
      <c r="I1775" s="13" t="n">
        <f aca="false">IFERROR(MIN(F1775*Eingaben!$B$19,MAX(0,D1775-H1775)),0)</f>
        <v>0.53865</v>
      </c>
      <c r="J1775" s="13" t="n">
        <f aca="false">IFERROR(MIN(Eingaben!$B$18,MAX(0,F1775-I1775)),0)</f>
        <v>0.23085</v>
      </c>
      <c r="K1775" s="13" t="n">
        <f aca="false">H1775+I1775</f>
        <v>0.764883</v>
      </c>
      <c r="L1775" s="13" t="n">
        <f aca="false">MAX(0,D1775-K1775)</f>
        <v>3.285117</v>
      </c>
      <c r="M1775" s="13" t="n">
        <f aca="false">MAX(0,F1775-I1775-J1775)</f>
        <v>0</v>
      </c>
      <c r="N1775" s="13" t="n">
        <f aca="false">IF(Kalender!A311="",0,J1774-H1775)</f>
        <v>0.00461700000000001</v>
      </c>
    </row>
    <row r="1776" customFormat="false" ht="16.4" hidden="false" customHeight="false" outlineLevel="0" collapsed="false">
      <c r="A1776" s="13" t="str">
        <f aca="false">""</f>
        <v/>
      </c>
      <c r="B1776" s="13" t="n">
        <f aca="false">308</f>
        <v>308</v>
      </c>
      <c r="C1776" s="13" t="n">
        <f aca="false">IF(Szenarien!$H$15="OK",(IFERROR(SUMIF(Nutzungsprofile!$B$6:$B$11,"Schulbetrieb",Nutzungsprofile!$G$6:$G$11)*Kalender!C312/SUM(Kalender!$C$5:$C$370),0)+IFERROR(SUMIF(Nutzungsprofile!$B$6:$B$11,"Halle",Nutzungsprofile!$G$6:$G$11)*Kalender!D312/SUM(Kalender!$D$5:$D$370),0)+IFERROR(SUMIF(Nutzungsprofile!$B$6:$B$11,"Individuell",Nutzungsprofile!$G$6:$G$11)*Kalender!E312/SUM(Kalender!$E$5:$E$370),0))*Szenarien!$E$15,0)</f>
        <v>0.9</v>
      </c>
      <c r="D1776" s="13" t="n">
        <f aca="false">IF(Szenarien!$H$15="OK",(IFERROR(SUMIF(Nutzungsprofile!$B$17:$B$22,"Schulbetrieb",Nutzungsprofile!$G$17:$G$22)*Kalender!C312/SUM(Kalender!$C$5:$C$370),0)+IFERROR(SUMIF(Nutzungsprofile!$B$17:$B$22,"Halle",Nutzungsprofile!$G$17:$G$22)*Kalender!D312/SUM(Kalender!$D$5:$D$370),0)+IFERROR(SUMIF(Nutzungsprofile!$B$17:$B$22,"Individuell",Nutzungsprofile!$G$17:$G$22)*Kalender!E312/SUM(Kalender!$E$5:$E$370),0))*Szenarien!$D$15,0)</f>
        <v>4.05</v>
      </c>
      <c r="E1776" s="13" t="n">
        <f aca="false">IFERROR(MIN(C1776,Eingaben!$B$17)*Eingaben!$B$16,0)</f>
        <v>0.855</v>
      </c>
      <c r="F1776" s="13" t="n">
        <f aca="false">IFERROR(E1776*Eingaben!$B$15,0)</f>
        <v>0.7695</v>
      </c>
      <c r="G1776" s="13" t="n">
        <f aca="false">IFERROR(IF(Kalender!A312="",0,J1775*(1-Eingaben!$B$20)),0)</f>
        <v>0.226233</v>
      </c>
      <c r="H1776" s="13" t="n">
        <f aca="false">MIN(G1776,D1776)</f>
        <v>0.226233</v>
      </c>
      <c r="I1776" s="13" t="n">
        <f aca="false">IFERROR(MIN(F1776*Eingaben!$B$19,MAX(0,D1776-H1776)),0)</f>
        <v>0.53865</v>
      </c>
      <c r="J1776" s="13" t="n">
        <f aca="false">IFERROR(MIN(Eingaben!$B$18,MAX(0,F1776-I1776)),0)</f>
        <v>0.23085</v>
      </c>
      <c r="K1776" s="13" t="n">
        <f aca="false">H1776+I1776</f>
        <v>0.764883</v>
      </c>
      <c r="L1776" s="13" t="n">
        <f aca="false">MAX(0,D1776-K1776)</f>
        <v>3.285117</v>
      </c>
      <c r="M1776" s="13" t="n">
        <f aca="false">MAX(0,F1776-I1776-J1776)</f>
        <v>0</v>
      </c>
      <c r="N1776" s="13" t="n">
        <f aca="false">IF(Kalender!A312="",0,J1775-H1776)</f>
        <v>0.00461700000000001</v>
      </c>
    </row>
    <row r="1777" customFormat="false" ht="16.4" hidden="false" customHeight="false" outlineLevel="0" collapsed="false">
      <c r="A1777" s="13" t="str">
        <f aca="false">""</f>
        <v/>
      </c>
      <c r="B1777" s="13" t="n">
        <f aca="false">309</f>
        <v>309</v>
      </c>
      <c r="C1777" s="13" t="n">
        <f aca="false">IF(Szenarien!$H$15="OK",(IFERROR(SUMIF(Nutzungsprofile!$B$6:$B$11,"Schulbetrieb",Nutzungsprofile!$G$6:$G$11)*Kalender!C313/SUM(Kalender!$C$5:$C$370),0)+IFERROR(SUMIF(Nutzungsprofile!$B$6:$B$11,"Halle",Nutzungsprofile!$G$6:$G$11)*Kalender!D313/SUM(Kalender!$D$5:$D$370),0)+IFERROR(SUMIF(Nutzungsprofile!$B$6:$B$11,"Individuell",Nutzungsprofile!$G$6:$G$11)*Kalender!E313/SUM(Kalender!$E$5:$E$370),0))*Szenarien!$E$15,0)</f>
        <v>0.9</v>
      </c>
      <c r="D1777" s="13" t="n">
        <f aca="false">IF(Szenarien!$H$15="OK",(IFERROR(SUMIF(Nutzungsprofile!$B$17:$B$22,"Schulbetrieb",Nutzungsprofile!$G$17:$G$22)*Kalender!C313/SUM(Kalender!$C$5:$C$370),0)+IFERROR(SUMIF(Nutzungsprofile!$B$17:$B$22,"Halle",Nutzungsprofile!$G$17:$G$22)*Kalender!D313/SUM(Kalender!$D$5:$D$370),0)+IFERROR(SUMIF(Nutzungsprofile!$B$17:$B$22,"Individuell",Nutzungsprofile!$G$17:$G$22)*Kalender!E313/SUM(Kalender!$E$5:$E$370),0))*Szenarien!$D$15,0)</f>
        <v>4.05</v>
      </c>
      <c r="E1777" s="13" t="n">
        <f aca="false">IFERROR(MIN(C1777,Eingaben!$B$17)*Eingaben!$B$16,0)</f>
        <v>0.855</v>
      </c>
      <c r="F1777" s="13" t="n">
        <f aca="false">IFERROR(E1777*Eingaben!$B$15,0)</f>
        <v>0.7695</v>
      </c>
      <c r="G1777" s="13" t="n">
        <f aca="false">IFERROR(IF(Kalender!A313="",0,J1776*(1-Eingaben!$B$20)),0)</f>
        <v>0.226233</v>
      </c>
      <c r="H1777" s="13" t="n">
        <f aca="false">MIN(G1777,D1777)</f>
        <v>0.226233</v>
      </c>
      <c r="I1777" s="13" t="n">
        <f aca="false">IFERROR(MIN(F1777*Eingaben!$B$19,MAX(0,D1777-H1777)),0)</f>
        <v>0.53865</v>
      </c>
      <c r="J1777" s="13" t="n">
        <f aca="false">IFERROR(MIN(Eingaben!$B$18,MAX(0,F1777-I1777)),0)</f>
        <v>0.23085</v>
      </c>
      <c r="K1777" s="13" t="n">
        <f aca="false">H1777+I1777</f>
        <v>0.764883</v>
      </c>
      <c r="L1777" s="13" t="n">
        <f aca="false">MAX(0,D1777-K1777)</f>
        <v>3.285117</v>
      </c>
      <c r="M1777" s="13" t="n">
        <f aca="false">MAX(0,F1777-I1777-J1777)</f>
        <v>0</v>
      </c>
      <c r="N1777" s="13" t="n">
        <f aca="false">IF(Kalender!A313="",0,J1776-H1777)</f>
        <v>0.00461700000000001</v>
      </c>
    </row>
    <row r="1778" customFormat="false" ht="16.4" hidden="false" customHeight="false" outlineLevel="0" collapsed="false">
      <c r="A1778" s="13" t="str">
        <f aca="false">""</f>
        <v/>
      </c>
      <c r="B1778" s="13" t="n">
        <f aca="false">310</f>
        <v>310</v>
      </c>
      <c r="C1778" s="13" t="n">
        <f aca="false">IF(Szenarien!$H$15="OK",(IFERROR(SUMIF(Nutzungsprofile!$B$6:$B$11,"Schulbetrieb",Nutzungsprofile!$G$6:$G$11)*Kalender!C314/SUM(Kalender!$C$5:$C$370),0)+IFERROR(SUMIF(Nutzungsprofile!$B$6:$B$11,"Halle",Nutzungsprofile!$G$6:$G$11)*Kalender!D314/SUM(Kalender!$D$5:$D$370),0)+IFERROR(SUMIF(Nutzungsprofile!$B$6:$B$11,"Individuell",Nutzungsprofile!$G$6:$G$11)*Kalender!E314/SUM(Kalender!$E$5:$E$370),0))*Szenarien!$E$15,0)</f>
        <v>0.9</v>
      </c>
      <c r="D1778" s="13" t="n">
        <f aca="false">IF(Szenarien!$H$15="OK",(IFERROR(SUMIF(Nutzungsprofile!$B$17:$B$22,"Schulbetrieb",Nutzungsprofile!$G$17:$G$22)*Kalender!C314/SUM(Kalender!$C$5:$C$370),0)+IFERROR(SUMIF(Nutzungsprofile!$B$17:$B$22,"Halle",Nutzungsprofile!$G$17:$G$22)*Kalender!D314/SUM(Kalender!$D$5:$D$370),0)+IFERROR(SUMIF(Nutzungsprofile!$B$17:$B$22,"Individuell",Nutzungsprofile!$G$17:$G$22)*Kalender!E314/SUM(Kalender!$E$5:$E$370),0))*Szenarien!$D$15,0)</f>
        <v>4.05</v>
      </c>
      <c r="E1778" s="13" t="n">
        <f aca="false">IFERROR(MIN(C1778,Eingaben!$B$17)*Eingaben!$B$16,0)</f>
        <v>0.855</v>
      </c>
      <c r="F1778" s="13" t="n">
        <f aca="false">IFERROR(E1778*Eingaben!$B$15,0)</f>
        <v>0.7695</v>
      </c>
      <c r="G1778" s="13" t="n">
        <f aca="false">IFERROR(IF(Kalender!A314="",0,J1777*(1-Eingaben!$B$20)),0)</f>
        <v>0.226233</v>
      </c>
      <c r="H1778" s="13" t="n">
        <f aca="false">MIN(G1778,D1778)</f>
        <v>0.226233</v>
      </c>
      <c r="I1778" s="13" t="n">
        <f aca="false">IFERROR(MIN(F1778*Eingaben!$B$19,MAX(0,D1778-H1778)),0)</f>
        <v>0.53865</v>
      </c>
      <c r="J1778" s="13" t="n">
        <f aca="false">IFERROR(MIN(Eingaben!$B$18,MAX(0,F1778-I1778)),0)</f>
        <v>0.23085</v>
      </c>
      <c r="K1778" s="13" t="n">
        <f aca="false">H1778+I1778</f>
        <v>0.764883</v>
      </c>
      <c r="L1778" s="13" t="n">
        <f aca="false">MAX(0,D1778-K1778)</f>
        <v>3.285117</v>
      </c>
      <c r="M1778" s="13" t="n">
        <f aca="false">MAX(0,F1778-I1778-J1778)</f>
        <v>0</v>
      </c>
      <c r="N1778" s="13" t="n">
        <f aca="false">IF(Kalender!A314="",0,J1777-H1778)</f>
        <v>0.00461700000000001</v>
      </c>
    </row>
    <row r="1779" customFormat="false" ht="16.4" hidden="false" customHeight="false" outlineLevel="0" collapsed="false">
      <c r="A1779" s="13" t="str">
        <f aca="false">""</f>
        <v/>
      </c>
      <c r="B1779" s="13" t="n">
        <f aca="false">311</f>
        <v>311</v>
      </c>
      <c r="C1779" s="13" t="n">
        <f aca="false">IF(Szenarien!$H$15="OK",(IFERROR(SUMIF(Nutzungsprofile!$B$6:$B$11,"Schulbetrieb",Nutzungsprofile!$G$6:$G$11)*Kalender!C315/SUM(Kalender!$C$5:$C$370),0)+IFERROR(SUMIF(Nutzungsprofile!$B$6:$B$11,"Halle",Nutzungsprofile!$G$6:$G$11)*Kalender!D315/SUM(Kalender!$D$5:$D$370),0)+IFERROR(SUMIF(Nutzungsprofile!$B$6:$B$11,"Individuell",Nutzungsprofile!$G$6:$G$11)*Kalender!E315/SUM(Kalender!$E$5:$E$370),0))*Szenarien!$E$15,0)</f>
        <v>0</v>
      </c>
      <c r="D1779" s="13" t="n">
        <f aca="false">IF(Szenarien!$H$15="OK",(IFERROR(SUMIF(Nutzungsprofile!$B$17:$B$22,"Schulbetrieb",Nutzungsprofile!$G$17:$G$22)*Kalender!C315/SUM(Kalender!$C$5:$C$370),0)+IFERROR(SUMIF(Nutzungsprofile!$B$17:$B$22,"Halle",Nutzungsprofile!$G$17:$G$22)*Kalender!D315/SUM(Kalender!$D$5:$D$370),0)+IFERROR(SUMIF(Nutzungsprofile!$B$17:$B$22,"Individuell",Nutzungsprofile!$G$17:$G$22)*Kalender!E315/SUM(Kalender!$E$5:$E$370),0))*Szenarien!$D$15,0)</f>
        <v>0</v>
      </c>
      <c r="E1779" s="13" t="n">
        <f aca="false">IFERROR(MIN(C1779,Eingaben!$B$17)*Eingaben!$B$16,0)</f>
        <v>0</v>
      </c>
      <c r="F1779" s="13" t="n">
        <f aca="false">IFERROR(E1779*Eingaben!$B$15,0)</f>
        <v>0</v>
      </c>
      <c r="G1779" s="13" t="n">
        <f aca="false">IFERROR(IF(Kalender!A315="",0,J1778*(1-Eingaben!$B$20)),0)</f>
        <v>0.226233</v>
      </c>
      <c r="H1779" s="13" t="n">
        <f aca="false">MIN(G1779,D1779)</f>
        <v>0</v>
      </c>
      <c r="I1779" s="13" t="n">
        <f aca="false">IFERROR(MIN(F1779*Eingaben!$B$19,MAX(0,D1779-H1779)),0)</f>
        <v>0</v>
      </c>
      <c r="J1779" s="13" t="n">
        <f aca="false">IFERROR(MIN(Eingaben!$B$18,MAX(0,F1779-I1779)),0)</f>
        <v>0</v>
      </c>
      <c r="K1779" s="13" t="n">
        <f aca="false">H1779+I1779</f>
        <v>0</v>
      </c>
      <c r="L1779" s="13" t="n">
        <f aca="false">MAX(0,D1779-K1779)</f>
        <v>0</v>
      </c>
      <c r="M1779" s="13" t="n">
        <f aca="false">MAX(0,F1779-I1779-J1779)</f>
        <v>0</v>
      </c>
      <c r="N1779" s="13" t="n">
        <f aca="false">IF(Kalender!A315="",0,J1778-H1779)</f>
        <v>0.23085</v>
      </c>
    </row>
    <row r="1780" customFormat="false" ht="16.4" hidden="false" customHeight="false" outlineLevel="0" collapsed="false">
      <c r="A1780" s="13" t="str">
        <f aca="false">""</f>
        <v/>
      </c>
      <c r="B1780" s="13" t="n">
        <f aca="false">312</f>
        <v>312</v>
      </c>
      <c r="C1780" s="13" t="n">
        <f aca="false">IF(Szenarien!$H$15="OK",(IFERROR(SUMIF(Nutzungsprofile!$B$6:$B$11,"Schulbetrieb",Nutzungsprofile!$G$6:$G$11)*Kalender!C316/SUM(Kalender!$C$5:$C$370),0)+IFERROR(SUMIF(Nutzungsprofile!$B$6:$B$11,"Halle",Nutzungsprofile!$G$6:$G$11)*Kalender!D316/SUM(Kalender!$D$5:$D$370),0)+IFERROR(SUMIF(Nutzungsprofile!$B$6:$B$11,"Individuell",Nutzungsprofile!$G$6:$G$11)*Kalender!E316/SUM(Kalender!$E$5:$E$370),0))*Szenarien!$E$15,0)</f>
        <v>0</v>
      </c>
      <c r="D1780" s="13" t="n">
        <f aca="false">IF(Szenarien!$H$15="OK",(IFERROR(SUMIF(Nutzungsprofile!$B$17:$B$22,"Schulbetrieb",Nutzungsprofile!$G$17:$G$22)*Kalender!C316/SUM(Kalender!$C$5:$C$370),0)+IFERROR(SUMIF(Nutzungsprofile!$B$17:$B$22,"Halle",Nutzungsprofile!$G$17:$G$22)*Kalender!D316/SUM(Kalender!$D$5:$D$370),0)+IFERROR(SUMIF(Nutzungsprofile!$B$17:$B$22,"Individuell",Nutzungsprofile!$G$17:$G$22)*Kalender!E316/SUM(Kalender!$E$5:$E$370),0))*Szenarien!$D$15,0)</f>
        <v>0</v>
      </c>
      <c r="E1780" s="13" t="n">
        <f aca="false">IFERROR(MIN(C1780,Eingaben!$B$17)*Eingaben!$B$16,0)</f>
        <v>0</v>
      </c>
      <c r="F1780" s="13" t="n">
        <f aca="false">IFERROR(E1780*Eingaben!$B$15,0)</f>
        <v>0</v>
      </c>
      <c r="G1780" s="13" t="n">
        <f aca="false">IFERROR(IF(Kalender!A316="",0,J1779*(1-Eingaben!$B$20)),0)</f>
        <v>0</v>
      </c>
      <c r="H1780" s="13" t="n">
        <f aca="false">MIN(G1780,D1780)</f>
        <v>0</v>
      </c>
      <c r="I1780" s="13" t="n">
        <f aca="false">IFERROR(MIN(F1780*Eingaben!$B$19,MAX(0,D1780-H1780)),0)</f>
        <v>0</v>
      </c>
      <c r="J1780" s="13" t="n">
        <f aca="false">IFERROR(MIN(Eingaben!$B$18,MAX(0,F1780-I1780)),0)</f>
        <v>0</v>
      </c>
      <c r="K1780" s="13" t="n">
        <f aca="false">H1780+I1780</f>
        <v>0</v>
      </c>
      <c r="L1780" s="13" t="n">
        <f aca="false">MAX(0,D1780-K1780)</f>
        <v>0</v>
      </c>
      <c r="M1780" s="13" t="n">
        <f aca="false">MAX(0,F1780-I1780-J1780)</f>
        <v>0</v>
      </c>
      <c r="N1780" s="13" t="n">
        <f aca="false">IF(Kalender!A316="",0,J1779-H1780)</f>
        <v>0</v>
      </c>
    </row>
    <row r="1781" customFormat="false" ht="16.4" hidden="false" customHeight="false" outlineLevel="0" collapsed="false">
      <c r="A1781" s="13" t="str">
        <f aca="false">""</f>
        <v/>
      </c>
      <c r="B1781" s="13" t="n">
        <f aca="false">313</f>
        <v>313</v>
      </c>
      <c r="C1781" s="13" t="n">
        <f aca="false">IF(Szenarien!$H$15="OK",(IFERROR(SUMIF(Nutzungsprofile!$B$6:$B$11,"Schulbetrieb",Nutzungsprofile!$G$6:$G$11)*Kalender!C317/SUM(Kalender!$C$5:$C$370),0)+IFERROR(SUMIF(Nutzungsprofile!$B$6:$B$11,"Halle",Nutzungsprofile!$G$6:$G$11)*Kalender!D317/SUM(Kalender!$D$5:$D$370),0)+IFERROR(SUMIF(Nutzungsprofile!$B$6:$B$11,"Individuell",Nutzungsprofile!$G$6:$G$11)*Kalender!E317/SUM(Kalender!$E$5:$E$370),0))*Szenarien!$E$15,0)</f>
        <v>0.9</v>
      </c>
      <c r="D1781" s="13" t="n">
        <f aca="false">IF(Szenarien!$H$15="OK",(IFERROR(SUMIF(Nutzungsprofile!$B$17:$B$22,"Schulbetrieb",Nutzungsprofile!$G$17:$G$22)*Kalender!C317/SUM(Kalender!$C$5:$C$370),0)+IFERROR(SUMIF(Nutzungsprofile!$B$17:$B$22,"Halle",Nutzungsprofile!$G$17:$G$22)*Kalender!D317/SUM(Kalender!$D$5:$D$370),0)+IFERROR(SUMIF(Nutzungsprofile!$B$17:$B$22,"Individuell",Nutzungsprofile!$G$17:$G$22)*Kalender!E317/SUM(Kalender!$E$5:$E$370),0))*Szenarien!$D$15,0)</f>
        <v>4.05</v>
      </c>
      <c r="E1781" s="13" t="n">
        <f aca="false">IFERROR(MIN(C1781,Eingaben!$B$17)*Eingaben!$B$16,0)</f>
        <v>0.855</v>
      </c>
      <c r="F1781" s="13" t="n">
        <f aca="false">IFERROR(E1781*Eingaben!$B$15,0)</f>
        <v>0.7695</v>
      </c>
      <c r="G1781" s="13" t="n">
        <f aca="false">IFERROR(IF(Kalender!A317="",0,J1780*(1-Eingaben!$B$20)),0)</f>
        <v>0</v>
      </c>
      <c r="H1781" s="13" t="n">
        <f aca="false">MIN(G1781,D1781)</f>
        <v>0</v>
      </c>
      <c r="I1781" s="13" t="n">
        <f aca="false">IFERROR(MIN(F1781*Eingaben!$B$19,MAX(0,D1781-H1781)),0)</f>
        <v>0.53865</v>
      </c>
      <c r="J1781" s="13" t="n">
        <f aca="false">IFERROR(MIN(Eingaben!$B$18,MAX(0,F1781-I1781)),0)</f>
        <v>0.23085</v>
      </c>
      <c r="K1781" s="13" t="n">
        <f aca="false">H1781+I1781</f>
        <v>0.53865</v>
      </c>
      <c r="L1781" s="13" t="n">
        <f aca="false">MAX(0,D1781-K1781)</f>
        <v>3.51135</v>
      </c>
      <c r="M1781" s="13" t="n">
        <f aca="false">MAX(0,F1781-I1781-J1781)</f>
        <v>0</v>
      </c>
      <c r="N1781" s="13" t="n">
        <f aca="false">IF(Kalender!A317="",0,J1780-H1781)</f>
        <v>0</v>
      </c>
    </row>
    <row r="1782" customFormat="false" ht="16.4" hidden="false" customHeight="false" outlineLevel="0" collapsed="false">
      <c r="A1782" s="13" t="str">
        <f aca="false">""</f>
        <v/>
      </c>
      <c r="B1782" s="13" t="n">
        <f aca="false">314</f>
        <v>314</v>
      </c>
      <c r="C1782" s="13" t="n">
        <f aca="false">IF(Szenarien!$H$15="OK",(IFERROR(SUMIF(Nutzungsprofile!$B$6:$B$11,"Schulbetrieb",Nutzungsprofile!$G$6:$G$11)*Kalender!C318/SUM(Kalender!$C$5:$C$370),0)+IFERROR(SUMIF(Nutzungsprofile!$B$6:$B$11,"Halle",Nutzungsprofile!$G$6:$G$11)*Kalender!D318/SUM(Kalender!$D$5:$D$370),0)+IFERROR(SUMIF(Nutzungsprofile!$B$6:$B$11,"Individuell",Nutzungsprofile!$G$6:$G$11)*Kalender!E318/SUM(Kalender!$E$5:$E$370),0))*Szenarien!$E$15,0)</f>
        <v>0.9</v>
      </c>
      <c r="D1782" s="13" t="n">
        <f aca="false">IF(Szenarien!$H$15="OK",(IFERROR(SUMIF(Nutzungsprofile!$B$17:$B$22,"Schulbetrieb",Nutzungsprofile!$G$17:$G$22)*Kalender!C318/SUM(Kalender!$C$5:$C$370),0)+IFERROR(SUMIF(Nutzungsprofile!$B$17:$B$22,"Halle",Nutzungsprofile!$G$17:$G$22)*Kalender!D318/SUM(Kalender!$D$5:$D$370),0)+IFERROR(SUMIF(Nutzungsprofile!$B$17:$B$22,"Individuell",Nutzungsprofile!$G$17:$G$22)*Kalender!E318/SUM(Kalender!$E$5:$E$370),0))*Szenarien!$D$15,0)</f>
        <v>4.05</v>
      </c>
      <c r="E1782" s="13" t="n">
        <f aca="false">IFERROR(MIN(C1782,Eingaben!$B$17)*Eingaben!$B$16,0)</f>
        <v>0.855</v>
      </c>
      <c r="F1782" s="13" t="n">
        <f aca="false">IFERROR(E1782*Eingaben!$B$15,0)</f>
        <v>0.7695</v>
      </c>
      <c r="G1782" s="13" t="n">
        <f aca="false">IFERROR(IF(Kalender!A318="",0,J1781*(1-Eingaben!$B$20)),0)</f>
        <v>0.226233</v>
      </c>
      <c r="H1782" s="13" t="n">
        <f aca="false">MIN(G1782,D1782)</f>
        <v>0.226233</v>
      </c>
      <c r="I1782" s="13" t="n">
        <f aca="false">IFERROR(MIN(F1782*Eingaben!$B$19,MAX(0,D1782-H1782)),0)</f>
        <v>0.53865</v>
      </c>
      <c r="J1782" s="13" t="n">
        <f aca="false">IFERROR(MIN(Eingaben!$B$18,MAX(0,F1782-I1782)),0)</f>
        <v>0.23085</v>
      </c>
      <c r="K1782" s="13" t="n">
        <f aca="false">H1782+I1782</f>
        <v>0.764883</v>
      </c>
      <c r="L1782" s="13" t="n">
        <f aca="false">MAX(0,D1782-K1782)</f>
        <v>3.285117</v>
      </c>
      <c r="M1782" s="13" t="n">
        <f aca="false">MAX(0,F1782-I1782-J1782)</f>
        <v>0</v>
      </c>
      <c r="N1782" s="13" t="n">
        <f aca="false">IF(Kalender!A318="",0,J1781-H1782)</f>
        <v>0.00461700000000001</v>
      </c>
    </row>
    <row r="1783" customFormat="false" ht="16.4" hidden="false" customHeight="false" outlineLevel="0" collapsed="false">
      <c r="A1783" s="13" t="str">
        <f aca="false">""</f>
        <v/>
      </c>
      <c r="B1783" s="13" t="n">
        <f aca="false">315</f>
        <v>315</v>
      </c>
      <c r="C1783" s="13" t="n">
        <f aca="false">IF(Szenarien!$H$15="OK",(IFERROR(SUMIF(Nutzungsprofile!$B$6:$B$11,"Schulbetrieb",Nutzungsprofile!$G$6:$G$11)*Kalender!C319/SUM(Kalender!$C$5:$C$370),0)+IFERROR(SUMIF(Nutzungsprofile!$B$6:$B$11,"Halle",Nutzungsprofile!$G$6:$G$11)*Kalender!D319/SUM(Kalender!$D$5:$D$370),0)+IFERROR(SUMIF(Nutzungsprofile!$B$6:$B$11,"Individuell",Nutzungsprofile!$G$6:$G$11)*Kalender!E319/SUM(Kalender!$E$5:$E$370),0))*Szenarien!$E$15,0)</f>
        <v>0.9</v>
      </c>
      <c r="D1783" s="13" t="n">
        <f aca="false">IF(Szenarien!$H$15="OK",(IFERROR(SUMIF(Nutzungsprofile!$B$17:$B$22,"Schulbetrieb",Nutzungsprofile!$G$17:$G$22)*Kalender!C319/SUM(Kalender!$C$5:$C$370),0)+IFERROR(SUMIF(Nutzungsprofile!$B$17:$B$22,"Halle",Nutzungsprofile!$G$17:$G$22)*Kalender!D319/SUM(Kalender!$D$5:$D$370),0)+IFERROR(SUMIF(Nutzungsprofile!$B$17:$B$22,"Individuell",Nutzungsprofile!$G$17:$G$22)*Kalender!E319/SUM(Kalender!$E$5:$E$370),0))*Szenarien!$D$15,0)</f>
        <v>4.05</v>
      </c>
      <c r="E1783" s="13" t="n">
        <f aca="false">IFERROR(MIN(C1783,Eingaben!$B$17)*Eingaben!$B$16,0)</f>
        <v>0.855</v>
      </c>
      <c r="F1783" s="13" t="n">
        <f aca="false">IFERROR(E1783*Eingaben!$B$15,0)</f>
        <v>0.7695</v>
      </c>
      <c r="G1783" s="13" t="n">
        <f aca="false">IFERROR(IF(Kalender!A319="",0,J1782*(1-Eingaben!$B$20)),0)</f>
        <v>0.226233</v>
      </c>
      <c r="H1783" s="13" t="n">
        <f aca="false">MIN(G1783,D1783)</f>
        <v>0.226233</v>
      </c>
      <c r="I1783" s="13" t="n">
        <f aca="false">IFERROR(MIN(F1783*Eingaben!$B$19,MAX(0,D1783-H1783)),0)</f>
        <v>0.53865</v>
      </c>
      <c r="J1783" s="13" t="n">
        <f aca="false">IFERROR(MIN(Eingaben!$B$18,MAX(0,F1783-I1783)),0)</f>
        <v>0.23085</v>
      </c>
      <c r="K1783" s="13" t="n">
        <f aca="false">H1783+I1783</f>
        <v>0.764883</v>
      </c>
      <c r="L1783" s="13" t="n">
        <f aca="false">MAX(0,D1783-K1783)</f>
        <v>3.285117</v>
      </c>
      <c r="M1783" s="13" t="n">
        <f aca="false">MAX(0,F1783-I1783-J1783)</f>
        <v>0</v>
      </c>
      <c r="N1783" s="13" t="n">
        <f aca="false">IF(Kalender!A319="",0,J1782-H1783)</f>
        <v>0.00461700000000001</v>
      </c>
    </row>
    <row r="1784" customFormat="false" ht="16.4" hidden="false" customHeight="false" outlineLevel="0" collapsed="false">
      <c r="A1784" s="13" t="str">
        <f aca="false">""</f>
        <v/>
      </c>
      <c r="B1784" s="13" t="n">
        <f aca="false">316</f>
        <v>316</v>
      </c>
      <c r="C1784" s="13" t="n">
        <f aca="false">IF(Szenarien!$H$15="OK",(IFERROR(SUMIF(Nutzungsprofile!$B$6:$B$11,"Schulbetrieb",Nutzungsprofile!$G$6:$G$11)*Kalender!C320/SUM(Kalender!$C$5:$C$370),0)+IFERROR(SUMIF(Nutzungsprofile!$B$6:$B$11,"Halle",Nutzungsprofile!$G$6:$G$11)*Kalender!D320/SUM(Kalender!$D$5:$D$370),0)+IFERROR(SUMIF(Nutzungsprofile!$B$6:$B$11,"Individuell",Nutzungsprofile!$G$6:$G$11)*Kalender!E320/SUM(Kalender!$E$5:$E$370),0))*Szenarien!$E$15,0)</f>
        <v>0.9</v>
      </c>
      <c r="D1784" s="13" t="n">
        <f aca="false">IF(Szenarien!$H$15="OK",(IFERROR(SUMIF(Nutzungsprofile!$B$17:$B$22,"Schulbetrieb",Nutzungsprofile!$G$17:$G$22)*Kalender!C320/SUM(Kalender!$C$5:$C$370),0)+IFERROR(SUMIF(Nutzungsprofile!$B$17:$B$22,"Halle",Nutzungsprofile!$G$17:$G$22)*Kalender!D320/SUM(Kalender!$D$5:$D$370),0)+IFERROR(SUMIF(Nutzungsprofile!$B$17:$B$22,"Individuell",Nutzungsprofile!$G$17:$G$22)*Kalender!E320/SUM(Kalender!$E$5:$E$370),0))*Szenarien!$D$15,0)</f>
        <v>4.05</v>
      </c>
      <c r="E1784" s="13" t="n">
        <f aca="false">IFERROR(MIN(C1784,Eingaben!$B$17)*Eingaben!$B$16,0)</f>
        <v>0.855</v>
      </c>
      <c r="F1784" s="13" t="n">
        <f aca="false">IFERROR(E1784*Eingaben!$B$15,0)</f>
        <v>0.7695</v>
      </c>
      <c r="G1784" s="13" t="n">
        <f aca="false">IFERROR(IF(Kalender!A320="",0,J1783*(1-Eingaben!$B$20)),0)</f>
        <v>0.226233</v>
      </c>
      <c r="H1784" s="13" t="n">
        <f aca="false">MIN(G1784,D1784)</f>
        <v>0.226233</v>
      </c>
      <c r="I1784" s="13" t="n">
        <f aca="false">IFERROR(MIN(F1784*Eingaben!$B$19,MAX(0,D1784-H1784)),0)</f>
        <v>0.53865</v>
      </c>
      <c r="J1784" s="13" t="n">
        <f aca="false">IFERROR(MIN(Eingaben!$B$18,MAX(0,F1784-I1784)),0)</f>
        <v>0.23085</v>
      </c>
      <c r="K1784" s="13" t="n">
        <f aca="false">H1784+I1784</f>
        <v>0.764883</v>
      </c>
      <c r="L1784" s="13" t="n">
        <f aca="false">MAX(0,D1784-K1784)</f>
        <v>3.285117</v>
      </c>
      <c r="M1784" s="13" t="n">
        <f aca="false">MAX(0,F1784-I1784-J1784)</f>
        <v>0</v>
      </c>
      <c r="N1784" s="13" t="n">
        <f aca="false">IF(Kalender!A320="",0,J1783-H1784)</f>
        <v>0.00461700000000001</v>
      </c>
    </row>
    <row r="1785" customFormat="false" ht="16.4" hidden="false" customHeight="false" outlineLevel="0" collapsed="false">
      <c r="A1785" s="13" t="str">
        <f aca="false">""</f>
        <v/>
      </c>
      <c r="B1785" s="13" t="n">
        <f aca="false">317</f>
        <v>317</v>
      </c>
      <c r="C1785" s="13" t="n">
        <f aca="false">IF(Szenarien!$H$15="OK",(IFERROR(SUMIF(Nutzungsprofile!$B$6:$B$11,"Schulbetrieb",Nutzungsprofile!$G$6:$G$11)*Kalender!C321/SUM(Kalender!$C$5:$C$370),0)+IFERROR(SUMIF(Nutzungsprofile!$B$6:$B$11,"Halle",Nutzungsprofile!$G$6:$G$11)*Kalender!D321/SUM(Kalender!$D$5:$D$370),0)+IFERROR(SUMIF(Nutzungsprofile!$B$6:$B$11,"Individuell",Nutzungsprofile!$G$6:$G$11)*Kalender!E321/SUM(Kalender!$E$5:$E$370),0))*Szenarien!$E$15,0)</f>
        <v>0.9</v>
      </c>
      <c r="D1785" s="13" t="n">
        <f aca="false">IF(Szenarien!$H$15="OK",(IFERROR(SUMIF(Nutzungsprofile!$B$17:$B$22,"Schulbetrieb",Nutzungsprofile!$G$17:$G$22)*Kalender!C321/SUM(Kalender!$C$5:$C$370),0)+IFERROR(SUMIF(Nutzungsprofile!$B$17:$B$22,"Halle",Nutzungsprofile!$G$17:$G$22)*Kalender!D321/SUM(Kalender!$D$5:$D$370),0)+IFERROR(SUMIF(Nutzungsprofile!$B$17:$B$22,"Individuell",Nutzungsprofile!$G$17:$G$22)*Kalender!E321/SUM(Kalender!$E$5:$E$370),0))*Szenarien!$D$15,0)</f>
        <v>4.05</v>
      </c>
      <c r="E1785" s="13" t="n">
        <f aca="false">IFERROR(MIN(C1785,Eingaben!$B$17)*Eingaben!$B$16,0)</f>
        <v>0.855</v>
      </c>
      <c r="F1785" s="13" t="n">
        <f aca="false">IFERROR(E1785*Eingaben!$B$15,0)</f>
        <v>0.7695</v>
      </c>
      <c r="G1785" s="13" t="n">
        <f aca="false">IFERROR(IF(Kalender!A321="",0,J1784*(1-Eingaben!$B$20)),0)</f>
        <v>0.226233</v>
      </c>
      <c r="H1785" s="13" t="n">
        <f aca="false">MIN(G1785,D1785)</f>
        <v>0.226233</v>
      </c>
      <c r="I1785" s="13" t="n">
        <f aca="false">IFERROR(MIN(F1785*Eingaben!$B$19,MAX(0,D1785-H1785)),0)</f>
        <v>0.53865</v>
      </c>
      <c r="J1785" s="13" t="n">
        <f aca="false">IFERROR(MIN(Eingaben!$B$18,MAX(0,F1785-I1785)),0)</f>
        <v>0.23085</v>
      </c>
      <c r="K1785" s="13" t="n">
        <f aca="false">H1785+I1785</f>
        <v>0.764883</v>
      </c>
      <c r="L1785" s="13" t="n">
        <f aca="false">MAX(0,D1785-K1785)</f>
        <v>3.285117</v>
      </c>
      <c r="M1785" s="13" t="n">
        <f aca="false">MAX(0,F1785-I1785-J1785)</f>
        <v>0</v>
      </c>
      <c r="N1785" s="13" t="n">
        <f aca="false">IF(Kalender!A321="",0,J1784-H1785)</f>
        <v>0.00461700000000001</v>
      </c>
    </row>
    <row r="1786" customFormat="false" ht="16.4" hidden="false" customHeight="false" outlineLevel="0" collapsed="false">
      <c r="A1786" s="13" t="str">
        <f aca="false">""</f>
        <v/>
      </c>
      <c r="B1786" s="13" t="n">
        <f aca="false">318</f>
        <v>318</v>
      </c>
      <c r="C1786" s="13" t="n">
        <f aca="false">IF(Szenarien!$H$15="OK",(IFERROR(SUMIF(Nutzungsprofile!$B$6:$B$11,"Schulbetrieb",Nutzungsprofile!$G$6:$G$11)*Kalender!C322/SUM(Kalender!$C$5:$C$370),0)+IFERROR(SUMIF(Nutzungsprofile!$B$6:$B$11,"Halle",Nutzungsprofile!$G$6:$G$11)*Kalender!D322/SUM(Kalender!$D$5:$D$370),0)+IFERROR(SUMIF(Nutzungsprofile!$B$6:$B$11,"Individuell",Nutzungsprofile!$G$6:$G$11)*Kalender!E322/SUM(Kalender!$E$5:$E$370),0))*Szenarien!$E$15,0)</f>
        <v>0</v>
      </c>
      <c r="D1786" s="13" t="n">
        <f aca="false">IF(Szenarien!$H$15="OK",(IFERROR(SUMIF(Nutzungsprofile!$B$17:$B$22,"Schulbetrieb",Nutzungsprofile!$G$17:$G$22)*Kalender!C322/SUM(Kalender!$C$5:$C$370),0)+IFERROR(SUMIF(Nutzungsprofile!$B$17:$B$22,"Halle",Nutzungsprofile!$G$17:$G$22)*Kalender!D322/SUM(Kalender!$D$5:$D$370),0)+IFERROR(SUMIF(Nutzungsprofile!$B$17:$B$22,"Individuell",Nutzungsprofile!$G$17:$G$22)*Kalender!E322/SUM(Kalender!$E$5:$E$370),0))*Szenarien!$D$15,0)</f>
        <v>0</v>
      </c>
      <c r="E1786" s="13" t="n">
        <f aca="false">IFERROR(MIN(C1786,Eingaben!$B$17)*Eingaben!$B$16,0)</f>
        <v>0</v>
      </c>
      <c r="F1786" s="13" t="n">
        <f aca="false">IFERROR(E1786*Eingaben!$B$15,0)</f>
        <v>0</v>
      </c>
      <c r="G1786" s="13" t="n">
        <f aca="false">IFERROR(IF(Kalender!A322="",0,J1785*(1-Eingaben!$B$20)),0)</f>
        <v>0.226233</v>
      </c>
      <c r="H1786" s="13" t="n">
        <f aca="false">MIN(G1786,D1786)</f>
        <v>0</v>
      </c>
      <c r="I1786" s="13" t="n">
        <f aca="false">IFERROR(MIN(F1786*Eingaben!$B$19,MAX(0,D1786-H1786)),0)</f>
        <v>0</v>
      </c>
      <c r="J1786" s="13" t="n">
        <f aca="false">IFERROR(MIN(Eingaben!$B$18,MAX(0,F1786-I1786)),0)</f>
        <v>0</v>
      </c>
      <c r="K1786" s="13" t="n">
        <f aca="false">H1786+I1786</f>
        <v>0</v>
      </c>
      <c r="L1786" s="13" t="n">
        <f aca="false">MAX(0,D1786-K1786)</f>
        <v>0</v>
      </c>
      <c r="M1786" s="13" t="n">
        <f aca="false">MAX(0,F1786-I1786-J1786)</f>
        <v>0</v>
      </c>
      <c r="N1786" s="13" t="n">
        <f aca="false">IF(Kalender!A322="",0,J1785-H1786)</f>
        <v>0.23085</v>
      </c>
    </row>
    <row r="1787" customFormat="false" ht="16.4" hidden="false" customHeight="false" outlineLevel="0" collapsed="false">
      <c r="A1787" s="13" t="str">
        <f aca="false">""</f>
        <v/>
      </c>
      <c r="B1787" s="13" t="n">
        <f aca="false">319</f>
        <v>319</v>
      </c>
      <c r="C1787" s="13" t="n">
        <f aca="false">IF(Szenarien!$H$15="OK",(IFERROR(SUMIF(Nutzungsprofile!$B$6:$B$11,"Schulbetrieb",Nutzungsprofile!$G$6:$G$11)*Kalender!C323/SUM(Kalender!$C$5:$C$370),0)+IFERROR(SUMIF(Nutzungsprofile!$B$6:$B$11,"Halle",Nutzungsprofile!$G$6:$G$11)*Kalender!D323/SUM(Kalender!$D$5:$D$370),0)+IFERROR(SUMIF(Nutzungsprofile!$B$6:$B$11,"Individuell",Nutzungsprofile!$G$6:$G$11)*Kalender!E323/SUM(Kalender!$E$5:$E$370),0))*Szenarien!$E$15,0)</f>
        <v>0</v>
      </c>
      <c r="D1787" s="13" t="n">
        <f aca="false">IF(Szenarien!$H$15="OK",(IFERROR(SUMIF(Nutzungsprofile!$B$17:$B$22,"Schulbetrieb",Nutzungsprofile!$G$17:$G$22)*Kalender!C323/SUM(Kalender!$C$5:$C$370),0)+IFERROR(SUMIF(Nutzungsprofile!$B$17:$B$22,"Halle",Nutzungsprofile!$G$17:$G$22)*Kalender!D323/SUM(Kalender!$D$5:$D$370),0)+IFERROR(SUMIF(Nutzungsprofile!$B$17:$B$22,"Individuell",Nutzungsprofile!$G$17:$G$22)*Kalender!E323/SUM(Kalender!$E$5:$E$370),0))*Szenarien!$D$15,0)</f>
        <v>0</v>
      </c>
      <c r="E1787" s="13" t="n">
        <f aca="false">IFERROR(MIN(C1787,Eingaben!$B$17)*Eingaben!$B$16,0)</f>
        <v>0</v>
      </c>
      <c r="F1787" s="13" t="n">
        <f aca="false">IFERROR(E1787*Eingaben!$B$15,0)</f>
        <v>0</v>
      </c>
      <c r="G1787" s="13" t="n">
        <f aca="false">IFERROR(IF(Kalender!A323="",0,J1786*(1-Eingaben!$B$20)),0)</f>
        <v>0</v>
      </c>
      <c r="H1787" s="13" t="n">
        <f aca="false">MIN(G1787,D1787)</f>
        <v>0</v>
      </c>
      <c r="I1787" s="13" t="n">
        <f aca="false">IFERROR(MIN(F1787*Eingaben!$B$19,MAX(0,D1787-H1787)),0)</f>
        <v>0</v>
      </c>
      <c r="J1787" s="13" t="n">
        <f aca="false">IFERROR(MIN(Eingaben!$B$18,MAX(0,F1787-I1787)),0)</f>
        <v>0</v>
      </c>
      <c r="K1787" s="13" t="n">
        <f aca="false">H1787+I1787</f>
        <v>0</v>
      </c>
      <c r="L1787" s="13" t="n">
        <f aca="false">MAX(0,D1787-K1787)</f>
        <v>0</v>
      </c>
      <c r="M1787" s="13" t="n">
        <f aca="false">MAX(0,F1787-I1787-J1787)</f>
        <v>0</v>
      </c>
      <c r="N1787" s="13" t="n">
        <f aca="false">IF(Kalender!A323="",0,J1786-H1787)</f>
        <v>0</v>
      </c>
    </row>
    <row r="1788" customFormat="false" ht="16.4" hidden="false" customHeight="false" outlineLevel="0" collapsed="false">
      <c r="A1788" s="13" t="str">
        <f aca="false">""</f>
        <v/>
      </c>
      <c r="B1788" s="13" t="n">
        <f aca="false">320</f>
        <v>320</v>
      </c>
      <c r="C1788" s="13" t="n">
        <f aca="false">IF(Szenarien!$H$15="OK",(IFERROR(SUMIF(Nutzungsprofile!$B$6:$B$11,"Schulbetrieb",Nutzungsprofile!$G$6:$G$11)*Kalender!C324/SUM(Kalender!$C$5:$C$370),0)+IFERROR(SUMIF(Nutzungsprofile!$B$6:$B$11,"Halle",Nutzungsprofile!$G$6:$G$11)*Kalender!D324/SUM(Kalender!$D$5:$D$370),0)+IFERROR(SUMIF(Nutzungsprofile!$B$6:$B$11,"Individuell",Nutzungsprofile!$G$6:$G$11)*Kalender!E324/SUM(Kalender!$E$5:$E$370),0))*Szenarien!$E$15,0)</f>
        <v>0.9</v>
      </c>
      <c r="D1788" s="13" t="n">
        <f aca="false">IF(Szenarien!$H$15="OK",(IFERROR(SUMIF(Nutzungsprofile!$B$17:$B$22,"Schulbetrieb",Nutzungsprofile!$G$17:$G$22)*Kalender!C324/SUM(Kalender!$C$5:$C$370),0)+IFERROR(SUMIF(Nutzungsprofile!$B$17:$B$22,"Halle",Nutzungsprofile!$G$17:$G$22)*Kalender!D324/SUM(Kalender!$D$5:$D$370),0)+IFERROR(SUMIF(Nutzungsprofile!$B$17:$B$22,"Individuell",Nutzungsprofile!$G$17:$G$22)*Kalender!E324/SUM(Kalender!$E$5:$E$370),0))*Szenarien!$D$15,0)</f>
        <v>4.05</v>
      </c>
      <c r="E1788" s="13" t="n">
        <f aca="false">IFERROR(MIN(C1788,Eingaben!$B$17)*Eingaben!$B$16,0)</f>
        <v>0.855</v>
      </c>
      <c r="F1788" s="13" t="n">
        <f aca="false">IFERROR(E1788*Eingaben!$B$15,0)</f>
        <v>0.7695</v>
      </c>
      <c r="G1788" s="13" t="n">
        <f aca="false">IFERROR(IF(Kalender!A324="",0,J1787*(1-Eingaben!$B$20)),0)</f>
        <v>0</v>
      </c>
      <c r="H1788" s="13" t="n">
        <f aca="false">MIN(G1788,D1788)</f>
        <v>0</v>
      </c>
      <c r="I1788" s="13" t="n">
        <f aca="false">IFERROR(MIN(F1788*Eingaben!$B$19,MAX(0,D1788-H1788)),0)</f>
        <v>0.53865</v>
      </c>
      <c r="J1788" s="13" t="n">
        <f aca="false">IFERROR(MIN(Eingaben!$B$18,MAX(0,F1788-I1788)),0)</f>
        <v>0.23085</v>
      </c>
      <c r="K1788" s="13" t="n">
        <f aca="false">H1788+I1788</f>
        <v>0.53865</v>
      </c>
      <c r="L1788" s="13" t="n">
        <f aca="false">MAX(0,D1788-K1788)</f>
        <v>3.51135</v>
      </c>
      <c r="M1788" s="13" t="n">
        <f aca="false">MAX(0,F1788-I1788-J1788)</f>
        <v>0</v>
      </c>
      <c r="N1788" s="13" t="n">
        <f aca="false">IF(Kalender!A324="",0,J1787-H1788)</f>
        <v>0</v>
      </c>
    </row>
    <row r="1789" customFormat="false" ht="16.4" hidden="false" customHeight="false" outlineLevel="0" collapsed="false">
      <c r="A1789" s="13" t="str">
        <f aca="false">""</f>
        <v/>
      </c>
      <c r="B1789" s="13" t="n">
        <f aca="false">321</f>
        <v>321</v>
      </c>
      <c r="C1789" s="13" t="n">
        <f aca="false">IF(Szenarien!$H$15="OK",(IFERROR(SUMIF(Nutzungsprofile!$B$6:$B$11,"Schulbetrieb",Nutzungsprofile!$G$6:$G$11)*Kalender!C325/SUM(Kalender!$C$5:$C$370),0)+IFERROR(SUMIF(Nutzungsprofile!$B$6:$B$11,"Halle",Nutzungsprofile!$G$6:$G$11)*Kalender!D325/SUM(Kalender!$D$5:$D$370),0)+IFERROR(SUMIF(Nutzungsprofile!$B$6:$B$11,"Individuell",Nutzungsprofile!$G$6:$G$11)*Kalender!E325/SUM(Kalender!$E$5:$E$370),0))*Szenarien!$E$15,0)</f>
        <v>0.9</v>
      </c>
      <c r="D1789" s="13" t="n">
        <f aca="false">IF(Szenarien!$H$15="OK",(IFERROR(SUMIF(Nutzungsprofile!$B$17:$B$22,"Schulbetrieb",Nutzungsprofile!$G$17:$G$22)*Kalender!C325/SUM(Kalender!$C$5:$C$370),0)+IFERROR(SUMIF(Nutzungsprofile!$B$17:$B$22,"Halle",Nutzungsprofile!$G$17:$G$22)*Kalender!D325/SUM(Kalender!$D$5:$D$370),0)+IFERROR(SUMIF(Nutzungsprofile!$B$17:$B$22,"Individuell",Nutzungsprofile!$G$17:$G$22)*Kalender!E325/SUM(Kalender!$E$5:$E$370),0))*Szenarien!$D$15,0)</f>
        <v>4.05</v>
      </c>
      <c r="E1789" s="13" t="n">
        <f aca="false">IFERROR(MIN(C1789,Eingaben!$B$17)*Eingaben!$B$16,0)</f>
        <v>0.855</v>
      </c>
      <c r="F1789" s="13" t="n">
        <f aca="false">IFERROR(E1789*Eingaben!$B$15,0)</f>
        <v>0.7695</v>
      </c>
      <c r="G1789" s="13" t="n">
        <f aca="false">IFERROR(IF(Kalender!A325="",0,J1788*(1-Eingaben!$B$20)),0)</f>
        <v>0.226233</v>
      </c>
      <c r="H1789" s="13" t="n">
        <f aca="false">MIN(G1789,D1789)</f>
        <v>0.226233</v>
      </c>
      <c r="I1789" s="13" t="n">
        <f aca="false">IFERROR(MIN(F1789*Eingaben!$B$19,MAX(0,D1789-H1789)),0)</f>
        <v>0.53865</v>
      </c>
      <c r="J1789" s="13" t="n">
        <f aca="false">IFERROR(MIN(Eingaben!$B$18,MAX(0,F1789-I1789)),0)</f>
        <v>0.23085</v>
      </c>
      <c r="K1789" s="13" t="n">
        <f aca="false">H1789+I1789</f>
        <v>0.764883</v>
      </c>
      <c r="L1789" s="13" t="n">
        <f aca="false">MAX(0,D1789-K1789)</f>
        <v>3.285117</v>
      </c>
      <c r="M1789" s="13" t="n">
        <f aca="false">MAX(0,F1789-I1789-J1789)</f>
        <v>0</v>
      </c>
      <c r="N1789" s="13" t="n">
        <f aca="false">IF(Kalender!A325="",0,J1788-H1789)</f>
        <v>0.00461700000000001</v>
      </c>
    </row>
    <row r="1790" customFormat="false" ht="16.4" hidden="false" customHeight="false" outlineLevel="0" collapsed="false">
      <c r="A1790" s="13" t="str">
        <f aca="false">""</f>
        <v/>
      </c>
      <c r="B1790" s="13" t="n">
        <f aca="false">322</f>
        <v>322</v>
      </c>
      <c r="C1790" s="13" t="n">
        <f aca="false">IF(Szenarien!$H$15="OK",(IFERROR(SUMIF(Nutzungsprofile!$B$6:$B$11,"Schulbetrieb",Nutzungsprofile!$G$6:$G$11)*Kalender!C326/SUM(Kalender!$C$5:$C$370),0)+IFERROR(SUMIF(Nutzungsprofile!$B$6:$B$11,"Halle",Nutzungsprofile!$G$6:$G$11)*Kalender!D326/SUM(Kalender!$D$5:$D$370),0)+IFERROR(SUMIF(Nutzungsprofile!$B$6:$B$11,"Individuell",Nutzungsprofile!$G$6:$G$11)*Kalender!E326/SUM(Kalender!$E$5:$E$370),0))*Szenarien!$E$15,0)</f>
        <v>0.9</v>
      </c>
      <c r="D1790" s="13" t="n">
        <f aca="false">IF(Szenarien!$H$15="OK",(IFERROR(SUMIF(Nutzungsprofile!$B$17:$B$22,"Schulbetrieb",Nutzungsprofile!$G$17:$G$22)*Kalender!C326/SUM(Kalender!$C$5:$C$370),0)+IFERROR(SUMIF(Nutzungsprofile!$B$17:$B$22,"Halle",Nutzungsprofile!$G$17:$G$22)*Kalender!D326/SUM(Kalender!$D$5:$D$370),0)+IFERROR(SUMIF(Nutzungsprofile!$B$17:$B$22,"Individuell",Nutzungsprofile!$G$17:$G$22)*Kalender!E326/SUM(Kalender!$E$5:$E$370),0))*Szenarien!$D$15,0)</f>
        <v>4.05</v>
      </c>
      <c r="E1790" s="13" t="n">
        <f aca="false">IFERROR(MIN(C1790,Eingaben!$B$17)*Eingaben!$B$16,0)</f>
        <v>0.855</v>
      </c>
      <c r="F1790" s="13" t="n">
        <f aca="false">IFERROR(E1790*Eingaben!$B$15,0)</f>
        <v>0.7695</v>
      </c>
      <c r="G1790" s="13" t="n">
        <f aca="false">IFERROR(IF(Kalender!A326="",0,J1789*(1-Eingaben!$B$20)),0)</f>
        <v>0.226233</v>
      </c>
      <c r="H1790" s="13" t="n">
        <f aca="false">MIN(G1790,D1790)</f>
        <v>0.226233</v>
      </c>
      <c r="I1790" s="13" t="n">
        <f aca="false">IFERROR(MIN(F1790*Eingaben!$B$19,MAX(0,D1790-H1790)),0)</f>
        <v>0.53865</v>
      </c>
      <c r="J1790" s="13" t="n">
        <f aca="false">IFERROR(MIN(Eingaben!$B$18,MAX(0,F1790-I1790)),0)</f>
        <v>0.23085</v>
      </c>
      <c r="K1790" s="13" t="n">
        <f aca="false">H1790+I1790</f>
        <v>0.764883</v>
      </c>
      <c r="L1790" s="13" t="n">
        <f aca="false">MAX(0,D1790-K1790)</f>
        <v>3.285117</v>
      </c>
      <c r="M1790" s="13" t="n">
        <f aca="false">MAX(0,F1790-I1790-J1790)</f>
        <v>0</v>
      </c>
      <c r="N1790" s="13" t="n">
        <f aca="false">IF(Kalender!A326="",0,J1789-H1790)</f>
        <v>0.00461700000000001</v>
      </c>
    </row>
    <row r="1791" customFormat="false" ht="16.4" hidden="false" customHeight="false" outlineLevel="0" collapsed="false">
      <c r="A1791" s="13" t="str">
        <f aca="false">""</f>
        <v/>
      </c>
      <c r="B1791" s="13" t="n">
        <f aca="false">323</f>
        <v>323</v>
      </c>
      <c r="C1791" s="13" t="n">
        <f aca="false">IF(Szenarien!$H$15="OK",(IFERROR(SUMIF(Nutzungsprofile!$B$6:$B$11,"Schulbetrieb",Nutzungsprofile!$G$6:$G$11)*Kalender!C327/SUM(Kalender!$C$5:$C$370),0)+IFERROR(SUMIF(Nutzungsprofile!$B$6:$B$11,"Halle",Nutzungsprofile!$G$6:$G$11)*Kalender!D327/SUM(Kalender!$D$5:$D$370),0)+IFERROR(SUMIF(Nutzungsprofile!$B$6:$B$11,"Individuell",Nutzungsprofile!$G$6:$G$11)*Kalender!E327/SUM(Kalender!$E$5:$E$370),0))*Szenarien!$E$15,0)</f>
        <v>0.9</v>
      </c>
      <c r="D1791" s="13" t="n">
        <f aca="false">IF(Szenarien!$H$15="OK",(IFERROR(SUMIF(Nutzungsprofile!$B$17:$B$22,"Schulbetrieb",Nutzungsprofile!$G$17:$G$22)*Kalender!C327/SUM(Kalender!$C$5:$C$370),0)+IFERROR(SUMIF(Nutzungsprofile!$B$17:$B$22,"Halle",Nutzungsprofile!$G$17:$G$22)*Kalender!D327/SUM(Kalender!$D$5:$D$370),0)+IFERROR(SUMIF(Nutzungsprofile!$B$17:$B$22,"Individuell",Nutzungsprofile!$G$17:$G$22)*Kalender!E327/SUM(Kalender!$E$5:$E$370),0))*Szenarien!$D$15,0)</f>
        <v>4.05</v>
      </c>
      <c r="E1791" s="13" t="n">
        <f aca="false">IFERROR(MIN(C1791,Eingaben!$B$17)*Eingaben!$B$16,0)</f>
        <v>0.855</v>
      </c>
      <c r="F1791" s="13" t="n">
        <f aca="false">IFERROR(E1791*Eingaben!$B$15,0)</f>
        <v>0.7695</v>
      </c>
      <c r="G1791" s="13" t="n">
        <f aca="false">IFERROR(IF(Kalender!A327="",0,J1790*(1-Eingaben!$B$20)),0)</f>
        <v>0.226233</v>
      </c>
      <c r="H1791" s="13" t="n">
        <f aca="false">MIN(G1791,D1791)</f>
        <v>0.226233</v>
      </c>
      <c r="I1791" s="13" t="n">
        <f aca="false">IFERROR(MIN(F1791*Eingaben!$B$19,MAX(0,D1791-H1791)),0)</f>
        <v>0.53865</v>
      </c>
      <c r="J1791" s="13" t="n">
        <f aca="false">IFERROR(MIN(Eingaben!$B$18,MAX(0,F1791-I1791)),0)</f>
        <v>0.23085</v>
      </c>
      <c r="K1791" s="13" t="n">
        <f aca="false">H1791+I1791</f>
        <v>0.764883</v>
      </c>
      <c r="L1791" s="13" t="n">
        <f aca="false">MAX(0,D1791-K1791)</f>
        <v>3.285117</v>
      </c>
      <c r="M1791" s="13" t="n">
        <f aca="false">MAX(0,F1791-I1791-J1791)</f>
        <v>0</v>
      </c>
      <c r="N1791" s="13" t="n">
        <f aca="false">IF(Kalender!A327="",0,J1790-H1791)</f>
        <v>0.00461700000000001</v>
      </c>
    </row>
    <row r="1792" customFormat="false" ht="16.4" hidden="false" customHeight="false" outlineLevel="0" collapsed="false">
      <c r="A1792" s="13" t="str">
        <f aca="false">""</f>
        <v/>
      </c>
      <c r="B1792" s="13" t="n">
        <f aca="false">324</f>
        <v>324</v>
      </c>
      <c r="C1792" s="13" t="n">
        <f aca="false">IF(Szenarien!$H$15="OK",(IFERROR(SUMIF(Nutzungsprofile!$B$6:$B$11,"Schulbetrieb",Nutzungsprofile!$G$6:$G$11)*Kalender!C328/SUM(Kalender!$C$5:$C$370),0)+IFERROR(SUMIF(Nutzungsprofile!$B$6:$B$11,"Halle",Nutzungsprofile!$G$6:$G$11)*Kalender!D328/SUM(Kalender!$D$5:$D$370),0)+IFERROR(SUMIF(Nutzungsprofile!$B$6:$B$11,"Individuell",Nutzungsprofile!$G$6:$G$11)*Kalender!E328/SUM(Kalender!$E$5:$E$370),0))*Szenarien!$E$15,0)</f>
        <v>0.9</v>
      </c>
      <c r="D1792" s="13" t="n">
        <f aca="false">IF(Szenarien!$H$15="OK",(IFERROR(SUMIF(Nutzungsprofile!$B$17:$B$22,"Schulbetrieb",Nutzungsprofile!$G$17:$G$22)*Kalender!C328/SUM(Kalender!$C$5:$C$370),0)+IFERROR(SUMIF(Nutzungsprofile!$B$17:$B$22,"Halle",Nutzungsprofile!$G$17:$G$22)*Kalender!D328/SUM(Kalender!$D$5:$D$370),0)+IFERROR(SUMIF(Nutzungsprofile!$B$17:$B$22,"Individuell",Nutzungsprofile!$G$17:$G$22)*Kalender!E328/SUM(Kalender!$E$5:$E$370),0))*Szenarien!$D$15,0)</f>
        <v>4.05</v>
      </c>
      <c r="E1792" s="13" t="n">
        <f aca="false">IFERROR(MIN(C1792,Eingaben!$B$17)*Eingaben!$B$16,0)</f>
        <v>0.855</v>
      </c>
      <c r="F1792" s="13" t="n">
        <f aca="false">IFERROR(E1792*Eingaben!$B$15,0)</f>
        <v>0.7695</v>
      </c>
      <c r="G1792" s="13" t="n">
        <f aca="false">IFERROR(IF(Kalender!A328="",0,J1791*(1-Eingaben!$B$20)),0)</f>
        <v>0.226233</v>
      </c>
      <c r="H1792" s="13" t="n">
        <f aca="false">MIN(G1792,D1792)</f>
        <v>0.226233</v>
      </c>
      <c r="I1792" s="13" t="n">
        <f aca="false">IFERROR(MIN(F1792*Eingaben!$B$19,MAX(0,D1792-H1792)),0)</f>
        <v>0.53865</v>
      </c>
      <c r="J1792" s="13" t="n">
        <f aca="false">IFERROR(MIN(Eingaben!$B$18,MAX(0,F1792-I1792)),0)</f>
        <v>0.23085</v>
      </c>
      <c r="K1792" s="13" t="n">
        <f aca="false">H1792+I1792</f>
        <v>0.764883</v>
      </c>
      <c r="L1792" s="13" t="n">
        <f aca="false">MAX(0,D1792-K1792)</f>
        <v>3.285117</v>
      </c>
      <c r="M1792" s="13" t="n">
        <f aca="false">MAX(0,F1792-I1792-J1792)</f>
        <v>0</v>
      </c>
      <c r="N1792" s="13" t="n">
        <f aca="false">IF(Kalender!A328="",0,J1791-H1792)</f>
        <v>0.00461700000000001</v>
      </c>
    </row>
    <row r="1793" customFormat="false" ht="16.4" hidden="false" customHeight="false" outlineLevel="0" collapsed="false">
      <c r="A1793" s="13" t="str">
        <f aca="false">""</f>
        <v/>
      </c>
      <c r="B1793" s="13" t="n">
        <f aca="false">325</f>
        <v>325</v>
      </c>
      <c r="C1793" s="13" t="n">
        <f aca="false">IF(Szenarien!$H$15="OK",(IFERROR(SUMIF(Nutzungsprofile!$B$6:$B$11,"Schulbetrieb",Nutzungsprofile!$G$6:$G$11)*Kalender!C329/SUM(Kalender!$C$5:$C$370),0)+IFERROR(SUMIF(Nutzungsprofile!$B$6:$B$11,"Halle",Nutzungsprofile!$G$6:$G$11)*Kalender!D329/SUM(Kalender!$D$5:$D$370),0)+IFERROR(SUMIF(Nutzungsprofile!$B$6:$B$11,"Individuell",Nutzungsprofile!$G$6:$G$11)*Kalender!E329/SUM(Kalender!$E$5:$E$370),0))*Szenarien!$E$15,0)</f>
        <v>0</v>
      </c>
      <c r="D1793" s="13" t="n">
        <f aca="false">IF(Szenarien!$H$15="OK",(IFERROR(SUMIF(Nutzungsprofile!$B$17:$B$22,"Schulbetrieb",Nutzungsprofile!$G$17:$G$22)*Kalender!C329/SUM(Kalender!$C$5:$C$370),0)+IFERROR(SUMIF(Nutzungsprofile!$B$17:$B$22,"Halle",Nutzungsprofile!$G$17:$G$22)*Kalender!D329/SUM(Kalender!$D$5:$D$370),0)+IFERROR(SUMIF(Nutzungsprofile!$B$17:$B$22,"Individuell",Nutzungsprofile!$G$17:$G$22)*Kalender!E329/SUM(Kalender!$E$5:$E$370),0))*Szenarien!$D$15,0)</f>
        <v>0</v>
      </c>
      <c r="E1793" s="13" t="n">
        <f aca="false">IFERROR(MIN(C1793,Eingaben!$B$17)*Eingaben!$B$16,0)</f>
        <v>0</v>
      </c>
      <c r="F1793" s="13" t="n">
        <f aca="false">IFERROR(E1793*Eingaben!$B$15,0)</f>
        <v>0</v>
      </c>
      <c r="G1793" s="13" t="n">
        <f aca="false">IFERROR(IF(Kalender!A329="",0,J1792*(1-Eingaben!$B$20)),0)</f>
        <v>0.226233</v>
      </c>
      <c r="H1793" s="13" t="n">
        <f aca="false">MIN(G1793,D1793)</f>
        <v>0</v>
      </c>
      <c r="I1793" s="13" t="n">
        <f aca="false">IFERROR(MIN(F1793*Eingaben!$B$19,MAX(0,D1793-H1793)),0)</f>
        <v>0</v>
      </c>
      <c r="J1793" s="13" t="n">
        <f aca="false">IFERROR(MIN(Eingaben!$B$18,MAX(0,F1793-I1793)),0)</f>
        <v>0</v>
      </c>
      <c r="K1793" s="13" t="n">
        <f aca="false">H1793+I1793</f>
        <v>0</v>
      </c>
      <c r="L1793" s="13" t="n">
        <f aca="false">MAX(0,D1793-K1793)</f>
        <v>0</v>
      </c>
      <c r="M1793" s="13" t="n">
        <f aca="false">MAX(0,F1793-I1793-J1793)</f>
        <v>0</v>
      </c>
      <c r="N1793" s="13" t="n">
        <f aca="false">IF(Kalender!A329="",0,J1792-H1793)</f>
        <v>0.23085</v>
      </c>
    </row>
    <row r="1794" customFormat="false" ht="16.4" hidden="false" customHeight="false" outlineLevel="0" collapsed="false">
      <c r="A1794" s="13" t="str">
        <f aca="false">""</f>
        <v/>
      </c>
      <c r="B1794" s="13" t="n">
        <f aca="false">326</f>
        <v>326</v>
      </c>
      <c r="C1794" s="13" t="n">
        <f aca="false">IF(Szenarien!$H$15="OK",(IFERROR(SUMIF(Nutzungsprofile!$B$6:$B$11,"Schulbetrieb",Nutzungsprofile!$G$6:$G$11)*Kalender!C330/SUM(Kalender!$C$5:$C$370),0)+IFERROR(SUMIF(Nutzungsprofile!$B$6:$B$11,"Halle",Nutzungsprofile!$G$6:$G$11)*Kalender!D330/SUM(Kalender!$D$5:$D$370),0)+IFERROR(SUMIF(Nutzungsprofile!$B$6:$B$11,"Individuell",Nutzungsprofile!$G$6:$G$11)*Kalender!E330/SUM(Kalender!$E$5:$E$370),0))*Szenarien!$E$15,0)</f>
        <v>0</v>
      </c>
      <c r="D1794" s="13" t="n">
        <f aca="false">IF(Szenarien!$H$15="OK",(IFERROR(SUMIF(Nutzungsprofile!$B$17:$B$22,"Schulbetrieb",Nutzungsprofile!$G$17:$G$22)*Kalender!C330/SUM(Kalender!$C$5:$C$370),0)+IFERROR(SUMIF(Nutzungsprofile!$B$17:$B$22,"Halle",Nutzungsprofile!$G$17:$G$22)*Kalender!D330/SUM(Kalender!$D$5:$D$370),0)+IFERROR(SUMIF(Nutzungsprofile!$B$17:$B$22,"Individuell",Nutzungsprofile!$G$17:$G$22)*Kalender!E330/SUM(Kalender!$E$5:$E$370),0))*Szenarien!$D$15,0)</f>
        <v>0</v>
      </c>
      <c r="E1794" s="13" t="n">
        <f aca="false">IFERROR(MIN(C1794,Eingaben!$B$17)*Eingaben!$B$16,0)</f>
        <v>0</v>
      </c>
      <c r="F1794" s="13" t="n">
        <f aca="false">IFERROR(E1794*Eingaben!$B$15,0)</f>
        <v>0</v>
      </c>
      <c r="G1794" s="13" t="n">
        <f aca="false">IFERROR(IF(Kalender!A330="",0,J1793*(1-Eingaben!$B$20)),0)</f>
        <v>0</v>
      </c>
      <c r="H1794" s="13" t="n">
        <f aca="false">MIN(G1794,D1794)</f>
        <v>0</v>
      </c>
      <c r="I1794" s="13" t="n">
        <f aca="false">IFERROR(MIN(F1794*Eingaben!$B$19,MAX(0,D1794-H1794)),0)</f>
        <v>0</v>
      </c>
      <c r="J1794" s="13" t="n">
        <f aca="false">IFERROR(MIN(Eingaben!$B$18,MAX(0,F1794-I1794)),0)</f>
        <v>0</v>
      </c>
      <c r="K1794" s="13" t="n">
        <f aca="false">H1794+I1794</f>
        <v>0</v>
      </c>
      <c r="L1794" s="13" t="n">
        <f aca="false">MAX(0,D1794-K1794)</f>
        <v>0</v>
      </c>
      <c r="M1794" s="13" t="n">
        <f aca="false">MAX(0,F1794-I1794-J1794)</f>
        <v>0</v>
      </c>
      <c r="N1794" s="13" t="n">
        <f aca="false">IF(Kalender!A330="",0,J1793-H1794)</f>
        <v>0</v>
      </c>
    </row>
    <row r="1795" customFormat="false" ht="16.4" hidden="false" customHeight="false" outlineLevel="0" collapsed="false">
      <c r="A1795" s="13" t="str">
        <f aca="false">""</f>
        <v/>
      </c>
      <c r="B1795" s="13" t="n">
        <f aca="false">327</f>
        <v>327</v>
      </c>
      <c r="C1795" s="13" t="n">
        <f aca="false">IF(Szenarien!$H$15="OK",(IFERROR(SUMIF(Nutzungsprofile!$B$6:$B$11,"Schulbetrieb",Nutzungsprofile!$G$6:$G$11)*Kalender!C331/SUM(Kalender!$C$5:$C$370),0)+IFERROR(SUMIF(Nutzungsprofile!$B$6:$B$11,"Halle",Nutzungsprofile!$G$6:$G$11)*Kalender!D331/SUM(Kalender!$D$5:$D$370),0)+IFERROR(SUMIF(Nutzungsprofile!$B$6:$B$11,"Individuell",Nutzungsprofile!$G$6:$G$11)*Kalender!E331/SUM(Kalender!$E$5:$E$370),0))*Szenarien!$E$15,0)</f>
        <v>0.9</v>
      </c>
      <c r="D1795" s="13" t="n">
        <f aca="false">IF(Szenarien!$H$15="OK",(IFERROR(SUMIF(Nutzungsprofile!$B$17:$B$22,"Schulbetrieb",Nutzungsprofile!$G$17:$G$22)*Kalender!C331/SUM(Kalender!$C$5:$C$370),0)+IFERROR(SUMIF(Nutzungsprofile!$B$17:$B$22,"Halle",Nutzungsprofile!$G$17:$G$22)*Kalender!D331/SUM(Kalender!$D$5:$D$370),0)+IFERROR(SUMIF(Nutzungsprofile!$B$17:$B$22,"Individuell",Nutzungsprofile!$G$17:$G$22)*Kalender!E331/SUM(Kalender!$E$5:$E$370),0))*Szenarien!$D$15,0)</f>
        <v>4.05</v>
      </c>
      <c r="E1795" s="13" t="n">
        <f aca="false">IFERROR(MIN(C1795,Eingaben!$B$17)*Eingaben!$B$16,0)</f>
        <v>0.855</v>
      </c>
      <c r="F1795" s="13" t="n">
        <f aca="false">IFERROR(E1795*Eingaben!$B$15,0)</f>
        <v>0.7695</v>
      </c>
      <c r="G1795" s="13" t="n">
        <f aca="false">IFERROR(IF(Kalender!A331="",0,J1794*(1-Eingaben!$B$20)),0)</f>
        <v>0</v>
      </c>
      <c r="H1795" s="13" t="n">
        <f aca="false">MIN(G1795,D1795)</f>
        <v>0</v>
      </c>
      <c r="I1795" s="13" t="n">
        <f aca="false">IFERROR(MIN(F1795*Eingaben!$B$19,MAX(0,D1795-H1795)),0)</f>
        <v>0.53865</v>
      </c>
      <c r="J1795" s="13" t="n">
        <f aca="false">IFERROR(MIN(Eingaben!$B$18,MAX(0,F1795-I1795)),0)</f>
        <v>0.23085</v>
      </c>
      <c r="K1795" s="13" t="n">
        <f aca="false">H1795+I1795</f>
        <v>0.53865</v>
      </c>
      <c r="L1795" s="13" t="n">
        <f aca="false">MAX(0,D1795-K1795)</f>
        <v>3.51135</v>
      </c>
      <c r="M1795" s="13" t="n">
        <f aca="false">MAX(0,F1795-I1795-J1795)</f>
        <v>0</v>
      </c>
      <c r="N1795" s="13" t="n">
        <f aca="false">IF(Kalender!A331="",0,J1794-H1795)</f>
        <v>0</v>
      </c>
    </row>
    <row r="1796" customFormat="false" ht="16.4" hidden="false" customHeight="false" outlineLevel="0" collapsed="false">
      <c r="A1796" s="13" t="str">
        <f aca="false">""</f>
        <v/>
      </c>
      <c r="B1796" s="13" t="n">
        <f aca="false">328</f>
        <v>328</v>
      </c>
      <c r="C1796" s="13" t="n">
        <f aca="false">IF(Szenarien!$H$15="OK",(IFERROR(SUMIF(Nutzungsprofile!$B$6:$B$11,"Schulbetrieb",Nutzungsprofile!$G$6:$G$11)*Kalender!C332/SUM(Kalender!$C$5:$C$370),0)+IFERROR(SUMIF(Nutzungsprofile!$B$6:$B$11,"Halle",Nutzungsprofile!$G$6:$G$11)*Kalender!D332/SUM(Kalender!$D$5:$D$370),0)+IFERROR(SUMIF(Nutzungsprofile!$B$6:$B$11,"Individuell",Nutzungsprofile!$G$6:$G$11)*Kalender!E332/SUM(Kalender!$E$5:$E$370),0))*Szenarien!$E$15,0)</f>
        <v>0.9</v>
      </c>
      <c r="D1796" s="13" t="n">
        <f aca="false">IF(Szenarien!$H$15="OK",(IFERROR(SUMIF(Nutzungsprofile!$B$17:$B$22,"Schulbetrieb",Nutzungsprofile!$G$17:$G$22)*Kalender!C332/SUM(Kalender!$C$5:$C$370),0)+IFERROR(SUMIF(Nutzungsprofile!$B$17:$B$22,"Halle",Nutzungsprofile!$G$17:$G$22)*Kalender!D332/SUM(Kalender!$D$5:$D$370),0)+IFERROR(SUMIF(Nutzungsprofile!$B$17:$B$22,"Individuell",Nutzungsprofile!$G$17:$G$22)*Kalender!E332/SUM(Kalender!$E$5:$E$370),0))*Szenarien!$D$15,0)</f>
        <v>4.05</v>
      </c>
      <c r="E1796" s="13" t="n">
        <f aca="false">IFERROR(MIN(C1796,Eingaben!$B$17)*Eingaben!$B$16,0)</f>
        <v>0.855</v>
      </c>
      <c r="F1796" s="13" t="n">
        <f aca="false">IFERROR(E1796*Eingaben!$B$15,0)</f>
        <v>0.7695</v>
      </c>
      <c r="G1796" s="13" t="n">
        <f aca="false">IFERROR(IF(Kalender!A332="",0,J1795*(1-Eingaben!$B$20)),0)</f>
        <v>0.226233</v>
      </c>
      <c r="H1796" s="13" t="n">
        <f aca="false">MIN(G1796,D1796)</f>
        <v>0.226233</v>
      </c>
      <c r="I1796" s="13" t="n">
        <f aca="false">IFERROR(MIN(F1796*Eingaben!$B$19,MAX(0,D1796-H1796)),0)</f>
        <v>0.53865</v>
      </c>
      <c r="J1796" s="13" t="n">
        <f aca="false">IFERROR(MIN(Eingaben!$B$18,MAX(0,F1796-I1796)),0)</f>
        <v>0.23085</v>
      </c>
      <c r="K1796" s="13" t="n">
        <f aca="false">H1796+I1796</f>
        <v>0.764883</v>
      </c>
      <c r="L1796" s="13" t="n">
        <f aca="false">MAX(0,D1796-K1796)</f>
        <v>3.285117</v>
      </c>
      <c r="M1796" s="13" t="n">
        <f aca="false">MAX(0,F1796-I1796-J1796)</f>
        <v>0</v>
      </c>
      <c r="N1796" s="13" t="n">
        <f aca="false">IF(Kalender!A332="",0,J1795-H1796)</f>
        <v>0.00461700000000001</v>
      </c>
    </row>
    <row r="1797" customFormat="false" ht="16.4" hidden="false" customHeight="false" outlineLevel="0" collapsed="false">
      <c r="A1797" s="13" t="str">
        <f aca="false">""</f>
        <v/>
      </c>
      <c r="B1797" s="13" t="n">
        <f aca="false">329</f>
        <v>329</v>
      </c>
      <c r="C1797" s="13" t="n">
        <f aca="false">IF(Szenarien!$H$15="OK",(IFERROR(SUMIF(Nutzungsprofile!$B$6:$B$11,"Schulbetrieb",Nutzungsprofile!$G$6:$G$11)*Kalender!C333/SUM(Kalender!$C$5:$C$370),0)+IFERROR(SUMIF(Nutzungsprofile!$B$6:$B$11,"Halle",Nutzungsprofile!$G$6:$G$11)*Kalender!D333/SUM(Kalender!$D$5:$D$370),0)+IFERROR(SUMIF(Nutzungsprofile!$B$6:$B$11,"Individuell",Nutzungsprofile!$G$6:$G$11)*Kalender!E333/SUM(Kalender!$E$5:$E$370),0))*Szenarien!$E$15,0)</f>
        <v>0</v>
      </c>
      <c r="D1797" s="13" t="n">
        <f aca="false">IF(Szenarien!$H$15="OK",(IFERROR(SUMIF(Nutzungsprofile!$B$17:$B$22,"Schulbetrieb",Nutzungsprofile!$G$17:$G$22)*Kalender!C333/SUM(Kalender!$C$5:$C$370),0)+IFERROR(SUMIF(Nutzungsprofile!$B$17:$B$22,"Halle",Nutzungsprofile!$G$17:$G$22)*Kalender!D333/SUM(Kalender!$D$5:$D$370),0)+IFERROR(SUMIF(Nutzungsprofile!$B$17:$B$22,"Individuell",Nutzungsprofile!$G$17:$G$22)*Kalender!E333/SUM(Kalender!$E$5:$E$370),0))*Szenarien!$D$15,0)</f>
        <v>0</v>
      </c>
      <c r="E1797" s="13" t="n">
        <f aca="false">IFERROR(MIN(C1797,Eingaben!$B$17)*Eingaben!$B$16,0)</f>
        <v>0</v>
      </c>
      <c r="F1797" s="13" t="n">
        <f aca="false">IFERROR(E1797*Eingaben!$B$15,0)</f>
        <v>0</v>
      </c>
      <c r="G1797" s="13" t="n">
        <f aca="false">IFERROR(IF(Kalender!A333="",0,J1796*(1-Eingaben!$B$20)),0)</f>
        <v>0.226233</v>
      </c>
      <c r="H1797" s="13" t="n">
        <f aca="false">MIN(G1797,D1797)</f>
        <v>0</v>
      </c>
      <c r="I1797" s="13" t="n">
        <f aca="false">IFERROR(MIN(F1797*Eingaben!$B$19,MAX(0,D1797-H1797)),0)</f>
        <v>0</v>
      </c>
      <c r="J1797" s="13" t="n">
        <f aca="false">IFERROR(MIN(Eingaben!$B$18,MAX(0,F1797-I1797)),0)</f>
        <v>0</v>
      </c>
      <c r="K1797" s="13" t="n">
        <f aca="false">H1797+I1797</f>
        <v>0</v>
      </c>
      <c r="L1797" s="13" t="n">
        <f aca="false">MAX(0,D1797-K1797)</f>
        <v>0</v>
      </c>
      <c r="M1797" s="13" t="n">
        <f aca="false">MAX(0,F1797-I1797-J1797)</f>
        <v>0</v>
      </c>
      <c r="N1797" s="13" t="n">
        <f aca="false">IF(Kalender!A333="",0,J1796-H1797)</f>
        <v>0.23085</v>
      </c>
    </row>
    <row r="1798" customFormat="false" ht="16.4" hidden="false" customHeight="false" outlineLevel="0" collapsed="false">
      <c r="A1798" s="13" t="str">
        <f aca="false">""</f>
        <v/>
      </c>
      <c r="B1798" s="13" t="n">
        <f aca="false">330</f>
        <v>330</v>
      </c>
      <c r="C1798" s="13" t="n">
        <f aca="false">IF(Szenarien!$H$15="OK",(IFERROR(SUMIF(Nutzungsprofile!$B$6:$B$11,"Schulbetrieb",Nutzungsprofile!$G$6:$G$11)*Kalender!C334/SUM(Kalender!$C$5:$C$370),0)+IFERROR(SUMIF(Nutzungsprofile!$B$6:$B$11,"Halle",Nutzungsprofile!$G$6:$G$11)*Kalender!D334/SUM(Kalender!$D$5:$D$370),0)+IFERROR(SUMIF(Nutzungsprofile!$B$6:$B$11,"Individuell",Nutzungsprofile!$G$6:$G$11)*Kalender!E334/SUM(Kalender!$E$5:$E$370),0))*Szenarien!$E$15,0)</f>
        <v>0</v>
      </c>
      <c r="D1798" s="13" t="n">
        <f aca="false">IF(Szenarien!$H$15="OK",(IFERROR(SUMIF(Nutzungsprofile!$B$17:$B$22,"Schulbetrieb",Nutzungsprofile!$G$17:$G$22)*Kalender!C334/SUM(Kalender!$C$5:$C$370),0)+IFERROR(SUMIF(Nutzungsprofile!$B$17:$B$22,"Halle",Nutzungsprofile!$G$17:$G$22)*Kalender!D334/SUM(Kalender!$D$5:$D$370),0)+IFERROR(SUMIF(Nutzungsprofile!$B$17:$B$22,"Individuell",Nutzungsprofile!$G$17:$G$22)*Kalender!E334/SUM(Kalender!$E$5:$E$370),0))*Szenarien!$D$15,0)</f>
        <v>0</v>
      </c>
      <c r="E1798" s="13" t="n">
        <f aca="false">IFERROR(MIN(C1798,Eingaben!$B$17)*Eingaben!$B$16,0)</f>
        <v>0</v>
      </c>
      <c r="F1798" s="13" t="n">
        <f aca="false">IFERROR(E1798*Eingaben!$B$15,0)</f>
        <v>0</v>
      </c>
      <c r="G1798" s="13" t="n">
        <f aca="false">IFERROR(IF(Kalender!A334="",0,J1797*(1-Eingaben!$B$20)),0)</f>
        <v>0</v>
      </c>
      <c r="H1798" s="13" t="n">
        <f aca="false">MIN(G1798,D1798)</f>
        <v>0</v>
      </c>
      <c r="I1798" s="13" t="n">
        <f aca="false">IFERROR(MIN(F1798*Eingaben!$B$19,MAX(0,D1798-H1798)),0)</f>
        <v>0</v>
      </c>
      <c r="J1798" s="13" t="n">
        <f aca="false">IFERROR(MIN(Eingaben!$B$18,MAX(0,F1798-I1798)),0)</f>
        <v>0</v>
      </c>
      <c r="K1798" s="13" t="n">
        <f aca="false">H1798+I1798</f>
        <v>0</v>
      </c>
      <c r="L1798" s="13" t="n">
        <f aca="false">MAX(0,D1798-K1798)</f>
        <v>0</v>
      </c>
      <c r="M1798" s="13" t="n">
        <f aca="false">MAX(0,F1798-I1798-J1798)</f>
        <v>0</v>
      </c>
      <c r="N1798" s="13" t="n">
        <f aca="false">IF(Kalender!A334="",0,J1797-H1798)</f>
        <v>0</v>
      </c>
    </row>
    <row r="1799" customFormat="false" ht="16.4" hidden="false" customHeight="false" outlineLevel="0" collapsed="false">
      <c r="A1799" s="13" t="str">
        <f aca="false">""</f>
        <v/>
      </c>
      <c r="B1799" s="13" t="n">
        <f aca="false">331</f>
        <v>331</v>
      </c>
      <c r="C1799" s="13" t="n">
        <f aca="false">IF(Szenarien!$H$15="OK",(IFERROR(SUMIF(Nutzungsprofile!$B$6:$B$11,"Schulbetrieb",Nutzungsprofile!$G$6:$G$11)*Kalender!C335/SUM(Kalender!$C$5:$C$370),0)+IFERROR(SUMIF(Nutzungsprofile!$B$6:$B$11,"Halle",Nutzungsprofile!$G$6:$G$11)*Kalender!D335/SUM(Kalender!$D$5:$D$370),0)+IFERROR(SUMIF(Nutzungsprofile!$B$6:$B$11,"Individuell",Nutzungsprofile!$G$6:$G$11)*Kalender!E335/SUM(Kalender!$E$5:$E$370),0))*Szenarien!$E$15,0)</f>
        <v>0</v>
      </c>
      <c r="D1799" s="13" t="n">
        <f aca="false">IF(Szenarien!$H$15="OK",(IFERROR(SUMIF(Nutzungsprofile!$B$17:$B$22,"Schulbetrieb",Nutzungsprofile!$G$17:$G$22)*Kalender!C335/SUM(Kalender!$C$5:$C$370),0)+IFERROR(SUMIF(Nutzungsprofile!$B$17:$B$22,"Halle",Nutzungsprofile!$G$17:$G$22)*Kalender!D335/SUM(Kalender!$D$5:$D$370),0)+IFERROR(SUMIF(Nutzungsprofile!$B$17:$B$22,"Individuell",Nutzungsprofile!$G$17:$G$22)*Kalender!E335/SUM(Kalender!$E$5:$E$370),0))*Szenarien!$D$15,0)</f>
        <v>0</v>
      </c>
      <c r="E1799" s="13" t="n">
        <f aca="false">IFERROR(MIN(C1799,Eingaben!$B$17)*Eingaben!$B$16,0)</f>
        <v>0</v>
      </c>
      <c r="F1799" s="13" t="n">
        <f aca="false">IFERROR(E1799*Eingaben!$B$15,0)</f>
        <v>0</v>
      </c>
      <c r="G1799" s="13" t="n">
        <f aca="false">IFERROR(IF(Kalender!A335="",0,J1798*(1-Eingaben!$B$20)),0)</f>
        <v>0</v>
      </c>
      <c r="H1799" s="13" t="n">
        <f aca="false">MIN(G1799,D1799)</f>
        <v>0</v>
      </c>
      <c r="I1799" s="13" t="n">
        <f aca="false">IFERROR(MIN(F1799*Eingaben!$B$19,MAX(0,D1799-H1799)),0)</f>
        <v>0</v>
      </c>
      <c r="J1799" s="13" t="n">
        <f aca="false">IFERROR(MIN(Eingaben!$B$18,MAX(0,F1799-I1799)),0)</f>
        <v>0</v>
      </c>
      <c r="K1799" s="13" t="n">
        <f aca="false">H1799+I1799</f>
        <v>0</v>
      </c>
      <c r="L1799" s="13" t="n">
        <f aca="false">MAX(0,D1799-K1799)</f>
        <v>0</v>
      </c>
      <c r="M1799" s="13" t="n">
        <f aca="false">MAX(0,F1799-I1799-J1799)</f>
        <v>0</v>
      </c>
      <c r="N1799" s="13" t="n">
        <f aca="false">IF(Kalender!A335="",0,J1798-H1799)</f>
        <v>0</v>
      </c>
    </row>
    <row r="1800" customFormat="false" ht="16.4" hidden="false" customHeight="false" outlineLevel="0" collapsed="false">
      <c r="A1800" s="13" t="str">
        <f aca="false">""</f>
        <v/>
      </c>
      <c r="B1800" s="13" t="n">
        <f aca="false">332</f>
        <v>332</v>
      </c>
      <c r="C1800" s="13" t="n">
        <f aca="false">IF(Szenarien!$H$15="OK",(IFERROR(SUMIF(Nutzungsprofile!$B$6:$B$11,"Schulbetrieb",Nutzungsprofile!$G$6:$G$11)*Kalender!C336/SUM(Kalender!$C$5:$C$370),0)+IFERROR(SUMIF(Nutzungsprofile!$B$6:$B$11,"Halle",Nutzungsprofile!$G$6:$G$11)*Kalender!D336/SUM(Kalender!$D$5:$D$370),0)+IFERROR(SUMIF(Nutzungsprofile!$B$6:$B$11,"Individuell",Nutzungsprofile!$G$6:$G$11)*Kalender!E336/SUM(Kalender!$E$5:$E$370),0))*Szenarien!$E$15,0)</f>
        <v>0</v>
      </c>
      <c r="D1800" s="13" t="n">
        <f aca="false">IF(Szenarien!$H$15="OK",(IFERROR(SUMIF(Nutzungsprofile!$B$17:$B$22,"Schulbetrieb",Nutzungsprofile!$G$17:$G$22)*Kalender!C336/SUM(Kalender!$C$5:$C$370),0)+IFERROR(SUMIF(Nutzungsprofile!$B$17:$B$22,"Halle",Nutzungsprofile!$G$17:$G$22)*Kalender!D336/SUM(Kalender!$D$5:$D$370),0)+IFERROR(SUMIF(Nutzungsprofile!$B$17:$B$22,"Individuell",Nutzungsprofile!$G$17:$G$22)*Kalender!E336/SUM(Kalender!$E$5:$E$370),0))*Szenarien!$D$15,0)</f>
        <v>0</v>
      </c>
      <c r="E1800" s="13" t="n">
        <f aca="false">IFERROR(MIN(C1800,Eingaben!$B$17)*Eingaben!$B$16,0)</f>
        <v>0</v>
      </c>
      <c r="F1800" s="13" t="n">
        <f aca="false">IFERROR(E1800*Eingaben!$B$15,0)</f>
        <v>0</v>
      </c>
      <c r="G1800" s="13" t="n">
        <f aca="false">IFERROR(IF(Kalender!A336="",0,J1799*(1-Eingaben!$B$20)),0)</f>
        <v>0</v>
      </c>
      <c r="H1800" s="13" t="n">
        <f aca="false">MIN(G1800,D1800)</f>
        <v>0</v>
      </c>
      <c r="I1800" s="13" t="n">
        <f aca="false">IFERROR(MIN(F1800*Eingaben!$B$19,MAX(0,D1800-H1800)),0)</f>
        <v>0</v>
      </c>
      <c r="J1800" s="13" t="n">
        <f aca="false">IFERROR(MIN(Eingaben!$B$18,MAX(0,F1800-I1800)),0)</f>
        <v>0</v>
      </c>
      <c r="K1800" s="13" t="n">
        <f aca="false">H1800+I1800</f>
        <v>0</v>
      </c>
      <c r="L1800" s="13" t="n">
        <f aca="false">MAX(0,D1800-K1800)</f>
        <v>0</v>
      </c>
      <c r="M1800" s="13" t="n">
        <f aca="false">MAX(0,F1800-I1800-J1800)</f>
        <v>0</v>
      </c>
      <c r="N1800" s="13" t="n">
        <f aca="false">IF(Kalender!A336="",0,J1799-H1800)</f>
        <v>0</v>
      </c>
    </row>
    <row r="1801" customFormat="false" ht="16.4" hidden="false" customHeight="false" outlineLevel="0" collapsed="false">
      <c r="A1801" s="13" t="str">
        <f aca="false">""</f>
        <v/>
      </c>
      <c r="B1801" s="13" t="n">
        <f aca="false">333</f>
        <v>333</v>
      </c>
      <c r="C1801" s="13" t="n">
        <f aca="false">IF(Szenarien!$H$15="OK",(IFERROR(SUMIF(Nutzungsprofile!$B$6:$B$11,"Schulbetrieb",Nutzungsprofile!$G$6:$G$11)*Kalender!C337/SUM(Kalender!$C$5:$C$370),0)+IFERROR(SUMIF(Nutzungsprofile!$B$6:$B$11,"Halle",Nutzungsprofile!$G$6:$G$11)*Kalender!D337/SUM(Kalender!$D$5:$D$370),0)+IFERROR(SUMIF(Nutzungsprofile!$B$6:$B$11,"Individuell",Nutzungsprofile!$G$6:$G$11)*Kalender!E337/SUM(Kalender!$E$5:$E$370),0))*Szenarien!$E$15,0)</f>
        <v>0</v>
      </c>
      <c r="D1801" s="13" t="n">
        <f aca="false">IF(Szenarien!$H$15="OK",(IFERROR(SUMIF(Nutzungsprofile!$B$17:$B$22,"Schulbetrieb",Nutzungsprofile!$G$17:$G$22)*Kalender!C337/SUM(Kalender!$C$5:$C$370),0)+IFERROR(SUMIF(Nutzungsprofile!$B$17:$B$22,"Halle",Nutzungsprofile!$G$17:$G$22)*Kalender!D337/SUM(Kalender!$D$5:$D$370),0)+IFERROR(SUMIF(Nutzungsprofile!$B$17:$B$22,"Individuell",Nutzungsprofile!$G$17:$G$22)*Kalender!E337/SUM(Kalender!$E$5:$E$370),0))*Szenarien!$D$15,0)</f>
        <v>0</v>
      </c>
      <c r="E1801" s="13" t="n">
        <f aca="false">IFERROR(MIN(C1801,Eingaben!$B$17)*Eingaben!$B$16,0)</f>
        <v>0</v>
      </c>
      <c r="F1801" s="13" t="n">
        <f aca="false">IFERROR(E1801*Eingaben!$B$15,0)</f>
        <v>0</v>
      </c>
      <c r="G1801" s="13" t="n">
        <f aca="false">IFERROR(IF(Kalender!A337="",0,J1800*(1-Eingaben!$B$20)),0)</f>
        <v>0</v>
      </c>
      <c r="H1801" s="13" t="n">
        <f aca="false">MIN(G1801,D1801)</f>
        <v>0</v>
      </c>
      <c r="I1801" s="13" t="n">
        <f aca="false">IFERROR(MIN(F1801*Eingaben!$B$19,MAX(0,D1801-H1801)),0)</f>
        <v>0</v>
      </c>
      <c r="J1801" s="13" t="n">
        <f aca="false">IFERROR(MIN(Eingaben!$B$18,MAX(0,F1801-I1801)),0)</f>
        <v>0</v>
      </c>
      <c r="K1801" s="13" t="n">
        <f aca="false">H1801+I1801</f>
        <v>0</v>
      </c>
      <c r="L1801" s="13" t="n">
        <f aca="false">MAX(0,D1801-K1801)</f>
        <v>0</v>
      </c>
      <c r="M1801" s="13" t="n">
        <f aca="false">MAX(0,F1801-I1801-J1801)</f>
        <v>0</v>
      </c>
      <c r="N1801" s="13" t="n">
        <f aca="false">IF(Kalender!A337="",0,J1800-H1801)</f>
        <v>0</v>
      </c>
    </row>
    <row r="1802" customFormat="false" ht="16.4" hidden="false" customHeight="false" outlineLevel="0" collapsed="false">
      <c r="A1802" s="13" t="str">
        <f aca="false">""</f>
        <v/>
      </c>
      <c r="B1802" s="13" t="n">
        <f aca="false">334</f>
        <v>334</v>
      </c>
      <c r="C1802" s="13" t="n">
        <f aca="false">IF(Szenarien!$H$15="OK",(IFERROR(SUMIF(Nutzungsprofile!$B$6:$B$11,"Schulbetrieb",Nutzungsprofile!$G$6:$G$11)*Kalender!C338/SUM(Kalender!$C$5:$C$370),0)+IFERROR(SUMIF(Nutzungsprofile!$B$6:$B$11,"Halle",Nutzungsprofile!$G$6:$G$11)*Kalender!D338/SUM(Kalender!$D$5:$D$370),0)+IFERROR(SUMIF(Nutzungsprofile!$B$6:$B$11,"Individuell",Nutzungsprofile!$G$6:$G$11)*Kalender!E338/SUM(Kalender!$E$5:$E$370),0))*Szenarien!$E$15,0)</f>
        <v>0</v>
      </c>
      <c r="D1802" s="13" t="n">
        <f aca="false">IF(Szenarien!$H$15="OK",(IFERROR(SUMIF(Nutzungsprofile!$B$17:$B$22,"Schulbetrieb",Nutzungsprofile!$G$17:$G$22)*Kalender!C338/SUM(Kalender!$C$5:$C$370),0)+IFERROR(SUMIF(Nutzungsprofile!$B$17:$B$22,"Halle",Nutzungsprofile!$G$17:$G$22)*Kalender!D338/SUM(Kalender!$D$5:$D$370),0)+IFERROR(SUMIF(Nutzungsprofile!$B$17:$B$22,"Individuell",Nutzungsprofile!$G$17:$G$22)*Kalender!E338/SUM(Kalender!$E$5:$E$370),0))*Szenarien!$D$15,0)</f>
        <v>0</v>
      </c>
      <c r="E1802" s="13" t="n">
        <f aca="false">IFERROR(MIN(C1802,Eingaben!$B$17)*Eingaben!$B$16,0)</f>
        <v>0</v>
      </c>
      <c r="F1802" s="13" t="n">
        <f aca="false">IFERROR(E1802*Eingaben!$B$15,0)</f>
        <v>0</v>
      </c>
      <c r="G1802" s="13" t="n">
        <f aca="false">IFERROR(IF(Kalender!A338="",0,J1801*(1-Eingaben!$B$20)),0)</f>
        <v>0</v>
      </c>
      <c r="H1802" s="13" t="n">
        <f aca="false">MIN(G1802,D1802)</f>
        <v>0</v>
      </c>
      <c r="I1802" s="13" t="n">
        <f aca="false">IFERROR(MIN(F1802*Eingaben!$B$19,MAX(0,D1802-H1802)),0)</f>
        <v>0</v>
      </c>
      <c r="J1802" s="13" t="n">
        <f aca="false">IFERROR(MIN(Eingaben!$B$18,MAX(0,F1802-I1802)),0)</f>
        <v>0</v>
      </c>
      <c r="K1802" s="13" t="n">
        <f aca="false">H1802+I1802</f>
        <v>0</v>
      </c>
      <c r="L1802" s="13" t="n">
        <f aca="false">MAX(0,D1802-K1802)</f>
        <v>0</v>
      </c>
      <c r="M1802" s="13" t="n">
        <f aca="false">MAX(0,F1802-I1802-J1802)</f>
        <v>0</v>
      </c>
      <c r="N1802" s="13" t="n">
        <f aca="false">IF(Kalender!A338="",0,J1801-H1802)</f>
        <v>0</v>
      </c>
    </row>
    <row r="1803" customFormat="false" ht="16.4" hidden="false" customHeight="false" outlineLevel="0" collapsed="false">
      <c r="A1803" s="13" t="str">
        <f aca="false">""</f>
        <v/>
      </c>
      <c r="B1803" s="13" t="n">
        <f aca="false">335</f>
        <v>335</v>
      </c>
      <c r="C1803" s="13" t="n">
        <f aca="false">IF(Szenarien!$H$15="OK",(IFERROR(SUMIF(Nutzungsprofile!$B$6:$B$11,"Schulbetrieb",Nutzungsprofile!$G$6:$G$11)*Kalender!C339/SUM(Kalender!$C$5:$C$370),0)+IFERROR(SUMIF(Nutzungsprofile!$B$6:$B$11,"Halle",Nutzungsprofile!$G$6:$G$11)*Kalender!D339/SUM(Kalender!$D$5:$D$370),0)+IFERROR(SUMIF(Nutzungsprofile!$B$6:$B$11,"Individuell",Nutzungsprofile!$G$6:$G$11)*Kalender!E339/SUM(Kalender!$E$5:$E$370),0))*Szenarien!$E$15,0)</f>
        <v>0</v>
      </c>
      <c r="D1803" s="13" t="n">
        <f aca="false">IF(Szenarien!$H$15="OK",(IFERROR(SUMIF(Nutzungsprofile!$B$17:$B$22,"Schulbetrieb",Nutzungsprofile!$G$17:$G$22)*Kalender!C339/SUM(Kalender!$C$5:$C$370),0)+IFERROR(SUMIF(Nutzungsprofile!$B$17:$B$22,"Halle",Nutzungsprofile!$G$17:$G$22)*Kalender!D339/SUM(Kalender!$D$5:$D$370),0)+IFERROR(SUMIF(Nutzungsprofile!$B$17:$B$22,"Individuell",Nutzungsprofile!$G$17:$G$22)*Kalender!E339/SUM(Kalender!$E$5:$E$370),0))*Szenarien!$D$15,0)</f>
        <v>0</v>
      </c>
      <c r="E1803" s="13" t="n">
        <f aca="false">IFERROR(MIN(C1803,Eingaben!$B$17)*Eingaben!$B$16,0)</f>
        <v>0</v>
      </c>
      <c r="F1803" s="13" t="n">
        <f aca="false">IFERROR(E1803*Eingaben!$B$15,0)</f>
        <v>0</v>
      </c>
      <c r="G1803" s="13" t="n">
        <f aca="false">IFERROR(IF(Kalender!A339="",0,J1802*(1-Eingaben!$B$20)),0)</f>
        <v>0</v>
      </c>
      <c r="H1803" s="13" t="n">
        <f aca="false">MIN(G1803,D1803)</f>
        <v>0</v>
      </c>
      <c r="I1803" s="13" t="n">
        <f aca="false">IFERROR(MIN(F1803*Eingaben!$B$19,MAX(0,D1803-H1803)),0)</f>
        <v>0</v>
      </c>
      <c r="J1803" s="13" t="n">
        <f aca="false">IFERROR(MIN(Eingaben!$B$18,MAX(0,F1803-I1803)),0)</f>
        <v>0</v>
      </c>
      <c r="K1803" s="13" t="n">
        <f aca="false">H1803+I1803</f>
        <v>0</v>
      </c>
      <c r="L1803" s="13" t="n">
        <f aca="false">MAX(0,D1803-K1803)</f>
        <v>0</v>
      </c>
      <c r="M1803" s="13" t="n">
        <f aca="false">MAX(0,F1803-I1803-J1803)</f>
        <v>0</v>
      </c>
      <c r="N1803" s="13" t="n">
        <f aca="false">IF(Kalender!A339="",0,J1802-H1803)</f>
        <v>0</v>
      </c>
    </row>
    <row r="1804" customFormat="false" ht="16.4" hidden="false" customHeight="false" outlineLevel="0" collapsed="false">
      <c r="A1804" s="13" t="str">
        <f aca="false">""</f>
        <v/>
      </c>
      <c r="B1804" s="13" t="n">
        <f aca="false">336</f>
        <v>336</v>
      </c>
      <c r="C1804" s="13" t="n">
        <f aca="false">IF(Szenarien!$H$15="OK",(IFERROR(SUMIF(Nutzungsprofile!$B$6:$B$11,"Schulbetrieb",Nutzungsprofile!$G$6:$G$11)*Kalender!C340/SUM(Kalender!$C$5:$C$370),0)+IFERROR(SUMIF(Nutzungsprofile!$B$6:$B$11,"Halle",Nutzungsprofile!$G$6:$G$11)*Kalender!D340/SUM(Kalender!$D$5:$D$370),0)+IFERROR(SUMIF(Nutzungsprofile!$B$6:$B$11,"Individuell",Nutzungsprofile!$G$6:$G$11)*Kalender!E340/SUM(Kalender!$E$5:$E$370),0))*Szenarien!$E$15,0)</f>
        <v>0</v>
      </c>
      <c r="D1804" s="13" t="n">
        <f aca="false">IF(Szenarien!$H$15="OK",(IFERROR(SUMIF(Nutzungsprofile!$B$17:$B$22,"Schulbetrieb",Nutzungsprofile!$G$17:$G$22)*Kalender!C340/SUM(Kalender!$C$5:$C$370),0)+IFERROR(SUMIF(Nutzungsprofile!$B$17:$B$22,"Halle",Nutzungsprofile!$G$17:$G$22)*Kalender!D340/SUM(Kalender!$D$5:$D$370),0)+IFERROR(SUMIF(Nutzungsprofile!$B$17:$B$22,"Individuell",Nutzungsprofile!$G$17:$G$22)*Kalender!E340/SUM(Kalender!$E$5:$E$370),0))*Szenarien!$D$15,0)</f>
        <v>0</v>
      </c>
      <c r="E1804" s="13" t="n">
        <f aca="false">IFERROR(MIN(C1804,Eingaben!$B$17)*Eingaben!$B$16,0)</f>
        <v>0</v>
      </c>
      <c r="F1804" s="13" t="n">
        <f aca="false">IFERROR(E1804*Eingaben!$B$15,0)</f>
        <v>0</v>
      </c>
      <c r="G1804" s="13" t="n">
        <f aca="false">IFERROR(IF(Kalender!A340="",0,J1803*(1-Eingaben!$B$20)),0)</f>
        <v>0</v>
      </c>
      <c r="H1804" s="13" t="n">
        <f aca="false">MIN(G1804,D1804)</f>
        <v>0</v>
      </c>
      <c r="I1804" s="13" t="n">
        <f aca="false">IFERROR(MIN(F1804*Eingaben!$B$19,MAX(0,D1804-H1804)),0)</f>
        <v>0</v>
      </c>
      <c r="J1804" s="13" t="n">
        <f aca="false">IFERROR(MIN(Eingaben!$B$18,MAX(0,F1804-I1804)),0)</f>
        <v>0</v>
      </c>
      <c r="K1804" s="13" t="n">
        <f aca="false">H1804+I1804</f>
        <v>0</v>
      </c>
      <c r="L1804" s="13" t="n">
        <f aca="false">MAX(0,D1804-K1804)</f>
        <v>0</v>
      </c>
      <c r="M1804" s="13" t="n">
        <f aca="false">MAX(0,F1804-I1804-J1804)</f>
        <v>0</v>
      </c>
      <c r="N1804" s="13" t="n">
        <f aca="false">IF(Kalender!A340="",0,J1803-H1804)</f>
        <v>0</v>
      </c>
    </row>
    <row r="1805" customFormat="false" ht="16.4" hidden="false" customHeight="false" outlineLevel="0" collapsed="false">
      <c r="A1805" s="13" t="str">
        <f aca="false">""</f>
        <v/>
      </c>
      <c r="B1805" s="13" t="n">
        <f aca="false">337</f>
        <v>337</v>
      </c>
      <c r="C1805" s="13" t="n">
        <f aca="false">IF(Szenarien!$H$15="OK",(IFERROR(SUMIF(Nutzungsprofile!$B$6:$B$11,"Schulbetrieb",Nutzungsprofile!$G$6:$G$11)*Kalender!C341/SUM(Kalender!$C$5:$C$370),0)+IFERROR(SUMIF(Nutzungsprofile!$B$6:$B$11,"Halle",Nutzungsprofile!$G$6:$G$11)*Kalender!D341/SUM(Kalender!$D$5:$D$370),0)+IFERROR(SUMIF(Nutzungsprofile!$B$6:$B$11,"Individuell",Nutzungsprofile!$G$6:$G$11)*Kalender!E341/SUM(Kalender!$E$5:$E$370),0))*Szenarien!$E$15,0)</f>
        <v>0</v>
      </c>
      <c r="D1805" s="13" t="n">
        <f aca="false">IF(Szenarien!$H$15="OK",(IFERROR(SUMIF(Nutzungsprofile!$B$17:$B$22,"Schulbetrieb",Nutzungsprofile!$G$17:$G$22)*Kalender!C341/SUM(Kalender!$C$5:$C$370),0)+IFERROR(SUMIF(Nutzungsprofile!$B$17:$B$22,"Halle",Nutzungsprofile!$G$17:$G$22)*Kalender!D341/SUM(Kalender!$D$5:$D$370),0)+IFERROR(SUMIF(Nutzungsprofile!$B$17:$B$22,"Individuell",Nutzungsprofile!$G$17:$G$22)*Kalender!E341/SUM(Kalender!$E$5:$E$370),0))*Szenarien!$D$15,0)</f>
        <v>0</v>
      </c>
      <c r="E1805" s="13" t="n">
        <f aca="false">IFERROR(MIN(C1805,Eingaben!$B$17)*Eingaben!$B$16,0)</f>
        <v>0</v>
      </c>
      <c r="F1805" s="13" t="n">
        <f aca="false">IFERROR(E1805*Eingaben!$B$15,0)</f>
        <v>0</v>
      </c>
      <c r="G1805" s="13" t="n">
        <f aca="false">IFERROR(IF(Kalender!A341="",0,J1804*(1-Eingaben!$B$20)),0)</f>
        <v>0</v>
      </c>
      <c r="H1805" s="13" t="n">
        <f aca="false">MIN(G1805,D1805)</f>
        <v>0</v>
      </c>
      <c r="I1805" s="13" t="n">
        <f aca="false">IFERROR(MIN(F1805*Eingaben!$B$19,MAX(0,D1805-H1805)),0)</f>
        <v>0</v>
      </c>
      <c r="J1805" s="13" t="n">
        <f aca="false">IFERROR(MIN(Eingaben!$B$18,MAX(0,F1805-I1805)),0)</f>
        <v>0</v>
      </c>
      <c r="K1805" s="13" t="n">
        <f aca="false">H1805+I1805</f>
        <v>0</v>
      </c>
      <c r="L1805" s="13" t="n">
        <f aca="false">MAX(0,D1805-K1805)</f>
        <v>0</v>
      </c>
      <c r="M1805" s="13" t="n">
        <f aca="false">MAX(0,F1805-I1805-J1805)</f>
        <v>0</v>
      </c>
      <c r="N1805" s="13" t="n">
        <f aca="false">IF(Kalender!A341="",0,J1804-H1805)</f>
        <v>0</v>
      </c>
    </row>
    <row r="1806" customFormat="false" ht="16.4" hidden="false" customHeight="false" outlineLevel="0" collapsed="false">
      <c r="A1806" s="13" t="str">
        <f aca="false">""</f>
        <v/>
      </c>
      <c r="B1806" s="13" t="n">
        <f aca="false">338</f>
        <v>338</v>
      </c>
      <c r="C1806" s="13" t="n">
        <f aca="false">IF(Szenarien!$H$15="OK",(IFERROR(SUMIF(Nutzungsprofile!$B$6:$B$11,"Schulbetrieb",Nutzungsprofile!$G$6:$G$11)*Kalender!C342/SUM(Kalender!$C$5:$C$370),0)+IFERROR(SUMIF(Nutzungsprofile!$B$6:$B$11,"Halle",Nutzungsprofile!$G$6:$G$11)*Kalender!D342/SUM(Kalender!$D$5:$D$370),0)+IFERROR(SUMIF(Nutzungsprofile!$B$6:$B$11,"Individuell",Nutzungsprofile!$G$6:$G$11)*Kalender!E342/SUM(Kalender!$E$5:$E$370),0))*Szenarien!$E$15,0)</f>
        <v>0</v>
      </c>
      <c r="D1806" s="13" t="n">
        <f aca="false">IF(Szenarien!$H$15="OK",(IFERROR(SUMIF(Nutzungsprofile!$B$17:$B$22,"Schulbetrieb",Nutzungsprofile!$G$17:$G$22)*Kalender!C342/SUM(Kalender!$C$5:$C$370),0)+IFERROR(SUMIF(Nutzungsprofile!$B$17:$B$22,"Halle",Nutzungsprofile!$G$17:$G$22)*Kalender!D342/SUM(Kalender!$D$5:$D$370),0)+IFERROR(SUMIF(Nutzungsprofile!$B$17:$B$22,"Individuell",Nutzungsprofile!$G$17:$G$22)*Kalender!E342/SUM(Kalender!$E$5:$E$370),0))*Szenarien!$D$15,0)</f>
        <v>0</v>
      </c>
      <c r="E1806" s="13" t="n">
        <f aca="false">IFERROR(MIN(C1806,Eingaben!$B$17)*Eingaben!$B$16,0)</f>
        <v>0</v>
      </c>
      <c r="F1806" s="13" t="n">
        <f aca="false">IFERROR(E1806*Eingaben!$B$15,0)</f>
        <v>0</v>
      </c>
      <c r="G1806" s="13" t="n">
        <f aca="false">IFERROR(IF(Kalender!A342="",0,J1805*(1-Eingaben!$B$20)),0)</f>
        <v>0</v>
      </c>
      <c r="H1806" s="13" t="n">
        <f aca="false">MIN(G1806,D1806)</f>
        <v>0</v>
      </c>
      <c r="I1806" s="13" t="n">
        <f aca="false">IFERROR(MIN(F1806*Eingaben!$B$19,MAX(0,D1806-H1806)),0)</f>
        <v>0</v>
      </c>
      <c r="J1806" s="13" t="n">
        <f aca="false">IFERROR(MIN(Eingaben!$B$18,MAX(0,F1806-I1806)),0)</f>
        <v>0</v>
      </c>
      <c r="K1806" s="13" t="n">
        <f aca="false">H1806+I1806</f>
        <v>0</v>
      </c>
      <c r="L1806" s="13" t="n">
        <f aca="false">MAX(0,D1806-K1806)</f>
        <v>0</v>
      </c>
      <c r="M1806" s="13" t="n">
        <f aca="false">MAX(0,F1806-I1806-J1806)</f>
        <v>0</v>
      </c>
      <c r="N1806" s="13" t="n">
        <f aca="false">IF(Kalender!A342="",0,J1805-H1806)</f>
        <v>0</v>
      </c>
    </row>
    <row r="1807" customFormat="false" ht="16.4" hidden="false" customHeight="false" outlineLevel="0" collapsed="false">
      <c r="A1807" s="13" t="str">
        <f aca="false">""</f>
        <v/>
      </c>
      <c r="B1807" s="13" t="n">
        <f aca="false">339</f>
        <v>339</v>
      </c>
      <c r="C1807" s="13" t="n">
        <f aca="false">IF(Szenarien!$H$15="OK",(IFERROR(SUMIF(Nutzungsprofile!$B$6:$B$11,"Schulbetrieb",Nutzungsprofile!$G$6:$G$11)*Kalender!C343/SUM(Kalender!$C$5:$C$370),0)+IFERROR(SUMIF(Nutzungsprofile!$B$6:$B$11,"Halle",Nutzungsprofile!$G$6:$G$11)*Kalender!D343/SUM(Kalender!$D$5:$D$370),0)+IFERROR(SUMIF(Nutzungsprofile!$B$6:$B$11,"Individuell",Nutzungsprofile!$G$6:$G$11)*Kalender!E343/SUM(Kalender!$E$5:$E$370),0))*Szenarien!$E$15,0)</f>
        <v>0</v>
      </c>
      <c r="D1807" s="13" t="n">
        <f aca="false">IF(Szenarien!$H$15="OK",(IFERROR(SUMIF(Nutzungsprofile!$B$17:$B$22,"Schulbetrieb",Nutzungsprofile!$G$17:$G$22)*Kalender!C343/SUM(Kalender!$C$5:$C$370),0)+IFERROR(SUMIF(Nutzungsprofile!$B$17:$B$22,"Halle",Nutzungsprofile!$G$17:$G$22)*Kalender!D343/SUM(Kalender!$D$5:$D$370),0)+IFERROR(SUMIF(Nutzungsprofile!$B$17:$B$22,"Individuell",Nutzungsprofile!$G$17:$G$22)*Kalender!E343/SUM(Kalender!$E$5:$E$370),0))*Szenarien!$D$15,0)</f>
        <v>0</v>
      </c>
      <c r="E1807" s="13" t="n">
        <f aca="false">IFERROR(MIN(C1807,Eingaben!$B$17)*Eingaben!$B$16,0)</f>
        <v>0</v>
      </c>
      <c r="F1807" s="13" t="n">
        <f aca="false">IFERROR(E1807*Eingaben!$B$15,0)</f>
        <v>0</v>
      </c>
      <c r="G1807" s="13" t="n">
        <f aca="false">IFERROR(IF(Kalender!A343="",0,J1806*(1-Eingaben!$B$20)),0)</f>
        <v>0</v>
      </c>
      <c r="H1807" s="13" t="n">
        <f aca="false">MIN(G1807,D1807)</f>
        <v>0</v>
      </c>
      <c r="I1807" s="13" t="n">
        <f aca="false">IFERROR(MIN(F1807*Eingaben!$B$19,MAX(0,D1807-H1807)),0)</f>
        <v>0</v>
      </c>
      <c r="J1807" s="13" t="n">
        <f aca="false">IFERROR(MIN(Eingaben!$B$18,MAX(0,F1807-I1807)),0)</f>
        <v>0</v>
      </c>
      <c r="K1807" s="13" t="n">
        <f aca="false">H1807+I1807</f>
        <v>0</v>
      </c>
      <c r="L1807" s="13" t="n">
        <f aca="false">MAX(0,D1807-K1807)</f>
        <v>0</v>
      </c>
      <c r="M1807" s="13" t="n">
        <f aca="false">MAX(0,F1807-I1807-J1807)</f>
        <v>0</v>
      </c>
      <c r="N1807" s="13" t="n">
        <f aca="false">IF(Kalender!A343="",0,J1806-H1807)</f>
        <v>0</v>
      </c>
    </row>
    <row r="1808" customFormat="false" ht="16.4" hidden="false" customHeight="false" outlineLevel="0" collapsed="false">
      <c r="A1808" s="13" t="str">
        <f aca="false">""</f>
        <v/>
      </c>
      <c r="B1808" s="13" t="n">
        <f aca="false">340</f>
        <v>340</v>
      </c>
      <c r="C1808" s="13" t="n">
        <f aca="false">IF(Szenarien!$H$15="OK",(IFERROR(SUMIF(Nutzungsprofile!$B$6:$B$11,"Schulbetrieb",Nutzungsprofile!$G$6:$G$11)*Kalender!C344/SUM(Kalender!$C$5:$C$370),0)+IFERROR(SUMIF(Nutzungsprofile!$B$6:$B$11,"Halle",Nutzungsprofile!$G$6:$G$11)*Kalender!D344/SUM(Kalender!$D$5:$D$370),0)+IFERROR(SUMIF(Nutzungsprofile!$B$6:$B$11,"Individuell",Nutzungsprofile!$G$6:$G$11)*Kalender!E344/SUM(Kalender!$E$5:$E$370),0))*Szenarien!$E$15,0)</f>
        <v>0</v>
      </c>
      <c r="D1808" s="13" t="n">
        <f aca="false">IF(Szenarien!$H$15="OK",(IFERROR(SUMIF(Nutzungsprofile!$B$17:$B$22,"Schulbetrieb",Nutzungsprofile!$G$17:$G$22)*Kalender!C344/SUM(Kalender!$C$5:$C$370),0)+IFERROR(SUMIF(Nutzungsprofile!$B$17:$B$22,"Halle",Nutzungsprofile!$G$17:$G$22)*Kalender!D344/SUM(Kalender!$D$5:$D$370),0)+IFERROR(SUMIF(Nutzungsprofile!$B$17:$B$22,"Individuell",Nutzungsprofile!$G$17:$G$22)*Kalender!E344/SUM(Kalender!$E$5:$E$370),0))*Szenarien!$D$15,0)</f>
        <v>0</v>
      </c>
      <c r="E1808" s="13" t="n">
        <f aca="false">IFERROR(MIN(C1808,Eingaben!$B$17)*Eingaben!$B$16,0)</f>
        <v>0</v>
      </c>
      <c r="F1808" s="13" t="n">
        <f aca="false">IFERROR(E1808*Eingaben!$B$15,0)</f>
        <v>0</v>
      </c>
      <c r="G1808" s="13" t="n">
        <f aca="false">IFERROR(IF(Kalender!A344="",0,J1807*(1-Eingaben!$B$20)),0)</f>
        <v>0</v>
      </c>
      <c r="H1808" s="13" t="n">
        <f aca="false">MIN(G1808,D1808)</f>
        <v>0</v>
      </c>
      <c r="I1808" s="13" t="n">
        <f aca="false">IFERROR(MIN(F1808*Eingaben!$B$19,MAX(0,D1808-H1808)),0)</f>
        <v>0</v>
      </c>
      <c r="J1808" s="13" t="n">
        <f aca="false">IFERROR(MIN(Eingaben!$B$18,MAX(0,F1808-I1808)),0)</f>
        <v>0</v>
      </c>
      <c r="K1808" s="13" t="n">
        <f aca="false">H1808+I1808</f>
        <v>0</v>
      </c>
      <c r="L1808" s="13" t="n">
        <f aca="false">MAX(0,D1808-K1808)</f>
        <v>0</v>
      </c>
      <c r="M1808" s="13" t="n">
        <f aca="false">MAX(0,F1808-I1808-J1808)</f>
        <v>0</v>
      </c>
      <c r="N1808" s="13" t="n">
        <f aca="false">IF(Kalender!A344="",0,J1807-H1808)</f>
        <v>0</v>
      </c>
    </row>
    <row r="1809" customFormat="false" ht="16.4" hidden="false" customHeight="false" outlineLevel="0" collapsed="false">
      <c r="A1809" s="13" t="str">
        <f aca="false">""</f>
        <v/>
      </c>
      <c r="B1809" s="13" t="n">
        <f aca="false">341</f>
        <v>341</v>
      </c>
      <c r="C1809" s="13" t="n">
        <f aca="false">IF(Szenarien!$H$15="OK",(IFERROR(SUMIF(Nutzungsprofile!$B$6:$B$11,"Schulbetrieb",Nutzungsprofile!$G$6:$G$11)*Kalender!C345/SUM(Kalender!$C$5:$C$370),0)+IFERROR(SUMIF(Nutzungsprofile!$B$6:$B$11,"Halle",Nutzungsprofile!$G$6:$G$11)*Kalender!D345/SUM(Kalender!$D$5:$D$370),0)+IFERROR(SUMIF(Nutzungsprofile!$B$6:$B$11,"Individuell",Nutzungsprofile!$G$6:$G$11)*Kalender!E345/SUM(Kalender!$E$5:$E$370),0))*Szenarien!$E$15,0)</f>
        <v>0</v>
      </c>
      <c r="D1809" s="13" t="n">
        <f aca="false">IF(Szenarien!$H$15="OK",(IFERROR(SUMIF(Nutzungsprofile!$B$17:$B$22,"Schulbetrieb",Nutzungsprofile!$G$17:$G$22)*Kalender!C345/SUM(Kalender!$C$5:$C$370),0)+IFERROR(SUMIF(Nutzungsprofile!$B$17:$B$22,"Halle",Nutzungsprofile!$G$17:$G$22)*Kalender!D345/SUM(Kalender!$D$5:$D$370),0)+IFERROR(SUMIF(Nutzungsprofile!$B$17:$B$22,"Individuell",Nutzungsprofile!$G$17:$G$22)*Kalender!E345/SUM(Kalender!$E$5:$E$370),0))*Szenarien!$D$15,0)</f>
        <v>0</v>
      </c>
      <c r="E1809" s="13" t="n">
        <f aca="false">IFERROR(MIN(C1809,Eingaben!$B$17)*Eingaben!$B$16,0)</f>
        <v>0</v>
      </c>
      <c r="F1809" s="13" t="n">
        <f aca="false">IFERROR(E1809*Eingaben!$B$15,0)</f>
        <v>0</v>
      </c>
      <c r="G1809" s="13" t="n">
        <f aca="false">IFERROR(IF(Kalender!A345="",0,J1808*(1-Eingaben!$B$20)),0)</f>
        <v>0</v>
      </c>
      <c r="H1809" s="13" t="n">
        <f aca="false">MIN(G1809,D1809)</f>
        <v>0</v>
      </c>
      <c r="I1809" s="13" t="n">
        <f aca="false">IFERROR(MIN(F1809*Eingaben!$B$19,MAX(0,D1809-H1809)),0)</f>
        <v>0</v>
      </c>
      <c r="J1809" s="13" t="n">
        <f aca="false">IFERROR(MIN(Eingaben!$B$18,MAX(0,F1809-I1809)),0)</f>
        <v>0</v>
      </c>
      <c r="K1809" s="13" t="n">
        <f aca="false">H1809+I1809</f>
        <v>0</v>
      </c>
      <c r="L1809" s="13" t="n">
        <f aca="false">MAX(0,D1809-K1809)</f>
        <v>0</v>
      </c>
      <c r="M1809" s="13" t="n">
        <f aca="false">MAX(0,F1809-I1809-J1809)</f>
        <v>0</v>
      </c>
      <c r="N1809" s="13" t="n">
        <f aca="false">IF(Kalender!A345="",0,J1808-H1809)</f>
        <v>0</v>
      </c>
    </row>
    <row r="1810" customFormat="false" ht="16.4" hidden="false" customHeight="false" outlineLevel="0" collapsed="false">
      <c r="A1810" s="13" t="str">
        <f aca="false">""</f>
        <v/>
      </c>
      <c r="B1810" s="13" t="n">
        <f aca="false">342</f>
        <v>342</v>
      </c>
      <c r="C1810" s="13" t="n">
        <f aca="false">IF(Szenarien!$H$15="OK",(IFERROR(SUMIF(Nutzungsprofile!$B$6:$B$11,"Schulbetrieb",Nutzungsprofile!$G$6:$G$11)*Kalender!C346/SUM(Kalender!$C$5:$C$370),0)+IFERROR(SUMIF(Nutzungsprofile!$B$6:$B$11,"Halle",Nutzungsprofile!$G$6:$G$11)*Kalender!D346/SUM(Kalender!$D$5:$D$370),0)+IFERROR(SUMIF(Nutzungsprofile!$B$6:$B$11,"Individuell",Nutzungsprofile!$G$6:$G$11)*Kalender!E346/SUM(Kalender!$E$5:$E$370),0))*Szenarien!$E$15,0)</f>
        <v>0</v>
      </c>
      <c r="D1810" s="13" t="n">
        <f aca="false">IF(Szenarien!$H$15="OK",(IFERROR(SUMIF(Nutzungsprofile!$B$17:$B$22,"Schulbetrieb",Nutzungsprofile!$G$17:$G$22)*Kalender!C346/SUM(Kalender!$C$5:$C$370),0)+IFERROR(SUMIF(Nutzungsprofile!$B$17:$B$22,"Halle",Nutzungsprofile!$G$17:$G$22)*Kalender!D346/SUM(Kalender!$D$5:$D$370),0)+IFERROR(SUMIF(Nutzungsprofile!$B$17:$B$22,"Individuell",Nutzungsprofile!$G$17:$G$22)*Kalender!E346/SUM(Kalender!$E$5:$E$370),0))*Szenarien!$D$15,0)</f>
        <v>0</v>
      </c>
      <c r="E1810" s="13" t="n">
        <f aca="false">IFERROR(MIN(C1810,Eingaben!$B$17)*Eingaben!$B$16,0)</f>
        <v>0</v>
      </c>
      <c r="F1810" s="13" t="n">
        <f aca="false">IFERROR(E1810*Eingaben!$B$15,0)</f>
        <v>0</v>
      </c>
      <c r="G1810" s="13" t="n">
        <f aca="false">IFERROR(IF(Kalender!A346="",0,J1809*(1-Eingaben!$B$20)),0)</f>
        <v>0</v>
      </c>
      <c r="H1810" s="13" t="n">
        <f aca="false">MIN(G1810,D1810)</f>
        <v>0</v>
      </c>
      <c r="I1810" s="13" t="n">
        <f aca="false">IFERROR(MIN(F1810*Eingaben!$B$19,MAX(0,D1810-H1810)),0)</f>
        <v>0</v>
      </c>
      <c r="J1810" s="13" t="n">
        <f aca="false">IFERROR(MIN(Eingaben!$B$18,MAX(0,F1810-I1810)),0)</f>
        <v>0</v>
      </c>
      <c r="K1810" s="13" t="n">
        <f aca="false">H1810+I1810</f>
        <v>0</v>
      </c>
      <c r="L1810" s="13" t="n">
        <f aca="false">MAX(0,D1810-K1810)</f>
        <v>0</v>
      </c>
      <c r="M1810" s="13" t="n">
        <f aca="false">MAX(0,F1810-I1810-J1810)</f>
        <v>0</v>
      </c>
      <c r="N1810" s="13" t="n">
        <f aca="false">IF(Kalender!A346="",0,J1809-H1810)</f>
        <v>0</v>
      </c>
    </row>
    <row r="1811" customFormat="false" ht="16.4" hidden="false" customHeight="false" outlineLevel="0" collapsed="false">
      <c r="A1811" s="13" t="str">
        <f aca="false">""</f>
        <v/>
      </c>
      <c r="B1811" s="13" t="n">
        <f aca="false">343</f>
        <v>343</v>
      </c>
      <c r="C1811" s="13" t="n">
        <f aca="false">IF(Szenarien!$H$15="OK",(IFERROR(SUMIF(Nutzungsprofile!$B$6:$B$11,"Schulbetrieb",Nutzungsprofile!$G$6:$G$11)*Kalender!C347/SUM(Kalender!$C$5:$C$370),0)+IFERROR(SUMIF(Nutzungsprofile!$B$6:$B$11,"Halle",Nutzungsprofile!$G$6:$G$11)*Kalender!D347/SUM(Kalender!$D$5:$D$370),0)+IFERROR(SUMIF(Nutzungsprofile!$B$6:$B$11,"Individuell",Nutzungsprofile!$G$6:$G$11)*Kalender!E347/SUM(Kalender!$E$5:$E$370),0))*Szenarien!$E$15,0)</f>
        <v>0</v>
      </c>
      <c r="D1811" s="13" t="n">
        <f aca="false">IF(Szenarien!$H$15="OK",(IFERROR(SUMIF(Nutzungsprofile!$B$17:$B$22,"Schulbetrieb",Nutzungsprofile!$G$17:$G$22)*Kalender!C347/SUM(Kalender!$C$5:$C$370),0)+IFERROR(SUMIF(Nutzungsprofile!$B$17:$B$22,"Halle",Nutzungsprofile!$G$17:$G$22)*Kalender!D347/SUM(Kalender!$D$5:$D$370),0)+IFERROR(SUMIF(Nutzungsprofile!$B$17:$B$22,"Individuell",Nutzungsprofile!$G$17:$G$22)*Kalender!E347/SUM(Kalender!$E$5:$E$370),0))*Szenarien!$D$15,0)</f>
        <v>0</v>
      </c>
      <c r="E1811" s="13" t="n">
        <f aca="false">IFERROR(MIN(C1811,Eingaben!$B$17)*Eingaben!$B$16,0)</f>
        <v>0</v>
      </c>
      <c r="F1811" s="13" t="n">
        <f aca="false">IFERROR(E1811*Eingaben!$B$15,0)</f>
        <v>0</v>
      </c>
      <c r="G1811" s="13" t="n">
        <f aca="false">IFERROR(IF(Kalender!A347="",0,J1810*(1-Eingaben!$B$20)),0)</f>
        <v>0</v>
      </c>
      <c r="H1811" s="13" t="n">
        <f aca="false">MIN(G1811,D1811)</f>
        <v>0</v>
      </c>
      <c r="I1811" s="13" t="n">
        <f aca="false">IFERROR(MIN(F1811*Eingaben!$B$19,MAX(0,D1811-H1811)),0)</f>
        <v>0</v>
      </c>
      <c r="J1811" s="13" t="n">
        <f aca="false">IFERROR(MIN(Eingaben!$B$18,MAX(0,F1811-I1811)),0)</f>
        <v>0</v>
      </c>
      <c r="K1811" s="13" t="n">
        <f aca="false">H1811+I1811</f>
        <v>0</v>
      </c>
      <c r="L1811" s="13" t="n">
        <f aca="false">MAX(0,D1811-K1811)</f>
        <v>0</v>
      </c>
      <c r="M1811" s="13" t="n">
        <f aca="false">MAX(0,F1811-I1811-J1811)</f>
        <v>0</v>
      </c>
      <c r="N1811" s="13" t="n">
        <f aca="false">IF(Kalender!A347="",0,J1810-H1811)</f>
        <v>0</v>
      </c>
    </row>
    <row r="1812" customFormat="false" ht="16.4" hidden="false" customHeight="false" outlineLevel="0" collapsed="false">
      <c r="A1812" s="13" t="str">
        <f aca="false">""</f>
        <v/>
      </c>
      <c r="B1812" s="13" t="n">
        <f aca="false">344</f>
        <v>344</v>
      </c>
      <c r="C1812" s="13" t="n">
        <f aca="false">IF(Szenarien!$H$15="OK",(IFERROR(SUMIF(Nutzungsprofile!$B$6:$B$11,"Schulbetrieb",Nutzungsprofile!$G$6:$G$11)*Kalender!C348/SUM(Kalender!$C$5:$C$370),0)+IFERROR(SUMIF(Nutzungsprofile!$B$6:$B$11,"Halle",Nutzungsprofile!$G$6:$G$11)*Kalender!D348/SUM(Kalender!$D$5:$D$370),0)+IFERROR(SUMIF(Nutzungsprofile!$B$6:$B$11,"Individuell",Nutzungsprofile!$G$6:$G$11)*Kalender!E348/SUM(Kalender!$E$5:$E$370),0))*Szenarien!$E$15,0)</f>
        <v>0</v>
      </c>
      <c r="D1812" s="13" t="n">
        <f aca="false">IF(Szenarien!$H$15="OK",(IFERROR(SUMIF(Nutzungsprofile!$B$17:$B$22,"Schulbetrieb",Nutzungsprofile!$G$17:$G$22)*Kalender!C348/SUM(Kalender!$C$5:$C$370),0)+IFERROR(SUMIF(Nutzungsprofile!$B$17:$B$22,"Halle",Nutzungsprofile!$G$17:$G$22)*Kalender!D348/SUM(Kalender!$D$5:$D$370),0)+IFERROR(SUMIF(Nutzungsprofile!$B$17:$B$22,"Individuell",Nutzungsprofile!$G$17:$G$22)*Kalender!E348/SUM(Kalender!$E$5:$E$370),0))*Szenarien!$D$15,0)</f>
        <v>0</v>
      </c>
      <c r="E1812" s="13" t="n">
        <f aca="false">IFERROR(MIN(C1812,Eingaben!$B$17)*Eingaben!$B$16,0)</f>
        <v>0</v>
      </c>
      <c r="F1812" s="13" t="n">
        <f aca="false">IFERROR(E1812*Eingaben!$B$15,0)</f>
        <v>0</v>
      </c>
      <c r="G1812" s="13" t="n">
        <f aca="false">IFERROR(IF(Kalender!A348="",0,J1811*(1-Eingaben!$B$20)),0)</f>
        <v>0</v>
      </c>
      <c r="H1812" s="13" t="n">
        <f aca="false">MIN(G1812,D1812)</f>
        <v>0</v>
      </c>
      <c r="I1812" s="13" t="n">
        <f aca="false">IFERROR(MIN(F1812*Eingaben!$B$19,MAX(0,D1812-H1812)),0)</f>
        <v>0</v>
      </c>
      <c r="J1812" s="13" t="n">
        <f aca="false">IFERROR(MIN(Eingaben!$B$18,MAX(0,F1812-I1812)),0)</f>
        <v>0</v>
      </c>
      <c r="K1812" s="13" t="n">
        <f aca="false">H1812+I1812</f>
        <v>0</v>
      </c>
      <c r="L1812" s="13" t="n">
        <f aca="false">MAX(0,D1812-K1812)</f>
        <v>0</v>
      </c>
      <c r="M1812" s="13" t="n">
        <f aca="false">MAX(0,F1812-I1812-J1812)</f>
        <v>0</v>
      </c>
      <c r="N1812" s="13" t="n">
        <f aca="false">IF(Kalender!A348="",0,J1811-H1812)</f>
        <v>0</v>
      </c>
    </row>
    <row r="1813" customFormat="false" ht="16.4" hidden="false" customHeight="false" outlineLevel="0" collapsed="false">
      <c r="A1813" s="13" t="str">
        <f aca="false">""</f>
        <v/>
      </c>
      <c r="B1813" s="13" t="n">
        <f aca="false">345</f>
        <v>345</v>
      </c>
      <c r="C1813" s="13" t="n">
        <f aca="false">IF(Szenarien!$H$15="OK",(IFERROR(SUMIF(Nutzungsprofile!$B$6:$B$11,"Schulbetrieb",Nutzungsprofile!$G$6:$G$11)*Kalender!C349/SUM(Kalender!$C$5:$C$370),0)+IFERROR(SUMIF(Nutzungsprofile!$B$6:$B$11,"Halle",Nutzungsprofile!$G$6:$G$11)*Kalender!D349/SUM(Kalender!$D$5:$D$370),0)+IFERROR(SUMIF(Nutzungsprofile!$B$6:$B$11,"Individuell",Nutzungsprofile!$G$6:$G$11)*Kalender!E349/SUM(Kalender!$E$5:$E$370),0))*Szenarien!$E$15,0)</f>
        <v>0</v>
      </c>
      <c r="D1813" s="13" t="n">
        <f aca="false">IF(Szenarien!$H$15="OK",(IFERROR(SUMIF(Nutzungsprofile!$B$17:$B$22,"Schulbetrieb",Nutzungsprofile!$G$17:$G$22)*Kalender!C349/SUM(Kalender!$C$5:$C$370),0)+IFERROR(SUMIF(Nutzungsprofile!$B$17:$B$22,"Halle",Nutzungsprofile!$G$17:$G$22)*Kalender!D349/SUM(Kalender!$D$5:$D$370),0)+IFERROR(SUMIF(Nutzungsprofile!$B$17:$B$22,"Individuell",Nutzungsprofile!$G$17:$G$22)*Kalender!E349/SUM(Kalender!$E$5:$E$370),0))*Szenarien!$D$15,0)</f>
        <v>0</v>
      </c>
      <c r="E1813" s="13" t="n">
        <f aca="false">IFERROR(MIN(C1813,Eingaben!$B$17)*Eingaben!$B$16,0)</f>
        <v>0</v>
      </c>
      <c r="F1813" s="13" t="n">
        <f aca="false">IFERROR(E1813*Eingaben!$B$15,0)</f>
        <v>0</v>
      </c>
      <c r="G1813" s="13" t="n">
        <f aca="false">IFERROR(IF(Kalender!A349="",0,J1812*(1-Eingaben!$B$20)),0)</f>
        <v>0</v>
      </c>
      <c r="H1813" s="13" t="n">
        <f aca="false">MIN(G1813,D1813)</f>
        <v>0</v>
      </c>
      <c r="I1813" s="13" t="n">
        <f aca="false">IFERROR(MIN(F1813*Eingaben!$B$19,MAX(0,D1813-H1813)),0)</f>
        <v>0</v>
      </c>
      <c r="J1813" s="13" t="n">
        <f aca="false">IFERROR(MIN(Eingaben!$B$18,MAX(0,F1813-I1813)),0)</f>
        <v>0</v>
      </c>
      <c r="K1813" s="13" t="n">
        <f aca="false">H1813+I1813</f>
        <v>0</v>
      </c>
      <c r="L1813" s="13" t="n">
        <f aca="false">MAX(0,D1813-K1813)</f>
        <v>0</v>
      </c>
      <c r="M1813" s="13" t="n">
        <f aca="false">MAX(0,F1813-I1813-J1813)</f>
        <v>0</v>
      </c>
      <c r="N1813" s="13" t="n">
        <f aca="false">IF(Kalender!A349="",0,J1812-H1813)</f>
        <v>0</v>
      </c>
    </row>
    <row r="1814" customFormat="false" ht="16.4" hidden="false" customHeight="false" outlineLevel="0" collapsed="false">
      <c r="A1814" s="13" t="str">
        <f aca="false">""</f>
        <v/>
      </c>
      <c r="B1814" s="13" t="n">
        <f aca="false">346</f>
        <v>346</v>
      </c>
      <c r="C1814" s="13" t="n">
        <f aca="false">IF(Szenarien!$H$15="OK",(IFERROR(SUMIF(Nutzungsprofile!$B$6:$B$11,"Schulbetrieb",Nutzungsprofile!$G$6:$G$11)*Kalender!C350/SUM(Kalender!$C$5:$C$370),0)+IFERROR(SUMIF(Nutzungsprofile!$B$6:$B$11,"Halle",Nutzungsprofile!$G$6:$G$11)*Kalender!D350/SUM(Kalender!$D$5:$D$370),0)+IFERROR(SUMIF(Nutzungsprofile!$B$6:$B$11,"Individuell",Nutzungsprofile!$G$6:$G$11)*Kalender!E350/SUM(Kalender!$E$5:$E$370),0))*Szenarien!$E$15,0)</f>
        <v>0</v>
      </c>
      <c r="D1814" s="13" t="n">
        <f aca="false">IF(Szenarien!$H$15="OK",(IFERROR(SUMIF(Nutzungsprofile!$B$17:$B$22,"Schulbetrieb",Nutzungsprofile!$G$17:$G$22)*Kalender!C350/SUM(Kalender!$C$5:$C$370),0)+IFERROR(SUMIF(Nutzungsprofile!$B$17:$B$22,"Halle",Nutzungsprofile!$G$17:$G$22)*Kalender!D350/SUM(Kalender!$D$5:$D$370),0)+IFERROR(SUMIF(Nutzungsprofile!$B$17:$B$22,"Individuell",Nutzungsprofile!$G$17:$G$22)*Kalender!E350/SUM(Kalender!$E$5:$E$370),0))*Szenarien!$D$15,0)</f>
        <v>0</v>
      </c>
      <c r="E1814" s="13" t="n">
        <f aca="false">IFERROR(MIN(C1814,Eingaben!$B$17)*Eingaben!$B$16,0)</f>
        <v>0</v>
      </c>
      <c r="F1814" s="13" t="n">
        <f aca="false">IFERROR(E1814*Eingaben!$B$15,0)</f>
        <v>0</v>
      </c>
      <c r="G1814" s="13" t="n">
        <f aca="false">IFERROR(IF(Kalender!A350="",0,J1813*(1-Eingaben!$B$20)),0)</f>
        <v>0</v>
      </c>
      <c r="H1814" s="13" t="n">
        <f aca="false">MIN(G1814,D1814)</f>
        <v>0</v>
      </c>
      <c r="I1814" s="13" t="n">
        <f aca="false">IFERROR(MIN(F1814*Eingaben!$B$19,MAX(0,D1814-H1814)),0)</f>
        <v>0</v>
      </c>
      <c r="J1814" s="13" t="n">
        <f aca="false">IFERROR(MIN(Eingaben!$B$18,MAX(0,F1814-I1814)),0)</f>
        <v>0</v>
      </c>
      <c r="K1814" s="13" t="n">
        <f aca="false">H1814+I1814</f>
        <v>0</v>
      </c>
      <c r="L1814" s="13" t="n">
        <f aca="false">MAX(0,D1814-K1814)</f>
        <v>0</v>
      </c>
      <c r="M1814" s="13" t="n">
        <f aca="false">MAX(0,F1814-I1814-J1814)</f>
        <v>0</v>
      </c>
      <c r="N1814" s="13" t="n">
        <f aca="false">IF(Kalender!A350="",0,J1813-H1814)</f>
        <v>0</v>
      </c>
    </row>
    <row r="1815" customFormat="false" ht="16.4" hidden="false" customHeight="false" outlineLevel="0" collapsed="false">
      <c r="A1815" s="13" t="str">
        <f aca="false">""</f>
        <v/>
      </c>
      <c r="B1815" s="13" t="n">
        <f aca="false">347</f>
        <v>347</v>
      </c>
      <c r="C1815" s="13" t="n">
        <f aca="false">IF(Szenarien!$H$15="OK",(IFERROR(SUMIF(Nutzungsprofile!$B$6:$B$11,"Schulbetrieb",Nutzungsprofile!$G$6:$G$11)*Kalender!C351/SUM(Kalender!$C$5:$C$370),0)+IFERROR(SUMIF(Nutzungsprofile!$B$6:$B$11,"Halle",Nutzungsprofile!$G$6:$G$11)*Kalender!D351/SUM(Kalender!$D$5:$D$370),0)+IFERROR(SUMIF(Nutzungsprofile!$B$6:$B$11,"Individuell",Nutzungsprofile!$G$6:$G$11)*Kalender!E351/SUM(Kalender!$E$5:$E$370),0))*Szenarien!$E$15,0)</f>
        <v>0</v>
      </c>
      <c r="D1815" s="13" t="n">
        <f aca="false">IF(Szenarien!$H$15="OK",(IFERROR(SUMIF(Nutzungsprofile!$B$17:$B$22,"Schulbetrieb",Nutzungsprofile!$G$17:$G$22)*Kalender!C351/SUM(Kalender!$C$5:$C$370),0)+IFERROR(SUMIF(Nutzungsprofile!$B$17:$B$22,"Halle",Nutzungsprofile!$G$17:$G$22)*Kalender!D351/SUM(Kalender!$D$5:$D$370),0)+IFERROR(SUMIF(Nutzungsprofile!$B$17:$B$22,"Individuell",Nutzungsprofile!$G$17:$G$22)*Kalender!E351/SUM(Kalender!$E$5:$E$370),0))*Szenarien!$D$15,0)</f>
        <v>0</v>
      </c>
      <c r="E1815" s="13" t="n">
        <f aca="false">IFERROR(MIN(C1815,Eingaben!$B$17)*Eingaben!$B$16,0)</f>
        <v>0</v>
      </c>
      <c r="F1815" s="13" t="n">
        <f aca="false">IFERROR(E1815*Eingaben!$B$15,0)</f>
        <v>0</v>
      </c>
      <c r="G1815" s="13" t="n">
        <f aca="false">IFERROR(IF(Kalender!A351="",0,J1814*(1-Eingaben!$B$20)),0)</f>
        <v>0</v>
      </c>
      <c r="H1815" s="13" t="n">
        <f aca="false">MIN(G1815,D1815)</f>
        <v>0</v>
      </c>
      <c r="I1815" s="13" t="n">
        <f aca="false">IFERROR(MIN(F1815*Eingaben!$B$19,MAX(0,D1815-H1815)),0)</f>
        <v>0</v>
      </c>
      <c r="J1815" s="13" t="n">
        <f aca="false">IFERROR(MIN(Eingaben!$B$18,MAX(0,F1815-I1815)),0)</f>
        <v>0</v>
      </c>
      <c r="K1815" s="13" t="n">
        <f aca="false">H1815+I1815</f>
        <v>0</v>
      </c>
      <c r="L1815" s="13" t="n">
        <f aca="false">MAX(0,D1815-K1815)</f>
        <v>0</v>
      </c>
      <c r="M1815" s="13" t="n">
        <f aca="false">MAX(0,F1815-I1815-J1815)</f>
        <v>0</v>
      </c>
      <c r="N1815" s="13" t="n">
        <f aca="false">IF(Kalender!A351="",0,J1814-H1815)</f>
        <v>0</v>
      </c>
    </row>
    <row r="1816" customFormat="false" ht="16.4" hidden="false" customHeight="false" outlineLevel="0" collapsed="false">
      <c r="A1816" s="13" t="str">
        <f aca="false">""</f>
        <v/>
      </c>
      <c r="B1816" s="13" t="n">
        <f aca="false">348</f>
        <v>348</v>
      </c>
      <c r="C1816" s="13" t="n">
        <f aca="false">IF(Szenarien!$H$15="OK",(IFERROR(SUMIF(Nutzungsprofile!$B$6:$B$11,"Schulbetrieb",Nutzungsprofile!$G$6:$G$11)*Kalender!C352/SUM(Kalender!$C$5:$C$370),0)+IFERROR(SUMIF(Nutzungsprofile!$B$6:$B$11,"Halle",Nutzungsprofile!$G$6:$G$11)*Kalender!D352/SUM(Kalender!$D$5:$D$370),0)+IFERROR(SUMIF(Nutzungsprofile!$B$6:$B$11,"Individuell",Nutzungsprofile!$G$6:$G$11)*Kalender!E352/SUM(Kalender!$E$5:$E$370),0))*Szenarien!$E$15,0)</f>
        <v>0</v>
      </c>
      <c r="D1816" s="13" t="n">
        <f aca="false">IF(Szenarien!$H$15="OK",(IFERROR(SUMIF(Nutzungsprofile!$B$17:$B$22,"Schulbetrieb",Nutzungsprofile!$G$17:$G$22)*Kalender!C352/SUM(Kalender!$C$5:$C$370),0)+IFERROR(SUMIF(Nutzungsprofile!$B$17:$B$22,"Halle",Nutzungsprofile!$G$17:$G$22)*Kalender!D352/SUM(Kalender!$D$5:$D$370),0)+IFERROR(SUMIF(Nutzungsprofile!$B$17:$B$22,"Individuell",Nutzungsprofile!$G$17:$G$22)*Kalender!E352/SUM(Kalender!$E$5:$E$370),0))*Szenarien!$D$15,0)</f>
        <v>0</v>
      </c>
      <c r="E1816" s="13" t="n">
        <f aca="false">IFERROR(MIN(C1816,Eingaben!$B$17)*Eingaben!$B$16,0)</f>
        <v>0</v>
      </c>
      <c r="F1816" s="13" t="n">
        <f aca="false">IFERROR(E1816*Eingaben!$B$15,0)</f>
        <v>0</v>
      </c>
      <c r="G1816" s="13" t="n">
        <f aca="false">IFERROR(IF(Kalender!A352="",0,J1815*(1-Eingaben!$B$20)),0)</f>
        <v>0</v>
      </c>
      <c r="H1816" s="13" t="n">
        <f aca="false">MIN(G1816,D1816)</f>
        <v>0</v>
      </c>
      <c r="I1816" s="13" t="n">
        <f aca="false">IFERROR(MIN(F1816*Eingaben!$B$19,MAX(0,D1816-H1816)),0)</f>
        <v>0</v>
      </c>
      <c r="J1816" s="13" t="n">
        <f aca="false">IFERROR(MIN(Eingaben!$B$18,MAX(0,F1816-I1816)),0)</f>
        <v>0</v>
      </c>
      <c r="K1816" s="13" t="n">
        <f aca="false">H1816+I1816</f>
        <v>0</v>
      </c>
      <c r="L1816" s="13" t="n">
        <f aca="false">MAX(0,D1816-K1816)</f>
        <v>0</v>
      </c>
      <c r="M1816" s="13" t="n">
        <f aca="false">MAX(0,F1816-I1816-J1816)</f>
        <v>0</v>
      </c>
      <c r="N1816" s="13" t="n">
        <f aca="false">IF(Kalender!A352="",0,J1815-H1816)</f>
        <v>0</v>
      </c>
    </row>
    <row r="1817" customFormat="false" ht="16.4" hidden="false" customHeight="false" outlineLevel="0" collapsed="false">
      <c r="A1817" s="13" t="str">
        <f aca="false">""</f>
        <v/>
      </c>
      <c r="B1817" s="13" t="n">
        <f aca="false">349</f>
        <v>349</v>
      </c>
      <c r="C1817" s="13" t="n">
        <f aca="false">IF(Szenarien!$H$15="OK",(IFERROR(SUMIF(Nutzungsprofile!$B$6:$B$11,"Schulbetrieb",Nutzungsprofile!$G$6:$G$11)*Kalender!C353/SUM(Kalender!$C$5:$C$370),0)+IFERROR(SUMIF(Nutzungsprofile!$B$6:$B$11,"Halle",Nutzungsprofile!$G$6:$G$11)*Kalender!D353/SUM(Kalender!$D$5:$D$370),0)+IFERROR(SUMIF(Nutzungsprofile!$B$6:$B$11,"Individuell",Nutzungsprofile!$G$6:$G$11)*Kalender!E353/SUM(Kalender!$E$5:$E$370),0))*Szenarien!$E$15,0)</f>
        <v>0</v>
      </c>
      <c r="D1817" s="13" t="n">
        <f aca="false">IF(Szenarien!$H$15="OK",(IFERROR(SUMIF(Nutzungsprofile!$B$17:$B$22,"Schulbetrieb",Nutzungsprofile!$G$17:$G$22)*Kalender!C353/SUM(Kalender!$C$5:$C$370),0)+IFERROR(SUMIF(Nutzungsprofile!$B$17:$B$22,"Halle",Nutzungsprofile!$G$17:$G$22)*Kalender!D353/SUM(Kalender!$D$5:$D$370),0)+IFERROR(SUMIF(Nutzungsprofile!$B$17:$B$22,"Individuell",Nutzungsprofile!$G$17:$G$22)*Kalender!E353/SUM(Kalender!$E$5:$E$370),0))*Szenarien!$D$15,0)</f>
        <v>0</v>
      </c>
      <c r="E1817" s="13" t="n">
        <f aca="false">IFERROR(MIN(C1817,Eingaben!$B$17)*Eingaben!$B$16,0)</f>
        <v>0</v>
      </c>
      <c r="F1817" s="13" t="n">
        <f aca="false">IFERROR(E1817*Eingaben!$B$15,0)</f>
        <v>0</v>
      </c>
      <c r="G1817" s="13" t="n">
        <f aca="false">IFERROR(IF(Kalender!A353="",0,J1816*(1-Eingaben!$B$20)),0)</f>
        <v>0</v>
      </c>
      <c r="H1817" s="13" t="n">
        <f aca="false">MIN(G1817,D1817)</f>
        <v>0</v>
      </c>
      <c r="I1817" s="13" t="n">
        <f aca="false">IFERROR(MIN(F1817*Eingaben!$B$19,MAX(0,D1817-H1817)),0)</f>
        <v>0</v>
      </c>
      <c r="J1817" s="13" t="n">
        <f aca="false">IFERROR(MIN(Eingaben!$B$18,MAX(0,F1817-I1817)),0)</f>
        <v>0</v>
      </c>
      <c r="K1817" s="13" t="n">
        <f aca="false">H1817+I1817</f>
        <v>0</v>
      </c>
      <c r="L1817" s="13" t="n">
        <f aca="false">MAX(0,D1817-K1817)</f>
        <v>0</v>
      </c>
      <c r="M1817" s="13" t="n">
        <f aca="false">MAX(0,F1817-I1817-J1817)</f>
        <v>0</v>
      </c>
      <c r="N1817" s="13" t="n">
        <f aca="false">IF(Kalender!A353="",0,J1816-H1817)</f>
        <v>0</v>
      </c>
    </row>
    <row r="1818" customFormat="false" ht="16.4" hidden="false" customHeight="false" outlineLevel="0" collapsed="false">
      <c r="A1818" s="13" t="str">
        <f aca="false">""</f>
        <v/>
      </c>
      <c r="B1818" s="13" t="n">
        <f aca="false">350</f>
        <v>350</v>
      </c>
      <c r="C1818" s="13" t="n">
        <f aca="false">IF(Szenarien!$H$15="OK",(IFERROR(SUMIF(Nutzungsprofile!$B$6:$B$11,"Schulbetrieb",Nutzungsprofile!$G$6:$G$11)*Kalender!C354/SUM(Kalender!$C$5:$C$370),0)+IFERROR(SUMIF(Nutzungsprofile!$B$6:$B$11,"Halle",Nutzungsprofile!$G$6:$G$11)*Kalender!D354/SUM(Kalender!$D$5:$D$370),0)+IFERROR(SUMIF(Nutzungsprofile!$B$6:$B$11,"Individuell",Nutzungsprofile!$G$6:$G$11)*Kalender!E354/SUM(Kalender!$E$5:$E$370),0))*Szenarien!$E$15,0)</f>
        <v>0</v>
      </c>
      <c r="D1818" s="13" t="n">
        <f aca="false">IF(Szenarien!$H$15="OK",(IFERROR(SUMIF(Nutzungsprofile!$B$17:$B$22,"Schulbetrieb",Nutzungsprofile!$G$17:$G$22)*Kalender!C354/SUM(Kalender!$C$5:$C$370),0)+IFERROR(SUMIF(Nutzungsprofile!$B$17:$B$22,"Halle",Nutzungsprofile!$G$17:$G$22)*Kalender!D354/SUM(Kalender!$D$5:$D$370),0)+IFERROR(SUMIF(Nutzungsprofile!$B$17:$B$22,"Individuell",Nutzungsprofile!$G$17:$G$22)*Kalender!E354/SUM(Kalender!$E$5:$E$370),0))*Szenarien!$D$15,0)</f>
        <v>0</v>
      </c>
      <c r="E1818" s="13" t="n">
        <f aca="false">IFERROR(MIN(C1818,Eingaben!$B$17)*Eingaben!$B$16,0)</f>
        <v>0</v>
      </c>
      <c r="F1818" s="13" t="n">
        <f aca="false">IFERROR(E1818*Eingaben!$B$15,0)</f>
        <v>0</v>
      </c>
      <c r="G1818" s="13" t="n">
        <f aca="false">IFERROR(IF(Kalender!A354="",0,J1817*(1-Eingaben!$B$20)),0)</f>
        <v>0</v>
      </c>
      <c r="H1818" s="13" t="n">
        <f aca="false">MIN(G1818,D1818)</f>
        <v>0</v>
      </c>
      <c r="I1818" s="13" t="n">
        <f aca="false">IFERROR(MIN(F1818*Eingaben!$B$19,MAX(0,D1818-H1818)),0)</f>
        <v>0</v>
      </c>
      <c r="J1818" s="13" t="n">
        <f aca="false">IFERROR(MIN(Eingaben!$B$18,MAX(0,F1818-I1818)),0)</f>
        <v>0</v>
      </c>
      <c r="K1818" s="13" t="n">
        <f aca="false">H1818+I1818</f>
        <v>0</v>
      </c>
      <c r="L1818" s="13" t="n">
        <f aca="false">MAX(0,D1818-K1818)</f>
        <v>0</v>
      </c>
      <c r="M1818" s="13" t="n">
        <f aca="false">MAX(0,F1818-I1818-J1818)</f>
        <v>0</v>
      </c>
      <c r="N1818" s="13" t="n">
        <f aca="false">IF(Kalender!A354="",0,J1817-H1818)</f>
        <v>0</v>
      </c>
    </row>
    <row r="1819" customFormat="false" ht="16.4" hidden="false" customHeight="false" outlineLevel="0" collapsed="false">
      <c r="A1819" s="13" t="str">
        <f aca="false">""</f>
        <v/>
      </c>
      <c r="B1819" s="13" t="n">
        <f aca="false">351</f>
        <v>351</v>
      </c>
      <c r="C1819" s="13" t="n">
        <f aca="false">IF(Szenarien!$H$15="OK",(IFERROR(SUMIF(Nutzungsprofile!$B$6:$B$11,"Schulbetrieb",Nutzungsprofile!$G$6:$G$11)*Kalender!C355/SUM(Kalender!$C$5:$C$370),0)+IFERROR(SUMIF(Nutzungsprofile!$B$6:$B$11,"Halle",Nutzungsprofile!$G$6:$G$11)*Kalender!D355/SUM(Kalender!$D$5:$D$370),0)+IFERROR(SUMIF(Nutzungsprofile!$B$6:$B$11,"Individuell",Nutzungsprofile!$G$6:$G$11)*Kalender!E355/SUM(Kalender!$E$5:$E$370),0))*Szenarien!$E$15,0)</f>
        <v>0</v>
      </c>
      <c r="D1819" s="13" t="n">
        <f aca="false">IF(Szenarien!$H$15="OK",(IFERROR(SUMIF(Nutzungsprofile!$B$17:$B$22,"Schulbetrieb",Nutzungsprofile!$G$17:$G$22)*Kalender!C355/SUM(Kalender!$C$5:$C$370),0)+IFERROR(SUMIF(Nutzungsprofile!$B$17:$B$22,"Halle",Nutzungsprofile!$G$17:$G$22)*Kalender!D355/SUM(Kalender!$D$5:$D$370),0)+IFERROR(SUMIF(Nutzungsprofile!$B$17:$B$22,"Individuell",Nutzungsprofile!$G$17:$G$22)*Kalender!E355/SUM(Kalender!$E$5:$E$370),0))*Szenarien!$D$15,0)</f>
        <v>0</v>
      </c>
      <c r="E1819" s="13" t="n">
        <f aca="false">IFERROR(MIN(C1819,Eingaben!$B$17)*Eingaben!$B$16,0)</f>
        <v>0</v>
      </c>
      <c r="F1819" s="13" t="n">
        <f aca="false">IFERROR(E1819*Eingaben!$B$15,0)</f>
        <v>0</v>
      </c>
      <c r="G1819" s="13" t="n">
        <f aca="false">IFERROR(IF(Kalender!A355="",0,J1818*(1-Eingaben!$B$20)),0)</f>
        <v>0</v>
      </c>
      <c r="H1819" s="13" t="n">
        <f aca="false">MIN(G1819,D1819)</f>
        <v>0</v>
      </c>
      <c r="I1819" s="13" t="n">
        <f aca="false">IFERROR(MIN(F1819*Eingaben!$B$19,MAX(0,D1819-H1819)),0)</f>
        <v>0</v>
      </c>
      <c r="J1819" s="13" t="n">
        <f aca="false">IFERROR(MIN(Eingaben!$B$18,MAX(0,F1819-I1819)),0)</f>
        <v>0</v>
      </c>
      <c r="K1819" s="13" t="n">
        <f aca="false">H1819+I1819</f>
        <v>0</v>
      </c>
      <c r="L1819" s="13" t="n">
        <f aca="false">MAX(0,D1819-K1819)</f>
        <v>0</v>
      </c>
      <c r="M1819" s="13" t="n">
        <f aca="false">MAX(0,F1819-I1819-J1819)</f>
        <v>0</v>
      </c>
      <c r="N1819" s="13" t="n">
        <f aca="false">IF(Kalender!A355="",0,J1818-H1819)</f>
        <v>0</v>
      </c>
    </row>
    <row r="1820" customFormat="false" ht="16.4" hidden="false" customHeight="false" outlineLevel="0" collapsed="false">
      <c r="A1820" s="13" t="str">
        <f aca="false">""</f>
        <v/>
      </c>
      <c r="B1820" s="13" t="n">
        <f aca="false">352</f>
        <v>352</v>
      </c>
      <c r="C1820" s="13" t="n">
        <f aca="false">IF(Szenarien!$H$15="OK",(IFERROR(SUMIF(Nutzungsprofile!$B$6:$B$11,"Schulbetrieb",Nutzungsprofile!$G$6:$G$11)*Kalender!C356/SUM(Kalender!$C$5:$C$370),0)+IFERROR(SUMIF(Nutzungsprofile!$B$6:$B$11,"Halle",Nutzungsprofile!$G$6:$G$11)*Kalender!D356/SUM(Kalender!$D$5:$D$370),0)+IFERROR(SUMIF(Nutzungsprofile!$B$6:$B$11,"Individuell",Nutzungsprofile!$G$6:$G$11)*Kalender!E356/SUM(Kalender!$E$5:$E$370),0))*Szenarien!$E$15,0)</f>
        <v>0</v>
      </c>
      <c r="D1820" s="13" t="n">
        <f aca="false">IF(Szenarien!$H$15="OK",(IFERROR(SUMIF(Nutzungsprofile!$B$17:$B$22,"Schulbetrieb",Nutzungsprofile!$G$17:$G$22)*Kalender!C356/SUM(Kalender!$C$5:$C$370),0)+IFERROR(SUMIF(Nutzungsprofile!$B$17:$B$22,"Halle",Nutzungsprofile!$G$17:$G$22)*Kalender!D356/SUM(Kalender!$D$5:$D$370),0)+IFERROR(SUMIF(Nutzungsprofile!$B$17:$B$22,"Individuell",Nutzungsprofile!$G$17:$G$22)*Kalender!E356/SUM(Kalender!$E$5:$E$370),0))*Szenarien!$D$15,0)</f>
        <v>0</v>
      </c>
      <c r="E1820" s="13" t="n">
        <f aca="false">IFERROR(MIN(C1820,Eingaben!$B$17)*Eingaben!$B$16,0)</f>
        <v>0</v>
      </c>
      <c r="F1820" s="13" t="n">
        <f aca="false">IFERROR(E1820*Eingaben!$B$15,0)</f>
        <v>0</v>
      </c>
      <c r="G1820" s="13" t="n">
        <f aca="false">IFERROR(IF(Kalender!A356="",0,J1819*(1-Eingaben!$B$20)),0)</f>
        <v>0</v>
      </c>
      <c r="H1820" s="13" t="n">
        <f aca="false">MIN(G1820,D1820)</f>
        <v>0</v>
      </c>
      <c r="I1820" s="13" t="n">
        <f aca="false">IFERROR(MIN(F1820*Eingaben!$B$19,MAX(0,D1820-H1820)),0)</f>
        <v>0</v>
      </c>
      <c r="J1820" s="13" t="n">
        <f aca="false">IFERROR(MIN(Eingaben!$B$18,MAX(0,F1820-I1820)),0)</f>
        <v>0</v>
      </c>
      <c r="K1820" s="13" t="n">
        <f aca="false">H1820+I1820</f>
        <v>0</v>
      </c>
      <c r="L1820" s="13" t="n">
        <f aca="false">MAX(0,D1820-K1820)</f>
        <v>0</v>
      </c>
      <c r="M1820" s="13" t="n">
        <f aca="false">MAX(0,F1820-I1820-J1820)</f>
        <v>0</v>
      </c>
      <c r="N1820" s="13" t="n">
        <f aca="false">IF(Kalender!A356="",0,J1819-H1820)</f>
        <v>0</v>
      </c>
    </row>
    <row r="1821" customFormat="false" ht="16.4" hidden="false" customHeight="false" outlineLevel="0" collapsed="false">
      <c r="A1821" s="13" t="str">
        <f aca="false">""</f>
        <v/>
      </c>
      <c r="B1821" s="13" t="n">
        <f aca="false">353</f>
        <v>353</v>
      </c>
      <c r="C1821" s="13" t="n">
        <f aca="false">IF(Szenarien!$H$15="OK",(IFERROR(SUMIF(Nutzungsprofile!$B$6:$B$11,"Schulbetrieb",Nutzungsprofile!$G$6:$G$11)*Kalender!C357/SUM(Kalender!$C$5:$C$370),0)+IFERROR(SUMIF(Nutzungsprofile!$B$6:$B$11,"Halle",Nutzungsprofile!$G$6:$G$11)*Kalender!D357/SUM(Kalender!$D$5:$D$370),0)+IFERROR(SUMIF(Nutzungsprofile!$B$6:$B$11,"Individuell",Nutzungsprofile!$G$6:$G$11)*Kalender!E357/SUM(Kalender!$E$5:$E$370),0))*Szenarien!$E$15,0)</f>
        <v>0</v>
      </c>
      <c r="D1821" s="13" t="n">
        <f aca="false">IF(Szenarien!$H$15="OK",(IFERROR(SUMIF(Nutzungsprofile!$B$17:$B$22,"Schulbetrieb",Nutzungsprofile!$G$17:$G$22)*Kalender!C357/SUM(Kalender!$C$5:$C$370),0)+IFERROR(SUMIF(Nutzungsprofile!$B$17:$B$22,"Halle",Nutzungsprofile!$G$17:$G$22)*Kalender!D357/SUM(Kalender!$D$5:$D$370),0)+IFERROR(SUMIF(Nutzungsprofile!$B$17:$B$22,"Individuell",Nutzungsprofile!$G$17:$G$22)*Kalender!E357/SUM(Kalender!$E$5:$E$370),0))*Szenarien!$D$15,0)</f>
        <v>0</v>
      </c>
      <c r="E1821" s="13" t="n">
        <f aca="false">IFERROR(MIN(C1821,Eingaben!$B$17)*Eingaben!$B$16,0)</f>
        <v>0</v>
      </c>
      <c r="F1821" s="13" t="n">
        <f aca="false">IFERROR(E1821*Eingaben!$B$15,0)</f>
        <v>0</v>
      </c>
      <c r="G1821" s="13" t="n">
        <f aca="false">IFERROR(IF(Kalender!A357="",0,J1820*(1-Eingaben!$B$20)),0)</f>
        <v>0</v>
      </c>
      <c r="H1821" s="13" t="n">
        <f aca="false">MIN(G1821,D1821)</f>
        <v>0</v>
      </c>
      <c r="I1821" s="13" t="n">
        <f aca="false">IFERROR(MIN(F1821*Eingaben!$B$19,MAX(0,D1821-H1821)),0)</f>
        <v>0</v>
      </c>
      <c r="J1821" s="13" t="n">
        <f aca="false">IFERROR(MIN(Eingaben!$B$18,MAX(0,F1821-I1821)),0)</f>
        <v>0</v>
      </c>
      <c r="K1821" s="13" t="n">
        <f aca="false">H1821+I1821</f>
        <v>0</v>
      </c>
      <c r="L1821" s="13" t="n">
        <f aca="false">MAX(0,D1821-K1821)</f>
        <v>0</v>
      </c>
      <c r="M1821" s="13" t="n">
        <f aca="false">MAX(0,F1821-I1821-J1821)</f>
        <v>0</v>
      </c>
      <c r="N1821" s="13" t="n">
        <f aca="false">IF(Kalender!A357="",0,J1820-H1821)</f>
        <v>0</v>
      </c>
    </row>
    <row r="1822" customFormat="false" ht="16.4" hidden="false" customHeight="false" outlineLevel="0" collapsed="false">
      <c r="A1822" s="13" t="str">
        <f aca="false">""</f>
        <v/>
      </c>
      <c r="B1822" s="13" t="n">
        <f aca="false">354</f>
        <v>354</v>
      </c>
      <c r="C1822" s="13" t="n">
        <f aca="false">IF(Szenarien!$H$15="OK",(IFERROR(SUMIF(Nutzungsprofile!$B$6:$B$11,"Schulbetrieb",Nutzungsprofile!$G$6:$G$11)*Kalender!C358/SUM(Kalender!$C$5:$C$370),0)+IFERROR(SUMIF(Nutzungsprofile!$B$6:$B$11,"Halle",Nutzungsprofile!$G$6:$G$11)*Kalender!D358/SUM(Kalender!$D$5:$D$370),0)+IFERROR(SUMIF(Nutzungsprofile!$B$6:$B$11,"Individuell",Nutzungsprofile!$G$6:$G$11)*Kalender!E358/SUM(Kalender!$E$5:$E$370),0))*Szenarien!$E$15,0)</f>
        <v>0</v>
      </c>
      <c r="D1822" s="13" t="n">
        <f aca="false">IF(Szenarien!$H$15="OK",(IFERROR(SUMIF(Nutzungsprofile!$B$17:$B$22,"Schulbetrieb",Nutzungsprofile!$G$17:$G$22)*Kalender!C358/SUM(Kalender!$C$5:$C$370),0)+IFERROR(SUMIF(Nutzungsprofile!$B$17:$B$22,"Halle",Nutzungsprofile!$G$17:$G$22)*Kalender!D358/SUM(Kalender!$D$5:$D$370),0)+IFERROR(SUMIF(Nutzungsprofile!$B$17:$B$22,"Individuell",Nutzungsprofile!$G$17:$G$22)*Kalender!E358/SUM(Kalender!$E$5:$E$370),0))*Szenarien!$D$15,0)</f>
        <v>0</v>
      </c>
      <c r="E1822" s="13" t="n">
        <f aca="false">IFERROR(MIN(C1822,Eingaben!$B$17)*Eingaben!$B$16,0)</f>
        <v>0</v>
      </c>
      <c r="F1822" s="13" t="n">
        <f aca="false">IFERROR(E1822*Eingaben!$B$15,0)</f>
        <v>0</v>
      </c>
      <c r="G1822" s="13" t="n">
        <f aca="false">IFERROR(IF(Kalender!A358="",0,J1821*(1-Eingaben!$B$20)),0)</f>
        <v>0</v>
      </c>
      <c r="H1822" s="13" t="n">
        <f aca="false">MIN(G1822,D1822)</f>
        <v>0</v>
      </c>
      <c r="I1822" s="13" t="n">
        <f aca="false">IFERROR(MIN(F1822*Eingaben!$B$19,MAX(0,D1822-H1822)),0)</f>
        <v>0</v>
      </c>
      <c r="J1822" s="13" t="n">
        <f aca="false">IFERROR(MIN(Eingaben!$B$18,MAX(0,F1822-I1822)),0)</f>
        <v>0</v>
      </c>
      <c r="K1822" s="13" t="n">
        <f aca="false">H1822+I1822</f>
        <v>0</v>
      </c>
      <c r="L1822" s="13" t="n">
        <f aca="false">MAX(0,D1822-K1822)</f>
        <v>0</v>
      </c>
      <c r="M1822" s="13" t="n">
        <f aca="false">MAX(0,F1822-I1822-J1822)</f>
        <v>0</v>
      </c>
      <c r="N1822" s="13" t="n">
        <f aca="false">IF(Kalender!A358="",0,J1821-H1822)</f>
        <v>0</v>
      </c>
    </row>
    <row r="1823" customFormat="false" ht="16.4" hidden="false" customHeight="false" outlineLevel="0" collapsed="false">
      <c r="A1823" s="13" t="str">
        <f aca="false">""</f>
        <v/>
      </c>
      <c r="B1823" s="13" t="n">
        <f aca="false">355</f>
        <v>355</v>
      </c>
      <c r="C1823" s="13" t="n">
        <f aca="false">IF(Szenarien!$H$15="OK",(IFERROR(SUMIF(Nutzungsprofile!$B$6:$B$11,"Schulbetrieb",Nutzungsprofile!$G$6:$G$11)*Kalender!C359/SUM(Kalender!$C$5:$C$370),0)+IFERROR(SUMIF(Nutzungsprofile!$B$6:$B$11,"Halle",Nutzungsprofile!$G$6:$G$11)*Kalender!D359/SUM(Kalender!$D$5:$D$370),0)+IFERROR(SUMIF(Nutzungsprofile!$B$6:$B$11,"Individuell",Nutzungsprofile!$G$6:$G$11)*Kalender!E359/SUM(Kalender!$E$5:$E$370),0))*Szenarien!$E$15,0)</f>
        <v>0</v>
      </c>
      <c r="D1823" s="13" t="n">
        <f aca="false">IF(Szenarien!$H$15="OK",(IFERROR(SUMIF(Nutzungsprofile!$B$17:$B$22,"Schulbetrieb",Nutzungsprofile!$G$17:$G$22)*Kalender!C359/SUM(Kalender!$C$5:$C$370),0)+IFERROR(SUMIF(Nutzungsprofile!$B$17:$B$22,"Halle",Nutzungsprofile!$G$17:$G$22)*Kalender!D359/SUM(Kalender!$D$5:$D$370),0)+IFERROR(SUMIF(Nutzungsprofile!$B$17:$B$22,"Individuell",Nutzungsprofile!$G$17:$G$22)*Kalender!E359/SUM(Kalender!$E$5:$E$370),0))*Szenarien!$D$15,0)</f>
        <v>0</v>
      </c>
      <c r="E1823" s="13" t="n">
        <f aca="false">IFERROR(MIN(C1823,Eingaben!$B$17)*Eingaben!$B$16,0)</f>
        <v>0</v>
      </c>
      <c r="F1823" s="13" t="n">
        <f aca="false">IFERROR(E1823*Eingaben!$B$15,0)</f>
        <v>0</v>
      </c>
      <c r="G1823" s="13" t="n">
        <f aca="false">IFERROR(IF(Kalender!A359="",0,J1822*(1-Eingaben!$B$20)),0)</f>
        <v>0</v>
      </c>
      <c r="H1823" s="13" t="n">
        <f aca="false">MIN(G1823,D1823)</f>
        <v>0</v>
      </c>
      <c r="I1823" s="13" t="n">
        <f aca="false">IFERROR(MIN(F1823*Eingaben!$B$19,MAX(0,D1823-H1823)),0)</f>
        <v>0</v>
      </c>
      <c r="J1823" s="13" t="n">
        <f aca="false">IFERROR(MIN(Eingaben!$B$18,MAX(0,F1823-I1823)),0)</f>
        <v>0</v>
      </c>
      <c r="K1823" s="13" t="n">
        <f aca="false">H1823+I1823</f>
        <v>0</v>
      </c>
      <c r="L1823" s="13" t="n">
        <f aca="false">MAX(0,D1823-K1823)</f>
        <v>0</v>
      </c>
      <c r="M1823" s="13" t="n">
        <f aca="false">MAX(0,F1823-I1823-J1823)</f>
        <v>0</v>
      </c>
      <c r="N1823" s="13" t="n">
        <f aca="false">IF(Kalender!A359="",0,J1822-H1823)</f>
        <v>0</v>
      </c>
    </row>
    <row r="1824" customFormat="false" ht="16.4" hidden="false" customHeight="false" outlineLevel="0" collapsed="false">
      <c r="A1824" s="13" t="str">
        <f aca="false">""</f>
        <v/>
      </c>
      <c r="B1824" s="13" t="n">
        <f aca="false">356</f>
        <v>356</v>
      </c>
      <c r="C1824" s="13" t="n">
        <f aca="false">IF(Szenarien!$H$15="OK",(IFERROR(SUMIF(Nutzungsprofile!$B$6:$B$11,"Schulbetrieb",Nutzungsprofile!$G$6:$G$11)*Kalender!C360/SUM(Kalender!$C$5:$C$370),0)+IFERROR(SUMIF(Nutzungsprofile!$B$6:$B$11,"Halle",Nutzungsprofile!$G$6:$G$11)*Kalender!D360/SUM(Kalender!$D$5:$D$370),0)+IFERROR(SUMIF(Nutzungsprofile!$B$6:$B$11,"Individuell",Nutzungsprofile!$G$6:$G$11)*Kalender!E360/SUM(Kalender!$E$5:$E$370),0))*Szenarien!$E$15,0)</f>
        <v>0</v>
      </c>
      <c r="D1824" s="13" t="n">
        <f aca="false">IF(Szenarien!$H$15="OK",(IFERROR(SUMIF(Nutzungsprofile!$B$17:$B$22,"Schulbetrieb",Nutzungsprofile!$G$17:$G$22)*Kalender!C360/SUM(Kalender!$C$5:$C$370),0)+IFERROR(SUMIF(Nutzungsprofile!$B$17:$B$22,"Halle",Nutzungsprofile!$G$17:$G$22)*Kalender!D360/SUM(Kalender!$D$5:$D$370),0)+IFERROR(SUMIF(Nutzungsprofile!$B$17:$B$22,"Individuell",Nutzungsprofile!$G$17:$G$22)*Kalender!E360/SUM(Kalender!$E$5:$E$370),0))*Szenarien!$D$15,0)</f>
        <v>0</v>
      </c>
      <c r="E1824" s="13" t="n">
        <f aca="false">IFERROR(MIN(C1824,Eingaben!$B$17)*Eingaben!$B$16,0)</f>
        <v>0</v>
      </c>
      <c r="F1824" s="13" t="n">
        <f aca="false">IFERROR(E1824*Eingaben!$B$15,0)</f>
        <v>0</v>
      </c>
      <c r="G1824" s="13" t="n">
        <f aca="false">IFERROR(IF(Kalender!A360="",0,J1823*(1-Eingaben!$B$20)),0)</f>
        <v>0</v>
      </c>
      <c r="H1824" s="13" t="n">
        <f aca="false">MIN(G1824,D1824)</f>
        <v>0</v>
      </c>
      <c r="I1824" s="13" t="n">
        <f aca="false">IFERROR(MIN(F1824*Eingaben!$B$19,MAX(0,D1824-H1824)),0)</f>
        <v>0</v>
      </c>
      <c r="J1824" s="13" t="n">
        <f aca="false">IFERROR(MIN(Eingaben!$B$18,MAX(0,F1824-I1824)),0)</f>
        <v>0</v>
      </c>
      <c r="K1824" s="13" t="n">
        <f aca="false">H1824+I1824</f>
        <v>0</v>
      </c>
      <c r="L1824" s="13" t="n">
        <f aca="false">MAX(0,D1824-K1824)</f>
        <v>0</v>
      </c>
      <c r="M1824" s="13" t="n">
        <f aca="false">MAX(0,F1824-I1824-J1824)</f>
        <v>0</v>
      </c>
      <c r="N1824" s="13" t="n">
        <f aca="false">IF(Kalender!A360="",0,J1823-H1824)</f>
        <v>0</v>
      </c>
    </row>
    <row r="1825" customFormat="false" ht="16.4" hidden="false" customHeight="false" outlineLevel="0" collapsed="false">
      <c r="A1825" s="13" t="str">
        <f aca="false">""</f>
        <v/>
      </c>
      <c r="B1825" s="13" t="n">
        <f aca="false">357</f>
        <v>357</v>
      </c>
      <c r="C1825" s="13" t="n">
        <f aca="false">IF(Szenarien!$H$15="OK",(IFERROR(SUMIF(Nutzungsprofile!$B$6:$B$11,"Schulbetrieb",Nutzungsprofile!$G$6:$G$11)*Kalender!C361/SUM(Kalender!$C$5:$C$370),0)+IFERROR(SUMIF(Nutzungsprofile!$B$6:$B$11,"Halle",Nutzungsprofile!$G$6:$G$11)*Kalender!D361/SUM(Kalender!$D$5:$D$370),0)+IFERROR(SUMIF(Nutzungsprofile!$B$6:$B$11,"Individuell",Nutzungsprofile!$G$6:$G$11)*Kalender!E361/SUM(Kalender!$E$5:$E$370),0))*Szenarien!$E$15,0)</f>
        <v>0</v>
      </c>
      <c r="D1825" s="13" t="n">
        <f aca="false">IF(Szenarien!$H$15="OK",(IFERROR(SUMIF(Nutzungsprofile!$B$17:$B$22,"Schulbetrieb",Nutzungsprofile!$G$17:$G$22)*Kalender!C361/SUM(Kalender!$C$5:$C$370),0)+IFERROR(SUMIF(Nutzungsprofile!$B$17:$B$22,"Halle",Nutzungsprofile!$G$17:$G$22)*Kalender!D361/SUM(Kalender!$D$5:$D$370),0)+IFERROR(SUMIF(Nutzungsprofile!$B$17:$B$22,"Individuell",Nutzungsprofile!$G$17:$G$22)*Kalender!E361/SUM(Kalender!$E$5:$E$370),0))*Szenarien!$D$15,0)</f>
        <v>0</v>
      </c>
      <c r="E1825" s="13" t="n">
        <f aca="false">IFERROR(MIN(C1825,Eingaben!$B$17)*Eingaben!$B$16,0)</f>
        <v>0</v>
      </c>
      <c r="F1825" s="13" t="n">
        <f aca="false">IFERROR(E1825*Eingaben!$B$15,0)</f>
        <v>0</v>
      </c>
      <c r="G1825" s="13" t="n">
        <f aca="false">IFERROR(IF(Kalender!A361="",0,J1824*(1-Eingaben!$B$20)),0)</f>
        <v>0</v>
      </c>
      <c r="H1825" s="13" t="n">
        <f aca="false">MIN(G1825,D1825)</f>
        <v>0</v>
      </c>
      <c r="I1825" s="13" t="n">
        <f aca="false">IFERROR(MIN(F1825*Eingaben!$B$19,MAX(0,D1825-H1825)),0)</f>
        <v>0</v>
      </c>
      <c r="J1825" s="13" t="n">
        <f aca="false">IFERROR(MIN(Eingaben!$B$18,MAX(0,F1825-I1825)),0)</f>
        <v>0</v>
      </c>
      <c r="K1825" s="13" t="n">
        <f aca="false">H1825+I1825</f>
        <v>0</v>
      </c>
      <c r="L1825" s="13" t="n">
        <f aca="false">MAX(0,D1825-K1825)</f>
        <v>0</v>
      </c>
      <c r="M1825" s="13" t="n">
        <f aca="false">MAX(0,F1825-I1825-J1825)</f>
        <v>0</v>
      </c>
      <c r="N1825" s="13" t="n">
        <f aca="false">IF(Kalender!A361="",0,J1824-H1825)</f>
        <v>0</v>
      </c>
    </row>
    <row r="1826" customFormat="false" ht="16.4" hidden="false" customHeight="false" outlineLevel="0" collapsed="false">
      <c r="A1826" s="13" t="str">
        <f aca="false">""</f>
        <v/>
      </c>
      <c r="B1826" s="13" t="n">
        <f aca="false">358</f>
        <v>358</v>
      </c>
      <c r="C1826" s="13" t="n">
        <f aca="false">IF(Szenarien!$H$15="OK",(IFERROR(SUMIF(Nutzungsprofile!$B$6:$B$11,"Schulbetrieb",Nutzungsprofile!$G$6:$G$11)*Kalender!C362/SUM(Kalender!$C$5:$C$370),0)+IFERROR(SUMIF(Nutzungsprofile!$B$6:$B$11,"Halle",Nutzungsprofile!$G$6:$G$11)*Kalender!D362/SUM(Kalender!$D$5:$D$370),0)+IFERROR(SUMIF(Nutzungsprofile!$B$6:$B$11,"Individuell",Nutzungsprofile!$G$6:$G$11)*Kalender!E362/SUM(Kalender!$E$5:$E$370),0))*Szenarien!$E$15,0)</f>
        <v>0</v>
      </c>
      <c r="D1826" s="13" t="n">
        <f aca="false">IF(Szenarien!$H$15="OK",(IFERROR(SUMIF(Nutzungsprofile!$B$17:$B$22,"Schulbetrieb",Nutzungsprofile!$G$17:$G$22)*Kalender!C362/SUM(Kalender!$C$5:$C$370),0)+IFERROR(SUMIF(Nutzungsprofile!$B$17:$B$22,"Halle",Nutzungsprofile!$G$17:$G$22)*Kalender!D362/SUM(Kalender!$D$5:$D$370),0)+IFERROR(SUMIF(Nutzungsprofile!$B$17:$B$22,"Individuell",Nutzungsprofile!$G$17:$G$22)*Kalender!E362/SUM(Kalender!$E$5:$E$370),0))*Szenarien!$D$15,0)</f>
        <v>0</v>
      </c>
      <c r="E1826" s="13" t="n">
        <f aca="false">IFERROR(MIN(C1826,Eingaben!$B$17)*Eingaben!$B$16,0)</f>
        <v>0</v>
      </c>
      <c r="F1826" s="13" t="n">
        <f aca="false">IFERROR(E1826*Eingaben!$B$15,0)</f>
        <v>0</v>
      </c>
      <c r="G1826" s="13" t="n">
        <f aca="false">IFERROR(IF(Kalender!A362="",0,J1825*(1-Eingaben!$B$20)),0)</f>
        <v>0</v>
      </c>
      <c r="H1826" s="13" t="n">
        <f aca="false">MIN(G1826,D1826)</f>
        <v>0</v>
      </c>
      <c r="I1826" s="13" t="n">
        <f aca="false">IFERROR(MIN(F1826*Eingaben!$B$19,MAX(0,D1826-H1826)),0)</f>
        <v>0</v>
      </c>
      <c r="J1826" s="13" t="n">
        <f aca="false">IFERROR(MIN(Eingaben!$B$18,MAX(0,F1826-I1826)),0)</f>
        <v>0</v>
      </c>
      <c r="K1826" s="13" t="n">
        <f aca="false">H1826+I1826</f>
        <v>0</v>
      </c>
      <c r="L1826" s="13" t="n">
        <f aca="false">MAX(0,D1826-K1826)</f>
        <v>0</v>
      </c>
      <c r="M1826" s="13" t="n">
        <f aca="false">MAX(0,F1826-I1826-J1826)</f>
        <v>0</v>
      </c>
      <c r="N1826" s="13" t="n">
        <f aca="false">IF(Kalender!A362="",0,J1825-H1826)</f>
        <v>0</v>
      </c>
    </row>
    <row r="1827" customFormat="false" ht="16.4" hidden="false" customHeight="false" outlineLevel="0" collapsed="false">
      <c r="A1827" s="13" t="str">
        <f aca="false">""</f>
        <v/>
      </c>
      <c r="B1827" s="13" t="n">
        <f aca="false">359</f>
        <v>359</v>
      </c>
      <c r="C1827" s="13" t="n">
        <f aca="false">IF(Szenarien!$H$15="OK",(IFERROR(SUMIF(Nutzungsprofile!$B$6:$B$11,"Schulbetrieb",Nutzungsprofile!$G$6:$G$11)*Kalender!C363/SUM(Kalender!$C$5:$C$370),0)+IFERROR(SUMIF(Nutzungsprofile!$B$6:$B$11,"Halle",Nutzungsprofile!$G$6:$G$11)*Kalender!D363/SUM(Kalender!$D$5:$D$370),0)+IFERROR(SUMIF(Nutzungsprofile!$B$6:$B$11,"Individuell",Nutzungsprofile!$G$6:$G$11)*Kalender!E363/SUM(Kalender!$E$5:$E$370),0))*Szenarien!$E$15,0)</f>
        <v>0</v>
      </c>
      <c r="D1827" s="13" t="n">
        <f aca="false">IF(Szenarien!$H$15="OK",(IFERROR(SUMIF(Nutzungsprofile!$B$17:$B$22,"Schulbetrieb",Nutzungsprofile!$G$17:$G$22)*Kalender!C363/SUM(Kalender!$C$5:$C$370),0)+IFERROR(SUMIF(Nutzungsprofile!$B$17:$B$22,"Halle",Nutzungsprofile!$G$17:$G$22)*Kalender!D363/SUM(Kalender!$D$5:$D$370),0)+IFERROR(SUMIF(Nutzungsprofile!$B$17:$B$22,"Individuell",Nutzungsprofile!$G$17:$G$22)*Kalender!E363/SUM(Kalender!$E$5:$E$370),0))*Szenarien!$D$15,0)</f>
        <v>0</v>
      </c>
      <c r="E1827" s="13" t="n">
        <f aca="false">IFERROR(MIN(C1827,Eingaben!$B$17)*Eingaben!$B$16,0)</f>
        <v>0</v>
      </c>
      <c r="F1827" s="13" t="n">
        <f aca="false">IFERROR(E1827*Eingaben!$B$15,0)</f>
        <v>0</v>
      </c>
      <c r="G1827" s="13" t="n">
        <f aca="false">IFERROR(IF(Kalender!A363="",0,J1826*(1-Eingaben!$B$20)),0)</f>
        <v>0</v>
      </c>
      <c r="H1827" s="13" t="n">
        <f aca="false">MIN(G1827,D1827)</f>
        <v>0</v>
      </c>
      <c r="I1827" s="13" t="n">
        <f aca="false">IFERROR(MIN(F1827*Eingaben!$B$19,MAX(0,D1827-H1827)),0)</f>
        <v>0</v>
      </c>
      <c r="J1827" s="13" t="n">
        <f aca="false">IFERROR(MIN(Eingaben!$B$18,MAX(0,F1827-I1827)),0)</f>
        <v>0</v>
      </c>
      <c r="K1827" s="13" t="n">
        <f aca="false">H1827+I1827</f>
        <v>0</v>
      </c>
      <c r="L1827" s="13" t="n">
        <f aca="false">MAX(0,D1827-K1827)</f>
        <v>0</v>
      </c>
      <c r="M1827" s="13" t="n">
        <f aca="false">MAX(0,F1827-I1827-J1827)</f>
        <v>0</v>
      </c>
      <c r="N1827" s="13" t="n">
        <f aca="false">IF(Kalender!A363="",0,J1826-H1827)</f>
        <v>0</v>
      </c>
    </row>
    <row r="1828" customFormat="false" ht="16.4" hidden="false" customHeight="false" outlineLevel="0" collapsed="false">
      <c r="A1828" s="13" t="str">
        <f aca="false">""</f>
        <v/>
      </c>
      <c r="B1828" s="13" t="n">
        <f aca="false">360</f>
        <v>360</v>
      </c>
      <c r="C1828" s="13" t="n">
        <f aca="false">IF(Szenarien!$H$15="OK",(IFERROR(SUMIF(Nutzungsprofile!$B$6:$B$11,"Schulbetrieb",Nutzungsprofile!$G$6:$G$11)*Kalender!C364/SUM(Kalender!$C$5:$C$370),0)+IFERROR(SUMIF(Nutzungsprofile!$B$6:$B$11,"Halle",Nutzungsprofile!$G$6:$G$11)*Kalender!D364/SUM(Kalender!$D$5:$D$370),0)+IFERROR(SUMIF(Nutzungsprofile!$B$6:$B$11,"Individuell",Nutzungsprofile!$G$6:$G$11)*Kalender!E364/SUM(Kalender!$E$5:$E$370),0))*Szenarien!$E$15,0)</f>
        <v>0</v>
      </c>
      <c r="D1828" s="13" t="n">
        <f aca="false">IF(Szenarien!$H$15="OK",(IFERROR(SUMIF(Nutzungsprofile!$B$17:$B$22,"Schulbetrieb",Nutzungsprofile!$G$17:$G$22)*Kalender!C364/SUM(Kalender!$C$5:$C$370),0)+IFERROR(SUMIF(Nutzungsprofile!$B$17:$B$22,"Halle",Nutzungsprofile!$G$17:$G$22)*Kalender!D364/SUM(Kalender!$D$5:$D$370),0)+IFERROR(SUMIF(Nutzungsprofile!$B$17:$B$22,"Individuell",Nutzungsprofile!$G$17:$G$22)*Kalender!E364/SUM(Kalender!$E$5:$E$370),0))*Szenarien!$D$15,0)</f>
        <v>0</v>
      </c>
      <c r="E1828" s="13" t="n">
        <f aca="false">IFERROR(MIN(C1828,Eingaben!$B$17)*Eingaben!$B$16,0)</f>
        <v>0</v>
      </c>
      <c r="F1828" s="13" t="n">
        <f aca="false">IFERROR(E1828*Eingaben!$B$15,0)</f>
        <v>0</v>
      </c>
      <c r="G1828" s="13" t="n">
        <f aca="false">IFERROR(IF(Kalender!A364="",0,J1827*(1-Eingaben!$B$20)),0)</f>
        <v>0</v>
      </c>
      <c r="H1828" s="13" t="n">
        <f aca="false">MIN(G1828,D1828)</f>
        <v>0</v>
      </c>
      <c r="I1828" s="13" t="n">
        <f aca="false">IFERROR(MIN(F1828*Eingaben!$B$19,MAX(0,D1828-H1828)),0)</f>
        <v>0</v>
      </c>
      <c r="J1828" s="13" t="n">
        <f aca="false">IFERROR(MIN(Eingaben!$B$18,MAX(0,F1828-I1828)),0)</f>
        <v>0</v>
      </c>
      <c r="K1828" s="13" t="n">
        <f aca="false">H1828+I1828</f>
        <v>0</v>
      </c>
      <c r="L1828" s="13" t="n">
        <f aca="false">MAX(0,D1828-K1828)</f>
        <v>0</v>
      </c>
      <c r="M1828" s="13" t="n">
        <f aca="false">MAX(0,F1828-I1828-J1828)</f>
        <v>0</v>
      </c>
      <c r="N1828" s="13" t="n">
        <f aca="false">IF(Kalender!A364="",0,J1827-H1828)</f>
        <v>0</v>
      </c>
    </row>
    <row r="1829" customFormat="false" ht="16.4" hidden="false" customHeight="false" outlineLevel="0" collapsed="false">
      <c r="A1829" s="13" t="str">
        <f aca="false">""</f>
        <v/>
      </c>
      <c r="B1829" s="13" t="n">
        <f aca="false">361</f>
        <v>361</v>
      </c>
      <c r="C1829" s="13" t="n">
        <f aca="false">IF(Szenarien!$H$15="OK",(IFERROR(SUMIF(Nutzungsprofile!$B$6:$B$11,"Schulbetrieb",Nutzungsprofile!$G$6:$G$11)*Kalender!C365/SUM(Kalender!$C$5:$C$370),0)+IFERROR(SUMIF(Nutzungsprofile!$B$6:$B$11,"Halle",Nutzungsprofile!$G$6:$G$11)*Kalender!D365/SUM(Kalender!$D$5:$D$370),0)+IFERROR(SUMIF(Nutzungsprofile!$B$6:$B$11,"Individuell",Nutzungsprofile!$G$6:$G$11)*Kalender!E365/SUM(Kalender!$E$5:$E$370),0))*Szenarien!$E$15,0)</f>
        <v>0</v>
      </c>
      <c r="D1829" s="13" t="n">
        <f aca="false">IF(Szenarien!$H$15="OK",(IFERROR(SUMIF(Nutzungsprofile!$B$17:$B$22,"Schulbetrieb",Nutzungsprofile!$G$17:$G$22)*Kalender!C365/SUM(Kalender!$C$5:$C$370),0)+IFERROR(SUMIF(Nutzungsprofile!$B$17:$B$22,"Halle",Nutzungsprofile!$G$17:$G$22)*Kalender!D365/SUM(Kalender!$D$5:$D$370),0)+IFERROR(SUMIF(Nutzungsprofile!$B$17:$B$22,"Individuell",Nutzungsprofile!$G$17:$G$22)*Kalender!E365/SUM(Kalender!$E$5:$E$370),0))*Szenarien!$D$15,0)</f>
        <v>0</v>
      </c>
      <c r="E1829" s="13" t="n">
        <f aca="false">IFERROR(MIN(C1829,Eingaben!$B$17)*Eingaben!$B$16,0)</f>
        <v>0</v>
      </c>
      <c r="F1829" s="13" t="n">
        <f aca="false">IFERROR(E1829*Eingaben!$B$15,0)</f>
        <v>0</v>
      </c>
      <c r="G1829" s="13" t="n">
        <f aca="false">IFERROR(IF(Kalender!A365="",0,J1828*(1-Eingaben!$B$20)),0)</f>
        <v>0</v>
      </c>
      <c r="H1829" s="13" t="n">
        <f aca="false">MIN(G1829,D1829)</f>
        <v>0</v>
      </c>
      <c r="I1829" s="13" t="n">
        <f aca="false">IFERROR(MIN(F1829*Eingaben!$B$19,MAX(0,D1829-H1829)),0)</f>
        <v>0</v>
      </c>
      <c r="J1829" s="13" t="n">
        <f aca="false">IFERROR(MIN(Eingaben!$B$18,MAX(0,F1829-I1829)),0)</f>
        <v>0</v>
      </c>
      <c r="K1829" s="13" t="n">
        <f aca="false">H1829+I1829</f>
        <v>0</v>
      </c>
      <c r="L1829" s="13" t="n">
        <f aca="false">MAX(0,D1829-K1829)</f>
        <v>0</v>
      </c>
      <c r="M1829" s="13" t="n">
        <f aca="false">MAX(0,F1829-I1829-J1829)</f>
        <v>0</v>
      </c>
      <c r="N1829" s="13" t="n">
        <f aca="false">IF(Kalender!A365="",0,J1828-H1829)</f>
        <v>0</v>
      </c>
    </row>
    <row r="1830" customFormat="false" ht="16.4" hidden="false" customHeight="false" outlineLevel="0" collapsed="false">
      <c r="A1830" s="13" t="str">
        <f aca="false">""</f>
        <v/>
      </c>
      <c r="B1830" s="13" t="n">
        <f aca="false">362</f>
        <v>362</v>
      </c>
      <c r="C1830" s="13" t="n">
        <f aca="false">IF(Szenarien!$H$15="OK",(IFERROR(SUMIF(Nutzungsprofile!$B$6:$B$11,"Schulbetrieb",Nutzungsprofile!$G$6:$G$11)*Kalender!C366/SUM(Kalender!$C$5:$C$370),0)+IFERROR(SUMIF(Nutzungsprofile!$B$6:$B$11,"Halle",Nutzungsprofile!$G$6:$G$11)*Kalender!D366/SUM(Kalender!$D$5:$D$370),0)+IFERROR(SUMIF(Nutzungsprofile!$B$6:$B$11,"Individuell",Nutzungsprofile!$G$6:$G$11)*Kalender!E366/SUM(Kalender!$E$5:$E$370),0))*Szenarien!$E$15,0)</f>
        <v>0</v>
      </c>
      <c r="D1830" s="13" t="n">
        <f aca="false">IF(Szenarien!$H$15="OK",(IFERROR(SUMIF(Nutzungsprofile!$B$17:$B$22,"Schulbetrieb",Nutzungsprofile!$G$17:$G$22)*Kalender!C366/SUM(Kalender!$C$5:$C$370),0)+IFERROR(SUMIF(Nutzungsprofile!$B$17:$B$22,"Halle",Nutzungsprofile!$G$17:$G$22)*Kalender!D366/SUM(Kalender!$D$5:$D$370),0)+IFERROR(SUMIF(Nutzungsprofile!$B$17:$B$22,"Individuell",Nutzungsprofile!$G$17:$G$22)*Kalender!E366/SUM(Kalender!$E$5:$E$370),0))*Szenarien!$D$15,0)</f>
        <v>0</v>
      </c>
      <c r="E1830" s="13" t="n">
        <f aca="false">IFERROR(MIN(C1830,Eingaben!$B$17)*Eingaben!$B$16,0)</f>
        <v>0</v>
      </c>
      <c r="F1830" s="13" t="n">
        <f aca="false">IFERROR(E1830*Eingaben!$B$15,0)</f>
        <v>0</v>
      </c>
      <c r="G1830" s="13" t="n">
        <f aca="false">IFERROR(IF(Kalender!A366="",0,J1829*(1-Eingaben!$B$20)),0)</f>
        <v>0</v>
      </c>
      <c r="H1830" s="13" t="n">
        <f aca="false">MIN(G1830,D1830)</f>
        <v>0</v>
      </c>
      <c r="I1830" s="13" t="n">
        <f aca="false">IFERROR(MIN(F1830*Eingaben!$B$19,MAX(0,D1830-H1830)),0)</f>
        <v>0</v>
      </c>
      <c r="J1830" s="13" t="n">
        <f aca="false">IFERROR(MIN(Eingaben!$B$18,MAX(0,F1830-I1830)),0)</f>
        <v>0</v>
      </c>
      <c r="K1830" s="13" t="n">
        <f aca="false">H1830+I1830</f>
        <v>0</v>
      </c>
      <c r="L1830" s="13" t="n">
        <f aca="false">MAX(0,D1830-K1830)</f>
        <v>0</v>
      </c>
      <c r="M1830" s="13" t="n">
        <f aca="false">MAX(0,F1830-I1830-J1830)</f>
        <v>0</v>
      </c>
      <c r="N1830" s="13" t="n">
        <f aca="false">IF(Kalender!A366="",0,J1829-H1830)</f>
        <v>0</v>
      </c>
    </row>
    <row r="1831" customFormat="false" ht="16.4" hidden="false" customHeight="false" outlineLevel="0" collapsed="false">
      <c r="A1831" s="13" t="str">
        <f aca="false">""</f>
        <v/>
      </c>
      <c r="B1831" s="13" t="n">
        <f aca="false">363</f>
        <v>363</v>
      </c>
      <c r="C1831" s="13" t="n">
        <f aca="false">IF(Szenarien!$H$15="OK",(IFERROR(SUMIF(Nutzungsprofile!$B$6:$B$11,"Schulbetrieb",Nutzungsprofile!$G$6:$G$11)*Kalender!C367/SUM(Kalender!$C$5:$C$370),0)+IFERROR(SUMIF(Nutzungsprofile!$B$6:$B$11,"Halle",Nutzungsprofile!$G$6:$G$11)*Kalender!D367/SUM(Kalender!$D$5:$D$370),0)+IFERROR(SUMIF(Nutzungsprofile!$B$6:$B$11,"Individuell",Nutzungsprofile!$G$6:$G$11)*Kalender!E367/SUM(Kalender!$E$5:$E$370),0))*Szenarien!$E$15,0)</f>
        <v>0</v>
      </c>
      <c r="D1831" s="13" t="n">
        <f aca="false">IF(Szenarien!$H$15="OK",(IFERROR(SUMIF(Nutzungsprofile!$B$17:$B$22,"Schulbetrieb",Nutzungsprofile!$G$17:$G$22)*Kalender!C367/SUM(Kalender!$C$5:$C$370),0)+IFERROR(SUMIF(Nutzungsprofile!$B$17:$B$22,"Halle",Nutzungsprofile!$G$17:$G$22)*Kalender!D367/SUM(Kalender!$D$5:$D$370),0)+IFERROR(SUMIF(Nutzungsprofile!$B$17:$B$22,"Individuell",Nutzungsprofile!$G$17:$G$22)*Kalender!E367/SUM(Kalender!$E$5:$E$370),0))*Szenarien!$D$15,0)</f>
        <v>0</v>
      </c>
      <c r="E1831" s="13" t="n">
        <f aca="false">IFERROR(MIN(C1831,Eingaben!$B$17)*Eingaben!$B$16,0)</f>
        <v>0</v>
      </c>
      <c r="F1831" s="13" t="n">
        <f aca="false">IFERROR(E1831*Eingaben!$B$15,0)</f>
        <v>0</v>
      </c>
      <c r="G1831" s="13" t="n">
        <f aca="false">IFERROR(IF(Kalender!A367="",0,J1830*(1-Eingaben!$B$20)),0)</f>
        <v>0</v>
      </c>
      <c r="H1831" s="13" t="n">
        <f aca="false">MIN(G1831,D1831)</f>
        <v>0</v>
      </c>
      <c r="I1831" s="13" t="n">
        <f aca="false">IFERROR(MIN(F1831*Eingaben!$B$19,MAX(0,D1831-H1831)),0)</f>
        <v>0</v>
      </c>
      <c r="J1831" s="13" t="n">
        <f aca="false">IFERROR(MIN(Eingaben!$B$18,MAX(0,F1831-I1831)),0)</f>
        <v>0</v>
      </c>
      <c r="K1831" s="13" t="n">
        <f aca="false">H1831+I1831</f>
        <v>0</v>
      </c>
      <c r="L1831" s="13" t="n">
        <f aca="false">MAX(0,D1831-K1831)</f>
        <v>0</v>
      </c>
      <c r="M1831" s="13" t="n">
        <f aca="false">MAX(0,F1831-I1831-J1831)</f>
        <v>0</v>
      </c>
      <c r="N1831" s="13" t="n">
        <f aca="false">IF(Kalender!A367="",0,J1830-H1831)</f>
        <v>0</v>
      </c>
    </row>
    <row r="1832" customFormat="false" ht="16.4" hidden="false" customHeight="false" outlineLevel="0" collapsed="false">
      <c r="A1832" s="13" t="str">
        <f aca="false">""</f>
        <v/>
      </c>
      <c r="B1832" s="13" t="n">
        <f aca="false">364</f>
        <v>364</v>
      </c>
      <c r="C1832" s="13" t="n">
        <f aca="false">IF(Szenarien!$H$15="OK",(IFERROR(SUMIF(Nutzungsprofile!$B$6:$B$11,"Schulbetrieb",Nutzungsprofile!$G$6:$G$11)*Kalender!C368/SUM(Kalender!$C$5:$C$370),0)+IFERROR(SUMIF(Nutzungsprofile!$B$6:$B$11,"Halle",Nutzungsprofile!$G$6:$G$11)*Kalender!D368/SUM(Kalender!$D$5:$D$370),0)+IFERROR(SUMIF(Nutzungsprofile!$B$6:$B$11,"Individuell",Nutzungsprofile!$G$6:$G$11)*Kalender!E368/SUM(Kalender!$E$5:$E$370),0))*Szenarien!$E$15,0)</f>
        <v>0</v>
      </c>
      <c r="D1832" s="13" t="n">
        <f aca="false">IF(Szenarien!$H$15="OK",(IFERROR(SUMIF(Nutzungsprofile!$B$17:$B$22,"Schulbetrieb",Nutzungsprofile!$G$17:$G$22)*Kalender!C368/SUM(Kalender!$C$5:$C$370),0)+IFERROR(SUMIF(Nutzungsprofile!$B$17:$B$22,"Halle",Nutzungsprofile!$G$17:$G$22)*Kalender!D368/SUM(Kalender!$D$5:$D$370),0)+IFERROR(SUMIF(Nutzungsprofile!$B$17:$B$22,"Individuell",Nutzungsprofile!$G$17:$G$22)*Kalender!E368/SUM(Kalender!$E$5:$E$370),0))*Szenarien!$D$15,0)</f>
        <v>0</v>
      </c>
      <c r="E1832" s="13" t="n">
        <f aca="false">IFERROR(MIN(C1832,Eingaben!$B$17)*Eingaben!$B$16,0)</f>
        <v>0</v>
      </c>
      <c r="F1832" s="13" t="n">
        <f aca="false">IFERROR(E1832*Eingaben!$B$15,0)</f>
        <v>0</v>
      </c>
      <c r="G1832" s="13" t="n">
        <f aca="false">IFERROR(IF(Kalender!A368="",0,J1831*(1-Eingaben!$B$20)),0)</f>
        <v>0</v>
      </c>
      <c r="H1832" s="13" t="n">
        <f aca="false">MIN(G1832,D1832)</f>
        <v>0</v>
      </c>
      <c r="I1832" s="13" t="n">
        <f aca="false">IFERROR(MIN(F1832*Eingaben!$B$19,MAX(0,D1832-H1832)),0)</f>
        <v>0</v>
      </c>
      <c r="J1832" s="13" t="n">
        <f aca="false">IFERROR(MIN(Eingaben!$B$18,MAX(0,F1832-I1832)),0)</f>
        <v>0</v>
      </c>
      <c r="K1832" s="13" t="n">
        <f aca="false">H1832+I1832</f>
        <v>0</v>
      </c>
      <c r="L1832" s="13" t="n">
        <f aca="false">MAX(0,D1832-K1832)</f>
        <v>0</v>
      </c>
      <c r="M1832" s="13" t="n">
        <f aca="false">MAX(0,F1832-I1832-J1832)</f>
        <v>0</v>
      </c>
      <c r="N1832" s="13" t="n">
        <f aca="false">IF(Kalender!A368="",0,J1831-H1832)</f>
        <v>0</v>
      </c>
    </row>
    <row r="1833" customFormat="false" ht="16.4" hidden="false" customHeight="false" outlineLevel="0" collapsed="false">
      <c r="A1833" s="13" t="str">
        <f aca="false">""</f>
        <v/>
      </c>
      <c r="B1833" s="13" t="n">
        <f aca="false">365</f>
        <v>365</v>
      </c>
      <c r="C1833" s="13" t="n">
        <f aca="false">IF(Szenarien!$H$15="OK",(IFERROR(SUMIF(Nutzungsprofile!$B$6:$B$11,"Schulbetrieb",Nutzungsprofile!$G$6:$G$11)*Kalender!C369/SUM(Kalender!$C$5:$C$370),0)+IFERROR(SUMIF(Nutzungsprofile!$B$6:$B$11,"Halle",Nutzungsprofile!$G$6:$G$11)*Kalender!D369/SUM(Kalender!$D$5:$D$370),0)+IFERROR(SUMIF(Nutzungsprofile!$B$6:$B$11,"Individuell",Nutzungsprofile!$G$6:$G$11)*Kalender!E369/SUM(Kalender!$E$5:$E$370),0))*Szenarien!$E$15,0)</f>
        <v>0</v>
      </c>
      <c r="D1833" s="13" t="n">
        <f aca="false">IF(Szenarien!$H$15="OK",(IFERROR(SUMIF(Nutzungsprofile!$B$17:$B$22,"Schulbetrieb",Nutzungsprofile!$G$17:$G$22)*Kalender!C369/SUM(Kalender!$C$5:$C$370),0)+IFERROR(SUMIF(Nutzungsprofile!$B$17:$B$22,"Halle",Nutzungsprofile!$G$17:$G$22)*Kalender!D369/SUM(Kalender!$D$5:$D$370),0)+IFERROR(SUMIF(Nutzungsprofile!$B$17:$B$22,"Individuell",Nutzungsprofile!$G$17:$G$22)*Kalender!E369/SUM(Kalender!$E$5:$E$370),0))*Szenarien!$D$15,0)</f>
        <v>0</v>
      </c>
      <c r="E1833" s="13" t="n">
        <f aca="false">IFERROR(MIN(C1833,Eingaben!$B$17)*Eingaben!$B$16,0)</f>
        <v>0</v>
      </c>
      <c r="F1833" s="13" t="n">
        <f aca="false">IFERROR(E1833*Eingaben!$B$15,0)</f>
        <v>0</v>
      </c>
      <c r="G1833" s="13" t="n">
        <f aca="false">IFERROR(IF(Kalender!A369="",0,J1832*(1-Eingaben!$B$20)),0)</f>
        <v>0</v>
      </c>
      <c r="H1833" s="13" t="n">
        <f aca="false">MIN(G1833,D1833)</f>
        <v>0</v>
      </c>
      <c r="I1833" s="13" t="n">
        <f aca="false">IFERROR(MIN(F1833*Eingaben!$B$19,MAX(0,D1833-H1833)),0)</f>
        <v>0</v>
      </c>
      <c r="J1833" s="13" t="n">
        <f aca="false">IFERROR(MIN(Eingaben!$B$18,MAX(0,F1833-I1833)),0)</f>
        <v>0</v>
      </c>
      <c r="K1833" s="13" t="n">
        <f aca="false">H1833+I1833</f>
        <v>0</v>
      </c>
      <c r="L1833" s="13" t="n">
        <f aca="false">MAX(0,D1833-K1833)</f>
        <v>0</v>
      </c>
      <c r="M1833" s="13" t="n">
        <f aca="false">MAX(0,F1833-I1833-J1833)</f>
        <v>0</v>
      </c>
      <c r="N1833" s="13" t="n">
        <f aca="false">IF(Kalender!A369="",0,J1832-H1833)</f>
        <v>0</v>
      </c>
    </row>
    <row r="1834" customFormat="false" ht="16.4" hidden="false" customHeight="false" outlineLevel="0" collapsed="false">
      <c r="A1834" s="13" t="str">
        <f aca="false">""</f>
        <v/>
      </c>
      <c r="B1834" s="13" t="n">
        <f aca="false">366</f>
        <v>366</v>
      </c>
      <c r="C1834" s="13" t="n">
        <f aca="false">IF(Szenarien!$H$15="OK",(IFERROR(SUMIF(Nutzungsprofile!$B$6:$B$11,"Schulbetrieb",Nutzungsprofile!$G$6:$G$11)*Kalender!C370/SUM(Kalender!$C$5:$C$370),0)+IFERROR(SUMIF(Nutzungsprofile!$B$6:$B$11,"Halle",Nutzungsprofile!$G$6:$G$11)*Kalender!D370/SUM(Kalender!$D$5:$D$370),0)+IFERROR(SUMIF(Nutzungsprofile!$B$6:$B$11,"Individuell",Nutzungsprofile!$G$6:$G$11)*Kalender!E370/SUM(Kalender!$E$5:$E$370),0))*Szenarien!$E$15,0)</f>
        <v>0</v>
      </c>
      <c r="D1834" s="13" t="n">
        <f aca="false">IF(Szenarien!$H$15="OK",(IFERROR(SUMIF(Nutzungsprofile!$B$17:$B$22,"Schulbetrieb",Nutzungsprofile!$G$17:$G$22)*Kalender!C370/SUM(Kalender!$C$5:$C$370),0)+IFERROR(SUMIF(Nutzungsprofile!$B$17:$B$22,"Halle",Nutzungsprofile!$G$17:$G$22)*Kalender!D370/SUM(Kalender!$D$5:$D$370),0)+IFERROR(SUMIF(Nutzungsprofile!$B$17:$B$22,"Individuell",Nutzungsprofile!$G$17:$G$22)*Kalender!E370/SUM(Kalender!$E$5:$E$370),0))*Szenarien!$D$15,0)</f>
        <v>0</v>
      </c>
      <c r="E1834" s="13" t="n">
        <f aca="false">IFERROR(MIN(C1834,Eingaben!$B$17)*Eingaben!$B$16,0)</f>
        <v>0</v>
      </c>
      <c r="F1834" s="13" t="n">
        <f aca="false">IFERROR(E1834*Eingaben!$B$15,0)</f>
        <v>0</v>
      </c>
      <c r="G1834" s="13" t="n">
        <f aca="false">IFERROR(IF(Kalender!A370="",0,J1833*(1-Eingaben!$B$20)),0)</f>
        <v>0</v>
      </c>
      <c r="H1834" s="13" t="n">
        <f aca="false">MIN(G1834,D1834)</f>
        <v>0</v>
      </c>
      <c r="I1834" s="13" t="n">
        <f aca="false">IFERROR(MIN(F1834*Eingaben!$B$19,MAX(0,D1834-H1834)),0)</f>
        <v>0</v>
      </c>
      <c r="J1834" s="13" t="n">
        <f aca="false">IFERROR(MIN(Eingaben!$B$18,MAX(0,F1834-I1834)),0)</f>
        <v>0</v>
      </c>
      <c r="K1834" s="13" t="n">
        <f aca="false">H1834+I1834</f>
        <v>0</v>
      </c>
      <c r="L1834" s="13" t="n">
        <f aca="false">MAX(0,D1834-K1834)</f>
        <v>0</v>
      </c>
      <c r="M1834" s="13" t="n">
        <f aca="false">MAX(0,F1834-I1834-J1834)</f>
        <v>0</v>
      </c>
      <c r="N1834" s="13" t="n">
        <f aca="false">IF(Kalender!A370="",0,J1833-H1834)</f>
        <v>0</v>
      </c>
    </row>
    <row r="1835" customFormat="false" ht="31.3" hidden="false" customHeight="false" outlineLevel="0" collapsed="false">
      <c r="A1835" s="13" t="str">
        <f aca="false">"Trinkwasserpreis −20 %"</f>
        <v>Trinkwasserpreis −20 %</v>
      </c>
      <c r="B1835" s="13" t="n">
        <f aca="false">1</f>
        <v>1</v>
      </c>
      <c r="C1835" s="13" t="n">
        <f aca="false">IF(Szenarien!$H$16="OK",(IFERROR(SUMIF(Nutzungsprofile!$B$6:$B$11,"Schulbetrieb",Nutzungsprofile!$G$6:$G$11)*Kalender!C5/SUM(Kalender!$C$5:$C$370),0)+IFERROR(SUMIF(Nutzungsprofile!$B$6:$B$11,"Halle",Nutzungsprofile!$G$6:$G$11)*Kalender!D5/SUM(Kalender!$D$5:$D$370),0)+IFERROR(SUMIF(Nutzungsprofile!$B$6:$B$11,"Individuell",Nutzungsprofile!$G$6:$G$11)*Kalender!E5/SUM(Kalender!$E$5:$E$370),0))*Szenarien!$E$16,0)</f>
        <v>2.94</v>
      </c>
      <c r="D1835" s="13" t="n">
        <f aca="false">IF(Szenarien!$H$16="OK",(IFERROR(SUMIF(Nutzungsprofile!$B$17:$B$22,"Schulbetrieb",Nutzungsprofile!$G$17:$G$22)*Kalender!C5/SUM(Kalender!$C$5:$C$370),0)+IFERROR(SUMIF(Nutzungsprofile!$B$17:$B$22,"Halle",Nutzungsprofile!$G$17:$G$22)*Kalender!D5/SUM(Kalender!$D$5:$D$370),0)+IFERROR(SUMIF(Nutzungsprofile!$B$17:$B$22,"Individuell",Nutzungsprofile!$G$17:$G$22)*Kalender!E5/SUM(Kalender!$E$5:$E$370),0))*Szenarien!$D$16,0)</f>
        <v>4.94</v>
      </c>
      <c r="E1835" s="13" t="n">
        <f aca="false">IFERROR(MIN(C1835,Eingaben!$B$17)*Eingaben!$B$16,0)</f>
        <v>2.793</v>
      </c>
      <c r="F1835" s="13" t="n">
        <f aca="false">IFERROR(E1835*Eingaben!$B$15,0)</f>
        <v>2.5137</v>
      </c>
      <c r="G1835" s="13" t="n">
        <f aca="false">0</f>
        <v>0</v>
      </c>
      <c r="H1835" s="13" t="n">
        <f aca="false">MIN(G1835,D1835)</f>
        <v>0</v>
      </c>
      <c r="I1835" s="13" t="n">
        <f aca="false">IFERROR(MIN(F1835*Eingaben!$B$19,MAX(0,D1835-H1835)),0)</f>
        <v>1.75959</v>
      </c>
      <c r="J1835" s="13" t="n">
        <f aca="false">IFERROR(MIN(Eingaben!$B$18,MAX(0,F1835-I1835)),0)</f>
        <v>0.75411</v>
      </c>
      <c r="K1835" s="13" t="n">
        <f aca="false">H1835+I1835</f>
        <v>1.75959</v>
      </c>
      <c r="L1835" s="13" t="n">
        <f aca="false">MAX(0,D1835-K1835)</f>
        <v>3.18041</v>
      </c>
      <c r="M1835" s="13" t="n">
        <f aca="false">MAX(0,F1835-I1835-J1835)</f>
        <v>0</v>
      </c>
      <c r="N1835" s="13" t="n">
        <f aca="false">0</f>
        <v>0</v>
      </c>
    </row>
    <row r="1836" customFormat="false" ht="16.4" hidden="false" customHeight="false" outlineLevel="0" collapsed="false">
      <c r="A1836" s="13" t="str">
        <f aca="false">""</f>
        <v/>
      </c>
      <c r="B1836" s="13" t="n">
        <f aca="false">2</f>
        <v>2</v>
      </c>
      <c r="C1836" s="13" t="n">
        <f aca="false">IF(Szenarien!$H$16="OK",(IFERROR(SUMIF(Nutzungsprofile!$B$6:$B$11,"Schulbetrieb",Nutzungsprofile!$G$6:$G$11)*Kalender!C6/SUM(Kalender!$C$5:$C$370),0)+IFERROR(SUMIF(Nutzungsprofile!$B$6:$B$11,"Halle",Nutzungsprofile!$G$6:$G$11)*Kalender!D6/SUM(Kalender!$D$5:$D$370),0)+IFERROR(SUMIF(Nutzungsprofile!$B$6:$B$11,"Individuell",Nutzungsprofile!$G$6:$G$11)*Kalender!E6/SUM(Kalender!$E$5:$E$370),0))*Szenarien!$E$16,0)</f>
        <v>2.94</v>
      </c>
      <c r="D1836" s="13" t="n">
        <f aca="false">IF(Szenarien!$H$16="OK",(IFERROR(SUMIF(Nutzungsprofile!$B$17:$B$22,"Schulbetrieb",Nutzungsprofile!$G$17:$G$22)*Kalender!C6/SUM(Kalender!$C$5:$C$370),0)+IFERROR(SUMIF(Nutzungsprofile!$B$17:$B$22,"Halle",Nutzungsprofile!$G$17:$G$22)*Kalender!D6/SUM(Kalender!$D$5:$D$370),0)+IFERROR(SUMIF(Nutzungsprofile!$B$17:$B$22,"Individuell",Nutzungsprofile!$G$17:$G$22)*Kalender!E6/SUM(Kalender!$E$5:$E$370),0))*Szenarien!$D$16,0)</f>
        <v>4.94</v>
      </c>
      <c r="E1836" s="13" t="n">
        <f aca="false">IFERROR(MIN(C1836,Eingaben!$B$17)*Eingaben!$B$16,0)</f>
        <v>2.793</v>
      </c>
      <c r="F1836" s="13" t="n">
        <f aca="false">IFERROR(E1836*Eingaben!$B$15,0)</f>
        <v>2.5137</v>
      </c>
      <c r="G1836" s="13" t="n">
        <f aca="false">IFERROR(IF(Kalender!A6="",0,J1835*(1-Eingaben!$B$20)),0)</f>
        <v>0.7390278</v>
      </c>
      <c r="H1836" s="13" t="n">
        <f aca="false">MIN(G1836,D1836)</f>
        <v>0.7390278</v>
      </c>
      <c r="I1836" s="13" t="n">
        <f aca="false">IFERROR(MIN(F1836*Eingaben!$B$19,MAX(0,D1836-H1836)),0)</f>
        <v>1.75959</v>
      </c>
      <c r="J1836" s="13" t="n">
        <f aca="false">IFERROR(MIN(Eingaben!$B$18,MAX(0,F1836-I1836)),0)</f>
        <v>0.75411</v>
      </c>
      <c r="K1836" s="13" t="n">
        <f aca="false">H1836+I1836</f>
        <v>2.4986178</v>
      </c>
      <c r="L1836" s="13" t="n">
        <f aca="false">MAX(0,D1836-K1836)</f>
        <v>2.4413822</v>
      </c>
      <c r="M1836" s="13" t="n">
        <f aca="false">MAX(0,F1836-I1836-J1836)</f>
        <v>0</v>
      </c>
      <c r="N1836" s="13" t="n">
        <f aca="false">IF(Kalender!A6="",0,J1835-H1836)</f>
        <v>0.0150822</v>
      </c>
    </row>
    <row r="1837" customFormat="false" ht="16.4" hidden="false" customHeight="false" outlineLevel="0" collapsed="false">
      <c r="A1837" s="13" t="str">
        <f aca="false">""</f>
        <v/>
      </c>
      <c r="B1837" s="13" t="n">
        <f aca="false">3</f>
        <v>3</v>
      </c>
      <c r="C1837" s="13" t="n">
        <f aca="false">IF(Szenarien!$H$16="OK",(IFERROR(SUMIF(Nutzungsprofile!$B$6:$B$11,"Schulbetrieb",Nutzungsprofile!$G$6:$G$11)*Kalender!C7/SUM(Kalender!$C$5:$C$370),0)+IFERROR(SUMIF(Nutzungsprofile!$B$6:$B$11,"Halle",Nutzungsprofile!$G$6:$G$11)*Kalender!D7/SUM(Kalender!$D$5:$D$370),0)+IFERROR(SUMIF(Nutzungsprofile!$B$6:$B$11,"Individuell",Nutzungsprofile!$G$6:$G$11)*Kalender!E7/SUM(Kalender!$E$5:$E$370),0))*Szenarien!$E$16,0)</f>
        <v>2.04</v>
      </c>
      <c r="D1837" s="13" t="n">
        <f aca="false">IF(Szenarien!$H$16="OK",(IFERROR(SUMIF(Nutzungsprofile!$B$17:$B$22,"Schulbetrieb",Nutzungsprofile!$G$17:$G$22)*Kalender!C7/SUM(Kalender!$C$5:$C$370),0)+IFERROR(SUMIF(Nutzungsprofile!$B$17:$B$22,"Halle",Nutzungsprofile!$G$17:$G$22)*Kalender!D7/SUM(Kalender!$D$5:$D$370),0)+IFERROR(SUMIF(Nutzungsprofile!$B$17:$B$22,"Individuell",Nutzungsprofile!$G$17:$G$22)*Kalender!E7/SUM(Kalender!$E$5:$E$370),0))*Szenarien!$D$16,0)</f>
        <v>0.89</v>
      </c>
      <c r="E1837" s="13" t="n">
        <f aca="false">IFERROR(MIN(C1837,Eingaben!$B$17)*Eingaben!$B$16,0)</f>
        <v>1.938</v>
      </c>
      <c r="F1837" s="13" t="n">
        <f aca="false">IFERROR(E1837*Eingaben!$B$15,0)</f>
        <v>1.7442</v>
      </c>
      <c r="G1837" s="13" t="n">
        <f aca="false">IFERROR(IF(Kalender!A7="",0,J1836*(1-Eingaben!$B$20)),0)</f>
        <v>0.7390278</v>
      </c>
      <c r="H1837" s="13" t="n">
        <f aca="false">MIN(G1837,D1837)</f>
        <v>0.7390278</v>
      </c>
      <c r="I1837" s="13" t="n">
        <f aca="false">IFERROR(MIN(F1837*Eingaben!$B$19,MAX(0,D1837-H1837)),0)</f>
        <v>0.1509722</v>
      </c>
      <c r="J1837" s="13" t="n">
        <f aca="false">IFERROR(MIN(Eingaben!$B$18,MAX(0,F1837-I1837)),0)</f>
        <v>1.5932278</v>
      </c>
      <c r="K1837" s="13" t="n">
        <f aca="false">H1837+I1837</f>
        <v>0.89</v>
      </c>
      <c r="L1837" s="13" t="n">
        <f aca="false">MAX(0,D1837-K1837)</f>
        <v>0</v>
      </c>
      <c r="M1837" s="13" t="n">
        <f aca="false">MAX(0,F1837-I1837-J1837)</f>
        <v>0</v>
      </c>
      <c r="N1837" s="13" t="n">
        <f aca="false">IF(Kalender!A7="",0,J1836-H1837)</f>
        <v>0.0150822</v>
      </c>
    </row>
    <row r="1838" customFormat="false" ht="16.4" hidden="false" customHeight="false" outlineLevel="0" collapsed="false">
      <c r="A1838" s="13" t="str">
        <f aca="false">""</f>
        <v/>
      </c>
      <c r="B1838" s="13" t="n">
        <f aca="false">4</f>
        <v>4</v>
      </c>
      <c r="C1838" s="13" t="n">
        <f aca="false">IF(Szenarien!$H$16="OK",(IFERROR(SUMIF(Nutzungsprofile!$B$6:$B$11,"Schulbetrieb",Nutzungsprofile!$G$6:$G$11)*Kalender!C8/SUM(Kalender!$C$5:$C$370),0)+IFERROR(SUMIF(Nutzungsprofile!$B$6:$B$11,"Halle",Nutzungsprofile!$G$6:$G$11)*Kalender!D8/SUM(Kalender!$D$5:$D$370),0)+IFERROR(SUMIF(Nutzungsprofile!$B$6:$B$11,"Individuell",Nutzungsprofile!$G$6:$G$11)*Kalender!E8/SUM(Kalender!$E$5:$E$370),0))*Szenarien!$E$16,0)</f>
        <v>2.04</v>
      </c>
      <c r="D1838" s="13" t="n">
        <f aca="false">IF(Szenarien!$H$16="OK",(IFERROR(SUMIF(Nutzungsprofile!$B$17:$B$22,"Schulbetrieb",Nutzungsprofile!$G$17:$G$22)*Kalender!C8/SUM(Kalender!$C$5:$C$370),0)+IFERROR(SUMIF(Nutzungsprofile!$B$17:$B$22,"Halle",Nutzungsprofile!$G$17:$G$22)*Kalender!D8/SUM(Kalender!$D$5:$D$370),0)+IFERROR(SUMIF(Nutzungsprofile!$B$17:$B$22,"Individuell",Nutzungsprofile!$G$17:$G$22)*Kalender!E8/SUM(Kalender!$E$5:$E$370),0))*Szenarien!$D$16,0)</f>
        <v>0.89</v>
      </c>
      <c r="E1838" s="13" t="n">
        <f aca="false">IFERROR(MIN(C1838,Eingaben!$B$17)*Eingaben!$B$16,0)</f>
        <v>1.938</v>
      </c>
      <c r="F1838" s="13" t="n">
        <f aca="false">IFERROR(E1838*Eingaben!$B$15,0)</f>
        <v>1.7442</v>
      </c>
      <c r="G1838" s="13" t="n">
        <f aca="false">IFERROR(IF(Kalender!A8="",0,J1837*(1-Eingaben!$B$20)),0)</f>
        <v>1.561363244</v>
      </c>
      <c r="H1838" s="13" t="n">
        <f aca="false">MIN(G1838,D1838)</f>
        <v>0.89</v>
      </c>
      <c r="I1838" s="13" t="n">
        <f aca="false">IFERROR(MIN(F1838*Eingaben!$B$19,MAX(0,D1838-H1838)),0)</f>
        <v>0</v>
      </c>
      <c r="J1838" s="13" t="n">
        <f aca="false">IFERROR(MIN(Eingaben!$B$18,MAX(0,F1838-I1838)),0)</f>
        <v>1.7442</v>
      </c>
      <c r="K1838" s="13" t="n">
        <f aca="false">H1838+I1838</f>
        <v>0.89</v>
      </c>
      <c r="L1838" s="13" t="n">
        <f aca="false">MAX(0,D1838-K1838)</f>
        <v>0</v>
      </c>
      <c r="M1838" s="13" t="n">
        <f aca="false">MAX(0,F1838-I1838-J1838)</f>
        <v>0</v>
      </c>
      <c r="N1838" s="13" t="n">
        <f aca="false">IF(Kalender!A8="",0,J1837-H1838)</f>
        <v>0.7032278</v>
      </c>
    </row>
    <row r="1839" customFormat="false" ht="16.4" hidden="false" customHeight="false" outlineLevel="0" collapsed="false">
      <c r="A1839" s="13" t="str">
        <f aca="false">""</f>
        <v/>
      </c>
      <c r="B1839" s="13" t="n">
        <f aca="false">5</f>
        <v>5</v>
      </c>
      <c r="C1839" s="13" t="n">
        <f aca="false">IF(Szenarien!$H$16="OK",(IFERROR(SUMIF(Nutzungsprofile!$B$6:$B$11,"Schulbetrieb",Nutzungsprofile!$G$6:$G$11)*Kalender!C9/SUM(Kalender!$C$5:$C$370),0)+IFERROR(SUMIF(Nutzungsprofile!$B$6:$B$11,"Halle",Nutzungsprofile!$G$6:$G$11)*Kalender!D9/SUM(Kalender!$D$5:$D$370),0)+IFERROR(SUMIF(Nutzungsprofile!$B$6:$B$11,"Individuell",Nutzungsprofile!$G$6:$G$11)*Kalender!E9/SUM(Kalender!$E$5:$E$370),0))*Szenarien!$E$16,0)</f>
        <v>2.94</v>
      </c>
      <c r="D1839" s="13" t="n">
        <f aca="false">IF(Szenarien!$H$16="OK",(IFERROR(SUMIF(Nutzungsprofile!$B$17:$B$22,"Schulbetrieb",Nutzungsprofile!$G$17:$G$22)*Kalender!C9/SUM(Kalender!$C$5:$C$370),0)+IFERROR(SUMIF(Nutzungsprofile!$B$17:$B$22,"Halle",Nutzungsprofile!$G$17:$G$22)*Kalender!D9/SUM(Kalender!$D$5:$D$370),0)+IFERROR(SUMIF(Nutzungsprofile!$B$17:$B$22,"Individuell",Nutzungsprofile!$G$17:$G$22)*Kalender!E9/SUM(Kalender!$E$5:$E$370),0))*Szenarien!$D$16,0)</f>
        <v>4.94</v>
      </c>
      <c r="E1839" s="13" t="n">
        <f aca="false">IFERROR(MIN(C1839,Eingaben!$B$17)*Eingaben!$B$16,0)</f>
        <v>2.793</v>
      </c>
      <c r="F1839" s="13" t="n">
        <f aca="false">IFERROR(E1839*Eingaben!$B$15,0)</f>
        <v>2.5137</v>
      </c>
      <c r="G1839" s="13" t="n">
        <f aca="false">IFERROR(IF(Kalender!A9="",0,J1838*(1-Eingaben!$B$20)),0)</f>
        <v>1.709316</v>
      </c>
      <c r="H1839" s="13" t="n">
        <f aca="false">MIN(G1839,D1839)</f>
        <v>1.709316</v>
      </c>
      <c r="I1839" s="13" t="n">
        <f aca="false">IFERROR(MIN(F1839*Eingaben!$B$19,MAX(0,D1839-H1839)),0)</f>
        <v>1.75959</v>
      </c>
      <c r="J1839" s="13" t="n">
        <f aca="false">IFERROR(MIN(Eingaben!$B$18,MAX(0,F1839-I1839)),0)</f>
        <v>0.75411</v>
      </c>
      <c r="K1839" s="13" t="n">
        <f aca="false">H1839+I1839</f>
        <v>3.468906</v>
      </c>
      <c r="L1839" s="13" t="n">
        <f aca="false">MAX(0,D1839-K1839)</f>
        <v>1.471094</v>
      </c>
      <c r="M1839" s="13" t="n">
        <f aca="false">MAX(0,F1839-I1839-J1839)</f>
        <v>0</v>
      </c>
      <c r="N1839" s="13" t="n">
        <f aca="false">IF(Kalender!A9="",0,J1838-H1839)</f>
        <v>0.0348840000000001</v>
      </c>
    </row>
    <row r="1840" customFormat="false" ht="16.4" hidden="false" customHeight="false" outlineLevel="0" collapsed="false">
      <c r="A1840" s="13" t="str">
        <f aca="false">""</f>
        <v/>
      </c>
      <c r="B1840" s="13" t="n">
        <f aca="false">6</f>
        <v>6</v>
      </c>
      <c r="C1840" s="13" t="n">
        <f aca="false">IF(Szenarien!$H$16="OK",(IFERROR(SUMIF(Nutzungsprofile!$B$6:$B$11,"Schulbetrieb",Nutzungsprofile!$G$6:$G$11)*Kalender!C10/SUM(Kalender!$C$5:$C$370),0)+IFERROR(SUMIF(Nutzungsprofile!$B$6:$B$11,"Halle",Nutzungsprofile!$G$6:$G$11)*Kalender!D10/SUM(Kalender!$D$5:$D$370),0)+IFERROR(SUMIF(Nutzungsprofile!$B$6:$B$11,"Individuell",Nutzungsprofile!$G$6:$G$11)*Kalender!E10/SUM(Kalender!$E$5:$E$370),0))*Szenarien!$E$16,0)</f>
        <v>2.94</v>
      </c>
      <c r="D1840" s="13" t="n">
        <f aca="false">IF(Szenarien!$H$16="OK",(IFERROR(SUMIF(Nutzungsprofile!$B$17:$B$22,"Schulbetrieb",Nutzungsprofile!$G$17:$G$22)*Kalender!C10/SUM(Kalender!$C$5:$C$370),0)+IFERROR(SUMIF(Nutzungsprofile!$B$17:$B$22,"Halle",Nutzungsprofile!$G$17:$G$22)*Kalender!D10/SUM(Kalender!$D$5:$D$370),0)+IFERROR(SUMIF(Nutzungsprofile!$B$17:$B$22,"Individuell",Nutzungsprofile!$G$17:$G$22)*Kalender!E10/SUM(Kalender!$E$5:$E$370),0))*Szenarien!$D$16,0)</f>
        <v>4.94</v>
      </c>
      <c r="E1840" s="13" t="n">
        <f aca="false">IFERROR(MIN(C1840,Eingaben!$B$17)*Eingaben!$B$16,0)</f>
        <v>2.793</v>
      </c>
      <c r="F1840" s="13" t="n">
        <f aca="false">IFERROR(E1840*Eingaben!$B$15,0)</f>
        <v>2.5137</v>
      </c>
      <c r="G1840" s="13" t="n">
        <f aca="false">IFERROR(IF(Kalender!A10="",0,J1839*(1-Eingaben!$B$20)),0)</f>
        <v>0.7390278</v>
      </c>
      <c r="H1840" s="13" t="n">
        <f aca="false">MIN(G1840,D1840)</f>
        <v>0.7390278</v>
      </c>
      <c r="I1840" s="13" t="n">
        <f aca="false">IFERROR(MIN(F1840*Eingaben!$B$19,MAX(0,D1840-H1840)),0)</f>
        <v>1.75959</v>
      </c>
      <c r="J1840" s="13" t="n">
        <f aca="false">IFERROR(MIN(Eingaben!$B$18,MAX(0,F1840-I1840)),0)</f>
        <v>0.75411</v>
      </c>
      <c r="K1840" s="13" t="n">
        <f aca="false">H1840+I1840</f>
        <v>2.4986178</v>
      </c>
      <c r="L1840" s="13" t="n">
        <f aca="false">MAX(0,D1840-K1840)</f>
        <v>2.4413822</v>
      </c>
      <c r="M1840" s="13" t="n">
        <f aca="false">MAX(0,F1840-I1840-J1840)</f>
        <v>0</v>
      </c>
      <c r="N1840" s="13" t="n">
        <f aca="false">IF(Kalender!A10="",0,J1839-H1840)</f>
        <v>0.0150822</v>
      </c>
    </row>
    <row r="1841" customFormat="false" ht="16.4" hidden="false" customHeight="false" outlineLevel="0" collapsed="false">
      <c r="A1841" s="13" t="str">
        <f aca="false">""</f>
        <v/>
      </c>
      <c r="B1841" s="13" t="n">
        <f aca="false">7</f>
        <v>7</v>
      </c>
      <c r="C1841" s="13" t="n">
        <f aca="false">IF(Szenarien!$H$16="OK",(IFERROR(SUMIF(Nutzungsprofile!$B$6:$B$11,"Schulbetrieb",Nutzungsprofile!$G$6:$G$11)*Kalender!C11/SUM(Kalender!$C$5:$C$370),0)+IFERROR(SUMIF(Nutzungsprofile!$B$6:$B$11,"Halle",Nutzungsprofile!$G$6:$G$11)*Kalender!D11/SUM(Kalender!$D$5:$D$370),0)+IFERROR(SUMIF(Nutzungsprofile!$B$6:$B$11,"Individuell",Nutzungsprofile!$G$6:$G$11)*Kalender!E11/SUM(Kalender!$E$5:$E$370),0))*Szenarien!$E$16,0)</f>
        <v>2.94</v>
      </c>
      <c r="D1841" s="13" t="n">
        <f aca="false">IF(Szenarien!$H$16="OK",(IFERROR(SUMIF(Nutzungsprofile!$B$17:$B$22,"Schulbetrieb",Nutzungsprofile!$G$17:$G$22)*Kalender!C11/SUM(Kalender!$C$5:$C$370),0)+IFERROR(SUMIF(Nutzungsprofile!$B$17:$B$22,"Halle",Nutzungsprofile!$G$17:$G$22)*Kalender!D11/SUM(Kalender!$D$5:$D$370),0)+IFERROR(SUMIF(Nutzungsprofile!$B$17:$B$22,"Individuell",Nutzungsprofile!$G$17:$G$22)*Kalender!E11/SUM(Kalender!$E$5:$E$370),0))*Szenarien!$D$16,0)</f>
        <v>4.94</v>
      </c>
      <c r="E1841" s="13" t="n">
        <f aca="false">IFERROR(MIN(C1841,Eingaben!$B$17)*Eingaben!$B$16,0)</f>
        <v>2.793</v>
      </c>
      <c r="F1841" s="13" t="n">
        <f aca="false">IFERROR(E1841*Eingaben!$B$15,0)</f>
        <v>2.5137</v>
      </c>
      <c r="G1841" s="13" t="n">
        <f aca="false">IFERROR(IF(Kalender!A11="",0,J1840*(1-Eingaben!$B$20)),0)</f>
        <v>0.7390278</v>
      </c>
      <c r="H1841" s="13" t="n">
        <f aca="false">MIN(G1841,D1841)</f>
        <v>0.7390278</v>
      </c>
      <c r="I1841" s="13" t="n">
        <f aca="false">IFERROR(MIN(F1841*Eingaben!$B$19,MAX(0,D1841-H1841)),0)</f>
        <v>1.75959</v>
      </c>
      <c r="J1841" s="13" t="n">
        <f aca="false">IFERROR(MIN(Eingaben!$B$18,MAX(0,F1841-I1841)),0)</f>
        <v>0.75411</v>
      </c>
      <c r="K1841" s="13" t="n">
        <f aca="false">H1841+I1841</f>
        <v>2.4986178</v>
      </c>
      <c r="L1841" s="13" t="n">
        <f aca="false">MAX(0,D1841-K1841)</f>
        <v>2.4413822</v>
      </c>
      <c r="M1841" s="13" t="n">
        <f aca="false">MAX(0,F1841-I1841-J1841)</f>
        <v>0</v>
      </c>
      <c r="N1841" s="13" t="n">
        <f aca="false">IF(Kalender!A11="",0,J1840-H1841)</f>
        <v>0.0150822</v>
      </c>
    </row>
    <row r="1842" customFormat="false" ht="16.4" hidden="false" customHeight="false" outlineLevel="0" collapsed="false">
      <c r="A1842" s="13" t="str">
        <f aca="false">""</f>
        <v/>
      </c>
      <c r="B1842" s="13" t="n">
        <f aca="false">8</f>
        <v>8</v>
      </c>
      <c r="C1842" s="13" t="n">
        <f aca="false">IF(Szenarien!$H$16="OK",(IFERROR(SUMIF(Nutzungsprofile!$B$6:$B$11,"Schulbetrieb",Nutzungsprofile!$G$6:$G$11)*Kalender!C12/SUM(Kalender!$C$5:$C$370),0)+IFERROR(SUMIF(Nutzungsprofile!$B$6:$B$11,"Halle",Nutzungsprofile!$G$6:$G$11)*Kalender!D12/SUM(Kalender!$D$5:$D$370),0)+IFERROR(SUMIF(Nutzungsprofile!$B$6:$B$11,"Individuell",Nutzungsprofile!$G$6:$G$11)*Kalender!E12/SUM(Kalender!$E$5:$E$370),0))*Szenarien!$E$16,0)</f>
        <v>2.94</v>
      </c>
      <c r="D1842" s="13" t="n">
        <f aca="false">IF(Szenarien!$H$16="OK",(IFERROR(SUMIF(Nutzungsprofile!$B$17:$B$22,"Schulbetrieb",Nutzungsprofile!$G$17:$G$22)*Kalender!C12/SUM(Kalender!$C$5:$C$370),0)+IFERROR(SUMIF(Nutzungsprofile!$B$17:$B$22,"Halle",Nutzungsprofile!$G$17:$G$22)*Kalender!D12/SUM(Kalender!$D$5:$D$370),0)+IFERROR(SUMIF(Nutzungsprofile!$B$17:$B$22,"Individuell",Nutzungsprofile!$G$17:$G$22)*Kalender!E12/SUM(Kalender!$E$5:$E$370),0))*Szenarien!$D$16,0)</f>
        <v>4.94</v>
      </c>
      <c r="E1842" s="13" t="n">
        <f aca="false">IFERROR(MIN(C1842,Eingaben!$B$17)*Eingaben!$B$16,0)</f>
        <v>2.793</v>
      </c>
      <c r="F1842" s="13" t="n">
        <f aca="false">IFERROR(E1842*Eingaben!$B$15,0)</f>
        <v>2.5137</v>
      </c>
      <c r="G1842" s="13" t="n">
        <f aca="false">IFERROR(IF(Kalender!A12="",0,J1841*(1-Eingaben!$B$20)),0)</f>
        <v>0.7390278</v>
      </c>
      <c r="H1842" s="13" t="n">
        <f aca="false">MIN(G1842,D1842)</f>
        <v>0.7390278</v>
      </c>
      <c r="I1842" s="13" t="n">
        <f aca="false">IFERROR(MIN(F1842*Eingaben!$B$19,MAX(0,D1842-H1842)),0)</f>
        <v>1.75959</v>
      </c>
      <c r="J1842" s="13" t="n">
        <f aca="false">IFERROR(MIN(Eingaben!$B$18,MAX(0,F1842-I1842)),0)</f>
        <v>0.75411</v>
      </c>
      <c r="K1842" s="13" t="n">
        <f aca="false">H1842+I1842</f>
        <v>2.4986178</v>
      </c>
      <c r="L1842" s="13" t="n">
        <f aca="false">MAX(0,D1842-K1842)</f>
        <v>2.4413822</v>
      </c>
      <c r="M1842" s="13" t="n">
        <f aca="false">MAX(0,F1842-I1842-J1842)</f>
        <v>0</v>
      </c>
      <c r="N1842" s="13" t="n">
        <f aca="false">IF(Kalender!A12="",0,J1841-H1842)</f>
        <v>0.0150822</v>
      </c>
    </row>
    <row r="1843" customFormat="false" ht="16.4" hidden="false" customHeight="false" outlineLevel="0" collapsed="false">
      <c r="A1843" s="13" t="str">
        <f aca="false">""</f>
        <v/>
      </c>
      <c r="B1843" s="13" t="n">
        <f aca="false">9</f>
        <v>9</v>
      </c>
      <c r="C1843" s="13" t="n">
        <f aca="false">IF(Szenarien!$H$16="OK",(IFERROR(SUMIF(Nutzungsprofile!$B$6:$B$11,"Schulbetrieb",Nutzungsprofile!$G$6:$G$11)*Kalender!C13/SUM(Kalender!$C$5:$C$370),0)+IFERROR(SUMIF(Nutzungsprofile!$B$6:$B$11,"Halle",Nutzungsprofile!$G$6:$G$11)*Kalender!D13/SUM(Kalender!$D$5:$D$370),0)+IFERROR(SUMIF(Nutzungsprofile!$B$6:$B$11,"Individuell",Nutzungsprofile!$G$6:$G$11)*Kalender!E13/SUM(Kalender!$E$5:$E$370),0))*Szenarien!$E$16,0)</f>
        <v>2.94</v>
      </c>
      <c r="D1843" s="13" t="n">
        <f aca="false">IF(Szenarien!$H$16="OK",(IFERROR(SUMIF(Nutzungsprofile!$B$17:$B$22,"Schulbetrieb",Nutzungsprofile!$G$17:$G$22)*Kalender!C13/SUM(Kalender!$C$5:$C$370),0)+IFERROR(SUMIF(Nutzungsprofile!$B$17:$B$22,"Halle",Nutzungsprofile!$G$17:$G$22)*Kalender!D13/SUM(Kalender!$D$5:$D$370),0)+IFERROR(SUMIF(Nutzungsprofile!$B$17:$B$22,"Individuell",Nutzungsprofile!$G$17:$G$22)*Kalender!E13/SUM(Kalender!$E$5:$E$370),0))*Szenarien!$D$16,0)</f>
        <v>4.94</v>
      </c>
      <c r="E1843" s="13" t="n">
        <f aca="false">IFERROR(MIN(C1843,Eingaben!$B$17)*Eingaben!$B$16,0)</f>
        <v>2.793</v>
      </c>
      <c r="F1843" s="13" t="n">
        <f aca="false">IFERROR(E1843*Eingaben!$B$15,0)</f>
        <v>2.5137</v>
      </c>
      <c r="G1843" s="13" t="n">
        <f aca="false">IFERROR(IF(Kalender!A13="",0,J1842*(1-Eingaben!$B$20)),0)</f>
        <v>0.7390278</v>
      </c>
      <c r="H1843" s="13" t="n">
        <f aca="false">MIN(G1843,D1843)</f>
        <v>0.7390278</v>
      </c>
      <c r="I1843" s="13" t="n">
        <f aca="false">IFERROR(MIN(F1843*Eingaben!$B$19,MAX(0,D1843-H1843)),0)</f>
        <v>1.75959</v>
      </c>
      <c r="J1843" s="13" t="n">
        <f aca="false">IFERROR(MIN(Eingaben!$B$18,MAX(0,F1843-I1843)),0)</f>
        <v>0.75411</v>
      </c>
      <c r="K1843" s="13" t="n">
        <f aca="false">H1843+I1843</f>
        <v>2.4986178</v>
      </c>
      <c r="L1843" s="13" t="n">
        <f aca="false">MAX(0,D1843-K1843)</f>
        <v>2.4413822</v>
      </c>
      <c r="M1843" s="13" t="n">
        <f aca="false">MAX(0,F1843-I1843-J1843)</f>
        <v>0</v>
      </c>
      <c r="N1843" s="13" t="n">
        <f aca="false">IF(Kalender!A13="",0,J1842-H1843)</f>
        <v>0.0150822</v>
      </c>
    </row>
    <row r="1844" customFormat="false" ht="16.4" hidden="false" customHeight="false" outlineLevel="0" collapsed="false">
      <c r="A1844" s="13" t="str">
        <f aca="false">""</f>
        <v/>
      </c>
      <c r="B1844" s="13" t="n">
        <f aca="false">10</f>
        <v>10</v>
      </c>
      <c r="C1844" s="13" t="n">
        <f aca="false">IF(Szenarien!$H$16="OK",(IFERROR(SUMIF(Nutzungsprofile!$B$6:$B$11,"Schulbetrieb",Nutzungsprofile!$G$6:$G$11)*Kalender!C14/SUM(Kalender!$C$5:$C$370),0)+IFERROR(SUMIF(Nutzungsprofile!$B$6:$B$11,"Halle",Nutzungsprofile!$G$6:$G$11)*Kalender!D14/SUM(Kalender!$D$5:$D$370),0)+IFERROR(SUMIF(Nutzungsprofile!$B$6:$B$11,"Individuell",Nutzungsprofile!$G$6:$G$11)*Kalender!E14/SUM(Kalender!$E$5:$E$370),0))*Szenarien!$E$16,0)</f>
        <v>2.04</v>
      </c>
      <c r="D1844" s="13" t="n">
        <f aca="false">IF(Szenarien!$H$16="OK",(IFERROR(SUMIF(Nutzungsprofile!$B$17:$B$22,"Schulbetrieb",Nutzungsprofile!$G$17:$G$22)*Kalender!C14/SUM(Kalender!$C$5:$C$370),0)+IFERROR(SUMIF(Nutzungsprofile!$B$17:$B$22,"Halle",Nutzungsprofile!$G$17:$G$22)*Kalender!D14/SUM(Kalender!$D$5:$D$370),0)+IFERROR(SUMIF(Nutzungsprofile!$B$17:$B$22,"Individuell",Nutzungsprofile!$G$17:$G$22)*Kalender!E14/SUM(Kalender!$E$5:$E$370),0))*Szenarien!$D$16,0)</f>
        <v>0.89</v>
      </c>
      <c r="E1844" s="13" t="n">
        <f aca="false">IFERROR(MIN(C1844,Eingaben!$B$17)*Eingaben!$B$16,0)</f>
        <v>1.938</v>
      </c>
      <c r="F1844" s="13" t="n">
        <f aca="false">IFERROR(E1844*Eingaben!$B$15,0)</f>
        <v>1.7442</v>
      </c>
      <c r="G1844" s="13" t="n">
        <f aca="false">IFERROR(IF(Kalender!A14="",0,J1843*(1-Eingaben!$B$20)),0)</f>
        <v>0.7390278</v>
      </c>
      <c r="H1844" s="13" t="n">
        <f aca="false">MIN(G1844,D1844)</f>
        <v>0.7390278</v>
      </c>
      <c r="I1844" s="13" t="n">
        <f aca="false">IFERROR(MIN(F1844*Eingaben!$B$19,MAX(0,D1844-H1844)),0)</f>
        <v>0.1509722</v>
      </c>
      <c r="J1844" s="13" t="n">
        <f aca="false">IFERROR(MIN(Eingaben!$B$18,MAX(0,F1844-I1844)),0)</f>
        <v>1.5932278</v>
      </c>
      <c r="K1844" s="13" t="n">
        <f aca="false">H1844+I1844</f>
        <v>0.89</v>
      </c>
      <c r="L1844" s="13" t="n">
        <f aca="false">MAX(0,D1844-K1844)</f>
        <v>0</v>
      </c>
      <c r="M1844" s="13" t="n">
        <f aca="false">MAX(0,F1844-I1844-J1844)</f>
        <v>0</v>
      </c>
      <c r="N1844" s="13" t="n">
        <f aca="false">IF(Kalender!A14="",0,J1843-H1844)</f>
        <v>0.0150822</v>
      </c>
    </row>
    <row r="1845" customFormat="false" ht="16.4" hidden="false" customHeight="false" outlineLevel="0" collapsed="false">
      <c r="A1845" s="13" t="str">
        <f aca="false">""</f>
        <v/>
      </c>
      <c r="B1845" s="13" t="n">
        <f aca="false">11</f>
        <v>11</v>
      </c>
      <c r="C1845" s="13" t="n">
        <f aca="false">IF(Szenarien!$H$16="OK",(IFERROR(SUMIF(Nutzungsprofile!$B$6:$B$11,"Schulbetrieb",Nutzungsprofile!$G$6:$G$11)*Kalender!C15/SUM(Kalender!$C$5:$C$370),0)+IFERROR(SUMIF(Nutzungsprofile!$B$6:$B$11,"Halle",Nutzungsprofile!$G$6:$G$11)*Kalender!D15/SUM(Kalender!$D$5:$D$370),0)+IFERROR(SUMIF(Nutzungsprofile!$B$6:$B$11,"Individuell",Nutzungsprofile!$G$6:$G$11)*Kalender!E15/SUM(Kalender!$E$5:$E$370),0))*Szenarien!$E$16,0)</f>
        <v>2.04</v>
      </c>
      <c r="D1845" s="13" t="n">
        <f aca="false">IF(Szenarien!$H$16="OK",(IFERROR(SUMIF(Nutzungsprofile!$B$17:$B$22,"Schulbetrieb",Nutzungsprofile!$G$17:$G$22)*Kalender!C15/SUM(Kalender!$C$5:$C$370),0)+IFERROR(SUMIF(Nutzungsprofile!$B$17:$B$22,"Halle",Nutzungsprofile!$G$17:$G$22)*Kalender!D15/SUM(Kalender!$D$5:$D$370),0)+IFERROR(SUMIF(Nutzungsprofile!$B$17:$B$22,"Individuell",Nutzungsprofile!$G$17:$G$22)*Kalender!E15/SUM(Kalender!$E$5:$E$370),0))*Szenarien!$D$16,0)</f>
        <v>0.89</v>
      </c>
      <c r="E1845" s="13" t="n">
        <f aca="false">IFERROR(MIN(C1845,Eingaben!$B$17)*Eingaben!$B$16,0)</f>
        <v>1.938</v>
      </c>
      <c r="F1845" s="13" t="n">
        <f aca="false">IFERROR(E1845*Eingaben!$B$15,0)</f>
        <v>1.7442</v>
      </c>
      <c r="G1845" s="13" t="n">
        <f aca="false">IFERROR(IF(Kalender!A15="",0,J1844*(1-Eingaben!$B$20)),0)</f>
        <v>1.561363244</v>
      </c>
      <c r="H1845" s="13" t="n">
        <f aca="false">MIN(G1845,D1845)</f>
        <v>0.89</v>
      </c>
      <c r="I1845" s="13" t="n">
        <f aca="false">IFERROR(MIN(F1845*Eingaben!$B$19,MAX(0,D1845-H1845)),0)</f>
        <v>0</v>
      </c>
      <c r="J1845" s="13" t="n">
        <f aca="false">IFERROR(MIN(Eingaben!$B$18,MAX(0,F1845-I1845)),0)</f>
        <v>1.7442</v>
      </c>
      <c r="K1845" s="13" t="n">
        <f aca="false">H1845+I1845</f>
        <v>0.89</v>
      </c>
      <c r="L1845" s="13" t="n">
        <f aca="false">MAX(0,D1845-K1845)</f>
        <v>0</v>
      </c>
      <c r="M1845" s="13" t="n">
        <f aca="false">MAX(0,F1845-I1845-J1845)</f>
        <v>0</v>
      </c>
      <c r="N1845" s="13" t="n">
        <f aca="false">IF(Kalender!A15="",0,J1844-H1845)</f>
        <v>0.7032278</v>
      </c>
    </row>
    <row r="1846" customFormat="false" ht="16.4" hidden="false" customHeight="false" outlineLevel="0" collapsed="false">
      <c r="A1846" s="13" t="str">
        <f aca="false">""</f>
        <v/>
      </c>
      <c r="B1846" s="13" t="n">
        <f aca="false">12</f>
        <v>12</v>
      </c>
      <c r="C1846" s="13" t="n">
        <f aca="false">IF(Szenarien!$H$16="OK",(IFERROR(SUMIF(Nutzungsprofile!$B$6:$B$11,"Schulbetrieb",Nutzungsprofile!$G$6:$G$11)*Kalender!C16/SUM(Kalender!$C$5:$C$370),0)+IFERROR(SUMIF(Nutzungsprofile!$B$6:$B$11,"Halle",Nutzungsprofile!$G$6:$G$11)*Kalender!D16/SUM(Kalender!$D$5:$D$370),0)+IFERROR(SUMIF(Nutzungsprofile!$B$6:$B$11,"Individuell",Nutzungsprofile!$G$6:$G$11)*Kalender!E16/SUM(Kalender!$E$5:$E$370),0))*Szenarien!$E$16,0)</f>
        <v>2.94</v>
      </c>
      <c r="D1846" s="13" t="n">
        <f aca="false">IF(Szenarien!$H$16="OK",(IFERROR(SUMIF(Nutzungsprofile!$B$17:$B$22,"Schulbetrieb",Nutzungsprofile!$G$17:$G$22)*Kalender!C16/SUM(Kalender!$C$5:$C$370),0)+IFERROR(SUMIF(Nutzungsprofile!$B$17:$B$22,"Halle",Nutzungsprofile!$G$17:$G$22)*Kalender!D16/SUM(Kalender!$D$5:$D$370),0)+IFERROR(SUMIF(Nutzungsprofile!$B$17:$B$22,"Individuell",Nutzungsprofile!$G$17:$G$22)*Kalender!E16/SUM(Kalender!$E$5:$E$370),0))*Szenarien!$D$16,0)</f>
        <v>4.94</v>
      </c>
      <c r="E1846" s="13" t="n">
        <f aca="false">IFERROR(MIN(C1846,Eingaben!$B$17)*Eingaben!$B$16,0)</f>
        <v>2.793</v>
      </c>
      <c r="F1846" s="13" t="n">
        <f aca="false">IFERROR(E1846*Eingaben!$B$15,0)</f>
        <v>2.5137</v>
      </c>
      <c r="G1846" s="13" t="n">
        <f aca="false">IFERROR(IF(Kalender!A16="",0,J1845*(1-Eingaben!$B$20)),0)</f>
        <v>1.709316</v>
      </c>
      <c r="H1846" s="13" t="n">
        <f aca="false">MIN(G1846,D1846)</f>
        <v>1.709316</v>
      </c>
      <c r="I1846" s="13" t="n">
        <f aca="false">IFERROR(MIN(F1846*Eingaben!$B$19,MAX(0,D1846-H1846)),0)</f>
        <v>1.75959</v>
      </c>
      <c r="J1846" s="13" t="n">
        <f aca="false">IFERROR(MIN(Eingaben!$B$18,MAX(0,F1846-I1846)),0)</f>
        <v>0.75411</v>
      </c>
      <c r="K1846" s="13" t="n">
        <f aca="false">H1846+I1846</f>
        <v>3.468906</v>
      </c>
      <c r="L1846" s="13" t="n">
        <f aca="false">MAX(0,D1846-K1846)</f>
        <v>1.471094</v>
      </c>
      <c r="M1846" s="13" t="n">
        <f aca="false">MAX(0,F1846-I1846-J1846)</f>
        <v>0</v>
      </c>
      <c r="N1846" s="13" t="n">
        <f aca="false">IF(Kalender!A16="",0,J1845-H1846)</f>
        <v>0.0348840000000001</v>
      </c>
    </row>
    <row r="1847" customFormat="false" ht="16.4" hidden="false" customHeight="false" outlineLevel="0" collapsed="false">
      <c r="A1847" s="13" t="str">
        <f aca="false">""</f>
        <v/>
      </c>
      <c r="B1847" s="13" t="n">
        <f aca="false">13</f>
        <v>13</v>
      </c>
      <c r="C1847" s="13" t="n">
        <f aca="false">IF(Szenarien!$H$16="OK",(IFERROR(SUMIF(Nutzungsprofile!$B$6:$B$11,"Schulbetrieb",Nutzungsprofile!$G$6:$G$11)*Kalender!C17/SUM(Kalender!$C$5:$C$370),0)+IFERROR(SUMIF(Nutzungsprofile!$B$6:$B$11,"Halle",Nutzungsprofile!$G$6:$G$11)*Kalender!D17/SUM(Kalender!$D$5:$D$370),0)+IFERROR(SUMIF(Nutzungsprofile!$B$6:$B$11,"Individuell",Nutzungsprofile!$G$6:$G$11)*Kalender!E17/SUM(Kalender!$E$5:$E$370),0))*Szenarien!$E$16,0)</f>
        <v>2.94</v>
      </c>
      <c r="D1847" s="13" t="n">
        <f aca="false">IF(Szenarien!$H$16="OK",(IFERROR(SUMIF(Nutzungsprofile!$B$17:$B$22,"Schulbetrieb",Nutzungsprofile!$G$17:$G$22)*Kalender!C17/SUM(Kalender!$C$5:$C$370),0)+IFERROR(SUMIF(Nutzungsprofile!$B$17:$B$22,"Halle",Nutzungsprofile!$G$17:$G$22)*Kalender!D17/SUM(Kalender!$D$5:$D$370),0)+IFERROR(SUMIF(Nutzungsprofile!$B$17:$B$22,"Individuell",Nutzungsprofile!$G$17:$G$22)*Kalender!E17/SUM(Kalender!$E$5:$E$370),0))*Szenarien!$D$16,0)</f>
        <v>4.94</v>
      </c>
      <c r="E1847" s="13" t="n">
        <f aca="false">IFERROR(MIN(C1847,Eingaben!$B$17)*Eingaben!$B$16,0)</f>
        <v>2.793</v>
      </c>
      <c r="F1847" s="13" t="n">
        <f aca="false">IFERROR(E1847*Eingaben!$B$15,0)</f>
        <v>2.5137</v>
      </c>
      <c r="G1847" s="13" t="n">
        <f aca="false">IFERROR(IF(Kalender!A17="",0,J1846*(1-Eingaben!$B$20)),0)</f>
        <v>0.7390278</v>
      </c>
      <c r="H1847" s="13" t="n">
        <f aca="false">MIN(G1847,D1847)</f>
        <v>0.7390278</v>
      </c>
      <c r="I1847" s="13" t="n">
        <f aca="false">IFERROR(MIN(F1847*Eingaben!$B$19,MAX(0,D1847-H1847)),0)</f>
        <v>1.75959</v>
      </c>
      <c r="J1847" s="13" t="n">
        <f aca="false">IFERROR(MIN(Eingaben!$B$18,MAX(0,F1847-I1847)),0)</f>
        <v>0.75411</v>
      </c>
      <c r="K1847" s="13" t="n">
        <f aca="false">H1847+I1847</f>
        <v>2.4986178</v>
      </c>
      <c r="L1847" s="13" t="n">
        <f aca="false">MAX(0,D1847-K1847)</f>
        <v>2.4413822</v>
      </c>
      <c r="M1847" s="13" t="n">
        <f aca="false">MAX(0,F1847-I1847-J1847)</f>
        <v>0</v>
      </c>
      <c r="N1847" s="13" t="n">
        <f aca="false">IF(Kalender!A17="",0,J1846-H1847)</f>
        <v>0.0150822</v>
      </c>
    </row>
    <row r="1848" customFormat="false" ht="16.4" hidden="false" customHeight="false" outlineLevel="0" collapsed="false">
      <c r="A1848" s="13" t="str">
        <f aca="false">""</f>
        <v/>
      </c>
      <c r="B1848" s="13" t="n">
        <f aca="false">14</f>
        <v>14</v>
      </c>
      <c r="C1848" s="13" t="n">
        <f aca="false">IF(Szenarien!$H$16="OK",(IFERROR(SUMIF(Nutzungsprofile!$B$6:$B$11,"Schulbetrieb",Nutzungsprofile!$G$6:$G$11)*Kalender!C18/SUM(Kalender!$C$5:$C$370),0)+IFERROR(SUMIF(Nutzungsprofile!$B$6:$B$11,"Halle",Nutzungsprofile!$G$6:$G$11)*Kalender!D18/SUM(Kalender!$D$5:$D$370),0)+IFERROR(SUMIF(Nutzungsprofile!$B$6:$B$11,"Individuell",Nutzungsprofile!$G$6:$G$11)*Kalender!E18/SUM(Kalender!$E$5:$E$370),0))*Szenarien!$E$16,0)</f>
        <v>2.94</v>
      </c>
      <c r="D1848" s="13" t="n">
        <f aca="false">IF(Szenarien!$H$16="OK",(IFERROR(SUMIF(Nutzungsprofile!$B$17:$B$22,"Schulbetrieb",Nutzungsprofile!$G$17:$G$22)*Kalender!C18/SUM(Kalender!$C$5:$C$370),0)+IFERROR(SUMIF(Nutzungsprofile!$B$17:$B$22,"Halle",Nutzungsprofile!$G$17:$G$22)*Kalender!D18/SUM(Kalender!$D$5:$D$370),0)+IFERROR(SUMIF(Nutzungsprofile!$B$17:$B$22,"Individuell",Nutzungsprofile!$G$17:$G$22)*Kalender!E18/SUM(Kalender!$E$5:$E$370),0))*Szenarien!$D$16,0)</f>
        <v>4.94</v>
      </c>
      <c r="E1848" s="13" t="n">
        <f aca="false">IFERROR(MIN(C1848,Eingaben!$B$17)*Eingaben!$B$16,0)</f>
        <v>2.793</v>
      </c>
      <c r="F1848" s="13" t="n">
        <f aca="false">IFERROR(E1848*Eingaben!$B$15,0)</f>
        <v>2.5137</v>
      </c>
      <c r="G1848" s="13" t="n">
        <f aca="false">IFERROR(IF(Kalender!A18="",0,J1847*(1-Eingaben!$B$20)),0)</f>
        <v>0.7390278</v>
      </c>
      <c r="H1848" s="13" t="n">
        <f aca="false">MIN(G1848,D1848)</f>
        <v>0.7390278</v>
      </c>
      <c r="I1848" s="13" t="n">
        <f aca="false">IFERROR(MIN(F1848*Eingaben!$B$19,MAX(0,D1848-H1848)),0)</f>
        <v>1.75959</v>
      </c>
      <c r="J1848" s="13" t="n">
        <f aca="false">IFERROR(MIN(Eingaben!$B$18,MAX(0,F1848-I1848)),0)</f>
        <v>0.75411</v>
      </c>
      <c r="K1848" s="13" t="n">
        <f aca="false">H1848+I1848</f>
        <v>2.4986178</v>
      </c>
      <c r="L1848" s="13" t="n">
        <f aca="false">MAX(0,D1848-K1848)</f>
        <v>2.4413822</v>
      </c>
      <c r="M1848" s="13" t="n">
        <f aca="false">MAX(0,F1848-I1848-J1848)</f>
        <v>0</v>
      </c>
      <c r="N1848" s="13" t="n">
        <f aca="false">IF(Kalender!A18="",0,J1847-H1848)</f>
        <v>0.0150822</v>
      </c>
    </row>
    <row r="1849" customFormat="false" ht="16.4" hidden="false" customHeight="false" outlineLevel="0" collapsed="false">
      <c r="A1849" s="13" t="str">
        <f aca="false">""</f>
        <v/>
      </c>
      <c r="B1849" s="13" t="n">
        <f aca="false">15</f>
        <v>15</v>
      </c>
      <c r="C1849" s="13" t="n">
        <f aca="false">IF(Szenarien!$H$16="OK",(IFERROR(SUMIF(Nutzungsprofile!$B$6:$B$11,"Schulbetrieb",Nutzungsprofile!$G$6:$G$11)*Kalender!C19/SUM(Kalender!$C$5:$C$370),0)+IFERROR(SUMIF(Nutzungsprofile!$B$6:$B$11,"Halle",Nutzungsprofile!$G$6:$G$11)*Kalender!D19/SUM(Kalender!$D$5:$D$370),0)+IFERROR(SUMIF(Nutzungsprofile!$B$6:$B$11,"Individuell",Nutzungsprofile!$G$6:$G$11)*Kalender!E19/SUM(Kalender!$E$5:$E$370),0))*Szenarien!$E$16,0)</f>
        <v>2.94</v>
      </c>
      <c r="D1849" s="13" t="n">
        <f aca="false">IF(Szenarien!$H$16="OK",(IFERROR(SUMIF(Nutzungsprofile!$B$17:$B$22,"Schulbetrieb",Nutzungsprofile!$G$17:$G$22)*Kalender!C19/SUM(Kalender!$C$5:$C$370),0)+IFERROR(SUMIF(Nutzungsprofile!$B$17:$B$22,"Halle",Nutzungsprofile!$G$17:$G$22)*Kalender!D19/SUM(Kalender!$D$5:$D$370),0)+IFERROR(SUMIF(Nutzungsprofile!$B$17:$B$22,"Individuell",Nutzungsprofile!$G$17:$G$22)*Kalender!E19/SUM(Kalender!$E$5:$E$370),0))*Szenarien!$D$16,0)</f>
        <v>4.94</v>
      </c>
      <c r="E1849" s="13" t="n">
        <f aca="false">IFERROR(MIN(C1849,Eingaben!$B$17)*Eingaben!$B$16,0)</f>
        <v>2.793</v>
      </c>
      <c r="F1849" s="13" t="n">
        <f aca="false">IFERROR(E1849*Eingaben!$B$15,0)</f>
        <v>2.5137</v>
      </c>
      <c r="G1849" s="13" t="n">
        <f aca="false">IFERROR(IF(Kalender!A19="",0,J1848*(1-Eingaben!$B$20)),0)</f>
        <v>0.7390278</v>
      </c>
      <c r="H1849" s="13" t="n">
        <f aca="false">MIN(G1849,D1849)</f>
        <v>0.7390278</v>
      </c>
      <c r="I1849" s="13" t="n">
        <f aca="false">IFERROR(MIN(F1849*Eingaben!$B$19,MAX(0,D1849-H1849)),0)</f>
        <v>1.75959</v>
      </c>
      <c r="J1849" s="13" t="n">
        <f aca="false">IFERROR(MIN(Eingaben!$B$18,MAX(0,F1849-I1849)),0)</f>
        <v>0.75411</v>
      </c>
      <c r="K1849" s="13" t="n">
        <f aca="false">H1849+I1849</f>
        <v>2.4986178</v>
      </c>
      <c r="L1849" s="13" t="n">
        <f aca="false">MAX(0,D1849-K1849)</f>
        <v>2.4413822</v>
      </c>
      <c r="M1849" s="13" t="n">
        <f aca="false">MAX(0,F1849-I1849-J1849)</f>
        <v>0</v>
      </c>
      <c r="N1849" s="13" t="n">
        <f aca="false">IF(Kalender!A19="",0,J1848-H1849)</f>
        <v>0.0150822</v>
      </c>
    </row>
    <row r="1850" customFormat="false" ht="16.4" hidden="false" customHeight="false" outlineLevel="0" collapsed="false">
      <c r="A1850" s="13" t="str">
        <f aca="false">""</f>
        <v/>
      </c>
      <c r="B1850" s="13" t="n">
        <f aca="false">16</f>
        <v>16</v>
      </c>
      <c r="C1850" s="13" t="n">
        <f aca="false">IF(Szenarien!$H$16="OK",(IFERROR(SUMIF(Nutzungsprofile!$B$6:$B$11,"Schulbetrieb",Nutzungsprofile!$G$6:$G$11)*Kalender!C20/SUM(Kalender!$C$5:$C$370),0)+IFERROR(SUMIF(Nutzungsprofile!$B$6:$B$11,"Halle",Nutzungsprofile!$G$6:$G$11)*Kalender!D20/SUM(Kalender!$D$5:$D$370),0)+IFERROR(SUMIF(Nutzungsprofile!$B$6:$B$11,"Individuell",Nutzungsprofile!$G$6:$G$11)*Kalender!E20/SUM(Kalender!$E$5:$E$370),0))*Szenarien!$E$16,0)</f>
        <v>2.94</v>
      </c>
      <c r="D1850" s="13" t="n">
        <f aca="false">IF(Szenarien!$H$16="OK",(IFERROR(SUMIF(Nutzungsprofile!$B$17:$B$22,"Schulbetrieb",Nutzungsprofile!$G$17:$G$22)*Kalender!C20/SUM(Kalender!$C$5:$C$370),0)+IFERROR(SUMIF(Nutzungsprofile!$B$17:$B$22,"Halle",Nutzungsprofile!$G$17:$G$22)*Kalender!D20/SUM(Kalender!$D$5:$D$370),0)+IFERROR(SUMIF(Nutzungsprofile!$B$17:$B$22,"Individuell",Nutzungsprofile!$G$17:$G$22)*Kalender!E20/SUM(Kalender!$E$5:$E$370),0))*Szenarien!$D$16,0)</f>
        <v>4.94</v>
      </c>
      <c r="E1850" s="13" t="n">
        <f aca="false">IFERROR(MIN(C1850,Eingaben!$B$17)*Eingaben!$B$16,0)</f>
        <v>2.793</v>
      </c>
      <c r="F1850" s="13" t="n">
        <f aca="false">IFERROR(E1850*Eingaben!$B$15,0)</f>
        <v>2.5137</v>
      </c>
      <c r="G1850" s="13" t="n">
        <f aca="false">IFERROR(IF(Kalender!A20="",0,J1849*(1-Eingaben!$B$20)),0)</f>
        <v>0.7390278</v>
      </c>
      <c r="H1850" s="13" t="n">
        <f aca="false">MIN(G1850,D1850)</f>
        <v>0.7390278</v>
      </c>
      <c r="I1850" s="13" t="n">
        <f aca="false">IFERROR(MIN(F1850*Eingaben!$B$19,MAX(0,D1850-H1850)),0)</f>
        <v>1.75959</v>
      </c>
      <c r="J1850" s="13" t="n">
        <f aca="false">IFERROR(MIN(Eingaben!$B$18,MAX(0,F1850-I1850)),0)</f>
        <v>0.75411</v>
      </c>
      <c r="K1850" s="13" t="n">
        <f aca="false">H1850+I1850</f>
        <v>2.4986178</v>
      </c>
      <c r="L1850" s="13" t="n">
        <f aca="false">MAX(0,D1850-K1850)</f>
        <v>2.4413822</v>
      </c>
      <c r="M1850" s="13" t="n">
        <f aca="false">MAX(0,F1850-I1850-J1850)</f>
        <v>0</v>
      </c>
      <c r="N1850" s="13" t="n">
        <f aca="false">IF(Kalender!A20="",0,J1849-H1850)</f>
        <v>0.0150822</v>
      </c>
    </row>
    <row r="1851" customFormat="false" ht="16.4" hidden="false" customHeight="false" outlineLevel="0" collapsed="false">
      <c r="A1851" s="13" t="str">
        <f aca="false">""</f>
        <v/>
      </c>
      <c r="B1851" s="13" t="n">
        <f aca="false">17</f>
        <v>17</v>
      </c>
      <c r="C1851" s="13" t="n">
        <f aca="false">IF(Szenarien!$H$16="OK",(IFERROR(SUMIF(Nutzungsprofile!$B$6:$B$11,"Schulbetrieb",Nutzungsprofile!$G$6:$G$11)*Kalender!C21/SUM(Kalender!$C$5:$C$370),0)+IFERROR(SUMIF(Nutzungsprofile!$B$6:$B$11,"Halle",Nutzungsprofile!$G$6:$G$11)*Kalender!D21/SUM(Kalender!$D$5:$D$370),0)+IFERROR(SUMIF(Nutzungsprofile!$B$6:$B$11,"Individuell",Nutzungsprofile!$G$6:$G$11)*Kalender!E21/SUM(Kalender!$E$5:$E$370),0))*Szenarien!$E$16,0)</f>
        <v>2.04</v>
      </c>
      <c r="D1851" s="13" t="n">
        <f aca="false">IF(Szenarien!$H$16="OK",(IFERROR(SUMIF(Nutzungsprofile!$B$17:$B$22,"Schulbetrieb",Nutzungsprofile!$G$17:$G$22)*Kalender!C21/SUM(Kalender!$C$5:$C$370),0)+IFERROR(SUMIF(Nutzungsprofile!$B$17:$B$22,"Halle",Nutzungsprofile!$G$17:$G$22)*Kalender!D21/SUM(Kalender!$D$5:$D$370),0)+IFERROR(SUMIF(Nutzungsprofile!$B$17:$B$22,"Individuell",Nutzungsprofile!$G$17:$G$22)*Kalender!E21/SUM(Kalender!$E$5:$E$370),0))*Szenarien!$D$16,0)</f>
        <v>0.89</v>
      </c>
      <c r="E1851" s="13" t="n">
        <f aca="false">IFERROR(MIN(C1851,Eingaben!$B$17)*Eingaben!$B$16,0)</f>
        <v>1.938</v>
      </c>
      <c r="F1851" s="13" t="n">
        <f aca="false">IFERROR(E1851*Eingaben!$B$15,0)</f>
        <v>1.7442</v>
      </c>
      <c r="G1851" s="13" t="n">
        <f aca="false">IFERROR(IF(Kalender!A21="",0,J1850*(1-Eingaben!$B$20)),0)</f>
        <v>0.7390278</v>
      </c>
      <c r="H1851" s="13" t="n">
        <f aca="false">MIN(G1851,D1851)</f>
        <v>0.7390278</v>
      </c>
      <c r="I1851" s="13" t="n">
        <f aca="false">IFERROR(MIN(F1851*Eingaben!$B$19,MAX(0,D1851-H1851)),0)</f>
        <v>0.1509722</v>
      </c>
      <c r="J1851" s="13" t="n">
        <f aca="false">IFERROR(MIN(Eingaben!$B$18,MAX(0,F1851-I1851)),0)</f>
        <v>1.5932278</v>
      </c>
      <c r="K1851" s="13" t="n">
        <f aca="false">H1851+I1851</f>
        <v>0.89</v>
      </c>
      <c r="L1851" s="13" t="n">
        <f aca="false">MAX(0,D1851-K1851)</f>
        <v>0</v>
      </c>
      <c r="M1851" s="13" t="n">
        <f aca="false">MAX(0,F1851-I1851-J1851)</f>
        <v>0</v>
      </c>
      <c r="N1851" s="13" t="n">
        <f aca="false">IF(Kalender!A21="",0,J1850-H1851)</f>
        <v>0.0150822</v>
      </c>
    </row>
    <row r="1852" customFormat="false" ht="16.4" hidden="false" customHeight="false" outlineLevel="0" collapsed="false">
      <c r="A1852" s="13" t="str">
        <f aca="false">""</f>
        <v/>
      </c>
      <c r="B1852" s="13" t="n">
        <f aca="false">18</f>
        <v>18</v>
      </c>
      <c r="C1852" s="13" t="n">
        <f aca="false">IF(Szenarien!$H$16="OK",(IFERROR(SUMIF(Nutzungsprofile!$B$6:$B$11,"Schulbetrieb",Nutzungsprofile!$G$6:$G$11)*Kalender!C22/SUM(Kalender!$C$5:$C$370),0)+IFERROR(SUMIF(Nutzungsprofile!$B$6:$B$11,"Halle",Nutzungsprofile!$G$6:$G$11)*Kalender!D22/SUM(Kalender!$D$5:$D$370),0)+IFERROR(SUMIF(Nutzungsprofile!$B$6:$B$11,"Individuell",Nutzungsprofile!$G$6:$G$11)*Kalender!E22/SUM(Kalender!$E$5:$E$370),0))*Szenarien!$E$16,0)</f>
        <v>2.04</v>
      </c>
      <c r="D1852" s="13" t="n">
        <f aca="false">IF(Szenarien!$H$16="OK",(IFERROR(SUMIF(Nutzungsprofile!$B$17:$B$22,"Schulbetrieb",Nutzungsprofile!$G$17:$G$22)*Kalender!C22/SUM(Kalender!$C$5:$C$370),0)+IFERROR(SUMIF(Nutzungsprofile!$B$17:$B$22,"Halle",Nutzungsprofile!$G$17:$G$22)*Kalender!D22/SUM(Kalender!$D$5:$D$370),0)+IFERROR(SUMIF(Nutzungsprofile!$B$17:$B$22,"Individuell",Nutzungsprofile!$G$17:$G$22)*Kalender!E22/SUM(Kalender!$E$5:$E$370),0))*Szenarien!$D$16,0)</f>
        <v>0.89</v>
      </c>
      <c r="E1852" s="13" t="n">
        <f aca="false">IFERROR(MIN(C1852,Eingaben!$B$17)*Eingaben!$B$16,0)</f>
        <v>1.938</v>
      </c>
      <c r="F1852" s="13" t="n">
        <f aca="false">IFERROR(E1852*Eingaben!$B$15,0)</f>
        <v>1.7442</v>
      </c>
      <c r="G1852" s="13" t="n">
        <f aca="false">IFERROR(IF(Kalender!A22="",0,J1851*(1-Eingaben!$B$20)),0)</f>
        <v>1.561363244</v>
      </c>
      <c r="H1852" s="13" t="n">
        <f aca="false">MIN(G1852,D1852)</f>
        <v>0.89</v>
      </c>
      <c r="I1852" s="13" t="n">
        <f aca="false">IFERROR(MIN(F1852*Eingaben!$B$19,MAX(0,D1852-H1852)),0)</f>
        <v>0</v>
      </c>
      <c r="J1852" s="13" t="n">
        <f aca="false">IFERROR(MIN(Eingaben!$B$18,MAX(0,F1852-I1852)),0)</f>
        <v>1.7442</v>
      </c>
      <c r="K1852" s="13" t="n">
        <f aca="false">H1852+I1852</f>
        <v>0.89</v>
      </c>
      <c r="L1852" s="13" t="n">
        <f aca="false">MAX(0,D1852-K1852)</f>
        <v>0</v>
      </c>
      <c r="M1852" s="13" t="n">
        <f aca="false">MAX(0,F1852-I1852-J1852)</f>
        <v>0</v>
      </c>
      <c r="N1852" s="13" t="n">
        <f aca="false">IF(Kalender!A22="",0,J1851-H1852)</f>
        <v>0.7032278</v>
      </c>
    </row>
    <row r="1853" customFormat="false" ht="16.4" hidden="false" customHeight="false" outlineLevel="0" collapsed="false">
      <c r="A1853" s="13" t="str">
        <f aca="false">""</f>
        <v/>
      </c>
      <c r="B1853" s="13" t="n">
        <f aca="false">19</f>
        <v>19</v>
      </c>
      <c r="C1853" s="13" t="n">
        <f aca="false">IF(Szenarien!$H$16="OK",(IFERROR(SUMIF(Nutzungsprofile!$B$6:$B$11,"Schulbetrieb",Nutzungsprofile!$G$6:$G$11)*Kalender!C23/SUM(Kalender!$C$5:$C$370),0)+IFERROR(SUMIF(Nutzungsprofile!$B$6:$B$11,"Halle",Nutzungsprofile!$G$6:$G$11)*Kalender!D23/SUM(Kalender!$D$5:$D$370),0)+IFERROR(SUMIF(Nutzungsprofile!$B$6:$B$11,"Individuell",Nutzungsprofile!$G$6:$G$11)*Kalender!E23/SUM(Kalender!$E$5:$E$370),0))*Szenarien!$E$16,0)</f>
        <v>2.94</v>
      </c>
      <c r="D1853" s="13" t="n">
        <f aca="false">IF(Szenarien!$H$16="OK",(IFERROR(SUMIF(Nutzungsprofile!$B$17:$B$22,"Schulbetrieb",Nutzungsprofile!$G$17:$G$22)*Kalender!C23/SUM(Kalender!$C$5:$C$370),0)+IFERROR(SUMIF(Nutzungsprofile!$B$17:$B$22,"Halle",Nutzungsprofile!$G$17:$G$22)*Kalender!D23/SUM(Kalender!$D$5:$D$370),0)+IFERROR(SUMIF(Nutzungsprofile!$B$17:$B$22,"Individuell",Nutzungsprofile!$G$17:$G$22)*Kalender!E23/SUM(Kalender!$E$5:$E$370),0))*Szenarien!$D$16,0)</f>
        <v>4.94</v>
      </c>
      <c r="E1853" s="13" t="n">
        <f aca="false">IFERROR(MIN(C1853,Eingaben!$B$17)*Eingaben!$B$16,0)</f>
        <v>2.793</v>
      </c>
      <c r="F1853" s="13" t="n">
        <f aca="false">IFERROR(E1853*Eingaben!$B$15,0)</f>
        <v>2.5137</v>
      </c>
      <c r="G1853" s="13" t="n">
        <f aca="false">IFERROR(IF(Kalender!A23="",0,J1852*(1-Eingaben!$B$20)),0)</f>
        <v>1.709316</v>
      </c>
      <c r="H1853" s="13" t="n">
        <f aca="false">MIN(G1853,D1853)</f>
        <v>1.709316</v>
      </c>
      <c r="I1853" s="13" t="n">
        <f aca="false">IFERROR(MIN(F1853*Eingaben!$B$19,MAX(0,D1853-H1853)),0)</f>
        <v>1.75959</v>
      </c>
      <c r="J1853" s="13" t="n">
        <f aca="false">IFERROR(MIN(Eingaben!$B$18,MAX(0,F1853-I1853)),0)</f>
        <v>0.75411</v>
      </c>
      <c r="K1853" s="13" t="n">
        <f aca="false">H1853+I1853</f>
        <v>3.468906</v>
      </c>
      <c r="L1853" s="13" t="n">
        <f aca="false">MAX(0,D1853-K1853)</f>
        <v>1.471094</v>
      </c>
      <c r="M1853" s="13" t="n">
        <f aca="false">MAX(0,F1853-I1853-J1853)</f>
        <v>0</v>
      </c>
      <c r="N1853" s="13" t="n">
        <f aca="false">IF(Kalender!A23="",0,J1852-H1853)</f>
        <v>0.0348840000000001</v>
      </c>
    </row>
    <row r="1854" customFormat="false" ht="16.4" hidden="false" customHeight="false" outlineLevel="0" collapsed="false">
      <c r="A1854" s="13" t="str">
        <f aca="false">""</f>
        <v/>
      </c>
      <c r="B1854" s="13" t="n">
        <f aca="false">20</f>
        <v>20</v>
      </c>
      <c r="C1854" s="13" t="n">
        <f aca="false">IF(Szenarien!$H$16="OK",(IFERROR(SUMIF(Nutzungsprofile!$B$6:$B$11,"Schulbetrieb",Nutzungsprofile!$G$6:$G$11)*Kalender!C24/SUM(Kalender!$C$5:$C$370),0)+IFERROR(SUMIF(Nutzungsprofile!$B$6:$B$11,"Halle",Nutzungsprofile!$G$6:$G$11)*Kalender!D24/SUM(Kalender!$D$5:$D$370),0)+IFERROR(SUMIF(Nutzungsprofile!$B$6:$B$11,"Individuell",Nutzungsprofile!$G$6:$G$11)*Kalender!E24/SUM(Kalender!$E$5:$E$370),0))*Szenarien!$E$16,0)</f>
        <v>2.94</v>
      </c>
      <c r="D1854" s="13" t="n">
        <f aca="false">IF(Szenarien!$H$16="OK",(IFERROR(SUMIF(Nutzungsprofile!$B$17:$B$22,"Schulbetrieb",Nutzungsprofile!$G$17:$G$22)*Kalender!C24/SUM(Kalender!$C$5:$C$370),0)+IFERROR(SUMIF(Nutzungsprofile!$B$17:$B$22,"Halle",Nutzungsprofile!$G$17:$G$22)*Kalender!D24/SUM(Kalender!$D$5:$D$370),0)+IFERROR(SUMIF(Nutzungsprofile!$B$17:$B$22,"Individuell",Nutzungsprofile!$G$17:$G$22)*Kalender!E24/SUM(Kalender!$E$5:$E$370),0))*Szenarien!$D$16,0)</f>
        <v>4.94</v>
      </c>
      <c r="E1854" s="13" t="n">
        <f aca="false">IFERROR(MIN(C1854,Eingaben!$B$17)*Eingaben!$B$16,0)</f>
        <v>2.793</v>
      </c>
      <c r="F1854" s="13" t="n">
        <f aca="false">IFERROR(E1854*Eingaben!$B$15,0)</f>
        <v>2.5137</v>
      </c>
      <c r="G1854" s="13" t="n">
        <f aca="false">IFERROR(IF(Kalender!A24="",0,J1853*(1-Eingaben!$B$20)),0)</f>
        <v>0.7390278</v>
      </c>
      <c r="H1854" s="13" t="n">
        <f aca="false">MIN(G1854,D1854)</f>
        <v>0.7390278</v>
      </c>
      <c r="I1854" s="13" t="n">
        <f aca="false">IFERROR(MIN(F1854*Eingaben!$B$19,MAX(0,D1854-H1854)),0)</f>
        <v>1.75959</v>
      </c>
      <c r="J1854" s="13" t="n">
        <f aca="false">IFERROR(MIN(Eingaben!$B$18,MAX(0,F1854-I1854)),0)</f>
        <v>0.75411</v>
      </c>
      <c r="K1854" s="13" t="n">
        <f aca="false">H1854+I1854</f>
        <v>2.4986178</v>
      </c>
      <c r="L1854" s="13" t="n">
        <f aca="false">MAX(0,D1854-K1854)</f>
        <v>2.4413822</v>
      </c>
      <c r="M1854" s="13" t="n">
        <f aca="false">MAX(0,F1854-I1854-J1854)</f>
        <v>0</v>
      </c>
      <c r="N1854" s="13" t="n">
        <f aca="false">IF(Kalender!A24="",0,J1853-H1854)</f>
        <v>0.0150822</v>
      </c>
    </row>
    <row r="1855" customFormat="false" ht="16.4" hidden="false" customHeight="false" outlineLevel="0" collapsed="false">
      <c r="A1855" s="13" t="str">
        <f aca="false">""</f>
        <v/>
      </c>
      <c r="B1855" s="13" t="n">
        <f aca="false">21</f>
        <v>21</v>
      </c>
      <c r="C1855" s="13" t="n">
        <f aca="false">IF(Szenarien!$H$16="OK",(IFERROR(SUMIF(Nutzungsprofile!$B$6:$B$11,"Schulbetrieb",Nutzungsprofile!$G$6:$G$11)*Kalender!C25/SUM(Kalender!$C$5:$C$370),0)+IFERROR(SUMIF(Nutzungsprofile!$B$6:$B$11,"Halle",Nutzungsprofile!$G$6:$G$11)*Kalender!D25/SUM(Kalender!$D$5:$D$370),0)+IFERROR(SUMIF(Nutzungsprofile!$B$6:$B$11,"Individuell",Nutzungsprofile!$G$6:$G$11)*Kalender!E25/SUM(Kalender!$E$5:$E$370),0))*Szenarien!$E$16,0)</f>
        <v>2.94</v>
      </c>
      <c r="D1855" s="13" t="n">
        <f aca="false">IF(Szenarien!$H$16="OK",(IFERROR(SUMIF(Nutzungsprofile!$B$17:$B$22,"Schulbetrieb",Nutzungsprofile!$G$17:$G$22)*Kalender!C25/SUM(Kalender!$C$5:$C$370),0)+IFERROR(SUMIF(Nutzungsprofile!$B$17:$B$22,"Halle",Nutzungsprofile!$G$17:$G$22)*Kalender!D25/SUM(Kalender!$D$5:$D$370),0)+IFERROR(SUMIF(Nutzungsprofile!$B$17:$B$22,"Individuell",Nutzungsprofile!$G$17:$G$22)*Kalender!E25/SUM(Kalender!$E$5:$E$370),0))*Szenarien!$D$16,0)</f>
        <v>4.94</v>
      </c>
      <c r="E1855" s="13" t="n">
        <f aca="false">IFERROR(MIN(C1855,Eingaben!$B$17)*Eingaben!$B$16,0)</f>
        <v>2.793</v>
      </c>
      <c r="F1855" s="13" t="n">
        <f aca="false">IFERROR(E1855*Eingaben!$B$15,0)</f>
        <v>2.5137</v>
      </c>
      <c r="G1855" s="13" t="n">
        <f aca="false">IFERROR(IF(Kalender!A25="",0,J1854*(1-Eingaben!$B$20)),0)</f>
        <v>0.7390278</v>
      </c>
      <c r="H1855" s="13" t="n">
        <f aca="false">MIN(G1855,D1855)</f>
        <v>0.7390278</v>
      </c>
      <c r="I1855" s="13" t="n">
        <f aca="false">IFERROR(MIN(F1855*Eingaben!$B$19,MAX(0,D1855-H1855)),0)</f>
        <v>1.75959</v>
      </c>
      <c r="J1855" s="13" t="n">
        <f aca="false">IFERROR(MIN(Eingaben!$B$18,MAX(0,F1855-I1855)),0)</f>
        <v>0.75411</v>
      </c>
      <c r="K1855" s="13" t="n">
        <f aca="false">H1855+I1855</f>
        <v>2.4986178</v>
      </c>
      <c r="L1855" s="13" t="n">
        <f aca="false">MAX(0,D1855-K1855)</f>
        <v>2.4413822</v>
      </c>
      <c r="M1855" s="13" t="n">
        <f aca="false">MAX(0,F1855-I1855-J1855)</f>
        <v>0</v>
      </c>
      <c r="N1855" s="13" t="n">
        <f aca="false">IF(Kalender!A25="",0,J1854-H1855)</f>
        <v>0.0150822</v>
      </c>
    </row>
    <row r="1856" customFormat="false" ht="16.4" hidden="false" customHeight="false" outlineLevel="0" collapsed="false">
      <c r="A1856" s="13" t="str">
        <f aca="false">""</f>
        <v/>
      </c>
      <c r="B1856" s="13" t="n">
        <f aca="false">22</f>
        <v>22</v>
      </c>
      <c r="C1856" s="13" t="n">
        <f aca="false">IF(Szenarien!$H$16="OK",(IFERROR(SUMIF(Nutzungsprofile!$B$6:$B$11,"Schulbetrieb",Nutzungsprofile!$G$6:$G$11)*Kalender!C26/SUM(Kalender!$C$5:$C$370),0)+IFERROR(SUMIF(Nutzungsprofile!$B$6:$B$11,"Halle",Nutzungsprofile!$G$6:$G$11)*Kalender!D26/SUM(Kalender!$D$5:$D$370),0)+IFERROR(SUMIF(Nutzungsprofile!$B$6:$B$11,"Individuell",Nutzungsprofile!$G$6:$G$11)*Kalender!E26/SUM(Kalender!$E$5:$E$370),0))*Szenarien!$E$16,0)</f>
        <v>2.94</v>
      </c>
      <c r="D1856" s="13" t="n">
        <f aca="false">IF(Szenarien!$H$16="OK",(IFERROR(SUMIF(Nutzungsprofile!$B$17:$B$22,"Schulbetrieb",Nutzungsprofile!$G$17:$G$22)*Kalender!C26/SUM(Kalender!$C$5:$C$370),0)+IFERROR(SUMIF(Nutzungsprofile!$B$17:$B$22,"Halle",Nutzungsprofile!$G$17:$G$22)*Kalender!D26/SUM(Kalender!$D$5:$D$370),0)+IFERROR(SUMIF(Nutzungsprofile!$B$17:$B$22,"Individuell",Nutzungsprofile!$G$17:$G$22)*Kalender!E26/SUM(Kalender!$E$5:$E$370),0))*Szenarien!$D$16,0)</f>
        <v>4.94</v>
      </c>
      <c r="E1856" s="13" t="n">
        <f aca="false">IFERROR(MIN(C1856,Eingaben!$B$17)*Eingaben!$B$16,0)</f>
        <v>2.793</v>
      </c>
      <c r="F1856" s="13" t="n">
        <f aca="false">IFERROR(E1856*Eingaben!$B$15,0)</f>
        <v>2.5137</v>
      </c>
      <c r="G1856" s="13" t="n">
        <f aca="false">IFERROR(IF(Kalender!A26="",0,J1855*(1-Eingaben!$B$20)),0)</f>
        <v>0.7390278</v>
      </c>
      <c r="H1856" s="13" t="n">
        <f aca="false">MIN(G1856,D1856)</f>
        <v>0.7390278</v>
      </c>
      <c r="I1856" s="13" t="n">
        <f aca="false">IFERROR(MIN(F1856*Eingaben!$B$19,MAX(0,D1856-H1856)),0)</f>
        <v>1.75959</v>
      </c>
      <c r="J1856" s="13" t="n">
        <f aca="false">IFERROR(MIN(Eingaben!$B$18,MAX(0,F1856-I1856)),0)</f>
        <v>0.75411</v>
      </c>
      <c r="K1856" s="13" t="n">
        <f aca="false">H1856+I1856</f>
        <v>2.4986178</v>
      </c>
      <c r="L1856" s="13" t="n">
        <f aca="false">MAX(0,D1856-K1856)</f>
        <v>2.4413822</v>
      </c>
      <c r="M1856" s="13" t="n">
        <f aca="false">MAX(0,F1856-I1856-J1856)</f>
        <v>0</v>
      </c>
      <c r="N1856" s="13" t="n">
        <f aca="false">IF(Kalender!A26="",0,J1855-H1856)</f>
        <v>0.0150822</v>
      </c>
    </row>
    <row r="1857" customFormat="false" ht="16.4" hidden="false" customHeight="false" outlineLevel="0" collapsed="false">
      <c r="A1857" s="13" t="str">
        <f aca="false">""</f>
        <v/>
      </c>
      <c r="B1857" s="13" t="n">
        <f aca="false">23</f>
        <v>23</v>
      </c>
      <c r="C1857" s="13" t="n">
        <f aca="false">IF(Szenarien!$H$16="OK",(IFERROR(SUMIF(Nutzungsprofile!$B$6:$B$11,"Schulbetrieb",Nutzungsprofile!$G$6:$G$11)*Kalender!C27/SUM(Kalender!$C$5:$C$370),0)+IFERROR(SUMIF(Nutzungsprofile!$B$6:$B$11,"Halle",Nutzungsprofile!$G$6:$G$11)*Kalender!D27/SUM(Kalender!$D$5:$D$370),0)+IFERROR(SUMIF(Nutzungsprofile!$B$6:$B$11,"Individuell",Nutzungsprofile!$G$6:$G$11)*Kalender!E27/SUM(Kalender!$E$5:$E$370),0))*Szenarien!$E$16,0)</f>
        <v>2.94</v>
      </c>
      <c r="D1857" s="13" t="n">
        <f aca="false">IF(Szenarien!$H$16="OK",(IFERROR(SUMIF(Nutzungsprofile!$B$17:$B$22,"Schulbetrieb",Nutzungsprofile!$G$17:$G$22)*Kalender!C27/SUM(Kalender!$C$5:$C$370),0)+IFERROR(SUMIF(Nutzungsprofile!$B$17:$B$22,"Halle",Nutzungsprofile!$G$17:$G$22)*Kalender!D27/SUM(Kalender!$D$5:$D$370),0)+IFERROR(SUMIF(Nutzungsprofile!$B$17:$B$22,"Individuell",Nutzungsprofile!$G$17:$G$22)*Kalender!E27/SUM(Kalender!$E$5:$E$370),0))*Szenarien!$D$16,0)</f>
        <v>4.94</v>
      </c>
      <c r="E1857" s="13" t="n">
        <f aca="false">IFERROR(MIN(C1857,Eingaben!$B$17)*Eingaben!$B$16,0)</f>
        <v>2.793</v>
      </c>
      <c r="F1857" s="13" t="n">
        <f aca="false">IFERROR(E1857*Eingaben!$B$15,0)</f>
        <v>2.5137</v>
      </c>
      <c r="G1857" s="13" t="n">
        <f aca="false">IFERROR(IF(Kalender!A27="",0,J1856*(1-Eingaben!$B$20)),0)</f>
        <v>0.7390278</v>
      </c>
      <c r="H1857" s="13" t="n">
        <f aca="false">MIN(G1857,D1857)</f>
        <v>0.7390278</v>
      </c>
      <c r="I1857" s="13" t="n">
        <f aca="false">IFERROR(MIN(F1857*Eingaben!$B$19,MAX(0,D1857-H1857)),0)</f>
        <v>1.75959</v>
      </c>
      <c r="J1857" s="13" t="n">
        <f aca="false">IFERROR(MIN(Eingaben!$B$18,MAX(0,F1857-I1857)),0)</f>
        <v>0.75411</v>
      </c>
      <c r="K1857" s="13" t="n">
        <f aca="false">H1857+I1857</f>
        <v>2.4986178</v>
      </c>
      <c r="L1857" s="13" t="n">
        <f aca="false">MAX(0,D1857-K1857)</f>
        <v>2.4413822</v>
      </c>
      <c r="M1857" s="13" t="n">
        <f aca="false">MAX(0,F1857-I1857-J1857)</f>
        <v>0</v>
      </c>
      <c r="N1857" s="13" t="n">
        <f aca="false">IF(Kalender!A27="",0,J1856-H1857)</f>
        <v>0.0150822</v>
      </c>
    </row>
    <row r="1858" customFormat="false" ht="16.4" hidden="false" customHeight="false" outlineLevel="0" collapsed="false">
      <c r="A1858" s="13" t="str">
        <f aca="false">""</f>
        <v/>
      </c>
      <c r="B1858" s="13" t="n">
        <f aca="false">24</f>
        <v>24</v>
      </c>
      <c r="C1858" s="13" t="n">
        <f aca="false">IF(Szenarien!$H$16="OK",(IFERROR(SUMIF(Nutzungsprofile!$B$6:$B$11,"Schulbetrieb",Nutzungsprofile!$G$6:$G$11)*Kalender!C28/SUM(Kalender!$C$5:$C$370),0)+IFERROR(SUMIF(Nutzungsprofile!$B$6:$B$11,"Halle",Nutzungsprofile!$G$6:$G$11)*Kalender!D28/SUM(Kalender!$D$5:$D$370),0)+IFERROR(SUMIF(Nutzungsprofile!$B$6:$B$11,"Individuell",Nutzungsprofile!$G$6:$G$11)*Kalender!E28/SUM(Kalender!$E$5:$E$370),0))*Szenarien!$E$16,0)</f>
        <v>2.04</v>
      </c>
      <c r="D1858" s="13" t="n">
        <f aca="false">IF(Szenarien!$H$16="OK",(IFERROR(SUMIF(Nutzungsprofile!$B$17:$B$22,"Schulbetrieb",Nutzungsprofile!$G$17:$G$22)*Kalender!C28/SUM(Kalender!$C$5:$C$370),0)+IFERROR(SUMIF(Nutzungsprofile!$B$17:$B$22,"Halle",Nutzungsprofile!$G$17:$G$22)*Kalender!D28/SUM(Kalender!$D$5:$D$370),0)+IFERROR(SUMIF(Nutzungsprofile!$B$17:$B$22,"Individuell",Nutzungsprofile!$G$17:$G$22)*Kalender!E28/SUM(Kalender!$E$5:$E$370),0))*Szenarien!$D$16,0)</f>
        <v>0.89</v>
      </c>
      <c r="E1858" s="13" t="n">
        <f aca="false">IFERROR(MIN(C1858,Eingaben!$B$17)*Eingaben!$B$16,0)</f>
        <v>1.938</v>
      </c>
      <c r="F1858" s="13" t="n">
        <f aca="false">IFERROR(E1858*Eingaben!$B$15,0)</f>
        <v>1.7442</v>
      </c>
      <c r="G1858" s="13" t="n">
        <f aca="false">IFERROR(IF(Kalender!A28="",0,J1857*(1-Eingaben!$B$20)),0)</f>
        <v>0.7390278</v>
      </c>
      <c r="H1858" s="13" t="n">
        <f aca="false">MIN(G1858,D1858)</f>
        <v>0.7390278</v>
      </c>
      <c r="I1858" s="13" t="n">
        <f aca="false">IFERROR(MIN(F1858*Eingaben!$B$19,MAX(0,D1858-H1858)),0)</f>
        <v>0.1509722</v>
      </c>
      <c r="J1858" s="13" t="n">
        <f aca="false">IFERROR(MIN(Eingaben!$B$18,MAX(0,F1858-I1858)),0)</f>
        <v>1.5932278</v>
      </c>
      <c r="K1858" s="13" t="n">
        <f aca="false">H1858+I1858</f>
        <v>0.89</v>
      </c>
      <c r="L1858" s="13" t="n">
        <f aca="false">MAX(0,D1858-K1858)</f>
        <v>0</v>
      </c>
      <c r="M1858" s="13" t="n">
        <f aca="false">MAX(0,F1858-I1858-J1858)</f>
        <v>0</v>
      </c>
      <c r="N1858" s="13" t="n">
        <f aca="false">IF(Kalender!A28="",0,J1857-H1858)</f>
        <v>0.0150822</v>
      </c>
    </row>
    <row r="1859" customFormat="false" ht="16.4" hidden="false" customHeight="false" outlineLevel="0" collapsed="false">
      <c r="A1859" s="13" t="str">
        <f aca="false">""</f>
        <v/>
      </c>
      <c r="B1859" s="13" t="n">
        <f aca="false">25</f>
        <v>25</v>
      </c>
      <c r="C1859" s="13" t="n">
        <f aca="false">IF(Szenarien!$H$16="OK",(IFERROR(SUMIF(Nutzungsprofile!$B$6:$B$11,"Schulbetrieb",Nutzungsprofile!$G$6:$G$11)*Kalender!C29/SUM(Kalender!$C$5:$C$370),0)+IFERROR(SUMIF(Nutzungsprofile!$B$6:$B$11,"Halle",Nutzungsprofile!$G$6:$G$11)*Kalender!D29/SUM(Kalender!$D$5:$D$370),0)+IFERROR(SUMIF(Nutzungsprofile!$B$6:$B$11,"Individuell",Nutzungsprofile!$G$6:$G$11)*Kalender!E29/SUM(Kalender!$E$5:$E$370),0))*Szenarien!$E$16,0)</f>
        <v>2.04</v>
      </c>
      <c r="D1859" s="13" t="n">
        <f aca="false">IF(Szenarien!$H$16="OK",(IFERROR(SUMIF(Nutzungsprofile!$B$17:$B$22,"Schulbetrieb",Nutzungsprofile!$G$17:$G$22)*Kalender!C29/SUM(Kalender!$C$5:$C$370),0)+IFERROR(SUMIF(Nutzungsprofile!$B$17:$B$22,"Halle",Nutzungsprofile!$G$17:$G$22)*Kalender!D29/SUM(Kalender!$D$5:$D$370),0)+IFERROR(SUMIF(Nutzungsprofile!$B$17:$B$22,"Individuell",Nutzungsprofile!$G$17:$G$22)*Kalender!E29/SUM(Kalender!$E$5:$E$370),0))*Szenarien!$D$16,0)</f>
        <v>0.89</v>
      </c>
      <c r="E1859" s="13" t="n">
        <f aca="false">IFERROR(MIN(C1859,Eingaben!$B$17)*Eingaben!$B$16,0)</f>
        <v>1.938</v>
      </c>
      <c r="F1859" s="13" t="n">
        <f aca="false">IFERROR(E1859*Eingaben!$B$15,0)</f>
        <v>1.7442</v>
      </c>
      <c r="G1859" s="13" t="n">
        <f aca="false">IFERROR(IF(Kalender!A29="",0,J1858*(1-Eingaben!$B$20)),0)</f>
        <v>1.561363244</v>
      </c>
      <c r="H1859" s="13" t="n">
        <f aca="false">MIN(G1859,D1859)</f>
        <v>0.89</v>
      </c>
      <c r="I1859" s="13" t="n">
        <f aca="false">IFERROR(MIN(F1859*Eingaben!$B$19,MAX(0,D1859-H1859)),0)</f>
        <v>0</v>
      </c>
      <c r="J1859" s="13" t="n">
        <f aca="false">IFERROR(MIN(Eingaben!$B$18,MAX(0,F1859-I1859)),0)</f>
        <v>1.7442</v>
      </c>
      <c r="K1859" s="13" t="n">
        <f aca="false">H1859+I1859</f>
        <v>0.89</v>
      </c>
      <c r="L1859" s="13" t="n">
        <f aca="false">MAX(0,D1859-K1859)</f>
        <v>0</v>
      </c>
      <c r="M1859" s="13" t="n">
        <f aca="false">MAX(0,F1859-I1859-J1859)</f>
        <v>0</v>
      </c>
      <c r="N1859" s="13" t="n">
        <f aca="false">IF(Kalender!A29="",0,J1858-H1859)</f>
        <v>0.7032278</v>
      </c>
    </row>
    <row r="1860" customFormat="false" ht="16.4" hidden="false" customHeight="false" outlineLevel="0" collapsed="false">
      <c r="A1860" s="13" t="str">
        <f aca="false">""</f>
        <v/>
      </c>
      <c r="B1860" s="13" t="n">
        <f aca="false">26</f>
        <v>26</v>
      </c>
      <c r="C1860" s="13" t="n">
        <f aca="false">IF(Szenarien!$H$16="OK",(IFERROR(SUMIF(Nutzungsprofile!$B$6:$B$11,"Schulbetrieb",Nutzungsprofile!$G$6:$G$11)*Kalender!C30/SUM(Kalender!$C$5:$C$370),0)+IFERROR(SUMIF(Nutzungsprofile!$B$6:$B$11,"Halle",Nutzungsprofile!$G$6:$G$11)*Kalender!D30/SUM(Kalender!$D$5:$D$370),0)+IFERROR(SUMIF(Nutzungsprofile!$B$6:$B$11,"Individuell",Nutzungsprofile!$G$6:$G$11)*Kalender!E30/SUM(Kalender!$E$5:$E$370),0))*Szenarien!$E$16,0)</f>
        <v>2.94</v>
      </c>
      <c r="D1860" s="13" t="n">
        <f aca="false">IF(Szenarien!$H$16="OK",(IFERROR(SUMIF(Nutzungsprofile!$B$17:$B$22,"Schulbetrieb",Nutzungsprofile!$G$17:$G$22)*Kalender!C30/SUM(Kalender!$C$5:$C$370),0)+IFERROR(SUMIF(Nutzungsprofile!$B$17:$B$22,"Halle",Nutzungsprofile!$G$17:$G$22)*Kalender!D30/SUM(Kalender!$D$5:$D$370),0)+IFERROR(SUMIF(Nutzungsprofile!$B$17:$B$22,"Individuell",Nutzungsprofile!$G$17:$G$22)*Kalender!E30/SUM(Kalender!$E$5:$E$370),0))*Szenarien!$D$16,0)</f>
        <v>4.94</v>
      </c>
      <c r="E1860" s="13" t="n">
        <f aca="false">IFERROR(MIN(C1860,Eingaben!$B$17)*Eingaben!$B$16,0)</f>
        <v>2.793</v>
      </c>
      <c r="F1860" s="13" t="n">
        <f aca="false">IFERROR(E1860*Eingaben!$B$15,0)</f>
        <v>2.5137</v>
      </c>
      <c r="G1860" s="13" t="n">
        <f aca="false">IFERROR(IF(Kalender!A30="",0,J1859*(1-Eingaben!$B$20)),0)</f>
        <v>1.709316</v>
      </c>
      <c r="H1860" s="13" t="n">
        <f aca="false">MIN(G1860,D1860)</f>
        <v>1.709316</v>
      </c>
      <c r="I1860" s="13" t="n">
        <f aca="false">IFERROR(MIN(F1860*Eingaben!$B$19,MAX(0,D1860-H1860)),0)</f>
        <v>1.75959</v>
      </c>
      <c r="J1860" s="13" t="n">
        <f aca="false">IFERROR(MIN(Eingaben!$B$18,MAX(0,F1860-I1860)),0)</f>
        <v>0.75411</v>
      </c>
      <c r="K1860" s="13" t="n">
        <f aca="false">H1860+I1860</f>
        <v>3.468906</v>
      </c>
      <c r="L1860" s="13" t="n">
        <f aca="false">MAX(0,D1860-K1860)</f>
        <v>1.471094</v>
      </c>
      <c r="M1860" s="13" t="n">
        <f aca="false">MAX(0,F1860-I1860-J1860)</f>
        <v>0</v>
      </c>
      <c r="N1860" s="13" t="n">
        <f aca="false">IF(Kalender!A30="",0,J1859-H1860)</f>
        <v>0.0348840000000001</v>
      </c>
    </row>
    <row r="1861" customFormat="false" ht="16.4" hidden="false" customHeight="false" outlineLevel="0" collapsed="false">
      <c r="A1861" s="13" t="str">
        <f aca="false">""</f>
        <v/>
      </c>
      <c r="B1861" s="13" t="n">
        <f aca="false">27</f>
        <v>27</v>
      </c>
      <c r="C1861" s="13" t="n">
        <f aca="false">IF(Szenarien!$H$16="OK",(IFERROR(SUMIF(Nutzungsprofile!$B$6:$B$11,"Schulbetrieb",Nutzungsprofile!$G$6:$G$11)*Kalender!C31/SUM(Kalender!$C$5:$C$370),0)+IFERROR(SUMIF(Nutzungsprofile!$B$6:$B$11,"Halle",Nutzungsprofile!$G$6:$G$11)*Kalender!D31/SUM(Kalender!$D$5:$D$370),0)+IFERROR(SUMIF(Nutzungsprofile!$B$6:$B$11,"Individuell",Nutzungsprofile!$G$6:$G$11)*Kalender!E31/SUM(Kalender!$E$5:$E$370),0))*Szenarien!$E$16,0)</f>
        <v>2.94</v>
      </c>
      <c r="D1861" s="13" t="n">
        <f aca="false">IF(Szenarien!$H$16="OK",(IFERROR(SUMIF(Nutzungsprofile!$B$17:$B$22,"Schulbetrieb",Nutzungsprofile!$G$17:$G$22)*Kalender!C31/SUM(Kalender!$C$5:$C$370),0)+IFERROR(SUMIF(Nutzungsprofile!$B$17:$B$22,"Halle",Nutzungsprofile!$G$17:$G$22)*Kalender!D31/SUM(Kalender!$D$5:$D$370),0)+IFERROR(SUMIF(Nutzungsprofile!$B$17:$B$22,"Individuell",Nutzungsprofile!$G$17:$G$22)*Kalender!E31/SUM(Kalender!$E$5:$E$370),0))*Szenarien!$D$16,0)</f>
        <v>4.94</v>
      </c>
      <c r="E1861" s="13" t="n">
        <f aca="false">IFERROR(MIN(C1861,Eingaben!$B$17)*Eingaben!$B$16,0)</f>
        <v>2.793</v>
      </c>
      <c r="F1861" s="13" t="n">
        <f aca="false">IFERROR(E1861*Eingaben!$B$15,0)</f>
        <v>2.5137</v>
      </c>
      <c r="G1861" s="13" t="n">
        <f aca="false">IFERROR(IF(Kalender!A31="",0,J1860*(1-Eingaben!$B$20)),0)</f>
        <v>0.7390278</v>
      </c>
      <c r="H1861" s="13" t="n">
        <f aca="false">MIN(G1861,D1861)</f>
        <v>0.7390278</v>
      </c>
      <c r="I1861" s="13" t="n">
        <f aca="false">IFERROR(MIN(F1861*Eingaben!$B$19,MAX(0,D1861-H1861)),0)</f>
        <v>1.75959</v>
      </c>
      <c r="J1861" s="13" t="n">
        <f aca="false">IFERROR(MIN(Eingaben!$B$18,MAX(0,F1861-I1861)),0)</f>
        <v>0.75411</v>
      </c>
      <c r="K1861" s="13" t="n">
        <f aca="false">H1861+I1861</f>
        <v>2.4986178</v>
      </c>
      <c r="L1861" s="13" t="n">
        <f aca="false">MAX(0,D1861-K1861)</f>
        <v>2.4413822</v>
      </c>
      <c r="M1861" s="13" t="n">
        <f aca="false">MAX(0,F1861-I1861-J1861)</f>
        <v>0</v>
      </c>
      <c r="N1861" s="13" t="n">
        <f aca="false">IF(Kalender!A31="",0,J1860-H1861)</f>
        <v>0.0150822</v>
      </c>
    </row>
    <row r="1862" customFormat="false" ht="16.4" hidden="false" customHeight="false" outlineLevel="0" collapsed="false">
      <c r="A1862" s="13" t="str">
        <f aca="false">""</f>
        <v/>
      </c>
      <c r="B1862" s="13" t="n">
        <f aca="false">28</f>
        <v>28</v>
      </c>
      <c r="C1862" s="13" t="n">
        <f aca="false">IF(Szenarien!$H$16="OK",(IFERROR(SUMIF(Nutzungsprofile!$B$6:$B$11,"Schulbetrieb",Nutzungsprofile!$G$6:$G$11)*Kalender!C32/SUM(Kalender!$C$5:$C$370),0)+IFERROR(SUMIF(Nutzungsprofile!$B$6:$B$11,"Halle",Nutzungsprofile!$G$6:$G$11)*Kalender!D32/SUM(Kalender!$D$5:$D$370),0)+IFERROR(SUMIF(Nutzungsprofile!$B$6:$B$11,"Individuell",Nutzungsprofile!$G$6:$G$11)*Kalender!E32/SUM(Kalender!$E$5:$E$370),0))*Szenarien!$E$16,0)</f>
        <v>2.94</v>
      </c>
      <c r="D1862" s="13" t="n">
        <f aca="false">IF(Szenarien!$H$16="OK",(IFERROR(SUMIF(Nutzungsprofile!$B$17:$B$22,"Schulbetrieb",Nutzungsprofile!$G$17:$G$22)*Kalender!C32/SUM(Kalender!$C$5:$C$370),0)+IFERROR(SUMIF(Nutzungsprofile!$B$17:$B$22,"Halle",Nutzungsprofile!$G$17:$G$22)*Kalender!D32/SUM(Kalender!$D$5:$D$370),0)+IFERROR(SUMIF(Nutzungsprofile!$B$17:$B$22,"Individuell",Nutzungsprofile!$G$17:$G$22)*Kalender!E32/SUM(Kalender!$E$5:$E$370),0))*Szenarien!$D$16,0)</f>
        <v>4.94</v>
      </c>
      <c r="E1862" s="13" t="n">
        <f aca="false">IFERROR(MIN(C1862,Eingaben!$B$17)*Eingaben!$B$16,0)</f>
        <v>2.793</v>
      </c>
      <c r="F1862" s="13" t="n">
        <f aca="false">IFERROR(E1862*Eingaben!$B$15,0)</f>
        <v>2.5137</v>
      </c>
      <c r="G1862" s="13" t="n">
        <f aca="false">IFERROR(IF(Kalender!A32="",0,J1861*(1-Eingaben!$B$20)),0)</f>
        <v>0.7390278</v>
      </c>
      <c r="H1862" s="13" t="n">
        <f aca="false">MIN(G1862,D1862)</f>
        <v>0.7390278</v>
      </c>
      <c r="I1862" s="13" t="n">
        <f aca="false">IFERROR(MIN(F1862*Eingaben!$B$19,MAX(0,D1862-H1862)),0)</f>
        <v>1.75959</v>
      </c>
      <c r="J1862" s="13" t="n">
        <f aca="false">IFERROR(MIN(Eingaben!$B$18,MAX(0,F1862-I1862)),0)</f>
        <v>0.75411</v>
      </c>
      <c r="K1862" s="13" t="n">
        <f aca="false">H1862+I1862</f>
        <v>2.4986178</v>
      </c>
      <c r="L1862" s="13" t="n">
        <f aca="false">MAX(0,D1862-K1862)</f>
        <v>2.4413822</v>
      </c>
      <c r="M1862" s="13" t="n">
        <f aca="false">MAX(0,F1862-I1862-J1862)</f>
        <v>0</v>
      </c>
      <c r="N1862" s="13" t="n">
        <f aca="false">IF(Kalender!A32="",0,J1861-H1862)</f>
        <v>0.0150822</v>
      </c>
    </row>
    <row r="1863" customFormat="false" ht="16.4" hidden="false" customHeight="false" outlineLevel="0" collapsed="false">
      <c r="A1863" s="13" t="str">
        <f aca="false">""</f>
        <v/>
      </c>
      <c r="B1863" s="13" t="n">
        <f aca="false">29</f>
        <v>29</v>
      </c>
      <c r="C1863" s="13" t="n">
        <f aca="false">IF(Szenarien!$H$16="OK",(IFERROR(SUMIF(Nutzungsprofile!$B$6:$B$11,"Schulbetrieb",Nutzungsprofile!$G$6:$G$11)*Kalender!C33/SUM(Kalender!$C$5:$C$370),0)+IFERROR(SUMIF(Nutzungsprofile!$B$6:$B$11,"Halle",Nutzungsprofile!$G$6:$G$11)*Kalender!D33/SUM(Kalender!$D$5:$D$370),0)+IFERROR(SUMIF(Nutzungsprofile!$B$6:$B$11,"Individuell",Nutzungsprofile!$G$6:$G$11)*Kalender!E33/SUM(Kalender!$E$5:$E$370),0))*Szenarien!$E$16,0)</f>
        <v>2.94</v>
      </c>
      <c r="D1863" s="13" t="n">
        <f aca="false">IF(Szenarien!$H$16="OK",(IFERROR(SUMIF(Nutzungsprofile!$B$17:$B$22,"Schulbetrieb",Nutzungsprofile!$G$17:$G$22)*Kalender!C33/SUM(Kalender!$C$5:$C$370),0)+IFERROR(SUMIF(Nutzungsprofile!$B$17:$B$22,"Halle",Nutzungsprofile!$G$17:$G$22)*Kalender!D33/SUM(Kalender!$D$5:$D$370),0)+IFERROR(SUMIF(Nutzungsprofile!$B$17:$B$22,"Individuell",Nutzungsprofile!$G$17:$G$22)*Kalender!E33/SUM(Kalender!$E$5:$E$370),0))*Szenarien!$D$16,0)</f>
        <v>4.94</v>
      </c>
      <c r="E1863" s="13" t="n">
        <f aca="false">IFERROR(MIN(C1863,Eingaben!$B$17)*Eingaben!$B$16,0)</f>
        <v>2.793</v>
      </c>
      <c r="F1863" s="13" t="n">
        <f aca="false">IFERROR(E1863*Eingaben!$B$15,0)</f>
        <v>2.5137</v>
      </c>
      <c r="G1863" s="13" t="n">
        <f aca="false">IFERROR(IF(Kalender!A33="",0,J1862*(1-Eingaben!$B$20)),0)</f>
        <v>0.7390278</v>
      </c>
      <c r="H1863" s="13" t="n">
        <f aca="false">MIN(G1863,D1863)</f>
        <v>0.7390278</v>
      </c>
      <c r="I1863" s="13" t="n">
        <f aca="false">IFERROR(MIN(F1863*Eingaben!$B$19,MAX(0,D1863-H1863)),0)</f>
        <v>1.75959</v>
      </c>
      <c r="J1863" s="13" t="n">
        <f aca="false">IFERROR(MIN(Eingaben!$B$18,MAX(0,F1863-I1863)),0)</f>
        <v>0.75411</v>
      </c>
      <c r="K1863" s="13" t="n">
        <f aca="false">H1863+I1863</f>
        <v>2.4986178</v>
      </c>
      <c r="L1863" s="13" t="n">
        <f aca="false">MAX(0,D1863-K1863)</f>
        <v>2.4413822</v>
      </c>
      <c r="M1863" s="13" t="n">
        <f aca="false">MAX(0,F1863-I1863-J1863)</f>
        <v>0</v>
      </c>
      <c r="N1863" s="13" t="n">
        <f aca="false">IF(Kalender!A33="",0,J1862-H1863)</f>
        <v>0.0150822</v>
      </c>
    </row>
    <row r="1864" customFormat="false" ht="16.4" hidden="false" customHeight="false" outlineLevel="0" collapsed="false">
      <c r="A1864" s="13" t="str">
        <f aca="false">""</f>
        <v/>
      </c>
      <c r="B1864" s="13" t="n">
        <f aca="false">30</f>
        <v>30</v>
      </c>
      <c r="C1864" s="13" t="n">
        <f aca="false">IF(Szenarien!$H$16="OK",(IFERROR(SUMIF(Nutzungsprofile!$B$6:$B$11,"Schulbetrieb",Nutzungsprofile!$G$6:$G$11)*Kalender!C34/SUM(Kalender!$C$5:$C$370),0)+IFERROR(SUMIF(Nutzungsprofile!$B$6:$B$11,"Halle",Nutzungsprofile!$G$6:$G$11)*Kalender!D34/SUM(Kalender!$D$5:$D$370),0)+IFERROR(SUMIF(Nutzungsprofile!$B$6:$B$11,"Individuell",Nutzungsprofile!$G$6:$G$11)*Kalender!E34/SUM(Kalender!$E$5:$E$370),0))*Szenarien!$E$16,0)</f>
        <v>2.94</v>
      </c>
      <c r="D1864" s="13" t="n">
        <f aca="false">IF(Szenarien!$H$16="OK",(IFERROR(SUMIF(Nutzungsprofile!$B$17:$B$22,"Schulbetrieb",Nutzungsprofile!$G$17:$G$22)*Kalender!C34/SUM(Kalender!$C$5:$C$370),0)+IFERROR(SUMIF(Nutzungsprofile!$B$17:$B$22,"Halle",Nutzungsprofile!$G$17:$G$22)*Kalender!D34/SUM(Kalender!$D$5:$D$370),0)+IFERROR(SUMIF(Nutzungsprofile!$B$17:$B$22,"Individuell",Nutzungsprofile!$G$17:$G$22)*Kalender!E34/SUM(Kalender!$E$5:$E$370),0))*Szenarien!$D$16,0)</f>
        <v>4.94</v>
      </c>
      <c r="E1864" s="13" t="n">
        <f aca="false">IFERROR(MIN(C1864,Eingaben!$B$17)*Eingaben!$B$16,0)</f>
        <v>2.793</v>
      </c>
      <c r="F1864" s="13" t="n">
        <f aca="false">IFERROR(E1864*Eingaben!$B$15,0)</f>
        <v>2.5137</v>
      </c>
      <c r="G1864" s="13" t="n">
        <f aca="false">IFERROR(IF(Kalender!A34="",0,J1863*(1-Eingaben!$B$20)),0)</f>
        <v>0.7390278</v>
      </c>
      <c r="H1864" s="13" t="n">
        <f aca="false">MIN(G1864,D1864)</f>
        <v>0.7390278</v>
      </c>
      <c r="I1864" s="13" t="n">
        <f aca="false">IFERROR(MIN(F1864*Eingaben!$B$19,MAX(0,D1864-H1864)),0)</f>
        <v>1.75959</v>
      </c>
      <c r="J1864" s="13" t="n">
        <f aca="false">IFERROR(MIN(Eingaben!$B$18,MAX(0,F1864-I1864)),0)</f>
        <v>0.75411</v>
      </c>
      <c r="K1864" s="13" t="n">
        <f aca="false">H1864+I1864</f>
        <v>2.4986178</v>
      </c>
      <c r="L1864" s="13" t="n">
        <f aca="false">MAX(0,D1864-K1864)</f>
        <v>2.4413822</v>
      </c>
      <c r="M1864" s="13" t="n">
        <f aca="false">MAX(0,F1864-I1864-J1864)</f>
        <v>0</v>
      </c>
      <c r="N1864" s="13" t="n">
        <f aca="false">IF(Kalender!A34="",0,J1863-H1864)</f>
        <v>0.0150822</v>
      </c>
    </row>
    <row r="1865" customFormat="false" ht="16.4" hidden="false" customHeight="false" outlineLevel="0" collapsed="false">
      <c r="A1865" s="13" t="str">
        <f aca="false">""</f>
        <v/>
      </c>
      <c r="B1865" s="13" t="n">
        <f aca="false">31</f>
        <v>31</v>
      </c>
      <c r="C1865" s="13" t="n">
        <f aca="false">IF(Szenarien!$H$16="OK",(IFERROR(SUMIF(Nutzungsprofile!$B$6:$B$11,"Schulbetrieb",Nutzungsprofile!$G$6:$G$11)*Kalender!C35/SUM(Kalender!$C$5:$C$370),0)+IFERROR(SUMIF(Nutzungsprofile!$B$6:$B$11,"Halle",Nutzungsprofile!$G$6:$G$11)*Kalender!D35/SUM(Kalender!$D$5:$D$370),0)+IFERROR(SUMIF(Nutzungsprofile!$B$6:$B$11,"Individuell",Nutzungsprofile!$G$6:$G$11)*Kalender!E35/SUM(Kalender!$E$5:$E$370),0))*Szenarien!$E$16,0)</f>
        <v>2.04</v>
      </c>
      <c r="D1865" s="13" t="n">
        <f aca="false">IF(Szenarien!$H$16="OK",(IFERROR(SUMIF(Nutzungsprofile!$B$17:$B$22,"Schulbetrieb",Nutzungsprofile!$G$17:$G$22)*Kalender!C35/SUM(Kalender!$C$5:$C$370),0)+IFERROR(SUMIF(Nutzungsprofile!$B$17:$B$22,"Halle",Nutzungsprofile!$G$17:$G$22)*Kalender!D35/SUM(Kalender!$D$5:$D$370),0)+IFERROR(SUMIF(Nutzungsprofile!$B$17:$B$22,"Individuell",Nutzungsprofile!$G$17:$G$22)*Kalender!E35/SUM(Kalender!$E$5:$E$370),0))*Szenarien!$D$16,0)</f>
        <v>0.89</v>
      </c>
      <c r="E1865" s="13" t="n">
        <f aca="false">IFERROR(MIN(C1865,Eingaben!$B$17)*Eingaben!$B$16,0)</f>
        <v>1.938</v>
      </c>
      <c r="F1865" s="13" t="n">
        <f aca="false">IFERROR(E1865*Eingaben!$B$15,0)</f>
        <v>1.7442</v>
      </c>
      <c r="G1865" s="13" t="n">
        <f aca="false">IFERROR(IF(Kalender!A35="",0,J1864*(1-Eingaben!$B$20)),0)</f>
        <v>0.7390278</v>
      </c>
      <c r="H1865" s="13" t="n">
        <f aca="false">MIN(G1865,D1865)</f>
        <v>0.7390278</v>
      </c>
      <c r="I1865" s="13" t="n">
        <f aca="false">IFERROR(MIN(F1865*Eingaben!$B$19,MAX(0,D1865-H1865)),0)</f>
        <v>0.1509722</v>
      </c>
      <c r="J1865" s="13" t="n">
        <f aca="false">IFERROR(MIN(Eingaben!$B$18,MAX(0,F1865-I1865)),0)</f>
        <v>1.5932278</v>
      </c>
      <c r="K1865" s="13" t="n">
        <f aca="false">H1865+I1865</f>
        <v>0.89</v>
      </c>
      <c r="L1865" s="13" t="n">
        <f aca="false">MAX(0,D1865-K1865)</f>
        <v>0</v>
      </c>
      <c r="M1865" s="13" t="n">
        <f aca="false">MAX(0,F1865-I1865-J1865)</f>
        <v>0</v>
      </c>
      <c r="N1865" s="13" t="n">
        <f aca="false">IF(Kalender!A35="",0,J1864-H1865)</f>
        <v>0.0150822</v>
      </c>
    </row>
    <row r="1866" customFormat="false" ht="16.4" hidden="false" customHeight="false" outlineLevel="0" collapsed="false">
      <c r="A1866" s="13" t="str">
        <f aca="false">""</f>
        <v/>
      </c>
      <c r="B1866" s="13" t="n">
        <f aca="false">32</f>
        <v>32</v>
      </c>
      <c r="C1866" s="13" t="n">
        <f aca="false">IF(Szenarien!$H$16="OK",(IFERROR(SUMIF(Nutzungsprofile!$B$6:$B$11,"Schulbetrieb",Nutzungsprofile!$G$6:$G$11)*Kalender!C36/SUM(Kalender!$C$5:$C$370),0)+IFERROR(SUMIF(Nutzungsprofile!$B$6:$B$11,"Halle",Nutzungsprofile!$G$6:$G$11)*Kalender!D36/SUM(Kalender!$D$5:$D$370),0)+IFERROR(SUMIF(Nutzungsprofile!$B$6:$B$11,"Individuell",Nutzungsprofile!$G$6:$G$11)*Kalender!E36/SUM(Kalender!$E$5:$E$370),0))*Szenarien!$E$16,0)</f>
        <v>2.04</v>
      </c>
      <c r="D1866" s="13" t="n">
        <f aca="false">IF(Szenarien!$H$16="OK",(IFERROR(SUMIF(Nutzungsprofile!$B$17:$B$22,"Schulbetrieb",Nutzungsprofile!$G$17:$G$22)*Kalender!C36/SUM(Kalender!$C$5:$C$370),0)+IFERROR(SUMIF(Nutzungsprofile!$B$17:$B$22,"Halle",Nutzungsprofile!$G$17:$G$22)*Kalender!D36/SUM(Kalender!$D$5:$D$370),0)+IFERROR(SUMIF(Nutzungsprofile!$B$17:$B$22,"Individuell",Nutzungsprofile!$G$17:$G$22)*Kalender!E36/SUM(Kalender!$E$5:$E$370),0))*Szenarien!$D$16,0)</f>
        <v>0.89</v>
      </c>
      <c r="E1866" s="13" t="n">
        <f aca="false">IFERROR(MIN(C1866,Eingaben!$B$17)*Eingaben!$B$16,0)</f>
        <v>1.938</v>
      </c>
      <c r="F1866" s="13" t="n">
        <f aca="false">IFERROR(E1866*Eingaben!$B$15,0)</f>
        <v>1.7442</v>
      </c>
      <c r="G1866" s="13" t="n">
        <f aca="false">IFERROR(IF(Kalender!A36="",0,J1865*(1-Eingaben!$B$20)),0)</f>
        <v>1.561363244</v>
      </c>
      <c r="H1866" s="13" t="n">
        <f aca="false">MIN(G1866,D1866)</f>
        <v>0.89</v>
      </c>
      <c r="I1866" s="13" t="n">
        <f aca="false">IFERROR(MIN(F1866*Eingaben!$B$19,MAX(0,D1866-H1866)),0)</f>
        <v>0</v>
      </c>
      <c r="J1866" s="13" t="n">
        <f aca="false">IFERROR(MIN(Eingaben!$B$18,MAX(0,F1866-I1866)),0)</f>
        <v>1.7442</v>
      </c>
      <c r="K1866" s="13" t="n">
        <f aca="false">H1866+I1866</f>
        <v>0.89</v>
      </c>
      <c r="L1866" s="13" t="n">
        <f aca="false">MAX(0,D1866-K1866)</f>
        <v>0</v>
      </c>
      <c r="M1866" s="13" t="n">
        <f aca="false">MAX(0,F1866-I1866-J1866)</f>
        <v>0</v>
      </c>
      <c r="N1866" s="13" t="n">
        <f aca="false">IF(Kalender!A36="",0,J1865-H1866)</f>
        <v>0.7032278</v>
      </c>
    </row>
    <row r="1867" customFormat="false" ht="16.4" hidden="false" customHeight="false" outlineLevel="0" collapsed="false">
      <c r="A1867" s="13" t="str">
        <f aca="false">""</f>
        <v/>
      </c>
      <c r="B1867" s="13" t="n">
        <f aca="false">33</f>
        <v>33</v>
      </c>
      <c r="C1867" s="13" t="n">
        <f aca="false">IF(Szenarien!$H$16="OK",(IFERROR(SUMIF(Nutzungsprofile!$B$6:$B$11,"Schulbetrieb",Nutzungsprofile!$G$6:$G$11)*Kalender!C37/SUM(Kalender!$C$5:$C$370),0)+IFERROR(SUMIF(Nutzungsprofile!$B$6:$B$11,"Halle",Nutzungsprofile!$G$6:$G$11)*Kalender!D37/SUM(Kalender!$D$5:$D$370),0)+IFERROR(SUMIF(Nutzungsprofile!$B$6:$B$11,"Individuell",Nutzungsprofile!$G$6:$G$11)*Kalender!E37/SUM(Kalender!$E$5:$E$370),0))*Szenarien!$E$16,0)</f>
        <v>2.94</v>
      </c>
      <c r="D1867" s="13" t="n">
        <f aca="false">IF(Szenarien!$H$16="OK",(IFERROR(SUMIF(Nutzungsprofile!$B$17:$B$22,"Schulbetrieb",Nutzungsprofile!$G$17:$G$22)*Kalender!C37/SUM(Kalender!$C$5:$C$370),0)+IFERROR(SUMIF(Nutzungsprofile!$B$17:$B$22,"Halle",Nutzungsprofile!$G$17:$G$22)*Kalender!D37/SUM(Kalender!$D$5:$D$370),0)+IFERROR(SUMIF(Nutzungsprofile!$B$17:$B$22,"Individuell",Nutzungsprofile!$G$17:$G$22)*Kalender!E37/SUM(Kalender!$E$5:$E$370),0))*Szenarien!$D$16,0)</f>
        <v>4.94</v>
      </c>
      <c r="E1867" s="13" t="n">
        <f aca="false">IFERROR(MIN(C1867,Eingaben!$B$17)*Eingaben!$B$16,0)</f>
        <v>2.793</v>
      </c>
      <c r="F1867" s="13" t="n">
        <f aca="false">IFERROR(E1867*Eingaben!$B$15,0)</f>
        <v>2.5137</v>
      </c>
      <c r="G1867" s="13" t="n">
        <f aca="false">IFERROR(IF(Kalender!A37="",0,J1866*(1-Eingaben!$B$20)),0)</f>
        <v>1.709316</v>
      </c>
      <c r="H1867" s="13" t="n">
        <f aca="false">MIN(G1867,D1867)</f>
        <v>1.709316</v>
      </c>
      <c r="I1867" s="13" t="n">
        <f aca="false">IFERROR(MIN(F1867*Eingaben!$B$19,MAX(0,D1867-H1867)),0)</f>
        <v>1.75959</v>
      </c>
      <c r="J1867" s="13" t="n">
        <f aca="false">IFERROR(MIN(Eingaben!$B$18,MAX(0,F1867-I1867)),0)</f>
        <v>0.75411</v>
      </c>
      <c r="K1867" s="13" t="n">
        <f aca="false">H1867+I1867</f>
        <v>3.468906</v>
      </c>
      <c r="L1867" s="13" t="n">
        <f aca="false">MAX(0,D1867-K1867)</f>
        <v>1.471094</v>
      </c>
      <c r="M1867" s="13" t="n">
        <f aca="false">MAX(0,F1867-I1867-J1867)</f>
        <v>0</v>
      </c>
      <c r="N1867" s="13" t="n">
        <f aca="false">IF(Kalender!A37="",0,J1866-H1867)</f>
        <v>0.0348840000000001</v>
      </c>
    </row>
    <row r="1868" customFormat="false" ht="16.4" hidden="false" customHeight="false" outlineLevel="0" collapsed="false">
      <c r="A1868" s="13" t="str">
        <f aca="false">""</f>
        <v/>
      </c>
      <c r="B1868" s="13" t="n">
        <f aca="false">34</f>
        <v>34</v>
      </c>
      <c r="C1868" s="13" t="n">
        <f aca="false">IF(Szenarien!$H$16="OK",(IFERROR(SUMIF(Nutzungsprofile!$B$6:$B$11,"Schulbetrieb",Nutzungsprofile!$G$6:$G$11)*Kalender!C38/SUM(Kalender!$C$5:$C$370),0)+IFERROR(SUMIF(Nutzungsprofile!$B$6:$B$11,"Halle",Nutzungsprofile!$G$6:$G$11)*Kalender!D38/SUM(Kalender!$D$5:$D$370),0)+IFERROR(SUMIF(Nutzungsprofile!$B$6:$B$11,"Individuell",Nutzungsprofile!$G$6:$G$11)*Kalender!E38/SUM(Kalender!$E$5:$E$370),0))*Szenarien!$E$16,0)</f>
        <v>2.94</v>
      </c>
      <c r="D1868" s="13" t="n">
        <f aca="false">IF(Szenarien!$H$16="OK",(IFERROR(SUMIF(Nutzungsprofile!$B$17:$B$22,"Schulbetrieb",Nutzungsprofile!$G$17:$G$22)*Kalender!C38/SUM(Kalender!$C$5:$C$370),0)+IFERROR(SUMIF(Nutzungsprofile!$B$17:$B$22,"Halle",Nutzungsprofile!$G$17:$G$22)*Kalender!D38/SUM(Kalender!$D$5:$D$370),0)+IFERROR(SUMIF(Nutzungsprofile!$B$17:$B$22,"Individuell",Nutzungsprofile!$G$17:$G$22)*Kalender!E38/SUM(Kalender!$E$5:$E$370),0))*Szenarien!$D$16,0)</f>
        <v>4.94</v>
      </c>
      <c r="E1868" s="13" t="n">
        <f aca="false">IFERROR(MIN(C1868,Eingaben!$B$17)*Eingaben!$B$16,0)</f>
        <v>2.793</v>
      </c>
      <c r="F1868" s="13" t="n">
        <f aca="false">IFERROR(E1868*Eingaben!$B$15,0)</f>
        <v>2.5137</v>
      </c>
      <c r="G1868" s="13" t="n">
        <f aca="false">IFERROR(IF(Kalender!A38="",0,J1867*(1-Eingaben!$B$20)),0)</f>
        <v>0.7390278</v>
      </c>
      <c r="H1868" s="13" t="n">
        <f aca="false">MIN(G1868,D1868)</f>
        <v>0.7390278</v>
      </c>
      <c r="I1868" s="13" t="n">
        <f aca="false">IFERROR(MIN(F1868*Eingaben!$B$19,MAX(0,D1868-H1868)),0)</f>
        <v>1.75959</v>
      </c>
      <c r="J1868" s="13" t="n">
        <f aca="false">IFERROR(MIN(Eingaben!$B$18,MAX(0,F1868-I1868)),0)</f>
        <v>0.75411</v>
      </c>
      <c r="K1868" s="13" t="n">
        <f aca="false">H1868+I1868</f>
        <v>2.4986178</v>
      </c>
      <c r="L1868" s="13" t="n">
        <f aca="false">MAX(0,D1868-K1868)</f>
        <v>2.4413822</v>
      </c>
      <c r="M1868" s="13" t="n">
        <f aca="false">MAX(0,F1868-I1868-J1868)</f>
        <v>0</v>
      </c>
      <c r="N1868" s="13" t="n">
        <f aca="false">IF(Kalender!A38="",0,J1867-H1868)</f>
        <v>0.0150822</v>
      </c>
    </row>
    <row r="1869" customFormat="false" ht="16.4" hidden="false" customHeight="false" outlineLevel="0" collapsed="false">
      <c r="A1869" s="13" t="str">
        <f aca="false">""</f>
        <v/>
      </c>
      <c r="B1869" s="13" t="n">
        <f aca="false">35</f>
        <v>35</v>
      </c>
      <c r="C1869" s="13" t="n">
        <f aca="false">IF(Szenarien!$H$16="OK",(IFERROR(SUMIF(Nutzungsprofile!$B$6:$B$11,"Schulbetrieb",Nutzungsprofile!$G$6:$G$11)*Kalender!C39/SUM(Kalender!$C$5:$C$370),0)+IFERROR(SUMIF(Nutzungsprofile!$B$6:$B$11,"Halle",Nutzungsprofile!$G$6:$G$11)*Kalender!D39/SUM(Kalender!$D$5:$D$370),0)+IFERROR(SUMIF(Nutzungsprofile!$B$6:$B$11,"Individuell",Nutzungsprofile!$G$6:$G$11)*Kalender!E39/SUM(Kalender!$E$5:$E$370),0))*Szenarien!$E$16,0)</f>
        <v>2.94</v>
      </c>
      <c r="D1869" s="13" t="n">
        <f aca="false">IF(Szenarien!$H$16="OK",(IFERROR(SUMIF(Nutzungsprofile!$B$17:$B$22,"Schulbetrieb",Nutzungsprofile!$G$17:$G$22)*Kalender!C39/SUM(Kalender!$C$5:$C$370),0)+IFERROR(SUMIF(Nutzungsprofile!$B$17:$B$22,"Halle",Nutzungsprofile!$G$17:$G$22)*Kalender!D39/SUM(Kalender!$D$5:$D$370),0)+IFERROR(SUMIF(Nutzungsprofile!$B$17:$B$22,"Individuell",Nutzungsprofile!$G$17:$G$22)*Kalender!E39/SUM(Kalender!$E$5:$E$370),0))*Szenarien!$D$16,0)</f>
        <v>4.94</v>
      </c>
      <c r="E1869" s="13" t="n">
        <f aca="false">IFERROR(MIN(C1869,Eingaben!$B$17)*Eingaben!$B$16,0)</f>
        <v>2.793</v>
      </c>
      <c r="F1869" s="13" t="n">
        <f aca="false">IFERROR(E1869*Eingaben!$B$15,0)</f>
        <v>2.5137</v>
      </c>
      <c r="G1869" s="13" t="n">
        <f aca="false">IFERROR(IF(Kalender!A39="",0,J1868*(1-Eingaben!$B$20)),0)</f>
        <v>0.7390278</v>
      </c>
      <c r="H1869" s="13" t="n">
        <f aca="false">MIN(G1869,D1869)</f>
        <v>0.7390278</v>
      </c>
      <c r="I1869" s="13" t="n">
        <f aca="false">IFERROR(MIN(F1869*Eingaben!$B$19,MAX(0,D1869-H1869)),0)</f>
        <v>1.75959</v>
      </c>
      <c r="J1869" s="13" t="n">
        <f aca="false">IFERROR(MIN(Eingaben!$B$18,MAX(0,F1869-I1869)),0)</f>
        <v>0.75411</v>
      </c>
      <c r="K1869" s="13" t="n">
        <f aca="false">H1869+I1869</f>
        <v>2.4986178</v>
      </c>
      <c r="L1869" s="13" t="n">
        <f aca="false">MAX(0,D1869-K1869)</f>
        <v>2.4413822</v>
      </c>
      <c r="M1869" s="13" t="n">
        <f aca="false">MAX(0,F1869-I1869-J1869)</f>
        <v>0</v>
      </c>
      <c r="N1869" s="13" t="n">
        <f aca="false">IF(Kalender!A39="",0,J1868-H1869)</f>
        <v>0.0150822</v>
      </c>
    </row>
    <row r="1870" customFormat="false" ht="16.4" hidden="false" customHeight="false" outlineLevel="0" collapsed="false">
      <c r="A1870" s="13" t="str">
        <f aca="false">""</f>
        <v/>
      </c>
      <c r="B1870" s="13" t="n">
        <f aca="false">36</f>
        <v>36</v>
      </c>
      <c r="C1870" s="13" t="n">
        <f aca="false">IF(Szenarien!$H$16="OK",(IFERROR(SUMIF(Nutzungsprofile!$B$6:$B$11,"Schulbetrieb",Nutzungsprofile!$G$6:$G$11)*Kalender!C40/SUM(Kalender!$C$5:$C$370),0)+IFERROR(SUMIF(Nutzungsprofile!$B$6:$B$11,"Halle",Nutzungsprofile!$G$6:$G$11)*Kalender!D40/SUM(Kalender!$D$5:$D$370),0)+IFERROR(SUMIF(Nutzungsprofile!$B$6:$B$11,"Individuell",Nutzungsprofile!$G$6:$G$11)*Kalender!E40/SUM(Kalender!$E$5:$E$370),0))*Szenarien!$E$16,0)</f>
        <v>2.94</v>
      </c>
      <c r="D1870" s="13" t="n">
        <f aca="false">IF(Szenarien!$H$16="OK",(IFERROR(SUMIF(Nutzungsprofile!$B$17:$B$22,"Schulbetrieb",Nutzungsprofile!$G$17:$G$22)*Kalender!C40/SUM(Kalender!$C$5:$C$370),0)+IFERROR(SUMIF(Nutzungsprofile!$B$17:$B$22,"Halle",Nutzungsprofile!$G$17:$G$22)*Kalender!D40/SUM(Kalender!$D$5:$D$370),0)+IFERROR(SUMIF(Nutzungsprofile!$B$17:$B$22,"Individuell",Nutzungsprofile!$G$17:$G$22)*Kalender!E40/SUM(Kalender!$E$5:$E$370),0))*Szenarien!$D$16,0)</f>
        <v>4.94</v>
      </c>
      <c r="E1870" s="13" t="n">
        <f aca="false">IFERROR(MIN(C1870,Eingaben!$B$17)*Eingaben!$B$16,0)</f>
        <v>2.793</v>
      </c>
      <c r="F1870" s="13" t="n">
        <f aca="false">IFERROR(E1870*Eingaben!$B$15,0)</f>
        <v>2.5137</v>
      </c>
      <c r="G1870" s="13" t="n">
        <f aca="false">IFERROR(IF(Kalender!A40="",0,J1869*(1-Eingaben!$B$20)),0)</f>
        <v>0.7390278</v>
      </c>
      <c r="H1870" s="13" t="n">
        <f aca="false">MIN(G1870,D1870)</f>
        <v>0.7390278</v>
      </c>
      <c r="I1870" s="13" t="n">
        <f aca="false">IFERROR(MIN(F1870*Eingaben!$B$19,MAX(0,D1870-H1870)),0)</f>
        <v>1.75959</v>
      </c>
      <c r="J1870" s="13" t="n">
        <f aca="false">IFERROR(MIN(Eingaben!$B$18,MAX(0,F1870-I1870)),0)</f>
        <v>0.75411</v>
      </c>
      <c r="K1870" s="13" t="n">
        <f aca="false">H1870+I1870</f>
        <v>2.4986178</v>
      </c>
      <c r="L1870" s="13" t="n">
        <f aca="false">MAX(0,D1870-K1870)</f>
        <v>2.4413822</v>
      </c>
      <c r="M1870" s="13" t="n">
        <f aca="false">MAX(0,F1870-I1870-J1870)</f>
        <v>0</v>
      </c>
      <c r="N1870" s="13" t="n">
        <f aca="false">IF(Kalender!A40="",0,J1869-H1870)</f>
        <v>0.0150822</v>
      </c>
    </row>
    <row r="1871" customFormat="false" ht="16.4" hidden="false" customHeight="false" outlineLevel="0" collapsed="false">
      <c r="A1871" s="13" t="str">
        <f aca="false">""</f>
        <v/>
      </c>
      <c r="B1871" s="13" t="n">
        <f aca="false">37</f>
        <v>37</v>
      </c>
      <c r="C1871" s="13" t="n">
        <f aca="false">IF(Szenarien!$H$16="OK",(IFERROR(SUMIF(Nutzungsprofile!$B$6:$B$11,"Schulbetrieb",Nutzungsprofile!$G$6:$G$11)*Kalender!C41/SUM(Kalender!$C$5:$C$370),0)+IFERROR(SUMIF(Nutzungsprofile!$B$6:$B$11,"Halle",Nutzungsprofile!$G$6:$G$11)*Kalender!D41/SUM(Kalender!$D$5:$D$370),0)+IFERROR(SUMIF(Nutzungsprofile!$B$6:$B$11,"Individuell",Nutzungsprofile!$G$6:$G$11)*Kalender!E41/SUM(Kalender!$E$5:$E$370),0))*Szenarien!$E$16,0)</f>
        <v>2.94</v>
      </c>
      <c r="D1871" s="13" t="n">
        <f aca="false">IF(Szenarien!$H$16="OK",(IFERROR(SUMIF(Nutzungsprofile!$B$17:$B$22,"Schulbetrieb",Nutzungsprofile!$G$17:$G$22)*Kalender!C41/SUM(Kalender!$C$5:$C$370),0)+IFERROR(SUMIF(Nutzungsprofile!$B$17:$B$22,"Halle",Nutzungsprofile!$G$17:$G$22)*Kalender!D41/SUM(Kalender!$D$5:$D$370),0)+IFERROR(SUMIF(Nutzungsprofile!$B$17:$B$22,"Individuell",Nutzungsprofile!$G$17:$G$22)*Kalender!E41/SUM(Kalender!$E$5:$E$370),0))*Szenarien!$D$16,0)</f>
        <v>4.94</v>
      </c>
      <c r="E1871" s="13" t="n">
        <f aca="false">IFERROR(MIN(C1871,Eingaben!$B$17)*Eingaben!$B$16,0)</f>
        <v>2.793</v>
      </c>
      <c r="F1871" s="13" t="n">
        <f aca="false">IFERROR(E1871*Eingaben!$B$15,0)</f>
        <v>2.5137</v>
      </c>
      <c r="G1871" s="13" t="n">
        <f aca="false">IFERROR(IF(Kalender!A41="",0,J1870*(1-Eingaben!$B$20)),0)</f>
        <v>0.7390278</v>
      </c>
      <c r="H1871" s="13" t="n">
        <f aca="false">MIN(G1871,D1871)</f>
        <v>0.7390278</v>
      </c>
      <c r="I1871" s="13" t="n">
        <f aca="false">IFERROR(MIN(F1871*Eingaben!$B$19,MAX(0,D1871-H1871)),0)</f>
        <v>1.75959</v>
      </c>
      <c r="J1871" s="13" t="n">
        <f aca="false">IFERROR(MIN(Eingaben!$B$18,MAX(0,F1871-I1871)),0)</f>
        <v>0.75411</v>
      </c>
      <c r="K1871" s="13" t="n">
        <f aca="false">H1871+I1871</f>
        <v>2.4986178</v>
      </c>
      <c r="L1871" s="13" t="n">
        <f aca="false">MAX(0,D1871-K1871)</f>
        <v>2.4413822</v>
      </c>
      <c r="M1871" s="13" t="n">
        <f aca="false">MAX(0,F1871-I1871-J1871)</f>
        <v>0</v>
      </c>
      <c r="N1871" s="13" t="n">
        <f aca="false">IF(Kalender!A41="",0,J1870-H1871)</f>
        <v>0.0150822</v>
      </c>
    </row>
    <row r="1872" customFormat="false" ht="16.4" hidden="false" customHeight="false" outlineLevel="0" collapsed="false">
      <c r="A1872" s="13" t="str">
        <f aca="false">""</f>
        <v/>
      </c>
      <c r="B1872" s="13" t="n">
        <f aca="false">38</f>
        <v>38</v>
      </c>
      <c r="C1872" s="13" t="n">
        <f aca="false">IF(Szenarien!$H$16="OK",(IFERROR(SUMIF(Nutzungsprofile!$B$6:$B$11,"Schulbetrieb",Nutzungsprofile!$G$6:$G$11)*Kalender!C42/SUM(Kalender!$C$5:$C$370),0)+IFERROR(SUMIF(Nutzungsprofile!$B$6:$B$11,"Halle",Nutzungsprofile!$G$6:$G$11)*Kalender!D42/SUM(Kalender!$D$5:$D$370),0)+IFERROR(SUMIF(Nutzungsprofile!$B$6:$B$11,"Individuell",Nutzungsprofile!$G$6:$G$11)*Kalender!E42/SUM(Kalender!$E$5:$E$370),0))*Szenarien!$E$16,0)</f>
        <v>2.04</v>
      </c>
      <c r="D1872" s="13" t="n">
        <f aca="false">IF(Szenarien!$H$16="OK",(IFERROR(SUMIF(Nutzungsprofile!$B$17:$B$22,"Schulbetrieb",Nutzungsprofile!$G$17:$G$22)*Kalender!C42/SUM(Kalender!$C$5:$C$370),0)+IFERROR(SUMIF(Nutzungsprofile!$B$17:$B$22,"Halle",Nutzungsprofile!$G$17:$G$22)*Kalender!D42/SUM(Kalender!$D$5:$D$370),0)+IFERROR(SUMIF(Nutzungsprofile!$B$17:$B$22,"Individuell",Nutzungsprofile!$G$17:$G$22)*Kalender!E42/SUM(Kalender!$E$5:$E$370),0))*Szenarien!$D$16,0)</f>
        <v>0.89</v>
      </c>
      <c r="E1872" s="13" t="n">
        <f aca="false">IFERROR(MIN(C1872,Eingaben!$B$17)*Eingaben!$B$16,0)</f>
        <v>1.938</v>
      </c>
      <c r="F1872" s="13" t="n">
        <f aca="false">IFERROR(E1872*Eingaben!$B$15,0)</f>
        <v>1.7442</v>
      </c>
      <c r="G1872" s="13" t="n">
        <f aca="false">IFERROR(IF(Kalender!A42="",0,J1871*(1-Eingaben!$B$20)),0)</f>
        <v>0.7390278</v>
      </c>
      <c r="H1872" s="13" t="n">
        <f aca="false">MIN(G1872,D1872)</f>
        <v>0.7390278</v>
      </c>
      <c r="I1872" s="13" t="n">
        <f aca="false">IFERROR(MIN(F1872*Eingaben!$B$19,MAX(0,D1872-H1872)),0)</f>
        <v>0.1509722</v>
      </c>
      <c r="J1872" s="13" t="n">
        <f aca="false">IFERROR(MIN(Eingaben!$B$18,MAX(0,F1872-I1872)),0)</f>
        <v>1.5932278</v>
      </c>
      <c r="K1872" s="13" t="n">
        <f aca="false">H1872+I1872</f>
        <v>0.89</v>
      </c>
      <c r="L1872" s="13" t="n">
        <f aca="false">MAX(0,D1872-K1872)</f>
        <v>0</v>
      </c>
      <c r="M1872" s="13" t="n">
        <f aca="false">MAX(0,F1872-I1872-J1872)</f>
        <v>0</v>
      </c>
      <c r="N1872" s="13" t="n">
        <f aca="false">IF(Kalender!A42="",0,J1871-H1872)</f>
        <v>0.0150822</v>
      </c>
    </row>
    <row r="1873" customFormat="false" ht="16.4" hidden="false" customHeight="false" outlineLevel="0" collapsed="false">
      <c r="A1873" s="13" t="str">
        <f aca="false">""</f>
        <v/>
      </c>
      <c r="B1873" s="13" t="n">
        <f aca="false">39</f>
        <v>39</v>
      </c>
      <c r="C1873" s="13" t="n">
        <f aca="false">IF(Szenarien!$H$16="OK",(IFERROR(SUMIF(Nutzungsprofile!$B$6:$B$11,"Schulbetrieb",Nutzungsprofile!$G$6:$G$11)*Kalender!C43/SUM(Kalender!$C$5:$C$370),0)+IFERROR(SUMIF(Nutzungsprofile!$B$6:$B$11,"Halle",Nutzungsprofile!$G$6:$G$11)*Kalender!D43/SUM(Kalender!$D$5:$D$370),0)+IFERROR(SUMIF(Nutzungsprofile!$B$6:$B$11,"Individuell",Nutzungsprofile!$G$6:$G$11)*Kalender!E43/SUM(Kalender!$E$5:$E$370),0))*Szenarien!$E$16,0)</f>
        <v>2.04</v>
      </c>
      <c r="D1873" s="13" t="n">
        <f aca="false">IF(Szenarien!$H$16="OK",(IFERROR(SUMIF(Nutzungsprofile!$B$17:$B$22,"Schulbetrieb",Nutzungsprofile!$G$17:$G$22)*Kalender!C43/SUM(Kalender!$C$5:$C$370),0)+IFERROR(SUMIF(Nutzungsprofile!$B$17:$B$22,"Halle",Nutzungsprofile!$G$17:$G$22)*Kalender!D43/SUM(Kalender!$D$5:$D$370),0)+IFERROR(SUMIF(Nutzungsprofile!$B$17:$B$22,"Individuell",Nutzungsprofile!$G$17:$G$22)*Kalender!E43/SUM(Kalender!$E$5:$E$370),0))*Szenarien!$D$16,0)</f>
        <v>0.89</v>
      </c>
      <c r="E1873" s="13" t="n">
        <f aca="false">IFERROR(MIN(C1873,Eingaben!$B$17)*Eingaben!$B$16,0)</f>
        <v>1.938</v>
      </c>
      <c r="F1873" s="13" t="n">
        <f aca="false">IFERROR(E1873*Eingaben!$B$15,0)</f>
        <v>1.7442</v>
      </c>
      <c r="G1873" s="13" t="n">
        <f aca="false">IFERROR(IF(Kalender!A43="",0,J1872*(1-Eingaben!$B$20)),0)</f>
        <v>1.561363244</v>
      </c>
      <c r="H1873" s="13" t="n">
        <f aca="false">MIN(G1873,D1873)</f>
        <v>0.89</v>
      </c>
      <c r="I1873" s="13" t="n">
        <f aca="false">IFERROR(MIN(F1873*Eingaben!$B$19,MAX(0,D1873-H1873)),0)</f>
        <v>0</v>
      </c>
      <c r="J1873" s="13" t="n">
        <f aca="false">IFERROR(MIN(Eingaben!$B$18,MAX(0,F1873-I1873)),0)</f>
        <v>1.7442</v>
      </c>
      <c r="K1873" s="13" t="n">
        <f aca="false">H1873+I1873</f>
        <v>0.89</v>
      </c>
      <c r="L1873" s="13" t="n">
        <f aca="false">MAX(0,D1873-K1873)</f>
        <v>0</v>
      </c>
      <c r="M1873" s="13" t="n">
        <f aca="false">MAX(0,F1873-I1873-J1873)</f>
        <v>0</v>
      </c>
      <c r="N1873" s="13" t="n">
        <f aca="false">IF(Kalender!A43="",0,J1872-H1873)</f>
        <v>0.7032278</v>
      </c>
    </row>
    <row r="1874" customFormat="false" ht="16.4" hidden="false" customHeight="false" outlineLevel="0" collapsed="false">
      <c r="A1874" s="13" t="str">
        <f aca="false">""</f>
        <v/>
      </c>
      <c r="B1874" s="13" t="n">
        <f aca="false">40</f>
        <v>40</v>
      </c>
      <c r="C1874" s="13" t="n">
        <f aca="false">IF(Szenarien!$H$16="OK",(IFERROR(SUMIF(Nutzungsprofile!$B$6:$B$11,"Schulbetrieb",Nutzungsprofile!$G$6:$G$11)*Kalender!C44/SUM(Kalender!$C$5:$C$370),0)+IFERROR(SUMIF(Nutzungsprofile!$B$6:$B$11,"Halle",Nutzungsprofile!$G$6:$G$11)*Kalender!D44/SUM(Kalender!$D$5:$D$370),0)+IFERROR(SUMIF(Nutzungsprofile!$B$6:$B$11,"Individuell",Nutzungsprofile!$G$6:$G$11)*Kalender!E44/SUM(Kalender!$E$5:$E$370),0))*Szenarien!$E$16,0)</f>
        <v>2.94</v>
      </c>
      <c r="D1874" s="13" t="n">
        <f aca="false">IF(Szenarien!$H$16="OK",(IFERROR(SUMIF(Nutzungsprofile!$B$17:$B$22,"Schulbetrieb",Nutzungsprofile!$G$17:$G$22)*Kalender!C44/SUM(Kalender!$C$5:$C$370),0)+IFERROR(SUMIF(Nutzungsprofile!$B$17:$B$22,"Halle",Nutzungsprofile!$G$17:$G$22)*Kalender!D44/SUM(Kalender!$D$5:$D$370),0)+IFERROR(SUMIF(Nutzungsprofile!$B$17:$B$22,"Individuell",Nutzungsprofile!$G$17:$G$22)*Kalender!E44/SUM(Kalender!$E$5:$E$370),0))*Szenarien!$D$16,0)</f>
        <v>4.94</v>
      </c>
      <c r="E1874" s="13" t="n">
        <f aca="false">IFERROR(MIN(C1874,Eingaben!$B$17)*Eingaben!$B$16,0)</f>
        <v>2.793</v>
      </c>
      <c r="F1874" s="13" t="n">
        <f aca="false">IFERROR(E1874*Eingaben!$B$15,0)</f>
        <v>2.5137</v>
      </c>
      <c r="G1874" s="13" t="n">
        <f aca="false">IFERROR(IF(Kalender!A44="",0,J1873*(1-Eingaben!$B$20)),0)</f>
        <v>1.709316</v>
      </c>
      <c r="H1874" s="13" t="n">
        <f aca="false">MIN(G1874,D1874)</f>
        <v>1.709316</v>
      </c>
      <c r="I1874" s="13" t="n">
        <f aca="false">IFERROR(MIN(F1874*Eingaben!$B$19,MAX(0,D1874-H1874)),0)</f>
        <v>1.75959</v>
      </c>
      <c r="J1874" s="13" t="n">
        <f aca="false">IFERROR(MIN(Eingaben!$B$18,MAX(0,F1874-I1874)),0)</f>
        <v>0.75411</v>
      </c>
      <c r="K1874" s="13" t="n">
        <f aca="false">H1874+I1874</f>
        <v>3.468906</v>
      </c>
      <c r="L1874" s="13" t="n">
        <f aca="false">MAX(0,D1874-K1874)</f>
        <v>1.471094</v>
      </c>
      <c r="M1874" s="13" t="n">
        <f aca="false">MAX(0,F1874-I1874-J1874)</f>
        <v>0</v>
      </c>
      <c r="N1874" s="13" t="n">
        <f aca="false">IF(Kalender!A44="",0,J1873-H1874)</f>
        <v>0.0348840000000001</v>
      </c>
    </row>
    <row r="1875" customFormat="false" ht="16.4" hidden="false" customHeight="false" outlineLevel="0" collapsed="false">
      <c r="A1875" s="13" t="str">
        <f aca="false">""</f>
        <v/>
      </c>
      <c r="B1875" s="13" t="n">
        <f aca="false">41</f>
        <v>41</v>
      </c>
      <c r="C1875" s="13" t="n">
        <f aca="false">IF(Szenarien!$H$16="OK",(IFERROR(SUMIF(Nutzungsprofile!$B$6:$B$11,"Schulbetrieb",Nutzungsprofile!$G$6:$G$11)*Kalender!C45/SUM(Kalender!$C$5:$C$370),0)+IFERROR(SUMIF(Nutzungsprofile!$B$6:$B$11,"Halle",Nutzungsprofile!$G$6:$G$11)*Kalender!D45/SUM(Kalender!$D$5:$D$370),0)+IFERROR(SUMIF(Nutzungsprofile!$B$6:$B$11,"Individuell",Nutzungsprofile!$G$6:$G$11)*Kalender!E45/SUM(Kalender!$E$5:$E$370),0))*Szenarien!$E$16,0)</f>
        <v>2.94</v>
      </c>
      <c r="D1875" s="13" t="n">
        <f aca="false">IF(Szenarien!$H$16="OK",(IFERROR(SUMIF(Nutzungsprofile!$B$17:$B$22,"Schulbetrieb",Nutzungsprofile!$G$17:$G$22)*Kalender!C45/SUM(Kalender!$C$5:$C$370),0)+IFERROR(SUMIF(Nutzungsprofile!$B$17:$B$22,"Halle",Nutzungsprofile!$G$17:$G$22)*Kalender!D45/SUM(Kalender!$D$5:$D$370),0)+IFERROR(SUMIF(Nutzungsprofile!$B$17:$B$22,"Individuell",Nutzungsprofile!$G$17:$G$22)*Kalender!E45/SUM(Kalender!$E$5:$E$370),0))*Szenarien!$D$16,0)</f>
        <v>4.94</v>
      </c>
      <c r="E1875" s="13" t="n">
        <f aca="false">IFERROR(MIN(C1875,Eingaben!$B$17)*Eingaben!$B$16,0)</f>
        <v>2.793</v>
      </c>
      <c r="F1875" s="13" t="n">
        <f aca="false">IFERROR(E1875*Eingaben!$B$15,0)</f>
        <v>2.5137</v>
      </c>
      <c r="G1875" s="13" t="n">
        <f aca="false">IFERROR(IF(Kalender!A45="",0,J1874*(1-Eingaben!$B$20)),0)</f>
        <v>0.7390278</v>
      </c>
      <c r="H1875" s="13" t="n">
        <f aca="false">MIN(G1875,D1875)</f>
        <v>0.7390278</v>
      </c>
      <c r="I1875" s="13" t="n">
        <f aca="false">IFERROR(MIN(F1875*Eingaben!$B$19,MAX(0,D1875-H1875)),0)</f>
        <v>1.75959</v>
      </c>
      <c r="J1875" s="13" t="n">
        <f aca="false">IFERROR(MIN(Eingaben!$B$18,MAX(0,F1875-I1875)),0)</f>
        <v>0.75411</v>
      </c>
      <c r="K1875" s="13" t="n">
        <f aca="false">H1875+I1875</f>
        <v>2.4986178</v>
      </c>
      <c r="L1875" s="13" t="n">
        <f aca="false">MAX(0,D1875-K1875)</f>
        <v>2.4413822</v>
      </c>
      <c r="M1875" s="13" t="n">
        <f aca="false">MAX(0,F1875-I1875-J1875)</f>
        <v>0</v>
      </c>
      <c r="N1875" s="13" t="n">
        <f aca="false">IF(Kalender!A45="",0,J1874-H1875)</f>
        <v>0.0150822</v>
      </c>
    </row>
    <row r="1876" customFormat="false" ht="16.4" hidden="false" customHeight="false" outlineLevel="0" collapsed="false">
      <c r="A1876" s="13" t="str">
        <f aca="false">""</f>
        <v/>
      </c>
      <c r="B1876" s="13" t="n">
        <f aca="false">42</f>
        <v>42</v>
      </c>
      <c r="C1876" s="13" t="n">
        <f aca="false">IF(Szenarien!$H$16="OK",(IFERROR(SUMIF(Nutzungsprofile!$B$6:$B$11,"Schulbetrieb",Nutzungsprofile!$G$6:$G$11)*Kalender!C46/SUM(Kalender!$C$5:$C$370),0)+IFERROR(SUMIF(Nutzungsprofile!$B$6:$B$11,"Halle",Nutzungsprofile!$G$6:$G$11)*Kalender!D46/SUM(Kalender!$D$5:$D$370),0)+IFERROR(SUMIF(Nutzungsprofile!$B$6:$B$11,"Individuell",Nutzungsprofile!$G$6:$G$11)*Kalender!E46/SUM(Kalender!$E$5:$E$370),0))*Szenarien!$E$16,0)</f>
        <v>2.94</v>
      </c>
      <c r="D1876" s="13" t="n">
        <f aca="false">IF(Szenarien!$H$16="OK",(IFERROR(SUMIF(Nutzungsprofile!$B$17:$B$22,"Schulbetrieb",Nutzungsprofile!$G$17:$G$22)*Kalender!C46/SUM(Kalender!$C$5:$C$370),0)+IFERROR(SUMIF(Nutzungsprofile!$B$17:$B$22,"Halle",Nutzungsprofile!$G$17:$G$22)*Kalender!D46/SUM(Kalender!$D$5:$D$370),0)+IFERROR(SUMIF(Nutzungsprofile!$B$17:$B$22,"Individuell",Nutzungsprofile!$G$17:$G$22)*Kalender!E46/SUM(Kalender!$E$5:$E$370),0))*Szenarien!$D$16,0)</f>
        <v>4.94</v>
      </c>
      <c r="E1876" s="13" t="n">
        <f aca="false">IFERROR(MIN(C1876,Eingaben!$B$17)*Eingaben!$B$16,0)</f>
        <v>2.793</v>
      </c>
      <c r="F1876" s="13" t="n">
        <f aca="false">IFERROR(E1876*Eingaben!$B$15,0)</f>
        <v>2.5137</v>
      </c>
      <c r="G1876" s="13" t="n">
        <f aca="false">IFERROR(IF(Kalender!A46="",0,J1875*(1-Eingaben!$B$20)),0)</f>
        <v>0.7390278</v>
      </c>
      <c r="H1876" s="13" t="n">
        <f aca="false">MIN(G1876,D1876)</f>
        <v>0.7390278</v>
      </c>
      <c r="I1876" s="13" t="n">
        <f aca="false">IFERROR(MIN(F1876*Eingaben!$B$19,MAX(0,D1876-H1876)),0)</f>
        <v>1.75959</v>
      </c>
      <c r="J1876" s="13" t="n">
        <f aca="false">IFERROR(MIN(Eingaben!$B$18,MAX(0,F1876-I1876)),0)</f>
        <v>0.75411</v>
      </c>
      <c r="K1876" s="13" t="n">
        <f aca="false">H1876+I1876</f>
        <v>2.4986178</v>
      </c>
      <c r="L1876" s="13" t="n">
        <f aca="false">MAX(0,D1876-K1876)</f>
        <v>2.4413822</v>
      </c>
      <c r="M1876" s="13" t="n">
        <f aca="false">MAX(0,F1876-I1876-J1876)</f>
        <v>0</v>
      </c>
      <c r="N1876" s="13" t="n">
        <f aca="false">IF(Kalender!A46="",0,J1875-H1876)</f>
        <v>0.0150822</v>
      </c>
    </row>
    <row r="1877" customFormat="false" ht="16.4" hidden="false" customHeight="false" outlineLevel="0" collapsed="false">
      <c r="A1877" s="13" t="str">
        <f aca="false">""</f>
        <v/>
      </c>
      <c r="B1877" s="13" t="n">
        <f aca="false">43</f>
        <v>43</v>
      </c>
      <c r="C1877" s="13" t="n">
        <f aca="false">IF(Szenarien!$H$16="OK",(IFERROR(SUMIF(Nutzungsprofile!$B$6:$B$11,"Schulbetrieb",Nutzungsprofile!$G$6:$G$11)*Kalender!C47/SUM(Kalender!$C$5:$C$370),0)+IFERROR(SUMIF(Nutzungsprofile!$B$6:$B$11,"Halle",Nutzungsprofile!$G$6:$G$11)*Kalender!D47/SUM(Kalender!$D$5:$D$370),0)+IFERROR(SUMIF(Nutzungsprofile!$B$6:$B$11,"Individuell",Nutzungsprofile!$G$6:$G$11)*Kalender!E47/SUM(Kalender!$E$5:$E$370),0))*Szenarien!$E$16,0)</f>
        <v>2.94</v>
      </c>
      <c r="D1877" s="13" t="n">
        <f aca="false">IF(Szenarien!$H$16="OK",(IFERROR(SUMIF(Nutzungsprofile!$B$17:$B$22,"Schulbetrieb",Nutzungsprofile!$G$17:$G$22)*Kalender!C47/SUM(Kalender!$C$5:$C$370),0)+IFERROR(SUMIF(Nutzungsprofile!$B$17:$B$22,"Halle",Nutzungsprofile!$G$17:$G$22)*Kalender!D47/SUM(Kalender!$D$5:$D$370),0)+IFERROR(SUMIF(Nutzungsprofile!$B$17:$B$22,"Individuell",Nutzungsprofile!$G$17:$G$22)*Kalender!E47/SUM(Kalender!$E$5:$E$370),0))*Szenarien!$D$16,0)</f>
        <v>4.94</v>
      </c>
      <c r="E1877" s="13" t="n">
        <f aca="false">IFERROR(MIN(C1877,Eingaben!$B$17)*Eingaben!$B$16,0)</f>
        <v>2.793</v>
      </c>
      <c r="F1877" s="13" t="n">
        <f aca="false">IFERROR(E1877*Eingaben!$B$15,0)</f>
        <v>2.5137</v>
      </c>
      <c r="G1877" s="13" t="n">
        <f aca="false">IFERROR(IF(Kalender!A47="",0,J1876*(1-Eingaben!$B$20)),0)</f>
        <v>0.7390278</v>
      </c>
      <c r="H1877" s="13" t="n">
        <f aca="false">MIN(G1877,D1877)</f>
        <v>0.7390278</v>
      </c>
      <c r="I1877" s="13" t="n">
        <f aca="false">IFERROR(MIN(F1877*Eingaben!$B$19,MAX(0,D1877-H1877)),0)</f>
        <v>1.75959</v>
      </c>
      <c r="J1877" s="13" t="n">
        <f aca="false">IFERROR(MIN(Eingaben!$B$18,MAX(0,F1877-I1877)),0)</f>
        <v>0.75411</v>
      </c>
      <c r="K1877" s="13" t="n">
        <f aca="false">H1877+I1877</f>
        <v>2.4986178</v>
      </c>
      <c r="L1877" s="13" t="n">
        <f aca="false">MAX(0,D1877-K1877)</f>
        <v>2.4413822</v>
      </c>
      <c r="M1877" s="13" t="n">
        <f aca="false">MAX(0,F1877-I1877-J1877)</f>
        <v>0</v>
      </c>
      <c r="N1877" s="13" t="n">
        <f aca="false">IF(Kalender!A47="",0,J1876-H1877)</f>
        <v>0.0150822</v>
      </c>
    </row>
    <row r="1878" customFormat="false" ht="16.4" hidden="false" customHeight="false" outlineLevel="0" collapsed="false">
      <c r="A1878" s="13" t="str">
        <f aca="false">""</f>
        <v/>
      </c>
      <c r="B1878" s="13" t="n">
        <f aca="false">44</f>
        <v>44</v>
      </c>
      <c r="C1878" s="13" t="n">
        <f aca="false">IF(Szenarien!$H$16="OK",(IFERROR(SUMIF(Nutzungsprofile!$B$6:$B$11,"Schulbetrieb",Nutzungsprofile!$G$6:$G$11)*Kalender!C48/SUM(Kalender!$C$5:$C$370),0)+IFERROR(SUMIF(Nutzungsprofile!$B$6:$B$11,"Halle",Nutzungsprofile!$G$6:$G$11)*Kalender!D48/SUM(Kalender!$D$5:$D$370),0)+IFERROR(SUMIF(Nutzungsprofile!$B$6:$B$11,"Individuell",Nutzungsprofile!$G$6:$G$11)*Kalender!E48/SUM(Kalender!$E$5:$E$370),0))*Szenarien!$E$16,0)</f>
        <v>2.94</v>
      </c>
      <c r="D1878" s="13" t="n">
        <f aca="false">IF(Szenarien!$H$16="OK",(IFERROR(SUMIF(Nutzungsprofile!$B$17:$B$22,"Schulbetrieb",Nutzungsprofile!$G$17:$G$22)*Kalender!C48/SUM(Kalender!$C$5:$C$370),0)+IFERROR(SUMIF(Nutzungsprofile!$B$17:$B$22,"Halle",Nutzungsprofile!$G$17:$G$22)*Kalender!D48/SUM(Kalender!$D$5:$D$370),0)+IFERROR(SUMIF(Nutzungsprofile!$B$17:$B$22,"Individuell",Nutzungsprofile!$G$17:$G$22)*Kalender!E48/SUM(Kalender!$E$5:$E$370),0))*Szenarien!$D$16,0)</f>
        <v>4.94</v>
      </c>
      <c r="E1878" s="13" t="n">
        <f aca="false">IFERROR(MIN(C1878,Eingaben!$B$17)*Eingaben!$B$16,0)</f>
        <v>2.793</v>
      </c>
      <c r="F1878" s="13" t="n">
        <f aca="false">IFERROR(E1878*Eingaben!$B$15,0)</f>
        <v>2.5137</v>
      </c>
      <c r="G1878" s="13" t="n">
        <f aca="false">IFERROR(IF(Kalender!A48="",0,J1877*(1-Eingaben!$B$20)),0)</f>
        <v>0.7390278</v>
      </c>
      <c r="H1878" s="13" t="n">
        <f aca="false">MIN(G1878,D1878)</f>
        <v>0.7390278</v>
      </c>
      <c r="I1878" s="13" t="n">
        <f aca="false">IFERROR(MIN(F1878*Eingaben!$B$19,MAX(0,D1878-H1878)),0)</f>
        <v>1.75959</v>
      </c>
      <c r="J1878" s="13" t="n">
        <f aca="false">IFERROR(MIN(Eingaben!$B$18,MAX(0,F1878-I1878)),0)</f>
        <v>0.75411</v>
      </c>
      <c r="K1878" s="13" t="n">
        <f aca="false">H1878+I1878</f>
        <v>2.4986178</v>
      </c>
      <c r="L1878" s="13" t="n">
        <f aca="false">MAX(0,D1878-K1878)</f>
        <v>2.4413822</v>
      </c>
      <c r="M1878" s="13" t="n">
        <f aca="false">MAX(0,F1878-I1878-J1878)</f>
        <v>0</v>
      </c>
      <c r="N1878" s="13" t="n">
        <f aca="false">IF(Kalender!A48="",0,J1877-H1878)</f>
        <v>0.0150822</v>
      </c>
    </row>
    <row r="1879" customFormat="false" ht="16.4" hidden="false" customHeight="false" outlineLevel="0" collapsed="false">
      <c r="A1879" s="13" t="str">
        <f aca="false">""</f>
        <v/>
      </c>
      <c r="B1879" s="13" t="n">
        <f aca="false">45</f>
        <v>45</v>
      </c>
      <c r="C1879" s="13" t="n">
        <f aca="false">IF(Szenarien!$H$16="OK",(IFERROR(SUMIF(Nutzungsprofile!$B$6:$B$11,"Schulbetrieb",Nutzungsprofile!$G$6:$G$11)*Kalender!C49/SUM(Kalender!$C$5:$C$370),0)+IFERROR(SUMIF(Nutzungsprofile!$B$6:$B$11,"Halle",Nutzungsprofile!$G$6:$G$11)*Kalender!D49/SUM(Kalender!$D$5:$D$370),0)+IFERROR(SUMIF(Nutzungsprofile!$B$6:$B$11,"Individuell",Nutzungsprofile!$G$6:$G$11)*Kalender!E49/SUM(Kalender!$E$5:$E$370),0))*Szenarien!$E$16,0)</f>
        <v>2.04</v>
      </c>
      <c r="D1879" s="13" t="n">
        <f aca="false">IF(Szenarien!$H$16="OK",(IFERROR(SUMIF(Nutzungsprofile!$B$17:$B$22,"Schulbetrieb",Nutzungsprofile!$G$17:$G$22)*Kalender!C49/SUM(Kalender!$C$5:$C$370),0)+IFERROR(SUMIF(Nutzungsprofile!$B$17:$B$22,"Halle",Nutzungsprofile!$G$17:$G$22)*Kalender!D49/SUM(Kalender!$D$5:$D$370),0)+IFERROR(SUMIF(Nutzungsprofile!$B$17:$B$22,"Individuell",Nutzungsprofile!$G$17:$G$22)*Kalender!E49/SUM(Kalender!$E$5:$E$370),0))*Szenarien!$D$16,0)</f>
        <v>0.89</v>
      </c>
      <c r="E1879" s="13" t="n">
        <f aca="false">IFERROR(MIN(C1879,Eingaben!$B$17)*Eingaben!$B$16,0)</f>
        <v>1.938</v>
      </c>
      <c r="F1879" s="13" t="n">
        <f aca="false">IFERROR(E1879*Eingaben!$B$15,0)</f>
        <v>1.7442</v>
      </c>
      <c r="G1879" s="13" t="n">
        <f aca="false">IFERROR(IF(Kalender!A49="",0,J1878*(1-Eingaben!$B$20)),0)</f>
        <v>0.7390278</v>
      </c>
      <c r="H1879" s="13" t="n">
        <f aca="false">MIN(G1879,D1879)</f>
        <v>0.7390278</v>
      </c>
      <c r="I1879" s="13" t="n">
        <f aca="false">IFERROR(MIN(F1879*Eingaben!$B$19,MAX(0,D1879-H1879)),0)</f>
        <v>0.1509722</v>
      </c>
      <c r="J1879" s="13" t="n">
        <f aca="false">IFERROR(MIN(Eingaben!$B$18,MAX(0,F1879-I1879)),0)</f>
        <v>1.5932278</v>
      </c>
      <c r="K1879" s="13" t="n">
        <f aca="false">H1879+I1879</f>
        <v>0.89</v>
      </c>
      <c r="L1879" s="13" t="n">
        <f aca="false">MAX(0,D1879-K1879)</f>
        <v>0</v>
      </c>
      <c r="M1879" s="13" t="n">
        <f aca="false">MAX(0,F1879-I1879-J1879)</f>
        <v>0</v>
      </c>
      <c r="N1879" s="13" t="n">
        <f aca="false">IF(Kalender!A49="",0,J1878-H1879)</f>
        <v>0.0150822</v>
      </c>
    </row>
    <row r="1880" customFormat="false" ht="16.4" hidden="false" customHeight="false" outlineLevel="0" collapsed="false">
      <c r="A1880" s="13" t="str">
        <f aca="false">""</f>
        <v/>
      </c>
      <c r="B1880" s="13" t="n">
        <f aca="false">46</f>
        <v>46</v>
      </c>
      <c r="C1880" s="13" t="n">
        <f aca="false">IF(Szenarien!$H$16="OK",(IFERROR(SUMIF(Nutzungsprofile!$B$6:$B$11,"Schulbetrieb",Nutzungsprofile!$G$6:$G$11)*Kalender!C50/SUM(Kalender!$C$5:$C$370),0)+IFERROR(SUMIF(Nutzungsprofile!$B$6:$B$11,"Halle",Nutzungsprofile!$G$6:$G$11)*Kalender!D50/SUM(Kalender!$D$5:$D$370),0)+IFERROR(SUMIF(Nutzungsprofile!$B$6:$B$11,"Individuell",Nutzungsprofile!$G$6:$G$11)*Kalender!E50/SUM(Kalender!$E$5:$E$370),0))*Szenarien!$E$16,0)</f>
        <v>2.04</v>
      </c>
      <c r="D1880" s="13" t="n">
        <f aca="false">IF(Szenarien!$H$16="OK",(IFERROR(SUMIF(Nutzungsprofile!$B$17:$B$22,"Schulbetrieb",Nutzungsprofile!$G$17:$G$22)*Kalender!C50/SUM(Kalender!$C$5:$C$370),0)+IFERROR(SUMIF(Nutzungsprofile!$B$17:$B$22,"Halle",Nutzungsprofile!$G$17:$G$22)*Kalender!D50/SUM(Kalender!$D$5:$D$370),0)+IFERROR(SUMIF(Nutzungsprofile!$B$17:$B$22,"Individuell",Nutzungsprofile!$G$17:$G$22)*Kalender!E50/SUM(Kalender!$E$5:$E$370),0))*Szenarien!$D$16,0)</f>
        <v>0.89</v>
      </c>
      <c r="E1880" s="13" t="n">
        <f aca="false">IFERROR(MIN(C1880,Eingaben!$B$17)*Eingaben!$B$16,0)</f>
        <v>1.938</v>
      </c>
      <c r="F1880" s="13" t="n">
        <f aca="false">IFERROR(E1880*Eingaben!$B$15,0)</f>
        <v>1.7442</v>
      </c>
      <c r="G1880" s="13" t="n">
        <f aca="false">IFERROR(IF(Kalender!A50="",0,J1879*(1-Eingaben!$B$20)),0)</f>
        <v>1.561363244</v>
      </c>
      <c r="H1880" s="13" t="n">
        <f aca="false">MIN(G1880,D1880)</f>
        <v>0.89</v>
      </c>
      <c r="I1880" s="13" t="n">
        <f aca="false">IFERROR(MIN(F1880*Eingaben!$B$19,MAX(0,D1880-H1880)),0)</f>
        <v>0</v>
      </c>
      <c r="J1880" s="13" t="n">
        <f aca="false">IFERROR(MIN(Eingaben!$B$18,MAX(0,F1880-I1880)),0)</f>
        <v>1.7442</v>
      </c>
      <c r="K1880" s="13" t="n">
        <f aca="false">H1880+I1880</f>
        <v>0.89</v>
      </c>
      <c r="L1880" s="13" t="n">
        <f aca="false">MAX(0,D1880-K1880)</f>
        <v>0</v>
      </c>
      <c r="M1880" s="13" t="n">
        <f aca="false">MAX(0,F1880-I1880-J1880)</f>
        <v>0</v>
      </c>
      <c r="N1880" s="13" t="n">
        <f aca="false">IF(Kalender!A50="",0,J1879-H1880)</f>
        <v>0.7032278</v>
      </c>
    </row>
    <row r="1881" customFormat="false" ht="16.4" hidden="false" customHeight="false" outlineLevel="0" collapsed="false">
      <c r="A1881" s="13" t="str">
        <f aca="false">""</f>
        <v/>
      </c>
      <c r="B1881" s="13" t="n">
        <f aca="false">47</f>
        <v>47</v>
      </c>
      <c r="C1881" s="13" t="n">
        <f aca="false">IF(Szenarien!$H$16="OK",(IFERROR(SUMIF(Nutzungsprofile!$B$6:$B$11,"Schulbetrieb",Nutzungsprofile!$G$6:$G$11)*Kalender!C51/SUM(Kalender!$C$5:$C$370),0)+IFERROR(SUMIF(Nutzungsprofile!$B$6:$B$11,"Halle",Nutzungsprofile!$G$6:$G$11)*Kalender!D51/SUM(Kalender!$D$5:$D$370),0)+IFERROR(SUMIF(Nutzungsprofile!$B$6:$B$11,"Individuell",Nutzungsprofile!$G$6:$G$11)*Kalender!E51/SUM(Kalender!$E$5:$E$370),0))*Szenarien!$E$16,0)</f>
        <v>2.94</v>
      </c>
      <c r="D1881" s="13" t="n">
        <f aca="false">IF(Szenarien!$H$16="OK",(IFERROR(SUMIF(Nutzungsprofile!$B$17:$B$22,"Schulbetrieb",Nutzungsprofile!$G$17:$G$22)*Kalender!C51/SUM(Kalender!$C$5:$C$370),0)+IFERROR(SUMIF(Nutzungsprofile!$B$17:$B$22,"Halle",Nutzungsprofile!$G$17:$G$22)*Kalender!D51/SUM(Kalender!$D$5:$D$370),0)+IFERROR(SUMIF(Nutzungsprofile!$B$17:$B$22,"Individuell",Nutzungsprofile!$G$17:$G$22)*Kalender!E51/SUM(Kalender!$E$5:$E$370),0))*Szenarien!$D$16,0)</f>
        <v>4.94</v>
      </c>
      <c r="E1881" s="13" t="n">
        <f aca="false">IFERROR(MIN(C1881,Eingaben!$B$17)*Eingaben!$B$16,0)</f>
        <v>2.793</v>
      </c>
      <c r="F1881" s="13" t="n">
        <f aca="false">IFERROR(E1881*Eingaben!$B$15,0)</f>
        <v>2.5137</v>
      </c>
      <c r="G1881" s="13" t="n">
        <f aca="false">IFERROR(IF(Kalender!A51="",0,J1880*(1-Eingaben!$B$20)),0)</f>
        <v>1.709316</v>
      </c>
      <c r="H1881" s="13" t="n">
        <f aca="false">MIN(G1881,D1881)</f>
        <v>1.709316</v>
      </c>
      <c r="I1881" s="13" t="n">
        <f aca="false">IFERROR(MIN(F1881*Eingaben!$B$19,MAX(0,D1881-H1881)),0)</f>
        <v>1.75959</v>
      </c>
      <c r="J1881" s="13" t="n">
        <f aca="false">IFERROR(MIN(Eingaben!$B$18,MAX(0,F1881-I1881)),0)</f>
        <v>0.75411</v>
      </c>
      <c r="K1881" s="13" t="n">
        <f aca="false">H1881+I1881</f>
        <v>3.468906</v>
      </c>
      <c r="L1881" s="13" t="n">
        <f aca="false">MAX(0,D1881-K1881)</f>
        <v>1.471094</v>
      </c>
      <c r="M1881" s="13" t="n">
        <f aca="false">MAX(0,F1881-I1881-J1881)</f>
        <v>0</v>
      </c>
      <c r="N1881" s="13" t="n">
        <f aca="false">IF(Kalender!A51="",0,J1880-H1881)</f>
        <v>0.0348840000000001</v>
      </c>
    </row>
    <row r="1882" customFormat="false" ht="16.4" hidden="false" customHeight="false" outlineLevel="0" collapsed="false">
      <c r="A1882" s="13" t="str">
        <f aca="false">""</f>
        <v/>
      </c>
      <c r="B1882" s="13" t="n">
        <f aca="false">48</f>
        <v>48</v>
      </c>
      <c r="C1882" s="13" t="n">
        <f aca="false">IF(Szenarien!$H$16="OK",(IFERROR(SUMIF(Nutzungsprofile!$B$6:$B$11,"Schulbetrieb",Nutzungsprofile!$G$6:$G$11)*Kalender!C52/SUM(Kalender!$C$5:$C$370),0)+IFERROR(SUMIF(Nutzungsprofile!$B$6:$B$11,"Halle",Nutzungsprofile!$G$6:$G$11)*Kalender!D52/SUM(Kalender!$D$5:$D$370),0)+IFERROR(SUMIF(Nutzungsprofile!$B$6:$B$11,"Individuell",Nutzungsprofile!$G$6:$G$11)*Kalender!E52/SUM(Kalender!$E$5:$E$370),0))*Szenarien!$E$16,0)</f>
        <v>2.94</v>
      </c>
      <c r="D1882" s="13" t="n">
        <f aca="false">IF(Szenarien!$H$16="OK",(IFERROR(SUMIF(Nutzungsprofile!$B$17:$B$22,"Schulbetrieb",Nutzungsprofile!$G$17:$G$22)*Kalender!C52/SUM(Kalender!$C$5:$C$370),0)+IFERROR(SUMIF(Nutzungsprofile!$B$17:$B$22,"Halle",Nutzungsprofile!$G$17:$G$22)*Kalender!D52/SUM(Kalender!$D$5:$D$370),0)+IFERROR(SUMIF(Nutzungsprofile!$B$17:$B$22,"Individuell",Nutzungsprofile!$G$17:$G$22)*Kalender!E52/SUM(Kalender!$E$5:$E$370),0))*Szenarien!$D$16,0)</f>
        <v>4.94</v>
      </c>
      <c r="E1882" s="13" t="n">
        <f aca="false">IFERROR(MIN(C1882,Eingaben!$B$17)*Eingaben!$B$16,0)</f>
        <v>2.793</v>
      </c>
      <c r="F1882" s="13" t="n">
        <f aca="false">IFERROR(E1882*Eingaben!$B$15,0)</f>
        <v>2.5137</v>
      </c>
      <c r="G1882" s="13" t="n">
        <f aca="false">IFERROR(IF(Kalender!A52="",0,J1881*(1-Eingaben!$B$20)),0)</f>
        <v>0.7390278</v>
      </c>
      <c r="H1882" s="13" t="n">
        <f aca="false">MIN(G1882,D1882)</f>
        <v>0.7390278</v>
      </c>
      <c r="I1882" s="13" t="n">
        <f aca="false">IFERROR(MIN(F1882*Eingaben!$B$19,MAX(0,D1882-H1882)),0)</f>
        <v>1.75959</v>
      </c>
      <c r="J1882" s="13" t="n">
        <f aca="false">IFERROR(MIN(Eingaben!$B$18,MAX(0,F1882-I1882)),0)</f>
        <v>0.75411</v>
      </c>
      <c r="K1882" s="13" t="n">
        <f aca="false">H1882+I1882</f>
        <v>2.4986178</v>
      </c>
      <c r="L1882" s="13" t="n">
        <f aca="false">MAX(0,D1882-K1882)</f>
        <v>2.4413822</v>
      </c>
      <c r="M1882" s="13" t="n">
        <f aca="false">MAX(0,F1882-I1882-J1882)</f>
        <v>0</v>
      </c>
      <c r="N1882" s="13" t="n">
        <f aca="false">IF(Kalender!A52="",0,J1881-H1882)</f>
        <v>0.0150822</v>
      </c>
    </row>
    <row r="1883" customFormat="false" ht="16.4" hidden="false" customHeight="false" outlineLevel="0" collapsed="false">
      <c r="A1883" s="13" t="str">
        <f aca="false">""</f>
        <v/>
      </c>
      <c r="B1883" s="13" t="n">
        <f aca="false">49</f>
        <v>49</v>
      </c>
      <c r="C1883" s="13" t="n">
        <f aca="false">IF(Szenarien!$H$16="OK",(IFERROR(SUMIF(Nutzungsprofile!$B$6:$B$11,"Schulbetrieb",Nutzungsprofile!$G$6:$G$11)*Kalender!C53/SUM(Kalender!$C$5:$C$370),0)+IFERROR(SUMIF(Nutzungsprofile!$B$6:$B$11,"Halle",Nutzungsprofile!$G$6:$G$11)*Kalender!D53/SUM(Kalender!$D$5:$D$370),0)+IFERROR(SUMIF(Nutzungsprofile!$B$6:$B$11,"Individuell",Nutzungsprofile!$G$6:$G$11)*Kalender!E53/SUM(Kalender!$E$5:$E$370),0))*Szenarien!$E$16,0)</f>
        <v>2.94</v>
      </c>
      <c r="D1883" s="13" t="n">
        <f aca="false">IF(Szenarien!$H$16="OK",(IFERROR(SUMIF(Nutzungsprofile!$B$17:$B$22,"Schulbetrieb",Nutzungsprofile!$G$17:$G$22)*Kalender!C53/SUM(Kalender!$C$5:$C$370),0)+IFERROR(SUMIF(Nutzungsprofile!$B$17:$B$22,"Halle",Nutzungsprofile!$G$17:$G$22)*Kalender!D53/SUM(Kalender!$D$5:$D$370),0)+IFERROR(SUMIF(Nutzungsprofile!$B$17:$B$22,"Individuell",Nutzungsprofile!$G$17:$G$22)*Kalender!E53/SUM(Kalender!$E$5:$E$370),0))*Szenarien!$D$16,0)</f>
        <v>4.94</v>
      </c>
      <c r="E1883" s="13" t="n">
        <f aca="false">IFERROR(MIN(C1883,Eingaben!$B$17)*Eingaben!$B$16,0)</f>
        <v>2.793</v>
      </c>
      <c r="F1883" s="13" t="n">
        <f aca="false">IFERROR(E1883*Eingaben!$B$15,0)</f>
        <v>2.5137</v>
      </c>
      <c r="G1883" s="13" t="n">
        <f aca="false">IFERROR(IF(Kalender!A53="",0,J1882*(1-Eingaben!$B$20)),0)</f>
        <v>0.7390278</v>
      </c>
      <c r="H1883" s="13" t="n">
        <f aca="false">MIN(G1883,D1883)</f>
        <v>0.7390278</v>
      </c>
      <c r="I1883" s="13" t="n">
        <f aca="false">IFERROR(MIN(F1883*Eingaben!$B$19,MAX(0,D1883-H1883)),0)</f>
        <v>1.75959</v>
      </c>
      <c r="J1883" s="13" t="n">
        <f aca="false">IFERROR(MIN(Eingaben!$B$18,MAX(0,F1883-I1883)),0)</f>
        <v>0.75411</v>
      </c>
      <c r="K1883" s="13" t="n">
        <f aca="false">H1883+I1883</f>
        <v>2.4986178</v>
      </c>
      <c r="L1883" s="13" t="n">
        <f aca="false">MAX(0,D1883-K1883)</f>
        <v>2.4413822</v>
      </c>
      <c r="M1883" s="13" t="n">
        <f aca="false">MAX(0,F1883-I1883-J1883)</f>
        <v>0</v>
      </c>
      <c r="N1883" s="13" t="n">
        <f aca="false">IF(Kalender!A53="",0,J1882-H1883)</f>
        <v>0.0150822</v>
      </c>
    </row>
    <row r="1884" customFormat="false" ht="16.4" hidden="false" customHeight="false" outlineLevel="0" collapsed="false">
      <c r="A1884" s="13" t="str">
        <f aca="false">""</f>
        <v/>
      </c>
      <c r="B1884" s="13" t="n">
        <f aca="false">50</f>
        <v>50</v>
      </c>
      <c r="C1884" s="13" t="n">
        <f aca="false">IF(Szenarien!$H$16="OK",(IFERROR(SUMIF(Nutzungsprofile!$B$6:$B$11,"Schulbetrieb",Nutzungsprofile!$G$6:$G$11)*Kalender!C54/SUM(Kalender!$C$5:$C$370),0)+IFERROR(SUMIF(Nutzungsprofile!$B$6:$B$11,"Halle",Nutzungsprofile!$G$6:$G$11)*Kalender!D54/SUM(Kalender!$D$5:$D$370),0)+IFERROR(SUMIF(Nutzungsprofile!$B$6:$B$11,"Individuell",Nutzungsprofile!$G$6:$G$11)*Kalender!E54/SUM(Kalender!$E$5:$E$370),0))*Szenarien!$E$16,0)</f>
        <v>2.94</v>
      </c>
      <c r="D1884" s="13" t="n">
        <f aca="false">IF(Szenarien!$H$16="OK",(IFERROR(SUMIF(Nutzungsprofile!$B$17:$B$22,"Schulbetrieb",Nutzungsprofile!$G$17:$G$22)*Kalender!C54/SUM(Kalender!$C$5:$C$370),0)+IFERROR(SUMIF(Nutzungsprofile!$B$17:$B$22,"Halle",Nutzungsprofile!$G$17:$G$22)*Kalender!D54/SUM(Kalender!$D$5:$D$370),0)+IFERROR(SUMIF(Nutzungsprofile!$B$17:$B$22,"Individuell",Nutzungsprofile!$G$17:$G$22)*Kalender!E54/SUM(Kalender!$E$5:$E$370),0))*Szenarien!$D$16,0)</f>
        <v>4.94</v>
      </c>
      <c r="E1884" s="13" t="n">
        <f aca="false">IFERROR(MIN(C1884,Eingaben!$B$17)*Eingaben!$B$16,0)</f>
        <v>2.793</v>
      </c>
      <c r="F1884" s="13" t="n">
        <f aca="false">IFERROR(E1884*Eingaben!$B$15,0)</f>
        <v>2.5137</v>
      </c>
      <c r="G1884" s="13" t="n">
        <f aca="false">IFERROR(IF(Kalender!A54="",0,J1883*(1-Eingaben!$B$20)),0)</f>
        <v>0.7390278</v>
      </c>
      <c r="H1884" s="13" t="n">
        <f aca="false">MIN(G1884,D1884)</f>
        <v>0.7390278</v>
      </c>
      <c r="I1884" s="13" t="n">
        <f aca="false">IFERROR(MIN(F1884*Eingaben!$B$19,MAX(0,D1884-H1884)),0)</f>
        <v>1.75959</v>
      </c>
      <c r="J1884" s="13" t="n">
        <f aca="false">IFERROR(MIN(Eingaben!$B$18,MAX(0,F1884-I1884)),0)</f>
        <v>0.75411</v>
      </c>
      <c r="K1884" s="13" t="n">
        <f aca="false">H1884+I1884</f>
        <v>2.4986178</v>
      </c>
      <c r="L1884" s="13" t="n">
        <f aca="false">MAX(0,D1884-K1884)</f>
        <v>2.4413822</v>
      </c>
      <c r="M1884" s="13" t="n">
        <f aca="false">MAX(0,F1884-I1884-J1884)</f>
        <v>0</v>
      </c>
      <c r="N1884" s="13" t="n">
        <f aca="false">IF(Kalender!A54="",0,J1883-H1884)</f>
        <v>0.0150822</v>
      </c>
    </row>
    <row r="1885" customFormat="false" ht="16.4" hidden="false" customHeight="false" outlineLevel="0" collapsed="false">
      <c r="A1885" s="13" t="str">
        <f aca="false">""</f>
        <v/>
      </c>
      <c r="B1885" s="13" t="n">
        <f aca="false">51</f>
        <v>51</v>
      </c>
      <c r="C1885" s="13" t="n">
        <f aca="false">IF(Szenarien!$H$16="OK",(IFERROR(SUMIF(Nutzungsprofile!$B$6:$B$11,"Schulbetrieb",Nutzungsprofile!$G$6:$G$11)*Kalender!C55/SUM(Kalender!$C$5:$C$370),0)+IFERROR(SUMIF(Nutzungsprofile!$B$6:$B$11,"Halle",Nutzungsprofile!$G$6:$G$11)*Kalender!D55/SUM(Kalender!$D$5:$D$370),0)+IFERROR(SUMIF(Nutzungsprofile!$B$6:$B$11,"Individuell",Nutzungsprofile!$G$6:$G$11)*Kalender!E55/SUM(Kalender!$E$5:$E$370),0))*Szenarien!$E$16,0)</f>
        <v>2.94</v>
      </c>
      <c r="D1885" s="13" t="n">
        <f aca="false">IF(Szenarien!$H$16="OK",(IFERROR(SUMIF(Nutzungsprofile!$B$17:$B$22,"Schulbetrieb",Nutzungsprofile!$G$17:$G$22)*Kalender!C55/SUM(Kalender!$C$5:$C$370),0)+IFERROR(SUMIF(Nutzungsprofile!$B$17:$B$22,"Halle",Nutzungsprofile!$G$17:$G$22)*Kalender!D55/SUM(Kalender!$D$5:$D$370),0)+IFERROR(SUMIF(Nutzungsprofile!$B$17:$B$22,"Individuell",Nutzungsprofile!$G$17:$G$22)*Kalender!E55/SUM(Kalender!$E$5:$E$370),0))*Szenarien!$D$16,0)</f>
        <v>4.94</v>
      </c>
      <c r="E1885" s="13" t="n">
        <f aca="false">IFERROR(MIN(C1885,Eingaben!$B$17)*Eingaben!$B$16,0)</f>
        <v>2.793</v>
      </c>
      <c r="F1885" s="13" t="n">
        <f aca="false">IFERROR(E1885*Eingaben!$B$15,0)</f>
        <v>2.5137</v>
      </c>
      <c r="G1885" s="13" t="n">
        <f aca="false">IFERROR(IF(Kalender!A55="",0,J1884*(1-Eingaben!$B$20)),0)</f>
        <v>0.7390278</v>
      </c>
      <c r="H1885" s="13" t="n">
        <f aca="false">MIN(G1885,D1885)</f>
        <v>0.7390278</v>
      </c>
      <c r="I1885" s="13" t="n">
        <f aca="false">IFERROR(MIN(F1885*Eingaben!$B$19,MAX(0,D1885-H1885)),0)</f>
        <v>1.75959</v>
      </c>
      <c r="J1885" s="13" t="n">
        <f aca="false">IFERROR(MIN(Eingaben!$B$18,MAX(0,F1885-I1885)),0)</f>
        <v>0.75411</v>
      </c>
      <c r="K1885" s="13" t="n">
        <f aca="false">H1885+I1885</f>
        <v>2.4986178</v>
      </c>
      <c r="L1885" s="13" t="n">
        <f aca="false">MAX(0,D1885-K1885)</f>
        <v>2.4413822</v>
      </c>
      <c r="M1885" s="13" t="n">
        <f aca="false">MAX(0,F1885-I1885-J1885)</f>
        <v>0</v>
      </c>
      <c r="N1885" s="13" t="n">
        <f aca="false">IF(Kalender!A55="",0,J1884-H1885)</f>
        <v>0.0150822</v>
      </c>
    </row>
    <row r="1886" customFormat="false" ht="16.4" hidden="false" customHeight="false" outlineLevel="0" collapsed="false">
      <c r="A1886" s="13" t="str">
        <f aca="false">""</f>
        <v/>
      </c>
      <c r="B1886" s="13" t="n">
        <f aca="false">52</f>
        <v>52</v>
      </c>
      <c r="C1886" s="13" t="n">
        <f aca="false">IF(Szenarien!$H$16="OK",(IFERROR(SUMIF(Nutzungsprofile!$B$6:$B$11,"Schulbetrieb",Nutzungsprofile!$G$6:$G$11)*Kalender!C56/SUM(Kalender!$C$5:$C$370),0)+IFERROR(SUMIF(Nutzungsprofile!$B$6:$B$11,"Halle",Nutzungsprofile!$G$6:$G$11)*Kalender!D56/SUM(Kalender!$D$5:$D$370),0)+IFERROR(SUMIF(Nutzungsprofile!$B$6:$B$11,"Individuell",Nutzungsprofile!$G$6:$G$11)*Kalender!E56/SUM(Kalender!$E$5:$E$370),0))*Szenarien!$E$16,0)</f>
        <v>2.04</v>
      </c>
      <c r="D1886" s="13" t="n">
        <f aca="false">IF(Szenarien!$H$16="OK",(IFERROR(SUMIF(Nutzungsprofile!$B$17:$B$22,"Schulbetrieb",Nutzungsprofile!$G$17:$G$22)*Kalender!C56/SUM(Kalender!$C$5:$C$370),0)+IFERROR(SUMIF(Nutzungsprofile!$B$17:$B$22,"Halle",Nutzungsprofile!$G$17:$G$22)*Kalender!D56/SUM(Kalender!$D$5:$D$370),0)+IFERROR(SUMIF(Nutzungsprofile!$B$17:$B$22,"Individuell",Nutzungsprofile!$G$17:$G$22)*Kalender!E56/SUM(Kalender!$E$5:$E$370),0))*Szenarien!$D$16,0)</f>
        <v>0.89</v>
      </c>
      <c r="E1886" s="13" t="n">
        <f aca="false">IFERROR(MIN(C1886,Eingaben!$B$17)*Eingaben!$B$16,0)</f>
        <v>1.938</v>
      </c>
      <c r="F1886" s="13" t="n">
        <f aca="false">IFERROR(E1886*Eingaben!$B$15,0)</f>
        <v>1.7442</v>
      </c>
      <c r="G1886" s="13" t="n">
        <f aca="false">IFERROR(IF(Kalender!A56="",0,J1885*(1-Eingaben!$B$20)),0)</f>
        <v>0.7390278</v>
      </c>
      <c r="H1886" s="13" t="n">
        <f aca="false">MIN(G1886,D1886)</f>
        <v>0.7390278</v>
      </c>
      <c r="I1886" s="13" t="n">
        <f aca="false">IFERROR(MIN(F1886*Eingaben!$B$19,MAX(0,D1886-H1886)),0)</f>
        <v>0.1509722</v>
      </c>
      <c r="J1886" s="13" t="n">
        <f aca="false">IFERROR(MIN(Eingaben!$B$18,MAX(0,F1886-I1886)),0)</f>
        <v>1.5932278</v>
      </c>
      <c r="K1886" s="13" t="n">
        <f aca="false">H1886+I1886</f>
        <v>0.89</v>
      </c>
      <c r="L1886" s="13" t="n">
        <f aca="false">MAX(0,D1886-K1886)</f>
        <v>0</v>
      </c>
      <c r="M1886" s="13" t="n">
        <f aca="false">MAX(0,F1886-I1886-J1886)</f>
        <v>0</v>
      </c>
      <c r="N1886" s="13" t="n">
        <f aca="false">IF(Kalender!A56="",0,J1885-H1886)</f>
        <v>0.0150822</v>
      </c>
    </row>
    <row r="1887" customFormat="false" ht="16.4" hidden="false" customHeight="false" outlineLevel="0" collapsed="false">
      <c r="A1887" s="13" t="str">
        <f aca="false">""</f>
        <v/>
      </c>
      <c r="B1887" s="13" t="n">
        <f aca="false">53</f>
        <v>53</v>
      </c>
      <c r="C1887" s="13" t="n">
        <f aca="false">IF(Szenarien!$H$16="OK",(IFERROR(SUMIF(Nutzungsprofile!$B$6:$B$11,"Schulbetrieb",Nutzungsprofile!$G$6:$G$11)*Kalender!C57/SUM(Kalender!$C$5:$C$370),0)+IFERROR(SUMIF(Nutzungsprofile!$B$6:$B$11,"Halle",Nutzungsprofile!$G$6:$G$11)*Kalender!D57/SUM(Kalender!$D$5:$D$370),0)+IFERROR(SUMIF(Nutzungsprofile!$B$6:$B$11,"Individuell",Nutzungsprofile!$G$6:$G$11)*Kalender!E57/SUM(Kalender!$E$5:$E$370),0))*Szenarien!$E$16,0)</f>
        <v>2.04</v>
      </c>
      <c r="D1887" s="13" t="n">
        <f aca="false">IF(Szenarien!$H$16="OK",(IFERROR(SUMIF(Nutzungsprofile!$B$17:$B$22,"Schulbetrieb",Nutzungsprofile!$G$17:$G$22)*Kalender!C57/SUM(Kalender!$C$5:$C$370),0)+IFERROR(SUMIF(Nutzungsprofile!$B$17:$B$22,"Halle",Nutzungsprofile!$G$17:$G$22)*Kalender!D57/SUM(Kalender!$D$5:$D$370),0)+IFERROR(SUMIF(Nutzungsprofile!$B$17:$B$22,"Individuell",Nutzungsprofile!$G$17:$G$22)*Kalender!E57/SUM(Kalender!$E$5:$E$370),0))*Szenarien!$D$16,0)</f>
        <v>0.89</v>
      </c>
      <c r="E1887" s="13" t="n">
        <f aca="false">IFERROR(MIN(C1887,Eingaben!$B$17)*Eingaben!$B$16,0)</f>
        <v>1.938</v>
      </c>
      <c r="F1887" s="13" t="n">
        <f aca="false">IFERROR(E1887*Eingaben!$B$15,0)</f>
        <v>1.7442</v>
      </c>
      <c r="G1887" s="13" t="n">
        <f aca="false">IFERROR(IF(Kalender!A57="",0,J1886*(1-Eingaben!$B$20)),0)</f>
        <v>1.561363244</v>
      </c>
      <c r="H1887" s="13" t="n">
        <f aca="false">MIN(G1887,D1887)</f>
        <v>0.89</v>
      </c>
      <c r="I1887" s="13" t="n">
        <f aca="false">IFERROR(MIN(F1887*Eingaben!$B$19,MAX(0,D1887-H1887)),0)</f>
        <v>0</v>
      </c>
      <c r="J1887" s="13" t="n">
        <f aca="false">IFERROR(MIN(Eingaben!$B$18,MAX(0,F1887-I1887)),0)</f>
        <v>1.7442</v>
      </c>
      <c r="K1887" s="13" t="n">
        <f aca="false">H1887+I1887</f>
        <v>0.89</v>
      </c>
      <c r="L1887" s="13" t="n">
        <f aca="false">MAX(0,D1887-K1887)</f>
        <v>0</v>
      </c>
      <c r="M1887" s="13" t="n">
        <f aca="false">MAX(0,F1887-I1887-J1887)</f>
        <v>0</v>
      </c>
      <c r="N1887" s="13" t="n">
        <f aca="false">IF(Kalender!A57="",0,J1886-H1887)</f>
        <v>0.7032278</v>
      </c>
    </row>
    <row r="1888" customFormat="false" ht="16.4" hidden="false" customHeight="false" outlineLevel="0" collapsed="false">
      <c r="A1888" s="13" t="str">
        <f aca="false">""</f>
        <v/>
      </c>
      <c r="B1888" s="13" t="n">
        <f aca="false">54</f>
        <v>54</v>
      </c>
      <c r="C1888" s="13" t="n">
        <f aca="false">IF(Szenarien!$H$16="OK",(IFERROR(SUMIF(Nutzungsprofile!$B$6:$B$11,"Schulbetrieb",Nutzungsprofile!$G$6:$G$11)*Kalender!C58/SUM(Kalender!$C$5:$C$370),0)+IFERROR(SUMIF(Nutzungsprofile!$B$6:$B$11,"Halle",Nutzungsprofile!$G$6:$G$11)*Kalender!D58/SUM(Kalender!$D$5:$D$370),0)+IFERROR(SUMIF(Nutzungsprofile!$B$6:$B$11,"Individuell",Nutzungsprofile!$G$6:$G$11)*Kalender!E58/SUM(Kalender!$E$5:$E$370),0))*Szenarien!$E$16,0)</f>
        <v>2.94</v>
      </c>
      <c r="D1888" s="13" t="n">
        <f aca="false">IF(Szenarien!$H$16="OK",(IFERROR(SUMIF(Nutzungsprofile!$B$17:$B$22,"Schulbetrieb",Nutzungsprofile!$G$17:$G$22)*Kalender!C58/SUM(Kalender!$C$5:$C$370),0)+IFERROR(SUMIF(Nutzungsprofile!$B$17:$B$22,"Halle",Nutzungsprofile!$G$17:$G$22)*Kalender!D58/SUM(Kalender!$D$5:$D$370),0)+IFERROR(SUMIF(Nutzungsprofile!$B$17:$B$22,"Individuell",Nutzungsprofile!$G$17:$G$22)*Kalender!E58/SUM(Kalender!$E$5:$E$370),0))*Szenarien!$D$16,0)</f>
        <v>4.94</v>
      </c>
      <c r="E1888" s="13" t="n">
        <f aca="false">IFERROR(MIN(C1888,Eingaben!$B$17)*Eingaben!$B$16,0)</f>
        <v>2.793</v>
      </c>
      <c r="F1888" s="13" t="n">
        <f aca="false">IFERROR(E1888*Eingaben!$B$15,0)</f>
        <v>2.5137</v>
      </c>
      <c r="G1888" s="13" t="n">
        <f aca="false">IFERROR(IF(Kalender!A58="",0,J1887*(1-Eingaben!$B$20)),0)</f>
        <v>1.709316</v>
      </c>
      <c r="H1888" s="13" t="n">
        <f aca="false">MIN(G1888,D1888)</f>
        <v>1.709316</v>
      </c>
      <c r="I1888" s="13" t="n">
        <f aca="false">IFERROR(MIN(F1888*Eingaben!$B$19,MAX(0,D1888-H1888)),0)</f>
        <v>1.75959</v>
      </c>
      <c r="J1888" s="13" t="n">
        <f aca="false">IFERROR(MIN(Eingaben!$B$18,MAX(0,F1888-I1888)),0)</f>
        <v>0.75411</v>
      </c>
      <c r="K1888" s="13" t="n">
        <f aca="false">H1888+I1888</f>
        <v>3.468906</v>
      </c>
      <c r="L1888" s="13" t="n">
        <f aca="false">MAX(0,D1888-K1888)</f>
        <v>1.471094</v>
      </c>
      <c r="M1888" s="13" t="n">
        <f aca="false">MAX(0,F1888-I1888-J1888)</f>
        <v>0</v>
      </c>
      <c r="N1888" s="13" t="n">
        <f aca="false">IF(Kalender!A58="",0,J1887-H1888)</f>
        <v>0.0348840000000001</v>
      </c>
    </row>
    <row r="1889" customFormat="false" ht="16.4" hidden="false" customHeight="false" outlineLevel="0" collapsed="false">
      <c r="A1889" s="13" t="str">
        <f aca="false">""</f>
        <v/>
      </c>
      <c r="B1889" s="13" t="n">
        <f aca="false">55</f>
        <v>55</v>
      </c>
      <c r="C1889" s="13" t="n">
        <f aca="false">IF(Szenarien!$H$16="OK",(IFERROR(SUMIF(Nutzungsprofile!$B$6:$B$11,"Schulbetrieb",Nutzungsprofile!$G$6:$G$11)*Kalender!C59/SUM(Kalender!$C$5:$C$370),0)+IFERROR(SUMIF(Nutzungsprofile!$B$6:$B$11,"Halle",Nutzungsprofile!$G$6:$G$11)*Kalender!D59/SUM(Kalender!$D$5:$D$370),0)+IFERROR(SUMIF(Nutzungsprofile!$B$6:$B$11,"Individuell",Nutzungsprofile!$G$6:$G$11)*Kalender!E59/SUM(Kalender!$E$5:$E$370),0))*Szenarien!$E$16,0)</f>
        <v>2.94</v>
      </c>
      <c r="D1889" s="13" t="n">
        <f aca="false">IF(Szenarien!$H$16="OK",(IFERROR(SUMIF(Nutzungsprofile!$B$17:$B$22,"Schulbetrieb",Nutzungsprofile!$G$17:$G$22)*Kalender!C59/SUM(Kalender!$C$5:$C$370),0)+IFERROR(SUMIF(Nutzungsprofile!$B$17:$B$22,"Halle",Nutzungsprofile!$G$17:$G$22)*Kalender!D59/SUM(Kalender!$D$5:$D$370),0)+IFERROR(SUMIF(Nutzungsprofile!$B$17:$B$22,"Individuell",Nutzungsprofile!$G$17:$G$22)*Kalender!E59/SUM(Kalender!$E$5:$E$370),0))*Szenarien!$D$16,0)</f>
        <v>4.94</v>
      </c>
      <c r="E1889" s="13" t="n">
        <f aca="false">IFERROR(MIN(C1889,Eingaben!$B$17)*Eingaben!$B$16,0)</f>
        <v>2.793</v>
      </c>
      <c r="F1889" s="13" t="n">
        <f aca="false">IFERROR(E1889*Eingaben!$B$15,0)</f>
        <v>2.5137</v>
      </c>
      <c r="G1889" s="13" t="n">
        <f aca="false">IFERROR(IF(Kalender!A59="",0,J1888*(1-Eingaben!$B$20)),0)</f>
        <v>0.7390278</v>
      </c>
      <c r="H1889" s="13" t="n">
        <f aca="false">MIN(G1889,D1889)</f>
        <v>0.7390278</v>
      </c>
      <c r="I1889" s="13" t="n">
        <f aca="false">IFERROR(MIN(F1889*Eingaben!$B$19,MAX(0,D1889-H1889)),0)</f>
        <v>1.75959</v>
      </c>
      <c r="J1889" s="13" t="n">
        <f aca="false">IFERROR(MIN(Eingaben!$B$18,MAX(0,F1889-I1889)),0)</f>
        <v>0.75411</v>
      </c>
      <c r="K1889" s="13" t="n">
        <f aca="false">H1889+I1889</f>
        <v>2.4986178</v>
      </c>
      <c r="L1889" s="13" t="n">
        <f aca="false">MAX(0,D1889-K1889)</f>
        <v>2.4413822</v>
      </c>
      <c r="M1889" s="13" t="n">
        <f aca="false">MAX(0,F1889-I1889-J1889)</f>
        <v>0</v>
      </c>
      <c r="N1889" s="13" t="n">
        <f aca="false">IF(Kalender!A59="",0,J1888-H1889)</f>
        <v>0.0150822</v>
      </c>
    </row>
    <row r="1890" customFormat="false" ht="16.4" hidden="false" customHeight="false" outlineLevel="0" collapsed="false">
      <c r="A1890" s="13" t="str">
        <f aca="false">""</f>
        <v/>
      </c>
      <c r="B1890" s="13" t="n">
        <f aca="false">56</f>
        <v>56</v>
      </c>
      <c r="C1890" s="13" t="n">
        <f aca="false">IF(Szenarien!$H$16="OK",(IFERROR(SUMIF(Nutzungsprofile!$B$6:$B$11,"Schulbetrieb",Nutzungsprofile!$G$6:$G$11)*Kalender!C60/SUM(Kalender!$C$5:$C$370),0)+IFERROR(SUMIF(Nutzungsprofile!$B$6:$B$11,"Halle",Nutzungsprofile!$G$6:$G$11)*Kalender!D60/SUM(Kalender!$D$5:$D$370),0)+IFERROR(SUMIF(Nutzungsprofile!$B$6:$B$11,"Individuell",Nutzungsprofile!$G$6:$G$11)*Kalender!E60/SUM(Kalender!$E$5:$E$370),0))*Szenarien!$E$16,0)</f>
        <v>2.94</v>
      </c>
      <c r="D1890" s="13" t="n">
        <f aca="false">IF(Szenarien!$H$16="OK",(IFERROR(SUMIF(Nutzungsprofile!$B$17:$B$22,"Schulbetrieb",Nutzungsprofile!$G$17:$G$22)*Kalender!C60/SUM(Kalender!$C$5:$C$370),0)+IFERROR(SUMIF(Nutzungsprofile!$B$17:$B$22,"Halle",Nutzungsprofile!$G$17:$G$22)*Kalender!D60/SUM(Kalender!$D$5:$D$370),0)+IFERROR(SUMIF(Nutzungsprofile!$B$17:$B$22,"Individuell",Nutzungsprofile!$G$17:$G$22)*Kalender!E60/SUM(Kalender!$E$5:$E$370),0))*Szenarien!$D$16,0)</f>
        <v>4.94</v>
      </c>
      <c r="E1890" s="13" t="n">
        <f aca="false">IFERROR(MIN(C1890,Eingaben!$B$17)*Eingaben!$B$16,0)</f>
        <v>2.793</v>
      </c>
      <c r="F1890" s="13" t="n">
        <f aca="false">IFERROR(E1890*Eingaben!$B$15,0)</f>
        <v>2.5137</v>
      </c>
      <c r="G1890" s="13" t="n">
        <f aca="false">IFERROR(IF(Kalender!A60="",0,J1889*(1-Eingaben!$B$20)),0)</f>
        <v>0.7390278</v>
      </c>
      <c r="H1890" s="13" t="n">
        <f aca="false">MIN(G1890,D1890)</f>
        <v>0.7390278</v>
      </c>
      <c r="I1890" s="13" t="n">
        <f aca="false">IFERROR(MIN(F1890*Eingaben!$B$19,MAX(0,D1890-H1890)),0)</f>
        <v>1.75959</v>
      </c>
      <c r="J1890" s="13" t="n">
        <f aca="false">IFERROR(MIN(Eingaben!$B$18,MAX(0,F1890-I1890)),0)</f>
        <v>0.75411</v>
      </c>
      <c r="K1890" s="13" t="n">
        <f aca="false">H1890+I1890</f>
        <v>2.4986178</v>
      </c>
      <c r="L1890" s="13" t="n">
        <f aca="false">MAX(0,D1890-K1890)</f>
        <v>2.4413822</v>
      </c>
      <c r="M1890" s="13" t="n">
        <f aca="false">MAX(0,F1890-I1890-J1890)</f>
        <v>0</v>
      </c>
      <c r="N1890" s="13" t="n">
        <f aca="false">IF(Kalender!A60="",0,J1889-H1890)</f>
        <v>0.0150822</v>
      </c>
    </row>
    <row r="1891" customFormat="false" ht="16.4" hidden="false" customHeight="false" outlineLevel="0" collapsed="false">
      <c r="A1891" s="13" t="str">
        <f aca="false">""</f>
        <v/>
      </c>
      <c r="B1891" s="13" t="n">
        <f aca="false">57</f>
        <v>57</v>
      </c>
      <c r="C1891" s="13" t="n">
        <f aca="false">IF(Szenarien!$H$16="OK",(IFERROR(SUMIF(Nutzungsprofile!$B$6:$B$11,"Schulbetrieb",Nutzungsprofile!$G$6:$G$11)*Kalender!C61/SUM(Kalender!$C$5:$C$370),0)+IFERROR(SUMIF(Nutzungsprofile!$B$6:$B$11,"Halle",Nutzungsprofile!$G$6:$G$11)*Kalender!D61/SUM(Kalender!$D$5:$D$370),0)+IFERROR(SUMIF(Nutzungsprofile!$B$6:$B$11,"Individuell",Nutzungsprofile!$G$6:$G$11)*Kalender!E61/SUM(Kalender!$E$5:$E$370),0))*Szenarien!$E$16,0)</f>
        <v>2.94</v>
      </c>
      <c r="D1891" s="13" t="n">
        <f aca="false">IF(Szenarien!$H$16="OK",(IFERROR(SUMIF(Nutzungsprofile!$B$17:$B$22,"Schulbetrieb",Nutzungsprofile!$G$17:$G$22)*Kalender!C61/SUM(Kalender!$C$5:$C$370),0)+IFERROR(SUMIF(Nutzungsprofile!$B$17:$B$22,"Halle",Nutzungsprofile!$G$17:$G$22)*Kalender!D61/SUM(Kalender!$D$5:$D$370),0)+IFERROR(SUMIF(Nutzungsprofile!$B$17:$B$22,"Individuell",Nutzungsprofile!$G$17:$G$22)*Kalender!E61/SUM(Kalender!$E$5:$E$370),0))*Szenarien!$D$16,0)</f>
        <v>4.94</v>
      </c>
      <c r="E1891" s="13" t="n">
        <f aca="false">IFERROR(MIN(C1891,Eingaben!$B$17)*Eingaben!$B$16,0)</f>
        <v>2.793</v>
      </c>
      <c r="F1891" s="13" t="n">
        <f aca="false">IFERROR(E1891*Eingaben!$B$15,0)</f>
        <v>2.5137</v>
      </c>
      <c r="G1891" s="13" t="n">
        <f aca="false">IFERROR(IF(Kalender!A61="",0,J1890*(1-Eingaben!$B$20)),0)</f>
        <v>0.7390278</v>
      </c>
      <c r="H1891" s="13" t="n">
        <f aca="false">MIN(G1891,D1891)</f>
        <v>0.7390278</v>
      </c>
      <c r="I1891" s="13" t="n">
        <f aca="false">IFERROR(MIN(F1891*Eingaben!$B$19,MAX(0,D1891-H1891)),0)</f>
        <v>1.75959</v>
      </c>
      <c r="J1891" s="13" t="n">
        <f aca="false">IFERROR(MIN(Eingaben!$B$18,MAX(0,F1891-I1891)),0)</f>
        <v>0.75411</v>
      </c>
      <c r="K1891" s="13" t="n">
        <f aca="false">H1891+I1891</f>
        <v>2.4986178</v>
      </c>
      <c r="L1891" s="13" t="n">
        <f aca="false">MAX(0,D1891-K1891)</f>
        <v>2.4413822</v>
      </c>
      <c r="M1891" s="13" t="n">
        <f aca="false">MAX(0,F1891-I1891-J1891)</f>
        <v>0</v>
      </c>
      <c r="N1891" s="13" t="n">
        <f aca="false">IF(Kalender!A61="",0,J1890-H1891)</f>
        <v>0.0150822</v>
      </c>
    </row>
    <row r="1892" customFormat="false" ht="16.4" hidden="false" customHeight="false" outlineLevel="0" collapsed="false">
      <c r="A1892" s="13" t="str">
        <f aca="false">""</f>
        <v/>
      </c>
      <c r="B1892" s="13" t="n">
        <f aca="false">58</f>
        <v>58</v>
      </c>
      <c r="C1892" s="13" t="n">
        <f aca="false">IF(Szenarien!$H$16="OK",(IFERROR(SUMIF(Nutzungsprofile!$B$6:$B$11,"Schulbetrieb",Nutzungsprofile!$G$6:$G$11)*Kalender!C62/SUM(Kalender!$C$5:$C$370),0)+IFERROR(SUMIF(Nutzungsprofile!$B$6:$B$11,"Halle",Nutzungsprofile!$G$6:$G$11)*Kalender!D62/SUM(Kalender!$D$5:$D$370),0)+IFERROR(SUMIF(Nutzungsprofile!$B$6:$B$11,"Individuell",Nutzungsprofile!$G$6:$G$11)*Kalender!E62/SUM(Kalender!$E$5:$E$370),0))*Szenarien!$E$16,0)</f>
        <v>2.94</v>
      </c>
      <c r="D1892" s="13" t="n">
        <f aca="false">IF(Szenarien!$H$16="OK",(IFERROR(SUMIF(Nutzungsprofile!$B$17:$B$22,"Schulbetrieb",Nutzungsprofile!$G$17:$G$22)*Kalender!C62/SUM(Kalender!$C$5:$C$370),0)+IFERROR(SUMIF(Nutzungsprofile!$B$17:$B$22,"Halle",Nutzungsprofile!$G$17:$G$22)*Kalender!D62/SUM(Kalender!$D$5:$D$370),0)+IFERROR(SUMIF(Nutzungsprofile!$B$17:$B$22,"Individuell",Nutzungsprofile!$G$17:$G$22)*Kalender!E62/SUM(Kalender!$E$5:$E$370),0))*Szenarien!$D$16,0)</f>
        <v>4.94</v>
      </c>
      <c r="E1892" s="13" t="n">
        <f aca="false">IFERROR(MIN(C1892,Eingaben!$B$17)*Eingaben!$B$16,0)</f>
        <v>2.793</v>
      </c>
      <c r="F1892" s="13" t="n">
        <f aca="false">IFERROR(E1892*Eingaben!$B$15,0)</f>
        <v>2.5137</v>
      </c>
      <c r="G1892" s="13" t="n">
        <f aca="false">IFERROR(IF(Kalender!A62="",0,J1891*(1-Eingaben!$B$20)),0)</f>
        <v>0.7390278</v>
      </c>
      <c r="H1892" s="13" t="n">
        <f aca="false">MIN(G1892,D1892)</f>
        <v>0.7390278</v>
      </c>
      <c r="I1892" s="13" t="n">
        <f aca="false">IFERROR(MIN(F1892*Eingaben!$B$19,MAX(0,D1892-H1892)),0)</f>
        <v>1.75959</v>
      </c>
      <c r="J1892" s="13" t="n">
        <f aca="false">IFERROR(MIN(Eingaben!$B$18,MAX(0,F1892-I1892)),0)</f>
        <v>0.75411</v>
      </c>
      <c r="K1892" s="13" t="n">
        <f aca="false">H1892+I1892</f>
        <v>2.4986178</v>
      </c>
      <c r="L1892" s="13" t="n">
        <f aca="false">MAX(0,D1892-K1892)</f>
        <v>2.4413822</v>
      </c>
      <c r="M1892" s="13" t="n">
        <f aca="false">MAX(0,F1892-I1892-J1892)</f>
        <v>0</v>
      </c>
      <c r="N1892" s="13" t="n">
        <f aca="false">IF(Kalender!A62="",0,J1891-H1892)</f>
        <v>0.0150822</v>
      </c>
    </row>
    <row r="1893" customFormat="false" ht="16.4" hidden="false" customHeight="false" outlineLevel="0" collapsed="false">
      <c r="A1893" s="13" t="str">
        <f aca="false">""</f>
        <v/>
      </c>
      <c r="B1893" s="13" t="n">
        <f aca="false">59</f>
        <v>59</v>
      </c>
      <c r="C1893" s="13" t="n">
        <f aca="false">IF(Szenarien!$H$16="OK",(IFERROR(SUMIF(Nutzungsprofile!$B$6:$B$11,"Schulbetrieb",Nutzungsprofile!$G$6:$G$11)*Kalender!C63/SUM(Kalender!$C$5:$C$370),0)+IFERROR(SUMIF(Nutzungsprofile!$B$6:$B$11,"Halle",Nutzungsprofile!$G$6:$G$11)*Kalender!D63/SUM(Kalender!$D$5:$D$370),0)+IFERROR(SUMIF(Nutzungsprofile!$B$6:$B$11,"Individuell",Nutzungsprofile!$G$6:$G$11)*Kalender!E63/SUM(Kalender!$E$5:$E$370),0))*Szenarien!$E$16,0)</f>
        <v>2.04</v>
      </c>
      <c r="D1893" s="13" t="n">
        <f aca="false">IF(Szenarien!$H$16="OK",(IFERROR(SUMIF(Nutzungsprofile!$B$17:$B$22,"Schulbetrieb",Nutzungsprofile!$G$17:$G$22)*Kalender!C63/SUM(Kalender!$C$5:$C$370),0)+IFERROR(SUMIF(Nutzungsprofile!$B$17:$B$22,"Halle",Nutzungsprofile!$G$17:$G$22)*Kalender!D63/SUM(Kalender!$D$5:$D$370),0)+IFERROR(SUMIF(Nutzungsprofile!$B$17:$B$22,"Individuell",Nutzungsprofile!$G$17:$G$22)*Kalender!E63/SUM(Kalender!$E$5:$E$370),0))*Szenarien!$D$16,0)</f>
        <v>0.89</v>
      </c>
      <c r="E1893" s="13" t="n">
        <f aca="false">IFERROR(MIN(C1893,Eingaben!$B$17)*Eingaben!$B$16,0)</f>
        <v>1.938</v>
      </c>
      <c r="F1893" s="13" t="n">
        <f aca="false">IFERROR(E1893*Eingaben!$B$15,0)</f>
        <v>1.7442</v>
      </c>
      <c r="G1893" s="13" t="n">
        <f aca="false">IFERROR(IF(Kalender!A63="",0,J1892*(1-Eingaben!$B$20)),0)</f>
        <v>0.7390278</v>
      </c>
      <c r="H1893" s="13" t="n">
        <f aca="false">MIN(G1893,D1893)</f>
        <v>0.7390278</v>
      </c>
      <c r="I1893" s="13" t="n">
        <f aca="false">IFERROR(MIN(F1893*Eingaben!$B$19,MAX(0,D1893-H1893)),0)</f>
        <v>0.1509722</v>
      </c>
      <c r="J1893" s="13" t="n">
        <f aca="false">IFERROR(MIN(Eingaben!$B$18,MAX(0,F1893-I1893)),0)</f>
        <v>1.5932278</v>
      </c>
      <c r="K1893" s="13" t="n">
        <f aca="false">H1893+I1893</f>
        <v>0.89</v>
      </c>
      <c r="L1893" s="13" t="n">
        <f aca="false">MAX(0,D1893-K1893)</f>
        <v>0</v>
      </c>
      <c r="M1893" s="13" t="n">
        <f aca="false">MAX(0,F1893-I1893-J1893)</f>
        <v>0</v>
      </c>
      <c r="N1893" s="13" t="n">
        <f aca="false">IF(Kalender!A63="",0,J1892-H1893)</f>
        <v>0.0150822</v>
      </c>
    </row>
    <row r="1894" customFormat="false" ht="16.4" hidden="false" customHeight="false" outlineLevel="0" collapsed="false">
      <c r="A1894" s="13" t="str">
        <f aca="false">""</f>
        <v/>
      </c>
      <c r="B1894" s="13" t="n">
        <f aca="false">60</f>
        <v>60</v>
      </c>
      <c r="C1894" s="13" t="n">
        <f aca="false">IF(Szenarien!$H$16="OK",(IFERROR(SUMIF(Nutzungsprofile!$B$6:$B$11,"Schulbetrieb",Nutzungsprofile!$G$6:$G$11)*Kalender!C64/SUM(Kalender!$C$5:$C$370),0)+IFERROR(SUMIF(Nutzungsprofile!$B$6:$B$11,"Halle",Nutzungsprofile!$G$6:$G$11)*Kalender!D64/SUM(Kalender!$D$5:$D$370),0)+IFERROR(SUMIF(Nutzungsprofile!$B$6:$B$11,"Individuell",Nutzungsprofile!$G$6:$G$11)*Kalender!E64/SUM(Kalender!$E$5:$E$370),0))*Szenarien!$E$16,0)</f>
        <v>2.04</v>
      </c>
      <c r="D1894" s="13" t="n">
        <f aca="false">IF(Szenarien!$H$16="OK",(IFERROR(SUMIF(Nutzungsprofile!$B$17:$B$22,"Schulbetrieb",Nutzungsprofile!$G$17:$G$22)*Kalender!C64/SUM(Kalender!$C$5:$C$370),0)+IFERROR(SUMIF(Nutzungsprofile!$B$17:$B$22,"Halle",Nutzungsprofile!$G$17:$G$22)*Kalender!D64/SUM(Kalender!$D$5:$D$370),0)+IFERROR(SUMIF(Nutzungsprofile!$B$17:$B$22,"Individuell",Nutzungsprofile!$G$17:$G$22)*Kalender!E64/SUM(Kalender!$E$5:$E$370),0))*Szenarien!$D$16,0)</f>
        <v>0.89</v>
      </c>
      <c r="E1894" s="13" t="n">
        <f aca="false">IFERROR(MIN(C1894,Eingaben!$B$17)*Eingaben!$B$16,0)</f>
        <v>1.938</v>
      </c>
      <c r="F1894" s="13" t="n">
        <f aca="false">IFERROR(E1894*Eingaben!$B$15,0)</f>
        <v>1.7442</v>
      </c>
      <c r="G1894" s="13" t="n">
        <f aca="false">IFERROR(IF(Kalender!A64="",0,J1893*(1-Eingaben!$B$20)),0)</f>
        <v>1.561363244</v>
      </c>
      <c r="H1894" s="13" t="n">
        <f aca="false">MIN(G1894,D1894)</f>
        <v>0.89</v>
      </c>
      <c r="I1894" s="13" t="n">
        <f aca="false">IFERROR(MIN(F1894*Eingaben!$B$19,MAX(0,D1894-H1894)),0)</f>
        <v>0</v>
      </c>
      <c r="J1894" s="13" t="n">
        <f aca="false">IFERROR(MIN(Eingaben!$B$18,MAX(0,F1894-I1894)),0)</f>
        <v>1.7442</v>
      </c>
      <c r="K1894" s="13" t="n">
        <f aca="false">H1894+I1894</f>
        <v>0.89</v>
      </c>
      <c r="L1894" s="13" t="n">
        <f aca="false">MAX(0,D1894-K1894)</f>
        <v>0</v>
      </c>
      <c r="M1894" s="13" t="n">
        <f aca="false">MAX(0,F1894-I1894-J1894)</f>
        <v>0</v>
      </c>
      <c r="N1894" s="13" t="n">
        <f aca="false">IF(Kalender!A64="",0,J1893-H1894)</f>
        <v>0.7032278</v>
      </c>
    </row>
    <row r="1895" customFormat="false" ht="16.4" hidden="false" customHeight="false" outlineLevel="0" collapsed="false">
      <c r="A1895" s="13" t="str">
        <f aca="false">""</f>
        <v/>
      </c>
      <c r="B1895" s="13" t="n">
        <f aca="false">61</f>
        <v>61</v>
      </c>
      <c r="C1895" s="13" t="n">
        <f aca="false">IF(Szenarien!$H$16="OK",(IFERROR(SUMIF(Nutzungsprofile!$B$6:$B$11,"Schulbetrieb",Nutzungsprofile!$G$6:$G$11)*Kalender!C65/SUM(Kalender!$C$5:$C$370),0)+IFERROR(SUMIF(Nutzungsprofile!$B$6:$B$11,"Halle",Nutzungsprofile!$G$6:$G$11)*Kalender!D65/SUM(Kalender!$D$5:$D$370),0)+IFERROR(SUMIF(Nutzungsprofile!$B$6:$B$11,"Individuell",Nutzungsprofile!$G$6:$G$11)*Kalender!E65/SUM(Kalender!$E$5:$E$370),0))*Szenarien!$E$16,0)</f>
        <v>2.94</v>
      </c>
      <c r="D1895" s="13" t="n">
        <f aca="false">IF(Szenarien!$H$16="OK",(IFERROR(SUMIF(Nutzungsprofile!$B$17:$B$22,"Schulbetrieb",Nutzungsprofile!$G$17:$G$22)*Kalender!C65/SUM(Kalender!$C$5:$C$370),0)+IFERROR(SUMIF(Nutzungsprofile!$B$17:$B$22,"Halle",Nutzungsprofile!$G$17:$G$22)*Kalender!D65/SUM(Kalender!$D$5:$D$370),0)+IFERROR(SUMIF(Nutzungsprofile!$B$17:$B$22,"Individuell",Nutzungsprofile!$G$17:$G$22)*Kalender!E65/SUM(Kalender!$E$5:$E$370),0))*Szenarien!$D$16,0)</f>
        <v>4.94</v>
      </c>
      <c r="E1895" s="13" t="n">
        <f aca="false">IFERROR(MIN(C1895,Eingaben!$B$17)*Eingaben!$B$16,0)</f>
        <v>2.793</v>
      </c>
      <c r="F1895" s="13" t="n">
        <f aca="false">IFERROR(E1895*Eingaben!$B$15,0)</f>
        <v>2.5137</v>
      </c>
      <c r="G1895" s="13" t="n">
        <f aca="false">IFERROR(IF(Kalender!A65="",0,J1894*(1-Eingaben!$B$20)),0)</f>
        <v>1.709316</v>
      </c>
      <c r="H1895" s="13" t="n">
        <f aca="false">MIN(G1895,D1895)</f>
        <v>1.709316</v>
      </c>
      <c r="I1895" s="13" t="n">
        <f aca="false">IFERROR(MIN(F1895*Eingaben!$B$19,MAX(0,D1895-H1895)),0)</f>
        <v>1.75959</v>
      </c>
      <c r="J1895" s="13" t="n">
        <f aca="false">IFERROR(MIN(Eingaben!$B$18,MAX(0,F1895-I1895)),0)</f>
        <v>0.75411</v>
      </c>
      <c r="K1895" s="13" t="n">
        <f aca="false">H1895+I1895</f>
        <v>3.468906</v>
      </c>
      <c r="L1895" s="13" t="n">
        <f aca="false">MAX(0,D1895-K1895)</f>
        <v>1.471094</v>
      </c>
      <c r="M1895" s="13" t="n">
        <f aca="false">MAX(0,F1895-I1895-J1895)</f>
        <v>0</v>
      </c>
      <c r="N1895" s="13" t="n">
        <f aca="false">IF(Kalender!A65="",0,J1894-H1895)</f>
        <v>0.0348840000000001</v>
      </c>
    </row>
    <row r="1896" customFormat="false" ht="16.4" hidden="false" customHeight="false" outlineLevel="0" collapsed="false">
      <c r="A1896" s="13" t="str">
        <f aca="false">""</f>
        <v/>
      </c>
      <c r="B1896" s="13" t="n">
        <f aca="false">62</f>
        <v>62</v>
      </c>
      <c r="C1896" s="13" t="n">
        <f aca="false">IF(Szenarien!$H$16="OK",(IFERROR(SUMIF(Nutzungsprofile!$B$6:$B$11,"Schulbetrieb",Nutzungsprofile!$G$6:$G$11)*Kalender!C66/SUM(Kalender!$C$5:$C$370),0)+IFERROR(SUMIF(Nutzungsprofile!$B$6:$B$11,"Halle",Nutzungsprofile!$G$6:$G$11)*Kalender!D66/SUM(Kalender!$D$5:$D$370),0)+IFERROR(SUMIF(Nutzungsprofile!$B$6:$B$11,"Individuell",Nutzungsprofile!$G$6:$G$11)*Kalender!E66/SUM(Kalender!$E$5:$E$370),0))*Szenarien!$E$16,0)</f>
        <v>2.94</v>
      </c>
      <c r="D1896" s="13" t="n">
        <f aca="false">IF(Szenarien!$H$16="OK",(IFERROR(SUMIF(Nutzungsprofile!$B$17:$B$22,"Schulbetrieb",Nutzungsprofile!$G$17:$G$22)*Kalender!C66/SUM(Kalender!$C$5:$C$370),0)+IFERROR(SUMIF(Nutzungsprofile!$B$17:$B$22,"Halle",Nutzungsprofile!$G$17:$G$22)*Kalender!D66/SUM(Kalender!$D$5:$D$370),0)+IFERROR(SUMIF(Nutzungsprofile!$B$17:$B$22,"Individuell",Nutzungsprofile!$G$17:$G$22)*Kalender!E66/SUM(Kalender!$E$5:$E$370),0))*Szenarien!$D$16,0)</f>
        <v>4.94</v>
      </c>
      <c r="E1896" s="13" t="n">
        <f aca="false">IFERROR(MIN(C1896,Eingaben!$B$17)*Eingaben!$B$16,0)</f>
        <v>2.793</v>
      </c>
      <c r="F1896" s="13" t="n">
        <f aca="false">IFERROR(E1896*Eingaben!$B$15,0)</f>
        <v>2.5137</v>
      </c>
      <c r="G1896" s="13" t="n">
        <f aca="false">IFERROR(IF(Kalender!A66="",0,J1895*(1-Eingaben!$B$20)),0)</f>
        <v>0.7390278</v>
      </c>
      <c r="H1896" s="13" t="n">
        <f aca="false">MIN(G1896,D1896)</f>
        <v>0.7390278</v>
      </c>
      <c r="I1896" s="13" t="n">
        <f aca="false">IFERROR(MIN(F1896*Eingaben!$B$19,MAX(0,D1896-H1896)),0)</f>
        <v>1.75959</v>
      </c>
      <c r="J1896" s="13" t="n">
        <f aca="false">IFERROR(MIN(Eingaben!$B$18,MAX(0,F1896-I1896)),0)</f>
        <v>0.75411</v>
      </c>
      <c r="K1896" s="13" t="n">
        <f aca="false">H1896+I1896</f>
        <v>2.4986178</v>
      </c>
      <c r="L1896" s="13" t="n">
        <f aca="false">MAX(0,D1896-K1896)</f>
        <v>2.4413822</v>
      </c>
      <c r="M1896" s="13" t="n">
        <f aca="false">MAX(0,F1896-I1896-J1896)</f>
        <v>0</v>
      </c>
      <c r="N1896" s="13" t="n">
        <f aca="false">IF(Kalender!A66="",0,J1895-H1896)</f>
        <v>0.0150822</v>
      </c>
    </row>
    <row r="1897" customFormat="false" ht="16.4" hidden="false" customHeight="false" outlineLevel="0" collapsed="false">
      <c r="A1897" s="13" t="str">
        <f aca="false">""</f>
        <v/>
      </c>
      <c r="B1897" s="13" t="n">
        <f aca="false">63</f>
        <v>63</v>
      </c>
      <c r="C1897" s="13" t="n">
        <f aca="false">IF(Szenarien!$H$16="OK",(IFERROR(SUMIF(Nutzungsprofile!$B$6:$B$11,"Schulbetrieb",Nutzungsprofile!$G$6:$G$11)*Kalender!C67/SUM(Kalender!$C$5:$C$370),0)+IFERROR(SUMIF(Nutzungsprofile!$B$6:$B$11,"Halle",Nutzungsprofile!$G$6:$G$11)*Kalender!D67/SUM(Kalender!$D$5:$D$370),0)+IFERROR(SUMIF(Nutzungsprofile!$B$6:$B$11,"Individuell",Nutzungsprofile!$G$6:$G$11)*Kalender!E67/SUM(Kalender!$E$5:$E$370),0))*Szenarien!$E$16,0)</f>
        <v>2.94</v>
      </c>
      <c r="D1897" s="13" t="n">
        <f aca="false">IF(Szenarien!$H$16="OK",(IFERROR(SUMIF(Nutzungsprofile!$B$17:$B$22,"Schulbetrieb",Nutzungsprofile!$G$17:$G$22)*Kalender!C67/SUM(Kalender!$C$5:$C$370),0)+IFERROR(SUMIF(Nutzungsprofile!$B$17:$B$22,"Halle",Nutzungsprofile!$G$17:$G$22)*Kalender!D67/SUM(Kalender!$D$5:$D$370),0)+IFERROR(SUMIF(Nutzungsprofile!$B$17:$B$22,"Individuell",Nutzungsprofile!$G$17:$G$22)*Kalender!E67/SUM(Kalender!$E$5:$E$370),0))*Szenarien!$D$16,0)</f>
        <v>4.94</v>
      </c>
      <c r="E1897" s="13" t="n">
        <f aca="false">IFERROR(MIN(C1897,Eingaben!$B$17)*Eingaben!$B$16,0)</f>
        <v>2.793</v>
      </c>
      <c r="F1897" s="13" t="n">
        <f aca="false">IFERROR(E1897*Eingaben!$B$15,0)</f>
        <v>2.5137</v>
      </c>
      <c r="G1897" s="13" t="n">
        <f aca="false">IFERROR(IF(Kalender!A67="",0,J1896*(1-Eingaben!$B$20)),0)</f>
        <v>0.7390278</v>
      </c>
      <c r="H1897" s="13" t="n">
        <f aca="false">MIN(G1897,D1897)</f>
        <v>0.7390278</v>
      </c>
      <c r="I1897" s="13" t="n">
        <f aca="false">IFERROR(MIN(F1897*Eingaben!$B$19,MAX(0,D1897-H1897)),0)</f>
        <v>1.75959</v>
      </c>
      <c r="J1897" s="13" t="n">
        <f aca="false">IFERROR(MIN(Eingaben!$B$18,MAX(0,F1897-I1897)),0)</f>
        <v>0.75411</v>
      </c>
      <c r="K1897" s="13" t="n">
        <f aca="false">H1897+I1897</f>
        <v>2.4986178</v>
      </c>
      <c r="L1897" s="13" t="n">
        <f aca="false">MAX(0,D1897-K1897)</f>
        <v>2.4413822</v>
      </c>
      <c r="M1897" s="13" t="n">
        <f aca="false">MAX(0,F1897-I1897-J1897)</f>
        <v>0</v>
      </c>
      <c r="N1897" s="13" t="n">
        <f aca="false">IF(Kalender!A67="",0,J1896-H1897)</f>
        <v>0.0150822</v>
      </c>
    </row>
    <row r="1898" customFormat="false" ht="16.4" hidden="false" customHeight="false" outlineLevel="0" collapsed="false">
      <c r="A1898" s="13" t="str">
        <f aca="false">""</f>
        <v/>
      </c>
      <c r="B1898" s="13" t="n">
        <f aca="false">64</f>
        <v>64</v>
      </c>
      <c r="C1898" s="13" t="n">
        <f aca="false">IF(Szenarien!$H$16="OK",(IFERROR(SUMIF(Nutzungsprofile!$B$6:$B$11,"Schulbetrieb",Nutzungsprofile!$G$6:$G$11)*Kalender!C68/SUM(Kalender!$C$5:$C$370),0)+IFERROR(SUMIF(Nutzungsprofile!$B$6:$B$11,"Halle",Nutzungsprofile!$G$6:$G$11)*Kalender!D68/SUM(Kalender!$D$5:$D$370),0)+IFERROR(SUMIF(Nutzungsprofile!$B$6:$B$11,"Individuell",Nutzungsprofile!$G$6:$G$11)*Kalender!E68/SUM(Kalender!$E$5:$E$370),0))*Szenarien!$E$16,0)</f>
        <v>2.94</v>
      </c>
      <c r="D1898" s="13" t="n">
        <f aca="false">IF(Szenarien!$H$16="OK",(IFERROR(SUMIF(Nutzungsprofile!$B$17:$B$22,"Schulbetrieb",Nutzungsprofile!$G$17:$G$22)*Kalender!C68/SUM(Kalender!$C$5:$C$370),0)+IFERROR(SUMIF(Nutzungsprofile!$B$17:$B$22,"Halle",Nutzungsprofile!$G$17:$G$22)*Kalender!D68/SUM(Kalender!$D$5:$D$370),0)+IFERROR(SUMIF(Nutzungsprofile!$B$17:$B$22,"Individuell",Nutzungsprofile!$G$17:$G$22)*Kalender!E68/SUM(Kalender!$E$5:$E$370),0))*Szenarien!$D$16,0)</f>
        <v>4.94</v>
      </c>
      <c r="E1898" s="13" t="n">
        <f aca="false">IFERROR(MIN(C1898,Eingaben!$B$17)*Eingaben!$B$16,0)</f>
        <v>2.793</v>
      </c>
      <c r="F1898" s="13" t="n">
        <f aca="false">IFERROR(E1898*Eingaben!$B$15,0)</f>
        <v>2.5137</v>
      </c>
      <c r="G1898" s="13" t="n">
        <f aca="false">IFERROR(IF(Kalender!A68="",0,J1897*(1-Eingaben!$B$20)),0)</f>
        <v>0.7390278</v>
      </c>
      <c r="H1898" s="13" t="n">
        <f aca="false">MIN(G1898,D1898)</f>
        <v>0.7390278</v>
      </c>
      <c r="I1898" s="13" t="n">
        <f aca="false">IFERROR(MIN(F1898*Eingaben!$B$19,MAX(0,D1898-H1898)),0)</f>
        <v>1.75959</v>
      </c>
      <c r="J1898" s="13" t="n">
        <f aca="false">IFERROR(MIN(Eingaben!$B$18,MAX(0,F1898-I1898)),0)</f>
        <v>0.75411</v>
      </c>
      <c r="K1898" s="13" t="n">
        <f aca="false">H1898+I1898</f>
        <v>2.4986178</v>
      </c>
      <c r="L1898" s="13" t="n">
        <f aca="false">MAX(0,D1898-K1898)</f>
        <v>2.4413822</v>
      </c>
      <c r="M1898" s="13" t="n">
        <f aca="false">MAX(0,F1898-I1898-J1898)</f>
        <v>0</v>
      </c>
      <c r="N1898" s="13" t="n">
        <f aca="false">IF(Kalender!A68="",0,J1897-H1898)</f>
        <v>0.0150822</v>
      </c>
    </row>
    <row r="1899" customFormat="false" ht="16.4" hidden="false" customHeight="false" outlineLevel="0" collapsed="false">
      <c r="A1899" s="13" t="str">
        <f aca="false">""</f>
        <v/>
      </c>
      <c r="B1899" s="13" t="n">
        <f aca="false">65</f>
        <v>65</v>
      </c>
      <c r="C1899" s="13" t="n">
        <f aca="false">IF(Szenarien!$H$16="OK",(IFERROR(SUMIF(Nutzungsprofile!$B$6:$B$11,"Schulbetrieb",Nutzungsprofile!$G$6:$G$11)*Kalender!C69/SUM(Kalender!$C$5:$C$370),0)+IFERROR(SUMIF(Nutzungsprofile!$B$6:$B$11,"Halle",Nutzungsprofile!$G$6:$G$11)*Kalender!D69/SUM(Kalender!$D$5:$D$370),0)+IFERROR(SUMIF(Nutzungsprofile!$B$6:$B$11,"Individuell",Nutzungsprofile!$G$6:$G$11)*Kalender!E69/SUM(Kalender!$E$5:$E$370),0))*Szenarien!$E$16,0)</f>
        <v>2.94</v>
      </c>
      <c r="D1899" s="13" t="n">
        <f aca="false">IF(Szenarien!$H$16="OK",(IFERROR(SUMIF(Nutzungsprofile!$B$17:$B$22,"Schulbetrieb",Nutzungsprofile!$G$17:$G$22)*Kalender!C69/SUM(Kalender!$C$5:$C$370),0)+IFERROR(SUMIF(Nutzungsprofile!$B$17:$B$22,"Halle",Nutzungsprofile!$G$17:$G$22)*Kalender!D69/SUM(Kalender!$D$5:$D$370),0)+IFERROR(SUMIF(Nutzungsprofile!$B$17:$B$22,"Individuell",Nutzungsprofile!$G$17:$G$22)*Kalender!E69/SUM(Kalender!$E$5:$E$370),0))*Szenarien!$D$16,0)</f>
        <v>4.94</v>
      </c>
      <c r="E1899" s="13" t="n">
        <f aca="false">IFERROR(MIN(C1899,Eingaben!$B$17)*Eingaben!$B$16,0)</f>
        <v>2.793</v>
      </c>
      <c r="F1899" s="13" t="n">
        <f aca="false">IFERROR(E1899*Eingaben!$B$15,0)</f>
        <v>2.5137</v>
      </c>
      <c r="G1899" s="13" t="n">
        <f aca="false">IFERROR(IF(Kalender!A69="",0,J1898*(1-Eingaben!$B$20)),0)</f>
        <v>0.7390278</v>
      </c>
      <c r="H1899" s="13" t="n">
        <f aca="false">MIN(G1899,D1899)</f>
        <v>0.7390278</v>
      </c>
      <c r="I1899" s="13" t="n">
        <f aca="false">IFERROR(MIN(F1899*Eingaben!$B$19,MAX(0,D1899-H1899)),0)</f>
        <v>1.75959</v>
      </c>
      <c r="J1899" s="13" t="n">
        <f aca="false">IFERROR(MIN(Eingaben!$B$18,MAX(0,F1899-I1899)),0)</f>
        <v>0.75411</v>
      </c>
      <c r="K1899" s="13" t="n">
        <f aca="false">H1899+I1899</f>
        <v>2.4986178</v>
      </c>
      <c r="L1899" s="13" t="n">
        <f aca="false">MAX(0,D1899-K1899)</f>
        <v>2.4413822</v>
      </c>
      <c r="M1899" s="13" t="n">
        <f aca="false">MAX(0,F1899-I1899-J1899)</f>
        <v>0</v>
      </c>
      <c r="N1899" s="13" t="n">
        <f aca="false">IF(Kalender!A69="",0,J1898-H1899)</f>
        <v>0.0150822</v>
      </c>
    </row>
    <row r="1900" customFormat="false" ht="16.4" hidden="false" customHeight="false" outlineLevel="0" collapsed="false">
      <c r="A1900" s="13" t="str">
        <f aca="false">""</f>
        <v/>
      </c>
      <c r="B1900" s="13" t="n">
        <f aca="false">66</f>
        <v>66</v>
      </c>
      <c r="C1900" s="13" t="n">
        <f aca="false">IF(Szenarien!$H$16="OK",(IFERROR(SUMIF(Nutzungsprofile!$B$6:$B$11,"Schulbetrieb",Nutzungsprofile!$G$6:$G$11)*Kalender!C70/SUM(Kalender!$C$5:$C$370),0)+IFERROR(SUMIF(Nutzungsprofile!$B$6:$B$11,"Halle",Nutzungsprofile!$G$6:$G$11)*Kalender!D70/SUM(Kalender!$D$5:$D$370),0)+IFERROR(SUMIF(Nutzungsprofile!$B$6:$B$11,"Individuell",Nutzungsprofile!$G$6:$G$11)*Kalender!E70/SUM(Kalender!$E$5:$E$370),0))*Szenarien!$E$16,0)</f>
        <v>2.04</v>
      </c>
      <c r="D1900" s="13" t="n">
        <f aca="false">IF(Szenarien!$H$16="OK",(IFERROR(SUMIF(Nutzungsprofile!$B$17:$B$22,"Schulbetrieb",Nutzungsprofile!$G$17:$G$22)*Kalender!C70/SUM(Kalender!$C$5:$C$370),0)+IFERROR(SUMIF(Nutzungsprofile!$B$17:$B$22,"Halle",Nutzungsprofile!$G$17:$G$22)*Kalender!D70/SUM(Kalender!$D$5:$D$370),0)+IFERROR(SUMIF(Nutzungsprofile!$B$17:$B$22,"Individuell",Nutzungsprofile!$G$17:$G$22)*Kalender!E70/SUM(Kalender!$E$5:$E$370),0))*Szenarien!$D$16,0)</f>
        <v>0.89</v>
      </c>
      <c r="E1900" s="13" t="n">
        <f aca="false">IFERROR(MIN(C1900,Eingaben!$B$17)*Eingaben!$B$16,0)</f>
        <v>1.938</v>
      </c>
      <c r="F1900" s="13" t="n">
        <f aca="false">IFERROR(E1900*Eingaben!$B$15,0)</f>
        <v>1.7442</v>
      </c>
      <c r="G1900" s="13" t="n">
        <f aca="false">IFERROR(IF(Kalender!A70="",0,J1899*(1-Eingaben!$B$20)),0)</f>
        <v>0.7390278</v>
      </c>
      <c r="H1900" s="13" t="n">
        <f aca="false">MIN(G1900,D1900)</f>
        <v>0.7390278</v>
      </c>
      <c r="I1900" s="13" t="n">
        <f aca="false">IFERROR(MIN(F1900*Eingaben!$B$19,MAX(0,D1900-H1900)),0)</f>
        <v>0.1509722</v>
      </c>
      <c r="J1900" s="13" t="n">
        <f aca="false">IFERROR(MIN(Eingaben!$B$18,MAX(0,F1900-I1900)),0)</f>
        <v>1.5932278</v>
      </c>
      <c r="K1900" s="13" t="n">
        <f aca="false">H1900+I1900</f>
        <v>0.89</v>
      </c>
      <c r="L1900" s="13" t="n">
        <f aca="false">MAX(0,D1900-K1900)</f>
        <v>0</v>
      </c>
      <c r="M1900" s="13" t="n">
        <f aca="false">MAX(0,F1900-I1900-J1900)</f>
        <v>0</v>
      </c>
      <c r="N1900" s="13" t="n">
        <f aca="false">IF(Kalender!A70="",0,J1899-H1900)</f>
        <v>0.0150822</v>
      </c>
    </row>
    <row r="1901" customFormat="false" ht="16.4" hidden="false" customHeight="false" outlineLevel="0" collapsed="false">
      <c r="A1901" s="13" t="str">
        <f aca="false">""</f>
        <v/>
      </c>
      <c r="B1901" s="13" t="n">
        <f aca="false">67</f>
        <v>67</v>
      </c>
      <c r="C1901" s="13" t="n">
        <f aca="false">IF(Szenarien!$H$16="OK",(IFERROR(SUMIF(Nutzungsprofile!$B$6:$B$11,"Schulbetrieb",Nutzungsprofile!$G$6:$G$11)*Kalender!C71/SUM(Kalender!$C$5:$C$370),0)+IFERROR(SUMIF(Nutzungsprofile!$B$6:$B$11,"Halle",Nutzungsprofile!$G$6:$G$11)*Kalender!D71/SUM(Kalender!$D$5:$D$370),0)+IFERROR(SUMIF(Nutzungsprofile!$B$6:$B$11,"Individuell",Nutzungsprofile!$G$6:$G$11)*Kalender!E71/SUM(Kalender!$E$5:$E$370),0))*Szenarien!$E$16,0)</f>
        <v>2.04</v>
      </c>
      <c r="D1901" s="13" t="n">
        <f aca="false">IF(Szenarien!$H$16="OK",(IFERROR(SUMIF(Nutzungsprofile!$B$17:$B$22,"Schulbetrieb",Nutzungsprofile!$G$17:$G$22)*Kalender!C71/SUM(Kalender!$C$5:$C$370),0)+IFERROR(SUMIF(Nutzungsprofile!$B$17:$B$22,"Halle",Nutzungsprofile!$G$17:$G$22)*Kalender!D71/SUM(Kalender!$D$5:$D$370),0)+IFERROR(SUMIF(Nutzungsprofile!$B$17:$B$22,"Individuell",Nutzungsprofile!$G$17:$G$22)*Kalender!E71/SUM(Kalender!$E$5:$E$370),0))*Szenarien!$D$16,0)</f>
        <v>0.89</v>
      </c>
      <c r="E1901" s="13" t="n">
        <f aca="false">IFERROR(MIN(C1901,Eingaben!$B$17)*Eingaben!$B$16,0)</f>
        <v>1.938</v>
      </c>
      <c r="F1901" s="13" t="n">
        <f aca="false">IFERROR(E1901*Eingaben!$B$15,0)</f>
        <v>1.7442</v>
      </c>
      <c r="G1901" s="13" t="n">
        <f aca="false">IFERROR(IF(Kalender!A71="",0,J1900*(1-Eingaben!$B$20)),0)</f>
        <v>1.561363244</v>
      </c>
      <c r="H1901" s="13" t="n">
        <f aca="false">MIN(G1901,D1901)</f>
        <v>0.89</v>
      </c>
      <c r="I1901" s="13" t="n">
        <f aca="false">IFERROR(MIN(F1901*Eingaben!$B$19,MAX(0,D1901-H1901)),0)</f>
        <v>0</v>
      </c>
      <c r="J1901" s="13" t="n">
        <f aca="false">IFERROR(MIN(Eingaben!$B$18,MAX(0,F1901-I1901)),0)</f>
        <v>1.7442</v>
      </c>
      <c r="K1901" s="13" t="n">
        <f aca="false">H1901+I1901</f>
        <v>0.89</v>
      </c>
      <c r="L1901" s="13" t="n">
        <f aca="false">MAX(0,D1901-K1901)</f>
        <v>0</v>
      </c>
      <c r="M1901" s="13" t="n">
        <f aca="false">MAX(0,F1901-I1901-J1901)</f>
        <v>0</v>
      </c>
      <c r="N1901" s="13" t="n">
        <f aca="false">IF(Kalender!A71="",0,J1900-H1901)</f>
        <v>0.7032278</v>
      </c>
    </row>
    <row r="1902" customFormat="false" ht="16.4" hidden="false" customHeight="false" outlineLevel="0" collapsed="false">
      <c r="A1902" s="13" t="str">
        <f aca="false">""</f>
        <v/>
      </c>
      <c r="B1902" s="13" t="n">
        <f aca="false">68</f>
        <v>68</v>
      </c>
      <c r="C1902" s="13" t="n">
        <f aca="false">IF(Szenarien!$H$16="OK",(IFERROR(SUMIF(Nutzungsprofile!$B$6:$B$11,"Schulbetrieb",Nutzungsprofile!$G$6:$G$11)*Kalender!C72/SUM(Kalender!$C$5:$C$370),0)+IFERROR(SUMIF(Nutzungsprofile!$B$6:$B$11,"Halle",Nutzungsprofile!$G$6:$G$11)*Kalender!D72/SUM(Kalender!$D$5:$D$370),0)+IFERROR(SUMIF(Nutzungsprofile!$B$6:$B$11,"Individuell",Nutzungsprofile!$G$6:$G$11)*Kalender!E72/SUM(Kalender!$E$5:$E$370),0))*Szenarien!$E$16,0)</f>
        <v>2.94</v>
      </c>
      <c r="D1902" s="13" t="n">
        <f aca="false">IF(Szenarien!$H$16="OK",(IFERROR(SUMIF(Nutzungsprofile!$B$17:$B$22,"Schulbetrieb",Nutzungsprofile!$G$17:$G$22)*Kalender!C72/SUM(Kalender!$C$5:$C$370),0)+IFERROR(SUMIF(Nutzungsprofile!$B$17:$B$22,"Halle",Nutzungsprofile!$G$17:$G$22)*Kalender!D72/SUM(Kalender!$D$5:$D$370),0)+IFERROR(SUMIF(Nutzungsprofile!$B$17:$B$22,"Individuell",Nutzungsprofile!$G$17:$G$22)*Kalender!E72/SUM(Kalender!$E$5:$E$370),0))*Szenarien!$D$16,0)</f>
        <v>4.94</v>
      </c>
      <c r="E1902" s="13" t="n">
        <f aca="false">IFERROR(MIN(C1902,Eingaben!$B$17)*Eingaben!$B$16,0)</f>
        <v>2.793</v>
      </c>
      <c r="F1902" s="13" t="n">
        <f aca="false">IFERROR(E1902*Eingaben!$B$15,0)</f>
        <v>2.5137</v>
      </c>
      <c r="G1902" s="13" t="n">
        <f aca="false">IFERROR(IF(Kalender!A72="",0,J1901*(1-Eingaben!$B$20)),0)</f>
        <v>1.709316</v>
      </c>
      <c r="H1902" s="13" t="n">
        <f aca="false">MIN(G1902,D1902)</f>
        <v>1.709316</v>
      </c>
      <c r="I1902" s="13" t="n">
        <f aca="false">IFERROR(MIN(F1902*Eingaben!$B$19,MAX(0,D1902-H1902)),0)</f>
        <v>1.75959</v>
      </c>
      <c r="J1902" s="13" t="n">
        <f aca="false">IFERROR(MIN(Eingaben!$B$18,MAX(0,F1902-I1902)),0)</f>
        <v>0.75411</v>
      </c>
      <c r="K1902" s="13" t="n">
        <f aca="false">H1902+I1902</f>
        <v>3.468906</v>
      </c>
      <c r="L1902" s="13" t="n">
        <f aca="false">MAX(0,D1902-K1902)</f>
        <v>1.471094</v>
      </c>
      <c r="M1902" s="13" t="n">
        <f aca="false">MAX(0,F1902-I1902-J1902)</f>
        <v>0</v>
      </c>
      <c r="N1902" s="13" t="n">
        <f aca="false">IF(Kalender!A72="",0,J1901-H1902)</f>
        <v>0.0348840000000001</v>
      </c>
    </row>
    <row r="1903" customFormat="false" ht="16.4" hidden="false" customHeight="false" outlineLevel="0" collapsed="false">
      <c r="A1903" s="13" t="str">
        <f aca="false">""</f>
        <v/>
      </c>
      <c r="B1903" s="13" t="n">
        <f aca="false">69</f>
        <v>69</v>
      </c>
      <c r="C1903" s="13" t="n">
        <f aca="false">IF(Szenarien!$H$16="OK",(IFERROR(SUMIF(Nutzungsprofile!$B$6:$B$11,"Schulbetrieb",Nutzungsprofile!$G$6:$G$11)*Kalender!C73/SUM(Kalender!$C$5:$C$370),0)+IFERROR(SUMIF(Nutzungsprofile!$B$6:$B$11,"Halle",Nutzungsprofile!$G$6:$G$11)*Kalender!D73/SUM(Kalender!$D$5:$D$370),0)+IFERROR(SUMIF(Nutzungsprofile!$B$6:$B$11,"Individuell",Nutzungsprofile!$G$6:$G$11)*Kalender!E73/SUM(Kalender!$E$5:$E$370),0))*Szenarien!$E$16,0)</f>
        <v>2.94</v>
      </c>
      <c r="D1903" s="13" t="n">
        <f aca="false">IF(Szenarien!$H$16="OK",(IFERROR(SUMIF(Nutzungsprofile!$B$17:$B$22,"Schulbetrieb",Nutzungsprofile!$G$17:$G$22)*Kalender!C73/SUM(Kalender!$C$5:$C$370),0)+IFERROR(SUMIF(Nutzungsprofile!$B$17:$B$22,"Halle",Nutzungsprofile!$G$17:$G$22)*Kalender!D73/SUM(Kalender!$D$5:$D$370),0)+IFERROR(SUMIF(Nutzungsprofile!$B$17:$B$22,"Individuell",Nutzungsprofile!$G$17:$G$22)*Kalender!E73/SUM(Kalender!$E$5:$E$370),0))*Szenarien!$D$16,0)</f>
        <v>4.94</v>
      </c>
      <c r="E1903" s="13" t="n">
        <f aca="false">IFERROR(MIN(C1903,Eingaben!$B$17)*Eingaben!$B$16,0)</f>
        <v>2.793</v>
      </c>
      <c r="F1903" s="13" t="n">
        <f aca="false">IFERROR(E1903*Eingaben!$B$15,0)</f>
        <v>2.5137</v>
      </c>
      <c r="G1903" s="13" t="n">
        <f aca="false">IFERROR(IF(Kalender!A73="",0,J1902*(1-Eingaben!$B$20)),0)</f>
        <v>0.7390278</v>
      </c>
      <c r="H1903" s="13" t="n">
        <f aca="false">MIN(G1903,D1903)</f>
        <v>0.7390278</v>
      </c>
      <c r="I1903" s="13" t="n">
        <f aca="false">IFERROR(MIN(F1903*Eingaben!$B$19,MAX(0,D1903-H1903)),0)</f>
        <v>1.75959</v>
      </c>
      <c r="J1903" s="13" t="n">
        <f aca="false">IFERROR(MIN(Eingaben!$B$18,MAX(0,F1903-I1903)),0)</f>
        <v>0.75411</v>
      </c>
      <c r="K1903" s="13" t="n">
        <f aca="false">H1903+I1903</f>
        <v>2.4986178</v>
      </c>
      <c r="L1903" s="13" t="n">
        <f aca="false">MAX(0,D1903-K1903)</f>
        <v>2.4413822</v>
      </c>
      <c r="M1903" s="13" t="n">
        <f aca="false">MAX(0,F1903-I1903-J1903)</f>
        <v>0</v>
      </c>
      <c r="N1903" s="13" t="n">
        <f aca="false">IF(Kalender!A73="",0,J1902-H1903)</f>
        <v>0.0150822</v>
      </c>
    </row>
    <row r="1904" customFormat="false" ht="16.4" hidden="false" customHeight="false" outlineLevel="0" collapsed="false">
      <c r="A1904" s="13" t="str">
        <f aca="false">""</f>
        <v/>
      </c>
      <c r="B1904" s="13" t="n">
        <f aca="false">70</f>
        <v>70</v>
      </c>
      <c r="C1904" s="13" t="n">
        <f aca="false">IF(Szenarien!$H$16="OK",(IFERROR(SUMIF(Nutzungsprofile!$B$6:$B$11,"Schulbetrieb",Nutzungsprofile!$G$6:$G$11)*Kalender!C74/SUM(Kalender!$C$5:$C$370),0)+IFERROR(SUMIF(Nutzungsprofile!$B$6:$B$11,"Halle",Nutzungsprofile!$G$6:$G$11)*Kalender!D74/SUM(Kalender!$D$5:$D$370),0)+IFERROR(SUMIF(Nutzungsprofile!$B$6:$B$11,"Individuell",Nutzungsprofile!$G$6:$G$11)*Kalender!E74/SUM(Kalender!$E$5:$E$370),0))*Szenarien!$E$16,0)</f>
        <v>2.94</v>
      </c>
      <c r="D1904" s="13" t="n">
        <f aca="false">IF(Szenarien!$H$16="OK",(IFERROR(SUMIF(Nutzungsprofile!$B$17:$B$22,"Schulbetrieb",Nutzungsprofile!$G$17:$G$22)*Kalender!C74/SUM(Kalender!$C$5:$C$370),0)+IFERROR(SUMIF(Nutzungsprofile!$B$17:$B$22,"Halle",Nutzungsprofile!$G$17:$G$22)*Kalender!D74/SUM(Kalender!$D$5:$D$370),0)+IFERROR(SUMIF(Nutzungsprofile!$B$17:$B$22,"Individuell",Nutzungsprofile!$G$17:$G$22)*Kalender!E74/SUM(Kalender!$E$5:$E$370),0))*Szenarien!$D$16,0)</f>
        <v>4.94</v>
      </c>
      <c r="E1904" s="13" t="n">
        <f aca="false">IFERROR(MIN(C1904,Eingaben!$B$17)*Eingaben!$B$16,0)</f>
        <v>2.793</v>
      </c>
      <c r="F1904" s="13" t="n">
        <f aca="false">IFERROR(E1904*Eingaben!$B$15,0)</f>
        <v>2.5137</v>
      </c>
      <c r="G1904" s="13" t="n">
        <f aca="false">IFERROR(IF(Kalender!A74="",0,J1903*(1-Eingaben!$B$20)),0)</f>
        <v>0.7390278</v>
      </c>
      <c r="H1904" s="13" t="n">
        <f aca="false">MIN(G1904,D1904)</f>
        <v>0.7390278</v>
      </c>
      <c r="I1904" s="13" t="n">
        <f aca="false">IFERROR(MIN(F1904*Eingaben!$B$19,MAX(0,D1904-H1904)),0)</f>
        <v>1.75959</v>
      </c>
      <c r="J1904" s="13" t="n">
        <f aca="false">IFERROR(MIN(Eingaben!$B$18,MAX(0,F1904-I1904)),0)</f>
        <v>0.75411</v>
      </c>
      <c r="K1904" s="13" t="n">
        <f aca="false">H1904+I1904</f>
        <v>2.4986178</v>
      </c>
      <c r="L1904" s="13" t="n">
        <f aca="false">MAX(0,D1904-K1904)</f>
        <v>2.4413822</v>
      </c>
      <c r="M1904" s="13" t="n">
        <f aca="false">MAX(0,F1904-I1904-J1904)</f>
        <v>0</v>
      </c>
      <c r="N1904" s="13" t="n">
        <f aca="false">IF(Kalender!A74="",0,J1903-H1904)</f>
        <v>0.0150822</v>
      </c>
    </row>
    <row r="1905" customFormat="false" ht="16.4" hidden="false" customHeight="false" outlineLevel="0" collapsed="false">
      <c r="A1905" s="13" t="str">
        <f aca="false">""</f>
        <v/>
      </c>
      <c r="B1905" s="13" t="n">
        <f aca="false">71</f>
        <v>71</v>
      </c>
      <c r="C1905" s="13" t="n">
        <f aca="false">IF(Szenarien!$H$16="OK",(IFERROR(SUMIF(Nutzungsprofile!$B$6:$B$11,"Schulbetrieb",Nutzungsprofile!$G$6:$G$11)*Kalender!C75/SUM(Kalender!$C$5:$C$370),0)+IFERROR(SUMIF(Nutzungsprofile!$B$6:$B$11,"Halle",Nutzungsprofile!$G$6:$G$11)*Kalender!D75/SUM(Kalender!$D$5:$D$370),0)+IFERROR(SUMIF(Nutzungsprofile!$B$6:$B$11,"Individuell",Nutzungsprofile!$G$6:$G$11)*Kalender!E75/SUM(Kalender!$E$5:$E$370),0))*Szenarien!$E$16,0)</f>
        <v>2.94</v>
      </c>
      <c r="D1905" s="13" t="n">
        <f aca="false">IF(Szenarien!$H$16="OK",(IFERROR(SUMIF(Nutzungsprofile!$B$17:$B$22,"Schulbetrieb",Nutzungsprofile!$G$17:$G$22)*Kalender!C75/SUM(Kalender!$C$5:$C$370),0)+IFERROR(SUMIF(Nutzungsprofile!$B$17:$B$22,"Halle",Nutzungsprofile!$G$17:$G$22)*Kalender!D75/SUM(Kalender!$D$5:$D$370),0)+IFERROR(SUMIF(Nutzungsprofile!$B$17:$B$22,"Individuell",Nutzungsprofile!$G$17:$G$22)*Kalender!E75/SUM(Kalender!$E$5:$E$370),0))*Szenarien!$D$16,0)</f>
        <v>4.94</v>
      </c>
      <c r="E1905" s="13" t="n">
        <f aca="false">IFERROR(MIN(C1905,Eingaben!$B$17)*Eingaben!$B$16,0)</f>
        <v>2.793</v>
      </c>
      <c r="F1905" s="13" t="n">
        <f aca="false">IFERROR(E1905*Eingaben!$B$15,0)</f>
        <v>2.5137</v>
      </c>
      <c r="G1905" s="13" t="n">
        <f aca="false">IFERROR(IF(Kalender!A75="",0,J1904*(1-Eingaben!$B$20)),0)</f>
        <v>0.7390278</v>
      </c>
      <c r="H1905" s="13" t="n">
        <f aca="false">MIN(G1905,D1905)</f>
        <v>0.7390278</v>
      </c>
      <c r="I1905" s="13" t="n">
        <f aca="false">IFERROR(MIN(F1905*Eingaben!$B$19,MAX(0,D1905-H1905)),0)</f>
        <v>1.75959</v>
      </c>
      <c r="J1905" s="13" t="n">
        <f aca="false">IFERROR(MIN(Eingaben!$B$18,MAX(0,F1905-I1905)),0)</f>
        <v>0.75411</v>
      </c>
      <c r="K1905" s="13" t="n">
        <f aca="false">H1905+I1905</f>
        <v>2.4986178</v>
      </c>
      <c r="L1905" s="13" t="n">
        <f aca="false">MAX(0,D1905-K1905)</f>
        <v>2.4413822</v>
      </c>
      <c r="M1905" s="13" t="n">
        <f aca="false">MAX(0,F1905-I1905-J1905)</f>
        <v>0</v>
      </c>
      <c r="N1905" s="13" t="n">
        <f aca="false">IF(Kalender!A75="",0,J1904-H1905)</f>
        <v>0.0150822</v>
      </c>
    </row>
    <row r="1906" customFormat="false" ht="16.4" hidden="false" customHeight="false" outlineLevel="0" collapsed="false">
      <c r="A1906" s="13" t="str">
        <f aca="false">""</f>
        <v/>
      </c>
      <c r="B1906" s="13" t="n">
        <f aca="false">72</f>
        <v>72</v>
      </c>
      <c r="C1906" s="13" t="n">
        <f aca="false">IF(Szenarien!$H$16="OK",(IFERROR(SUMIF(Nutzungsprofile!$B$6:$B$11,"Schulbetrieb",Nutzungsprofile!$G$6:$G$11)*Kalender!C76/SUM(Kalender!$C$5:$C$370),0)+IFERROR(SUMIF(Nutzungsprofile!$B$6:$B$11,"Halle",Nutzungsprofile!$G$6:$G$11)*Kalender!D76/SUM(Kalender!$D$5:$D$370),0)+IFERROR(SUMIF(Nutzungsprofile!$B$6:$B$11,"Individuell",Nutzungsprofile!$G$6:$G$11)*Kalender!E76/SUM(Kalender!$E$5:$E$370),0))*Szenarien!$E$16,0)</f>
        <v>2.94</v>
      </c>
      <c r="D1906" s="13" t="n">
        <f aca="false">IF(Szenarien!$H$16="OK",(IFERROR(SUMIF(Nutzungsprofile!$B$17:$B$22,"Schulbetrieb",Nutzungsprofile!$G$17:$G$22)*Kalender!C76/SUM(Kalender!$C$5:$C$370),0)+IFERROR(SUMIF(Nutzungsprofile!$B$17:$B$22,"Halle",Nutzungsprofile!$G$17:$G$22)*Kalender!D76/SUM(Kalender!$D$5:$D$370),0)+IFERROR(SUMIF(Nutzungsprofile!$B$17:$B$22,"Individuell",Nutzungsprofile!$G$17:$G$22)*Kalender!E76/SUM(Kalender!$E$5:$E$370),0))*Szenarien!$D$16,0)</f>
        <v>4.94</v>
      </c>
      <c r="E1906" s="13" t="n">
        <f aca="false">IFERROR(MIN(C1906,Eingaben!$B$17)*Eingaben!$B$16,0)</f>
        <v>2.793</v>
      </c>
      <c r="F1906" s="13" t="n">
        <f aca="false">IFERROR(E1906*Eingaben!$B$15,0)</f>
        <v>2.5137</v>
      </c>
      <c r="G1906" s="13" t="n">
        <f aca="false">IFERROR(IF(Kalender!A76="",0,J1905*(1-Eingaben!$B$20)),0)</f>
        <v>0.7390278</v>
      </c>
      <c r="H1906" s="13" t="n">
        <f aca="false">MIN(G1906,D1906)</f>
        <v>0.7390278</v>
      </c>
      <c r="I1906" s="13" t="n">
        <f aca="false">IFERROR(MIN(F1906*Eingaben!$B$19,MAX(0,D1906-H1906)),0)</f>
        <v>1.75959</v>
      </c>
      <c r="J1906" s="13" t="n">
        <f aca="false">IFERROR(MIN(Eingaben!$B$18,MAX(0,F1906-I1906)),0)</f>
        <v>0.75411</v>
      </c>
      <c r="K1906" s="13" t="n">
        <f aca="false">H1906+I1906</f>
        <v>2.4986178</v>
      </c>
      <c r="L1906" s="13" t="n">
        <f aca="false">MAX(0,D1906-K1906)</f>
        <v>2.4413822</v>
      </c>
      <c r="M1906" s="13" t="n">
        <f aca="false">MAX(0,F1906-I1906-J1906)</f>
        <v>0</v>
      </c>
      <c r="N1906" s="13" t="n">
        <f aca="false">IF(Kalender!A76="",0,J1905-H1906)</f>
        <v>0.0150822</v>
      </c>
    </row>
    <row r="1907" customFormat="false" ht="16.4" hidden="false" customHeight="false" outlineLevel="0" collapsed="false">
      <c r="A1907" s="13" t="str">
        <f aca="false">""</f>
        <v/>
      </c>
      <c r="B1907" s="13" t="n">
        <f aca="false">73</f>
        <v>73</v>
      </c>
      <c r="C1907" s="13" t="n">
        <f aca="false">IF(Szenarien!$H$16="OK",(IFERROR(SUMIF(Nutzungsprofile!$B$6:$B$11,"Schulbetrieb",Nutzungsprofile!$G$6:$G$11)*Kalender!C77/SUM(Kalender!$C$5:$C$370),0)+IFERROR(SUMIF(Nutzungsprofile!$B$6:$B$11,"Halle",Nutzungsprofile!$G$6:$G$11)*Kalender!D77/SUM(Kalender!$D$5:$D$370),0)+IFERROR(SUMIF(Nutzungsprofile!$B$6:$B$11,"Individuell",Nutzungsprofile!$G$6:$G$11)*Kalender!E77/SUM(Kalender!$E$5:$E$370),0))*Szenarien!$E$16,0)</f>
        <v>2.04</v>
      </c>
      <c r="D1907" s="13" t="n">
        <f aca="false">IF(Szenarien!$H$16="OK",(IFERROR(SUMIF(Nutzungsprofile!$B$17:$B$22,"Schulbetrieb",Nutzungsprofile!$G$17:$G$22)*Kalender!C77/SUM(Kalender!$C$5:$C$370),0)+IFERROR(SUMIF(Nutzungsprofile!$B$17:$B$22,"Halle",Nutzungsprofile!$G$17:$G$22)*Kalender!D77/SUM(Kalender!$D$5:$D$370),0)+IFERROR(SUMIF(Nutzungsprofile!$B$17:$B$22,"Individuell",Nutzungsprofile!$G$17:$G$22)*Kalender!E77/SUM(Kalender!$E$5:$E$370),0))*Szenarien!$D$16,0)</f>
        <v>0.89</v>
      </c>
      <c r="E1907" s="13" t="n">
        <f aca="false">IFERROR(MIN(C1907,Eingaben!$B$17)*Eingaben!$B$16,0)</f>
        <v>1.938</v>
      </c>
      <c r="F1907" s="13" t="n">
        <f aca="false">IFERROR(E1907*Eingaben!$B$15,0)</f>
        <v>1.7442</v>
      </c>
      <c r="G1907" s="13" t="n">
        <f aca="false">IFERROR(IF(Kalender!A77="",0,J1906*(1-Eingaben!$B$20)),0)</f>
        <v>0.7390278</v>
      </c>
      <c r="H1907" s="13" t="n">
        <f aca="false">MIN(G1907,D1907)</f>
        <v>0.7390278</v>
      </c>
      <c r="I1907" s="13" t="n">
        <f aca="false">IFERROR(MIN(F1907*Eingaben!$B$19,MAX(0,D1907-H1907)),0)</f>
        <v>0.1509722</v>
      </c>
      <c r="J1907" s="13" t="n">
        <f aca="false">IFERROR(MIN(Eingaben!$B$18,MAX(0,F1907-I1907)),0)</f>
        <v>1.5932278</v>
      </c>
      <c r="K1907" s="13" t="n">
        <f aca="false">H1907+I1907</f>
        <v>0.89</v>
      </c>
      <c r="L1907" s="13" t="n">
        <f aca="false">MAX(0,D1907-K1907)</f>
        <v>0</v>
      </c>
      <c r="M1907" s="13" t="n">
        <f aca="false">MAX(0,F1907-I1907-J1907)</f>
        <v>0</v>
      </c>
      <c r="N1907" s="13" t="n">
        <f aca="false">IF(Kalender!A77="",0,J1906-H1907)</f>
        <v>0.0150822</v>
      </c>
    </row>
    <row r="1908" customFormat="false" ht="16.4" hidden="false" customHeight="false" outlineLevel="0" collapsed="false">
      <c r="A1908" s="13" t="str">
        <f aca="false">""</f>
        <v/>
      </c>
      <c r="B1908" s="13" t="n">
        <f aca="false">74</f>
        <v>74</v>
      </c>
      <c r="C1908" s="13" t="n">
        <f aca="false">IF(Szenarien!$H$16="OK",(IFERROR(SUMIF(Nutzungsprofile!$B$6:$B$11,"Schulbetrieb",Nutzungsprofile!$G$6:$G$11)*Kalender!C78/SUM(Kalender!$C$5:$C$370),0)+IFERROR(SUMIF(Nutzungsprofile!$B$6:$B$11,"Halle",Nutzungsprofile!$G$6:$G$11)*Kalender!D78/SUM(Kalender!$D$5:$D$370),0)+IFERROR(SUMIF(Nutzungsprofile!$B$6:$B$11,"Individuell",Nutzungsprofile!$G$6:$G$11)*Kalender!E78/SUM(Kalender!$E$5:$E$370),0))*Szenarien!$E$16,0)</f>
        <v>2.04</v>
      </c>
      <c r="D1908" s="13" t="n">
        <f aca="false">IF(Szenarien!$H$16="OK",(IFERROR(SUMIF(Nutzungsprofile!$B$17:$B$22,"Schulbetrieb",Nutzungsprofile!$G$17:$G$22)*Kalender!C78/SUM(Kalender!$C$5:$C$370),0)+IFERROR(SUMIF(Nutzungsprofile!$B$17:$B$22,"Halle",Nutzungsprofile!$G$17:$G$22)*Kalender!D78/SUM(Kalender!$D$5:$D$370),0)+IFERROR(SUMIF(Nutzungsprofile!$B$17:$B$22,"Individuell",Nutzungsprofile!$G$17:$G$22)*Kalender!E78/SUM(Kalender!$E$5:$E$370),0))*Szenarien!$D$16,0)</f>
        <v>0.89</v>
      </c>
      <c r="E1908" s="13" t="n">
        <f aca="false">IFERROR(MIN(C1908,Eingaben!$B$17)*Eingaben!$B$16,0)</f>
        <v>1.938</v>
      </c>
      <c r="F1908" s="13" t="n">
        <f aca="false">IFERROR(E1908*Eingaben!$B$15,0)</f>
        <v>1.7442</v>
      </c>
      <c r="G1908" s="13" t="n">
        <f aca="false">IFERROR(IF(Kalender!A78="",0,J1907*(1-Eingaben!$B$20)),0)</f>
        <v>1.561363244</v>
      </c>
      <c r="H1908" s="13" t="n">
        <f aca="false">MIN(G1908,D1908)</f>
        <v>0.89</v>
      </c>
      <c r="I1908" s="13" t="n">
        <f aca="false">IFERROR(MIN(F1908*Eingaben!$B$19,MAX(0,D1908-H1908)),0)</f>
        <v>0</v>
      </c>
      <c r="J1908" s="13" t="n">
        <f aca="false">IFERROR(MIN(Eingaben!$B$18,MAX(0,F1908-I1908)),0)</f>
        <v>1.7442</v>
      </c>
      <c r="K1908" s="13" t="n">
        <f aca="false">H1908+I1908</f>
        <v>0.89</v>
      </c>
      <c r="L1908" s="13" t="n">
        <f aca="false">MAX(0,D1908-K1908)</f>
        <v>0</v>
      </c>
      <c r="M1908" s="13" t="n">
        <f aca="false">MAX(0,F1908-I1908-J1908)</f>
        <v>0</v>
      </c>
      <c r="N1908" s="13" t="n">
        <f aca="false">IF(Kalender!A78="",0,J1907-H1908)</f>
        <v>0.7032278</v>
      </c>
    </row>
    <row r="1909" customFormat="false" ht="16.4" hidden="false" customHeight="false" outlineLevel="0" collapsed="false">
      <c r="A1909" s="13" t="str">
        <f aca="false">""</f>
        <v/>
      </c>
      <c r="B1909" s="13" t="n">
        <f aca="false">75</f>
        <v>75</v>
      </c>
      <c r="C1909" s="13" t="n">
        <f aca="false">IF(Szenarien!$H$16="OK",(IFERROR(SUMIF(Nutzungsprofile!$B$6:$B$11,"Schulbetrieb",Nutzungsprofile!$G$6:$G$11)*Kalender!C79/SUM(Kalender!$C$5:$C$370),0)+IFERROR(SUMIF(Nutzungsprofile!$B$6:$B$11,"Halle",Nutzungsprofile!$G$6:$G$11)*Kalender!D79/SUM(Kalender!$D$5:$D$370),0)+IFERROR(SUMIF(Nutzungsprofile!$B$6:$B$11,"Individuell",Nutzungsprofile!$G$6:$G$11)*Kalender!E79/SUM(Kalender!$E$5:$E$370),0))*Szenarien!$E$16,0)</f>
        <v>2.94</v>
      </c>
      <c r="D1909" s="13" t="n">
        <f aca="false">IF(Szenarien!$H$16="OK",(IFERROR(SUMIF(Nutzungsprofile!$B$17:$B$22,"Schulbetrieb",Nutzungsprofile!$G$17:$G$22)*Kalender!C79/SUM(Kalender!$C$5:$C$370),0)+IFERROR(SUMIF(Nutzungsprofile!$B$17:$B$22,"Halle",Nutzungsprofile!$G$17:$G$22)*Kalender!D79/SUM(Kalender!$D$5:$D$370),0)+IFERROR(SUMIF(Nutzungsprofile!$B$17:$B$22,"Individuell",Nutzungsprofile!$G$17:$G$22)*Kalender!E79/SUM(Kalender!$E$5:$E$370),0))*Szenarien!$D$16,0)</f>
        <v>4.94</v>
      </c>
      <c r="E1909" s="13" t="n">
        <f aca="false">IFERROR(MIN(C1909,Eingaben!$B$17)*Eingaben!$B$16,0)</f>
        <v>2.793</v>
      </c>
      <c r="F1909" s="13" t="n">
        <f aca="false">IFERROR(E1909*Eingaben!$B$15,0)</f>
        <v>2.5137</v>
      </c>
      <c r="G1909" s="13" t="n">
        <f aca="false">IFERROR(IF(Kalender!A79="",0,J1908*(1-Eingaben!$B$20)),0)</f>
        <v>1.709316</v>
      </c>
      <c r="H1909" s="13" t="n">
        <f aca="false">MIN(G1909,D1909)</f>
        <v>1.709316</v>
      </c>
      <c r="I1909" s="13" t="n">
        <f aca="false">IFERROR(MIN(F1909*Eingaben!$B$19,MAX(0,D1909-H1909)),0)</f>
        <v>1.75959</v>
      </c>
      <c r="J1909" s="13" t="n">
        <f aca="false">IFERROR(MIN(Eingaben!$B$18,MAX(0,F1909-I1909)),0)</f>
        <v>0.75411</v>
      </c>
      <c r="K1909" s="13" t="n">
        <f aca="false">H1909+I1909</f>
        <v>3.468906</v>
      </c>
      <c r="L1909" s="13" t="n">
        <f aca="false">MAX(0,D1909-K1909)</f>
        <v>1.471094</v>
      </c>
      <c r="M1909" s="13" t="n">
        <f aca="false">MAX(0,F1909-I1909-J1909)</f>
        <v>0</v>
      </c>
      <c r="N1909" s="13" t="n">
        <f aca="false">IF(Kalender!A79="",0,J1908-H1909)</f>
        <v>0.0348840000000001</v>
      </c>
    </row>
    <row r="1910" customFormat="false" ht="16.4" hidden="false" customHeight="false" outlineLevel="0" collapsed="false">
      <c r="A1910" s="13" t="str">
        <f aca="false">""</f>
        <v/>
      </c>
      <c r="B1910" s="13" t="n">
        <f aca="false">76</f>
        <v>76</v>
      </c>
      <c r="C1910" s="13" t="n">
        <f aca="false">IF(Szenarien!$H$16="OK",(IFERROR(SUMIF(Nutzungsprofile!$B$6:$B$11,"Schulbetrieb",Nutzungsprofile!$G$6:$G$11)*Kalender!C80/SUM(Kalender!$C$5:$C$370),0)+IFERROR(SUMIF(Nutzungsprofile!$B$6:$B$11,"Halle",Nutzungsprofile!$G$6:$G$11)*Kalender!D80/SUM(Kalender!$D$5:$D$370),0)+IFERROR(SUMIF(Nutzungsprofile!$B$6:$B$11,"Individuell",Nutzungsprofile!$G$6:$G$11)*Kalender!E80/SUM(Kalender!$E$5:$E$370),0))*Szenarien!$E$16,0)</f>
        <v>2.94</v>
      </c>
      <c r="D1910" s="13" t="n">
        <f aca="false">IF(Szenarien!$H$16="OK",(IFERROR(SUMIF(Nutzungsprofile!$B$17:$B$22,"Schulbetrieb",Nutzungsprofile!$G$17:$G$22)*Kalender!C80/SUM(Kalender!$C$5:$C$370),0)+IFERROR(SUMIF(Nutzungsprofile!$B$17:$B$22,"Halle",Nutzungsprofile!$G$17:$G$22)*Kalender!D80/SUM(Kalender!$D$5:$D$370),0)+IFERROR(SUMIF(Nutzungsprofile!$B$17:$B$22,"Individuell",Nutzungsprofile!$G$17:$G$22)*Kalender!E80/SUM(Kalender!$E$5:$E$370),0))*Szenarien!$D$16,0)</f>
        <v>4.94</v>
      </c>
      <c r="E1910" s="13" t="n">
        <f aca="false">IFERROR(MIN(C1910,Eingaben!$B$17)*Eingaben!$B$16,0)</f>
        <v>2.793</v>
      </c>
      <c r="F1910" s="13" t="n">
        <f aca="false">IFERROR(E1910*Eingaben!$B$15,0)</f>
        <v>2.5137</v>
      </c>
      <c r="G1910" s="13" t="n">
        <f aca="false">IFERROR(IF(Kalender!A80="",0,J1909*(1-Eingaben!$B$20)),0)</f>
        <v>0.7390278</v>
      </c>
      <c r="H1910" s="13" t="n">
        <f aca="false">MIN(G1910,D1910)</f>
        <v>0.7390278</v>
      </c>
      <c r="I1910" s="13" t="n">
        <f aca="false">IFERROR(MIN(F1910*Eingaben!$B$19,MAX(0,D1910-H1910)),0)</f>
        <v>1.75959</v>
      </c>
      <c r="J1910" s="13" t="n">
        <f aca="false">IFERROR(MIN(Eingaben!$B$18,MAX(0,F1910-I1910)),0)</f>
        <v>0.75411</v>
      </c>
      <c r="K1910" s="13" t="n">
        <f aca="false">H1910+I1910</f>
        <v>2.4986178</v>
      </c>
      <c r="L1910" s="13" t="n">
        <f aca="false">MAX(0,D1910-K1910)</f>
        <v>2.4413822</v>
      </c>
      <c r="M1910" s="13" t="n">
        <f aca="false">MAX(0,F1910-I1910-J1910)</f>
        <v>0</v>
      </c>
      <c r="N1910" s="13" t="n">
        <f aca="false">IF(Kalender!A80="",0,J1909-H1910)</f>
        <v>0.0150822</v>
      </c>
    </row>
    <row r="1911" customFormat="false" ht="16.4" hidden="false" customHeight="false" outlineLevel="0" collapsed="false">
      <c r="A1911" s="13" t="str">
        <f aca="false">""</f>
        <v/>
      </c>
      <c r="B1911" s="13" t="n">
        <f aca="false">77</f>
        <v>77</v>
      </c>
      <c r="C1911" s="13" t="n">
        <f aca="false">IF(Szenarien!$H$16="OK",(IFERROR(SUMIF(Nutzungsprofile!$B$6:$B$11,"Schulbetrieb",Nutzungsprofile!$G$6:$G$11)*Kalender!C81/SUM(Kalender!$C$5:$C$370),0)+IFERROR(SUMIF(Nutzungsprofile!$B$6:$B$11,"Halle",Nutzungsprofile!$G$6:$G$11)*Kalender!D81/SUM(Kalender!$D$5:$D$370),0)+IFERROR(SUMIF(Nutzungsprofile!$B$6:$B$11,"Individuell",Nutzungsprofile!$G$6:$G$11)*Kalender!E81/SUM(Kalender!$E$5:$E$370),0))*Szenarien!$E$16,0)</f>
        <v>2.94</v>
      </c>
      <c r="D1911" s="13" t="n">
        <f aca="false">IF(Szenarien!$H$16="OK",(IFERROR(SUMIF(Nutzungsprofile!$B$17:$B$22,"Schulbetrieb",Nutzungsprofile!$G$17:$G$22)*Kalender!C81/SUM(Kalender!$C$5:$C$370),0)+IFERROR(SUMIF(Nutzungsprofile!$B$17:$B$22,"Halle",Nutzungsprofile!$G$17:$G$22)*Kalender!D81/SUM(Kalender!$D$5:$D$370),0)+IFERROR(SUMIF(Nutzungsprofile!$B$17:$B$22,"Individuell",Nutzungsprofile!$G$17:$G$22)*Kalender!E81/SUM(Kalender!$E$5:$E$370),0))*Szenarien!$D$16,0)</f>
        <v>4.94</v>
      </c>
      <c r="E1911" s="13" t="n">
        <f aca="false">IFERROR(MIN(C1911,Eingaben!$B$17)*Eingaben!$B$16,0)</f>
        <v>2.793</v>
      </c>
      <c r="F1911" s="13" t="n">
        <f aca="false">IFERROR(E1911*Eingaben!$B$15,0)</f>
        <v>2.5137</v>
      </c>
      <c r="G1911" s="13" t="n">
        <f aca="false">IFERROR(IF(Kalender!A81="",0,J1910*(1-Eingaben!$B$20)),0)</f>
        <v>0.7390278</v>
      </c>
      <c r="H1911" s="13" t="n">
        <f aca="false">MIN(G1911,D1911)</f>
        <v>0.7390278</v>
      </c>
      <c r="I1911" s="13" t="n">
        <f aca="false">IFERROR(MIN(F1911*Eingaben!$B$19,MAX(0,D1911-H1911)),0)</f>
        <v>1.75959</v>
      </c>
      <c r="J1911" s="13" t="n">
        <f aca="false">IFERROR(MIN(Eingaben!$B$18,MAX(0,F1911-I1911)),0)</f>
        <v>0.75411</v>
      </c>
      <c r="K1911" s="13" t="n">
        <f aca="false">H1911+I1911</f>
        <v>2.4986178</v>
      </c>
      <c r="L1911" s="13" t="n">
        <f aca="false">MAX(0,D1911-K1911)</f>
        <v>2.4413822</v>
      </c>
      <c r="M1911" s="13" t="n">
        <f aca="false">MAX(0,F1911-I1911-J1911)</f>
        <v>0</v>
      </c>
      <c r="N1911" s="13" t="n">
        <f aca="false">IF(Kalender!A81="",0,J1910-H1911)</f>
        <v>0.0150822</v>
      </c>
    </row>
    <row r="1912" customFormat="false" ht="16.4" hidden="false" customHeight="false" outlineLevel="0" collapsed="false">
      <c r="A1912" s="13" t="str">
        <f aca="false">""</f>
        <v/>
      </c>
      <c r="B1912" s="13" t="n">
        <f aca="false">78</f>
        <v>78</v>
      </c>
      <c r="C1912" s="13" t="n">
        <f aca="false">IF(Szenarien!$H$16="OK",(IFERROR(SUMIF(Nutzungsprofile!$B$6:$B$11,"Schulbetrieb",Nutzungsprofile!$G$6:$G$11)*Kalender!C82/SUM(Kalender!$C$5:$C$370),0)+IFERROR(SUMIF(Nutzungsprofile!$B$6:$B$11,"Halle",Nutzungsprofile!$G$6:$G$11)*Kalender!D82/SUM(Kalender!$D$5:$D$370),0)+IFERROR(SUMIF(Nutzungsprofile!$B$6:$B$11,"Individuell",Nutzungsprofile!$G$6:$G$11)*Kalender!E82/SUM(Kalender!$E$5:$E$370),0))*Szenarien!$E$16,0)</f>
        <v>2.94</v>
      </c>
      <c r="D1912" s="13" t="n">
        <f aca="false">IF(Szenarien!$H$16="OK",(IFERROR(SUMIF(Nutzungsprofile!$B$17:$B$22,"Schulbetrieb",Nutzungsprofile!$G$17:$G$22)*Kalender!C82/SUM(Kalender!$C$5:$C$370),0)+IFERROR(SUMIF(Nutzungsprofile!$B$17:$B$22,"Halle",Nutzungsprofile!$G$17:$G$22)*Kalender!D82/SUM(Kalender!$D$5:$D$370),0)+IFERROR(SUMIF(Nutzungsprofile!$B$17:$B$22,"Individuell",Nutzungsprofile!$G$17:$G$22)*Kalender!E82/SUM(Kalender!$E$5:$E$370),0))*Szenarien!$D$16,0)</f>
        <v>4.94</v>
      </c>
      <c r="E1912" s="13" t="n">
        <f aca="false">IFERROR(MIN(C1912,Eingaben!$B$17)*Eingaben!$B$16,0)</f>
        <v>2.793</v>
      </c>
      <c r="F1912" s="13" t="n">
        <f aca="false">IFERROR(E1912*Eingaben!$B$15,0)</f>
        <v>2.5137</v>
      </c>
      <c r="G1912" s="13" t="n">
        <f aca="false">IFERROR(IF(Kalender!A82="",0,J1911*(1-Eingaben!$B$20)),0)</f>
        <v>0.7390278</v>
      </c>
      <c r="H1912" s="13" t="n">
        <f aca="false">MIN(G1912,D1912)</f>
        <v>0.7390278</v>
      </c>
      <c r="I1912" s="13" t="n">
        <f aca="false">IFERROR(MIN(F1912*Eingaben!$B$19,MAX(0,D1912-H1912)),0)</f>
        <v>1.75959</v>
      </c>
      <c r="J1912" s="13" t="n">
        <f aca="false">IFERROR(MIN(Eingaben!$B$18,MAX(0,F1912-I1912)),0)</f>
        <v>0.75411</v>
      </c>
      <c r="K1912" s="13" t="n">
        <f aca="false">H1912+I1912</f>
        <v>2.4986178</v>
      </c>
      <c r="L1912" s="13" t="n">
        <f aca="false">MAX(0,D1912-K1912)</f>
        <v>2.4413822</v>
      </c>
      <c r="M1912" s="13" t="n">
        <f aca="false">MAX(0,F1912-I1912-J1912)</f>
        <v>0</v>
      </c>
      <c r="N1912" s="13" t="n">
        <f aca="false">IF(Kalender!A82="",0,J1911-H1912)</f>
        <v>0.0150822</v>
      </c>
    </row>
    <row r="1913" customFormat="false" ht="16.4" hidden="false" customHeight="false" outlineLevel="0" collapsed="false">
      <c r="A1913" s="13" t="str">
        <f aca="false">""</f>
        <v/>
      </c>
      <c r="B1913" s="13" t="n">
        <f aca="false">79</f>
        <v>79</v>
      </c>
      <c r="C1913" s="13" t="n">
        <f aca="false">IF(Szenarien!$H$16="OK",(IFERROR(SUMIF(Nutzungsprofile!$B$6:$B$11,"Schulbetrieb",Nutzungsprofile!$G$6:$G$11)*Kalender!C83/SUM(Kalender!$C$5:$C$370),0)+IFERROR(SUMIF(Nutzungsprofile!$B$6:$B$11,"Halle",Nutzungsprofile!$G$6:$G$11)*Kalender!D83/SUM(Kalender!$D$5:$D$370),0)+IFERROR(SUMIF(Nutzungsprofile!$B$6:$B$11,"Individuell",Nutzungsprofile!$G$6:$G$11)*Kalender!E83/SUM(Kalender!$E$5:$E$370),0))*Szenarien!$E$16,0)</f>
        <v>2.94</v>
      </c>
      <c r="D1913" s="13" t="n">
        <f aca="false">IF(Szenarien!$H$16="OK",(IFERROR(SUMIF(Nutzungsprofile!$B$17:$B$22,"Schulbetrieb",Nutzungsprofile!$G$17:$G$22)*Kalender!C83/SUM(Kalender!$C$5:$C$370),0)+IFERROR(SUMIF(Nutzungsprofile!$B$17:$B$22,"Halle",Nutzungsprofile!$G$17:$G$22)*Kalender!D83/SUM(Kalender!$D$5:$D$370),0)+IFERROR(SUMIF(Nutzungsprofile!$B$17:$B$22,"Individuell",Nutzungsprofile!$G$17:$G$22)*Kalender!E83/SUM(Kalender!$E$5:$E$370),0))*Szenarien!$D$16,0)</f>
        <v>4.94</v>
      </c>
      <c r="E1913" s="13" t="n">
        <f aca="false">IFERROR(MIN(C1913,Eingaben!$B$17)*Eingaben!$B$16,0)</f>
        <v>2.793</v>
      </c>
      <c r="F1913" s="13" t="n">
        <f aca="false">IFERROR(E1913*Eingaben!$B$15,0)</f>
        <v>2.5137</v>
      </c>
      <c r="G1913" s="13" t="n">
        <f aca="false">IFERROR(IF(Kalender!A83="",0,J1912*(1-Eingaben!$B$20)),0)</f>
        <v>0.7390278</v>
      </c>
      <c r="H1913" s="13" t="n">
        <f aca="false">MIN(G1913,D1913)</f>
        <v>0.7390278</v>
      </c>
      <c r="I1913" s="13" t="n">
        <f aca="false">IFERROR(MIN(F1913*Eingaben!$B$19,MAX(0,D1913-H1913)),0)</f>
        <v>1.75959</v>
      </c>
      <c r="J1913" s="13" t="n">
        <f aca="false">IFERROR(MIN(Eingaben!$B$18,MAX(0,F1913-I1913)),0)</f>
        <v>0.75411</v>
      </c>
      <c r="K1913" s="13" t="n">
        <f aca="false">H1913+I1913</f>
        <v>2.4986178</v>
      </c>
      <c r="L1913" s="13" t="n">
        <f aca="false">MAX(0,D1913-K1913)</f>
        <v>2.4413822</v>
      </c>
      <c r="M1913" s="13" t="n">
        <f aca="false">MAX(0,F1913-I1913-J1913)</f>
        <v>0</v>
      </c>
      <c r="N1913" s="13" t="n">
        <f aca="false">IF(Kalender!A83="",0,J1912-H1913)</f>
        <v>0.0150822</v>
      </c>
    </row>
    <row r="1914" customFormat="false" ht="16.4" hidden="false" customHeight="false" outlineLevel="0" collapsed="false">
      <c r="A1914" s="13" t="str">
        <f aca="false">""</f>
        <v/>
      </c>
      <c r="B1914" s="13" t="n">
        <f aca="false">80</f>
        <v>80</v>
      </c>
      <c r="C1914" s="13" t="n">
        <f aca="false">IF(Szenarien!$H$16="OK",(IFERROR(SUMIF(Nutzungsprofile!$B$6:$B$11,"Schulbetrieb",Nutzungsprofile!$G$6:$G$11)*Kalender!C84/SUM(Kalender!$C$5:$C$370),0)+IFERROR(SUMIF(Nutzungsprofile!$B$6:$B$11,"Halle",Nutzungsprofile!$G$6:$G$11)*Kalender!D84/SUM(Kalender!$D$5:$D$370),0)+IFERROR(SUMIF(Nutzungsprofile!$B$6:$B$11,"Individuell",Nutzungsprofile!$G$6:$G$11)*Kalender!E84/SUM(Kalender!$E$5:$E$370),0))*Szenarien!$E$16,0)</f>
        <v>2.04</v>
      </c>
      <c r="D1914" s="13" t="n">
        <f aca="false">IF(Szenarien!$H$16="OK",(IFERROR(SUMIF(Nutzungsprofile!$B$17:$B$22,"Schulbetrieb",Nutzungsprofile!$G$17:$G$22)*Kalender!C84/SUM(Kalender!$C$5:$C$370),0)+IFERROR(SUMIF(Nutzungsprofile!$B$17:$B$22,"Halle",Nutzungsprofile!$G$17:$G$22)*Kalender!D84/SUM(Kalender!$D$5:$D$370),0)+IFERROR(SUMIF(Nutzungsprofile!$B$17:$B$22,"Individuell",Nutzungsprofile!$G$17:$G$22)*Kalender!E84/SUM(Kalender!$E$5:$E$370),0))*Szenarien!$D$16,0)</f>
        <v>0.89</v>
      </c>
      <c r="E1914" s="13" t="n">
        <f aca="false">IFERROR(MIN(C1914,Eingaben!$B$17)*Eingaben!$B$16,0)</f>
        <v>1.938</v>
      </c>
      <c r="F1914" s="13" t="n">
        <f aca="false">IFERROR(E1914*Eingaben!$B$15,0)</f>
        <v>1.7442</v>
      </c>
      <c r="G1914" s="13" t="n">
        <f aca="false">IFERROR(IF(Kalender!A84="",0,J1913*(1-Eingaben!$B$20)),0)</f>
        <v>0.7390278</v>
      </c>
      <c r="H1914" s="13" t="n">
        <f aca="false">MIN(G1914,D1914)</f>
        <v>0.7390278</v>
      </c>
      <c r="I1914" s="13" t="n">
        <f aca="false">IFERROR(MIN(F1914*Eingaben!$B$19,MAX(0,D1914-H1914)),0)</f>
        <v>0.1509722</v>
      </c>
      <c r="J1914" s="13" t="n">
        <f aca="false">IFERROR(MIN(Eingaben!$B$18,MAX(0,F1914-I1914)),0)</f>
        <v>1.5932278</v>
      </c>
      <c r="K1914" s="13" t="n">
        <f aca="false">H1914+I1914</f>
        <v>0.89</v>
      </c>
      <c r="L1914" s="13" t="n">
        <f aca="false">MAX(0,D1914-K1914)</f>
        <v>0</v>
      </c>
      <c r="M1914" s="13" t="n">
        <f aca="false">MAX(0,F1914-I1914-J1914)</f>
        <v>0</v>
      </c>
      <c r="N1914" s="13" t="n">
        <f aca="false">IF(Kalender!A84="",0,J1913-H1914)</f>
        <v>0.0150822</v>
      </c>
    </row>
    <row r="1915" customFormat="false" ht="16.4" hidden="false" customHeight="false" outlineLevel="0" collapsed="false">
      <c r="A1915" s="13" t="str">
        <f aca="false">""</f>
        <v/>
      </c>
      <c r="B1915" s="13" t="n">
        <f aca="false">81</f>
        <v>81</v>
      </c>
      <c r="C1915" s="13" t="n">
        <f aca="false">IF(Szenarien!$H$16="OK",(IFERROR(SUMIF(Nutzungsprofile!$B$6:$B$11,"Schulbetrieb",Nutzungsprofile!$G$6:$G$11)*Kalender!C85/SUM(Kalender!$C$5:$C$370),0)+IFERROR(SUMIF(Nutzungsprofile!$B$6:$B$11,"Halle",Nutzungsprofile!$G$6:$G$11)*Kalender!D85/SUM(Kalender!$D$5:$D$370),0)+IFERROR(SUMIF(Nutzungsprofile!$B$6:$B$11,"Individuell",Nutzungsprofile!$G$6:$G$11)*Kalender!E85/SUM(Kalender!$E$5:$E$370),0))*Szenarien!$E$16,0)</f>
        <v>2.04</v>
      </c>
      <c r="D1915" s="13" t="n">
        <f aca="false">IF(Szenarien!$H$16="OK",(IFERROR(SUMIF(Nutzungsprofile!$B$17:$B$22,"Schulbetrieb",Nutzungsprofile!$G$17:$G$22)*Kalender!C85/SUM(Kalender!$C$5:$C$370),0)+IFERROR(SUMIF(Nutzungsprofile!$B$17:$B$22,"Halle",Nutzungsprofile!$G$17:$G$22)*Kalender!D85/SUM(Kalender!$D$5:$D$370),0)+IFERROR(SUMIF(Nutzungsprofile!$B$17:$B$22,"Individuell",Nutzungsprofile!$G$17:$G$22)*Kalender!E85/SUM(Kalender!$E$5:$E$370),0))*Szenarien!$D$16,0)</f>
        <v>0.89</v>
      </c>
      <c r="E1915" s="13" t="n">
        <f aca="false">IFERROR(MIN(C1915,Eingaben!$B$17)*Eingaben!$B$16,0)</f>
        <v>1.938</v>
      </c>
      <c r="F1915" s="13" t="n">
        <f aca="false">IFERROR(E1915*Eingaben!$B$15,0)</f>
        <v>1.7442</v>
      </c>
      <c r="G1915" s="13" t="n">
        <f aca="false">IFERROR(IF(Kalender!A85="",0,J1914*(1-Eingaben!$B$20)),0)</f>
        <v>1.561363244</v>
      </c>
      <c r="H1915" s="13" t="n">
        <f aca="false">MIN(G1915,D1915)</f>
        <v>0.89</v>
      </c>
      <c r="I1915" s="13" t="n">
        <f aca="false">IFERROR(MIN(F1915*Eingaben!$B$19,MAX(0,D1915-H1915)),0)</f>
        <v>0</v>
      </c>
      <c r="J1915" s="13" t="n">
        <f aca="false">IFERROR(MIN(Eingaben!$B$18,MAX(0,F1915-I1915)),0)</f>
        <v>1.7442</v>
      </c>
      <c r="K1915" s="13" t="n">
        <f aca="false">H1915+I1915</f>
        <v>0.89</v>
      </c>
      <c r="L1915" s="13" t="n">
        <f aca="false">MAX(0,D1915-K1915)</f>
        <v>0</v>
      </c>
      <c r="M1915" s="13" t="n">
        <f aca="false">MAX(0,F1915-I1915-J1915)</f>
        <v>0</v>
      </c>
      <c r="N1915" s="13" t="n">
        <f aca="false">IF(Kalender!A85="",0,J1914-H1915)</f>
        <v>0.7032278</v>
      </c>
    </row>
    <row r="1916" customFormat="false" ht="16.4" hidden="false" customHeight="false" outlineLevel="0" collapsed="false">
      <c r="A1916" s="13" t="str">
        <f aca="false">""</f>
        <v/>
      </c>
      <c r="B1916" s="13" t="n">
        <f aca="false">82</f>
        <v>82</v>
      </c>
      <c r="C1916" s="13" t="n">
        <f aca="false">IF(Szenarien!$H$16="OK",(IFERROR(SUMIF(Nutzungsprofile!$B$6:$B$11,"Schulbetrieb",Nutzungsprofile!$G$6:$G$11)*Kalender!C86/SUM(Kalender!$C$5:$C$370),0)+IFERROR(SUMIF(Nutzungsprofile!$B$6:$B$11,"Halle",Nutzungsprofile!$G$6:$G$11)*Kalender!D86/SUM(Kalender!$D$5:$D$370),0)+IFERROR(SUMIF(Nutzungsprofile!$B$6:$B$11,"Individuell",Nutzungsprofile!$G$6:$G$11)*Kalender!E86/SUM(Kalender!$E$5:$E$370),0))*Szenarien!$E$16,0)</f>
        <v>2.94</v>
      </c>
      <c r="D1916" s="13" t="n">
        <f aca="false">IF(Szenarien!$H$16="OK",(IFERROR(SUMIF(Nutzungsprofile!$B$17:$B$22,"Schulbetrieb",Nutzungsprofile!$G$17:$G$22)*Kalender!C86/SUM(Kalender!$C$5:$C$370),0)+IFERROR(SUMIF(Nutzungsprofile!$B$17:$B$22,"Halle",Nutzungsprofile!$G$17:$G$22)*Kalender!D86/SUM(Kalender!$D$5:$D$370),0)+IFERROR(SUMIF(Nutzungsprofile!$B$17:$B$22,"Individuell",Nutzungsprofile!$G$17:$G$22)*Kalender!E86/SUM(Kalender!$E$5:$E$370),0))*Szenarien!$D$16,0)</f>
        <v>4.94</v>
      </c>
      <c r="E1916" s="13" t="n">
        <f aca="false">IFERROR(MIN(C1916,Eingaben!$B$17)*Eingaben!$B$16,0)</f>
        <v>2.793</v>
      </c>
      <c r="F1916" s="13" t="n">
        <f aca="false">IFERROR(E1916*Eingaben!$B$15,0)</f>
        <v>2.5137</v>
      </c>
      <c r="G1916" s="13" t="n">
        <f aca="false">IFERROR(IF(Kalender!A86="",0,J1915*(1-Eingaben!$B$20)),0)</f>
        <v>1.709316</v>
      </c>
      <c r="H1916" s="13" t="n">
        <f aca="false">MIN(G1916,D1916)</f>
        <v>1.709316</v>
      </c>
      <c r="I1916" s="13" t="n">
        <f aca="false">IFERROR(MIN(F1916*Eingaben!$B$19,MAX(0,D1916-H1916)),0)</f>
        <v>1.75959</v>
      </c>
      <c r="J1916" s="13" t="n">
        <f aca="false">IFERROR(MIN(Eingaben!$B$18,MAX(0,F1916-I1916)),0)</f>
        <v>0.75411</v>
      </c>
      <c r="K1916" s="13" t="n">
        <f aca="false">H1916+I1916</f>
        <v>3.468906</v>
      </c>
      <c r="L1916" s="13" t="n">
        <f aca="false">MAX(0,D1916-K1916)</f>
        <v>1.471094</v>
      </c>
      <c r="M1916" s="13" t="n">
        <f aca="false">MAX(0,F1916-I1916-J1916)</f>
        <v>0</v>
      </c>
      <c r="N1916" s="13" t="n">
        <f aca="false">IF(Kalender!A86="",0,J1915-H1916)</f>
        <v>0.0348840000000001</v>
      </c>
    </row>
    <row r="1917" customFormat="false" ht="16.4" hidden="false" customHeight="false" outlineLevel="0" collapsed="false">
      <c r="A1917" s="13" t="str">
        <f aca="false">""</f>
        <v/>
      </c>
      <c r="B1917" s="13" t="n">
        <f aca="false">83</f>
        <v>83</v>
      </c>
      <c r="C1917" s="13" t="n">
        <f aca="false">IF(Szenarien!$H$16="OK",(IFERROR(SUMIF(Nutzungsprofile!$B$6:$B$11,"Schulbetrieb",Nutzungsprofile!$G$6:$G$11)*Kalender!C87/SUM(Kalender!$C$5:$C$370),0)+IFERROR(SUMIF(Nutzungsprofile!$B$6:$B$11,"Halle",Nutzungsprofile!$G$6:$G$11)*Kalender!D87/SUM(Kalender!$D$5:$D$370),0)+IFERROR(SUMIF(Nutzungsprofile!$B$6:$B$11,"Individuell",Nutzungsprofile!$G$6:$G$11)*Kalender!E87/SUM(Kalender!$E$5:$E$370),0))*Szenarien!$E$16,0)</f>
        <v>2.94</v>
      </c>
      <c r="D1917" s="13" t="n">
        <f aca="false">IF(Szenarien!$H$16="OK",(IFERROR(SUMIF(Nutzungsprofile!$B$17:$B$22,"Schulbetrieb",Nutzungsprofile!$G$17:$G$22)*Kalender!C87/SUM(Kalender!$C$5:$C$370),0)+IFERROR(SUMIF(Nutzungsprofile!$B$17:$B$22,"Halle",Nutzungsprofile!$G$17:$G$22)*Kalender!D87/SUM(Kalender!$D$5:$D$370),0)+IFERROR(SUMIF(Nutzungsprofile!$B$17:$B$22,"Individuell",Nutzungsprofile!$G$17:$G$22)*Kalender!E87/SUM(Kalender!$E$5:$E$370),0))*Szenarien!$D$16,0)</f>
        <v>4.94</v>
      </c>
      <c r="E1917" s="13" t="n">
        <f aca="false">IFERROR(MIN(C1917,Eingaben!$B$17)*Eingaben!$B$16,0)</f>
        <v>2.793</v>
      </c>
      <c r="F1917" s="13" t="n">
        <f aca="false">IFERROR(E1917*Eingaben!$B$15,0)</f>
        <v>2.5137</v>
      </c>
      <c r="G1917" s="13" t="n">
        <f aca="false">IFERROR(IF(Kalender!A87="",0,J1916*(1-Eingaben!$B$20)),0)</f>
        <v>0.7390278</v>
      </c>
      <c r="H1917" s="13" t="n">
        <f aca="false">MIN(G1917,D1917)</f>
        <v>0.7390278</v>
      </c>
      <c r="I1917" s="13" t="n">
        <f aca="false">IFERROR(MIN(F1917*Eingaben!$B$19,MAX(0,D1917-H1917)),0)</f>
        <v>1.75959</v>
      </c>
      <c r="J1917" s="13" t="n">
        <f aca="false">IFERROR(MIN(Eingaben!$B$18,MAX(0,F1917-I1917)),0)</f>
        <v>0.75411</v>
      </c>
      <c r="K1917" s="13" t="n">
        <f aca="false">H1917+I1917</f>
        <v>2.4986178</v>
      </c>
      <c r="L1917" s="13" t="n">
        <f aca="false">MAX(0,D1917-K1917)</f>
        <v>2.4413822</v>
      </c>
      <c r="M1917" s="13" t="n">
        <f aca="false">MAX(0,F1917-I1917-J1917)</f>
        <v>0</v>
      </c>
      <c r="N1917" s="13" t="n">
        <f aca="false">IF(Kalender!A87="",0,J1916-H1917)</f>
        <v>0.0150822</v>
      </c>
    </row>
    <row r="1918" customFormat="false" ht="16.4" hidden="false" customHeight="false" outlineLevel="0" collapsed="false">
      <c r="A1918" s="13" t="str">
        <f aca="false">""</f>
        <v/>
      </c>
      <c r="B1918" s="13" t="n">
        <f aca="false">84</f>
        <v>84</v>
      </c>
      <c r="C1918" s="13" t="n">
        <f aca="false">IF(Szenarien!$H$16="OK",(IFERROR(SUMIF(Nutzungsprofile!$B$6:$B$11,"Schulbetrieb",Nutzungsprofile!$G$6:$G$11)*Kalender!C88/SUM(Kalender!$C$5:$C$370),0)+IFERROR(SUMIF(Nutzungsprofile!$B$6:$B$11,"Halle",Nutzungsprofile!$G$6:$G$11)*Kalender!D88/SUM(Kalender!$D$5:$D$370),0)+IFERROR(SUMIF(Nutzungsprofile!$B$6:$B$11,"Individuell",Nutzungsprofile!$G$6:$G$11)*Kalender!E88/SUM(Kalender!$E$5:$E$370),0))*Szenarien!$E$16,0)</f>
        <v>2.94</v>
      </c>
      <c r="D1918" s="13" t="n">
        <f aca="false">IF(Szenarien!$H$16="OK",(IFERROR(SUMIF(Nutzungsprofile!$B$17:$B$22,"Schulbetrieb",Nutzungsprofile!$G$17:$G$22)*Kalender!C88/SUM(Kalender!$C$5:$C$370),0)+IFERROR(SUMIF(Nutzungsprofile!$B$17:$B$22,"Halle",Nutzungsprofile!$G$17:$G$22)*Kalender!D88/SUM(Kalender!$D$5:$D$370),0)+IFERROR(SUMIF(Nutzungsprofile!$B$17:$B$22,"Individuell",Nutzungsprofile!$G$17:$G$22)*Kalender!E88/SUM(Kalender!$E$5:$E$370),0))*Szenarien!$D$16,0)</f>
        <v>4.94</v>
      </c>
      <c r="E1918" s="13" t="n">
        <f aca="false">IFERROR(MIN(C1918,Eingaben!$B$17)*Eingaben!$B$16,0)</f>
        <v>2.793</v>
      </c>
      <c r="F1918" s="13" t="n">
        <f aca="false">IFERROR(E1918*Eingaben!$B$15,0)</f>
        <v>2.5137</v>
      </c>
      <c r="G1918" s="13" t="n">
        <f aca="false">IFERROR(IF(Kalender!A88="",0,J1917*(1-Eingaben!$B$20)),0)</f>
        <v>0.7390278</v>
      </c>
      <c r="H1918" s="13" t="n">
        <f aca="false">MIN(G1918,D1918)</f>
        <v>0.7390278</v>
      </c>
      <c r="I1918" s="13" t="n">
        <f aca="false">IFERROR(MIN(F1918*Eingaben!$B$19,MAX(0,D1918-H1918)),0)</f>
        <v>1.75959</v>
      </c>
      <c r="J1918" s="13" t="n">
        <f aca="false">IFERROR(MIN(Eingaben!$B$18,MAX(0,F1918-I1918)),0)</f>
        <v>0.75411</v>
      </c>
      <c r="K1918" s="13" t="n">
        <f aca="false">H1918+I1918</f>
        <v>2.4986178</v>
      </c>
      <c r="L1918" s="13" t="n">
        <f aca="false">MAX(0,D1918-K1918)</f>
        <v>2.4413822</v>
      </c>
      <c r="M1918" s="13" t="n">
        <f aca="false">MAX(0,F1918-I1918-J1918)</f>
        <v>0</v>
      </c>
      <c r="N1918" s="13" t="n">
        <f aca="false">IF(Kalender!A88="",0,J1917-H1918)</f>
        <v>0.0150822</v>
      </c>
    </row>
    <row r="1919" customFormat="false" ht="16.4" hidden="false" customHeight="false" outlineLevel="0" collapsed="false">
      <c r="A1919" s="13" t="str">
        <f aca="false">""</f>
        <v/>
      </c>
      <c r="B1919" s="13" t="n">
        <f aca="false">85</f>
        <v>85</v>
      </c>
      <c r="C1919" s="13" t="n">
        <f aca="false">IF(Szenarien!$H$16="OK",(IFERROR(SUMIF(Nutzungsprofile!$B$6:$B$11,"Schulbetrieb",Nutzungsprofile!$G$6:$G$11)*Kalender!C89/SUM(Kalender!$C$5:$C$370),0)+IFERROR(SUMIF(Nutzungsprofile!$B$6:$B$11,"Halle",Nutzungsprofile!$G$6:$G$11)*Kalender!D89/SUM(Kalender!$D$5:$D$370),0)+IFERROR(SUMIF(Nutzungsprofile!$B$6:$B$11,"Individuell",Nutzungsprofile!$G$6:$G$11)*Kalender!E89/SUM(Kalender!$E$5:$E$370),0))*Szenarien!$E$16,0)</f>
        <v>2.94</v>
      </c>
      <c r="D1919" s="13" t="n">
        <f aca="false">IF(Szenarien!$H$16="OK",(IFERROR(SUMIF(Nutzungsprofile!$B$17:$B$22,"Schulbetrieb",Nutzungsprofile!$G$17:$G$22)*Kalender!C89/SUM(Kalender!$C$5:$C$370),0)+IFERROR(SUMIF(Nutzungsprofile!$B$17:$B$22,"Halle",Nutzungsprofile!$G$17:$G$22)*Kalender!D89/SUM(Kalender!$D$5:$D$370),0)+IFERROR(SUMIF(Nutzungsprofile!$B$17:$B$22,"Individuell",Nutzungsprofile!$G$17:$G$22)*Kalender!E89/SUM(Kalender!$E$5:$E$370),0))*Szenarien!$D$16,0)</f>
        <v>4.94</v>
      </c>
      <c r="E1919" s="13" t="n">
        <f aca="false">IFERROR(MIN(C1919,Eingaben!$B$17)*Eingaben!$B$16,0)</f>
        <v>2.793</v>
      </c>
      <c r="F1919" s="13" t="n">
        <f aca="false">IFERROR(E1919*Eingaben!$B$15,0)</f>
        <v>2.5137</v>
      </c>
      <c r="G1919" s="13" t="n">
        <f aca="false">IFERROR(IF(Kalender!A89="",0,J1918*(1-Eingaben!$B$20)),0)</f>
        <v>0.7390278</v>
      </c>
      <c r="H1919" s="13" t="n">
        <f aca="false">MIN(G1919,D1919)</f>
        <v>0.7390278</v>
      </c>
      <c r="I1919" s="13" t="n">
        <f aca="false">IFERROR(MIN(F1919*Eingaben!$B$19,MAX(0,D1919-H1919)),0)</f>
        <v>1.75959</v>
      </c>
      <c r="J1919" s="13" t="n">
        <f aca="false">IFERROR(MIN(Eingaben!$B$18,MAX(0,F1919-I1919)),0)</f>
        <v>0.75411</v>
      </c>
      <c r="K1919" s="13" t="n">
        <f aca="false">H1919+I1919</f>
        <v>2.4986178</v>
      </c>
      <c r="L1919" s="13" t="n">
        <f aca="false">MAX(0,D1919-K1919)</f>
        <v>2.4413822</v>
      </c>
      <c r="M1919" s="13" t="n">
        <f aca="false">MAX(0,F1919-I1919-J1919)</f>
        <v>0</v>
      </c>
      <c r="N1919" s="13" t="n">
        <f aca="false">IF(Kalender!A89="",0,J1918-H1919)</f>
        <v>0.0150822</v>
      </c>
    </row>
    <row r="1920" customFormat="false" ht="16.4" hidden="false" customHeight="false" outlineLevel="0" collapsed="false">
      <c r="A1920" s="13" t="str">
        <f aca="false">""</f>
        <v/>
      </c>
      <c r="B1920" s="13" t="n">
        <f aca="false">86</f>
        <v>86</v>
      </c>
      <c r="C1920" s="13" t="n">
        <f aca="false">IF(Szenarien!$H$16="OK",(IFERROR(SUMIF(Nutzungsprofile!$B$6:$B$11,"Schulbetrieb",Nutzungsprofile!$G$6:$G$11)*Kalender!C90/SUM(Kalender!$C$5:$C$370),0)+IFERROR(SUMIF(Nutzungsprofile!$B$6:$B$11,"Halle",Nutzungsprofile!$G$6:$G$11)*Kalender!D90/SUM(Kalender!$D$5:$D$370),0)+IFERROR(SUMIF(Nutzungsprofile!$B$6:$B$11,"Individuell",Nutzungsprofile!$G$6:$G$11)*Kalender!E90/SUM(Kalender!$E$5:$E$370),0))*Szenarien!$E$16,0)</f>
        <v>2.94</v>
      </c>
      <c r="D1920" s="13" t="n">
        <f aca="false">IF(Szenarien!$H$16="OK",(IFERROR(SUMIF(Nutzungsprofile!$B$17:$B$22,"Schulbetrieb",Nutzungsprofile!$G$17:$G$22)*Kalender!C90/SUM(Kalender!$C$5:$C$370),0)+IFERROR(SUMIF(Nutzungsprofile!$B$17:$B$22,"Halle",Nutzungsprofile!$G$17:$G$22)*Kalender!D90/SUM(Kalender!$D$5:$D$370),0)+IFERROR(SUMIF(Nutzungsprofile!$B$17:$B$22,"Individuell",Nutzungsprofile!$G$17:$G$22)*Kalender!E90/SUM(Kalender!$E$5:$E$370),0))*Szenarien!$D$16,0)</f>
        <v>4.94</v>
      </c>
      <c r="E1920" s="13" t="n">
        <f aca="false">IFERROR(MIN(C1920,Eingaben!$B$17)*Eingaben!$B$16,0)</f>
        <v>2.793</v>
      </c>
      <c r="F1920" s="13" t="n">
        <f aca="false">IFERROR(E1920*Eingaben!$B$15,0)</f>
        <v>2.5137</v>
      </c>
      <c r="G1920" s="13" t="n">
        <f aca="false">IFERROR(IF(Kalender!A90="",0,J1919*(1-Eingaben!$B$20)),0)</f>
        <v>0.7390278</v>
      </c>
      <c r="H1920" s="13" t="n">
        <f aca="false">MIN(G1920,D1920)</f>
        <v>0.7390278</v>
      </c>
      <c r="I1920" s="13" t="n">
        <f aca="false">IFERROR(MIN(F1920*Eingaben!$B$19,MAX(0,D1920-H1920)),0)</f>
        <v>1.75959</v>
      </c>
      <c r="J1920" s="13" t="n">
        <f aca="false">IFERROR(MIN(Eingaben!$B$18,MAX(0,F1920-I1920)),0)</f>
        <v>0.75411</v>
      </c>
      <c r="K1920" s="13" t="n">
        <f aca="false">H1920+I1920</f>
        <v>2.4986178</v>
      </c>
      <c r="L1920" s="13" t="n">
        <f aca="false">MAX(0,D1920-K1920)</f>
        <v>2.4413822</v>
      </c>
      <c r="M1920" s="13" t="n">
        <f aca="false">MAX(0,F1920-I1920-J1920)</f>
        <v>0</v>
      </c>
      <c r="N1920" s="13" t="n">
        <f aca="false">IF(Kalender!A90="",0,J1919-H1920)</f>
        <v>0.0150822</v>
      </c>
    </row>
    <row r="1921" customFormat="false" ht="16.4" hidden="false" customHeight="false" outlineLevel="0" collapsed="false">
      <c r="A1921" s="13" t="str">
        <f aca="false">""</f>
        <v/>
      </c>
      <c r="B1921" s="13" t="n">
        <f aca="false">87</f>
        <v>87</v>
      </c>
      <c r="C1921" s="13" t="n">
        <f aca="false">IF(Szenarien!$H$16="OK",(IFERROR(SUMIF(Nutzungsprofile!$B$6:$B$11,"Schulbetrieb",Nutzungsprofile!$G$6:$G$11)*Kalender!C91/SUM(Kalender!$C$5:$C$370),0)+IFERROR(SUMIF(Nutzungsprofile!$B$6:$B$11,"Halle",Nutzungsprofile!$G$6:$G$11)*Kalender!D91/SUM(Kalender!$D$5:$D$370),0)+IFERROR(SUMIF(Nutzungsprofile!$B$6:$B$11,"Individuell",Nutzungsprofile!$G$6:$G$11)*Kalender!E91/SUM(Kalender!$E$5:$E$370),0))*Szenarien!$E$16,0)</f>
        <v>2.04</v>
      </c>
      <c r="D1921" s="13" t="n">
        <f aca="false">IF(Szenarien!$H$16="OK",(IFERROR(SUMIF(Nutzungsprofile!$B$17:$B$22,"Schulbetrieb",Nutzungsprofile!$G$17:$G$22)*Kalender!C91/SUM(Kalender!$C$5:$C$370),0)+IFERROR(SUMIF(Nutzungsprofile!$B$17:$B$22,"Halle",Nutzungsprofile!$G$17:$G$22)*Kalender!D91/SUM(Kalender!$D$5:$D$370),0)+IFERROR(SUMIF(Nutzungsprofile!$B$17:$B$22,"Individuell",Nutzungsprofile!$G$17:$G$22)*Kalender!E91/SUM(Kalender!$E$5:$E$370),0))*Szenarien!$D$16,0)</f>
        <v>0.89</v>
      </c>
      <c r="E1921" s="13" t="n">
        <f aca="false">IFERROR(MIN(C1921,Eingaben!$B$17)*Eingaben!$B$16,0)</f>
        <v>1.938</v>
      </c>
      <c r="F1921" s="13" t="n">
        <f aca="false">IFERROR(E1921*Eingaben!$B$15,0)</f>
        <v>1.7442</v>
      </c>
      <c r="G1921" s="13" t="n">
        <f aca="false">IFERROR(IF(Kalender!A91="",0,J1920*(1-Eingaben!$B$20)),0)</f>
        <v>0.7390278</v>
      </c>
      <c r="H1921" s="13" t="n">
        <f aca="false">MIN(G1921,D1921)</f>
        <v>0.7390278</v>
      </c>
      <c r="I1921" s="13" t="n">
        <f aca="false">IFERROR(MIN(F1921*Eingaben!$B$19,MAX(0,D1921-H1921)),0)</f>
        <v>0.1509722</v>
      </c>
      <c r="J1921" s="13" t="n">
        <f aca="false">IFERROR(MIN(Eingaben!$B$18,MAX(0,F1921-I1921)),0)</f>
        <v>1.5932278</v>
      </c>
      <c r="K1921" s="13" t="n">
        <f aca="false">H1921+I1921</f>
        <v>0.89</v>
      </c>
      <c r="L1921" s="13" t="n">
        <f aca="false">MAX(0,D1921-K1921)</f>
        <v>0</v>
      </c>
      <c r="M1921" s="13" t="n">
        <f aca="false">MAX(0,F1921-I1921-J1921)</f>
        <v>0</v>
      </c>
      <c r="N1921" s="13" t="n">
        <f aca="false">IF(Kalender!A91="",0,J1920-H1921)</f>
        <v>0.0150822</v>
      </c>
    </row>
    <row r="1922" customFormat="false" ht="16.4" hidden="false" customHeight="false" outlineLevel="0" collapsed="false">
      <c r="A1922" s="13" t="str">
        <f aca="false">""</f>
        <v/>
      </c>
      <c r="B1922" s="13" t="n">
        <f aca="false">88</f>
        <v>88</v>
      </c>
      <c r="C1922" s="13" t="n">
        <f aca="false">IF(Szenarien!$H$16="OK",(IFERROR(SUMIF(Nutzungsprofile!$B$6:$B$11,"Schulbetrieb",Nutzungsprofile!$G$6:$G$11)*Kalender!C92/SUM(Kalender!$C$5:$C$370),0)+IFERROR(SUMIF(Nutzungsprofile!$B$6:$B$11,"Halle",Nutzungsprofile!$G$6:$G$11)*Kalender!D92/SUM(Kalender!$D$5:$D$370),0)+IFERROR(SUMIF(Nutzungsprofile!$B$6:$B$11,"Individuell",Nutzungsprofile!$G$6:$G$11)*Kalender!E92/SUM(Kalender!$E$5:$E$370),0))*Szenarien!$E$16,0)</f>
        <v>2.04</v>
      </c>
      <c r="D1922" s="13" t="n">
        <f aca="false">IF(Szenarien!$H$16="OK",(IFERROR(SUMIF(Nutzungsprofile!$B$17:$B$22,"Schulbetrieb",Nutzungsprofile!$G$17:$G$22)*Kalender!C92/SUM(Kalender!$C$5:$C$370),0)+IFERROR(SUMIF(Nutzungsprofile!$B$17:$B$22,"Halle",Nutzungsprofile!$G$17:$G$22)*Kalender!D92/SUM(Kalender!$D$5:$D$370),0)+IFERROR(SUMIF(Nutzungsprofile!$B$17:$B$22,"Individuell",Nutzungsprofile!$G$17:$G$22)*Kalender!E92/SUM(Kalender!$E$5:$E$370),0))*Szenarien!$D$16,0)</f>
        <v>0.89</v>
      </c>
      <c r="E1922" s="13" t="n">
        <f aca="false">IFERROR(MIN(C1922,Eingaben!$B$17)*Eingaben!$B$16,0)</f>
        <v>1.938</v>
      </c>
      <c r="F1922" s="13" t="n">
        <f aca="false">IFERROR(E1922*Eingaben!$B$15,0)</f>
        <v>1.7442</v>
      </c>
      <c r="G1922" s="13" t="n">
        <f aca="false">IFERROR(IF(Kalender!A92="",0,J1921*(1-Eingaben!$B$20)),0)</f>
        <v>1.561363244</v>
      </c>
      <c r="H1922" s="13" t="n">
        <f aca="false">MIN(G1922,D1922)</f>
        <v>0.89</v>
      </c>
      <c r="I1922" s="13" t="n">
        <f aca="false">IFERROR(MIN(F1922*Eingaben!$B$19,MAX(0,D1922-H1922)),0)</f>
        <v>0</v>
      </c>
      <c r="J1922" s="13" t="n">
        <f aca="false">IFERROR(MIN(Eingaben!$B$18,MAX(0,F1922-I1922)),0)</f>
        <v>1.7442</v>
      </c>
      <c r="K1922" s="13" t="n">
        <f aca="false">H1922+I1922</f>
        <v>0.89</v>
      </c>
      <c r="L1922" s="13" t="n">
        <f aca="false">MAX(0,D1922-K1922)</f>
        <v>0</v>
      </c>
      <c r="M1922" s="13" t="n">
        <f aca="false">MAX(0,F1922-I1922-J1922)</f>
        <v>0</v>
      </c>
      <c r="N1922" s="13" t="n">
        <f aca="false">IF(Kalender!A92="",0,J1921-H1922)</f>
        <v>0.7032278</v>
      </c>
    </row>
    <row r="1923" customFormat="false" ht="16.4" hidden="false" customHeight="false" outlineLevel="0" collapsed="false">
      <c r="A1923" s="13" t="str">
        <f aca="false">""</f>
        <v/>
      </c>
      <c r="B1923" s="13" t="n">
        <f aca="false">89</f>
        <v>89</v>
      </c>
      <c r="C1923" s="13" t="n">
        <f aca="false">IF(Szenarien!$H$16="OK",(IFERROR(SUMIF(Nutzungsprofile!$B$6:$B$11,"Schulbetrieb",Nutzungsprofile!$G$6:$G$11)*Kalender!C93/SUM(Kalender!$C$5:$C$370),0)+IFERROR(SUMIF(Nutzungsprofile!$B$6:$B$11,"Halle",Nutzungsprofile!$G$6:$G$11)*Kalender!D93/SUM(Kalender!$D$5:$D$370),0)+IFERROR(SUMIF(Nutzungsprofile!$B$6:$B$11,"Individuell",Nutzungsprofile!$G$6:$G$11)*Kalender!E93/SUM(Kalender!$E$5:$E$370),0))*Szenarien!$E$16,0)</f>
        <v>2.94</v>
      </c>
      <c r="D1923" s="13" t="n">
        <f aca="false">IF(Szenarien!$H$16="OK",(IFERROR(SUMIF(Nutzungsprofile!$B$17:$B$22,"Schulbetrieb",Nutzungsprofile!$G$17:$G$22)*Kalender!C93/SUM(Kalender!$C$5:$C$370),0)+IFERROR(SUMIF(Nutzungsprofile!$B$17:$B$22,"Halle",Nutzungsprofile!$G$17:$G$22)*Kalender!D93/SUM(Kalender!$D$5:$D$370),0)+IFERROR(SUMIF(Nutzungsprofile!$B$17:$B$22,"Individuell",Nutzungsprofile!$G$17:$G$22)*Kalender!E93/SUM(Kalender!$E$5:$E$370),0))*Szenarien!$D$16,0)</f>
        <v>4.94</v>
      </c>
      <c r="E1923" s="13" t="n">
        <f aca="false">IFERROR(MIN(C1923,Eingaben!$B$17)*Eingaben!$B$16,0)</f>
        <v>2.793</v>
      </c>
      <c r="F1923" s="13" t="n">
        <f aca="false">IFERROR(E1923*Eingaben!$B$15,0)</f>
        <v>2.5137</v>
      </c>
      <c r="G1923" s="13" t="n">
        <f aca="false">IFERROR(IF(Kalender!A93="",0,J1922*(1-Eingaben!$B$20)),0)</f>
        <v>1.709316</v>
      </c>
      <c r="H1923" s="13" t="n">
        <f aca="false">MIN(G1923,D1923)</f>
        <v>1.709316</v>
      </c>
      <c r="I1923" s="13" t="n">
        <f aca="false">IFERROR(MIN(F1923*Eingaben!$B$19,MAX(0,D1923-H1923)),0)</f>
        <v>1.75959</v>
      </c>
      <c r="J1923" s="13" t="n">
        <f aca="false">IFERROR(MIN(Eingaben!$B$18,MAX(0,F1923-I1923)),0)</f>
        <v>0.75411</v>
      </c>
      <c r="K1923" s="13" t="n">
        <f aca="false">H1923+I1923</f>
        <v>3.468906</v>
      </c>
      <c r="L1923" s="13" t="n">
        <f aca="false">MAX(0,D1923-K1923)</f>
        <v>1.471094</v>
      </c>
      <c r="M1923" s="13" t="n">
        <f aca="false">MAX(0,F1923-I1923-J1923)</f>
        <v>0</v>
      </c>
      <c r="N1923" s="13" t="n">
        <f aca="false">IF(Kalender!A93="",0,J1922-H1923)</f>
        <v>0.0348840000000001</v>
      </c>
    </row>
    <row r="1924" customFormat="false" ht="16.4" hidden="false" customHeight="false" outlineLevel="0" collapsed="false">
      <c r="A1924" s="13" t="str">
        <f aca="false">""</f>
        <v/>
      </c>
      <c r="B1924" s="13" t="n">
        <f aca="false">90</f>
        <v>90</v>
      </c>
      <c r="C1924" s="13" t="n">
        <f aca="false">IF(Szenarien!$H$16="OK",(IFERROR(SUMIF(Nutzungsprofile!$B$6:$B$11,"Schulbetrieb",Nutzungsprofile!$G$6:$G$11)*Kalender!C94/SUM(Kalender!$C$5:$C$370),0)+IFERROR(SUMIF(Nutzungsprofile!$B$6:$B$11,"Halle",Nutzungsprofile!$G$6:$G$11)*Kalender!D94/SUM(Kalender!$D$5:$D$370),0)+IFERROR(SUMIF(Nutzungsprofile!$B$6:$B$11,"Individuell",Nutzungsprofile!$G$6:$G$11)*Kalender!E94/SUM(Kalender!$E$5:$E$370),0))*Szenarien!$E$16,0)</f>
        <v>2.94</v>
      </c>
      <c r="D1924" s="13" t="n">
        <f aca="false">IF(Szenarien!$H$16="OK",(IFERROR(SUMIF(Nutzungsprofile!$B$17:$B$22,"Schulbetrieb",Nutzungsprofile!$G$17:$G$22)*Kalender!C94/SUM(Kalender!$C$5:$C$370),0)+IFERROR(SUMIF(Nutzungsprofile!$B$17:$B$22,"Halle",Nutzungsprofile!$G$17:$G$22)*Kalender!D94/SUM(Kalender!$D$5:$D$370),0)+IFERROR(SUMIF(Nutzungsprofile!$B$17:$B$22,"Individuell",Nutzungsprofile!$G$17:$G$22)*Kalender!E94/SUM(Kalender!$E$5:$E$370),0))*Szenarien!$D$16,0)</f>
        <v>4.94</v>
      </c>
      <c r="E1924" s="13" t="n">
        <f aca="false">IFERROR(MIN(C1924,Eingaben!$B$17)*Eingaben!$B$16,0)</f>
        <v>2.793</v>
      </c>
      <c r="F1924" s="13" t="n">
        <f aca="false">IFERROR(E1924*Eingaben!$B$15,0)</f>
        <v>2.5137</v>
      </c>
      <c r="G1924" s="13" t="n">
        <f aca="false">IFERROR(IF(Kalender!A94="",0,J1923*(1-Eingaben!$B$20)),0)</f>
        <v>0.7390278</v>
      </c>
      <c r="H1924" s="13" t="n">
        <f aca="false">MIN(G1924,D1924)</f>
        <v>0.7390278</v>
      </c>
      <c r="I1924" s="13" t="n">
        <f aca="false">IFERROR(MIN(F1924*Eingaben!$B$19,MAX(0,D1924-H1924)),0)</f>
        <v>1.75959</v>
      </c>
      <c r="J1924" s="13" t="n">
        <f aca="false">IFERROR(MIN(Eingaben!$B$18,MAX(0,F1924-I1924)),0)</f>
        <v>0.75411</v>
      </c>
      <c r="K1924" s="13" t="n">
        <f aca="false">H1924+I1924</f>
        <v>2.4986178</v>
      </c>
      <c r="L1924" s="13" t="n">
        <f aca="false">MAX(0,D1924-K1924)</f>
        <v>2.4413822</v>
      </c>
      <c r="M1924" s="13" t="n">
        <f aca="false">MAX(0,F1924-I1924-J1924)</f>
        <v>0</v>
      </c>
      <c r="N1924" s="13" t="n">
        <f aca="false">IF(Kalender!A94="",0,J1923-H1924)</f>
        <v>0.0150822</v>
      </c>
    </row>
    <row r="1925" customFormat="false" ht="16.4" hidden="false" customHeight="false" outlineLevel="0" collapsed="false">
      <c r="A1925" s="13" t="str">
        <f aca="false">""</f>
        <v/>
      </c>
      <c r="B1925" s="13" t="n">
        <f aca="false">91</f>
        <v>91</v>
      </c>
      <c r="C1925" s="13" t="n">
        <f aca="false">IF(Szenarien!$H$16="OK",(IFERROR(SUMIF(Nutzungsprofile!$B$6:$B$11,"Schulbetrieb",Nutzungsprofile!$G$6:$G$11)*Kalender!C95/SUM(Kalender!$C$5:$C$370),0)+IFERROR(SUMIF(Nutzungsprofile!$B$6:$B$11,"Halle",Nutzungsprofile!$G$6:$G$11)*Kalender!D95/SUM(Kalender!$D$5:$D$370),0)+IFERROR(SUMIF(Nutzungsprofile!$B$6:$B$11,"Individuell",Nutzungsprofile!$G$6:$G$11)*Kalender!E95/SUM(Kalender!$E$5:$E$370),0))*Szenarien!$E$16,0)</f>
        <v>2.94</v>
      </c>
      <c r="D1925" s="13" t="n">
        <f aca="false">IF(Szenarien!$H$16="OK",(IFERROR(SUMIF(Nutzungsprofile!$B$17:$B$22,"Schulbetrieb",Nutzungsprofile!$G$17:$G$22)*Kalender!C95/SUM(Kalender!$C$5:$C$370),0)+IFERROR(SUMIF(Nutzungsprofile!$B$17:$B$22,"Halle",Nutzungsprofile!$G$17:$G$22)*Kalender!D95/SUM(Kalender!$D$5:$D$370),0)+IFERROR(SUMIF(Nutzungsprofile!$B$17:$B$22,"Individuell",Nutzungsprofile!$G$17:$G$22)*Kalender!E95/SUM(Kalender!$E$5:$E$370),0))*Szenarien!$D$16,0)</f>
        <v>4.94</v>
      </c>
      <c r="E1925" s="13" t="n">
        <f aca="false">IFERROR(MIN(C1925,Eingaben!$B$17)*Eingaben!$B$16,0)</f>
        <v>2.793</v>
      </c>
      <c r="F1925" s="13" t="n">
        <f aca="false">IFERROR(E1925*Eingaben!$B$15,0)</f>
        <v>2.5137</v>
      </c>
      <c r="G1925" s="13" t="n">
        <f aca="false">IFERROR(IF(Kalender!A95="",0,J1924*(1-Eingaben!$B$20)),0)</f>
        <v>0.7390278</v>
      </c>
      <c r="H1925" s="13" t="n">
        <f aca="false">MIN(G1925,D1925)</f>
        <v>0.7390278</v>
      </c>
      <c r="I1925" s="13" t="n">
        <f aca="false">IFERROR(MIN(F1925*Eingaben!$B$19,MAX(0,D1925-H1925)),0)</f>
        <v>1.75959</v>
      </c>
      <c r="J1925" s="13" t="n">
        <f aca="false">IFERROR(MIN(Eingaben!$B$18,MAX(0,F1925-I1925)),0)</f>
        <v>0.75411</v>
      </c>
      <c r="K1925" s="13" t="n">
        <f aca="false">H1925+I1925</f>
        <v>2.4986178</v>
      </c>
      <c r="L1925" s="13" t="n">
        <f aca="false">MAX(0,D1925-K1925)</f>
        <v>2.4413822</v>
      </c>
      <c r="M1925" s="13" t="n">
        <f aca="false">MAX(0,F1925-I1925-J1925)</f>
        <v>0</v>
      </c>
      <c r="N1925" s="13" t="n">
        <f aca="false">IF(Kalender!A95="",0,J1924-H1925)</f>
        <v>0.0150822</v>
      </c>
    </row>
    <row r="1926" customFormat="false" ht="16.4" hidden="false" customHeight="false" outlineLevel="0" collapsed="false">
      <c r="A1926" s="13" t="str">
        <f aca="false">""</f>
        <v/>
      </c>
      <c r="B1926" s="13" t="n">
        <f aca="false">92</f>
        <v>92</v>
      </c>
      <c r="C1926" s="13" t="n">
        <f aca="false">IF(Szenarien!$H$16="OK",(IFERROR(SUMIF(Nutzungsprofile!$B$6:$B$11,"Schulbetrieb",Nutzungsprofile!$G$6:$G$11)*Kalender!C96/SUM(Kalender!$C$5:$C$370),0)+IFERROR(SUMIF(Nutzungsprofile!$B$6:$B$11,"Halle",Nutzungsprofile!$G$6:$G$11)*Kalender!D96/SUM(Kalender!$D$5:$D$370),0)+IFERROR(SUMIF(Nutzungsprofile!$B$6:$B$11,"Individuell",Nutzungsprofile!$G$6:$G$11)*Kalender!E96/SUM(Kalender!$E$5:$E$370),0))*Szenarien!$E$16,0)</f>
        <v>2.94</v>
      </c>
      <c r="D1926" s="13" t="n">
        <f aca="false">IF(Szenarien!$H$16="OK",(IFERROR(SUMIF(Nutzungsprofile!$B$17:$B$22,"Schulbetrieb",Nutzungsprofile!$G$17:$G$22)*Kalender!C96/SUM(Kalender!$C$5:$C$370),0)+IFERROR(SUMIF(Nutzungsprofile!$B$17:$B$22,"Halle",Nutzungsprofile!$G$17:$G$22)*Kalender!D96/SUM(Kalender!$D$5:$D$370),0)+IFERROR(SUMIF(Nutzungsprofile!$B$17:$B$22,"Individuell",Nutzungsprofile!$G$17:$G$22)*Kalender!E96/SUM(Kalender!$E$5:$E$370),0))*Szenarien!$D$16,0)</f>
        <v>4.94</v>
      </c>
      <c r="E1926" s="13" t="n">
        <f aca="false">IFERROR(MIN(C1926,Eingaben!$B$17)*Eingaben!$B$16,0)</f>
        <v>2.793</v>
      </c>
      <c r="F1926" s="13" t="n">
        <f aca="false">IFERROR(E1926*Eingaben!$B$15,0)</f>
        <v>2.5137</v>
      </c>
      <c r="G1926" s="13" t="n">
        <f aca="false">IFERROR(IF(Kalender!A96="",0,J1925*(1-Eingaben!$B$20)),0)</f>
        <v>0.7390278</v>
      </c>
      <c r="H1926" s="13" t="n">
        <f aca="false">MIN(G1926,D1926)</f>
        <v>0.7390278</v>
      </c>
      <c r="I1926" s="13" t="n">
        <f aca="false">IFERROR(MIN(F1926*Eingaben!$B$19,MAX(0,D1926-H1926)),0)</f>
        <v>1.75959</v>
      </c>
      <c r="J1926" s="13" t="n">
        <f aca="false">IFERROR(MIN(Eingaben!$B$18,MAX(0,F1926-I1926)),0)</f>
        <v>0.75411</v>
      </c>
      <c r="K1926" s="13" t="n">
        <f aca="false">H1926+I1926</f>
        <v>2.4986178</v>
      </c>
      <c r="L1926" s="13" t="n">
        <f aca="false">MAX(0,D1926-K1926)</f>
        <v>2.4413822</v>
      </c>
      <c r="M1926" s="13" t="n">
        <f aca="false">MAX(0,F1926-I1926-J1926)</f>
        <v>0</v>
      </c>
      <c r="N1926" s="13" t="n">
        <f aca="false">IF(Kalender!A96="",0,J1925-H1926)</f>
        <v>0.0150822</v>
      </c>
    </row>
    <row r="1927" customFormat="false" ht="16.4" hidden="false" customHeight="false" outlineLevel="0" collapsed="false">
      <c r="A1927" s="13" t="str">
        <f aca="false">""</f>
        <v/>
      </c>
      <c r="B1927" s="13" t="n">
        <f aca="false">93</f>
        <v>93</v>
      </c>
      <c r="C1927" s="13" t="n">
        <f aca="false">IF(Szenarien!$H$16="OK",(IFERROR(SUMIF(Nutzungsprofile!$B$6:$B$11,"Schulbetrieb",Nutzungsprofile!$G$6:$G$11)*Kalender!C97/SUM(Kalender!$C$5:$C$370),0)+IFERROR(SUMIF(Nutzungsprofile!$B$6:$B$11,"Halle",Nutzungsprofile!$G$6:$G$11)*Kalender!D97/SUM(Kalender!$D$5:$D$370),0)+IFERROR(SUMIF(Nutzungsprofile!$B$6:$B$11,"Individuell",Nutzungsprofile!$G$6:$G$11)*Kalender!E97/SUM(Kalender!$E$5:$E$370),0))*Szenarien!$E$16,0)</f>
        <v>2.94</v>
      </c>
      <c r="D1927" s="13" t="n">
        <f aca="false">IF(Szenarien!$H$16="OK",(IFERROR(SUMIF(Nutzungsprofile!$B$17:$B$22,"Schulbetrieb",Nutzungsprofile!$G$17:$G$22)*Kalender!C97/SUM(Kalender!$C$5:$C$370),0)+IFERROR(SUMIF(Nutzungsprofile!$B$17:$B$22,"Halle",Nutzungsprofile!$G$17:$G$22)*Kalender!D97/SUM(Kalender!$D$5:$D$370),0)+IFERROR(SUMIF(Nutzungsprofile!$B$17:$B$22,"Individuell",Nutzungsprofile!$G$17:$G$22)*Kalender!E97/SUM(Kalender!$E$5:$E$370),0))*Szenarien!$D$16,0)</f>
        <v>4.94</v>
      </c>
      <c r="E1927" s="13" t="n">
        <f aca="false">IFERROR(MIN(C1927,Eingaben!$B$17)*Eingaben!$B$16,0)</f>
        <v>2.793</v>
      </c>
      <c r="F1927" s="13" t="n">
        <f aca="false">IFERROR(E1927*Eingaben!$B$15,0)</f>
        <v>2.5137</v>
      </c>
      <c r="G1927" s="13" t="n">
        <f aca="false">IFERROR(IF(Kalender!A97="",0,J1926*(1-Eingaben!$B$20)),0)</f>
        <v>0.7390278</v>
      </c>
      <c r="H1927" s="13" t="n">
        <f aca="false">MIN(G1927,D1927)</f>
        <v>0.7390278</v>
      </c>
      <c r="I1927" s="13" t="n">
        <f aca="false">IFERROR(MIN(F1927*Eingaben!$B$19,MAX(0,D1927-H1927)),0)</f>
        <v>1.75959</v>
      </c>
      <c r="J1927" s="13" t="n">
        <f aca="false">IFERROR(MIN(Eingaben!$B$18,MAX(0,F1927-I1927)),0)</f>
        <v>0.75411</v>
      </c>
      <c r="K1927" s="13" t="n">
        <f aca="false">H1927+I1927</f>
        <v>2.4986178</v>
      </c>
      <c r="L1927" s="13" t="n">
        <f aca="false">MAX(0,D1927-K1927)</f>
        <v>2.4413822</v>
      </c>
      <c r="M1927" s="13" t="n">
        <f aca="false">MAX(0,F1927-I1927-J1927)</f>
        <v>0</v>
      </c>
      <c r="N1927" s="13" t="n">
        <f aca="false">IF(Kalender!A97="",0,J1926-H1927)</f>
        <v>0.0150822</v>
      </c>
    </row>
    <row r="1928" customFormat="false" ht="16.4" hidden="false" customHeight="false" outlineLevel="0" collapsed="false">
      <c r="A1928" s="13" t="str">
        <f aca="false">""</f>
        <v/>
      </c>
      <c r="B1928" s="13" t="n">
        <f aca="false">94</f>
        <v>94</v>
      </c>
      <c r="C1928" s="13" t="n">
        <f aca="false">IF(Szenarien!$H$16="OK",(IFERROR(SUMIF(Nutzungsprofile!$B$6:$B$11,"Schulbetrieb",Nutzungsprofile!$G$6:$G$11)*Kalender!C98/SUM(Kalender!$C$5:$C$370),0)+IFERROR(SUMIF(Nutzungsprofile!$B$6:$B$11,"Halle",Nutzungsprofile!$G$6:$G$11)*Kalender!D98/SUM(Kalender!$D$5:$D$370),0)+IFERROR(SUMIF(Nutzungsprofile!$B$6:$B$11,"Individuell",Nutzungsprofile!$G$6:$G$11)*Kalender!E98/SUM(Kalender!$E$5:$E$370),0))*Szenarien!$E$16,0)</f>
        <v>2.04</v>
      </c>
      <c r="D1928" s="13" t="n">
        <f aca="false">IF(Szenarien!$H$16="OK",(IFERROR(SUMIF(Nutzungsprofile!$B$17:$B$22,"Schulbetrieb",Nutzungsprofile!$G$17:$G$22)*Kalender!C98/SUM(Kalender!$C$5:$C$370),0)+IFERROR(SUMIF(Nutzungsprofile!$B$17:$B$22,"Halle",Nutzungsprofile!$G$17:$G$22)*Kalender!D98/SUM(Kalender!$D$5:$D$370),0)+IFERROR(SUMIF(Nutzungsprofile!$B$17:$B$22,"Individuell",Nutzungsprofile!$G$17:$G$22)*Kalender!E98/SUM(Kalender!$E$5:$E$370),0))*Szenarien!$D$16,0)</f>
        <v>0.89</v>
      </c>
      <c r="E1928" s="13" t="n">
        <f aca="false">IFERROR(MIN(C1928,Eingaben!$B$17)*Eingaben!$B$16,0)</f>
        <v>1.938</v>
      </c>
      <c r="F1928" s="13" t="n">
        <f aca="false">IFERROR(E1928*Eingaben!$B$15,0)</f>
        <v>1.7442</v>
      </c>
      <c r="G1928" s="13" t="n">
        <f aca="false">IFERROR(IF(Kalender!A98="",0,J1927*(1-Eingaben!$B$20)),0)</f>
        <v>0.7390278</v>
      </c>
      <c r="H1928" s="13" t="n">
        <f aca="false">MIN(G1928,D1928)</f>
        <v>0.7390278</v>
      </c>
      <c r="I1928" s="13" t="n">
        <f aca="false">IFERROR(MIN(F1928*Eingaben!$B$19,MAX(0,D1928-H1928)),0)</f>
        <v>0.1509722</v>
      </c>
      <c r="J1928" s="13" t="n">
        <f aca="false">IFERROR(MIN(Eingaben!$B$18,MAX(0,F1928-I1928)),0)</f>
        <v>1.5932278</v>
      </c>
      <c r="K1928" s="13" t="n">
        <f aca="false">H1928+I1928</f>
        <v>0.89</v>
      </c>
      <c r="L1928" s="13" t="n">
        <f aca="false">MAX(0,D1928-K1928)</f>
        <v>0</v>
      </c>
      <c r="M1928" s="13" t="n">
        <f aca="false">MAX(0,F1928-I1928-J1928)</f>
        <v>0</v>
      </c>
      <c r="N1928" s="13" t="n">
        <f aca="false">IF(Kalender!A98="",0,J1927-H1928)</f>
        <v>0.0150822</v>
      </c>
    </row>
    <row r="1929" customFormat="false" ht="16.4" hidden="false" customHeight="false" outlineLevel="0" collapsed="false">
      <c r="A1929" s="13" t="str">
        <f aca="false">""</f>
        <v/>
      </c>
      <c r="B1929" s="13" t="n">
        <f aca="false">95</f>
        <v>95</v>
      </c>
      <c r="C1929" s="13" t="n">
        <f aca="false">IF(Szenarien!$H$16="OK",(IFERROR(SUMIF(Nutzungsprofile!$B$6:$B$11,"Schulbetrieb",Nutzungsprofile!$G$6:$G$11)*Kalender!C99/SUM(Kalender!$C$5:$C$370),0)+IFERROR(SUMIF(Nutzungsprofile!$B$6:$B$11,"Halle",Nutzungsprofile!$G$6:$G$11)*Kalender!D99/SUM(Kalender!$D$5:$D$370),0)+IFERROR(SUMIF(Nutzungsprofile!$B$6:$B$11,"Individuell",Nutzungsprofile!$G$6:$G$11)*Kalender!E99/SUM(Kalender!$E$5:$E$370),0))*Szenarien!$E$16,0)</f>
        <v>2.04</v>
      </c>
      <c r="D1929" s="13" t="n">
        <f aca="false">IF(Szenarien!$H$16="OK",(IFERROR(SUMIF(Nutzungsprofile!$B$17:$B$22,"Schulbetrieb",Nutzungsprofile!$G$17:$G$22)*Kalender!C99/SUM(Kalender!$C$5:$C$370),0)+IFERROR(SUMIF(Nutzungsprofile!$B$17:$B$22,"Halle",Nutzungsprofile!$G$17:$G$22)*Kalender!D99/SUM(Kalender!$D$5:$D$370),0)+IFERROR(SUMIF(Nutzungsprofile!$B$17:$B$22,"Individuell",Nutzungsprofile!$G$17:$G$22)*Kalender!E99/SUM(Kalender!$E$5:$E$370),0))*Szenarien!$D$16,0)</f>
        <v>0.89</v>
      </c>
      <c r="E1929" s="13" t="n">
        <f aca="false">IFERROR(MIN(C1929,Eingaben!$B$17)*Eingaben!$B$16,0)</f>
        <v>1.938</v>
      </c>
      <c r="F1929" s="13" t="n">
        <f aca="false">IFERROR(E1929*Eingaben!$B$15,0)</f>
        <v>1.7442</v>
      </c>
      <c r="G1929" s="13" t="n">
        <f aca="false">IFERROR(IF(Kalender!A99="",0,J1928*(1-Eingaben!$B$20)),0)</f>
        <v>1.561363244</v>
      </c>
      <c r="H1929" s="13" t="n">
        <f aca="false">MIN(G1929,D1929)</f>
        <v>0.89</v>
      </c>
      <c r="I1929" s="13" t="n">
        <f aca="false">IFERROR(MIN(F1929*Eingaben!$B$19,MAX(0,D1929-H1929)),0)</f>
        <v>0</v>
      </c>
      <c r="J1929" s="13" t="n">
        <f aca="false">IFERROR(MIN(Eingaben!$B$18,MAX(0,F1929-I1929)),0)</f>
        <v>1.7442</v>
      </c>
      <c r="K1929" s="13" t="n">
        <f aca="false">H1929+I1929</f>
        <v>0.89</v>
      </c>
      <c r="L1929" s="13" t="n">
        <f aca="false">MAX(0,D1929-K1929)</f>
        <v>0</v>
      </c>
      <c r="M1929" s="13" t="n">
        <f aca="false">MAX(0,F1929-I1929-J1929)</f>
        <v>0</v>
      </c>
      <c r="N1929" s="13" t="n">
        <f aca="false">IF(Kalender!A99="",0,J1928-H1929)</f>
        <v>0.7032278</v>
      </c>
    </row>
    <row r="1930" customFormat="false" ht="16.4" hidden="false" customHeight="false" outlineLevel="0" collapsed="false">
      <c r="A1930" s="13" t="str">
        <f aca="false">""</f>
        <v/>
      </c>
      <c r="B1930" s="13" t="n">
        <f aca="false">96</f>
        <v>96</v>
      </c>
      <c r="C1930" s="13" t="n">
        <f aca="false">IF(Szenarien!$H$16="OK",(IFERROR(SUMIF(Nutzungsprofile!$B$6:$B$11,"Schulbetrieb",Nutzungsprofile!$G$6:$G$11)*Kalender!C100/SUM(Kalender!$C$5:$C$370),0)+IFERROR(SUMIF(Nutzungsprofile!$B$6:$B$11,"Halle",Nutzungsprofile!$G$6:$G$11)*Kalender!D100/SUM(Kalender!$D$5:$D$370),0)+IFERROR(SUMIF(Nutzungsprofile!$B$6:$B$11,"Individuell",Nutzungsprofile!$G$6:$G$11)*Kalender!E100/SUM(Kalender!$E$5:$E$370),0))*Szenarien!$E$16,0)</f>
        <v>2.94</v>
      </c>
      <c r="D1930" s="13" t="n">
        <f aca="false">IF(Szenarien!$H$16="OK",(IFERROR(SUMIF(Nutzungsprofile!$B$17:$B$22,"Schulbetrieb",Nutzungsprofile!$G$17:$G$22)*Kalender!C100/SUM(Kalender!$C$5:$C$370),0)+IFERROR(SUMIF(Nutzungsprofile!$B$17:$B$22,"Halle",Nutzungsprofile!$G$17:$G$22)*Kalender!D100/SUM(Kalender!$D$5:$D$370),0)+IFERROR(SUMIF(Nutzungsprofile!$B$17:$B$22,"Individuell",Nutzungsprofile!$G$17:$G$22)*Kalender!E100/SUM(Kalender!$E$5:$E$370),0))*Szenarien!$D$16,0)</f>
        <v>4.94</v>
      </c>
      <c r="E1930" s="13" t="n">
        <f aca="false">IFERROR(MIN(C1930,Eingaben!$B$17)*Eingaben!$B$16,0)</f>
        <v>2.793</v>
      </c>
      <c r="F1930" s="13" t="n">
        <f aca="false">IFERROR(E1930*Eingaben!$B$15,0)</f>
        <v>2.5137</v>
      </c>
      <c r="G1930" s="13" t="n">
        <f aca="false">IFERROR(IF(Kalender!A100="",0,J1929*(1-Eingaben!$B$20)),0)</f>
        <v>1.709316</v>
      </c>
      <c r="H1930" s="13" t="n">
        <f aca="false">MIN(G1930,D1930)</f>
        <v>1.709316</v>
      </c>
      <c r="I1930" s="13" t="n">
        <f aca="false">IFERROR(MIN(F1930*Eingaben!$B$19,MAX(0,D1930-H1930)),0)</f>
        <v>1.75959</v>
      </c>
      <c r="J1930" s="13" t="n">
        <f aca="false">IFERROR(MIN(Eingaben!$B$18,MAX(0,F1930-I1930)),0)</f>
        <v>0.75411</v>
      </c>
      <c r="K1930" s="13" t="n">
        <f aca="false">H1930+I1930</f>
        <v>3.468906</v>
      </c>
      <c r="L1930" s="13" t="n">
        <f aca="false">MAX(0,D1930-K1930)</f>
        <v>1.471094</v>
      </c>
      <c r="M1930" s="13" t="n">
        <f aca="false">MAX(0,F1930-I1930-J1930)</f>
        <v>0</v>
      </c>
      <c r="N1930" s="13" t="n">
        <f aca="false">IF(Kalender!A100="",0,J1929-H1930)</f>
        <v>0.0348840000000001</v>
      </c>
    </row>
    <row r="1931" customFormat="false" ht="16.4" hidden="false" customHeight="false" outlineLevel="0" collapsed="false">
      <c r="A1931" s="13" t="str">
        <f aca="false">""</f>
        <v/>
      </c>
      <c r="B1931" s="13" t="n">
        <f aca="false">97</f>
        <v>97</v>
      </c>
      <c r="C1931" s="13" t="n">
        <f aca="false">IF(Szenarien!$H$16="OK",(IFERROR(SUMIF(Nutzungsprofile!$B$6:$B$11,"Schulbetrieb",Nutzungsprofile!$G$6:$G$11)*Kalender!C101/SUM(Kalender!$C$5:$C$370),0)+IFERROR(SUMIF(Nutzungsprofile!$B$6:$B$11,"Halle",Nutzungsprofile!$G$6:$G$11)*Kalender!D101/SUM(Kalender!$D$5:$D$370),0)+IFERROR(SUMIF(Nutzungsprofile!$B$6:$B$11,"Individuell",Nutzungsprofile!$G$6:$G$11)*Kalender!E101/SUM(Kalender!$E$5:$E$370),0))*Szenarien!$E$16,0)</f>
        <v>2.94</v>
      </c>
      <c r="D1931" s="13" t="n">
        <f aca="false">IF(Szenarien!$H$16="OK",(IFERROR(SUMIF(Nutzungsprofile!$B$17:$B$22,"Schulbetrieb",Nutzungsprofile!$G$17:$G$22)*Kalender!C101/SUM(Kalender!$C$5:$C$370),0)+IFERROR(SUMIF(Nutzungsprofile!$B$17:$B$22,"Halle",Nutzungsprofile!$G$17:$G$22)*Kalender!D101/SUM(Kalender!$D$5:$D$370),0)+IFERROR(SUMIF(Nutzungsprofile!$B$17:$B$22,"Individuell",Nutzungsprofile!$G$17:$G$22)*Kalender!E101/SUM(Kalender!$E$5:$E$370),0))*Szenarien!$D$16,0)</f>
        <v>4.94</v>
      </c>
      <c r="E1931" s="13" t="n">
        <f aca="false">IFERROR(MIN(C1931,Eingaben!$B$17)*Eingaben!$B$16,0)</f>
        <v>2.793</v>
      </c>
      <c r="F1931" s="13" t="n">
        <f aca="false">IFERROR(E1931*Eingaben!$B$15,0)</f>
        <v>2.5137</v>
      </c>
      <c r="G1931" s="13" t="n">
        <f aca="false">IFERROR(IF(Kalender!A101="",0,J1930*(1-Eingaben!$B$20)),0)</f>
        <v>0.7390278</v>
      </c>
      <c r="H1931" s="13" t="n">
        <f aca="false">MIN(G1931,D1931)</f>
        <v>0.7390278</v>
      </c>
      <c r="I1931" s="13" t="n">
        <f aca="false">IFERROR(MIN(F1931*Eingaben!$B$19,MAX(0,D1931-H1931)),0)</f>
        <v>1.75959</v>
      </c>
      <c r="J1931" s="13" t="n">
        <f aca="false">IFERROR(MIN(Eingaben!$B$18,MAX(0,F1931-I1931)),0)</f>
        <v>0.75411</v>
      </c>
      <c r="K1931" s="13" t="n">
        <f aca="false">H1931+I1931</f>
        <v>2.4986178</v>
      </c>
      <c r="L1931" s="13" t="n">
        <f aca="false">MAX(0,D1931-K1931)</f>
        <v>2.4413822</v>
      </c>
      <c r="M1931" s="13" t="n">
        <f aca="false">MAX(0,F1931-I1931-J1931)</f>
        <v>0</v>
      </c>
      <c r="N1931" s="13" t="n">
        <f aca="false">IF(Kalender!A101="",0,J1930-H1931)</f>
        <v>0.0150822</v>
      </c>
    </row>
    <row r="1932" customFormat="false" ht="16.4" hidden="false" customHeight="false" outlineLevel="0" collapsed="false">
      <c r="A1932" s="13" t="str">
        <f aca="false">""</f>
        <v/>
      </c>
      <c r="B1932" s="13" t="n">
        <f aca="false">98</f>
        <v>98</v>
      </c>
      <c r="C1932" s="13" t="n">
        <f aca="false">IF(Szenarien!$H$16="OK",(IFERROR(SUMIF(Nutzungsprofile!$B$6:$B$11,"Schulbetrieb",Nutzungsprofile!$G$6:$G$11)*Kalender!C102/SUM(Kalender!$C$5:$C$370),0)+IFERROR(SUMIF(Nutzungsprofile!$B$6:$B$11,"Halle",Nutzungsprofile!$G$6:$G$11)*Kalender!D102/SUM(Kalender!$D$5:$D$370),0)+IFERROR(SUMIF(Nutzungsprofile!$B$6:$B$11,"Individuell",Nutzungsprofile!$G$6:$G$11)*Kalender!E102/SUM(Kalender!$E$5:$E$370),0))*Szenarien!$E$16,0)</f>
        <v>2.94</v>
      </c>
      <c r="D1932" s="13" t="n">
        <f aca="false">IF(Szenarien!$H$16="OK",(IFERROR(SUMIF(Nutzungsprofile!$B$17:$B$22,"Schulbetrieb",Nutzungsprofile!$G$17:$G$22)*Kalender!C102/SUM(Kalender!$C$5:$C$370),0)+IFERROR(SUMIF(Nutzungsprofile!$B$17:$B$22,"Halle",Nutzungsprofile!$G$17:$G$22)*Kalender!D102/SUM(Kalender!$D$5:$D$370),0)+IFERROR(SUMIF(Nutzungsprofile!$B$17:$B$22,"Individuell",Nutzungsprofile!$G$17:$G$22)*Kalender!E102/SUM(Kalender!$E$5:$E$370),0))*Szenarien!$D$16,0)</f>
        <v>4.94</v>
      </c>
      <c r="E1932" s="13" t="n">
        <f aca="false">IFERROR(MIN(C1932,Eingaben!$B$17)*Eingaben!$B$16,0)</f>
        <v>2.793</v>
      </c>
      <c r="F1932" s="13" t="n">
        <f aca="false">IFERROR(E1932*Eingaben!$B$15,0)</f>
        <v>2.5137</v>
      </c>
      <c r="G1932" s="13" t="n">
        <f aca="false">IFERROR(IF(Kalender!A102="",0,J1931*(1-Eingaben!$B$20)),0)</f>
        <v>0.7390278</v>
      </c>
      <c r="H1932" s="13" t="n">
        <f aca="false">MIN(G1932,D1932)</f>
        <v>0.7390278</v>
      </c>
      <c r="I1932" s="13" t="n">
        <f aca="false">IFERROR(MIN(F1932*Eingaben!$B$19,MAX(0,D1932-H1932)),0)</f>
        <v>1.75959</v>
      </c>
      <c r="J1932" s="13" t="n">
        <f aca="false">IFERROR(MIN(Eingaben!$B$18,MAX(0,F1932-I1932)),0)</f>
        <v>0.75411</v>
      </c>
      <c r="K1932" s="13" t="n">
        <f aca="false">H1932+I1932</f>
        <v>2.4986178</v>
      </c>
      <c r="L1932" s="13" t="n">
        <f aca="false">MAX(0,D1932-K1932)</f>
        <v>2.4413822</v>
      </c>
      <c r="M1932" s="13" t="n">
        <f aca="false">MAX(0,F1932-I1932-J1932)</f>
        <v>0</v>
      </c>
      <c r="N1932" s="13" t="n">
        <f aca="false">IF(Kalender!A102="",0,J1931-H1932)</f>
        <v>0.0150822</v>
      </c>
    </row>
    <row r="1933" customFormat="false" ht="16.4" hidden="false" customHeight="false" outlineLevel="0" collapsed="false">
      <c r="A1933" s="13" t="str">
        <f aca="false">""</f>
        <v/>
      </c>
      <c r="B1933" s="13" t="n">
        <f aca="false">99</f>
        <v>99</v>
      </c>
      <c r="C1933" s="13" t="n">
        <f aca="false">IF(Szenarien!$H$16="OK",(IFERROR(SUMIF(Nutzungsprofile!$B$6:$B$11,"Schulbetrieb",Nutzungsprofile!$G$6:$G$11)*Kalender!C103/SUM(Kalender!$C$5:$C$370),0)+IFERROR(SUMIF(Nutzungsprofile!$B$6:$B$11,"Halle",Nutzungsprofile!$G$6:$G$11)*Kalender!D103/SUM(Kalender!$D$5:$D$370),0)+IFERROR(SUMIF(Nutzungsprofile!$B$6:$B$11,"Individuell",Nutzungsprofile!$G$6:$G$11)*Kalender!E103/SUM(Kalender!$E$5:$E$370),0))*Szenarien!$E$16,0)</f>
        <v>2.94</v>
      </c>
      <c r="D1933" s="13" t="n">
        <f aca="false">IF(Szenarien!$H$16="OK",(IFERROR(SUMIF(Nutzungsprofile!$B$17:$B$22,"Schulbetrieb",Nutzungsprofile!$G$17:$G$22)*Kalender!C103/SUM(Kalender!$C$5:$C$370),0)+IFERROR(SUMIF(Nutzungsprofile!$B$17:$B$22,"Halle",Nutzungsprofile!$G$17:$G$22)*Kalender!D103/SUM(Kalender!$D$5:$D$370),0)+IFERROR(SUMIF(Nutzungsprofile!$B$17:$B$22,"Individuell",Nutzungsprofile!$G$17:$G$22)*Kalender!E103/SUM(Kalender!$E$5:$E$370),0))*Szenarien!$D$16,0)</f>
        <v>4.94</v>
      </c>
      <c r="E1933" s="13" t="n">
        <f aca="false">IFERROR(MIN(C1933,Eingaben!$B$17)*Eingaben!$B$16,0)</f>
        <v>2.793</v>
      </c>
      <c r="F1933" s="13" t="n">
        <f aca="false">IFERROR(E1933*Eingaben!$B$15,0)</f>
        <v>2.5137</v>
      </c>
      <c r="G1933" s="13" t="n">
        <f aca="false">IFERROR(IF(Kalender!A103="",0,J1932*(1-Eingaben!$B$20)),0)</f>
        <v>0.7390278</v>
      </c>
      <c r="H1933" s="13" t="n">
        <f aca="false">MIN(G1933,D1933)</f>
        <v>0.7390278</v>
      </c>
      <c r="I1933" s="13" t="n">
        <f aca="false">IFERROR(MIN(F1933*Eingaben!$B$19,MAX(0,D1933-H1933)),0)</f>
        <v>1.75959</v>
      </c>
      <c r="J1933" s="13" t="n">
        <f aca="false">IFERROR(MIN(Eingaben!$B$18,MAX(0,F1933-I1933)),0)</f>
        <v>0.75411</v>
      </c>
      <c r="K1933" s="13" t="n">
        <f aca="false">H1933+I1933</f>
        <v>2.4986178</v>
      </c>
      <c r="L1933" s="13" t="n">
        <f aca="false">MAX(0,D1933-K1933)</f>
        <v>2.4413822</v>
      </c>
      <c r="M1933" s="13" t="n">
        <f aca="false">MAX(0,F1933-I1933-J1933)</f>
        <v>0</v>
      </c>
      <c r="N1933" s="13" t="n">
        <f aca="false">IF(Kalender!A103="",0,J1932-H1933)</f>
        <v>0.0150822</v>
      </c>
    </row>
    <row r="1934" customFormat="false" ht="16.4" hidden="false" customHeight="false" outlineLevel="0" collapsed="false">
      <c r="A1934" s="13" t="str">
        <f aca="false">""</f>
        <v/>
      </c>
      <c r="B1934" s="13" t="n">
        <f aca="false">100</f>
        <v>100</v>
      </c>
      <c r="C1934" s="13" t="n">
        <f aca="false">IF(Szenarien!$H$16="OK",(IFERROR(SUMIF(Nutzungsprofile!$B$6:$B$11,"Schulbetrieb",Nutzungsprofile!$G$6:$G$11)*Kalender!C104/SUM(Kalender!$C$5:$C$370),0)+IFERROR(SUMIF(Nutzungsprofile!$B$6:$B$11,"Halle",Nutzungsprofile!$G$6:$G$11)*Kalender!D104/SUM(Kalender!$D$5:$D$370),0)+IFERROR(SUMIF(Nutzungsprofile!$B$6:$B$11,"Individuell",Nutzungsprofile!$G$6:$G$11)*Kalender!E104/SUM(Kalender!$E$5:$E$370),0))*Szenarien!$E$16,0)</f>
        <v>2.94</v>
      </c>
      <c r="D1934" s="13" t="n">
        <f aca="false">IF(Szenarien!$H$16="OK",(IFERROR(SUMIF(Nutzungsprofile!$B$17:$B$22,"Schulbetrieb",Nutzungsprofile!$G$17:$G$22)*Kalender!C104/SUM(Kalender!$C$5:$C$370),0)+IFERROR(SUMIF(Nutzungsprofile!$B$17:$B$22,"Halle",Nutzungsprofile!$G$17:$G$22)*Kalender!D104/SUM(Kalender!$D$5:$D$370),0)+IFERROR(SUMIF(Nutzungsprofile!$B$17:$B$22,"Individuell",Nutzungsprofile!$G$17:$G$22)*Kalender!E104/SUM(Kalender!$E$5:$E$370),0))*Szenarien!$D$16,0)</f>
        <v>4.94</v>
      </c>
      <c r="E1934" s="13" t="n">
        <f aca="false">IFERROR(MIN(C1934,Eingaben!$B$17)*Eingaben!$B$16,0)</f>
        <v>2.793</v>
      </c>
      <c r="F1934" s="13" t="n">
        <f aca="false">IFERROR(E1934*Eingaben!$B$15,0)</f>
        <v>2.5137</v>
      </c>
      <c r="G1934" s="13" t="n">
        <f aca="false">IFERROR(IF(Kalender!A104="",0,J1933*(1-Eingaben!$B$20)),0)</f>
        <v>0.7390278</v>
      </c>
      <c r="H1934" s="13" t="n">
        <f aca="false">MIN(G1934,D1934)</f>
        <v>0.7390278</v>
      </c>
      <c r="I1934" s="13" t="n">
        <f aca="false">IFERROR(MIN(F1934*Eingaben!$B$19,MAX(0,D1934-H1934)),0)</f>
        <v>1.75959</v>
      </c>
      <c r="J1934" s="13" t="n">
        <f aca="false">IFERROR(MIN(Eingaben!$B$18,MAX(0,F1934-I1934)),0)</f>
        <v>0.75411</v>
      </c>
      <c r="K1934" s="13" t="n">
        <f aca="false">H1934+I1934</f>
        <v>2.4986178</v>
      </c>
      <c r="L1934" s="13" t="n">
        <f aca="false">MAX(0,D1934-K1934)</f>
        <v>2.4413822</v>
      </c>
      <c r="M1934" s="13" t="n">
        <f aca="false">MAX(0,F1934-I1934-J1934)</f>
        <v>0</v>
      </c>
      <c r="N1934" s="13" t="n">
        <f aca="false">IF(Kalender!A104="",0,J1933-H1934)</f>
        <v>0.0150822</v>
      </c>
    </row>
    <row r="1935" customFormat="false" ht="16.4" hidden="false" customHeight="false" outlineLevel="0" collapsed="false">
      <c r="A1935" s="13" t="str">
        <f aca="false">""</f>
        <v/>
      </c>
      <c r="B1935" s="13" t="n">
        <f aca="false">101</f>
        <v>101</v>
      </c>
      <c r="C1935" s="13" t="n">
        <f aca="false">IF(Szenarien!$H$16="OK",(IFERROR(SUMIF(Nutzungsprofile!$B$6:$B$11,"Schulbetrieb",Nutzungsprofile!$G$6:$G$11)*Kalender!C105/SUM(Kalender!$C$5:$C$370),0)+IFERROR(SUMIF(Nutzungsprofile!$B$6:$B$11,"Halle",Nutzungsprofile!$G$6:$G$11)*Kalender!D105/SUM(Kalender!$D$5:$D$370),0)+IFERROR(SUMIF(Nutzungsprofile!$B$6:$B$11,"Individuell",Nutzungsprofile!$G$6:$G$11)*Kalender!E105/SUM(Kalender!$E$5:$E$370),0))*Szenarien!$E$16,0)</f>
        <v>2.04</v>
      </c>
      <c r="D1935" s="13" t="n">
        <f aca="false">IF(Szenarien!$H$16="OK",(IFERROR(SUMIF(Nutzungsprofile!$B$17:$B$22,"Schulbetrieb",Nutzungsprofile!$G$17:$G$22)*Kalender!C105/SUM(Kalender!$C$5:$C$370),0)+IFERROR(SUMIF(Nutzungsprofile!$B$17:$B$22,"Halle",Nutzungsprofile!$G$17:$G$22)*Kalender!D105/SUM(Kalender!$D$5:$D$370),0)+IFERROR(SUMIF(Nutzungsprofile!$B$17:$B$22,"Individuell",Nutzungsprofile!$G$17:$G$22)*Kalender!E105/SUM(Kalender!$E$5:$E$370),0))*Szenarien!$D$16,0)</f>
        <v>0.89</v>
      </c>
      <c r="E1935" s="13" t="n">
        <f aca="false">IFERROR(MIN(C1935,Eingaben!$B$17)*Eingaben!$B$16,0)</f>
        <v>1.938</v>
      </c>
      <c r="F1935" s="13" t="n">
        <f aca="false">IFERROR(E1935*Eingaben!$B$15,0)</f>
        <v>1.7442</v>
      </c>
      <c r="G1935" s="13" t="n">
        <f aca="false">IFERROR(IF(Kalender!A105="",0,J1934*(1-Eingaben!$B$20)),0)</f>
        <v>0.7390278</v>
      </c>
      <c r="H1935" s="13" t="n">
        <f aca="false">MIN(G1935,D1935)</f>
        <v>0.7390278</v>
      </c>
      <c r="I1935" s="13" t="n">
        <f aca="false">IFERROR(MIN(F1935*Eingaben!$B$19,MAX(0,D1935-H1935)),0)</f>
        <v>0.1509722</v>
      </c>
      <c r="J1935" s="13" t="n">
        <f aca="false">IFERROR(MIN(Eingaben!$B$18,MAX(0,F1935-I1935)),0)</f>
        <v>1.5932278</v>
      </c>
      <c r="K1935" s="13" t="n">
        <f aca="false">H1935+I1935</f>
        <v>0.89</v>
      </c>
      <c r="L1935" s="13" t="n">
        <f aca="false">MAX(0,D1935-K1935)</f>
        <v>0</v>
      </c>
      <c r="M1935" s="13" t="n">
        <f aca="false">MAX(0,F1935-I1935-J1935)</f>
        <v>0</v>
      </c>
      <c r="N1935" s="13" t="n">
        <f aca="false">IF(Kalender!A105="",0,J1934-H1935)</f>
        <v>0.0150822</v>
      </c>
    </row>
    <row r="1936" customFormat="false" ht="16.4" hidden="false" customHeight="false" outlineLevel="0" collapsed="false">
      <c r="A1936" s="13" t="str">
        <f aca="false">""</f>
        <v/>
      </c>
      <c r="B1936" s="13" t="n">
        <f aca="false">102</f>
        <v>102</v>
      </c>
      <c r="C1936" s="13" t="n">
        <f aca="false">IF(Szenarien!$H$16="OK",(IFERROR(SUMIF(Nutzungsprofile!$B$6:$B$11,"Schulbetrieb",Nutzungsprofile!$G$6:$G$11)*Kalender!C106/SUM(Kalender!$C$5:$C$370),0)+IFERROR(SUMIF(Nutzungsprofile!$B$6:$B$11,"Halle",Nutzungsprofile!$G$6:$G$11)*Kalender!D106/SUM(Kalender!$D$5:$D$370),0)+IFERROR(SUMIF(Nutzungsprofile!$B$6:$B$11,"Individuell",Nutzungsprofile!$G$6:$G$11)*Kalender!E106/SUM(Kalender!$E$5:$E$370),0))*Szenarien!$E$16,0)</f>
        <v>2.04</v>
      </c>
      <c r="D1936" s="13" t="n">
        <f aca="false">IF(Szenarien!$H$16="OK",(IFERROR(SUMIF(Nutzungsprofile!$B$17:$B$22,"Schulbetrieb",Nutzungsprofile!$G$17:$G$22)*Kalender!C106/SUM(Kalender!$C$5:$C$370),0)+IFERROR(SUMIF(Nutzungsprofile!$B$17:$B$22,"Halle",Nutzungsprofile!$G$17:$G$22)*Kalender!D106/SUM(Kalender!$D$5:$D$370),0)+IFERROR(SUMIF(Nutzungsprofile!$B$17:$B$22,"Individuell",Nutzungsprofile!$G$17:$G$22)*Kalender!E106/SUM(Kalender!$E$5:$E$370),0))*Szenarien!$D$16,0)</f>
        <v>0.89</v>
      </c>
      <c r="E1936" s="13" t="n">
        <f aca="false">IFERROR(MIN(C1936,Eingaben!$B$17)*Eingaben!$B$16,0)</f>
        <v>1.938</v>
      </c>
      <c r="F1936" s="13" t="n">
        <f aca="false">IFERROR(E1936*Eingaben!$B$15,0)</f>
        <v>1.7442</v>
      </c>
      <c r="G1936" s="13" t="n">
        <f aca="false">IFERROR(IF(Kalender!A106="",0,J1935*(1-Eingaben!$B$20)),0)</f>
        <v>1.561363244</v>
      </c>
      <c r="H1936" s="13" t="n">
        <f aca="false">MIN(G1936,D1936)</f>
        <v>0.89</v>
      </c>
      <c r="I1936" s="13" t="n">
        <f aca="false">IFERROR(MIN(F1936*Eingaben!$B$19,MAX(0,D1936-H1936)),0)</f>
        <v>0</v>
      </c>
      <c r="J1936" s="13" t="n">
        <f aca="false">IFERROR(MIN(Eingaben!$B$18,MAX(0,F1936-I1936)),0)</f>
        <v>1.7442</v>
      </c>
      <c r="K1936" s="13" t="n">
        <f aca="false">H1936+I1936</f>
        <v>0.89</v>
      </c>
      <c r="L1936" s="13" t="n">
        <f aca="false">MAX(0,D1936-K1936)</f>
        <v>0</v>
      </c>
      <c r="M1936" s="13" t="n">
        <f aca="false">MAX(0,F1936-I1936-J1936)</f>
        <v>0</v>
      </c>
      <c r="N1936" s="13" t="n">
        <f aca="false">IF(Kalender!A106="",0,J1935-H1936)</f>
        <v>0.7032278</v>
      </c>
    </row>
    <row r="1937" customFormat="false" ht="16.4" hidden="false" customHeight="false" outlineLevel="0" collapsed="false">
      <c r="A1937" s="13" t="str">
        <f aca="false">""</f>
        <v/>
      </c>
      <c r="B1937" s="13" t="n">
        <f aca="false">103</f>
        <v>103</v>
      </c>
      <c r="C1937" s="13" t="n">
        <f aca="false">IF(Szenarien!$H$16="OK",(IFERROR(SUMIF(Nutzungsprofile!$B$6:$B$11,"Schulbetrieb",Nutzungsprofile!$G$6:$G$11)*Kalender!C107/SUM(Kalender!$C$5:$C$370),0)+IFERROR(SUMIF(Nutzungsprofile!$B$6:$B$11,"Halle",Nutzungsprofile!$G$6:$G$11)*Kalender!D107/SUM(Kalender!$D$5:$D$370),0)+IFERROR(SUMIF(Nutzungsprofile!$B$6:$B$11,"Individuell",Nutzungsprofile!$G$6:$G$11)*Kalender!E107/SUM(Kalender!$E$5:$E$370),0))*Szenarien!$E$16,0)</f>
        <v>2.94</v>
      </c>
      <c r="D1937" s="13" t="n">
        <f aca="false">IF(Szenarien!$H$16="OK",(IFERROR(SUMIF(Nutzungsprofile!$B$17:$B$22,"Schulbetrieb",Nutzungsprofile!$G$17:$G$22)*Kalender!C107/SUM(Kalender!$C$5:$C$370),0)+IFERROR(SUMIF(Nutzungsprofile!$B$17:$B$22,"Halle",Nutzungsprofile!$G$17:$G$22)*Kalender!D107/SUM(Kalender!$D$5:$D$370),0)+IFERROR(SUMIF(Nutzungsprofile!$B$17:$B$22,"Individuell",Nutzungsprofile!$G$17:$G$22)*Kalender!E107/SUM(Kalender!$E$5:$E$370),0))*Szenarien!$D$16,0)</f>
        <v>4.94</v>
      </c>
      <c r="E1937" s="13" t="n">
        <f aca="false">IFERROR(MIN(C1937,Eingaben!$B$17)*Eingaben!$B$16,0)</f>
        <v>2.793</v>
      </c>
      <c r="F1937" s="13" t="n">
        <f aca="false">IFERROR(E1937*Eingaben!$B$15,0)</f>
        <v>2.5137</v>
      </c>
      <c r="G1937" s="13" t="n">
        <f aca="false">IFERROR(IF(Kalender!A107="",0,J1936*(1-Eingaben!$B$20)),0)</f>
        <v>1.709316</v>
      </c>
      <c r="H1937" s="13" t="n">
        <f aca="false">MIN(G1937,D1937)</f>
        <v>1.709316</v>
      </c>
      <c r="I1937" s="13" t="n">
        <f aca="false">IFERROR(MIN(F1937*Eingaben!$B$19,MAX(0,D1937-H1937)),0)</f>
        <v>1.75959</v>
      </c>
      <c r="J1937" s="13" t="n">
        <f aca="false">IFERROR(MIN(Eingaben!$B$18,MAX(0,F1937-I1937)),0)</f>
        <v>0.75411</v>
      </c>
      <c r="K1937" s="13" t="n">
        <f aca="false">H1937+I1937</f>
        <v>3.468906</v>
      </c>
      <c r="L1937" s="13" t="n">
        <f aca="false">MAX(0,D1937-K1937)</f>
        <v>1.471094</v>
      </c>
      <c r="M1937" s="13" t="n">
        <f aca="false">MAX(0,F1937-I1937-J1937)</f>
        <v>0</v>
      </c>
      <c r="N1937" s="13" t="n">
        <f aca="false">IF(Kalender!A107="",0,J1936-H1937)</f>
        <v>0.0348840000000001</v>
      </c>
    </row>
    <row r="1938" customFormat="false" ht="16.4" hidden="false" customHeight="false" outlineLevel="0" collapsed="false">
      <c r="A1938" s="13" t="str">
        <f aca="false">""</f>
        <v/>
      </c>
      <c r="B1938" s="13" t="n">
        <f aca="false">104</f>
        <v>104</v>
      </c>
      <c r="C1938" s="13" t="n">
        <f aca="false">IF(Szenarien!$H$16="OK",(IFERROR(SUMIF(Nutzungsprofile!$B$6:$B$11,"Schulbetrieb",Nutzungsprofile!$G$6:$G$11)*Kalender!C108/SUM(Kalender!$C$5:$C$370),0)+IFERROR(SUMIF(Nutzungsprofile!$B$6:$B$11,"Halle",Nutzungsprofile!$G$6:$G$11)*Kalender!D108/SUM(Kalender!$D$5:$D$370),0)+IFERROR(SUMIF(Nutzungsprofile!$B$6:$B$11,"Individuell",Nutzungsprofile!$G$6:$G$11)*Kalender!E108/SUM(Kalender!$E$5:$E$370),0))*Szenarien!$E$16,0)</f>
        <v>2.94</v>
      </c>
      <c r="D1938" s="13" t="n">
        <f aca="false">IF(Szenarien!$H$16="OK",(IFERROR(SUMIF(Nutzungsprofile!$B$17:$B$22,"Schulbetrieb",Nutzungsprofile!$G$17:$G$22)*Kalender!C108/SUM(Kalender!$C$5:$C$370),0)+IFERROR(SUMIF(Nutzungsprofile!$B$17:$B$22,"Halle",Nutzungsprofile!$G$17:$G$22)*Kalender!D108/SUM(Kalender!$D$5:$D$370),0)+IFERROR(SUMIF(Nutzungsprofile!$B$17:$B$22,"Individuell",Nutzungsprofile!$G$17:$G$22)*Kalender!E108/SUM(Kalender!$E$5:$E$370),0))*Szenarien!$D$16,0)</f>
        <v>4.94</v>
      </c>
      <c r="E1938" s="13" t="n">
        <f aca="false">IFERROR(MIN(C1938,Eingaben!$B$17)*Eingaben!$B$16,0)</f>
        <v>2.793</v>
      </c>
      <c r="F1938" s="13" t="n">
        <f aca="false">IFERROR(E1938*Eingaben!$B$15,0)</f>
        <v>2.5137</v>
      </c>
      <c r="G1938" s="13" t="n">
        <f aca="false">IFERROR(IF(Kalender!A108="",0,J1937*(1-Eingaben!$B$20)),0)</f>
        <v>0.7390278</v>
      </c>
      <c r="H1938" s="13" t="n">
        <f aca="false">MIN(G1938,D1938)</f>
        <v>0.7390278</v>
      </c>
      <c r="I1938" s="13" t="n">
        <f aca="false">IFERROR(MIN(F1938*Eingaben!$B$19,MAX(0,D1938-H1938)),0)</f>
        <v>1.75959</v>
      </c>
      <c r="J1938" s="13" t="n">
        <f aca="false">IFERROR(MIN(Eingaben!$B$18,MAX(0,F1938-I1938)),0)</f>
        <v>0.75411</v>
      </c>
      <c r="K1938" s="13" t="n">
        <f aca="false">H1938+I1938</f>
        <v>2.4986178</v>
      </c>
      <c r="L1938" s="13" t="n">
        <f aca="false">MAX(0,D1938-K1938)</f>
        <v>2.4413822</v>
      </c>
      <c r="M1938" s="13" t="n">
        <f aca="false">MAX(0,F1938-I1938-J1938)</f>
        <v>0</v>
      </c>
      <c r="N1938" s="13" t="n">
        <f aca="false">IF(Kalender!A108="",0,J1937-H1938)</f>
        <v>0.0150822</v>
      </c>
    </row>
    <row r="1939" customFormat="false" ht="16.4" hidden="false" customHeight="false" outlineLevel="0" collapsed="false">
      <c r="A1939" s="13" t="str">
        <f aca="false">""</f>
        <v/>
      </c>
      <c r="B1939" s="13" t="n">
        <f aca="false">105</f>
        <v>105</v>
      </c>
      <c r="C1939" s="13" t="n">
        <f aca="false">IF(Szenarien!$H$16="OK",(IFERROR(SUMIF(Nutzungsprofile!$B$6:$B$11,"Schulbetrieb",Nutzungsprofile!$G$6:$G$11)*Kalender!C109/SUM(Kalender!$C$5:$C$370),0)+IFERROR(SUMIF(Nutzungsprofile!$B$6:$B$11,"Halle",Nutzungsprofile!$G$6:$G$11)*Kalender!D109/SUM(Kalender!$D$5:$D$370),0)+IFERROR(SUMIF(Nutzungsprofile!$B$6:$B$11,"Individuell",Nutzungsprofile!$G$6:$G$11)*Kalender!E109/SUM(Kalender!$E$5:$E$370),0))*Szenarien!$E$16,0)</f>
        <v>2.94</v>
      </c>
      <c r="D1939" s="13" t="n">
        <f aca="false">IF(Szenarien!$H$16="OK",(IFERROR(SUMIF(Nutzungsprofile!$B$17:$B$22,"Schulbetrieb",Nutzungsprofile!$G$17:$G$22)*Kalender!C109/SUM(Kalender!$C$5:$C$370),0)+IFERROR(SUMIF(Nutzungsprofile!$B$17:$B$22,"Halle",Nutzungsprofile!$G$17:$G$22)*Kalender!D109/SUM(Kalender!$D$5:$D$370),0)+IFERROR(SUMIF(Nutzungsprofile!$B$17:$B$22,"Individuell",Nutzungsprofile!$G$17:$G$22)*Kalender!E109/SUM(Kalender!$E$5:$E$370),0))*Szenarien!$D$16,0)</f>
        <v>4.94</v>
      </c>
      <c r="E1939" s="13" t="n">
        <f aca="false">IFERROR(MIN(C1939,Eingaben!$B$17)*Eingaben!$B$16,0)</f>
        <v>2.793</v>
      </c>
      <c r="F1939" s="13" t="n">
        <f aca="false">IFERROR(E1939*Eingaben!$B$15,0)</f>
        <v>2.5137</v>
      </c>
      <c r="G1939" s="13" t="n">
        <f aca="false">IFERROR(IF(Kalender!A109="",0,J1938*(1-Eingaben!$B$20)),0)</f>
        <v>0.7390278</v>
      </c>
      <c r="H1939" s="13" t="n">
        <f aca="false">MIN(G1939,D1939)</f>
        <v>0.7390278</v>
      </c>
      <c r="I1939" s="13" t="n">
        <f aca="false">IFERROR(MIN(F1939*Eingaben!$B$19,MAX(0,D1939-H1939)),0)</f>
        <v>1.75959</v>
      </c>
      <c r="J1939" s="13" t="n">
        <f aca="false">IFERROR(MIN(Eingaben!$B$18,MAX(0,F1939-I1939)),0)</f>
        <v>0.75411</v>
      </c>
      <c r="K1939" s="13" t="n">
        <f aca="false">H1939+I1939</f>
        <v>2.4986178</v>
      </c>
      <c r="L1939" s="13" t="n">
        <f aca="false">MAX(0,D1939-K1939)</f>
        <v>2.4413822</v>
      </c>
      <c r="M1939" s="13" t="n">
        <f aca="false">MAX(0,F1939-I1939-J1939)</f>
        <v>0</v>
      </c>
      <c r="N1939" s="13" t="n">
        <f aca="false">IF(Kalender!A109="",0,J1938-H1939)</f>
        <v>0.0150822</v>
      </c>
    </row>
    <row r="1940" customFormat="false" ht="16.4" hidden="false" customHeight="false" outlineLevel="0" collapsed="false">
      <c r="A1940" s="13" t="str">
        <f aca="false">""</f>
        <v/>
      </c>
      <c r="B1940" s="13" t="n">
        <f aca="false">106</f>
        <v>106</v>
      </c>
      <c r="C1940" s="13" t="n">
        <f aca="false">IF(Szenarien!$H$16="OK",(IFERROR(SUMIF(Nutzungsprofile!$B$6:$B$11,"Schulbetrieb",Nutzungsprofile!$G$6:$G$11)*Kalender!C110/SUM(Kalender!$C$5:$C$370),0)+IFERROR(SUMIF(Nutzungsprofile!$B$6:$B$11,"Halle",Nutzungsprofile!$G$6:$G$11)*Kalender!D110/SUM(Kalender!$D$5:$D$370),0)+IFERROR(SUMIF(Nutzungsprofile!$B$6:$B$11,"Individuell",Nutzungsprofile!$G$6:$G$11)*Kalender!E110/SUM(Kalender!$E$5:$E$370),0))*Szenarien!$E$16,0)</f>
        <v>2.94</v>
      </c>
      <c r="D1940" s="13" t="n">
        <f aca="false">IF(Szenarien!$H$16="OK",(IFERROR(SUMIF(Nutzungsprofile!$B$17:$B$22,"Schulbetrieb",Nutzungsprofile!$G$17:$G$22)*Kalender!C110/SUM(Kalender!$C$5:$C$370),0)+IFERROR(SUMIF(Nutzungsprofile!$B$17:$B$22,"Halle",Nutzungsprofile!$G$17:$G$22)*Kalender!D110/SUM(Kalender!$D$5:$D$370),0)+IFERROR(SUMIF(Nutzungsprofile!$B$17:$B$22,"Individuell",Nutzungsprofile!$G$17:$G$22)*Kalender!E110/SUM(Kalender!$E$5:$E$370),0))*Szenarien!$D$16,0)</f>
        <v>4.94</v>
      </c>
      <c r="E1940" s="13" t="n">
        <f aca="false">IFERROR(MIN(C1940,Eingaben!$B$17)*Eingaben!$B$16,0)</f>
        <v>2.793</v>
      </c>
      <c r="F1940" s="13" t="n">
        <f aca="false">IFERROR(E1940*Eingaben!$B$15,0)</f>
        <v>2.5137</v>
      </c>
      <c r="G1940" s="13" t="n">
        <f aca="false">IFERROR(IF(Kalender!A110="",0,J1939*(1-Eingaben!$B$20)),0)</f>
        <v>0.7390278</v>
      </c>
      <c r="H1940" s="13" t="n">
        <f aca="false">MIN(G1940,D1940)</f>
        <v>0.7390278</v>
      </c>
      <c r="I1940" s="13" t="n">
        <f aca="false">IFERROR(MIN(F1940*Eingaben!$B$19,MAX(0,D1940-H1940)),0)</f>
        <v>1.75959</v>
      </c>
      <c r="J1940" s="13" t="n">
        <f aca="false">IFERROR(MIN(Eingaben!$B$18,MAX(0,F1940-I1940)),0)</f>
        <v>0.75411</v>
      </c>
      <c r="K1940" s="13" t="n">
        <f aca="false">H1940+I1940</f>
        <v>2.4986178</v>
      </c>
      <c r="L1940" s="13" t="n">
        <f aca="false">MAX(0,D1940-K1940)</f>
        <v>2.4413822</v>
      </c>
      <c r="M1940" s="13" t="n">
        <f aca="false">MAX(0,F1940-I1940-J1940)</f>
        <v>0</v>
      </c>
      <c r="N1940" s="13" t="n">
        <f aca="false">IF(Kalender!A110="",0,J1939-H1940)</f>
        <v>0.0150822</v>
      </c>
    </row>
    <row r="1941" customFormat="false" ht="16.4" hidden="false" customHeight="false" outlineLevel="0" collapsed="false">
      <c r="A1941" s="13" t="str">
        <f aca="false">""</f>
        <v/>
      </c>
      <c r="B1941" s="13" t="n">
        <f aca="false">107</f>
        <v>107</v>
      </c>
      <c r="C1941" s="13" t="n">
        <f aca="false">IF(Szenarien!$H$16="OK",(IFERROR(SUMIF(Nutzungsprofile!$B$6:$B$11,"Schulbetrieb",Nutzungsprofile!$G$6:$G$11)*Kalender!C111/SUM(Kalender!$C$5:$C$370),0)+IFERROR(SUMIF(Nutzungsprofile!$B$6:$B$11,"Halle",Nutzungsprofile!$G$6:$G$11)*Kalender!D111/SUM(Kalender!$D$5:$D$370),0)+IFERROR(SUMIF(Nutzungsprofile!$B$6:$B$11,"Individuell",Nutzungsprofile!$G$6:$G$11)*Kalender!E111/SUM(Kalender!$E$5:$E$370),0))*Szenarien!$E$16,0)</f>
        <v>2.94</v>
      </c>
      <c r="D1941" s="13" t="n">
        <f aca="false">IF(Szenarien!$H$16="OK",(IFERROR(SUMIF(Nutzungsprofile!$B$17:$B$22,"Schulbetrieb",Nutzungsprofile!$G$17:$G$22)*Kalender!C111/SUM(Kalender!$C$5:$C$370),0)+IFERROR(SUMIF(Nutzungsprofile!$B$17:$B$22,"Halle",Nutzungsprofile!$G$17:$G$22)*Kalender!D111/SUM(Kalender!$D$5:$D$370),0)+IFERROR(SUMIF(Nutzungsprofile!$B$17:$B$22,"Individuell",Nutzungsprofile!$G$17:$G$22)*Kalender!E111/SUM(Kalender!$E$5:$E$370),0))*Szenarien!$D$16,0)</f>
        <v>4.94</v>
      </c>
      <c r="E1941" s="13" t="n">
        <f aca="false">IFERROR(MIN(C1941,Eingaben!$B$17)*Eingaben!$B$16,0)</f>
        <v>2.793</v>
      </c>
      <c r="F1941" s="13" t="n">
        <f aca="false">IFERROR(E1941*Eingaben!$B$15,0)</f>
        <v>2.5137</v>
      </c>
      <c r="G1941" s="13" t="n">
        <f aca="false">IFERROR(IF(Kalender!A111="",0,J1940*(1-Eingaben!$B$20)),0)</f>
        <v>0.7390278</v>
      </c>
      <c r="H1941" s="13" t="n">
        <f aca="false">MIN(G1941,D1941)</f>
        <v>0.7390278</v>
      </c>
      <c r="I1941" s="13" t="n">
        <f aca="false">IFERROR(MIN(F1941*Eingaben!$B$19,MAX(0,D1941-H1941)),0)</f>
        <v>1.75959</v>
      </c>
      <c r="J1941" s="13" t="n">
        <f aca="false">IFERROR(MIN(Eingaben!$B$18,MAX(0,F1941-I1941)),0)</f>
        <v>0.75411</v>
      </c>
      <c r="K1941" s="13" t="n">
        <f aca="false">H1941+I1941</f>
        <v>2.4986178</v>
      </c>
      <c r="L1941" s="13" t="n">
        <f aca="false">MAX(0,D1941-K1941)</f>
        <v>2.4413822</v>
      </c>
      <c r="M1941" s="13" t="n">
        <f aca="false">MAX(0,F1941-I1941-J1941)</f>
        <v>0</v>
      </c>
      <c r="N1941" s="13" t="n">
        <f aca="false">IF(Kalender!A111="",0,J1940-H1941)</f>
        <v>0.0150822</v>
      </c>
    </row>
    <row r="1942" customFormat="false" ht="16.4" hidden="false" customHeight="false" outlineLevel="0" collapsed="false">
      <c r="A1942" s="13" t="str">
        <f aca="false">""</f>
        <v/>
      </c>
      <c r="B1942" s="13" t="n">
        <f aca="false">108</f>
        <v>108</v>
      </c>
      <c r="C1942" s="13" t="n">
        <f aca="false">IF(Szenarien!$H$16="OK",(IFERROR(SUMIF(Nutzungsprofile!$B$6:$B$11,"Schulbetrieb",Nutzungsprofile!$G$6:$G$11)*Kalender!C112/SUM(Kalender!$C$5:$C$370),0)+IFERROR(SUMIF(Nutzungsprofile!$B$6:$B$11,"Halle",Nutzungsprofile!$G$6:$G$11)*Kalender!D112/SUM(Kalender!$D$5:$D$370),0)+IFERROR(SUMIF(Nutzungsprofile!$B$6:$B$11,"Individuell",Nutzungsprofile!$G$6:$G$11)*Kalender!E112/SUM(Kalender!$E$5:$E$370),0))*Szenarien!$E$16,0)</f>
        <v>2.04</v>
      </c>
      <c r="D1942" s="13" t="n">
        <f aca="false">IF(Szenarien!$H$16="OK",(IFERROR(SUMIF(Nutzungsprofile!$B$17:$B$22,"Schulbetrieb",Nutzungsprofile!$G$17:$G$22)*Kalender!C112/SUM(Kalender!$C$5:$C$370),0)+IFERROR(SUMIF(Nutzungsprofile!$B$17:$B$22,"Halle",Nutzungsprofile!$G$17:$G$22)*Kalender!D112/SUM(Kalender!$D$5:$D$370),0)+IFERROR(SUMIF(Nutzungsprofile!$B$17:$B$22,"Individuell",Nutzungsprofile!$G$17:$G$22)*Kalender!E112/SUM(Kalender!$E$5:$E$370),0))*Szenarien!$D$16,0)</f>
        <v>0.89</v>
      </c>
      <c r="E1942" s="13" t="n">
        <f aca="false">IFERROR(MIN(C1942,Eingaben!$B$17)*Eingaben!$B$16,0)</f>
        <v>1.938</v>
      </c>
      <c r="F1942" s="13" t="n">
        <f aca="false">IFERROR(E1942*Eingaben!$B$15,0)</f>
        <v>1.7442</v>
      </c>
      <c r="G1942" s="13" t="n">
        <f aca="false">IFERROR(IF(Kalender!A112="",0,J1941*(1-Eingaben!$B$20)),0)</f>
        <v>0.7390278</v>
      </c>
      <c r="H1942" s="13" t="n">
        <f aca="false">MIN(G1942,D1942)</f>
        <v>0.7390278</v>
      </c>
      <c r="I1942" s="13" t="n">
        <f aca="false">IFERROR(MIN(F1942*Eingaben!$B$19,MAX(0,D1942-H1942)),0)</f>
        <v>0.1509722</v>
      </c>
      <c r="J1942" s="13" t="n">
        <f aca="false">IFERROR(MIN(Eingaben!$B$18,MAX(0,F1942-I1942)),0)</f>
        <v>1.5932278</v>
      </c>
      <c r="K1942" s="13" t="n">
        <f aca="false">H1942+I1942</f>
        <v>0.89</v>
      </c>
      <c r="L1942" s="13" t="n">
        <f aca="false">MAX(0,D1942-K1942)</f>
        <v>0</v>
      </c>
      <c r="M1942" s="13" t="n">
        <f aca="false">MAX(0,F1942-I1942-J1942)</f>
        <v>0</v>
      </c>
      <c r="N1942" s="13" t="n">
        <f aca="false">IF(Kalender!A112="",0,J1941-H1942)</f>
        <v>0.0150822</v>
      </c>
    </row>
    <row r="1943" customFormat="false" ht="16.4" hidden="false" customHeight="false" outlineLevel="0" collapsed="false">
      <c r="A1943" s="13" t="str">
        <f aca="false">""</f>
        <v/>
      </c>
      <c r="B1943" s="13" t="n">
        <f aca="false">109</f>
        <v>109</v>
      </c>
      <c r="C1943" s="13" t="n">
        <f aca="false">IF(Szenarien!$H$16="OK",(IFERROR(SUMIF(Nutzungsprofile!$B$6:$B$11,"Schulbetrieb",Nutzungsprofile!$G$6:$G$11)*Kalender!C113/SUM(Kalender!$C$5:$C$370),0)+IFERROR(SUMIF(Nutzungsprofile!$B$6:$B$11,"Halle",Nutzungsprofile!$G$6:$G$11)*Kalender!D113/SUM(Kalender!$D$5:$D$370),0)+IFERROR(SUMIF(Nutzungsprofile!$B$6:$B$11,"Individuell",Nutzungsprofile!$G$6:$G$11)*Kalender!E113/SUM(Kalender!$E$5:$E$370),0))*Szenarien!$E$16,0)</f>
        <v>2.04</v>
      </c>
      <c r="D1943" s="13" t="n">
        <f aca="false">IF(Szenarien!$H$16="OK",(IFERROR(SUMIF(Nutzungsprofile!$B$17:$B$22,"Schulbetrieb",Nutzungsprofile!$G$17:$G$22)*Kalender!C113/SUM(Kalender!$C$5:$C$370),0)+IFERROR(SUMIF(Nutzungsprofile!$B$17:$B$22,"Halle",Nutzungsprofile!$G$17:$G$22)*Kalender!D113/SUM(Kalender!$D$5:$D$370),0)+IFERROR(SUMIF(Nutzungsprofile!$B$17:$B$22,"Individuell",Nutzungsprofile!$G$17:$G$22)*Kalender!E113/SUM(Kalender!$E$5:$E$370),0))*Szenarien!$D$16,0)</f>
        <v>0.89</v>
      </c>
      <c r="E1943" s="13" t="n">
        <f aca="false">IFERROR(MIN(C1943,Eingaben!$B$17)*Eingaben!$B$16,0)</f>
        <v>1.938</v>
      </c>
      <c r="F1943" s="13" t="n">
        <f aca="false">IFERROR(E1943*Eingaben!$B$15,0)</f>
        <v>1.7442</v>
      </c>
      <c r="G1943" s="13" t="n">
        <f aca="false">IFERROR(IF(Kalender!A113="",0,J1942*(1-Eingaben!$B$20)),0)</f>
        <v>1.561363244</v>
      </c>
      <c r="H1943" s="13" t="n">
        <f aca="false">MIN(G1943,D1943)</f>
        <v>0.89</v>
      </c>
      <c r="I1943" s="13" t="n">
        <f aca="false">IFERROR(MIN(F1943*Eingaben!$B$19,MAX(0,D1943-H1943)),0)</f>
        <v>0</v>
      </c>
      <c r="J1943" s="13" t="n">
        <f aca="false">IFERROR(MIN(Eingaben!$B$18,MAX(0,F1943-I1943)),0)</f>
        <v>1.7442</v>
      </c>
      <c r="K1943" s="13" t="n">
        <f aca="false">H1943+I1943</f>
        <v>0.89</v>
      </c>
      <c r="L1943" s="13" t="n">
        <f aca="false">MAX(0,D1943-K1943)</f>
        <v>0</v>
      </c>
      <c r="M1943" s="13" t="n">
        <f aca="false">MAX(0,F1943-I1943-J1943)</f>
        <v>0</v>
      </c>
      <c r="N1943" s="13" t="n">
        <f aca="false">IF(Kalender!A113="",0,J1942-H1943)</f>
        <v>0.7032278</v>
      </c>
    </row>
    <row r="1944" customFormat="false" ht="16.4" hidden="false" customHeight="false" outlineLevel="0" collapsed="false">
      <c r="A1944" s="13" t="str">
        <f aca="false">""</f>
        <v/>
      </c>
      <c r="B1944" s="13" t="n">
        <f aca="false">110</f>
        <v>110</v>
      </c>
      <c r="C1944" s="13" t="n">
        <f aca="false">IF(Szenarien!$H$16="OK",(IFERROR(SUMIF(Nutzungsprofile!$B$6:$B$11,"Schulbetrieb",Nutzungsprofile!$G$6:$G$11)*Kalender!C114/SUM(Kalender!$C$5:$C$370),0)+IFERROR(SUMIF(Nutzungsprofile!$B$6:$B$11,"Halle",Nutzungsprofile!$G$6:$G$11)*Kalender!D114/SUM(Kalender!$D$5:$D$370),0)+IFERROR(SUMIF(Nutzungsprofile!$B$6:$B$11,"Individuell",Nutzungsprofile!$G$6:$G$11)*Kalender!E114/SUM(Kalender!$E$5:$E$370),0))*Szenarien!$E$16,0)</f>
        <v>2.94</v>
      </c>
      <c r="D1944" s="13" t="n">
        <f aca="false">IF(Szenarien!$H$16="OK",(IFERROR(SUMIF(Nutzungsprofile!$B$17:$B$22,"Schulbetrieb",Nutzungsprofile!$G$17:$G$22)*Kalender!C114/SUM(Kalender!$C$5:$C$370),0)+IFERROR(SUMIF(Nutzungsprofile!$B$17:$B$22,"Halle",Nutzungsprofile!$G$17:$G$22)*Kalender!D114/SUM(Kalender!$D$5:$D$370),0)+IFERROR(SUMIF(Nutzungsprofile!$B$17:$B$22,"Individuell",Nutzungsprofile!$G$17:$G$22)*Kalender!E114/SUM(Kalender!$E$5:$E$370),0))*Szenarien!$D$16,0)</f>
        <v>4.94</v>
      </c>
      <c r="E1944" s="13" t="n">
        <f aca="false">IFERROR(MIN(C1944,Eingaben!$B$17)*Eingaben!$B$16,0)</f>
        <v>2.793</v>
      </c>
      <c r="F1944" s="13" t="n">
        <f aca="false">IFERROR(E1944*Eingaben!$B$15,0)</f>
        <v>2.5137</v>
      </c>
      <c r="G1944" s="13" t="n">
        <f aca="false">IFERROR(IF(Kalender!A114="",0,J1943*(1-Eingaben!$B$20)),0)</f>
        <v>1.709316</v>
      </c>
      <c r="H1944" s="13" t="n">
        <f aca="false">MIN(G1944,D1944)</f>
        <v>1.709316</v>
      </c>
      <c r="I1944" s="13" t="n">
        <f aca="false">IFERROR(MIN(F1944*Eingaben!$B$19,MAX(0,D1944-H1944)),0)</f>
        <v>1.75959</v>
      </c>
      <c r="J1944" s="13" t="n">
        <f aca="false">IFERROR(MIN(Eingaben!$B$18,MAX(0,F1944-I1944)),0)</f>
        <v>0.75411</v>
      </c>
      <c r="K1944" s="13" t="n">
        <f aca="false">H1944+I1944</f>
        <v>3.468906</v>
      </c>
      <c r="L1944" s="13" t="n">
        <f aca="false">MAX(0,D1944-K1944)</f>
        <v>1.471094</v>
      </c>
      <c r="M1944" s="13" t="n">
        <f aca="false">MAX(0,F1944-I1944-J1944)</f>
        <v>0</v>
      </c>
      <c r="N1944" s="13" t="n">
        <f aca="false">IF(Kalender!A114="",0,J1943-H1944)</f>
        <v>0.0348840000000001</v>
      </c>
    </row>
    <row r="1945" customFormat="false" ht="16.4" hidden="false" customHeight="false" outlineLevel="0" collapsed="false">
      <c r="A1945" s="13" t="str">
        <f aca="false">""</f>
        <v/>
      </c>
      <c r="B1945" s="13" t="n">
        <f aca="false">111</f>
        <v>111</v>
      </c>
      <c r="C1945" s="13" t="n">
        <f aca="false">IF(Szenarien!$H$16="OK",(IFERROR(SUMIF(Nutzungsprofile!$B$6:$B$11,"Schulbetrieb",Nutzungsprofile!$G$6:$G$11)*Kalender!C115/SUM(Kalender!$C$5:$C$370),0)+IFERROR(SUMIF(Nutzungsprofile!$B$6:$B$11,"Halle",Nutzungsprofile!$G$6:$G$11)*Kalender!D115/SUM(Kalender!$D$5:$D$370),0)+IFERROR(SUMIF(Nutzungsprofile!$B$6:$B$11,"Individuell",Nutzungsprofile!$G$6:$G$11)*Kalender!E115/SUM(Kalender!$E$5:$E$370),0))*Szenarien!$E$16,0)</f>
        <v>2.94</v>
      </c>
      <c r="D1945" s="13" t="n">
        <f aca="false">IF(Szenarien!$H$16="OK",(IFERROR(SUMIF(Nutzungsprofile!$B$17:$B$22,"Schulbetrieb",Nutzungsprofile!$G$17:$G$22)*Kalender!C115/SUM(Kalender!$C$5:$C$370),0)+IFERROR(SUMIF(Nutzungsprofile!$B$17:$B$22,"Halle",Nutzungsprofile!$G$17:$G$22)*Kalender!D115/SUM(Kalender!$D$5:$D$370),0)+IFERROR(SUMIF(Nutzungsprofile!$B$17:$B$22,"Individuell",Nutzungsprofile!$G$17:$G$22)*Kalender!E115/SUM(Kalender!$E$5:$E$370),0))*Szenarien!$D$16,0)</f>
        <v>4.94</v>
      </c>
      <c r="E1945" s="13" t="n">
        <f aca="false">IFERROR(MIN(C1945,Eingaben!$B$17)*Eingaben!$B$16,0)</f>
        <v>2.793</v>
      </c>
      <c r="F1945" s="13" t="n">
        <f aca="false">IFERROR(E1945*Eingaben!$B$15,0)</f>
        <v>2.5137</v>
      </c>
      <c r="G1945" s="13" t="n">
        <f aca="false">IFERROR(IF(Kalender!A115="",0,J1944*(1-Eingaben!$B$20)),0)</f>
        <v>0.7390278</v>
      </c>
      <c r="H1945" s="13" t="n">
        <f aca="false">MIN(G1945,D1945)</f>
        <v>0.7390278</v>
      </c>
      <c r="I1945" s="13" t="n">
        <f aca="false">IFERROR(MIN(F1945*Eingaben!$B$19,MAX(0,D1945-H1945)),0)</f>
        <v>1.75959</v>
      </c>
      <c r="J1945" s="13" t="n">
        <f aca="false">IFERROR(MIN(Eingaben!$B$18,MAX(0,F1945-I1945)),0)</f>
        <v>0.75411</v>
      </c>
      <c r="K1945" s="13" t="n">
        <f aca="false">H1945+I1945</f>
        <v>2.4986178</v>
      </c>
      <c r="L1945" s="13" t="n">
        <f aca="false">MAX(0,D1945-K1945)</f>
        <v>2.4413822</v>
      </c>
      <c r="M1945" s="13" t="n">
        <f aca="false">MAX(0,F1945-I1945-J1945)</f>
        <v>0</v>
      </c>
      <c r="N1945" s="13" t="n">
        <f aca="false">IF(Kalender!A115="",0,J1944-H1945)</f>
        <v>0.0150822</v>
      </c>
    </row>
    <row r="1946" customFormat="false" ht="16.4" hidden="false" customHeight="false" outlineLevel="0" collapsed="false">
      <c r="A1946" s="13" t="str">
        <f aca="false">""</f>
        <v/>
      </c>
      <c r="B1946" s="13" t="n">
        <f aca="false">112</f>
        <v>112</v>
      </c>
      <c r="C1946" s="13" t="n">
        <f aca="false">IF(Szenarien!$H$16="OK",(IFERROR(SUMIF(Nutzungsprofile!$B$6:$B$11,"Schulbetrieb",Nutzungsprofile!$G$6:$G$11)*Kalender!C116/SUM(Kalender!$C$5:$C$370),0)+IFERROR(SUMIF(Nutzungsprofile!$B$6:$B$11,"Halle",Nutzungsprofile!$G$6:$G$11)*Kalender!D116/SUM(Kalender!$D$5:$D$370),0)+IFERROR(SUMIF(Nutzungsprofile!$B$6:$B$11,"Individuell",Nutzungsprofile!$G$6:$G$11)*Kalender!E116/SUM(Kalender!$E$5:$E$370),0))*Szenarien!$E$16,0)</f>
        <v>2.94</v>
      </c>
      <c r="D1946" s="13" t="n">
        <f aca="false">IF(Szenarien!$H$16="OK",(IFERROR(SUMIF(Nutzungsprofile!$B$17:$B$22,"Schulbetrieb",Nutzungsprofile!$G$17:$G$22)*Kalender!C116/SUM(Kalender!$C$5:$C$370),0)+IFERROR(SUMIF(Nutzungsprofile!$B$17:$B$22,"Halle",Nutzungsprofile!$G$17:$G$22)*Kalender!D116/SUM(Kalender!$D$5:$D$370),0)+IFERROR(SUMIF(Nutzungsprofile!$B$17:$B$22,"Individuell",Nutzungsprofile!$G$17:$G$22)*Kalender!E116/SUM(Kalender!$E$5:$E$370),0))*Szenarien!$D$16,0)</f>
        <v>4.94</v>
      </c>
      <c r="E1946" s="13" t="n">
        <f aca="false">IFERROR(MIN(C1946,Eingaben!$B$17)*Eingaben!$B$16,0)</f>
        <v>2.793</v>
      </c>
      <c r="F1946" s="13" t="n">
        <f aca="false">IFERROR(E1946*Eingaben!$B$15,0)</f>
        <v>2.5137</v>
      </c>
      <c r="G1946" s="13" t="n">
        <f aca="false">IFERROR(IF(Kalender!A116="",0,J1945*(1-Eingaben!$B$20)),0)</f>
        <v>0.7390278</v>
      </c>
      <c r="H1946" s="13" t="n">
        <f aca="false">MIN(G1946,D1946)</f>
        <v>0.7390278</v>
      </c>
      <c r="I1946" s="13" t="n">
        <f aca="false">IFERROR(MIN(F1946*Eingaben!$B$19,MAX(0,D1946-H1946)),0)</f>
        <v>1.75959</v>
      </c>
      <c r="J1946" s="13" t="n">
        <f aca="false">IFERROR(MIN(Eingaben!$B$18,MAX(0,F1946-I1946)),0)</f>
        <v>0.75411</v>
      </c>
      <c r="K1946" s="13" t="n">
        <f aca="false">H1946+I1946</f>
        <v>2.4986178</v>
      </c>
      <c r="L1946" s="13" t="n">
        <f aca="false">MAX(0,D1946-K1946)</f>
        <v>2.4413822</v>
      </c>
      <c r="M1946" s="13" t="n">
        <f aca="false">MAX(0,F1946-I1946-J1946)</f>
        <v>0</v>
      </c>
      <c r="N1946" s="13" t="n">
        <f aca="false">IF(Kalender!A116="",0,J1945-H1946)</f>
        <v>0.0150822</v>
      </c>
    </row>
    <row r="1947" customFormat="false" ht="16.4" hidden="false" customHeight="false" outlineLevel="0" collapsed="false">
      <c r="A1947" s="13" t="str">
        <f aca="false">""</f>
        <v/>
      </c>
      <c r="B1947" s="13" t="n">
        <f aca="false">113</f>
        <v>113</v>
      </c>
      <c r="C1947" s="13" t="n">
        <f aca="false">IF(Szenarien!$H$16="OK",(IFERROR(SUMIF(Nutzungsprofile!$B$6:$B$11,"Schulbetrieb",Nutzungsprofile!$G$6:$G$11)*Kalender!C117/SUM(Kalender!$C$5:$C$370),0)+IFERROR(SUMIF(Nutzungsprofile!$B$6:$B$11,"Halle",Nutzungsprofile!$G$6:$G$11)*Kalender!D117/SUM(Kalender!$D$5:$D$370),0)+IFERROR(SUMIF(Nutzungsprofile!$B$6:$B$11,"Individuell",Nutzungsprofile!$G$6:$G$11)*Kalender!E117/SUM(Kalender!$E$5:$E$370),0))*Szenarien!$E$16,0)</f>
        <v>2.94</v>
      </c>
      <c r="D1947" s="13" t="n">
        <f aca="false">IF(Szenarien!$H$16="OK",(IFERROR(SUMIF(Nutzungsprofile!$B$17:$B$22,"Schulbetrieb",Nutzungsprofile!$G$17:$G$22)*Kalender!C117/SUM(Kalender!$C$5:$C$370),0)+IFERROR(SUMIF(Nutzungsprofile!$B$17:$B$22,"Halle",Nutzungsprofile!$G$17:$G$22)*Kalender!D117/SUM(Kalender!$D$5:$D$370),0)+IFERROR(SUMIF(Nutzungsprofile!$B$17:$B$22,"Individuell",Nutzungsprofile!$G$17:$G$22)*Kalender!E117/SUM(Kalender!$E$5:$E$370),0))*Szenarien!$D$16,0)</f>
        <v>4.94</v>
      </c>
      <c r="E1947" s="13" t="n">
        <f aca="false">IFERROR(MIN(C1947,Eingaben!$B$17)*Eingaben!$B$16,0)</f>
        <v>2.793</v>
      </c>
      <c r="F1947" s="13" t="n">
        <f aca="false">IFERROR(E1947*Eingaben!$B$15,0)</f>
        <v>2.5137</v>
      </c>
      <c r="G1947" s="13" t="n">
        <f aca="false">IFERROR(IF(Kalender!A117="",0,J1946*(1-Eingaben!$B$20)),0)</f>
        <v>0.7390278</v>
      </c>
      <c r="H1947" s="13" t="n">
        <f aca="false">MIN(G1947,D1947)</f>
        <v>0.7390278</v>
      </c>
      <c r="I1947" s="13" t="n">
        <f aca="false">IFERROR(MIN(F1947*Eingaben!$B$19,MAX(0,D1947-H1947)),0)</f>
        <v>1.75959</v>
      </c>
      <c r="J1947" s="13" t="n">
        <f aca="false">IFERROR(MIN(Eingaben!$B$18,MAX(0,F1947-I1947)),0)</f>
        <v>0.75411</v>
      </c>
      <c r="K1947" s="13" t="n">
        <f aca="false">H1947+I1947</f>
        <v>2.4986178</v>
      </c>
      <c r="L1947" s="13" t="n">
        <f aca="false">MAX(0,D1947-K1947)</f>
        <v>2.4413822</v>
      </c>
      <c r="M1947" s="13" t="n">
        <f aca="false">MAX(0,F1947-I1947-J1947)</f>
        <v>0</v>
      </c>
      <c r="N1947" s="13" t="n">
        <f aca="false">IF(Kalender!A117="",0,J1946-H1947)</f>
        <v>0.0150822</v>
      </c>
    </row>
    <row r="1948" customFormat="false" ht="16.4" hidden="false" customHeight="false" outlineLevel="0" collapsed="false">
      <c r="A1948" s="13" t="str">
        <f aca="false">""</f>
        <v/>
      </c>
      <c r="B1948" s="13" t="n">
        <f aca="false">114</f>
        <v>114</v>
      </c>
      <c r="C1948" s="13" t="n">
        <f aca="false">IF(Szenarien!$H$16="OK",(IFERROR(SUMIF(Nutzungsprofile!$B$6:$B$11,"Schulbetrieb",Nutzungsprofile!$G$6:$G$11)*Kalender!C118/SUM(Kalender!$C$5:$C$370),0)+IFERROR(SUMIF(Nutzungsprofile!$B$6:$B$11,"Halle",Nutzungsprofile!$G$6:$G$11)*Kalender!D118/SUM(Kalender!$D$5:$D$370),0)+IFERROR(SUMIF(Nutzungsprofile!$B$6:$B$11,"Individuell",Nutzungsprofile!$G$6:$G$11)*Kalender!E118/SUM(Kalender!$E$5:$E$370),0))*Szenarien!$E$16,0)</f>
        <v>2.94</v>
      </c>
      <c r="D1948" s="13" t="n">
        <f aca="false">IF(Szenarien!$H$16="OK",(IFERROR(SUMIF(Nutzungsprofile!$B$17:$B$22,"Schulbetrieb",Nutzungsprofile!$G$17:$G$22)*Kalender!C118/SUM(Kalender!$C$5:$C$370),0)+IFERROR(SUMIF(Nutzungsprofile!$B$17:$B$22,"Halle",Nutzungsprofile!$G$17:$G$22)*Kalender!D118/SUM(Kalender!$D$5:$D$370),0)+IFERROR(SUMIF(Nutzungsprofile!$B$17:$B$22,"Individuell",Nutzungsprofile!$G$17:$G$22)*Kalender!E118/SUM(Kalender!$E$5:$E$370),0))*Szenarien!$D$16,0)</f>
        <v>4.94</v>
      </c>
      <c r="E1948" s="13" t="n">
        <f aca="false">IFERROR(MIN(C1948,Eingaben!$B$17)*Eingaben!$B$16,0)</f>
        <v>2.793</v>
      </c>
      <c r="F1948" s="13" t="n">
        <f aca="false">IFERROR(E1948*Eingaben!$B$15,0)</f>
        <v>2.5137</v>
      </c>
      <c r="G1948" s="13" t="n">
        <f aca="false">IFERROR(IF(Kalender!A118="",0,J1947*(1-Eingaben!$B$20)),0)</f>
        <v>0.7390278</v>
      </c>
      <c r="H1948" s="13" t="n">
        <f aca="false">MIN(G1948,D1948)</f>
        <v>0.7390278</v>
      </c>
      <c r="I1948" s="13" t="n">
        <f aca="false">IFERROR(MIN(F1948*Eingaben!$B$19,MAX(0,D1948-H1948)),0)</f>
        <v>1.75959</v>
      </c>
      <c r="J1948" s="13" t="n">
        <f aca="false">IFERROR(MIN(Eingaben!$B$18,MAX(0,F1948-I1948)),0)</f>
        <v>0.75411</v>
      </c>
      <c r="K1948" s="13" t="n">
        <f aca="false">H1948+I1948</f>
        <v>2.4986178</v>
      </c>
      <c r="L1948" s="13" t="n">
        <f aca="false">MAX(0,D1948-K1948)</f>
        <v>2.4413822</v>
      </c>
      <c r="M1948" s="13" t="n">
        <f aca="false">MAX(0,F1948-I1948-J1948)</f>
        <v>0</v>
      </c>
      <c r="N1948" s="13" t="n">
        <f aca="false">IF(Kalender!A118="",0,J1947-H1948)</f>
        <v>0.0150822</v>
      </c>
    </row>
    <row r="1949" customFormat="false" ht="16.4" hidden="false" customHeight="false" outlineLevel="0" collapsed="false">
      <c r="A1949" s="13" t="str">
        <f aca="false">""</f>
        <v/>
      </c>
      <c r="B1949" s="13" t="n">
        <f aca="false">115</f>
        <v>115</v>
      </c>
      <c r="C1949" s="13" t="n">
        <f aca="false">IF(Szenarien!$H$16="OK",(IFERROR(SUMIF(Nutzungsprofile!$B$6:$B$11,"Schulbetrieb",Nutzungsprofile!$G$6:$G$11)*Kalender!C119/SUM(Kalender!$C$5:$C$370),0)+IFERROR(SUMIF(Nutzungsprofile!$B$6:$B$11,"Halle",Nutzungsprofile!$G$6:$G$11)*Kalender!D119/SUM(Kalender!$D$5:$D$370),0)+IFERROR(SUMIF(Nutzungsprofile!$B$6:$B$11,"Individuell",Nutzungsprofile!$G$6:$G$11)*Kalender!E119/SUM(Kalender!$E$5:$E$370),0))*Szenarien!$E$16,0)</f>
        <v>2.04</v>
      </c>
      <c r="D1949" s="13" t="n">
        <f aca="false">IF(Szenarien!$H$16="OK",(IFERROR(SUMIF(Nutzungsprofile!$B$17:$B$22,"Schulbetrieb",Nutzungsprofile!$G$17:$G$22)*Kalender!C119/SUM(Kalender!$C$5:$C$370),0)+IFERROR(SUMIF(Nutzungsprofile!$B$17:$B$22,"Halle",Nutzungsprofile!$G$17:$G$22)*Kalender!D119/SUM(Kalender!$D$5:$D$370),0)+IFERROR(SUMIF(Nutzungsprofile!$B$17:$B$22,"Individuell",Nutzungsprofile!$G$17:$G$22)*Kalender!E119/SUM(Kalender!$E$5:$E$370),0))*Szenarien!$D$16,0)</f>
        <v>0.89</v>
      </c>
      <c r="E1949" s="13" t="n">
        <f aca="false">IFERROR(MIN(C1949,Eingaben!$B$17)*Eingaben!$B$16,0)</f>
        <v>1.938</v>
      </c>
      <c r="F1949" s="13" t="n">
        <f aca="false">IFERROR(E1949*Eingaben!$B$15,0)</f>
        <v>1.7442</v>
      </c>
      <c r="G1949" s="13" t="n">
        <f aca="false">IFERROR(IF(Kalender!A119="",0,J1948*(1-Eingaben!$B$20)),0)</f>
        <v>0.7390278</v>
      </c>
      <c r="H1949" s="13" t="n">
        <f aca="false">MIN(G1949,D1949)</f>
        <v>0.7390278</v>
      </c>
      <c r="I1949" s="13" t="n">
        <f aca="false">IFERROR(MIN(F1949*Eingaben!$B$19,MAX(0,D1949-H1949)),0)</f>
        <v>0.1509722</v>
      </c>
      <c r="J1949" s="13" t="n">
        <f aca="false">IFERROR(MIN(Eingaben!$B$18,MAX(0,F1949-I1949)),0)</f>
        <v>1.5932278</v>
      </c>
      <c r="K1949" s="13" t="n">
        <f aca="false">H1949+I1949</f>
        <v>0.89</v>
      </c>
      <c r="L1949" s="13" t="n">
        <f aca="false">MAX(0,D1949-K1949)</f>
        <v>0</v>
      </c>
      <c r="M1949" s="13" t="n">
        <f aca="false">MAX(0,F1949-I1949-J1949)</f>
        <v>0</v>
      </c>
      <c r="N1949" s="13" t="n">
        <f aca="false">IF(Kalender!A119="",0,J1948-H1949)</f>
        <v>0.0150822</v>
      </c>
    </row>
    <row r="1950" customFormat="false" ht="16.4" hidden="false" customHeight="false" outlineLevel="0" collapsed="false">
      <c r="A1950" s="13" t="str">
        <f aca="false">""</f>
        <v/>
      </c>
      <c r="B1950" s="13" t="n">
        <f aca="false">116</f>
        <v>116</v>
      </c>
      <c r="C1950" s="13" t="n">
        <f aca="false">IF(Szenarien!$H$16="OK",(IFERROR(SUMIF(Nutzungsprofile!$B$6:$B$11,"Schulbetrieb",Nutzungsprofile!$G$6:$G$11)*Kalender!C120/SUM(Kalender!$C$5:$C$370),0)+IFERROR(SUMIF(Nutzungsprofile!$B$6:$B$11,"Halle",Nutzungsprofile!$G$6:$G$11)*Kalender!D120/SUM(Kalender!$D$5:$D$370),0)+IFERROR(SUMIF(Nutzungsprofile!$B$6:$B$11,"Individuell",Nutzungsprofile!$G$6:$G$11)*Kalender!E120/SUM(Kalender!$E$5:$E$370),0))*Szenarien!$E$16,0)</f>
        <v>2.04</v>
      </c>
      <c r="D1950" s="13" t="n">
        <f aca="false">IF(Szenarien!$H$16="OK",(IFERROR(SUMIF(Nutzungsprofile!$B$17:$B$22,"Schulbetrieb",Nutzungsprofile!$G$17:$G$22)*Kalender!C120/SUM(Kalender!$C$5:$C$370),0)+IFERROR(SUMIF(Nutzungsprofile!$B$17:$B$22,"Halle",Nutzungsprofile!$G$17:$G$22)*Kalender!D120/SUM(Kalender!$D$5:$D$370),0)+IFERROR(SUMIF(Nutzungsprofile!$B$17:$B$22,"Individuell",Nutzungsprofile!$G$17:$G$22)*Kalender!E120/SUM(Kalender!$E$5:$E$370),0))*Szenarien!$D$16,0)</f>
        <v>0.89</v>
      </c>
      <c r="E1950" s="13" t="n">
        <f aca="false">IFERROR(MIN(C1950,Eingaben!$B$17)*Eingaben!$B$16,0)</f>
        <v>1.938</v>
      </c>
      <c r="F1950" s="13" t="n">
        <f aca="false">IFERROR(E1950*Eingaben!$B$15,0)</f>
        <v>1.7442</v>
      </c>
      <c r="G1950" s="13" t="n">
        <f aca="false">IFERROR(IF(Kalender!A120="",0,J1949*(1-Eingaben!$B$20)),0)</f>
        <v>1.561363244</v>
      </c>
      <c r="H1950" s="13" t="n">
        <f aca="false">MIN(G1950,D1950)</f>
        <v>0.89</v>
      </c>
      <c r="I1950" s="13" t="n">
        <f aca="false">IFERROR(MIN(F1950*Eingaben!$B$19,MAX(0,D1950-H1950)),0)</f>
        <v>0</v>
      </c>
      <c r="J1950" s="13" t="n">
        <f aca="false">IFERROR(MIN(Eingaben!$B$18,MAX(0,F1950-I1950)),0)</f>
        <v>1.7442</v>
      </c>
      <c r="K1950" s="13" t="n">
        <f aca="false">H1950+I1950</f>
        <v>0.89</v>
      </c>
      <c r="L1950" s="13" t="n">
        <f aca="false">MAX(0,D1950-K1950)</f>
        <v>0</v>
      </c>
      <c r="M1950" s="13" t="n">
        <f aca="false">MAX(0,F1950-I1950-J1950)</f>
        <v>0</v>
      </c>
      <c r="N1950" s="13" t="n">
        <f aca="false">IF(Kalender!A120="",0,J1949-H1950)</f>
        <v>0.7032278</v>
      </c>
    </row>
    <row r="1951" customFormat="false" ht="16.4" hidden="false" customHeight="false" outlineLevel="0" collapsed="false">
      <c r="A1951" s="13" t="str">
        <f aca="false">""</f>
        <v/>
      </c>
      <c r="B1951" s="13" t="n">
        <f aca="false">117</f>
        <v>117</v>
      </c>
      <c r="C1951" s="13" t="n">
        <f aca="false">IF(Szenarien!$H$16="OK",(IFERROR(SUMIF(Nutzungsprofile!$B$6:$B$11,"Schulbetrieb",Nutzungsprofile!$G$6:$G$11)*Kalender!C121/SUM(Kalender!$C$5:$C$370),0)+IFERROR(SUMIF(Nutzungsprofile!$B$6:$B$11,"Halle",Nutzungsprofile!$G$6:$G$11)*Kalender!D121/SUM(Kalender!$D$5:$D$370),0)+IFERROR(SUMIF(Nutzungsprofile!$B$6:$B$11,"Individuell",Nutzungsprofile!$G$6:$G$11)*Kalender!E121/SUM(Kalender!$E$5:$E$370),0))*Szenarien!$E$16,0)</f>
        <v>2.94</v>
      </c>
      <c r="D1951" s="13" t="n">
        <f aca="false">IF(Szenarien!$H$16="OK",(IFERROR(SUMIF(Nutzungsprofile!$B$17:$B$22,"Schulbetrieb",Nutzungsprofile!$G$17:$G$22)*Kalender!C121/SUM(Kalender!$C$5:$C$370),0)+IFERROR(SUMIF(Nutzungsprofile!$B$17:$B$22,"Halle",Nutzungsprofile!$G$17:$G$22)*Kalender!D121/SUM(Kalender!$D$5:$D$370),0)+IFERROR(SUMIF(Nutzungsprofile!$B$17:$B$22,"Individuell",Nutzungsprofile!$G$17:$G$22)*Kalender!E121/SUM(Kalender!$E$5:$E$370),0))*Szenarien!$D$16,0)</f>
        <v>4.94</v>
      </c>
      <c r="E1951" s="13" t="n">
        <f aca="false">IFERROR(MIN(C1951,Eingaben!$B$17)*Eingaben!$B$16,0)</f>
        <v>2.793</v>
      </c>
      <c r="F1951" s="13" t="n">
        <f aca="false">IFERROR(E1951*Eingaben!$B$15,0)</f>
        <v>2.5137</v>
      </c>
      <c r="G1951" s="13" t="n">
        <f aca="false">IFERROR(IF(Kalender!A121="",0,J1950*(1-Eingaben!$B$20)),0)</f>
        <v>1.709316</v>
      </c>
      <c r="H1951" s="13" t="n">
        <f aca="false">MIN(G1951,D1951)</f>
        <v>1.709316</v>
      </c>
      <c r="I1951" s="13" t="n">
        <f aca="false">IFERROR(MIN(F1951*Eingaben!$B$19,MAX(0,D1951-H1951)),0)</f>
        <v>1.75959</v>
      </c>
      <c r="J1951" s="13" t="n">
        <f aca="false">IFERROR(MIN(Eingaben!$B$18,MAX(0,F1951-I1951)),0)</f>
        <v>0.75411</v>
      </c>
      <c r="K1951" s="13" t="n">
        <f aca="false">H1951+I1951</f>
        <v>3.468906</v>
      </c>
      <c r="L1951" s="13" t="n">
        <f aca="false">MAX(0,D1951-K1951)</f>
        <v>1.471094</v>
      </c>
      <c r="M1951" s="13" t="n">
        <f aca="false">MAX(0,F1951-I1951-J1951)</f>
        <v>0</v>
      </c>
      <c r="N1951" s="13" t="n">
        <f aca="false">IF(Kalender!A121="",0,J1950-H1951)</f>
        <v>0.0348840000000001</v>
      </c>
    </row>
    <row r="1952" customFormat="false" ht="16.4" hidden="false" customHeight="false" outlineLevel="0" collapsed="false">
      <c r="A1952" s="13" t="str">
        <f aca="false">""</f>
        <v/>
      </c>
      <c r="B1952" s="13" t="n">
        <f aca="false">118</f>
        <v>118</v>
      </c>
      <c r="C1952" s="13" t="n">
        <f aca="false">IF(Szenarien!$H$16="OK",(IFERROR(SUMIF(Nutzungsprofile!$B$6:$B$11,"Schulbetrieb",Nutzungsprofile!$G$6:$G$11)*Kalender!C122/SUM(Kalender!$C$5:$C$370),0)+IFERROR(SUMIF(Nutzungsprofile!$B$6:$B$11,"Halle",Nutzungsprofile!$G$6:$G$11)*Kalender!D122/SUM(Kalender!$D$5:$D$370),0)+IFERROR(SUMIF(Nutzungsprofile!$B$6:$B$11,"Individuell",Nutzungsprofile!$G$6:$G$11)*Kalender!E122/SUM(Kalender!$E$5:$E$370),0))*Szenarien!$E$16,0)</f>
        <v>2.94</v>
      </c>
      <c r="D1952" s="13" t="n">
        <f aca="false">IF(Szenarien!$H$16="OK",(IFERROR(SUMIF(Nutzungsprofile!$B$17:$B$22,"Schulbetrieb",Nutzungsprofile!$G$17:$G$22)*Kalender!C122/SUM(Kalender!$C$5:$C$370),0)+IFERROR(SUMIF(Nutzungsprofile!$B$17:$B$22,"Halle",Nutzungsprofile!$G$17:$G$22)*Kalender!D122/SUM(Kalender!$D$5:$D$370),0)+IFERROR(SUMIF(Nutzungsprofile!$B$17:$B$22,"Individuell",Nutzungsprofile!$G$17:$G$22)*Kalender!E122/SUM(Kalender!$E$5:$E$370),0))*Szenarien!$D$16,0)</f>
        <v>4.94</v>
      </c>
      <c r="E1952" s="13" t="n">
        <f aca="false">IFERROR(MIN(C1952,Eingaben!$B$17)*Eingaben!$B$16,0)</f>
        <v>2.793</v>
      </c>
      <c r="F1952" s="13" t="n">
        <f aca="false">IFERROR(E1952*Eingaben!$B$15,0)</f>
        <v>2.5137</v>
      </c>
      <c r="G1952" s="13" t="n">
        <f aca="false">IFERROR(IF(Kalender!A122="",0,J1951*(1-Eingaben!$B$20)),0)</f>
        <v>0.7390278</v>
      </c>
      <c r="H1952" s="13" t="n">
        <f aca="false">MIN(G1952,D1952)</f>
        <v>0.7390278</v>
      </c>
      <c r="I1952" s="13" t="n">
        <f aca="false">IFERROR(MIN(F1952*Eingaben!$B$19,MAX(0,D1952-H1952)),0)</f>
        <v>1.75959</v>
      </c>
      <c r="J1952" s="13" t="n">
        <f aca="false">IFERROR(MIN(Eingaben!$B$18,MAX(0,F1952-I1952)),0)</f>
        <v>0.75411</v>
      </c>
      <c r="K1952" s="13" t="n">
        <f aca="false">H1952+I1952</f>
        <v>2.4986178</v>
      </c>
      <c r="L1952" s="13" t="n">
        <f aca="false">MAX(0,D1952-K1952)</f>
        <v>2.4413822</v>
      </c>
      <c r="M1952" s="13" t="n">
        <f aca="false">MAX(0,F1952-I1952-J1952)</f>
        <v>0</v>
      </c>
      <c r="N1952" s="13" t="n">
        <f aca="false">IF(Kalender!A122="",0,J1951-H1952)</f>
        <v>0.0150822</v>
      </c>
    </row>
    <row r="1953" customFormat="false" ht="16.4" hidden="false" customHeight="false" outlineLevel="0" collapsed="false">
      <c r="A1953" s="13" t="str">
        <f aca="false">""</f>
        <v/>
      </c>
      <c r="B1953" s="13" t="n">
        <f aca="false">119</f>
        <v>119</v>
      </c>
      <c r="C1953" s="13" t="n">
        <f aca="false">IF(Szenarien!$H$16="OK",(IFERROR(SUMIF(Nutzungsprofile!$B$6:$B$11,"Schulbetrieb",Nutzungsprofile!$G$6:$G$11)*Kalender!C123/SUM(Kalender!$C$5:$C$370),0)+IFERROR(SUMIF(Nutzungsprofile!$B$6:$B$11,"Halle",Nutzungsprofile!$G$6:$G$11)*Kalender!D123/SUM(Kalender!$D$5:$D$370),0)+IFERROR(SUMIF(Nutzungsprofile!$B$6:$B$11,"Individuell",Nutzungsprofile!$G$6:$G$11)*Kalender!E123/SUM(Kalender!$E$5:$E$370),0))*Szenarien!$E$16,0)</f>
        <v>2.94</v>
      </c>
      <c r="D1953" s="13" t="n">
        <f aca="false">IF(Szenarien!$H$16="OK",(IFERROR(SUMIF(Nutzungsprofile!$B$17:$B$22,"Schulbetrieb",Nutzungsprofile!$G$17:$G$22)*Kalender!C123/SUM(Kalender!$C$5:$C$370),0)+IFERROR(SUMIF(Nutzungsprofile!$B$17:$B$22,"Halle",Nutzungsprofile!$G$17:$G$22)*Kalender!D123/SUM(Kalender!$D$5:$D$370),0)+IFERROR(SUMIF(Nutzungsprofile!$B$17:$B$22,"Individuell",Nutzungsprofile!$G$17:$G$22)*Kalender!E123/SUM(Kalender!$E$5:$E$370),0))*Szenarien!$D$16,0)</f>
        <v>4.94</v>
      </c>
      <c r="E1953" s="13" t="n">
        <f aca="false">IFERROR(MIN(C1953,Eingaben!$B$17)*Eingaben!$B$16,0)</f>
        <v>2.793</v>
      </c>
      <c r="F1953" s="13" t="n">
        <f aca="false">IFERROR(E1953*Eingaben!$B$15,0)</f>
        <v>2.5137</v>
      </c>
      <c r="G1953" s="13" t="n">
        <f aca="false">IFERROR(IF(Kalender!A123="",0,J1952*(1-Eingaben!$B$20)),0)</f>
        <v>0.7390278</v>
      </c>
      <c r="H1953" s="13" t="n">
        <f aca="false">MIN(G1953,D1953)</f>
        <v>0.7390278</v>
      </c>
      <c r="I1953" s="13" t="n">
        <f aca="false">IFERROR(MIN(F1953*Eingaben!$B$19,MAX(0,D1953-H1953)),0)</f>
        <v>1.75959</v>
      </c>
      <c r="J1953" s="13" t="n">
        <f aca="false">IFERROR(MIN(Eingaben!$B$18,MAX(0,F1953-I1953)),0)</f>
        <v>0.75411</v>
      </c>
      <c r="K1953" s="13" t="n">
        <f aca="false">H1953+I1953</f>
        <v>2.4986178</v>
      </c>
      <c r="L1953" s="13" t="n">
        <f aca="false">MAX(0,D1953-K1953)</f>
        <v>2.4413822</v>
      </c>
      <c r="M1953" s="13" t="n">
        <f aca="false">MAX(0,F1953-I1953-J1953)</f>
        <v>0</v>
      </c>
      <c r="N1953" s="13" t="n">
        <f aca="false">IF(Kalender!A123="",0,J1952-H1953)</f>
        <v>0.0150822</v>
      </c>
    </row>
    <row r="1954" customFormat="false" ht="16.4" hidden="false" customHeight="false" outlineLevel="0" collapsed="false">
      <c r="A1954" s="13" t="str">
        <f aca="false">""</f>
        <v/>
      </c>
      <c r="B1954" s="13" t="n">
        <f aca="false">120</f>
        <v>120</v>
      </c>
      <c r="C1954" s="13" t="n">
        <f aca="false">IF(Szenarien!$H$16="OK",(IFERROR(SUMIF(Nutzungsprofile!$B$6:$B$11,"Schulbetrieb",Nutzungsprofile!$G$6:$G$11)*Kalender!C124/SUM(Kalender!$C$5:$C$370),0)+IFERROR(SUMIF(Nutzungsprofile!$B$6:$B$11,"Halle",Nutzungsprofile!$G$6:$G$11)*Kalender!D124/SUM(Kalender!$D$5:$D$370),0)+IFERROR(SUMIF(Nutzungsprofile!$B$6:$B$11,"Individuell",Nutzungsprofile!$G$6:$G$11)*Kalender!E124/SUM(Kalender!$E$5:$E$370),0))*Szenarien!$E$16,0)</f>
        <v>2.94</v>
      </c>
      <c r="D1954" s="13" t="n">
        <f aca="false">IF(Szenarien!$H$16="OK",(IFERROR(SUMIF(Nutzungsprofile!$B$17:$B$22,"Schulbetrieb",Nutzungsprofile!$G$17:$G$22)*Kalender!C124/SUM(Kalender!$C$5:$C$370),0)+IFERROR(SUMIF(Nutzungsprofile!$B$17:$B$22,"Halle",Nutzungsprofile!$G$17:$G$22)*Kalender!D124/SUM(Kalender!$D$5:$D$370),0)+IFERROR(SUMIF(Nutzungsprofile!$B$17:$B$22,"Individuell",Nutzungsprofile!$G$17:$G$22)*Kalender!E124/SUM(Kalender!$E$5:$E$370),0))*Szenarien!$D$16,0)</f>
        <v>4.94</v>
      </c>
      <c r="E1954" s="13" t="n">
        <f aca="false">IFERROR(MIN(C1954,Eingaben!$B$17)*Eingaben!$B$16,0)</f>
        <v>2.793</v>
      </c>
      <c r="F1954" s="13" t="n">
        <f aca="false">IFERROR(E1954*Eingaben!$B$15,0)</f>
        <v>2.5137</v>
      </c>
      <c r="G1954" s="13" t="n">
        <f aca="false">IFERROR(IF(Kalender!A124="",0,J1953*(1-Eingaben!$B$20)),0)</f>
        <v>0.7390278</v>
      </c>
      <c r="H1954" s="13" t="n">
        <f aca="false">MIN(G1954,D1954)</f>
        <v>0.7390278</v>
      </c>
      <c r="I1954" s="13" t="n">
        <f aca="false">IFERROR(MIN(F1954*Eingaben!$B$19,MAX(0,D1954-H1954)),0)</f>
        <v>1.75959</v>
      </c>
      <c r="J1954" s="13" t="n">
        <f aca="false">IFERROR(MIN(Eingaben!$B$18,MAX(0,F1954-I1954)),0)</f>
        <v>0.75411</v>
      </c>
      <c r="K1954" s="13" t="n">
        <f aca="false">H1954+I1954</f>
        <v>2.4986178</v>
      </c>
      <c r="L1954" s="13" t="n">
        <f aca="false">MAX(0,D1954-K1954)</f>
        <v>2.4413822</v>
      </c>
      <c r="M1954" s="13" t="n">
        <f aca="false">MAX(0,F1954-I1954-J1954)</f>
        <v>0</v>
      </c>
      <c r="N1954" s="13" t="n">
        <f aca="false">IF(Kalender!A124="",0,J1953-H1954)</f>
        <v>0.0150822</v>
      </c>
    </row>
    <row r="1955" customFormat="false" ht="16.4" hidden="false" customHeight="false" outlineLevel="0" collapsed="false">
      <c r="A1955" s="13" t="str">
        <f aca="false">""</f>
        <v/>
      </c>
      <c r="B1955" s="13" t="n">
        <f aca="false">121</f>
        <v>121</v>
      </c>
      <c r="C1955" s="13" t="n">
        <f aca="false">IF(Szenarien!$H$16="OK",(IFERROR(SUMIF(Nutzungsprofile!$B$6:$B$11,"Schulbetrieb",Nutzungsprofile!$G$6:$G$11)*Kalender!C125/SUM(Kalender!$C$5:$C$370),0)+IFERROR(SUMIF(Nutzungsprofile!$B$6:$B$11,"Halle",Nutzungsprofile!$G$6:$G$11)*Kalender!D125/SUM(Kalender!$D$5:$D$370),0)+IFERROR(SUMIF(Nutzungsprofile!$B$6:$B$11,"Individuell",Nutzungsprofile!$G$6:$G$11)*Kalender!E125/SUM(Kalender!$E$5:$E$370),0))*Szenarien!$E$16,0)</f>
        <v>2.94</v>
      </c>
      <c r="D1955" s="13" t="n">
        <f aca="false">IF(Szenarien!$H$16="OK",(IFERROR(SUMIF(Nutzungsprofile!$B$17:$B$22,"Schulbetrieb",Nutzungsprofile!$G$17:$G$22)*Kalender!C125/SUM(Kalender!$C$5:$C$370),0)+IFERROR(SUMIF(Nutzungsprofile!$B$17:$B$22,"Halle",Nutzungsprofile!$G$17:$G$22)*Kalender!D125/SUM(Kalender!$D$5:$D$370),0)+IFERROR(SUMIF(Nutzungsprofile!$B$17:$B$22,"Individuell",Nutzungsprofile!$G$17:$G$22)*Kalender!E125/SUM(Kalender!$E$5:$E$370),0))*Szenarien!$D$16,0)</f>
        <v>4.94</v>
      </c>
      <c r="E1955" s="13" t="n">
        <f aca="false">IFERROR(MIN(C1955,Eingaben!$B$17)*Eingaben!$B$16,0)</f>
        <v>2.793</v>
      </c>
      <c r="F1955" s="13" t="n">
        <f aca="false">IFERROR(E1955*Eingaben!$B$15,0)</f>
        <v>2.5137</v>
      </c>
      <c r="G1955" s="13" t="n">
        <f aca="false">IFERROR(IF(Kalender!A125="",0,J1954*(1-Eingaben!$B$20)),0)</f>
        <v>0.7390278</v>
      </c>
      <c r="H1955" s="13" t="n">
        <f aca="false">MIN(G1955,D1955)</f>
        <v>0.7390278</v>
      </c>
      <c r="I1955" s="13" t="n">
        <f aca="false">IFERROR(MIN(F1955*Eingaben!$B$19,MAX(0,D1955-H1955)),0)</f>
        <v>1.75959</v>
      </c>
      <c r="J1955" s="13" t="n">
        <f aca="false">IFERROR(MIN(Eingaben!$B$18,MAX(0,F1955-I1955)),0)</f>
        <v>0.75411</v>
      </c>
      <c r="K1955" s="13" t="n">
        <f aca="false">H1955+I1955</f>
        <v>2.4986178</v>
      </c>
      <c r="L1955" s="13" t="n">
        <f aca="false">MAX(0,D1955-K1955)</f>
        <v>2.4413822</v>
      </c>
      <c r="M1955" s="13" t="n">
        <f aca="false">MAX(0,F1955-I1955-J1955)</f>
        <v>0</v>
      </c>
      <c r="N1955" s="13" t="n">
        <f aca="false">IF(Kalender!A125="",0,J1954-H1955)</f>
        <v>0.0150822</v>
      </c>
    </row>
    <row r="1956" customFormat="false" ht="16.4" hidden="false" customHeight="false" outlineLevel="0" collapsed="false">
      <c r="A1956" s="13" t="str">
        <f aca="false">""</f>
        <v/>
      </c>
      <c r="B1956" s="13" t="n">
        <f aca="false">122</f>
        <v>122</v>
      </c>
      <c r="C1956" s="13" t="n">
        <f aca="false">IF(Szenarien!$H$16="OK",(IFERROR(SUMIF(Nutzungsprofile!$B$6:$B$11,"Schulbetrieb",Nutzungsprofile!$G$6:$G$11)*Kalender!C126/SUM(Kalender!$C$5:$C$370),0)+IFERROR(SUMIF(Nutzungsprofile!$B$6:$B$11,"Halle",Nutzungsprofile!$G$6:$G$11)*Kalender!D126/SUM(Kalender!$D$5:$D$370),0)+IFERROR(SUMIF(Nutzungsprofile!$B$6:$B$11,"Individuell",Nutzungsprofile!$G$6:$G$11)*Kalender!E126/SUM(Kalender!$E$5:$E$370),0))*Szenarien!$E$16,0)</f>
        <v>2.04</v>
      </c>
      <c r="D1956" s="13" t="n">
        <f aca="false">IF(Szenarien!$H$16="OK",(IFERROR(SUMIF(Nutzungsprofile!$B$17:$B$22,"Schulbetrieb",Nutzungsprofile!$G$17:$G$22)*Kalender!C126/SUM(Kalender!$C$5:$C$370),0)+IFERROR(SUMIF(Nutzungsprofile!$B$17:$B$22,"Halle",Nutzungsprofile!$G$17:$G$22)*Kalender!D126/SUM(Kalender!$D$5:$D$370),0)+IFERROR(SUMIF(Nutzungsprofile!$B$17:$B$22,"Individuell",Nutzungsprofile!$G$17:$G$22)*Kalender!E126/SUM(Kalender!$E$5:$E$370),0))*Szenarien!$D$16,0)</f>
        <v>0.89</v>
      </c>
      <c r="E1956" s="13" t="n">
        <f aca="false">IFERROR(MIN(C1956,Eingaben!$B$17)*Eingaben!$B$16,0)</f>
        <v>1.938</v>
      </c>
      <c r="F1956" s="13" t="n">
        <f aca="false">IFERROR(E1956*Eingaben!$B$15,0)</f>
        <v>1.7442</v>
      </c>
      <c r="G1956" s="13" t="n">
        <f aca="false">IFERROR(IF(Kalender!A126="",0,J1955*(1-Eingaben!$B$20)),0)</f>
        <v>0.7390278</v>
      </c>
      <c r="H1956" s="13" t="n">
        <f aca="false">MIN(G1956,D1956)</f>
        <v>0.7390278</v>
      </c>
      <c r="I1956" s="13" t="n">
        <f aca="false">IFERROR(MIN(F1956*Eingaben!$B$19,MAX(0,D1956-H1956)),0)</f>
        <v>0.1509722</v>
      </c>
      <c r="J1956" s="13" t="n">
        <f aca="false">IFERROR(MIN(Eingaben!$B$18,MAX(0,F1956-I1956)),0)</f>
        <v>1.5932278</v>
      </c>
      <c r="K1956" s="13" t="n">
        <f aca="false">H1956+I1956</f>
        <v>0.89</v>
      </c>
      <c r="L1956" s="13" t="n">
        <f aca="false">MAX(0,D1956-K1956)</f>
        <v>0</v>
      </c>
      <c r="M1956" s="13" t="n">
        <f aca="false">MAX(0,F1956-I1956-J1956)</f>
        <v>0</v>
      </c>
      <c r="N1956" s="13" t="n">
        <f aca="false">IF(Kalender!A126="",0,J1955-H1956)</f>
        <v>0.0150822</v>
      </c>
    </row>
    <row r="1957" customFormat="false" ht="16.4" hidden="false" customHeight="false" outlineLevel="0" collapsed="false">
      <c r="A1957" s="13" t="str">
        <f aca="false">""</f>
        <v/>
      </c>
      <c r="B1957" s="13" t="n">
        <f aca="false">123</f>
        <v>123</v>
      </c>
      <c r="C1957" s="13" t="n">
        <f aca="false">IF(Szenarien!$H$16="OK",(IFERROR(SUMIF(Nutzungsprofile!$B$6:$B$11,"Schulbetrieb",Nutzungsprofile!$G$6:$G$11)*Kalender!C127/SUM(Kalender!$C$5:$C$370),0)+IFERROR(SUMIF(Nutzungsprofile!$B$6:$B$11,"Halle",Nutzungsprofile!$G$6:$G$11)*Kalender!D127/SUM(Kalender!$D$5:$D$370),0)+IFERROR(SUMIF(Nutzungsprofile!$B$6:$B$11,"Individuell",Nutzungsprofile!$G$6:$G$11)*Kalender!E127/SUM(Kalender!$E$5:$E$370),0))*Szenarien!$E$16,0)</f>
        <v>2.04</v>
      </c>
      <c r="D1957" s="13" t="n">
        <f aca="false">IF(Szenarien!$H$16="OK",(IFERROR(SUMIF(Nutzungsprofile!$B$17:$B$22,"Schulbetrieb",Nutzungsprofile!$G$17:$G$22)*Kalender!C127/SUM(Kalender!$C$5:$C$370),0)+IFERROR(SUMIF(Nutzungsprofile!$B$17:$B$22,"Halle",Nutzungsprofile!$G$17:$G$22)*Kalender!D127/SUM(Kalender!$D$5:$D$370),0)+IFERROR(SUMIF(Nutzungsprofile!$B$17:$B$22,"Individuell",Nutzungsprofile!$G$17:$G$22)*Kalender!E127/SUM(Kalender!$E$5:$E$370),0))*Szenarien!$D$16,0)</f>
        <v>0.89</v>
      </c>
      <c r="E1957" s="13" t="n">
        <f aca="false">IFERROR(MIN(C1957,Eingaben!$B$17)*Eingaben!$B$16,0)</f>
        <v>1.938</v>
      </c>
      <c r="F1957" s="13" t="n">
        <f aca="false">IFERROR(E1957*Eingaben!$B$15,0)</f>
        <v>1.7442</v>
      </c>
      <c r="G1957" s="13" t="n">
        <f aca="false">IFERROR(IF(Kalender!A127="",0,J1956*(1-Eingaben!$B$20)),0)</f>
        <v>1.561363244</v>
      </c>
      <c r="H1957" s="13" t="n">
        <f aca="false">MIN(G1957,D1957)</f>
        <v>0.89</v>
      </c>
      <c r="I1957" s="13" t="n">
        <f aca="false">IFERROR(MIN(F1957*Eingaben!$B$19,MAX(0,D1957-H1957)),0)</f>
        <v>0</v>
      </c>
      <c r="J1957" s="13" t="n">
        <f aca="false">IFERROR(MIN(Eingaben!$B$18,MAX(0,F1957-I1957)),0)</f>
        <v>1.7442</v>
      </c>
      <c r="K1957" s="13" t="n">
        <f aca="false">H1957+I1957</f>
        <v>0.89</v>
      </c>
      <c r="L1957" s="13" t="n">
        <f aca="false">MAX(0,D1957-K1957)</f>
        <v>0</v>
      </c>
      <c r="M1957" s="13" t="n">
        <f aca="false">MAX(0,F1957-I1957-J1957)</f>
        <v>0</v>
      </c>
      <c r="N1957" s="13" t="n">
        <f aca="false">IF(Kalender!A127="",0,J1956-H1957)</f>
        <v>0.7032278</v>
      </c>
    </row>
    <row r="1958" customFormat="false" ht="16.4" hidden="false" customHeight="false" outlineLevel="0" collapsed="false">
      <c r="A1958" s="13" t="str">
        <f aca="false">""</f>
        <v/>
      </c>
      <c r="B1958" s="13" t="n">
        <f aca="false">124</f>
        <v>124</v>
      </c>
      <c r="C1958" s="13" t="n">
        <f aca="false">IF(Szenarien!$H$16="OK",(IFERROR(SUMIF(Nutzungsprofile!$B$6:$B$11,"Schulbetrieb",Nutzungsprofile!$G$6:$G$11)*Kalender!C128/SUM(Kalender!$C$5:$C$370),0)+IFERROR(SUMIF(Nutzungsprofile!$B$6:$B$11,"Halle",Nutzungsprofile!$G$6:$G$11)*Kalender!D128/SUM(Kalender!$D$5:$D$370),0)+IFERROR(SUMIF(Nutzungsprofile!$B$6:$B$11,"Individuell",Nutzungsprofile!$G$6:$G$11)*Kalender!E128/SUM(Kalender!$E$5:$E$370),0))*Szenarien!$E$16,0)</f>
        <v>2.94</v>
      </c>
      <c r="D1958" s="13" t="n">
        <f aca="false">IF(Szenarien!$H$16="OK",(IFERROR(SUMIF(Nutzungsprofile!$B$17:$B$22,"Schulbetrieb",Nutzungsprofile!$G$17:$G$22)*Kalender!C128/SUM(Kalender!$C$5:$C$370),0)+IFERROR(SUMIF(Nutzungsprofile!$B$17:$B$22,"Halle",Nutzungsprofile!$G$17:$G$22)*Kalender!D128/SUM(Kalender!$D$5:$D$370),0)+IFERROR(SUMIF(Nutzungsprofile!$B$17:$B$22,"Individuell",Nutzungsprofile!$G$17:$G$22)*Kalender!E128/SUM(Kalender!$E$5:$E$370),0))*Szenarien!$D$16,0)</f>
        <v>4.94</v>
      </c>
      <c r="E1958" s="13" t="n">
        <f aca="false">IFERROR(MIN(C1958,Eingaben!$B$17)*Eingaben!$B$16,0)</f>
        <v>2.793</v>
      </c>
      <c r="F1958" s="13" t="n">
        <f aca="false">IFERROR(E1958*Eingaben!$B$15,0)</f>
        <v>2.5137</v>
      </c>
      <c r="G1958" s="13" t="n">
        <f aca="false">IFERROR(IF(Kalender!A128="",0,J1957*(1-Eingaben!$B$20)),0)</f>
        <v>1.709316</v>
      </c>
      <c r="H1958" s="13" t="n">
        <f aca="false">MIN(G1958,D1958)</f>
        <v>1.709316</v>
      </c>
      <c r="I1958" s="13" t="n">
        <f aca="false">IFERROR(MIN(F1958*Eingaben!$B$19,MAX(0,D1958-H1958)),0)</f>
        <v>1.75959</v>
      </c>
      <c r="J1958" s="13" t="n">
        <f aca="false">IFERROR(MIN(Eingaben!$B$18,MAX(0,F1958-I1958)),0)</f>
        <v>0.75411</v>
      </c>
      <c r="K1958" s="13" t="n">
        <f aca="false">H1958+I1958</f>
        <v>3.468906</v>
      </c>
      <c r="L1958" s="13" t="n">
        <f aca="false">MAX(0,D1958-K1958)</f>
        <v>1.471094</v>
      </c>
      <c r="M1958" s="13" t="n">
        <f aca="false">MAX(0,F1958-I1958-J1958)</f>
        <v>0</v>
      </c>
      <c r="N1958" s="13" t="n">
        <f aca="false">IF(Kalender!A128="",0,J1957-H1958)</f>
        <v>0.0348840000000001</v>
      </c>
    </row>
    <row r="1959" customFormat="false" ht="16.4" hidden="false" customHeight="false" outlineLevel="0" collapsed="false">
      <c r="A1959" s="13" t="str">
        <f aca="false">""</f>
        <v/>
      </c>
      <c r="B1959" s="13" t="n">
        <f aca="false">125</f>
        <v>125</v>
      </c>
      <c r="C1959" s="13" t="n">
        <f aca="false">IF(Szenarien!$H$16="OK",(IFERROR(SUMIF(Nutzungsprofile!$B$6:$B$11,"Schulbetrieb",Nutzungsprofile!$G$6:$G$11)*Kalender!C129/SUM(Kalender!$C$5:$C$370),0)+IFERROR(SUMIF(Nutzungsprofile!$B$6:$B$11,"Halle",Nutzungsprofile!$G$6:$G$11)*Kalender!D129/SUM(Kalender!$D$5:$D$370),0)+IFERROR(SUMIF(Nutzungsprofile!$B$6:$B$11,"Individuell",Nutzungsprofile!$G$6:$G$11)*Kalender!E129/SUM(Kalender!$E$5:$E$370),0))*Szenarien!$E$16,0)</f>
        <v>2.94</v>
      </c>
      <c r="D1959" s="13" t="n">
        <f aca="false">IF(Szenarien!$H$16="OK",(IFERROR(SUMIF(Nutzungsprofile!$B$17:$B$22,"Schulbetrieb",Nutzungsprofile!$G$17:$G$22)*Kalender!C129/SUM(Kalender!$C$5:$C$370),0)+IFERROR(SUMIF(Nutzungsprofile!$B$17:$B$22,"Halle",Nutzungsprofile!$G$17:$G$22)*Kalender!D129/SUM(Kalender!$D$5:$D$370),0)+IFERROR(SUMIF(Nutzungsprofile!$B$17:$B$22,"Individuell",Nutzungsprofile!$G$17:$G$22)*Kalender!E129/SUM(Kalender!$E$5:$E$370),0))*Szenarien!$D$16,0)</f>
        <v>4.94</v>
      </c>
      <c r="E1959" s="13" t="n">
        <f aca="false">IFERROR(MIN(C1959,Eingaben!$B$17)*Eingaben!$B$16,0)</f>
        <v>2.793</v>
      </c>
      <c r="F1959" s="13" t="n">
        <f aca="false">IFERROR(E1959*Eingaben!$B$15,0)</f>
        <v>2.5137</v>
      </c>
      <c r="G1959" s="13" t="n">
        <f aca="false">IFERROR(IF(Kalender!A129="",0,J1958*(1-Eingaben!$B$20)),0)</f>
        <v>0.7390278</v>
      </c>
      <c r="H1959" s="13" t="n">
        <f aca="false">MIN(G1959,D1959)</f>
        <v>0.7390278</v>
      </c>
      <c r="I1959" s="13" t="n">
        <f aca="false">IFERROR(MIN(F1959*Eingaben!$B$19,MAX(0,D1959-H1959)),0)</f>
        <v>1.75959</v>
      </c>
      <c r="J1959" s="13" t="n">
        <f aca="false">IFERROR(MIN(Eingaben!$B$18,MAX(0,F1959-I1959)),0)</f>
        <v>0.75411</v>
      </c>
      <c r="K1959" s="13" t="n">
        <f aca="false">H1959+I1959</f>
        <v>2.4986178</v>
      </c>
      <c r="L1959" s="13" t="n">
        <f aca="false">MAX(0,D1959-K1959)</f>
        <v>2.4413822</v>
      </c>
      <c r="M1959" s="13" t="n">
        <f aca="false">MAX(0,F1959-I1959-J1959)</f>
        <v>0</v>
      </c>
      <c r="N1959" s="13" t="n">
        <f aca="false">IF(Kalender!A129="",0,J1958-H1959)</f>
        <v>0.0150822</v>
      </c>
    </row>
    <row r="1960" customFormat="false" ht="16.4" hidden="false" customHeight="false" outlineLevel="0" collapsed="false">
      <c r="A1960" s="13" t="str">
        <f aca="false">""</f>
        <v/>
      </c>
      <c r="B1960" s="13" t="n">
        <f aca="false">126</f>
        <v>126</v>
      </c>
      <c r="C1960" s="13" t="n">
        <f aca="false">IF(Szenarien!$H$16="OK",(IFERROR(SUMIF(Nutzungsprofile!$B$6:$B$11,"Schulbetrieb",Nutzungsprofile!$G$6:$G$11)*Kalender!C130/SUM(Kalender!$C$5:$C$370),0)+IFERROR(SUMIF(Nutzungsprofile!$B$6:$B$11,"Halle",Nutzungsprofile!$G$6:$G$11)*Kalender!D130/SUM(Kalender!$D$5:$D$370),0)+IFERROR(SUMIF(Nutzungsprofile!$B$6:$B$11,"Individuell",Nutzungsprofile!$G$6:$G$11)*Kalender!E130/SUM(Kalender!$E$5:$E$370),0))*Szenarien!$E$16,0)</f>
        <v>2.94</v>
      </c>
      <c r="D1960" s="13" t="n">
        <f aca="false">IF(Szenarien!$H$16="OK",(IFERROR(SUMIF(Nutzungsprofile!$B$17:$B$22,"Schulbetrieb",Nutzungsprofile!$G$17:$G$22)*Kalender!C130/SUM(Kalender!$C$5:$C$370),0)+IFERROR(SUMIF(Nutzungsprofile!$B$17:$B$22,"Halle",Nutzungsprofile!$G$17:$G$22)*Kalender!D130/SUM(Kalender!$D$5:$D$370),0)+IFERROR(SUMIF(Nutzungsprofile!$B$17:$B$22,"Individuell",Nutzungsprofile!$G$17:$G$22)*Kalender!E130/SUM(Kalender!$E$5:$E$370),0))*Szenarien!$D$16,0)</f>
        <v>4.94</v>
      </c>
      <c r="E1960" s="13" t="n">
        <f aca="false">IFERROR(MIN(C1960,Eingaben!$B$17)*Eingaben!$B$16,0)</f>
        <v>2.793</v>
      </c>
      <c r="F1960" s="13" t="n">
        <f aca="false">IFERROR(E1960*Eingaben!$B$15,0)</f>
        <v>2.5137</v>
      </c>
      <c r="G1960" s="13" t="n">
        <f aca="false">IFERROR(IF(Kalender!A130="",0,J1959*(1-Eingaben!$B$20)),0)</f>
        <v>0.7390278</v>
      </c>
      <c r="H1960" s="13" t="n">
        <f aca="false">MIN(G1960,D1960)</f>
        <v>0.7390278</v>
      </c>
      <c r="I1960" s="13" t="n">
        <f aca="false">IFERROR(MIN(F1960*Eingaben!$B$19,MAX(0,D1960-H1960)),0)</f>
        <v>1.75959</v>
      </c>
      <c r="J1960" s="13" t="n">
        <f aca="false">IFERROR(MIN(Eingaben!$B$18,MAX(0,F1960-I1960)),0)</f>
        <v>0.75411</v>
      </c>
      <c r="K1960" s="13" t="n">
        <f aca="false">H1960+I1960</f>
        <v>2.4986178</v>
      </c>
      <c r="L1960" s="13" t="n">
        <f aca="false">MAX(0,D1960-K1960)</f>
        <v>2.4413822</v>
      </c>
      <c r="M1960" s="13" t="n">
        <f aca="false">MAX(0,F1960-I1960-J1960)</f>
        <v>0</v>
      </c>
      <c r="N1960" s="13" t="n">
        <f aca="false">IF(Kalender!A130="",0,J1959-H1960)</f>
        <v>0.0150822</v>
      </c>
    </row>
    <row r="1961" customFormat="false" ht="16.4" hidden="false" customHeight="false" outlineLevel="0" collapsed="false">
      <c r="A1961" s="13" t="str">
        <f aca="false">""</f>
        <v/>
      </c>
      <c r="B1961" s="13" t="n">
        <f aca="false">127</f>
        <v>127</v>
      </c>
      <c r="C1961" s="13" t="n">
        <f aca="false">IF(Szenarien!$H$16="OK",(IFERROR(SUMIF(Nutzungsprofile!$B$6:$B$11,"Schulbetrieb",Nutzungsprofile!$G$6:$G$11)*Kalender!C131/SUM(Kalender!$C$5:$C$370),0)+IFERROR(SUMIF(Nutzungsprofile!$B$6:$B$11,"Halle",Nutzungsprofile!$G$6:$G$11)*Kalender!D131/SUM(Kalender!$D$5:$D$370),0)+IFERROR(SUMIF(Nutzungsprofile!$B$6:$B$11,"Individuell",Nutzungsprofile!$G$6:$G$11)*Kalender!E131/SUM(Kalender!$E$5:$E$370),0))*Szenarien!$E$16,0)</f>
        <v>2.94</v>
      </c>
      <c r="D1961" s="13" t="n">
        <f aca="false">IF(Szenarien!$H$16="OK",(IFERROR(SUMIF(Nutzungsprofile!$B$17:$B$22,"Schulbetrieb",Nutzungsprofile!$G$17:$G$22)*Kalender!C131/SUM(Kalender!$C$5:$C$370),0)+IFERROR(SUMIF(Nutzungsprofile!$B$17:$B$22,"Halle",Nutzungsprofile!$G$17:$G$22)*Kalender!D131/SUM(Kalender!$D$5:$D$370),0)+IFERROR(SUMIF(Nutzungsprofile!$B$17:$B$22,"Individuell",Nutzungsprofile!$G$17:$G$22)*Kalender!E131/SUM(Kalender!$E$5:$E$370),0))*Szenarien!$D$16,0)</f>
        <v>4.94</v>
      </c>
      <c r="E1961" s="13" t="n">
        <f aca="false">IFERROR(MIN(C1961,Eingaben!$B$17)*Eingaben!$B$16,0)</f>
        <v>2.793</v>
      </c>
      <c r="F1961" s="13" t="n">
        <f aca="false">IFERROR(E1961*Eingaben!$B$15,0)</f>
        <v>2.5137</v>
      </c>
      <c r="G1961" s="13" t="n">
        <f aca="false">IFERROR(IF(Kalender!A131="",0,J1960*(1-Eingaben!$B$20)),0)</f>
        <v>0.7390278</v>
      </c>
      <c r="H1961" s="13" t="n">
        <f aca="false">MIN(G1961,D1961)</f>
        <v>0.7390278</v>
      </c>
      <c r="I1961" s="13" t="n">
        <f aca="false">IFERROR(MIN(F1961*Eingaben!$B$19,MAX(0,D1961-H1961)),0)</f>
        <v>1.75959</v>
      </c>
      <c r="J1961" s="13" t="n">
        <f aca="false">IFERROR(MIN(Eingaben!$B$18,MAX(0,F1961-I1961)),0)</f>
        <v>0.75411</v>
      </c>
      <c r="K1961" s="13" t="n">
        <f aca="false">H1961+I1961</f>
        <v>2.4986178</v>
      </c>
      <c r="L1961" s="13" t="n">
        <f aca="false">MAX(0,D1961-K1961)</f>
        <v>2.4413822</v>
      </c>
      <c r="M1961" s="13" t="n">
        <f aca="false">MAX(0,F1961-I1961-J1961)</f>
        <v>0</v>
      </c>
      <c r="N1961" s="13" t="n">
        <f aca="false">IF(Kalender!A131="",0,J1960-H1961)</f>
        <v>0.0150822</v>
      </c>
    </row>
    <row r="1962" customFormat="false" ht="16.4" hidden="false" customHeight="false" outlineLevel="0" collapsed="false">
      <c r="A1962" s="13" t="str">
        <f aca="false">""</f>
        <v/>
      </c>
      <c r="B1962" s="13" t="n">
        <f aca="false">128</f>
        <v>128</v>
      </c>
      <c r="C1962" s="13" t="n">
        <f aca="false">IF(Szenarien!$H$16="OK",(IFERROR(SUMIF(Nutzungsprofile!$B$6:$B$11,"Schulbetrieb",Nutzungsprofile!$G$6:$G$11)*Kalender!C132/SUM(Kalender!$C$5:$C$370),0)+IFERROR(SUMIF(Nutzungsprofile!$B$6:$B$11,"Halle",Nutzungsprofile!$G$6:$G$11)*Kalender!D132/SUM(Kalender!$D$5:$D$370),0)+IFERROR(SUMIF(Nutzungsprofile!$B$6:$B$11,"Individuell",Nutzungsprofile!$G$6:$G$11)*Kalender!E132/SUM(Kalender!$E$5:$E$370),0))*Szenarien!$E$16,0)</f>
        <v>2.94</v>
      </c>
      <c r="D1962" s="13" t="n">
        <f aca="false">IF(Szenarien!$H$16="OK",(IFERROR(SUMIF(Nutzungsprofile!$B$17:$B$22,"Schulbetrieb",Nutzungsprofile!$G$17:$G$22)*Kalender!C132/SUM(Kalender!$C$5:$C$370),0)+IFERROR(SUMIF(Nutzungsprofile!$B$17:$B$22,"Halle",Nutzungsprofile!$G$17:$G$22)*Kalender!D132/SUM(Kalender!$D$5:$D$370),0)+IFERROR(SUMIF(Nutzungsprofile!$B$17:$B$22,"Individuell",Nutzungsprofile!$G$17:$G$22)*Kalender!E132/SUM(Kalender!$E$5:$E$370),0))*Szenarien!$D$16,0)</f>
        <v>4.94</v>
      </c>
      <c r="E1962" s="13" t="n">
        <f aca="false">IFERROR(MIN(C1962,Eingaben!$B$17)*Eingaben!$B$16,0)</f>
        <v>2.793</v>
      </c>
      <c r="F1962" s="13" t="n">
        <f aca="false">IFERROR(E1962*Eingaben!$B$15,0)</f>
        <v>2.5137</v>
      </c>
      <c r="G1962" s="13" t="n">
        <f aca="false">IFERROR(IF(Kalender!A132="",0,J1961*(1-Eingaben!$B$20)),0)</f>
        <v>0.7390278</v>
      </c>
      <c r="H1962" s="13" t="n">
        <f aca="false">MIN(G1962,D1962)</f>
        <v>0.7390278</v>
      </c>
      <c r="I1962" s="13" t="n">
        <f aca="false">IFERROR(MIN(F1962*Eingaben!$B$19,MAX(0,D1962-H1962)),0)</f>
        <v>1.75959</v>
      </c>
      <c r="J1962" s="13" t="n">
        <f aca="false">IFERROR(MIN(Eingaben!$B$18,MAX(0,F1962-I1962)),0)</f>
        <v>0.75411</v>
      </c>
      <c r="K1962" s="13" t="n">
        <f aca="false">H1962+I1962</f>
        <v>2.4986178</v>
      </c>
      <c r="L1962" s="13" t="n">
        <f aca="false">MAX(0,D1962-K1962)</f>
        <v>2.4413822</v>
      </c>
      <c r="M1962" s="13" t="n">
        <f aca="false">MAX(0,F1962-I1962-J1962)</f>
        <v>0</v>
      </c>
      <c r="N1962" s="13" t="n">
        <f aca="false">IF(Kalender!A132="",0,J1961-H1962)</f>
        <v>0.0150822</v>
      </c>
    </row>
    <row r="1963" customFormat="false" ht="16.4" hidden="false" customHeight="false" outlineLevel="0" collapsed="false">
      <c r="A1963" s="13" t="str">
        <f aca="false">""</f>
        <v/>
      </c>
      <c r="B1963" s="13" t="n">
        <f aca="false">129</f>
        <v>129</v>
      </c>
      <c r="C1963" s="13" t="n">
        <f aca="false">IF(Szenarien!$H$16="OK",(IFERROR(SUMIF(Nutzungsprofile!$B$6:$B$11,"Schulbetrieb",Nutzungsprofile!$G$6:$G$11)*Kalender!C133/SUM(Kalender!$C$5:$C$370),0)+IFERROR(SUMIF(Nutzungsprofile!$B$6:$B$11,"Halle",Nutzungsprofile!$G$6:$G$11)*Kalender!D133/SUM(Kalender!$D$5:$D$370),0)+IFERROR(SUMIF(Nutzungsprofile!$B$6:$B$11,"Individuell",Nutzungsprofile!$G$6:$G$11)*Kalender!E133/SUM(Kalender!$E$5:$E$370),0))*Szenarien!$E$16,0)</f>
        <v>2.04</v>
      </c>
      <c r="D1963" s="13" t="n">
        <f aca="false">IF(Szenarien!$H$16="OK",(IFERROR(SUMIF(Nutzungsprofile!$B$17:$B$22,"Schulbetrieb",Nutzungsprofile!$G$17:$G$22)*Kalender!C133/SUM(Kalender!$C$5:$C$370),0)+IFERROR(SUMIF(Nutzungsprofile!$B$17:$B$22,"Halle",Nutzungsprofile!$G$17:$G$22)*Kalender!D133/SUM(Kalender!$D$5:$D$370),0)+IFERROR(SUMIF(Nutzungsprofile!$B$17:$B$22,"Individuell",Nutzungsprofile!$G$17:$G$22)*Kalender!E133/SUM(Kalender!$E$5:$E$370),0))*Szenarien!$D$16,0)</f>
        <v>0.89</v>
      </c>
      <c r="E1963" s="13" t="n">
        <f aca="false">IFERROR(MIN(C1963,Eingaben!$B$17)*Eingaben!$B$16,0)</f>
        <v>1.938</v>
      </c>
      <c r="F1963" s="13" t="n">
        <f aca="false">IFERROR(E1963*Eingaben!$B$15,0)</f>
        <v>1.7442</v>
      </c>
      <c r="G1963" s="13" t="n">
        <f aca="false">IFERROR(IF(Kalender!A133="",0,J1962*(1-Eingaben!$B$20)),0)</f>
        <v>0.7390278</v>
      </c>
      <c r="H1963" s="13" t="n">
        <f aca="false">MIN(G1963,D1963)</f>
        <v>0.7390278</v>
      </c>
      <c r="I1963" s="13" t="n">
        <f aca="false">IFERROR(MIN(F1963*Eingaben!$B$19,MAX(0,D1963-H1963)),0)</f>
        <v>0.1509722</v>
      </c>
      <c r="J1963" s="13" t="n">
        <f aca="false">IFERROR(MIN(Eingaben!$B$18,MAX(0,F1963-I1963)),0)</f>
        <v>1.5932278</v>
      </c>
      <c r="K1963" s="13" t="n">
        <f aca="false">H1963+I1963</f>
        <v>0.89</v>
      </c>
      <c r="L1963" s="13" t="n">
        <f aca="false">MAX(0,D1963-K1963)</f>
        <v>0</v>
      </c>
      <c r="M1963" s="13" t="n">
        <f aca="false">MAX(0,F1963-I1963-J1963)</f>
        <v>0</v>
      </c>
      <c r="N1963" s="13" t="n">
        <f aca="false">IF(Kalender!A133="",0,J1962-H1963)</f>
        <v>0.0150822</v>
      </c>
    </row>
    <row r="1964" customFormat="false" ht="16.4" hidden="false" customHeight="false" outlineLevel="0" collapsed="false">
      <c r="A1964" s="13" t="str">
        <f aca="false">""</f>
        <v/>
      </c>
      <c r="B1964" s="13" t="n">
        <f aca="false">130</f>
        <v>130</v>
      </c>
      <c r="C1964" s="13" t="n">
        <f aca="false">IF(Szenarien!$H$16="OK",(IFERROR(SUMIF(Nutzungsprofile!$B$6:$B$11,"Schulbetrieb",Nutzungsprofile!$G$6:$G$11)*Kalender!C134/SUM(Kalender!$C$5:$C$370),0)+IFERROR(SUMIF(Nutzungsprofile!$B$6:$B$11,"Halle",Nutzungsprofile!$G$6:$G$11)*Kalender!D134/SUM(Kalender!$D$5:$D$370),0)+IFERROR(SUMIF(Nutzungsprofile!$B$6:$B$11,"Individuell",Nutzungsprofile!$G$6:$G$11)*Kalender!E134/SUM(Kalender!$E$5:$E$370),0))*Szenarien!$E$16,0)</f>
        <v>2.04</v>
      </c>
      <c r="D1964" s="13" t="n">
        <f aca="false">IF(Szenarien!$H$16="OK",(IFERROR(SUMIF(Nutzungsprofile!$B$17:$B$22,"Schulbetrieb",Nutzungsprofile!$G$17:$G$22)*Kalender!C134/SUM(Kalender!$C$5:$C$370),0)+IFERROR(SUMIF(Nutzungsprofile!$B$17:$B$22,"Halle",Nutzungsprofile!$G$17:$G$22)*Kalender!D134/SUM(Kalender!$D$5:$D$370),0)+IFERROR(SUMIF(Nutzungsprofile!$B$17:$B$22,"Individuell",Nutzungsprofile!$G$17:$G$22)*Kalender!E134/SUM(Kalender!$E$5:$E$370),0))*Szenarien!$D$16,0)</f>
        <v>0.89</v>
      </c>
      <c r="E1964" s="13" t="n">
        <f aca="false">IFERROR(MIN(C1964,Eingaben!$B$17)*Eingaben!$B$16,0)</f>
        <v>1.938</v>
      </c>
      <c r="F1964" s="13" t="n">
        <f aca="false">IFERROR(E1964*Eingaben!$B$15,0)</f>
        <v>1.7442</v>
      </c>
      <c r="G1964" s="13" t="n">
        <f aca="false">IFERROR(IF(Kalender!A134="",0,J1963*(1-Eingaben!$B$20)),0)</f>
        <v>1.561363244</v>
      </c>
      <c r="H1964" s="13" t="n">
        <f aca="false">MIN(G1964,D1964)</f>
        <v>0.89</v>
      </c>
      <c r="I1964" s="13" t="n">
        <f aca="false">IFERROR(MIN(F1964*Eingaben!$B$19,MAX(0,D1964-H1964)),0)</f>
        <v>0</v>
      </c>
      <c r="J1964" s="13" t="n">
        <f aca="false">IFERROR(MIN(Eingaben!$B$18,MAX(0,F1964-I1964)),0)</f>
        <v>1.7442</v>
      </c>
      <c r="K1964" s="13" t="n">
        <f aca="false">H1964+I1964</f>
        <v>0.89</v>
      </c>
      <c r="L1964" s="13" t="n">
        <f aca="false">MAX(0,D1964-K1964)</f>
        <v>0</v>
      </c>
      <c r="M1964" s="13" t="n">
        <f aca="false">MAX(0,F1964-I1964-J1964)</f>
        <v>0</v>
      </c>
      <c r="N1964" s="13" t="n">
        <f aca="false">IF(Kalender!A134="",0,J1963-H1964)</f>
        <v>0.7032278</v>
      </c>
    </row>
    <row r="1965" customFormat="false" ht="16.4" hidden="false" customHeight="false" outlineLevel="0" collapsed="false">
      <c r="A1965" s="13" t="str">
        <f aca="false">""</f>
        <v/>
      </c>
      <c r="B1965" s="13" t="n">
        <f aca="false">131</f>
        <v>131</v>
      </c>
      <c r="C1965" s="13" t="n">
        <f aca="false">IF(Szenarien!$H$16="OK",(IFERROR(SUMIF(Nutzungsprofile!$B$6:$B$11,"Schulbetrieb",Nutzungsprofile!$G$6:$G$11)*Kalender!C135/SUM(Kalender!$C$5:$C$370),0)+IFERROR(SUMIF(Nutzungsprofile!$B$6:$B$11,"Halle",Nutzungsprofile!$G$6:$G$11)*Kalender!D135/SUM(Kalender!$D$5:$D$370),0)+IFERROR(SUMIF(Nutzungsprofile!$B$6:$B$11,"Individuell",Nutzungsprofile!$G$6:$G$11)*Kalender!E135/SUM(Kalender!$E$5:$E$370),0))*Szenarien!$E$16,0)</f>
        <v>2.94</v>
      </c>
      <c r="D1965" s="13" t="n">
        <f aca="false">IF(Szenarien!$H$16="OK",(IFERROR(SUMIF(Nutzungsprofile!$B$17:$B$22,"Schulbetrieb",Nutzungsprofile!$G$17:$G$22)*Kalender!C135/SUM(Kalender!$C$5:$C$370),0)+IFERROR(SUMIF(Nutzungsprofile!$B$17:$B$22,"Halle",Nutzungsprofile!$G$17:$G$22)*Kalender!D135/SUM(Kalender!$D$5:$D$370),0)+IFERROR(SUMIF(Nutzungsprofile!$B$17:$B$22,"Individuell",Nutzungsprofile!$G$17:$G$22)*Kalender!E135/SUM(Kalender!$E$5:$E$370),0))*Szenarien!$D$16,0)</f>
        <v>4.94</v>
      </c>
      <c r="E1965" s="13" t="n">
        <f aca="false">IFERROR(MIN(C1965,Eingaben!$B$17)*Eingaben!$B$16,0)</f>
        <v>2.793</v>
      </c>
      <c r="F1965" s="13" t="n">
        <f aca="false">IFERROR(E1965*Eingaben!$B$15,0)</f>
        <v>2.5137</v>
      </c>
      <c r="G1965" s="13" t="n">
        <f aca="false">IFERROR(IF(Kalender!A135="",0,J1964*(1-Eingaben!$B$20)),0)</f>
        <v>1.709316</v>
      </c>
      <c r="H1965" s="13" t="n">
        <f aca="false">MIN(G1965,D1965)</f>
        <v>1.709316</v>
      </c>
      <c r="I1965" s="13" t="n">
        <f aca="false">IFERROR(MIN(F1965*Eingaben!$B$19,MAX(0,D1965-H1965)),0)</f>
        <v>1.75959</v>
      </c>
      <c r="J1965" s="13" t="n">
        <f aca="false">IFERROR(MIN(Eingaben!$B$18,MAX(0,F1965-I1965)),0)</f>
        <v>0.75411</v>
      </c>
      <c r="K1965" s="13" t="n">
        <f aca="false">H1965+I1965</f>
        <v>3.468906</v>
      </c>
      <c r="L1965" s="13" t="n">
        <f aca="false">MAX(0,D1965-K1965)</f>
        <v>1.471094</v>
      </c>
      <c r="M1965" s="13" t="n">
        <f aca="false">MAX(0,F1965-I1965-J1965)</f>
        <v>0</v>
      </c>
      <c r="N1965" s="13" t="n">
        <f aca="false">IF(Kalender!A135="",0,J1964-H1965)</f>
        <v>0.0348840000000001</v>
      </c>
    </row>
    <row r="1966" customFormat="false" ht="16.4" hidden="false" customHeight="false" outlineLevel="0" collapsed="false">
      <c r="A1966" s="13" t="str">
        <f aca="false">""</f>
        <v/>
      </c>
      <c r="B1966" s="13" t="n">
        <f aca="false">132</f>
        <v>132</v>
      </c>
      <c r="C1966" s="13" t="n">
        <f aca="false">IF(Szenarien!$H$16="OK",(IFERROR(SUMIF(Nutzungsprofile!$B$6:$B$11,"Schulbetrieb",Nutzungsprofile!$G$6:$G$11)*Kalender!C136/SUM(Kalender!$C$5:$C$370),0)+IFERROR(SUMIF(Nutzungsprofile!$B$6:$B$11,"Halle",Nutzungsprofile!$G$6:$G$11)*Kalender!D136/SUM(Kalender!$D$5:$D$370),0)+IFERROR(SUMIF(Nutzungsprofile!$B$6:$B$11,"Individuell",Nutzungsprofile!$G$6:$G$11)*Kalender!E136/SUM(Kalender!$E$5:$E$370),0))*Szenarien!$E$16,0)</f>
        <v>2.94</v>
      </c>
      <c r="D1966" s="13" t="n">
        <f aca="false">IF(Szenarien!$H$16="OK",(IFERROR(SUMIF(Nutzungsprofile!$B$17:$B$22,"Schulbetrieb",Nutzungsprofile!$G$17:$G$22)*Kalender!C136/SUM(Kalender!$C$5:$C$370),0)+IFERROR(SUMIF(Nutzungsprofile!$B$17:$B$22,"Halle",Nutzungsprofile!$G$17:$G$22)*Kalender!D136/SUM(Kalender!$D$5:$D$370),0)+IFERROR(SUMIF(Nutzungsprofile!$B$17:$B$22,"Individuell",Nutzungsprofile!$G$17:$G$22)*Kalender!E136/SUM(Kalender!$E$5:$E$370),0))*Szenarien!$D$16,0)</f>
        <v>4.94</v>
      </c>
      <c r="E1966" s="13" t="n">
        <f aca="false">IFERROR(MIN(C1966,Eingaben!$B$17)*Eingaben!$B$16,0)</f>
        <v>2.793</v>
      </c>
      <c r="F1966" s="13" t="n">
        <f aca="false">IFERROR(E1966*Eingaben!$B$15,0)</f>
        <v>2.5137</v>
      </c>
      <c r="G1966" s="13" t="n">
        <f aca="false">IFERROR(IF(Kalender!A136="",0,J1965*(1-Eingaben!$B$20)),0)</f>
        <v>0.7390278</v>
      </c>
      <c r="H1966" s="13" t="n">
        <f aca="false">MIN(G1966,D1966)</f>
        <v>0.7390278</v>
      </c>
      <c r="I1966" s="13" t="n">
        <f aca="false">IFERROR(MIN(F1966*Eingaben!$B$19,MAX(0,D1966-H1966)),0)</f>
        <v>1.75959</v>
      </c>
      <c r="J1966" s="13" t="n">
        <f aca="false">IFERROR(MIN(Eingaben!$B$18,MAX(0,F1966-I1966)),0)</f>
        <v>0.75411</v>
      </c>
      <c r="K1966" s="13" t="n">
        <f aca="false">H1966+I1966</f>
        <v>2.4986178</v>
      </c>
      <c r="L1966" s="13" t="n">
        <f aca="false">MAX(0,D1966-K1966)</f>
        <v>2.4413822</v>
      </c>
      <c r="M1966" s="13" t="n">
        <f aca="false">MAX(0,F1966-I1966-J1966)</f>
        <v>0</v>
      </c>
      <c r="N1966" s="13" t="n">
        <f aca="false">IF(Kalender!A136="",0,J1965-H1966)</f>
        <v>0.0150822</v>
      </c>
    </row>
    <row r="1967" customFormat="false" ht="16.4" hidden="false" customHeight="false" outlineLevel="0" collapsed="false">
      <c r="A1967" s="13" t="str">
        <f aca="false">""</f>
        <v/>
      </c>
      <c r="B1967" s="13" t="n">
        <f aca="false">133</f>
        <v>133</v>
      </c>
      <c r="C1967" s="13" t="n">
        <f aca="false">IF(Szenarien!$H$16="OK",(IFERROR(SUMIF(Nutzungsprofile!$B$6:$B$11,"Schulbetrieb",Nutzungsprofile!$G$6:$G$11)*Kalender!C137/SUM(Kalender!$C$5:$C$370),0)+IFERROR(SUMIF(Nutzungsprofile!$B$6:$B$11,"Halle",Nutzungsprofile!$G$6:$G$11)*Kalender!D137/SUM(Kalender!$D$5:$D$370),0)+IFERROR(SUMIF(Nutzungsprofile!$B$6:$B$11,"Individuell",Nutzungsprofile!$G$6:$G$11)*Kalender!E137/SUM(Kalender!$E$5:$E$370),0))*Szenarien!$E$16,0)</f>
        <v>2.94</v>
      </c>
      <c r="D1967" s="13" t="n">
        <f aca="false">IF(Szenarien!$H$16="OK",(IFERROR(SUMIF(Nutzungsprofile!$B$17:$B$22,"Schulbetrieb",Nutzungsprofile!$G$17:$G$22)*Kalender!C137/SUM(Kalender!$C$5:$C$370),0)+IFERROR(SUMIF(Nutzungsprofile!$B$17:$B$22,"Halle",Nutzungsprofile!$G$17:$G$22)*Kalender!D137/SUM(Kalender!$D$5:$D$370),0)+IFERROR(SUMIF(Nutzungsprofile!$B$17:$B$22,"Individuell",Nutzungsprofile!$G$17:$G$22)*Kalender!E137/SUM(Kalender!$E$5:$E$370),0))*Szenarien!$D$16,0)</f>
        <v>4.94</v>
      </c>
      <c r="E1967" s="13" t="n">
        <f aca="false">IFERROR(MIN(C1967,Eingaben!$B$17)*Eingaben!$B$16,0)</f>
        <v>2.793</v>
      </c>
      <c r="F1967" s="13" t="n">
        <f aca="false">IFERROR(E1967*Eingaben!$B$15,0)</f>
        <v>2.5137</v>
      </c>
      <c r="G1967" s="13" t="n">
        <f aca="false">IFERROR(IF(Kalender!A137="",0,J1966*(1-Eingaben!$B$20)),0)</f>
        <v>0.7390278</v>
      </c>
      <c r="H1967" s="13" t="n">
        <f aca="false">MIN(G1967,D1967)</f>
        <v>0.7390278</v>
      </c>
      <c r="I1967" s="13" t="n">
        <f aca="false">IFERROR(MIN(F1967*Eingaben!$B$19,MAX(0,D1967-H1967)),0)</f>
        <v>1.75959</v>
      </c>
      <c r="J1967" s="13" t="n">
        <f aca="false">IFERROR(MIN(Eingaben!$B$18,MAX(0,F1967-I1967)),0)</f>
        <v>0.75411</v>
      </c>
      <c r="K1967" s="13" t="n">
        <f aca="false">H1967+I1967</f>
        <v>2.4986178</v>
      </c>
      <c r="L1967" s="13" t="n">
        <f aca="false">MAX(0,D1967-K1967)</f>
        <v>2.4413822</v>
      </c>
      <c r="M1967" s="13" t="n">
        <f aca="false">MAX(0,F1967-I1967-J1967)</f>
        <v>0</v>
      </c>
      <c r="N1967" s="13" t="n">
        <f aca="false">IF(Kalender!A137="",0,J1966-H1967)</f>
        <v>0.0150822</v>
      </c>
    </row>
    <row r="1968" customFormat="false" ht="16.4" hidden="false" customHeight="false" outlineLevel="0" collapsed="false">
      <c r="A1968" s="13" t="str">
        <f aca="false">""</f>
        <v/>
      </c>
      <c r="B1968" s="13" t="n">
        <f aca="false">134</f>
        <v>134</v>
      </c>
      <c r="C1968" s="13" t="n">
        <f aca="false">IF(Szenarien!$H$16="OK",(IFERROR(SUMIF(Nutzungsprofile!$B$6:$B$11,"Schulbetrieb",Nutzungsprofile!$G$6:$G$11)*Kalender!C138/SUM(Kalender!$C$5:$C$370),0)+IFERROR(SUMIF(Nutzungsprofile!$B$6:$B$11,"Halle",Nutzungsprofile!$G$6:$G$11)*Kalender!D138/SUM(Kalender!$D$5:$D$370),0)+IFERROR(SUMIF(Nutzungsprofile!$B$6:$B$11,"Individuell",Nutzungsprofile!$G$6:$G$11)*Kalender!E138/SUM(Kalender!$E$5:$E$370),0))*Szenarien!$E$16,0)</f>
        <v>2.94</v>
      </c>
      <c r="D1968" s="13" t="n">
        <f aca="false">IF(Szenarien!$H$16="OK",(IFERROR(SUMIF(Nutzungsprofile!$B$17:$B$22,"Schulbetrieb",Nutzungsprofile!$G$17:$G$22)*Kalender!C138/SUM(Kalender!$C$5:$C$370),0)+IFERROR(SUMIF(Nutzungsprofile!$B$17:$B$22,"Halle",Nutzungsprofile!$G$17:$G$22)*Kalender!D138/SUM(Kalender!$D$5:$D$370),0)+IFERROR(SUMIF(Nutzungsprofile!$B$17:$B$22,"Individuell",Nutzungsprofile!$G$17:$G$22)*Kalender!E138/SUM(Kalender!$E$5:$E$370),0))*Szenarien!$D$16,0)</f>
        <v>4.94</v>
      </c>
      <c r="E1968" s="13" t="n">
        <f aca="false">IFERROR(MIN(C1968,Eingaben!$B$17)*Eingaben!$B$16,0)</f>
        <v>2.793</v>
      </c>
      <c r="F1968" s="13" t="n">
        <f aca="false">IFERROR(E1968*Eingaben!$B$15,0)</f>
        <v>2.5137</v>
      </c>
      <c r="G1968" s="13" t="n">
        <f aca="false">IFERROR(IF(Kalender!A138="",0,J1967*(1-Eingaben!$B$20)),0)</f>
        <v>0.7390278</v>
      </c>
      <c r="H1968" s="13" t="n">
        <f aca="false">MIN(G1968,D1968)</f>
        <v>0.7390278</v>
      </c>
      <c r="I1968" s="13" t="n">
        <f aca="false">IFERROR(MIN(F1968*Eingaben!$B$19,MAX(0,D1968-H1968)),0)</f>
        <v>1.75959</v>
      </c>
      <c r="J1968" s="13" t="n">
        <f aca="false">IFERROR(MIN(Eingaben!$B$18,MAX(0,F1968-I1968)),0)</f>
        <v>0.75411</v>
      </c>
      <c r="K1968" s="13" t="n">
        <f aca="false">H1968+I1968</f>
        <v>2.4986178</v>
      </c>
      <c r="L1968" s="13" t="n">
        <f aca="false">MAX(0,D1968-K1968)</f>
        <v>2.4413822</v>
      </c>
      <c r="M1968" s="13" t="n">
        <f aca="false">MAX(0,F1968-I1968-J1968)</f>
        <v>0</v>
      </c>
      <c r="N1968" s="13" t="n">
        <f aca="false">IF(Kalender!A138="",0,J1967-H1968)</f>
        <v>0.0150822</v>
      </c>
    </row>
    <row r="1969" customFormat="false" ht="16.4" hidden="false" customHeight="false" outlineLevel="0" collapsed="false">
      <c r="A1969" s="13" t="str">
        <f aca="false">""</f>
        <v/>
      </c>
      <c r="B1969" s="13" t="n">
        <f aca="false">135</f>
        <v>135</v>
      </c>
      <c r="C1969" s="13" t="n">
        <f aca="false">IF(Szenarien!$H$16="OK",(IFERROR(SUMIF(Nutzungsprofile!$B$6:$B$11,"Schulbetrieb",Nutzungsprofile!$G$6:$G$11)*Kalender!C139/SUM(Kalender!$C$5:$C$370),0)+IFERROR(SUMIF(Nutzungsprofile!$B$6:$B$11,"Halle",Nutzungsprofile!$G$6:$G$11)*Kalender!D139/SUM(Kalender!$D$5:$D$370),0)+IFERROR(SUMIF(Nutzungsprofile!$B$6:$B$11,"Individuell",Nutzungsprofile!$G$6:$G$11)*Kalender!E139/SUM(Kalender!$E$5:$E$370),0))*Szenarien!$E$16,0)</f>
        <v>2.94</v>
      </c>
      <c r="D1969" s="13" t="n">
        <f aca="false">IF(Szenarien!$H$16="OK",(IFERROR(SUMIF(Nutzungsprofile!$B$17:$B$22,"Schulbetrieb",Nutzungsprofile!$G$17:$G$22)*Kalender!C139/SUM(Kalender!$C$5:$C$370),0)+IFERROR(SUMIF(Nutzungsprofile!$B$17:$B$22,"Halle",Nutzungsprofile!$G$17:$G$22)*Kalender!D139/SUM(Kalender!$D$5:$D$370),0)+IFERROR(SUMIF(Nutzungsprofile!$B$17:$B$22,"Individuell",Nutzungsprofile!$G$17:$G$22)*Kalender!E139/SUM(Kalender!$E$5:$E$370),0))*Szenarien!$D$16,0)</f>
        <v>4.94</v>
      </c>
      <c r="E1969" s="13" t="n">
        <f aca="false">IFERROR(MIN(C1969,Eingaben!$B$17)*Eingaben!$B$16,0)</f>
        <v>2.793</v>
      </c>
      <c r="F1969" s="13" t="n">
        <f aca="false">IFERROR(E1969*Eingaben!$B$15,0)</f>
        <v>2.5137</v>
      </c>
      <c r="G1969" s="13" t="n">
        <f aca="false">IFERROR(IF(Kalender!A139="",0,J1968*(1-Eingaben!$B$20)),0)</f>
        <v>0.7390278</v>
      </c>
      <c r="H1969" s="13" t="n">
        <f aca="false">MIN(G1969,D1969)</f>
        <v>0.7390278</v>
      </c>
      <c r="I1969" s="13" t="n">
        <f aca="false">IFERROR(MIN(F1969*Eingaben!$B$19,MAX(0,D1969-H1969)),0)</f>
        <v>1.75959</v>
      </c>
      <c r="J1969" s="13" t="n">
        <f aca="false">IFERROR(MIN(Eingaben!$B$18,MAX(0,F1969-I1969)),0)</f>
        <v>0.75411</v>
      </c>
      <c r="K1969" s="13" t="n">
        <f aca="false">H1969+I1969</f>
        <v>2.4986178</v>
      </c>
      <c r="L1969" s="13" t="n">
        <f aca="false">MAX(0,D1969-K1969)</f>
        <v>2.4413822</v>
      </c>
      <c r="M1969" s="13" t="n">
        <f aca="false">MAX(0,F1969-I1969-J1969)</f>
        <v>0</v>
      </c>
      <c r="N1969" s="13" t="n">
        <f aca="false">IF(Kalender!A139="",0,J1968-H1969)</f>
        <v>0.0150822</v>
      </c>
    </row>
    <row r="1970" customFormat="false" ht="16.4" hidden="false" customHeight="false" outlineLevel="0" collapsed="false">
      <c r="A1970" s="13" t="str">
        <f aca="false">""</f>
        <v/>
      </c>
      <c r="B1970" s="13" t="n">
        <f aca="false">136</f>
        <v>136</v>
      </c>
      <c r="C1970" s="13" t="n">
        <f aca="false">IF(Szenarien!$H$16="OK",(IFERROR(SUMIF(Nutzungsprofile!$B$6:$B$11,"Schulbetrieb",Nutzungsprofile!$G$6:$G$11)*Kalender!C140/SUM(Kalender!$C$5:$C$370),0)+IFERROR(SUMIF(Nutzungsprofile!$B$6:$B$11,"Halle",Nutzungsprofile!$G$6:$G$11)*Kalender!D140/SUM(Kalender!$D$5:$D$370),0)+IFERROR(SUMIF(Nutzungsprofile!$B$6:$B$11,"Individuell",Nutzungsprofile!$G$6:$G$11)*Kalender!E140/SUM(Kalender!$E$5:$E$370),0))*Szenarien!$E$16,0)</f>
        <v>2.04</v>
      </c>
      <c r="D1970" s="13" t="n">
        <f aca="false">IF(Szenarien!$H$16="OK",(IFERROR(SUMIF(Nutzungsprofile!$B$17:$B$22,"Schulbetrieb",Nutzungsprofile!$G$17:$G$22)*Kalender!C140/SUM(Kalender!$C$5:$C$370),0)+IFERROR(SUMIF(Nutzungsprofile!$B$17:$B$22,"Halle",Nutzungsprofile!$G$17:$G$22)*Kalender!D140/SUM(Kalender!$D$5:$D$370),0)+IFERROR(SUMIF(Nutzungsprofile!$B$17:$B$22,"Individuell",Nutzungsprofile!$G$17:$G$22)*Kalender!E140/SUM(Kalender!$E$5:$E$370),0))*Szenarien!$D$16,0)</f>
        <v>0.89</v>
      </c>
      <c r="E1970" s="13" t="n">
        <f aca="false">IFERROR(MIN(C1970,Eingaben!$B$17)*Eingaben!$B$16,0)</f>
        <v>1.938</v>
      </c>
      <c r="F1970" s="13" t="n">
        <f aca="false">IFERROR(E1970*Eingaben!$B$15,0)</f>
        <v>1.7442</v>
      </c>
      <c r="G1970" s="13" t="n">
        <f aca="false">IFERROR(IF(Kalender!A140="",0,J1969*(1-Eingaben!$B$20)),0)</f>
        <v>0.7390278</v>
      </c>
      <c r="H1970" s="13" t="n">
        <f aca="false">MIN(G1970,D1970)</f>
        <v>0.7390278</v>
      </c>
      <c r="I1970" s="13" t="n">
        <f aca="false">IFERROR(MIN(F1970*Eingaben!$B$19,MAX(0,D1970-H1970)),0)</f>
        <v>0.1509722</v>
      </c>
      <c r="J1970" s="13" t="n">
        <f aca="false">IFERROR(MIN(Eingaben!$B$18,MAX(0,F1970-I1970)),0)</f>
        <v>1.5932278</v>
      </c>
      <c r="K1970" s="13" t="n">
        <f aca="false">H1970+I1970</f>
        <v>0.89</v>
      </c>
      <c r="L1970" s="13" t="n">
        <f aca="false">MAX(0,D1970-K1970)</f>
        <v>0</v>
      </c>
      <c r="M1970" s="13" t="n">
        <f aca="false">MAX(0,F1970-I1970-J1970)</f>
        <v>0</v>
      </c>
      <c r="N1970" s="13" t="n">
        <f aca="false">IF(Kalender!A140="",0,J1969-H1970)</f>
        <v>0.0150822</v>
      </c>
    </row>
    <row r="1971" customFormat="false" ht="16.4" hidden="false" customHeight="false" outlineLevel="0" collapsed="false">
      <c r="A1971" s="13" t="str">
        <f aca="false">""</f>
        <v/>
      </c>
      <c r="B1971" s="13" t="n">
        <f aca="false">137</f>
        <v>137</v>
      </c>
      <c r="C1971" s="13" t="n">
        <f aca="false">IF(Szenarien!$H$16="OK",(IFERROR(SUMIF(Nutzungsprofile!$B$6:$B$11,"Schulbetrieb",Nutzungsprofile!$G$6:$G$11)*Kalender!C141/SUM(Kalender!$C$5:$C$370),0)+IFERROR(SUMIF(Nutzungsprofile!$B$6:$B$11,"Halle",Nutzungsprofile!$G$6:$G$11)*Kalender!D141/SUM(Kalender!$D$5:$D$370),0)+IFERROR(SUMIF(Nutzungsprofile!$B$6:$B$11,"Individuell",Nutzungsprofile!$G$6:$G$11)*Kalender!E141/SUM(Kalender!$E$5:$E$370),0))*Szenarien!$E$16,0)</f>
        <v>2.04</v>
      </c>
      <c r="D1971" s="13" t="n">
        <f aca="false">IF(Szenarien!$H$16="OK",(IFERROR(SUMIF(Nutzungsprofile!$B$17:$B$22,"Schulbetrieb",Nutzungsprofile!$G$17:$G$22)*Kalender!C141/SUM(Kalender!$C$5:$C$370),0)+IFERROR(SUMIF(Nutzungsprofile!$B$17:$B$22,"Halle",Nutzungsprofile!$G$17:$G$22)*Kalender!D141/SUM(Kalender!$D$5:$D$370),0)+IFERROR(SUMIF(Nutzungsprofile!$B$17:$B$22,"Individuell",Nutzungsprofile!$G$17:$G$22)*Kalender!E141/SUM(Kalender!$E$5:$E$370),0))*Szenarien!$D$16,0)</f>
        <v>0.89</v>
      </c>
      <c r="E1971" s="13" t="n">
        <f aca="false">IFERROR(MIN(C1971,Eingaben!$B$17)*Eingaben!$B$16,0)</f>
        <v>1.938</v>
      </c>
      <c r="F1971" s="13" t="n">
        <f aca="false">IFERROR(E1971*Eingaben!$B$15,0)</f>
        <v>1.7442</v>
      </c>
      <c r="G1971" s="13" t="n">
        <f aca="false">IFERROR(IF(Kalender!A141="",0,J1970*(1-Eingaben!$B$20)),0)</f>
        <v>1.561363244</v>
      </c>
      <c r="H1971" s="13" t="n">
        <f aca="false">MIN(G1971,D1971)</f>
        <v>0.89</v>
      </c>
      <c r="I1971" s="13" t="n">
        <f aca="false">IFERROR(MIN(F1971*Eingaben!$B$19,MAX(0,D1971-H1971)),0)</f>
        <v>0</v>
      </c>
      <c r="J1971" s="13" t="n">
        <f aca="false">IFERROR(MIN(Eingaben!$B$18,MAX(0,F1971-I1971)),0)</f>
        <v>1.7442</v>
      </c>
      <c r="K1971" s="13" t="n">
        <f aca="false">H1971+I1971</f>
        <v>0.89</v>
      </c>
      <c r="L1971" s="13" t="n">
        <f aca="false">MAX(0,D1971-K1971)</f>
        <v>0</v>
      </c>
      <c r="M1971" s="13" t="n">
        <f aca="false">MAX(0,F1971-I1971-J1971)</f>
        <v>0</v>
      </c>
      <c r="N1971" s="13" t="n">
        <f aca="false">IF(Kalender!A141="",0,J1970-H1971)</f>
        <v>0.7032278</v>
      </c>
    </row>
    <row r="1972" customFormat="false" ht="16.4" hidden="false" customHeight="false" outlineLevel="0" collapsed="false">
      <c r="A1972" s="13" t="str">
        <f aca="false">""</f>
        <v/>
      </c>
      <c r="B1972" s="13" t="n">
        <f aca="false">138</f>
        <v>138</v>
      </c>
      <c r="C1972" s="13" t="n">
        <f aca="false">IF(Szenarien!$H$16="OK",(IFERROR(SUMIF(Nutzungsprofile!$B$6:$B$11,"Schulbetrieb",Nutzungsprofile!$G$6:$G$11)*Kalender!C142/SUM(Kalender!$C$5:$C$370),0)+IFERROR(SUMIF(Nutzungsprofile!$B$6:$B$11,"Halle",Nutzungsprofile!$G$6:$G$11)*Kalender!D142/SUM(Kalender!$D$5:$D$370),0)+IFERROR(SUMIF(Nutzungsprofile!$B$6:$B$11,"Individuell",Nutzungsprofile!$G$6:$G$11)*Kalender!E142/SUM(Kalender!$E$5:$E$370),0))*Szenarien!$E$16,0)</f>
        <v>2.94</v>
      </c>
      <c r="D1972" s="13" t="n">
        <f aca="false">IF(Szenarien!$H$16="OK",(IFERROR(SUMIF(Nutzungsprofile!$B$17:$B$22,"Schulbetrieb",Nutzungsprofile!$G$17:$G$22)*Kalender!C142/SUM(Kalender!$C$5:$C$370),0)+IFERROR(SUMIF(Nutzungsprofile!$B$17:$B$22,"Halle",Nutzungsprofile!$G$17:$G$22)*Kalender!D142/SUM(Kalender!$D$5:$D$370),0)+IFERROR(SUMIF(Nutzungsprofile!$B$17:$B$22,"Individuell",Nutzungsprofile!$G$17:$G$22)*Kalender!E142/SUM(Kalender!$E$5:$E$370),0))*Szenarien!$D$16,0)</f>
        <v>4.94</v>
      </c>
      <c r="E1972" s="13" t="n">
        <f aca="false">IFERROR(MIN(C1972,Eingaben!$B$17)*Eingaben!$B$16,0)</f>
        <v>2.793</v>
      </c>
      <c r="F1972" s="13" t="n">
        <f aca="false">IFERROR(E1972*Eingaben!$B$15,0)</f>
        <v>2.5137</v>
      </c>
      <c r="G1972" s="13" t="n">
        <f aca="false">IFERROR(IF(Kalender!A142="",0,J1971*(1-Eingaben!$B$20)),0)</f>
        <v>1.709316</v>
      </c>
      <c r="H1972" s="13" t="n">
        <f aca="false">MIN(G1972,D1972)</f>
        <v>1.709316</v>
      </c>
      <c r="I1972" s="13" t="n">
        <f aca="false">IFERROR(MIN(F1972*Eingaben!$B$19,MAX(0,D1972-H1972)),0)</f>
        <v>1.75959</v>
      </c>
      <c r="J1972" s="13" t="n">
        <f aca="false">IFERROR(MIN(Eingaben!$B$18,MAX(0,F1972-I1972)),0)</f>
        <v>0.75411</v>
      </c>
      <c r="K1972" s="13" t="n">
        <f aca="false">H1972+I1972</f>
        <v>3.468906</v>
      </c>
      <c r="L1972" s="13" t="n">
        <f aca="false">MAX(0,D1972-K1972)</f>
        <v>1.471094</v>
      </c>
      <c r="M1972" s="13" t="n">
        <f aca="false">MAX(0,F1972-I1972-J1972)</f>
        <v>0</v>
      </c>
      <c r="N1972" s="13" t="n">
        <f aca="false">IF(Kalender!A142="",0,J1971-H1972)</f>
        <v>0.0348840000000001</v>
      </c>
    </row>
    <row r="1973" customFormat="false" ht="16.4" hidden="false" customHeight="false" outlineLevel="0" collapsed="false">
      <c r="A1973" s="13" t="str">
        <f aca="false">""</f>
        <v/>
      </c>
      <c r="B1973" s="13" t="n">
        <f aca="false">139</f>
        <v>139</v>
      </c>
      <c r="C1973" s="13" t="n">
        <f aca="false">IF(Szenarien!$H$16="OK",(IFERROR(SUMIF(Nutzungsprofile!$B$6:$B$11,"Schulbetrieb",Nutzungsprofile!$G$6:$G$11)*Kalender!C143/SUM(Kalender!$C$5:$C$370),0)+IFERROR(SUMIF(Nutzungsprofile!$B$6:$B$11,"Halle",Nutzungsprofile!$G$6:$G$11)*Kalender!D143/SUM(Kalender!$D$5:$D$370),0)+IFERROR(SUMIF(Nutzungsprofile!$B$6:$B$11,"Individuell",Nutzungsprofile!$G$6:$G$11)*Kalender!E143/SUM(Kalender!$E$5:$E$370),0))*Szenarien!$E$16,0)</f>
        <v>2.94</v>
      </c>
      <c r="D1973" s="13" t="n">
        <f aca="false">IF(Szenarien!$H$16="OK",(IFERROR(SUMIF(Nutzungsprofile!$B$17:$B$22,"Schulbetrieb",Nutzungsprofile!$G$17:$G$22)*Kalender!C143/SUM(Kalender!$C$5:$C$370),0)+IFERROR(SUMIF(Nutzungsprofile!$B$17:$B$22,"Halle",Nutzungsprofile!$G$17:$G$22)*Kalender!D143/SUM(Kalender!$D$5:$D$370),0)+IFERROR(SUMIF(Nutzungsprofile!$B$17:$B$22,"Individuell",Nutzungsprofile!$G$17:$G$22)*Kalender!E143/SUM(Kalender!$E$5:$E$370),0))*Szenarien!$D$16,0)</f>
        <v>4.94</v>
      </c>
      <c r="E1973" s="13" t="n">
        <f aca="false">IFERROR(MIN(C1973,Eingaben!$B$17)*Eingaben!$B$16,0)</f>
        <v>2.793</v>
      </c>
      <c r="F1973" s="13" t="n">
        <f aca="false">IFERROR(E1973*Eingaben!$B$15,0)</f>
        <v>2.5137</v>
      </c>
      <c r="G1973" s="13" t="n">
        <f aca="false">IFERROR(IF(Kalender!A143="",0,J1972*(1-Eingaben!$B$20)),0)</f>
        <v>0.7390278</v>
      </c>
      <c r="H1973" s="13" t="n">
        <f aca="false">MIN(G1973,D1973)</f>
        <v>0.7390278</v>
      </c>
      <c r="I1973" s="13" t="n">
        <f aca="false">IFERROR(MIN(F1973*Eingaben!$B$19,MAX(0,D1973-H1973)),0)</f>
        <v>1.75959</v>
      </c>
      <c r="J1973" s="13" t="n">
        <f aca="false">IFERROR(MIN(Eingaben!$B$18,MAX(0,F1973-I1973)),0)</f>
        <v>0.75411</v>
      </c>
      <c r="K1973" s="13" t="n">
        <f aca="false">H1973+I1973</f>
        <v>2.4986178</v>
      </c>
      <c r="L1973" s="13" t="n">
        <f aca="false">MAX(0,D1973-K1973)</f>
        <v>2.4413822</v>
      </c>
      <c r="M1973" s="13" t="n">
        <f aca="false">MAX(0,F1973-I1973-J1973)</f>
        <v>0</v>
      </c>
      <c r="N1973" s="13" t="n">
        <f aca="false">IF(Kalender!A143="",0,J1972-H1973)</f>
        <v>0.0150822</v>
      </c>
    </row>
    <row r="1974" customFormat="false" ht="16.4" hidden="false" customHeight="false" outlineLevel="0" collapsed="false">
      <c r="A1974" s="13" t="str">
        <f aca="false">""</f>
        <v/>
      </c>
      <c r="B1974" s="13" t="n">
        <f aca="false">140</f>
        <v>140</v>
      </c>
      <c r="C1974" s="13" t="n">
        <f aca="false">IF(Szenarien!$H$16="OK",(IFERROR(SUMIF(Nutzungsprofile!$B$6:$B$11,"Schulbetrieb",Nutzungsprofile!$G$6:$G$11)*Kalender!C144/SUM(Kalender!$C$5:$C$370),0)+IFERROR(SUMIF(Nutzungsprofile!$B$6:$B$11,"Halle",Nutzungsprofile!$G$6:$G$11)*Kalender!D144/SUM(Kalender!$D$5:$D$370),0)+IFERROR(SUMIF(Nutzungsprofile!$B$6:$B$11,"Individuell",Nutzungsprofile!$G$6:$G$11)*Kalender!E144/SUM(Kalender!$E$5:$E$370),0))*Szenarien!$E$16,0)</f>
        <v>2.94</v>
      </c>
      <c r="D1974" s="13" t="n">
        <f aca="false">IF(Szenarien!$H$16="OK",(IFERROR(SUMIF(Nutzungsprofile!$B$17:$B$22,"Schulbetrieb",Nutzungsprofile!$G$17:$G$22)*Kalender!C144/SUM(Kalender!$C$5:$C$370),0)+IFERROR(SUMIF(Nutzungsprofile!$B$17:$B$22,"Halle",Nutzungsprofile!$G$17:$G$22)*Kalender!D144/SUM(Kalender!$D$5:$D$370),0)+IFERROR(SUMIF(Nutzungsprofile!$B$17:$B$22,"Individuell",Nutzungsprofile!$G$17:$G$22)*Kalender!E144/SUM(Kalender!$E$5:$E$370),0))*Szenarien!$D$16,0)</f>
        <v>4.94</v>
      </c>
      <c r="E1974" s="13" t="n">
        <f aca="false">IFERROR(MIN(C1974,Eingaben!$B$17)*Eingaben!$B$16,0)</f>
        <v>2.793</v>
      </c>
      <c r="F1974" s="13" t="n">
        <f aca="false">IFERROR(E1974*Eingaben!$B$15,0)</f>
        <v>2.5137</v>
      </c>
      <c r="G1974" s="13" t="n">
        <f aca="false">IFERROR(IF(Kalender!A144="",0,J1973*(1-Eingaben!$B$20)),0)</f>
        <v>0.7390278</v>
      </c>
      <c r="H1974" s="13" t="n">
        <f aca="false">MIN(G1974,D1974)</f>
        <v>0.7390278</v>
      </c>
      <c r="I1974" s="13" t="n">
        <f aca="false">IFERROR(MIN(F1974*Eingaben!$B$19,MAX(0,D1974-H1974)),0)</f>
        <v>1.75959</v>
      </c>
      <c r="J1974" s="13" t="n">
        <f aca="false">IFERROR(MIN(Eingaben!$B$18,MAX(0,F1974-I1974)),0)</f>
        <v>0.75411</v>
      </c>
      <c r="K1974" s="13" t="n">
        <f aca="false">H1974+I1974</f>
        <v>2.4986178</v>
      </c>
      <c r="L1974" s="13" t="n">
        <f aca="false">MAX(0,D1974-K1974)</f>
        <v>2.4413822</v>
      </c>
      <c r="M1974" s="13" t="n">
        <f aca="false">MAX(0,F1974-I1974-J1974)</f>
        <v>0</v>
      </c>
      <c r="N1974" s="13" t="n">
        <f aca="false">IF(Kalender!A144="",0,J1973-H1974)</f>
        <v>0.0150822</v>
      </c>
    </row>
    <row r="1975" customFormat="false" ht="16.4" hidden="false" customHeight="false" outlineLevel="0" collapsed="false">
      <c r="A1975" s="13" t="str">
        <f aca="false">""</f>
        <v/>
      </c>
      <c r="B1975" s="13" t="n">
        <f aca="false">141</f>
        <v>141</v>
      </c>
      <c r="C1975" s="13" t="n">
        <f aca="false">IF(Szenarien!$H$16="OK",(IFERROR(SUMIF(Nutzungsprofile!$B$6:$B$11,"Schulbetrieb",Nutzungsprofile!$G$6:$G$11)*Kalender!C145/SUM(Kalender!$C$5:$C$370),0)+IFERROR(SUMIF(Nutzungsprofile!$B$6:$B$11,"Halle",Nutzungsprofile!$G$6:$G$11)*Kalender!D145/SUM(Kalender!$D$5:$D$370),0)+IFERROR(SUMIF(Nutzungsprofile!$B$6:$B$11,"Individuell",Nutzungsprofile!$G$6:$G$11)*Kalender!E145/SUM(Kalender!$E$5:$E$370),0))*Szenarien!$E$16,0)</f>
        <v>2.94</v>
      </c>
      <c r="D1975" s="13" t="n">
        <f aca="false">IF(Szenarien!$H$16="OK",(IFERROR(SUMIF(Nutzungsprofile!$B$17:$B$22,"Schulbetrieb",Nutzungsprofile!$G$17:$G$22)*Kalender!C145/SUM(Kalender!$C$5:$C$370),0)+IFERROR(SUMIF(Nutzungsprofile!$B$17:$B$22,"Halle",Nutzungsprofile!$G$17:$G$22)*Kalender!D145/SUM(Kalender!$D$5:$D$370),0)+IFERROR(SUMIF(Nutzungsprofile!$B$17:$B$22,"Individuell",Nutzungsprofile!$G$17:$G$22)*Kalender!E145/SUM(Kalender!$E$5:$E$370),0))*Szenarien!$D$16,0)</f>
        <v>4.94</v>
      </c>
      <c r="E1975" s="13" t="n">
        <f aca="false">IFERROR(MIN(C1975,Eingaben!$B$17)*Eingaben!$B$16,0)</f>
        <v>2.793</v>
      </c>
      <c r="F1975" s="13" t="n">
        <f aca="false">IFERROR(E1975*Eingaben!$B$15,0)</f>
        <v>2.5137</v>
      </c>
      <c r="G1975" s="13" t="n">
        <f aca="false">IFERROR(IF(Kalender!A145="",0,J1974*(1-Eingaben!$B$20)),0)</f>
        <v>0.7390278</v>
      </c>
      <c r="H1975" s="13" t="n">
        <f aca="false">MIN(G1975,D1975)</f>
        <v>0.7390278</v>
      </c>
      <c r="I1975" s="13" t="n">
        <f aca="false">IFERROR(MIN(F1975*Eingaben!$B$19,MAX(0,D1975-H1975)),0)</f>
        <v>1.75959</v>
      </c>
      <c r="J1975" s="13" t="n">
        <f aca="false">IFERROR(MIN(Eingaben!$B$18,MAX(0,F1975-I1975)),0)</f>
        <v>0.75411</v>
      </c>
      <c r="K1975" s="13" t="n">
        <f aca="false">H1975+I1975</f>
        <v>2.4986178</v>
      </c>
      <c r="L1975" s="13" t="n">
        <f aca="false">MAX(0,D1975-K1975)</f>
        <v>2.4413822</v>
      </c>
      <c r="M1975" s="13" t="n">
        <f aca="false">MAX(0,F1975-I1975-J1975)</f>
        <v>0</v>
      </c>
      <c r="N1975" s="13" t="n">
        <f aca="false">IF(Kalender!A145="",0,J1974-H1975)</f>
        <v>0.0150822</v>
      </c>
    </row>
    <row r="1976" customFormat="false" ht="16.4" hidden="false" customHeight="false" outlineLevel="0" collapsed="false">
      <c r="A1976" s="13" t="str">
        <f aca="false">""</f>
        <v/>
      </c>
      <c r="B1976" s="13" t="n">
        <f aca="false">142</f>
        <v>142</v>
      </c>
      <c r="C1976" s="13" t="n">
        <f aca="false">IF(Szenarien!$H$16="OK",(IFERROR(SUMIF(Nutzungsprofile!$B$6:$B$11,"Schulbetrieb",Nutzungsprofile!$G$6:$G$11)*Kalender!C146/SUM(Kalender!$C$5:$C$370),0)+IFERROR(SUMIF(Nutzungsprofile!$B$6:$B$11,"Halle",Nutzungsprofile!$G$6:$G$11)*Kalender!D146/SUM(Kalender!$D$5:$D$370),0)+IFERROR(SUMIF(Nutzungsprofile!$B$6:$B$11,"Individuell",Nutzungsprofile!$G$6:$G$11)*Kalender!E146/SUM(Kalender!$E$5:$E$370),0))*Szenarien!$E$16,0)</f>
        <v>2.94</v>
      </c>
      <c r="D1976" s="13" t="n">
        <f aca="false">IF(Szenarien!$H$16="OK",(IFERROR(SUMIF(Nutzungsprofile!$B$17:$B$22,"Schulbetrieb",Nutzungsprofile!$G$17:$G$22)*Kalender!C146/SUM(Kalender!$C$5:$C$370),0)+IFERROR(SUMIF(Nutzungsprofile!$B$17:$B$22,"Halle",Nutzungsprofile!$G$17:$G$22)*Kalender!D146/SUM(Kalender!$D$5:$D$370),0)+IFERROR(SUMIF(Nutzungsprofile!$B$17:$B$22,"Individuell",Nutzungsprofile!$G$17:$G$22)*Kalender!E146/SUM(Kalender!$E$5:$E$370),0))*Szenarien!$D$16,0)</f>
        <v>4.94</v>
      </c>
      <c r="E1976" s="13" t="n">
        <f aca="false">IFERROR(MIN(C1976,Eingaben!$B$17)*Eingaben!$B$16,0)</f>
        <v>2.793</v>
      </c>
      <c r="F1976" s="13" t="n">
        <f aca="false">IFERROR(E1976*Eingaben!$B$15,0)</f>
        <v>2.5137</v>
      </c>
      <c r="G1976" s="13" t="n">
        <f aca="false">IFERROR(IF(Kalender!A146="",0,J1975*(1-Eingaben!$B$20)),0)</f>
        <v>0.7390278</v>
      </c>
      <c r="H1976" s="13" t="n">
        <f aca="false">MIN(G1976,D1976)</f>
        <v>0.7390278</v>
      </c>
      <c r="I1976" s="13" t="n">
        <f aca="false">IFERROR(MIN(F1976*Eingaben!$B$19,MAX(0,D1976-H1976)),0)</f>
        <v>1.75959</v>
      </c>
      <c r="J1976" s="13" t="n">
        <f aca="false">IFERROR(MIN(Eingaben!$B$18,MAX(0,F1976-I1976)),0)</f>
        <v>0.75411</v>
      </c>
      <c r="K1976" s="13" t="n">
        <f aca="false">H1976+I1976</f>
        <v>2.4986178</v>
      </c>
      <c r="L1976" s="13" t="n">
        <f aca="false">MAX(0,D1976-K1976)</f>
        <v>2.4413822</v>
      </c>
      <c r="M1976" s="13" t="n">
        <f aca="false">MAX(0,F1976-I1976-J1976)</f>
        <v>0</v>
      </c>
      <c r="N1976" s="13" t="n">
        <f aca="false">IF(Kalender!A146="",0,J1975-H1976)</f>
        <v>0.0150822</v>
      </c>
    </row>
    <row r="1977" customFormat="false" ht="16.4" hidden="false" customHeight="false" outlineLevel="0" collapsed="false">
      <c r="A1977" s="13" t="str">
        <f aca="false">""</f>
        <v/>
      </c>
      <c r="B1977" s="13" t="n">
        <f aca="false">143</f>
        <v>143</v>
      </c>
      <c r="C1977" s="13" t="n">
        <f aca="false">IF(Szenarien!$H$16="OK",(IFERROR(SUMIF(Nutzungsprofile!$B$6:$B$11,"Schulbetrieb",Nutzungsprofile!$G$6:$G$11)*Kalender!C147/SUM(Kalender!$C$5:$C$370),0)+IFERROR(SUMIF(Nutzungsprofile!$B$6:$B$11,"Halle",Nutzungsprofile!$G$6:$G$11)*Kalender!D147/SUM(Kalender!$D$5:$D$370),0)+IFERROR(SUMIF(Nutzungsprofile!$B$6:$B$11,"Individuell",Nutzungsprofile!$G$6:$G$11)*Kalender!E147/SUM(Kalender!$E$5:$E$370),0))*Szenarien!$E$16,0)</f>
        <v>2.04</v>
      </c>
      <c r="D1977" s="13" t="n">
        <f aca="false">IF(Szenarien!$H$16="OK",(IFERROR(SUMIF(Nutzungsprofile!$B$17:$B$22,"Schulbetrieb",Nutzungsprofile!$G$17:$G$22)*Kalender!C147/SUM(Kalender!$C$5:$C$370),0)+IFERROR(SUMIF(Nutzungsprofile!$B$17:$B$22,"Halle",Nutzungsprofile!$G$17:$G$22)*Kalender!D147/SUM(Kalender!$D$5:$D$370),0)+IFERROR(SUMIF(Nutzungsprofile!$B$17:$B$22,"Individuell",Nutzungsprofile!$G$17:$G$22)*Kalender!E147/SUM(Kalender!$E$5:$E$370),0))*Szenarien!$D$16,0)</f>
        <v>0.89</v>
      </c>
      <c r="E1977" s="13" t="n">
        <f aca="false">IFERROR(MIN(C1977,Eingaben!$B$17)*Eingaben!$B$16,0)</f>
        <v>1.938</v>
      </c>
      <c r="F1977" s="13" t="n">
        <f aca="false">IFERROR(E1977*Eingaben!$B$15,0)</f>
        <v>1.7442</v>
      </c>
      <c r="G1977" s="13" t="n">
        <f aca="false">IFERROR(IF(Kalender!A147="",0,J1976*(1-Eingaben!$B$20)),0)</f>
        <v>0.7390278</v>
      </c>
      <c r="H1977" s="13" t="n">
        <f aca="false">MIN(G1977,D1977)</f>
        <v>0.7390278</v>
      </c>
      <c r="I1977" s="13" t="n">
        <f aca="false">IFERROR(MIN(F1977*Eingaben!$B$19,MAX(0,D1977-H1977)),0)</f>
        <v>0.1509722</v>
      </c>
      <c r="J1977" s="13" t="n">
        <f aca="false">IFERROR(MIN(Eingaben!$B$18,MAX(0,F1977-I1977)),0)</f>
        <v>1.5932278</v>
      </c>
      <c r="K1977" s="13" t="n">
        <f aca="false">H1977+I1977</f>
        <v>0.89</v>
      </c>
      <c r="L1977" s="13" t="n">
        <f aca="false">MAX(0,D1977-K1977)</f>
        <v>0</v>
      </c>
      <c r="M1977" s="13" t="n">
        <f aca="false">MAX(0,F1977-I1977-J1977)</f>
        <v>0</v>
      </c>
      <c r="N1977" s="13" t="n">
        <f aca="false">IF(Kalender!A147="",0,J1976-H1977)</f>
        <v>0.0150822</v>
      </c>
    </row>
    <row r="1978" customFormat="false" ht="16.4" hidden="false" customHeight="false" outlineLevel="0" collapsed="false">
      <c r="A1978" s="13" t="str">
        <f aca="false">""</f>
        <v/>
      </c>
      <c r="B1978" s="13" t="n">
        <f aca="false">144</f>
        <v>144</v>
      </c>
      <c r="C1978" s="13" t="n">
        <f aca="false">IF(Szenarien!$H$16="OK",(IFERROR(SUMIF(Nutzungsprofile!$B$6:$B$11,"Schulbetrieb",Nutzungsprofile!$G$6:$G$11)*Kalender!C148/SUM(Kalender!$C$5:$C$370),0)+IFERROR(SUMIF(Nutzungsprofile!$B$6:$B$11,"Halle",Nutzungsprofile!$G$6:$G$11)*Kalender!D148/SUM(Kalender!$D$5:$D$370),0)+IFERROR(SUMIF(Nutzungsprofile!$B$6:$B$11,"Individuell",Nutzungsprofile!$G$6:$G$11)*Kalender!E148/SUM(Kalender!$E$5:$E$370),0))*Szenarien!$E$16,0)</f>
        <v>2.04</v>
      </c>
      <c r="D1978" s="13" t="n">
        <f aca="false">IF(Szenarien!$H$16="OK",(IFERROR(SUMIF(Nutzungsprofile!$B$17:$B$22,"Schulbetrieb",Nutzungsprofile!$G$17:$G$22)*Kalender!C148/SUM(Kalender!$C$5:$C$370),0)+IFERROR(SUMIF(Nutzungsprofile!$B$17:$B$22,"Halle",Nutzungsprofile!$G$17:$G$22)*Kalender!D148/SUM(Kalender!$D$5:$D$370),0)+IFERROR(SUMIF(Nutzungsprofile!$B$17:$B$22,"Individuell",Nutzungsprofile!$G$17:$G$22)*Kalender!E148/SUM(Kalender!$E$5:$E$370),0))*Szenarien!$D$16,0)</f>
        <v>0.89</v>
      </c>
      <c r="E1978" s="13" t="n">
        <f aca="false">IFERROR(MIN(C1978,Eingaben!$B$17)*Eingaben!$B$16,0)</f>
        <v>1.938</v>
      </c>
      <c r="F1978" s="13" t="n">
        <f aca="false">IFERROR(E1978*Eingaben!$B$15,0)</f>
        <v>1.7442</v>
      </c>
      <c r="G1978" s="13" t="n">
        <f aca="false">IFERROR(IF(Kalender!A148="",0,J1977*(1-Eingaben!$B$20)),0)</f>
        <v>1.561363244</v>
      </c>
      <c r="H1978" s="13" t="n">
        <f aca="false">MIN(G1978,D1978)</f>
        <v>0.89</v>
      </c>
      <c r="I1978" s="13" t="n">
        <f aca="false">IFERROR(MIN(F1978*Eingaben!$B$19,MAX(0,D1978-H1978)),0)</f>
        <v>0</v>
      </c>
      <c r="J1978" s="13" t="n">
        <f aca="false">IFERROR(MIN(Eingaben!$B$18,MAX(0,F1978-I1978)),0)</f>
        <v>1.7442</v>
      </c>
      <c r="K1978" s="13" t="n">
        <f aca="false">H1978+I1978</f>
        <v>0.89</v>
      </c>
      <c r="L1978" s="13" t="n">
        <f aca="false">MAX(0,D1978-K1978)</f>
        <v>0</v>
      </c>
      <c r="M1978" s="13" t="n">
        <f aca="false">MAX(0,F1978-I1978-J1978)</f>
        <v>0</v>
      </c>
      <c r="N1978" s="13" t="n">
        <f aca="false">IF(Kalender!A148="",0,J1977-H1978)</f>
        <v>0.7032278</v>
      </c>
    </row>
    <row r="1979" customFormat="false" ht="16.4" hidden="false" customHeight="false" outlineLevel="0" collapsed="false">
      <c r="A1979" s="13" t="str">
        <f aca="false">""</f>
        <v/>
      </c>
      <c r="B1979" s="13" t="n">
        <f aca="false">145</f>
        <v>145</v>
      </c>
      <c r="C1979" s="13" t="n">
        <f aca="false">IF(Szenarien!$H$16="OK",(IFERROR(SUMIF(Nutzungsprofile!$B$6:$B$11,"Schulbetrieb",Nutzungsprofile!$G$6:$G$11)*Kalender!C149/SUM(Kalender!$C$5:$C$370),0)+IFERROR(SUMIF(Nutzungsprofile!$B$6:$B$11,"Halle",Nutzungsprofile!$G$6:$G$11)*Kalender!D149/SUM(Kalender!$D$5:$D$370),0)+IFERROR(SUMIF(Nutzungsprofile!$B$6:$B$11,"Individuell",Nutzungsprofile!$G$6:$G$11)*Kalender!E149/SUM(Kalender!$E$5:$E$370),0))*Szenarien!$E$16,0)</f>
        <v>2.94</v>
      </c>
      <c r="D1979" s="13" t="n">
        <f aca="false">IF(Szenarien!$H$16="OK",(IFERROR(SUMIF(Nutzungsprofile!$B$17:$B$22,"Schulbetrieb",Nutzungsprofile!$G$17:$G$22)*Kalender!C149/SUM(Kalender!$C$5:$C$370),0)+IFERROR(SUMIF(Nutzungsprofile!$B$17:$B$22,"Halle",Nutzungsprofile!$G$17:$G$22)*Kalender!D149/SUM(Kalender!$D$5:$D$370),0)+IFERROR(SUMIF(Nutzungsprofile!$B$17:$B$22,"Individuell",Nutzungsprofile!$G$17:$G$22)*Kalender!E149/SUM(Kalender!$E$5:$E$370),0))*Szenarien!$D$16,0)</f>
        <v>4.94</v>
      </c>
      <c r="E1979" s="13" t="n">
        <f aca="false">IFERROR(MIN(C1979,Eingaben!$B$17)*Eingaben!$B$16,0)</f>
        <v>2.793</v>
      </c>
      <c r="F1979" s="13" t="n">
        <f aca="false">IFERROR(E1979*Eingaben!$B$15,0)</f>
        <v>2.5137</v>
      </c>
      <c r="G1979" s="13" t="n">
        <f aca="false">IFERROR(IF(Kalender!A149="",0,J1978*(1-Eingaben!$B$20)),0)</f>
        <v>1.709316</v>
      </c>
      <c r="H1979" s="13" t="n">
        <f aca="false">MIN(G1979,D1979)</f>
        <v>1.709316</v>
      </c>
      <c r="I1979" s="13" t="n">
        <f aca="false">IFERROR(MIN(F1979*Eingaben!$B$19,MAX(0,D1979-H1979)),0)</f>
        <v>1.75959</v>
      </c>
      <c r="J1979" s="13" t="n">
        <f aca="false">IFERROR(MIN(Eingaben!$B$18,MAX(0,F1979-I1979)),0)</f>
        <v>0.75411</v>
      </c>
      <c r="K1979" s="13" t="n">
        <f aca="false">H1979+I1979</f>
        <v>3.468906</v>
      </c>
      <c r="L1979" s="13" t="n">
        <f aca="false">MAX(0,D1979-K1979)</f>
        <v>1.471094</v>
      </c>
      <c r="M1979" s="13" t="n">
        <f aca="false">MAX(0,F1979-I1979-J1979)</f>
        <v>0</v>
      </c>
      <c r="N1979" s="13" t="n">
        <f aca="false">IF(Kalender!A149="",0,J1978-H1979)</f>
        <v>0.0348840000000001</v>
      </c>
    </row>
    <row r="1980" customFormat="false" ht="16.4" hidden="false" customHeight="false" outlineLevel="0" collapsed="false">
      <c r="A1980" s="13" t="str">
        <f aca="false">""</f>
        <v/>
      </c>
      <c r="B1980" s="13" t="n">
        <f aca="false">146</f>
        <v>146</v>
      </c>
      <c r="C1980" s="13" t="n">
        <f aca="false">IF(Szenarien!$H$16="OK",(IFERROR(SUMIF(Nutzungsprofile!$B$6:$B$11,"Schulbetrieb",Nutzungsprofile!$G$6:$G$11)*Kalender!C150/SUM(Kalender!$C$5:$C$370),0)+IFERROR(SUMIF(Nutzungsprofile!$B$6:$B$11,"Halle",Nutzungsprofile!$G$6:$G$11)*Kalender!D150/SUM(Kalender!$D$5:$D$370),0)+IFERROR(SUMIF(Nutzungsprofile!$B$6:$B$11,"Individuell",Nutzungsprofile!$G$6:$G$11)*Kalender!E150/SUM(Kalender!$E$5:$E$370),0))*Szenarien!$E$16,0)</f>
        <v>2.94</v>
      </c>
      <c r="D1980" s="13" t="n">
        <f aca="false">IF(Szenarien!$H$16="OK",(IFERROR(SUMIF(Nutzungsprofile!$B$17:$B$22,"Schulbetrieb",Nutzungsprofile!$G$17:$G$22)*Kalender!C150/SUM(Kalender!$C$5:$C$370),0)+IFERROR(SUMIF(Nutzungsprofile!$B$17:$B$22,"Halle",Nutzungsprofile!$G$17:$G$22)*Kalender!D150/SUM(Kalender!$D$5:$D$370),0)+IFERROR(SUMIF(Nutzungsprofile!$B$17:$B$22,"Individuell",Nutzungsprofile!$G$17:$G$22)*Kalender!E150/SUM(Kalender!$E$5:$E$370),0))*Szenarien!$D$16,0)</f>
        <v>4.94</v>
      </c>
      <c r="E1980" s="13" t="n">
        <f aca="false">IFERROR(MIN(C1980,Eingaben!$B$17)*Eingaben!$B$16,0)</f>
        <v>2.793</v>
      </c>
      <c r="F1980" s="13" t="n">
        <f aca="false">IFERROR(E1980*Eingaben!$B$15,0)</f>
        <v>2.5137</v>
      </c>
      <c r="G1980" s="13" t="n">
        <f aca="false">IFERROR(IF(Kalender!A150="",0,J1979*(1-Eingaben!$B$20)),0)</f>
        <v>0.7390278</v>
      </c>
      <c r="H1980" s="13" t="n">
        <f aca="false">MIN(G1980,D1980)</f>
        <v>0.7390278</v>
      </c>
      <c r="I1980" s="13" t="n">
        <f aca="false">IFERROR(MIN(F1980*Eingaben!$B$19,MAX(0,D1980-H1980)),0)</f>
        <v>1.75959</v>
      </c>
      <c r="J1980" s="13" t="n">
        <f aca="false">IFERROR(MIN(Eingaben!$B$18,MAX(0,F1980-I1980)),0)</f>
        <v>0.75411</v>
      </c>
      <c r="K1980" s="13" t="n">
        <f aca="false">H1980+I1980</f>
        <v>2.4986178</v>
      </c>
      <c r="L1980" s="13" t="n">
        <f aca="false">MAX(0,D1980-K1980)</f>
        <v>2.4413822</v>
      </c>
      <c r="M1980" s="13" t="n">
        <f aca="false">MAX(0,F1980-I1980-J1980)</f>
        <v>0</v>
      </c>
      <c r="N1980" s="13" t="n">
        <f aca="false">IF(Kalender!A150="",0,J1979-H1980)</f>
        <v>0.0150822</v>
      </c>
    </row>
    <row r="1981" customFormat="false" ht="16.4" hidden="false" customHeight="false" outlineLevel="0" collapsed="false">
      <c r="A1981" s="13" t="str">
        <f aca="false">""</f>
        <v/>
      </c>
      <c r="B1981" s="13" t="n">
        <f aca="false">147</f>
        <v>147</v>
      </c>
      <c r="C1981" s="13" t="n">
        <f aca="false">IF(Szenarien!$H$16="OK",(IFERROR(SUMIF(Nutzungsprofile!$B$6:$B$11,"Schulbetrieb",Nutzungsprofile!$G$6:$G$11)*Kalender!C151/SUM(Kalender!$C$5:$C$370),0)+IFERROR(SUMIF(Nutzungsprofile!$B$6:$B$11,"Halle",Nutzungsprofile!$G$6:$G$11)*Kalender!D151/SUM(Kalender!$D$5:$D$370),0)+IFERROR(SUMIF(Nutzungsprofile!$B$6:$B$11,"Individuell",Nutzungsprofile!$G$6:$G$11)*Kalender!E151/SUM(Kalender!$E$5:$E$370),0))*Szenarien!$E$16,0)</f>
        <v>2.94</v>
      </c>
      <c r="D1981" s="13" t="n">
        <f aca="false">IF(Szenarien!$H$16="OK",(IFERROR(SUMIF(Nutzungsprofile!$B$17:$B$22,"Schulbetrieb",Nutzungsprofile!$G$17:$G$22)*Kalender!C151/SUM(Kalender!$C$5:$C$370),0)+IFERROR(SUMIF(Nutzungsprofile!$B$17:$B$22,"Halle",Nutzungsprofile!$G$17:$G$22)*Kalender!D151/SUM(Kalender!$D$5:$D$370),0)+IFERROR(SUMIF(Nutzungsprofile!$B$17:$B$22,"Individuell",Nutzungsprofile!$G$17:$G$22)*Kalender!E151/SUM(Kalender!$E$5:$E$370),0))*Szenarien!$D$16,0)</f>
        <v>4.94</v>
      </c>
      <c r="E1981" s="13" t="n">
        <f aca="false">IFERROR(MIN(C1981,Eingaben!$B$17)*Eingaben!$B$16,0)</f>
        <v>2.793</v>
      </c>
      <c r="F1981" s="13" t="n">
        <f aca="false">IFERROR(E1981*Eingaben!$B$15,0)</f>
        <v>2.5137</v>
      </c>
      <c r="G1981" s="13" t="n">
        <f aca="false">IFERROR(IF(Kalender!A151="",0,J1980*(1-Eingaben!$B$20)),0)</f>
        <v>0.7390278</v>
      </c>
      <c r="H1981" s="13" t="n">
        <f aca="false">MIN(G1981,D1981)</f>
        <v>0.7390278</v>
      </c>
      <c r="I1981" s="13" t="n">
        <f aca="false">IFERROR(MIN(F1981*Eingaben!$B$19,MAX(0,D1981-H1981)),0)</f>
        <v>1.75959</v>
      </c>
      <c r="J1981" s="13" t="n">
        <f aca="false">IFERROR(MIN(Eingaben!$B$18,MAX(0,F1981-I1981)),0)</f>
        <v>0.75411</v>
      </c>
      <c r="K1981" s="13" t="n">
        <f aca="false">H1981+I1981</f>
        <v>2.4986178</v>
      </c>
      <c r="L1981" s="13" t="n">
        <f aca="false">MAX(0,D1981-K1981)</f>
        <v>2.4413822</v>
      </c>
      <c r="M1981" s="13" t="n">
        <f aca="false">MAX(0,F1981-I1981-J1981)</f>
        <v>0</v>
      </c>
      <c r="N1981" s="13" t="n">
        <f aca="false">IF(Kalender!A151="",0,J1980-H1981)</f>
        <v>0.0150822</v>
      </c>
    </row>
    <row r="1982" customFormat="false" ht="16.4" hidden="false" customHeight="false" outlineLevel="0" collapsed="false">
      <c r="A1982" s="13" t="str">
        <f aca="false">""</f>
        <v/>
      </c>
      <c r="B1982" s="13" t="n">
        <f aca="false">148</f>
        <v>148</v>
      </c>
      <c r="C1982" s="13" t="n">
        <f aca="false">IF(Szenarien!$H$16="OK",(IFERROR(SUMIF(Nutzungsprofile!$B$6:$B$11,"Schulbetrieb",Nutzungsprofile!$G$6:$G$11)*Kalender!C152/SUM(Kalender!$C$5:$C$370),0)+IFERROR(SUMIF(Nutzungsprofile!$B$6:$B$11,"Halle",Nutzungsprofile!$G$6:$G$11)*Kalender!D152/SUM(Kalender!$D$5:$D$370),0)+IFERROR(SUMIF(Nutzungsprofile!$B$6:$B$11,"Individuell",Nutzungsprofile!$G$6:$G$11)*Kalender!E152/SUM(Kalender!$E$5:$E$370),0))*Szenarien!$E$16,0)</f>
        <v>2.94</v>
      </c>
      <c r="D1982" s="13" t="n">
        <f aca="false">IF(Szenarien!$H$16="OK",(IFERROR(SUMIF(Nutzungsprofile!$B$17:$B$22,"Schulbetrieb",Nutzungsprofile!$G$17:$G$22)*Kalender!C152/SUM(Kalender!$C$5:$C$370),0)+IFERROR(SUMIF(Nutzungsprofile!$B$17:$B$22,"Halle",Nutzungsprofile!$G$17:$G$22)*Kalender!D152/SUM(Kalender!$D$5:$D$370),0)+IFERROR(SUMIF(Nutzungsprofile!$B$17:$B$22,"Individuell",Nutzungsprofile!$G$17:$G$22)*Kalender!E152/SUM(Kalender!$E$5:$E$370),0))*Szenarien!$D$16,0)</f>
        <v>4.94</v>
      </c>
      <c r="E1982" s="13" t="n">
        <f aca="false">IFERROR(MIN(C1982,Eingaben!$B$17)*Eingaben!$B$16,0)</f>
        <v>2.793</v>
      </c>
      <c r="F1982" s="13" t="n">
        <f aca="false">IFERROR(E1982*Eingaben!$B$15,0)</f>
        <v>2.5137</v>
      </c>
      <c r="G1982" s="13" t="n">
        <f aca="false">IFERROR(IF(Kalender!A152="",0,J1981*(1-Eingaben!$B$20)),0)</f>
        <v>0.7390278</v>
      </c>
      <c r="H1982" s="13" t="n">
        <f aca="false">MIN(G1982,D1982)</f>
        <v>0.7390278</v>
      </c>
      <c r="I1982" s="13" t="n">
        <f aca="false">IFERROR(MIN(F1982*Eingaben!$B$19,MAX(0,D1982-H1982)),0)</f>
        <v>1.75959</v>
      </c>
      <c r="J1982" s="13" t="n">
        <f aca="false">IFERROR(MIN(Eingaben!$B$18,MAX(0,F1982-I1982)),0)</f>
        <v>0.75411</v>
      </c>
      <c r="K1982" s="13" t="n">
        <f aca="false">H1982+I1982</f>
        <v>2.4986178</v>
      </c>
      <c r="L1982" s="13" t="n">
        <f aca="false">MAX(0,D1982-K1982)</f>
        <v>2.4413822</v>
      </c>
      <c r="M1982" s="13" t="n">
        <f aca="false">MAX(0,F1982-I1982-J1982)</f>
        <v>0</v>
      </c>
      <c r="N1982" s="13" t="n">
        <f aca="false">IF(Kalender!A152="",0,J1981-H1982)</f>
        <v>0.0150822</v>
      </c>
    </row>
    <row r="1983" customFormat="false" ht="16.4" hidden="false" customHeight="false" outlineLevel="0" collapsed="false">
      <c r="A1983" s="13" t="str">
        <f aca="false">""</f>
        <v/>
      </c>
      <c r="B1983" s="13" t="n">
        <f aca="false">149</f>
        <v>149</v>
      </c>
      <c r="C1983" s="13" t="n">
        <f aca="false">IF(Szenarien!$H$16="OK",(IFERROR(SUMIF(Nutzungsprofile!$B$6:$B$11,"Schulbetrieb",Nutzungsprofile!$G$6:$G$11)*Kalender!C153/SUM(Kalender!$C$5:$C$370),0)+IFERROR(SUMIF(Nutzungsprofile!$B$6:$B$11,"Halle",Nutzungsprofile!$G$6:$G$11)*Kalender!D153/SUM(Kalender!$D$5:$D$370),0)+IFERROR(SUMIF(Nutzungsprofile!$B$6:$B$11,"Individuell",Nutzungsprofile!$G$6:$G$11)*Kalender!E153/SUM(Kalender!$E$5:$E$370),0))*Szenarien!$E$16,0)</f>
        <v>2.94</v>
      </c>
      <c r="D1983" s="13" t="n">
        <f aca="false">IF(Szenarien!$H$16="OK",(IFERROR(SUMIF(Nutzungsprofile!$B$17:$B$22,"Schulbetrieb",Nutzungsprofile!$G$17:$G$22)*Kalender!C153/SUM(Kalender!$C$5:$C$370),0)+IFERROR(SUMIF(Nutzungsprofile!$B$17:$B$22,"Halle",Nutzungsprofile!$G$17:$G$22)*Kalender!D153/SUM(Kalender!$D$5:$D$370),0)+IFERROR(SUMIF(Nutzungsprofile!$B$17:$B$22,"Individuell",Nutzungsprofile!$G$17:$G$22)*Kalender!E153/SUM(Kalender!$E$5:$E$370),0))*Szenarien!$D$16,0)</f>
        <v>4.94</v>
      </c>
      <c r="E1983" s="13" t="n">
        <f aca="false">IFERROR(MIN(C1983,Eingaben!$B$17)*Eingaben!$B$16,0)</f>
        <v>2.793</v>
      </c>
      <c r="F1983" s="13" t="n">
        <f aca="false">IFERROR(E1983*Eingaben!$B$15,0)</f>
        <v>2.5137</v>
      </c>
      <c r="G1983" s="13" t="n">
        <f aca="false">IFERROR(IF(Kalender!A153="",0,J1982*(1-Eingaben!$B$20)),0)</f>
        <v>0.7390278</v>
      </c>
      <c r="H1983" s="13" t="n">
        <f aca="false">MIN(G1983,D1983)</f>
        <v>0.7390278</v>
      </c>
      <c r="I1983" s="13" t="n">
        <f aca="false">IFERROR(MIN(F1983*Eingaben!$B$19,MAX(0,D1983-H1983)),0)</f>
        <v>1.75959</v>
      </c>
      <c r="J1983" s="13" t="n">
        <f aca="false">IFERROR(MIN(Eingaben!$B$18,MAX(0,F1983-I1983)),0)</f>
        <v>0.75411</v>
      </c>
      <c r="K1983" s="13" t="n">
        <f aca="false">H1983+I1983</f>
        <v>2.4986178</v>
      </c>
      <c r="L1983" s="13" t="n">
        <f aca="false">MAX(0,D1983-K1983)</f>
        <v>2.4413822</v>
      </c>
      <c r="M1983" s="13" t="n">
        <f aca="false">MAX(0,F1983-I1983-J1983)</f>
        <v>0</v>
      </c>
      <c r="N1983" s="13" t="n">
        <f aca="false">IF(Kalender!A153="",0,J1982-H1983)</f>
        <v>0.0150822</v>
      </c>
    </row>
    <row r="1984" customFormat="false" ht="16.4" hidden="false" customHeight="false" outlineLevel="0" collapsed="false">
      <c r="A1984" s="13" t="str">
        <f aca="false">""</f>
        <v/>
      </c>
      <c r="B1984" s="13" t="n">
        <f aca="false">150</f>
        <v>150</v>
      </c>
      <c r="C1984" s="13" t="n">
        <f aca="false">IF(Szenarien!$H$16="OK",(IFERROR(SUMIF(Nutzungsprofile!$B$6:$B$11,"Schulbetrieb",Nutzungsprofile!$G$6:$G$11)*Kalender!C154/SUM(Kalender!$C$5:$C$370),0)+IFERROR(SUMIF(Nutzungsprofile!$B$6:$B$11,"Halle",Nutzungsprofile!$G$6:$G$11)*Kalender!D154/SUM(Kalender!$D$5:$D$370),0)+IFERROR(SUMIF(Nutzungsprofile!$B$6:$B$11,"Individuell",Nutzungsprofile!$G$6:$G$11)*Kalender!E154/SUM(Kalender!$E$5:$E$370),0))*Szenarien!$E$16,0)</f>
        <v>2.04</v>
      </c>
      <c r="D1984" s="13" t="n">
        <f aca="false">IF(Szenarien!$H$16="OK",(IFERROR(SUMIF(Nutzungsprofile!$B$17:$B$22,"Schulbetrieb",Nutzungsprofile!$G$17:$G$22)*Kalender!C154/SUM(Kalender!$C$5:$C$370),0)+IFERROR(SUMIF(Nutzungsprofile!$B$17:$B$22,"Halle",Nutzungsprofile!$G$17:$G$22)*Kalender!D154/SUM(Kalender!$D$5:$D$370),0)+IFERROR(SUMIF(Nutzungsprofile!$B$17:$B$22,"Individuell",Nutzungsprofile!$G$17:$G$22)*Kalender!E154/SUM(Kalender!$E$5:$E$370),0))*Szenarien!$D$16,0)</f>
        <v>0.89</v>
      </c>
      <c r="E1984" s="13" t="n">
        <f aca="false">IFERROR(MIN(C1984,Eingaben!$B$17)*Eingaben!$B$16,0)</f>
        <v>1.938</v>
      </c>
      <c r="F1984" s="13" t="n">
        <f aca="false">IFERROR(E1984*Eingaben!$B$15,0)</f>
        <v>1.7442</v>
      </c>
      <c r="G1984" s="13" t="n">
        <f aca="false">IFERROR(IF(Kalender!A154="",0,J1983*(1-Eingaben!$B$20)),0)</f>
        <v>0.7390278</v>
      </c>
      <c r="H1984" s="13" t="n">
        <f aca="false">MIN(G1984,D1984)</f>
        <v>0.7390278</v>
      </c>
      <c r="I1984" s="13" t="n">
        <f aca="false">IFERROR(MIN(F1984*Eingaben!$B$19,MAX(0,D1984-H1984)),0)</f>
        <v>0.1509722</v>
      </c>
      <c r="J1984" s="13" t="n">
        <f aca="false">IFERROR(MIN(Eingaben!$B$18,MAX(0,F1984-I1984)),0)</f>
        <v>1.5932278</v>
      </c>
      <c r="K1984" s="13" t="n">
        <f aca="false">H1984+I1984</f>
        <v>0.89</v>
      </c>
      <c r="L1984" s="13" t="n">
        <f aca="false">MAX(0,D1984-K1984)</f>
        <v>0</v>
      </c>
      <c r="M1984" s="13" t="n">
        <f aca="false">MAX(0,F1984-I1984-J1984)</f>
        <v>0</v>
      </c>
      <c r="N1984" s="13" t="n">
        <f aca="false">IF(Kalender!A154="",0,J1983-H1984)</f>
        <v>0.0150822</v>
      </c>
    </row>
    <row r="1985" customFormat="false" ht="16.4" hidden="false" customHeight="false" outlineLevel="0" collapsed="false">
      <c r="A1985" s="13" t="str">
        <f aca="false">""</f>
        <v/>
      </c>
      <c r="B1985" s="13" t="n">
        <f aca="false">151</f>
        <v>151</v>
      </c>
      <c r="C1985" s="13" t="n">
        <f aca="false">IF(Szenarien!$H$16="OK",(IFERROR(SUMIF(Nutzungsprofile!$B$6:$B$11,"Schulbetrieb",Nutzungsprofile!$G$6:$G$11)*Kalender!C155/SUM(Kalender!$C$5:$C$370),0)+IFERROR(SUMIF(Nutzungsprofile!$B$6:$B$11,"Halle",Nutzungsprofile!$G$6:$G$11)*Kalender!D155/SUM(Kalender!$D$5:$D$370),0)+IFERROR(SUMIF(Nutzungsprofile!$B$6:$B$11,"Individuell",Nutzungsprofile!$G$6:$G$11)*Kalender!E155/SUM(Kalender!$E$5:$E$370),0))*Szenarien!$E$16,0)</f>
        <v>2.04</v>
      </c>
      <c r="D1985" s="13" t="n">
        <f aca="false">IF(Szenarien!$H$16="OK",(IFERROR(SUMIF(Nutzungsprofile!$B$17:$B$22,"Schulbetrieb",Nutzungsprofile!$G$17:$G$22)*Kalender!C155/SUM(Kalender!$C$5:$C$370),0)+IFERROR(SUMIF(Nutzungsprofile!$B$17:$B$22,"Halle",Nutzungsprofile!$G$17:$G$22)*Kalender!D155/SUM(Kalender!$D$5:$D$370),0)+IFERROR(SUMIF(Nutzungsprofile!$B$17:$B$22,"Individuell",Nutzungsprofile!$G$17:$G$22)*Kalender!E155/SUM(Kalender!$E$5:$E$370),0))*Szenarien!$D$16,0)</f>
        <v>0.89</v>
      </c>
      <c r="E1985" s="13" t="n">
        <f aca="false">IFERROR(MIN(C1985,Eingaben!$B$17)*Eingaben!$B$16,0)</f>
        <v>1.938</v>
      </c>
      <c r="F1985" s="13" t="n">
        <f aca="false">IFERROR(E1985*Eingaben!$B$15,0)</f>
        <v>1.7442</v>
      </c>
      <c r="G1985" s="13" t="n">
        <f aca="false">IFERROR(IF(Kalender!A155="",0,J1984*(1-Eingaben!$B$20)),0)</f>
        <v>1.561363244</v>
      </c>
      <c r="H1985" s="13" t="n">
        <f aca="false">MIN(G1985,D1985)</f>
        <v>0.89</v>
      </c>
      <c r="I1985" s="13" t="n">
        <f aca="false">IFERROR(MIN(F1985*Eingaben!$B$19,MAX(0,D1985-H1985)),0)</f>
        <v>0</v>
      </c>
      <c r="J1985" s="13" t="n">
        <f aca="false">IFERROR(MIN(Eingaben!$B$18,MAX(0,F1985-I1985)),0)</f>
        <v>1.7442</v>
      </c>
      <c r="K1985" s="13" t="n">
        <f aca="false">H1985+I1985</f>
        <v>0.89</v>
      </c>
      <c r="L1985" s="13" t="n">
        <f aca="false">MAX(0,D1985-K1985)</f>
        <v>0</v>
      </c>
      <c r="M1985" s="13" t="n">
        <f aca="false">MAX(0,F1985-I1985-J1985)</f>
        <v>0</v>
      </c>
      <c r="N1985" s="13" t="n">
        <f aca="false">IF(Kalender!A155="",0,J1984-H1985)</f>
        <v>0.7032278</v>
      </c>
    </row>
    <row r="1986" customFormat="false" ht="16.4" hidden="false" customHeight="false" outlineLevel="0" collapsed="false">
      <c r="A1986" s="13" t="str">
        <f aca="false">""</f>
        <v/>
      </c>
      <c r="B1986" s="13" t="n">
        <f aca="false">152</f>
        <v>152</v>
      </c>
      <c r="C1986" s="13" t="n">
        <f aca="false">IF(Szenarien!$H$16="OK",(IFERROR(SUMIF(Nutzungsprofile!$B$6:$B$11,"Schulbetrieb",Nutzungsprofile!$G$6:$G$11)*Kalender!C156/SUM(Kalender!$C$5:$C$370),0)+IFERROR(SUMIF(Nutzungsprofile!$B$6:$B$11,"Halle",Nutzungsprofile!$G$6:$G$11)*Kalender!D156/SUM(Kalender!$D$5:$D$370),0)+IFERROR(SUMIF(Nutzungsprofile!$B$6:$B$11,"Individuell",Nutzungsprofile!$G$6:$G$11)*Kalender!E156/SUM(Kalender!$E$5:$E$370),0))*Szenarien!$E$16,0)</f>
        <v>2.94</v>
      </c>
      <c r="D1986" s="13" t="n">
        <f aca="false">IF(Szenarien!$H$16="OK",(IFERROR(SUMIF(Nutzungsprofile!$B$17:$B$22,"Schulbetrieb",Nutzungsprofile!$G$17:$G$22)*Kalender!C156/SUM(Kalender!$C$5:$C$370),0)+IFERROR(SUMIF(Nutzungsprofile!$B$17:$B$22,"Halle",Nutzungsprofile!$G$17:$G$22)*Kalender!D156/SUM(Kalender!$D$5:$D$370),0)+IFERROR(SUMIF(Nutzungsprofile!$B$17:$B$22,"Individuell",Nutzungsprofile!$G$17:$G$22)*Kalender!E156/SUM(Kalender!$E$5:$E$370),0))*Szenarien!$D$16,0)</f>
        <v>4.94</v>
      </c>
      <c r="E1986" s="13" t="n">
        <f aca="false">IFERROR(MIN(C1986,Eingaben!$B$17)*Eingaben!$B$16,0)</f>
        <v>2.793</v>
      </c>
      <c r="F1986" s="13" t="n">
        <f aca="false">IFERROR(E1986*Eingaben!$B$15,0)</f>
        <v>2.5137</v>
      </c>
      <c r="G1986" s="13" t="n">
        <f aca="false">IFERROR(IF(Kalender!A156="",0,J1985*(1-Eingaben!$B$20)),0)</f>
        <v>1.709316</v>
      </c>
      <c r="H1986" s="13" t="n">
        <f aca="false">MIN(G1986,D1986)</f>
        <v>1.709316</v>
      </c>
      <c r="I1986" s="13" t="n">
        <f aca="false">IFERROR(MIN(F1986*Eingaben!$B$19,MAX(0,D1986-H1986)),0)</f>
        <v>1.75959</v>
      </c>
      <c r="J1986" s="13" t="n">
        <f aca="false">IFERROR(MIN(Eingaben!$B$18,MAX(0,F1986-I1986)),0)</f>
        <v>0.75411</v>
      </c>
      <c r="K1986" s="13" t="n">
        <f aca="false">H1986+I1986</f>
        <v>3.468906</v>
      </c>
      <c r="L1986" s="13" t="n">
        <f aca="false">MAX(0,D1986-K1986)</f>
        <v>1.471094</v>
      </c>
      <c r="M1986" s="13" t="n">
        <f aca="false">MAX(0,F1986-I1986-J1986)</f>
        <v>0</v>
      </c>
      <c r="N1986" s="13" t="n">
        <f aca="false">IF(Kalender!A156="",0,J1985-H1986)</f>
        <v>0.0348840000000001</v>
      </c>
    </row>
    <row r="1987" customFormat="false" ht="16.4" hidden="false" customHeight="false" outlineLevel="0" collapsed="false">
      <c r="A1987" s="13" t="str">
        <f aca="false">""</f>
        <v/>
      </c>
      <c r="B1987" s="13" t="n">
        <f aca="false">153</f>
        <v>153</v>
      </c>
      <c r="C1987" s="13" t="n">
        <f aca="false">IF(Szenarien!$H$16="OK",(IFERROR(SUMIF(Nutzungsprofile!$B$6:$B$11,"Schulbetrieb",Nutzungsprofile!$G$6:$G$11)*Kalender!C157/SUM(Kalender!$C$5:$C$370),0)+IFERROR(SUMIF(Nutzungsprofile!$B$6:$B$11,"Halle",Nutzungsprofile!$G$6:$G$11)*Kalender!D157/SUM(Kalender!$D$5:$D$370),0)+IFERROR(SUMIF(Nutzungsprofile!$B$6:$B$11,"Individuell",Nutzungsprofile!$G$6:$G$11)*Kalender!E157/SUM(Kalender!$E$5:$E$370),0))*Szenarien!$E$16,0)</f>
        <v>2.94</v>
      </c>
      <c r="D1987" s="13" t="n">
        <f aca="false">IF(Szenarien!$H$16="OK",(IFERROR(SUMIF(Nutzungsprofile!$B$17:$B$22,"Schulbetrieb",Nutzungsprofile!$G$17:$G$22)*Kalender!C157/SUM(Kalender!$C$5:$C$370),0)+IFERROR(SUMIF(Nutzungsprofile!$B$17:$B$22,"Halle",Nutzungsprofile!$G$17:$G$22)*Kalender!D157/SUM(Kalender!$D$5:$D$370),0)+IFERROR(SUMIF(Nutzungsprofile!$B$17:$B$22,"Individuell",Nutzungsprofile!$G$17:$G$22)*Kalender!E157/SUM(Kalender!$E$5:$E$370),0))*Szenarien!$D$16,0)</f>
        <v>4.94</v>
      </c>
      <c r="E1987" s="13" t="n">
        <f aca="false">IFERROR(MIN(C1987,Eingaben!$B$17)*Eingaben!$B$16,0)</f>
        <v>2.793</v>
      </c>
      <c r="F1987" s="13" t="n">
        <f aca="false">IFERROR(E1987*Eingaben!$B$15,0)</f>
        <v>2.5137</v>
      </c>
      <c r="G1987" s="13" t="n">
        <f aca="false">IFERROR(IF(Kalender!A157="",0,J1986*(1-Eingaben!$B$20)),0)</f>
        <v>0.7390278</v>
      </c>
      <c r="H1987" s="13" t="n">
        <f aca="false">MIN(G1987,D1987)</f>
        <v>0.7390278</v>
      </c>
      <c r="I1987" s="13" t="n">
        <f aca="false">IFERROR(MIN(F1987*Eingaben!$B$19,MAX(0,D1987-H1987)),0)</f>
        <v>1.75959</v>
      </c>
      <c r="J1987" s="13" t="n">
        <f aca="false">IFERROR(MIN(Eingaben!$B$18,MAX(0,F1987-I1987)),0)</f>
        <v>0.75411</v>
      </c>
      <c r="K1987" s="13" t="n">
        <f aca="false">H1987+I1987</f>
        <v>2.4986178</v>
      </c>
      <c r="L1987" s="13" t="n">
        <f aca="false">MAX(0,D1987-K1987)</f>
        <v>2.4413822</v>
      </c>
      <c r="M1987" s="13" t="n">
        <f aca="false">MAX(0,F1987-I1987-J1987)</f>
        <v>0</v>
      </c>
      <c r="N1987" s="13" t="n">
        <f aca="false">IF(Kalender!A157="",0,J1986-H1987)</f>
        <v>0.0150822</v>
      </c>
    </row>
    <row r="1988" customFormat="false" ht="16.4" hidden="false" customHeight="false" outlineLevel="0" collapsed="false">
      <c r="A1988" s="13" t="str">
        <f aca="false">""</f>
        <v/>
      </c>
      <c r="B1988" s="13" t="n">
        <f aca="false">154</f>
        <v>154</v>
      </c>
      <c r="C1988" s="13" t="n">
        <f aca="false">IF(Szenarien!$H$16="OK",(IFERROR(SUMIF(Nutzungsprofile!$B$6:$B$11,"Schulbetrieb",Nutzungsprofile!$G$6:$G$11)*Kalender!C158/SUM(Kalender!$C$5:$C$370),0)+IFERROR(SUMIF(Nutzungsprofile!$B$6:$B$11,"Halle",Nutzungsprofile!$G$6:$G$11)*Kalender!D158/SUM(Kalender!$D$5:$D$370),0)+IFERROR(SUMIF(Nutzungsprofile!$B$6:$B$11,"Individuell",Nutzungsprofile!$G$6:$G$11)*Kalender!E158/SUM(Kalender!$E$5:$E$370),0))*Szenarien!$E$16,0)</f>
        <v>2.94</v>
      </c>
      <c r="D1988" s="13" t="n">
        <f aca="false">IF(Szenarien!$H$16="OK",(IFERROR(SUMIF(Nutzungsprofile!$B$17:$B$22,"Schulbetrieb",Nutzungsprofile!$G$17:$G$22)*Kalender!C158/SUM(Kalender!$C$5:$C$370),0)+IFERROR(SUMIF(Nutzungsprofile!$B$17:$B$22,"Halle",Nutzungsprofile!$G$17:$G$22)*Kalender!D158/SUM(Kalender!$D$5:$D$370),0)+IFERROR(SUMIF(Nutzungsprofile!$B$17:$B$22,"Individuell",Nutzungsprofile!$G$17:$G$22)*Kalender!E158/SUM(Kalender!$E$5:$E$370),0))*Szenarien!$D$16,0)</f>
        <v>4.94</v>
      </c>
      <c r="E1988" s="13" t="n">
        <f aca="false">IFERROR(MIN(C1988,Eingaben!$B$17)*Eingaben!$B$16,0)</f>
        <v>2.793</v>
      </c>
      <c r="F1988" s="13" t="n">
        <f aca="false">IFERROR(E1988*Eingaben!$B$15,0)</f>
        <v>2.5137</v>
      </c>
      <c r="G1988" s="13" t="n">
        <f aca="false">IFERROR(IF(Kalender!A158="",0,J1987*(1-Eingaben!$B$20)),0)</f>
        <v>0.7390278</v>
      </c>
      <c r="H1988" s="13" t="n">
        <f aca="false">MIN(G1988,D1988)</f>
        <v>0.7390278</v>
      </c>
      <c r="I1988" s="13" t="n">
        <f aca="false">IFERROR(MIN(F1988*Eingaben!$B$19,MAX(0,D1988-H1988)),0)</f>
        <v>1.75959</v>
      </c>
      <c r="J1988" s="13" t="n">
        <f aca="false">IFERROR(MIN(Eingaben!$B$18,MAX(0,F1988-I1988)),0)</f>
        <v>0.75411</v>
      </c>
      <c r="K1988" s="13" t="n">
        <f aca="false">H1988+I1988</f>
        <v>2.4986178</v>
      </c>
      <c r="L1988" s="13" t="n">
        <f aca="false">MAX(0,D1988-K1988)</f>
        <v>2.4413822</v>
      </c>
      <c r="M1988" s="13" t="n">
        <f aca="false">MAX(0,F1988-I1988-J1988)</f>
        <v>0</v>
      </c>
      <c r="N1988" s="13" t="n">
        <f aca="false">IF(Kalender!A158="",0,J1987-H1988)</f>
        <v>0.0150822</v>
      </c>
    </row>
    <row r="1989" customFormat="false" ht="16.4" hidden="false" customHeight="false" outlineLevel="0" collapsed="false">
      <c r="A1989" s="13" t="str">
        <f aca="false">""</f>
        <v/>
      </c>
      <c r="B1989" s="13" t="n">
        <f aca="false">155</f>
        <v>155</v>
      </c>
      <c r="C1989" s="13" t="n">
        <f aca="false">IF(Szenarien!$H$16="OK",(IFERROR(SUMIF(Nutzungsprofile!$B$6:$B$11,"Schulbetrieb",Nutzungsprofile!$G$6:$G$11)*Kalender!C159/SUM(Kalender!$C$5:$C$370),0)+IFERROR(SUMIF(Nutzungsprofile!$B$6:$B$11,"Halle",Nutzungsprofile!$G$6:$G$11)*Kalender!D159/SUM(Kalender!$D$5:$D$370),0)+IFERROR(SUMIF(Nutzungsprofile!$B$6:$B$11,"Individuell",Nutzungsprofile!$G$6:$G$11)*Kalender!E159/SUM(Kalender!$E$5:$E$370),0))*Szenarien!$E$16,0)</f>
        <v>2.94</v>
      </c>
      <c r="D1989" s="13" t="n">
        <f aca="false">IF(Szenarien!$H$16="OK",(IFERROR(SUMIF(Nutzungsprofile!$B$17:$B$22,"Schulbetrieb",Nutzungsprofile!$G$17:$G$22)*Kalender!C159/SUM(Kalender!$C$5:$C$370),0)+IFERROR(SUMIF(Nutzungsprofile!$B$17:$B$22,"Halle",Nutzungsprofile!$G$17:$G$22)*Kalender!D159/SUM(Kalender!$D$5:$D$370),0)+IFERROR(SUMIF(Nutzungsprofile!$B$17:$B$22,"Individuell",Nutzungsprofile!$G$17:$G$22)*Kalender!E159/SUM(Kalender!$E$5:$E$370),0))*Szenarien!$D$16,0)</f>
        <v>4.94</v>
      </c>
      <c r="E1989" s="13" t="n">
        <f aca="false">IFERROR(MIN(C1989,Eingaben!$B$17)*Eingaben!$B$16,0)</f>
        <v>2.793</v>
      </c>
      <c r="F1989" s="13" t="n">
        <f aca="false">IFERROR(E1989*Eingaben!$B$15,0)</f>
        <v>2.5137</v>
      </c>
      <c r="G1989" s="13" t="n">
        <f aca="false">IFERROR(IF(Kalender!A159="",0,J1988*(1-Eingaben!$B$20)),0)</f>
        <v>0.7390278</v>
      </c>
      <c r="H1989" s="13" t="n">
        <f aca="false">MIN(G1989,D1989)</f>
        <v>0.7390278</v>
      </c>
      <c r="I1989" s="13" t="n">
        <f aca="false">IFERROR(MIN(F1989*Eingaben!$B$19,MAX(0,D1989-H1989)),0)</f>
        <v>1.75959</v>
      </c>
      <c r="J1989" s="13" t="n">
        <f aca="false">IFERROR(MIN(Eingaben!$B$18,MAX(0,F1989-I1989)),0)</f>
        <v>0.75411</v>
      </c>
      <c r="K1989" s="13" t="n">
        <f aca="false">H1989+I1989</f>
        <v>2.4986178</v>
      </c>
      <c r="L1989" s="13" t="n">
        <f aca="false">MAX(0,D1989-K1989)</f>
        <v>2.4413822</v>
      </c>
      <c r="M1989" s="13" t="n">
        <f aca="false">MAX(0,F1989-I1989-J1989)</f>
        <v>0</v>
      </c>
      <c r="N1989" s="13" t="n">
        <f aca="false">IF(Kalender!A159="",0,J1988-H1989)</f>
        <v>0.0150822</v>
      </c>
    </row>
    <row r="1990" customFormat="false" ht="16.4" hidden="false" customHeight="false" outlineLevel="0" collapsed="false">
      <c r="A1990" s="13" t="str">
        <f aca="false">""</f>
        <v/>
      </c>
      <c r="B1990" s="13" t="n">
        <f aca="false">156</f>
        <v>156</v>
      </c>
      <c r="C1990" s="13" t="n">
        <f aca="false">IF(Szenarien!$H$16="OK",(IFERROR(SUMIF(Nutzungsprofile!$B$6:$B$11,"Schulbetrieb",Nutzungsprofile!$G$6:$G$11)*Kalender!C160/SUM(Kalender!$C$5:$C$370),0)+IFERROR(SUMIF(Nutzungsprofile!$B$6:$B$11,"Halle",Nutzungsprofile!$G$6:$G$11)*Kalender!D160/SUM(Kalender!$D$5:$D$370),0)+IFERROR(SUMIF(Nutzungsprofile!$B$6:$B$11,"Individuell",Nutzungsprofile!$G$6:$G$11)*Kalender!E160/SUM(Kalender!$E$5:$E$370),0))*Szenarien!$E$16,0)</f>
        <v>2.94</v>
      </c>
      <c r="D1990" s="13" t="n">
        <f aca="false">IF(Szenarien!$H$16="OK",(IFERROR(SUMIF(Nutzungsprofile!$B$17:$B$22,"Schulbetrieb",Nutzungsprofile!$G$17:$G$22)*Kalender!C160/SUM(Kalender!$C$5:$C$370),0)+IFERROR(SUMIF(Nutzungsprofile!$B$17:$B$22,"Halle",Nutzungsprofile!$G$17:$G$22)*Kalender!D160/SUM(Kalender!$D$5:$D$370),0)+IFERROR(SUMIF(Nutzungsprofile!$B$17:$B$22,"Individuell",Nutzungsprofile!$G$17:$G$22)*Kalender!E160/SUM(Kalender!$E$5:$E$370),0))*Szenarien!$D$16,0)</f>
        <v>4.94</v>
      </c>
      <c r="E1990" s="13" t="n">
        <f aca="false">IFERROR(MIN(C1990,Eingaben!$B$17)*Eingaben!$B$16,0)</f>
        <v>2.793</v>
      </c>
      <c r="F1990" s="13" t="n">
        <f aca="false">IFERROR(E1990*Eingaben!$B$15,0)</f>
        <v>2.5137</v>
      </c>
      <c r="G1990" s="13" t="n">
        <f aca="false">IFERROR(IF(Kalender!A160="",0,J1989*(1-Eingaben!$B$20)),0)</f>
        <v>0.7390278</v>
      </c>
      <c r="H1990" s="13" t="n">
        <f aca="false">MIN(G1990,D1990)</f>
        <v>0.7390278</v>
      </c>
      <c r="I1990" s="13" t="n">
        <f aca="false">IFERROR(MIN(F1990*Eingaben!$B$19,MAX(0,D1990-H1990)),0)</f>
        <v>1.75959</v>
      </c>
      <c r="J1990" s="13" t="n">
        <f aca="false">IFERROR(MIN(Eingaben!$B$18,MAX(0,F1990-I1990)),0)</f>
        <v>0.75411</v>
      </c>
      <c r="K1990" s="13" t="n">
        <f aca="false">H1990+I1990</f>
        <v>2.4986178</v>
      </c>
      <c r="L1990" s="13" t="n">
        <f aca="false">MAX(0,D1990-K1990)</f>
        <v>2.4413822</v>
      </c>
      <c r="M1990" s="13" t="n">
        <f aca="false">MAX(0,F1990-I1990-J1990)</f>
        <v>0</v>
      </c>
      <c r="N1990" s="13" t="n">
        <f aca="false">IF(Kalender!A160="",0,J1989-H1990)</f>
        <v>0.0150822</v>
      </c>
    </row>
    <row r="1991" customFormat="false" ht="16.4" hidden="false" customHeight="false" outlineLevel="0" collapsed="false">
      <c r="A1991" s="13" t="str">
        <f aca="false">""</f>
        <v/>
      </c>
      <c r="B1991" s="13" t="n">
        <f aca="false">157</f>
        <v>157</v>
      </c>
      <c r="C1991" s="13" t="n">
        <f aca="false">IF(Szenarien!$H$16="OK",(IFERROR(SUMIF(Nutzungsprofile!$B$6:$B$11,"Schulbetrieb",Nutzungsprofile!$G$6:$G$11)*Kalender!C161/SUM(Kalender!$C$5:$C$370),0)+IFERROR(SUMIF(Nutzungsprofile!$B$6:$B$11,"Halle",Nutzungsprofile!$G$6:$G$11)*Kalender!D161/SUM(Kalender!$D$5:$D$370),0)+IFERROR(SUMIF(Nutzungsprofile!$B$6:$B$11,"Individuell",Nutzungsprofile!$G$6:$G$11)*Kalender!E161/SUM(Kalender!$E$5:$E$370),0))*Szenarien!$E$16,0)</f>
        <v>2.04</v>
      </c>
      <c r="D1991" s="13" t="n">
        <f aca="false">IF(Szenarien!$H$16="OK",(IFERROR(SUMIF(Nutzungsprofile!$B$17:$B$22,"Schulbetrieb",Nutzungsprofile!$G$17:$G$22)*Kalender!C161/SUM(Kalender!$C$5:$C$370),0)+IFERROR(SUMIF(Nutzungsprofile!$B$17:$B$22,"Halle",Nutzungsprofile!$G$17:$G$22)*Kalender!D161/SUM(Kalender!$D$5:$D$370),0)+IFERROR(SUMIF(Nutzungsprofile!$B$17:$B$22,"Individuell",Nutzungsprofile!$G$17:$G$22)*Kalender!E161/SUM(Kalender!$E$5:$E$370),0))*Szenarien!$D$16,0)</f>
        <v>0.89</v>
      </c>
      <c r="E1991" s="13" t="n">
        <f aca="false">IFERROR(MIN(C1991,Eingaben!$B$17)*Eingaben!$B$16,0)</f>
        <v>1.938</v>
      </c>
      <c r="F1991" s="13" t="n">
        <f aca="false">IFERROR(E1991*Eingaben!$B$15,0)</f>
        <v>1.7442</v>
      </c>
      <c r="G1991" s="13" t="n">
        <f aca="false">IFERROR(IF(Kalender!A161="",0,J1990*(1-Eingaben!$B$20)),0)</f>
        <v>0.7390278</v>
      </c>
      <c r="H1991" s="13" t="n">
        <f aca="false">MIN(G1991,D1991)</f>
        <v>0.7390278</v>
      </c>
      <c r="I1991" s="13" t="n">
        <f aca="false">IFERROR(MIN(F1991*Eingaben!$B$19,MAX(0,D1991-H1991)),0)</f>
        <v>0.1509722</v>
      </c>
      <c r="J1991" s="13" t="n">
        <f aca="false">IFERROR(MIN(Eingaben!$B$18,MAX(0,F1991-I1991)),0)</f>
        <v>1.5932278</v>
      </c>
      <c r="K1991" s="13" t="n">
        <f aca="false">H1991+I1991</f>
        <v>0.89</v>
      </c>
      <c r="L1991" s="13" t="n">
        <f aca="false">MAX(0,D1991-K1991)</f>
        <v>0</v>
      </c>
      <c r="M1991" s="13" t="n">
        <f aca="false">MAX(0,F1991-I1991-J1991)</f>
        <v>0</v>
      </c>
      <c r="N1991" s="13" t="n">
        <f aca="false">IF(Kalender!A161="",0,J1990-H1991)</f>
        <v>0.0150822</v>
      </c>
    </row>
    <row r="1992" customFormat="false" ht="16.4" hidden="false" customHeight="false" outlineLevel="0" collapsed="false">
      <c r="A1992" s="13" t="str">
        <f aca="false">""</f>
        <v/>
      </c>
      <c r="B1992" s="13" t="n">
        <f aca="false">158</f>
        <v>158</v>
      </c>
      <c r="C1992" s="13" t="n">
        <f aca="false">IF(Szenarien!$H$16="OK",(IFERROR(SUMIF(Nutzungsprofile!$B$6:$B$11,"Schulbetrieb",Nutzungsprofile!$G$6:$G$11)*Kalender!C162/SUM(Kalender!$C$5:$C$370),0)+IFERROR(SUMIF(Nutzungsprofile!$B$6:$B$11,"Halle",Nutzungsprofile!$G$6:$G$11)*Kalender!D162/SUM(Kalender!$D$5:$D$370),0)+IFERROR(SUMIF(Nutzungsprofile!$B$6:$B$11,"Individuell",Nutzungsprofile!$G$6:$G$11)*Kalender!E162/SUM(Kalender!$E$5:$E$370),0))*Szenarien!$E$16,0)</f>
        <v>2.04</v>
      </c>
      <c r="D1992" s="13" t="n">
        <f aca="false">IF(Szenarien!$H$16="OK",(IFERROR(SUMIF(Nutzungsprofile!$B$17:$B$22,"Schulbetrieb",Nutzungsprofile!$G$17:$G$22)*Kalender!C162/SUM(Kalender!$C$5:$C$370),0)+IFERROR(SUMIF(Nutzungsprofile!$B$17:$B$22,"Halle",Nutzungsprofile!$G$17:$G$22)*Kalender!D162/SUM(Kalender!$D$5:$D$370),0)+IFERROR(SUMIF(Nutzungsprofile!$B$17:$B$22,"Individuell",Nutzungsprofile!$G$17:$G$22)*Kalender!E162/SUM(Kalender!$E$5:$E$370),0))*Szenarien!$D$16,0)</f>
        <v>0.89</v>
      </c>
      <c r="E1992" s="13" t="n">
        <f aca="false">IFERROR(MIN(C1992,Eingaben!$B$17)*Eingaben!$B$16,0)</f>
        <v>1.938</v>
      </c>
      <c r="F1992" s="13" t="n">
        <f aca="false">IFERROR(E1992*Eingaben!$B$15,0)</f>
        <v>1.7442</v>
      </c>
      <c r="G1992" s="13" t="n">
        <f aca="false">IFERROR(IF(Kalender!A162="",0,J1991*(1-Eingaben!$B$20)),0)</f>
        <v>1.561363244</v>
      </c>
      <c r="H1992" s="13" t="n">
        <f aca="false">MIN(G1992,D1992)</f>
        <v>0.89</v>
      </c>
      <c r="I1992" s="13" t="n">
        <f aca="false">IFERROR(MIN(F1992*Eingaben!$B$19,MAX(0,D1992-H1992)),0)</f>
        <v>0</v>
      </c>
      <c r="J1992" s="13" t="n">
        <f aca="false">IFERROR(MIN(Eingaben!$B$18,MAX(0,F1992-I1992)),0)</f>
        <v>1.7442</v>
      </c>
      <c r="K1992" s="13" t="n">
        <f aca="false">H1992+I1992</f>
        <v>0.89</v>
      </c>
      <c r="L1992" s="13" t="n">
        <f aca="false">MAX(0,D1992-K1992)</f>
        <v>0</v>
      </c>
      <c r="M1992" s="13" t="n">
        <f aca="false">MAX(0,F1992-I1992-J1992)</f>
        <v>0</v>
      </c>
      <c r="N1992" s="13" t="n">
        <f aca="false">IF(Kalender!A162="",0,J1991-H1992)</f>
        <v>0.7032278</v>
      </c>
    </row>
    <row r="1993" customFormat="false" ht="16.4" hidden="false" customHeight="false" outlineLevel="0" collapsed="false">
      <c r="A1993" s="13" t="str">
        <f aca="false">""</f>
        <v/>
      </c>
      <c r="B1993" s="13" t="n">
        <f aca="false">159</f>
        <v>159</v>
      </c>
      <c r="C1993" s="13" t="n">
        <f aca="false">IF(Szenarien!$H$16="OK",(IFERROR(SUMIF(Nutzungsprofile!$B$6:$B$11,"Schulbetrieb",Nutzungsprofile!$G$6:$G$11)*Kalender!C163/SUM(Kalender!$C$5:$C$370),0)+IFERROR(SUMIF(Nutzungsprofile!$B$6:$B$11,"Halle",Nutzungsprofile!$G$6:$G$11)*Kalender!D163/SUM(Kalender!$D$5:$D$370),0)+IFERROR(SUMIF(Nutzungsprofile!$B$6:$B$11,"Individuell",Nutzungsprofile!$G$6:$G$11)*Kalender!E163/SUM(Kalender!$E$5:$E$370),0))*Szenarien!$E$16,0)</f>
        <v>2.94</v>
      </c>
      <c r="D1993" s="13" t="n">
        <f aca="false">IF(Szenarien!$H$16="OK",(IFERROR(SUMIF(Nutzungsprofile!$B$17:$B$22,"Schulbetrieb",Nutzungsprofile!$G$17:$G$22)*Kalender!C163/SUM(Kalender!$C$5:$C$370),0)+IFERROR(SUMIF(Nutzungsprofile!$B$17:$B$22,"Halle",Nutzungsprofile!$G$17:$G$22)*Kalender!D163/SUM(Kalender!$D$5:$D$370),0)+IFERROR(SUMIF(Nutzungsprofile!$B$17:$B$22,"Individuell",Nutzungsprofile!$G$17:$G$22)*Kalender!E163/SUM(Kalender!$E$5:$E$370),0))*Szenarien!$D$16,0)</f>
        <v>4.94</v>
      </c>
      <c r="E1993" s="13" t="n">
        <f aca="false">IFERROR(MIN(C1993,Eingaben!$B$17)*Eingaben!$B$16,0)</f>
        <v>2.793</v>
      </c>
      <c r="F1993" s="13" t="n">
        <f aca="false">IFERROR(E1993*Eingaben!$B$15,0)</f>
        <v>2.5137</v>
      </c>
      <c r="G1993" s="13" t="n">
        <f aca="false">IFERROR(IF(Kalender!A163="",0,J1992*(1-Eingaben!$B$20)),0)</f>
        <v>1.709316</v>
      </c>
      <c r="H1993" s="13" t="n">
        <f aca="false">MIN(G1993,D1993)</f>
        <v>1.709316</v>
      </c>
      <c r="I1993" s="13" t="n">
        <f aca="false">IFERROR(MIN(F1993*Eingaben!$B$19,MAX(0,D1993-H1993)),0)</f>
        <v>1.75959</v>
      </c>
      <c r="J1993" s="13" t="n">
        <f aca="false">IFERROR(MIN(Eingaben!$B$18,MAX(0,F1993-I1993)),0)</f>
        <v>0.75411</v>
      </c>
      <c r="K1993" s="13" t="n">
        <f aca="false">H1993+I1993</f>
        <v>3.468906</v>
      </c>
      <c r="L1993" s="13" t="n">
        <f aca="false">MAX(0,D1993-K1993)</f>
        <v>1.471094</v>
      </c>
      <c r="M1993" s="13" t="n">
        <f aca="false">MAX(0,F1993-I1993-J1993)</f>
        <v>0</v>
      </c>
      <c r="N1993" s="13" t="n">
        <f aca="false">IF(Kalender!A163="",0,J1992-H1993)</f>
        <v>0.0348840000000001</v>
      </c>
    </row>
    <row r="1994" customFormat="false" ht="16.4" hidden="false" customHeight="false" outlineLevel="0" collapsed="false">
      <c r="A1994" s="13" t="str">
        <f aca="false">""</f>
        <v/>
      </c>
      <c r="B1994" s="13" t="n">
        <f aca="false">160</f>
        <v>160</v>
      </c>
      <c r="C1994" s="13" t="n">
        <f aca="false">IF(Szenarien!$H$16="OK",(IFERROR(SUMIF(Nutzungsprofile!$B$6:$B$11,"Schulbetrieb",Nutzungsprofile!$G$6:$G$11)*Kalender!C164/SUM(Kalender!$C$5:$C$370),0)+IFERROR(SUMIF(Nutzungsprofile!$B$6:$B$11,"Halle",Nutzungsprofile!$G$6:$G$11)*Kalender!D164/SUM(Kalender!$D$5:$D$370),0)+IFERROR(SUMIF(Nutzungsprofile!$B$6:$B$11,"Individuell",Nutzungsprofile!$G$6:$G$11)*Kalender!E164/SUM(Kalender!$E$5:$E$370),0))*Szenarien!$E$16,0)</f>
        <v>2.94</v>
      </c>
      <c r="D1994" s="13" t="n">
        <f aca="false">IF(Szenarien!$H$16="OK",(IFERROR(SUMIF(Nutzungsprofile!$B$17:$B$22,"Schulbetrieb",Nutzungsprofile!$G$17:$G$22)*Kalender!C164/SUM(Kalender!$C$5:$C$370),0)+IFERROR(SUMIF(Nutzungsprofile!$B$17:$B$22,"Halle",Nutzungsprofile!$G$17:$G$22)*Kalender!D164/SUM(Kalender!$D$5:$D$370),0)+IFERROR(SUMIF(Nutzungsprofile!$B$17:$B$22,"Individuell",Nutzungsprofile!$G$17:$G$22)*Kalender!E164/SUM(Kalender!$E$5:$E$370),0))*Szenarien!$D$16,0)</f>
        <v>4.94</v>
      </c>
      <c r="E1994" s="13" t="n">
        <f aca="false">IFERROR(MIN(C1994,Eingaben!$B$17)*Eingaben!$B$16,0)</f>
        <v>2.793</v>
      </c>
      <c r="F1994" s="13" t="n">
        <f aca="false">IFERROR(E1994*Eingaben!$B$15,0)</f>
        <v>2.5137</v>
      </c>
      <c r="G1994" s="13" t="n">
        <f aca="false">IFERROR(IF(Kalender!A164="",0,J1993*(1-Eingaben!$B$20)),0)</f>
        <v>0.7390278</v>
      </c>
      <c r="H1994" s="13" t="n">
        <f aca="false">MIN(G1994,D1994)</f>
        <v>0.7390278</v>
      </c>
      <c r="I1994" s="13" t="n">
        <f aca="false">IFERROR(MIN(F1994*Eingaben!$B$19,MAX(0,D1994-H1994)),0)</f>
        <v>1.75959</v>
      </c>
      <c r="J1994" s="13" t="n">
        <f aca="false">IFERROR(MIN(Eingaben!$B$18,MAX(0,F1994-I1994)),0)</f>
        <v>0.75411</v>
      </c>
      <c r="K1994" s="13" t="n">
        <f aca="false">H1994+I1994</f>
        <v>2.4986178</v>
      </c>
      <c r="L1994" s="13" t="n">
        <f aca="false">MAX(0,D1994-K1994)</f>
        <v>2.4413822</v>
      </c>
      <c r="M1994" s="13" t="n">
        <f aca="false">MAX(0,F1994-I1994-J1994)</f>
        <v>0</v>
      </c>
      <c r="N1994" s="13" t="n">
        <f aca="false">IF(Kalender!A164="",0,J1993-H1994)</f>
        <v>0.0150822</v>
      </c>
    </row>
    <row r="1995" customFormat="false" ht="16.4" hidden="false" customHeight="false" outlineLevel="0" collapsed="false">
      <c r="A1995" s="13" t="str">
        <f aca="false">""</f>
        <v/>
      </c>
      <c r="B1995" s="13" t="n">
        <f aca="false">161</f>
        <v>161</v>
      </c>
      <c r="C1995" s="13" t="n">
        <f aca="false">IF(Szenarien!$H$16="OK",(IFERROR(SUMIF(Nutzungsprofile!$B$6:$B$11,"Schulbetrieb",Nutzungsprofile!$G$6:$G$11)*Kalender!C165/SUM(Kalender!$C$5:$C$370),0)+IFERROR(SUMIF(Nutzungsprofile!$B$6:$B$11,"Halle",Nutzungsprofile!$G$6:$G$11)*Kalender!D165/SUM(Kalender!$D$5:$D$370),0)+IFERROR(SUMIF(Nutzungsprofile!$B$6:$B$11,"Individuell",Nutzungsprofile!$G$6:$G$11)*Kalender!E165/SUM(Kalender!$E$5:$E$370),0))*Szenarien!$E$16,0)</f>
        <v>2.94</v>
      </c>
      <c r="D1995" s="13" t="n">
        <f aca="false">IF(Szenarien!$H$16="OK",(IFERROR(SUMIF(Nutzungsprofile!$B$17:$B$22,"Schulbetrieb",Nutzungsprofile!$G$17:$G$22)*Kalender!C165/SUM(Kalender!$C$5:$C$370),0)+IFERROR(SUMIF(Nutzungsprofile!$B$17:$B$22,"Halle",Nutzungsprofile!$G$17:$G$22)*Kalender!D165/SUM(Kalender!$D$5:$D$370),0)+IFERROR(SUMIF(Nutzungsprofile!$B$17:$B$22,"Individuell",Nutzungsprofile!$G$17:$G$22)*Kalender!E165/SUM(Kalender!$E$5:$E$370),0))*Szenarien!$D$16,0)</f>
        <v>4.94</v>
      </c>
      <c r="E1995" s="13" t="n">
        <f aca="false">IFERROR(MIN(C1995,Eingaben!$B$17)*Eingaben!$B$16,0)</f>
        <v>2.793</v>
      </c>
      <c r="F1995" s="13" t="n">
        <f aca="false">IFERROR(E1995*Eingaben!$B$15,0)</f>
        <v>2.5137</v>
      </c>
      <c r="G1995" s="13" t="n">
        <f aca="false">IFERROR(IF(Kalender!A165="",0,J1994*(1-Eingaben!$B$20)),0)</f>
        <v>0.7390278</v>
      </c>
      <c r="H1995" s="13" t="n">
        <f aca="false">MIN(G1995,D1995)</f>
        <v>0.7390278</v>
      </c>
      <c r="I1995" s="13" t="n">
        <f aca="false">IFERROR(MIN(F1995*Eingaben!$B$19,MAX(0,D1995-H1995)),0)</f>
        <v>1.75959</v>
      </c>
      <c r="J1995" s="13" t="n">
        <f aca="false">IFERROR(MIN(Eingaben!$B$18,MAX(0,F1995-I1995)),0)</f>
        <v>0.75411</v>
      </c>
      <c r="K1995" s="13" t="n">
        <f aca="false">H1995+I1995</f>
        <v>2.4986178</v>
      </c>
      <c r="L1995" s="13" t="n">
        <f aca="false">MAX(0,D1995-K1995)</f>
        <v>2.4413822</v>
      </c>
      <c r="M1995" s="13" t="n">
        <f aca="false">MAX(0,F1995-I1995-J1995)</f>
        <v>0</v>
      </c>
      <c r="N1995" s="13" t="n">
        <f aca="false">IF(Kalender!A165="",0,J1994-H1995)</f>
        <v>0.0150822</v>
      </c>
    </row>
    <row r="1996" customFormat="false" ht="16.4" hidden="false" customHeight="false" outlineLevel="0" collapsed="false">
      <c r="A1996" s="13" t="str">
        <f aca="false">""</f>
        <v/>
      </c>
      <c r="B1996" s="13" t="n">
        <f aca="false">162</f>
        <v>162</v>
      </c>
      <c r="C1996" s="13" t="n">
        <f aca="false">IF(Szenarien!$H$16="OK",(IFERROR(SUMIF(Nutzungsprofile!$B$6:$B$11,"Schulbetrieb",Nutzungsprofile!$G$6:$G$11)*Kalender!C166/SUM(Kalender!$C$5:$C$370),0)+IFERROR(SUMIF(Nutzungsprofile!$B$6:$B$11,"Halle",Nutzungsprofile!$G$6:$G$11)*Kalender!D166/SUM(Kalender!$D$5:$D$370),0)+IFERROR(SUMIF(Nutzungsprofile!$B$6:$B$11,"Individuell",Nutzungsprofile!$G$6:$G$11)*Kalender!E166/SUM(Kalender!$E$5:$E$370),0))*Szenarien!$E$16,0)</f>
        <v>2.94</v>
      </c>
      <c r="D1996" s="13" t="n">
        <f aca="false">IF(Szenarien!$H$16="OK",(IFERROR(SUMIF(Nutzungsprofile!$B$17:$B$22,"Schulbetrieb",Nutzungsprofile!$G$17:$G$22)*Kalender!C166/SUM(Kalender!$C$5:$C$370),0)+IFERROR(SUMIF(Nutzungsprofile!$B$17:$B$22,"Halle",Nutzungsprofile!$G$17:$G$22)*Kalender!D166/SUM(Kalender!$D$5:$D$370),0)+IFERROR(SUMIF(Nutzungsprofile!$B$17:$B$22,"Individuell",Nutzungsprofile!$G$17:$G$22)*Kalender!E166/SUM(Kalender!$E$5:$E$370),0))*Szenarien!$D$16,0)</f>
        <v>4.94</v>
      </c>
      <c r="E1996" s="13" t="n">
        <f aca="false">IFERROR(MIN(C1996,Eingaben!$B$17)*Eingaben!$B$16,0)</f>
        <v>2.793</v>
      </c>
      <c r="F1996" s="13" t="n">
        <f aca="false">IFERROR(E1996*Eingaben!$B$15,0)</f>
        <v>2.5137</v>
      </c>
      <c r="G1996" s="13" t="n">
        <f aca="false">IFERROR(IF(Kalender!A166="",0,J1995*(1-Eingaben!$B$20)),0)</f>
        <v>0.7390278</v>
      </c>
      <c r="H1996" s="13" t="n">
        <f aca="false">MIN(G1996,D1996)</f>
        <v>0.7390278</v>
      </c>
      <c r="I1996" s="13" t="n">
        <f aca="false">IFERROR(MIN(F1996*Eingaben!$B$19,MAX(0,D1996-H1996)),0)</f>
        <v>1.75959</v>
      </c>
      <c r="J1996" s="13" t="n">
        <f aca="false">IFERROR(MIN(Eingaben!$B$18,MAX(0,F1996-I1996)),0)</f>
        <v>0.75411</v>
      </c>
      <c r="K1996" s="13" t="n">
        <f aca="false">H1996+I1996</f>
        <v>2.4986178</v>
      </c>
      <c r="L1996" s="13" t="n">
        <f aca="false">MAX(0,D1996-K1996)</f>
        <v>2.4413822</v>
      </c>
      <c r="M1996" s="13" t="n">
        <f aca="false">MAX(0,F1996-I1996-J1996)</f>
        <v>0</v>
      </c>
      <c r="N1996" s="13" t="n">
        <f aca="false">IF(Kalender!A166="",0,J1995-H1996)</f>
        <v>0.0150822</v>
      </c>
    </row>
    <row r="1997" customFormat="false" ht="16.4" hidden="false" customHeight="false" outlineLevel="0" collapsed="false">
      <c r="A1997" s="13" t="str">
        <f aca="false">""</f>
        <v/>
      </c>
      <c r="B1997" s="13" t="n">
        <f aca="false">163</f>
        <v>163</v>
      </c>
      <c r="C1997" s="13" t="n">
        <f aca="false">IF(Szenarien!$H$16="OK",(IFERROR(SUMIF(Nutzungsprofile!$B$6:$B$11,"Schulbetrieb",Nutzungsprofile!$G$6:$G$11)*Kalender!C167/SUM(Kalender!$C$5:$C$370),0)+IFERROR(SUMIF(Nutzungsprofile!$B$6:$B$11,"Halle",Nutzungsprofile!$G$6:$G$11)*Kalender!D167/SUM(Kalender!$D$5:$D$370),0)+IFERROR(SUMIF(Nutzungsprofile!$B$6:$B$11,"Individuell",Nutzungsprofile!$G$6:$G$11)*Kalender!E167/SUM(Kalender!$E$5:$E$370),0))*Szenarien!$E$16,0)</f>
        <v>2.94</v>
      </c>
      <c r="D1997" s="13" t="n">
        <f aca="false">IF(Szenarien!$H$16="OK",(IFERROR(SUMIF(Nutzungsprofile!$B$17:$B$22,"Schulbetrieb",Nutzungsprofile!$G$17:$G$22)*Kalender!C167/SUM(Kalender!$C$5:$C$370),0)+IFERROR(SUMIF(Nutzungsprofile!$B$17:$B$22,"Halle",Nutzungsprofile!$G$17:$G$22)*Kalender!D167/SUM(Kalender!$D$5:$D$370),0)+IFERROR(SUMIF(Nutzungsprofile!$B$17:$B$22,"Individuell",Nutzungsprofile!$G$17:$G$22)*Kalender!E167/SUM(Kalender!$E$5:$E$370),0))*Szenarien!$D$16,0)</f>
        <v>4.94</v>
      </c>
      <c r="E1997" s="13" t="n">
        <f aca="false">IFERROR(MIN(C1997,Eingaben!$B$17)*Eingaben!$B$16,0)</f>
        <v>2.793</v>
      </c>
      <c r="F1997" s="13" t="n">
        <f aca="false">IFERROR(E1997*Eingaben!$B$15,0)</f>
        <v>2.5137</v>
      </c>
      <c r="G1997" s="13" t="n">
        <f aca="false">IFERROR(IF(Kalender!A167="",0,J1996*(1-Eingaben!$B$20)),0)</f>
        <v>0.7390278</v>
      </c>
      <c r="H1997" s="13" t="n">
        <f aca="false">MIN(G1997,D1997)</f>
        <v>0.7390278</v>
      </c>
      <c r="I1997" s="13" t="n">
        <f aca="false">IFERROR(MIN(F1997*Eingaben!$B$19,MAX(0,D1997-H1997)),0)</f>
        <v>1.75959</v>
      </c>
      <c r="J1997" s="13" t="n">
        <f aca="false">IFERROR(MIN(Eingaben!$B$18,MAX(0,F1997-I1997)),0)</f>
        <v>0.75411</v>
      </c>
      <c r="K1997" s="13" t="n">
        <f aca="false">H1997+I1997</f>
        <v>2.4986178</v>
      </c>
      <c r="L1997" s="13" t="n">
        <f aca="false">MAX(0,D1997-K1997)</f>
        <v>2.4413822</v>
      </c>
      <c r="M1997" s="13" t="n">
        <f aca="false">MAX(0,F1997-I1997-J1997)</f>
        <v>0</v>
      </c>
      <c r="N1997" s="13" t="n">
        <f aca="false">IF(Kalender!A167="",0,J1996-H1997)</f>
        <v>0.0150822</v>
      </c>
    </row>
    <row r="1998" customFormat="false" ht="16.4" hidden="false" customHeight="false" outlineLevel="0" collapsed="false">
      <c r="A1998" s="13" t="str">
        <f aca="false">""</f>
        <v/>
      </c>
      <c r="B1998" s="13" t="n">
        <f aca="false">164</f>
        <v>164</v>
      </c>
      <c r="C1998" s="13" t="n">
        <f aca="false">IF(Szenarien!$H$16="OK",(IFERROR(SUMIF(Nutzungsprofile!$B$6:$B$11,"Schulbetrieb",Nutzungsprofile!$G$6:$G$11)*Kalender!C168/SUM(Kalender!$C$5:$C$370),0)+IFERROR(SUMIF(Nutzungsprofile!$B$6:$B$11,"Halle",Nutzungsprofile!$G$6:$G$11)*Kalender!D168/SUM(Kalender!$D$5:$D$370),0)+IFERROR(SUMIF(Nutzungsprofile!$B$6:$B$11,"Individuell",Nutzungsprofile!$G$6:$G$11)*Kalender!E168/SUM(Kalender!$E$5:$E$370),0))*Szenarien!$E$16,0)</f>
        <v>2.04</v>
      </c>
      <c r="D1998" s="13" t="n">
        <f aca="false">IF(Szenarien!$H$16="OK",(IFERROR(SUMIF(Nutzungsprofile!$B$17:$B$22,"Schulbetrieb",Nutzungsprofile!$G$17:$G$22)*Kalender!C168/SUM(Kalender!$C$5:$C$370),0)+IFERROR(SUMIF(Nutzungsprofile!$B$17:$B$22,"Halle",Nutzungsprofile!$G$17:$G$22)*Kalender!D168/SUM(Kalender!$D$5:$D$370),0)+IFERROR(SUMIF(Nutzungsprofile!$B$17:$B$22,"Individuell",Nutzungsprofile!$G$17:$G$22)*Kalender!E168/SUM(Kalender!$E$5:$E$370),0))*Szenarien!$D$16,0)</f>
        <v>0.89</v>
      </c>
      <c r="E1998" s="13" t="n">
        <f aca="false">IFERROR(MIN(C1998,Eingaben!$B$17)*Eingaben!$B$16,0)</f>
        <v>1.938</v>
      </c>
      <c r="F1998" s="13" t="n">
        <f aca="false">IFERROR(E1998*Eingaben!$B$15,0)</f>
        <v>1.7442</v>
      </c>
      <c r="G1998" s="13" t="n">
        <f aca="false">IFERROR(IF(Kalender!A168="",0,J1997*(1-Eingaben!$B$20)),0)</f>
        <v>0.7390278</v>
      </c>
      <c r="H1998" s="13" t="n">
        <f aca="false">MIN(G1998,D1998)</f>
        <v>0.7390278</v>
      </c>
      <c r="I1998" s="13" t="n">
        <f aca="false">IFERROR(MIN(F1998*Eingaben!$B$19,MAX(0,D1998-H1998)),0)</f>
        <v>0.1509722</v>
      </c>
      <c r="J1998" s="13" t="n">
        <f aca="false">IFERROR(MIN(Eingaben!$B$18,MAX(0,F1998-I1998)),0)</f>
        <v>1.5932278</v>
      </c>
      <c r="K1998" s="13" t="n">
        <f aca="false">H1998+I1998</f>
        <v>0.89</v>
      </c>
      <c r="L1998" s="13" t="n">
        <f aca="false">MAX(0,D1998-K1998)</f>
        <v>0</v>
      </c>
      <c r="M1998" s="13" t="n">
        <f aca="false">MAX(0,F1998-I1998-J1998)</f>
        <v>0</v>
      </c>
      <c r="N1998" s="13" t="n">
        <f aca="false">IF(Kalender!A168="",0,J1997-H1998)</f>
        <v>0.0150822</v>
      </c>
    </row>
    <row r="1999" customFormat="false" ht="16.4" hidden="false" customHeight="false" outlineLevel="0" collapsed="false">
      <c r="A1999" s="13" t="str">
        <f aca="false">""</f>
        <v/>
      </c>
      <c r="B1999" s="13" t="n">
        <f aca="false">165</f>
        <v>165</v>
      </c>
      <c r="C1999" s="13" t="n">
        <f aca="false">IF(Szenarien!$H$16="OK",(IFERROR(SUMIF(Nutzungsprofile!$B$6:$B$11,"Schulbetrieb",Nutzungsprofile!$G$6:$G$11)*Kalender!C169/SUM(Kalender!$C$5:$C$370),0)+IFERROR(SUMIF(Nutzungsprofile!$B$6:$B$11,"Halle",Nutzungsprofile!$G$6:$G$11)*Kalender!D169/SUM(Kalender!$D$5:$D$370),0)+IFERROR(SUMIF(Nutzungsprofile!$B$6:$B$11,"Individuell",Nutzungsprofile!$G$6:$G$11)*Kalender!E169/SUM(Kalender!$E$5:$E$370),0))*Szenarien!$E$16,0)</f>
        <v>2.04</v>
      </c>
      <c r="D1999" s="13" t="n">
        <f aca="false">IF(Szenarien!$H$16="OK",(IFERROR(SUMIF(Nutzungsprofile!$B$17:$B$22,"Schulbetrieb",Nutzungsprofile!$G$17:$G$22)*Kalender!C169/SUM(Kalender!$C$5:$C$370),0)+IFERROR(SUMIF(Nutzungsprofile!$B$17:$B$22,"Halle",Nutzungsprofile!$G$17:$G$22)*Kalender!D169/SUM(Kalender!$D$5:$D$370),0)+IFERROR(SUMIF(Nutzungsprofile!$B$17:$B$22,"Individuell",Nutzungsprofile!$G$17:$G$22)*Kalender!E169/SUM(Kalender!$E$5:$E$370),0))*Szenarien!$D$16,0)</f>
        <v>0.89</v>
      </c>
      <c r="E1999" s="13" t="n">
        <f aca="false">IFERROR(MIN(C1999,Eingaben!$B$17)*Eingaben!$B$16,0)</f>
        <v>1.938</v>
      </c>
      <c r="F1999" s="13" t="n">
        <f aca="false">IFERROR(E1999*Eingaben!$B$15,0)</f>
        <v>1.7442</v>
      </c>
      <c r="G1999" s="13" t="n">
        <f aca="false">IFERROR(IF(Kalender!A169="",0,J1998*(1-Eingaben!$B$20)),0)</f>
        <v>1.561363244</v>
      </c>
      <c r="H1999" s="13" t="n">
        <f aca="false">MIN(G1999,D1999)</f>
        <v>0.89</v>
      </c>
      <c r="I1999" s="13" t="n">
        <f aca="false">IFERROR(MIN(F1999*Eingaben!$B$19,MAX(0,D1999-H1999)),0)</f>
        <v>0</v>
      </c>
      <c r="J1999" s="13" t="n">
        <f aca="false">IFERROR(MIN(Eingaben!$B$18,MAX(0,F1999-I1999)),0)</f>
        <v>1.7442</v>
      </c>
      <c r="K1999" s="13" t="n">
        <f aca="false">H1999+I1999</f>
        <v>0.89</v>
      </c>
      <c r="L1999" s="13" t="n">
        <f aca="false">MAX(0,D1999-K1999)</f>
        <v>0</v>
      </c>
      <c r="M1999" s="13" t="n">
        <f aca="false">MAX(0,F1999-I1999-J1999)</f>
        <v>0</v>
      </c>
      <c r="N1999" s="13" t="n">
        <f aca="false">IF(Kalender!A169="",0,J1998-H1999)</f>
        <v>0.7032278</v>
      </c>
    </row>
    <row r="2000" customFormat="false" ht="16.4" hidden="false" customHeight="false" outlineLevel="0" collapsed="false">
      <c r="A2000" s="13" t="str">
        <f aca="false">""</f>
        <v/>
      </c>
      <c r="B2000" s="13" t="n">
        <f aca="false">166</f>
        <v>166</v>
      </c>
      <c r="C2000" s="13" t="n">
        <f aca="false">IF(Szenarien!$H$16="OK",(IFERROR(SUMIF(Nutzungsprofile!$B$6:$B$11,"Schulbetrieb",Nutzungsprofile!$G$6:$G$11)*Kalender!C170/SUM(Kalender!$C$5:$C$370),0)+IFERROR(SUMIF(Nutzungsprofile!$B$6:$B$11,"Halle",Nutzungsprofile!$G$6:$G$11)*Kalender!D170/SUM(Kalender!$D$5:$D$370),0)+IFERROR(SUMIF(Nutzungsprofile!$B$6:$B$11,"Individuell",Nutzungsprofile!$G$6:$G$11)*Kalender!E170/SUM(Kalender!$E$5:$E$370),0))*Szenarien!$E$16,0)</f>
        <v>2.94</v>
      </c>
      <c r="D2000" s="13" t="n">
        <f aca="false">IF(Szenarien!$H$16="OK",(IFERROR(SUMIF(Nutzungsprofile!$B$17:$B$22,"Schulbetrieb",Nutzungsprofile!$G$17:$G$22)*Kalender!C170/SUM(Kalender!$C$5:$C$370),0)+IFERROR(SUMIF(Nutzungsprofile!$B$17:$B$22,"Halle",Nutzungsprofile!$G$17:$G$22)*Kalender!D170/SUM(Kalender!$D$5:$D$370),0)+IFERROR(SUMIF(Nutzungsprofile!$B$17:$B$22,"Individuell",Nutzungsprofile!$G$17:$G$22)*Kalender!E170/SUM(Kalender!$E$5:$E$370),0))*Szenarien!$D$16,0)</f>
        <v>4.94</v>
      </c>
      <c r="E2000" s="13" t="n">
        <f aca="false">IFERROR(MIN(C2000,Eingaben!$B$17)*Eingaben!$B$16,0)</f>
        <v>2.793</v>
      </c>
      <c r="F2000" s="13" t="n">
        <f aca="false">IFERROR(E2000*Eingaben!$B$15,0)</f>
        <v>2.5137</v>
      </c>
      <c r="G2000" s="13" t="n">
        <f aca="false">IFERROR(IF(Kalender!A170="",0,J1999*(1-Eingaben!$B$20)),0)</f>
        <v>1.709316</v>
      </c>
      <c r="H2000" s="13" t="n">
        <f aca="false">MIN(G2000,D2000)</f>
        <v>1.709316</v>
      </c>
      <c r="I2000" s="13" t="n">
        <f aca="false">IFERROR(MIN(F2000*Eingaben!$B$19,MAX(0,D2000-H2000)),0)</f>
        <v>1.75959</v>
      </c>
      <c r="J2000" s="13" t="n">
        <f aca="false">IFERROR(MIN(Eingaben!$B$18,MAX(0,F2000-I2000)),0)</f>
        <v>0.75411</v>
      </c>
      <c r="K2000" s="13" t="n">
        <f aca="false">H2000+I2000</f>
        <v>3.468906</v>
      </c>
      <c r="L2000" s="13" t="n">
        <f aca="false">MAX(0,D2000-K2000)</f>
        <v>1.471094</v>
      </c>
      <c r="M2000" s="13" t="n">
        <f aca="false">MAX(0,F2000-I2000-J2000)</f>
        <v>0</v>
      </c>
      <c r="N2000" s="13" t="n">
        <f aca="false">IF(Kalender!A170="",0,J1999-H2000)</f>
        <v>0.0348840000000001</v>
      </c>
    </row>
    <row r="2001" customFormat="false" ht="16.4" hidden="false" customHeight="false" outlineLevel="0" collapsed="false">
      <c r="A2001" s="13" t="str">
        <f aca="false">""</f>
        <v/>
      </c>
      <c r="B2001" s="13" t="n">
        <f aca="false">167</f>
        <v>167</v>
      </c>
      <c r="C2001" s="13" t="n">
        <f aca="false">IF(Szenarien!$H$16="OK",(IFERROR(SUMIF(Nutzungsprofile!$B$6:$B$11,"Schulbetrieb",Nutzungsprofile!$G$6:$G$11)*Kalender!C171/SUM(Kalender!$C$5:$C$370),0)+IFERROR(SUMIF(Nutzungsprofile!$B$6:$B$11,"Halle",Nutzungsprofile!$G$6:$G$11)*Kalender!D171/SUM(Kalender!$D$5:$D$370),0)+IFERROR(SUMIF(Nutzungsprofile!$B$6:$B$11,"Individuell",Nutzungsprofile!$G$6:$G$11)*Kalender!E171/SUM(Kalender!$E$5:$E$370),0))*Szenarien!$E$16,0)</f>
        <v>2.94</v>
      </c>
      <c r="D2001" s="13" t="n">
        <f aca="false">IF(Szenarien!$H$16="OK",(IFERROR(SUMIF(Nutzungsprofile!$B$17:$B$22,"Schulbetrieb",Nutzungsprofile!$G$17:$G$22)*Kalender!C171/SUM(Kalender!$C$5:$C$370),0)+IFERROR(SUMIF(Nutzungsprofile!$B$17:$B$22,"Halle",Nutzungsprofile!$G$17:$G$22)*Kalender!D171/SUM(Kalender!$D$5:$D$370),0)+IFERROR(SUMIF(Nutzungsprofile!$B$17:$B$22,"Individuell",Nutzungsprofile!$G$17:$G$22)*Kalender!E171/SUM(Kalender!$E$5:$E$370),0))*Szenarien!$D$16,0)</f>
        <v>4.94</v>
      </c>
      <c r="E2001" s="13" t="n">
        <f aca="false">IFERROR(MIN(C2001,Eingaben!$B$17)*Eingaben!$B$16,0)</f>
        <v>2.793</v>
      </c>
      <c r="F2001" s="13" t="n">
        <f aca="false">IFERROR(E2001*Eingaben!$B$15,0)</f>
        <v>2.5137</v>
      </c>
      <c r="G2001" s="13" t="n">
        <f aca="false">IFERROR(IF(Kalender!A171="",0,J2000*(1-Eingaben!$B$20)),0)</f>
        <v>0.7390278</v>
      </c>
      <c r="H2001" s="13" t="n">
        <f aca="false">MIN(G2001,D2001)</f>
        <v>0.7390278</v>
      </c>
      <c r="I2001" s="13" t="n">
        <f aca="false">IFERROR(MIN(F2001*Eingaben!$B$19,MAX(0,D2001-H2001)),0)</f>
        <v>1.75959</v>
      </c>
      <c r="J2001" s="13" t="n">
        <f aca="false">IFERROR(MIN(Eingaben!$B$18,MAX(0,F2001-I2001)),0)</f>
        <v>0.75411</v>
      </c>
      <c r="K2001" s="13" t="n">
        <f aca="false">H2001+I2001</f>
        <v>2.4986178</v>
      </c>
      <c r="L2001" s="13" t="n">
        <f aca="false">MAX(0,D2001-K2001)</f>
        <v>2.4413822</v>
      </c>
      <c r="M2001" s="13" t="n">
        <f aca="false">MAX(0,F2001-I2001-J2001)</f>
        <v>0</v>
      </c>
      <c r="N2001" s="13" t="n">
        <f aca="false">IF(Kalender!A171="",0,J2000-H2001)</f>
        <v>0.0150822</v>
      </c>
    </row>
    <row r="2002" customFormat="false" ht="16.4" hidden="false" customHeight="false" outlineLevel="0" collapsed="false">
      <c r="A2002" s="13" t="str">
        <f aca="false">""</f>
        <v/>
      </c>
      <c r="B2002" s="13" t="n">
        <f aca="false">168</f>
        <v>168</v>
      </c>
      <c r="C2002" s="13" t="n">
        <f aca="false">IF(Szenarien!$H$16="OK",(IFERROR(SUMIF(Nutzungsprofile!$B$6:$B$11,"Schulbetrieb",Nutzungsprofile!$G$6:$G$11)*Kalender!C172/SUM(Kalender!$C$5:$C$370),0)+IFERROR(SUMIF(Nutzungsprofile!$B$6:$B$11,"Halle",Nutzungsprofile!$G$6:$G$11)*Kalender!D172/SUM(Kalender!$D$5:$D$370),0)+IFERROR(SUMIF(Nutzungsprofile!$B$6:$B$11,"Individuell",Nutzungsprofile!$G$6:$G$11)*Kalender!E172/SUM(Kalender!$E$5:$E$370),0))*Szenarien!$E$16,0)</f>
        <v>2.94</v>
      </c>
      <c r="D2002" s="13" t="n">
        <f aca="false">IF(Szenarien!$H$16="OK",(IFERROR(SUMIF(Nutzungsprofile!$B$17:$B$22,"Schulbetrieb",Nutzungsprofile!$G$17:$G$22)*Kalender!C172/SUM(Kalender!$C$5:$C$370),0)+IFERROR(SUMIF(Nutzungsprofile!$B$17:$B$22,"Halle",Nutzungsprofile!$G$17:$G$22)*Kalender!D172/SUM(Kalender!$D$5:$D$370),0)+IFERROR(SUMIF(Nutzungsprofile!$B$17:$B$22,"Individuell",Nutzungsprofile!$G$17:$G$22)*Kalender!E172/SUM(Kalender!$E$5:$E$370),0))*Szenarien!$D$16,0)</f>
        <v>4.94</v>
      </c>
      <c r="E2002" s="13" t="n">
        <f aca="false">IFERROR(MIN(C2002,Eingaben!$B$17)*Eingaben!$B$16,0)</f>
        <v>2.793</v>
      </c>
      <c r="F2002" s="13" t="n">
        <f aca="false">IFERROR(E2002*Eingaben!$B$15,0)</f>
        <v>2.5137</v>
      </c>
      <c r="G2002" s="13" t="n">
        <f aca="false">IFERROR(IF(Kalender!A172="",0,J2001*(1-Eingaben!$B$20)),0)</f>
        <v>0.7390278</v>
      </c>
      <c r="H2002" s="13" t="n">
        <f aca="false">MIN(G2002,D2002)</f>
        <v>0.7390278</v>
      </c>
      <c r="I2002" s="13" t="n">
        <f aca="false">IFERROR(MIN(F2002*Eingaben!$B$19,MAX(0,D2002-H2002)),0)</f>
        <v>1.75959</v>
      </c>
      <c r="J2002" s="13" t="n">
        <f aca="false">IFERROR(MIN(Eingaben!$B$18,MAX(0,F2002-I2002)),0)</f>
        <v>0.75411</v>
      </c>
      <c r="K2002" s="13" t="n">
        <f aca="false">H2002+I2002</f>
        <v>2.4986178</v>
      </c>
      <c r="L2002" s="13" t="n">
        <f aca="false">MAX(0,D2002-K2002)</f>
        <v>2.4413822</v>
      </c>
      <c r="M2002" s="13" t="n">
        <f aca="false">MAX(0,F2002-I2002-J2002)</f>
        <v>0</v>
      </c>
      <c r="N2002" s="13" t="n">
        <f aca="false">IF(Kalender!A172="",0,J2001-H2002)</f>
        <v>0.0150822</v>
      </c>
    </row>
    <row r="2003" customFormat="false" ht="16.4" hidden="false" customHeight="false" outlineLevel="0" collapsed="false">
      <c r="A2003" s="13" t="str">
        <f aca="false">""</f>
        <v/>
      </c>
      <c r="B2003" s="13" t="n">
        <f aca="false">169</f>
        <v>169</v>
      </c>
      <c r="C2003" s="13" t="n">
        <f aca="false">IF(Szenarien!$H$16="OK",(IFERROR(SUMIF(Nutzungsprofile!$B$6:$B$11,"Schulbetrieb",Nutzungsprofile!$G$6:$G$11)*Kalender!C173/SUM(Kalender!$C$5:$C$370),0)+IFERROR(SUMIF(Nutzungsprofile!$B$6:$B$11,"Halle",Nutzungsprofile!$G$6:$G$11)*Kalender!D173/SUM(Kalender!$D$5:$D$370),0)+IFERROR(SUMIF(Nutzungsprofile!$B$6:$B$11,"Individuell",Nutzungsprofile!$G$6:$G$11)*Kalender!E173/SUM(Kalender!$E$5:$E$370),0))*Szenarien!$E$16,0)</f>
        <v>2.94</v>
      </c>
      <c r="D2003" s="13" t="n">
        <f aca="false">IF(Szenarien!$H$16="OK",(IFERROR(SUMIF(Nutzungsprofile!$B$17:$B$22,"Schulbetrieb",Nutzungsprofile!$G$17:$G$22)*Kalender!C173/SUM(Kalender!$C$5:$C$370),0)+IFERROR(SUMIF(Nutzungsprofile!$B$17:$B$22,"Halle",Nutzungsprofile!$G$17:$G$22)*Kalender!D173/SUM(Kalender!$D$5:$D$370),0)+IFERROR(SUMIF(Nutzungsprofile!$B$17:$B$22,"Individuell",Nutzungsprofile!$G$17:$G$22)*Kalender!E173/SUM(Kalender!$E$5:$E$370),0))*Szenarien!$D$16,0)</f>
        <v>4.94</v>
      </c>
      <c r="E2003" s="13" t="n">
        <f aca="false">IFERROR(MIN(C2003,Eingaben!$B$17)*Eingaben!$B$16,0)</f>
        <v>2.793</v>
      </c>
      <c r="F2003" s="13" t="n">
        <f aca="false">IFERROR(E2003*Eingaben!$B$15,0)</f>
        <v>2.5137</v>
      </c>
      <c r="G2003" s="13" t="n">
        <f aca="false">IFERROR(IF(Kalender!A173="",0,J2002*(1-Eingaben!$B$20)),0)</f>
        <v>0.7390278</v>
      </c>
      <c r="H2003" s="13" t="n">
        <f aca="false">MIN(G2003,D2003)</f>
        <v>0.7390278</v>
      </c>
      <c r="I2003" s="13" t="n">
        <f aca="false">IFERROR(MIN(F2003*Eingaben!$B$19,MAX(0,D2003-H2003)),0)</f>
        <v>1.75959</v>
      </c>
      <c r="J2003" s="13" t="n">
        <f aca="false">IFERROR(MIN(Eingaben!$B$18,MAX(0,F2003-I2003)),0)</f>
        <v>0.75411</v>
      </c>
      <c r="K2003" s="13" t="n">
        <f aca="false">H2003+I2003</f>
        <v>2.4986178</v>
      </c>
      <c r="L2003" s="13" t="n">
        <f aca="false">MAX(0,D2003-K2003)</f>
        <v>2.4413822</v>
      </c>
      <c r="M2003" s="13" t="n">
        <f aca="false">MAX(0,F2003-I2003-J2003)</f>
        <v>0</v>
      </c>
      <c r="N2003" s="13" t="n">
        <f aca="false">IF(Kalender!A173="",0,J2002-H2003)</f>
        <v>0.0150822</v>
      </c>
    </row>
    <row r="2004" customFormat="false" ht="16.4" hidden="false" customHeight="false" outlineLevel="0" collapsed="false">
      <c r="A2004" s="13" t="str">
        <f aca="false">""</f>
        <v/>
      </c>
      <c r="B2004" s="13" t="n">
        <f aca="false">170</f>
        <v>170</v>
      </c>
      <c r="C2004" s="13" t="n">
        <f aca="false">IF(Szenarien!$H$16="OK",(IFERROR(SUMIF(Nutzungsprofile!$B$6:$B$11,"Schulbetrieb",Nutzungsprofile!$G$6:$G$11)*Kalender!C174/SUM(Kalender!$C$5:$C$370),0)+IFERROR(SUMIF(Nutzungsprofile!$B$6:$B$11,"Halle",Nutzungsprofile!$G$6:$G$11)*Kalender!D174/SUM(Kalender!$D$5:$D$370),0)+IFERROR(SUMIF(Nutzungsprofile!$B$6:$B$11,"Individuell",Nutzungsprofile!$G$6:$G$11)*Kalender!E174/SUM(Kalender!$E$5:$E$370),0))*Szenarien!$E$16,0)</f>
        <v>2.94</v>
      </c>
      <c r="D2004" s="13" t="n">
        <f aca="false">IF(Szenarien!$H$16="OK",(IFERROR(SUMIF(Nutzungsprofile!$B$17:$B$22,"Schulbetrieb",Nutzungsprofile!$G$17:$G$22)*Kalender!C174/SUM(Kalender!$C$5:$C$370),0)+IFERROR(SUMIF(Nutzungsprofile!$B$17:$B$22,"Halle",Nutzungsprofile!$G$17:$G$22)*Kalender!D174/SUM(Kalender!$D$5:$D$370),0)+IFERROR(SUMIF(Nutzungsprofile!$B$17:$B$22,"Individuell",Nutzungsprofile!$G$17:$G$22)*Kalender!E174/SUM(Kalender!$E$5:$E$370),0))*Szenarien!$D$16,0)</f>
        <v>4.94</v>
      </c>
      <c r="E2004" s="13" t="n">
        <f aca="false">IFERROR(MIN(C2004,Eingaben!$B$17)*Eingaben!$B$16,0)</f>
        <v>2.793</v>
      </c>
      <c r="F2004" s="13" t="n">
        <f aca="false">IFERROR(E2004*Eingaben!$B$15,0)</f>
        <v>2.5137</v>
      </c>
      <c r="G2004" s="13" t="n">
        <f aca="false">IFERROR(IF(Kalender!A174="",0,J2003*(1-Eingaben!$B$20)),0)</f>
        <v>0.7390278</v>
      </c>
      <c r="H2004" s="13" t="n">
        <f aca="false">MIN(G2004,D2004)</f>
        <v>0.7390278</v>
      </c>
      <c r="I2004" s="13" t="n">
        <f aca="false">IFERROR(MIN(F2004*Eingaben!$B$19,MAX(0,D2004-H2004)),0)</f>
        <v>1.75959</v>
      </c>
      <c r="J2004" s="13" t="n">
        <f aca="false">IFERROR(MIN(Eingaben!$B$18,MAX(0,F2004-I2004)),0)</f>
        <v>0.75411</v>
      </c>
      <c r="K2004" s="13" t="n">
        <f aca="false">H2004+I2004</f>
        <v>2.4986178</v>
      </c>
      <c r="L2004" s="13" t="n">
        <f aca="false">MAX(0,D2004-K2004)</f>
        <v>2.4413822</v>
      </c>
      <c r="M2004" s="13" t="n">
        <f aca="false">MAX(0,F2004-I2004-J2004)</f>
        <v>0</v>
      </c>
      <c r="N2004" s="13" t="n">
        <f aca="false">IF(Kalender!A174="",0,J2003-H2004)</f>
        <v>0.0150822</v>
      </c>
    </row>
    <row r="2005" customFormat="false" ht="16.4" hidden="false" customHeight="false" outlineLevel="0" collapsed="false">
      <c r="A2005" s="13" t="str">
        <f aca="false">""</f>
        <v/>
      </c>
      <c r="B2005" s="13" t="n">
        <f aca="false">171</f>
        <v>171</v>
      </c>
      <c r="C2005" s="13" t="n">
        <f aca="false">IF(Szenarien!$H$16="OK",(IFERROR(SUMIF(Nutzungsprofile!$B$6:$B$11,"Schulbetrieb",Nutzungsprofile!$G$6:$G$11)*Kalender!C175/SUM(Kalender!$C$5:$C$370),0)+IFERROR(SUMIF(Nutzungsprofile!$B$6:$B$11,"Halle",Nutzungsprofile!$G$6:$G$11)*Kalender!D175/SUM(Kalender!$D$5:$D$370),0)+IFERROR(SUMIF(Nutzungsprofile!$B$6:$B$11,"Individuell",Nutzungsprofile!$G$6:$G$11)*Kalender!E175/SUM(Kalender!$E$5:$E$370),0))*Szenarien!$E$16,0)</f>
        <v>2.04</v>
      </c>
      <c r="D2005" s="13" t="n">
        <f aca="false">IF(Szenarien!$H$16="OK",(IFERROR(SUMIF(Nutzungsprofile!$B$17:$B$22,"Schulbetrieb",Nutzungsprofile!$G$17:$G$22)*Kalender!C175/SUM(Kalender!$C$5:$C$370),0)+IFERROR(SUMIF(Nutzungsprofile!$B$17:$B$22,"Halle",Nutzungsprofile!$G$17:$G$22)*Kalender!D175/SUM(Kalender!$D$5:$D$370),0)+IFERROR(SUMIF(Nutzungsprofile!$B$17:$B$22,"Individuell",Nutzungsprofile!$G$17:$G$22)*Kalender!E175/SUM(Kalender!$E$5:$E$370),0))*Szenarien!$D$16,0)</f>
        <v>0.89</v>
      </c>
      <c r="E2005" s="13" t="n">
        <f aca="false">IFERROR(MIN(C2005,Eingaben!$B$17)*Eingaben!$B$16,0)</f>
        <v>1.938</v>
      </c>
      <c r="F2005" s="13" t="n">
        <f aca="false">IFERROR(E2005*Eingaben!$B$15,0)</f>
        <v>1.7442</v>
      </c>
      <c r="G2005" s="13" t="n">
        <f aca="false">IFERROR(IF(Kalender!A175="",0,J2004*(1-Eingaben!$B$20)),0)</f>
        <v>0.7390278</v>
      </c>
      <c r="H2005" s="13" t="n">
        <f aca="false">MIN(G2005,D2005)</f>
        <v>0.7390278</v>
      </c>
      <c r="I2005" s="13" t="n">
        <f aca="false">IFERROR(MIN(F2005*Eingaben!$B$19,MAX(0,D2005-H2005)),0)</f>
        <v>0.1509722</v>
      </c>
      <c r="J2005" s="13" t="n">
        <f aca="false">IFERROR(MIN(Eingaben!$B$18,MAX(0,F2005-I2005)),0)</f>
        <v>1.5932278</v>
      </c>
      <c r="K2005" s="13" t="n">
        <f aca="false">H2005+I2005</f>
        <v>0.89</v>
      </c>
      <c r="L2005" s="13" t="n">
        <f aca="false">MAX(0,D2005-K2005)</f>
        <v>0</v>
      </c>
      <c r="M2005" s="13" t="n">
        <f aca="false">MAX(0,F2005-I2005-J2005)</f>
        <v>0</v>
      </c>
      <c r="N2005" s="13" t="n">
        <f aca="false">IF(Kalender!A175="",0,J2004-H2005)</f>
        <v>0.0150822</v>
      </c>
    </row>
    <row r="2006" customFormat="false" ht="16.4" hidden="false" customHeight="false" outlineLevel="0" collapsed="false">
      <c r="A2006" s="13" t="str">
        <f aca="false">""</f>
        <v/>
      </c>
      <c r="B2006" s="13" t="n">
        <f aca="false">172</f>
        <v>172</v>
      </c>
      <c r="C2006" s="13" t="n">
        <f aca="false">IF(Szenarien!$H$16="OK",(IFERROR(SUMIF(Nutzungsprofile!$B$6:$B$11,"Schulbetrieb",Nutzungsprofile!$G$6:$G$11)*Kalender!C176/SUM(Kalender!$C$5:$C$370),0)+IFERROR(SUMIF(Nutzungsprofile!$B$6:$B$11,"Halle",Nutzungsprofile!$G$6:$G$11)*Kalender!D176/SUM(Kalender!$D$5:$D$370),0)+IFERROR(SUMIF(Nutzungsprofile!$B$6:$B$11,"Individuell",Nutzungsprofile!$G$6:$G$11)*Kalender!E176/SUM(Kalender!$E$5:$E$370),0))*Szenarien!$E$16,0)</f>
        <v>2.04</v>
      </c>
      <c r="D2006" s="13" t="n">
        <f aca="false">IF(Szenarien!$H$16="OK",(IFERROR(SUMIF(Nutzungsprofile!$B$17:$B$22,"Schulbetrieb",Nutzungsprofile!$G$17:$G$22)*Kalender!C176/SUM(Kalender!$C$5:$C$370),0)+IFERROR(SUMIF(Nutzungsprofile!$B$17:$B$22,"Halle",Nutzungsprofile!$G$17:$G$22)*Kalender!D176/SUM(Kalender!$D$5:$D$370),0)+IFERROR(SUMIF(Nutzungsprofile!$B$17:$B$22,"Individuell",Nutzungsprofile!$G$17:$G$22)*Kalender!E176/SUM(Kalender!$E$5:$E$370),0))*Szenarien!$D$16,0)</f>
        <v>0.89</v>
      </c>
      <c r="E2006" s="13" t="n">
        <f aca="false">IFERROR(MIN(C2006,Eingaben!$B$17)*Eingaben!$B$16,0)</f>
        <v>1.938</v>
      </c>
      <c r="F2006" s="13" t="n">
        <f aca="false">IFERROR(E2006*Eingaben!$B$15,0)</f>
        <v>1.7442</v>
      </c>
      <c r="G2006" s="13" t="n">
        <f aca="false">IFERROR(IF(Kalender!A176="",0,J2005*(1-Eingaben!$B$20)),0)</f>
        <v>1.561363244</v>
      </c>
      <c r="H2006" s="13" t="n">
        <f aca="false">MIN(G2006,D2006)</f>
        <v>0.89</v>
      </c>
      <c r="I2006" s="13" t="n">
        <f aca="false">IFERROR(MIN(F2006*Eingaben!$B$19,MAX(0,D2006-H2006)),0)</f>
        <v>0</v>
      </c>
      <c r="J2006" s="13" t="n">
        <f aca="false">IFERROR(MIN(Eingaben!$B$18,MAX(0,F2006-I2006)),0)</f>
        <v>1.7442</v>
      </c>
      <c r="K2006" s="13" t="n">
        <f aca="false">H2006+I2006</f>
        <v>0.89</v>
      </c>
      <c r="L2006" s="13" t="n">
        <f aca="false">MAX(0,D2006-K2006)</f>
        <v>0</v>
      </c>
      <c r="M2006" s="13" t="n">
        <f aca="false">MAX(0,F2006-I2006-J2006)</f>
        <v>0</v>
      </c>
      <c r="N2006" s="13" t="n">
        <f aca="false">IF(Kalender!A176="",0,J2005-H2006)</f>
        <v>0.7032278</v>
      </c>
    </row>
    <row r="2007" customFormat="false" ht="16.4" hidden="false" customHeight="false" outlineLevel="0" collapsed="false">
      <c r="A2007" s="13" t="str">
        <f aca="false">""</f>
        <v/>
      </c>
      <c r="B2007" s="13" t="n">
        <f aca="false">173</f>
        <v>173</v>
      </c>
      <c r="C2007" s="13" t="n">
        <f aca="false">IF(Szenarien!$H$16="OK",(IFERROR(SUMIF(Nutzungsprofile!$B$6:$B$11,"Schulbetrieb",Nutzungsprofile!$G$6:$G$11)*Kalender!C177/SUM(Kalender!$C$5:$C$370),0)+IFERROR(SUMIF(Nutzungsprofile!$B$6:$B$11,"Halle",Nutzungsprofile!$G$6:$G$11)*Kalender!D177/SUM(Kalender!$D$5:$D$370),0)+IFERROR(SUMIF(Nutzungsprofile!$B$6:$B$11,"Individuell",Nutzungsprofile!$G$6:$G$11)*Kalender!E177/SUM(Kalender!$E$5:$E$370),0))*Szenarien!$E$16,0)</f>
        <v>2.94</v>
      </c>
      <c r="D2007" s="13" t="n">
        <f aca="false">IF(Szenarien!$H$16="OK",(IFERROR(SUMIF(Nutzungsprofile!$B$17:$B$22,"Schulbetrieb",Nutzungsprofile!$G$17:$G$22)*Kalender!C177/SUM(Kalender!$C$5:$C$370),0)+IFERROR(SUMIF(Nutzungsprofile!$B$17:$B$22,"Halle",Nutzungsprofile!$G$17:$G$22)*Kalender!D177/SUM(Kalender!$D$5:$D$370),0)+IFERROR(SUMIF(Nutzungsprofile!$B$17:$B$22,"Individuell",Nutzungsprofile!$G$17:$G$22)*Kalender!E177/SUM(Kalender!$E$5:$E$370),0))*Szenarien!$D$16,0)</f>
        <v>4.94</v>
      </c>
      <c r="E2007" s="13" t="n">
        <f aca="false">IFERROR(MIN(C2007,Eingaben!$B$17)*Eingaben!$B$16,0)</f>
        <v>2.793</v>
      </c>
      <c r="F2007" s="13" t="n">
        <f aca="false">IFERROR(E2007*Eingaben!$B$15,0)</f>
        <v>2.5137</v>
      </c>
      <c r="G2007" s="13" t="n">
        <f aca="false">IFERROR(IF(Kalender!A177="",0,J2006*(1-Eingaben!$B$20)),0)</f>
        <v>1.709316</v>
      </c>
      <c r="H2007" s="13" t="n">
        <f aca="false">MIN(G2007,D2007)</f>
        <v>1.709316</v>
      </c>
      <c r="I2007" s="13" t="n">
        <f aca="false">IFERROR(MIN(F2007*Eingaben!$B$19,MAX(0,D2007-H2007)),0)</f>
        <v>1.75959</v>
      </c>
      <c r="J2007" s="13" t="n">
        <f aca="false">IFERROR(MIN(Eingaben!$B$18,MAX(0,F2007-I2007)),0)</f>
        <v>0.75411</v>
      </c>
      <c r="K2007" s="13" t="n">
        <f aca="false">H2007+I2007</f>
        <v>3.468906</v>
      </c>
      <c r="L2007" s="13" t="n">
        <f aca="false">MAX(0,D2007-K2007)</f>
        <v>1.471094</v>
      </c>
      <c r="M2007" s="13" t="n">
        <f aca="false">MAX(0,F2007-I2007-J2007)</f>
        <v>0</v>
      </c>
      <c r="N2007" s="13" t="n">
        <f aca="false">IF(Kalender!A177="",0,J2006-H2007)</f>
        <v>0.0348840000000001</v>
      </c>
    </row>
    <row r="2008" customFormat="false" ht="16.4" hidden="false" customHeight="false" outlineLevel="0" collapsed="false">
      <c r="A2008" s="13" t="str">
        <f aca="false">""</f>
        <v/>
      </c>
      <c r="B2008" s="13" t="n">
        <f aca="false">174</f>
        <v>174</v>
      </c>
      <c r="C2008" s="13" t="n">
        <f aca="false">IF(Szenarien!$H$16="OK",(IFERROR(SUMIF(Nutzungsprofile!$B$6:$B$11,"Schulbetrieb",Nutzungsprofile!$G$6:$G$11)*Kalender!C178/SUM(Kalender!$C$5:$C$370),0)+IFERROR(SUMIF(Nutzungsprofile!$B$6:$B$11,"Halle",Nutzungsprofile!$G$6:$G$11)*Kalender!D178/SUM(Kalender!$D$5:$D$370),0)+IFERROR(SUMIF(Nutzungsprofile!$B$6:$B$11,"Individuell",Nutzungsprofile!$G$6:$G$11)*Kalender!E178/SUM(Kalender!$E$5:$E$370),0))*Szenarien!$E$16,0)</f>
        <v>2.94</v>
      </c>
      <c r="D2008" s="13" t="n">
        <f aca="false">IF(Szenarien!$H$16="OK",(IFERROR(SUMIF(Nutzungsprofile!$B$17:$B$22,"Schulbetrieb",Nutzungsprofile!$G$17:$G$22)*Kalender!C178/SUM(Kalender!$C$5:$C$370),0)+IFERROR(SUMIF(Nutzungsprofile!$B$17:$B$22,"Halle",Nutzungsprofile!$G$17:$G$22)*Kalender!D178/SUM(Kalender!$D$5:$D$370),0)+IFERROR(SUMIF(Nutzungsprofile!$B$17:$B$22,"Individuell",Nutzungsprofile!$G$17:$G$22)*Kalender!E178/SUM(Kalender!$E$5:$E$370),0))*Szenarien!$D$16,0)</f>
        <v>4.94</v>
      </c>
      <c r="E2008" s="13" t="n">
        <f aca="false">IFERROR(MIN(C2008,Eingaben!$B$17)*Eingaben!$B$16,0)</f>
        <v>2.793</v>
      </c>
      <c r="F2008" s="13" t="n">
        <f aca="false">IFERROR(E2008*Eingaben!$B$15,0)</f>
        <v>2.5137</v>
      </c>
      <c r="G2008" s="13" t="n">
        <f aca="false">IFERROR(IF(Kalender!A178="",0,J2007*(1-Eingaben!$B$20)),0)</f>
        <v>0.7390278</v>
      </c>
      <c r="H2008" s="13" t="n">
        <f aca="false">MIN(G2008,D2008)</f>
        <v>0.7390278</v>
      </c>
      <c r="I2008" s="13" t="n">
        <f aca="false">IFERROR(MIN(F2008*Eingaben!$B$19,MAX(0,D2008-H2008)),0)</f>
        <v>1.75959</v>
      </c>
      <c r="J2008" s="13" t="n">
        <f aca="false">IFERROR(MIN(Eingaben!$B$18,MAX(0,F2008-I2008)),0)</f>
        <v>0.75411</v>
      </c>
      <c r="K2008" s="13" t="n">
        <f aca="false">H2008+I2008</f>
        <v>2.4986178</v>
      </c>
      <c r="L2008" s="13" t="n">
        <f aca="false">MAX(0,D2008-K2008)</f>
        <v>2.4413822</v>
      </c>
      <c r="M2008" s="13" t="n">
        <f aca="false">MAX(0,F2008-I2008-J2008)</f>
        <v>0</v>
      </c>
      <c r="N2008" s="13" t="n">
        <f aca="false">IF(Kalender!A178="",0,J2007-H2008)</f>
        <v>0.0150822</v>
      </c>
    </row>
    <row r="2009" customFormat="false" ht="16.4" hidden="false" customHeight="false" outlineLevel="0" collapsed="false">
      <c r="A2009" s="13" t="str">
        <f aca="false">""</f>
        <v/>
      </c>
      <c r="B2009" s="13" t="n">
        <f aca="false">175</f>
        <v>175</v>
      </c>
      <c r="C2009" s="13" t="n">
        <f aca="false">IF(Szenarien!$H$16="OK",(IFERROR(SUMIF(Nutzungsprofile!$B$6:$B$11,"Schulbetrieb",Nutzungsprofile!$G$6:$G$11)*Kalender!C179/SUM(Kalender!$C$5:$C$370),0)+IFERROR(SUMIF(Nutzungsprofile!$B$6:$B$11,"Halle",Nutzungsprofile!$G$6:$G$11)*Kalender!D179/SUM(Kalender!$D$5:$D$370),0)+IFERROR(SUMIF(Nutzungsprofile!$B$6:$B$11,"Individuell",Nutzungsprofile!$G$6:$G$11)*Kalender!E179/SUM(Kalender!$E$5:$E$370),0))*Szenarien!$E$16,0)</f>
        <v>2.94</v>
      </c>
      <c r="D2009" s="13" t="n">
        <f aca="false">IF(Szenarien!$H$16="OK",(IFERROR(SUMIF(Nutzungsprofile!$B$17:$B$22,"Schulbetrieb",Nutzungsprofile!$G$17:$G$22)*Kalender!C179/SUM(Kalender!$C$5:$C$370),0)+IFERROR(SUMIF(Nutzungsprofile!$B$17:$B$22,"Halle",Nutzungsprofile!$G$17:$G$22)*Kalender!D179/SUM(Kalender!$D$5:$D$370),0)+IFERROR(SUMIF(Nutzungsprofile!$B$17:$B$22,"Individuell",Nutzungsprofile!$G$17:$G$22)*Kalender!E179/SUM(Kalender!$E$5:$E$370),0))*Szenarien!$D$16,0)</f>
        <v>4.94</v>
      </c>
      <c r="E2009" s="13" t="n">
        <f aca="false">IFERROR(MIN(C2009,Eingaben!$B$17)*Eingaben!$B$16,0)</f>
        <v>2.793</v>
      </c>
      <c r="F2009" s="13" t="n">
        <f aca="false">IFERROR(E2009*Eingaben!$B$15,0)</f>
        <v>2.5137</v>
      </c>
      <c r="G2009" s="13" t="n">
        <f aca="false">IFERROR(IF(Kalender!A179="",0,J2008*(1-Eingaben!$B$20)),0)</f>
        <v>0.7390278</v>
      </c>
      <c r="H2009" s="13" t="n">
        <f aca="false">MIN(G2009,D2009)</f>
        <v>0.7390278</v>
      </c>
      <c r="I2009" s="13" t="n">
        <f aca="false">IFERROR(MIN(F2009*Eingaben!$B$19,MAX(0,D2009-H2009)),0)</f>
        <v>1.75959</v>
      </c>
      <c r="J2009" s="13" t="n">
        <f aca="false">IFERROR(MIN(Eingaben!$B$18,MAX(0,F2009-I2009)),0)</f>
        <v>0.75411</v>
      </c>
      <c r="K2009" s="13" t="n">
        <f aca="false">H2009+I2009</f>
        <v>2.4986178</v>
      </c>
      <c r="L2009" s="13" t="n">
        <f aca="false">MAX(0,D2009-K2009)</f>
        <v>2.4413822</v>
      </c>
      <c r="M2009" s="13" t="n">
        <f aca="false">MAX(0,F2009-I2009-J2009)</f>
        <v>0</v>
      </c>
      <c r="N2009" s="13" t="n">
        <f aca="false">IF(Kalender!A179="",0,J2008-H2009)</f>
        <v>0.0150822</v>
      </c>
    </row>
    <row r="2010" customFormat="false" ht="16.4" hidden="false" customHeight="false" outlineLevel="0" collapsed="false">
      <c r="A2010" s="13" t="str">
        <f aca="false">""</f>
        <v/>
      </c>
      <c r="B2010" s="13" t="n">
        <f aca="false">176</f>
        <v>176</v>
      </c>
      <c r="C2010" s="13" t="n">
        <f aca="false">IF(Szenarien!$H$16="OK",(IFERROR(SUMIF(Nutzungsprofile!$B$6:$B$11,"Schulbetrieb",Nutzungsprofile!$G$6:$G$11)*Kalender!C180/SUM(Kalender!$C$5:$C$370),0)+IFERROR(SUMIF(Nutzungsprofile!$B$6:$B$11,"Halle",Nutzungsprofile!$G$6:$G$11)*Kalender!D180/SUM(Kalender!$D$5:$D$370),0)+IFERROR(SUMIF(Nutzungsprofile!$B$6:$B$11,"Individuell",Nutzungsprofile!$G$6:$G$11)*Kalender!E180/SUM(Kalender!$E$5:$E$370),0))*Szenarien!$E$16,0)</f>
        <v>2.94</v>
      </c>
      <c r="D2010" s="13" t="n">
        <f aca="false">IF(Szenarien!$H$16="OK",(IFERROR(SUMIF(Nutzungsprofile!$B$17:$B$22,"Schulbetrieb",Nutzungsprofile!$G$17:$G$22)*Kalender!C180/SUM(Kalender!$C$5:$C$370),0)+IFERROR(SUMIF(Nutzungsprofile!$B$17:$B$22,"Halle",Nutzungsprofile!$G$17:$G$22)*Kalender!D180/SUM(Kalender!$D$5:$D$370),0)+IFERROR(SUMIF(Nutzungsprofile!$B$17:$B$22,"Individuell",Nutzungsprofile!$G$17:$G$22)*Kalender!E180/SUM(Kalender!$E$5:$E$370),0))*Szenarien!$D$16,0)</f>
        <v>4.94</v>
      </c>
      <c r="E2010" s="13" t="n">
        <f aca="false">IFERROR(MIN(C2010,Eingaben!$B$17)*Eingaben!$B$16,0)</f>
        <v>2.793</v>
      </c>
      <c r="F2010" s="13" t="n">
        <f aca="false">IFERROR(E2010*Eingaben!$B$15,0)</f>
        <v>2.5137</v>
      </c>
      <c r="G2010" s="13" t="n">
        <f aca="false">IFERROR(IF(Kalender!A180="",0,J2009*(1-Eingaben!$B$20)),0)</f>
        <v>0.7390278</v>
      </c>
      <c r="H2010" s="13" t="n">
        <f aca="false">MIN(G2010,D2010)</f>
        <v>0.7390278</v>
      </c>
      <c r="I2010" s="13" t="n">
        <f aca="false">IFERROR(MIN(F2010*Eingaben!$B$19,MAX(0,D2010-H2010)),0)</f>
        <v>1.75959</v>
      </c>
      <c r="J2010" s="13" t="n">
        <f aca="false">IFERROR(MIN(Eingaben!$B$18,MAX(0,F2010-I2010)),0)</f>
        <v>0.75411</v>
      </c>
      <c r="K2010" s="13" t="n">
        <f aca="false">H2010+I2010</f>
        <v>2.4986178</v>
      </c>
      <c r="L2010" s="13" t="n">
        <f aca="false">MAX(0,D2010-K2010)</f>
        <v>2.4413822</v>
      </c>
      <c r="M2010" s="13" t="n">
        <f aca="false">MAX(0,F2010-I2010-J2010)</f>
        <v>0</v>
      </c>
      <c r="N2010" s="13" t="n">
        <f aca="false">IF(Kalender!A180="",0,J2009-H2010)</f>
        <v>0.0150822</v>
      </c>
    </row>
    <row r="2011" customFormat="false" ht="16.4" hidden="false" customHeight="false" outlineLevel="0" collapsed="false">
      <c r="A2011" s="13" t="str">
        <f aca="false">""</f>
        <v/>
      </c>
      <c r="B2011" s="13" t="n">
        <f aca="false">177</f>
        <v>177</v>
      </c>
      <c r="C2011" s="13" t="n">
        <f aca="false">IF(Szenarien!$H$16="OK",(IFERROR(SUMIF(Nutzungsprofile!$B$6:$B$11,"Schulbetrieb",Nutzungsprofile!$G$6:$G$11)*Kalender!C181/SUM(Kalender!$C$5:$C$370),0)+IFERROR(SUMIF(Nutzungsprofile!$B$6:$B$11,"Halle",Nutzungsprofile!$G$6:$G$11)*Kalender!D181/SUM(Kalender!$D$5:$D$370),0)+IFERROR(SUMIF(Nutzungsprofile!$B$6:$B$11,"Individuell",Nutzungsprofile!$G$6:$G$11)*Kalender!E181/SUM(Kalender!$E$5:$E$370),0))*Szenarien!$E$16,0)</f>
        <v>2.94</v>
      </c>
      <c r="D2011" s="13" t="n">
        <f aca="false">IF(Szenarien!$H$16="OK",(IFERROR(SUMIF(Nutzungsprofile!$B$17:$B$22,"Schulbetrieb",Nutzungsprofile!$G$17:$G$22)*Kalender!C181/SUM(Kalender!$C$5:$C$370),0)+IFERROR(SUMIF(Nutzungsprofile!$B$17:$B$22,"Halle",Nutzungsprofile!$G$17:$G$22)*Kalender!D181/SUM(Kalender!$D$5:$D$370),0)+IFERROR(SUMIF(Nutzungsprofile!$B$17:$B$22,"Individuell",Nutzungsprofile!$G$17:$G$22)*Kalender!E181/SUM(Kalender!$E$5:$E$370),0))*Szenarien!$D$16,0)</f>
        <v>4.94</v>
      </c>
      <c r="E2011" s="13" t="n">
        <f aca="false">IFERROR(MIN(C2011,Eingaben!$B$17)*Eingaben!$B$16,0)</f>
        <v>2.793</v>
      </c>
      <c r="F2011" s="13" t="n">
        <f aca="false">IFERROR(E2011*Eingaben!$B$15,0)</f>
        <v>2.5137</v>
      </c>
      <c r="G2011" s="13" t="n">
        <f aca="false">IFERROR(IF(Kalender!A181="",0,J2010*(1-Eingaben!$B$20)),0)</f>
        <v>0.7390278</v>
      </c>
      <c r="H2011" s="13" t="n">
        <f aca="false">MIN(G2011,D2011)</f>
        <v>0.7390278</v>
      </c>
      <c r="I2011" s="13" t="n">
        <f aca="false">IFERROR(MIN(F2011*Eingaben!$B$19,MAX(0,D2011-H2011)),0)</f>
        <v>1.75959</v>
      </c>
      <c r="J2011" s="13" t="n">
        <f aca="false">IFERROR(MIN(Eingaben!$B$18,MAX(0,F2011-I2011)),0)</f>
        <v>0.75411</v>
      </c>
      <c r="K2011" s="13" t="n">
        <f aca="false">H2011+I2011</f>
        <v>2.4986178</v>
      </c>
      <c r="L2011" s="13" t="n">
        <f aca="false">MAX(0,D2011-K2011)</f>
        <v>2.4413822</v>
      </c>
      <c r="M2011" s="13" t="n">
        <f aca="false">MAX(0,F2011-I2011-J2011)</f>
        <v>0</v>
      </c>
      <c r="N2011" s="13" t="n">
        <f aca="false">IF(Kalender!A181="",0,J2010-H2011)</f>
        <v>0.0150822</v>
      </c>
    </row>
    <row r="2012" customFormat="false" ht="16.4" hidden="false" customHeight="false" outlineLevel="0" collapsed="false">
      <c r="A2012" s="13" t="str">
        <f aca="false">""</f>
        <v/>
      </c>
      <c r="B2012" s="13" t="n">
        <f aca="false">178</f>
        <v>178</v>
      </c>
      <c r="C2012" s="13" t="n">
        <f aca="false">IF(Szenarien!$H$16="OK",(IFERROR(SUMIF(Nutzungsprofile!$B$6:$B$11,"Schulbetrieb",Nutzungsprofile!$G$6:$G$11)*Kalender!C182/SUM(Kalender!$C$5:$C$370),0)+IFERROR(SUMIF(Nutzungsprofile!$B$6:$B$11,"Halle",Nutzungsprofile!$G$6:$G$11)*Kalender!D182/SUM(Kalender!$D$5:$D$370),0)+IFERROR(SUMIF(Nutzungsprofile!$B$6:$B$11,"Individuell",Nutzungsprofile!$G$6:$G$11)*Kalender!E182/SUM(Kalender!$E$5:$E$370),0))*Szenarien!$E$16,0)</f>
        <v>2.04</v>
      </c>
      <c r="D2012" s="13" t="n">
        <f aca="false">IF(Szenarien!$H$16="OK",(IFERROR(SUMIF(Nutzungsprofile!$B$17:$B$22,"Schulbetrieb",Nutzungsprofile!$G$17:$G$22)*Kalender!C182/SUM(Kalender!$C$5:$C$370),0)+IFERROR(SUMIF(Nutzungsprofile!$B$17:$B$22,"Halle",Nutzungsprofile!$G$17:$G$22)*Kalender!D182/SUM(Kalender!$D$5:$D$370),0)+IFERROR(SUMIF(Nutzungsprofile!$B$17:$B$22,"Individuell",Nutzungsprofile!$G$17:$G$22)*Kalender!E182/SUM(Kalender!$E$5:$E$370),0))*Szenarien!$D$16,0)</f>
        <v>0.89</v>
      </c>
      <c r="E2012" s="13" t="n">
        <f aca="false">IFERROR(MIN(C2012,Eingaben!$B$17)*Eingaben!$B$16,0)</f>
        <v>1.938</v>
      </c>
      <c r="F2012" s="13" t="n">
        <f aca="false">IFERROR(E2012*Eingaben!$B$15,0)</f>
        <v>1.7442</v>
      </c>
      <c r="G2012" s="13" t="n">
        <f aca="false">IFERROR(IF(Kalender!A182="",0,J2011*(1-Eingaben!$B$20)),0)</f>
        <v>0.7390278</v>
      </c>
      <c r="H2012" s="13" t="n">
        <f aca="false">MIN(G2012,D2012)</f>
        <v>0.7390278</v>
      </c>
      <c r="I2012" s="13" t="n">
        <f aca="false">IFERROR(MIN(F2012*Eingaben!$B$19,MAX(0,D2012-H2012)),0)</f>
        <v>0.1509722</v>
      </c>
      <c r="J2012" s="13" t="n">
        <f aca="false">IFERROR(MIN(Eingaben!$B$18,MAX(0,F2012-I2012)),0)</f>
        <v>1.5932278</v>
      </c>
      <c r="K2012" s="13" t="n">
        <f aca="false">H2012+I2012</f>
        <v>0.89</v>
      </c>
      <c r="L2012" s="13" t="n">
        <f aca="false">MAX(0,D2012-K2012)</f>
        <v>0</v>
      </c>
      <c r="M2012" s="13" t="n">
        <f aca="false">MAX(0,F2012-I2012-J2012)</f>
        <v>0</v>
      </c>
      <c r="N2012" s="13" t="n">
        <f aca="false">IF(Kalender!A182="",0,J2011-H2012)</f>
        <v>0.0150822</v>
      </c>
    </row>
    <row r="2013" customFormat="false" ht="16.4" hidden="false" customHeight="false" outlineLevel="0" collapsed="false">
      <c r="A2013" s="13" t="str">
        <f aca="false">""</f>
        <v/>
      </c>
      <c r="B2013" s="13" t="n">
        <f aca="false">179</f>
        <v>179</v>
      </c>
      <c r="C2013" s="13" t="n">
        <f aca="false">IF(Szenarien!$H$16="OK",(IFERROR(SUMIF(Nutzungsprofile!$B$6:$B$11,"Schulbetrieb",Nutzungsprofile!$G$6:$G$11)*Kalender!C183/SUM(Kalender!$C$5:$C$370),0)+IFERROR(SUMIF(Nutzungsprofile!$B$6:$B$11,"Halle",Nutzungsprofile!$G$6:$G$11)*Kalender!D183/SUM(Kalender!$D$5:$D$370),0)+IFERROR(SUMIF(Nutzungsprofile!$B$6:$B$11,"Individuell",Nutzungsprofile!$G$6:$G$11)*Kalender!E183/SUM(Kalender!$E$5:$E$370),0))*Szenarien!$E$16,0)</f>
        <v>2.04</v>
      </c>
      <c r="D2013" s="13" t="n">
        <f aca="false">IF(Szenarien!$H$16="OK",(IFERROR(SUMIF(Nutzungsprofile!$B$17:$B$22,"Schulbetrieb",Nutzungsprofile!$G$17:$G$22)*Kalender!C183/SUM(Kalender!$C$5:$C$370),0)+IFERROR(SUMIF(Nutzungsprofile!$B$17:$B$22,"Halle",Nutzungsprofile!$G$17:$G$22)*Kalender!D183/SUM(Kalender!$D$5:$D$370),0)+IFERROR(SUMIF(Nutzungsprofile!$B$17:$B$22,"Individuell",Nutzungsprofile!$G$17:$G$22)*Kalender!E183/SUM(Kalender!$E$5:$E$370),0))*Szenarien!$D$16,0)</f>
        <v>0.89</v>
      </c>
      <c r="E2013" s="13" t="n">
        <f aca="false">IFERROR(MIN(C2013,Eingaben!$B$17)*Eingaben!$B$16,0)</f>
        <v>1.938</v>
      </c>
      <c r="F2013" s="13" t="n">
        <f aca="false">IFERROR(E2013*Eingaben!$B$15,0)</f>
        <v>1.7442</v>
      </c>
      <c r="G2013" s="13" t="n">
        <f aca="false">IFERROR(IF(Kalender!A183="",0,J2012*(1-Eingaben!$B$20)),0)</f>
        <v>1.561363244</v>
      </c>
      <c r="H2013" s="13" t="n">
        <f aca="false">MIN(G2013,D2013)</f>
        <v>0.89</v>
      </c>
      <c r="I2013" s="13" t="n">
        <f aca="false">IFERROR(MIN(F2013*Eingaben!$B$19,MAX(0,D2013-H2013)),0)</f>
        <v>0</v>
      </c>
      <c r="J2013" s="13" t="n">
        <f aca="false">IFERROR(MIN(Eingaben!$B$18,MAX(0,F2013-I2013)),0)</f>
        <v>1.7442</v>
      </c>
      <c r="K2013" s="13" t="n">
        <f aca="false">H2013+I2013</f>
        <v>0.89</v>
      </c>
      <c r="L2013" s="13" t="n">
        <f aca="false">MAX(0,D2013-K2013)</f>
        <v>0</v>
      </c>
      <c r="M2013" s="13" t="n">
        <f aca="false">MAX(0,F2013-I2013-J2013)</f>
        <v>0</v>
      </c>
      <c r="N2013" s="13" t="n">
        <f aca="false">IF(Kalender!A183="",0,J2012-H2013)</f>
        <v>0.7032278</v>
      </c>
    </row>
    <row r="2014" customFormat="false" ht="16.4" hidden="false" customHeight="false" outlineLevel="0" collapsed="false">
      <c r="A2014" s="13" t="str">
        <f aca="false">""</f>
        <v/>
      </c>
      <c r="B2014" s="13" t="n">
        <f aca="false">180</f>
        <v>180</v>
      </c>
      <c r="C2014" s="13" t="n">
        <f aca="false">IF(Szenarien!$H$16="OK",(IFERROR(SUMIF(Nutzungsprofile!$B$6:$B$11,"Schulbetrieb",Nutzungsprofile!$G$6:$G$11)*Kalender!C184/SUM(Kalender!$C$5:$C$370),0)+IFERROR(SUMIF(Nutzungsprofile!$B$6:$B$11,"Halle",Nutzungsprofile!$G$6:$G$11)*Kalender!D184/SUM(Kalender!$D$5:$D$370),0)+IFERROR(SUMIF(Nutzungsprofile!$B$6:$B$11,"Individuell",Nutzungsprofile!$G$6:$G$11)*Kalender!E184/SUM(Kalender!$E$5:$E$370),0))*Szenarien!$E$16,0)</f>
        <v>2.94</v>
      </c>
      <c r="D2014" s="13" t="n">
        <f aca="false">IF(Szenarien!$H$16="OK",(IFERROR(SUMIF(Nutzungsprofile!$B$17:$B$22,"Schulbetrieb",Nutzungsprofile!$G$17:$G$22)*Kalender!C184/SUM(Kalender!$C$5:$C$370),0)+IFERROR(SUMIF(Nutzungsprofile!$B$17:$B$22,"Halle",Nutzungsprofile!$G$17:$G$22)*Kalender!D184/SUM(Kalender!$D$5:$D$370),0)+IFERROR(SUMIF(Nutzungsprofile!$B$17:$B$22,"Individuell",Nutzungsprofile!$G$17:$G$22)*Kalender!E184/SUM(Kalender!$E$5:$E$370),0))*Szenarien!$D$16,0)</f>
        <v>4.94</v>
      </c>
      <c r="E2014" s="13" t="n">
        <f aca="false">IFERROR(MIN(C2014,Eingaben!$B$17)*Eingaben!$B$16,0)</f>
        <v>2.793</v>
      </c>
      <c r="F2014" s="13" t="n">
        <f aca="false">IFERROR(E2014*Eingaben!$B$15,0)</f>
        <v>2.5137</v>
      </c>
      <c r="G2014" s="13" t="n">
        <f aca="false">IFERROR(IF(Kalender!A184="",0,J2013*(1-Eingaben!$B$20)),0)</f>
        <v>1.709316</v>
      </c>
      <c r="H2014" s="13" t="n">
        <f aca="false">MIN(G2014,D2014)</f>
        <v>1.709316</v>
      </c>
      <c r="I2014" s="13" t="n">
        <f aca="false">IFERROR(MIN(F2014*Eingaben!$B$19,MAX(0,D2014-H2014)),0)</f>
        <v>1.75959</v>
      </c>
      <c r="J2014" s="13" t="n">
        <f aca="false">IFERROR(MIN(Eingaben!$B$18,MAX(0,F2014-I2014)),0)</f>
        <v>0.75411</v>
      </c>
      <c r="K2014" s="13" t="n">
        <f aca="false">H2014+I2014</f>
        <v>3.468906</v>
      </c>
      <c r="L2014" s="13" t="n">
        <f aca="false">MAX(0,D2014-K2014)</f>
        <v>1.471094</v>
      </c>
      <c r="M2014" s="13" t="n">
        <f aca="false">MAX(0,F2014-I2014-J2014)</f>
        <v>0</v>
      </c>
      <c r="N2014" s="13" t="n">
        <f aca="false">IF(Kalender!A184="",0,J2013-H2014)</f>
        <v>0.0348840000000001</v>
      </c>
    </row>
    <row r="2015" customFormat="false" ht="16.4" hidden="false" customHeight="false" outlineLevel="0" collapsed="false">
      <c r="A2015" s="13" t="str">
        <f aca="false">""</f>
        <v/>
      </c>
      <c r="B2015" s="13" t="n">
        <f aca="false">181</f>
        <v>181</v>
      </c>
      <c r="C2015" s="13" t="n">
        <f aca="false">IF(Szenarien!$H$16="OK",(IFERROR(SUMIF(Nutzungsprofile!$B$6:$B$11,"Schulbetrieb",Nutzungsprofile!$G$6:$G$11)*Kalender!C185/SUM(Kalender!$C$5:$C$370),0)+IFERROR(SUMIF(Nutzungsprofile!$B$6:$B$11,"Halle",Nutzungsprofile!$G$6:$G$11)*Kalender!D185/SUM(Kalender!$D$5:$D$370),0)+IFERROR(SUMIF(Nutzungsprofile!$B$6:$B$11,"Individuell",Nutzungsprofile!$G$6:$G$11)*Kalender!E185/SUM(Kalender!$E$5:$E$370),0))*Szenarien!$E$16,0)</f>
        <v>2.94</v>
      </c>
      <c r="D2015" s="13" t="n">
        <f aca="false">IF(Szenarien!$H$16="OK",(IFERROR(SUMIF(Nutzungsprofile!$B$17:$B$22,"Schulbetrieb",Nutzungsprofile!$G$17:$G$22)*Kalender!C185/SUM(Kalender!$C$5:$C$370),0)+IFERROR(SUMIF(Nutzungsprofile!$B$17:$B$22,"Halle",Nutzungsprofile!$G$17:$G$22)*Kalender!D185/SUM(Kalender!$D$5:$D$370),0)+IFERROR(SUMIF(Nutzungsprofile!$B$17:$B$22,"Individuell",Nutzungsprofile!$G$17:$G$22)*Kalender!E185/SUM(Kalender!$E$5:$E$370),0))*Szenarien!$D$16,0)</f>
        <v>4.94</v>
      </c>
      <c r="E2015" s="13" t="n">
        <f aca="false">IFERROR(MIN(C2015,Eingaben!$B$17)*Eingaben!$B$16,0)</f>
        <v>2.793</v>
      </c>
      <c r="F2015" s="13" t="n">
        <f aca="false">IFERROR(E2015*Eingaben!$B$15,0)</f>
        <v>2.5137</v>
      </c>
      <c r="G2015" s="13" t="n">
        <f aca="false">IFERROR(IF(Kalender!A185="",0,J2014*(1-Eingaben!$B$20)),0)</f>
        <v>0.7390278</v>
      </c>
      <c r="H2015" s="13" t="n">
        <f aca="false">MIN(G2015,D2015)</f>
        <v>0.7390278</v>
      </c>
      <c r="I2015" s="13" t="n">
        <f aca="false">IFERROR(MIN(F2015*Eingaben!$B$19,MAX(0,D2015-H2015)),0)</f>
        <v>1.75959</v>
      </c>
      <c r="J2015" s="13" t="n">
        <f aca="false">IFERROR(MIN(Eingaben!$B$18,MAX(0,F2015-I2015)),0)</f>
        <v>0.75411</v>
      </c>
      <c r="K2015" s="13" t="n">
        <f aca="false">H2015+I2015</f>
        <v>2.4986178</v>
      </c>
      <c r="L2015" s="13" t="n">
        <f aca="false">MAX(0,D2015-K2015)</f>
        <v>2.4413822</v>
      </c>
      <c r="M2015" s="13" t="n">
        <f aca="false">MAX(0,F2015-I2015-J2015)</f>
        <v>0</v>
      </c>
      <c r="N2015" s="13" t="n">
        <f aca="false">IF(Kalender!A185="",0,J2014-H2015)</f>
        <v>0.0150822</v>
      </c>
    </row>
    <row r="2016" customFormat="false" ht="16.4" hidden="false" customHeight="false" outlineLevel="0" collapsed="false">
      <c r="A2016" s="13" t="str">
        <f aca="false">""</f>
        <v/>
      </c>
      <c r="B2016" s="13" t="n">
        <f aca="false">182</f>
        <v>182</v>
      </c>
      <c r="C2016" s="13" t="n">
        <f aca="false">IF(Szenarien!$H$16="OK",(IFERROR(SUMIF(Nutzungsprofile!$B$6:$B$11,"Schulbetrieb",Nutzungsprofile!$G$6:$G$11)*Kalender!C186/SUM(Kalender!$C$5:$C$370),0)+IFERROR(SUMIF(Nutzungsprofile!$B$6:$B$11,"Halle",Nutzungsprofile!$G$6:$G$11)*Kalender!D186/SUM(Kalender!$D$5:$D$370),0)+IFERROR(SUMIF(Nutzungsprofile!$B$6:$B$11,"Individuell",Nutzungsprofile!$G$6:$G$11)*Kalender!E186/SUM(Kalender!$E$5:$E$370),0))*Szenarien!$E$16,0)</f>
        <v>2.04</v>
      </c>
      <c r="D2016" s="13" t="n">
        <f aca="false">IF(Szenarien!$H$16="OK",(IFERROR(SUMIF(Nutzungsprofile!$B$17:$B$22,"Schulbetrieb",Nutzungsprofile!$G$17:$G$22)*Kalender!C186/SUM(Kalender!$C$5:$C$370),0)+IFERROR(SUMIF(Nutzungsprofile!$B$17:$B$22,"Halle",Nutzungsprofile!$G$17:$G$22)*Kalender!D186/SUM(Kalender!$D$5:$D$370),0)+IFERROR(SUMIF(Nutzungsprofile!$B$17:$B$22,"Individuell",Nutzungsprofile!$G$17:$G$22)*Kalender!E186/SUM(Kalender!$E$5:$E$370),0))*Szenarien!$D$16,0)</f>
        <v>0.89</v>
      </c>
      <c r="E2016" s="13" t="n">
        <f aca="false">IFERROR(MIN(C2016,Eingaben!$B$17)*Eingaben!$B$16,0)</f>
        <v>1.938</v>
      </c>
      <c r="F2016" s="13" t="n">
        <f aca="false">IFERROR(E2016*Eingaben!$B$15,0)</f>
        <v>1.7442</v>
      </c>
      <c r="G2016" s="13" t="n">
        <f aca="false">IFERROR(IF(Kalender!A186="",0,J2015*(1-Eingaben!$B$20)),0)</f>
        <v>0.7390278</v>
      </c>
      <c r="H2016" s="13" t="n">
        <f aca="false">MIN(G2016,D2016)</f>
        <v>0.7390278</v>
      </c>
      <c r="I2016" s="13" t="n">
        <f aca="false">IFERROR(MIN(F2016*Eingaben!$B$19,MAX(0,D2016-H2016)),0)</f>
        <v>0.1509722</v>
      </c>
      <c r="J2016" s="13" t="n">
        <f aca="false">IFERROR(MIN(Eingaben!$B$18,MAX(0,F2016-I2016)),0)</f>
        <v>1.5932278</v>
      </c>
      <c r="K2016" s="13" t="n">
        <f aca="false">H2016+I2016</f>
        <v>0.89</v>
      </c>
      <c r="L2016" s="13" t="n">
        <f aca="false">MAX(0,D2016-K2016)</f>
        <v>0</v>
      </c>
      <c r="M2016" s="13" t="n">
        <f aca="false">MAX(0,F2016-I2016-J2016)</f>
        <v>0</v>
      </c>
      <c r="N2016" s="13" t="n">
        <f aca="false">IF(Kalender!A186="",0,J2015-H2016)</f>
        <v>0.0150822</v>
      </c>
    </row>
    <row r="2017" customFormat="false" ht="16.4" hidden="false" customHeight="false" outlineLevel="0" collapsed="false">
      <c r="A2017" s="13" t="str">
        <f aca="false">""</f>
        <v/>
      </c>
      <c r="B2017" s="13" t="n">
        <f aca="false">183</f>
        <v>183</v>
      </c>
      <c r="C2017" s="13" t="n">
        <f aca="false">IF(Szenarien!$H$16="OK",(IFERROR(SUMIF(Nutzungsprofile!$B$6:$B$11,"Schulbetrieb",Nutzungsprofile!$G$6:$G$11)*Kalender!C187/SUM(Kalender!$C$5:$C$370),0)+IFERROR(SUMIF(Nutzungsprofile!$B$6:$B$11,"Halle",Nutzungsprofile!$G$6:$G$11)*Kalender!D187/SUM(Kalender!$D$5:$D$370),0)+IFERROR(SUMIF(Nutzungsprofile!$B$6:$B$11,"Individuell",Nutzungsprofile!$G$6:$G$11)*Kalender!E187/SUM(Kalender!$E$5:$E$370),0))*Szenarien!$E$16,0)</f>
        <v>2.04</v>
      </c>
      <c r="D2017" s="13" t="n">
        <f aca="false">IF(Szenarien!$H$16="OK",(IFERROR(SUMIF(Nutzungsprofile!$B$17:$B$22,"Schulbetrieb",Nutzungsprofile!$G$17:$G$22)*Kalender!C187/SUM(Kalender!$C$5:$C$370),0)+IFERROR(SUMIF(Nutzungsprofile!$B$17:$B$22,"Halle",Nutzungsprofile!$G$17:$G$22)*Kalender!D187/SUM(Kalender!$D$5:$D$370),0)+IFERROR(SUMIF(Nutzungsprofile!$B$17:$B$22,"Individuell",Nutzungsprofile!$G$17:$G$22)*Kalender!E187/SUM(Kalender!$E$5:$E$370),0))*Szenarien!$D$16,0)</f>
        <v>0.89</v>
      </c>
      <c r="E2017" s="13" t="n">
        <f aca="false">IFERROR(MIN(C2017,Eingaben!$B$17)*Eingaben!$B$16,0)</f>
        <v>1.938</v>
      </c>
      <c r="F2017" s="13" t="n">
        <f aca="false">IFERROR(E2017*Eingaben!$B$15,0)</f>
        <v>1.7442</v>
      </c>
      <c r="G2017" s="13" t="n">
        <f aca="false">IFERROR(IF(Kalender!A187="",0,J2016*(1-Eingaben!$B$20)),0)</f>
        <v>1.561363244</v>
      </c>
      <c r="H2017" s="13" t="n">
        <f aca="false">MIN(G2017,D2017)</f>
        <v>0.89</v>
      </c>
      <c r="I2017" s="13" t="n">
        <f aca="false">IFERROR(MIN(F2017*Eingaben!$B$19,MAX(0,D2017-H2017)),0)</f>
        <v>0</v>
      </c>
      <c r="J2017" s="13" t="n">
        <f aca="false">IFERROR(MIN(Eingaben!$B$18,MAX(0,F2017-I2017)),0)</f>
        <v>1.7442</v>
      </c>
      <c r="K2017" s="13" t="n">
        <f aca="false">H2017+I2017</f>
        <v>0.89</v>
      </c>
      <c r="L2017" s="13" t="n">
        <f aca="false">MAX(0,D2017-K2017)</f>
        <v>0</v>
      </c>
      <c r="M2017" s="13" t="n">
        <f aca="false">MAX(0,F2017-I2017-J2017)</f>
        <v>0</v>
      </c>
      <c r="N2017" s="13" t="n">
        <f aca="false">IF(Kalender!A187="",0,J2016-H2017)</f>
        <v>0.7032278</v>
      </c>
    </row>
    <row r="2018" customFormat="false" ht="16.4" hidden="false" customHeight="false" outlineLevel="0" collapsed="false">
      <c r="A2018" s="13" t="str">
        <f aca="false">""</f>
        <v/>
      </c>
      <c r="B2018" s="13" t="n">
        <f aca="false">184</f>
        <v>184</v>
      </c>
      <c r="C2018" s="13" t="n">
        <f aca="false">IF(Szenarien!$H$16="OK",(IFERROR(SUMIF(Nutzungsprofile!$B$6:$B$11,"Schulbetrieb",Nutzungsprofile!$G$6:$G$11)*Kalender!C188/SUM(Kalender!$C$5:$C$370),0)+IFERROR(SUMIF(Nutzungsprofile!$B$6:$B$11,"Halle",Nutzungsprofile!$G$6:$G$11)*Kalender!D188/SUM(Kalender!$D$5:$D$370),0)+IFERROR(SUMIF(Nutzungsprofile!$B$6:$B$11,"Individuell",Nutzungsprofile!$G$6:$G$11)*Kalender!E188/SUM(Kalender!$E$5:$E$370),0))*Szenarien!$E$16,0)</f>
        <v>2.04</v>
      </c>
      <c r="D2018" s="13" t="n">
        <f aca="false">IF(Szenarien!$H$16="OK",(IFERROR(SUMIF(Nutzungsprofile!$B$17:$B$22,"Schulbetrieb",Nutzungsprofile!$G$17:$G$22)*Kalender!C188/SUM(Kalender!$C$5:$C$370),0)+IFERROR(SUMIF(Nutzungsprofile!$B$17:$B$22,"Halle",Nutzungsprofile!$G$17:$G$22)*Kalender!D188/SUM(Kalender!$D$5:$D$370),0)+IFERROR(SUMIF(Nutzungsprofile!$B$17:$B$22,"Individuell",Nutzungsprofile!$G$17:$G$22)*Kalender!E188/SUM(Kalender!$E$5:$E$370),0))*Szenarien!$D$16,0)</f>
        <v>0.89</v>
      </c>
      <c r="E2018" s="13" t="n">
        <f aca="false">IFERROR(MIN(C2018,Eingaben!$B$17)*Eingaben!$B$16,0)</f>
        <v>1.938</v>
      </c>
      <c r="F2018" s="13" t="n">
        <f aca="false">IFERROR(E2018*Eingaben!$B$15,0)</f>
        <v>1.7442</v>
      </c>
      <c r="G2018" s="13" t="n">
        <f aca="false">IFERROR(IF(Kalender!A188="",0,J2017*(1-Eingaben!$B$20)),0)</f>
        <v>1.709316</v>
      </c>
      <c r="H2018" s="13" t="n">
        <f aca="false">MIN(G2018,D2018)</f>
        <v>0.89</v>
      </c>
      <c r="I2018" s="13" t="n">
        <f aca="false">IFERROR(MIN(F2018*Eingaben!$B$19,MAX(0,D2018-H2018)),0)</f>
        <v>0</v>
      </c>
      <c r="J2018" s="13" t="n">
        <f aca="false">IFERROR(MIN(Eingaben!$B$18,MAX(0,F2018-I2018)),0)</f>
        <v>1.7442</v>
      </c>
      <c r="K2018" s="13" t="n">
        <f aca="false">H2018+I2018</f>
        <v>0.89</v>
      </c>
      <c r="L2018" s="13" t="n">
        <f aca="false">MAX(0,D2018-K2018)</f>
        <v>0</v>
      </c>
      <c r="M2018" s="13" t="n">
        <f aca="false">MAX(0,F2018-I2018-J2018)</f>
        <v>0</v>
      </c>
      <c r="N2018" s="13" t="n">
        <f aca="false">IF(Kalender!A188="",0,J2017-H2018)</f>
        <v>0.8542</v>
      </c>
    </row>
    <row r="2019" customFormat="false" ht="16.4" hidden="false" customHeight="false" outlineLevel="0" collapsed="false">
      <c r="A2019" s="13" t="str">
        <f aca="false">""</f>
        <v/>
      </c>
      <c r="B2019" s="13" t="n">
        <f aca="false">185</f>
        <v>185</v>
      </c>
      <c r="C2019" s="13" t="n">
        <f aca="false">IF(Szenarien!$H$16="OK",(IFERROR(SUMIF(Nutzungsprofile!$B$6:$B$11,"Schulbetrieb",Nutzungsprofile!$G$6:$G$11)*Kalender!C189/SUM(Kalender!$C$5:$C$370),0)+IFERROR(SUMIF(Nutzungsprofile!$B$6:$B$11,"Halle",Nutzungsprofile!$G$6:$G$11)*Kalender!D189/SUM(Kalender!$D$5:$D$370),0)+IFERROR(SUMIF(Nutzungsprofile!$B$6:$B$11,"Individuell",Nutzungsprofile!$G$6:$G$11)*Kalender!E189/SUM(Kalender!$E$5:$E$370),0))*Szenarien!$E$16,0)</f>
        <v>2.04</v>
      </c>
      <c r="D2019" s="13" t="n">
        <f aca="false">IF(Szenarien!$H$16="OK",(IFERROR(SUMIF(Nutzungsprofile!$B$17:$B$22,"Schulbetrieb",Nutzungsprofile!$G$17:$G$22)*Kalender!C189/SUM(Kalender!$C$5:$C$370),0)+IFERROR(SUMIF(Nutzungsprofile!$B$17:$B$22,"Halle",Nutzungsprofile!$G$17:$G$22)*Kalender!D189/SUM(Kalender!$D$5:$D$370),0)+IFERROR(SUMIF(Nutzungsprofile!$B$17:$B$22,"Individuell",Nutzungsprofile!$G$17:$G$22)*Kalender!E189/SUM(Kalender!$E$5:$E$370),0))*Szenarien!$D$16,0)</f>
        <v>0.89</v>
      </c>
      <c r="E2019" s="13" t="n">
        <f aca="false">IFERROR(MIN(C2019,Eingaben!$B$17)*Eingaben!$B$16,0)</f>
        <v>1.938</v>
      </c>
      <c r="F2019" s="13" t="n">
        <f aca="false">IFERROR(E2019*Eingaben!$B$15,0)</f>
        <v>1.7442</v>
      </c>
      <c r="G2019" s="13" t="n">
        <f aca="false">IFERROR(IF(Kalender!A189="",0,J2018*(1-Eingaben!$B$20)),0)</f>
        <v>1.709316</v>
      </c>
      <c r="H2019" s="13" t="n">
        <f aca="false">MIN(G2019,D2019)</f>
        <v>0.89</v>
      </c>
      <c r="I2019" s="13" t="n">
        <f aca="false">IFERROR(MIN(F2019*Eingaben!$B$19,MAX(0,D2019-H2019)),0)</f>
        <v>0</v>
      </c>
      <c r="J2019" s="13" t="n">
        <f aca="false">IFERROR(MIN(Eingaben!$B$18,MAX(0,F2019-I2019)),0)</f>
        <v>1.7442</v>
      </c>
      <c r="K2019" s="13" t="n">
        <f aca="false">H2019+I2019</f>
        <v>0.89</v>
      </c>
      <c r="L2019" s="13" t="n">
        <f aca="false">MAX(0,D2019-K2019)</f>
        <v>0</v>
      </c>
      <c r="M2019" s="13" t="n">
        <f aca="false">MAX(0,F2019-I2019-J2019)</f>
        <v>0</v>
      </c>
      <c r="N2019" s="13" t="n">
        <f aca="false">IF(Kalender!A189="",0,J2018-H2019)</f>
        <v>0.8542</v>
      </c>
    </row>
    <row r="2020" customFormat="false" ht="16.4" hidden="false" customHeight="false" outlineLevel="0" collapsed="false">
      <c r="A2020" s="13" t="str">
        <f aca="false">""</f>
        <v/>
      </c>
      <c r="B2020" s="13" t="n">
        <f aca="false">186</f>
        <v>186</v>
      </c>
      <c r="C2020" s="13" t="n">
        <f aca="false">IF(Szenarien!$H$16="OK",(IFERROR(SUMIF(Nutzungsprofile!$B$6:$B$11,"Schulbetrieb",Nutzungsprofile!$G$6:$G$11)*Kalender!C190/SUM(Kalender!$C$5:$C$370),0)+IFERROR(SUMIF(Nutzungsprofile!$B$6:$B$11,"Halle",Nutzungsprofile!$G$6:$G$11)*Kalender!D190/SUM(Kalender!$D$5:$D$370),0)+IFERROR(SUMIF(Nutzungsprofile!$B$6:$B$11,"Individuell",Nutzungsprofile!$G$6:$G$11)*Kalender!E190/SUM(Kalender!$E$5:$E$370),0))*Szenarien!$E$16,0)</f>
        <v>2.04</v>
      </c>
      <c r="D2020" s="13" t="n">
        <f aca="false">IF(Szenarien!$H$16="OK",(IFERROR(SUMIF(Nutzungsprofile!$B$17:$B$22,"Schulbetrieb",Nutzungsprofile!$G$17:$G$22)*Kalender!C190/SUM(Kalender!$C$5:$C$370),0)+IFERROR(SUMIF(Nutzungsprofile!$B$17:$B$22,"Halle",Nutzungsprofile!$G$17:$G$22)*Kalender!D190/SUM(Kalender!$D$5:$D$370),0)+IFERROR(SUMIF(Nutzungsprofile!$B$17:$B$22,"Individuell",Nutzungsprofile!$G$17:$G$22)*Kalender!E190/SUM(Kalender!$E$5:$E$370),0))*Szenarien!$D$16,0)</f>
        <v>0.89</v>
      </c>
      <c r="E2020" s="13" t="n">
        <f aca="false">IFERROR(MIN(C2020,Eingaben!$B$17)*Eingaben!$B$16,0)</f>
        <v>1.938</v>
      </c>
      <c r="F2020" s="13" t="n">
        <f aca="false">IFERROR(E2020*Eingaben!$B$15,0)</f>
        <v>1.7442</v>
      </c>
      <c r="G2020" s="13" t="n">
        <f aca="false">IFERROR(IF(Kalender!A190="",0,J2019*(1-Eingaben!$B$20)),0)</f>
        <v>1.709316</v>
      </c>
      <c r="H2020" s="13" t="n">
        <f aca="false">MIN(G2020,D2020)</f>
        <v>0.89</v>
      </c>
      <c r="I2020" s="13" t="n">
        <f aca="false">IFERROR(MIN(F2020*Eingaben!$B$19,MAX(0,D2020-H2020)),0)</f>
        <v>0</v>
      </c>
      <c r="J2020" s="13" t="n">
        <f aca="false">IFERROR(MIN(Eingaben!$B$18,MAX(0,F2020-I2020)),0)</f>
        <v>1.7442</v>
      </c>
      <c r="K2020" s="13" t="n">
        <f aca="false">H2020+I2020</f>
        <v>0.89</v>
      </c>
      <c r="L2020" s="13" t="n">
        <f aca="false">MAX(0,D2020-K2020)</f>
        <v>0</v>
      </c>
      <c r="M2020" s="13" t="n">
        <f aca="false">MAX(0,F2020-I2020-J2020)</f>
        <v>0</v>
      </c>
      <c r="N2020" s="13" t="n">
        <f aca="false">IF(Kalender!A190="",0,J2019-H2020)</f>
        <v>0.8542</v>
      </c>
    </row>
    <row r="2021" customFormat="false" ht="16.4" hidden="false" customHeight="false" outlineLevel="0" collapsed="false">
      <c r="A2021" s="13" t="str">
        <f aca="false">""</f>
        <v/>
      </c>
      <c r="B2021" s="13" t="n">
        <f aca="false">187</f>
        <v>187</v>
      </c>
      <c r="C2021" s="13" t="n">
        <f aca="false">IF(Szenarien!$H$16="OK",(IFERROR(SUMIF(Nutzungsprofile!$B$6:$B$11,"Schulbetrieb",Nutzungsprofile!$G$6:$G$11)*Kalender!C191/SUM(Kalender!$C$5:$C$370),0)+IFERROR(SUMIF(Nutzungsprofile!$B$6:$B$11,"Halle",Nutzungsprofile!$G$6:$G$11)*Kalender!D191/SUM(Kalender!$D$5:$D$370),0)+IFERROR(SUMIF(Nutzungsprofile!$B$6:$B$11,"Individuell",Nutzungsprofile!$G$6:$G$11)*Kalender!E191/SUM(Kalender!$E$5:$E$370),0))*Szenarien!$E$16,0)</f>
        <v>2.04</v>
      </c>
      <c r="D2021" s="13" t="n">
        <f aca="false">IF(Szenarien!$H$16="OK",(IFERROR(SUMIF(Nutzungsprofile!$B$17:$B$22,"Schulbetrieb",Nutzungsprofile!$G$17:$G$22)*Kalender!C191/SUM(Kalender!$C$5:$C$370),0)+IFERROR(SUMIF(Nutzungsprofile!$B$17:$B$22,"Halle",Nutzungsprofile!$G$17:$G$22)*Kalender!D191/SUM(Kalender!$D$5:$D$370),0)+IFERROR(SUMIF(Nutzungsprofile!$B$17:$B$22,"Individuell",Nutzungsprofile!$G$17:$G$22)*Kalender!E191/SUM(Kalender!$E$5:$E$370),0))*Szenarien!$D$16,0)</f>
        <v>0.89</v>
      </c>
      <c r="E2021" s="13" t="n">
        <f aca="false">IFERROR(MIN(C2021,Eingaben!$B$17)*Eingaben!$B$16,0)</f>
        <v>1.938</v>
      </c>
      <c r="F2021" s="13" t="n">
        <f aca="false">IFERROR(E2021*Eingaben!$B$15,0)</f>
        <v>1.7442</v>
      </c>
      <c r="G2021" s="13" t="n">
        <f aca="false">IFERROR(IF(Kalender!A191="",0,J2020*(1-Eingaben!$B$20)),0)</f>
        <v>1.709316</v>
      </c>
      <c r="H2021" s="13" t="n">
        <f aca="false">MIN(G2021,D2021)</f>
        <v>0.89</v>
      </c>
      <c r="I2021" s="13" t="n">
        <f aca="false">IFERROR(MIN(F2021*Eingaben!$B$19,MAX(0,D2021-H2021)),0)</f>
        <v>0</v>
      </c>
      <c r="J2021" s="13" t="n">
        <f aca="false">IFERROR(MIN(Eingaben!$B$18,MAX(0,F2021-I2021)),0)</f>
        <v>1.7442</v>
      </c>
      <c r="K2021" s="13" t="n">
        <f aca="false">H2021+I2021</f>
        <v>0.89</v>
      </c>
      <c r="L2021" s="13" t="n">
        <f aca="false">MAX(0,D2021-K2021)</f>
        <v>0</v>
      </c>
      <c r="M2021" s="13" t="n">
        <f aca="false">MAX(0,F2021-I2021-J2021)</f>
        <v>0</v>
      </c>
      <c r="N2021" s="13" t="n">
        <f aca="false">IF(Kalender!A191="",0,J2020-H2021)</f>
        <v>0.8542</v>
      </c>
    </row>
    <row r="2022" customFormat="false" ht="16.4" hidden="false" customHeight="false" outlineLevel="0" collapsed="false">
      <c r="A2022" s="13" t="str">
        <f aca="false">""</f>
        <v/>
      </c>
      <c r="B2022" s="13" t="n">
        <f aca="false">188</f>
        <v>188</v>
      </c>
      <c r="C2022" s="13" t="n">
        <f aca="false">IF(Szenarien!$H$16="OK",(IFERROR(SUMIF(Nutzungsprofile!$B$6:$B$11,"Schulbetrieb",Nutzungsprofile!$G$6:$G$11)*Kalender!C192/SUM(Kalender!$C$5:$C$370),0)+IFERROR(SUMIF(Nutzungsprofile!$B$6:$B$11,"Halle",Nutzungsprofile!$G$6:$G$11)*Kalender!D192/SUM(Kalender!$D$5:$D$370),0)+IFERROR(SUMIF(Nutzungsprofile!$B$6:$B$11,"Individuell",Nutzungsprofile!$G$6:$G$11)*Kalender!E192/SUM(Kalender!$E$5:$E$370),0))*Szenarien!$E$16,0)</f>
        <v>2.04</v>
      </c>
      <c r="D2022" s="13" t="n">
        <f aca="false">IF(Szenarien!$H$16="OK",(IFERROR(SUMIF(Nutzungsprofile!$B$17:$B$22,"Schulbetrieb",Nutzungsprofile!$G$17:$G$22)*Kalender!C192/SUM(Kalender!$C$5:$C$370),0)+IFERROR(SUMIF(Nutzungsprofile!$B$17:$B$22,"Halle",Nutzungsprofile!$G$17:$G$22)*Kalender!D192/SUM(Kalender!$D$5:$D$370),0)+IFERROR(SUMIF(Nutzungsprofile!$B$17:$B$22,"Individuell",Nutzungsprofile!$G$17:$G$22)*Kalender!E192/SUM(Kalender!$E$5:$E$370),0))*Szenarien!$D$16,0)</f>
        <v>0.89</v>
      </c>
      <c r="E2022" s="13" t="n">
        <f aca="false">IFERROR(MIN(C2022,Eingaben!$B$17)*Eingaben!$B$16,0)</f>
        <v>1.938</v>
      </c>
      <c r="F2022" s="13" t="n">
        <f aca="false">IFERROR(E2022*Eingaben!$B$15,0)</f>
        <v>1.7442</v>
      </c>
      <c r="G2022" s="13" t="n">
        <f aca="false">IFERROR(IF(Kalender!A192="",0,J2021*(1-Eingaben!$B$20)),0)</f>
        <v>1.709316</v>
      </c>
      <c r="H2022" s="13" t="n">
        <f aca="false">MIN(G2022,D2022)</f>
        <v>0.89</v>
      </c>
      <c r="I2022" s="13" t="n">
        <f aca="false">IFERROR(MIN(F2022*Eingaben!$B$19,MAX(0,D2022-H2022)),0)</f>
        <v>0</v>
      </c>
      <c r="J2022" s="13" t="n">
        <f aca="false">IFERROR(MIN(Eingaben!$B$18,MAX(0,F2022-I2022)),0)</f>
        <v>1.7442</v>
      </c>
      <c r="K2022" s="13" t="n">
        <f aca="false">H2022+I2022</f>
        <v>0.89</v>
      </c>
      <c r="L2022" s="13" t="n">
        <f aca="false">MAX(0,D2022-K2022)</f>
        <v>0</v>
      </c>
      <c r="M2022" s="13" t="n">
        <f aca="false">MAX(0,F2022-I2022-J2022)</f>
        <v>0</v>
      </c>
      <c r="N2022" s="13" t="n">
        <f aca="false">IF(Kalender!A192="",0,J2021-H2022)</f>
        <v>0.8542</v>
      </c>
    </row>
    <row r="2023" customFormat="false" ht="16.4" hidden="false" customHeight="false" outlineLevel="0" collapsed="false">
      <c r="A2023" s="13" t="str">
        <f aca="false">""</f>
        <v/>
      </c>
      <c r="B2023" s="13" t="n">
        <f aca="false">189</f>
        <v>189</v>
      </c>
      <c r="C2023" s="13" t="n">
        <f aca="false">IF(Szenarien!$H$16="OK",(IFERROR(SUMIF(Nutzungsprofile!$B$6:$B$11,"Schulbetrieb",Nutzungsprofile!$G$6:$G$11)*Kalender!C193/SUM(Kalender!$C$5:$C$370),0)+IFERROR(SUMIF(Nutzungsprofile!$B$6:$B$11,"Halle",Nutzungsprofile!$G$6:$G$11)*Kalender!D193/SUM(Kalender!$D$5:$D$370),0)+IFERROR(SUMIF(Nutzungsprofile!$B$6:$B$11,"Individuell",Nutzungsprofile!$G$6:$G$11)*Kalender!E193/SUM(Kalender!$E$5:$E$370),0))*Szenarien!$E$16,0)</f>
        <v>2.04</v>
      </c>
      <c r="D2023" s="13" t="n">
        <f aca="false">IF(Szenarien!$H$16="OK",(IFERROR(SUMIF(Nutzungsprofile!$B$17:$B$22,"Schulbetrieb",Nutzungsprofile!$G$17:$G$22)*Kalender!C193/SUM(Kalender!$C$5:$C$370),0)+IFERROR(SUMIF(Nutzungsprofile!$B$17:$B$22,"Halle",Nutzungsprofile!$G$17:$G$22)*Kalender!D193/SUM(Kalender!$D$5:$D$370),0)+IFERROR(SUMIF(Nutzungsprofile!$B$17:$B$22,"Individuell",Nutzungsprofile!$G$17:$G$22)*Kalender!E193/SUM(Kalender!$E$5:$E$370),0))*Szenarien!$D$16,0)</f>
        <v>0.89</v>
      </c>
      <c r="E2023" s="13" t="n">
        <f aca="false">IFERROR(MIN(C2023,Eingaben!$B$17)*Eingaben!$B$16,0)</f>
        <v>1.938</v>
      </c>
      <c r="F2023" s="13" t="n">
        <f aca="false">IFERROR(E2023*Eingaben!$B$15,0)</f>
        <v>1.7442</v>
      </c>
      <c r="G2023" s="13" t="n">
        <f aca="false">IFERROR(IF(Kalender!A193="",0,J2022*(1-Eingaben!$B$20)),0)</f>
        <v>1.709316</v>
      </c>
      <c r="H2023" s="13" t="n">
        <f aca="false">MIN(G2023,D2023)</f>
        <v>0.89</v>
      </c>
      <c r="I2023" s="13" t="n">
        <f aca="false">IFERROR(MIN(F2023*Eingaben!$B$19,MAX(0,D2023-H2023)),0)</f>
        <v>0</v>
      </c>
      <c r="J2023" s="13" t="n">
        <f aca="false">IFERROR(MIN(Eingaben!$B$18,MAX(0,F2023-I2023)),0)</f>
        <v>1.7442</v>
      </c>
      <c r="K2023" s="13" t="n">
        <f aca="false">H2023+I2023</f>
        <v>0.89</v>
      </c>
      <c r="L2023" s="13" t="n">
        <f aca="false">MAX(0,D2023-K2023)</f>
        <v>0</v>
      </c>
      <c r="M2023" s="13" t="n">
        <f aca="false">MAX(0,F2023-I2023-J2023)</f>
        <v>0</v>
      </c>
      <c r="N2023" s="13" t="n">
        <f aca="false">IF(Kalender!A193="",0,J2022-H2023)</f>
        <v>0.8542</v>
      </c>
    </row>
    <row r="2024" customFormat="false" ht="16.4" hidden="false" customHeight="false" outlineLevel="0" collapsed="false">
      <c r="A2024" s="13" t="str">
        <f aca="false">""</f>
        <v/>
      </c>
      <c r="B2024" s="13" t="n">
        <f aca="false">190</f>
        <v>190</v>
      </c>
      <c r="C2024" s="13" t="n">
        <f aca="false">IF(Szenarien!$H$16="OK",(IFERROR(SUMIF(Nutzungsprofile!$B$6:$B$11,"Schulbetrieb",Nutzungsprofile!$G$6:$G$11)*Kalender!C194/SUM(Kalender!$C$5:$C$370),0)+IFERROR(SUMIF(Nutzungsprofile!$B$6:$B$11,"Halle",Nutzungsprofile!$G$6:$G$11)*Kalender!D194/SUM(Kalender!$D$5:$D$370),0)+IFERROR(SUMIF(Nutzungsprofile!$B$6:$B$11,"Individuell",Nutzungsprofile!$G$6:$G$11)*Kalender!E194/SUM(Kalender!$E$5:$E$370),0))*Szenarien!$E$16,0)</f>
        <v>2.04</v>
      </c>
      <c r="D2024" s="13" t="n">
        <f aca="false">IF(Szenarien!$H$16="OK",(IFERROR(SUMIF(Nutzungsprofile!$B$17:$B$22,"Schulbetrieb",Nutzungsprofile!$G$17:$G$22)*Kalender!C194/SUM(Kalender!$C$5:$C$370),0)+IFERROR(SUMIF(Nutzungsprofile!$B$17:$B$22,"Halle",Nutzungsprofile!$G$17:$G$22)*Kalender!D194/SUM(Kalender!$D$5:$D$370),0)+IFERROR(SUMIF(Nutzungsprofile!$B$17:$B$22,"Individuell",Nutzungsprofile!$G$17:$G$22)*Kalender!E194/SUM(Kalender!$E$5:$E$370),0))*Szenarien!$D$16,0)</f>
        <v>0.89</v>
      </c>
      <c r="E2024" s="13" t="n">
        <f aca="false">IFERROR(MIN(C2024,Eingaben!$B$17)*Eingaben!$B$16,0)</f>
        <v>1.938</v>
      </c>
      <c r="F2024" s="13" t="n">
        <f aca="false">IFERROR(E2024*Eingaben!$B$15,0)</f>
        <v>1.7442</v>
      </c>
      <c r="G2024" s="13" t="n">
        <f aca="false">IFERROR(IF(Kalender!A194="",0,J2023*(1-Eingaben!$B$20)),0)</f>
        <v>1.709316</v>
      </c>
      <c r="H2024" s="13" t="n">
        <f aca="false">MIN(G2024,D2024)</f>
        <v>0.89</v>
      </c>
      <c r="I2024" s="13" t="n">
        <f aca="false">IFERROR(MIN(F2024*Eingaben!$B$19,MAX(0,D2024-H2024)),0)</f>
        <v>0</v>
      </c>
      <c r="J2024" s="13" t="n">
        <f aca="false">IFERROR(MIN(Eingaben!$B$18,MAX(0,F2024-I2024)),0)</f>
        <v>1.7442</v>
      </c>
      <c r="K2024" s="13" t="n">
        <f aca="false">H2024+I2024</f>
        <v>0.89</v>
      </c>
      <c r="L2024" s="13" t="n">
        <f aca="false">MAX(0,D2024-K2024)</f>
        <v>0</v>
      </c>
      <c r="M2024" s="13" t="n">
        <f aca="false">MAX(0,F2024-I2024-J2024)</f>
        <v>0</v>
      </c>
      <c r="N2024" s="13" t="n">
        <f aca="false">IF(Kalender!A194="",0,J2023-H2024)</f>
        <v>0.8542</v>
      </c>
    </row>
    <row r="2025" customFormat="false" ht="16.4" hidden="false" customHeight="false" outlineLevel="0" collapsed="false">
      <c r="A2025" s="13" t="str">
        <f aca="false">""</f>
        <v/>
      </c>
      <c r="B2025" s="13" t="n">
        <f aca="false">191</f>
        <v>191</v>
      </c>
      <c r="C2025" s="13" t="n">
        <f aca="false">IF(Szenarien!$H$16="OK",(IFERROR(SUMIF(Nutzungsprofile!$B$6:$B$11,"Schulbetrieb",Nutzungsprofile!$G$6:$G$11)*Kalender!C195/SUM(Kalender!$C$5:$C$370),0)+IFERROR(SUMIF(Nutzungsprofile!$B$6:$B$11,"Halle",Nutzungsprofile!$G$6:$G$11)*Kalender!D195/SUM(Kalender!$D$5:$D$370),0)+IFERROR(SUMIF(Nutzungsprofile!$B$6:$B$11,"Individuell",Nutzungsprofile!$G$6:$G$11)*Kalender!E195/SUM(Kalender!$E$5:$E$370),0))*Szenarien!$E$16,0)</f>
        <v>2.04</v>
      </c>
      <c r="D2025" s="13" t="n">
        <f aca="false">IF(Szenarien!$H$16="OK",(IFERROR(SUMIF(Nutzungsprofile!$B$17:$B$22,"Schulbetrieb",Nutzungsprofile!$G$17:$G$22)*Kalender!C195/SUM(Kalender!$C$5:$C$370),0)+IFERROR(SUMIF(Nutzungsprofile!$B$17:$B$22,"Halle",Nutzungsprofile!$G$17:$G$22)*Kalender!D195/SUM(Kalender!$D$5:$D$370),0)+IFERROR(SUMIF(Nutzungsprofile!$B$17:$B$22,"Individuell",Nutzungsprofile!$G$17:$G$22)*Kalender!E195/SUM(Kalender!$E$5:$E$370),0))*Szenarien!$D$16,0)</f>
        <v>0.89</v>
      </c>
      <c r="E2025" s="13" t="n">
        <f aca="false">IFERROR(MIN(C2025,Eingaben!$B$17)*Eingaben!$B$16,0)</f>
        <v>1.938</v>
      </c>
      <c r="F2025" s="13" t="n">
        <f aca="false">IFERROR(E2025*Eingaben!$B$15,0)</f>
        <v>1.7442</v>
      </c>
      <c r="G2025" s="13" t="n">
        <f aca="false">IFERROR(IF(Kalender!A195="",0,J2024*(1-Eingaben!$B$20)),0)</f>
        <v>1.709316</v>
      </c>
      <c r="H2025" s="13" t="n">
        <f aca="false">MIN(G2025,D2025)</f>
        <v>0.89</v>
      </c>
      <c r="I2025" s="13" t="n">
        <f aca="false">IFERROR(MIN(F2025*Eingaben!$B$19,MAX(0,D2025-H2025)),0)</f>
        <v>0</v>
      </c>
      <c r="J2025" s="13" t="n">
        <f aca="false">IFERROR(MIN(Eingaben!$B$18,MAX(0,F2025-I2025)),0)</f>
        <v>1.7442</v>
      </c>
      <c r="K2025" s="13" t="n">
        <f aca="false">H2025+I2025</f>
        <v>0.89</v>
      </c>
      <c r="L2025" s="13" t="n">
        <f aca="false">MAX(0,D2025-K2025)</f>
        <v>0</v>
      </c>
      <c r="M2025" s="13" t="n">
        <f aca="false">MAX(0,F2025-I2025-J2025)</f>
        <v>0</v>
      </c>
      <c r="N2025" s="13" t="n">
        <f aca="false">IF(Kalender!A195="",0,J2024-H2025)</f>
        <v>0.8542</v>
      </c>
    </row>
    <row r="2026" customFormat="false" ht="16.4" hidden="false" customHeight="false" outlineLevel="0" collapsed="false">
      <c r="A2026" s="13" t="str">
        <f aca="false">""</f>
        <v/>
      </c>
      <c r="B2026" s="13" t="n">
        <f aca="false">192</f>
        <v>192</v>
      </c>
      <c r="C2026" s="13" t="n">
        <f aca="false">IF(Szenarien!$H$16="OK",(IFERROR(SUMIF(Nutzungsprofile!$B$6:$B$11,"Schulbetrieb",Nutzungsprofile!$G$6:$G$11)*Kalender!C196/SUM(Kalender!$C$5:$C$370),0)+IFERROR(SUMIF(Nutzungsprofile!$B$6:$B$11,"Halle",Nutzungsprofile!$G$6:$G$11)*Kalender!D196/SUM(Kalender!$D$5:$D$370),0)+IFERROR(SUMIF(Nutzungsprofile!$B$6:$B$11,"Individuell",Nutzungsprofile!$G$6:$G$11)*Kalender!E196/SUM(Kalender!$E$5:$E$370),0))*Szenarien!$E$16,0)</f>
        <v>2.04</v>
      </c>
      <c r="D2026" s="13" t="n">
        <f aca="false">IF(Szenarien!$H$16="OK",(IFERROR(SUMIF(Nutzungsprofile!$B$17:$B$22,"Schulbetrieb",Nutzungsprofile!$G$17:$G$22)*Kalender!C196/SUM(Kalender!$C$5:$C$370),0)+IFERROR(SUMIF(Nutzungsprofile!$B$17:$B$22,"Halle",Nutzungsprofile!$G$17:$G$22)*Kalender!D196/SUM(Kalender!$D$5:$D$370),0)+IFERROR(SUMIF(Nutzungsprofile!$B$17:$B$22,"Individuell",Nutzungsprofile!$G$17:$G$22)*Kalender!E196/SUM(Kalender!$E$5:$E$370),0))*Szenarien!$D$16,0)</f>
        <v>0.89</v>
      </c>
      <c r="E2026" s="13" t="n">
        <f aca="false">IFERROR(MIN(C2026,Eingaben!$B$17)*Eingaben!$B$16,0)</f>
        <v>1.938</v>
      </c>
      <c r="F2026" s="13" t="n">
        <f aca="false">IFERROR(E2026*Eingaben!$B$15,0)</f>
        <v>1.7442</v>
      </c>
      <c r="G2026" s="13" t="n">
        <f aca="false">IFERROR(IF(Kalender!A196="",0,J2025*(1-Eingaben!$B$20)),0)</f>
        <v>1.709316</v>
      </c>
      <c r="H2026" s="13" t="n">
        <f aca="false">MIN(G2026,D2026)</f>
        <v>0.89</v>
      </c>
      <c r="I2026" s="13" t="n">
        <f aca="false">IFERROR(MIN(F2026*Eingaben!$B$19,MAX(0,D2026-H2026)),0)</f>
        <v>0</v>
      </c>
      <c r="J2026" s="13" t="n">
        <f aca="false">IFERROR(MIN(Eingaben!$B$18,MAX(0,F2026-I2026)),0)</f>
        <v>1.7442</v>
      </c>
      <c r="K2026" s="13" t="n">
        <f aca="false">H2026+I2026</f>
        <v>0.89</v>
      </c>
      <c r="L2026" s="13" t="n">
        <f aca="false">MAX(0,D2026-K2026)</f>
        <v>0</v>
      </c>
      <c r="M2026" s="13" t="n">
        <f aca="false">MAX(0,F2026-I2026-J2026)</f>
        <v>0</v>
      </c>
      <c r="N2026" s="13" t="n">
        <f aca="false">IF(Kalender!A196="",0,J2025-H2026)</f>
        <v>0.8542</v>
      </c>
    </row>
    <row r="2027" customFormat="false" ht="16.4" hidden="false" customHeight="false" outlineLevel="0" collapsed="false">
      <c r="A2027" s="13" t="str">
        <f aca="false">""</f>
        <v/>
      </c>
      <c r="B2027" s="13" t="n">
        <f aca="false">193</f>
        <v>193</v>
      </c>
      <c r="C2027" s="13" t="n">
        <f aca="false">IF(Szenarien!$H$16="OK",(IFERROR(SUMIF(Nutzungsprofile!$B$6:$B$11,"Schulbetrieb",Nutzungsprofile!$G$6:$G$11)*Kalender!C197/SUM(Kalender!$C$5:$C$370),0)+IFERROR(SUMIF(Nutzungsprofile!$B$6:$B$11,"Halle",Nutzungsprofile!$G$6:$G$11)*Kalender!D197/SUM(Kalender!$D$5:$D$370),0)+IFERROR(SUMIF(Nutzungsprofile!$B$6:$B$11,"Individuell",Nutzungsprofile!$G$6:$G$11)*Kalender!E197/SUM(Kalender!$E$5:$E$370),0))*Szenarien!$E$16,0)</f>
        <v>2.04</v>
      </c>
      <c r="D2027" s="13" t="n">
        <f aca="false">IF(Szenarien!$H$16="OK",(IFERROR(SUMIF(Nutzungsprofile!$B$17:$B$22,"Schulbetrieb",Nutzungsprofile!$G$17:$G$22)*Kalender!C197/SUM(Kalender!$C$5:$C$370),0)+IFERROR(SUMIF(Nutzungsprofile!$B$17:$B$22,"Halle",Nutzungsprofile!$G$17:$G$22)*Kalender!D197/SUM(Kalender!$D$5:$D$370),0)+IFERROR(SUMIF(Nutzungsprofile!$B$17:$B$22,"Individuell",Nutzungsprofile!$G$17:$G$22)*Kalender!E197/SUM(Kalender!$E$5:$E$370),0))*Szenarien!$D$16,0)</f>
        <v>0.89</v>
      </c>
      <c r="E2027" s="13" t="n">
        <f aca="false">IFERROR(MIN(C2027,Eingaben!$B$17)*Eingaben!$B$16,0)</f>
        <v>1.938</v>
      </c>
      <c r="F2027" s="13" t="n">
        <f aca="false">IFERROR(E2027*Eingaben!$B$15,0)</f>
        <v>1.7442</v>
      </c>
      <c r="G2027" s="13" t="n">
        <f aca="false">IFERROR(IF(Kalender!A197="",0,J2026*(1-Eingaben!$B$20)),0)</f>
        <v>1.709316</v>
      </c>
      <c r="H2027" s="13" t="n">
        <f aca="false">MIN(G2027,D2027)</f>
        <v>0.89</v>
      </c>
      <c r="I2027" s="13" t="n">
        <f aca="false">IFERROR(MIN(F2027*Eingaben!$B$19,MAX(0,D2027-H2027)),0)</f>
        <v>0</v>
      </c>
      <c r="J2027" s="13" t="n">
        <f aca="false">IFERROR(MIN(Eingaben!$B$18,MAX(0,F2027-I2027)),0)</f>
        <v>1.7442</v>
      </c>
      <c r="K2027" s="13" t="n">
        <f aca="false">H2027+I2027</f>
        <v>0.89</v>
      </c>
      <c r="L2027" s="13" t="n">
        <f aca="false">MAX(0,D2027-K2027)</f>
        <v>0</v>
      </c>
      <c r="M2027" s="13" t="n">
        <f aca="false">MAX(0,F2027-I2027-J2027)</f>
        <v>0</v>
      </c>
      <c r="N2027" s="13" t="n">
        <f aca="false">IF(Kalender!A197="",0,J2026-H2027)</f>
        <v>0.8542</v>
      </c>
    </row>
    <row r="2028" customFormat="false" ht="16.4" hidden="false" customHeight="false" outlineLevel="0" collapsed="false">
      <c r="A2028" s="13" t="str">
        <f aca="false">""</f>
        <v/>
      </c>
      <c r="B2028" s="13" t="n">
        <f aca="false">194</f>
        <v>194</v>
      </c>
      <c r="C2028" s="13" t="n">
        <f aca="false">IF(Szenarien!$H$16="OK",(IFERROR(SUMIF(Nutzungsprofile!$B$6:$B$11,"Schulbetrieb",Nutzungsprofile!$G$6:$G$11)*Kalender!C198/SUM(Kalender!$C$5:$C$370),0)+IFERROR(SUMIF(Nutzungsprofile!$B$6:$B$11,"Halle",Nutzungsprofile!$G$6:$G$11)*Kalender!D198/SUM(Kalender!$D$5:$D$370),0)+IFERROR(SUMIF(Nutzungsprofile!$B$6:$B$11,"Individuell",Nutzungsprofile!$G$6:$G$11)*Kalender!E198/SUM(Kalender!$E$5:$E$370),0))*Szenarien!$E$16,0)</f>
        <v>2.04</v>
      </c>
      <c r="D2028" s="13" t="n">
        <f aca="false">IF(Szenarien!$H$16="OK",(IFERROR(SUMIF(Nutzungsprofile!$B$17:$B$22,"Schulbetrieb",Nutzungsprofile!$G$17:$G$22)*Kalender!C198/SUM(Kalender!$C$5:$C$370),0)+IFERROR(SUMIF(Nutzungsprofile!$B$17:$B$22,"Halle",Nutzungsprofile!$G$17:$G$22)*Kalender!D198/SUM(Kalender!$D$5:$D$370),0)+IFERROR(SUMIF(Nutzungsprofile!$B$17:$B$22,"Individuell",Nutzungsprofile!$G$17:$G$22)*Kalender!E198/SUM(Kalender!$E$5:$E$370),0))*Szenarien!$D$16,0)</f>
        <v>0.89</v>
      </c>
      <c r="E2028" s="13" t="n">
        <f aca="false">IFERROR(MIN(C2028,Eingaben!$B$17)*Eingaben!$B$16,0)</f>
        <v>1.938</v>
      </c>
      <c r="F2028" s="13" t="n">
        <f aca="false">IFERROR(E2028*Eingaben!$B$15,0)</f>
        <v>1.7442</v>
      </c>
      <c r="G2028" s="13" t="n">
        <f aca="false">IFERROR(IF(Kalender!A198="",0,J2027*(1-Eingaben!$B$20)),0)</f>
        <v>1.709316</v>
      </c>
      <c r="H2028" s="13" t="n">
        <f aca="false">MIN(G2028,D2028)</f>
        <v>0.89</v>
      </c>
      <c r="I2028" s="13" t="n">
        <f aca="false">IFERROR(MIN(F2028*Eingaben!$B$19,MAX(0,D2028-H2028)),0)</f>
        <v>0</v>
      </c>
      <c r="J2028" s="13" t="n">
        <f aca="false">IFERROR(MIN(Eingaben!$B$18,MAX(0,F2028-I2028)),0)</f>
        <v>1.7442</v>
      </c>
      <c r="K2028" s="13" t="n">
        <f aca="false">H2028+I2028</f>
        <v>0.89</v>
      </c>
      <c r="L2028" s="13" t="n">
        <f aca="false">MAX(0,D2028-K2028)</f>
        <v>0</v>
      </c>
      <c r="M2028" s="13" t="n">
        <f aca="false">MAX(0,F2028-I2028-J2028)</f>
        <v>0</v>
      </c>
      <c r="N2028" s="13" t="n">
        <f aca="false">IF(Kalender!A198="",0,J2027-H2028)</f>
        <v>0.8542</v>
      </c>
    </row>
    <row r="2029" customFormat="false" ht="16.4" hidden="false" customHeight="false" outlineLevel="0" collapsed="false">
      <c r="A2029" s="13" t="str">
        <f aca="false">""</f>
        <v/>
      </c>
      <c r="B2029" s="13" t="n">
        <f aca="false">195</f>
        <v>195</v>
      </c>
      <c r="C2029" s="13" t="n">
        <f aca="false">IF(Szenarien!$H$16="OK",(IFERROR(SUMIF(Nutzungsprofile!$B$6:$B$11,"Schulbetrieb",Nutzungsprofile!$G$6:$G$11)*Kalender!C199/SUM(Kalender!$C$5:$C$370),0)+IFERROR(SUMIF(Nutzungsprofile!$B$6:$B$11,"Halle",Nutzungsprofile!$G$6:$G$11)*Kalender!D199/SUM(Kalender!$D$5:$D$370),0)+IFERROR(SUMIF(Nutzungsprofile!$B$6:$B$11,"Individuell",Nutzungsprofile!$G$6:$G$11)*Kalender!E199/SUM(Kalender!$E$5:$E$370),0))*Szenarien!$E$16,0)</f>
        <v>2.04</v>
      </c>
      <c r="D2029" s="13" t="n">
        <f aca="false">IF(Szenarien!$H$16="OK",(IFERROR(SUMIF(Nutzungsprofile!$B$17:$B$22,"Schulbetrieb",Nutzungsprofile!$G$17:$G$22)*Kalender!C199/SUM(Kalender!$C$5:$C$370),0)+IFERROR(SUMIF(Nutzungsprofile!$B$17:$B$22,"Halle",Nutzungsprofile!$G$17:$G$22)*Kalender!D199/SUM(Kalender!$D$5:$D$370),0)+IFERROR(SUMIF(Nutzungsprofile!$B$17:$B$22,"Individuell",Nutzungsprofile!$G$17:$G$22)*Kalender!E199/SUM(Kalender!$E$5:$E$370),0))*Szenarien!$D$16,0)</f>
        <v>0.89</v>
      </c>
      <c r="E2029" s="13" t="n">
        <f aca="false">IFERROR(MIN(C2029,Eingaben!$B$17)*Eingaben!$B$16,0)</f>
        <v>1.938</v>
      </c>
      <c r="F2029" s="13" t="n">
        <f aca="false">IFERROR(E2029*Eingaben!$B$15,0)</f>
        <v>1.7442</v>
      </c>
      <c r="G2029" s="13" t="n">
        <f aca="false">IFERROR(IF(Kalender!A199="",0,J2028*(1-Eingaben!$B$20)),0)</f>
        <v>1.709316</v>
      </c>
      <c r="H2029" s="13" t="n">
        <f aca="false">MIN(G2029,D2029)</f>
        <v>0.89</v>
      </c>
      <c r="I2029" s="13" t="n">
        <f aca="false">IFERROR(MIN(F2029*Eingaben!$B$19,MAX(0,D2029-H2029)),0)</f>
        <v>0</v>
      </c>
      <c r="J2029" s="13" t="n">
        <f aca="false">IFERROR(MIN(Eingaben!$B$18,MAX(0,F2029-I2029)),0)</f>
        <v>1.7442</v>
      </c>
      <c r="K2029" s="13" t="n">
        <f aca="false">H2029+I2029</f>
        <v>0.89</v>
      </c>
      <c r="L2029" s="13" t="n">
        <f aca="false">MAX(0,D2029-K2029)</f>
        <v>0</v>
      </c>
      <c r="M2029" s="13" t="n">
        <f aca="false">MAX(0,F2029-I2029-J2029)</f>
        <v>0</v>
      </c>
      <c r="N2029" s="13" t="n">
        <f aca="false">IF(Kalender!A199="",0,J2028-H2029)</f>
        <v>0.8542</v>
      </c>
    </row>
    <row r="2030" customFormat="false" ht="16.4" hidden="false" customHeight="false" outlineLevel="0" collapsed="false">
      <c r="A2030" s="13" t="str">
        <f aca="false">""</f>
        <v/>
      </c>
      <c r="B2030" s="13" t="n">
        <f aca="false">196</f>
        <v>196</v>
      </c>
      <c r="C2030" s="13" t="n">
        <f aca="false">IF(Szenarien!$H$16="OK",(IFERROR(SUMIF(Nutzungsprofile!$B$6:$B$11,"Schulbetrieb",Nutzungsprofile!$G$6:$G$11)*Kalender!C200/SUM(Kalender!$C$5:$C$370),0)+IFERROR(SUMIF(Nutzungsprofile!$B$6:$B$11,"Halle",Nutzungsprofile!$G$6:$G$11)*Kalender!D200/SUM(Kalender!$D$5:$D$370),0)+IFERROR(SUMIF(Nutzungsprofile!$B$6:$B$11,"Individuell",Nutzungsprofile!$G$6:$G$11)*Kalender!E200/SUM(Kalender!$E$5:$E$370),0))*Szenarien!$E$16,0)</f>
        <v>2.04</v>
      </c>
      <c r="D2030" s="13" t="n">
        <f aca="false">IF(Szenarien!$H$16="OK",(IFERROR(SUMIF(Nutzungsprofile!$B$17:$B$22,"Schulbetrieb",Nutzungsprofile!$G$17:$G$22)*Kalender!C200/SUM(Kalender!$C$5:$C$370),0)+IFERROR(SUMIF(Nutzungsprofile!$B$17:$B$22,"Halle",Nutzungsprofile!$G$17:$G$22)*Kalender!D200/SUM(Kalender!$D$5:$D$370),0)+IFERROR(SUMIF(Nutzungsprofile!$B$17:$B$22,"Individuell",Nutzungsprofile!$G$17:$G$22)*Kalender!E200/SUM(Kalender!$E$5:$E$370),0))*Szenarien!$D$16,0)</f>
        <v>0.89</v>
      </c>
      <c r="E2030" s="13" t="n">
        <f aca="false">IFERROR(MIN(C2030,Eingaben!$B$17)*Eingaben!$B$16,0)</f>
        <v>1.938</v>
      </c>
      <c r="F2030" s="13" t="n">
        <f aca="false">IFERROR(E2030*Eingaben!$B$15,0)</f>
        <v>1.7442</v>
      </c>
      <c r="G2030" s="13" t="n">
        <f aca="false">IFERROR(IF(Kalender!A200="",0,J2029*(1-Eingaben!$B$20)),0)</f>
        <v>1.709316</v>
      </c>
      <c r="H2030" s="13" t="n">
        <f aca="false">MIN(G2030,D2030)</f>
        <v>0.89</v>
      </c>
      <c r="I2030" s="13" t="n">
        <f aca="false">IFERROR(MIN(F2030*Eingaben!$B$19,MAX(0,D2030-H2030)),0)</f>
        <v>0</v>
      </c>
      <c r="J2030" s="13" t="n">
        <f aca="false">IFERROR(MIN(Eingaben!$B$18,MAX(0,F2030-I2030)),0)</f>
        <v>1.7442</v>
      </c>
      <c r="K2030" s="13" t="n">
        <f aca="false">H2030+I2030</f>
        <v>0.89</v>
      </c>
      <c r="L2030" s="13" t="n">
        <f aca="false">MAX(0,D2030-K2030)</f>
        <v>0</v>
      </c>
      <c r="M2030" s="13" t="n">
        <f aca="false">MAX(0,F2030-I2030-J2030)</f>
        <v>0</v>
      </c>
      <c r="N2030" s="13" t="n">
        <f aca="false">IF(Kalender!A200="",0,J2029-H2030)</f>
        <v>0.8542</v>
      </c>
    </row>
    <row r="2031" customFormat="false" ht="16.4" hidden="false" customHeight="false" outlineLevel="0" collapsed="false">
      <c r="A2031" s="13" t="str">
        <f aca="false">""</f>
        <v/>
      </c>
      <c r="B2031" s="13" t="n">
        <f aca="false">197</f>
        <v>197</v>
      </c>
      <c r="C2031" s="13" t="n">
        <f aca="false">IF(Szenarien!$H$16="OK",(IFERROR(SUMIF(Nutzungsprofile!$B$6:$B$11,"Schulbetrieb",Nutzungsprofile!$G$6:$G$11)*Kalender!C201/SUM(Kalender!$C$5:$C$370),0)+IFERROR(SUMIF(Nutzungsprofile!$B$6:$B$11,"Halle",Nutzungsprofile!$G$6:$G$11)*Kalender!D201/SUM(Kalender!$D$5:$D$370),0)+IFERROR(SUMIF(Nutzungsprofile!$B$6:$B$11,"Individuell",Nutzungsprofile!$G$6:$G$11)*Kalender!E201/SUM(Kalender!$E$5:$E$370),0))*Szenarien!$E$16,0)</f>
        <v>2.04</v>
      </c>
      <c r="D2031" s="13" t="n">
        <f aca="false">IF(Szenarien!$H$16="OK",(IFERROR(SUMIF(Nutzungsprofile!$B$17:$B$22,"Schulbetrieb",Nutzungsprofile!$G$17:$G$22)*Kalender!C201/SUM(Kalender!$C$5:$C$370),0)+IFERROR(SUMIF(Nutzungsprofile!$B$17:$B$22,"Halle",Nutzungsprofile!$G$17:$G$22)*Kalender!D201/SUM(Kalender!$D$5:$D$370),0)+IFERROR(SUMIF(Nutzungsprofile!$B$17:$B$22,"Individuell",Nutzungsprofile!$G$17:$G$22)*Kalender!E201/SUM(Kalender!$E$5:$E$370),0))*Szenarien!$D$16,0)</f>
        <v>0.89</v>
      </c>
      <c r="E2031" s="13" t="n">
        <f aca="false">IFERROR(MIN(C2031,Eingaben!$B$17)*Eingaben!$B$16,0)</f>
        <v>1.938</v>
      </c>
      <c r="F2031" s="13" t="n">
        <f aca="false">IFERROR(E2031*Eingaben!$B$15,0)</f>
        <v>1.7442</v>
      </c>
      <c r="G2031" s="13" t="n">
        <f aca="false">IFERROR(IF(Kalender!A201="",0,J2030*(1-Eingaben!$B$20)),0)</f>
        <v>1.709316</v>
      </c>
      <c r="H2031" s="13" t="n">
        <f aca="false">MIN(G2031,D2031)</f>
        <v>0.89</v>
      </c>
      <c r="I2031" s="13" t="n">
        <f aca="false">IFERROR(MIN(F2031*Eingaben!$B$19,MAX(0,D2031-H2031)),0)</f>
        <v>0</v>
      </c>
      <c r="J2031" s="13" t="n">
        <f aca="false">IFERROR(MIN(Eingaben!$B$18,MAX(0,F2031-I2031)),0)</f>
        <v>1.7442</v>
      </c>
      <c r="K2031" s="13" t="n">
        <f aca="false">H2031+I2031</f>
        <v>0.89</v>
      </c>
      <c r="L2031" s="13" t="n">
        <f aca="false">MAX(0,D2031-K2031)</f>
        <v>0</v>
      </c>
      <c r="M2031" s="13" t="n">
        <f aca="false">MAX(0,F2031-I2031-J2031)</f>
        <v>0</v>
      </c>
      <c r="N2031" s="13" t="n">
        <f aca="false">IF(Kalender!A201="",0,J2030-H2031)</f>
        <v>0.8542</v>
      </c>
    </row>
    <row r="2032" customFormat="false" ht="16.4" hidden="false" customHeight="false" outlineLevel="0" collapsed="false">
      <c r="A2032" s="13" t="str">
        <f aca="false">""</f>
        <v/>
      </c>
      <c r="B2032" s="13" t="n">
        <f aca="false">198</f>
        <v>198</v>
      </c>
      <c r="C2032" s="13" t="n">
        <f aca="false">IF(Szenarien!$H$16="OK",(IFERROR(SUMIF(Nutzungsprofile!$B$6:$B$11,"Schulbetrieb",Nutzungsprofile!$G$6:$G$11)*Kalender!C202/SUM(Kalender!$C$5:$C$370),0)+IFERROR(SUMIF(Nutzungsprofile!$B$6:$B$11,"Halle",Nutzungsprofile!$G$6:$G$11)*Kalender!D202/SUM(Kalender!$D$5:$D$370),0)+IFERROR(SUMIF(Nutzungsprofile!$B$6:$B$11,"Individuell",Nutzungsprofile!$G$6:$G$11)*Kalender!E202/SUM(Kalender!$E$5:$E$370),0))*Szenarien!$E$16,0)</f>
        <v>2.04</v>
      </c>
      <c r="D2032" s="13" t="n">
        <f aca="false">IF(Szenarien!$H$16="OK",(IFERROR(SUMIF(Nutzungsprofile!$B$17:$B$22,"Schulbetrieb",Nutzungsprofile!$G$17:$G$22)*Kalender!C202/SUM(Kalender!$C$5:$C$370),0)+IFERROR(SUMIF(Nutzungsprofile!$B$17:$B$22,"Halle",Nutzungsprofile!$G$17:$G$22)*Kalender!D202/SUM(Kalender!$D$5:$D$370),0)+IFERROR(SUMIF(Nutzungsprofile!$B$17:$B$22,"Individuell",Nutzungsprofile!$G$17:$G$22)*Kalender!E202/SUM(Kalender!$E$5:$E$370),0))*Szenarien!$D$16,0)</f>
        <v>0.89</v>
      </c>
      <c r="E2032" s="13" t="n">
        <f aca="false">IFERROR(MIN(C2032,Eingaben!$B$17)*Eingaben!$B$16,0)</f>
        <v>1.938</v>
      </c>
      <c r="F2032" s="13" t="n">
        <f aca="false">IFERROR(E2032*Eingaben!$B$15,0)</f>
        <v>1.7442</v>
      </c>
      <c r="G2032" s="13" t="n">
        <f aca="false">IFERROR(IF(Kalender!A202="",0,J2031*(1-Eingaben!$B$20)),0)</f>
        <v>1.709316</v>
      </c>
      <c r="H2032" s="13" t="n">
        <f aca="false">MIN(G2032,D2032)</f>
        <v>0.89</v>
      </c>
      <c r="I2032" s="13" t="n">
        <f aca="false">IFERROR(MIN(F2032*Eingaben!$B$19,MAX(0,D2032-H2032)),0)</f>
        <v>0</v>
      </c>
      <c r="J2032" s="13" t="n">
        <f aca="false">IFERROR(MIN(Eingaben!$B$18,MAX(0,F2032-I2032)),0)</f>
        <v>1.7442</v>
      </c>
      <c r="K2032" s="13" t="n">
        <f aca="false">H2032+I2032</f>
        <v>0.89</v>
      </c>
      <c r="L2032" s="13" t="n">
        <f aca="false">MAX(0,D2032-K2032)</f>
        <v>0</v>
      </c>
      <c r="M2032" s="13" t="n">
        <f aca="false">MAX(0,F2032-I2032-J2032)</f>
        <v>0</v>
      </c>
      <c r="N2032" s="13" t="n">
        <f aca="false">IF(Kalender!A202="",0,J2031-H2032)</f>
        <v>0.8542</v>
      </c>
    </row>
    <row r="2033" customFormat="false" ht="16.4" hidden="false" customHeight="false" outlineLevel="0" collapsed="false">
      <c r="A2033" s="13" t="str">
        <f aca="false">""</f>
        <v/>
      </c>
      <c r="B2033" s="13" t="n">
        <f aca="false">199</f>
        <v>199</v>
      </c>
      <c r="C2033" s="13" t="n">
        <f aca="false">IF(Szenarien!$H$16="OK",(IFERROR(SUMIF(Nutzungsprofile!$B$6:$B$11,"Schulbetrieb",Nutzungsprofile!$G$6:$G$11)*Kalender!C203/SUM(Kalender!$C$5:$C$370),0)+IFERROR(SUMIF(Nutzungsprofile!$B$6:$B$11,"Halle",Nutzungsprofile!$G$6:$G$11)*Kalender!D203/SUM(Kalender!$D$5:$D$370),0)+IFERROR(SUMIF(Nutzungsprofile!$B$6:$B$11,"Individuell",Nutzungsprofile!$G$6:$G$11)*Kalender!E203/SUM(Kalender!$E$5:$E$370),0))*Szenarien!$E$16,0)</f>
        <v>2.04</v>
      </c>
      <c r="D2033" s="13" t="n">
        <f aca="false">IF(Szenarien!$H$16="OK",(IFERROR(SUMIF(Nutzungsprofile!$B$17:$B$22,"Schulbetrieb",Nutzungsprofile!$G$17:$G$22)*Kalender!C203/SUM(Kalender!$C$5:$C$370),0)+IFERROR(SUMIF(Nutzungsprofile!$B$17:$B$22,"Halle",Nutzungsprofile!$G$17:$G$22)*Kalender!D203/SUM(Kalender!$D$5:$D$370),0)+IFERROR(SUMIF(Nutzungsprofile!$B$17:$B$22,"Individuell",Nutzungsprofile!$G$17:$G$22)*Kalender!E203/SUM(Kalender!$E$5:$E$370),0))*Szenarien!$D$16,0)</f>
        <v>0.89</v>
      </c>
      <c r="E2033" s="13" t="n">
        <f aca="false">IFERROR(MIN(C2033,Eingaben!$B$17)*Eingaben!$B$16,0)</f>
        <v>1.938</v>
      </c>
      <c r="F2033" s="13" t="n">
        <f aca="false">IFERROR(E2033*Eingaben!$B$15,0)</f>
        <v>1.7442</v>
      </c>
      <c r="G2033" s="13" t="n">
        <f aca="false">IFERROR(IF(Kalender!A203="",0,J2032*(1-Eingaben!$B$20)),0)</f>
        <v>1.709316</v>
      </c>
      <c r="H2033" s="13" t="n">
        <f aca="false">MIN(G2033,D2033)</f>
        <v>0.89</v>
      </c>
      <c r="I2033" s="13" t="n">
        <f aca="false">IFERROR(MIN(F2033*Eingaben!$B$19,MAX(0,D2033-H2033)),0)</f>
        <v>0</v>
      </c>
      <c r="J2033" s="13" t="n">
        <f aca="false">IFERROR(MIN(Eingaben!$B$18,MAX(0,F2033-I2033)),0)</f>
        <v>1.7442</v>
      </c>
      <c r="K2033" s="13" t="n">
        <f aca="false">H2033+I2033</f>
        <v>0.89</v>
      </c>
      <c r="L2033" s="13" t="n">
        <f aca="false">MAX(0,D2033-K2033)</f>
        <v>0</v>
      </c>
      <c r="M2033" s="13" t="n">
        <f aca="false">MAX(0,F2033-I2033-J2033)</f>
        <v>0</v>
      </c>
      <c r="N2033" s="13" t="n">
        <f aca="false">IF(Kalender!A203="",0,J2032-H2033)</f>
        <v>0.8542</v>
      </c>
    </row>
    <row r="2034" customFormat="false" ht="16.4" hidden="false" customHeight="false" outlineLevel="0" collapsed="false">
      <c r="A2034" s="13" t="str">
        <f aca="false">""</f>
        <v/>
      </c>
      <c r="B2034" s="13" t="n">
        <f aca="false">200</f>
        <v>200</v>
      </c>
      <c r="C2034" s="13" t="n">
        <f aca="false">IF(Szenarien!$H$16="OK",(IFERROR(SUMIF(Nutzungsprofile!$B$6:$B$11,"Schulbetrieb",Nutzungsprofile!$G$6:$G$11)*Kalender!C204/SUM(Kalender!$C$5:$C$370),0)+IFERROR(SUMIF(Nutzungsprofile!$B$6:$B$11,"Halle",Nutzungsprofile!$G$6:$G$11)*Kalender!D204/SUM(Kalender!$D$5:$D$370),0)+IFERROR(SUMIF(Nutzungsprofile!$B$6:$B$11,"Individuell",Nutzungsprofile!$G$6:$G$11)*Kalender!E204/SUM(Kalender!$E$5:$E$370),0))*Szenarien!$E$16,0)</f>
        <v>2.04</v>
      </c>
      <c r="D2034" s="13" t="n">
        <f aca="false">IF(Szenarien!$H$16="OK",(IFERROR(SUMIF(Nutzungsprofile!$B$17:$B$22,"Schulbetrieb",Nutzungsprofile!$G$17:$G$22)*Kalender!C204/SUM(Kalender!$C$5:$C$370),0)+IFERROR(SUMIF(Nutzungsprofile!$B$17:$B$22,"Halle",Nutzungsprofile!$G$17:$G$22)*Kalender!D204/SUM(Kalender!$D$5:$D$370),0)+IFERROR(SUMIF(Nutzungsprofile!$B$17:$B$22,"Individuell",Nutzungsprofile!$G$17:$G$22)*Kalender!E204/SUM(Kalender!$E$5:$E$370),0))*Szenarien!$D$16,0)</f>
        <v>0.89</v>
      </c>
      <c r="E2034" s="13" t="n">
        <f aca="false">IFERROR(MIN(C2034,Eingaben!$B$17)*Eingaben!$B$16,0)</f>
        <v>1.938</v>
      </c>
      <c r="F2034" s="13" t="n">
        <f aca="false">IFERROR(E2034*Eingaben!$B$15,0)</f>
        <v>1.7442</v>
      </c>
      <c r="G2034" s="13" t="n">
        <f aca="false">IFERROR(IF(Kalender!A204="",0,J2033*(1-Eingaben!$B$20)),0)</f>
        <v>1.709316</v>
      </c>
      <c r="H2034" s="13" t="n">
        <f aca="false">MIN(G2034,D2034)</f>
        <v>0.89</v>
      </c>
      <c r="I2034" s="13" t="n">
        <f aca="false">IFERROR(MIN(F2034*Eingaben!$B$19,MAX(0,D2034-H2034)),0)</f>
        <v>0</v>
      </c>
      <c r="J2034" s="13" t="n">
        <f aca="false">IFERROR(MIN(Eingaben!$B$18,MAX(0,F2034-I2034)),0)</f>
        <v>1.7442</v>
      </c>
      <c r="K2034" s="13" t="n">
        <f aca="false">H2034+I2034</f>
        <v>0.89</v>
      </c>
      <c r="L2034" s="13" t="n">
        <f aca="false">MAX(0,D2034-K2034)</f>
        <v>0</v>
      </c>
      <c r="M2034" s="13" t="n">
        <f aca="false">MAX(0,F2034-I2034-J2034)</f>
        <v>0</v>
      </c>
      <c r="N2034" s="13" t="n">
        <f aca="false">IF(Kalender!A204="",0,J2033-H2034)</f>
        <v>0.8542</v>
      </c>
    </row>
    <row r="2035" customFormat="false" ht="16.4" hidden="false" customHeight="false" outlineLevel="0" collapsed="false">
      <c r="A2035" s="13" t="str">
        <f aca="false">""</f>
        <v/>
      </c>
      <c r="B2035" s="13" t="n">
        <f aca="false">201</f>
        <v>201</v>
      </c>
      <c r="C2035" s="13" t="n">
        <f aca="false">IF(Szenarien!$H$16="OK",(IFERROR(SUMIF(Nutzungsprofile!$B$6:$B$11,"Schulbetrieb",Nutzungsprofile!$G$6:$G$11)*Kalender!C205/SUM(Kalender!$C$5:$C$370),0)+IFERROR(SUMIF(Nutzungsprofile!$B$6:$B$11,"Halle",Nutzungsprofile!$G$6:$G$11)*Kalender!D205/SUM(Kalender!$D$5:$D$370),0)+IFERROR(SUMIF(Nutzungsprofile!$B$6:$B$11,"Individuell",Nutzungsprofile!$G$6:$G$11)*Kalender!E205/SUM(Kalender!$E$5:$E$370),0))*Szenarien!$E$16,0)</f>
        <v>2.04</v>
      </c>
      <c r="D2035" s="13" t="n">
        <f aca="false">IF(Szenarien!$H$16="OK",(IFERROR(SUMIF(Nutzungsprofile!$B$17:$B$22,"Schulbetrieb",Nutzungsprofile!$G$17:$G$22)*Kalender!C205/SUM(Kalender!$C$5:$C$370),0)+IFERROR(SUMIF(Nutzungsprofile!$B$17:$B$22,"Halle",Nutzungsprofile!$G$17:$G$22)*Kalender!D205/SUM(Kalender!$D$5:$D$370),0)+IFERROR(SUMIF(Nutzungsprofile!$B$17:$B$22,"Individuell",Nutzungsprofile!$G$17:$G$22)*Kalender!E205/SUM(Kalender!$E$5:$E$370),0))*Szenarien!$D$16,0)</f>
        <v>0.89</v>
      </c>
      <c r="E2035" s="13" t="n">
        <f aca="false">IFERROR(MIN(C2035,Eingaben!$B$17)*Eingaben!$B$16,0)</f>
        <v>1.938</v>
      </c>
      <c r="F2035" s="13" t="n">
        <f aca="false">IFERROR(E2035*Eingaben!$B$15,0)</f>
        <v>1.7442</v>
      </c>
      <c r="G2035" s="13" t="n">
        <f aca="false">IFERROR(IF(Kalender!A205="",0,J2034*(1-Eingaben!$B$20)),0)</f>
        <v>1.709316</v>
      </c>
      <c r="H2035" s="13" t="n">
        <f aca="false">MIN(G2035,D2035)</f>
        <v>0.89</v>
      </c>
      <c r="I2035" s="13" t="n">
        <f aca="false">IFERROR(MIN(F2035*Eingaben!$B$19,MAX(0,D2035-H2035)),0)</f>
        <v>0</v>
      </c>
      <c r="J2035" s="13" t="n">
        <f aca="false">IFERROR(MIN(Eingaben!$B$18,MAX(0,F2035-I2035)),0)</f>
        <v>1.7442</v>
      </c>
      <c r="K2035" s="13" t="n">
        <f aca="false">H2035+I2035</f>
        <v>0.89</v>
      </c>
      <c r="L2035" s="13" t="n">
        <f aca="false">MAX(0,D2035-K2035)</f>
        <v>0</v>
      </c>
      <c r="M2035" s="13" t="n">
        <f aca="false">MAX(0,F2035-I2035-J2035)</f>
        <v>0</v>
      </c>
      <c r="N2035" s="13" t="n">
        <f aca="false">IF(Kalender!A205="",0,J2034-H2035)</f>
        <v>0.8542</v>
      </c>
    </row>
    <row r="2036" customFormat="false" ht="16.4" hidden="false" customHeight="false" outlineLevel="0" collapsed="false">
      <c r="A2036" s="13" t="str">
        <f aca="false">""</f>
        <v/>
      </c>
      <c r="B2036" s="13" t="n">
        <f aca="false">202</f>
        <v>202</v>
      </c>
      <c r="C2036" s="13" t="n">
        <f aca="false">IF(Szenarien!$H$16="OK",(IFERROR(SUMIF(Nutzungsprofile!$B$6:$B$11,"Schulbetrieb",Nutzungsprofile!$G$6:$G$11)*Kalender!C206/SUM(Kalender!$C$5:$C$370),0)+IFERROR(SUMIF(Nutzungsprofile!$B$6:$B$11,"Halle",Nutzungsprofile!$G$6:$G$11)*Kalender!D206/SUM(Kalender!$D$5:$D$370),0)+IFERROR(SUMIF(Nutzungsprofile!$B$6:$B$11,"Individuell",Nutzungsprofile!$G$6:$G$11)*Kalender!E206/SUM(Kalender!$E$5:$E$370),0))*Szenarien!$E$16,0)</f>
        <v>2.04</v>
      </c>
      <c r="D2036" s="13" t="n">
        <f aca="false">IF(Szenarien!$H$16="OK",(IFERROR(SUMIF(Nutzungsprofile!$B$17:$B$22,"Schulbetrieb",Nutzungsprofile!$G$17:$G$22)*Kalender!C206/SUM(Kalender!$C$5:$C$370),0)+IFERROR(SUMIF(Nutzungsprofile!$B$17:$B$22,"Halle",Nutzungsprofile!$G$17:$G$22)*Kalender!D206/SUM(Kalender!$D$5:$D$370),0)+IFERROR(SUMIF(Nutzungsprofile!$B$17:$B$22,"Individuell",Nutzungsprofile!$G$17:$G$22)*Kalender!E206/SUM(Kalender!$E$5:$E$370),0))*Szenarien!$D$16,0)</f>
        <v>0.89</v>
      </c>
      <c r="E2036" s="13" t="n">
        <f aca="false">IFERROR(MIN(C2036,Eingaben!$B$17)*Eingaben!$B$16,0)</f>
        <v>1.938</v>
      </c>
      <c r="F2036" s="13" t="n">
        <f aca="false">IFERROR(E2036*Eingaben!$B$15,0)</f>
        <v>1.7442</v>
      </c>
      <c r="G2036" s="13" t="n">
        <f aca="false">IFERROR(IF(Kalender!A206="",0,J2035*(1-Eingaben!$B$20)),0)</f>
        <v>1.709316</v>
      </c>
      <c r="H2036" s="13" t="n">
        <f aca="false">MIN(G2036,D2036)</f>
        <v>0.89</v>
      </c>
      <c r="I2036" s="13" t="n">
        <f aca="false">IFERROR(MIN(F2036*Eingaben!$B$19,MAX(0,D2036-H2036)),0)</f>
        <v>0</v>
      </c>
      <c r="J2036" s="13" t="n">
        <f aca="false">IFERROR(MIN(Eingaben!$B$18,MAX(0,F2036-I2036)),0)</f>
        <v>1.7442</v>
      </c>
      <c r="K2036" s="13" t="n">
        <f aca="false">H2036+I2036</f>
        <v>0.89</v>
      </c>
      <c r="L2036" s="13" t="n">
        <f aca="false">MAX(0,D2036-K2036)</f>
        <v>0</v>
      </c>
      <c r="M2036" s="13" t="n">
        <f aca="false">MAX(0,F2036-I2036-J2036)</f>
        <v>0</v>
      </c>
      <c r="N2036" s="13" t="n">
        <f aca="false">IF(Kalender!A206="",0,J2035-H2036)</f>
        <v>0.8542</v>
      </c>
    </row>
    <row r="2037" customFormat="false" ht="16.4" hidden="false" customHeight="false" outlineLevel="0" collapsed="false">
      <c r="A2037" s="13" t="str">
        <f aca="false">""</f>
        <v/>
      </c>
      <c r="B2037" s="13" t="n">
        <f aca="false">203</f>
        <v>203</v>
      </c>
      <c r="C2037" s="13" t="n">
        <f aca="false">IF(Szenarien!$H$16="OK",(IFERROR(SUMIF(Nutzungsprofile!$B$6:$B$11,"Schulbetrieb",Nutzungsprofile!$G$6:$G$11)*Kalender!C207/SUM(Kalender!$C$5:$C$370),0)+IFERROR(SUMIF(Nutzungsprofile!$B$6:$B$11,"Halle",Nutzungsprofile!$G$6:$G$11)*Kalender!D207/SUM(Kalender!$D$5:$D$370),0)+IFERROR(SUMIF(Nutzungsprofile!$B$6:$B$11,"Individuell",Nutzungsprofile!$G$6:$G$11)*Kalender!E207/SUM(Kalender!$E$5:$E$370),0))*Szenarien!$E$16,0)</f>
        <v>2.04</v>
      </c>
      <c r="D2037" s="13" t="n">
        <f aca="false">IF(Szenarien!$H$16="OK",(IFERROR(SUMIF(Nutzungsprofile!$B$17:$B$22,"Schulbetrieb",Nutzungsprofile!$G$17:$G$22)*Kalender!C207/SUM(Kalender!$C$5:$C$370),0)+IFERROR(SUMIF(Nutzungsprofile!$B$17:$B$22,"Halle",Nutzungsprofile!$G$17:$G$22)*Kalender!D207/SUM(Kalender!$D$5:$D$370),0)+IFERROR(SUMIF(Nutzungsprofile!$B$17:$B$22,"Individuell",Nutzungsprofile!$G$17:$G$22)*Kalender!E207/SUM(Kalender!$E$5:$E$370),0))*Szenarien!$D$16,0)</f>
        <v>0.89</v>
      </c>
      <c r="E2037" s="13" t="n">
        <f aca="false">IFERROR(MIN(C2037,Eingaben!$B$17)*Eingaben!$B$16,0)</f>
        <v>1.938</v>
      </c>
      <c r="F2037" s="13" t="n">
        <f aca="false">IFERROR(E2037*Eingaben!$B$15,0)</f>
        <v>1.7442</v>
      </c>
      <c r="G2037" s="13" t="n">
        <f aca="false">IFERROR(IF(Kalender!A207="",0,J2036*(1-Eingaben!$B$20)),0)</f>
        <v>1.709316</v>
      </c>
      <c r="H2037" s="13" t="n">
        <f aca="false">MIN(G2037,D2037)</f>
        <v>0.89</v>
      </c>
      <c r="I2037" s="13" t="n">
        <f aca="false">IFERROR(MIN(F2037*Eingaben!$B$19,MAX(0,D2037-H2037)),0)</f>
        <v>0</v>
      </c>
      <c r="J2037" s="13" t="n">
        <f aca="false">IFERROR(MIN(Eingaben!$B$18,MAX(0,F2037-I2037)),0)</f>
        <v>1.7442</v>
      </c>
      <c r="K2037" s="13" t="n">
        <f aca="false">H2037+I2037</f>
        <v>0.89</v>
      </c>
      <c r="L2037" s="13" t="n">
        <f aca="false">MAX(0,D2037-K2037)</f>
        <v>0</v>
      </c>
      <c r="M2037" s="13" t="n">
        <f aca="false">MAX(0,F2037-I2037-J2037)</f>
        <v>0</v>
      </c>
      <c r="N2037" s="13" t="n">
        <f aca="false">IF(Kalender!A207="",0,J2036-H2037)</f>
        <v>0.8542</v>
      </c>
    </row>
    <row r="2038" customFormat="false" ht="16.4" hidden="false" customHeight="false" outlineLevel="0" collapsed="false">
      <c r="A2038" s="13" t="str">
        <f aca="false">""</f>
        <v/>
      </c>
      <c r="B2038" s="13" t="n">
        <f aca="false">204</f>
        <v>204</v>
      </c>
      <c r="C2038" s="13" t="n">
        <f aca="false">IF(Szenarien!$H$16="OK",(IFERROR(SUMIF(Nutzungsprofile!$B$6:$B$11,"Schulbetrieb",Nutzungsprofile!$G$6:$G$11)*Kalender!C208/SUM(Kalender!$C$5:$C$370),0)+IFERROR(SUMIF(Nutzungsprofile!$B$6:$B$11,"Halle",Nutzungsprofile!$G$6:$G$11)*Kalender!D208/SUM(Kalender!$D$5:$D$370),0)+IFERROR(SUMIF(Nutzungsprofile!$B$6:$B$11,"Individuell",Nutzungsprofile!$G$6:$G$11)*Kalender!E208/SUM(Kalender!$E$5:$E$370),0))*Szenarien!$E$16,0)</f>
        <v>2.04</v>
      </c>
      <c r="D2038" s="13" t="n">
        <f aca="false">IF(Szenarien!$H$16="OK",(IFERROR(SUMIF(Nutzungsprofile!$B$17:$B$22,"Schulbetrieb",Nutzungsprofile!$G$17:$G$22)*Kalender!C208/SUM(Kalender!$C$5:$C$370),0)+IFERROR(SUMIF(Nutzungsprofile!$B$17:$B$22,"Halle",Nutzungsprofile!$G$17:$G$22)*Kalender!D208/SUM(Kalender!$D$5:$D$370),0)+IFERROR(SUMIF(Nutzungsprofile!$B$17:$B$22,"Individuell",Nutzungsprofile!$G$17:$G$22)*Kalender!E208/SUM(Kalender!$E$5:$E$370),0))*Szenarien!$D$16,0)</f>
        <v>0.89</v>
      </c>
      <c r="E2038" s="13" t="n">
        <f aca="false">IFERROR(MIN(C2038,Eingaben!$B$17)*Eingaben!$B$16,0)</f>
        <v>1.938</v>
      </c>
      <c r="F2038" s="13" t="n">
        <f aca="false">IFERROR(E2038*Eingaben!$B$15,0)</f>
        <v>1.7442</v>
      </c>
      <c r="G2038" s="13" t="n">
        <f aca="false">IFERROR(IF(Kalender!A208="",0,J2037*(1-Eingaben!$B$20)),0)</f>
        <v>1.709316</v>
      </c>
      <c r="H2038" s="13" t="n">
        <f aca="false">MIN(G2038,D2038)</f>
        <v>0.89</v>
      </c>
      <c r="I2038" s="13" t="n">
        <f aca="false">IFERROR(MIN(F2038*Eingaben!$B$19,MAX(0,D2038-H2038)),0)</f>
        <v>0</v>
      </c>
      <c r="J2038" s="13" t="n">
        <f aca="false">IFERROR(MIN(Eingaben!$B$18,MAX(0,F2038-I2038)),0)</f>
        <v>1.7442</v>
      </c>
      <c r="K2038" s="13" t="n">
        <f aca="false">H2038+I2038</f>
        <v>0.89</v>
      </c>
      <c r="L2038" s="13" t="n">
        <f aca="false">MAX(0,D2038-K2038)</f>
        <v>0</v>
      </c>
      <c r="M2038" s="13" t="n">
        <f aca="false">MAX(0,F2038-I2038-J2038)</f>
        <v>0</v>
      </c>
      <c r="N2038" s="13" t="n">
        <f aca="false">IF(Kalender!A208="",0,J2037-H2038)</f>
        <v>0.8542</v>
      </c>
    </row>
    <row r="2039" customFormat="false" ht="16.4" hidden="false" customHeight="false" outlineLevel="0" collapsed="false">
      <c r="A2039" s="13" t="str">
        <f aca="false">""</f>
        <v/>
      </c>
      <c r="B2039" s="13" t="n">
        <f aca="false">205</f>
        <v>205</v>
      </c>
      <c r="C2039" s="13" t="n">
        <f aca="false">IF(Szenarien!$H$16="OK",(IFERROR(SUMIF(Nutzungsprofile!$B$6:$B$11,"Schulbetrieb",Nutzungsprofile!$G$6:$G$11)*Kalender!C209/SUM(Kalender!$C$5:$C$370),0)+IFERROR(SUMIF(Nutzungsprofile!$B$6:$B$11,"Halle",Nutzungsprofile!$G$6:$G$11)*Kalender!D209/SUM(Kalender!$D$5:$D$370),0)+IFERROR(SUMIF(Nutzungsprofile!$B$6:$B$11,"Individuell",Nutzungsprofile!$G$6:$G$11)*Kalender!E209/SUM(Kalender!$E$5:$E$370),0))*Szenarien!$E$16,0)</f>
        <v>2.04</v>
      </c>
      <c r="D2039" s="13" t="n">
        <f aca="false">IF(Szenarien!$H$16="OK",(IFERROR(SUMIF(Nutzungsprofile!$B$17:$B$22,"Schulbetrieb",Nutzungsprofile!$G$17:$G$22)*Kalender!C209/SUM(Kalender!$C$5:$C$370),0)+IFERROR(SUMIF(Nutzungsprofile!$B$17:$B$22,"Halle",Nutzungsprofile!$G$17:$G$22)*Kalender!D209/SUM(Kalender!$D$5:$D$370),0)+IFERROR(SUMIF(Nutzungsprofile!$B$17:$B$22,"Individuell",Nutzungsprofile!$G$17:$G$22)*Kalender!E209/SUM(Kalender!$E$5:$E$370),0))*Szenarien!$D$16,0)</f>
        <v>0.89</v>
      </c>
      <c r="E2039" s="13" t="n">
        <f aca="false">IFERROR(MIN(C2039,Eingaben!$B$17)*Eingaben!$B$16,0)</f>
        <v>1.938</v>
      </c>
      <c r="F2039" s="13" t="n">
        <f aca="false">IFERROR(E2039*Eingaben!$B$15,0)</f>
        <v>1.7442</v>
      </c>
      <c r="G2039" s="13" t="n">
        <f aca="false">IFERROR(IF(Kalender!A209="",0,J2038*(1-Eingaben!$B$20)),0)</f>
        <v>1.709316</v>
      </c>
      <c r="H2039" s="13" t="n">
        <f aca="false">MIN(G2039,D2039)</f>
        <v>0.89</v>
      </c>
      <c r="I2039" s="13" t="n">
        <f aca="false">IFERROR(MIN(F2039*Eingaben!$B$19,MAX(0,D2039-H2039)),0)</f>
        <v>0</v>
      </c>
      <c r="J2039" s="13" t="n">
        <f aca="false">IFERROR(MIN(Eingaben!$B$18,MAX(0,F2039-I2039)),0)</f>
        <v>1.7442</v>
      </c>
      <c r="K2039" s="13" t="n">
        <f aca="false">H2039+I2039</f>
        <v>0.89</v>
      </c>
      <c r="L2039" s="13" t="n">
        <f aca="false">MAX(0,D2039-K2039)</f>
        <v>0</v>
      </c>
      <c r="M2039" s="13" t="n">
        <f aca="false">MAX(0,F2039-I2039-J2039)</f>
        <v>0</v>
      </c>
      <c r="N2039" s="13" t="n">
        <f aca="false">IF(Kalender!A209="",0,J2038-H2039)</f>
        <v>0.8542</v>
      </c>
    </row>
    <row r="2040" customFormat="false" ht="16.4" hidden="false" customHeight="false" outlineLevel="0" collapsed="false">
      <c r="A2040" s="13" t="str">
        <f aca="false">""</f>
        <v/>
      </c>
      <c r="B2040" s="13" t="n">
        <f aca="false">206</f>
        <v>206</v>
      </c>
      <c r="C2040" s="13" t="n">
        <f aca="false">IF(Szenarien!$H$16="OK",(IFERROR(SUMIF(Nutzungsprofile!$B$6:$B$11,"Schulbetrieb",Nutzungsprofile!$G$6:$G$11)*Kalender!C210/SUM(Kalender!$C$5:$C$370),0)+IFERROR(SUMIF(Nutzungsprofile!$B$6:$B$11,"Halle",Nutzungsprofile!$G$6:$G$11)*Kalender!D210/SUM(Kalender!$D$5:$D$370),0)+IFERROR(SUMIF(Nutzungsprofile!$B$6:$B$11,"Individuell",Nutzungsprofile!$G$6:$G$11)*Kalender!E210/SUM(Kalender!$E$5:$E$370),0))*Szenarien!$E$16,0)</f>
        <v>2.04</v>
      </c>
      <c r="D2040" s="13" t="n">
        <f aca="false">IF(Szenarien!$H$16="OK",(IFERROR(SUMIF(Nutzungsprofile!$B$17:$B$22,"Schulbetrieb",Nutzungsprofile!$G$17:$G$22)*Kalender!C210/SUM(Kalender!$C$5:$C$370),0)+IFERROR(SUMIF(Nutzungsprofile!$B$17:$B$22,"Halle",Nutzungsprofile!$G$17:$G$22)*Kalender!D210/SUM(Kalender!$D$5:$D$370),0)+IFERROR(SUMIF(Nutzungsprofile!$B$17:$B$22,"Individuell",Nutzungsprofile!$G$17:$G$22)*Kalender!E210/SUM(Kalender!$E$5:$E$370),0))*Szenarien!$D$16,0)</f>
        <v>0.89</v>
      </c>
      <c r="E2040" s="13" t="n">
        <f aca="false">IFERROR(MIN(C2040,Eingaben!$B$17)*Eingaben!$B$16,0)</f>
        <v>1.938</v>
      </c>
      <c r="F2040" s="13" t="n">
        <f aca="false">IFERROR(E2040*Eingaben!$B$15,0)</f>
        <v>1.7442</v>
      </c>
      <c r="G2040" s="13" t="n">
        <f aca="false">IFERROR(IF(Kalender!A210="",0,J2039*(1-Eingaben!$B$20)),0)</f>
        <v>1.709316</v>
      </c>
      <c r="H2040" s="13" t="n">
        <f aca="false">MIN(G2040,D2040)</f>
        <v>0.89</v>
      </c>
      <c r="I2040" s="13" t="n">
        <f aca="false">IFERROR(MIN(F2040*Eingaben!$B$19,MAX(0,D2040-H2040)),0)</f>
        <v>0</v>
      </c>
      <c r="J2040" s="13" t="n">
        <f aca="false">IFERROR(MIN(Eingaben!$B$18,MAX(0,F2040-I2040)),0)</f>
        <v>1.7442</v>
      </c>
      <c r="K2040" s="13" t="n">
        <f aca="false">H2040+I2040</f>
        <v>0.89</v>
      </c>
      <c r="L2040" s="13" t="n">
        <f aca="false">MAX(0,D2040-K2040)</f>
        <v>0</v>
      </c>
      <c r="M2040" s="13" t="n">
        <f aca="false">MAX(0,F2040-I2040-J2040)</f>
        <v>0</v>
      </c>
      <c r="N2040" s="13" t="n">
        <f aca="false">IF(Kalender!A210="",0,J2039-H2040)</f>
        <v>0.8542</v>
      </c>
    </row>
    <row r="2041" customFormat="false" ht="16.4" hidden="false" customHeight="false" outlineLevel="0" collapsed="false">
      <c r="A2041" s="13" t="str">
        <f aca="false">""</f>
        <v/>
      </c>
      <c r="B2041" s="13" t="n">
        <f aca="false">207</f>
        <v>207</v>
      </c>
      <c r="C2041" s="13" t="n">
        <f aca="false">IF(Szenarien!$H$16="OK",(IFERROR(SUMIF(Nutzungsprofile!$B$6:$B$11,"Schulbetrieb",Nutzungsprofile!$G$6:$G$11)*Kalender!C211/SUM(Kalender!$C$5:$C$370),0)+IFERROR(SUMIF(Nutzungsprofile!$B$6:$B$11,"Halle",Nutzungsprofile!$G$6:$G$11)*Kalender!D211/SUM(Kalender!$D$5:$D$370),0)+IFERROR(SUMIF(Nutzungsprofile!$B$6:$B$11,"Individuell",Nutzungsprofile!$G$6:$G$11)*Kalender!E211/SUM(Kalender!$E$5:$E$370),0))*Szenarien!$E$16,0)</f>
        <v>2.04</v>
      </c>
      <c r="D2041" s="13" t="n">
        <f aca="false">IF(Szenarien!$H$16="OK",(IFERROR(SUMIF(Nutzungsprofile!$B$17:$B$22,"Schulbetrieb",Nutzungsprofile!$G$17:$G$22)*Kalender!C211/SUM(Kalender!$C$5:$C$370),0)+IFERROR(SUMIF(Nutzungsprofile!$B$17:$B$22,"Halle",Nutzungsprofile!$G$17:$G$22)*Kalender!D211/SUM(Kalender!$D$5:$D$370),0)+IFERROR(SUMIF(Nutzungsprofile!$B$17:$B$22,"Individuell",Nutzungsprofile!$G$17:$G$22)*Kalender!E211/SUM(Kalender!$E$5:$E$370),0))*Szenarien!$D$16,0)</f>
        <v>0.89</v>
      </c>
      <c r="E2041" s="13" t="n">
        <f aca="false">IFERROR(MIN(C2041,Eingaben!$B$17)*Eingaben!$B$16,0)</f>
        <v>1.938</v>
      </c>
      <c r="F2041" s="13" t="n">
        <f aca="false">IFERROR(E2041*Eingaben!$B$15,0)</f>
        <v>1.7442</v>
      </c>
      <c r="G2041" s="13" t="n">
        <f aca="false">IFERROR(IF(Kalender!A211="",0,J2040*(1-Eingaben!$B$20)),0)</f>
        <v>1.709316</v>
      </c>
      <c r="H2041" s="13" t="n">
        <f aca="false">MIN(G2041,D2041)</f>
        <v>0.89</v>
      </c>
      <c r="I2041" s="13" t="n">
        <f aca="false">IFERROR(MIN(F2041*Eingaben!$B$19,MAX(0,D2041-H2041)),0)</f>
        <v>0</v>
      </c>
      <c r="J2041" s="13" t="n">
        <f aca="false">IFERROR(MIN(Eingaben!$B$18,MAX(0,F2041-I2041)),0)</f>
        <v>1.7442</v>
      </c>
      <c r="K2041" s="13" t="n">
        <f aca="false">H2041+I2041</f>
        <v>0.89</v>
      </c>
      <c r="L2041" s="13" t="n">
        <f aca="false">MAX(0,D2041-K2041)</f>
        <v>0</v>
      </c>
      <c r="M2041" s="13" t="n">
        <f aca="false">MAX(0,F2041-I2041-J2041)</f>
        <v>0</v>
      </c>
      <c r="N2041" s="13" t="n">
        <f aca="false">IF(Kalender!A211="",0,J2040-H2041)</f>
        <v>0.8542</v>
      </c>
    </row>
    <row r="2042" customFormat="false" ht="16.4" hidden="false" customHeight="false" outlineLevel="0" collapsed="false">
      <c r="A2042" s="13" t="str">
        <f aca="false">""</f>
        <v/>
      </c>
      <c r="B2042" s="13" t="n">
        <f aca="false">208</f>
        <v>208</v>
      </c>
      <c r="C2042" s="13" t="n">
        <f aca="false">IF(Szenarien!$H$16="OK",(IFERROR(SUMIF(Nutzungsprofile!$B$6:$B$11,"Schulbetrieb",Nutzungsprofile!$G$6:$G$11)*Kalender!C212/SUM(Kalender!$C$5:$C$370),0)+IFERROR(SUMIF(Nutzungsprofile!$B$6:$B$11,"Halle",Nutzungsprofile!$G$6:$G$11)*Kalender!D212/SUM(Kalender!$D$5:$D$370),0)+IFERROR(SUMIF(Nutzungsprofile!$B$6:$B$11,"Individuell",Nutzungsprofile!$G$6:$G$11)*Kalender!E212/SUM(Kalender!$E$5:$E$370),0))*Szenarien!$E$16,0)</f>
        <v>2.04</v>
      </c>
      <c r="D2042" s="13" t="n">
        <f aca="false">IF(Szenarien!$H$16="OK",(IFERROR(SUMIF(Nutzungsprofile!$B$17:$B$22,"Schulbetrieb",Nutzungsprofile!$G$17:$G$22)*Kalender!C212/SUM(Kalender!$C$5:$C$370),0)+IFERROR(SUMIF(Nutzungsprofile!$B$17:$B$22,"Halle",Nutzungsprofile!$G$17:$G$22)*Kalender!D212/SUM(Kalender!$D$5:$D$370),0)+IFERROR(SUMIF(Nutzungsprofile!$B$17:$B$22,"Individuell",Nutzungsprofile!$G$17:$G$22)*Kalender!E212/SUM(Kalender!$E$5:$E$370),0))*Szenarien!$D$16,0)</f>
        <v>0.89</v>
      </c>
      <c r="E2042" s="13" t="n">
        <f aca="false">IFERROR(MIN(C2042,Eingaben!$B$17)*Eingaben!$B$16,0)</f>
        <v>1.938</v>
      </c>
      <c r="F2042" s="13" t="n">
        <f aca="false">IFERROR(E2042*Eingaben!$B$15,0)</f>
        <v>1.7442</v>
      </c>
      <c r="G2042" s="13" t="n">
        <f aca="false">IFERROR(IF(Kalender!A212="",0,J2041*(1-Eingaben!$B$20)),0)</f>
        <v>1.709316</v>
      </c>
      <c r="H2042" s="13" t="n">
        <f aca="false">MIN(G2042,D2042)</f>
        <v>0.89</v>
      </c>
      <c r="I2042" s="13" t="n">
        <f aca="false">IFERROR(MIN(F2042*Eingaben!$B$19,MAX(0,D2042-H2042)),0)</f>
        <v>0</v>
      </c>
      <c r="J2042" s="13" t="n">
        <f aca="false">IFERROR(MIN(Eingaben!$B$18,MAX(0,F2042-I2042)),0)</f>
        <v>1.7442</v>
      </c>
      <c r="K2042" s="13" t="n">
        <f aca="false">H2042+I2042</f>
        <v>0.89</v>
      </c>
      <c r="L2042" s="13" t="n">
        <f aca="false">MAX(0,D2042-K2042)</f>
        <v>0</v>
      </c>
      <c r="M2042" s="13" t="n">
        <f aca="false">MAX(0,F2042-I2042-J2042)</f>
        <v>0</v>
      </c>
      <c r="N2042" s="13" t="n">
        <f aca="false">IF(Kalender!A212="",0,J2041-H2042)</f>
        <v>0.8542</v>
      </c>
    </row>
    <row r="2043" customFormat="false" ht="16.4" hidden="false" customHeight="false" outlineLevel="0" collapsed="false">
      <c r="A2043" s="13" t="str">
        <f aca="false">""</f>
        <v/>
      </c>
      <c r="B2043" s="13" t="n">
        <f aca="false">209</f>
        <v>209</v>
      </c>
      <c r="C2043" s="13" t="n">
        <f aca="false">IF(Szenarien!$H$16="OK",(IFERROR(SUMIF(Nutzungsprofile!$B$6:$B$11,"Schulbetrieb",Nutzungsprofile!$G$6:$G$11)*Kalender!C213/SUM(Kalender!$C$5:$C$370),0)+IFERROR(SUMIF(Nutzungsprofile!$B$6:$B$11,"Halle",Nutzungsprofile!$G$6:$G$11)*Kalender!D213/SUM(Kalender!$D$5:$D$370),0)+IFERROR(SUMIF(Nutzungsprofile!$B$6:$B$11,"Individuell",Nutzungsprofile!$G$6:$G$11)*Kalender!E213/SUM(Kalender!$E$5:$E$370),0))*Szenarien!$E$16,0)</f>
        <v>2.04</v>
      </c>
      <c r="D2043" s="13" t="n">
        <f aca="false">IF(Szenarien!$H$16="OK",(IFERROR(SUMIF(Nutzungsprofile!$B$17:$B$22,"Schulbetrieb",Nutzungsprofile!$G$17:$G$22)*Kalender!C213/SUM(Kalender!$C$5:$C$370),0)+IFERROR(SUMIF(Nutzungsprofile!$B$17:$B$22,"Halle",Nutzungsprofile!$G$17:$G$22)*Kalender!D213/SUM(Kalender!$D$5:$D$370),0)+IFERROR(SUMIF(Nutzungsprofile!$B$17:$B$22,"Individuell",Nutzungsprofile!$G$17:$G$22)*Kalender!E213/SUM(Kalender!$E$5:$E$370),0))*Szenarien!$D$16,0)</f>
        <v>0.89</v>
      </c>
      <c r="E2043" s="13" t="n">
        <f aca="false">IFERROR(MIN(C2043,Eingaben!$B$17)*Eingaben!$B$16,0)</f>
        <v>1.938</v>
      </c>
      <c r="F2043" s="13" t="n">
        <f aca="false">IFERROR(E2043*Eingaben!$B$15,0)</f>
        <v>1.7442</v>
      </c>
      <c r="G2043" s="13" t="n">
        <f aca="false">IFERROR(IF(Kalender!A213="",0,J2042*(1-Eingaben!$B$20)),0)</f>
        <v>1.709316</v>
      </c>
      <c r="H2043" s="13" t="n">
        <f aca="false">MIN(G2043,D2043)</f>
        <v>0.89</v>
      </c>
      <c r="I2043" s="13" t="n">
        <f aca="false">IFERROR(MIN(F2043*Eingaben!$B$19,MAX(0,D2043-H2043)),0)</f>
        <v>0</v>
      </c>
      <c r="J2043" s="13" t="n">
        <f aca="false">IFERROR(MIN(Eingaben!$B$18,MAX(0,F2043-I2043)),0)</f>
        <v>1.7442</v>
      </c>
      <c r="K2043" s="13" t="n">
        <f aca="false">H2043+I2043</f>
        <v>0.89</v>
      </c>
      <c r="L2043" s="13" t="n">
        <f aca="false">MAX(0,D2043-K2043)</f>
        <v>0</v>
      </c>
      <c r="M2043" s="13" t="n">
        <f aca="false">MAX(0,F2043-I2043-J2043)</f>
        <v>0</v>
      </c>
      <c r="N2043" s="13" t="n">
        <f aca="false">IF(Kalender!A213="",0,J2042-H2043)</f>
        <v>0.8542</v>
      </c>
    </row>
    <row r="2044" customFormat="false" ht="16.4" hidden="false" customHeight="false" outlineLevel="0" collapsed="false">
      <c r="A2044" s="13" t="str">
        <f aca="false">""</f>
        <v/>
      </c>
      <c r="B2044" s="13" t="n">
        <f aca="false">210</f>
        <v>210</v>
      </c>
      <c r="C2044" s="13" t="n">
        <f aca="false">IF(Szenarien!$H$16="OK",(IFERROR(SUMIF(Nutzungsprofile!$B$6:$B$11,"Schulbetrieb",Nutzungsprofile!$G$6:$G$11)*Kalender!C214/SUM(Kalender!$C$5:$C$370),0)+IFERROR(SUMIF(Nutzungsprofile!$B$6:$B$11,"Halle",Nutzungsprofile!$G$6:$G$11)*Kalender!D214/SUM(Kalender!$D$5:$D$370),0)+IFERROR(SUMIF(Nutzungsprofile!$B$6:$B$11,"Individuell",Nutzungsprofile!$G$6:$G$11)*Kalender!E214/SUM(Kalender!$E$5:$E$370),0))*Szenarien!$E$16,0)</f>
        <v>2.04</v>
      </c>
      <c r="D2044" s="13" t="n">
        <f aca="false">IF(Szenarien!$H$16="OK",(IFERROR(SUMIF(Nutzungsprofile!$B$17:$B$22,"Schulbetrieb",Nutzungsprofile!$G$17:$G$22)*Kalender!C214/SUM(Kalender!$C$5:$C$370),0)+IFERROR(SUMIF(Nutzungsprofile!$B$17:$B$22,"Halle",Nutzungsprofile!$G$17:$G$22)*Kalender!D214/SUM(Kalender!$D$5:$D$370),0)+IFERROR(SUMIF(Nutzungsprofile!$B$17:$B$22,"Individuell",Nutzungsprofile!$G$17:$G$22)*Kalender!E214/SUM(Kalender!$E$5:$E$370),0))*Szenarien!$D$16,0)</f>
        <v>0.89</v>
      </c>
      <c r="E2044" s="13" t="n">
        <f aca="false">IFERROR(MIN(C2044,Eingaben!$B$17)*Eingaben!$B$16,0)</f>
        <v>1.938</v>
      </c>
      <c r="F2044" s="13" t="n">
        <f aca="false">IFERROR(E2044*Eingaben!$B$15,0)</f>
        <v>1.7442</v>
      </c>
      <c r="G2044" s="13" t="n">
        <f aca="false">IFERROR(IF(Kalender!A214="",0,J2043*(1-Eingaben!$B$20)),0)</f>
        <v>1.709316</v>
      </c>
      <c r="H2044" s="13" t="n">
        <f aca="false">MIN(G2044,D2044)</f>
        <v>0.89</v>
      </c>
      <c r="I2044" s="13" t="n">
        <f aca="false">IFERROR(MIN(F2044*Eingaben!$B$19,MAX(0,D2044-H2044)),0)</f>
        <v>0</v>
      </c>
      <c r="J2044" s="13" t="n">
        <f aca="false">IFERROR(MIN(Eingaben!$B$18,MAX(0,F2044-I2044)),0)</f>
        <v>1.7442</v>
      </c>
      <c r="K2044" s="13" t="n">
        <f aca="false">H2044+I2044</f>
        <v>0.89</v>
      </c>
      <c r="L2044" s="13" t="n">
        <f aca="false">MAX(0,D2044-K2044)</f>
        <v>0</v>
      </c>
      <c r="M2044" s="13" t="n">
        <f aca="false">MAX(0,F2044-I2044-J2044)</f>
        <v>0</v>
      </c>
      <c r="N2044" s="13" t="n">
        <f aca="false">IF(Kalender!A214="",0,J2043-H2044)</f>
        <v>0.8542</v>
      </c>
    </row>
    <row r="2045" customFormat="false" ht="16.4" hidden="false" customHeight="false" outlineLevel="0" collapsed="false">
      <c r="A2045" s="13" t="str">
        <f aca="false">""</f>
        <v/>
      </c>
      <c r="B2045" s="13" t="n">
        <f aca="false">211</f>
        <v>211</v>
      </c>
      <c r="C2045" s="13" t="n">
        <f aca="false">IF(Szenarien!$H$16="OK",(IFERROR(SUMIF(Nutzungsprofile!$B$6:$B$11,"Schulbetrieb",Nutzungsprofile!$G$6:$G$11)*Kalender!C215/SUM(Kalender!$C$5:$C$370),0)+IFERROR(SUMIF(Nutzungsprofile!$B$6:$B$11,"Halle",Nutzungsprofile!$G$6:$G$11)*Kalender!D215/SUM(Kalender!$D$5:$D$370),0)+IFERROR(SUMIF(Nutzungsprofile!$B$6:$B$11,"Individuell",Nutzungsprofile!$G$6:$G$11)*Kalender!E215/SUM(Kalender!$E$5:$E$370),0))*Szenarien!$E$16,0)</f>
        <v>2.04</v>
      </c>
      <c r="D2045" s="13" t="n">
        <f aca="false">IF(Szenarien!$H$16="OK",(IFERROR(SUMIF(Nutzungsprofile!$B$17:$B$22,"Schulbetrieb",Nutzungsprofile!$G$17:$G$22)*Kalender!C215/SUM(Kalender!$C$5:$C$370),0)+IFERROR(SUMIF(Nutzungsprofile!$B$17:$B$22,"Halle",Nutzungsprofile!$G$17:$G$22)*Kalender!D215/SUM(Kalender!$D$5:$D$370),0)+IFERROR(SUMIF(Nutzungsprofile!$B$17:$B$22,"Individuell",Nutzungsprofile!$G$17:$G$22)*Kalender!E215/SUM(Kalender!$E$5:$E$370),0))*Szenarien!$D$16,0)</f>
        <v>0.89</v>
      </c>
      <c r="E2045" s="13" t="n">
        <f aca="false">IFERROR(MIN(C2045,Eingaben!$B$17)*Eingaben!$B$16,0)</f>
        <v>1.938</v>
      </c>
      <c r="F2045" s="13" t="n">
        <f aca="false">IFERROR(E2045*Eingaben!$B$15,0)</f>
        <v>1.7442</v>
      </c>
      <c r="G2045" s="13" t="n">
        <f aca="false">IFERROR(IF(Kalender!A215="",0,J2044*(1-Eingaben!$B$20)),0)</f>
        <v>1.709316</v>
      </c>
      <c r="H2045" s="13" t="n">
        <f aca="false">MIN(G2045,D2045)</f>
        <v>0.89</v>
      </c>
      <c r="I2045" s="13" t="n">
        <f aca="false">IFERROR(MIN(F2045*Eingaben!$B$19,MAX(0,D2045-H2045)),0)</f>
        <v>0</v>
      </c>
      <c r="J2045" s="13" t="n">
        <f aca="false">IFERROR(MIN(Eingaben!$B$18,MAX(0,F2045-I2045)),0)</f>
        <v>1.7442</v>
      </c>
      <c r="K2045" s="13" t="n">
        <f aca="false">H2045+I2045</f>
        <v>0.89</v>
      </c>
      <c r="L2045" s="13" t="n">
        <f aca="false">MAX(0,D2045-K2045)</f>
        <v>0</v>
      </c>
      <c r="M2045" s="13" t="n">
        <f aca="false">MAX(0,F2045-I2045-J2045)</f>
        <v>0</v>
      </c>
      <c r="N2045" s="13" t="n">
        <f aca="false">IF(Kalender!A215="",0,J2044-H2045)</f>
        <v>0.8542</v>
      </c>
    </row>
    <row r="2046" customFormat="false" ht="16.4" hidden="false" customHeight="false" outlineLevel="0" collapsed="false">
      <c r="A2046" s="13" t="str">
        <f aca="false">""</f>
        <v/>
      </c>
      <c r="B2046" s="13" t="n">
        <f aca="false">212</f>
        <v>212</v>
      </c>
      <c r="C2046" s="13" t="n">
        <f aca="false">IF(Szenarien!$H$16="OK",(IFERROR(SUMIF(Nutzungsprofile!$B$6:$B$11,"Schulbetrieb",Nutzungsprofile!$G$6:$G$11)*Kalender!C216/SUM(Kalender!$C$5:$C$370),0)+IFERROR(SUMIF(Nutzungsprofile!$B$6:$B$11,"Halle",Nutzungsprofile!$G$6:$G$11)*Kalender!D216/SUM(Kalender!$D$5:$D$370),0)+IFERROR(SUMIF(Nutzungsprofile!$B$6:$B$11,"Individuell",Nutzungsprofile!$G$6:$G$11)*Kalender!E216/SUM(Kalender!$E$5:$E$370),0))*Szenarien!$E$16,0)</f>
        <v>2.04</v>
      </c>
      <c r="D2046" s="13" t="n">
        <f aca="false">IF(Szenarien!$H$16="OK",(IFERROR(SUMIF(Nutzungsprofile!$B$17:$B$22,"Schulbetrieb",Nutzungsprofile!$G$17:$G$22)*Kalender!C216/SUM(Kalender!$C$5:$C$370),0)+IFERROR(SUMIF(Nutzungsprofile!$B$17:$B$22,"Halle",Nutzungsprofile!$G$17:$G$22)*Kalender!D216/SUM(Kalender!$D$5:$D$370),0)+IFERROR(SUMIF(Nutzungsprofile!$B$17:$B$22,"Individuell",Nutzungsprofile!$G$17:$G$22)*Kalender!E216/SUM(Kalender!$E$5:$E$370),0))*Szenarien!$D$16,0)</f>
        <v>0.89</v>
      </c>
      <c r="E2046" s="13" t="n">
        <f aca="false">IFERROR(MIN(C2046,Eingaben!$B$17)*Eingaben!$B$16,0)</f>
        <v>1.938</v>
      </c>
      <c r="F2046" s="13" t="n">
        <f aca="false">IFERROR(E2046*Eingaben!$B$15,0)</f>
        <v>1.7442</v>
      </c>
      <c r="G2046" s="13" t="n">
        <f aca="false">IFERROR(IF(Kalender!A216="",0,J2045*(1-Eingaben!$B$20)),0)</f>
        <v>1.709316</v>
      </c>
      <c r="H2046" s="13" t="n">
        <f aca="false">MIN(G2046,D2046)</f>
        <v>0.89</v>
      </c>
      <c r="I2046" s="13" t="n">
        <f aca="false">IFERROR(MIN(F2046*Eingaben!$B$19,MAX(0,D2046-H2046)),0)</f>
        <v>0</v>
      </c>
      <c r="J2046" s="13" t="n">
        <f aca="false">IFERROR(MIN(Eingaben!$B$18,MAX(0,F2046-I2046)),0)</f>
        <v>1.7442</v>
      </c>
      <c r="K2046" s="13" t="n">
        <f aca="false">H2046+I2046</f>
        <v>0.89</v>
      </c>
      <c r="L2046" s="13" t="n">
        <f aca="false">MAX(0,D2046-K2046)</f>
        <v>0</v>
      </c>
      <c r="M2046" s="13" t="n">
        <f aca="false">MAX(0,F2046-I2046-J2046)</f>
        <v>0</v>
      </c>
      <c r="N2046" s="13" t="n">
        <f aca="false">IF(Kalender!A216="",0,J2045-H2046)</f>
        <v>0.8542</v>
      </c>
    </row>
    <row r="2047" customFormat="false" ht="16.4" hidden="false" customHeight="false" outlineLevel="0" collapsed="false">
      <c r="A2047" s="13" t="str">
        <f aca="false">""</f>
        <v/>
      </c>
      <c r="B2047" s="13" t="n">
        <f aca="false">213</f>
        <v>213</v>
      </c>
      <c r="C2047" s="13" t="n">
        <f aca="false">IF(Szenarien!$H$16="OK",(IFERROR(SUMIF(Nutzungsprofile!$B$6:$B$11,"Schulbetrieb",Nutzungsprofile!$G$6:$G$11)*Kalender!C217/SUM(Kalender!$C$5:$C$370),0)+IFERROR(SUMIF(Nutzungsprofile!$B$6:$B$11,"Halle",Nutzungsprofile!$G$6:$G$11)*Kalender!D217/SUM(Kalender!$D$5:$D$370),0)+IFERROR(SUMIF(Nutzungsprofile!$B$6:$B$11,"Individuell",Nutzungsprofile!$G$6:$G$11)*Kalender!E217/SUM(Kalender!$E$5:$E$370),0))*Szenarien!$E$16,0)</f>
        <v>2.04</v>
      </c>
      <c r="D2047" s="13" t="n">
        <f aca="false">IF(Szenarien!$H$16="OK",(IFERROR(SUMIF(Nutzungsprofile!$B$17:$B$22,"Schulbetrieb",Nutzungsprofile!$G$17:$G$22)*Kalender!C217/SUM(Kalender!$C$5:$C$370),0)+IFERROR(SUMIF(Nutzungsprofile!$B$17:$B$22,"Halle",Nutzungsprofile!$G$17:$G$22)*Kalender!D217/SUM(Kalender!$D$5:$D$370),0)+IFERROR(SUMIF(Nutzungsprofile!$B$17:$B$22,"Individuell",Nutzungsprofile!$G$17:$G$22)*Kalender!E217/SUM(Kalender!$E$5:$E$370),0))*Szenarien!$D$16,0)</f>
        <v>0.89</v>
      </c>
      <c r="E2047" s="13" t="n">
        <f aca="false">IFERROR(MIN(C2047,Eingaben!$B$17)*Eingaben!$B$16,0)</f>
        <v>1.938</v>
      </c>
      <c r="F2047" s="13" t="n">
        <f aca="false">IFERROR(E2047*Eingaben!$B$15,0)</f>
        <v>1.7442</v>
      </c>
      <c r="G2047" s="13" t="n">
        <f aca="false">IFERROR(IF(Kalender!A217="",0,J2046*(1-Eingaben!$B$20)),0)</f>
        <v>1.709316</v>
      </c>
      <c r="H2047" s="13" t="n">
        <f aca="false">MIN(G2047,D2047)</f>
        <v>0.89</v>
      </c>
      <c r="I2047" s="13" t="n">
        <f aca="false">IFERROR(MIN(F2047*Eingaben!$B$19,MAX(0,D2047-H2047)),0)</f>
        <v>0</v>
      </c>
      <c r="J2047" s="13" t="n">
        <f aca="false">IFERROR(MIN(Eingaben!$B$18,MAX(0,F2047-I2047)),0)</f>
        <v>1.7442</v>
      </c>
      <c r="K2047" s="13" t="n">
        <f aca="false">H2047+I2047</f>
        <v>0.89</v>
      </c>
      <c r="L2047" s="13" t="n">
        <f aca="false">MAX(0,D2047-K2047)</f>
        <v>0</v>
      </c>
      <c r="M2047" s="13" t="n">
        <f aca="false">MAX(0,F2047-I2047-J2047)</f>
        <v>0</v>
      </c>
      <c r="N2047" s="13" t="n">
        <f aca="false">IF(Kalender!A217="",0,J2046-H2047)</f>
        <v>0.8542</v>
      </c>
    </row>
    <row r="2048" customFormat="false" ht="16.4" hidden="false" customHeight="false" outlineLevel="0" collapsed="false">
      <c r="A2048" s="13" t="str">
        <f aca="false">""</f>
        <v/>
      </c>
      <c r="B2048" s="13" t="n">
        <f aca="false">214</f>
        <v>214</v>
      </c>
      <c r="C2048" s="13" t="n">
        <f aca="false">IF(Szenarien!$H$16="OK",(IFERROR(SUMIF(Nutzungsprofile!$B$6:$B$11,"Schulbetrieb",Nutzungsprofile!$G$6:$G$11)*Kalender!C218/SUM(Kalender!$C$5:$C$370),0)+IFERROR(SUMIF(Nutzungsprofile!$B$6:$B$11,"Halle",Nutzungsprofile!$G$6:$G$11)*Kalender!D218/SUM(Kalender!$D$5:$D$370),0)+IFERROR(SUMIF(Nutzungsprofile!$B$6:$B$11,"Individuell",Nutzungsprofile!$G$6:$G$11)*Kalender!E218/SUM(Kalender!$E$5:$E$370),0))*Szenarien!$E$16,0)</f>
        <v>2.04</v>
      </c>
      <c r="D2048" s="13" t="n">
        <f aca="false">IF(Szenarien!$H$16="OK",(IFERROR(SUMIF(Nutzungsprofile!$B$17:$B$22,"Schulbetrieb",Nutzungsprofile!$G$17:$G$22)*Kalender!C218/SUM(Kalender!$C$5:$C$370),0)+IFERROR(SUMIF(Nutzungsprofile!$B$17:$B$22,"Halle",Nutzungsprofile!$G$17:$G$22)*Kalender!D218/SUM(Kalender!$D$5:$D$370),0)+IFERROR(SUMIF(Nutzungsprofile!$B$17:$B$22,"Individuell",Nutzungsprofile!$G$17:$G$22)*Kalender!E218/SUM(Kalender!$E$5:$E$370),0))*Szenarien!$D$16,0)</f>
        <v>0.89</v>
      </c>
      <c r="E2048" s="13" t="n">
        <f aca="false">IFERROR(MIN(C2048,Eingaben!$B$17)*Eingaben!$B$16,0)</f>
        <v>1.938</v>
      </c>
      <c r="F2048" s="13" t="n">
        <f aca="false">IFERROR(E2048*Eingaben!$B$15,0)</f>
        <v>1.7442</v>
      </c>
      <c r="G2048" s="13" t="n">
        <f aca="false">IFERROR(IF(Kalender!A218="",0,J2047*(1-Eingaben!$B$20)),0)</f>
        <v>1.709316</v>
      </c>
      <c r="H2048" s="13" t="n">
        <f aca="false">MIN(G2048,D2048)</f>
        <v>0.89</v>
      </c>
      <c r="I2048" s="13" t="n">
        <f aca="false">IFERROR(MIN(F2048*Eingaben!$B$19,MAX(0,D2048-H2048)),0)</f>
        <v>0</v>
      </c>
      <c r="J2048" s="13" t="n">
        <f aca="false">IFERROR(MIN(Eingaben!$B$18,MAX(0,F2048-I2048)),0)</f>
        <v>1.7442</v>
      </c>
      <c r="K2048" s="13" t="n">
        <f aca="false">H2048+I2048</f>
        <v>0.89</v>
      </c>
      <c r="L2048" s="13" t="n">
        <f aca="false">MAX(0,D2048-K2048)</f>
        <v>0</v>
      </c>
      <c r="M2048" s="13" t="n">
        <f aca="false">MAX(0,F2048-I2048-J2048)</f>
        <v>0</v>
      </c>
      <c r="N2048" s="13" t="n">
        <f aca="false">IF(Kalender!A218="",0,J2047-H2048)</f>
        <v>0.8542</v>
      </c>
    </row>
    <row r="2049" customFormat="false" ht="16.4" hidden="false" customHeight="false" outlineLevel="0" collapsed="false">
      <c r="A2049" s="13" t="str">
        <f aca="false">""</f>
        <v/>
      </c>
      <c r="B2049" s="13" t="n">
        <f aca="false">215</f>
        <v>215</v>
      </c>
      <c r="C2049" s="13" t="n">
        <f aca="false">IF(Szenarien!$H$16="OK",(IFERROR(SUMIF(Nutzungsprofile!$B$6:$B$11,"Schulbetrieb",Nutzungsprofile!$G$6:$G$11)*Kalender!C219/SUM(Kalender!$C$5:$C$370),0)+IFERROR(SUMIF(Nutzungsprofile!$B$6:$B$11,"Halle",Nutzungsprofile!$G$6:$G$11)*Kalender!D219/SUM(Kalender!$D$5:$D$370),0)+IFERROR(SUMIF(Nutzungsprofile!$B$6:$B$11,"Individuell",Nutzungsprofile!$G$6:$G$11)*Kalender!E219/SUM(Kalender!$E$5:$E$370),0))*Szenarien!$E$16,0)</f>
        <v>2.04</v>
      </c>
      <c r="D2049" s="13" t="n">
        <f aca="false">IF(Szenarien!$H$16="OK",(IFERROR(SUMIF(Nutzungsprofile!$B$17:$B$22,"Schulbetrieb",Nutzungsprofile!$G$17:$G$22)*Kalender!C219/SUM(Kalender!$C$5:$C$370),0)+IFERROR(SUMIF(Nutzungsprofile!$B$17:$B$22,"Halle",Nutzungsprofile!$G$17:$G$22)*Kalender!D219/SUM(Kalender!$D$5:$D$370),0)+IFERROR(SUMIF(Nutzungsprofile!$B$17:$B$22,"Individuell",Nutzungsprofile!$G$17:$G$22)*Kalender!E219/SUM(Kalender!$E$5:$E$370),0))*Szenarien!$D$16,0)</f>
        <v>0.89</v>
      </c>
      <c r="E2049" s="13" t="n">
        <f aca="false">IFERROR(MIN(C2049,Eingaben!$B$17)*Eingaben!$B$16,0)</f>
        <v>1.938</v>
      </c>
      <c r="F2049" s="13" t="n">
        <f aca="false">IFERROR(E2049*Eingaben!$B$15,0)</f>
        <v>1.7442</v>
      </c>
      <c r="G2049" s="13" t="n">
        <f aca="false">IFERROR(IF(Kalender!A219="",0,J2048*(1-Eingaben!$B$20)),0)</f>
        <v>1.709316</v>
      </c>
      <c r="H2049" s="13" t="n">
        <f aca="false">MIN(G2049,D2049)</f>
        <v>0.89</v>
      </c>
      <c r="I2049" s="13" t="n">
        <f aca="false">IFERROR(MIN(F2049*Eingaben!$B$19,MAX(0,D2049-H2049)),0)</f>
        <v>0</v>
      </c>
      <c r="J2049" s="13" t="n">
        <f aca="false">IFERROR(MIN(Eingaben!$B$18,MAX(0,F2049-I2049)),0)</f>
        <v>1.7442</v>
      </c>
      <c r="K2049" s="13" t="n">
        <f aca="false">H2049+I2049</f>
        <v>0.89</v>
      </c>
      <c r="L2049" s="13" t="n">
        <f aca="false">MAX(0,D2049-K2049)</f>
        <v>0</v>
      </c>
      <c r="M2049" s="13" t="n">
        <f aca="false">MAX(0,F2049-I2049-J2049)</f>
        <v>0</v>
      </c>
      <c r="N2049" s="13" t="n">
        <f aca="false">IF(Kalender!A219="",0,J2048-H2049)</f>
        <v>0.8542</v>
      </c>
    </row>
    <row r="2050" customFormat="false" ht="16.4" hidden="false" customHeight="false" outlineLevel="0" collapsed="false">
      <c r="A2050" s="13" t="str">
        <f aca="false">""</f>
        <v/>
      </c>
      <c r="B2050" s="13" t="n">
        <f aca="false">216</f>
        <v>216</v>
      </c>
      <c r="C2050" s="13" t="n">
        <f aca="false">IF(Szenarien!$H$16="OK",(IFERROR(SUMIF(Nutzungsprofile!$B$6:$B$11,"Schulbetrieb",Nutzungsprofile!$G$6:$G$11)*Kalender!C220/SUM(Kalender!$C$5:$C$370),0)+IFERROR(SUMIF(Nutzungsprofile!$B$6:$B$11,"Halle",Nutzungsprofile!$G$6:$G$11)*Kalender!D220/SUM(Kalender!$D$5:$D$370),0)+IFERROR(SUMIF(Nutzungsprofile!$B$6:$B$11,"Individuell",Nutzungsprofile!$G$6:$G$11)*Kalender!E220/SUM(Kalender!$E$5:$E$370),0))*Szenarien!$E$16,0)</f>
        <v>2.04</v>
      </c>
      <c r="D2050" s="13" t="n">
        <f aca="false">IF(Szenarien!$H$16="OK",(IFERROR(SUMIF(Nutzungsprofile!$B$17:$B$22,"Schulbetrieb",Nutzungsprofile!$G$17:$G$22)*Kalender!C220/SUM(Kalender!$C$5:$C$370),0)+IFERROR(SUMIF(Nutzungsprofile!$B$17:$B$22,"Halle",Nutzungsprofile!$G$17:$G$22)*Kalender!D220/SUM(Kalender!$D$5:$D$370),0)+IFERROR(SUMIF(Nutzungsprofile!$B$17:$B$22,"Individuell",Nutzungsprofile!$G$17:$G$22)*Kalender!E220/SUM(Kalender!$E$5:$E$370),0))*Szenarien!$D$16,0)</f>
        <v>0.89</v>
      </c>
      <c r="E2050" s="13" t="n">
        <f aca="false">IFERROR(MIN(C2050,Eingaben!$B$17)*Eingaben!$B$16,0)</f>
        <v>1.938</v>
      </c>
      <c r="F2050" s="13" t="n">
        <f aca="false">IFERROR(E2050*Eingaben!$B$15,0)</f>
        <v>1.7442</v>
      </c>
      <c r="G2050" s="13" t="n">
        <f aca="false">IFERROR(IF(Kalender!A220="",0,J2049*(1-Eingaben!$B$20)),0)</f>
        <v>1.709316</v>
      </c>
      <c r="H2050" s="13" t="n">
        <f aca="false">MIN(G2050,D2050)</f>
        <v>0.89</v>
      </c>
      <c r="I2050" s="13" t="n">
        <f aca="false">IFERROR(MIN(F2050*Eingaben!$B$19,MAX(0,D2050-H2050)),0)</f>
        <v>0</v>
      </c>
      <c r="J2050" s="13" t="n">
        <f aca="false">IFERROR(MIN(Eingaben!$B$18,MAX(0,F2050-I2050)),0)</f>
        <v>1.7442</v>
      </c>
      <c r="K2050" s="13" t="n">
        <f aca="false">H2050+I2050</f>
        <v>0.89</v>
      </c>
      <c r="L2050" s="13" t="n">
        <f aca="false">MAX(0,D2050-K2050)</f>
        <v>0</v>
      </c>
      <c r="M2050" s="13" t="n">
        <f aca="false">MAX(0,F2050-I2050-J2050)</f>
        <v>0</v>
      </c>
      <c r="N2050" s="13" t="n">
        <f aca="false">IF(Kalender!A220="",0,J2049-H2050)</f>
        <v>0.8542</v>
      </c>
    </row>
    <row r="2051" customFormat="false" ht="16.4" hidden="false" customHeight="false" outlineLevel="0" collapsed="false">
      <c r="A2051" s="13" t="str">
        <f aca="false">""</f>
        <v/>
      </c>
      <c r="B2051" s="13" t="n">
        <f aca="false">217</f>
        <v>217</v>
      </c>
      <c r="C2051" s="13" t="n">
        <f aca="false">IF(Szenarien!$H$16="OK",(IFERROR(SUMIF(Nutzungsprofile!$B$6:$B$11,"Schulbetrieb",Nutzungsprofile!$G$6:$G$11)*Kalender!C221/SUM(Kalender!$C$5:$C$370),0)+IFERROR(SUMIF(Nutzungsprofile!$B$6:$B$11,"Halle",Nutzungsprofile!$G$6:$G$11)*Kalender!D221/SUM(Kalender!$D$5:$D$370),0)+IFERROR(SUMIF(Nutzungsprofile!$B$6:$B$11,"Individuell",Nutzungsprofile!$G$6:$G$11)*Kalender!E221/SUM(Kalender!$E$5:$E$370),0))*Szenarien!$E$16,0)</f>
        <v>2.04</v>
      </c>
      <c r="D2051" s="13" t="n">
        <f aca="false">IF(Szenarien!$H$16="OK",(IFERROR(SUMIF(Nutzungsprofile!$B$17:$B$22,"Schulbetrieb",Nutzungsprofile!$G$17:$G$22)*Kalender!C221/SUM(Kalender!$C$5:$C$370),0)+IFERROR(SUMIF(Nutzungsprofile!$B$17:$B$22,"Halle",Nutzungsprofile!$G$17:$G$22)*Kalender!D221/SUM(Kalender!$D$5:$D$370),0)+IFERROR(SUMIF(Nutzungsprofile!$B$17:$B$22,"Individuell",Nutzungsprofile!$G$17:$G$22)*Kalender!E221/SUM(Kalender!$E$5:$E$370),0))*Szenarien!$D$16,0)</f>
        <v>0.89</v>
      </c>
      <c r="E2051" s="13" t="n">
        <f aca="false">IFERROR(MIN(C2051,Eingaben!$B$17)*Eingaben!$B$16,0)</f>
        <v>1.938</v>
      </c>
      <c r="F2051" s="13" t="n">
        <f aca="false">IFERROR(E2051*Eingaben!$B$15,0)</f>
        <v>1.7442</v>
      </c>
      <c r="G2051" s="13" t="n">
        <f aca="false">IFERROR(IF(Kalender!A221="",0,J2050*(1-Eingaben!$B$20)),0)</f>
        <v>1.709316</v>
      </c>
      <c r="H2051" s="13" t="n">
        <f aca="false">MIN(G2051,D2051)</f>
        <v>0.89</v>
      </c>
      <c r="I2051" s="13" t="n">
        <f aca="false">IFERROR(MIN(F2051*Eingaben!$B$19,MAX(0,D2051-H2051)),0)</f>
        <v>0</v>
      </c>
      <c r="J2051" s="13" t="n">
        <f aca="false">IFERROR(MIN(Eingaben!$B$18,MAX(0,F2051-I2051)),0)</f>
        <v>1.7442</v>
      </c>
      <c r="K2051" s="13" t="n">
        <f aca="false">H2051+I2051</f>
        <v>0.89</v>
      </c>
      <c r="L2051" s="13" t="n">
        <f aca="false">MAX(0,D2051-K2051)</f>
        <v>0</v>
      </c>
      <c r="M2051" s="13" t="n">
        <f aca="false">MAX(0,F2051-I2051-J2051)</f>
        <v>0</v>
      </c>
      <c r="N2051" s="13" t="n">
        <f aca="false">IF(Kalender!A221="",0,J2050-H2051)</f>
        <v>0.8542</v>
      </c>
    </row>
    <row r="2052" customFormat="false" ht="16.4" hidden="false" customHeight="false" outlineLevel="0" collapsed="false">
      <c r="A2052" s="13" t="str">
        <f aca="false">""</f>
        <v/>
      </c>
      <c r="B2052" s="13" t="n">
        <f aca="false">218</f>
        <v>218</v>
      </c>
      <c r="C2052" s="13" t="n">
        <f aca="false">IF(Szenarien!$H$16="OK",(IFERROR(SUMIF(Nutzungsprofile!$B$6:$B$11,"Schulbetrieb",Nutzungsprofile!$G$6:$G$11)*Kalender!C222/SUM(Kalender!$C$5:$C$370),0)+IFERROR(SUMIF(Nutzungsprofile!$B$6:$B$11,"Halle",Nutzungsprofile!$G$6:$G$11)*Kalender!D222/SUM(Kalender!$D$5:$D$370),0)+IFERROR(SUMIF(Nutzungsprofile!$B$6:$B$11,"Individuell",Nutzungsprofile!$G$6:$G$11)*Kalender!E222/SUM(Kalender!$E$5:$E$370),0))*Szenarien!$E$16,0)</f>
        <v>2.04</v>
      </c>
      <c r="D2052" s="13" t="n">
        <f aca="false">IF(Szenarien!$H$16="OK",(IFERROR(SUMIF(Nutzungsprofile!$B$17:$B$22,"Schulbetrieb",Nutzungsprofile!$G$17:$G$22)*Kalender!C222/SUM(Kalender!$C$5:$C$370),0)+IFERROR(SUMIF(Nutzungsprofile!$B$17:$B$22,"Halle",Nutzungsprofile!$G$17:$G$22)*Kalender!D222/SUM(Kalender!$D$5:$D$370),0)+IFERROR(SUMIF(Nutzungsprofile!$B$17:$B$22,"Individuell",Nutzungsprofile!$G$17:$G$22)*Kalender!E222/SUM(Kalender!$E$5:$E$370),0))*Szenarien!$D$16,0)</f>
        <v>0.89</v>
      </c>
      <c r="E2052" s="13" t="n">
        <f aca="false">IFERROR(MIN(C2052,Eingaben!$B$17)*Eingaben!$B$16,0)</f>
        <v>1.938</v>
      </c>
      <c r="F2052" s="13" t="n">
        <f aca="false">IFERROR(E2052*Eingaben!$B$15,0)</f>
        <v>1.7442</v>
      </c>
      <c r="G2052" s="13" t="n">
        <f aca="false">IFERROR(IF(Kalender!A222="",0,J2051*(1-Eingaben!$B$20)),0)</f>
        <v>1.709316</v>
      </c>
      <c r="H2052" s="13" t="n">
        <f aca="false">MIN(G2052,D2052)</f>
        <v>0.89</v>
      </c>
      <c r="I2052" s="13" t="n">
        <f aca="false">IFERROR(MIN(F2052*Eingaben!$B$19,MAX(0,D2052-H2052)),0)</f>
        <v>0</v>
      </c>
      <c r="J2052" s="13" t="n">
        <f aca="false">IFERROR(MIN(Eingaben!$B$18,MAX(0,F2052-I2052)),0)</f>
        <v>1.7442</v>
      </c>
      <c r="K2052" s="13" t="n">
        <f aca="false">H2052+I2052</f>
        <v>0.89</v>
      </c>
      <c r="L2052" s="13" t="n">
        <f aca="false">MAX(0,D2052-K2052)</f>
        <v>0</v>
      </c>
      <c r="M2052" s="13" t="n">
        <f aca="false">MAX(0,F2052-I2052-J2052)</f>
        <v>0</v>
      </c>
      <c r="N2052" s="13" t="n">
        <f aca="false">IF(Kalender!A222="",0,J2051-H2052)</f>
        <v>0.8542</v>
      </c>
    </row>
    <row r="2053" customFormat="false" ht="16.4" hidden="false" customHeight="false" outlineLevel="0" collapsed="false">
      <c r="A2053" s="13" t="str">
        <f aca="false">""</f>
        <v/>
      </c>
      <c r="B2053" s="13" t="n">
        <f aca="false">219</f>
        <v>219</v>
      </c>
      <c r="C2053" s="13" t="n">
        <f aca="false">IF(Szenarien!$H$16="OK",(IFERROR(SUMIF(Nutzungsprofile!$B$6:$B$11,"Schulbetrieb",Nutzungsprofile!$G$6:$G$11)*Kalender!C223/SUM(Kalender!$C$5:$C$370),0)+IFERROR(SUMIF(Nutzungsprofile!$B$6:$B$11,"Halle",Nutzungsprofile!$G$6:$G$11)*Kalender!D223/SUM(Kalender!$D$5:$D$370),0)+IFERROR(SUMIF(Nutzungsprofile!$B$6:$B$11,"Individuell",Nutzungsprofile!$G$6:$G$11)*Kalender!E223/SUM(Kalender!$E$5:$E$370),0))*Szenarien!$E$16,0)</f>
        <v>2.04</v>
      </c>
      <c r="D2053" s="13" t="n">
        <f aca="false">IF(Szenarien!$H$16="OK",(IFERROR(SUMIF(Nutzungsprofile!$B$17:$B$22,"Schulbetrieb",Nutzungsprofile!$G$17:$G$22)*Kalender!C223/SUM(Kalender!$C$5:$C$370),0)+IFERROR(SUMIF(Nutzungsprofile!$B$17:$B$22,"Halle",Nutzungsprofile!$G$17:$G$22)*Kalender!D223/SUM(Kalender!$D$5:$D$370),0)+IFERROR(SUMIF(Nutzungsprofile!$B$17:$B$22,"Individuell",Nutzungsprofile!$G$17:$G$22)*Kalender!E223/SUM(Kalender!$E$5:$E$370),0))*Szenarien!$D$16,0)</f>
        <v>0.89</v>
      </c>
      <c r="E2053" s="13" t="n">
        <f aca="false">IFERROR(MIN(C2053,Eingaben!$B$17)*Eingaben!$B$16,0)</f>
        <v>1.938</v>
      </c>
      <c r="F2053" s="13" t="n">
        <f aca="false">IFERROR(E2053*Eingaben!$B$15,0)</f>
        <v>1.7442</v>
      </c>
      <c r="G2053" s="13" t="n">
        <f aca="false">IFERROR(IF(Kalender!A223="",0,J2052*(1-Eingaben!$B$20)),0)</f>
        <v>1.709316</v>
      </c>
      <c r="H2053" s="13" t="n">
        <f aca="false">MIN(G2053,D2053)</f>
        <v>0.89</v>
      </c>
      <c r="I2053" s="13" t="n">
        <f aca="false">IFERROR(MIN(F2053*Eingaben!$B$19,MAX(0,D2053-H2053)),0)</f>
        <v>0</v>
      </c>
      <c r="J2053" s="13" t="n">
        <f aca="false">IFERROR(MIN(Eingaben!$B$18,MAX(0,F2053-I2053)),0)</f>
        <v>1.7442</v>
      </c>
      <c r="K2053" s="13" t="n">
        <f aca="false">H2053+I2053</f>
        <v>0.89</v>
      </c>
      <c r="L2053" s="13" t="n">
        <f aca="false">MAX(0,D2053-K2053)</f>
        <v>0</v>
      </c>
      <c r="M2053" s="13" t="n">
        <f aca="false">MAX(0,F2053-I2053-J2053)</f>
        <v>0</v>
      </c>
      <c r="N2053" s="13" t="n">
        <f aca="false">IF(Kalender!A223="",0,J2052-H2053)</f>
        <v>0.8542</v>
      </c>
    </row>
    <row r="2054" customFormat="false" ht="16.4" hidden="false" customHeight="false" outlineLevel="0" collapsed="false">
      <c r="A2054" s="13" t="str">
        <f aca="false">""</f>
        <v/>
      </c>
      <c r="B2054" s="13" t="n">
        <f aca="false">220</f>
        <v>220</v>
      </c>
      <c r="C2054" s="13" t="n">
        <f aca="false">IF(Szenarien!$H$16="OK",(IFERROR(SUMIF(Nutzungsprofile!$B$6:$B$11,"Schulbetrieb",Nutzungsprofile!$G$6:$G$11)*Kalender!C224/SUM(Kalender!$C$5:$C$370),0)+IFERROR(SUMIF(Nutzungsprofile!$B$6:$B$11,"Halle",Nutzungsprofile!$G$6:$G$11)*Kalender!D224/SUM(Kalender!$D$5:$D$370),0)+IFERROR(SUMIF(Nutzungsprofile!$B$6:$B$11,"Individuell",Nutzungsprofile!$G$6:$G$11)*Kalender!E224/SUM(Kalender!$E$5:$E$370),0))*Szenarien!$E$16,0)</f>
        <v>2.04</v>
      </c>
      <c r="D2054" s="13" t="n">
        <f aca="false">IF(Szenarien!$H$16="OK",(IFERROR(SUMIF(Nutzungsprofile!$B$17:$B$22,"Schulbetrieb",Nutzungsprofile!$G$17:$G$22)*Kalender!C224/SUM(Kalender!$C$5:$C$370),0)+IFERROR(SUMIF(Nutzungsprofile!$B$17:$B$22,"Halle",Nutzungsprofile!$G$17:$G$22)*Kalender!D224/SUM(Kalender!$D$5:$D$370),0)+IFERROR(SUMIF(Nutzungsprofile!$B$17:$B$22,"Individuell",Nutzungsprofile!$G$17:$G$22)*Kalender!E224/SUM(Kalender!$E$5:$E$370),0))*Szenarien!$D$16,0)</f>
        <v>0.89</v>
      </c>
      <c r="E2054" s="13" t="n">
        <f aca="false">IFERROR(MIN(C2054,Eingaben!$B$17)*Eingaben!$B$16,0)</f>
        <v>1.938</v>
      </c>
      <c r="F2054" s="13" t="n">
        <f aca="false">IFERROR(E2054*Eingaben!$B$15,0)</f>
        <v>1.7442</v>
      </c>
      <c r="G2054" s="13" t="n">
        <f aca="false">IFERROR(IF(Kalender!A224="",0,J2053*(1-Eingaben!$B$20)),0)</f>
        <v>1.709316</v>
      </c>
      <c r="H2054" s="13" t="n">
        <f aca="false">MIN(G2054,D2054)</f>
        <v>0.89</v>
      </c>
      <c r="I2054" s="13" t="n">
        <f aca="false">IFERROR(MIN(F2054*Eingaben!$B$19,MAX(0,D2054-H2054)),0)</f>
        <v>0</v>
      </c>
      <c r="J2054" s="13" t="n">
        <f aca="false">IFERROR(MIN(Eingaben!$B$18,MAX(0,F2054-I2054)),0)</f>
        <v>1.7442</v>
      </c>
      <c r="K2054" s="13" t="n">
        <f aca="false">H2054+I2054</f>
        <v>0.89</v>
      </c>
      <c r="L2054" s="13" t="n">
        <f aca="false">MAX(0,D2054-K2054)</f>
        <v>0</v>
      </c>
      <c r="M2054" s="13" t="n">
        <f aca="false">MAX(0,F2054-I2054-J2054)</f>
        <v>0</v>
      </c>
      <c r="N2054" s="13" t="n">
        <f aca="false">IF(Kalender!A224="",0,J2053-H2054)</f>
        <v>0.8542</v>
      </c>
    </row>
    <row r="2055" customFormat="false" ht="16.4" hidden="false" customHeight="false" outlineLevel="0" collapsed="false">
      <c r="A2055" s="13" t="str">
        <f aca="false">""</f>
        <v/>
      </c>
      <c r="B2055" s="13" t="n">
        <f aca="false">221</f>
        <v>221</v>
      </c>
      <c r="C2055" s="13" t="n">
        <f aca="false">IF(Szenarien!$H$16="OK",(IFERROR(SUMIF(Nutzungsprofile!$B$6:$B$11,"Schulbetrieb",Nutzungsprofile!$G$6:$G$11)*Kalender!C225/SUM(Kalender!$C$5:$C$370),0)+IFERROR(SUMIF(Nutzungsprofile!$B$6:$B$11,"Halle",Nutzungsprofile!$G$6:$G$11)*Kalender!D225/SUM(Kalender!$D$5:$D$370),0)+IFERROR(SUMIF(Nutzungsprofile!$B$6:$B$11,"Individuell",Nutzungsprofile!$G$6:$G$11)*Kalender!E225/SUM(Kalender!$E$5:$E$370),0))*Szenarien!$E$16,0)</f>
        <v>2.04</v>
      </c>
      <c r="D2055" s="13" t="n">
        <f aca="false">IF(Szenarien!$H$16="OK",(IFERROR(SUMIF(Nutzungsprofile!$B$17:$B$22,"Schulbetrieb",Nutzungsprofile!$G$17:$G$22)*Kalender!C225/SUM(Kalender!$C$5:$C$370),0)+IFERROR(SUMIF(Nutzungsprofile!$B$17:$B$22,"Halle",Nutzungsprofile!$G$17:$G$22)*Kalender!D225/SUM(Kalender!$D$5:$D$370),0)+IFERROR(SUMIF(Nutzungsprofile!$B$17:$B$22,"Individuell",Nutzungsprofile!$G$17:$G$22)*Kalender!E225/SUM(Kalender!$E$5:$E$370),0))*Szenarien!$D$16,0)</f>
        <v>0.89</v>
      </c>
      <c r="E2055" s="13" t="n">
        <f aca="false">IFERROR(MIN(C2055,Eingaben!$B$17)*Eingaben!$B$16,0)</f>
        <v>1.938</v>
      </c>
      <c r="F2055" s="13" t="n">
        <f aca="false">IFERROR(E2055*Eingaben!$B$15,0)</f>
        <v>1.7442</v>
      </c>
      <c r="G2055" s="13" t="n">
        <f aca="false">IFERROR(IF(Kalender!A225="",0,J2054*(1-Eingaben!$B$20)),0)</f>
        <v>1.709316</v>
      </c>
      <c r="H2055" s="13" t="n">
        <f aca="false">MIN(G2055,D2055)</f>
        <v>0.89</v>
      </c>
      <c r="I2055" s="13" t="n">
        <f aca="false">IFERROR(MIN(F2055*Eingaben!$B$19,MAX(0,D2055-H2055)),0)</f>
        <v>0</v>
      </c>
      <c r="J2055" s="13" t="n">
        <f aca="false">IFERROR(MIN(Eingaben!$B$18,MAX(0,F2055-I2055)),0)</f>
        <v>1.7442</v>
      </c>
      <c r="K2055" s="13" t="n">
        <f aca="false">H2055+I2055</f>
        <v>0.89</v>
      </c>
      <c r="L2055" s="13" t="n">
        <f aca="false">MAX(0,D2055-K2055)</f>
        <v>0</v>
      </c>
      <c r="M2055" s="13" t="n">
        <f aca="false">MAX(0,F2055-I2055-J2055)</f>
        <v>0</v>
      </c>
      <c r="N2055" s="13" t="n">
        <f aca="false">IF(Kalender!A225="",0,J2054-H2055)</f>
        <v>0.8542</v>
      </c>
    </row>
    <row r="2056" customFormat="false" ht="16.4" hidden="false" customHeight="false" outlineLevel="0" collapsed="false">
      <c r="A2056" s="13" t="str">
        <f aca="false">""</f>
        <v/>
      </c>
      <c r="B2056" s="13" t="n">
        <f aca="false">222</f>
        <v>222</v>
      </c>
      <c r="C2056" s="13" t="n">
        <f aca="false">IF(Szenarien!$H$16="OK",(IFERROR(SUMIF(Nutzungsprofile!$B$6:$B$11,"Schulbetrieb",Nutzungsprofile!$G$6:$G$11)*Kalender!C226/SUM(Kalender!$C$5:$C$370),0)+IFERROR(SUMIF(Nutzungsprofile!$B$6:$B$11,"Halle",Nutzungsprofile!$G$6:$G$11)*Kalender!D226/SUM(Kalender!$D$5:$D$370),0)+IFERROR(SUMIF(Nutzungsprofile!$B$6:$B$11,"Individuell",Nutzungsprofile!$G$6:$G$11)*Kalender!E226/SUM(Kalender!$E$5:$E$370),0))*Szenarien!$E$16,0)</f>
        <v>2.04</v>
      </c>
      <c r="D2056" s="13" t="n">
        <f aca="false">IF(Szenarien!$H$16="OK",(IFERROR(SUMIF(Nutzungsprofile!$B$17:$B$22,"Schulbetrieb",Nutzungsprofile!$G$17:$G$22)*Kalender!C226/SUM(Kalender!$C$5:$C$370),0)+IFERROR(SUMIF(Nutzungsprofile!$B$17:$B$22,"Halle",Nutzungsprofile!$G$17:$G$22)*Kalender!D226/SUM(Kalender!$D$5:$D$370),0)+IFERROR(SUMIF(Nutzungsprofile!$B$17:$B$22,"Individuell",Nutzungsprofile!$G$17:$G$22)*Kalender!E226/SUM(Kalender!$E$5:$E$370),0))*Szenarien!$D$16,0)</f>
        <v>0.89</v>
      </c>
      <c r="E2056" s="13" t="n">
        <f aca="false">IFERROR(MIN(C2056,Eingaben!$B$17)*Eingaben!$B$16,0)</f>
        <v>1.938</v>
      </c>
      <c r="F2056" s="13" t="n">
        <f aca="false">IFERROR(E2056*Eingaben!$B$15,0)</f>
        <v>1.7442</v>
      </c>
      <c r="G2056" s="13" t="n">
        <f aca="false">IFERROR(IF(Kalender!A226="",0,J2055*(1-Eingaben!$B$20)),0)</f>
        <v>1.709316</v>
      </c>
      <c r="H2056" s="13" t="n">
        <f aca="false">MIN(G2056,D2056)</f>
        <v>0.89</v>
      </c>
      <c r="I2056" s="13" t="n">
        <f aca="false">IFERROR(MIN(F2056*Eingaben!$B$19,MAX(0,D2056-H2056)),0)</f>
        <v>0</v>
      </c>
      <c r="J2056" s="13" t="n">
        <f aca="false">IFERROR(MIN(Eingaben!$B$18,MAX(0,F2056-I2056)),0)</f>
        <v>1.7442</v>
      </c>
      <c r="K2056" s="13" t="n">
        <f aca="false">H2056+I2056</f>
        <v>0.89</v>
      </c>
      <c r="L2056" s="13" t="n">
        <f aca="false">MAX(0,D2056-K2056)</f>
        <v>0</v>
      </c>
      <c r="M2056" s="13" t="n">
        <f aca="false">MAX(0,F2056-I2056-J2056)</f>
        <v>0</v>
      </c>
      <c r="N2056" s="13" t="n">
        <f aca="false">IF(Kalender!A226="",0,J2055-H2056)</f>
        <v>0.8542</v>
      </c>
    </row>
    <row r="2057" customFormat="false" ht="16.4" hidden="false" customHeight="false" outlineLevel="0" collapsed="false">
      <c r="A2057" s="13" t="str">
        <f aca="false">""</f>
        <v/>
      </c>
      <c r="B2057" s="13" t="n">
        <f aca="false">223</f>
        <v>223</v>
      </c>
      <c r="C2057" s="13" t="n">
        <f aca="false">IF(Szenarien!$H$16="OK",(IFERROR(SUMIF(Nutzungsprofile!$B$6:$B$11,"Schulbetrieb",Nutzungsprofile!$G$6:$G$11)*Kalender!C227/SUM(Kalender!$C$5:$C$370),0)+IFERROR(SUMIF(Nutzungsprofile!$B$6:$B$11,"Halle",Nutzungsprofile!$G$6:$G$11)*Kalender!D227/SUM(Kalender!$D$5:$D$370),0)+IFERROR(SUMIF(Nutzungsprofile!$B$6:$B$11,"Individuell",Nutzungsprofile!$G$6:$G$11)*Kalender!E227/SUM(Kalender!$E$5:$E$370),0))*Szenarien!$E$16,0)</f>
        <v>2.04</v>
      </c>
      <c r="D2057" s="13" t="n">
        <f aca="false">IF(Szenarien!$H$16="OK",(IFERROR(SUMIF(Nutzungsprofile!$B$17:$B$22,"Schulbetrieb",Nutzungsprofile!$G$17:$G$22)*Kalender!C227/SUM(Kalender!$C$5:$C$370),0)+IFERROR(SUMIF(Nutzungsprofile!$B$17:$B$22,"Halle",Nutzungsprofile!$G$17:$G$22)*Kalender!D227/SUM(Kalender!$D$5:$D$370),0)+IFERROR(SUMIF(Nutzungsprofile!$B$17:$B$22,"Individuell",Nutzungsprofile!$G$17:$G$22)*Kalender!E227/SUM(Kalender!$E$5:$E$370),0))*Szenarien!$D$16,0)</f>
        <v>0.89</v>
      </c>
      <c r="E2057" s="13" t="n">
        <f aca="false">IFERROR(MIN(C2057,Eingaben!$B$17)*Eingaben!$B$16,0)</f>
        <v>1.938</v>
      </c>
      <c r="F2057" s="13" t="n">
        <f aca="false">IFERROR(E2057*Eingaben!$B$15,0)</f>
        <v>1.7442</v>
      </c>
      <c r="G2057" s="13" t="n">
        <f aca="false">IFERROR(IF(Kalender!A227="",0,J2056*(1-Eingaben!$B$20)),0)</f>
        <v>1.709316</v>
      </c>
      <c r="H2057" s="13" t="n">
        <f aca="false">MIN(G2057,D2057)</f>
        <v>0.89</v>
      </c>
      <c r="I2057" s="13" t="n">
        <f aca="false">IFERROR(MIN(F2057*Eingaben!$B$19,MAX(0,D2057-H2057)),0)</f>
        <v>0</v>
      </c>
      <c r="J2057" s="13" t="n">
        <f aca="false">IFERROR(MIN(Eingaben!$B$18,MAX(0,F2057-I2057)),0)</f>
        <v>1.7442</v>
      </c>
      <c r="K2057" s="13" t="n">
        <f aca="false">H2057+I2057</f>
        <v>0.89</v>
      </c>
      <c r="L2057" s="13" t="n">
        <f aca="false">MAX(0,D2057-K2057)</f>
        <v>0</v>
      </c>
      <c r="M2057" s="13" t="n">
        <f aca="false">MAX(0,F2057-I2057-J2057)</f>
        <v>0</v>
      </c>
      <c r="N2057" s="13" t="n">
        <f aca="false">IF(Kalender!A227="",0,J2056-H2057)</f>
        <v>0.8542</v>
      </c>
    </row>
    <row r="2058" customFormat="false" ht="16.4" hidden="false" customHeight="false" outlineLevel="0" collapsed="false">
      <c r="A2058" s="13" t="str">
        <f aca="false">""</f>
        <v/>
      </c>
      <c r="B2058" s="13" t="n">
        <f aca="false">224</f>
        <v>224</v>
      </c>
      <c r="C2058" s="13" t="n">
        <f aca="false">IF(Szenarien!$H$16="OK",(IFERROR(SUMIF(Nutzungsprofile!$B$6:$B$11,"Schulbetrieb",Nutzungsprofile!$G$6:$G$11)*Kalender!C228/SUM(Kalender!$C$5:$C$370),0)+IFERROR(SUMIF(Nutzungsprofile!$B$6:$B$11,"Halle",Nutzungsprofile!$G$6:$G$11)*Kalender!D228/SUM(Kalender!$D$5:$D$370),0)+IFERROR(SUMIF(Nutzungsprofile!$B$6:$B$11,"Individuell",Nutzungsprofile!$G$6:$G$11)*Kalender!E228/SUM(Kalender!$E$5:$E$370),0))*Szenarien!$E$16,0)</f>
        <v>2.04</v>
      </c>
      <c r="D2058" s="13" t="n">
        <f aca="false">IF(Szenarien!$H$16="OK",(IFERROR(SUMIF(Nutzungsprofile!$B$17:$B$22,"Schulbetrieb",Nutzungsprofile!$G$17:$G$22)*Kalender!C228/SUM(Kalender!$C$5:$C$370),0)+IFERROR(SUMIF(Nutzungsprofile!$B$17:$B$22,"Halle",Nutzungsprofile!$G$17:$G$22)*Kalender!D228/SUM(Kalender!$D$5:$D$370),0)+IFERROR(SUMIF(Nutzungsprofile!$B$17:$B$22,"Individuell",Nutzungsprofile!$G$17:$G$22)*Kalender!E228/SUM(Kalender!$E$5:$E$370),0))*Szenarien!$D$16,0)</f>
        <v>0.89</v>
      </c>
      <c r="E2058" s="13" t="n">
        <f aca="false">IFERROR(MIN(C2058,Eingaben!$B$17)*Eingaben!$B$16,0)</f>
        <v>1.938</v>
      </c>
      <c r="F2058" s="13" t="n">
        <f aca="false">IFERROR(E2058*Eingaben!$B$15,0)</f>
        <v>1.7442</v>
      </c>
      <c r="G2058" s="13" t="n">
        <f aca="false">IFERROR(IF(Kalender!A228="",0,J2057*(1-Eingaben!$B$20)),0)</f>
        <v>1.709316</v>
      </c>
      <c r="H2058" s="13" t="n">
        <f aca="false">MIN(G2058,D2058)</f>
        <v>0.89</v>
      </c>
      <c r="I2058" s="13" t="n">
        <f aca="false">IFERROR(MIN(F2058*Eingaben!$B$19,MAX(0,D2058-H2058)),0)</f>
        <v>0</v>
      </c>
      <c r="J2058" s="13" t="n">
        <f aca="false">IFERROR(MIN(Eingaben!$B$18,MAX(0,F2058-I2058)),0)</f>
        <v>1.7442</v>
      </c>
      <c r="K2058" s="13" t="n">
        <f aca="false">H2058+I2058</f>
        <v>0.89</v>
      </c>
      <c r="L2058" s="13" t="n">
        <f aca="false">MAX(0,D2058-K2058)</f>
        <v>0</v>
      </c>
      <c r="M2058" s="13" t="n">
        <f aca="false">MAX(0,F2058-I2058-J2058)</f>
        <v>0</v>
      </c>
      <c r="N2058" s="13" t="n">
        <f aca="false">IF(Kalender!A228="",0,J2057-H2058)</f>
        <v>0.8542</v>
      </c>
    </row>
    <row r="2059" customFormat="false" ht="16.4" hidden="false" customHeight="false" outlineLevel="0" collapsed="false">
      <c r="A2059" s="13" t="str">
        <f aca="false">""</f>
        <v/>
      </c>
      <c r="B2059" s="13" t="n">
        <f aca="false">225</f>
        <v>225</v>
      </c>
      <c r="C2059" s="13" t="n">
        <f aca="false">IF(Szenarien!$H$16="OK",(IFERROR(SUMIF(Nutzungsprofile!$B$6:$B$11,"Schulbetrieb",Nutzungsprofile!$G$6:$G$11)*Kalender!C229/SUM(Kalender!$C$5:$C$370),0)+IFERROR(SUMIF(Nutzungsprofile!$B$6:$B$11,"Halle",Nutzungsprofile!$G$6:$G$11)*Kalender!D229/SUM(Kalender!$D$5:$D$370),0)+IFERROR(SUMIF(Nutzungsprofile!$B$6:$B$11,"Individuell",Nutzungsprofile!$G$6:$G$11)*Kalender!E229/SUM(Kalender!$E$5:$E$370),0))*Szenarien!$E$16,0)</f>
        <v>2.04</v>
      </c>
      <c r="D2059" s="13" t="n">
        <f aca="false">IF(Szenarien!$H$16="OK",(IFERROR(SUMIF(Nutzungsprofile!$B$17:$B$22,"Schulbetrieb",Nutzungsprofile!$G$17:$G$22)*Kalender!C229/SUM(Kalender!$C$5:$C$370),0)+IFERROR(SUMIF(Nutzungsprofile!$B$17:$B$22,"Halle",Nutzungsprofile!$G$17:$G$22)*Kalender!D229/SUM(Kalender!$D$5:$D$370),0)+IFERROR(SUMIF(Nutzungsprofile!$B$17:$B$22,"Individuell",Nutzungsprofile!$G$17:$G$22)*Kalender!E229/SUM(Kalender!$E$5:$E$370),0))*Szenarien!$D$16,0)</f>
        <v>0.89</v>
      </c>
      <c r="E2059" s="13" t="n">
        <f aca="false">IFERROR(MIN(C2059,Eingaben!$B$17)*Eingaben!$B$16,0)</f>
        <v>1.938</v>
      </c>
      <c r="F2059" s="13" t="n">
        <f aca="false">IFERROR(E2059*Eingaben!$B$15,0)</f>
        <v>1.7442</v>
      </c>
      <c r="G2059" s="13" t="n">
        <f aca="false">IFERROR(IF(Kalender!A229="",0,J2058*(1-Eingaben!$B$20)),0)</f>
        <v>1.709316</v>
      </c>
      <c r="H2059" s="13" t="n">
        <f aca="false">MIN(G2059,D2059)</f>
        <v>0.89</v>
      </c>
      <c r="I2059" s="13" t="n">
        <f aca="false">IFERROR(MIN(F2059*Eingaben!$B$19,MAX(0,D2059-H2059)),0)</f>
        <v>0</v>
      </c>
      <c r="J2059" s="13" t="n">
        <f aca="false">IFERROR(MIN(Eingaben!$B$18,MAX(0,F2059-I2059)),0)</f>
        <v>1.7442</v>
      </c>
      <c r="K2059" s="13" t="n">
        <f aca="false">H2059+I2059</f>
        <v>0.89</v>
      </c>
      <c r="L2059" s="13" t="n">
        <f aca="false">MAX(0,D2059-K2059)</f>
        <v>0</v>
      </c>
      <c r="M2059" s="13" t="n">
        <f aca="false">MAX(0,F2059-I2059-J2059)</f>
        <v>0</v>
      </c>
      <c r="N2059" s="13" t="n">
        <f aca="false">IF(Kalender!A229="",0,J2058-H2059)</f>
        <v>0.8542</v>
      </c>
    </row>
    <row r="2060" customFormat="false" ht="16.4" hidden="false" customHeight="false" outlineLevel="0" collapsed="false">
      <c r="A2060" s="13" t="str">
        <f aca="false">""</f>
        <v/>
      </c>
      <c r="B2060" s="13" t="n">
        <f aca="false">226</f>
        <v>226</v>
      </c>
      <c r="C2060" s="13" t="n">
        <f aca="false">IF(Szenarien!$H$16="OK",(IFERROR(SUMIF(Nutzungsprofile!$B$6:$B$11,"Schulbetrieb",Nutzungsprofile!$G$6:$G$11)*Kalender!C230/SUM(Kalender!$C$5:$C$370),0)+IFERROR(SUMIF(Nutzungsprofile!$B$6:$B$11,"Halle",Nutzungsprofile!$G$6:$G$11)*Kalender!D230/SUM(Kalender!$D$5:$D$370),0)+IFERROR(SUMIF(Nutzungsprofile!$B$6:$B$11,"Individuell",Nutzungsprofile!$G$6:$G$11)*Kalender!E230/SUM(Kalender!$E$5:$E$370),0))*Szenarien!$E$16,0)</f>
        <v>2.04</v>
      </c>
      <c r="D2060" s="13" t="n">
        <f aca="false">IF(Szenarien!$H$16="OK",(IFERROR(SUMIF(Nutzungsprofile!$B$17:$B$22,"Schulbetrieb",Nutzungsprofile!$G$17:$G$22)*Kalender!C230/SUM(Kalender!$C$5:$C$370),0)+IFERROR(SUMIF(Nutzungsprofile!$B$17:$B$22,"Halle",Nutzungsprofile!$G$17:$G$22)*Kalender!D230/SUM(Kalender!$D$5:$D$370),0)+IFERROR(SUMIF(Nutzungsprofile!$B$17:$B$22,"Individuell",Nutzungsprofile!$G$17:$G$22)*Kalender!E230/SUM(Kalender!$E$5:$E$370),0))*Szenarien!$D$16,0)</f>
        <v>0.89</v>
      </c>
      <c r="E2060" s="13" t="n">
        <f aca="false">IFERROR(MIN(C2060,Eingaben!$B$17)*Eingaben!$B$16,0)</f>
        <v>1.938</v>
      </c>
      <c r="F2060" s="13" t="n">
        <f aca="false">IFERROR(E2060*Eingaben!$B$15,0)</f>
        <v>1.7442</v>
      </c>
      <c r="G2060" s="13" t="n">
        <f aca="false">IFERROR(IF(Kalender!A230="",0,J2059*(1-Eingaben!$B$20)),0)</f>
        <v>1.709316</v>
      </c>
      <c r="H2060" s="13" t="n">
        <f aca="false">MIN(G2060,D2060)</f>
        <v>0.89</v>
      </c>
      <c r="I2060" s="13" t="n">
        <f aca="false">IFERROR(MIN(F2060*Eingaben!$B$19,MAX(0,D2060-H2060)),0)</f>
        <v>0</v>
      </c>
      <c r="J2060" s="13" t="n">
        <f aca="false">IFERROR(MIN(Eingaben!$B$18,MAX(0,F2060-I2060)),0)</f>
        <v>1.7442</v>
      </c>
      <c r="K2060" s="13" t="n">
        <f aca="false">H2060+I2060</f>
        <v>0.89</v>
      </c>
      <c r="L2060" s="13" t="n">
        <f aca="false">MAX(0,D2060-K2060)</f>
        <v>0</v>
      </c>
      <c r="M2060" s="13" t="n">
        <f aca="false">MAX(0,F2060-I2060-J2060)</f>
        <v>0</v>
      </c>
      <c r="N2060" s="13" t="n">
        <f aca="false">IF(Kalender!A230="",0,J2059-H2060)</f>
        <v>0.8542</v>
      </c>
    </row>
    <row r="2061" customFormat="false" ht="16.4" hidden="false" customHeight="false" outlineLevel="0" collapsed="false">
      <c r="A2061" s="13" t="str">
        <f aca="false">""</f>
        <v/>
      </c>
      <c r="B2061" s="13" t="n">
        <f aca="false">227</f>
        <v>227</v>
      </c>
      <c r="C2061" s="13" t="n">
        <f aca="false">IF(Szenarien!$H$16="OK",(IFERROR(SUMIF(Nutzungsprofile!$B$6:$B$11,"Schulbetrieb",Nutzungsprofile!$G$6:$G$11)*Kalender!C231/SUM(Kalender!$C$5:$C$370),0)+IFERROR(SUMIF(Nutzungsprofile!$B$6:$B$11,"Halle",Nutzungsprofile!$G$6:$G$11)*Kalender!D231/SUM(Kalender!$D$5:$D$370),0)+IFERROR(SUMIF(Nutzungsprofile!$B$6:$B$11,"Individuell",Nutzungsprofile!$G$6:$G$11)*Kalender!E231/SUM(Kalender!$E$5:$E$370),0))*Szenarien!$E$16,0)</f>
        <v>2.04</v>
      </c>
      <c r="D2061" s="13" t="n">
        <f aca="false">IF(Szenarien!$H$16="OK",(IFERROR(SUMIF(Nutzungsprofile!$B$17:$B$22,"Schulbetrieb",Nutzungsprofile!$G$17:$G$22)*Kalender!C231/SUM(Kalender!$C$5:$C$370),0)+IFERROR(SUMIF(Nutzungsprofile!$B$17:$B$22,"Halle",Nutzungsprofile!$G$17:$G$22)*Kalender!D231/SUM(Kalender!$D$5:$D$370),0)+IFERROR(SUMIF(Nutzungsprofile!$B$17:$B$22,"Individuell",Nutzungsprofile!$G$17:$G$22)*Kalender!E231/SUM(Kalender!$E$5:$E$370),0))*Szenarien!$D$16,0)</f>
        <v>0.89</v>
      </c>
      <c r="E2061" s="13" t="n">
        <f aca="false">IFERROR(MIN(C2061,Eingaben!$B$17)*Eingaben!$B$16,0)</f>
        <v>1.938</v>
      </c>
      <c r="F2061" s="13" t="n">
        <f aca="false">IFERROR(E2061*Eingaben!$B$15,0)</f>
        <v>1.7442</v>
      </c>
      <c r="G2061" s="13" t="n">
        <f aca="false">IFERROR(IF(Kalender!A231="",0,J2060*(1-Eingaben!$B$20)),0)</f>
        <v>1.709316</v>
      </c>
      <c r="H2061" s="13" t="n">
        <f aca="false">MIN(G2061,D2061)</f>
        <v>0.89</v>
      </c>
      <c r="I2061" s="13" t="n">
        <f aca="false">IFERROR(MIN(F2061*Eingaben!$B$19,MAX(0,D2061-H2061)),0)</f>
        <v>0</v>
      </c>
      <c r="J2061" s="13" t="n">
        <f aca="false">IFERROR(MIN(Eingaben!$B$18,MAX(0,F2061-I2061)),0)</f>
        <v>1.7442</v>
      </c>
      <c r="K2061" s="13" t="n">
        <f aca="false">H2061+I2061</f>
        <v>0.89</v>
      </c>
      <c r="L2061" s="13" t="n">
        <f aca="false">MAX(0,D2061-K2061)</f>
        <v>0</v>
      </c>
      <c r="M2061" s="13" t="n">
        <f aca="false">MAX(0,F2061-I2061-J2061)</f>
        <v>0</v>
      </c>
      <c r="N2061" s="13" t="n">
        <f aca="false">IF(Kalender!A231="",0,J2060-H2061)</f>
        <v>0.8542</v>
      </c>
    </row>
    <row r="2062" customFormat="false" ht="16.4" hidden="false" customHeight="false" outlineLevel="0" collapsed="false">
      <c r="A2062" s="13" t="str">
        <f aca="false">""</f>
        <v/>
      </c>
      <c r="B2062" s="13" t="n">
        <f aca="false">228</f>
        <v>228</v>
      </c>
      <c r="C2062" s="13" t="n">
        <f aca="false">IF(Szenarien!$H$16="OK",(IFERROR(SUMIF(Nutzungsprofile!$B$6:$B$11,"Schulbetrieb",Nutzungsprofile!$G$6:$G$11)*Kalender!C232/SUM(Kalender!$C$5:$C$370),0)+IFERROR(SUMIF(Nutzungsprofile!$B$6:$B$11,"Halle",Nutzungsprofile!$G$6:$G$11)*Kalender!D232/SUM(Kalender!$D$5:$D$370),0)+IFERROR(SUMIF(Nutzungsprofile!$B$6:$B$11,"Individuell",Nutzungsprofile!$G$6:$G$11)*Kalender!E232/SUM(Kalender!$E$5:$E$370),0))*Szenarien!$E$16,0)</f>
        <v>2.04</v>
      </c>
      <c r="D2062" s="13" t="n">
        <f aca="false">IF(Szenarien!$H$16="OK",(IFERROR(SUMIF(Nutzungsprofile!$B$17:$B$22,"Schulbetrieb",Nutzungsprofile!$G$17:$G$22)*Kalender!C232/SUM(Kalender!$C$5:$C$370),0)+IFERROR(SUMIF(Nutzungsprofile!$B$17:$B$22,"Halle",Nutzungsprofile!$G$17:$G$22)*Kalender!D232/SUM(Kalender!$D$5:$D$370),0)+IFERROR(SUMIF(Nutzungsprofile!$B$17:$B$22,"Individuell",Nutzungsprofile!$G$17:$G$22)*Kalender!E232/SUM(Kalender!$E$5:$E$370),0))*Szenarien!$D$16,0)</f>
        <v>0.89</v>
      </c>
      <c r="E2062" s="13" t="n">
        <f aca="false">IFERROR(MIN(C2062,Eingaben!$B$17)*Eingaben!$B$16,0)</f>
        <v>1.938</v>
      </c>
      <c r="F2062" s="13" t="n">
        <f aca="false">IFERROR(E2062*Eingaben!$B$15,0)</f>
        <v>1.7442</v>
      </c>
      <c r="G2062" s="13" t="n">
        <f aca="false">IFERROR(IF(Kalender!A232="",0,J2061*(1-Eingaben!$B$20)),0)</f>
        <v>1.709316</v>
      </c>
      <c r="H2062" s="13" t="n">
        <f aca="false">MIN(G2062,D2062)</f>
        <v>0.89</v>
      </c>
      <c r="I2062" s="13" t="n">
        <f aca="false">IFERROR(MIN(F2062*Eingaben!$B$19,MAX(0,D2062-H2062)),0)</f>
        <v>0</v>
      </c>
      <c r="J2062" s="13" t="n">
        <f aca="false">IFERROR(MIN(Eingaben!$B$18,MAX(0,F2062-I2062)),0)</f>
        <v>1.7442</v>
      </c>
      <c r="K2062" s="13" t="n">
        <f aca="false">H2062+I2062</f>
        <v>0.89</v>
      </c>
      <c r="L2062" s="13" t="n">
        <f aca="false">MAX(0,D2062-K2062)</f>
        <v>0</v>
      </c>
      <c r="M2062" s="13" t="n">
        <f aca="false">MAX(0,F2062-I2062-J2062)</f>
        <v>0</v>
      </c>
      <c r="N2062" s="13" t="n">
        <f aca="false">IF(Kalender!A232="",0,J2061-H2062)</f>
        <v>0.8542</v>
      </c>
    </row>
    <row r="2063" customFormat="false" ht="16.4" hidden="false" customHeight="false" outlineLevel="0" collapsed="false">
      <c r="A2063" s="13" t="str">
        <f aca="false">""</f>
        <v/>
      </c>
      <c r="B2063" s="13" t="n">
        <f aca="false">229</f>
        <v>229</v>
      </c>
      <c r="C2063" s="13" t="n">
        <f aca="false">IF(Szenarien!$H$16="OK",(IFERROR(SUMIF(Nutzungsprofile!$B$6:$B$11,"Schulbetrieb",Nutzungsprofile!$G$6:$G$11)*Kalender!C233/SUM(Kalender!$C$5:$C$370),0)+IFERROR(SUMIF(Nutzungsprofile!$B$6:$B$11,"Halle",Nutzungsprofile!$G$6:$G$11)*Kalender!D233/SUM(Kalender!$D$5:$D$370),0)+IFERROR(SUMIF(Nutzungsprofile!$B$6:$B$11,"Individuell",Nutzungsprofile!$G$6:$G$11)*Kalender!E233/SUM(Kalender!$E$5:$E$370),0))*Szenarien!$E$16,0)</f>
        <v>2.04</v>
      </c>
      <c r="D2063" s="13" t="n">
        <f aca="false">IF(Szenarien!$H$16="OK",(IFERROR(SUMIF(Nutzungsprofile!$B$17:$B$22,"Schulbetrieb",Nutzungsprofile!$G$17:$G$22)*Kalender!C233/SUM(Kalender!$C$5:$C$370),0)+IFERROR(SUMIF(Nutzungsprofile!$B$17:$B$22,"Halle",Nutzungsprofile!$G$17:$G$22)*Kalender!D233/SUM(Kalender!$D$5:$D$370),0)+IFERROR(SUMIF(Nutzungsprofile!$B$17:$B$22,"Individuell",Nutzungsprofile!$G$17:$G$22)*Kalender!E233/SUM(Kalender!$E$5:$E$370),0))*Szenarien!$D$16,0)</f>
        <v>0.89</v>
      </c>
      <c r="E2063" s="13" t="n">
        <f aca="false">IFERROR(MIN(C2063,Eingaben!$B$17)*Eingaben!$B$16,0)</f>
        <v>1.938</v>
      </c>
      <c r="F2063" s="13" t="n">
        <f aca="false">IFERROR(E2063*Eingaben!$B$15,0)</f>
        <v>1.7442</v>
      </c>
      <c r="G2063" s="13" t="n">
        <f aca="false">IFERROR(IF(Kalender!A233="",0,J2062*(1-Eingaben!$B$20)),0)</f>
        <v>1.709316</v>
      </c>
      <c r="H2063" s="13" t="n">
        <f aca="false">MIN(G2063,D2063)</f>
        <v>0.89</v>
      </c>
      <c r="I2063" s="13" t="n">
        <f aca="false">IFERROR(MIN(F2063*Eingaben!$B$19,MAX(0,D2063-H2063)),0)</f>
        <v>0</v>
      </c>
      <c r="J2063" s="13" t="n">
        <f aca="false">IFERROR(MIN(Eingaben!$B$18,MAX(0,F2063-I2063)),0)</f>
        <v>1.7442</v>
      </c>
      <c r="K2063" s="13" t="n">
        <f aca="false">H2063+I2063</f>
        <v>0.89</v>
      </c>
      <c r="L2063" s="13" t="n">
        <f aca="false">MAX(0,D2063-K2063)</f>
        <v>0</v>
      </c>
      <c r="M2063" s="13" t="n">
        <f aca="false">MAX(0,F2063-I2063-J2063)</f>
        <v>0</v>
      </c>
      <c r="N2063" s="13" t="n">
        <f aca="false">IF(Kalender!A233="",0,J2062-H2063)</f>
        <v>0.8542</v>
      </c>
    </row>
    <row r="2064" customFormat="false" ht="16.4" hidden="false" customHeight="false" outlineLevel="0" collapsed="false">
      <c r="A2064" s="13" t="str">
        <f aca="false">""</f>
        <v/>
      </c>
      <c r="B2064" s="13" t="n">
        <f aca="false">230</f>
        <v>230</v>
      </c>
      <c r="C2064" s="13" t="n">
        <f aca="false">IF(Szenarien!$H$16="OK",(IFERROR(SUMIF(Nutzungsprofile!$B$6:$B$11,"Schulbetrieb",Nutzungsprofile!$G$6:$G$11)*Kalender!C234/SUM(Kalender!$C$5:$C$370),0)+IFERROR(SUMIF(Nutzungsprofile!$B$6:$B$11,"Halle",Nutzungsprofile!$G$6:$G$11)*Kalender!D234/SUM(Kalender!$D$5:$D$370),0)+IFERROR(SUMIF(Nutzungsprofile!$B$6:$B$11,"Individuell",Nutzungsprofile!$G$6:$G$11)*Kalender!E234/SUM(Kalender!$E$5:$E$370),0))*Szenarien!$E$16,0)</f>
        <v>2.04</v>
      </c>
      <c r="D2064" s="13" t="n">
        <f aca="false">IF(Szenarien!$H$16="OK",(IFERROR(SUMIF(Nutzungsprofile!$B$17:$B$22,"Schulbetrieb",Nutzungsprofile!$G$17:$G$22)*Kalender!C234/SUM(Kalender!$C$5:$C$370),0)+IFERROR(SUMIF(Nutzungsprofile!$B$17:$B$22,"Halle",Nutzungsprofile!$G$17:$G$22)*Kalender!D234/SUM(Kalender!$D$5:$D$370),0)+IFERROR(SUMIF(Nutzungsprofile!$B$17:$B$22,"Individuell",Nutzungsprofile!$G$17:$G$22)*Kalender!E234/SUM(Kalender!$E$5:$E$370),0))*Szenarien!$D$16,0)</f>
        <v>0.89</v>
      </c>
      <c r="E2064" s="13" t="n">
        <f aca="false">IFERROR(MIN(C2064,Eingaben!$B$17)*Eingaben!$B$16,0)</f>
        <v>1.938</v>
      </c>
      <c r="F2064" s="13" t="n">
        <f aca="false">IFERROR(E2064*Eingaben!$B$15,0)</f>
        <v>1.7442</v>
      </c>
      <c r="G2064" s="13" t="n">
        <f aca="false">IFERROR(IF(Kalender!A234="",0,J2063*(1-Eingaben!$B$20)),0)</f>
        <v>1.709316</v>
      </c>
      <c r="H2064" s="13" t="n">
        <f aca="false">MIN(G2064,D2064)</f>
        <v>0.89</v>
      </c>
      <c r="I2064" s="13" t="n">
        <f aca="false">IFERROR(MIN(F2064*Eingaben!$B$19,MAX(0,D2064-H2064)),0)</f>
        <v>0</v>
      </c>
      <c r="J2064" s="13" t="n">
        <f aca="false">IFERROR(MIN(Eingaben!$B$18,MAX(0,F2064-I2064)),0)</f>
        <v>1.7442</v>
      </c>
      <c r="K2064" s="13" t="n">
        <f aca="false">H2064+I2064</f>
        <v>0.89</v>
      </c>
      <c r="L2064" s="13" t="n">
        <f aca="false">MAX(0,D2064-K2064)</f>
        <v>0</v>
      </c>
      <c r="M2064" s="13" t="n">
        <f aca="false">MAX(0,F2064-I2064-J2064)</f>
        <v>0</v>
      </c>
      <c r="N2064" s="13" t="n">
        <f aca="false">IF(Kalender!A234="",0,J2063-H2064)</f>
        <v>0.8542</v>
      </c>
    </row>
    <row r="2065" customFormat="false" ht="16.4" hidden="false" customHeight="false" outlineLevel="0" collapsed="false">
      <c r="A2065" s="13" t="str">
        <f aca="false">""</f>
        <v/>
      </c>
      <c r="B2065" s="13" t="n">
        <f aca="false">231</f>
        <v>231</v>
      </c>
      <c r="C2065" s="13" t="n">
        <f aca="false">IF(Szenarien!$H$16="OK",(IFERROR(SUMIF(Nutzungsprofile!$B$6:$B$11,"Schulbetrieb",Nutzungsprofile!$G$6:$G$11)*Kalender!C235/SUM(Kalender!$C$5:$C$370),0)+IFERROR(SUMIF(Nutzungsprofile!$B$6:$B$11,"Halle",Nutzungsprofile!$G$6:$G$11)*Kalender!D235/SUM(Kalender!$D$5:$D$370),0)+IFERROR(SUMIF(Nutzungsprofile!$B$6:$B$11,"Individuell",Nutzungsprofile!$G$6:$G$11)*Kalender!E235/SUM(Kalender!$E$5:$E$370),0))*Szenarien!$E$16,0)</f>
        <v>2.04</v>
      </c>
      <c r="D2065" s="13" t="n">
        <f aca="false">IF(Szenarien!$H$16="OK",(IFERROR(SUMIF(Nutzungsprofile!$B$17:$B$22,"Schulbetrieb",Nutzungsprofile!$G$17:$G$22)*Kalender!C235/SUM(Kalender!$C$5:$C$370),0)+IFERROR(SUMIF(Nutzungsprofile!$B$17:$B$22,"Halle",Nutzungsprofile!$G$17:$G$22)*Kalender!D235/SUM(Kalender!$D$5:$D$370),0)+IFERROR(SUMIF(Nutzungsprofile!$B$17:$B$22,"Individuell",Nutzungsprofile!$G$17:$G$22)*Kalender!E235/SUM(Kalender!$E$5:$E$370),0))*Szenarien!$D$16,0)</f>
        <v>0.89</v>
      </c>
      <c r="E2065" s="13" t="n">
        <f aca="false">IFERROR(MIN(C2065,Eingaben!$B$17)*Eingaben!$B$16,0)</f>
        <v>1.938</v>
      </c>
      <c r="F2065" s="13" t="n">
        <f aca="false">IFERROR(E2065*Eingaben!$B$15,0)</f>
        <v>1.7442</v>
      </c>
      <c r="G2065" s="13" t="n">
        <f aca="false">IFERROR(IF(Kalender!A235="",0,J2064*(1-Eingaben!$B$20)),0)</f>
        <v>1.709316</v>
      </c>
      <c r="H2065" s="13" t="n">
        <f aca="false">MIN(G2065,D2065)</f>
        <v>0.89</v>
      </c>
      <c r="I2065" s="13" t="n">
        <f aca="false">IFERROR(MIN(F2065*Eingaben!$B$19,MAX(0,D2065-H2065)),0)</f>
        <v>0</v>
      </c>
      <c r="J2065" s="13" t="n">
        <f aca="false">IFERROR(MIN(Eingaben!$B$18,MAX(0,F2065-I2065)),0)</f>
        <v>1.7442</v>
      </c>
      <c r="K2065" s="13" t="n">
        <f aca="false">H2065+I2065</f>
        <v>0.89</v>
      </c>
      <c r="L2065" s="13" t="n">
        <f aca="false">MAX(0,D2065-K2065)</f>
        <v>0</v>
      </c>
      <c r="M2065" s="13" t="n">
        <f aca="false">MAX(0,F2065-I2065-J2065)</f>
        <v>0</v>
      </c>
      <c r="N2065" s="13" t="n">
        <f aca="false">IF(Kalender!A235="",0,J2064-H2065)</f>
        <v>0.8542</v>
      </c>
    </row>
    <row r="2066" customFormat="false" ht="16.4" hidden="false" customHeight="false" outlineLevel="0" collapsed="false">
      <c r="A2066" s="13" t="str">
        <f aca="false">""</f>
        <v/>
      </c>
      <c r="B2066" s="13" t="n">
        <f aca="false">232</f>
        <v>232</v>
      </c>
      <c r="C2066" s="13" t="n">
        <f aca="false">IF(Szenarien!$H$16="OK",(IFERROR(SUMIF(Nutzungsprofile!$B$6:$B$11,"Schulbetrieb",Nutzungsprofile!$G$6:$G$11)*Kalender!C236/SUM(Kalender!$C$5:$C$370),0)+IFERROR(SUMIF(Nutzungsprofile!$B$6:$B$11,"Halle",Nutzungsprofile!$G$6:$G$11)*Kalender!D236/SUM(Kalender!$D$5:$D$370),0)+IFERROR(SUMIF(Nutzungsprofile!$B$6:$B$11,"Individuell",Nutzungsprofile!$G$6:$G$11)*Kalender!E236/SUM(Kalender!$E$5:$E$370),0))*Szenarien!$E$16,0)</f>
        <v>2.04</v>
      </c>
      <c r="D2066" s="13" t="n">
        <f aca="false">IF(Szenarien!$H$16="OK",(IFERROR(SUMIF(Nutzungsprofile!$B$17:$B$22,"Schulbetrieb",Nutzungsprofile!$G$17:$G$22)*Kalender!C236/SUM(Kalender!$C$5:$C$370),0)+IFERROR(SUMIF(Nutzungsprofile!$B$17:$B$22,"Halle",Nutzungsprofile!$G$17:$G$22)*Kalender!D236/SUM(Kalender!$D$5:$D$370),0)+IFERROR(SUMIF(Nutzungsprofile!$B$17:$B$22,"Individuell",Nutzungsprofile!$G$17:$G$22)*Kalender!E236/SUM(Kalender!$E$5:$E$370),0))*Szenarien!$D$16,0)</f>
        <v>0.89</v>
      </c>
      <c r="E2066" s="13" t="n">
        <f aca="false">IFERROR(MIN(C2066,Eingaben!$B$17)*Eingaben!$B$16,0)</f>
        <v>1.938</v>
      </c>
      <c r="F2066" s="13" t="n">
        <f aca="false">IFERROR(E2066*Eingaben!$B$15,0)</f>
        <v>1.7442</v>
      </c>
      <c r="G2066" s="13" t="n">
        <f aca="false">IFERROR(IF(Kalender!A236="",0,J2065*(1-Eingaben!$B$20)),0)</f>
        <v>1.709316</v>
      </c>
      <c r="H2066" s="13" t="n">
        <f aca="false">MIN(G2066,D2066)</f>
        <v>0.89</v>
      </c>
      <c r="I2066" s="13" t="n">
        <f aca="false">IFERROR(MIN(F2066*Eingaben!$B$19,MAX(0,D2066-H2066)),0)</f>
        <v>0</v>
      </c>
      <c r="J2066" s="13" t="n">
        <f aca="false">IFERROR(MIN(Eingaben!$B$18,MAX(0,F2066-I2066)),0)</f>
        <v>1.7442</v>
      </c>
      <c r="K2066" s="13" t="n">
        <f aca="false">H2066+I2066</f>
        <v>0.89</v>
      </c>
      <c r="L2066" s="13" t="n">
        <f aca="false">MAX(0,D2066-K2066)</f>
        <v>0</v>
      </c>
      <c r="M2066" s="13" t="n">
        <f aca="false">MAX(0,F2066-I2066-J2066)</f>
        <v>0</v>
      </c>
      <c r="N2066" s="13" t="n">
        <f aca="false">IF(Kalender!A236="",0,J2065-H2066)</f>
        <v>0.8542</v>
      </c>
    </row>
    <row r="2067" customFormat="false" ht="16.4" hidden="false" customHeight="false" outlineLevel="0" collapsed="false">
      <c r="A2067" s="13" t="str">
        <f aca="false">""</f>
        <v/>
      </c>
      <c r="B2067" s="13" t="n">
        <f aca="false">233</f>
        <v>233</v>
      </c>
      <c r="C2067" s="13" t="n">
        <f aca="false">IF(Szenarien!$H$16="OK",(IFERROR(SUMIF(Nutzungsprofile!$B$6:$B$11,"Schulbetrieb",Nutzungsprofile!$G$6:$G$11)*Kalender!C237/SUM(Kalender!$C$5:$C$370),0)+IFERROR(SUMIF(Nutzungsprofile!$B$6:$B$11,"Halle",Nutzungsprofile!$G$6:$G$11)*Kalender!D237/SUM(Kalender!$D$5:$D$370),0)+IFERROR(SUMIF(Nutzungsprofile!$B$6:$B$11,"Individuell",Nutzungsprofile!$G$6:$G$11)*Kalender!E237/SUM(Kalender!$E$5:$E$370),0))*Szenarien!$E$16,0)</f>
        <v>2.04</v>
      </c>
      <c r="D2067" s="13" t="n">
        <f aca="false">IF(Szenarien!$H$16="OK",(IFERROR(SUMIF(Nutzungsprofile!$B$17:$B$22,"Schulbetrieb",Nutzungsprofile!$G$17:$G$22)*Kalender!C237/SUM(Kalender!$C$5:$C$370),0)+IFERROR(SUMIF(Nutzungsprofile!$B$17:$B$22,"Halle",Nutzungsprofile!$G$17:$G$22)*Kalender!D237/SUM(Kalender!$D$5:$D$370),0)+IFERROR(SUMIF(Nutzungsprofile!$B$17:$B$22,"Individuell",Nutzungsprofile!$G$17:$G$22)*Kalender!E237/SUM(Kalender!$E$5:$E$370),0))*Szenarien!$D$16,0)</f>
        <v>0.89</v>
      </c>
      <c r="E2067" s="13" t="n">
        <f aca="false">IFERROR(MIN(C2067,Eingaben!$B$17)*Eingaben!$B$16,0)</f>
        <v>1.938</v>
      </c>
      <c r="F2067" s="13" t="n">
        <f aca="false">IFERROR(E2067*Eingaben!$B$15,0)</f>
        <v>1.7442</v>
      </c>
      <c r="G2067" s="13" t="n">
        <f aca="false">IFERROR(IF(Kalender!A237="",0,J2066*(1-Eingaben!$B$20)),0)</f>
        <v>1.709316</v>
      </c>
      <c r="H2067" s="13" t="n">
        <f aca="false">MIN(G2067,D2067)</f>
        <v>0.89</v>
      </c>
      <c r="I2067" s="13" t="n">
        <f aca="false">IFERROR(MIN(F2067*Eingaben!$B$19,MAX(0,D2067-H2067)),0)</f>
        <v>0</v>
      </c>
      <c r="J2067" s="13" t="n">
        <f aca="false">IFERROR(MIN(Eingaben!$B$18,MAX(0,F2067-I2067)),0)</f>
        <v>1.7442</v>
      </c>
      <c r="K2067" s="13" t="n">
        <f aca="false">H2067+I2067</f>
        <v>0.89</v>
      </c>
      <c r="L2067" s="13" t="n">
        <f aca="false">MAX(0,D2067-K2067)</f>
        <v>0</v>
      </c>
      <c r="M2067" s="13" t="n">
        <f aca="false">MAX(0,F2067-I2067-J2067)</f>
        <v>0</v>
      </c>
      <c r="N2067" s="13" t="n">
        <f aca="false">IF(Kalender!A237="",0,J2066-H2067)</f>
        <v>0.8542</v>
      </c>
    </row>
    <row r="2068" customFormat="false" ht="16.4" hidden="false" customHeight="false" outlineLevel="0" collapsed="false">
      <c r="A2068" s="13" t="str">
        <f aca="false">""</f>
        <v/>
      </c>
      <c r="B2068" s="13" t="n">
        <f aca="false">234</f>
        <v>234</v>
      </c>
      <c r="C2068" s="13" t="n">
        <f aca="false">IF(Szenarien!$H$16="OK",(IFERROR(SUMIF(Nutzungsprofile!$B$6:$B$11,"Schulbetrieb",Nutzungsprofile!$G$6:$G$11)*Kalender!C238/SUM(Kalender!$C$5:$C$370),0)+IFERROR(SUMIF(Nutzungsprofile!$B$6:$B$11,"Halle",Nutzungsprofile!$G$6:$G$11)*Kalender!D238/SUM(Kalender!$D$5:$D$370),0)+IFERROR(SUMIF(Nutzungsprofile!$B$6:$B$11,"Individuell",Nutzungsprofile!$G$6:$G$11)*Kalender!E238/SUM(Kalender!$E$5:$E$370),0))*Szenarien!$E$16,0)</f>
        <v>2.04</v>
      </c>
      <c r="D2068" s="13" t="n">
        <f aca="false">IF(Szenarien!$H$16="OK",(IFERROR(SUMIF(Nutzungsprofile!$B$17:$B$22,"Schulbetrieb",Nutzungsprofile!$G$17:$G$22)*Kalender!C238/SUM(Kalender!$C$5:$C$370),0)+IFERROR(SUMIF(Nutzungsprofile!$B$17:$B$22,"Halle",Nutzungsprofile!$G$17:$G$22)*Kalender!D238/SUM(Kalender!$D$5:$D$370),0)+IFERROR(SUMIF(Nutzungsprofile!$B$17:$B$22,"Individuell",Nutzungsprofile!$G$17:$G$22)*Kalender!E238/SUM(Kalender!$E$5:$E$370),0))*Szenarien!$D$16,0)</f>
        <v>0.89</v>
      </c>
      <c r="E2068" s="13" t="n">
        <f aca="false">IFERROR(MIN(C2068,Eingaben!$B$17)*Eingaben!$B$16,0)</f>
        <v>1.938</v>
      </c>
      <c r="F2068" s="13" t="n">
        <f aca="false">IFERROR(E2068*Eingaben!$B$15,0)</f>
        <v>1.7442</v>
      </c>
      <c r="G2068" s="13" t="n">
        <f aca="false">IFERROR(IF(Kalender!A238="",0,J2067*(1-Eingaben!$B$20)),0)</f>
        <v>1.709316</v>
      </c>
      <c r="H2068" s="13" t="n">
        <f aca="false">MIN(G2068,D2068)</f>
        <v>0.89</v>
      </c>
      <c r="I2068" s="13" t="n">
        <f aca="false">IFERROR(MIN(F2068*Eingaben!$B$19,MAX(0,D2068-H2068)),0)</f>
        <v>0</v>
      </c>
      <c r="J2068" s="13" t="n">
        <f aca="false">IFERROR(MIN(Eingaben!$B$18,MAX(0,F2068-I2068)),0)</f>
        <v>1.7442</v>
      </c>
      <c r="K2068" s="13" t="n">
        <f aca="false">H2068+I2068</f>
        <v>0.89</v>
      </c>
      <c r="L2068" s="13" t="n">
        <f aca="false">MAX(0,D2068-K2068)</f>
        <v>0</v>
      </c>
      <c r="M2068" s="13" t="n">
        <f aca="false">MAX(0,F2068-I2068-J2068)</f>
        <v>0</v>
      </c>
      <c r="N2068" s="13" t="n">
        <f aca="false">IF(Kalender!A238="",0,J2067-H2068)</f>
        <v>0.8542</v>
      </c>
    </row>
    <row r="2069" customFormat="false" ht="16.4" hidden="false" customHeight="false" outlineLevel="0" collapsed="false">
      <c r="A2069" s="13" t="str">
        <f aca="false">""</f>
        <v/>
      </c>
      <c r="B2069" s="13" t="n">
        <f aca="false">235</f>
        <v>235</v>
      </c>
      <c r="C2069" s="13" t="n">
        <f aca="false">IF(Szenarien!$H$16="OK",(IFERROR(SUMIF(Nutzungsprofile!$B$6:$B$11,"Schulbetrieb",Nutzungsprofile!$G$6:$G$11)*Kalender!C239/SUM(Kalender!$C$5:$C$370),0)+IFERROR(SUMIF(Nutzungsprofile!$B$6:$B$11,"Halle",Nutzungsprofile!$G$6:$G$11)*Kalender!D239/SUM(Kalender!$D$5:$D$370),0)+IFERROR(SUMIF(Nutzungsprofile!$B$6:$B$11,"Individuell",Nutzungsprofile!$G$6:$G$11)*Kalender!E239/SUM(Kalender!$E$5:$E$370),0))*Szenarien!$E$16,0)</f>
        <v>2.04</v>
      </c>
      <c r="D2069" s="13" t="n">
        <f aca="false">IF(Szenarien!$H$16="OK",(IFERROR(SUMIF(Nutzungsprofile!$B$17:$B$22,"Schulbetrieb",Nutzungsprofile!$G$17:$G$22)*Kalender!C239/SUM(Kalender!$C$5:$C$370),0)+IFERROR(SUMIF(Nutzungsprofile!$B$17:$B$22,"Halle",Nutzungsprofile!$G$17:$G$22)*Kalender!D239/SUM(Kalender!$D$5:$D$370),0)+IFERROR(SUMIF(Nutzungsprofile!$B$17:$B$22,"Individuell",Nutzungsprofile!$G$17:$G$22)*Kalender!E239/SUM(Kalender!$E$5:$E$370),0))*Szenarien!$D$16,0)</f>
        <v>0.89</v>
      </c>
      <c r="E2069" s="13" t="n">
        <f aca="false">IFERROR(MIN(C2069,Eingaben!$B$17)*Eingaben!$B$16,0)</f>
        <v>1.938</v>
      </c>
      <c r="F2069" s="13" t="n">
        <f aca="false">IFERROR(E2069*Eingaben!$B$15,0)</f>
        <v>1.7442</v>
      </c>
      <c r="G2069" s="13" t="n">
        <f aca="false">IFERROR(IF(Kalender!A239="",0,J2068*(1-Eingaben!$B$20)),0)</f>
        <v>1.709316</v>
      </c>
      <c r="H2069" s="13" t="n">
        <f aca="false">MIN(G2069,D2069)</f>
        <v>0.89</v>
      </c>
      <c r="I2069" s="13" t="n">
        <f aca="false">IFERROR(MIN(F2069*Eingaben!$B$19,MAX(0,D2069-H2069)),0)</f>
        <v>0</v>
      </c>
      <c r="J2069" s="13" t="n">
        <f aca="false">IFERROR(MIN(Eingaben!$B$18,MAX(0,F2069-I2069)),0)</f>
        <v>1.7442</v>
      </c>
      <c r="K2069" s="13" t="n">
        <f aca="false">H2069+I2069</f>
        <v>0.89</v>
      </c>
      <c r="L2069" s="13" t="n">
        <f aca="false">MAX(0,D2069-K2069)</f>
        <v>0</v>
      </c>
      <c r="M2069" s="13" t="n">
        <f aca="false">MAX(0,F2069-I2069-J2069)</f>
        <v>0</v>
      </c>
      <c r="N2069" s="13" t="n">
        <f aca="false">IF(Kalender!A239="",0,J2068-H2069)</f>
        <v>0.8542</v>
      </c>
    </row>
    <row r="2070" customFormat="false" ht="16.4" hidden="false" customHeight="false" outlineLevel="0" collapsed="false">
      <c r="A2070" s="13" t="str">
        <f aca="false">""</f>
        <v/>
      </c>
      <c r="B2070" s="13" t="n">
        <f aca="false">236</f>
        <v>236</v>
      </c>
      <c r="C2070" s="13" t="n">
        <f aca="false">IF(Szenarien!$H$16="OK",(IFERROR(SUMIF(Nutzungsprofile!$B$6:$B$11,"Schulbetrieb",Nutzungsprofile!$G$6:$G$11)*Kalender!C240/SUM(Kalender!$C$5:$C$370),0)+IFERROR(SUMIF(Nutzungsprofile!$B$6:$B$11,"Halle",Nutzungsprofile!$G$6:$G$11)*Kalender!D240/SUM(Kalender!$D$5:$D$370),0)+IFERROR(SUMIF(Nutzungsprofile!$B$6:$B$11,"Individuell",Nutzungsprofile!$G$6:$G$11)*Kalender!E240/SUM(Kalender!$E$5:$E$370),0))*Szenarien!$E$16,0)</f>
        <v>2.04</v>
      </c>
      <c r="D2070" s="13" t="n">
        <f aca="false">IF(Szenarien!$H$16="OK",(IFERROR(SUMIF(Nutzungsprofile!$B$17:$B$22,"Schulbetrieb",Nutzungsprofile!$G$17:$G$22)*Kalender!C240/SUM(Kalender!$C$5:$C$370),0)+IFERROR(SUMIF(Nutzungsprofile!$B$17:$B$22,"Halle",Nutzungsprofile!$G$17:$G$22)*Kalender!D240/SUM(Kalender!$D$5:$D$370),0)+IFERROR(SUMIF(Nutzungsprofile!$B$17:$B$22,"Individuell",Nutzungsprofile!$G$17:$G$22)*Kalender!E240/SUM(Kalender!$E$5:$E$370),0))*Szenarien!$D$16,0)</f>
        <v>0.89</v>
      </c>
      <c r="E2070" s="13" t="n">
        <f aca="false">IFERROR(MIN(C2070,Eingaben!$B$17)*Eingaben!$B$16,0)</f>
        <v>1.938</v>
      </c>
      <c r="F2070" s="13" t="n">
        <f aca="false">IFERROR(E2070*Eingaben!$B$15,0)</f>
        <v>1.7442</v>
      </c>
      <c r="G2070" s="13" t="n">
        <f aca="false">IFERROR(IF(Kalender!A240="",0,J2069*(1-Eingaben!$B$20)),0)</f>
        <v>1.709316</v>
      </c>
      <c r="H2070" s="13" t="n">
        <f aca="false">MIN(G2070,D2070)</f>
        <v>0.89</v>
      </c>
      <c r="I2070" s="13" t="n">
        <f aca="false">IFERROR(MIN(F2070*Eingaben!$B$19,MAX(0,D2070-H2070)),0)</f>
        <v>0</v>
      </c>
      <c r="J2070" s="13" t="n">
        <f aca="false">IFERROR(MIN(Eingaben!$B$18,MAX(0,F2070-I2070)),0)</f>
        <v>1.7442</v>
      </c>
      <c r="K2070" s="13" t="n">
        <f aca="false">H2070+I2070</f>
        <v>0.89</v>
      </c>
      <c r="L2070" s="13" t="n">
        <f aca="false">MAX(0,D2070-K2070)</f>
        <v>0</v>
      </c>
      <c r="M2070" s="13" t="n">
        <f aca="false">MAX(0,F2070-I2070-J2070)</f>
        <v>0</v>
      </c>
      <c r="N2070" s="13" t="n">
        <f aca="false">IF(Kalender!A240="",0,J2069-H2070)</f>
        <v>0.8542</v>
      </c>
    </row>
    <row r="2071" customFormat="false" ht="16.4" hidden="false" customHeight="false" outlineLevel="0" collapsed="false">
      <c r="A2071" s="13" t="str">
        <f aca="false">""</f>
        <v/>
      </c>
      <c r="B2071" s="13" t="n">
        <f aca="false">237</f>
        <v>237</v>
      </c>
      <c r="C2071" s="13" t="n">
        <f aca="false">IF(Szenarien!$H$16="OK",(IFERROR(SUMIF(Nutzungsprofile!$B$6:$B$11,"Schulbetrieb",Nutzungsprofile!$G$6:$G$11)*Kalender!C241/SUM(Kalender!$C$5:$C$370),0)+IFERROR(SUMIF(Nutzungsprofile!$B$6:$B$11,"Halle",Nutzungsprofile!$G$6:$G$11)*Kalender!D241/SUM(Kalender!$D$5:$D$370),0)+IFERROR(SUMIF(Nutzungsprofile!$B$6:$B$11,"Individuell",Nutzungsprofile!$G$6:$G$11)*Kalender!E241/SUM(Kalender!$E$5:$E$370),0))*Szenarien!$E$16,0)</f>
        <v>2.04</v>
      </c>
      <c r="D2071" s="13" t="n">
        <f aca="false">IF(Szenarien!$H$16="OK",(IFERROR(SUMIF(Nutzungsprofile!$B$17:$B$22,"Schulbetrieb",Nutzungsprofile!$G$17:$G$22)*Kalender!C241/SUM(Kalender!$C$5:$C$370),0)+IFERROR(SUMIF(Nutzungsprofile!$B$17:$B$22,"Halle",Nutzungsprofile!$G$17:$G$22)*Kalender!D241/SUM(Kalender!$D$5:$D$370),0)+IFERROR(SUMIF(Nutzungsprofile!$B$17:$B$22,"Individuell",Nutzungsprofile!$G$17:$G$22)*Kalender!E241/SUM(Kalender!$E$5:$E$370),0))*Szenarien!$D$16,0)</f>
        <v>0.89</v>
      </c>
      <c r="E2071" s="13" t="n">
        <f aca="false">IFERROR(MIN(C2071,Eingaben!$B$17)*Eingaben!$B$16,0)</f>
        <v>1.938</v>
      </c>
      <c r="F2071" s="13" t="n">
        <f aca="false">IFERROR(E2071*Eingaben!$B$15,0)</f>
        <v>1.7442</v>
      </c>
      <c r="G2071" s="13" t="n">
        <f aca="false">IFERROR(IF(Kalender!A241="",0,J2070*(1-Eingaben!$B$20)),0)</f>
        <v>1.709316</v>
      </c>
      <c r="H2071" s="13" t="n">
        <f aca="false">MIN(G2071,D2071)</f>
        <v>0.89</v>
      </c>
      <c r="I2071" s="13" t="n">
        <f aca="false">IFERROR(MIN(F2071*Eingaben!$B$19,MAX(0,D2071-H2071)),0)</f>
        <v>0</v>
      </c>
      <c r="J2071" s="13" t="n">
        <f aca="false">IFERROR(MIN(Eingaben!$B$18,MAX(0,F2071-I2071)),0)</f>
        <v>1.7442</v>
      </c>
      <c r="K2071" s="13" t="n">
        <f aca="false">H2071+I2071</f>
        <v>0.89</v>
      </c>
      <c r="L2071" s="13" t="n">
        <f aca="false">MAX(0,D2071-K2071)</f>
        <v>0</v>
      </c>
      <c r="M2071" s="13" t="n">
        <f aca="false">MAX(0,F2071-I2071-J2071)</f>
        <v>0</v>
      </c>
      <c r="N2071" s="13" t="n">
        <f aca="false">IF(Kalender!A241="",0,J2070-H2071)</f>
        <v>0.8542</v>
      </c>
    </row>
    <row r="2072" customFormat="false" ht="16.4" hidden="false" customHeight="false" outlineLevel="0" collapsed="false">
      <c r="A2072" s="13" t="str">
        <f aca="false">""</f>
        <v/>
      </c>
      <c r="B2072" s="13" t="n">
        <f aca="false">238</f>
        <v>238</v>
      </c>
      <c r="C2072" s="13" t="n">
        <f aca="false">IF(Szenarien!$H$16="OK",(IFERROR(SUMIF(Nutzungsprofile!$B$6:$B$11,"Schulbetrieb",Nutzungsprofile!$G$6:$G$11)*Kalender!C242/SUM(Kalender!$C$5:$C$370),0)+IFERROR(SUMIF(Nutzungsprofile!$B$6:$B$11,"Halle",Nutzungsprofile!$G$6:$G$11)*Kalender!D242/SUM(Kalender!$D$5:$D$370),0)+IFERROR(SUMIF(Nutzungsprofile!$B$6:$B$11,"Individuell",Nutzungsprofile!$G$6:$G$11)*Kalender!E242/SUM(Kalender!$E$5:$E$370),0))*Szenarien!$E$16,0)</f>
        <v>2.04</v>
      </c>
      <c r="D2072" s="13" t="n">
        <f aca="false">IF(Szenarien!$H$16="OK",(IFERROR(SUMIF(Nutzungsprofile!$B$17:$B$22,"Schulbetrieb",Nutzungsprofile!$G$17:$G$22)*Kalender!C242/SUM(Kalender!$C$5:$C$370),0)+IFERROR(SUMIF(Nutzungsprofile!$B$17:$B$22,"Halle",Nutzungsprofile!$G$17:$G$22)*Kalender!D242/SUM(Kalender!$D$5:$D$370),0)+IFERROR(SUMIF(Nutzungsprofile!$B$17:$B$22,"Individuell",Nutzungsprofile!$G$17:$G$22)*Kalender!E242/SUM(Kalender!$E$5:$E$370),0))*Szenarien!$D$16,0)</f>
        <v>0.89</v>
      </c>
      <c r="E2072" s="13" t="n">
        <f aca="false">IFERROR(MIN(C2072,Eingaben!$B$17)*Eingaben!$B$16,0)</f>
        <v>1.938</v>
      </c>
      <c r="F2072" s="13" t="n">
        <f aca="false">IFERROR(E2072*Eingaben!$B$15,0)</f>
        <v>1.7442</v>
      </c>
      <c r="G2072" s="13" t="n">
        <f aca="false">IFERROR(IF(Kalender!A242="",0,J2071*(1-Eingaben!$B$20)),0)</f>
        <v>1.709316</v>
      </c>
      <c r="H2072" s="13" t="n">
        <f aca="false">MIN(G2072,D2072)</f>
        <v>0.89</v>
      </c>
      <c r="I2072" s="13" t="n">
        <f aca="false">IFERROR(MIN(F2072*Eingaben!$B$19,MAX(0,D2072-H2072)),0)</f>
        <v>0</v>
      </c>
      <c r="J2072" s="13" t="n">
        <f aca="false">IFERROR(MIN(Eingaben!$B$18,MAX(0,F2072-I2072)),0)</f>
        <v>1.7442</v>
      </c>
      <c r="K2072" s="13" t="n">
        <f aca="false">H2072+I2072</f>
        <v>0.89</v>
      </c>
      <c r="L2072" s="13" t="n">
        <f aca="false">MAX(0,D2072-K2072)</f>
        <v>0</v>
      </c>
      <c r="M2072" s="13" t="n">
        <f aca="false">MAX(0,F2072-I2072-J2072)</f>
        <v>0</v>
      </c>
      <c r="N2072" s="13" t="n">
        <f aca="false">IF(Kalender!A242="",0,J2071-H2072)</f>
        <v>0.8542</v>
      </c>
    </row>
    <row r="2073" customFormat="false" ht="16.4" hidden="false" customHeight="false" outlineLevel="0" collapsed="false">
      <c r="A2073" s="13" t="str">
        <f aca="false">""</f>
        <v/>
      </c>
      <c r="B2073" s="13" t="n">
        <f aca="false">239</f>
        <v>239</v>
      </c>
      <c r="C2073" s="13" t="n">
        <f aca="false">IF(Szenarien!$H$16="OK",(IFERROR(SUMIF(Nutzungsprofile!$B$6:$B$11,"Schulbetrieb",Nutzungsprofile!$G$6:$G$11)*Kalender!C243/SUM(Kalender!$C$5:$C$370),0)+IFERROR(SUMIF(Nutzungsprofile!$B$6:$B$11,"Halle",Nutzungsprofile!$G$6:$G$11)*Kalender!D243/SUM(Kalender!$D$5:$D$370),0)+IFERROR(SUMIF(Nutzungsprofile!$B$6:$B$11,"Individuell",Nutzungsprofile!$G$6:$G$11)*Kalender!E243/SUM(Kalender!$E$5:$E$370),0))*Szenarien!$E$16,0)</f>
        <v>2.04</v>
      </c>
      <c r="D2073" s="13" t="n">
        <f aca="false">IF(Szenarien!$H$16="OK",(IFERROR(SUMIF(Nutzungsprofile!$B$17:$B$22,"Schulbetrieb",Nutzungsprofile!$G$17:$G$22)*Kalender!C243/SUM(Kalender!$C$5:$C$370),0)+IFERROR(SUMIF(Nutzungsprofile!$B$17:$B$22,"Halle",Nutzungsprofile!$G$17:$G$22)*Kalender!D243/SUM(Kalender!$D$5:$D$370),0)+IFERROR(SUMIF(Nutzungsprofile!$B$17:$B$22,"Individuell",Nutzungsprofile!$G$17:$G$22)*Kalender!E243/SUM(Kalender!$E$5:$E$370),0))*Szenarien!$D$16,0)</f>
        <v>0.89</v>
      </c>
      <c r="E2073" s="13" t="n">
        <f aca="false">IFERROR(MIN(C2073,Eingaben!$B$17)*Eingaben!$B$16,0)</f>
        <v>1.938</v>
      </c>
      <c r="F2073" s="13" t="n">
        <f aca="false">IFERROR(E2073*Eingaben!$B$15,0)</f>
        <v>1.7442</v>
      </c>
      <c r="G2073" s="13" t="n">
        <f aca="false">IFERROR(IF(Kalender!A243="",0,J2072*(1-Eingaben!$B$20)),0)</f>
        <v>1.709316</v>
      </c>
      <c r="H2073" s="13" t="n">
        <f aca="false">MIN(G2073,D2073)</f>
        <v>0.89</v>
      </c>
      <c r="I2073" s="13" t="n">
        <f aca="false">IFERROR(MIN(F2073*Eingaben!$B$19,MAX(0,D2073-H2073)),0)</f>
        <v>0</v>
      </c>
      <c r="J2073" s="13" t="n">
        <f aca="false">IFERROR(MIN(Eingaben!$B$18,MAX(0,F2073-I2073)),0)</f>
        <v>1.7442</v>
      </c>
      <c r="K2073" s="13" t="n">
        <f aca="false">H2073+I2073</f>
        <v>0.89</v>
      </c>
      <c r="L2073" s="13" t="n">
        <f aca="false">MAX(0,D2073-K2073)</f>
        <v>0</v>
      </c>
      <c r="M2073" s="13" t="n">
        <f aca="false">MAX(0,F2073-I2073-J2073)</f>
        <v>0</v>
      </c>
      <c r="N2073" s="13" t="n">
        <f aca="false">IF(Kalender!A243="",0,J2072-H2073)</f>
        <v>0.8542</v>
      </c>
    </row>
    <row r="2074" customFormat="false" ht="16.4" hidden="false" customHeight="false" outlineLevel="0" collapsed="false">
      <c r="A2074" s="13" t="str">
        <f aca="false">""</f>
        <v/>
      </c>
      <c r="B2074" s="13" t="n">
        <f aca="false">240</f>
        <v>240</v>
      </c>
      <c r="C2074" s="13" t="n">
        <f aca="false">IF(Szenarien!$H$16="OK",(IFERROR(SUMIF(Nutzungsprofile!$B$6:$B$11,"Schulbetrieb",Nutzungsprofile!$G$6:$G$11)*Kalender!C244/SUM(Kalender!$C$5:$C$370),0)+IFERROR(SUMIF(Nutzungsprofile!$B$6:$B$11,"Halle",Nutzungsprofile!$G$6:$G$11)*Kalender!D244/SUM(Kalender!$D$5:$D$370),0)+IFERROR(SUMIF(Nutzungsprofile!$B$6:$B$11,"Individuell",Nutzungsprofile!$G$6:$G$11)*Kalender!E244/SUM(Kalender!$E$5:$E$370),0))*Szenarien!$E$16,0)</f>
        <v>2.04</v>
      </c>
      <c r="D2074" s="13" t="n">
        <f aca="false">IF(Szenarien!$H$16="OK",(IFERROR(SUMIF(Nutzungsprofile!$B$17:$B$22,"Schulbetrieb",Nutzungsprofile!$G$17:$G$22)*Kalender!C244/SUM(Kalender!$C$5:$C$370),0)+IFERROR(SUMIF(Nutzungsprofile!$B$17:$B$22,"Halle",Nutzungsprofile!$G$17:$G$22)*Kalender!D244/SUM(Kalender!$D$5:$D$370),0)+IFERROR(SUMIF(Nutzungsprofile!$B$17:$B$22,"Individuell",Nutzungsprofile!$G$17:$G$22)*Kalender!E244/SUM(Kalender!$E$5:$E$370),0))*Szenarien!$D$16,0)</f>
        <v>0.89</v>
      </c>
      <c r="E2074" s="13" t="n">
        <f aca="false">IFERROR(MIN(C2074,Eingaben!$B$17)*Eingaben!$B$16,0)</f>
        <v>1.938</v>
      </c>
      <c r="F2074" s="13" t="n">
        <f aca="false">IFERROR(E2074*Eingaben!$B$15,0)</f>
        <v>1.7442</v>
      </c>
      <c r="G2074" s="13" t="n">
        <f aca="false">IFERROR(IF(Kalender!A244="",0,J2073*(1-Eingaben!$B$20)),0)</f>
        <v>1.709316</v>
      </c>
      <c r="H2074" s="13" t="n">
        <f aca="false">MIN(G2074,D2074)</f>
        <v>0.89</v>
      </c>
      <c r="I2074" s="13" t="n">
        <f aca="false">IFERROR(MIN(F2074*Eingaben!$B$19,MAX(0,D2074-H2074)),0)</f>
        <v>0</v>
      </c>
      <c r="J2074" s="13" t="n">
        <f aca="false">IFERROR(MIN(Eingaben!$B$18,MAX(0,F2074-I2074)),0)</f>
        <v>1.7442</v>
      </c>
      <c r="K2074" s="13" t="n">
        <f aca="false">H2074+I2074</f>
        <v>0.89</v>
      </c>
      <c r="L2074" s="13" t="n">
        <f aca="false">MAX(0,D2074-K2074)</f>
        <v>0</v>
      </c>
      <c r="M2074" s="13" t="n">
        <f aca="false">MAX(0,F2074-I2074-J2074)</f>
        <v>0</v>
      </c>
      <c r="N2074" s="13" t="n">
        <f aca="false">IF(Kalender!A244="",0,J2073-H2074)</f>
        <v>0.8542</v>
      </c>
    </row>
    <row r="2075" customFormat="false" ht="16.4" hidden="false" customHeight="false" outlineLevel="0" collapsed="false">
      <c r="A2075" s="13" t="str">
        <f aca="false">""</f>
        <v/>
      </c>
      <c r="B2075" s="13" t="n">
        <f aca="false">241</f>
        <v>241</v>
      </c>
      <c r="C2075" s="13" t="n">
        <f aca="false">IF(Szenarien!$H$16="OK",(IFERROR(SUMIF(Nutzungsprofile!$B$6:$B$11,"Schulbetrieb",Nutzungsprofile!$G$6:$G$11)*Kalender!C245/SUM(Kalender!$C$5:$C$370),0)+IFERROR(SUMIF(Nutzungsprofile!$B$6:$B$11,"Halle",Nutzungsprofile!$G$6:$G$11)*Kalender!D245/SUM(Kalender!$D$5:$D$370),0)+IFERROR(SUMIF(Nutzungsprofile!$B$6:$B$11,"Individuell",Nutzungsprofile!$G$6:$G$11)*Kalender!E245/SUM(Kalender!$E$5:$E$370),0))*Szenarien!$E$16,0)</f>
        <v>2.04</v>
      </c>
      <c r="D2075" s="13" t="n">
        <f aca="false">IF(Szenarien!$H$16="OK",(IFERROR(SUMIF(Nutzungsprofile!$B$17:$B$22,"Schulbetrieb",Nutzungsprofile!$G$17:$G$22)*Kalender!C245/SUM(Kalender!$C$5:$C$370),0)+IFERROR(SUMIF(Nutzungsprofile!$B$17:$B$22,"Halle",Nutzungsprofile!$G$17:$G$22)*Kalender!D245/SUM(Kalender!$D$5:$D$370),0)+IFERROR(SUMIF(Nutzungsprofile!$B$17:$B$22,"Individuell",Nutzungsprofile!$G$17:$G$22)*Kalender!E245/SUM(Kalender!$E$5:$E$370),0))*Szenarien!$D$16,0)</f>
        <v>0.89</v>
      </c>
      <c r="E2075" s="13" t="n">
        <f aca="false">IFERROR(MIN(C2075,Eingaben!$B$17)*Eingaben!$B$16,0)</f>
        <v>1.938</v>
      </c>
      <c r="F2075" s="13" t="n">
        <f aca="false">IFERROR(E2075*Eingaben!$B$15,0)</f>
        <v>1.7442</v>
      </c>
      <c r="G2075" s="13" t="n">
        <f aca="false">IFERROR(IF(Kalender!A245="",0,J2074*(1-Eingaben!$B$20)),0)</f>
        <v>1.709316</v>
      </c>
      <c r="H2075" s="13" t="n">
        <f aca="false">MIN(G2075,D2075)</f>
        <v>0.89</v>
      </c>
      <c r="I2075" s="13" t="n">
        <f aca="false">IFERROR(MIN(F2075*Eingaben!$B$19,MAX(0,D2075-H2075)),0)</f>
        <v>0</v>
      </c>
      <c r="J2075" s="13" t="n">
        <f aca="false">IFERROR(MIN(Eingaben!$B$18,MAX(0,F2075-I2075)),0)</f>
        <v>1.7442</v>
      </c>
      <c r="K2075" s="13" t="n">
        <f aca="false">H2075+I2075</f>
        <v>0.89</v>
      </c>
      <c r="L2075" s="13" t="n">
        <f aca="false">MAX(0,D2075-K2075)</f>
        <v>0</v>
      </c>
      <c r="M2075" s="13" t="n">
        <f aca="false">MAX(0,F2075-I2075-J2075)</f>
        <v>0</v>
      </c>
      <c r="N2075" s="13" t="n">
        <f aca="false">IF(Kalender!A245="",0,J2074-H2075)</f>
        <v>0.8542</v>
      </c>
    </row>
    <row r="2076" customFormat="false" ht="16.4" hidden="false" customHeight="false" outlineLevel="0" collapsed="false">
      <c r="A2076" s="13" t="str">
        <f aca="false">""</f>
        <v/>
      </c>
      <c r="B2076" s="13" t="n">
        <f aca="false">242</f>
        <v>242</v>
      </c>
      <c r="C2076" s="13" t="n">
        <f aca="false">IF(Szenarien!$H$16="OK",(IFERROR(SUMIF(Nutzungsprofile!$B$6:$B$11,"Schulbetrieb",Nutzungsprofile!$G$6:$G$11)*Kalender!C246/SUM(Kalender!$C$5:$C$370),0)+IFERROR(SUMIF(Nutzungsprofile!$B$6:$B$11,"Halle",Nutzungsprofile!$G$6:$G$11)*Kalender!D246/SUM(Kalender!$D$5:$D$370),0)+IFERROR(SUMIF(Nutzungsprofile!$B$6:$B$11,"Individuell",Nutzungsprofile!$G$6:$G$11)*Kalender!E246/SUM(Kalender!$E$5:$E$370),0))*Szenarien!$E$16,0)</f>
        <v>2.04</v>
      </c>
      <c r="D2076" s="13" t="n">
        <f aca="false">IF(Szenarien!$H$16="OK",(IFERROR(SUMIF(Nutzungsprofile!$B$17:$B$22,"Schulbetrieb",Nutzungsprofile!$G$17:$G$22)*Kalender!C246/SUM(Kalender!$C$5:$C$370),0)+IFERROR(SUMIF(Nutzungsprofile!$B$17:$B$22,"Halle",Nutzungsprofile!$G$17:$G$22)*Kalender!D246/SUM(Kalender!$D$5:$D$370),0)+IFERROR(SUMIF(Nutzungsprofile!$B$17:$B$22,"Individuell",Nutzungsprofile!$G$17:$G$22)*Kalender!E246/SUM(Kalender!$E$5:$E$370),0))*Szenarien!$D$16,0)</f>
        <v>0.89</v>
      </c>
      <c r="E2076" s="13" t="n">
        <f aca="false">IFERROR(MIN(C2076,Eingaben!$B$17)*Eingaben!$B$16,0)</f>
        <v>1.938</v>
      </c>
      <c r="F2076" s="13" t="n">
        <f aca="false">IFERROR(E2076*Eingaben!$B$15,0)</f>
        <v>1.7442</v>
      </c>
      <c r="G2076" s="13" t="n">
        <f aca="false">IFERROR(IF(Kalender!A246="",0,J2075*(1-Eingaben!$B$20)),0)</f>
        <v>1.709316</v>
      </c>
      <c r="H2076" s="13" t="n">
        <f aca="false">MIN(G2076,D2076)</f>
        <v>0.89</v>
      </c>
      <c r="I2076" s="13" t="n">
        <f aca="false">IFERROR(MIN(F2076*Eingaben!$B$19,MAX(0,D2076-H2076)),0)</f>
        <v>0</v>
      </c>
      <c r="J2076" s="13" t="n">
        <f aca="false">IFERROR(MIN(Eingaben!$B$18,MAX(0,F2076-I2076)),0)</f>
        <v>1.7442</v>
      </c>
      <c r="K2076" s="13" t="n">
        <f aca="false">H2076+I2076</f>
        <v>0.89</v>
      </c>
      <c r="L2076" s="13" t="n">
        <f aca="false">MAX(0,D2076-K2076)</f>
        <v>0</v>
      </c>
      <c r="M2076" s="13" t="n">
        <f aca="false">MAX(0,F2076-I2076-J2076)</f>
        <v>0</v>
      </c>
      <c r="N2076" s="13" t="n">
        <f aca="false">IF(Kalender!A246="",0,J2075-H2076)</f>
        <v>0.8542</v>
      </c>
    </row>
    <row r="2077" customFormat="false" ht="16.4" hidden="false" customHeight="false" outlineLevel="0" collapsed="false">
      <c r="A2077" s="13" t="str">
        <f aca="false">""</f>
        <v/>
      </c>
      <c r="B2077" s="13" t="n">
        <f aca="false">243</f>
        <v>243</v>
      </c>
      <c r="C2077" s="13" t="n">
        <f aca="false">IF(Szenarien!$H$16="OK",(IFERROR(SUMIF(Nutzungsprofile!$B$6:$B$11,"Schulbetrieb",Nutzungsprofile!$G$6:$G$11)*Kalender!C247/SUM(Kalender!$C$5:$C$370),0)+IFERROR(SUMIF(Nutzungsprofile!$B$6:$B$11,"Halle",Nutzungsprofile!$G$6:$G$11)*Kalender!D247/SUM(Kalender!$D$5:$D$370),0)+IFERROR(SUMIF(Nutzungsprofile!$B$6:$B$11,"Individuell",Nutzungsprofile!$G$6:$G$11)*Kalender!E247/SUM(Kalender!$E$5:$E$370),0))*Szenarien!$E$16,0)</f>
        <v>2.04</v>
      </c>
      <c r="D2077" s="13" t="n">
        <f aca="false">IF(Szenarien!$H$16="OK",(IFERROR(SUMIF(Nutzungsprofile!$B$17:$B$22,"Schulbetrieb",Nutzungsprofile!$G$17:$G$22)*Kalender!C247/SUM(Kalender!$C$5:$C$370),0)+IFERROR(SUMIF(Nutzungsprofile!$B$17:$B$22,"Halle",Nutzungsprofile!$G$17:$G$22)*Kalender!D247/SUM(Kalender!$D$5:$D$370),0)+IFERROR(SUMIF(Nutzungsprofile!$B$17:$B$22,"Individuell",Nutzungsprofile!$G$17:$G$22)*Kalender!E247/SUM(Kalender!$E$5:$E$370),0))*Szenarien!$D$16,0)</f>
        <v>0.89</v>
      </c>
      <c r="E2077" s="13" t="n">
        <f aca="false">IFERROR(MIN(C2077,Eingaben!$B$17)*Eingaben!$B$16,0)</f>
        <v>1.938</v>
      </c>
      <c r="F2077" s="13" t="n">
        <f aca="false">IFERROR(E2077*Eingaben!$B$15,0)</f>
        <v>1.7442</v>
      </c>
      <c r="G2077" s="13" t="n">
        <f aca="false">IFERROR(IF(Kalender!A247="",0,J2076*(1-Eingaben!$B$20)),0)</f>
        <v>1.709316</v>
      </c>
      <c r="H2077" s="13" t="n">
        <f aca="false">MIN(G2077,D2077)</f>
        <v>0.89</v>
      </c>
      <c r="I2077" s="13" t="n">
        <f aca="false">IFERROR(MIN(F2077*Eingaben!$B$19,MAX(0,D2077-H2077)),0)</f>
        <v>0</v>
      </c>
      <c r="J2077" s="13" t="n">
        <f aca="false">IFERROR(MIN(Eingaben!$B$18,MAX(0,F2077-I2077)),0)</f>
        <v>1.7442</v>
      </c>
      <c r="K2077" s="13" t="n">
        <f aca="false">H2077+I2077</f>
        <v>0.89</v>
      </c>
      <c r="L2077" s="13" t="n">
        <f aca="false">MAX(0,D2077-K2077)</f>
        <v>0</v>
      </c>
      <c r="M2077" s="13" t="n">
        <f aca="false">MAX(0,F2077-I2077-J2077)</f>
        <v>0</v>
      </c>
      <c r="N2077" s="13" t="n">
        <f aca="false">IF(Kalender!A247="",0,J2076-H2077)</f>
        <v>0.8542</v>
      </c>
    </row>
    <row r="2078" customFormat="false" ht="16.4" hidden="false" customHeight="false" outlineLevel="0" collapsed="false">
      <c r="A2078" s="13" t="str">
        <f aca="false">""</f>
        <v/>
      </c>
      <c r="B2078" s="13" t="n">
        <f aca="false">244</f>
        <v>244</v>
      </c>
      <c r="C2078" s="13" t="n">
        <f aca="false">IF(Szenarien!$H$16="OK",(IFERROR(SUMIF(Nutzungsprofile!$B$6:$B$11,"Schulbetrieb",Nutzungsprofile!$G$6:$G$11)*Kalender!C248/SUM(Kalender!$C$5:$C$370),0)+IFERROR(SUMIF(Nutzungsprofile!$B$6:$B$11,"Halle",Nutzungsprofile!$G$6:$G$11)*Kalender!D248/SUM(Kalender!$D$5:$D$370),0)+IFERROR(SUMIF(Nutzungsprofile!$B$6:$B$11,"Individuell",Nutzungsprofile!$G$6:$G$11)*Kalender!E248/SUM(Kalender!$E$5:$E$370),0))*Szenarien!$E$16,0)</f>
        <v>2.94</v>
      </c>
      <c r="D2078" s="13" t="n">
        <f aca="false">IF(Szenarien!$H$16="OK",(IFERROR(SUMIF(Nutzungsprofile!$B$17:$B$22,"Schulbetrieb",Nutzungsprofile!$G$17:$G$22)*Kalender!C248/SUM(Kalender!$C$5:$C$370),0)+IFERROR(SUMIF(Nutzungsprofile!$B$17:$B$22,"Halle",Nutzungsprofile!$G$17:$G$22)*Kalender!D248/SUM(Kalender!$D$5:$D$370),0)+IFERROR(SUMIF(Nutzungsprofile!$B$17:$B$22,"Individuell",Nutzungsprofile!$G$17:$G$22)*Kalender!E248/SUM(Kalender!$E$5:$E$370),0))*Szenarien!$D$16,0)</f>
        <v>4.94</v>
      </c>
      <c r="E2078" s="13" t="n">
        <f aca="false">IFERROR(MIN(C2078,Eingaben!$B$17)*Eingaben!$B$16,0)</f>
        <v>2.793</v>
      </c>
      <c r="F2078" s="13" t="n">
        <f aca="false">IFERROR(E2078*Eingaben!$B$15,0)</f>
        <v>2.5137</v>
      </c>
      <c r="G2078" s="13" t="n">
        <f aca="false">IFERROR(IF(Kalender!A248="",0,J2077*(1-Eingaben!$B$20)),0)</f>
        <v>1.709316</v>
      </c>
      <c r="H2078" s="13" t="n">
        <f aca="false">MIN(G2078,D2078)</f>
        <v>1.709316</v>
      </c>
      <c r="I2078" s="13" t="n">
        <f aca="false">IFERROR(MIN(F2078*Eingaben!$B$19,MAX(0,D2078-H2078)),0)</f>
        <v>1.75959</v>
      </c>
      <c r="J2078" s="13" t="n">
        <f aca="false">IFERROR(MIN(Eingaben!$B$18,MAX(0,F2078-I2078)),0)</f>
        <v>0.75411</v>
      </c>
      <c r="K2078" s="13" t="n">
        <f aca="false">H2078+I2078</f>
        <v>3.468906</v>
      </c>
      <c r="L2078" s="13" t="n">
        <f aca="false">MAX(0,D2078-K2078)</f>
        <v>1.471094</v>
      </c>
      <c r="M2078" s="13" t="n">
        <f aca="false">MAX(0,F2078-I2078-J2078)</f>
        <v>0</v>
      </c>
      <c r="N2078" s="13" t="n">
        <f aca="false">IF(Kalender!A248="",0,J2077-H2078)</f>
        <v>0.0348840000000001</v>
      </c>
    </row>
    <row r="2079" customFormat="false" ht="16.4" hidden="false" customHeight="false" outlineLevel="0" collapsed="false">
      <c r="A2079" s="13" t="str">
        <f aca="false">""</f>
        <v/>
      </c>
      <c r="B2079" s="13" t="n">
        <f aca="false">245</f>
        <v>245</v>
      </c>
      <c r="C2079" s="13" t="n">
        <f aca="false">IF(Szenarien!$H$16="OK",(IFERROR(SUMIF(Nutzungsprofile!$B$6:$B$11,"Schulbetrieb",Nutzungsprofile!$G$6:$G$11)*Kalender!C249/SUM(Kalender!$C$5:$C$370),0)+IFERROR(SUMIF(Nutzungsprofile!$B$6:$B$11,"Halle",Nutzungsprofile!$G$6:$G$11)*Kalender!D249/SUM(Kalender!$D$5:$D$370),0)+IFERROR(SUMIF(Nutzungsprofile!$B$6:$B$11,"Individuell",Nutzungsprofile!$G$6:$G$11)*Kalender!E249/SUM(Kalender!$E$5:$E$370),0))*Szenarien!$E$16,0)</f>
        <v>2.94</v>
      </c>
      <c r="D2079" s="13" t="n">
        <f aca="false">IF(Szenarien!$H$16="OK",(IFERROR(SUMIF(Nutzungsprofile!$B$17:$B$22,"Schulbetrieb",Nutzungsprofile!$G$17:$G$22)*Kalender!C249/SUM(Kalender!$C$5:$C$370),0)+IFERROR(SUMIF(Nutzungsprofile!$B$17:$B$22,"Halle",Nutzungsprofile!$G$17:$G$22)*Kalender!D249/SUM(Kalender!$D$5:$D$370),0)+IFERROR(SUMIF(Nutzungsprofile!$B$17:$B$22,"Individuell",Nutzungsprofile!$G$17:$G$22)*Kalender!E249/SUM(Kalender!$E$5:$E$370),0))*Szenarien!$D$16,0)</f>
        <v>4.94</v>
      </c>
      <c r="E2079" s="13" t="n">
        <f aca="false">IFERROR(MIN(C2079,Eingaben!$B$17)*Eingaben!$B$16,0)</f>
        <v>2.793</v>
      </c>
      <c r="F2079" s="13" t="n">
        <f aca="false">IFERROR(E2079*Eingaben!$B$15,0)</f>
        <v>2.5137</v>
      </c>
      <c r="G2079" s="13" t="n">
        <f aca="false">IFERROR(IF(Kalender!A249="",0,J2078*(1-Eingaben!$B$20)),0)</f>
        <v>0.7390278</v>
      </c>
      <c r="H2079" s="13" t="n">
        <f aca="false">MIN(G2079,D2079)</f>
        <v>0.7390278</v>
      </c>
      <c r="I2079" s="13" t="n">
        <f aca="false">IFERROR(MIN(F2079*Eingaben!$B$19,MAX(0,D2079-H2079)),0)</f>
        <v>1.75959</v>
      </c>
      <c r="J2079" s="13" t="n">
        <f aca="false">IFERROR(MIN(Eingaben!$B$18,MAX(0,F2079-I2079)),0)</f>
        <v>0.75411</v>
      </c>
      <c r="K2079" s="13" t="n">
        <f aca="false">H2079+I2079</f>
        <v>2.4986178</v>
      </c>
      <c r="L2079" s="13" t="n">
        <f aca="false">MAX(0,D2079-K2079)</f>
        <v>2.4413822</v>
      </c>
      <c r="M2079" s="13" t="n">
        <f aca="false">MAX(0,F2079-I2079-J2079)</f>
        <v>0</v>
      </c>
      <c r="N2079" s="13" t="n">
        <f aca="false">IF(Kalender!A249="",0,J2078-H2079)</f>
        <v>0.0150822</v>
      </c>
    </row>
    <row r="2080" customFormat="false" ht="16.4" hidden="false" customHeight="false" outlineLevel="0" collapsed="false">
      <c r="A2080" s="13" t="str">
        <f aca="false">""</f>
        <v/>
      </c>
      <c r="B2080" s="13" t="n">
        <f aca="false">246</f>
        <v>246</v>
      </c>
      <c r="C2080" s="13" t="n">
        <f aca="false">IF(Szenarien!$H$16="OK",(IFERROR(SUMIF(Nutzungsprofile!$B$6:$B$11,"Schulbetrieb",Nutzungsprofile!$G$6:$G$11)*Kalender!C250/SUM(Kalender!$C$5:$C$370),0)+IFERROR(SUMIF(Nutzungsprofile!$B$6:$B$11,"Halle",Nutzungsprofile!$G$6:$G$11)*Kalender!D250/SUM(Kalender!$D$5:$D$370),0)+IFERROR(SUMIF(Nutzungsprofile!$B$6:$B$11,"Individuell",Nutzungsprofile!$G$6:$G$11)*Kalender!E250/SUM(Kalender!$E$5:$E$370),0))*Szenarien!$E$16,0)</f>
        <v>2.94</v>
      </c>
      <c r="D2080" s="13" t="n">
        <f aca="false">IF(Szenarien!$H$16="OK",(IFERROR(SUMIF(Nutzungsprofile!$B$17:$B$22,"Schulbetrieb",Nutzungsprofile!$G$17:$G$22)*Kalender!C250/SUM(Kalender!$C$5:$C$370),0)+IFERROR(SUMIF(Nutzungsprofile!$B$17:$B$22,"Halle",Nutzungsprofile!$G$17:$G$22)*Kalender!D250/SUM(Kalender!$D$5:$D$370),0)+IFERROR(SUMIF(Nutzungsprofile!$B$17:$B$22,"Individuell",Nutzungsprofile!$G$17:$G$22)*Kalender!E250/SUM(Kalender!$E$5:$E$370),0))*Szenarien!$D$16,0)</f>
        <v>4.94</v>
      </c>
      <c r="E2080" s="13" t="n">
        <f aca="false">IFERROR(MIN(C2080,Eingaben!$B$17)*Eingaben!$B$16,0)</f>
        <v>2.793</v>
      </c>
      <c r="F2080" s="13" t="n">
        <f aca="false">IFERROR(E2080*Eingaben!$B$15,0)</f>
        <v>2.5137</v>
      </c>
      <c r="G2080" s="13" t="n">
        <f aca="false">IFERROR(IF(Kalender!A250="",0,J2079*(1-Eingaben!$B$20)),0)</f>
        <v>0.7390278</v>
      </c>
      <c r="H2080" s="13" t="n">
        <f aca="false">MIN(G2080,D2080)</f>
        <v>0.7390278</v>
      </c>
      <c r="I2080" s="13" t="n">
        <f aca="false">IFERROR(MIN(F2080*Eingaben!$B$19,MAX(0,D2080-H2080)),0)</f>
        <v>1.75959</v>
      </c>
      <c r="J2080" s="13" t="n">
        <f aca="false">IFERROR(MIN(Eingaben!$B$18,MAX(0,F2080-I2080)),0)</f>
        <v>0.75411</v>
      </c>
      <c r="K2080" s="13" t="n">
        <f aca="false">H2080+I2080</f>
        <v>2.4986178</v>
      </c>
      <c r="L2080" s="13" t="n">
        <f aca="false">MAX(0,D2080-K2080)</f>
        <v>2.4413822</v>
      </c>
      <c r="M2080" s="13" t="n">
        <f aca="false">MAX(0,F2080-I2080-J2080)</f>
        <v>0</v>
      </c>
      <c r="N2080" s="13" t="n">
        <f aca="false">IF(Kalender!A250="",0,J2079-H2080)</f>
        <v>0.0150822</v>
      </c>
    </row>
    <row r="2081" customFormat="false" ht="16.4" hidden="false" customHeight="false" outlineLevel="0" collapsed="false">
      <c r="A2081" s="13" t="str">
        <f aca="false">""</f>
        <v/>
      </c>
      <c r="B2081" s="13" t="n">
        <f aca="false">247</f>
        <v>247</v>
      </c>
      <c r="C2081" s="13" t="n">
        <f aca="false">IF(Szenarien!$H$16="OK",(IFERROR(SUMIF(Nutzungsprofile!$B$6:$B$11,"Schulbetrieb",Nutzungsprofile!$G$6:$G$11)*Kalender!C251/SUM(Kalender!$C$5:$C$370),0)+IFERROR(SUMIF(Nutzungsprofile!$B$6:$B$11,"Halle",Nutzungsprofile!$G$6:$G$11)*Kalender!D251/SUM(Kalender!$D$5:$D$370),0)+IFERROR(SUMIF(Nutzungsprofile!$B$6:$B$11,"Individuell",Nutzungsprofile!$G$6:$G$11)*Kalender!E251/SUM(Kalender!$E$5:$E$370),0))*Szenarien!$E$16,0)</f>
        <v>2.94</v>
      </c>
      <c r="D2081" s="13" t="n">
        <f aca="false">IF(Szenarien!$H$16="OK",(IFERROR(SUMIF(Nutzungsprofile!$B$17:$B$22,"Schulbetrieb",Nutzungsprofile!$G$17:$G$22)*Kalender!C251/SUM(Kalender!$C$5:$C$370),0)+IFERROR(SUMIF(Nutzungsprofile!$B$17:$B$22,"Halle",Nutzungsprofile!$G$17:$G$22)*Kalender!D251/SUM(Kalender!$D$5:$D$370),0)+IFERROR(SUMIF(Nutzungsprofile!$B$17:$B$22,"Individuell",Nutzungsprofile!$G$17:$G$22)*Kalender!E251/SUM(Kalender!$E$5:$E$370),0))*Szenarien!$D$16,0)</f>
        <v>4.94</v>
      </c>
      <c r="E2081" s="13" t="n">
        <f aca="false">IFERROR(MIN(C2081,Eingaben!$B$17)*Eingaben!$B$16,0)</f>
        <v>2.793</v>
      </c>
      <c r="F2081" s="13" t="n">
        <f aca="false">IFERROR(E2081*Eingaben!$B$15,0)</f>
        <v>2.5137</v>
      </c>
      <c r="G2081" s="13" t="n">
        <f aca="false">IFERROR(IF(Kalender!A251="",0,J2080*(1-Eingaben!$B$20)),0)</f>
        <v>0.7390278</v>
      </c>
      <c r="H2081" s="13" t="n">
        <f aca="false">MIN(G2081,D2081)</f>
        <v>0.7390278</v>
      </c>
      <c r="I2081" s="13" t="n">
        <f aca="false">IFERROR(MIN(F2081*Eingaben!$B$19,MAX(0,D2081-H2081)),0)</f>
        <v>1.75959</v>
      </c>
      <c r="J2081" s="13" t="n">
        <f aca="false">IFERROR(MIN(Eingaben!$B$18,MAX(0,F2081-I2081)),0)</f>
        <v>0.75411</v>
      </c>
      <c r="K2081" s="13" t="n">
        <f aca="false">H2081+I2081</f>
        <v>2.4986178</v>
      </c>
      <c r="L2081" s="13" t="n">
        <f aca="false">MAX(0,D2081-K2081)</f>
        <v>2.4413822</v>
      </c>
      <c r="M2081" s="13" t="n">
        <f aca="false">MAX(0,F2081-I2081-J2081)</f>
        <v>0</v>
      </c>
      <c r="N2081" s="13" t="n">
        <f aca="false">IF(Kalender!A251="",0,J2080-H2081)</f>
        <v>0.0150822</v>
      </c>
    </row>
    <row r="2082" customFormat="false" ht="16.4" hidden="false" customHeight="false" outlineLevel="0" collapsed="false">
      <c r="A2082" s="13" t="str">
        <f aca="false">""</f>
        <v/>
      </c>
      <c r="B2082" s="13" t="n">
        <f aca="false">248</f>
        <v>248</v>
      </c>
      <c r="C2082" s="13" t="n">
        <f aca="false">IF(Szenarien!$H$16="OK",(IFERROR(SUMIF(Nutzungsprofile!$B$6:$B$11,"Schulbetrieb",Nutzungsprofile!$G$6:$G$11)*Kalender!C252/SUM(Kalender!$C$5:$C$370),0)+IFERROR(SUMIF(Nutzungsprofile!$B$6:$B$11,"Halle",Nutzungsprofile!$G$6:$G$11)*Kalender!D252/SUM(Kalender!$D$5:$D$370),0)+IFERROR(SUMIF(Nutzungsprofile!$B$6:$B$11,"Individuell",Nutzungsprofile!$G$6:$G$11)*Kalender!E252/SUM(Kalender!$E$5:$E$370),0))*Szenarien!$E$16,0)</f>
        <v>2.04</v>
      </c>
      <c r="D2082" s="13" t="n">
        <f aca="false">IF(Szenarien!$H$16="OK",(IFERROR(SUMIF(Nutzungsprofile!$B$17:$B$22,"Schulbetrieb",Nutzungsprofile!$G$17:$G$22)*Kalender!C252/SUM(Kalender!$C$5:$C$370),0)+IFERROR(SUMIF(Nutzungsprofile!$B$17:$B$22,"Halle",Nutzungsprofile!$G$17:$G$22)*Kalender!D252/SUM(Kalender!$D$5:$D$370),0)+IFERROR(SUMIF(Nutzungsprofile!$B$17:$B$22,"Individuell",Nutzungsprofile!$G$17:$G$22)*Kalender!E252/SUM(Kalender!$E$5:$E$370),0))*Szenarien!$D$16,0)</f>
        <v>0.89</v>
      </c>
      <c r="E2082" s="13" t="n">
        <f aca="false">IFERROR(MIN(C2082,Eingaben!$B$17)*Eingaben!$B$16,0)</f>
        <v>1.938</v>
      </c>
      <c r="F2082" s="13" t="n">
        <f aca="false">IFERROR(E2082*Eingaben!$B$15,0)</f>
        <v>1.7442</v>
      </c>
      <c r="G2082" s="13" t="n">
        <f aca="false">IFERROR(IF(Kalender!A252="",0,J2081*(1-Eingaben!$B$20)),0)</f>
        <v>0.7390278</v>
      </c>
      <c r="H2082" s="13" t="n">
        <f aca="false">MIN(G2082,D2082)</f>
        <v>0.7390278</v>
      </c>
      <c r="I2082" s="13" t="n">
        <f aca="false">IFERROR(MIN(F2082*Eingaben!$B$19,MAX(0,D2082-H2082)),0)</f>
        <v>0.1509722</v>
      </c>
      <c r="J2082" s="13" t="n">
        <f aca="false">IFERROR(MIN(Eingaben!$B$18,MAX(0,F2082-I2082)),0)</f>
        <v>1.5932278</v>
      </c>
      <c r="K2082" s="13" t="n">
        <f aca="false">H2082+I2082</f>
        <v>0.89</v>
      </c>
      <c r="L2082" s="13" t="n">
        <f aca="false">MAX(0,D2082-K2082)</f>
        <v>0</v>
      </c>
      <c r="M2082" s="13" t="n">
        <f aca="false">MAX(0,F2082-I2082-J2082)</f>
        <v>0</v>
      </c>
      <c r="N2082" s="13" t="n">
        <f aca="false">IF(Kalender!A252="",0,J2081-H2082)</f>
        <v>0.0150822</v>
      </c>
    </row>
    <row r="2083" customFormat="false" ht="16.4" hidden="false" customHeight="false" outlineLevel="0" collapsed="false">
      <c r="A2083" s="13" t="str">
        <f aca="false">""</f>
        <v/>
      </c>
      <c r="B2083" s="13" t="n">
        <f aca="false">249</f>
        <v>249</v>
      </c>
      <c r="C2083" s="13" t="n">
        <f aca="false">IF(Szenarien!$H$16="OK",(IFERROR(SUMIF(Nutzungsprofile!$B$6:$B$11,"Schulbetrieb",Nutzungsprofile!$G$6:$G$11)*Kalender!C253/SUM(Kalender!$C$5:$C$370),0)+IFERROR(SUMIF(Nutzungsprofile!$B$6:$B$11,"Halle",Nutzungsprofile!$G$6:$G$11)*Kalender!D253/SUM(Kalender!$D$5:$D$370),0)+IFERROR(SUMIF(Nutzungsprofile!$B$6:$B$11,"Individuell",Nutzungsprofile!$G$6:$G$11)*Kalender!E253/SUM(Kalender!$E$5:$E$370),0))*Szenarien!$E$16,0)</f>
        <v>2.04</v>
      </c>
      <c r="D2083" s="13" t="n">
        <f aca="false">IF(Szenarien!$H$16="OK",(IFERROR(SUMIF(Nutzungsprofile!$B$17:$B$22,"Schulbetrieb",Nutzungsprofile!$G$17:$G$22)*Kalender!C253/SUM(Kalender!$C$5:$C$370),0)+IFERROR(SUMIF(Nutzungsprofile!$B$17:$B$22,"Halle",Nutzungsprofile!$G$17:$G$22)*Kalender!D253/SUM(Kalender!$D$5:$D$370),0)+IFERROR(SUMIF(Nutzungsprofile!$B$17:$B$22,"Individuell",Nutzungsprofile!$G$17:$G$22)*Kalender!E253/SUM(Kalender!$E$5:$E$370),0))*Szenarien!$D$16,0)</f>
        <v>0.89</v>
      </c>
      <c r="E2083" s="13" t="n">
        <f aca="false">IFERROR(MIN(C2083,Eingaben!$B$17)*Eingaben!$B$16,0)</f>
        <v>1.938</v>
      </c>
      <c r="F2083" s="13" t="n">
        <f aca="false">IFERROR(E2083*Eingaben!$B$15,0)</f>
        <v>1.7442</v>
      </c>
      <c r="G2083" s="13" t="n">
        <f aca="false">IFERROR(IF(Kalender!A253="",0,J2082*(1-Eingaben!$B$20)),0)</f>
        <v>1.561363244</v>
      </c>
      <c r="H2083" s="13" t="n">
        <f aca="false">MIN(G2083,D2083)</f>
        <v>0.89</v>
      </c>
      <c r="I2083" s="13" t="n">
        <f aca="false">IFERROR(MIN(F2083*Eingaben!$B$19,MAX(0,D2083-H2083)),0)</f>
        <v>0</v>
      </c>
      <c r="J2083" s="13" t="n">
        <f aca="false">IFERROR(MIN(Eingaben!$B$18,MAX(0,F2083-I2083)),0)</f>
        <v>1.7442</v>
      </c>
      <c r="K2083" s="13" t="n">
        <f aca="false">H2083+I2083</f>
        <v>0.89</v>
      </c>
      <c r="L2083" s="13" t="n">
        <f aca="false">MAX(0,D2083-K2083)</f>
        <v>0</v>
      </c>
      <c r="M2083" s="13" t="n">
        <f aca="false">MAX(0,F2083-I2083-J2083)</f>
        <v>0</v>
      </c>
      <c r="N2083" s="13" t="n">
        <f aca="false">IF(Kalender!A253="",0,J2082-H2083)</f>
        <v>0.7032278</v>
      </c>
    </row>
    <row r="2084" customFormat="false" ht="16.4" hidden="false" customHeight="false" outlineLevel="0" collapsed="false">
      <c r="A2084" s="13" t="str">
        <f aca="false">""</f>
        <v/>
      </c>
      <c r="B2084" s="13" t="n">
        <f aca="false">250</f>
        <v>250</v>
      </c>
      <c r="C2084" s="13" t="n">
        <f aca="false">IF(Szenarien!$H$16="OK",(IFERROR(SUMIF(Nutzungsprofile!$B$6:$B$11,"Schulbetrieb",Nutzungsprofile!$G$6:$G$11)*Kalender!C254/SUM(Kalender!$C$5:$C$370),0)+IFERROR(SUMIF(Nutzungsprofile!$B$6:$B$11,"Halle",Nutzungsprofile!$G$6:$G$11)*Kalender!D254/SUM(Kalender!$D$5:$D$370),0)+IFERROR(SUMIF(Nutzungsprofile!$B$6:$B$11,"Individuell",Nutzungsprofile!$G$6:$G$11)*Kalender!E254/SUM(Kalender!$E$5:$E$370),0))*Szenarien!$E$16,0)</f>
        <v>2.94</v>
      </c>
      <c r="D2084" s="13" t="n">
        <f aca="false">IF(Szenarien!$H$16="OK",(IFERROR(SUMIF(Nutzungsprofile!$B$17:$B$22,"Schulbetrieb",Nutzungsprofile!$G$17:$G$22)*Kalender!C254/SUM(Kalender!$C$5:$C$370),0)+IFERROR(SUMIF(Nutzungsprofile!$B$17:$B$22,"Halle",Nutzungsprofile!$G$17:$G$22)*Kalender!D254/SUM(Kalender!$D$5:$D$370),0)+IFERROR(SUMIF(Nutzungsprofile!$B$17:$B$22,"Individuell",Nutzungsprofile!$G$17:$G$22)*Kalender!E254/SUM(Kalender!$E$5:$E$370),0))*Szenarien!$D$16,0)</f>
        <v>4.94</v>
      </c>
      <c r="E2084" s="13" t="n">
        <f aca="false">IFERROR(MIN(C2084,Eingaben!$B$17)*Eingaben!$B$16,0)</f>
        <v>2.793</v>
      </c>
      <c r="F2084" s="13" t="n">
        <f aca="false">IFERROR(E2084*Eingaben!$B$15,0)</f>
        <v>2.5137</v>
      </c>
      <c r="G2084" s="13" t="n">
        <f aca="false">IFERROR(IF(Kalender!A254="",0,J2083*(1-Eingaben!$B$20)),0)</f>
        <v>1.709316</v>
      </c>
      <c r="H2084" s="13" t="n">
        <f aca="false">MIN(G2084,D2084)</f>
        <v>1.709316</v>
      </c>
      <c r="I2084" s="13" t="n">
        <f aca="false">IFERROR(MIN(F2084*Eingaben!$B$19,MAX(0,D2084-H2084)),0)</f>
        <v>1.75959</v>
      </c>
      <c r="J2084" s="13" t="n">
        <f aca="false">IFERROR(MIN(Eingaben!$B$18,MAX(0,F2084-I2084)),0)</f>
        <v>0.75411</v>
      </c>
      <c r="K2084" s="13" t="n">
        <f aca="false">H2084+I2084</f>
        <v>3.468906</v>
      </c>
      <c r="L2084" s="13" t="n">
        <f aca="false">MAX(0,D2084-K2084)</f>
        <v>1.471094</v>
      </c>
      <c r="M2084" s="13" t="n">
        <f aca="false">MAX(0,F2084-I2084-J2084)</f>
        <v>0</v>
      </c>
      <c r="N2084" s="13" t="n">
        <f aca="false">IF(Kalender!A254="",0,J2083-H2084)</f>
        <v>0.0348840000000001</v>
      </c>
    </row>
    <row r="2085" customFormat="false" ht="16.4" hidden="false" customHeight="false" outlineLevel="0" collapsed="false">
      <c r="A2085" s="13" t="str">
        <f aca="false">""</f>
        <v/>
      </c>
      <c r="B2085" s="13" t="n">
        <f aca="false">251</f>
        <v>251</v>
      </c>
      <c r="C2085" s="13" t="n">
        <f aca="false">IF(Szenarien!$H$16="OK",(IFERROR(SUMIF(Nutzungsprofile!$B$6:$B$11,"Schulbetrieb",Nutzungsprofile!$G$6:$G$11)*Kalender!C255/SUM(Kalender!$C$5:$C$370),0)+IFERROR(SUMIF(Nutzungsprofile!$B$6:$B$11,"Halle",Nutzungsprofile!$G$6:$G$11)*Kalender!D255/SUM(Kalender!$D$5:$D$370),0)+IFERROR(SUMIF(Nutzungsprofile!$B$6:$B$11,"Individuell",Nutzungsprofile!$G$6:$G$11)*Kalender!E255/SUM(Kalender!$E$5:$E$370),0))*Szenarien!$E$16,0)</f>
        <v>2.94</v>
      </c>
      <c r="D2085" s="13" t="n">
        <f aca="false">IF(Szenarien!$H$16="OK",(IFERROR(SUMIF(Nutzungsprofile!$B$17:$B$22,"Schulbetrieb",Nutzungsprofile!$G$17:$G$22)*Kalender!C255/SUM(Kalender!$C$5:$C$370),0)+IFERROR(SUMIF(Nutzungsprofile!$B$17:$B$22,"Halle",Nutzungsprofile!$G$17:$G$22)*Kalender!D255/SUM(Kalender!$D$5:$D$370),0)+IFERROR(SUMIF(Nutzungsprofile!$B$17:$B$22,"Individuell",Nutzungsprofile!$G$17:$G$22)*Kalender!E255/SUM(Kalender!$E$5:$E$370),0))*Szenarien!$D$16,0)</f>
        <v>4.94</v>
      </c>
      <c r="E2085" s="13" t="n">
        <f aca="false">IFERROR(MIN(C2085,Eingaben!$B$17)*Eingaben!$B$16,0)</f>
        <v>2.793</v>
      </c>
      <c r="F2085" s="13" t="n">
        <f aca="false">IFERROR(E2085*Eingaben!$B$15,0)</f>
        <v>2.5137</v>
      </c>
      <c r="G2085" s="13" t="n">
        <f aca="false">IFERROR(IF(Kalender!A255="",0,J2084*(1-Eingaben!$B$20)),0)</f>
        <v>0.7390278</v>
      </c>
      <c r="H2085" s="13" t="n">
        <f aca="false">MIN(G2085,D2085)</f>
        <v>0.7390278</v>
      </c>
      <c r="I2085" s="13" t="n">
        <f aca="false">IFERROR(MIN(F2085*Eingaben!$B$19,MAX(0,D2085-H2085)),0)</f>
        <v>1.75959</v>
      </c>
      <c r="J2085" s="13" t="n">
        <f aca="false">IFERROR(MIN(Eingaben!$B$18,MAX(0,F2085-I2085)),0)</f>
        <v>0.75411</v>
      </c>
      <c r="K2085" s="13" t="n">
        <f aca="false">H2085+I2085</f>
        <v>2.4986178</v>
      </c>
      <c r="L2085" s="13" t="n">
        <f aca="false">MAX(0,D2085-K2085)</f>
        <v>2.4413822</v>
      </c>
      <c r="M2085" s="13" t="n">
        <f aca="false">MAX(0,F2085-I2085-J2085)</f>
        <v>0</v>
      </c>
      <c r="N2085" s="13" t="n">
        <f aca="false">IF(Kalender!A255="",0,J2084-H2085)</f>
        <v>0.0150822</v>
      </c>
    </row>
    <row r="2086" customFormat="false" ht="16.4" hidden="false" customHeight="false" outlineLevel="0" collapsed="false">
      <c r="A2086" s="13" t="str">
        <f aca="false">""</f>
        <v/>
      </c>
      <c r="B2086" s="13" t="n">
        <f aca="false">252</f>
        <v>252</v>
      </c>
      <c r="C2086" s="13" t="n">
        <f aca="false">IF(Szenarien!$H$16="OK",(IFERROR(SUMIF(Nutzungsprofile!$B$6:$B$11,"Schulbetrieb",Nutzungsprofile!$G$6:$G$11)*Kalender!C256/SUM(Kalender!$C$5:$C$370),0)+IFERROR(SUMIF(Nutzungsprofile!$B$6:$B$11,"Halle",Nutzungsprofile!$G$6:$G$11)*Kalender!D256/SUM(Kalender!$D$5:$D$370),0)+IFERROR(SUMIF(Nutzungsprofile!$B$6:$B$11,"Individuell",Nutzungsprofile!$G$6:$G$11)*Kalender!E256/SUM(Kalender!$E$5:$E$370),0))*Szenarien!$E$16,0)</f>
        <v>2.94</v>
      </c>
      <c r="D2086" s="13" t="n">
        <f aca="false">IF(Szenarien!$H$16="OK",(IFERROR(SUMIF(Nutzungsprofile!$B$17:$B$22,"Schulbetrieb",Nutzungsprofile!$G$17:$G$22)*Kalender!C256/SUM(Kalender!$C$5:$C$370),0)+IFERROR(SUMIF(Nutzungsprofile!$B$17:$B$22,"Halle",Nutzungsprofile!$G$17:$G$22)*Kalender!D256/SUM(Kalender!$D$5:$D$370),0)+IFERROR(SUMIF(Nutzungsprofile!$B$17:$B$22,"Individuell",Nutzungsprofile!$G$17:$G$22)*Kalender!E256/SUM(Kalender!$E$5:$E$370),0))*Szenarien!$D$16,0)</f>
        <v>4.94</v>
      </c>
      <c r="E2086" s="13" t="n">
        <f aca="false">IFERROR(MIN(C2086,Eingaben!$B$17)*Eingaben!$B$16,0)</f>
        <v>2.793</v>
      </c>
      <c r="F2086" s="13" t="n">
        <f aca="false">IFERROR(E2086*Eingaben!$B$15,0)</f>
        <v>2.5137</v>
      </c>
      <c r="G2086" s="13" t="n">
        <f aca="false">IFERROR(IF(Kalender!A256="",0,J2085*(1-Eingaben!$B$20)),0)</f>
        <v>0.7390278</v>
      </c>
      <c r="H2086" s="13" t="n">
        <f aca="false">MIN(G2086,D2086)</f>
        <v>0.7390278</v>
      </c>
      <c r="I2086" s="13" t="n">
        <f aca="false">IFERROR(MIN(F2086*Eingaben!$B$19,MAX(0,D2086-H2086)),0)</f>
        <v>1.75959</v>
      </c>
      <c r="J2086" s="13" t="n">
        <f aca="false">IFERROR(MIN(Eingaben!$B$18,MAX(0,F2086-I2086)),0)</f>
        <v>0.75411</v>
      </c>
      <c r="K2086" s="13" t="n">
        <f aca="false">H2086+I2086</f>
        <v>2.4986178</v>
      </c>
      <c r="L2086" s="13" t="n">
        <f aca="false">MAX(0,D2086-K2086)</f>
        <v>2.4413822</v>
      </c>
      <c r="M2086" s="13" t="n">
        <f aca="false">MAX(0,F2086-I2086-J2086)</f>
        <v>0</v>
      </c>
      <c r="N2086" s="13" t="n">
        <f aca="false">IF(Kalender!A256="",0,J2085-H2086)</f>
        <v>0.0150822</v>
      </c>
    </row>
    <row r="2087" customFormat="false" ht="16.4" hidden="false" customHeight="false" outlineLevel="0" collapsed="false">
      <c r="A2087" s="13" t="str">
        <f aca="false">""</f>
        <v/>
      </c>
      <c r="B2087" s="13" t="n">
        <f aca="false">253</f>
        <v>253</v>
      </c>
      <c r="C2087" s="13" t="n">
        <f aca="false">IF(Szenarien!$H$16="OK",(IFERROR(SUMIF(Nutzungsprofile!$B$6:$B$11,"Schulbetrieb",Nutzungsprofile!$G$6:$G$11)*Kalender!C257/SUM(Kalender!$C$5:$C$370),0)+IFERROR(SUMIF(Nutzungsprofile!$B$6:$B$11,"Halle",Nutzungsprofile!$G$6:$G$11)*Kalender!D257/SUM(Kalender!$D$5:$D$370),0)+IFERROR(SUMIF(Nutzungsprofile!$B$6:$B$11,"Individuell",Nutzungsprofile!$G$6:$G$11)*Kalender!E257/SUM(Kalender!$E$5:$E$370),0))*Szenarien!$E$16,0)</f>
        <v>2.94</v>
      </c>
      <c r="D2087" s="13" t="n">
        <f aca="false">IF(Szenarien!$H$16="OK",(IFERROR(SUMIF(Nutzungsprofile!$B$17:$B$22,"Schulbetrieb",Nutzungsprofile!$G$17:$G$22)*Kalender!C257/SUM(Kalender!$C$5:$C$370),0)+IFERROR(SUMIF(Nutzungsprofile!$B$17:$B$22,"Halle",Nutzungsprofile!$G$17:$G$22)*Kalender!D257/SUM(Kalender!$D$5:$D$370),0)+IFERROR(SUMIF(Nutzungsprofile!$B$17:$B$22,"Individuell",Nutzungsprofile!$G$17:$G$22)*Kalender!E257/SUM(Kalender!$E$5:$E$370),0))*Szenarien!$D$16,0)</f>
        <v>4.94</v>
      </c>
      <c r="E2087" s="13" t="n">
        <f aca="false">IFERROR(MIN(C2087,Eingaben!$B$17)*Eingaben!$B$16,0)</f>
        <v>2.793</v>
      </c>
      <c r="F2087" s="13" t="n">
        <f aca="false">IFERROR(E2087*Eingaben!$B$15,0)</f>
        <v>2.5137</v>
      </c>
      <c r="G2087" s="13" t="n">
        <f aca="false">IFERROR(IF(Kalender!A257="",0,J2086*(1-Eingaben!$B$20)),0)</f>
        <v>0.7390278</v>
      </c>
      <c r="H2087" s="13" t="n">
        <f aca="false">MIN(G2087,D2087)</f>
        <v>0.7390278</v>
      </c>
      <c r="I2087" s="13" t="n">
        <f aca="false">IFERROR(MIN(F2087*Eingaben!$B$19,MAX(0,D2087-H2087)),0)</f>
        <v>1.75959</v>
      </c>
      <c r="J2087" s="13" t="n">
        <f aca="false">IFERROR(MIN(Eingaben!$B$18,MAX(0,F2087-I2087)),0)</f>
        <v>0.75411</v>
      </c>
      <c r="K2087" s="13" t="n">
        <f aca="false">H2087+I2087</f>
        <v>2.4986178</v>
      </c>
      <c r="L2087" s="13" t="n">
        <f aca="false">MAX(0,D2087-K2087)</f>
        <v>2.4413822</v>
      </c>
      <c r="M2087" s="13" t="n">
        <f aca="false">MAX(0,F2087-I2087-J2087)</f>
        <v>0</v>
      </c>
      <c r="N2087" s="13" t="n">
        <f aca="false">IF(Kalender!A257="",0,J2086-H2087)</f>
        <v>0.0150822</v>
      </c>
    </row>
    <row r="2088" customFormat="false" ht="16.4" hidden="false" customHeight="false" outlineLevel="0" collapsed="false">
      <c r="A2088" s="13" t="str">
        <f aca="false">""</f>
        <v/>
      </c>
      <c r="B2088" s="13" t="n">
        <f aca="false">254</f>
        <v>254</v>
      </c>
      <c r="C2088" s="13" t="n">
        <f aca="false">IF(Szenarien!$H$16="OK",(IFERROR(SUMIF(Nutzungsprofile!$B$6:$B$11,"Schulbetrieb",Nutzungsprofile!$G$6:$G$11)*Kalender!C258/SUM(Kalender!$C$5:$C$370),0)+IFERROR(SUMIF(Nutzungsprofile!$B$6:$B$11,"Halle",Nutzungsprofile!$G$6:$G$11)*Kalender!D258/SUM(Kalender!$D$5:$D$370),0)+IFERROR(SUMIF(Nutzungsprofile!$B$6:$B$11,"Individuell",Nutzungsprofile!$G$6:$G$11)*Kalender!E258/SUM(Kalender!$E$5:$E$370),0))*Szenarien!$E$16,0)</f>
        <v>2.94</v>
      </c>
      <c r="D2088" s="13" t="n">
        <f aca="false">IF(Szenarien!$H$16="OK",(IFERROR(SUMIF(Nutzungsprofile!$B$17:$B$22,"Schulbetrieb",Nutzungsprofile!$G$17:$G$22)*Kalender!C258/SUM(Kalender!$C$5:$C$370),0)+IFERROR(SUMIF(Nutzungsprofile!$B$17:$B$22,"Halle",Nutzungsprofile!$G$17:$G$22)*Kalender!D258/SUM(Kalender!$D$5:$D$370),0)+IFERROR(SUMIF(Nutzungsprofile!$B$17:$B$22,"Individuell",Nutzungsprofile!$G$17:$G$22)*Kalender!E258/SUM(Kalender!$E$5:$E$370),0))*Szenarien!$D$16,0)</f>
        <v>4.94</v>
      </c>
      <c r="E2088" s="13" t="n">
        <f aca="false">IFERROR(MIN(C2088,Eingaben!$B$17)*Eingaben!$B$16,0)</f>
        <v>2.793</v>
      </c>
      <c r="F2088" s="13" t="n">
        <f aca="false">IFERROR(E2088*Eingaben!$B$15,0)</f>
        <v>2.5137</v>
      </c>
      <c r="G2088" s="13" t="n">
        <f aca="false">IFERROR(IF(Kalender!A258="",0,J2087*(1-Eingaben!$B$20)),0)</f>
        <v>0.7390278</v>
      </c>
      <c r="H2088" s="13" t="n">
        <f aca="false">MIN(G2088,D2088)</f>
        <v>0.7390278</v>
      </c>
      <c r="I2088" s="13" t="n">
        <f aca="false">IFERROR(MIN(F2088*Eingaben!$B$19,MAX(0,D2088-H2088)),0)</f>
        <v>1.75959</v>
      </c>
      <c r="J2088" s="13" t="n">
        <f aca="false">IFERROR(MIN(Eingaben!$B$18,MAX(0,F2088-I2088)),0)</f>
        <v>0.75411</v>
      </c>
      <c r="K2088" s="13" t="n">
        <f aca="false">H2088+I2088</f>
        <v>2.4986178</v>
      </c>
      <c r="L2088" s="13" t="n">
        <f aca="false">MAX(0,D2088-K2088)</f>
        <v>2.4413822</v>
      </c>
      <c r="M2088" s="13" t="n">
        <f aca="false">MAX(0,F2088-I2088-J2088)</f>
        <v>0</v>
      </c>
      <c r="N2088" s="13" t="n">
        <f aca="false">IF(Kalender!A258="",0,J2087-H2088)</f>
        <v>0.0150822</v>
      </c>
    </row>
    <row r="2089" customFormat="false" ht="16.4" hidden="false" customHeight="false" outlineLevel="0" collapsed="false">
      <c r="A2089" s="13" t="str">
        <f aca="false">""</f>
        <v/>
      </c>
      <c r="B2089" s="13" t="n">
        <f aca="false">255</f>
        <v>255</v>
      </c>
      <c r="C2089" s="13" t="n">
        <f aca="false">IF(Szenarien!$H$16="OK",(IFERROR(SUMIF(Nutzungsprofile!$B$6:$B$11,"Schulbetrieb",Nutzungsprofile!$G$6:$G$11)*Kalender!C259/SUM(Kalender!$C$5:$C$370),0)+IFERROR(SUMIF(Nutzungsprofile!$B$6:$B$11,"Halle",Nutzungsprofile!$G$6:$G$11)*Kalender!D259/SUM(Kalender!$D$5:$D$370),0)+IFERROR(SUMIF(Nutzungsprofile!$B$6:$B$11,"Individuell",Nutzungsprofile!$G$6:$G$11)*Kalender!E259/SUM(Kalender!$E$5:$E$370),0))*Szenarien!$E$16,0)</f>
        <v>2.04</v>
      </c>
      <c r="D2089" s="13" t="n">
        <f aca="false">IF(Szenarien!$H$16="OK",(IFERROR(SUMIF(Nutzungsprofile!$B$17:$B$22,"Schulbetrieb",Nutzungsprofile!$G$17:$G$22)*Kalender!C259/SUM(Kalender!$C$5:$C$370),0)+IFERROR(SUMIF(Nutzungsprofile!$B$17:$B$22,"Halle",Nutzungsprofile!$G$17:$G$22)*Kalender!D259/SUM(Kalender!$D$5:$D$370),0)+IFERROR(SUMIF(Nutzungsprofile!$B$17:$B$22,"Individuell",Nutzungsprofile!$G$17:$G$22)*Kalender!E259/SUM(Kalender!$E$5:$E$370),0))*Szenarien!$D$16,0)</f>
        <v>0.89</v>
      </c>
      <c r="E2089" s="13" t="n">
        <f aca="false">IFERROR(MIN(C2089,Eingaben!$B$17)*Eingaben!$B$16,0)</f>
        <v>1.938</v>
      </c>
      <c r="F2089" s="13" t="n">
        <f aca="false">IFERROR(E2089*Eingaben!$B$15,0)</f>
        <v>1.7442</v>
      </c>
      <c r="G2089" s="13" t="n">
        <f aca="false">IFERROR(IF(Kalender!A259="",0,J2088*(1-Eingaben!$B$20)),0)</f>
        <v>0.7390278</v>
      </c>
      <c r="H2089" s="13" t="n">
        <f aca="false">MIN(G2089,D2089)</f>
        <v>0.7390278</v>
      </c>
      <c r="I2089" s="13" t="n">
        <f aca="false">IFERROR(MIN(F2089*Eingaben!$B$19,MAX(0,D2089-H2089)),0)</f>
        <v>0.1509722</v>
      </c>
      <c r="J2089" s="13" t="n">
        <f aca="false">IFERROR(MIN(Eingaben!$B$18,MAX(0,F2089-I2089)),0)</f>
        <v>1.5932278</v>
      </c>
      <c r="K2089" s="13" t="n">
        <f aca="false">H2089+I2089</f>
        <v>0.89</v>
      </c>
      <c r="L2089" s="13" t="n">
        <f aca="false">MAX(0,D2089-K2089)</f>
        <v>0</v>
      </c>
      <c r="M2089" s="13" t="n">
        <f aca="false">MAX(0,F2089-I2089-J2089)</f>
        <v>0</v>
      </c>
      <c r="N2089" s="13" t="n">
        <f aca="false">IF(Kalender!A259="",0,J2088-H2089)</f>
        <v>0.0150822</v>
      </c>
    </row>
    <row r="2090" customFormat="false" ht="16.4" hidden="false" customHeight="false" outlineLevel="0" collapsed="false">
      <c r="A2090" s="13" t="str">
        <f aca="false">""</f>
        <v/>
      </c>
      <c r="B2090" s="13" t="n">
        <f aca="false">256</f>
        <v>256</v>
      </c>
      <c r="C2090" s="13" t="n">
        <f aca="false">IF(Szenarien!$H$16="OK",(IFERROR(SUMIF(Nutzungsprofile!$B$6:$B$11,"Schulbetrieb",Nutzungsprofile!$G$6:$G$11)*Kalender!C260/SUM(Kalender!$C$5:$C$370),0)+IFERROR(SUMIF(Nutzungsprofile!$B$6:$B$11,"Halle",Nutzungsprofile!$G$6:$G$11)*Kalender!D260/SUM(Kalender!$D$5:$D$370),0)+IFERROR(SUMIF(Nutzungsprofile!$B$6:$B$11,"Individuell",Nutzungsprofile!$G$6:$G$11)*Kalender!E260/SUM(Kalender!$E$5:$E$370),0))*Szenarien!$E$16,0)</f>
        <v>2.04</v>
      </c>
      <c r="D2090" s="13" t="n">
        <f aca="false">IF(Szenarien!$H$16="OK",(IFERROR(SUMIF(Nutzungsprofile!$B$17:$B$22,"Schulbetrieb",Nutzungsprofile!$G$17:$G$22)*Kalender!C260/SUM(Kalender!$C$5:$C$370),0)+IFERROR(SUMIF(Nutzungsprofile!$B$17:$B$22,"Halle",Nutzungsprofile!$G$17:$G$22)*Kalender!D260/SUM(Kalender!$D$5:$D$370),0)+IFERROR(SUMIF(Nutzungsprofile!$B$17:$B$22,"Individuell",Nutzungsprofile!$G$17:$G$22)*Kalender!E260/SUM(Kalender!$E$5:$E$370),0))*Szenarien!$D$16,0)</f>
        <v>0.89</v>
      </c>
      <c r="E2090" s="13" t="n">
        <f aca="false">IFERROR(MIN(C2090,Eingaben!$B$17)*Eingaben!$B$16,0)</f>
        <v>1.938</v>
      </c>
      <c r="F2090" s="13" t="n">
        <f aca="false">IFERROR(E2090*Eingaben!$B$15,0)</f>
        <v>1.7442</v>
      </c>
      <c r="G2090" s="13" t="n">
        <f aca="false">IFERROR(IF(Kalender!A260="",0,J2089*(1-Eingaben!$B$20)),0)</f>
        <v>1.561363244</v>
      </c>
      <c r="H2090" s="13" t="n">
        <f aca="false">MIN(G2090,D2090)</f>
        <v>0.89</v>
      </c>
      <c r="I2090" s="13" t="n">
        <f aca="false">IFERROR(MIN(F2090*Eingaben!$B$19,MAX(0,D2090-H2090)),0)</f>
        <v>0</v>
      </c>
      <c r="J2090" s="13" t="n">
        <f aca="false">IFERROR(MIN(Eingaben!$B$18,MAX(0,F2090-I2090)),0)</f>
        <v>1.7442</v>
      </c>
      <c r="K2090" s="13" t="n">
        <f aca="false">H2090+I2090</f>
        <v>0.89</v>
      </c>
      <c r="L2090" s="13" t="n">
        <f aca="false">MAX(0,D2090-K2090)</f>
        <v>0</v>
      </c>
      <c r="M2090" s="13" t="n">
        <f aca="false">MAX(0,F2090-I2090-J2090)</f>
        <v>0</v>
      </c>
      <c r="N2090" s="13" t="n">
        <f aca="false">IF(Kalender!A260="",0,J2089-H2090)</f>
        <v>0.7032278</v>
      </c>
    </row>
    <row r="2091" customFormat="false" ht="16.4" hidden="false" customHeight="false" outlineLevel="0" collapsed="false">
      <c r="A2091" s="13" t="str">
        <f aca="false">""</f>
        <v/>
      </c>
      <c r="B2091" s="13" t="n">
        <f aca="false">257</f>
        <v>257</v>
      </c>
      <c r="C2091" s="13" t="n">
        <f aca="false">IF(Szenarien!$H$16="OK",(IFERROR(SUMIF(Nutzungsprofile!$B$6:$B$11,"Schulbetrieb",Nutzungsprofile!$G$6:$G$11)*Kalender!C261/SUM(Kalender!$C$5:$C$370),0)+IFERROR(SUMIF(Nutzungsprofile!$B$6:$B$11,"Halle",Nutzungsprofile!$G$6:$G$11)*Kalender!D261/SUM(Kalender!$D$5:$D$370),0)+IFERROR(SUMIF(Nutzungsprofile!$B$6:$B$11,"Individuell",Nutzungsprofile!$G$6:$G$11)*Kalender!E261/SUM(Kalender!$E$5:$E$370),0))*Szenarien!$E$16,0)</f>
        <v>2.94</v>
      </c>
      <c r="D2091" s="13" t="n">
        <f aca="false">IF(Szenarien!$H$16="OK",(IFERROR(SUMIF(Nutzungsprofile!$B$17:$B$22,"Schulbetrieb",Nutzungsprofile!$G$17:$G$22)*Kalender!C261/SUM(Kalender!$C$5:$C$370),0)+IFERROR(SUMIF(Nutzungsprofile!$B$17:$B$22,"Halle",Nutzungsprofile!$G$17:$G$22)*Kalender!D261/SUM(Kalender!$D$5:$D$370),0)+IFERROR(SUMIF(Nutzungsprofile!$B$17:$B$22,"Individuell",Nutzungsprofile!$G$17:$G$22)*Kalender!E261/SUM(Kalender!$E$5:$E$370),0))*Szenarien!$D$16,0)</f>
        <v>4.94</v>
      </c>
      <c r="E2091" s="13" t="n">
        <f aca="false">IFERROR(MIN(C2091,Eingaben!$B$17)*Eingaben!$B$16,0)</f>
        <v>2.793</v>
      </c>
      <c r="F2091" s="13" t="n">
        <f aca="false">IFERROR(E2091*Eingaben!$B$15,0)</f>
        <v>2.5137</v>
      </c>
      <c r="G2091" s="13" t="n">
        <f aca="false">IFERROR(IF(Kalender!A261="",0,J2090*(1-Eingaben!$B$20)),0)</f>
        <v>1.709316</v>
      </c>
      <c r="H2091" s="13" t="n">
        <f aca="false">MIN(G2091,D2091)</f>
        <v>1.709316</v>
      </c>
      <c r="I2091" s="13" t="n">
        <f aca="false">IFERROR(MIN(F2091*Eingaben!$B$19,MAX(0,D2091-H2091)),0)</f>
        <v>1.75959</v>
      </c>
      <c r="J2091" s="13" t="n">
        <f aca="false">IFERROR(MIN(Eingaben!$B$18,MAX(0,F2091-I2091)),0)</f>
        <v>0.75411</v>
      </c>
      <c r="K2091" s="13" t="n">
        <f aca="false">H2091+I2091</f>
        <v>3.468906</v>
      </c>
      <c r="L2091" s="13" t="n">
        <f aca="false">MAX(0,D2091-K2091)</f>
        <v>1.471094</v>
      </c>
      <c r="M2091" s="13" t="n">
        <f aca="false">MAX(0,F2091-I2091-J2091)</f>
        <v>0</v>
      </c>
      <c r="N2091" s="13" t="n">
        <f aca="false">IF(Kalender!A261="",0,J2090-H2091)</f>
        <v>0.0348840000000001</v>
      </c>
    </row>
    <row r="2092" customFormat="false" ht="16.4" hidden="false" customHeight="false" outlineLevel="0" collapsed="false">
      <c r="A2092" s="13" t="str">
        <f aca="false">""</f>
        <v/>
      </c>
      <c r="B2092" s="13" t="n">
        <f aca="false">258</f>
        <v>258</v>
      </c>
      <c r="C2092" s="13" t="n">
        <f aca="false">IF(Szenarien!$H$16="OK",(IFERROR(SUMIF(Nutzungsprofile!$B$6:$B$11,"Schulbetrieb",Nutzungsprofile!$G$6:$G$11)*Kalender!C262/SUM(Kalender!$C$5:$C$370),0)+IFERROR(SUMIF(Nutzungsprofile!$B$6:$B$11,"Halle",Nutzungsprofile!$G$6:$G$11)*Kalender!D262/SUM(Kalender!$D$5:$D$370),0)+IFERROR(SUMIF(Nutzungsprofile!$B$6:$B$11,"Individuell",Nutzungsprofile!$G$6:$G$11)*Kalender!E262/SUM(Kalender!$E$5:$E$370),0))*Szenarien!$E$16,0)</f>
        <v>2.94</v>
      </c>
      <c r="D2092" s="13" t="n">
        <f aca="false">IF(Szenarien!$H$16="OK",(IFERROR(SUMIF(Nutzungsprofile!$B$17:$B$22,"Schulbetrieb",Nutzungsprofile!$G$17:$G$22)*Kalender!C262/SUM(Kalender!$C$5:$C$370),0)+IFERROR(SUMIF(Nutzungsprofile!$B$17:$B$22,"Halle",Nutzungsprofile!$G$17:$G$22)*Kalender!D262/SUM(Kalender!$D$5:$D$370),0)+IFERROR(SUMIF(Nutzungsprofile!$B$17:$B$22,"Individuell",Nutzungsprofile!$G$17:$G$22)*Kalender!E262/SUM(Kalender!$E$5:$E$370),0))*Szenarien!$D$16,0)</f>
        <v>4.94</v>
      </c>
      <c r="E2092" s="13" t="n">
        <f aca="false">IFERROR(MIN(C2092,Eingaben!$B$17)*Eingaben!$B$16,0)</f>
        <v>2.793</v>
      </c>
      <c r="F2092" s="13" t="n">
        <f aca="false">IFERROR(E2092*Eingaben!$B$15,0)</f>
        <v>2.5137</v>
      </c>
      <c r="G2092" s="13" t="n">
        <f aca="false">IFERROR(IF(Kalender!A262="",0,J2091*(1-Eingaben!$B$20)),0)</f>
        <v>0.7390278</v>
      </c>
      <c r="H2092" s="13" t="n">
        <f aca="false">MIN(G2092,D2092)</f>
        <v>0.7390278</v>
      </c>
      <c r="I2092" s="13" t="n">
        <f aca="false">IFERROR(MIN(F2092*Eingaben!$B$19,MAX(0,D2092-H2092)),0)</f>
        <v>1.75959</v>
      </c>
      <c r="J2092" s="13" t="n">
        <f aca="false">IFERROR(MIN(Eingaben!$B$18,MAX(0,F2092-I2092)),0)</f>
        <v>0.75411</v>
      </c>
      <c r="K2092" s="13" t="n">
        <f aca="false">H2092+I2092</f>
        <v>2.4986178</v>
      </c>
      <c r="L2092" s="13" t="n">
        <f aca="false">MAX(0,D2092-K2092)</f>
        <v>2.4413822</v>
      </c>
      <c r="M2092" s="13" t="n">
        <f aca="false">MAX(0,F2092-I2092-J2092)</f>
        <v>0</v>
      </c>
      <c r="N2092" s="13" t="n">
        <f aca="false">IF(Kalender!A262="",0,J2091-H2092)</f>
        <v>0.0150822</v>
      </c>
    </row>
    <row r="2093" customFormat="false" ht="16.4" hidden="false" customHeight="false" outlineLevel="0" collapsed="false">
      <c r="A2093" s="13" t="str">
        <f aca="false">""</f>
        <v/>
      </c>
      <c r="B2093" s="13" t="n">
        <f aca="false">259</f>
        <v>259</v>
      </c>
      <c r="C2093" s="13" t="n">
        <f aca="false">IF(Szenarien!$H$16="OK",(IFERROR(SUMIF(Nutzungsprofile!$B$6:$B$11,"Schulbetrieb",Nutzungsprofile!$G$6:$G$11)*Kalender!C263/SUM(Kalender!$C$5:$C$370),0)+IFERROR(SUMIF(Nutzungsprofile!$B$6:$B$11,"Halle",Nutzungsprofile!$G$6:$G$11)*Kalender!D263/SUM(Kalender!$D$5:$D$370),0)+IFERROR(SUMIF(Nutzungsprofile!$B$6:$B$11,"Individuell",Nutzungsprofile!$G$6:$G$11)*Kalender!E263/SUM(Kalender!$E$5:$E$370),0))*Szenarien!$E$16,0)</f>
        <v>2.94</v>
      </c>
      <c r="D2093" s="13" t="n">
        <f aca="false">IF(Szenarien!$H$16="OK",(IFERROR(SUMIF(Nutzungsprofile!$B$17:$B$22,"Schulbetrieb",Nutzungsprofile!$G$17:$G$22)*Kalender!C263/SUM(Kalender!$C$5:$C$370),0)+IFERROR(SUMIF(Nutzungsprofile!$B$17:$B$22,"Halle",Nutzungsprofile!$G$17:$G$22)*Kalender!D263/SUM(Kalender!$D$5:$D$370),0)+IFERROR(SUMIF(Nutzungsprofile!$B$17:$B$22,"Individuell",Nutzungsprofile!$G$17:$G$22)*Kalender!E263/SUM(Kalender!$E$5:$E$370),0))*Szenarien!$D$16,0)</f>
        <v>4.94</v>
      </c>
      <c r="E2093" s="13" t="n">
        <f aca="false">IFERROR(MIN(C2093,Eingaben!$B$17)*Eingaben!$B$16,0)</f>
        <v>2.793</v>
      </c>
      <c r="F2093" s="13" t="n">
        <f aca="false">IFERROR(E2093*Eingaben!$B$15,0)</f>
        <v>2.5137</v>
      </c>
      <c r="G2093" s="13" t="n">
        <f aca="false">IFERROR(IF(Kalender!A263="",0,J2092*(1-Eingaben!$B$20)),0)</f>
        <v>0.7390278</v>
      </c>
      <c r="H2093" s="13" t="n">
        <f aca="false">MIN(G2093,D2093)</f>
        <v>0.7390278</v>
      </c>
      <c r="I2093" s="13" t="n">
        <f aca="false">IFERROR(MIN(F2093*Eingaben!$B$19,MAX(0,D2093-H2093)),0)</f>
        <v>1.75959</v>
      </c>
      <c r="J2093" s="13" t="n">
        <f aca="false">IFERROR(MIN(Eingaben!$B$18,MAX(0,F2093-I2093)),0)</f>
        <v>0.75411</v>
      </c>
      <c r="K2093" s="13" t="n">
        <f aca="false">H2093+I2093</f>
        <v>2.4986178</v>
      </c>
      <c r="L2093" s="13" t="n">
        <f aca="false">MAX(0,D2093-K2093)</f>
        <v>2.4413822</v>
      </c>
      <c r="M2093" s="13" t="n">
        <f aca="false">MAX(0,F2093-I2093-J2093)</f>
        <v>0</v>
      </c>
      <c r="N2093" s="13" t="n">
        <f aca="false">IF(Kalender!A263="",0,J2092-H2093)</f>
        <v>0.0150822</v>
      </c>
    </row>
    <row r="2094" customFormat="false" ht="16.4" hidden="false" customHeight="false" outlineLevel="0" collapsed="false">
      <c r="A2094" s="13" t="str">
        <f aca="false">""</f>
        <v/>
      </c>
      <c r="B2094" s="13" t="n">
        <f aca="false">260</f>
        <v>260</v>
      </c>
      <c r="C2094" s="13" t="n">
        <f aca="false">IF(Szenarien!$H$16="OK",(IFERROR(SUMIF(Nutzungsprofile!$B$6:$B$11,"Schulbetrieb",Nutzungsprofile!$G$6:$G$11)*Kalender!C264/SUM(Kalender!$C$5:$C$370),0)+IFERROR(SUMIF(Nutzungsprofile!$B$6:$B$11,"Halle",Nutzungsprofile!$G$6:$G$11)*Kalender!D264/SUM(Kalender!$D$5:$D$370),0)+IFERROR(SUMIF(Nutzungsprofile!$B$6:$B$11,"Individuell",Nutzungsprofile!$G$6:$G$11)*Kalender!E264/SUM(Kalender!$E$5:$E$370),0))*Szenarien!$E$16,0)</f>
        <v>2.94</v>
      </c>
      <c r="D2094" s="13" t="n">
        <f aca="false">IF(Szenarien!$H$16="OK",(IFERROR(SUMIF(Nutzungsprofile!$B$17:$B$22,"Schulbetrieb",Nutzungsprofile!$G$17:$G$22)*Kalender!C264/SUM(Kalender!$C$5:$C$370),0)+IFERROR(SUMIF(Nutzungsprofile!$B$17:$B$22,"Halle",Nutzungsprofile!$G$17:$G$22)*Kalender!D264/SUM(Kalender!$D$5:$D$370),0)+IFERROR(SUMIF(Nutzungsprofile!$B$17:$B$22,"Individuell",Nutzungsprofile!$G$17:$G$22)*Kalender!E264/SUM(Kalender!$E$5:$E$370),0))*Szenarien!$D$16,0)</f>
        <v>4.94</v>
      </c>
      <c r="E2094" s="13" t="n">
        <f aca="false">IFERROR(MIN(C2094,Eingaben!$B$17)*Eingaben!$B$16,0)</f>
        <v>2.793</v>
      </c>
      <c r="F2094" s="13" t="n">
        <f aca="false">IFERROR(E2094*Eingaben!$B$15,0)</f>
        <v>2.5137</v>
      </c>
      <c r="G2094" s="13" t="n">
        <f aca="false">IFERROR(IF(Kalender!A264="",0,J2093*(1-Eingaben!$B$20)),0)</f>
        <v>0.7390278</v>
      </c>
      <c r="H2094" s="13" t="n">
        <f aca="false">MIN(G2094,D2094)</f>
        <v>0.7390278</v>
      </c>
      <c r="I2094" s="13" t="n">
        <f aca="false">IFERROR(MIN(F2094*Eingaben!$B$19,MAX(0,D2094-H2094)),0)</f>
        <v>1.75959</v>
      </c>
      <c r="J2094" s="13" t="n">
        <f aca="false">IFERROR(MIN(Eingaben!$B$18,MAX(0,F2094-I2094)),0)</f>
        <v>0.75411</v>
      </c>
      <c r="K2094" s="13" t="n">
        <f aca="false">H2094+I2094</f>
        <v>2.4986178</v>
      </c>
      <c r="L2094" s="13" t="n">
        <f aca="false">MAX(0,D2094-K2094)</f>
        <v>2.4413822</v>
      </c>
      <c r="M2094" s="13" t="n">
        <f aca="false">MAX(0,F2094-I2094-J2094)</f>
        <v>0</v>
      </c>
      <c r="N2094" s="13" t="n">
        <f aca="false">IF(Kalender!A264="",0,J2093-H2094)</f>
        <v>0.0150822</v>
      </c>
    </row>
    <row r="2095" customFormat="false" ht="16.4" hidden="false" customHeight="false" outlineLevel="0" collapsed="false">
      <c r="A2095" s="13" t="str">
        <f aca="false">""</f>
        <v/>
      </c>
      <c r="B2095" s="13" t="n">
        <f aca="false">261</f>
        <v>261</v>
      </c>
      <c r="C2095" s="13" t="n">
        <f aca="false">IF(Szenarien!$H$16="OK",(IFERROR(SUMIF(Nutzungsprofile!$B$6:$B$11,"Schulbetrieb",Nutzungsprofile!$G$6:$G$11)*Kalender!C265/SUM(Kalender!$C$5:$C$370),0)+IFERROR(SUMIF(Nutzungsprofile!$B$6:$B$11,"Halle",Nutzungsprofile!$G$6:$G$11)*Kalender!D265/SUM(Kalender!$D$5:$D$370),0)+IFERROR(SUMIF(Nutzungsprofile!$B$6:$B$11,"Individuell",Nutzungsprofile!$G$6:$G$11)*Kalender!E265/SUM(Kalender!$E$5:$E$370),0))*Szenarien!$E$16,0)</f>
        <v>2.94</v>
      </c>
      <c r="D2095" s="13" t="n">
        <f aca="false">IF(Szenarien!$H$16="OK",(IFERROR(SUMIF(Nutzungsprofile!$B$17:$B$22,"Schulbetrieb",Nutzungsprofile!$G$17:$G$22)*Kalender!C265/SUM(Kalender!$C$5:$C$370),0)+IFERROR(SUMIF(Nutzungsprofile!$B$17:$B$22,"Halle",Nutzungsprofile!$G$17:$G$22)*Kalender!D265/SUM(Kalender!$D$5:$D$370),0)+IFERROR(SUMIF(Nutzungsprofile!$B$17:$B$22,"Individuell",Nutzungsprofile!$G$17:$G$22)*Kalender!E265/SUM(Kalender!$E$5:$E$370),0))*Szenarien!$D$16,0)</f>
        <v>4.94</v>
      </c>
      <c r="E2095" s="13" t="n">
        <f aca="false">IFERROR(MIN(C2095,Eingaben!$B$17)*Eingaben!$B$16,0)</f>
        <v>2.793</v>
      </c>
      <c r="F2095" s="13" t="n">
        <f aca="false">IFERROR(E2095*Eingaben!$B$15,0)</f>
        <v>2.5137</v>
      </c>
      <c r="G2095" s="13" t="n">
        <f aca="false">IFERROR(IF(Kalender!A265="",0,J2094*(1-Eingaben!$B$20)),0)</f>
        <v>0.7390278</v>
      </c>
      <c r="H2095" s="13" t="n">
        <f aca="false">MIN(G2095,D2095)</f>
        <v>0.7390278</v>
      </c>
      <c r="I2095" s="13" t="n">
        <f aca="false">IFERROR(MIN(F2095*Eingaben!$B$19,MAX(0,D2095-H2095)),0)</f>
        <v>1.75959</v>
      </c>
      <c r="J2095" s="13" t="n">
        <f aca="false">IFERROR(MIN(Eingaben!$B$18,MAX(0,F2095-I2095)),0)</f>
        <v>0.75411</v>
      </c>
      <c r="K2095" s="13" t="n">
        <f aca="false">H2095+I2095</f>
        <v>2.4986178</v>
      </c>
      <c r="L2095" s="13" t="n">
        <f aca="false">MAX(0,D2095-K2095)</f>
        <v>2.4413822</v>
      </c>
      <c r="M2095" s="13" t="n">
        <f aca="false">MAX(0,F2095-I2095-J2095)</f>
        <v>0</v>
      </c>
      <c r="N2095" s="13" t="n">
        <f aca="false">IF(Kalender!A265="",0,J2094-H2095)</f>
        <v>0.0150822</v>
      </c>
    </row>
    <row r="2096" customFormat="false" ht="16.4" hidden="false" customHeight="false" outlineLevel="0" collapsed="false">
      <c r="A2096" s="13" t="str">
        <f aca="false">""</f>
        <v/>
      </c>
      <c r="B2096" s="13" t="n">
        <f aca="false">262</f>
        <v>262</v>
      </c>
      <c r="C2096" s="13" t="n">
        <f aca="false">IF(Szenarien!$H$16="OK",(IFERROR(SUMIF(Nutzungsprofile!$B$6:$B$11,"Schulbetrieb",Nutzungsprofile!$G$6:$G$11)*Kalender!C266/SUM(Kalender!$C$5:$C$370),0)+IFERROR(SUMIF(Nutzungsprofile!$B$6:$B$11,"Halle",Nutzungsprofile!$G$6:$G$11)*Kalender!D266/SUM(Kalender!$D$5:$D$370),0)+IFERROR(SUMIF(Nutzungsprofile!$B$6:$B$11,"Individuell",Nutzungsprofile!$G$6:$G$11)*Kalender!E266/SUM(Kalender!$E$5:$E$370),0))*Szenarien!$E$16,0)</f>
        <v>2.04</v>
      </c>
      <c r="D2096" s="13" t="n">
        <f aca="false">IF(Szenarien!$H$16="OK",(IFERROR(SUMIF(Nutzungsprofile!$B$17:$B$22,"Schulbetrieb",Nutzungsprofile!$G$17:$G$22)*Kalender!C266/SUM(Kalender!$C$5:$C$370),0)+IFERROR(SUMIF(Nutzungsprofile!$B$17:$B$22,"Halle",Nutzungsprofile!$G$17:$G$22)*Kalender!D266/SUM(Kalender!$D$5:$D$370),0)+IFERROR(SUMIF(Nutzungsprofile!$B$17:$B$22,"Individuell",Nutzungsprofile!$G$17:$G$22)*Kalender!E266/SUM(Kalender!$E$5:$E$370),0))*Szenarien!$D$16,0)</f>
        <v>0.89</v>
      </c>
      <c r="E2096" s="13" t="n">
        <f aca="false">IFERROR(MIN(C2096,Eingaben!$B$17)*Eingaben!$B$16,0)</f>
        <v>1.938</v>
      </c>
      <c r="F2096" s="13" t="n">
        <f aca="false">IFERROR(E2096*Eingaben!$B$15,0)</f>
        <v>1.7442</v>
      </c>
      <c r="G2096" s="13" t="n">
        <f aca="false">IFERROR(IF(Kalender!A266="",0,J2095*(1-Eingaben!$B$20)),0)</f>
        <v>0.7390278</v>
      </c>
      <c r="H2096" s="13" t="n">
        <f aca="false">MIN(G2096,D2096)</f>
        <v>0.7390278</v>
      </c>
      <c r="I2096" s="13" t="n">
        <f aca="false">IFERROR(MIN(F2096*Eingaben!$B$19,MAX(0,D2096-H2096)),0)</f>
        <v>0.1509722</v>
      </c>
      <c r="J2096" s="13" t="n">
        <f aca="false">IFERROR(MIN(Eingaben!$B$18,MAX(0,F2096-I2096)),0)</f>
        <v>1.5932278</v>
      </c>
      <c r="K2096" s="13" t="n">
        <f aca="false">H2096+I2096</f>
        <v>0.89</v>
      </c>
      <c r="L2096" s="13" t="n">
        <f aca="false">MAX(0,D2096-K2096)</f>
        <v>0</v>
      </c>
      <c r="M2096" s="13" t="n">
        <f aca="false">MAX(0,F2096-I2096-J2096)</f>
        <v>0</v>
      </c>
      <c r="N2096" s="13" t="n">
        <f aca="false">IF(Kalender!A266="",0,J2095-H2096)</f>
        <v>0.0150822</v>
      </c>
    </row>
    <row r="2097" customFormat="false" ht="16.4" hidden="false" customHeight="false" outlineLevel="0" collapsed="false">
      <c r="A2097" s="13" t="str">
        <f aca="false">""</f>
        <v/>
      </c>
      <c r="B2097" s="13" t="n">
        <f aca="false">263</f>
        <v>263</v>
      </c>
      <c r="C2097" s="13" t="n">
        <f aca="false">IF(Szenarien!$H$16="OK",(IFERROR(SUMIF(Nutzungsprofile!$B$6:$B$11,"Schulbetrieb",Nutzungsprofile!$G$6:$G$11)*Kalender!C267/SUM(Kalender!$C$5:$C$370),0)+IFERROR(SUMIF(Nutzungsprofile!$B$6:$B$11,"Halle",Nutzungsprofile!$G$6:$G$11)*Kalender!D267/SUM(Kalender!$D$5:$D$370),0)+IFERROR(SUMIF(Nutzungsprofile!$B$6:$B$11,"Individuell",Nutzungsprofile!$G$6:$G$11)*Kalender!E267/SUM(Kalender!$E$5:$E$370),0))*Szenarien!$E$16,0)</f>
        <v>2.04</v>
      </c>
      <c r="D2097" s="13" t="n">
        <f aca="false">IF(Szenarien!$H$16="OK",(IFERROR(SUMIF(Nutzungsprofile!$B$17:$B$22,"Schulbetrieb",Nutzungsprofile!$G$17:$G$22)*Kalender!C267/SUM(Kalender!$C$5:$C$370),0)+IFERROR(SUMIF(Nutzungsprofile!$B$17:$B$22,"Halle",Nutzungsprofile!$G$17:$G$22)*Kalender!D267/SUM(Kalender!$D$5:$D$370),0)+IFERROR(SUMIF(Nutzungsprofile!$B$17:$B$22,"Individuell",Nutzungsprofile!$G$17:$G$22)*Kalender!E267/SUM(Kalender!$E$5:$E$370),0))*Szenarien!$D$16,0)</f>
        <v>0.89</v>
      </c>
      <c r="E2097" s="13" t="n">
        <f aca="false">IFERROR(MIN(C2097,Eingaben!$B$17)*Eingaben!$B$16,0)</f>
        <v>1.938</v>
      </c>
      <c r="F2097" s="13" t="n">
        <f aca="false">IFERROR(E2097*Eingaben!$B$15,0)</f>
        <v>1.7442</v>
      </c>
      <c r="G2097" s="13" t="n">
        <f aca="false">IFERROR(IF(Kalender!A267="",0,J2096*(1-Eingaben!$B$20)),0)</f>
        <v>1.561363244</v>
      </c>
      <c r="H2097" s="13" t="n">
        <f aca="false">MIN(G2097,D2097)</f>
        <v>0.89</v>
      </c>
      <c r="I2097" s="13" t="n">
        <f aca="false">IFERROR(MIN(F2097*Eingaben!$B$19,MAX(0,D2097-H2097)),0)</f>
        <v>0</v>
      </c>
      <c r="J2097" s="13" t="n">
        <f aca="false">IFERROR(MIN(Eingaben!$B$18,MAX(0,F2097-I2097)),0)</f>
        <v>1.7442</v>
      </c>
      <c r="K2097" s="13" t="n">
        <f aca="false">H2097+I2097</f>
        <v>0.89</v>
      </c>
      <c r="L2097" s="13" t="n">
        <f aca="false">MAX(0,D2097-K2097)</f>
        <v>0</v>
      </c>
      <c r="M2097" s="13" t="n">
        <f aca="false">MAX(0,F2097-I2097-J2097)</f>
        <v>0</v>
      </c>
      <c r="N2097" s="13" t="n">
        <f aca="false">IF(Kalender!A267="",0,J2096-H2097)</f>
        <v>0.7032278</v>
      </c>
    </row>
    <row r="2098" customFormat="false" ht="16.4" hidden="false" customHeight="false" outlineLevel="0" collapsed="false">
      <c r="A2098" s="13" t="str">
        <f aca="false">""</f>
        <v/>
      </c>
      <c r="B2098" s="13" t="n">
        <f aca="false">264</f>
        <v>264</v>
      </c>
      <c r="C2098" s="13" t="n">
        <f aca="false">IF(Szenarien!$H$16="OK",(IFERROR(SUMIF(Nutzungsprofile!$B$6:$B$11,"Schulbetrieb",Nutzungsprofile!$G$6:$G$11)*Kalender!C268/SUM(Kalender!$C$5:$C$370),0)+IFERROR(SUMIF(Nutzungsprofile!$B$6:$B$11,"Halle",Nutzungsprofile!$G$6:$G$11)*Kalender!D268/SUM(Kalender!$D$5:$D$370),0)+IFERROR(SUMIF(Nutzungsprofile!$B$6:$B$11,"Individuell",Nutzungsprofile!$G$6:$G$11)*Kalender!E268/SUM(Kalender!$E$5:$E$370),0))*Szenarien!$E$16,0)</f>
        <v>2.94</v>
      </c>
      <c r="D2098" s="13" t="n">
        <f aca="false">IF(Szenarien!$H$16="OK",(IFERROR(SUMIF(Nutzungsprofile!$B$17:$B$22,"Schulbetrieb",Nutzungsprofile!$G$17:$G$22)*Kalender!C268/SUM(Kalender!$C$5:$C$370),0)+IFERROR(SUMIF(Nutzungsprofile!$B$17:$B$22,"Halle",Nutzungsprofile!$G$17:$G$22)*Kalender!D268/SUM(Kalender!$D$5:$D$370),0)+IFERROR(SUMIF(Nutzungsprofile!$B$17:$B$22,"Individuell",Nutzungsprofile!$G$17:$G$22)*Kalender!E268/SUM(Kalender!$E$5:$E$370),0))*Szenarien!$D$16,0)</f>
        <v>4.94</v>
      </c>
      <c r="E2098" s="13" t="n">
        <f aca="false">IFERROR(MIN(C2098,Eingaben!$B$17)*Eingaben!$B$16,0)</f>
        <v>2.793</v>
      </c>
      <c r="F2098" s="13" t="n">
        <f aca="false">IFERROR(E2098*Eingaben!$B$15,0)</f>
        <v>2.5137</v>
      </c>
      <c r="G2098" s="13" t="n">
        <f aca="false">IFERROR(IF(Kalender!A268="",0,J2097*(1-Eingaben!$B$20)),0)</f>
        <v>1.709316</v>
      </c>
      <c r="H2098" s="13" t="n">
        <f aca="false">MIN(G2098,D2098)</f>
        <v>1.709316</v>
      </c>
      <c r="I2098" s="13" t="n">
        <f aca="false">IFERROR(MIN(F2098*Eingaben!$B$19,MAX(0,D2098-H2098)),0)</f>
        <v>1.75959</v>
      </c>
      <c r="J2098" s="13" t="n">
        <f aca="false">IFERROR(MIN(Eingaben!$B$18,MAX(0,F2098-I2098)),0)</f>
        <v>0.75411</v>
      </c>
      <c r="K2098" s="13" t="n">
        <f aca="false">H2098+I2098</f>
        <v>3.468906</v>
      </c>
      <c r="L2098" s="13" t="n">
        <f aca="false">MAX(0,D2098-K2098)</f>
        <v>1.471094</v>
      </c>
      <c r="M2098" s="13" t="n">
        <f aca="false">MAX(0,F2098-I2098-J2098)</f>
        <v>0</v>
      </c>
      <c r="N2098" s="13" t="n">
        <f aca="false">IF(Kalender!A268="",0,J2097-H2098)</f>
        <v>0.0348840000000001</v>
      </c>
    </row>
    <row r="2099" customFormat="false" ht="16.4" hidden="false" customHeight="false" outlineLevel="0" collapsed="false">
      <c r="A2099" s="13" t="str">
        <f aca="false">""</f>
        <v/>
      </c>
      <c r="B2099" s="13" t="n">
        <f aca="false">265</f>
        <v>265</v>
      </c>
      <c r="C2099" s="13" t="n">
        <f aca="false">IF(Szenarien!$H$16="OK",(IFERROR(SUMIF(Nutzungsprofile!$B$6:$B$11,"Schulbetrieb",Nutzungsprofile!$G$6:$G$11)*Kalender!C269/SUM(Kalender!$C$5:$C$370),0)+IFERROR(SUMIF(Nutzungsprofile!$B$6:$B$11,"Halle",Nutzungsprofile!$G$6:$G$11)*Kalender!D269/SUM(Kalender!$D$5:$D$370),0)+IFERROR(SUMIF(Nutzungsprofile!$B$6:$B$11,"Individuell",Nutzungsprofile!$G$6:$G$11)*Kalender!E269/SUM(Kalender!$E$5:$E$370),0))*Szenarien!$E$16,0)</f>
        <v>2.94</v>
      </c>
      <c r="D2099" s="13" t="n">
        <f aca="false">IF(Szenarien!$H$16="OK",(IFERROR(SUMIF(Nutzungsprofile!$B$17:$B$22,"Schulbetrieb",Nutzungsprofile!$G$17:$G$22)*Kalender!C269/SUM(Kalender!$C$5:$C$370),0)+IFERROR(SUMIF(Nutzungsprofile!$B$17:$B$22,"Halle",Nutzungsprofile!$G$17:$G$22)*Kalender!D269/SUM(Kalender!$D$5:$D$370),0)+IFERROR(SUMIF(Nutzungsprofile!$B$17:$B$22,"Individuell",Nutzungsprofile!$G$17:$G$22)*Kalender!E269/SUM(Kalender!$E$5:$E$370),0))*Szenarien!$D$16,0)</f>
        <v>4.94</v>
      </c>
      <c r="E2099" s="13" t="n">
        <f aca="false">IFERROR(MIN(C2099,Eingaben!$B$17)*Eingaben!$B$16,0)</f>
        <v>2.793</v>
      </c>
      <c r="F2099" s="13" t="n">
        <f aca="false">IFERROR(E2099*Eingaben!$B$15,0)</f>
        <v>2.5137</v>
      </c>
      <c r="G2099" s="13" t="n">
        <f aca="false">IFERROR(IF(Kalender!A269="",0,J2098*(1-Eingaben!$B$20)),0)</f>
        <v>0.7390278</v>
      </c>
      <c r="H2099" s="13" t="n">
        <f aca="false">MIN(G2099,D2099)</f>
        <v>0.7390278</v>
      </c>
      <c r="I2099" s="13" t="n">
        <f aca="false">IFERROR(MIN(F2099*Eingaben!$B$19,MAX(0,D2099-H2099)),0)</f>
        <v>1.75959</v>
      </c>
      <c r="J2099" s="13" t="n">
        <f aca="false">IFERROR(MIN(Eingaben!$B$18,MAX(0,F2099-I2099)),0)</f>
        <v>0.75411</v>
      </c>
      <c r="K2099" s="13" t="n">
        <f aca="false">H2099+I2099</f>
        <v>2.4986178</v>
      </c>
      <c r="L2099" s="13" t="n">
        <f aca="false">MAX(0,D2099-K2099)</f>
        <v>2.4413822</v>
      </c>
      <c r="M2099" s="13" t="n">
        <f aca="false">MAX(0,F2099-I2099-J2099)</f>
        <v>0</v>
      </c>
      <c r="N2099" s="13" t="n">
        <f aca="false">IF(Kalender!A269="",0,J2098-H2099)</f>
        <v>0.0150822</v>
      </c>
    </row>
    <row r="2100" customFormat="false" ht="16.4" hidden="false" customHeight="false" outlineLevel="0" collapsed="false">
      <c r="A2100" s="13" t="str">
        <f aca="false">""</f>
        <v/>
      </c>
      <c r="B2100" s="13" t="n">
        <f aca="false">266</f>
        <v>266</v>
      </c>
      <c r="C2100" s="13" t="n">
        <f aca="false">IF(Szenarien!$H$16="OK",(IFERROR(SUMIF(Nutzungsprofile!$B$6:$B$11,"Schulbetrieb",Nutzungsprofile!$G$6:$G$11)*Kalender!C270/SUM(Kalender!$C$5:$C$370),0)+IFERROR(SUMIF(Nutzungsprofile!$B$6:$B$11,"Halle",Nutzungsprofile!$G$6:$G$11)*Kalender!D270/SUM(Kalender!$D$5:$D$370),0)+IFERROR(SUMIF(Nutzungsprofile!$B$6:$B$11,"Individuell",Nutzungsprofile!$G$6:$G$11)*Kalender!E270/SUM(Kalender!$E$5:$E$370),0))*Szenarien!$E$16,0)</f>
        <v>2.94</v>
      </c>
      <c r="D2100" s="13" t="n">
        <f aca="false">IF(Szenarien!$H$16="OK",(IFERROR(SUMIF(Nutzungsprofile!$B$17:$B$22,"Schulbetrieb",Nutzungsprofile!$G$17:$G$22)*Kalender!C270/SUM(Kalender!$C$5:$C$370),0)+IFERROR(SUMIF(Nutzungsprofile!$B$17:$B$22,"Halle",Nutzungsprofile!$G$17:$G$22)*Kalender!D270/SUM(Kalender!$D$5:$D$370),0)+IFERROR(SUMIF(Nutzungsprofile!$B$17:$B$22,"Individuell",Nutzungsprofile!$G$17:$G$22)*Kalender!E270/SUM(Kalender!$E$5:$E$370),0))*Szenarien!$D$16,0)</f>
        <v>4.94</v>
      </c>
      <c r="E2100" s="13" t="n">
        <f aca="false">IFERROR(MIN(C2100,Eingaben!$B$17)*Eingaben!$B$16,0)</f>
        <v>2.793</v>
      </c>
      <c r="F2100" s="13" t="n">
        <f aca="false">IFERROR(E2100*Eingaben!$B$15,0)</f>
        <v>2.5137</v>
      </c>
      <c r="G2100" s="13" t="n">
        <f aca="false">IFERROR(IF(Kalender!A270="",0,J2099*(1-Eingaben!$B$20)),0)</f>
        <v>0.7390278</v>
      </c>
      <c r="H2100" s="13" t="n">
        <f aca="false">MIN(G2100,D2100)</f>
        <v>0.7390278</v>
      </c>
      <c r="I2100" s="13" t="n">
        <f aca="false">IFERROR(MIN(F2100*Eingaben!$B$19,MAX(0,D2100-H2100)),0)</f>
        <v>1.75959</v>
      </c>
      <c r="J2100" s="13" t="n">
        <f aca="false">IFERROR(MIN(Eingaben!$B$18,MAX(0,F2100-I2100)),0)</f>
        <v>0.75411</v>
      </c>
      <c r="K2100" s="13" t="n">
        <f aca="false">H2100+I2100</f>
        <v>2.4986178</v>
      </c>
      <c r="L2100" s="13" t="n">
        <f aca="false">MAX(0,D2100-K2100)</f>
        <v>2.4413822</v>
      </c>
      <c r="M2100" s="13" t="n">
        <f aca="false">MAX(0,F2100-I2100-J2100)</f>
        <v>0</v>
      </c>
      <c r="N2100" s="13" t="n">
        <f aca="false">IF(Kalender!A270="",0,J2099-H2100)</f>
        <v>0.0150822</v>
      </c>
    </row>
    <row r="2101" customFormat="false" ht="16.4" hidden="false" customHeight="false" outlineLevel="0" collapsed="false">
      <c r="A2101" s="13" t="str">
        <f aca="false">""</f>
        <v/>
      </c>
      <c r="B2101" s="13" t="n">
        <f aca="false">267</f>
        <v>267</v>
      </c>
      <c r="C2101" s="13" t="n">
        <f aca="false">IF(Szenarien!$H$16="OK",(IFERROR(SUMIF(Nutzungsprofile!$B$6:$B$11,"Schulbetrieb",Nutzungsprofile!$G$6:$G$11)*Kalender!C271/SUM(Kalender!$C$5:$C$370),0)+IFERROR(SUMIF(Nutzungsprofile!$B$6:$B$11,"Halle",Nutzungsprofile!$G$6:$G$11)*Kalender!D271/SUM(Kalender!$D$5:$D$370),0)+IFERROR(SUMIF(Nutzungsprofile!$B$6:$B$11,"Individuell",Nutzungsprofile!$G$6:$G$11)*Kalender!E271/SUM(Kalender!$E$5:$E$370),0))*Szenarien!$E$16,0)</f>
        <v>2.94</v>
      </c>
      <c r="D2101" s="13" t="n">
        <f aca="false">IF(Szenarien!$H$16="OK",(IFERROR(SUMIF(Nutzungsprofile!$B$17:$B$22,"Schulbetrieb",Nutzungsprofile!$G$17:$G$22)*Kalender!C271/SUM(Kalender!$C$5:$C$370),0)+IFERROR(SUMIF(Nutzungsprofile!$B$17:$B$22,"Halle",Nutzungsprofile!$G$17:$G$22)*Kalender!D271/SUM(Kalender!$D$5:$D$370),0)+IFERROR(SUMIF(Nutzungsprofile!$B$17:$B$22,"Individuell",Nutzungsprofile!$G$17:$G$22)*Kalender!E271/SUM(Kalender!$E$5:$E$370),0))*Szenarien!$D$16,0)</f>
        <v>4.94</v>
      </c>
      <c r="E2101" s="13" t="n">
        <f aca="false">IFERROR(MIN(C2101,Eingaben!$B$17)*Eingaben!$B$16,0)</f>
        <v>2.793</v>
      </c>
      <c r="F2101" s="13" t="n">
        <f aca="false">IFERROR(E2101*Eingaben!$B$15,0)</f>
        <v>2.5137</v>
      </c>
      <c r="G2101" s="13" t="n">
        <f aca="false">IFERROR(IF(Kalender!A271="",0,J2100*(1-Eingaben!$B$20)),0)</f>
        <v>0.7390278</v>
      </c>
      <c r="H2101" s="13" t="n">
        <f aca="false">MIN(G2101,D2101)</f>
        <v>0.7390278</v>
      </c>
      <c r="I2101" s="13" t="n">
        <f aca="false">IFERROR(MIN(F2101*Eingaben!$B$19,MAX(0,D2101-H2101)),0)</f>
        <v>1.75959</v>
      </c>
      <c r="J2101" s="13" t="n">
        <f aca="false">IFERROR(MIN(Eingaben!$B$18,MAX(0,F2101-I2101)),0)</f>
        <v>0.75411</v>
      </c>
      <c r="K2101" s="13" t="n">
        <f aca="false">H2101+I2101</f>
        <v>2.4986178</v>
      </c>
      <c r="L2101" s="13" t="n">
        <f aca="false">MAX(0,D2101-K2101)</f>
        <v>2.4413822</v>
      </c>
      <c r="M2101" s="13" t="n">
        <f aca="false">MAX(0,F2101-I2101-J2101)</f>
        <v>0</v>
      </c>
      <c r="N2101" s="13" t="n">
        <f aca="false">IF(Kalender!A271="",0,J2100-H2101)</f>
        <v>0.0150822</v>
      </c>
    </row>
    <row r="2102" customFormat="false" ht="16.4" hidden="false" customHeight="false" outlineLevel="0" collapsed="false">
      <c r="A2102" s="13" t="str">
        <f aca="false">""</f>
        <v/>
      </c>
      <c r="B2102" s="13" t="n">
        <f aca="false">268</f>
        <v>268</v>
      </c>
      <c r="C2102" s="13" t="n">
        <f aca="false">IF(Szenarien!$H$16="OK",(IFERROR(SUMIF(Nutzungsprofile!$B$6:$B$11,"Schulbetrieb",Nutzungsprofile!$G$6:$G$11)*Kalender!C272/SUM(Kalender!$C$5:$C$370),0)+IFERROR(SUMIF(Nutzungsprofile!$B$6:$B$11,"Halle",Nutzungsprofile!$G$6:$G$11)*Kalender!D272/SUM(Kalender!$D$5:$D$370),0)+IFERROR(SUMIF(Nutzungsprofile!$B$6:$B$11,"Individuell",Nutzungsprofile!$G$6:$G$11)*Kalender!E272/SUM(Kalender!$E$5:$E$370),0))*Szenarien!$E$16,0)</f>
        <v>2.94</v>
      </c>
      <c r="D2102" s="13" t="n">
        <f aca="false">IF(Szenarien!$H$16="OK",(IFERROR(SUMIF(Nutzungsprofile!$B$17:$B$22,"Schulbetrieb",Nutzungsprofile!$G$17:$G$22)*Kalender!C272/SUM(Kalender!$C$5:$C$370),0)+IFERROR(SUMIF(Nutzungsprofile!$B$17:$B$22,"Halle",Nutzungsprofile!$G$17:$G$22)*Kalender!D272/SUM(Kalender!$D$5:$D$370),0)+IFERROR(SUMIF(Nutzungsprofile!$B$17:$B$22,"Individuell",Nutzungsprofile!$G$17:$G$22)*Kalender!E272/SUM(Kalender!$E$5:$E$370),0))*Szenarien!$D$16,0)</f>
        <v>4.94</v>
      </c>
      <c r="E2102" s="13" t="n">
        <f aca="false">IFERROR(MIN(C2102,Eingaben!$B$17)*Eingaben!$B$16,0)</f>
        <v>2.793</v>
      </c>
      <c r="F2102" s="13" t="n">
        <f aca="false">IFERROR(E2102*Eingaben!$B$15,0)</f>
        <v>2.5137</v>
      </c>
      <c r="G2102" s="13" t="n">
        <f aca="false">IFERROR(IF(Kalender!A272="",0,J2101*(1-Eingaben!$B$20)),0)</f>
        <v>0.7390278</v>
      </c>
      <c r="H2102" s="13" t="n">
        <f aca="false">MIN(G2102,D2102)</f>
        <v>0.7390278</v>
      </c>
      <c r="I2102" s="13" t="n">
        <f aca="false">IFERROR(MIN(F2102*Eingaben!$B$19,MAX(0,D2102-H2102)),0)</f>
        <v>1.75959</v>
      </c>
      <c r="J2102" s="13" t="n">
        <f aca="false">IFERROR(MIN(Eingaben!$B$18,MAX(0,F2102-I2102)),0)</f>
        <v>0.75411</v>
      </c>
      <c r="K2102" s="13" t="n">
        <f aca="false">H2102+I2102</f>
        <v>2.4986178</v>
      </c>
      <c r="L2102" s="13" t="n">
        <f aca="false">MAX(0,D2102-K2102)</f>
        <v>2.4413822</v>
      </c>
      <c r="M2102" s="13" t="n">
        <f aca="false">MAX(0,F2102-I2102-J2102)</f>
        <v>0</v>
      </c>
      <c r="N2102" s="13" t="n">
        <f aca="false">IF(Kalender!A272="",0,J2101-H2102)</f>
        <v>0.0150822</v>
      </c>
    </row>
    <row r="2103" customFormat="false" ht="16.4" hidden="false" customHeight="false" outlineLevel="0" collapsed="false">
      <c r="A2103" s="13" t="str">
        <f aca="false">""</f>
        <v/>
      </c>
      <c r="B2103" s="13" t="n">
        <f aca="false">269</f>
        <v>269</v>
      </c>
      <c r="C2103" s="13" t="n">
        <f aca="false">IF(Szenarien!$H$16="OK",(IFERROR(SUMIF(Nutzungsprofile!$B$6:$B$11,"Schulbetrieb",Nutzungsprofile!$G$6:$G$11)*Kalender!C273/SUM(Kalender!$C$5:$C$370),0)+IFERROR(SUMIF(Nutzungsprofile!$B$6:$B$11,"Halle",Nutzungsprofile!$G$6:$G$11)*Kalender!D273/SUM(Kalender!$D$5:$D$370),0)+IFERROR(SUMIF(Nutzungsprofile!$B$6:$B$11,"Individuell",Nutzungsprofile!$G$6:$G$11)*Kalender!E273/SUM(Kalender!$E$5:$E$370),0))*Szenarien!$E$16,0)</f>
        <v>2.04</v>
      </c>
      <c r="D2103" s="13" t="n">
        <f aca="false">IF(Szenarien!$H$16="OK",(IFERROR(SUMIF(Nutzungsprofile!$B$17:$B$22,"Schulbetrieb",Nutzungsprofile!$G$17:$G$22)*Kalender!C273/SUM(Kalender!$C$5:$C$370),0)+IFERROR(SUMIF(Nutzungsprofile!$B$17:$B$22,"Halle",Nutzungsprofile!$G$17:$G$22)*Kalender!D273/SUM(Kalender!$D$5:$D$370),0)+IFERROR(SUMIF(Nutzungsprofile!$B$17:$B$22,"Individuell",Nutzungsprofile!$G$17:$G$22)*Kalender!E273/SUM(Kalender!$E$5:$E$370),0))*Szenarien!$D$16,0)</f>
        <v>0.89</v>
      </c>
      <c r="E2103" s="13" t="n">
        <f aca="false">IFERROR(MIN(C2103,Eingaben!$B$17)*Eingaben!$B$16,0)</f>
        <v>1.938</v>
      </c>
      <c r="F2103" s="13" t="n">
        <f aca="false">IFERROR(E2103*Eingaben!$B$15,0)</f>
        <v>1.7442</v>
      </c>
      <c r="G2103" s="13" t="n">
        <f aca="false">IFERROR(IF(Kalender!A273="",0,J2102*(1-Eingaben!$B$20)),0)</f>
        <v>0.7390278</v>
      </c>
      <c r="H2103" s="13" t="n">
        <f aca="false">MIN(G2103,D2103)</f>
        <v>0.7390278</v>
      </c>
      <c r="I2103" s="13" t="n">
        <f aca="false">IFERROR(MIN(F2103*Eingaben!$B$19,MAX(0,D2103-H2103)),0)</f>
        <v>0.1509722</v>
      </c>
      <c r="J2103" s="13" t="n">
        <f aca="false">IFERROR(MIN(Eingaben!$B$18,MAX(0,F2103-I2103)),0)</f>
        <v>1.5932278</v>
      </c>
      <c r="K2103" s="13" t="n">
        <f aca="false">H2103+I2103</f>
        <v>0.89</v>
      </c>
      <c r="L2103" s="13" t="n">
        <f aca="false">MAX(0,D2103-K2103)</f>
        <v>0</v>
      </c>
      <c r="M2103" s="13" t="n">
        <f aca="false">MAX(0,F2103-I2103-J2103)</f>
        <v>0</v>
      </c>
      <c r="N2103" s="13" t="n">
        <f aca="false">IF(Kalender!A273="",0,J2102-H2103)</f>
        <v>0.0150822</v>
      </c>
    </row>
    <row r="2104" customFormat="false" ht="16.4" hidden="false" customHeight="false" outlineLevel="0" collapsed="false">
      <c r="A2104" s="13" t="str">
        <f aca="false">""</f>
        <v/>
      </c>
      <c r="B2104" s="13" t="n">
        <f aca="false">270</f>
        <v>270</v>
      </c>
      <c r="C2104" s="13" t="n">
        <f aca="false">IF(Szenarien!$H$16="OK",(IFERROR(SUMIF(Nutzungsprofile!$B$6:$B$11,"Schulbetrieb",Nutzungsprofile!$G$6:$G$11)*Kalender!C274/SUM(Kalender!$C$5:$C$370),0)+IFERROR(SUMIF(Nutzungsprofile!$B$6:$B$11,"Halle",Nutzungsprofile!$G$6:$G$11)*Kalender!D274/SUM(Kalender!$D$5:$D$370),0)+IFERROR(SUMIF(Nutzungsprofile!$B$6:$B$11,"Individuell",Nutzungsprofile!$G$6:$G$11)*Kalender!E274/SUM(Kalender!$E$5:$E$370),0))*Szenarien!$E$16,0)</f>
        <v>2.04</v>
      </c>
      <c r="D2104" s="13" t="n">
        <f aca="false">IF(Szenarien!$H$16="OK",(IFERROR(SUMIF(Nutzungsprofile!$B$17:$B$22,"Schulbetrieb",Nutzungsprofile!$G$17:$G$22)*Kalender!C274/SUM(Kalender!$C$5:$C$370),0)+IFERROR(SUMIF(Nutzungsprofile!$B$17:$B$22,"Halle",Nutzungsprofile!$G$17:$G$22)*Kalender!D274/SUM(Kalender!$D$5:$D$370),0)+IFERROR(SUMIF(Nutzungsprofile!$B$17:$B$22,"Individuell",Nutzungsprofile!$G$17:$G$22)*Kalender!E274/SUM(Kalender!$E$5:$E$370),0))*Szenarien!$D$16,0)</f>
        <v>0.89</v>
      </c>
      <c r="E2104" s="13" t="n">
        <f aca="false">IFERROR(MIN(C2104,Eingaben!$B$17)*Eingaben!$B$16,0)</f>
        <v>1.938</v>
      </c>
      <c r="F2104" s="13" t="n">
        <f aca="false">IFERROR(E2104*Eingaben!$B$15,0)</f>
        <v>1.7442</v>
      </c>
      <c r="G2104" s="13" t="n">
        <f aca="false">IFERROR(IF(Kalender!A274="",0,J2103*(1-Eingaben!$B$20)),0)</f>
        <v>1.561363244</v>
      </c>
      <c r="H2104" s="13" t="n">
        <f aca="false">MIN(G2104,D2104)</f>
        <v>0.89</v>
      </c>
      <c r="I2104" s="13" t="n">
        <f aca="false">IFERROR(MIN(F2104*Eingaben!$B$19,MAX(0,D2104-H2104)),0)</f>
        <v>0</v>
      </c>
      <c r="J2104" s="13" t="n">
        <f aca="false">IFERROR(MIN(Eingaben!$B$18,MAX(0,F2104-I2104)),0)</f>
        <v>1.7442</v>
      </c>
      <c r="K2104" s="13" t="n">
        <f aca="false">H2104+I2104</f>
        <v>0.89</v>
      </c>
      <c r="L2104" s="13" t="n">
        <f aca="false">MAX(0,D2104-K2104)</f>
        <v>0</v>
      </c>
      <c r="M2104" s="13" t="n">
        <f aca="false">MAX(0,F2104-I2104-J2104)</f>
        <v>0</v>
      </c>
      <c r="N2104" s="13" t="n">
        <f aca="false">IF(Kalender!A274="",0,J2103-H2104)</f>
        <v>0.7032278</v>
      </c>
    </row>
    <row r="2105" customFormat="false" ht="16.4" hidden="false" customHeight="false" outlineLevel="0" collapsed="false">
      <c r="A2105" s="13" t="str">
        <f aca="false">""</f>
        <v/>
      </c>
      <c r="B2105" s="13" t="n">
        <f aca="false">271</f>
        <v>271</v>
      </c>
      <c r="C2105" s="13" t="n">
        <f aca="false">IF(Szenarien!$H$16="OK",(IFERROR(SUMIF(Nutzungsprofile!$B$6:$B$11,"Schulbetrieb",Nutzungsprofile!$G$6:$G$11)*Kalender!C275/SUM(Kalender!$C$5:$C$370),0)+IFERROR(SUMIF(Nutzungsprofile!$B$6:$B$11,"Halle",Nutzungsprofile!$G$6:$G$11)*Kalender!D275/SUM(Kalender!$D$5:$D$370),0)+IFERROR(SUMIF(Nutzungsprofile!$B$6:$B$11,"Individuell",Nutzungsprofile!$G$6:$G$11)*Kalender!E275/SUM(Kalender!$E$5:$E$370),0))*Szenarien!$E$16,0)</f>
        <v>2.94</v>
      </c>
      <c r="D2105" s="13" t="n">
        <f aca="false">IF(Szenarien!$H$16="OK",(IFERROR(SUMIF(Nutzungsprofile!$B$17:$B$22,"Schulbetrieb",Nutzungsprofile!$G$17:$G$22)*Kalender!C275/SUM(Kalender!$C$5:$C$370),0)+IFERROR(SUMIF(Nutzungsprofile!$B$17:$B$22,"Halle",Nutzungsprofile!$G$17:$G$22)*Kalender!D275/SUM(Kalender!$D$5:$D$370),0)+IFERROR(SUMIF(Nutzungsprofile!$B$17:$B$22,"Individuell",Nutzungsprofile!$G$17:$G$22)*Kalender!E275/SUM(Kalender!$E$5:$E$370),0))*Szenarien!$D$16,0)</f>
        <v>4.94</v>
      </c>
      <c r="E2105" s="13" t="n">
        <f aca="false">IFERROR(MIN(C2105,Eingaben!$B$17)*Eingaben!$B$16,0)</f>
        <v>2.793</v>
      </c>
      <c r="F2105" s="13" t="n">
        <f aca="false">IFERROR(E2105*Eingaben!$B$15,0)</f>
        <v>2.5137</v>
      </c>
      <c r="G2105" s="13" t="n">
        <f aca="false">IFERROR(IF(Kalender!A275="",0,J2104*(1-Eingaben!$B$20)),0)</f>
        <v>1.709316</v>
      </c>
      <c r="H2105" s="13" t="n">
        <f aca="false">MIN(G2105,D2105)</f>
        <v>1.709316</v>
      </c>
      <c r="I2105" s="13" t="n">
        <f aca="false">IFERROR(MIN(F2105*Eingaben!$B$19,MAX(0,D2105-H2105)),0)</f>
        <v>1.75959</v>
      </c>
      <c r="J2105" s="13" t="n">
        <f aca="false">IFERROR(MIN(Eingaben!$B$18,MAX(0,F2105-I2105)),0)</f>
        <v>0.75411</v>
      </c>
      <c r="K2105" s="13" t="n">
        <f aca="false">H2105+I2105</f>
        <v>3.468906</v>
      </c>
      <c r="L2105" s="13" t="n">
        <f aca="false">MAX(0,D2105-K2105)</f>
        <v>1.471094</v>
      </c>
      <c r="M2105" s="13" t="n">
        <f aca="false">MAX(0,F2105-I2105-J2105)</f>
        <v>0</v>
      </c>
      <c r="N2105" s="13" t="n">
        <f aca="false">IF(Kalender!A275="",0,J2104-H2105)</f>
        <v>0.0348840000000001</v>
      </c>
    </row>
    <row r="2106" customFormat="false" ht="16.4" hidden="false" customHeight="false" outlineLevel="0" collapsed="false">
      <c r="A2106" s="13" t="str">
        <f aca="false">""</f>
        <v/>
      </c>
      <c r="B2106" s="13" t="n">
        <f aca="false">272</f>
        <v>272</v>
      </c>
      <c r="C2106" s="13" t="n">
        <f aca="false">IF(Szenarien!$H$16="OK",(IFERROR(SUMIF(Nutzungsprofile!$B$6:$B$11,"Schulbetrieb",Nutzungsprofile!$G$6:$G$11)*Kalender!C276/SUM(Kalender!$C$5:$C$370),0)+IFERROR(SUMIF(Nutzungsprofile!$B$6:$B$11,"Halle",Nutzungsprofile!$G$6:$G$11)*Kalender!D276/SUM(Kalender!$D$5:$D$370),0)+IFERROR(SUMIF(Nutzungsprofile!$B$6:$B$11,"Individuell",Nutzungsprofile!$G$6:$G$11)*Kalender!E276/SUM(Kalender!$E$5:$E$370),0))*Szenarien!$E$16,0)</f>
        <v>2.94</v>
      </c>
      <c r="D2106" s="13" t="n">
        <f aca="false">IF(Szenarien!$H$16="OK",(IFERROR(SUMIF(Nutzungsprofile!$B$17:$B$22,"Schulbetrieb",Nutzungsprofile!$G$17:$G$22)*Kalender!C276/SUM(Kalender!$C$5:$C$370),0)+IFERROR(SUMIF(Nutzungsprofile!$B$17:$B$22,"Halle",Nutzungsprofile!$G$17:$G$22)*Kalender!D276/SUM(Kalender!$D$5:$D$370),0)+IFERROR(SUMIF(Nutzungsprofile!$B$17:$B$22,"Individuell",Nutzungsprofile!$G$17:$G$22)*Kalender!E276/SUM(Kalender!$E$5:$E$370),0))*Szenarien!$D$16,0)</f>
        <v>4.94</v>
      </c>
      <c r="E2106" s="13" t="n">
        <f aca="false">IFERROR(MIN(C2106,Eingaben!$B$17)*Eingaben!$B$16,0)</f>
        <v>2.793</v>
      </c>
      <c r="F2106" s="13" t="n">
        <f aca="false">IFERROR(E2106*Eingaben!$B$15,0)</f>
        <v>2.5137</v>
      </c>
      <c r="G2106" s="13" t="n">
        <f aca="false">IFERROR(IF(Kalender!A276="",0,J2105*(1-Eingaben!$B$20)),0)</f>
        <v>0.7390278</v>
      </c>
      <c r="H2106" s="13" t="n">
        <f aca="false">MIN(G2106,D2106)</f>
        <v>0.7390278</v>
      </c>
      <c r="I2106" s="13" t="n">
        <f aca="false">IFERROR(MIN(F2106*Eingaben!$B$19,MAX(0,D2106-H2106)),0)</f>
        <v>1.75959</v>
      </c>
      <c r="J2106" s="13" t="n">
        <f aca="false">IFERROR(MIN(Eingaben!$B$18,MAX(0,F2106-I2106)),0)</f>
        <v>0.75411</v>
      </c>
      <c r="K2106" s="13" t="n">
        <f aca="false">H2106+I2106</f>
        <v>2.4986178</v>
      </c>
      <c r="L2106" s="13" t="n">
        <f aca="false">MAX(0,D2106-K2106)</f>
        <v>2.4413822</v>
      </c>
      <c r="M2106" s="13" t="n">
        <f aca="false">MAX(0,F2106-I2106-J2106)</f>
        <v>0</v>
      </c>
      <c r="N2106" s="13" t="n">
        <f aca="false">IF(Kalender!A276="",0,J2105-H2106)</f>
        <v>0.0150822</v>
      </c>
    </row>
    <row r="2107" customFormat="false" ht="16.4" hidden="false" customHeight="false" outlineLevel="0" collapsed="false">
      <c r="A2107" s="13" t="str">
        <f aca="false">""</f>
        <v/>
      </c>
      <c r="B2107" s="13" t="n">
        <f aca="false">273</f>
        <v>273</v>
      </c>
      <c r="C2107" s="13" t="n">
        <f aca="false">IF(Szenarien!$H$16="OK",(IFERROR(SUMIF(Nutzungsprofile!$B$6:$B$11,"Schulbetrieb",Nutzungsprofile!$G$6:$G$11)*Kalender!C277/SUM(Kalender!$C$5:$C$370),0)+IFERROR(SUMIF(Nutzungsprofile!$B$6:$B$11,"Halle",Nutzungsprofile!$G$6:$G$11)*Kalender!D277/SUM(Kalender!$D$5:$D$370),0)+IFERROR(SUMIF(Nutzungsprofile!$B$6:$B$11,"Individuell",Nutzungsprofile!$G$6:$G$11)*Kalender!E277/SUM(Kalender!$E$5:$E$370),0))*Szenarien!$E$16,0)</f>
        <v>2.94</v>
      </c>
      <c r="D2107" s="13" t="n">
        <f aca="false">IF(Szenarien!$H$16="OK",(IFERROR(SUMIF(Nutzungsprofile!$B$17:$B$22,"Schulbetrieb",Nutzungsprofile!$G$17:$G$22)*Kalender!C277/SUM(Kalender!$C$5:$C$370),0)+IFERROR(SUMIF(Nutzungsprofile!$B$17:$B$22,"Halle",Nutzungsprofile!$G$17:$G$22)*Kalender!D277/SUM(Kalender!$D$5:$D$370),0)+IFERROR(SUMIF(Nutzungsprofile!$B$17:$B$22,"Individuell",Nutzungsprofile!$G$17:$G$22)*Kalender!E277/SUM(Kalender!$E$5:$E$370),0))*Szenarien!$D$16,0)</f>
        <v>4.94</v>
      </c>
      <c r="E2107" s="13" t="n">
        <f aca="false">IFERROR(MIN(C2107,Eingaben!$B$17)*Eingaben!$B$16,0)</f>
        <v>2.793</v>
      </c>
      <c r="F2107" s="13" t="n">
        <f aca="false">IFERROR(E2107*Eingaben!$B$15,0)</f>
        <v>2.5137</v>
      </c>
      <c r="G2107" s="13" t="n">
        <f aca="false">IFERROR(IF(Kalender!A277="",0,J2106*(1-Eingaben!$B$20)),0)</f>
        <v>0.7390278</v>
      </c>
      <c r="H2107" s="13" t="n">
        <f aca="false">MIN(G2107,D2107)</f>
        <v>0.7390278</v>
      </c>
      <c r="I2107" s="13" t="n">
        <f aca="false">IFERROR(MIN(F2107*Eingaben!$B$19,MAX(0,D2107-H2107)),0)</f>
        <v>1.75959</v>
      </c>
      <c r="J2107" s="13" t="n">
        <f aca="false">IFERROR(MIN(Eingaben!$B$18,MAX(0,F2107-I2107)),0)</f>
        <v>0.75411</v>
      </c>
      <c r="K2107" s="13" t="n">
        <f aca="false">H2107+I2107</f>
        <v>2.4986178</v>
      </c>
      <c r="L2107" s="13" t="n">
        <f aca="false">MAX(0,D2107-K2107)</f>
        <v>2.4413822</v>
      </c>
      <c r="M2107" s="13" t="n">
        <f aca="false">MAX(0,F2107-I2107-J2107)</f>
        <v>0</v>
      </c>
      <c r="N2107" s="13" t="n">
        <f aca="false">IF(Kalender!A277="",0,J2106-H2107)</f>
        <v>0.0150822</v>
      </c>
    </row>
    <row r="2108" customFormat="false" ht="16.4" hidden="false" customHeight="false" outlineLevel="0" collapsed="false">
      <c r="A2108" s="13" t="str">
        <f aca="false">""</f>
        <v/>
      </c>
      <c r="B2108" s="13" t="n">
        <f aca="false">274</f>
        <v>274</v>
      </c>
      <c r="C2108" s="13" t="n">
        <f aca="false">IF(Szenarien!$H$16="OK",(IFERROR(SUMIF(Nutzungsprofile!$B$6:$B$11,"Schulbetrieb",Nutzungsprofile!$G$6:$G$11)*Kalender!C278/SUM(Kalender!$C$5:$C$370),0)+IFERROR(SUMIF(Nutzungsprofile!$B$6:$B$11,"Halle",Nutzungsprofile!$G$6:$G$11)*Kalender!D278/SUM(Kalender!$D$5:$D$370),0)+IFERROR(SUMIF(Nutzungsprofile!$B$6:$B$11,"Individuell",Nutzungsprofile!$G$6:$G$11)*Kalender!E278/SUM(Kalender!$E$5:$E$370),0))*Szenarien!$E$16,0)</f>
        <v>2.94</v>
      </c>
      <c r="D2108" s="13" t="n">
        <f aca="false">IF(Szenarien!$H$16="OK",(IFERROR(SUMIF(Nutzungsprofile!$B$17:$B$22,"Schulbetrieb",Nutzungsprofile!$G$17:$G$22)*Kalender!C278/SUM(Kalender!$C$5:$C$370),0)+IFERROR(SUMIF(Nutzungsprofile!$B$17:$B$22,"Halle",Nutzungsprofile!$G$17:$G$22)*Kalender!D278/SUM(Kalender!$D$5:$D$370),0)+IFERROR(SUMIF(Nutzungsprofile!$B$17:$B$22,"Individuell",Nutzungsprofile!$G$17:$G$22)*Kalender!E278/SUM(Kalender!$E$5:$E$370),0))*Szenarien!$D$16,0)</f>
        <v>4.94</v>
      </c>
      <c r="E2108" s="13" t="n">
        <f aca="false">IFERROR(MIN(C2108,Eingaben!$B$17)*Eingaben!$B$16,0)</f>
        <v>2.793</v>
      </c>
      <c r="F2108" s="13" t="n">
        <f aca="false">IFERROR(E2108*Eingaben!$B$15,0)</f>
        <v>2.5137</v>
      </c>
      <c r="G2108" s="13" t="n">
        <f aca="false">IFERROR(IF(Kalender!A278="",0,J2107*(1-Eingaben!$B$20)),0)</f>
        <v>0.7390278</v>
      </c>
      <c r="H2108" s="13" t="n">
        <f aca="false">MIN(G2108,D2108)</f>
        <v>0.7390278</v>
      </c>
      <c r="I2108" s="13" t="n">
        <f aca="false">IFERROR(MIN(F2108*Eingaben!$B$19,MAX(0,D2108-H2108)),0)</f>
        <v>1.75959</v>
      </c>
      <c r="J2108" s="13" t="n">
        <f aca="false">IFERROR(MIN(Eingaben!$B$18,MAX(0,F2108-I2108)),0)</f>
        <v>0.75411</v>
      </c>
      <c r="K2108" s="13" t="n">
        <f aca="false">H2108+I2108</f>
        <v>2.4986178</v>
      </c>
      <c r="L2108" s="13" t="n">
        <f aca="false">MAX(0,D2108-K2108)</f>
        <v>2.4413822</v>
      </c>
      <c r="M2108" s="13" t="n">
        <f aca="false">MAX(0,F2108-I2108-J2108)</f>
        <v>0</v>
      </c>
      <c r="N2108" s="13" t="n">
        <f aca="false">IF(Kalender!A278="",0,J2107-H2108)</f>
        <v>0.0150822</v>
      </c>
    </row>
    <row r="2109" customFormat="false" ht="16.4" hidden="false" customHeight="false" outlineLevel="0" collapsed="false">
      <c r="A2109" s="13" t="str">
        <f aca="false">""</f>
        <v/>
      </c>
      <c r="B2109" s="13" t="n">
        <f aca="false">275</f>
        <v>275</v>
      </c>
      <c r="C2109" s="13" t="n">
        <f aca="false">IF(Szenarien!$H$16="OK",(IFERROR(SUMIF(Nutzungsprofile!$B$6:$B$11,"Schulbetrieb",Nutzungsprofile!$G$6:$G$11)*Kalender!C279/SUM(Kalender!$C$5:$C$370),0)+IFERROR(SUMIF(Nutzungsprofile!$B$6:$B$11,"Halle",Nutzungsprofile!$G$6:$G$11)*Kalender!D279/SUM(Kalender!$D$5:$D$370),0)+IFERROR(SUMIF(Nutzungsprofile!$B$6:$B$11,"Individuell",Nutzungsprofile!$G$6:$G$11)*Kalender!E279/SUM(Kalender!$E$5:$E$370),0))*Szenarien!$E$16,0)</f>
        <v>2.94</v>
      </c>
      <c r="D2109" s="13" t="n">
        <f aca="false">IF(Szenarien!$H$16="OK",(IFERROR(SUMIF(Nutzungsprofile!$B$17:$B$22,"Schulbetrieb",Nutzungsprofile!$G$17:$G$22)*Kalender!C279/SUM(Kalender!$C$5:$C$370),0)+IFERROR(SUMIF(Nutzungsprofile!$B$17:$B$22,"Halle",Nutzungsprofile!$G$17:$G$22)*Kalender!D279/SUM(Kalender!$D$5:$D$370),0)+IFERROR(SUMIF(Nutzungsprofile!$B$17:$B$22,"Individuell",Nutzungsprofile!$G$17:$G$22)*Kalender!E279/SUM(Kalender!$E$5:$E$370),0))*Szenarien!$D$16,0)</f>
        <v>4.94</v>
      </c>
      <c r="E2109" s="13" t="n">
        <f aca="false">IFERROR(MIN(C2109,Eingaben!$B$17)*Eingaben!$B$16,0)</f>
        <v>2.793</v>
      </c>
      <c r="F2109" s="13" t="n">
        <f aca="false">IFERROR(E2109*Eingaben!$B$15,0)</f>
        <v>2.5137</v>
      </c>
      <c r="G2109" s="13" t="n">
        <f aca="false">IFERROR(IF(Kalender!A279="",0,J2108*(1-Eingaben!$B$20)),0)</f>
        <v>0.7390278</v>
      </c>
      <c r="H2109" s="13" t="n">
        <f aca="false">MIN(G2109,D2109)</f>
        <v>0.7390278</v>
      </c>
      <c r="I2109" s="13" t="n">
        <f aca="false">IFERROR(MIN(F2109*Eingaben!$B$19,MAX(0,D2109-H2109)),0)</f>
        <v>1.75959</v>
      </c>
      <c r="J2109" s="13" t="n">
        <f aca="false">IFERROR(MIN(Eingaben!$B$18,MAX(0,F2109-I2109)),0)</f>
        <v>0.75411</v>
      </c>
      <c r="K2109" s="13" t="n">
        <f aca="false">H2109+I2109</f>
        <v>2.4986178</v>
      </c>
      <c r="L2109" s="13" t="n">
        <f aca="false">MAX(0,D2109-K2109)</f>
        <v>2.4413822</v>
      </c>
      <c r="M2109" s="13" t="n">
        <f aca="false">MAX(0,F2109-I2109-J2109)</f>
        <v>0</v>
      </c>
      <c r="N2109" s="13" t="n">
        <f aca="false">IF(Kalender!A279="",0,J2108-H2109)</f>
        <v>0.0150822</v>
      </c>
    </row>
    <row r="2110" customFormat="false" ht="16.4" hidden="false" customHeight="false" outlineLevel="0" collapsed="false">
      <c r="A2110" s="13" t="str">
        <f aca="false">""</f>
        <v/>
      </c>
      <c r="B2110" s="13" t="n">
        <f aca="false">276</f>
        <v>276</v>
      </c>
      <c r="C2110" s="13" t="n">
        <f aca="false">IF(Szenarien!$H$16="OK",(IFERROR(SUMIF(Nutzungsprofile!$B$6:$B$11,"Schulbetrieb",Nutzungsprofile!$G$6:$G$11)*Kalender!C280/SUM(Kalender!$C$5:$C$370),0)+IFERROR(SUMIF(Nutzungsprofile!$B$6:$B$11,"Halle",Nutzungsprofile!$G$6:$G$11)*Kalender!D280/SUM(Kalender!$D$5:$D$370),0)+IFERROR(SUMIF(Nutzungsprofile!$B$6:$B$11,"Individuell",Nutzungsprofile!$G$6:$G$11)*Kalender!E280/SUM(Kalender!$E$5:$E$370),0))*Szenarien!$E$16,0)</f>
        <v>2.04</v>
      </c>
      <c r="D2110" s="13" t="n">
        <f aca="false">IF(Szenarien!$H$16="OK",(IFERROR(SUMIF(Nutzungsprofile!$B$17:$B$22,"Schulbetrieb",Nutzungsprofile!$G$17:$G$22)*Kalender!C280/SUM(Kalender!$C$5:$C$370),0)+IFERROR(SUMIF(Nutzungsprofile!$B$17:$B$22,"Halle",Nutzungsprofile!$G$17:$G$22)*Kalender!D280/SUM(Kalender!$D$5:$D$370),0)+IFERROR(SUMIF(Nutzungsprofile!$B$17:$B$22,"Individuell",Nutzungsprofile!$G$17:$G$22)*Kalender!E280/SUM(Kalender!$E$5:$E$370),0))*Szenarien!$D$16,0)</f>
        <v>0.89</v>
      </c>
      <c r="E2110" s="13" t="n">
        <f aca="false">IFERROR(MIN(C2110,Eingaben!$B$17)*Eingaben!$B$16,0)</f>
        <v>1.938</v>
      </c>
      <c r="F2110" s="13" t="n">
        <f aca="false">IFERROR(E2110*Eingaben!$B$15,0)</f>
        <v>1.7442</v>
      </c>
      <c r="G2110" s="13" t="n">
        <f aca="false">IFERROR(IF(Kalender!A280="",0,J2109*(1-Eingaben!$B$20)),0)</f>
        <v>0.7390278</v>
      </c>
      <c r="H2110" s="13" t="n">
        <f aca="false">MIN(G2110,D2110)</f>
        <v>0.7390278</v>
      </c>
      <c r="I2110" s="13" t="n">
        <f aca="false">IFERROR(MIN(F2110*Eingaben!$B$19,MAX(0,D2110-H2110)),0)</f>
        <v>0.1509722</v>
      </c>
      <c r="J2110" s="13" t="n">
        <f aca="false">IFERROR(MIN(Eingaben!$B$18,MAX(0,F2110-I2110)),0)</f>
        <v>1.5932278</v>
      </c>
      <c r="K2110" s="13" t="n">
        <f aca="false">H2110+I2110</f>
        <v>0.89</v>
      </c>
      <c r="L2110" s="13" t="n">
        <f aca="false">MAX(0,D2110-K2110)</f>
        <v>0</v>
      </c>
      <c r="M2110" s="13" t="n">
        <f aca="false">MAX(0,F2110-I2110-J2110)</f>
        <v>0</v>
      </c>
      <c r="N2110" s="13" t="n">
        <f aca="false">IF(Kalender!A280="",0,J2109-H2110)</f>
        <v>0.0150822</v>
      </c>
    </row>
    <row r="2111" customFormat="false" ht="16.4" hidden="false" customHeight="false" outlineLevel="0" collapsed="false">
      <c r="A2111" s="13" t="str">
        <f aca="false">""</f>
        <v/>
      </c>
      <c r="B2111" s="13" t="n">
        <f aca="false">277</f>
        <v>277</v>
      </c>
      <c r="C2111" s="13" t="n">
        <f aca="false">IF(Szenarien!$H$16="OK",(IFERROR(SUMIF(Nutzungsprofile!$B$6:$B$11,"Schulbetrieb",Nutzungsprofile!$G$6:$G$11)*Kalender!C281/SUM(Kalender!$C$5:$C$370),0)+IFERROR(SUMIF(Nutzungsprofile!$B$6:$B$11,"Halle",Nutzungsprofile!$G$6:$G$11)*Kalender!D281/SUM(Kalender!$D$5:$D$370),0)+IFERROR(SUMIF(Nutzungsprofile!$B$6:$B$11,"Individuell",Nutzungsprofile!$G$6:$G$11)*Kalender!E281/SUM(Kalender!$E$5:$E$370),0))*Szenarien!$E$16,0)</f>
        <v>2.04</v>
      </c>
      <c r="D2111" s="13" t="n">
        <f aca="false">IF(Szenarien!$H$16="OK",(IFERROR(SUMIF(Nutzungsprofile!$B$17:$B$22,"Schulbetrieb",Nutzungsprofile!$G$17:$G$22)*Kalender!C281/SUM(Kalender!$C$5:$C$370),0)+IFERROR(SUMIF(Nutzungsprofile!$B$17:$B$22,"Halle",Nutzungsprofile!$G$17:$G$22)*Kalender!D281/SUM(Kalender!$D$5:$D$370),0)+IFERROR(SUMIF(Nutzungsprofile!$B$17:$B$22,"Individuell",Nutzungsprofile!$G$17:$G$22)*Kalender!E281/SUM(Kalender!$E$5:$E$370),0))*Szenarien!$D$16,0)</f>
        <v>0.89</v>
      </c>
      <c r="E2111" s="13" t="n">
        <f aca="false">IFERROR(MIN(C2111,Eingaben!$B$17)*Eingaben!$B$16,0)</f>
        <v>1.938</v>
      </c>
      <c r="F2111" s="13" t="n">
        <f aca="false">IFERROR(E2111*Eingaben!$B$15,0)</f>
        <v>1.7442</v>
      </c>
      <c r="G2111" s="13" t="n">
        <f aca="false">IFERROR(IF(Kalender!A281="",0,J2110*(1-Eingaben!$B$20)),0)</f>
        <v>1.561363244</v>
      </c>
      <c r="H2111" s="13" t="n">
        <f aca="false">MIN(G2111,D2111)</f>
        <v>0.89</v>
      </c>
      <c r="I2111" s="13" t="n">
        <f aca="false">IFERROR(MIN(F2111*Eingaben!$B$19,MAX(0,D2111-H2111)),0)</f>
        <v>0</v>
      </c>
      <c r="J2111" s="13" t="n">
        <f aca="false">IFERROR(MIN(Eingaben!$B$18,MAX(0,F2111-I2111)),0)</f>
        <v>1.7442</v>
      </c>
      <c r="K2111" s="13" t="n">
        <f aca="false">H2111+I2111</f>
        <v>0.89</v>
      </c>
      <c r="L2111" s="13" t="n">
        <f aca="false">MAX(0,D2111-K2111)</f>
        <v>0</v>
      </c>
      <c r="M2111" s="13" t="n">
        <f aca="false">MAX(0,F2111-I2111-J2111)</f>
        <v>0</v>
      </c>
      <c r="N2111" s="13" t="n">
        <f aca="false">IF(Kalender!A281="",0,J2110-H2111)</f>
        <v>0.7032278</v>
      </c>
    </row>
    <row r="2112" customFormat="false" ht="16.4" hidden="false" customHeight="false" outlineLevel="0" collapsed="false">
      <c r="A2112" s="13" t="str">
        <f aca="false">""</f>
        <v/>
      </c>
      <c r="B2112" s="13" t="n">
        <f aca="false">278</f>
        <v>278</v>
      </c>
      <c r="C2112" s="13" t="n">
        <f aca="false">IF(Szenarien!$H$16="OK",(IFERROR(SUMIF(Nutzungsprofile!$B$6:$B$11,"Schulbetrieb",Nutzungsprofile!$G$6:$G$11)*Kalender!C282/SUM(Kalender!$C$5:$C$370),0)+IFERROR(SUMIF(Nutzungsprofile!$B$6:$B$11,"Halle",Nutzungsprofile!$G$6:$G$11)*Kalender!D282/SUM(Kalender!$D$5:$D$370),0)+IFERROR(SUMIF(Nutzungsprofile!$B$6:$B$11,"Individuell",Nutzungsprofile!$G$6:$G$11)*Kalender!E282/SUM(Kalender!$E$5:$E$370),0))*Szenarien!$E$16,0)</f>
        <v>2.94</v>
      </c>
      <c r="D2112" s="13" t="n">
        <f aca="false">IF(Szenarien!$H$16="OK",(IFERROR(SUMIF(Nutzungsprofile!$B$17:$B$22,"Schulbetrieb",Nutzungsprofile!$G$17:$G$22)*Kalender!C282/SUM(Kalender!$C$5:$C$370),0)+IFERROR(SUMIF(Nutzungsprofile!$B$17:$B$22,"Halle",Nutzungsprofile!$G$17:$G$22)*Kalender!D282/SUM(Kalender!$D$5:$D$370),0)+IFERROR(SUMIF(Nutzungsprofile!$B$17:$B$22,"Individuell",Nutzungsprofile!$G$17:$G$22)*Kalender!E282/SUM(Kalender!$E$5:$E$370),0))*Szenarien!$D$16,0)</f>
        <v>4.94</v>
      </c>
      <c r="E2112" s="13" t="n">
        <f aca="false">IFERROR(MIN(C2112,Eingaben!$B$17)*Eingaben!$B$16,0)</f>
        <v>2.793</v>
      </c>
      <c r="F2112" s="13" t="n">
        <f aca="false">IFERROR(E2112*Eingaben!$B$15,0)</f>
        <v>2.5137</v>
      </c>
      <c r="G2112" s="13" t="n">
        <f aca="false">IFERROR(IF(Kalender!A282="",0,J2111*(1-Eingaben!$B$20)),0)</f>
        <v>1.709316</v>
      </c>
      <c r="H2112" s="13" t="n">
        <f aca="false">MIN(G2112,D2112)</f>
        <v>1.709316</v>
      </c>
      <c r="I2112" s="13" t="n">
        <f aca="false">IFERROR(MIN(F2112*Eingaben!$B$19,MAX(0,D2112-H2112)),0)</f>
        <v>1.75959</v>
      </c>
      <c r="J2112" s="13" t="n">
        <f aca="false">IFERROR(MIN(Eingaben!$B$18,MAX(0,F2112-I2112)),0)</f>
        <v>0.75411</v>
      </c>
      <c r="K2112" s="13" t="n">
        <f aca="false">H2112+I2112</f>
        <v>3.468906</v>
      </c>
      <c r="L2112" s="13" t="n">
        <f aca="false">MAX(0,D2112-K2112)</f>
        <v>1.471094</v>
      </c>
      <c r="M2112" s="13" t="n">
        <f aca="false">MAX(0,F2112-I2112-J2112)</f>
        <v>0</v>
      </c>
      <c r="N2112" s="13" t="n">
        <f aca="false">IF(Kalender!A282="",0,J2111-H2112)</f>
        <v>0.0348840000000001</v>
      </c>
    </row>
    <row r="2113" customFormat="false" ht="16.4" hidden="false" customHeight="false" outlineLevel="0" collapsed="false">
      <c r="A2113" s="13" t="str">
        <f aca="false">""</f>
        <v/>
      </c>
      <c r="B2113" s="13" t="n">
        <f aca="false">279</f>
        <v>279</v>
      </c>
      <c r="C2113" s="13" t="n">
        <f aca="false">IF(Szenarien!$H$16="OK",(IFERROR(SUMIF(Nutzungsprofile!$B$6:$B$11,"Schulbetrieb",Nutzungsprofile!$G$6:$G$11)*Kalender!C283/SUM(Kalender!$C$5:$C$370),0)+IFERROR(SUMIF(Nutzungsprofile!$B$6:$B$11,"Halle",Nutzungsprofile!$G$6:$G$11)*Kalender!D283/SUM(Kalender!$D$5:$D$370),0)+IFERROR(SUMIF(Nutzungsprofile!$B$6:$B$11,"Individuell",Nutzungsprofile!$G$6:$G$11)*Kalender!E283/SUM(Kalender!$E$5:$E$370),0))*Szenarien!$E$16,0)</f>
        <v>2.94</v>
      </c>
      <c r="D2113" s="13" t="n">
        <f aca="false">IF(Szenarien!$H$16="OK",(IFERROR(SUMIF(Nutzungsprofile!$B$17:$B$22,"Schulbetrieb",Nutzungsprofile!$G$17:$G$22)*Kalender!C283/SUM(Kalender!$C$5:$C$370),0)+IFERROR(SUMIF(Nutzungsprofile!$B$17:$B$22,"Halle",Nutzungsprofile!$G$17:$G$22)*Kalender!D283/SUM(Kalender!$D$5:$D$370),0)+IFERROR(SUMIF(Nutzungsprofile!$B$17:$B$22,"Individuell",Nutzungsprofile!$G$17:$G$22)*Kalender!E283/SUM(Kalender!$E$5:$E$370),0))*Szenarien!$D$16,0)</f>
        <v>4.94</v>
      </c>
      <c r="E2113" s="13" t="n">
        <f aca="false">IFERROR(MIN(C2113,Eingaben!$B$17)*Eingaben!$B$16,0)</f>
        <v>2.793</v>
      </c>
      <c r="F2113" s="13" t="n">
        <f aca="false">IFERROR(E2113*Eingaben!$B$15,0)</f>
        <v>2.5137</v>
      </c>
      <c r="G2113" s="13" t="n">
        <f aca="false">IFERROR(IF(Kalender!A283="",0,J2112*(1-Eingaben!$B$20)),0)</f>
        <v>0.7390278</v>
      </c>
      <c r="H2113" s="13" t="n">
        <f aca="false">MIN(G2113,D2113)</f>
        <v>0.7390278</v>
      </c>
      <c r="I2113" s="13" t="n">
        <f aca="false">IFERROR(MIN(F2113*Eingaben!$B$19,MAX(0,D2113-H2113)),0)</f>
        <v>1.75959</v>
      </c>
      <c r="J2113" s="13" t="n">
        <f aca="false">IFERROR(MIN(Eingaben!$B$18,MAX(0,F2113-I2113)),0)</f>
        <v>0.75411</v>
      </c>
      <c r="K2113" s="13" t="n">
        <f aca="false">H2113+I2113</f>
        <v>2.4986178</v>
      </c>
      <c r="L2113" s="13" t="n">
        <f aca="false">MAX(0,D2113-K2113)</f>
        <v>2.4413822</v>
      </c>
      <c r="M2113" s="13" t="n">
        <f aca="false">MAX(0,F2113-I2113-J2113)</f>
        <v>0</v>
      </c>
      <c r="N2113" s="13" t="n">
        <f aca="false">IF(Kalender!A283="",0,J2112-H2113)</f>
        <v>0.0150822</v>
      </c>
    </row>
    <row r="2114" customFormat="false" ht="16.4" hidden="false" customHeight="false" outlineLevel="0" collapsed="false">
      <c r="A2114" s="13" t="str">
        <f aca="false">""</f>
        <v/>
      </c>
      <c r="B2114" s="13" t="n">
        <f aca="false">280</f>
        <v>280</v>
      </c>
      <c r="C2114" s="13" t="n">
        <f aca="false">IF(Szenarien!$H$16="OK",(IFERROR(SUMIF(Nutzungsprofile!$B$6:$B$11,"Schulbetrieb",Nutzungsprofile!$G$6:$G$11)*Kalender!C284/SUM(Kalender!$C$5:$C$370),0)+IFERROR(SUMIF(Nutzungsprofile!$B$6:$B$11,"Halle",Nutzungsprofile!$G$6:$G$11)*Kalender!D284/SUM(Kalender!$D$5:$D$370),0)+IFERROR(SUMIF(Nutzungsprofile!$B$6:$B$11,"Individuell",Nutzungsprofile!$G$6:$G$11)*Kalender!E284/SUM(Kalender!$E$5:$E$370),0))*Szenarien!$E$16,0)</f>
        <v>2.94</v>
      </c>
      <c r="D2114" s="13" t="n">
        <f aca="false">IF(Szenarien!$H$16="OK",(IFERROR(SUMIF(Nutzungsprofile!$B$17:$B$22,"Schulbetrieb",Nutzungsprofile!$G$17:$G$22)*Kalender!C284/SUM(Kalender!$C$5:$C$370),0)+IFERROR(SUMIF(Nutzungsprofile!$B$17:$B$22,"Halle",Nutzungsprofile!$G$17:$G$22)*Kalender!D284/SUM(Kalender!$D$5:$D$370),0)+IFERROR(SUMIF(Nutzungsprofile!$B$17:$B$22,"Individuell",Nutzungsprofile!$G$17:$G$22)*Kalender!E284/SUM(Kalender!$E$5:$E$370),0))*Szenarien!$D$16,0)</f>
        <v>4.94</v>
      </c>
      <c r="E2114" s="13" t="n">
        <f aca="false">IFERROR(MIN(C2114,Eingaben!$B$17)*Eingaben!$B$16,0)</f>
        <v>2.793</v>
      </c>
      <c r="F2114" s="13" t="n">
        <f aca="false">IFERROR(E2114*Eingaben!$B$15,0)</f>
        <v>2.5137</v>
      </c>
      <c r="G2114" s="13" t="n">
        <f aca="false">IFERROR(IF(Kalender!A284="",0,J2113*(1-Eingaben!$B$20)),0)</f>
        <v>0.7390278</v>
      </c>
      <c r="H2114" s="13" t="n">
        <f aca="false">MIN(G2114,D2114)</f>
        <v>0.7390278</v>
      </c>
      <c r="I2114" s="13" t="n">
        <f aca="false">IFERROR(MIN(F2114*Eingaben!$B$19,MAX(0,D2114-H2114)),0)</f>
        <v>1.75959</v>
      </c>
      <c r="J2114" s="13" t="n">
        <f aca="false">IFERROR(MIN(Eingaben!$B$18,MAX(0,F2114-I2114)),0)</f>
        <v>0.75411</v>
      </c>
      <c r="K2114" s="13" t="n">
        <f aca="false">H2114+I2114</f>
        <v>2.4986178</v>
      </c>
      <c r="L2114" s="13" t="n">
        <f aca="false">MAX(0,D2114-K2114)</f>
        <v>2.4413822</v>
      </c>
      <c r="M2114" s="13" t="n">
        <f aca="false">MAX(0,F2114-I2114-J2114)</f>
        <v>0</v>
      </c>
      <c r="N2114" s="13" t="n">
        <f aca="false">IF(Kalender!A284="",0,J2113-H2114)</f>
        <v>0.0150822</v>
      </c>
    </row>
    <row r="2115" customFormat="false" ht="16.4" hidden="false" customHeight="false" outlineLevel="0" collapsed="false">
      <c r="A2115" s="13" t="str">
        <f aca="false">""</f>
        <v/>
      </c>
      <c r="B2115" s="13" t="n">
        <f aca="false">281</f>
        <v>281</v>
      </c>
      <c r="C2115" s="13" t="n">
        <f aca="false">IF(Szenarien!$H$16="OK",(IFERROR(SUMIF(Nutzungsprofile!$B$6:$B$11,"Schulbetrieb",Nutzungsprofile!$G$6:$G$11)*Kalender!C285/SUM(Kalender!$C$5:$C$370),0)+IFERROR(SUMIF(Nutzungsprofile!$B$6:$B$11,"Halle",Nutzungsprofile!$G$6:$G$11)*Kalender!D285/SUM(Kalender!$D$5:$D$370),0)+IFERROR(SUMIF(Nutzungsprofile!$B$6:$B$11,"Individuell",Nutzungsprofile!$G$6:$G$11)*Kalender!E285/SUM(Kalender!$E$5:$E$370),0))*Szenarien!$E$16,0)</f>
        <v>0.9</v>
      </c>
      <c r="D2115" s="13" t="n">
        <f aca="false">IF(Szenarien!$H$16="OK",(IFERROR(SUMIF(Nutzungsprofile!$B$17:$B$22,"Schulbetrieb",Nutzungsprofile!$G$17:$G$22)*Kalender!C285/SUM(Kalender!$C$5:$C$370),0)+IFERROR(SUMIF(Nutzungsprofile!$B$17:$B$22,"Halle",Nutzungsprofile!$G$17:$G$22)*Kalender!D285/SUM(Kalender!$D$5:$D$370),0)+IFERROR(SUMIF(Nutzungsprofile!$B$17:$B$22,"Individuell",Nutzungsprofile!$G$17:$G$22)*Kalender!E285/SUM(Kalender!$E$5:$E$370),0))*Szenarien!$D$16,0)</f>
        <v>4.05</v>
      </c>
      <c r="E2115" s="13" t="n">
        <f aca="false">IFERROR(MIN(C2115,Eingaben!$B$17)*Eingaben!$B$16,0)</f>
        <v>0.855</v>
      </c>
      <c r="F2115" s="13" t="n">
        <f aca="false">IFERROR(E2115*Eingaben!$B$15,0)</f>
        <v>0.7695</v>
      </c>
      <c r="G2115" s="13" t="n">
        <f aca="false">IFERROR(IF(Kalender!A285="",0,J2114*(1-Eingaben!$B$20)),0)</f>
        <v>0.7390278</v>
      </c>
      <c r="H2115" s="13" t="n">
        <f aca="false">MIN(G2115,D2115)</f>
        <v>0.7390278</v>
      </c>
      <c r="I2115" s="13" t="n">
        <f aca="false">IFERROR(MIN(F2115*Eingaben!$B$19,MAX(0,D2115-H2115)),0)</f>
        <v>0.53865</v>
      </c>
      <c r="J2115" s="13" t="n">
        <f aca="false">IFERROR(MIN(Eingaben!$B$18,MAX(0,F2115-I2115)),0)</f>
        <v>0.23085</v>
      </c>
      <c r="K2115" s="13" t="n">
        <f aca="false">H2115+I2115</f>
        <v>1.2776778</v>
      </c>
      <c r="L2115" s="13" t="n">
        <f aca="false">MAX(0,D2115-K2115)</f>
        <v>2.7723222</v>
      </c>
      <c r="M2115" s="13" t="n">
        <f aca="false">MAX(0,F2115-I2115-J2115)</f>
        <v>0</v>
      </c>
      <c r="N2115" s="13" t="n">
        <f aca="false">IF(Kalender!A285="",0,J2114-H2115)</f>
        <v>0.0150822</v>
      </c>
    </row>
    <row r="2116" customFormat="false" ht="16.4" hidden="false" customHeight="false" outlineLevel="0" collapsed="false">
      <c r="A2116" s="13" t="str">
        <f aca="false">""</f>
        <v/>
      </c>
      <c r="B2116" s="13" t="n">
        <f aca="false">282</f>
        <v>282</v>
      </c>
      <c r="C2116" s="13" t="n">
        <f aca="false">IF(Szenarien!$H$16="OK",(IFERROR(SUMIF(Nutzungsprofile!$B$6:$B$11,"Schulbetrieb",Nutzungsprofile!$G$6:$G$11)*Kalender!C286/SUM(Kalender!$C$5:$C$370),0)+IFERROR(SUMIF(Nutzungsprofile!$B$6:$B$11,"Halle",Nutzungsprofile!$G$6:$G$11)*Kalender!D286/SUM(Kalender!$D$5:$D$370),0)+IFERROR(SUMIF(Nutzungsprofile!$B$6:$B$11,"Individuell",Nutzungsprofile!$G$6:$G$11)*Kalender!E286/SUM(Kalender!$E$5:$E$370),0))*Szenarien!$E$16,0)</f>
        <v>0.9</v>
      </c>
      <c r="D2116" s="13" t="n">
        <f aca="false">IF(Szenarien!$H$16="OK",(IFERROR(SUMIF(Nutzungsprofile!$B$17:$B$22,"Schulbetrieb",Nutzungsprofile!$G$17:$G$22)*Kalender!C286/SUM(Kalender!$C$5:$C$370),0)+IFERROR(SUMIF(Nutzungsprofile!$B$17:$B$22,"Halle",Nutzungsprofile!$G$17:$G$22)*Kalender!D286/SUM(Kalender!$D$5:$D$370),0)+IFERROR(SUMIF(Nutzungsprofile!$B$17:$B$22,"Individuell",Nutzungsprofile!$G$17:$G$22)*Kalender!E286/SUM(Kalender!$E$5:$E$370),0))*Szenarien!$D$16,0)</f>
        <v>4.05</v>
      </c>
      <c r="E2116" s="13" t="n">
        <f aca="false">IFERROR(MIN(C2116,Eingaben!$B$17)*Eingaben!$B$16,0)</f>
        <v>0.855</v>
      </c>
      <c r="F2116" s="13" t="n">
        <f aca="false">IFERROR(E2116*Eingaben!$B$15,0)</f>
        <v>0.7695</v>
      </c>
      <c r="G2116" s="13" t="n">
        <f aca="false">IFERROR(IF(Kalender!A286="",0,J2115*(1-Eingaben!$B$20)),0)</f>
        <v>0.226233</v>
      </c>
      <c r="H2116" s="13" t="n">
        <f aca="false">MIN(G2116,D2116)</f>
        <v>0.226233</v>
      </c>
      <c r="I2116" s="13" t="n">
        <f aca="false">IFERROR(MIN(F2116*Eingaben!$B$19,MAX(0,D2116-H2116)),0)</f>
        <v>0.53865</v>
      </c>
      <c r="J2116" s="13" t="n">
        <f aca="false">IFERROR(MIN(Eingaben!$B$18,MAX(0,F2116-I2116)),0)</f>
        <v>0.23085</v>
      </c>
      <c r="K2116" s="13" t="n">
        <f aca="false">H2116+I2116</f>
        <v>0.764883</v>
      </c>
      <c r="L2116" s="13" t="n">
        <f aca="false">MAX(0,D2116-K2116)</f>
        <v>3.285117</v>
      </c>
      <c r="M2116" s="13" t="n">
        <f aca="false">MAX(0,F2116-I2116-J2116)</f>
        <v>0</v>
      </c>
      <c r="N2116" s="13" t="n">
        <f aca="false">IF(Kalender!A286="",0,J2115-H2116)</f>
        <v>0.00461700000000001</v>
      </c>
    </row>
    <row r="2117" customFormat="false" ht="16.4" hidden="false" customHeight="false" outlineLevel="0" collapsed="false">
      <c r="A2117" s="13" t="str">
        <f aca="false">""</f>
        <v/>
      </c>
      <c r="B2117" s="13" t="n">
        <f aca="false">283</f>
        <v>283</v>
      </c>
      <c r="C2117" s="13" t="n">
        <f aca="false">IF(Szenarien!$H$16="OK",(IFERROR(SUMIF(Nutzungsprofile!$B$6:$B$11,"Schulbetrieb",Nutzungsprofile!$G$6:$G$11)*Kalender!C287/SUM(Kalender!$C$5:$C$370),0)+IFERROR(SUMIF(Nutzungsprofile!$B$6:$B$11,"Halle",Nutzungsprofile!$G$6:$G$11)*Kalender!D287/SUM(Kalender!$D$5:$D$370),0)+IFERROR(SUMIF(Nutzungsprofile!$B$6:$B$11,"Individuell",Nutzungsprofile!$G$6:$G$11)*Kalender!E287/SUM(Kalender!$E$5:$E$370),0))*Szenarien!$E$16,0)</f>
        <v>0</v>
      </c>
      <c r="D2117" s="13" t="n">
        <f aca="false">IF(Szenarien!$H$16="OK",(IFERROR(SUMIF(Nutzungsprofile!$B$17:$B$22,"Schulbetrieb",Nutzungsprofile!$G$17:$G$22)*Kalender!C287/SUM(Kalender!$C$5:$C$370),0)+IFERROR(SUMIF(Nutzungsprofile!$B$17:$B$22,"Halle",Nutzungsprofile!$G$17:$G$22)*Kalender!D287/SUM(Kalender!$D$5:$D$370),0)+IFERROR(SUMIF(Nutzungsprofile!$B$17:$B$22,"Individuell",Nutzungsprofile!$G$17:$G$22)*Kalender!E287/SUM(Kalender!$E$5:$E$370),0))*Szenarien!$D$16,0)</f>
        <v>0</v>
      </c>
      <c r="E2117" s="13" t="n">
        <f aca="false">IFERROR(MIN(C2117,Eingaben!$B$17)*Eingaben!$B$16,0)</f>
        <v>0</v>
      </c>
      <c r="F2117" s="13" t="n">
        <f aca="false">IFERROR(E2117*Eingaben!$B$15,0)</f>
        <v>0</v>
      </c>
      <c r="G2117" s="13" t="n">
        <f aca="false">IFERROR(IF(Kalender!A287="",0,J2116*(1-Eingaben!$B$20)),0)</f>
        <v>0.226233</v>
      </c>
      <c r="H2117" s="13" t="n">
        <f aca="false">MIN(G2117,D2117)</f>
        <v>0</v>
      </c>
      <c r="I2117" s="13" t="n">
        <f aca="false">IFERROR(MIN(F2117*Eingaben!$B$19,MAX(0,D2117-H2117)),0)</f>
        <v>0</v>
      </c>
      <c r="J2117" s="13" t="n">
        <f aca="false">IFERROR(MIN(Eingaben!$B$18,MAX(0,F2117-I2117)),0)</f>
        <v>0</v>
      </c>
      <c r="K2117" s="13" t="n">
        <f aca="false">H2117+I2117</f>
        <v>0</v>
      </c>
      <c r="L2117" s="13" t="n">
        <f aca="false">MAX(0,D2117-K2117)</f>
        <v>0</v>
      </c>
      <c r="M2117" s="13" t="n">
        <f aca="false">MAX(0,F2117-I2117-J2117)</f>
        <v>0</v>
      </c>
      <c r="N2117" s="13" t="n">
        <f aca="false">IF(Kalender!A287="",0,J2116-H2117)</f>
        <v>0.23085</v>
      </c>
    </row>
    <row r="2118" customFormat="false" ht="16.4" hidden="false" customHeight="false" outlineLevel="0" collapsed="false">
      <c r="A2118" s="13" t="str">
        <f aca="false">""</f>
        <v/>
      </c>
      <c r="B2118" s="13" t="n">
        <f aca="false">284</f>
        <v>284</v>
      </c>
      <c r="C2118" s="13" t="n">
        <f aca="false">IF(Szenarien!$H$16="OK",(IFERROR(SUMIF(Nutzungsprofile!$B$6:$B$11,"Schulbetrieb",Nutzungsprofile!$G$6:$G$11)*Kalender!C288/SUM(Kalender!$C$5:$C$370),0)+IFERROR(SUMIF(Nutzungsprofile!$B$6:$B$11,"Halle",Nutzungsprofile!$G$6:$G$11)*Kalender!D288/SUM(Kalender!$D$5:$D$370),0)+IFERROR(SUMIF(Nutzungsprofile!$B$6:$B$11,"Individuell",Nutzungsprofile!$G$6:$G$11)*Kalender!E288/SUM(Kalender!$E$5:$E$370),0))*Szenarien!$E$16,0)</f>
        <v>0</v>
      </c>
      <c r="D2118" s="13" t="n">
        <f aca="false">IF(Szenarien!$H$16="OK",(IFERROR(SUMIF(Nutzungsprofile!$B$17:$B$22,"Schulbetrieb",Nutzungsprofile!$G$17:$G$22)*Kalender!C288/SUM(Kalender!$C$5:$C$370),0)+IFERROR(SUMIF(Nutzungsprofile!$B$17:$B$22,"Halle",Nutzungsprofile!$G$17:$G$22)*Kalender!D288/SUM(Kalender!$D$5:$D$370),0)+IFERROR(SUMIF(Nutzungsprofile!$B$17:$B$22,"Individuell",Nutzungsprofile!$G$17:$G$22)*Kalender!E288/SUM(Kalender!$E$5:$E$370),0))*Szenarien!$D$16,0)</f>
        <v>0</v>
      </c>
      <c r="E2118" s="13" t="n">
        <f aca="false">IFERROR(MIN(C2118,Eingaben!$B$17)*Eingaben!$B$16,0)</f>
        <v>0</v>
      </c>
      <c r="F2118" s="13" t="n">
        <f aca="false">IFERROR(E2118*Eingaben!$B$15,0)</f>
        <v>0</v>
      </c>
      <c r="G2118" s="13" t="n">
        <f aca="false">IFERROR(IF(Kalender!A288="",0,J2117*(1-Eingaben!$B$20)),0)</f>
        <v>0</v>
      </c>
      <c r="H2118" s="13" t="n">
        <f aca="false">MIN(G2118,D2118)</f>
        <v>0</v>
      </c>
      <c r="I2118" s="13" t="n">
        <f aca="false">IFERROR(MIN(F2118*Eingaben!$B$19,MAX(0,D2118-H2118)),0)</f>
        <v>0</v>
      </c>
      <c r="J2118" s="13" t="n">
        <f aca="false">IFERROR(MIN(Eingaben!$B$18,MAX(0,F2118-I2118)),0)</f>
        <v>0</v>
      </c>
      <c r="K2118" s="13" t="n">
        <f aca="false">H2118+I2118</f>
        <v>0</v>
      </c>
      <c r="L2118" s="13" t="n">
        <f aca="false">MAX(0,D2118-K2118)</f>
        <v>0</v>
      </c>
      <c r="M2118" s="13" t="n">
        <f aca="false">MAX(0,F2118-I2118-J2118)</f>
        <v>0</v>
      </c>
      <c r="N2118" s="13" t="n">
        <f aca="false">IF(Kalender!A288="",0,J2117-H2118)</f>
        <v>0</v>
      </c>
    </row>
    <row r="2119" customFormat="false" ht="16.4" hidden="false" customHeight="false" outlineLevel="0" collapsed="false">
      <c r="A2119" s="13" t="str">
        <f aca="false">""</f>
        <v/>
      </c>
      <c r="B2119" s="13" t="n">
        <f aca="false">285</f>
        <v>285</v>
      </c>
      <c r="C2119" s="13" t="n">
        <f aca="false">IF(Szenarien!$H$16="OK",(IFERROR(SUMIF(Nutzungsprofile!$B$6:$B$11,"Schulbetrieb",Nutzungsprofile!$G$6:$G$11)*Kalender!C289/SUM(Kalender!$C$5:$C$370),0)+IFERROR(SUMIF(Nutzungsprofile!$B$6:$B$11,"Halle",Nutzungsprofile!$G$6:$G$11)*Kalender!D289/SUM(Kalender!$D$5:$D$370),0)+IFERROR(SUMIF(Nutzungsprofile!$B$6:$B$11,"Individuell",Nutzungsprofile!$G$6:$G$11)*Kalender!E289/SUM(Kalender!$E$5:$E$370),0))*Szenarien!$E$16,0)</f>
        <v>0.9</v>
      </c>
      <c r="D2119" s="13" t="n">
        <f aca="false">IF(Szenarien!$H$16="OK",(IFERROR(SUMIF(Nutzungsprofile!$B$17:$B$22,"Schulbetrieb",Nutzungsprofile!$G$17:$G$22)*Kalender!C289/SUM(Kalender!$C$5:$C$370),0)+IFERROR(SUMIF(Nutzungsprofile!$B$17:$B$22,"Halle",Nutzungsprofile!$G$17:$G$22)*Kalender!D289/SUM(Kalender!$D$5:$D$370),0)+IFERROR(SUMIF(Nutzungsprofile!$B$17:$B$22,"Individuell",Nutzungsprofile!$G$17:$G$22)*Kalender!E289/SUM(Kalender!$E$5:$E$370),0))*Szenarien!$D$16,0)</f>
        <v>4.05</v>
      </c>
      <c r="E2119" s="13" t="n">
        <f aca="false">IFERROR(MIN(C2119,Eingaben!$B$17)*Eingaben!$B$16,0)</f>
        <v>0.855</v>
      </c>
      <c r="F2119" s="13" t="n">
        <f aca="false">IFERROR(E2119*Eingaben!$B$15,0)</f>
        <v>0.7695</v>
      </c>
      <c r="G2119" s="13" t="n">
        <f aca="false">IFERROR(IF(Kalender!A289="",0,J2118*(1-Eingaben!$B$20)),0)</f>
        <v>0</v>
      </c>
      <c r="H2119" s="13" t="n">
        <f aca="false">MIN(G2119,D2119)</f>
        <v>0</v>
      </c>
      <c r="I2119" s="13" t="n">
        <f aca="false">IFERROR(MIN(F2119*Eingaben!$B$19,MAX(0,D2119-H2119)),0)</f>
        <v>0.53865</v>
      </c>
      <c r="J2119" s="13" t="n">
        <f aca="false">IFERROR(MIN(Eingaben!$B$18,MAX(0,F2119-I2119)),0)</f>
        <v>0.23085</v>
      </c>
      <c r="K2119" s="13" t="n">
        <f aca="false">H2119+I2119</f>
        <v>0.53865</v>
      </c>
      <c r="L2119" s="13" t="n">
        <f aca="false">MAX(0,D2119-K2119)</f>
        <v>3.51135</v>
      </c>
      <c r="M2119" s="13" t="n">
        <f aca="false">MAX(0,F2119-I2119-J2119)</f>
        <v>0</v>
      </c>
      <c r="N2119" s="13" t="n">
        <f aca="false">IF(Kalender!A289="",0,J2118-H2119)</f>
        <v>0</v>
      </c>
    </row>
    <row r="2120" customFormat="false" ht="16.4" hidden="false" customHeight="false" outlineLevel="0" collapsed="false">
      <c r="A2120" s="13" t="str">
        <f aca="false">""</f>
        <v/>
      </c>
      <c r="B2120" s="13" t="n">
        <f aca="false">286</f>
        <v>286</v>
      </c>
      <c r="C2120" s="13" t="n">
        <f aca="false">IF(Szenarien!$H$16="OK",(IFERROR(SUMIF(Nutzungsprofile!$B$6:$B$11,"Schulbetrieb",Nutzungsprofile!$G$6:$G$11)*Kalender!C290/SUM(Kalender!$C$5:$C$370),0)+IFERROR(SUMIF(Nutzungsprofile!$B$6:$B$11,"Halle",Nutzungsprofile!$G$6:$G$11)*Kalender!D290/SUM(Kalender!$D$5:$D$370),0)+IFERROR(SUMIF(Nutzungsprofile!$B$6:$B$11,"Individuell",Nutzungsprofile!$G$6:$G$11)*Kalender!E290/SUM(Kalender!$E$5:$E$370),0))*Szenarien!$E$16,0)</f>
        <v>0.9</v>
      </c>
      <c r="D2120" s="13" t="n">
        <f aca="false">IF(Szenarien!$H$16="OK",(IFERROR(SUMIF(Nutzungsprofile!$B$17:$B$22,"Schulbetrieb",Nutzungsprofile!$G$17:$G$22)*Kalender!C290/SUM(Kalender!$C$5:$C$370),0)+IFERROR(SUMIF(Nutzungsprofile!$B$17:$B$22,"Halle",Nutzungsprofile!$G$17:$G$22)*Kalender!D290/SUM(Kalender!$D$5:$D$370),0)+IFERROR(SUMIF(Nutzungsprofile!$B$17:$B$22,"Individuell",Nutzungsprofile!$G$17:$G$22)*Kalender!E290/SUM(Kalender!$E$5:$E$370),0))*Szenarien!$D$16,0)</f>
        <v>4.05</v>
      </c>
      <c r="E2120" s="13" t="n">
        <f aca="false">IFERROR(MIN(C2120,Eingaben!$B$17)*Eingaben!$B$16,0)</f>
        <v>0.855</v>
      </c>
      <c r="F2120" s="13" t="n">
        <f aca="false">IFERROR(E2120*Eingaben!$B$15,0)</f>
        <v>0.7695</v>
      </c>
      <c r="G2120" s="13" t="n">
        <f aca="false">IFERROR(IF(Kalender!A290="",0,J2119*(1-Eingaben!$B$20)),0)</f>
        <v>0.226233</v>
      </c>
      <c r="H2120" s="13" t="n">
        <f aca="false">MIN(G2120,D2120)</f>
        <v>0.226233</v>
      </c>
      <c r="I2120" s="13" t="n">
        <f aca="false">IFERROR(MIN(F2120*Eingaben!$B$19,MAX(0,D2120-H2120)),0)</f>
        <v>0.53865</v>
      </c>
      <c r="J2120" s="13" t="n">
        <f aca="false">IFERROR(MIN(Eingaben!$B$18,MAX(0,F2120-I2120)),0)</f>
        <v>0.23085</v>
      </c>
      <c r="K2120" s="13" t="n">
        <f aca="false">H2120+I2120</f>
        <v>0.764883</v>
      </c>
      <c r="L2120" s="13" t="n">
        <f aca="false">MAX(0,D2120-K2120)</f>
        <v>3.285117</v>
      </c>
      <c r="M2120" s="13" t="n">
        <f aca="false">MAX(0,F2120-I2120-J2120)</f>
        <v>0</v>
      </c>
      <c r="N2120" s="13" t="n">
        <f aca="false">IF(Kalender!A290="",0,J2119-H2120)</f>
        <v>0.00461700000000001</v>
      </c>
    </row>
    <row r="2121" customFormat="false" ht="16.4" hidden="false" customHeight="false" outlineLevel="0" collapsed="false">
      <c r="A2121" s="13" t="str">
        <f aca="false">""</f>
        <v/>
      </c>
      <c r="B2121" s="13" t="n">
        <f aca="false">287</f>
        <v>287</v>
      </c>
      <c r="C2121" s="13" t="n">
        <f aca="false">IF(Szenarien!$H$16="OK",(IFERROR(SUMIF(Nutzungsprofile!$B$6:$B$11,"Schulbetrieb",Nutzungsprofile!$G$6:$G$11)*Kalender!C291/SUM(Kalender!$C$5:$C$370),0)+IFERROR(SUMIF(Nutzungsprofile!$B$6:$B$11,"Halle",Nutzungsprofile!$G$6:$G$11)*Kalender!D291/SUM(Kalender!$D$5:$D$370),0)+IFERROR(SUMIF(Nutzungsprofile!$B$6:$B$11,"Individuell",Nutzungsprofile!$G$6:$G$11)*Kalender!E291/SUM(Kalender!$E$5:$E$370),0))*Szenarien!$E$16,0)</f>
        <v>0.9</v>
      </c>
      <c r="D2121" s="13" t="n">
        <f aca="false">IF(Szenarien!$H$16="OK",(IFERROR(SUMIF(Nutzungsprofile!$B$17:$B$22,"Schulbetrieb",Nutzungsprofile!$G$17:$G$22)*Kalender!C291/SUM(Kalender!$C$5:$C$370),0)+IFERROR(SUMIF(Nutzungsprofile!$B$17:$B$22,"Halle",Nutzungsprofile!$G$17:$G$22)*Kalender!D291/SUM(Kalender!$D$5:$D$370),0)+IFERROR(SUMIF(Nutzungsprofile!$B$17:$B$22,"Individuell",Nutzungsprofile!$G$17:$G$22)*Kalender!E291/SUM(Kalender!$E$5:$E$370),0))*Szenarien!$D$16,0)</f>
        <v>4.05</v>
      </c>
      <c r="E2121" s="13" t="n">
        <f aca="false">IFERROR(MIN(C2121,Eingaben!$B$17)*Eingaben!$B$16,0)</f>
        <v>0.855</v>
      </c>
      <c r="F2121" s="13" t="n">
        <f aca="false">IFERROR(E2121*Eingaben!$B$15,0)</f>
        <v>0.7695</v>
      </c>
      <c r="G2121" s="13" t="n">
        <f aca="false">IFERROR(IF(Kalender!A291="",0,J2120*(1-Eingaben!$B$20)),0)</f>
        <v>0.226233</v>
      </c>
      <c r="H2121" s="13" t="n">
        <f aca="false">MIN(G2121,D2121)</f>
        <v>0.226233</v>
      </c>
      <c r="I2121" s="13" t="n">
        <f aca="false">IFERROR(MIN(F2121*Eingaben!$B$19,MAX(0,D2121-H2121)),0)</f>
        <v>0.53865</v>
      </c>
      <c r="J2121" s="13" t="n">
        <f aca="false">IFERROR(MIN(Eingaben!$B$18,MAX(0,F2121-I2121)),0)</f>
        <v>0.23085</v>
      </c>
      <c r="K2121" s="13" t="n">
        <f aca="false">H2121+I2121</f>
        <v>0.764883</v>
      </c>
      <c r="L2121" s="13" t="n">
        <f aca="false">MAX(0,D2121-K2121)</f>
        <v>3.285117</v>
      </c>
      <c r="M2121" s="13" t="n">
        <f aca="false">MAX(0,F2121-I2121-J2121)</f>
        <v>0</v>
      </c>
      <c r="N2121" s="13" t="n">
        <f aca="false">IF(Kalender!A291="",0,J2120-H2121)</f>
        <v>0.00461700000000001</v>
      </c>
    </row>
    <row r="2122" customFormat="false" ht="16.4" hidden="false" customHeight="false" outlineLevel="0" collapsed="false">
      <c r="A2122" s="13" t="str">
        <f aca="false">""</f>
        <v/>
      </c>
      <c r="B2122" s="13" t="n">
        <f aca="false">288</f>
        <v>288</v>
      </c>
      <c r="C2122" s="13" t="n">
        <f aca="false">IF(Szenarien!$H$16="OK",(IFERROR(SUMIF(Nutzungsprofile!$B$6:$B$11,"Schulbetrieb",Nutzungsprofile!$G$6:$G$11)*Kalender!C292/SUM(Kalender!$C$5:$C$370),0)+IFERROR(SUMIF(Nutzungsprofile!$B$6:$B$11,"Halle",Nutzungsprofile!$G$6:$G$11)*Kalender!D292/SUM(Kalender!$D$5:$D$370),0)+IFERROR(SUMIF(Nutzungsprofile!$B$6:$B$11,"Individuell",Nutzungsprofile!$G$6:$G$11)*Kalender!E292/SUM(Kalender!$E$5:$E$370),0))*Szenarien!$E$16,0)</f>
        <v>0.9</v>
      </c>
      <c r="D2122" s="13" t="n">
        <f aca="false">IF(Szenarien!$H$16="OK",(IFERROR(SUMIF(Nutzungsprofile!$B$17:$B$22,"Schulbetrieb",Nutzungsprofile!$G$17:$G$22)*Kalender!C292/SUM(Kalender!$C$5:$C$370),0)+IFERROR(SUMIF(Nutzungsprofile!$B$17:$B$22,"Halle",Nutzungsprofile!$G$17:$G$22)*Kalender!D292/SUM(Kalender!$D$5:$D$370),0)+IFERROR(SUMIF(Nutzungsprofile!$B$17:$B$22,"Individuell",Nutzungsprofile!$G$17:$G$22)*Kalender!E292/SUM(Kalender!$E$5:$E$370),0))*Szenarien!$D$16,0)</f>
        <v>4.05</v>
      </c>
      <c r="E2122" s="13" t="n">
        <f aca="false">IFERROR(MIN(C2122,Eingaben!$B$17)*Eingaben!$B$16,0)</f>
        <v>0.855</v>
      </c>
      <c r="F2122" s="13" t="n">
        <f aca="false">IFERROR(E2122*Eingaben!$B$15,0)</f>
        <v>0.7695</v>
      </c>
      <c r="G2122" s="13" t="n">
        <f aca="false">IFERROR(IF(Kalender!A292="",0,J2121*(1-Eingaben!$B$20)),0)</f>
        <v>0.226233</v>
      </c>
      <c r="H2122" s="13" t="n">
        <f aca="false">MIN(G2122,D2122)</f>
        <v>0.226233</v>
      </c>
      <c r="I2122" s="13" t="n">
        <f aca="false">IFERROR(MIN(F2122*Eingaben!$B$19,MAX(0,D2122-H2122)),0)</f>
        <v>0.53865</v>
      </c>
      <c r="J2122" s="13" t="n">
        <f aca="false">IFERROR(MIN(Eingaben!$B$18,MAX(0,F2122-I2122)),0)</f>
        <v>0.23085</v>
      </c>
      <c r="K2122" s="13" t="n">
        <f aca="false">H2122+I2122</f>
        <v>0.764883</v>
      </c>
      <c r="L2122" s="13" t="n">
        <f aca="false">MAX(0,D2122-K2122)</f>
        <v>3.285117</v>
      </c>
      <c r="M2122" s="13" t="n">
        <f aca="false">MAX(0,F2122-I2122-J2122)</f>
        <v>0</v>
      </c>
      <c r="N2122" s="13" t="n">
        <f aca="false">IF(Kalender!A292="",0,J2121-H2122)</f>
        <v>0.00461700000000001</v>
      </c>
    </row>
    <row r="2123" customFormat="false" ht="16.4" hidden="false" customHeight="false" outlineLevel="0" collapsed="false">
      <c r="A2123" s="13" t="str">
        <f aca="false">""</f>
        <v/>
      </c>
      <c r="B2123" s="13" t="n">
        <f aca="false">289</f>
        <v>289</v>
      </c>
      <c r="C2123" s="13" t="n">
        <f aca="false">IF(Szenarien!$H$16="OK",(IFERROR(SUMIF(Nutzungsprofile!$B$6:$B$11,"Schulbetrieb",Nutzungsprofile!$G$6:$G$11)*Kalender!C293/SUM(Kalender!$C$5:$C$370),0)+IFERROR(SUMIF(Nutzungsprofile!$B$6:$B$11,"Halle",Nutzungsprofile!$G$6:$G$11)*Kalender!D293/SUM(Kalender!$D$5:$D$370),0)+IFERROR(SUMIF(Nutzungsprofile!$B$6:$B$11,"Individuell",Nutzungsprofile!$G$6:$G$11)*Kalender!E293/SUM(Kalender!$E$5:$E$370),0))*Szenarien!$E$16,0)</f>
        <v>0.9</v>
      </c>
      <c r="D2123" s="13" t="n">
        <f aca="false">IF(Szenarien!$H$16="OK",(IFERROR(SUMIF(Nutzungsprofile!$B$17:$B$22,"Schulbetrieb",Nutzungsprofile!$G$17:$G$22)*Kalender!C293/SUM(Kalender!$C$5:$C$370),0)+IFERROR(SUMIF(Nutzungsprofile!$B$17:$B$22,"Halle",Nutzungsprofile!$G$17:$G$22)*Kalender!D293/SUM(Kalender!$D$5:$D$370),0)+IFERROR(SUMIF(Nutzungsprofile!$B$17:$B$22,"Individuell",Nutzungsprofile!$G$17:$G$22)*Kalender!E293/SUM(Kalender!$E$5:$E$370),0))*Szenarien!$D$16,0)</f>
        <v>4.05</v>
      </c>
      <c r="E2123" s="13" t="n">
        <f aca="false">IFERROR(MIN(C2123,Eingaben!$B$17)*Eingaben!$B$16,0)</f>
        <v>0.855</v>
      </c>
      <c r="F2123" s="13" t="n">
        <f aca="false">IFERROR(E2123*Eingaben!$B$15,0)</f>
        <v>0.7695</v>
      </c>
      <c r="G2123" s="13" t="n">
        <f aca="false">IFERROR(IF(Kalender!A293="",0,J2122*(1-Eingaben!$B$20)),0)</f>
        <v>0.226233</v>
      </c>
      <c r="H2123" s="13" t="n">
        <f aca="false">MIN(G2123,D2123)</f>
        <v>0.226233</v>
      </c>
      <c r="I2123" s="13" t="n">
        <f aca="false">IFERROR(MIN(F2123*Eingaben!$B$19,MAX(0,D2123-H2123)),0)</f>
        <v>0.53865</v>
      </c>
      <c r="J2123" s="13" t="n">
        <f aca="false">IFERROR(MIN(Eingaben!$B$18,MAX(0,F2123-I2123)),0)</f>
        <v>0.23085</v>
      </c>
      <c r="K2123" s="13" t="n">
        <f aca="false">H2123+I2123</f>
        <v>0.764883</v>
      </c>
      <c r="L2123" s="13" t="n">
        <f aca="false">MAX(0,D2123-K2123)</f>
        <v>3.285117</v>
      </c>
      <c r="M2123" s="13" t="n">
        <f aca="false">MAX(0,F2123-I2123-J2123)</f>
        <v>0</v>
      </c>
      <c r="N2123" s="13" t="n">
        <f aca="false">IF(Kalender!A293="",0,J2122-H2123)</f>
        <v>0.00461700000000001</v>
      </c>
    </row>
    <row r="2124" customFormat="false" ht="16.4" hidden="false" customHeight="false" outlineLevel="0" collapsed="false">
      <c r="A2124" s="13" t="str">
        <f aca="false">""</f>
        <v/>
      </c>
      <c r="B2124" s="13" t="n">
        <f aca="false">290</f>
        <v>290</v>
      </c>
      <c r="C2124" s="13" t="n">
        <f aca="false">IF(Szenarien!$H$16="OK",(IFERROR(SUMIF(Nutzungsprofile!$B$6:$B$11,"Schulbetrieb",Nutzungsprofile!$G$6:$G$11)*Kalender!C294/SUM(Kalender!$C$5:$C$370),0)+IFERROR(SUMIF(Nutzungsprofile!$B$6:$B$11,"Halle",Nutzungsprofile!$G$6:$G$11)*Kalender!D294/SUM(Kalender!$D$5:$D$370),0)+IFERROR(SUMIF(Nutzungsprofile!$B$6:$B$11,"Individuell",Nutzungsprofile!$G$6:$G$11)*Kalender!E294/SUM(Kalender!$E$5:$E$370),0))*Szenarien!$E$16,0)</f>
        <v>0</v>
      </c>
      <c r="D2124" s="13" t="n">
        <f aca="false">IF(Szenarien!$H$16="OK",(IFERROR(SUMIF(Nutzungsprofile!$B$17:$B$22,"Schulbetrieb",Nutzungsprofile!$G$17:$G$22)*Kalender!C294/SUM(Kalender!$C$5:$C$370),0)+IFERROR(SUMIF(Nutzungsprofile!$B$17:$B$22,"Halle",Nutzungsprofile!$G$17:$G$22)*Kalender!D294/SUM(Kalender!$D$5:$D$370),0)+IFERROR(SUMIF(Nutzungsprofile!$B$17:$B$22,"Individuell",Nutzungsprofile!$G$17:$G$22)*Kalender!E294/SUM(Kalender!$E$5:$E$370),0))*Szenarien!$D$16,0)</f>
        <v>0</v>
      </c>
      <c r="E2124" s="13" t="n">
        <f aca="false">IFERROR(MIN(C2124,Eingaben!$B$17)*Eingaben!$B$16,0)</f>
        <v>0</v>
      </c>
      <c r="F2124" s="13" t="n">
        <f aca="false">IFERROR(E2124*Eingaben!$B$15,0)</f>
        <v>0</v>
      </c>
      <c r="G2124" s="13" t="n">
        <f aca="false">IFERROR(IF(Kalender!A294="",0,J2123*(1-Eingaben!$B$20)),0)</f>
        <v>0.226233</v>
      </c>
      <c r="H2124" s="13" t="n">
        <f aca="false">MIN(G2124,D2124)</f>
        <v>0</v>
      </c>
      <c r="I2124" s="13" t="n">
        <f aca="false">IFERROR(MIN(F2124*Eingaben!$B$19,MAX(0,D2124-H2124)),0)</f>
        <v>0</v>
      </c>
      <c r="J2124" s="13" t="n">
        <f aca="false">IFERROR(MIN(Eingaben!$B$18,MAX(0,F2124-I2124)),0)</f>
        <v>0</v>
      </c>
      <c r="K2124" s="13" t="n">
        <f aca="false">H2124+I2124</f>
        <v>0</v>
      </c>
      <c r="L2124" s="13" t="n">
        <f aca="false">MAX(0,D2124-K2124)</f>
        <v>0</v>
      </c>
      <c r="M2124" s="13" t="n">
        <f aca="false">MAX(0,F2124-I2124-J2124)</f>
        <v>0</v>
      </c>
      <c r="N2124" s="13" t="n">
        <f aca="false">IF(Kalender!A294="",0,J2123-H2124)</f>
        <v>0.23085</v>
      </c>
    </row>
    <row r="2125" customFormat="false" ht="16.4" hidden="false" customHeight="false" outlineLevel="0" collapsed="false">
      <c r="A2125" s="13" t="str">
        <f aca="false">""</f>
        <v/>
      </c>
      <c r="B2125" s="13" t="n">
        <f aca="false">291</f>
        <v>291</v>
      </c>
      <c r="C2125" s="13" t="n">
        <f aca="false">IF(Szenarien!$H$16="OK",(IFERROR(SUMIF(Nutzungsprofile!$B$6:$B$11,"Schulbetrieb",Nutzungsprofile!$G$6:$G$11)*Kalender!C295/SUM(Kalender!$C$5:$C$370),0)+IFERROR(SUMIF(Nutzungsprofile!$B$6:$B$11,"Halle",Nutzungsprofile!$G$6:$G$11)*Kalender!D295/SUM(Kalender!$D$5:$D$370),0)+IFERROR(SUMIF(Nutzungsprofile!$B$6:$B$11,"Individuell",Nutzungsprofile!$G$6:$G$11)*Kalender!E295/SUM(Kalender!$E$5:$E$370),0))*Szenarien!$E$16,0)</f>
        <v>0</v>
      </c>
      <c r="D2125" s="13" t="n">
        <f aca="false">IF(Szenarien!$H$16="OK",(IFERROR(SUMIF(Nutzungsprofile!$B$17:$B$22,"Schulbetrieb",Nutzungsprofile!$G$17:$G$22)*Kalender!C295/SUM(Kalender!$C$5:$C$370),0)+IFERROR(SUMIF(Nutzungsprofile!$B$17:$B$22,"Halle",Nutzungsprofile!$G$17:$G$22)*Kalender!D295/SUM(Kalender!$D$5:$D$370),0)+IFERROR(SUMIF(Nutzungsprofile!$B$17:$B$22,"Individuell",Nutzungsprofile!$G$17:$G$22)*Kalender!E295/SUM(Kalender!$E$5:$E$370),0))*Szenarien!$D$16,0)</f>
        <v>0</v>
      </c>
      <c r="E2125" s="13" t="n">
        <f aca="false">IFERROR(MIN(C2125,Eingaben!$B$17)*Eingaben!$B$16,0)</f>
        <v>0</v>
      </c>
      <c r="F2125" s="13" t="n">
        <f aca="false">IFERROR(E2125*Eingaben!$B$15,0)</f>
        <v>0</v>
      </c>
      <c r="G2125" s="13" t="n">
        <f aca="false">IFERROR(IF(Kalender!A295="",0,J2124*(1-Eingaben!$B$20)),0)</f>
        <v>0</v>
      </c>
      <c r="H2125" s="13" t="n">
        <f aca="false">MIN(G2125,D2125)</f>
        <v>0</v>
      </c>
      <c r="I2125" s="13" t="n">
        <f aca="false">IFERROR(MIN(F2125*Eingaben!$B$19,MAX(0,D2125-H2125)),0)</f>
        <v>0</v>
      </c>
      <c r="J2125" s="13" t="n">
        <f aca="false">IFERROR(MIN(Eingaben!$B$18,MAX(0,F2125-I2125)),0)</f>
        <v>0</v>
      </c>
      <c r="K2125" s="13" t="n">
        <f aca="false">H2125+I2125</f>
        <v>0</v>
      </c>
      <c r="L2125" s="13" t="n">
        <f aca="false">MAX(0,D2125-K2125)</f>
        <v>0</v>
      </c>
      <c r="M2125" s="13" t="n">
        <f aca="false">MAX(0,F2125-I2125-J2125)</f>
        <v>0</v>
      </c>
      <c r="N2125" s="13" t="n">
        <f aca="false">IF(Kalender!A295="",0,J2124-H2125)</f>
        <v>0</v>
      </c>
    </row>
    <row r="2126" customFormat="false" ht="16.4" hidden="false" customHeight="false" outlineLevel="0" collapsed="false">
      <c r="A2126" s="13" t="str">
        <f aca="false">""</f>
        <v/>
      </c>
      <c r="B2126" s="13" t="n">
        <f aca="false">292</f>
        <v>292</v>
      </c>
      <c r="C2126" s="13" t="n">
        <f aca="false">IF(Szenarien!$H$16="OK",(IFERROR(SUMIF(Nutzungsprofile!$B$6:$B$11,"Schulbetrieb",Nutzungsprofile!$G$6:$G$11)*Kalender!C296/SUM(Kalender!$C$5:$C$370),0)+IFERROR(SUMIF(Nutzungsprofile!$B$6:$B$11,"Halle",Nutzungsprofile!$G$6:$G$11)*Kalender!D296/SUM(Kalender!$D$5:$D$370),0)+IFERROR(SUMIF(Nutzungsprofile!$B$6:$B$11,"Individuell",Nutzungsprofile!$G$6:$G$11)*Kalender!E296/SUM(Kalender!$E$5:$E$370),0))*Szenarien!$E$16,0)</f>
        <v>0.9</v>
      </c>
      <c r="D2126" s="13" t="n">
        <f aca="false">IF(Szenarien!$H$16="OK",(IFERROR(SUMIF(Nutzungsprofile!$B$17:$B$22,"Schulbetrieb",Nutzungsprofile!$G$17:$G$22)*Kalender!C296/SUM(Kalender!$C$5:$C$370),0)+IFERROR(SUMIF(Nutzungsprofile!$B$17:$B$22,"Halle",Nutzungsprofile!$G$17:$G$22)*Kalender!D296/SUM(Kalender!$D$5:$D$370),0)+IFERROR(SUMIF(Nutzungsprofile!$B$17:$B$22,"Individuell",Nutzungsprofile!$G$17:$G$22)*Kalender!E296/SUM(Kalender!$E$5:$E$370),0))*Szenarien!$D$16,0)</f>
        <v>4.05</v>
      </c>
      <c r="E2126" s="13" t="n">
        <f aca="false">IFERROR(MIN(C2126,Eingaben!$B$17)*Eingaben!$B$16,0)</f>
        <v>0.855</v>
      </c>
      <c r="F2126" s="13" t="n">
        <f aca="false">IFERROR(E2126*Eingaben!$B$15,0)</f>
        <v>0.7695</v>
      </c>
      <c r="G2126" s="13" t="n">
        <f aca="false">IFERROR(IF(Kalender!A296="",0,J2125*(1-Eingaben!$B$20)),0)</f>
        <v>0</v>
      </c>
      <c r="H2126" s="13" t="n">
        <f aca="false">MIN(G2126,D2126)</f>
        <v>0</v>
      </c>
      <c r="I2126" s="13" t="n">
        <f aca="false">IFERROR(MIN(F2126*Eingaben!$B$19,MAX(0,D2126-H2126)),0)</f>
        <v>0.53865</v>
      </c>
      <c r="J2126" s="13" t="n">
        <f aca="false">IFERROR(MIN(Eingaben!$B$18,MAX(0,F2126-I2126)),0)</f>
        <v>0.23085</v>
      </c>
      <c r="K2126" s="13" t="n">
        <f aca="false">H2126+I2126</f>
        <v>0.53865</v>
      </c>
      <c r="L2126" s="13" t="n">
        <f aca="false">MAX(0,D2126-K2126)</f>
        <v>3.51135</v>
      </c>
      <c r="M2126" s="13" t="n">
        <f aca="false">MAX(0,F2126-I2126-J2126)</f>
        <v>0</v>
      </c>
      <c r="N2126" s="13" t="n">
        <f aca="false">IF(Kalender!A296="",0,J2125-H2126)</f>
        <v>0</v>
      </c>
    </row>
    <row r="2127" customFormat="false" ht="16.4" hidden="false" customHeight="false" outlineLevel="0" collapsed="false">
      <c r="A2127" s="13" t="str">
        <f aca="false">""</f>
        <v/>
      </c>
      <c r="B2127" s="13" t="n">
        <f aca="false">293</f>
        <v>293</v>
      </c>
      <c r="C2127" s="13" t="n">
        <f aca="false">IF(Szenarien!$H$16="OK",(IFERROR(SUMIF(Nutzungsprofile!$B$6:$B$11,"Schulbetrieb",Nutzungsprofile!$G$6:$G$11)*Kalender!C297/SUM(Kalender!$C$5:$C$370),0)+IFERROR(SUMIF(Nutzungsprofile!$B$6:$B$11,"Halle",Nutzungsprofile!$G$6:$G$11)*Kalender!D297/SUM(Kalender!$D$5:$D$370),0)+IFERROR(SUMIF(Nutzungsprofile!$B$6:$B$11,"Individuell",Nutzungsprofile!$G$6:$G$11)*Kalender!E297/SUM(Kalender!$E$5:$E$370),0))*Szenarien!$E$16,0)</f>
        <v>0.9</v>
      </c>
      <c r="D2127" s="13" t="n">
        <f aca="false">IF(Szenarien!$H$16="OK",(IFERROR(SUMIF(Nutzungsprofile!$B$17:$B$22,"Schulbetrieb",Nutzungsprofile!$G$17:$G$22)*Kalender!C297/SUM(Kalender!$C$5:$C$370),0)+IFERROR(SUMIF(Nutzungsprofile!$B$17:$B$22,"Halle",Nutzungsprofile!$G$17:$G$22)*Kalender!D297/SUM(Kalender!$D$5:$D$370),0)+IFERROR(SUMIF(Nutzungsprofile!$B$17:$B$22,"Individuell",Nutzungsprofile!$G$17:$G$22)*Kalender!E297/SUM(Kalender!$E$5:$E$370),0))*Szenarien!$D$16,0)</f>
        <v>4.05</v>
      </c>
      <c r="E2127" s="13" t="n">
        <f aca="false">IFERROR(MIN(C2127,Eingaben!$B$17)*Eingaben!$B$16,0)</f>
        <v>0.855</v>
      </c>
      <c r="F2127" s="13" t="n">
        <f aca="false">IFERROR(E2127*Eingaben!$B$15,0)</f>
        <v>0.7695</v>
      </c>
      <c r="G2127" s="13" t="n">
        <f aca="false">IFERROR(IF(Kalender!A297="",0,J2126*(1-Eingaben!$B$20)),0)</f>
        <v>0.226233</v>
      </c>
      <c r="H2127" s="13" t="n">
        <f aca="false">MIN(G2127,D2127)</f>
        <v>0.226233</v>
      </c>
      <c r="I2127" s="13" t="n">
        <f aca="false">IFERROR(MIN(F2127*Eingaben!$B$19,MAX(0,D2127-H2127)),0)</f>
        <v>0.53865</v>
      </c>
      <c r="J2127" s="13" t="n">
        <f aca="false">IFERROR(MIN(Eingaben!$B$18,MAX(0,F2127-I2127)),0)</f>
        <v>0.23085</v>
      </c>
      <c r="K2127" s="13" t="n">
        <f aca="false">H2127+I2127</f>
        <v>0.764883</v>
      </c>
      <c r="L2127" s="13" t="n">
        <f aca="false">MAX(0,D2127-K2127)</f>
        <v>3.285117</v>
      </c>
      <c r="M2127" s="13" t="n">
        <f aca="false">MAX(0,F2127-I2127-J2127)</f>
        <v>0</v>
      </c>
      <c r="N2127" s="13" t="n">
        <f aca="false">IF(Kalender!A297="",0,J2126-H2127)</f>
        <v>0.00461700000000001</v>
      </c>
    </row>
    <row r="2128" customFormat="false" ht="16.4" hidden="false" customHeight="false" outlineLevel="0" collapsed="false">
      <c r="A2128" s="13" t="str">
        <f aca="false">""</f>
        <v/>
      </c>
      <c r="B2128" s="13" t="n">
        <f aca="false">294</f>
        <v>294</v>
      </c>
      <c r="C2128" s="13" t="n">
        <f aca="false">IF(Szenarien!$H$16="OK",(IFERROR(SUMIF(Nutzungsprofile!$B$6:$B$11,"Schulbetrieb",Nutzungsprofile!$G$6:$G$11)*Kalender!C298/SUM(Kalender!$C$5:$C$370),0)+IFERROR(SUMIF(Nutzungsprofile!$B$6:$B$11,"Halle",Nutzungsprofile!$G$6:$G$11)*Kalender!D298/SUM(Kalender!$D$5:$D$370),0)+IFERROR(SUMIF(Nutzungsprofile!$B$6:$B$11,"Individuell",Nutzungsprofile!$G$6:$G$11)*Kalender!E298/SUM(Kalender!$E$5:$E$370),0))*Szenarien!$E$16,0)</f>
        <v>0.9</v>
      </c>
      <c r="D2128" s="13" t="n">
        <f aca="false">IF(Szenarien!$H$16="OK",(IFERROR(SUMIF(Nutzungsprofile!$B$17:$B$22,"Schulbetrieb",Nutzungsprofile!$G$17:$G$22)*Kalender!C298/SUM(Kalender!$C$5:$C$370),0)+IFERROR(SUMIF(Nutzungsprofile!$B$17:$B$22,"Halle",Nutzungsprofile!$G$17:$G$22)*Kalender!D298/SUM(Kalender!$D$5:$D$370),0)+IFERROR(SUMIF(Nutzungsprofile!$B$17:$B$22,"Individuell",Nutzungsprofile!$G$17:$G$22)*Kalender!E298/SUM(Kalender!$E$5:$E$370),0))*Szenarien!$D$16,0)</f>
        <v>4.05</v>
      </c>
      <c r="E2128" s="13" t="n">
        <f aca="false">IFERROR(MIN(C2128,Eingaben!$B$17)*Eingaben!$B$16,0)</f>
        <v>0.855</v>
      </c>
      <c r="F2128" s="13" t="n">
        <f aca="false">IFERROR(E2128*Eingaben!$B$15,0)</f>
        <v>0.7695</v>
      </c>
      <c r="G2128" s="13" t="n">
        <f aca="false">IFERROR(IF(Kalender!A298="",0,J2127*(1-Eingaben!$B$20)),0)</f>
        <v>0.226233</v>
      </c>
      <c r="H2128" s="13" t="n">
        <f aca="false">MIN(G2128,D2128)</f>
        <v>0.226233</v>
      </c>
      <c r="I2128" s="13" t="n">
        <f aca="false">IFERROR(MIN(F2128*Eingaben!$B$19,MAX(0,D2128-H2128)),0)</f>
        <v>0.53865</v>
      </c>
      <c r="J2128" s="13" t="n">
        <f aca="false">IFERROR(MIN(Eingaben!$B$18,MAX(0,F2128-I2128)),0)</f>
        <v>0.23085</v>
      </c>
      <c r="K2128" s="13" t="n">
        <f aca="false">H2128+I2128</f>
        <v>0.764883</v>
      </c>
      <c r="L2128" s="13" t="n">
        <f aca="false">MAX(0,D2128-K2128)</f>
        <v>3.285117</v>
      </c>
      <c r="M2128" s="13" t="n">
        <f aca="false">MAX(0,F2128-I2128-J2128)</f>
        <v>0</v>
      </c>
      <c r="N2128" s="13" t="n">
        <f aca="false">IF(Kalender!A298="",0,J2127-H2128)</f>
        <v>0.00461700000000001</v>
      </c>
    </row>
    <row r="2129" customFormat="false" ht="16.4" hidden="false" customHeight="false" outlineLevel="0" collapsed="false">
      <c r="A2129" s="13" t="str">
        <f aca="false">""</f>
        <v/>
      </c>
      <c r="B2129" s="13" t="n">
        <f aca="false">295</f>
        <v>295</v>
      </c>
      <c r="C2129" s="13" t="n">
        <f aca="false">IF(Szenarien!$H$16="OK",(IFERROR(SUMIF(Nutzungsprofile!$B$6:$B$11,"Schulbetrieb",Nutzungsprofile!$G$6:$G$11)*Kalender!C299/SUM(Kalender!$C$5:$C$370),0)+IFERROR(SUMIF(Nutzungsprofile!$B$6:$B$11,"Halle",Nutzungsprofile!$G$6:$G$11)*Kalender!D299/SUM(Kalender!$D$5:$D$370),0)+IFERROR(SUMIF(Nutzungsprofile!$B$6:$B$11,"Individuell",Nutzungsprofile!$G$6:$G$11)*Kalender!E299/SUM(Kalender!$E$5:$E$370),0))*Szenarien!$E$16,0)</f>
        <v>0.9</v>
      </c>
      <c r="D2129" s="13" t="n">
        <f aca="false">IF(Szenarien!$H$16="OK",(IFERROR(SUMIF(Nutzungsprofile!$B$17:$B$22,"Schulbetrieb",Nutzungsprofile!$G$17:$G$22)*Kalender!C299/SUM(Kalender!$C$5:$C$370),0)+IFERROR(SUMIF(Nutzungsprofile!$B$17:$B$22,"Halle",Nutzungsprofile!$G$17:$G$22)*Kalender!D299/SUM(Kalender!$D$5:$D$370),0)+IFERROR(SUMIF(Nutzungsprofile!$B$17:$B$22,"Individuell",Nutzungsprofile!$G$17:$G$22)*Kalender!E299/SUM(Kalender!$E$5:$E$370),0))*Szenarien!$D$16,0)</f>
        <v>4.05</v>
      </c>
      <c r="E2129" s="13" t="n">
        <f aca="false">IFERROR(MIN(C2129,Eingaben!$B$17)*Eingaben!$B$16,0)</f>
        <v>0.855</v>
      </c>
      <c r="F2129" s="13" t="n">
        <f aca="false">IFERROR(E2129*Eingaben!$B$15,0)</f>
        <v>0.7695</v>
      </c>
      <c r="G2129" s="13" t="n">
        <f aca="false">IFERROR(IF(Kalender!A299="",0,J2128*(1-Eingaben!$B$20)),0)</f>
        <v>0.226233</v>
      </c>
      <c r="H2129" s="13" t="n">
        <f aca="false">MIN(G2129,D2129)</f>
        <v>0.226233</v>
      </c>
      <c r="I2129" s="13" t="n">
        <f aca="false">IFERROR(MIN(F2129*Eingaben!$B$19,MAX(0,D2129-H2129)),0)</f>
        <v>0.53865</v>
      </c>
      <c r="J2129" s="13" t="n">
        <f aca="false">IFERROR(MIN(Eingaben!$B$18,MAX(0,F2129-I2129)),0)</f>
        <v>0.23085</v>
      </c>
      <c r="K2129" s="13" t="n">
        <f aca="false">H2129+I2129</f>
        <v>0.764883</v>
      </c>
      <c r="L2129" s="13" t="n">
        <f aca="false">MAX(0,D2129-K2129)</f>
        <v>3.285117</v>
      </c>
      <c r="M2129" s="13" t="n">
        <f aca="false">MAX(0,F2129-I2129-J2129)</f>
        <v>0</v>
      </c>
      <c r="N2129" s="13" t="n">
        <f aca="false">IF(Kalender!A299="",0,J2128-H2129)</f>
        <v>0.00461700000000001</v>
      </c>
    </row>
    <row r="2130" customFormat="false" ht="16.4" hidden="false" customHeight="false" outlineLevel="0" collapsed="false">
      <c r="A2130" s="13" t="str">
        <f aca="false">""</f>
        <v/>
      </c>
      <c r="B2130" s="13" t="n">
        <f aca="false">296</f>
        <v>296</v>
      </c>
      <c r="C2130" s="13" t="n">
        <f aca="false">IF(Szenarien!$H$16="OK",(IFERROR(SUMIF(Nutzungsprofile!$B$6:$B$11,"Schulbetrieb",Nutzungsprofile!$G$6:$G$11)*Kalender!C300/SUM(Kalender!$C$5:$C$370),0)+IFERROR(SUMIF(Nutzungsprofile!$B$6:$B$11,"Halle",Nutzungsprofile!$G$6:$G$11)*Kalender!D300/SUM(Kalender!$D$5:$D$370),0)+IFERROR(SUMIF(Nutzungsprofile!$B$6:$B$11,"Individuell",Nutzungsprofile!$G$6:$G$11)*Kalender!E300/SUM(Kalender!$E$5:$E$370),0))*Szenarien!$E$16,0)</f>
        <v>0.9</v>
      </c>
      <c r="D2130" s="13" t="n">
        <f aca="false">IF(Szenarien!$H$16="OK",(IFERROR(SUMIF(Nutzungsprofile!$B$17:$B$22,"Schulbetrieb",Nutzungsprofile!$G$17:$G$22)*Kalender!C300/SUM(Kalender!$C$5:$C$370),0)+IFERROR(SUMIF(Nutzungsprofile!$B$17:$B$22,"Halle",Nutzungsprofile!$G$17:$G$22)*Kalender!D300/SUM(Kalender!$D$5:$D$370),0)+IFERROR(SUMIF(Nutzungsprofile!$B$17:$B$22,"Individuell",Nutzungsprofile!$G$17:$G$22)*Kalender!E300/SUM(Kalender!$E$5:$E$370),0))*Szenarien!$D$16,0)</f>
        <v>4.05</v>
      </c>
      <c r="E2130" s="13" t="n">
        <f aca="false">IFERROR(MIN(C2130,Eingaben!$B$17)*Eingaben!$B$16,0)</f>
        <v>0.855</v>
      </c>
      <c r="F2130" s="13" t="n">
        <f aca="false">IFERROR(E2130*Eingaben!$B$15,0)</f>
        <v>0.7695</v>
      </c>
      <c r="G2130" s="13" t="n">
        <f aca="false">IFERROR(IF(Kalender!A300="",0,J2129*(1-Eingaben!$B$20)),0)</f>
        <v>0.226233</v>
      </c>
      <c r="H2130" s="13" t="n">
        <f aca="false">MIN(G2130,D2130)</f>
        <v>0.226233</v>
      </c>
      <c r="I2130" s="13" t="n">
        <f aca="false">IFERROR(MIN(F2130*Eingaben!$B$19,MAX(0,D2130-H2130)),0)</f>
        <v>0.53865</v>
      </c>
      <c r="J2130" s="13" t="n">
        <f aca="false">IFERROR(MIN(Eingaben!$B$18,MAX(0,F2130-I2130)),0)</f>
        <v>0.23085</v>
      </c>
      <c r="K2130" s="13" t="n">
        <f aca="false">H2130+I2130</f>
        <v>0.764883</v>
      </c>
      <c r="L2130" s="13" t="n">
        <f aca="false">MAX(0,D2130-K2130)</f>
        <v>3.285117</v>
      </c>
      <c r="M2130" s="13" t="n">
        <f aca="false">MAX(0,F2130-I2130-J2130)</f>
        <v>0</v>
      </c>
      <c r="N2130" s="13" t="n">
        <f aca="false">IF(Kalender!A300="",0,J2129-H2130)</f>
        <v>0.00461700000000001</v>
      </c>
    </row>
    <row r="2131" customFormat="false" ht="16.4" hidden="false" customHeight="false" outlineLevel="0" collapsed="false">
      <c r="A2131" s="13" t="str">
        <f aca="false">""</f>
        <v/>
      </c>
      <c r="B2131" s="13" t="n">
        <f aca="false">297</f>
        <v>297</v>
      </c>
      <c r="C2131" s="13" t="n">
        <f aca="false">IF(Szenarien!$H$16="OK",(IFERROR(SUMIF(Nutzungsprofile!$B$6:$B$11,"Schulbetrieb",Nutzungsprofile!$G$6:$G$11)*Kalender!C301/SUM(Kalender!$C$5:$C$370),0)+IFERROR(SUMIF(Nutzungsprofile!$B$6:$B$11,"Halle",Nutzungsprofile!$G$6:$G$11)*Kalender!D301/SUM(Kalender!$D$5:$D$370),0)+IFERROR(SUMIF(Nutzungsprofile!$B$6:$B$11,"Individuell",Nutzungsprofile!$G$6:$G$11)*Kalender!E301/SUM(Kalender!$E$5:$E$370),0))*Szenarien!$E$16,0)</f>
        <v>0</v>
      </c>
      <c r="D2131" s="13" t="n">
        <f aca="false">IF(Szenarien!$H$16="OK",(IFERROR(SUMIF(Nutzungsprofile!$B$17:$B$22,"Schulbetrieb",Nutzungsprofile!$G$17:$G$22)*Kalender!C301/SUM(Kalender!$C$5:$C$370),0)+IFERROR(SUMIF(Nutzungsprofile!$B$17:$B$22,"Halle",Nutzungsprofile!$G$17:$G$22)*Kalender!D301/SUM(Kalender!$D$5:$D$370),0)+IFERROR(SUMIF(Nutzungsprofile!$B$17:$B$22,"Individuell",Nutzungsprofile!$G$17:$G$22)*Kalender!E301/SUM(Kalender!$E$5:$E$370),0))*Szenarien!$D$16,0)</f>
        <v>0</v>
      </c>
      <c r="E2131" s="13" t="n">
        <f aca="false">IFERROR(MIN(C2131,Eingaben!$B$17)*Eingaben!$B$16,0)</f>
        <v>0</v>
      </c>
      <c r="F2131" s="13" t="n">
        <f aca="false">IFERROR(E2131*Eingaben!$B$15,0)</f>
        <v>0</v>
      </c>
      <c r="G2131" s="13" t="n">
        <f aca="false">IFERROR(IF(Kalender!A301="",0,J2130*(1-Eingaben!$B$20)),0)</f>
        <v>0.226233</v>
      </c>
      <c r="H2131" s="13" t="n">
        <f aca="false">MIN(G2131,D2131)</f>
        <v>0</v>
      </c>
      <c r="I2131" s="13" t="n">
        <f aca="false">IFERROR(MIN(F2131*Eingaben!$B$19,MAX(0,D2131-H2131)),0)</f>
        <v>0</v>
      </c>
      <c r="J2131" s="13" t="n">
        <f aca="false">IFERROR(MIN(Eingaben!$B$18,MAX(0,F2131-I2131)),0)</f>
        <v>0</v>
      </c>
      <c r="K2131" s="13" t="n">
        <f aca="false">H2131+I2131</f>
        <v>0</v>
      </c>
      <c r="L2131" s="13" t="n">
        <f aca="false">MAX(0,D2131-K2131)</f>
        <v>0</v>
      </c>
      <c r="M2131" s="13" t="n">
        <f aca="false">MAX(0,F2131-I2131-J2131)</f>
        <v>0</v>
      </c>
      <c r="N2131" s="13" t="n">
        <f aca="false">IF(Kalender!A301="",0,J2130-H2131)</f>
        <v>0.23085</v>
      </c>
    </row>
    <row r="2132" customFormat="false" ht="16.4" hidden="false" customHeight="false" outlineLevel="0" collapsed="false">
      <c r="A2132" s="13" t="str">
        <f aca="false">""</f>
        <v/>
      </c>
      <c r="B2132" s="13" t="n">
        <f aca="false">298</f>
        <v>298</v>
      </c>
      <c r="C2132" s="13" t="n">
        <f aca="false">IF(Szenarien!$H$16="OK",(IFERROR(SUMIF(Nutzungsprofile!$B$6:$B$11,"Schulbetrieb",Nutzungsprofile!$G$6:$G$11)*Kalender!C302/SUM(Kalender!$C$5:$C$370),0)+IFERROR(SUMIF(Nutzungsprofile!$B$6:$B$11,"Halle",Nutzungsprofile!$G$6:$G$11)*Kalender!D302/SUM(Kalender!$D$5:$D$370),0)+IFERROR(SUMIF(Nutzungsprofile!$B$6:$B$11,"Individuell",Nutzungsprofile!$G$6:$G$11)*Kalender!E302/SUM(Kalender!$E$5:$E$370),0))*Szenarien!$E$16,0)</f>
        <v>0</v>
      </c>
      <c r="D2132" s="13" t="n">
        <f aca="false">IF(Szenarien!$H$16="OK",(IFERROR(SUMIF(Nutzungsprofile!$B$17:$B$22,"Schulbetrieb",Nutzungsprofile!$G$17:$G$22)*Kalender!C302/SUM(Kalender!$C$5:$C$370),0)+IFERROR(SUMIF(Nutzungsprofile!$B$17:$B$22,"Halle",Nutzungsprofile!$G$17:$G$22)*Kalender!D302/SUM(Kalender!$D$5:$D$370),0)+IFERROR(SUMIF(Nutzungsprofile!$B$17:$B$22,"Individuell",Nutzungsprofile!$G$17:$G$22)*Kalender!E302/SUM(Kalender!$E$5:$E$370),0))*Szenarien!$D$16,0)</f>
        <v>0</v>
      </c>
      <c r="E2132" s="13" t="n">
        <f aca="false">IFERROR(MIN(C2132,Eingaben!$B$17)*Eingaben!$B$16,0)</f>
        <v>0</v>
      </c>
      <c r="F2132" s="13" t="n">
        <f aca="false">IFERROR(E2132*Eingaben!$B$15,0)</f>
        <v>0</v>
      </c>
      <c r="G2132" s="13" t="n">
        <f aca="false">IFERROR(IF(Kalender!A302="",0,J2131*(1-Eingaben!$B$20)),0)</f>
        <v>0</v>
      </c>
      <c r="H2132" s="13" t="n">
        <f aca="false">MIN(G2132,D2132)</f>
        <v>0</v>
      </c>
      <c r="I2132" s="13" t="n">
        <f aca="false">IFERROR(MIN(F2132*Eingaben!$B$19,MAX(0,D2132-H2132)),0)</f>
        <v>0</v>
      </c>
      <c r="J2132" s="13" t="n">
        <f aca="false">IFERROR(MIN(Eingaben!$B$18,MAX(0,F2132-I2132)),0)</f>
        <v>0</v>
      </c>
      <c r="K2132" s="13" t="n">
        <f aca="false">H2132+I2132</f>
        <v>0</v>
      </c>
      <c r="L2132" s="13" t="n">
        <f aca="false">MAX(0,D2132-K2132)</f>
        <v>0</v>
      </c>
      <c r="M2132" s="13" t="n">
        <f aca="false">MAX(0,F2132-I2132-J2132)</f>
        <v>0</v>
      </c>
      <c r="N2132" s="13" t="n">
        <f aca="false">IF(Kalender!A302="",0,J2131-H2132)</f>
        <v>0</v>
      </c>
    </row>
    <row r="2133" customFormat="false" ht="16.4" hidden="false" customHeight="false" outlineLevel="0" collapsed="false">
      <c r="A2133" s="13" t="str">
        <f aca="false">""</f>
        <v/>
      </c>
      <c r="B2133" s="13" t="n">
        <f aca="false">299</f>
        <v>299</v>
      </c>
      <c r="C2133" s="13" t="n">
        <f aca="false">IF(Szenarien!$H$16="OK",(IFERROR(SUMIF(Nutzungsprofile!$B$6:$B$11,"Schulbetrieb",Nutzungsprofile!$G$6:$G$11)*Kalender!C303/SUM(Kalender!$C$5:$C$370),0)+IFERROR(SUMIF(Nutzungsprofile!$B$6:$B$11,"Halle",Nutzungsprofile!$G$6:$G$11)*Kalender!D303/SUM(Kalender!$D$5:$D$370),0)+IFERROR(SUMIF(Nutzungsprofile!$B$6:$B$11,"Individuell",Nutzungsprofile!$G$6:$G$11)*Kalender!E303/SUM(Kalender!$E$5:$E$370),0))*Szenarien!$E$16,0)</f>
        <v>0.9</v>
      </c>
      <c r="D2133" s="13" t="n">
        <f aca="false">IF(Szenarien!$H$16="OK",(IFERROR(SUMIF(Nutzungsprofile!$B$17:$B$22,"Schulbetrieb",Nutzungsprofile!$G$17:$G$22)*Kalender!C303/SUM(Kalender!$C$5:$C$370),0)+IFERROR(SUMIF(Nutzungsprofile!$B$17:$B$22,"Halle",Nutzungsprofile!$G$17:$G$22)*Kalender!D303/SUM(Kalender!$D$5:$D$370),0)+IFERROR(SUMIF(Nutzungsprofile!$B$17:$B$22,"Individuell",Nutzungsprofile!$G$17:$G$22)*Kalender!E303/SUM(Kalender!$E$5:$E$370),0))*Szenarien!$D$16,0)</f>
        <v>4.05</v>
      </c>
      <c r="E2133" s="13" t="n">
        <f aca="false">IFERROR(MIN(C2133,Eingaben!$B$17)*Eingaben!$B$16,0)</f>
        <v>0.855</v>
      </c>
      <c r="F2133" s="13" t="n">
        <f aca="false">IFERROR(E2133*Eingaben!$B$15,0)</f>
        <v>0.7695</v>
      </c>
      <c r="G2133" s="13" t="n">
        <f aca="false">IFERROR(IF(Kalender!A303="",0,J2132*(1-Eingaben!$B$20)),0)</f>
        <v>0</v>
      </c>
      <c r="H2133" s="13" t="n">
        <f aca="false">MIN(G2133,D2133)</f>
        <v>0</v>
      </c>
      <c r="I2133" s="13" t="n">
        <f aca="false">IFERROR(MIN(F2133*Eingaben!$B$19,MAX(0,D2133-H2133)),0)</f>
        <v>0.53865</v>
      </c>
      <c r="J2133" s="13" t="n">
        <f aca="false">IFERROR(MIN(Eingaben!$B$18,MAX(0,F2133-I2133)),0)</f>
        <v>0.23085</v>
      </c>
      <c r="K2133" s="13" t="n">
        <f aca="false">H2133+I2133</f>
        <v>0.53865</v>
      </c>
      <c r="L2133" s="13" t="n">
        <f aca="false">MAX(0,D2133-K2133)</f>
        <v>3.51135</v>
      </c>
      <c r="M2133" s="13" t="n">
        <f aca="false">MAX(0,F2133-I2133-J2133)</f>
        <v>0</v>
      </c>
      <c r="N2133" s="13" t="n">
        <f aca="false">IF(Kalender!A303="",0,J2132-H2133)</f>
        <v>0</v>
      </c>
    </row>
    <row r="2134" customFormat="false" ht="16.4" hidden="false" customHeight="false" outlineLevel="0" collapsed="false">
      <c r="A2134" s="13" t="str">
        <f aca="false">""</f>
        <v/>
      </c>
      <c r="B2134" s="13" t="n">
        <f aca="false">300</f>
        <v>300</v>
      </c>
      <c r="C2134" s="13" t="n">
        <f aca="false">IF(Szenarien!$H$16="OK",(IFERROR(SUMIF(Nutzungsprofile!$B$6:$B$11,"Schulbetrieb",Nutzungsprofile!$G$6:$G$11)*Kalender!C304/SUM(Kalender!$C$5:$C$370),0)+IFERROR(SUMIF(Nutzungsprofile!$B$6:$B$11,"Halle",Nutzungsprofile!$G$6:$G$11)*Kalender!D304/SUM(Kalender!$D$5:$D$370),0)+IFERROR(SUMIF(Nutzungsprofile!$B$6:$B$11,"Individuell",Nutzungsprofile!$G$6:$G$11)*Kalender!E304/SUM(Kalender!$E$5:$E$370),0))*Szenarien!$E$16,0)</f>
        <v>0.9</v>
      </c>
      <c r="D2134" s="13" t="n">
        <f aca="false">IF(Szenarien!$H$16="OK",(IFERROR(SUMIF(Nutzungsprofile!$B$17:$B$22,"Schulbetrieb",Nutzungsprofile!$G$17:$G$22)*Kalender!C304/SUM(Kalender!$C$5:$C$370),0)+IFERROR(SUMIF(Nutzungsprofile!$B$17:$B$22,"Halle",Nutzungsprofile!$G$17:$G$22)*Kalender!D304/SUM(Kalender!$D$5:$D$370),0)+IFERROR(SUMIF(Nutzungsprofile!$B$17:$B$22,"Individuell",Nutzungsprofile!$G$17:$G$22)*Kalender!E304/SUM(Kalender!$E$5:$E$370),0))*Szenarien!$D$16,0)</f>
        <v>4.05</v>
      </c>
      <c r="E2134" s="13" t="n">
        <f aca="false">IFERROR(MIN(C2134,Eingaben!$B$17)*Eingaben!$B$16,0)</f>
        <v>0.855</v>
      </c>
      <c r="F2134" s="13" t="n">
        <f aca="false">IFERROR(E2134*Eingaben!$B$15,0)</f>
        <v>0.7695</v>
      </c>
      <c r="G2134" s="13" t="n">
        <f aca="false">IFERROR(IF(Kalender!A304="",0,J2133*(1-Eingaben!$B$20)),0)</f>
        <v>0.226233</v>
      </c>
      <c r="H2134" s="13" t="n">
        <f aca="false">MIN(G2134,D2134)</f>
        <v>0.226233</v>
      </c>
      <c r="I2134" s="13" t="n">
        <f aca="false">IFERROR(MIN(F2134*Eingaben!$B$19,MAX(0,D2134-H2134)),0)</f>
        <v>0.53865</v>
      </c>
      <c r="J2134" s="13" t="n">
        <f aca="false">IFERROR(MIN(Eingaben!$B$18,MAX(0,F2134-I2134)),0)</f>
        <v>0.23085</v>
      </c>
      <c r="K2134" s="13" t="n">
        <f aca="false">H2134+I2134</f>
        <v>0.764883</v>
      </c>
      <c r="L2134" s="13" t="n">
        <f aca="false">MAX(0,D2134-K2134)</f>
        <v>3.285117</v>
      </c>
      <c r="M2134" s="13" t="n">
        <f aca="false">MAX(0,F2134-I2134-J2134)</f>
        <v>0</v>
      </c>
      <c r="N2134" s="13" t="n">
        <f aca="false">IF(Kalender!A304="",0,J2133-H2134)</f>
        <v>0.00461700000000001</v>
      </c>
    </row>
    <row r="2135" customFormat="false" ht="16.4" hidden="false" customHeight="false" outlineLevel="0" collapsed="false">
      <c r="A2135" s="13" t="str">
        <f aca="false">""</f>
        <v/>
      </c>
      <c r="B2135" s="13" t="n">
        <f aca="false">301</f>
        <v>301</v>
      </c>
      <c r="C2135" s="13" t="n">
        <f aca="false">IF(Szenarien!$H$16="OK",(IFERROR(SUMIF(Nutzungsprofile!$B$6:$B$11,"Schulbetrieb",Nutzungsprofile!$G$6:$G$11)*Kalender!C305/SUM(Kalender!$C$5:$C$370),0)+IFERROR(SUMIF(Nutzungsprofile!$B$6:$B$11,"Halle",Nutzungsprofile!$G$6:$G$11)*Kalender!D305/SUM(Kalender!$D$5:$D$370),0)+IFERROR(SUMIF(Nutzungsprofile!$B$6:$B$11,"Individuell",Nutzungsprofile!$G$6:$G$11)*Kalender!E305/SUM(Kalender!$E$5:$E$370),0))*Szenarien!$E$16,0)</f>
        <v>0.9</v>
      </c>
      <c r="D2135" s="13" t="n">
        <f aca="false">IF(Szenarien!$H$16="OK",(IFERROR(SUMIF(Nutzungsprofile!$B$17:$B$22,"Schulbetrieb",Nutzungsprofile!$G$17:$G$22)*Kalender!C305/SUM(Kalender!$C$5:$C$370),0)+IFERROR(SUMIF(Nutzungsprofile!$B$17:$B$22,"Halle",Nutzungsprofile!$G$17:$G$22)*Kalender!D305/SUM(Kalender!$D$5:$D$370),0)+IFERROR(SUMIF(Nutzungsprofile!$B$17:$B$22,"Individuell",Nutzungsprofile!$G$17:$G$22)*Kalender!E305/SUM(Kalender!$E$5:$E$370),0))*Szenarien!$D$16,0)</f>
        <v>4.05</v>
      </c>
      <c r="E2135" s="13" t="n">
        <f aca="false">IFERROR(MIN(C2135,Eingaben!$B$17)*Eingaben!$B$16,0)</f>
        <v>0.855</v>
      </c>
      <c r="F2135" s="13" t="n">
        <f aca="false">IFERROR(E2135*Eingaben!$B$15,0)</f>
        <v>0.7695</v>
      </c>
      <c r="G2135" s="13" t="n">
        <f aca="false">IFERROR(IF(Kalender!A305="",0,J2134*(1-Eingaben!$B$20)),0)</f>
        <v>0.226233</v>
      </c>
      <c r="H2135" s="13" t="n">
        <f aca="false">MIN(G2135,D2135)</f>
        <v>0.226233</v>
      </c>
      <c r="I2135" s="13" t="n">
        <f aca="false">IFERROR(MIN(F2135*Eingaben!$B$19,MAX(0,D2135-H2135)),0)</f>
        <v>0.53865</v>
      </c>
      <c r="J2135" s="13" t="n">
        <f aca="false">IFERROR(MIN(Eingaben!$B$18,MAX(0,F2135-I2135)),0)</f>
        <v>0.23085</v>
      </c>
      <c r="K2135" s="13" t="n">
        <f aca="false">H2135+I2135</f>
        <v>0.764883</v>
      </c>
      <c r="L2135" s="13" t="n">
        <f aca="false">MAX(0,D2135-K2135)</f>
        <v>3.285117</v>
      </c>
      <c r="M2135" s="13" t="n">
        <f aca="false">MAX(0,F2135-I2135-J2135)</f>
        <v>0</v>
      </c>
      <c r="N2135" s="13" t="n">
        <f aca="false">IF(Kalender!A305="",0,J2134-H2135)</f>
        <v>0.00461700000000001</v>
      </c>
    </row>
    <row r="2136" customFormat="false" ht="16.4" hidden="false" customHeight="false" outlineLevel="0" collapsed="false">
      <c r="A2136" s="13" t="str">
        <f aca="false">""</f>
        <v/>
      </c>
      <c r="B2136" s="13" t="n">
        <f aca="false">302</f>
        <v>302</v>
      </c>
      <c r="C2136" s="13" t="n">
        <f aca="false">IF(Szenarien!$H$16="OK",(IFERROR(SUMIF(Nutzungsprofile!$B$6:$B$11,"Schulbetrieb",Nutzungsprofile!$G$6:$G$11)*Kalender!C306/SUM(Kalender!$C$5:$C$370),0)+IFERROR(SUMIF(Nutzungsprofile!$B$6:$B$11,"Halle",Nutzungsprofile!$G$6:$G$11)*Kalender!D306/SUM(Kalender!$D$5:$D$370),0)+IFERROR(SUMIF(Nutzungsprofile!$B$6:$B$11,"Individuell",Nutzungsprofile!$G$6:$G$11)*Kalender!E306/SUM(Kalender!$E$5:$E$370),0))*Szenarien!$E$16,0)</f>
        <v>0.9</v>
      </c>
      <c r="D2136" s="13" t="n">
        <f aca="false">IF(Szenarien!$H$16="OK",(IFERROR(SUMIF(Nutzungsprofile!$B$17:$B$22,"Schulbetrieb",Nutzungsprofile!$G$17:$G$22)*Kalender!C306/SUM(Kalender!$C$5:$C$370),0)+IFERROR(SUMIF(Nutzungsprofile!$B$17:$B$22,"Halle",Nutzungsprofile!$G$17:$G$22)*Kalender!D306/SUM(Kalender!$D$5:$D$370),0)+IFERROR(SUMIF(Nutzungsprofile!$B$17:$B$22,"Individuell",Nutzungsprofile!$G$17:$G$22)*Kalender!E306/SUM(Kalender!$E$5:$E$370),0))*Szenarien!$D$16,0)</f>
        <v>4.05</v>
      </c>
      <c r="E2136" s="13" t="n">
        <f aca="false">IFERROR(MIN(C2136,Eingaben!$B$17)*Eingaben!$B$16,0)</f>
        <v>0.855</v>
      </c>
      <c r="F2136" s="13" t="n">
        <f aca="false">IFERROR(E2136*Eingaben!$B$15,0)</f>
        <v>0.7695</v>
      </c>
      <c r="G2136" s="13" t="n">
        <f aca="false">IFERROR(IF(Kalender!A306="",0,J2135*(1-Eingaben!$B$20)),0)</f>
        <v>0.226233</v>
      </c>
      <c r="H2136" s="13" t="n">
        <f aca="false">MIN(G2136,D2136)</f>
        <v>0.226233</v>
      </c>
      <c r="I2136" s="13" t="n">
        <f aca="false">IFERROR(MIN(F2136*Eingaben!$B$19,MAX(0,D2136-H2136)),0)</f>
        <v>0.53865</v>
      </c>
      <c r="J2136" s="13" t="n">
        <f aca="false">IFERROR(MIN(Eingaben!$B$18,MAX(0,F2136-I2136)),0)</f>
        <v>0.23085</v>
      </c>
      <c r="K2136" s="13" t="n">
        <f aca="false">H2136+I2136</f>
        <v>0.764883</v>
      </c>
      <c r="L2136" s="13" t="n">
        <f aca="false">MAX(0,D2136-K2136)</f>
        <v>3.285117</v>
      </c>
      <c r="M2136" s="13" t="n">
        <f aca="false">MAX(0,F2136-I2136-J2136)</f>
        <v>0</v>
      </c>
      <c r="N2136" s="13" t="n">
        <f aca="false">IF(Kalender!A306="",0,J2135-H2136)</f>
        <v>0.00461700000000001</v>
      </c>
    </row>
    <row r="2137" customFormat="false" ht="16.4" hidden="false" customHeight="false" outlineLevel="0" collapsed="false">
      <c r="A2137" s="13" t="str">
        <f aca="false">""</f>
        <v/>
      </c>
      <c r="B2137" s="13" t="n">
        <f aca="false">303</f>
        <v>303</v>
      </c>
      <c r="C2137" s="13" t="n">
        <f aca="false">IF(Szenarien!$H$16="OK",(IFERROR(SUMIF(Nutzungsprofile!$B$6:$B$11,"Schulbetrieb",Nutzungsprofile!$G$6:$G$11)*Kalender!C307/SUM(Kalender!$C$5:$C$370),0)+IFERROR(SUMIF(Nutzungsprofile!$B$6:$B$11,"Halle",Nutzungsprofile!$G$6:$G$11)*Kalender!D307/SUM(Kalender!$D$5:$D$370),0)+IFERROR(SUMIF(Nutzungsprofile!$B$6:$B$11,"Individuell",Nutzungsprofile!$G$6:$G$11)*Kalender!E307/SUM(Kalender!$E$5:$E$370),0))*Szenarien!$E$16,0)</f>
        <v>0.9</v>
      </c>
      <c r="D2137" s="13" t="n">
        <f aca="false">IF(Szenarien!$H$16="OK",(IFERROR(SUMIF(Nutzungsprofile!$B$17:$B$22,"Schulbetrieb",Nutzungsprofile!$G$17:$G$22)*Kalender!C307/SUM(Kalender!$C$5:$C$370),0)+IFERROR(SUMIF(Nutzungsprofile!$B$17:$B$22,"Halle",Nutzungsprofile!$G$17:$G$22)*Kalender!D307/SUM(Kalender!$D$5:$D$370),0)+IFERROR(SUMIF(Nutzungsprofile!$B$17:$B$22,"Individuell",Nutzungsprofile!$G$17:$G$22)*Kalender!E307/SUM(Kalender!$E$5:$E$370),0))*Szenarien!$D$16,0)</f>
        <v>4.05</v>
      </c>
      <c r="E2137" s="13" t="n">
        <f aca="false">IFERROR(MIN(C2137,Eingaben!$B$17)*Eingaben!$B$16,0)</f>
        <v>0.855</v>
      </c>
      <c r="F2137" s="13" t="n">
        <f aca="false">IFERROR(E2137*Eingaben!$B$15,0)</f>
        <v>0.7695</v>
      </c>
      <c r="G2137" s="13" t="n">
        <f aca="false">IFERROR(IF(Kalender!A307="",0,J2136*(1-Eingaben!$B$20)),0)</f>
        <v>0.226233</v>
      </c>
      <c r="H2137" s="13" t="n">
        <f aca="false">MIN(G2137,D2137)</f>
        <v>0.226233</v>
      </c>
      <c r="I2137" s="13" t="n">
        <f aca="false">IFERROR(MIN(F2137*Eingaben!$B$19,MAX(0,D2137-H2137)),0)</f>
        <v>0.53865</v>
      </c>
      <c r="J2137" s="13" t="n">
        <f aca="false">IFERROR(MIN(Eingaben!$B$18,MAX(0,F2137-I2137)),0)</f>
        <v>0.23085</v>
      </c>
      <c r="K2137" s="13" t="n">
        <f aca="false">H2137+I2137</f>
        <v>0.764883</v>
      </c>
      <c r="L2137" s="13" t="n">
        <f aca="false">MAX(0,D2137-K2137)</f>
        <v>3.285117</v>
      </c>
      <c r="M2137" s="13" t="n">
        <f aca="false">MAX(0,F2137-I2137-J2137)</f>
        <v>0</v>
      </c>
      <c r="N2137" s="13" t="n">
        <f aca="false">IF(Kalender!A307="",0,J2136-H2137)</f>
        <v>0.00461700000000001</v>
      </c>
    </row>
    <row r="2138" customFormat="false" ht="16.4" hidden="false" customHeight="false" outlineLevel="0" collapsed="false">
      <c r="A2138" s="13" t="str">
        <f aca="false">""</f>
        <v/>
      </c>
      <c r="B2138" s="13" t="n">
        <f aca="false">304</f>
        <v>304</v>
      </c>
      <c r="C2138" s="13" t="n">
        <f aca="false">IF(Szenarien!$H$16="OK",(IFERROR(SUMIF(Nutzungsprofile!$B$6:$B$11,"Schulbetrieb",Nutzungsprofile!$G$6:$G$11)*Kalender!C308/SUM(Kalender!$C$5:$C$370),0)+IFERROR(SUMIF(Nutzungsprofile!$B$6:$B$11,"Halle",Nutzungsprofile!$G$6:$G$11)*Kalender!D308/SUM(Kalender!$D$5:$D$370),0)+IFERROR(SUMIF(Nutzungsprofile!$B$6:$B$11,"Individuell",Nutzungsprofile!$G$6:$G$11)*Kalender!E308/SUM(Kalender!$E$5:$E$370),0))*Szenarien!$E$16,0)</f>
        <v>0</v>
      </c>
      <c r="D2138" s="13" t="n">
        <f aca="false">IF(Szenarien!$H$16="OK",(IFERROR(SUMIF(Nutzungsprofile!$B$17:$B$22,"Schulbetrieb",Nutzungsprofile!$G$17:$G$22)*Kalender!C308/SUM(Kalender!$C$5:$C$370),0)+IFERROR(SUMIF(Nutzungsprofile!$B$17:$B$22,"Halle",Nutzungsprofile!$G$17:$G$22)*Kalender!D308/SUM(Kalender!$D$5:$D$370),0)+IFERROR(SUMIF(Nutzungsprofile!$B$17:$B$22,"Individuell",Nutzungsprofile!$G$17:$G$22)*Kalender!E308/SUM(Kalender!$E$5:$E$370),0))*Szenarien!$D$16,0)</f>
        <v>0</v>
      </c>
      <c r="E2138" s="13" t="n">
        <f aca="false">IFERROR(MIN(C2138,Eingaben!$B$17)*Eingaben!$B$16,0)</f>
        <v>0</v>
      </c>
      <c r="F2138" s="13" t="n">
        <f aca="false">IFERROR(E2138*Eingaben!$B$15,0)</f>
        <v>0</v>
      </c>
      <c r="G2138" s="13" t="n">
        <f aca="false">IFERROR(IF(Kalender!A308="",0,J2137*(1-Eingaben!$B$20)),0)</f>
        <v>0.226233</v>
      </c>
      <c r="H2138" s="13" t="n">
        <f aca="false">MIN(G2138,D2138)</f>
        <v>0</v>
      </c>
      <c r="I2138" s="13" t="n">
        <f aca="false">IFERROR(MIN(F2138*Eingaben!$B$19,MAX(0,D2138-H2138)),0)</f>
        <v>0</v>
      </c>
      <c r="J2138" s="13" t="n">
        <f aca="false">IFERROR(MIN(Eingaben!$B$18,MAX(0,F2138-I2138)),0)</f>
        <v>0</v>
      </c>
      <c r="K2138" s="13" t="n">
        <f aca="false">H2138+I2138</f>
        <v>0</v>
      </c>
      <c r="L2138" s="13" t="n">
        <f aca="false">MAX(0,D2138-K2138)</f>
        <v>0</v>
      </c>
      <c r="M2138" s="13" t="n">
        <f aca="false">MAX(0,F2138-I2138-J2138)</f>
        <v>0</v>
      </c>
      <c r="N2138" s="13" t="n">
        <f aca="false">IF(Kalender!A308="",0,J2137-H2138)</f>
        <v>0.23085</v>
      </c>
    </row>
    <row r="2139" customFormat="false" ht="16.4" hidden="false" customHeight="false" outlineLevel="0" collapsed="false">
      <c r="A2139" s="13" t="str">
        <f aca="false">""</f>
        <v/>
      </c>
      <c r="B2139" s="13" t="n">
        <f aca="false">305</f>
        <v>305</v>
      </c>
      <c r="C2139" s="13" t="n">
        <f aca="false">IF(Szenarien!$H$16="OK",(IFERROR(SUMIF(Nutzungsprofile!$B$6:$B$11,"Schulbetrieb",Nutzungsprofile!$G$6:$G$11)*Kalender!C309/SUM(Kalender!$C$5:$C$370),0)+IFERROR(SUMIF(Nutzungsprofile!$B$6:$B$11,"Halle",Nutzungsprofile!$G$6:$G$11)*Kalender!D309/SUM(Kalender!$D$5:$D$370),0)+IFERROR(SUMIF(Nutzungsprofile!$B$6:$B$11,"Individuell",Nutzungsprofile!$G$6:$G$11)*Kalender!E309/SUM(Kalender!$E$5:$E$370),0))*Szenarien!$E$16,0)</f>
        <v>0</v>
      </c>
      <c r="D2139" s="13" t="n">
        <f aca="false">IF(Szenarien!$H$16="OK",(IFERROR(SUMIF(Nutzungsprofile!$B$17:$B$22,"Schulbetrieb",Nutzungsprofile!$G$17:$G$22)*Kalender!C309/SUM(Kalender!$C$5:$C$370),0)+IFERROR(SUMIF(Nutzungsprofile!$B$17:$B$22,"Halle",Nutzungsprofile!$G$17:$G$22)*Kalender!D309/SUM(Kalender!$D$5:$D$370),0)+IFERROR(SUMIF(Nutzungsprofile!$B$17:$B$22,"Individuell",Nutzungsprofile!$G$17:$G$22)*Kalender!E309/SUM(Kalender!$E$5:$E$370),0))*Szenarien!$D$16,0)</f>
        <v>0</v>
      </c>
      <c r="E2139" s="13" t="n">
        <f aca="false">IFERROR(MIN(C2139,Eingaben!$B$17)*Eingaben!$B$16,0)</f>
        <v>0</v>
      </c>
      <c r="F2139" s="13" t="n">
        <f aca="false">IFERROR(E2139*Eingaben!$B$15,0)</f>
        <v>0</v>
      </c>
      <c r="G2139" s="13" t="n">
        <f aca="false">IFERROR(IF(Kalender!A309="",0,J2138*(1-Eingaben!$B$20)),0)</f>
        <v>0</v>
      </c>
      <c r="H2139" s="13" t="n">
        <f aca="false">MIN(G2139,D2139)</f>
        <v>0</v>
      </c>
      <c r="I2139" s="13" t="n">
        <f aca="false">IFERROR(MIN(F2139*Eingaben!$B$19,MAX(0,D2139-H2139)),0)</f>
        <v>0</v>
      </c>
      <c r="J2139" s="13" t="n">
        <f aca="false">IFERROR(MIN(Eingaben!$B$18,MAX(0,F2139-I2139)),0)</f>
        <v>0</v>
      </c>
      <c r="K2139" s="13" t="n">
        <f aca="false">H2139+I2139</f>
        <v>0</v>
      </c>
      <c r="L2139" s="13" t="n">
        <f aca="false">MAX(0,D2139-K2139)</f>
        <v>0</v>
      </c>
      <c r="M2139" s="13" t="n">
        <f aca="false">MAX(0,F2139-I2139-J2139)</f>
        <v>0</v>
      </c>
      <c r="N2139" s="13" t="n">
        <f aca="false">IF(Kalender!A309="",0,J2138-H2139)</f>
        <v>0</v>
      </c>
    </row>
    <row r="2140" customFormat="false" ht="16.4" hidden="false" customHeight="false" outlineLevel="0" collapsed="false">
      <c r="A2140" s="13" t="str">
        <f aca="false">""</f>
        <v/>
      </c>
      <c r="B2140" s="13" t="n">
        <f aca="false">306</f>
        <v>306</v>
      </c>
      <c r="C2140" s="13" t="n">
        <f aca="false">IF(Szenarien!$H$16="OK",(IFERROR(SUMIF(Nutzungsprofile!$B$6:$B$11,"Schulbetrieb",Nutzungsprofile!$G$6:$G$11)*Kalender!C310/SUM(Kalender!$C$5:$C$370),0)+IFERROR(SUMIF(Nutzungsprofile!$B$6:$B$11,"Halle",Nutzungsprofile!$G$6:$G$11)*Kalender!D310/SUM(Kalender!$D$5:$D$370),0)+IFERROR(SUMIF(Nutzungsprofile!$B$6:$B$11,"Individuell",Nutzungsprofile!$G$6:$G$11)*Kalender!E310/SUM(Kalender!$E$5:$E$370),0))*Szenarien!$E$16,0)</f>
        <v>0.9</v>
      </c>
      <c r="D2140" s="13" t="n">
        <f aca="false">IF(Szenarien!$H$16="OK",(IFERROR(SUMIF(Nutzungsprofile!$B$17:$B$22,"Schulbetrieb",Nutzungsprofile!$G$17:$G$22)*Kalender!C310/SUM(Kalender!$C$5:$C$370),0)+IFERROR(SUMIF(Nutzungsprofile!$B$17:$B$22,"Halle",Nutzungsprofile!$G$17:$G$22)*Kalender!D310/SUM(Kalender!$D$5:$D$370),0)+IFERROR(SUMIF(Nutzungsprofile!$B$17:$B$22,"Individuell",Nutzungsprofile!$G$17:$G$22)*Kalender!E310/SUM(Kalender!$E$5:$E$370),0))*Szenarien!$D$16,0)</f>
        <v>4.05</v>
      </c>
      <c r="E2140" s="13" t="n">
        <f aca="false">IFERROR(MIN(C2140,Eingaben!$B$17)*Eingaben!$B$16,0)</f>
        <v>0.855</v>
      </c>
      <c r="F2140" s="13" t="n">
        <f aca="false">IFERROR(E2140*Eingaben!$B$15,0)</f>
        <v>0.7695</v>
      </c>
      <c r="G2140" s="13" t="n">
        <f aca="false">IFERROR(IF(Kalender!A310="",0,J2139*(1-Eingaben!$B$20)),0)</f>
        <v>0</v>
      </c>
      <c r="H2140" s="13" t="n">
        <f aca="false">MIN(G2140,D2140)</f>
        <v>0</v>
      </c>
      <c r="I2140" s="13" t="n">
        <f aca="false">IFERROR(MIN(F2140*Eingaben!$B$19,MAX(0,D2140-H2140)),0)</f>
        <v>0.53865</v>
      </c>
      <c r="J2140" s="13" t="n">
        <f aca="false">IFERROR(MIN(Eingaben!$B$18,MAX(0,F2140-I2140)),0)</f>
        <v>0.23085</v>
      </c>
      <c r="K2140" s="13" t="n">
        <f aca="false">H2140+I2140</f>
        <v>0.53865</v>
      </c>
      <c r="L2140" s="13" t="n">
        <f aca="false">MAX(0,D2140-K2140)</f>
        <v>3.51135</v>
      </c>
      <c r="M2140" s="13" t="n">
        <f aca="false">MAX(0,F2140-I2140-J2140)</f>
        <v>0</v>
      </c>
      <c r="N2140" s="13" t="n">
        <f aca="false">IF(Kalender!A310="",0,J2139-H2140)</f>
        <v>0</v>
      </c>
    </row>
    <row r="2141" customFormat="false" ht="16.4" hidden="false" customHeight="false" outlineLevel="0" collapsed="false">
      <c r="A2141" s="13" t="str">
        <f aca="false">""</f>
        <v/>
      </c>
      <c r="B2141" s="13" t="n">
        <f aca="false">307</f>
        <v>307</v>
      </c>
      <c r="C2141" s="13" t="n">
        <f aca="false">IF(Szenarien!$H$16="OK",(IFERROR(SUMIF(Nutzungsprofile!$B$6:$B$11,"Schulbetrieb",Nutzungsprofile!$G$6:$G$11)*Kalender!C311/SUM(Kalender!$C$5:$C$370),0)+IFERROR(SUMIF(Nutzungsprofile!$B$6:$B$11,"Halle",Nutzungsprofile!$G$6:$G$11)*Kalender!D311/SUM(Kalender!$D$5:$D$370),0)+IFERROR(SUMIF(Nutzungsprofile!$B$6:$B$11,"Individuell",Nutzungsprofile!$G$6:$G$11)*Kalender!E311/SUM(Kalender!$E$5:$E$370),0))*Szenarien!$E$16,0)</f>
        <v>0.9</v>
      </c>
      <c r="D2141" s="13" t="n">
        <f aca="false">IF(Szenarien!$H$16="OK",(IFERROR(SUMIF(Nutzungsprofile!$B$17:$B$22,"Schulbetrieb",Nutzungsprofile!$G$17:$G$22)*Kalender!C311/SUM(Kalender!$C$5:$C$370),0)+IFERROR(SUMIF(Nutzungsprofile!$B$17:$B$22,"Halle",Nutzungsprofile!$G$17:$G$22)*Kalender!D311/SUM(Kalender!$D$5:$D$370),0)+IFERROR(SUMIF(Nutzungsprofile!$B$17:$B$22,"Individuell",Nutzungsprofile!$G$17:$G$22)*Kalender!E311/SUM(Kalender!$E$5:$E$370),0))*Szenarien!$D$16,0)</f>
        <v>4.05</v>
      </c>
      <c r="E2141" s="13" t="n">
        <f aca="false">IFERROR(MIN(C2141,Eingaben!$B$17)*Eingaben!$B$16,0)</f>
        <v>0.855</v>
      </c>
      <c r="F2141" s="13" t="n">
        <f aca="false">IFERROR(E2141*Eingaben!$B$15,0)</f>
        <v>0.7695</v>
      </c>
      <c r="G2141" s="13" t="n">
        <f aca="false">IFERROR(IF(Kalender!A311="",0,J2140*(1-Eingaben!$B$20)),0)</f>
        <v>0.226233</v>
      </c>
      <c r="H2141" s="13" t="n">
        <f aca="false">MIN(G2141,D2141)</f>
        <v>0.226233</v>
      </c>
      <c r="I2141" s="13" t="n">
        <f aca="false">IFERROR(MIN(F2141*Eingaben!$B$19,MAX(0,D2141-H2141)),0)</f>
        <v>0.53865</v>
      </c>
      <c r="J2141" s="13" t="n">
        <f aca="false">IFERROR(MIN(Eingaben!$B$18,MAX(0,F2141-I2141)),0)</f>
        <v>0.23085</v>
      </c>
      <c r="K2141" s="13" t="n">
        <f aca="false">H2141+I2141</f>
        <v>0.764883</v>
      </c>
      <c r="L2141" s="13" t="n">
        <f aca="false">MAX(0,D2141-K2141)</f>
        <v>3.285117</v>
      </c>
      <c r="M2141" s="13" t="n">
        <f aca="false">MAX(0,F2141-I2141-J2141)</f>
        <v>0</v>
      </c>
      <c r="N2141" s="13" t="n">
        <f aca="false">IF(Kalender!A311="",0,J2140-H2141)</f>
        <v>0.00461700000000001</v>
      </c>
    </row>
    <row r="2142" customFormat="false" ht="16.4" hidden="false" customHeight="false" outlineLevel="0" collapsed="false">
      <c r="A2142" s="13" t="str">
        <f aca="false">""</f>
        <v/>
      </c>
      <c r="B2142" s="13" t="n">
        <f aca="false">308</f>
        <v>308</v>
      </c>
      <c r="C2142" s="13" t="n">
        <f aca="false">IF(Szenarien!$H$16="OK",(IFERROR(SUMIF(Nutzungsprofile!$B$6:$B$11,"Schulbetrieb",Nutzungsprofile!$G$6:$G$11)*Kalender!C312/SUM(Kalender!$C$5:$C$370),0)+IFERROR(SUMIF(Nutzungsprofile!$B$6:$B$11,"Halle",Nutzungsprofile!$G$6:$G$11)*Kalender!D312/SUM(Kalender!$D$5:$D$370),0)+IFERROR(SUMIF(Nutzungsprofile!$B$6:$B$11,"Individuell",Nutzungsprofile!$G$6:$G$11)*Kalender!E312/SUM(Kalender!$E$5:$E$370),0))*Szenarien!$E$16,0)</f>
        <v>0.9</v>
      </c>
      <c r="D2142" s="13" t="n">
        <f aca="false">IF(Szenarien!$H$16="OK",(IFERROR(SUMIF(Nutzungsprofile!$B$17:$B$22,"Schulbetrieb",Nutzungsprofile!$G$17:$G$22)*Kalender!C312/SUM(Kalender!$C$5:$C$370),0)+IFERROR(SUMIF(Nutzungsprofile!$B$17:$B$22,"Halle",Nutzungsprofile!$G$17:$G$22)*Kalender!D312/SUM(Kalender!$D$5:$D$370),0)+IFERROR(SUMIF(Nutzungsprofile!$B$17:$B$22,"Individuell",Nutzungsprofile!$G$17:$G$22)*Kalender!E312/SUM(Kalender!$E$5:$E$370),0))*Szenarien!$D$16,0)</f>
        <v>4.05</v>
      </c>
      <c r="E2142" s="13" t="n">
        <f aca="false">IFERROR(MIN(C2142,Eingaben!$B$17)*Eingaben!$B$16,0)</f>
        <v>0.855</v>
      </c>
      <c r="F2142" s="13" t="n">
        <f aca="false">IFERROR(E2142*Eingaben!$B$15,0)</f>
        <v>0.7695</v>
      </c>
      <c r="G2142" s="13" t="n">
        <f aca="false">IFERROR(IF(Kalender!A312="",0,J2141*(1-Eingaben!$B$20)),0)</f>
        <v>0.226233</v>
      </c>
      <c r="H2142" s="13" t="n">
        <f aca="false">MIN(G2142,D2142)</f>
        <v>0.226233</v>
      </c>
      <c r="I2142" s="13" t="n">
        <f aca="false">IFERROR(MIN(F2142*Eingaben!$B$19,MAX(0,D2142-H2142)),0)</f>
        <v>0.53865</v>
      </c>
      <c r="J2142" s="13" t="n">
        <f aca="false">IFERROR(MIN(Eingaben!$B$18,MAX(0,F2142-I2142)),0)</f>
        <v>0.23085</v>
      </c>
      <c r="K2142" s="13" t="n">
        <f aca="false">H2142+I2142</f>
        <v>0.764883</v>
      </c>
      <c r="L2142" s="13" t="n">
        <f aca="false">MAX(0,D2142-K2142)</f>
        <v>3.285117</v>
      </c>
      <c r="M2142" s="13" t="n">
        <f aca="false">MAX(0,F2142-I2142-J2142)</f>
        <v>0</v>
      </c>
      <c r="N2142" s="13" t="n">
        <f aca="false">IF(Kalender!A312="",0,J2141-H2142)</f>
        <v>0.00461700000000001</v>
      </c>
    </row>
    <row r="2143" customFormat="false" ht="16.4" hidden="false" customHeight="false" outlineLevel="0" collapsed="false">
      <c r="A2143" s="13" t="str">
        <f aca="false">""</f>
        <v/>
      </c>
      <c r="B2143" s="13" t="n">
        <f aca="false">309</f>
        <v>309</v>
      </c>
      <c r="C2143" s="13" t="n">
        <f aca="false">IF(Szenarien!$H$16="OK",(IFERROR(SUMIF(Nutzungsprofile!$B$6:$B$11,"Schulbetrieb",Nutzungsprofile!$G$6:$G$11)*Kalender!C313/SUM(Kalender!$C$5:$C$370),0)+IFERROR(SUMIF(Nutzungsprofile!$B$6:$B$11,"Halle",Nutzungsprofile!$G$6:$G$11)*Kalender!D313/SUM(Kalender!$D$5:$D$370),0)+IFERROR(SUMIF(Nutzungsprofile!$B$6:$B$11,"Individuell",Nutzungsprofile!$G$6:$G$11)*Kalender!E313/SUM(Kalender!$E$5:$E$370),0))*Szenarien!$E$16,0)</f>
        <v>0.9</v>
      </c>
      <c r="D2143" s="13" t="n">
        <f aca="false">IF(Szenarien!$H$16="OK",(IFERROR(SUMIF(Nutzungsprofile!$B$17:$B$22,"Schulbetrieb",Nutzungsprofile!$G$17:$G$22)*Kalender!C313/SUM(Kalender!$C$5:$C$370),0)+IFERROR(SUMIF(Nutzungsprofile!$B$17:$B$22,"Halle",Nutzungsprofile!$G$17:$G$22)*Kalender!D313/SUM(Kalender!$D$5:$D$370),0)+IFERROR(SUMIF(Nutzungsprofile!$B$17:$B$22,"Individuell",Nutzungsprofile!$G$17:$G$22)*Kalender!E313/SUM(Kalender!$E$5:$E$370),0))*Szenarien!$D$16,0)</f>
        <v>4.05</v>
      </c>
      <c r="E2143" s="13" t="n">
        <f aca="false">IFERROR(MIN(C2143,Eingaben!$B$17)*Eingaben!$B$16,0)</f>
        <v>0.855</v>
      </c>
      <c r="F2143" s="13" t="n">
        <f aca="false">IFERROR(E2143*Eingaben!$B$15,0)</f>
        <v>0.7695</v>
      </c>
      <c r="G2143" s="13" t="n">
        <f aca="false">IFERROR(IF(Kalender!A313="",0,J2142*(1-Eingaben!$B$20)),0)</f>
        <v>0.226233</v>
      </c>
      <c r="H2143" s="13" t="n">
        <f aca="false">MIN(G2143,D2143)</f>
        <v>0.226233</v>
      </c>
      <c r="I2143" s="13" t="n">
        <f aca="false">IFERROR(MIN(F2143*Eingaben!$B$19,MAX(0,D2143-H2143)),0)</f>
        <v>0.53865</v>
      </c>
      <c r="J2143" s="13" t="n">
        <f aca="false">IFERROR(MIN(Eingaben!$B$18,MAX(0,F2143-I2143)),0)</f>
        <v>0.23085</v>
      </c>
      <c r="K2143" s="13" t="n">
        <f aca="false">H2143+I2143</f>
        <v>0.764883</v>
      </c>
      <c r="L2143" s="13" t="n">
        <f aca="false">MAX(0,D2143-K2143)</f>
        <v>3.285117</v>
      </c>
      <c r="M2143" s="13" t="n">
        <f aca="false">MAX(0,F2143-I2143-J2143)</f>
        <v>0</v>
      </c>
      <c r="N2143" s="13" t="n">
        <f aca="false">IF(Kalender!A313="",0,J2142-H2143)</f>
        <v>0.00461700000000001</v>
      </c>
    </row>
    <row r="2144" customFormat="false" ht="16.4" hidden="false" customHeight="false" outlineLevel="0" collapsed="false">
      <c r="A2144" s="13" t="str">
        <f aca="false">""</f>
        <v/>
      </c>
      <c r="B2144" s="13" t="n">
        <f aca="false">310</f>
        <v>310</v>
      </c>
      <c r="C2144" s="13" t="n">
        <f aca="false">IF(Szenarien!$H$16="OK",(IFERROR(SUMIF(Nutzungsprofile!$B$6:$B$11,"Schulbetrieb",Nutzungsprofile!$G$6:$G$11)*Kalender!C314/SUM(Kalender!$C$5:$C$370),0)+IFERROR(SUMIF(Nutzungsprofile!$B$6:$B$11,"Halle",Nutzungsprofile!$G$6:$G$11)*Kalender!D314/SUM(Kalender!$D$5:$D$370),0)+IFERROR(SUMIF(Nutzungsprofile!$B$6:$B$11,"Individuell",Nutzungsprofile!$G$6:$G$11)*Kalender!E314/SUM(Kalender!$E$5:$E$370),0))*Szenarien!$E$16,0)</f>
        <v>0.9</v>
      </c>
      <c r="D2144" s="13" t="n">
        <f aca="false">IF(Szenarien!$H$16="OK",(IFERROR(SUMIF(Nutzungsprofile!$B$17:$B$22,"Schulbetrieb",Nutzungsprofile!$G$17:$G$22)*Kalender!C314/SUM(Kalender!$C$5:$C$370),0)+IFERROR(SUMIF(Nutzungsprofile!$B$17:$B$22,"Halle",Nutzungsprofile!$G$17:$G$22)*Kalender!D314/SUM(Kalender!$D$5:$D$370),0)+IFERROR(SUMIF(Nutzungsprofile!$B$17:$B$22,"Individuell",Nutzungsprofile!$G$17:$G$22)*Kalender!E314/SUM(Kalender!$E$5:$E$370),0))*Szenarien!$D$16,0)</f>
        <v>4.05</v>
      </c>
      <c r="E2144" s="13" t="n">
        <f aca="false">IFERROR(MIN(C2144,Eingaben!$B$17)*Eingaben!$B$16,0)</f>
        <v>0.855</v>
      </c>
      <c r="F2144" s="13" t="n">
        <f aca="false">IFERROR(E2144*Eingaben!$B$15,0)</f>
        <v>0.7695</v>
      </c>
      <c r="G2144" s="13" t="n">
        <f aca="false">IFERROR(IF(Kalender!A314="",0,J2143*(1-Eingaben!$B$20)),0)</f>
        <v>0.226233</v>
      </c>
      <c r="H2144" s="13" t="n">
        <f aca="false">MIN(G2144,D2144)</f>
        <v>0.226233</v>
      </c>
      <c r="I2144" s="13" t="n">
        <f aca="false">IFERROR(MIN(F2144*Eingaben!$B$19,MAX(0,D2144-H2144)),0)</f>
        <v>0.53865</v>
      </c>
      <c r="J2144" s="13" t="n">
        <f aca="false">IFERROR(MIN(Eingaben!$B$18,MAX(0,F2144-I2144)),0)</f>
        <v>0.23085</v>
      </c>
      <c r="K2144" s="13" t="n">
        <f aca="false">H2144+I2144</f>
        <v>0.764883</v>
      </c>
      <c r="L2144" s="13" t="n">
        <f aca="false">MAX(0,D2144-K2144)</f>
        <v>3.285117</v>
      </c>
      <c r="M2144" s="13" t="n">
        <f aca="false">MAX(0,F2144-I2144-J2144)</f>
        <v>0</v>
      </c>
      <c r="N2144" s="13" t="n">
        <f aca="false">IF(Kalender!A314="",0,J2143-H2144)</f>
        <v>0.00461700000000001</v>
      </c>
    </row>
    <row r="2145" customFormat="false" ht="16.4" hidden="false" customHeight="false" outlineLevel="0" collapsed="false">
      <c r="A2145" s="13" t="str">
        <f aca="false">""</f>
        <v/>
      </c>
      <c r="B2145" s="13" t="n">
        <f aca="false">311</f>
        <v>311</v>
      </c>
      <c r="C2145" s="13" t="n">
        <f aca="false">IF(Szenarien!$H$16="OK",(IFERROR(SUMIF(Nutzungsprofile!$B$6:$B$11,"Schulbetrieb",Nutzungsprofile!$G$6:$G$11)*Kalender!C315/SUM(Kalender!$C$5:$C$370),0)+IFERROR(SUMIF(Nutzungsprofile!$B$6:$B$11,"Halle",Nutzungsprofile!$G$6:$G$11)*Kalender!D315/SUM(Kalender!$D$5:$D$370),0)+IFERROR(SUMIF(Nutzungsprofile!$B$6:$B$11,"Individuell",Nutzungsprofile!$G$6:$G$11)*Kalender!E315/SUM(Kalender!$E$5:$E$370),0))*Szenarien!$E$16,0)</f>
        <v>0</v>
      </c>
      <c r="D2145" s="13" t="n">
        <f aca="false">IF(Szenarien!$H$16="OK",(IFERROR(SUMIF(Nutzungsprofile!$B$17:$B$22,"Schulbetrieb",Nutzungsprofile!$G$17:$G$22)*Kalender!C315/SUM(Kalender!$C$5:$C$370),0)+IFERROR(SUMIF(Nutzungsprofile!$B$17:$B$22,"Halle",Nutzungsprofile!$G$17:$G$22)*Kalender!D315/SUM(Kalender!$D$5:$D$370),0)+IFERROR(SUMIF(Nutzungsprofile!$B$17:$B$22,"Individuell",Nutzungsprofile!$G$17:$G$22)*Kalender!E315/SUM(Kalender!$E$5:$E$370),0))*Szenarien!$D$16,0)</f>
        <v>0</v>
      </c>
      <c r="E2145" s="13" t="n">
        <f aca="false">IFERROR(MIN(C2145,Eingaben!$B$17)*Eingaben!$B$16,0)</f>
        <v>0</v>
      </c>
      <c r="F2145" s="13" t="n">
        <f aca="false">IFERROR(E2145*Eingaben!$B$15,0)</f>
        <v>0</v>
      </c>
      <c r="G2145" s="13" t="n">
        <f aca="false">IFERROR(IF(Kalender!A315="",0,J2144*(1-Eingaben!$B$20)),0)</f>
        <v>0.226233</v>
      </c>
      <c r="H2145" s="13" t="n">
        <f aca="false">MIN(G2145,D2145)</f>
        <v>0</v>
      </c>
      <c r="I2145" s="13" t="n">
        <f aca="false">IFERROR(MIN(F2145*Eingaben!$B$19,MAX(0,D2145-H2145)),0)</f>
        <v>0</v>
      </c>
      <c r="J2145" s="13" t="n">
        <f aca="false">IFERROR(MIN(Eingaben!$B$18,MAX(0,F2145-I2145)),0)</f>
        <v>0</v>
      </c>
      <c r="K2145" s="13" t="n">
        <f aca="false">H2145+I2145</f>
        <v>0</v>
      </c>
      <c r="L2145" s="13" t="n">
        <f aca="false">MAX(0,D2145-K2145)</f>
        <v>0</v>
      </c>
      <c r="M2145" s="13" t="n">
        <f aca="false">MAX(0,F2145-I2145-J2145)</f>
        <v>0</v>
      </c>
      <c r="N2145" s="13" t="n">
        <f aca="false">IF(Kalender!A315="",0,J2144-H2145)</f>
        <v>0.23085</v>
      </c>
    </row>
    <row r="2146" customFormat="false" ht="16.4" hidden="false" customHeight="false" outlineLevel="0" collapsed="false">
      <c r="A2146" s="13" t="str">
        <f aca="false">""</f>
        <v/>
      </c>
      <c r="B2146" s="13" t="n">
        <f aca="false">312</f>
        <v>312</v>
      </c>
      <c r="C2146" s="13" t="n">
        <f aca="false">IF(Szenarien!$H$16="OK",(IFERROR(SUMIF(Nutzungsprofile!$B$6:$B$11,"Schulbetrieb",Nutzungsprofile!$G$6:$G$11)*Kalender!C316/SUM(Kalender!$C$5:$C$370),0)+IFERROR(SUMIF(Nutzungsprofile!$B$6:$B$11,"Halle",Nutzungsprofile!$G$6:$G$11)*Kalender!D316/SUM(Kalender!$D$5:$D$370),0)+IFERROR(SUMIF(Nutzungsprofile!$B$6:$B$11,"Individuell",Nutzungsprofile!$G$6:$G$11)*Kalender!E316/SUM(Kalender!$E$5:$E$370),0))*Szenarien!$E$16,0)</f>
        <v>0</v>
      </c>
      <c r="D2146" s="13" t="n">
        <f aca="false">IF(Szenarien!$H$16="OK",(IFERROR(SUMIF(Nutzungsprofile!$B$17:$B$22,"Schulbetrieb",Nutzungsprofile!$G$17:$G$22)*Kalender!C316/SUM(Kalender!$C$5:$C$370),0)+IFERROR(SUMIF(Nutzungsprofile!$B$17:$B$22,"Halle",Nutzungsprofile!$G$17:$G$22)*Kalender!D316/SUM(Kalender!$D$5:$D$370),0)+IFERROR(SUMIF(Nutzungsprofile!$B$17:$B$22,"Individuell",Nutzungsprofile!$G$17:$G$22)*Kalender!E316/SUM(Kalender!$E$5:$E$370),0))*Szenarien!$D$16,0)</f>
        <v>0</v>
      </c>
      <c r="E2146" s="13" t="n">
        <f aca="false">IFERROR(MIN(C2146,Eingaben!$B$17)*Eingaben!$B$16,0)</f>
        <v>0</v>
      </c>
      <c r="F2146" s="13" t="n">
        <f aca="false">IFERROR(E2146*Eingaben!$B$15,0)</f>
        <v>0</v>
      </c>
      <c r="G2146" s="13" t="n">
        <f aca="false">IFERROR(IF(Kalender!A316="",0,J2145*(1-Eingaben!$B$20)),0)</f>
        <v>0</v>
      </c>
      <c r="H2146" s="13" t="n">
        <f aca="false">MIN(G2146,D2146)</f>
        <v>0</v>
      </c>
      <c r="I2146" s="13" t="n">
        <f aca="false">IFERROR(MIN(F2146*Eingaben!$B$19,MAX(0,D2146-H2146)),0)</f>
        <v>0</v>
      </c>
      <c r="J2146" s="13" t="n">
        <f aca="false">IFERROR(MIN(Eingaben!$B$18,MAX(0,F2146-I2146)),0)</f>
        <v>0</v>
      </c>
      <c r="K2146" s="13" t="n">
        <f aca="false">H2146+I2146</f>
        <v>0</v>
      </c>
      <c r="L2146" s="13" t="n">
        <f aca="false">MAX(0,D2146-K2146)</f>
        <v>0</v>
      </c>
      <c r="M2146" s="13" t="n">
        <f aca="false">MAX(0,F2146-I2146-J2146)</f>
        <v>0</v>
      </c>
      <c r="N2146" s="13" t="n">
        <f aca="false">IF(Kalender!A316="",0,J2145-H2146)</f>
        <v>0</v>
      </c>
    </row>
    <row r="2147" customFormat="false" ht="16.4" hidden="false" customHeight="false" outlineLevel="0" collapsed="false">
      <c r="A2147" s="13" t="str">
        <f aca="false">""</f>
        <v/>
      </c>
      <c r="B2147" s="13" t="n">
        <f aca="false">313</f>
        <v>313</v>
      </c>
      <c r="C2147" s="13" t="n">
        <f aca="false">IF(Szenarien!$H$16="OK",(IFERROR(SUMIF(Nutzungsprofile!$B$6:$B$11,"Schulbetrieb",Nutzungsprofile!$G$6:$G$11)*Kalender!C317/SUM(Kalender!$C$5:$C$370),0)+IFERROR(SUMIF(Nutzungsprofile!$B$6:$B$11,"Halle",Nutzungsprofile!$G$6:$G$11)*Kalender!D317/SUM(Kalender!$D$5:$D$370),0)+IFERROR(SUMIF(Nutzungsprofile!$B$6:$B$11,"Individuell",Nutzungsprofile!$G$6:$G$11)*Kalender!E317/SUM(Kalender!$E$5:$E$370),0))*Szenarien!$E$16,0)</f>
        <v>0.9</v>
      </c>
      <c r="D2147" s="13" t="n">
        <f aca="false">IF(Szenarien!$H$16="OK",(IFERROR(SUMIF(Nutzungsprofile!$B$17:$B$22,"Schulbetrieb",Nutzungsprofile!$G$17:$G$22)*Kalender!C317/SUM(Kalender!$C$5:$C$370),0)+IFERROR(SUMIF(Nutzungsprofile!$B$17:$B$22,"Halle",Nutzungsprofile!$G$17:$G$22)*Kalender!D317/SUM(Kalender!$D$5:$D$370),0)+IFERROR(SUMIF(Nutzungsprofile!$B$17:$B$22,"Individuell",Nutzungsprofile!$G$17:$G$22)*Kalender!E317/SUM(Kalender!$E$5:$E$370),0))*Szenarien!$D$16,0)</f>
        <v>4.05</v>
      </c>
      <c r="E2147" s="13" t="n">
        <f aca="false">IFERROR(MIN(C2147,Eingaben!$B$17)*Eingaben!$B$16,0)</f>
        <v>0.855</v>
      </c>
      <c r="F2147" s="13" t="n">
        <f aca="false">IFERROR(E2147*Eingaben!$B$15,0)</f>
        <v>0.7695</v>
      </c>
      <c r="G2147" s="13" t="n">
        <f aca="false">IFERROR(IF(Kalender!A317="",0,J2146*(1-Eingaben!$B$20)),0)</f>
        <v>0</v>
      </c>
      <c r="H2147" s="13" t="n">
        <f aca="false">MIN(G2147,D2147)</f>
        <v>0</v>
      </c>
      <c r="I2147" s="13" t="n">
        <f aca="false">IFERROR(MIN(F2147*Eingaben!$B$19,MAX(0,D2147-H2147)),0)</f>
        <v>0.53865</v>
      </c>
      <c r="J2147" s="13" t="n">
        <f aca="false">IFERROR(MIN(Eingaben!$B$18,MAX(0,F2147-I2147)),0)</f>
        <v>0.23085</v>
      </c>
      <c r="K2147" s="13" t="n">
        <f aca="false">H2147+I2147</f>
        <v>0.53865</v>
      </c>
      <c r="L2147" s="13" t="n">
        <f aca="false">MAX(0,D2147-K2147)</f>
        <v>3.51135</v>
      </c>
      <c r="M2147" s="13" t="n">
        <f aca="false">MAX(0,F2147-I2147-J2147)</f>
        <v>0</v>
      </c>
      <c r="N2147" s="13" t="n">
        <f aca="false">IF(Kalender!A317="",0,J2146-H2147)</f>
        <v>0</v>
      </c>
    </row>
    <row r="2148" customFormat="false" ht="16.4" hidden="false" customHeight="false" outlineLevel="0" collapsed="false">
      <c r="A2148" s="13" t="str">
        <f aca="false">""</f>
        <v/>
      </c>
      <c r="B2148" s="13" t="n">
        <f aca="false">314</f>
        <v>314</v>
      </c>
      <c r="C2148" s="13" t="n">
        <f aca="false">IF(Szenarien!$H$16="OK",(IFERROR(SUMIF(Nutzungsprofile!$B$6:$B$11,"Schulbetrieb",Nutzungsprofile!$G$6:$G$11)*Kalender!C318/SUM(Kalender!$C$5:$C$370),0)+IFERROR(SUMIF(Nutzungsprofile!$B$6:$B$11,"Halle",Nutzungsprofile!$G$6:$G$11)*Kalender!D318/SUM(Kalender!$D$5:$D$370),0)+IFERROR(SUMIF(Nutzungsprofile!$B$6:$B$11,"Individuell",Nutzungsprofile!$G$6:$G$11)*Kalender!E318/SUM(Kalender!$E$5:$E$370),0))*Szenarien!$E$16,0)</f>
        <v>0.9</v>
      </c>
      <c r="D2148" s="13" t="n">
        <f aca="false">IF(Szenarien!$H$16="OK",(IFERROR(SUMIF(Nutzungsprofile!$B$17:$B$22,"Schulbetrieb",Nutzungsprofile!$G$17:$G$22)*Kalender!C318/SUM(Kalender!$C$5:$C$370),0)+IFERROR(SUMIF(Nutzungsprofile!$B$17:$B$22,"Halle",Nutzungsprofile!$G$17:$G$22)*Kalender!D318/SUM(Kalender!$D$5:$D$370),0)+IFERROR(SUMIF(Nutzungsprofile!$B$17:$B$22,"Individuell",Nutzungsprofile!$G$17:$G$22)*Kalender!E318/SUM(Kalender!$E$5:$E$370),0))*Szenarien!$D$16,0)</f>
        <v>4.05</v>
      </c>
      <c r="E2148" s="13" t="n">
        <f aca="false">IFERROR(MIN(C2148,Eingaben!$B$17)*Eingaben!$B$16,0)</f>
        <v>0.855</v>
      </c>
      <c r="F2148" s="13" t="n">
        <f aca="false">IFERROR(E2148*Eingaben!$B$15,0)</f>
        <v>0.7695</v>
      </c>
      <c r="G2148" s="13" t="n">
        <f aca="false">IFERROR(IF(Kalender!A318="",0,J2147*(1-Eingaben!$B$20)),0)</f>
        <v>0.226233</v>
      </c>
      <c r="H2148" s="13" t="n">
        <f aca="false">MIN(G2148,D2148)</f>
        <v>0.226233</v>
      </c>
      <c r="I2148" s="13" t="n">
        <f aca="false">IFERROR(MIN(F2148*Eingaben!$B$19,MAX(0,D2148-H2148)),0)</f>
        <v>0.53865</v>
      </c>
      <c r="J2148" s="13" t="n">
        <f aca="false">IFERROR(MIN(Eingaben!$B$18,MAX(0,F2148-I2148)),0)</f>
        <v>0.23085</v>
      </c>
      <c r="K2148" s="13" t="n">
        <f aca="false">H2148+I2148</f>
        <v>0.764883</v>
      </c>
      <c r="L2148" s="13" t="n">
        <f aca="false">MAX(0,D2148-K2148)</f>
        <v>3.285117</v>
      </c>
      <c r="M2148" s="13" t="n">
        <f aca="false">MAX(0,F2148-I2148-J2148)</f>
        <v>0</v>
      </c>
      <c r="N2148" s="13" t="n">
        <f aca="false">IF(Kalender!A318="",0,J2147-H2148)</f>
        <v>0.00461700000000001</v>
      </c>
    </row>
    <row r="2149" customFormat="false" ht="16.4" hidden="false" customHeight="false" outlineLevel="0" collapsed="false">
      <c r="A2149" s="13" t="str">
        <f aca="false">""</f>
        <v/>
      </c>
      <c r="B2149" s="13" t="n">
        <f aca="false">315</f>
        <v>315</v>
      </c>
      <c r="C2149" s="13" t="n">
        <f aca="false">IF(Szenarien!$H$16="OK",(IFERROR(SUMIF(Nutzungsprofile!$B$6:$B$11,"Schulbetrieb",Nutzungsprofile!$G$6:$G$11)*Kalender!C319/SUM(Kalender!$C$5:$C$370),0)+IFERROR(SUMIF(Nutzungsprofile!$B$6:$B$11,"Halle",Nutzungsprofile!$G$6:$G$11)*Kalender!D319/SUM(Kalender!$D$5:$D$370),0)+IFERROR(SUMIF(Nutzungsprofile!$B$6:$B$11,"Individuell",Nutzungsprofile!$G$6:$G$11)*Kalender!E319/SUM(Kalender!$E$5:$E$370),0))*Szenarien!$E$16,0)</f>
        <v>0.9</v>
      </c>
      <c r="D2149" s="13" t="n">
        <f aca="false">IF(Szenarien!$H$16="OK",(IFERROR(SUMIF(Nutzungsprofile!$B$17:$B$22,"Schulbetrieb",Nutzungsprofile!$G$17:$G$22)*Kalender!C319/SUM(Kalender!$C$5:$C$370),0)+IFERROR(SUMIF(Nutzungsprofile!$B$17:$B$22,"Halle",Nutzungsprofile!$G$17:$G$22)*Kalender!D319/SUM(Kalender!$D$5:$D$370),0)+IFERROR(SUMIF(Nutzungsprofile!$B$17:$B$22,"Individuell",Nutzungsprofile!$G$17:$G$22)*Kalender!E319/SUM(Kalender!$E$5:$E$370),0))*Szenarien!$D$16,0)</f>
        <v>4.05</v>
      </c>
      <c r="E2149" s="13" t="n">
        <f aca="false">IFERROR(MIN(C2149,Eingaben!$B$17)*Eingaben!$B$16,0)</f>
        <v>0.855</v>
      </c>
      <c r="F2149" s="13" t="n">
        <f aca="false">IFERROR(E2149*Eingaben!$B$15,0)</f>
        <v>0.7695</v>
      </c>
      <c r="G2149" s="13" t="n">
        <f aca="false">IFERROR(IF(Kalender!A319="",0,J2148*(1-Eingaben!$B$20)),0)</f>
        <v>0.226233</v>
      </c>
      <c r="H2149" s="13" t="n">
        <f aca="false">MIN(G2149,D2149)</f>
        <v>0.226233</v>
      </c>
      <c r="I2149" s="13" t="n">
        <f aca="false">IFERROR(MIN(F2149*Eingaben!$B$19,MAX(0,D2149-H2149)),0)</f>
        <v>0.53865</v>
      </c>
      <c r="J2149" s="13" t="n">
        <f aca="false">IFERROR(MIN(Eingaben!$B$18,MAX(0,F2149-I2149)),0)</f>
        <v>0.23085</v>
      </c>
      <c r="K2149" s="13" t="n">
        <f aca="false">H2149+I2149</f>
        <v>0.764883</v>
      </c>
      <c r="L2149" s="13" t="n">
        <f aca="false">MAX(0,D2149-K2149)</f>
        <v>3.285117</v>
      </c>
      <c r="M2149" s="13" t="n">
        <f aca="false">MAX(0,F2149-I2149-J2149)</f>
        <v>0</v>
      </c>
      <c r="N2149" s="13" t="n">
        <f aca="false">IF(Kalender!A319="",0,J2148-H2149)</f>
        <v>0.00461700000000001</v>
      </c>
    </row>
    <row r="2150" customFormat="false" ht="16.4" hidden="false" customHeight="false" outlineLevel="0" collapsed="false">
      <c r="A2150" s="13" t="str">
        <f aca="false">""</f>
        <v/>
      </c>
      <c r="B2150" s="13" t="n">
        <f aca="false">316</f>
        <v>316</v>
      </c>
      <c r="C2150" s="13" t="n">
        <f aca="false">IF(Szenarien!$H$16="OK",(IFERROR(SUMIF(Nutzungsprofile!$B$6:$B$11,"Schulbetrieb",Nutzungsprofile!$G$6:$G$11)*Kalender!C320/SUM(Kalender!$C$5:$C$370),0)+IFERROR(SUMIF(Nutzungsprofile!$B$6:$B$11,"Halle",Nutzungsprofile!$G$6:$G$11)*Kalender!D320/SUM(Kalender!$D$5:$D$370),0)+IFERROR(SUMIF(Nutzungsprofile!$B$6:$B$11,"Individuell",Nutzungsprofile!$G$6:$G$11)*Kalender!E320/SUM(Kalender!$E$5:$E$370),0))*Szenarien!$E$16,0)</f>
        <v>0.9</v>
      </c>
      <c r="D2150" s="13" t="n">
        <f aca="false">IF(Szenarien!$H$16="OK",(IFERROR(SUMIF(Nutzungsprofile!$B$17:$B$22,"Schulbetrieb",Nutzungsprofile!$G$17:$G$22)*Kalender!C320/SUM(Kalender!$C$5:$C$370),0)+IFERROR(SUMIF(Nutzungsprofile!$B$17:$B$22,"Halle",Nutzungsprofile!$G$17:$G$22)*Kalender!D320/SUM(Kalender!$D$5:$D$370),0)+IFERROR(SUMIF(Nutzungsprofile!$B$17:$B$22,"Individuell",Nutzungsprofile!$G$17:$G$22)*Kalender!E320/SUM(Kalender!$E$5:$E$370),0))*Szenarien!$D$16,0)</f>
        <v>4.05</v>
      </c>
      <c r="E2150" s="13" t="n">
        <f aca="false">IFERROR(MIN(C2150,Eingaben!$B$17)*Eingaben!$B$16,0)</f>
        <v>0.855</v>
      </c>
      <c r="F2150" s="13" t="n">
        <f aca="false">IFERROR(E2150*Eingaben!$B$15,0)</f>
        <v>0.7695</v>
      </c>
      <c r="G2150" s="13" t="n">
        <f aca="false">IFERROR(IF(Kalender!A320="",0,J2149*(1-Eingaben!$B$20)),0)</f>
        <v>0.226233</v>
      </c>
      <c r="H2150" s="13" t="n">
        <f aca="false">MIN(G2150,D2150)</f>
        <v>0.226233</v>
      </c>
      <c r="I2150" s="13" t="n">
        <f aca="false">IFERROR(MIN(F2150*Eingaben!$B$19,MAX(0,D2150-H2150)),0)</f>
        <v>0.53865</v>
      </c>
      <c r="J2150" s="13" t="n">
        <f aca="false">IFERROR(MIN(Eingaben!$B$18,MAX(0,F2150-I2150)),0)</f>
        <v>0.23085</v>
      </c>
      <c r="K2150" s="13" t="n">
        <f aca="false">H2150+I2150</f>
        <v>0.764883</v>
      </c>
      <c r="L2150" s="13" t="n">
        <f aca="false">MAX(0,D2150-K2150)</f>
        <v>3.285117</v>
      </c>
      <c r="M2150" s="13" t="n">
        <f aca="false">MAX(0,F2150-I2150-J2150)</f>
        <v>0</v>
      </c>
      <c r="N2150" s="13" t="n">
        <f aca="false">IF(Kalender!A320="",0,J2149-H2150)</f>
        <v>0.00461700000000001</v>
      </c>
    </row>
    <row r="2151" customFormat="false" ht="16.4" hidden="false" customHeight="false" outlineLevel="0" collapsed="false">
      <c r="A2151" s="13" t="str">
        <f aca="false">""</f>
        <v/>
      </c>
      <c r="B2151" s="13" t="n">
        <f aca="false">317</f>
        <v>317</v>
      </c>
      <c r="C2151" s="13" t="n">
        <f aca="false">IF(Szenarien!$H$16="OK",(IFERROR(SUMIF(Nutzungsprofile!$B$6:$B$11,"Schulbetrieb",Nutzungsprofile!$G$6:$G$11)*Kalender!C321/SUM(Kalender!$C$5:$C$370),0)+IFERROR(SUMIF(Nutzungsprofile!$B$6:$B$11,"Halle",Nutzungsprofile!$G$6:$G$11)*Kalender!D321/SUM(Kalender!$D$5:$D$370),0)+IFERROR(SUMIF(Nutzungsprofile!$B$6:$B$11,"Individuell",Nutzungsprofile!$G$6:$G$11)*Kalender!E321/SUM(Kalender!$E$5:$E$370),0))*Szenarien!$E$16,0)</f>
        <v>0.9</v>
      </c>
      <c r="D2151" s="13" t="n">
        <f aca="false">IF(Szenarien!$H$16="OK",(IFERROR(SUMIF(Nutzungsprofile!$B$17:$B$22,"Schulbetrieb",Nutzungsprofile!$G$17:$G$22)*Kalender!C321/SUM(Kalender!$C$5:$C$370),0)+IFERROR(SUMIF(Nutzungsprofile!$B$17:$B$22,"Halle",Nutzungsprofile!$G$17:$G$22)*Kalender!D321/SUM(Kalender!$D$5:$D$370),0)+IFERROR(SUMIF(Nutzungsprofile!$B$17:$B$22,"Individuell",Nutzungsprofile!$G$17:$G$22)*Kalender!E321/SUM(Kalender!$E$5:$E$370),0))*Szenarien!$D$16,0)</f>
        <v>4.05</v>
      </c>
      <c r="E2151" s="13" t="n">
        <f aca="false">IFERROR(MIN(C2151,Eingaben!$B$17)*Eingaben!$B$16,0)</f>
        <v>0.855</v>
      </c>
      <c r="F2151" s="13" t="n">
        <f aca="false">IFERROR(E2151*Eingaben!$B$15,0)</f>
        <v>0.7695</v>
      </c>
      <c r="G2151" s="13" t="n">
        <f aca="false">IFERROR(IF(Kalender!A321="",0,J2150*(1-Eingaben!$B$20)),0)</f>
        <v>0.226233</v>
      </c>
      <c r="H2151" s="13" t="n">
        <f aca="false">MIN(G2151,D2151)</f>
        <v>0.226233</v>
      </c>
      <c r="I2151" s="13" t="n">
        <f aca="false">IFERROR(MIN(F2151*Eingaben!$B$19,MAX(0,D2151-H2151)),0)</f>
        <v>0.53865</v>
      </c>
      <c r="J2151" s="13" t="n">
        <f aca="false">IFERROR(MIN(Eingaben!$B$18,MAX(0,F2151-I2151)),0)</f>
        <v>0.23085</v>
      </c>
      <c r="K2151" s="13" t="n">
        <f aca="false">H2151+I2151</f>
        <v>0.764883</v>
      </c>
      <c r="L2151" s="13" t="n">
        <f aca="false">MAX(0,D2151-K2151)</f>
        <v>3.285117</v>
      </c>
      <c r="M2151" s="13" t="n">
        <f aca="false">MAX(0,F2151-I2151-J2151)</f>
        <v>0</v>
      </c>
      <c r="N2151" s="13" t="n">
        <f aca="false">IF(Kalender!A321="",0,J2150-H2151)</f>
        <v>0.00461700000000001</v>
      </c>
    </row>
    <row r="2152" customFormat="false" ht="16.4" hidden="false" customHeight="false" outlineLevel="0" collapsed="false">
      <c r="A2152" s="13" t="str">
        <f aca="false">""</f>
        <v/>
      </c>
      <c r="B2152" s="13" t="n">
        <f aca="false">318</f>
        <v>318</v>
      </c>
      <c r="C2152" s="13" t="n">
        <f aca="false">IF(Szenarien!$H$16="OK",(IFERROR(SUMIF(Nutzungsprofile!$B$6:$B$11,"Schulbetrieb",Nutzungsprofile!$G$6:$G$11)*Kalender!C322/SUM(Kalender!$C$5:$C$370),0)+IFERROR(SUMIF(Nutzungsprofile!$B$6:$B$11,"Halle",Nutzungsprofile!$G$6:$G$11)*Kalender!D322/SUM(Kalender!$D$5:$D$370),0)+IFERROR(SUMIF(Nutzungsprofile!$B$6:$B$11,"Individuell",Nutzungsprofile!$G$6:$G$11)*Kalender!E322/SUM(Kalender!$E$5:$E$370),0))*Szenarien!$E$16,0)</f>
        <v>0</v>
      </c>
      <c r="D2152" s="13" t="n">
        <f aca="false">IF(Szenarien!$H$16="OK",(IFERROR(SUMIF(Nutzungsprofile!$B$17:$B$22,"Schulbetrieb",Nutzungsprofile!$G$17:$G$22)*Kalender!C322/SUM(Kalender!$C$5:$C$370),0)+IFERROR(SUMIF(Nutzungsprofile!$B$17:$B$22,"Halle",Nutzungsprofile!$G$17:$G$22)*Kalender!D322/SUM(Kalender!$D$5:$D$370),0)+IFERROR(SUMIF(Nutzungsprofile!$B$17:$B$22,"Individuell",Nutzungsprofile!$G$17:$G$22)*Kalender!E322/SUM(Kalender!$E$5:$E$370),0))*Szenarien!$D$16,0)</f>
        <v>0</v>
      </c>
      <c r="E2152" s="13" t="n">
        <f aca="false">IFERROR(MIN(C2152,Eingaben!$B$17)*Eingaben!$B$16,0)</f>
        <v>0</v>
      </c>
      <c r="F2152" s="13" t="n">
        <f aca="false">IFERROR(E2152*Eingaben!$B$15,0)</f>
        <v>0</v>
      </c>
      <c r="G2152" s="13" t="n">
        <f aca="false">IFERROR(IF(Kalender!A322="",0,J2151*(1-Eingaben!$B$20)),0)</f>
        <v>0.226233</v>
      </c>
      <c r="H2152" s="13" t="n">
        <f aca="false">MIN(G2152,D2152)</f>
        <v>0</v>
      </c>
      <c r="I2152" s="13" t="n">
        <f aca="false">IFERROR(MIN(F2152*Eingaben!$B$19,MAX(0,D2152-H2152)),0)</f>
        <v>0</v>
      </c>
      <c r="J2152" s="13" t="n">
        <f aca="false">IFERROR(MIN(Eingaben!$B$18,MAX(0,F2152-I2152)),0)</f>
        <v>0</v>
      </c>
      <c r="K2152" s="13" t="n">
        <f aca="false">H2152+I2152</f>
        <v>0</v>
      </c>
      <c r="L2152" s="13" t="n">
        <f aca="false">MAX(0,D2152-K2152)</f>
        <v>0</v>
      </c>
      <c r="M2152" s="13" t="n">
        <f aca="false">MAX(0,F2152-I2152-J2152)</f>
        <v>0</v>
      </c>
      <c r="N2152" s="13" t="n">
        <f aca="false">IF(Kalender!A322="",0,J2151-H2152)</f>
        <v>0.23085</v>
      </c>
    </row>
    <row r="2153" customFormat="false" ht="16.4" hidden="false" customHeight="false" outlineLevel="0" collapsed="false">
      <c r="A2153" s="13" t="str">
        <f aca="false">""</f>
        <v/>
      </c>
      <c r="B2153" s="13" t="n">
        <f aca="false">319</f>
        <v>319</v>
      </c>
      <c r="C2153" s="13" t="n">
        <f aca="false">IF(Szenarien!$H$16="OK",(IFERROR(SUMIF(Nutzungsprofile!$B$6:$B$11,"Schulbetrieb",Nutzungsprofile!$G$6:$G$11)*Kalender!C323/SUM(Kalender!$C$5:$C$370),0)+IFERROR(SUMIF(Nutzungsprofile!$B$6:$B$11,"Halle",Nutzungsprofile!$G$6:$G$11)*Kalender!D323/SUM(Kalender!$D$5:$D$370),0)+IFERROR(SUMIF(Nutzungsprofile!$B$6:$B$11,"Individuell",Nutzungsprofile!$G$6:$G$11)*Kalender!E323/SUM(Kalender!$E$5:$E$370),0))*Szenarien!$E$16,0)</f>
        <v>0</v>
      </c>
      <c r="D2153" s="13" t="n">
        <f aca="false">IF(Szenarien!$H$16="OK",(IFERROR(SUMIF(Nutzungsprofile!$B$17:$B$22,"Schulbetrieb",Nutzungsprofile!$G$17:$G$22)*Kalender!C323/SUM(Kalender!$C$5:$C$370),0)+IFERROR(SUMIF(Nutzungsprofile!$B$17:$B$22,"Halle",Nutzungsprofile!$G$17:$G$22)*Kalender!D323/SUM(Kalender!$D$5:$D$370),0)+IFERROR(SUMIF(Nutzungsprofile!$B$17:$B$22,"Individuell",Nutzungsprofile!$G$17:$G$22)*Kalender!E323/SUM(Kalender!$E$5:$E$370),0))*Szenarien!$D$16,0)</f>
        <v>0</v>
      </c>
      <c r="E2153" s="13" t="n">
        <f aca="false">IFERROR(MIN(C2153,Eingaben!$B$17)*Eingaben!$B$16,0)</f>
        <v>0</v>
      </c>
      <c r="F2153" s="13" t="n">
        <f aca="false">IFERROR(E2153*Eingaben!$B$15,0)</f>
        <v>0</v>
      </c>
      <c r="G2153" s="13" t="n">
        <f aca="false">IFERROR(IF(Kalender!A323="",0,J2152*(1-Eingaben!$B$20)),0)</f>
        <v>0</v>
      </c>
      <c r="H2153" s="13" t="n">
        <f aca="false">MIN(G2153,D2153)</f>
        <v>0</v>
      </c>
      <c r="I2153" s="13" t="n">
        <f aca="false">IFERROR(MIN(F2153*Eingaben!$B$19,MAX(0,D2153-H2153)),0)</f>
        <v>0</v>
      </c>
      <c r="J2153" s="13" t="n">
        <f aca="false">IFERROR(MIN(Eingaben!$B$18,MAX(0,F2153-I2153)),0)</f>
        <v>0</v>
      </c>
      <c r="K2153" s="13" t="n">
        <f aca="false">H2153+I2153</f>
        <v>0</v>
      </c>
      <c r="L2153" s="13" t="n">
        <f aca="false">MAX(0,D2153-K2153)</f>
        <v>0</v>
      </c>
      <c r="M2153" s="13" t="n">
        <f aca="false">MAX(0,F2153-I2153-J2153)</f>
        <v>0</v>
      </c>
      <c r="N2153" s="13" t="n">
        <f aca="false">IF(Kalender!A323="",0,J2152-H2153)</f>
        <v>0</v>
      </c>
    </row>
    <row r="2154" customFormat="false" ht="16.4" hidden="false" customHeight="false" outlineLevel="0" collapsed="false">
      <c r="A2154" s="13" t="str">
        <f aca="false">""</f>
        <v/>
      </c>
      <c r="B2154" s="13" t="n">
        <f aca="false">320</f>
        <v>320</v>
      </c>
      <c r="C2154" s="13" t="n">
        <f aca="false">IF(Szenarien!$H$16="OK",(IFERROR(SUMIF(Nutzungsprofile!$B$6:$B$11,"Schulbetrieb",Nutzungsprofile!$G$6:$G$11)*Kalender!C324/SUM(Kalender!$C$5:$C$370),0)+IFERROR(SUMIF(Nutzungsprofile!$B$6:$B$11,"Halle",Nutzungsprofile!$G$6:$G$11)*Kalender!D324/SUM(Kalender!$D$5:$D$370),0)+IFERROR(SUMIF(Nutzungsprofile!$B$6:$B$11,"Individuell",Nutzungsprofile!$G$6:$G$11)*Kalender!E324/SUM(Kalender!$E$5:$E$370),0))*Szenarien!$E$16,0)</f>
        <v>0.9</v>
      </c>
      <c r="D2154" s="13" t="n">
        <f aca="false">IF(Szenarien!$H$16="OK",(IFERROR(SUMIF(Nutzungsprofile!$B$17:$B$22,"Schulbetrieb",Nutzungsprofile!$G$17:$G$22)*Kalender!C324/SUM(Kalender!$C$5:$C$370),0)+IFERROR(SUMIF(Nutzungsprofile!$B$17:$B$22,"Halle",Nutzungsprofile!$G$17:$G$22)*Kalender!D324/SUM(Kalender!$D$5:$D$370),0)+IFERROR(SUMIF(Nutzungsprofile!$B$17:$B$22,"Individuell",Nutzungsprofile!$G$17:$G$22)*Kalender!E324/SUM(Kalender!$E$5:$E$370),0))*Szenarien!$D$16,0)</f>
        <v>4.05</v>
      </c>
      <c r="E2154" s="13" t="n">
        <f aca="false">IFERROR(MIN(C2154,Eingaben!$B$17)*Eingaben!$B$16,0)</f>
        <v>0.855</v>
      </c>
      <c r="F2154" s="13" t="n">
        <f aca="false">IFERROR(E2154*Eingaben!$B$15,0)</f>
        <v>0.7695</v>
      </c>
      <c r="G2154" s="13" t="n">
        <f aca="false">IFERROR(IF(Kalender!A324="",0,J2153*(1-Eingaben!$B$20)),0)</f>
        <v>0</v>
      </c>
      <c r="H2154" s="13" t="n">
        <f aca="false">MIN(G2154,D2154)</f>
        <v>0</v>
      </c>
      <c r="I2154" s="13" t="n">
        <f aca="false">IFERROR(MIN(F2154*Eingaben!$B$19,MAX(0,D2154-H2154)),0)</f>
        <v>0.53865</v>
      </c>
      <c r="J2154" s="13" t="n">
        <f aca="false">IFERROR(MIN(Eingaben!$B$18,MAX(0,F2154-I2154)),0)</f>
        <v>0.23085</v>
      </c>
      <c r="K2154" s="13" t="n">
        <f aca="false">H2154+I2154</f>
        <v>0.53865</v>
      </c>
      <c r="L2154" s="13" t="n">
        <f aca="false">MAX(0,D2154-K2154)</f>
        <v>3.51135</v>
      </c>
      <c r="M2154" s="13" t="n">
        <f aca="false">MAX(0,F2154-I2154-J2154)</f>
        <v>0</v>
      </c>
      <c r="N2154" s="13" t="n">
        <f aca="false">IF(Kalender!A324="",0,J2153-H2154)</f>
        <v>0</v>
      </c>
    </row>
    <row r="2155" customFormat="false" ht="16.4" hidden="false" customHeight="false" outlineLevel="0" collapsed="false">
      <c r="A2155" s="13" t="str">
        <f aca="false">""</f>
        <v/>
      </c>
      <c r="B2155" s="13" t="n">
        <f aca="false">321</f>
        <v>321</v>
      </c>
      <c r="C2155" s="13" t="n">
        <f aca="false">IF(Szenarien!$H$16="OK",(IFERROR(SUMIF(Nutzungsprofile!$B$6:$B$11,"Schulbetrieb",Nutzungsprofile!$G$6:$G$11)*Kalender!C325/SUM(Kalender!$C$5:$C$370),0)+IFERROR(SUMIF(Nutzungsprofile!$B$6:$B$11,"Halle",Nutzungsprofile!$G$6:$G$11)*Kalender!D325/SUM(Kalender!$D$5:$D$370),0)+IFERROR(SUMIF(Nutzungsprofile!$B$6:$B$11,"Individuell",Nutzungsprofile!$G$6:$G$11)*Kalender!E325/SUM(Kalender!$E$5:$E$370),0))*Szenarien!$E$16,0)</f>
        <v>0.9</v>
      </c>
      <c r="D2155" s="13" t="n">
        <f aca="false">IF(Szenarien!$H$16="OK",(IFERROR(SUMIF(Nutzungsprofile!$B$17:$B$22,"Schulbetrieb",Nutzungsprofile!$G$17:$G$22)*Kalender!C325/SUM(Kalender!$C$5:$C$370),0)+IFERROR(SUMIF(Nutzungsprofile!$B$17:$B$22,"Halle",Nutzungsprofile!$G$17:$G$22)*Kalender!D325/SUM(Kalender!$D$5:$D$370),0)+IFERROR(SUMIF(Nutzungsprofile!$B$17:$B$22,"Individuell",Nutzungsprofile!$G$17:$G$22)*Kalender!E325/SUM(Kalender!$E$5:$E$370),0))*Szenarien!$D$16,0)</f>
        <v>4.05</v>
      </c>
      <c r="E2155" s="13" t="n">
        <f aca="false">IFERROR(MIN(C2155,Eingaben!$B$17)*Eingaben!$B$16,0)</f>
        <v>0.855</v>
      </c>
      <c r="F2155" s="13" t="n">
        <f aca="false">IFERROR(E2155*Eingaben!$B$15,0)</f>
        <v>0.7695</v>
      </c>
      <c r="G2155" s="13" t="n">
        <f aca="false">IFERROR(IF(Kalender!A325="",0,J2154*(1-Eingaben!$B$20)),0)</f>
        <v>0.226233</v>
      </c>
      <c r="H2155" s="13" t="n">
        <f aca="false">MIN(G2155,D2155)</f>
        <v>0.226233</v>
      </c>
      <c r="I2155" s="13" t="n">
        <f aca="false">IFERROR(MIN(F2155*Eingaben!$B$19,MAX(0,D2155-H2155)),0)</f>
        <v>0.53865</v>
      </c>
      <c r="J2155" s="13" t="n">
        <f aca="false">IFERROR(MIN(Eingaben!$B$18,MAX(0,F2155-I2155)),0)</f>
        <v>0.23085</v>
      </c>
      <c r="K2155" s="13" t="n">
        <f aca="false">H2155+I2155</f>
        <v>0.764883</v>
      </c>
      <c r="L2155" s="13" t="n">
        <f aca="false">MAX(0,D2155-K2155)</f>
        <v>3.285117</v>
      </c>
      <c r="M2155" s="13" t="n">
        <f aca="false">MAX(0,F2155-I2155-J2155)</f>
        <v>0</v>
      </c>
      <c r="N2155" s="13" t="n">
        <f aca="false">IF(Kalender!A325="",0,J2154-H2155)</f>
        <v>0.00461700000000001</v>
      </c>
    </row>
    <row r="2156" customFormat="false" ht="16.4" hidden="false" customHeight="false" outlineLevel="0" collapsed="false">
      <c r="A2156" s="13" t="str">
        <f aca="false">""</f>
        <v/>
      </c>
      <c r="B2156" s="13" t="n">
        <f aca="false">322</f>
        <v>322</v>
      </c>
      <c r="C2156" s="13" t="n">
        <f aca="false">IF(Szenarien!$H$16="OK",(IFERROR(SUMIF(Nutzungsprofile!$B$6:$B$11,"Schulbetrieb",Nutzungsprofile!$G$6:$G$11)*Kalender!C326/SUM(Kalender!$C$5:$C$370),0)+IFERROR(SUMIF(Nutzungsprofile!$B$6:$B$11,"Halle",Nutzungsprofile!$G$6:$G$11)*Kalender!D326/SUM(Kalender!$D$5:$D$370),0)+IFERROR(SUMIF(Nutzungsprofile!$B$6:$B$11,"Individuell",Nutzungsprofile!$G$6:$G$11)*Kalender!E326/SUM(Kalender!$E$5:$E$370),0))*Szenarien!$E$16,0)</f>
        <v>0.9</v>
      </c>
      <c r="D2156" s="13" t="n">
        <f aca="false">IF(Szenarien!$H$16="OK",(IFERROR(SUMIF(Nutzungsprofile!$B$17:$B$22,"Schulbetrieb",Nutzungsprofile!$G$17:$G$22)*Kalender!C326/SUM(Kalender!$C$5:$C$370),0)+IFERROR(SUMIF(Nutzungsprofile!$B$17:$B$22,"Halle",Nutzungsprofile!$G$17:$G$22)*Kalender!D326/SUM(Kalender!$D$5:$D$370),0)+IFERROR(SUMIF(Nutzungsprofile!$B$17:$B$22,"Individuell",Nutzungsprofile!$G$17:$G$22)*Kalender!E326/SUM(Kalender!$E$5:$E$370),0))*Szenarien!$D$16,0)</f>
        <v>4.05</v>
      </c>
      <c r="E2156" s="13" t="n">
        <f aca="false">IFERROR(MIN(C2156,Eingaben!$B$17)*Eingaben!$B$16,0)</f>
        <v>0.855</v>
      </c>
      <c r="F2156" s="13" t="n">
        <f aca="false">IFERROR(E2156*Eingaben!$B$15,0)</f>
        <v>0.7695</v>
      </c>
      <c r="G2156" s="13" t="n">
        <f aca="false">IFERROR(IF(Kalender!A326="",0,J2155*(1-Eingaben!$B$20)),0)</f>
        <v>0.226233</v>
      </c>
      <c r="H2156" s="13" t="n">
        <f aca="false">MIN(G2156,D2156)</f>
        <v>0.226233</v>
      </c>
      <c r="I2156" s="13" t="n">
        <f aca="false">IFERROR(MIN(F2156*Eingaben!$B$19,MAX(0,D2156-H2156)),0)</f>
        <v>0.53865</v>
      </c>
      <c r="J2156" s="13" t="n">
        <f aca="false">IFERROR(MIN(Eingaben!$B$18,MAX(0,F2156-I2156)),0)</f>
        <v>0.23085</v>
      </c>
      <c r="K2156" s="13" t="n">
        <f aca="false">H2156+I2156</f>
        <v>0.764883</v>
      </c>
      <c r="L2156" s="13" t="n">
        <f aca="false">MAX(0,D2156-K2156)</f>
        <v>3.285117</v>
      </c>
      <c r="M2156" s="13" t="n">
        <f aca="false">MAX(0,F2156-I2156-J2156)</f>
        <v>0</v>
      </c>
      <c r="N2156" s="13" t="n">
        <f aca="false">IF(Kalender!A326="",0,J2155-H2156)</f>
        <v>0.00461700000000001</v>
      </c>
    </row>
    <row r="2157" customFormat="false" ht="16.4" hidden="false" customHeight="false" outlineLevel="0" collapsed="false">
      <c r="A2157" s="13" t="str">
        <f aca="false">""</f>
        <v/>
      </c>
      <c r="B2157" s="13" t="n">
        <f aca="false">323</f>
        <v>323</v>
      </c>
      <c r="C2157" s="13" t="n">
        <f aca="false">IF(Szenarien!$H$16="OK",(IFERROR(SUMIF(Nutzungsprofile!$B$6:$B$11,"Schulbetrieb",Nutzungsprofile!$G$6:$G$11)*Kalender!C327/SUM(Kalender!$C$5:$C$370),0)+IFERROR(SUMIF(Nutzungsprofile!$B$6:$B$11,"Halle",Nutzungsprofile!$G$6:$G$11)*Kalender!D327/SUM(Kalender!$D$5:$D$370),0)+IFERROR(SUMIF(Nutzungsprofile!$B$6:$B$11,"Individuell",Nutzungsprofile!$G$6:$G$11)*Kalender!E327/SUM(Kalender!$E$5:$E$370),0))*Szenarien!$E$16,0)</f>
        <v>0.9</v>
      </c>
      <c r="D2157" s="13" t="n">
        <f aca="false">IF(Szenarien!$H$16="OK",(IFERROR(SUMIF(Nutzungsprofile!$B$17:$B$22,"Schulbetrieb",Nutzungsprofile!$G$17:$G$22)*Kalender!C327/SUM(Kalender!$C$5:$C$370),0)+IFERROR(SUMIF(Nutzungsprofile!$B$17:$B$22,"Halle",Nutzungsprofile!$G$17:$G$22)*Kalender!D327/SUM(Kalender!$D$5:$D$370),0)+IFERROR(SUMIF(Nutzungsprofile!$B$17:$B$22,"Individuell",Nutzungsprofile!$G$17:$G$22)*Kalender!E327/SUM(Kalender!$E$5:$E$370),0))*Szenarien!$D$16,0)</f>
        <v>4.05</v>
      </c>
      <c r="E2157" s="13" t="n">
        <f aca="false">IFERROR(MIN(C2157,Eingaben!$B$17)*Eingaben!$B$16,0)</f>
        <v>0.855</v>
      </c>
      <c r="F2157" s="13" t="n">
        <f aca="false">IFERROR(E2157*Eingaben!$B$15,0)</f>
        <v>0.7695</v>
      </c>
      <c r="G2157" s="13" t="n">
        <f aca="false">IFERROR(IF(Kalender!A327="",0,J2156*(1-Eingaben!$B$20)),0)</f>
        <v>0.226233</v>
      </c>
      <c r="H2157" s="13" t="n">
        <f aca="false">MIN(G2157,D2157)</f>
        <v>0.226233</v>
      </c>
      <c r="I2157" s="13" t="n">
        <f aca="false">IFERROR(MIN(F2157*Eingaben!$B$19,MAX(0,D2157-H2157)),0)</f>
        <v>0.53865</v>
      </c>
      <c r="J2157" s="13" t="n">
        <f aca="false">IFERROR(MIN(Eingaben!$B$18,MAX(0,F2157-I2157)),0)</f>
        <v>0.23085</v>
      </c>
      <c r="K2157" s="13" t="n">
        <f aca="false">H2157+I2157</f>
        <v>0.764883</v>
      </c>
      <c r="L2157" s="13" t="n">
        <f aca="false">MAX(0,D2157-K2157)</f>
        <v>3.285117</v>
      </c>
      <c r="M2157" s="13" t="n">
        <f aca="false">MAX(0,F2157-I2157-J2157)</f>
        <v>0</v>
      </c>
      <c r="N2157" s="13" t="n">
        <f aca="false">IF(Kalender!A327="",0,J2156-H2157)</f>
        <v>0.00461700000000001</v>
      </c>
    </row>
    <row r="2158" customFormat="false" ht="16.4" hidden="false" customHeight="false" outlineLevel="0" collapsed="false">
      <c r="A2158" s="13" t="str">
        <f aca="false">""</f>
        <v/>
      </c>
      <c r="B2158" s="13" t="n">
        <f aca="false">324</f>
        <v>324</v>
      </c>
      <c r="C2158" s="13" t="n">
        <f aca="false">IF(Szenarien!$H$16="OK",(IFERROR(SUMIF(Nutzungsprofile!$B$6:$B$11,"Schulbetrieb",Nutzungsprofile!$G$6:$G$11)*Kalender!C328/SUM(Kalender!$C$5:$C$370),0)+IFERROR(SUMIF(Nutzungsprofile!$B$6:$B$11,"Halle",Nutzungsprofile!$G$6:$G$11)*Kalender!D328/SUM(Kalender!$D$5:$D$370),0)+IFERROR(SUMIF(Nutzungsprofile!$B$6:$B$11,"Individuell",Nutzungsprofile!$G$6:$G$11)*Kalender!E328/SUM(Kalender!$E$5:$E$370),0))*Szenarien!$E$16,0)</f>
        <v>0.9</v>
      </c>
      <c r="D2158" s="13" t="n">
        <f aca="false">IF(Szenarien!$H$16="OK",(IFERROR(SUMIF(Nutzungsprofile!$B$17:$B$22,"Schulbetrieb",Nutzungsprofile!$G$17:$G$22)*Kalender!C328/SUM(Kalender!$C$5:$C$370),0)+IFERROR(SUMIF(Nutzungsprofile!$B$17:$B$22,"Halle",Nutzungsprofile!$G$17:$G$22)*Kalender!D328/SUM(Kalender!$D$5:$D$370),0)+IFERROR(SUMIF(Nutzungsprofile!$B$17:$B$22,"Individuell",Nutzungsprofile!$G$17:$G$22)*Kalender!E328/SUM(Kalender!$E$5:$E$370),0))*Szenarien!$D$16,0)</f>
        <v>4.05</v>
      </c>
      <c r="E2158" s="13" t="n">
        <f aca="false">IFERROR(MIN(C2158,Eingaben!$B$17)*Eingaben!$B$16,0)</f>
        <v>0.855</v>
      </c>
      <c r="F2158" s="13" t="n">
        <f aca="false">IFERROR(E2158*Eingaben!$B$15,0)</f>
        <v>0.7695</v>
      </c>
      <c r="G2158" s="13" t="n">
        <f aca="false">IFERROR(IF(Kalender!A328="",0,J2157*(1-Eingaben!$B$20)),0)</f>
        <v>0.226233</v>
      </c>
      <c r="H2158" s="13" t="n">
        <f aca="false">MIN(G2158,D2158)</f>
        <v>0.226233</v>
      </c>
      <c r="I2158" s="13" t="n">
        <f aca="false">IFERROR(MIN(F2158*Eingaben!$B$19,MAX(0,D2158-H2158)),0)</f>
        <v>0.53865</v>
      </c>
      <c r="J2158" s="13" t="n">
        <f aca="false">IFERROR(MIN(Eingaben!$B$18,MAX(0,F2158-I2158)),0)</f>
        <v>0.23085</v>
      </c>
      <c r="K2158" s="13" t="n">
        <f aca="false">H2158+I2158</f>
        <v>0.764883</v>
      </c>
      <c r="L2158" s="13" t="n">
        <f aca="false">MAX(0,D2158-K2158)</f>
        <v>3.285117</v>
      </c>
      <c r="M2158" s="13" t="n">
        <f aca="false">MAX(0,F2158-I2158-J2158)</f>
        <v>0</v>
      </c>
      <c r="N2158" s="13" t="n">
        <f aca="false">IF(Kalender!A328="",0,J2157-H2158)</f>
        <v>0.00461700000000001</v>
      </c>
    </row>
    <row r="2159" customFormat="false" ht="16.4" hidden="false" customHeight="false" outlineLevel="0" collapsed="false">
      <c r="A2159" s="13" t="str">
        <f aca="false">""</f>
        <v/>
      </c>
      <c r="B2159" s="13" t="n">
        <f aca="false">325</f>
        <v>325</v>
      </c>
      <c r="C2159" s="13" t="n">
        <f aca="false">IF(Szenarien!$H$16="OK",(IFERROR(SUMIF(Nutzungsprofile!$B$6:$B$11,"Schulbetrieb",Nutzungsprofile!$G$6:$G$11)*Kalender!C329/SUM(Kalender!$C$5:$C$370),0)+IFERROR(SUMIF(Nutzungsprofile!$B$6:$B$11,"Halle",Nutzungsprofile!$G$6:$G$11)*Kalender!D329/SUM(Kalender!$D$5:$D$370),0)+IFERROR(SUMIF(Nutzungsprofile!$B$6:$B$11,"Individuell",Nutzungsprofile!$G$6:$G$11)*Kalender!E329/SUM(Kalender!$E$5:$E$370),0))*Szenarien!$E$16,0)</f>
        <v>0</v>
      </c>
      <c r="D2159" s="13" t="n">
        <f aca="false">IF(Szenarien!$H$16="OK",(IFERROR(SUMIF(Nutzungsprofile!$B$17:$B$22,"Schulbetrieb",Nutzungsprofile!$G$17:$G$22)*Kalender!C329/SUM(Kalender!$C$5:$C$370),0)+IFERROR(SUMIF(Nutzungsprofile!$B$17:$B$22,"Halle",Nutzungsprofile!$G$17:$G$22)*Kalender!D329/SUM(Kalender!$D$5:$D$370),0)+IFERROR(SUMIF(Nutzungsprofile!$B$17:$B$22,"Individuell",Nutzungsprofile!$G$17:$G$22)*Kalender!E329/SUM(Kalender!$E$5:$E$370),0))*Szenarien!$D$16,0)</f>
        <v>0</v>
      </c>
      <c r="E2159" s="13" t="n">
        <f aca="false">IFERROR(MIN(C2159,Eingaben!$B$17)*Eingaben!$B$16,0)</f>
        <v>0</v>
      </c>
      <c r="F2159" s="13" t="n">
        <f aca="false">IFERROR(E2159*Eingaben!$B$15,0)</f>
        <v>0</v>
      </c>
      <c r="G2159" s="13" t="n">
        <f aca="false">IFERROR(IF(Kalender!A329="",0,J2158*(1-Eingaben!$B$20)),0)</f>
        <v>0.226233</v>
      </c>
      <c r="H2159" s="13" t="n">
        <f aca="false">MIN(G2159,D2159)</f>
        <v>0</v>
      </c>
      <c r="I2159" s="13" t="n">
        <f aca="false">IFERROR(MIN(F2159*Eingaben!$B$19,MAX(0,D2159-H2159)),0)</f>
        <v>0</v>
      </c>
      <c r="J2159" s="13" t="n">
        <f aca="false">IFERROR(MIN(Eingaben!$B$18,MAX(0,F2159-I2159)),0)</f>
        <v>0</v>
      </c>
      <c r="K2159" s="13" t="n">
        <f aca="false">H2159+I2159</f>
        <v>0</v>
      </c>
      <c r="L2159" s="13" t="n">
        <f aca="false">MAX(0,D2159-K2159)</f>
        <v>0</v>
      </c>
      <c r="M2159" s="13" t="n">
        <f aca="false">MAX(0,F2159-I2159-J2159)</f>
        <v>0</v>
      </c>
      <c r="N2159" s="13" t="n">
        <f aca="false">IF(Kalender!A329="",0,J2158-H2159)</f>
        <v>0.23085</v>
      </c>
    </row>
    <row r="2160" customFormat="false" ht="16.4" hidden="false" customHeight="false" outlineLevel="0" collapsed="false">
      <c r="A2160" s="13" t="str">
        <f aca="false">""</f>
        <v/>
      </c>
      <c r="B2160" s="13" t="n">
        <f aca="false">326</f>
        <v>326</v>
      </c>
      <c r="C2160" s="13" t="n">
        <f aca="false">IF(Szenarien!$H$16="OK",(IFERROR(SUMIF(Nutzungsprofile!$B$6:$B$11,"Schulbetrieb",Nutzungsprofile!$G$6:$G$11)*Kalender!C330/SUM(Kalender!$C$5:$C$370),0)+IFERROR(SUMIF(Nutzungsprofile!$B$6:$B$11,"Halle",Nutzungsprofile!$G$6:$G$11)*Kalender!D330/SUM(Kalender!$D$5:$D$370),0)+IFERROR(SUMIF(Nutzungsprofile!$B$6:$B$11,"Individuell",Nutzungsprofile!$G$6:$G$11)*Kalender!E330/SUM(Kalender!$E$5:$E$370),0))*Szenarien!$E$16,0)</f>
        <v>0</v>
      </c>
      <c r="D2160" s="13" t="n">
        <f aca="false">IF(Szenarien!$H$16="OK",(IFERROR(SUMIF(Nutzungsprofile!$B$17:$B$22,"Schulbetrieb",Nutzungsprofile!$G$17:$G$22)*Kalender!C330/SUM(Kalender!$C$5:$C$370),0)+IFERROR(SUMIF(Nutzungsprofile!$B$17:$B$22,"Halle",Nutzungsprofile!$G$17:$G$22)*Kalender!D330/SUM(Kalender!$D$5:$D$370),0)+IFERROR(SUMIF(Nutzungsprofile!$B$17:$B$22,"Individuell",Nutzungsprofile!$G$17:$G$22)*Kalender!E330/SUM(Kalender!$E$5:$E$370),0))*Szenarien!$D$16,0)</f>
        <v>0</v>
      </c>
      <c r="E2160" s="13" t="n">
        <f aca="false">IFERROR(MIN(C2160,Eingaben!$B$17)*Eingaben!$B$16,0)</f>
        <v>0</v>
      </c>
      <c r="F2160" s="13" t="n">
        <f aca="false">IFERROR(E2160*Eingaben!$B$15,0)</f>
        <v>0</v>
      </c>
      <c r="G2160" s="13" t="n">
        <f aca="false">IFERROR(IF(Kalender!A330="",0,J2159*(1-Eingaben!$B$20)),0)</f>
        <v>0</v>
      </c>
      <c r="H2160" s="13" t="n">
        <f aca="false">MIN(G2160,D2160)</f>
        <v>0</v>
      </c>
      <c r="I2160" s="13" t="n">
        <f aca="false">IFERROR(MIN(F2160*Eingaben!$B$19,MAX(0,D2160-H2160)),0)</f>
        <v>0</v>
      </c>
      <c r="J2160" s="13" t="n">
        <f aca="false">IFERROR(MIN(Eingaben!$B$18,MAX(0,F2160-I2160)),0)</f>
        <v>0</v>
      </c>
      <c r="K2160" s="13" t="n">
        <f aca="false">H2160+I2160</f>
        <v>0</v>
      </c>
      <c r="L2160" s="13" t="n">
        <f aca="false">MAX(0,D2160-K2160)</f>
        <v>0</v>
      </c>
      <c r="M2160" s="13" t="n">
        <f aca="false">MAX(0,F2160-I2160-J2160)</f>
        <v>0</v>
      </c>
      <c r="N2160" s="13" t="n">
        <f aca="false">IF(Kalender!A330="",0,J2159-H2160)</f>
        <v>0</v>
      </c>
    </row>
    <row r="2161" customFormat="false" ht="16.4" hidden="false" customHeight="false" outlineLevel="0" collapsed="false">
      <c r="A2161" s="13" t="str">
        <f aca="false">""</f>
        <v/>
      </c>
      <c r="B2161" s="13" t="n">
        <f aca="false">327</f>
        <v>327</v>
      </c>
      <c r="C2161" s="13" t="n">
        <f aca="false">IF(Szenarien!$H$16="OK",(IFERROR(SUMIF(Nutzungsprofile!$B$6:$B$11,"Schulbetrieb",Nutzungsprofile!$G$6:$G$11)*Kalender!C331/SUM(Kalender!$C$5:$C$370),0)+IFERROR(SUMIF(Nutzungsprofile!$B$6:$B$11,"Halle",Nutzungsprofile!$G$6:$G$11)*Kalender!D331/SUM(Kalender!$D$5:$D$370),0)+IFERROR(SUMIF(Nutzungsprofile!$B$6:$B$11,"Individuell",Nutzungsprofile!$G$6:$G$11)*Kalender!E331/SUM(Kalender!$E$5:$E$370),0))*Szenarien!$E$16,0)</f>
        <v>0.9</v>
      </c>
      <c r="D2161" s="13" t="n">
        <f aca="false">IF(Szenarien!$H$16="OK",(IFERROR(SUMIF(Nutzungsprofile!$B$17:$B$22,"Schulbetrieb",Nutzungsprofile!$G$17:$G$22)*Kalender!C331/SUM(Kalender!$C$5:$C$370),0)+IFERROR(SUMIF(Nutzungsprofile!$B$17:$B$22,"Halle",Nutzungsprofile!$G$17:$G$22)*Kalender!D331/SUM(Kalender!$D$5:$D$370),0)+IFERROR(SUMIF(Nutzungsprofile!$B$17:$B$22,"Individuell",Nutzungsprofile!$G$17:$G$22)*Kalender!E331/SUM(Kalender!$E$5:$E$370),0))*Szenarien!$D$16,0)</f>
        <v>4.05</v>
      </c>
      <c r="E2161" s="13" t="n">
        <f aca="false">IFERROR(MIN(C2161,Eingaben!$B$17)*Eingaben!$B$16,0)</f>
        <v>0.855</v>
      </c>
      <c r="F2161" s="13" t="n">
        <f aca="false">IFERROR(E2161*Eingaben!$B$15,0)</f>
        <v>0.7695</v>
      </c>
      <c r="G2161" s="13" t="n">
        <f aca="false">IFERROR(IF(Kalender!A331="",0,J2160*(1-Eingaben!$B$20)),0)</f>
        <v>0</v>
      </c>
      <c r="H2161" s="13" t="n">
        <f aca="false">MIN(G2161,D2161)</f>
        <v>0</v>
      </c>
      <c r="I2161" s="13" t="n">
        <f aca="false">IFERROR(MIN(F2161*Eingaben!$B$19,MAX(0,D2161-H2161)),0)</f>
        <v>0.53865</v>
      </c>
      <c r="J2161" s="13" t="n">
        <f aca="false">IFERROR(MIN(Eingaben!$B$18,MAX(0,F2161-I2161)),0)</f>
        <v>0.23085</v>
      </c>
      <c r="K2161" s="13" t="n">
        <f aca="false">H2161+I2161</f>
        <v>0.53865</v>
      </c>
      <c r="L2161" s="13" t="n">
        <f aca="false">MAX(0,D2161-K2161)</f>
        <v>3.51135</v>
      </c>
      <c r="M2161" s="13" t="n">
        <f aca="false">MAX(0,F2161-I2161-J2161)</f>
        <v>0</v>
      </c>
      <c r="N2161" s="13" t="n">
        <f aca="false">IF(Kalender!A331="",0,J2160-H2161)</f>
        <v>0</v>
      </c>
    </row>
    <row r="2162" customFormat="false" ht="16.4" hidden="false" customHeight="false" outlineLevel="0" collapsed="false">
      <c r="A2162" s="13" t="str">
        <f aca="false">""</f>
        <v/>
      </c>
      <c r="B2162" s="13" t="n">
        <f aca="false">328</f>
        <v>328</v>
      </c>
      <c r="C2162" s="13" t="n">
        <f aca="false">IF(Szenarien!$H$16="OK",(IFERROR(SUMIF(Nutzungsprofile!$B$6:$B$11,"Schulbetrieb",Nutzungsprofile!$G$6:$G$11)*Kalender!C332/SUM(Kalender!$C$5:$C$370),0)+IFERROR(SUMIF(Nutzungsprofile!$B$6:$B$11,"Halle",Nutzungsprofile!$G$6:$G$11)*Kalender!D332/SUM(Kalender!$D$5:$D$370),0)+IFERROR(SUMIF(Nutzungsprofile!$B$6:$B$11,"Individuell",Nutzungsprofile!$G$6:$G$11)*Kalender!E332/SUM(Kalender!$E$5:$E$370),0))*Szenarien!$E$16,0)</f>
        <v>0.9</v>
      </c>
      <c r="D2162" s="13" t="n">
        <f aca="false">IF(Szenarien!$H$16="OK",(IFERROR(SUMIF(Nutzungsprofile!$B$17:$B$22,"Schulbetrieb",Nutzungsprofile!$G$17:$G$22)*Kalender!C332/SUM(Kalender!$C$5:$C$370),0)+IFERROR(SUMIF(Nutzungsprofile!$B$17:$B$22,"Halle",Nutzungsprofile!$G$17:$G$22)*Kalender!D332/SUM(Kalender!$D$5:$D$370),0)+IFERROR(SUMIF(Nutzungsprofile!$B$17:$B$22,"Individuell",Nutzungsprofile!$G$17:$G$22)*Kalender!E332/SUM(Kalender!$E$5:$E$370),0))*Szenarien!$D$16,0)</f>
        <v>4.05</v>
      </c>
      <c r="E2162" s="13" t="n">
        <f aca="false">IFERROR(MIN(C2162,Eingaben!$B$17)*Eingaben!$B$16,0)</f>
        <v>0.855</v>
      </c>
      <c r="F2162" s="13" t="n">
        <f aca="false">IFERROR(E2162*Eingaben!$B$15,0)</f>
        <v>0.7695</v>
      </c>
      <c r="G2162" s="13" t="n">
        <f aca="false">IFERROR(IF(Kalender!A332="",0,J2161*(1-Eingaben!$B$20)),0)</f>
        <v>0.226233</v>
      </c>
      <c r="H2162" s="13" t="n">
        <f aca="false">MIN(G2162,D2162)</f>
        <v>0.226233</v>
      </c>
      <c r="I2162" s="13" t="n">
        <f aca="false">IFERROR(MIN(F2162*Eingaben!$B$19,MAX(0,D2162-H2162)),0)</f>
        <v>0.53865</v>
      </c>
      <c r="J2162" s="13" t="n">
        <f aca="false">IFERROR(MIN(Eingaben!$B$18,MAX(0,F2162-I2162)),0)</f>
        <v>0.23085</v>
      </c>
      <c r="K2162" s="13" t="n">
        <f aca="false">H2162+I2162</f>
        <v>0.764883</v>
      </c>
      <c r="L2162" s="13" t="n">
        <f aca="false">MAX(0,D2162-K2162)</f>
        <v>3.285117</v>
      </c>
      <c r="M2162" s="13" t="n">
        <f aca="false">MAX(0,F2162-I2162-J2162)</f>
        <v>0</v>
      </c>
      <c r="N2162" s="13" t="n">
        <f aca="false">IF(Kalender!A332="",0,J2161-H2162)</f>
        <v>0.00461700000000001</v>
      </c>
    </row>
    <row r="2163" customFormat="false" ht="16.4" hidden="false" customHeight="false" outlineLevel="0" collapsed="false">
      <c r="A2163" s="13" t="str">
        <f aca="false">""</f>
        <v/>
      </c>
      <c r="B2163" s="13" t="n">
        <f aca="false">329</f>
        <v>329</v>
      </c>
      <c r="C2163" s="13" t="n">
        <f aca="false">IF(Szenarien!$H$16="OK",(IFERROR(SUMIF(Nutzungsprofile!$B$6:$B$11,"Schulbetrieb",Nutzungsprofile!$G$6:$G$11)*Kalender!C333/SUM(Kalender!$C$5:$C$370),0)+IFERROR(SUMIF(Nutzungsprofile!$B$6:$B$11,"Halle",Nutzungsprofile!$G$6:$G$11)*Kalender!D333/SUM(Kalender!$D$5:$D$370),0)+IFERROR(SUMIF(Nutzungsprofile!$B$6:$B$11,"Individuell",Nutzungsprofile!$G$6:$G$11)*Kalender!E333/SUM(Kalender!$E$5:$E$370),0))*Szenarien!$E$16,0)</f>
        <v>0</v>
      </c>
      <c r="D2163" s="13" t="n">
        <f aca="false">IF(Szenarien!$H$16="OK",(IFERROR(SUMIF(Nutzungsprofile!$B$17:$B$22,"Schulbetrieb",Nutzungsprofile!$G$17:$G$22)*Kalender!C333/SUM(Kalender!$C$5:$C$370),0)+IFERROR(SUMIF(Nutzungsprofile!$B$17:$B$22,"Halle",Nutzungsprofile!$G$17:$G$22)*Kalender!D333/SUM(Kalender!$D$5:$D$370),0)+IFERROR(SUMIF(Nutzungsprofile!$B$17:$B$22,"Individuell",Nutzungsprofile!$G$17:$G$22)*Kalender!E333/SUM(Kalender!$E$5:$E$370),0))*Szenarien!$D$16,0)</f>
        <v>0</v>
      </c>
      <c r="E2163" s="13" t="n">
        <f aca="false">IFERROR(MIN(C2163,Eingaben!$B$17)*Eingaben!$B$16,0)</f>
        <v>0</v>
      </c>
      <c r="F2163" s="13" t="n">
        <f aca="false">IFERROR(E2163*Eingaben!$B$15,0)</f>
        <v>0</v>
      </c>
      <c r="G2163" s="13" t="n">
        <f aca="false">IFERROR(IF(Kalender!A333="",0,J2162*(1-Eingaben!$B$20)),0)</f>
        <v>0.226233</v>
      </c>
      <c r="H2163" s="13" t="n">
        <f aca="false">MIN(G2163,D2163)</f>
        <v>0</v>
      </c>
      <c r="I2163" s="13" t="n">
        <f aca="false">IFERROR(MIN(F2163*Eingaben!$B$19,MAX(0,D2163-H2163)),0)</f>
        <v>0</v>
      </c>
      <c r="J2163" s="13" t="n">
        <f aca="false">IFERROR(MIN(Eingaben!$B$18,MAX(0,F2163-I2163)),0)</f>
        <v>0</v>
      </c>
      <c r="K2163" s="13" t="n">
        <f aca="false">H2163+I2163</f>
        <v>0</v>
      </c>
      <c r="L2163" s="13" t="n">
        <f aca="false">MAX(0,D2163-K2163)</f>
        <v>0</v>
      </c>
      <c r="M2163" s="13" t="n">
        <f aca="false">MAX(0,F2163-I2163-J2163)</f>
        <v>0</v>
      </c>
      <c r="N2163" s="13" t="n">
        <f aca="false">IF(Kalender!A333="",0,J2162-H2163)</f>
        <v>0.23085</v>
      </c>
    </row>
    <row r="2164" customFormat="false" ht="16.4" hidden="false" customHeight="false" outlineLevel="0" collapsed="false">
      <c r="A2164" s="13" t="str">
        <f aca="false">""</f>
        <v/>
      </c>
      <c r="B2164" s="13" t="n">
        <f aca="false">330</f>
        <v>330</v>
      </c>
      <c r="C2164" s="13" t="n">
        <f aca="false">IF(Szenarien!$H$16="OK",(IFERROR(SUMIF(Nutzungsprofile!$B$6:$B$11,"Schulbetrieb",Nutzungsprofile!$G$6:$G$11)*Kalender!C334/SUM(Kalender!$C$5:$C$370),0)+IFERROR(SUMIF(Nutzungsprofile!$B$6:$B$11,"Halle",Nutzungsprofile!$G$6:$G$11)*Kalender!D334/SUM(Kalender!$D$5:$D$370),0)+IFERROR(SUMIF(Nutzungsprofile!$B$6:$B$11,"Individuell",Nutzungsprofile!$G$6:$G$11)*Kalender!E334/SUM(Kalender!$E$5:$E$370),0))*Szenarien!$E$16,0)</f>
        <v>0</v>
      </c>
      <c r="D2164" s="13" t="n">
        <f aca="false">IF(Szenarien!$H$16="OK",(IFERROR(SUMIF(Nutzungsprofile!$B$17:$B$22,"Schulbetrieb",Nutzungsprofile!$G$17:$G$22)*Kalender!C334/SUM(Kalender!$C$5:$C$370),0)+IFERROR(SUMIF(Nutzungsprofile!$B$17:$B$22,"Halle",Nutzungsprofile!$G$17:$G$22)*Kalender!D334/SUM(Kalender!$D$5:$D$370),0)+IFERROR(SUMIF(Nutzungsprofile!$B$17:$B$22,"Individuell",Nutzungsprofile!$G$17:$G$22)*Kalender!E334/SUM(Kalender!$E$5:$E$370),0))*Szenarien!$D$16,0)</f>
        <v>0</v>
      </c>
      <c r="E2164" s="13" t="n">
        <f aca="false">IFERROR(MIN(C2164,Eingaben!$B$17)*Eingaben!$B$16,0)</f>
        <v>0</v>
      </c>
      <c r="F2164" s="13" t="n">
        <f aca="false">IFERROR(E2164*Eingaben!$B$15,0)</f>
        <v>0</v>
      </c>
      <c r="G2164" s="13" t="n">
        <f aca="false">IFERROR(IF(Kalender!A334="",0,J2163*(1-Eingaben!$B$20)),0)</f>
        <v>0</v>
      </c>
      <c r="H2164" s="13" t="n">
        <f aca="false">MIN(G2164,D2164)</f>
        <v>0</v>
      </c>
      <c r="I2164" s="13" t="n">
        <f aca="false">IFERROR(MIN(F2164*Eingaben!$B$19,MAX(0,D2164-H2164)),0)</f>
        <v>0</v>
      </c>
      <c r="J2164" s="13" t="n">
        <f aca="false">IFERROR(MIN(Eingaben!$B$18,MAX(0,F2164-I2164)),0)</f>
        <v>0</v>
      </c>
      <c r="K2164" s="13" t="n">
        <f aca="false">H2164+I2164</f>
        <v>0</v>
      </c>
      <c r="L2164" s="13" t="n">
        <f aca="false">MAX(0,D2164-K2164)</f>
        <v>0</v>
      </c>
      <c r="M2164" s="13" t="n">
        <f aca="false">MAX(0,F2164-I2164-J2164)</f>
        <v>0</v>
      </c>
      <c r="N2164" s="13" t="n">
        <f aca="false">IF(Kalender!A334="",0,J2163-H2164)</f>
        <v>0</v>
      </c>
    </row>
    <row r="2165" customFormat="false" ht="16.4" hidden="false" customHeight="false" outlineLevel="0" collapsed="false">
      <c r="A2165" s="13" t="str">
        <f aca="false">""</f>
        <v/>
      </c>
      <c r="B2165" s="13" t="n">
        <f aca="false">331</f>
        <v>331</v>
      </c>
      <c r="C2165" s="13" t="n">
        <f aca="false">IF(Szenarien!$H$16="OK",(IFERROR(SUMIF(Nutzungsprofile!$B$6:$B$11,"Schulbetrieb",Nutzungsprofile!$G$6:$G$11)*Kalender!C335/SUM(Kalender!$C$5:$C$370),0)+IFERROR(SUMIF(Nutzungsprofile!$B$6:$B$11,"Halle",Nutzungsprofile!$G$6:$G$11)*Kalender!D335/SUM(Kalender!$D$5:$D$370),0)+IFERROR(SUMIF(Nutzungsprofile!$B$6:$B$11,"Individuell",Nutzungsprofile!$G$6:$G$11)*Kalender!E335/SUM(Kalender!$E$5:$E$370),0))*Szenarien!$E$16,0)</f>
        <v>0</v>
      </c>
      <c r="D2165" s="13" t="n">
        <f aca="false">IF(Szenarien!$H$16="OK",(IFERROR(SUMIF(Nutzungsprofile!$B$17:$B$22,"Schulbetrieb",Nutzungsprofile!$G$17:$G$22)*Kalender!C335/SUM(Kalender!$C$5:$C$370),0)+IFERROR(SUMIF(Nutzungsprofile!$B$17:$B$22,"Halle",Nutzungsprofile!$G$17:$G$22)*Kalender!D335/SUM(Kalender!$D$5:$D$370),0)+IFERROR(SUMIF(Nutzungsprofile!$B$17:$B$22,"Individuell",Nutzungsprofile!$G$17:$G$22)*Kalender!E335/SUM(Kalender!$E$5:$E$370),0))*Szenarien!$D$16,0)</f>
        <v>0</v>
      </c>
      <c r="E2165" s="13" t="n">
        <f aca="false">IFERROR(MIN(C2165,Eingaben!$B$17)*Eingaben!$B$16,0)</f>
        <v>0</v>
      </c>
      <c r="F2165" s="13" t="n">
        <f aca="false">IFERROR(E2165*Eingaben!$B$15,0)</f>
        <v>0</v>
      </c>
      <c r="G2165" s="13" t="n">
        <f aca="false">IFERROR(IF(Kalender!A335="",0,J2164*(1-Eingaben!$B$20)),0)</f>
        <v>0</v>
      </c>
      <c r="H2165" s="13" t="n">
        <f aca="false">MIN(G2165,D2165)</f>
        <v>0</v>
      </c>
      <c r="I2165" s="13" t="n">
        <f aca="false">IFERROR(MIN(F2165*Eingaben!$B$19,MAX(0,D2165-H2165)),0)</f>
        <v>0</v>
      </c>
      <c r="J2165" s="13" t="n">
        <f aca="false">IFERROR(MIN(Eingaben!$B$18,MAX(0,F2165-I2165)),0)</f>
        <v>0</v>
      </c>
      <c r="K2165" s="13" t="n">
        <f aca="false">H2165+I2165</f>
        <v>0</v>
      </c>
      <c r="L2165" s="13" t="n">
        <f aca="false">MAX(0,D2165-K2165)</f>
        <v>0</v>
      </c>
      <c r="M2165" s="13" t="n">
        <f aca="false">MAX(0,F2165-I2165-J2165)</f>
        <v>0</v>
      </c>
      <c r="N2165" s="13" t="n">
        <f aca="false">IF(Kalender!A335="",0,J2164-H2165)</f>
        <v>0</v>
      </c>
    </row>
    <row r="2166" customFormat="false" ht="16.4" hidden="false" customHeight="false" outlineLevel="0" collapsed="false">
      <c r="A2166" s="13" t="str">
        <f aca="false">""</f>
        <v/>
      </c>
      <c r="B2166" s="13" t="n">
        <f aca="false">332</f>
        <v>332</v>
      </c>
      <c r="C2166" s="13" t="n">
        <f aca="false">IF(Szenarien!$H$16="OK",(IFERROR(SUMIF(Nutzungsprofile!$B$6:$B$11,"Schulbetrieb",Nutzungsprofile!$G$6:$G$11)*Kalender!C336/SUM(Kalender!$C$5:$C$370),0)+IFERROR(SUMIF(Nutzungsprofile!$B$6:$B$11,"Halle",Nutzungsprofile!$G$6:$G$11)*Kalender!D336/SUM(Kalender!$D$5:$D$370),0)+IFERROR(SUMIF(Nutzungsprofile!$B$6:$B$11,"Individuell",Nutzungsprofile!$G$6:$G$11)*Kalender!E336/SUM(Kalender!$E$5:$E$370),0))*Szenarien!$E$16,0)</f>
        <v>0</v>
      </c>
      <c r="D2166" s="13" t="n">
        <f aca="false">IF(Szenarien!$H$16="OK",(IFERROR(SUMIF(Nutzungsprofile!$B$17:$B$22,"Schulbetrieb",Nutzungsprofile!$G$17:$G$22)*Kalender!C336/SUM(Kalender!$C$5:$C$370),0)+IFERROR(SUMIF(Nutzungsprofile!$B$17:$B$22,"Halle",Nutzungsprofile!$G$17:$G$22)*Kalender!D336/SUM(Kalender!$D$5:$D$370),0)+IFERROR(SUMIF(Nutzungsprofile!$B$17:$B$22,"Individuell",Nutzungsprofile!$G$17:$G$22)*Kalender!E336/SUM(Kalender!$E$5:$E$370),0))*Szenarien!$D$16,0)</f>
        <v>0</v>
      </c>
      <c r="E2166" s="13" t="n">
        <f aca="false">IFERROR(MIN(C2166,Eingaben!$B$17)*Eingaben!$B$16,0)</f>
        <v>0</v>
      </c>
      <c r="F2166" s="13" t="n">
        <f aca="false">IFERROR(E2166*Eingaben!$B$15,0)</f>
        <v>0</v>
      </c>
      <c r="G2166" s="13" t="n">
        <f aca="false">IFERROR(IF(Kalender!A336="",0,J2165*(1-Eingaben!$B$20)),0)</f>
        <v>0</v>
      </c>
      <c r="H2166" s="13" t="n">
        <f aca="false">MIN(G2166,D2166)</f>
        <v>0</v>
      </c>
      <c r="I2166" s="13" t="n">
        <f aca="false">IFERROR(MIN(F2166*Eingaben!$B$19,MAX(0,D2166-H2166)),0)</f>
        <v>0</v>
      </c>
      <c r="J2166" s="13" t="n">
        <f aca="false">IFERROR(MIN(Eingaben!$B$18,MAX(0,F2166-I2166)),0)</f>
        <v>0</v>
      </c>
      <c r="K2166" s="13" t="n">
        <f aca="false">H2166+I2166</f>
        <v>0</v>
      </c>
      <c r="L2166" s="13" t="n">
        <f aca="false">MAX(0,D2166-K2166)</f>
        <v>0</v>
      </c>
      <c r="M2166" s="13" t="n">
        <f aca="false">MAX(0,F2166-I2166-J2166)</f>
        <v>0</v>
      </c>
      <c r="N2166" s="13" t="n">
        <f aca="false">IF(Kalender!A336="",0,J2165-H2166)</f>
        <v>0</v>
      </c>
    </row>
    <row r="2167" customFormat="false" ht="16.4" hidden="false" customHeight="false" outlineLevel="0" collapsed="false">
      <c r="A2167" s="13" t="str">
        <f aca="false">""</f>
        <v/>
      </c>
      <c r="B2167" s="13" t="n">
        <f aca="false">333</f>
        <v>333</v>
      </c>
      <c r="C2167" s="13" t="n">
        <f aca="false">IF(Szenarien!$H$16="OK",(IFERROR(SUMIF(Nutzungsprofile!$B$6:$B$11,"Schulbetrieb",Nutzungsprofile!$G$6:$G$11)*Kalender!C337/SUM(Kalender!$C$5:$C$370),0)+IFERROR(SUMIF(Nutzungsprofile!$B$6:$B$11,"Halle",Nutzungsprofile!$G$6:$G$11)*Kalender!D337/SUM(Kalender!$D$5:$D$370),0)+IFERROR(SUMIF(Nutzungsprofile!$B$6:$B$11,"Individuell",Nutzungsprofile!$G$6:$G$11)*Kalender!E337/SUM(Kalender!$E$5:$E$370),0))*Szenarien!$E$16,0)</f>
        <v>0</v>
      </c>
      <c r="D2167" s="13" t="n">
        <f aca="false">IF(Szenarien!$H$16="OK",(IFERROR(SUMIF(Nutzungsprofile!$B$17:$B$22,"Schulbetrieb",Nutzungsprofile!$G$17:$G$22)*Kalender!C337/SUM(Kalender!$C$5:$C$370),0)+IFERROR(SUMIF(Nutzungsprofile!$B$17:$B$22,"Halle",Nutzungsprofile!$G$17:$G$22)*Kalender!D337/SUM(Kalender!$D$5:$D$370),0)+IFERROR(SUMIF(Nutzungsprofile!$B$17:$B$22,"Individuell",Nutzungsprofile!$G$17:$G$22)*Kalender!E337/SUM(Kalender!$E$5:$E$370),0))*Szenarien!$D$16,0)</f>
        <v>0</v>
      </c>
      <c r="E2167" s="13" t="n">
        <f aca="false">IFERROR(MIN(C2167,Eingaben!$B$17)*Eingaben!$B$16,0)</f>
        <v>0</v>
      </c>
      <c r="F2167" s="13" t="n">
        <f aca="false">IFERROR(E2167*Eingaben!$B$15,0)</f>
        <v>0</v>
      </c>
      <c r="G2167" s="13" t="n">
        <f aca="false">IFERROR(IF(Kalender!A337="",0,J2166*(1-Eingaben!$B$20)),0)</f>
        <v>0</v>
      </c>
      <c r="H2167" s="13" t="n">
        <f aca="false">MIN(G2167,D2167)</f>
        <v>0</v>
      </c>
      <c r="I2167" s="13" t="n">
        <f aca="false">IFERROR(MIN(F2167*Eingaben!$B$19,MAX(0,D2167-H2167)),0)</f>
        <v>0</v>
      </c>
      <c r="J2167" s="13" t="n">
        <f aca="false">IFERROR(MIN(Eingaben!$B$18,MAX(0,F2167-I2167)),0)</f>
        <v>0</v>
      </c>
      <c r="K2167" s="13" t="n">
        <f aca="false">H2167+I2167</f>
        <v>0</v>
      </c>
      <c r="L2167" s="13" t="n">
        <f aca="false">MAX(0,D2167-K2167)</f>
        <v>0</v>
      </c>
      <c r="M2167" s="13" t="n">
        <f aca="false">MAX(0,F2167-I2167-J2167)</f>
        <v>0</v>
      </c>
      <c r="N2167" s="13" t="n">
        <f aca="false">IF(Kalender!A337="",0,J2166-H2167)</f>
        <v>0</v>
      </c>
    </row>
    <row r="2168" customFormat="false" ht="16.4" hidden="false" customHeight="false" outlineLevel="0" collapsed="false">
      <c r="A2168" s="13" t="str">
        <f aca="false">""</f>
        <v/>
      </c>
      <c r="B2168" s="13" t="n">
        <f aca="false">334</f>
        <v>334</v>
      </c>
      <c r="C2168" s="13" t="n">
        <f aca="false">IF(Szenarien!$H$16="OK",(IFERROR(SUMIF(Nutzungsprofile!$B$6:$B$11,"Schulbetrieb",Nutzungsprofile!$G$6:$G$11)*Kalender!C338/SUM(Kalender!$C$5:$C$370),0)+IFERROR(SUMIF(Nutzungsprofile!$B$6:$B$11,"Halle",Nutzungsprofile!$G$6:$G$11)*Kalender!D338/SUM(Kalender!$D$5:$D$370),0)+IFERROR(SUMIF(Nutzungsprofile!$B$6:$B$11,"Individuell",Nutzungsprofile!$G$6:$G$11)*Kalender!E338/SUM(Kalender!$E$5:$E$370),0))*Szenarien!$E$16,0)</f>
        <v>0</v>
      </c>
      <c r="D2168" s="13" t="n">
        <f aca="false">IF(Szenarien!$H$16="OK",(IFERROR(SUMIF(Nutzungsprofile!$B$17:$B$22,"Schulbetrieb",Nutzungsprofile!$G$17:$G$22)*Kalender!C338/SUM(Kalender!$C$5:$C$370),0)+IFERROR(SUMIF(Nutzungsprofile!$B$17:$B$22,"Halle",Nutzungsprofile!$G$17:$G$22)*Kalender!D338/SUM(Kalender!$D$5:$D$370),0)+IFERROR(SUMIF(Nutzungsprofile!$B$17:$B$22,"Individuell",Nutzungsprofile!$G$17:$G$22)*Kalender!E338/SUM(Kalender!$E$5:$E$370),0))*Szenarien!$D$16,0)</f>
        <v>0</v>
      </c>
      <c r="E2168" s="13" t="n">
        <f aca="false">IFERROR(MIN(C2168,Eingaben!$B$17)*Eingaben!$B$16,0)</f>
        <v>0</v>
      </c>
      <c r="F2168" s="13" t="n">
        <f aca="false">IFERROR(E2168*Eingaben!$B$15,0)</f>
        <v>0</v>
      </c>
      <c r="G2168" s="13" t="n">
        <f aca="false">IFERROR(IF(Kalender!A338="",0,J2167*(1-Eingaben!$B$20)),0)</f>
        <v>0</v>
      </c>
      <c r="H2168" s="13" t="n">
        <f aca="false">MIN(G2168,D2168)</f>
        <v>0</v>
      </c>
      <c r="I2168" s="13" t="n">
        <f aca="false">IFERROR(MIN(F2168*Eingaben!$B$19,MAX(0,D2168-H2168)),0)</f>
        <v>0</v>
      </c>
      <c r="J2168" s="13" t="n">
        <f aca="false">IFERROR(MIN(Eingaben!$B$18,MAX(0,F2168-I2168)),0)</f>
        <v>0</v>
      </c>
      <c r="K2168" s="13" t="n">
        <f aca="false">H2168+I2168</f>
        <v>0</v>
      </c>
      <c r="L2168" s="13" t="n">
        <f aca="false">MAX(0,D2168-K2168)</f>
        <v>0</v>
      </c>
      <c r="M2168" s="13" t="n">
        <f aca="false">MAX(0,F2168-I2168-J2168)</f>
        <v>0</v>
      </c>
      <c r="N2168" s="13" t="n">
        <f aca="false">IF(Kalender!A338="",0,J2167-H2168)</f>
        <v>0</v>
      </c>
    </row>
    <row r="2169" customFormat="false" ht="16.4" hidden="false" customHeight="false" outlineLevel="0" collapsed="false">
      <c r="A2169" s="13" t="str">
        <f aca="false">""</f>
        <v/>
      </c>
      <c r="B2169" s="13" t="n">
        <f aca="false">335</f>
        <v>335</v>
      </c>
      <c r="C2169" s="13" t="n">
        <f aca="false">IF(Szenarien!$H$16="OK",(IFERROR(SUMIF(Nutzungsprofile!$B$6:$B$11,"Schulbetrieb",Nutzungsprofile!$G$6:$G$11)*Kalender!C339/SUM(Kalender!$C$5:$C$370),0)+IFERROR(SUMIF(Nutzungsprofile!$B$6:$B$11,"Halle",Nutzungsprofile!$G$6:$G$11)*Kalender!D339/SUM(Kalender!$D$5:$D$370),0)+IFERROR(SUMIF(Nutzungsprofile!$B$6:$B$11,"Individuell",Nutzungsprofile!$G$6:$G$11)*Kalender!E339/SUM(Kalender!$E$5:$E$370),0))*Szenarien!$E$16,0)</f>
        <v>0</v>
      </c>
      <c r="D2169" s="13" t="n">
        <f aca="false">IF(Szenarien!$H$16="OK",(IFERROR(SUMIF(Nutzungsprofile!$B$17:$B$22,"Schulbetrieb",Nutzungsprofile!$G$17:$G$22)*Kalender!C339/SUM(Kalender!$C$5:$C$370),0)+IFERROR(SUMIF(Nutzungsprofile!$B$17:$B$22,"Halle",Nutzungsprofile!$G$17:$G$22)*Kalender!D339/SUM(Kalender!$D$5:$D$370),0)+IFERROR(SUMIF(Nutzungsprofile!$B$17:$B$22,"Individuell",Nutzungsprofile!$G$17:$G$22)*Kalender!E339/SUM(Kalender!$E$5:$E$370),0))*Szenarien!$D$16,0)</f>
        <v>0</v>
      </c>
      <c r="E2169" s="13" t="n">
        <f aca="false">IFERROR(MIN(C2169,Eingaben!$B$17)*Eingaben!$B$16,0)</f>
        <v>0</v>
      </c>
      <c r="F2169" s="13" t="n">
        <f aca="false">IFERROR(E2169*Eingaben!$B$15,0)</f>
        <v>0</v>
      </c>
      <c r="G2169" s="13" t="n">
        <f aca="false">IFERROR(IF(Kalender!A339="",0,J2168*(1-Eingaben!$B$20)),0)</f>
        <v>0</v>
      </c>
      <c r="H2169" s="13" t="n">
        <f aca="false">MIN(G2169,D2169)</f>
        <v>0</v>
      </c>
      <c r="I2169" s="13" t="n">
        <f aca="false">IFERROR(MIN(F2169*Eingaben!$B$19,MAX(0,D2169-H2169)),0)</f>
        <v>0</v>
      </c>
      <c r="J2169" s="13" t="n">
        <f aca="false">IFERROR(MIN(Eingaben!$B$18,MAX(0,F2169-I2169)),0)</f>
        <v>0</v>
      </c>
      <c r="K2169" s="13" t="n">
        <f aca="false">H2169+I2169</f>
        <v>0</v>
      </c>
      <c r="L2169" s="13" t="n">
        <f aca="false">MAX(0,D2169-K2169)</f>
        <v>0</v>
      </c>
      <c r="M2169" s="13" t="n">
        <f aca="false">MAX(0,F2169-I2169-J2169)</f>
        <v>0</v>
      </c>
      <c r="N2169" s="13" t="n">
        <f aca="false">IF(Kalender!A339="",0,J2168-H2169)</f>
        <v>0</v>
      </c>
    </row>
    <row r="2170" customFormat="false" ht="16.4" hidden="false" customHeight="false" outlineLevel="0" collapsed="false">
      <c r="A2170" s="13" t="str">
        <f aca="false">""</f>
        <v/>
      </c>
      <c r="B2170" s="13" t="n">
        <f aca="false">336</f>
        <v>336</v>
      </c>
      <c r="C2170" s="13" t="n">
        <f aca="false">IF(Szenarien!$H$16="OK",(IFERROR(SUMIF(Nutzungsprofile!$B$6:$B$11,"Schulbetrieb",Nutzungsprofile!$G$6:$G$11)*Kalender!C340/SUM(Kalender!$C$5:$C$370),0)+IFERROR(SUMIF(Nutzungsprofile!$B$6:$B$11,"Halle",Nutzungsprofile!$G$6:$G$11)*Kalender!D340/SUM(Kalender!$D$5:$D$370),0)+IFERROR(SUMIF(Nutzungsprofile!$B$6:$B$11,"Individuell",Nutzungsprofile!$G$6:$G$11)*Kalender!E340/SUM(Kalender!$E$5:$E$370),0))*Szenarien!$E$16,0)</f>
        <v>0</v>
      </c>
      <c r="D2170" s="13" t="n">
        <f aca="false">IF(Szenarien!$H$16="OK",(IFERROR(SUMIF(Nutzungsprofile!$B$17:$B$22,"Schulbetrieb",Nutzungsprofile!$G$17:$G$22)*Kalender!C340/SUM(Kalender!$C$5:$C$370),0)+IFERROR(SUMIF(Nutzungsprofile!$B$17:$B$22,"Halle",Nutzungsprofile!$G$17:$G$22)*Kalender!D340/SUM(Kalender!$D$5:$D$370),0)+IFERROR(SUMIF(Nutzungsprofile!$B$17:$B$22,"Individuell",Nutzungsprofile!$G$17:$G$22)*Kalender!E340/SUM(Kalender!$E$5:$E$370),0))*Szenarien!$D$16,0)</f>
        <v>0</v>
      </c>
      <c r="E2170" s="13" t="n">
        <f aca="false">IFERROR(MIN(C2170,Eingaben!$B$17)*Eingaben!$B$16,0)</f>
        <v>0</v>
      </c>
      <c r="F2170" s="13" t="n">
        <f aca="false">IFERROR(E2170*Eingaben!$B$15,0)</f>
        <v>0</v>
      </c>
      <c r="G2170" s="13" t="n">
        <f aca="false">IFERROR(IF(Kalender!A340="",0,J2169*(1-Eingaben!$B$20)),0)</f>
        <v>0</v>
      </c>
      <c r="H2170" s="13" t="n">
        <f aca="false">MIN(G2170,D2170)</f>
        <v>0</v>
      </c>
      <c r="I2170" s="13" t="n">
        <f aca="false">IFERROR(MIN(F2170*Eingaben!$B$19,MAX(0,D2170-H2170)),0)</f>
        <v>0</v>
      </c>
      <c r="J2170" s="13" t="n">
        <f aca="false">IFERROR(MIN(Eingaben!$B$18,MAX(0,F2170-I2170)),0)</f>
        <v>0</v>
      </c>
      <c r="K2170" s="13" t="n">
        <f aca="false">H2170+I2170</f>
        <v>0</v>
      </c>
      <c r="L2170" s="13" t="n">
        <f aca="false">MAX(0,D2170-K2170)</f>
        <v>0</v>
      </c>
      <c r="M2170" s="13" t="n">
        <f aca="false">MAX(0,F2170-I2170-J2170)</f>
        <v>0</v>
      </c>
      <c r="N2170" s="13" t="n">
        <f aca="false">IF(Kalender!A340="",0,J2169-H2170)</f>
        <v>0</v>
      </c>
    </row>
    <row r="2171" customFormat="false" ht="16.4" hidden="false" customHeight="false" outlineLevel="0" collapsed="false">
      <c r="A2171" s="13" t="str">
        <f aca="false">""</f>
        <v/>
      </c>
      <c r="B2171" s="13" t="n">
        <f aca="false">337</f>
        <v>337</v>
      </c>
      <c r="C2171" s="13" t="n">
        <f aca="false">IF(Szenarien!$H$16="OK",(IFERROR(SUMIF(Nutzungsprofile!$B$6:$B$11,"Schulbetrieb",Nutzungsprofile!$G$6:$G$11)*Kalender!C341/SUM(Kalender!$C$5:$C$370),0)+IFERROR(SUMIF(Nutzungsprofile!$B$6:$B$11,"Halle",Nutzungsprofile!$G$6:$G$11)*Kalender!D341/SUM(Kalender!$D$5:$D$370),0)+IFERROR(SUMIF(Nutzungsprofile!$B$6:$B$11,"Individuell",Nutzungsprofile!$G$6:$G$11)*Kalender!E341/SUM(Kalender!$E$5:$E$370),0))*Szenarien!$E$16,0)</f>
        <v>0</v>
      </c>
      <c r="D2171" s="13" t="n">
        <f aca="false">IF(Szenarien!$H$16="OK",(IFERROR(SUMIF(Nutzungsprofile!$B$17:$B$22,"Schulbetrieb",Nutzungsprofile!$G$17:$G$22)*Kalender!C341/SUM(Kalender!$C$5:$C$370),0)+IFERROR(SUMIF(Nutzungsprofile!$B$17:$B$22,"Halle",Nutzungsprofile!$G$17:$G$22)*Kalender!D341/SUM(Kalender!$D$5:$D$370),0)+IFERROR(SUMIF(Nutzungsprofile!$B$17:$B$22,"Individuell",Nutzungsprofile!$G$17:$G$22)*Kalender!E341/SUM(Kalender!$E$5:$E$370),0))*Szenarien!$D$16,0)</f>
        <v>0</v>
      </c>
      <c r="E2171" s="13" t="n">
        <f aca="false">IFERROR(MIN(C2171,Eingaben!$B$17)*Eingaben!$B$16,0)</f>
        <v>0</v>
      </c>
      <c r="F2171" s="13" t="n">
        <f aca="false">IFERROR(E2171*Eingaben!$B$15,0)</f>
        <v>0</v>
      </c>
      <c r="G2171" s="13" t="n">
        <f aca="false">IFERROR(IF(Kalender!A341="",0,J2170*(1-Eingaben!$B$20)),0)</f>
        <v>0</v>
      </c>
      <c r="H2171" s="13" t="n">
        <f aca="false">MIN(G2171,D2171)</f>
        <v>0</v>
      </c>
      <c r="I2171" s="13" t="n">
        <f aca="false">IFERROR(MIN(F2171*Eingaben!$B$19,MAX(0,D2171-H2171)),0)</f>
        <v>0</v>
      </c>
      <c r="J2171" s="13" t="n">
        <f aca="false">IFERROR(MIN(Eingaben!$B$18,MAX(0,F2171-I2171)),0)</f>
        <v>0</v>
      </c>
      <c r="K2171" s="13" t="n">
        <f aca="false">H2171+I2171</f>
        <v>0</v>
      </c>
      <c r="L2171" s="13" t="n">
        <f aca="false">MAX(0,D2171-K2171)</f>
        <v>0</v>
      </c>
      <c r="M2171" s="13" t="n">
        <f aca="false">MAX(0,F2171-I2171-J2171)</f>
        <v>0</v>
      </c>
      <c r="N2171" s="13" t="n">
        <f aca="false">IF(Kalender!A341="",0,J2170-H2171)</f>
        <v>0</v>
      </c>
    </row>
    <row r="2172" customFormat="false" ht="16.4" hidden="false" customHeight="false" outlineLevel="0" collapsed="false">
      <c r="A2172" s="13" t="str">
        <f aca="false">""</f>
        <v/>
      </c>
      <c r="B2172" s="13" t="n">
        <f aca="false">338</f>
        <v>338</v>
      </c>
      <c r="C2172" s="13" t="n">
        <f aca="false">IF(Szenarien!$H$16="OK",(IFERROR(SUMIF(Nutzungsprofile!$B$6:$B$11,"Schulbetrieb",Nutzungsprofile!$G$6:$G$11)*Kalender!C342/SUM(Kalender!$C$5:$C$370),0)+IFERROR(SUMIF(Nutzungsprofile!$B$6:$B$11,"Halle",Nutzungsprofile!$G$6:$G$11)*Kalender!D342/SUM(Kalender!$D$5:$D$370),0)+IFERROR(SUMIF(Nutzungsprofile!$B$6:$B$11,"Individuell",Nutzungsprofile!$G$6:$G$11)*Kalender!E342/SUM(Kalender!$E$5:$E$370),0))*Szenarien!$E$16,0)</f>
        <v>0</v>
      </c>
      <c r="D2172" s="13" t="n">
        <f aca="false">IF(Szenarien!$H$16="OK",(IFERROR(SUMIF(Nutzungsprofile!$B$17:$B$22,"Schulbetrieb",Nutzungsprofile!$G$17:$G$22)*Kalender!C342/SUM(Kalender!$C$5:$C$370),0)+IFERROR(SUMIF(Nutzungsprofile!$B$17:$B$22,"Halle",Nutzungsprofile!$G$17:$G$22)*Kalender!D342/SUM(Kalender!$D$5:$D$370),0)+IFERROR(SUMIF(Nutzungsprofile!$B$17:$B$22,"Individuell",Nutzungsprofile!$G$17:$G$22)*Kalender!E342/SUM(Kalender!$E$5:$E$370),0))*Szenarien!$D$16,0)</f>
        <v>0</v>
      </c>
      <c r="E2172" s="13" t="n">
        <f aca="false">IFERROR(MIN(C2172,Eingaben!$B$17)*Eingaben!$B$16,0)</f>
        <v>0</v>
      </c>
      <c r="F2172" s="13" t="n">
        <f aca="false">IFERROR(E2172*Eingaben!$B$15,0)</f>
        <v>0</v>
      </c>
      <c r="G2172" s="13" t="n">
        <f aca="false">IFERROR(IF(Kalender!A342="",0,J2171*(1-Eingaben!$B$20)),0)</f>
        <v>0</v>
      </c>
      <c r="H2172" s="13" t="n">
        <f aca="false">MIN(G2172,D2172)</f>
        <v>0</v>
      </c>
      <c r="I2172" s="13" t="n">
        <f aca="false">IFERROR(MIN(F2172*Eingaben!$B$19,MAX(0,D2172-H2172)),0)</f>
        <v>0</v>
      </c>
      <c r="J2172" s="13" t="n">
        <f aca="false">IFERROR(MIN(Eingaben!$B$18,MAX(0,F2172-I2172)),0)</f>
        <v>0</v>
      </c>
      <c r="K2172" s="13" t="n">
        <f aca="false">H2172+I2172</f>
        <v>0</v>
      </c>
      <c r="L2172" s="13" t="n">
        <f aca="false">MAX(0,D2172-K2172)</f>
        <v>0</v>
      </c>
      <c r="M2172" s="13" t="n">
        <f aca="false">MAX(0,F2172-I2172-J2172)</f>
        <v>0</v>
      </c>
      <c r="N2172" s="13" t="n">
        <f aca="false">IF(Kalender!A342="",0,J2171-H2172)</f>
        <v>0</v>
      </c>
    </row>
    <row r="2173" customFormat="false" ht="16.4" hidden="false" customHeight="false" outlineLevel="0" collapsed="false">
      <c r="A2173" s="13" t="str">
        <f aca="false">""</f>
        <v/>
      </c>
      <c r="B2173" s="13" t="n">
        <f aca="false">339</f>
        <v>339</v>
      </c>
      <c r="C2173" s="13" t="n">
        <f aca="false">IF(Szenarien!$H$16="OK",(IFERROR(SUMIF(Nutzungsprofile!$B$6:$B$11,"Schulbetrieb",Nutzungsprofile!$G$6:$G$11)*Kalender!C343/SUM(Kalender!$C$5:$C$370),0)+IFERROR(SUMIF(Nutzungsprofile!$B$6:$B$11,"Halle",Nutzungsprofile!$G$6:$G$11)*Kalender!D343/SUM(Kalender!$D$5:$D$370),0)+IFERROR(SUMIF(Nutzungsprofile!$B$6:$B$11,"Individuell",Nutzungsprofile!$G$6:$G$11)*Kalender!E343/SUM(Kalender!$E$5:$E$370),0))*Szenarien!$E$16,0)</f>
        <v>0</v>
      </c>
      <c r="D2173" s="13" t="n">
        <f aca="false">IF(Szenarien!$H$16="OK",(IFERROR(SUMIF(Nutzungsprofile!$B$17:$B$22,"Schulbetrieb",Nutzungsprofile!$G$17:$G$22)*Kalender!C343/SUM(Kalender!$C$5:$C$370),0)+IFERROR(SUMIF(Nutzungsprofile!$B$17:$B$22,"Halle",Nutzungsprofile!$G$17:$G$22)*Kalender!D343/SUM(Kalender!$D$5:$D$370),0)+IFERROR(SUMIF(Nutzungsprofile!$B$17:$B$22,"Individuell",Nutzungsprofile!$G$17:$G$22)*Kalender!E343/SUM(Kalender!$E$5:$E$370),0))*Szenarien!$D$16,0)</f>
        <v>0</v>
      </c>
      <c r="E2173" s="13" t="n">
        <f aca="false">IFERROR(MIN(C2173,Eingaben!$B$17)*Eingaben!$B$16,0)</f>
        <v>0</v>
      </c>
      <c r="F2173" s="13" t="n">
        <f aca="false">IFERROR(E2173*Eingaben!$B$15,0)</f>
        <v>0</v>
      </c>
      <c r="G2173" s="13" t="n">
        <f aca="false">IFERROR(IF(Kalender!A343="",0,J2172*(1-Eingaben!$B$20)),0)</f>
        <v>0</v>
      </c>
      <c r="H2173" s="13" t="n">
        <f aca="false">MIN(G2173,D2173)</f>
        <v>0</v>
      </c>
      <c r="I2173" s="13" t="n">
        <f aca="false">IFERROR(MIN(F2173*Eingaben!$B$19,MAX(0,D2173-H2173)),0)</f>
        <v>0</v>
      </c>
      <c r="J2173" s="13" t="n">
        <f aca="false">IFERROR(MIN(Eingaben!$B$18,MAX(0,F2173-I2173)),0)</f>
        <v>0</v>
      </c>
      <c r="K2173" s="13" t="n">
        <f aca="false">H2173+I2173</f>
        <v>0</v>
      </c>
      <c r="L2173" s="13" t="n">
        <f aca="false">MAX(0,D2173-K2173)</f>
        <v>0</v>
      </c>
      <c r="M2173" s="13" t="n">
        <f aca="false">MAX(0,F2173-I2173-J2173)</f>
        <v>0</v>
      </c>
      <c r="N2173" s="13" t="n">
        <f aca="false">IF(Kalender!A343="",0,J2172-H2173)</f>
        <v>0</v>
      </c>
    </row>
    <row r="2174" customFormat="false" ht="16.4" hidden="false" customHeight="false" outlineLevel="0" collapsed="false">
      <c r="A2174" s="13" t="str">
        <f aca="false">""</f>
        <v/>
      </c>
      <c r="B2174" s="13" t="n">
        <f aca="false">340</f>
        <v>340</v>
      </c>
      <c r="C2174" s="13" t="n">
        <f aca="false">IF(Szenarien!$H$16="OK",(IFERROR(SUMIF(Nutzungsprofile!$B$6:$B$11,"Schulbetrieb",Nutzungsprofile!$G$6:$G$11)*Kalender!C344/SUM(Kalender!$C$5:$C$370),0)+IFERROR(SUMIF(Nutzungsprofile!$B$6:$B$11,"Halle",Nutzungsprofile!$G$6:$G$11)*Kalender!D344/SUM(Kalender!$D$5:$D$370),0)+IFERROR(SUMIF(Nutzungsprofile!$B$6:$B$11,"Individuell",Nutzungsprofile!$G$6:$G$11)*Kalender!E344/SUM(Kalender!$E$5:$E$370),0))*Szenarien!$E$16,0)</f>
        <v>0</v>
      </c>
      <c r="D2174" s="13" t="n">
        <f aca="false">IF(Szenarien!$H$16="OK",(IFERROR(SUMIF(Nutzungsprofile!$B$17:$B$22,"Schulbetrieb",Nutzungsprofile!$G$17:$G$22)*Kalender!C344/SUM(Kalender!$C$5:$C$370),0)+IFERROR(SUMIF(Nutzungsprofile!$B$17:$B$22,"Halle",Nutzungsprofile!$G$17:$G$22)*Kalender!D344/SUM(Kalender!$D$5:$D$370),0)+IFERROR(SUMIF(Nutzungsprofile!$B$17:$B$22,"Individuell",Nutzungsprofile!$G$17:$G$22)*Kalender!E344/SUM(Kalender!$E$5:$E$370),0))*Szenarien!$D$16,0)</f>
        <v>0</v>
      </c>
      <c r="E2174" s="13" t="n">
        <f aca="false">IFERROR(MIN(C2174,Eingaben!$B$17)*Eingaben!$B$16,0)</f>
        <v>0</v>
      </c>
      <c r="F2174" s="13" t="n">
        <f aca="false">IFERROR(E2174*Eingaben!$B$15,0)</f>
        <v>0</v>
      </c>
      <c r="G2174" s="13" t="n">
        <f aca="false">IFERROR(IF(Kalender!A344="",0,J2173*(1-Eingaben!$B$20)),0)</f>
        <v>0</v>
      </c>
      <c r="H2174" s="13" t="n">
        <f aca="false">MIN(G2174,D2174)</f>
        <v>0</v>
      </c>
      <c r="I2174" s="13" t="n">
        <f aca="false">IFERROR(MIN(F2174*Eingaben!$B$19,MAX(0,D2174-H2174)),0)</f>
        <v>0</v>
      </c>
      <c r="J2174" s="13" t="n">
        <f aca="false">IFERROR(MIN(Eingaben!$B$18,MAX(0,F2174-I2174)),0)</f>
        <v>0</v>
      </c>
      <c r="K2174" s="13" t="n">
        <f aca="false">H2174+I2174</f>
        <v>0</v>
      </c>
      <c r="L2174" s="13" t="n">
        <f aca="false">MAX(0,D2174-K2174)</f>
        <v>0</v>
      </c>
      <c r="M2174" s="13" t="n">
        <f aca="false">MAX(0,F2174-I2174-J2174)</f>
        <v>0</v>
      </c>
      <c r="N2174" s="13" t="n">
        <f aca="false">IF(Kalender!A344="",0,J2173-H2174)</f>
        <v>0</v>
      </c>
    </row>
    <row r="2175" customFormat="false" ht="16.4" hidden="false" customHeight="false" outlineLevel="0" collapsed="false">
      <c r="A2175" s="13" t="str">
        <f aca="false">""</f>
        <v/>
      </c>
      <c r="B2175" s="13" t="n">
        <f aca="false">341</f>
        <v>341</v>
      </c>
      <c r="C2175" s="13" t="n">
        <f aca="false">IF(Szenarien!$H$16="OK",(IFERROR(SUMIF(Nutzungsprofile!$B$6:$B$11,"Schulbetrieb",Nutzungsprofile!$G$6:$G$11)*Kalender!C345/SUM(Kalender!$C$5:$C$370),0)+IFERROR(SUMIF(Nutzungsprofile!$B$6:$B$11,"Halle",Nutzungsprofile!$G$6:$G$11)*Kalender!D345/SUM(Kalender!$D$5:$D$370),0)+IFERROR(SUMIF(Nutzungsprofile!$B$6:$B$11,"Individuell",Nutzungsprofile!$G$6:$G$11)*Kalender!E345/SUM(Kalender!$E$5:$E$370),0))*Szenarien!$E$16,0)</f>
        <v>0</v>
      </c>
      <c r="D2175" s="13" t="n">
        <f aca="false">IF(Szenarien!$H$16="OK",(IFERROR(SUMIF(Nutzungsprofile!$B$17:$B$22,"Schulbetrieb",Nutzungsprofile!$G$17:$G$22)*Kalender!C345/SUM(Kalender!$C$5:$C$370),0)+IFERROR(SUMIF(Nutzungsprofile!$B$17:$B$22,"Halle",Nutzungsprofile!$G$17:$G$22)*Kalender!D345/SUM(Kalender!$D$5:$D$370),0)+IFERROR(SUMIF(Nutzungsprofile!$B$17:$B$22,"Individuell",Nutzungsprofile!$G$17:$G$22)*Kalender!E345/SUM(Kalender!$E$5:$E$370),0))*Szenarien!$D$16,0)</f>
        <v>0</v>
      </c>
      <c r="E2175" s="13" t="n">
        <f aca="false">IFERROR(MIN(C2175,Eingaben!$B$17)*Eingaben!$B$16,0)</f>
        <v>0</v>
      </c>
      <c r="F2175" s="13" t="n">
        <f aca="false">IFERROR(E2175*Eingaben!$B$15,0)</f>
        <v>0</v>
      </c>
      <c r="G2175" s="13" t="n">
        <f aca="false">IFERROR(IF(Kalender!A345="",0,J2174*(1-Eingaben!$B$20)),0)</f>
        <v>0</v>
      </c>
      <c r="H2175" s="13" t="n">
        <f aca="false">MIN(G2175,D2175)</f>
        <v>0</v>
      </c>
      <c r="I2175" s="13" t="n">
        <f aca="false">IFERROR(MIN(F2175*Eingaben!$B$19,MAX(0,D2175-H2175)),0)</f>
        <v>0</v>
      </c>
      <c r="J2175" s="13" t="n">
        <f aca="false">IFERROR(MIN(Eingaben!$B$18,MAX(0,F2175-I2175)),0)</f>
        <v>0</v>
      </c>
      <c r="K2175" s="13" t="n">
        <f aca="false">H2175+I2175</f>
        <v>0</v>
      </c>
      <c r="L2175" s="13" t="n">
        <f aca="false">MAX(0,D2175-K2175)</f>
        <v>0</v>
      </c>
      <c r="M2175" s="13" t="n">
        <f aca="false">MAX(0,F2175-I2175-J2175)</f>
        <v>0</v>
      </c>
      <c r="N2175" s="13" t="n">
        <f aca="false">IF(Kalender!A345="",0,J2174-H2175)</f>
        <v>0</v>
      </c>
    </row>
    <row r="2176" customFormat="false" ht="16.4" hidden="false" customHeight="false" outlineLevel="0" collapsed="false">
      <c r="A2176" s="13" t="str">
        <f aca="false">""</f>
        <v/>
      </c>
      <c r="B2176" s="13" t="n">
        <f aca="false">342</f>
        <v>342</v>
      </c>
      <c r="C2176" s="13" t="n">
        <f aca="false">IF(Szenarien!$H$16="OK",(IFERROR(SUMIF(Nutzungsprofile!$B$6:$B$11,"Schulbetrieb",Nutzungsprofile!$G$6:$G$11)*Kalender!C346/SUM(Kalender!$C$5:$C$370),0)+IFERROR(SUMIF(Nutzungsprofile!$B$6:$B$11,"Halle",Nutzungsprofile!$G$6:$G$11)*Kalender!D346/SUM(Kalender!$D$5:$D$370),0)+IFERROR(SUMIF(Nutzungsprofile!$B$6:$B$11,"Individuell",Nutzungsprofile!$G$6:$G$11)*Kalender!E346/SUM(Kalender!$E$5:$E$370),0))*Szenarien!$E$16,0)</f>
        <v>0</v>
      </c>
      <c r="D2176" s="13" t="n">
        <f aca="false">IF(Szenarien!$H$16="OK",(IFERROR(SUMIF(Nutzungsprofile!$B$17:$B$22,"Schulbetrieb",Nutzungsprofile!$G$17:$G$22)*Kalender!C346/SUM(Kalender!$C$5:$C$370),0)+IFERROR(SUMIF(Nutzungsprofile!$B$17:$B$22,"Halle",Nutzungsprofile!$G$17:$G$22)*Kalender!D346/SUM(Kalender!$D$5:$D$370),0)+IFERROR(SUMIF(Nutzungsprofile!$B$17:$B$22,"Individuell",Nutzungsprofile!$G$17:$G$22)*Kalender!E346/SUM(Kalender!$E$5:$E$370),0))*Szenarien!$D$16,0)</f>
        <v>0</v>
      </c>
      <c r="E2176" s="13" t="n">
        <f aca="false">IFERROR(MIN(C2176,Eingaben!$B$17)*Eingaben!$B$16,0)</f>
        <v>0</v>
      </c>
      <c r="F2176" s="13" t="n">
        <f aca="false">IFERROR(E2176*Eingaben!$B$15,0)</f>
        <v>0</v>
      </c>
      <c r="G2176" s="13" t="n">
        <f aca="false">IFERROR(IF(Kalender!A346="",0,J2175*(1-Eingaben!$B$20)),0)</f>
        <v>0</v>
      </c>
      <c r="H2176" s="13" t="n">
        <f aca="false">MIN(G2176,D2176)</f>
        <v>0</v>
      </c>
      <c r="I2176" s="13" t="n">
        <f aca="false">IFERROR(MIN(F2176*Eingaben!$B$19,MAX(0,D2176-H2176)),0)</f>
        <v>0</v>
      </c>
      <c r="J2176" s="13" t="n">
        <f aca="false">IFERROR(MIN(Eingaben!$B$18,MAX(0,F2176-I2176)),0)</f>
        <v>0</v>
      </c>
      <c r="K2176" s="13" t="n">
        <f aca="false">H2176+I2176</f>
        <v>0</v>
      </c>
      <c r="L2176" s="13" t="n">
        <f aca="false">MAX(0,D2176-K2176)</f>
        <v>0</v>
      </c>
      <c r="M2176" s="13" t="n">
        <f aca="false">MAX(0,F2176-I2176-J2176)</f>
        <v>0</v>
      </c>
      <c r="N2176" s="13" t="n">
        <f aca="false">IF(Kalender!A346="",0,J2175-H2176)</f>
        <v>0</v>
      </c>
    </row>
    <row r="2177" customFormat="false" ht="16.4" hidden="false" customHeight="false" outlineLevel="0" collapsed="false">
      <c r="A2177" s="13" t="str">
        <f aca="false">""</f>
        <v/>
      </c>
      <c r="B2177" s="13" t="n">
        <f aca="false">343</f>
        <v>343</v>
      </c>
      <c r="C2177" s="13" t="n">
        <f aca="false">IF(Szenarien!$H$16="OK",(IFERROR(SUMIF(Nutzungsprofile!$B$6:$B$11,"Schulbetrieb",Nutzungsprofile!$G$6:$G$11)*Kalender!C347/SUM(Kalender!$C$5:$C$370),0)+IFERROR(SUMIF(Nutzungsprofile!$B$6:$B$11,"Halle",Nutzungsprofile!$G$6:$G$11)*Kalender!D347/SUM(Kalender!$D$5:$D$370),0)+IFERROR(SUMIF(Nutzungsprofile!$B$6:$B$11,"Individuell",Nutzungsprofile!$G$6:$G$11)*Kalender!E347/SUM(Kalender!$E$5:$E$370),0))*Szenarien!$E$16,0)</f>
        <v>0</v>
      </c>
      <c r="D2177" s="13" t="n">
        <f aca="false">IF(Szenarien!$H$16="OK",(IFERROR(SUMIF(Nutzungsprofile!$B$17:$B$22,"Schulbetrieb",Nutzungsprofile!$G$17:$G$22)*Kalender!C347/SUM(Kalender!$C$5:$C$370),0)+IFERROR(SUMIF(Nutzungsprofile!$B$17:$B$22,"Halle",Nutzungsprofile!$G$17:$G$22)*Kalender!D347/SUM(Kalender!$D$5:$D$370),0)+IFERROR(SUMIF(Nutzungsprofile!$B$17:$B$22,"Individuell",Nutzungsprofile!$G$17:$G$22)*Kalender!E347/SUM(Kalender!$E$5:$E$370),0))*Szenarien!$D$16,0)</f>
        <v>0</v>
      </c>
      <c r="E2177" s="13" t="n">
        <f aca="false">IFERROR(MIN(C2177,Eingaben!$B$17)*Eingaben!$B$16,0)</f>
        <v>0</v>
      </c>
      <c r="F2177" s="13" t="n">
        <f aca="false">IFERROR(E2177*Eingaben!$B$15,0)</f>
        <v>0</v>
      </c>
      <c r="G2177" s="13" t="n">
        <f aca="false">IFERROR(IF(Kalender!A347="",0,J2176*(1-Eingaben!$B$20)),0)</f>
        <v>0</v>
      </c>
      <c r="H2177" s="13" t="n">
        <f aca="false">MIN(G2177,D2177)</f>
        <v>0</v>
      </c>
      <c r="I2177" s="13" t="n">
        <f aca="false">IFERROR(MIN(F2177*Eingaben!$B$19,MAX(0,D2177-H2177)),0)</f>
        <v>0</v>
      </c>
      <c r="J2177" s="13" t="n">
        <f aca="false">IFERROR(MIN(Eingaben!$B$18,MAX(0,F2177-I2177)),0)</f>
        <v>0</v>
      </c>
      <c r="K2177" s="13" t="n">
        <f aca="false">H2177+I2177</f>
        <v>0</v>
      </c>
      <c r="L2177" s="13" t="n">
        <f aca="false">MAX(0,D2177-K2177)</f>
        <v>0</v>
      </c>
      <c r="M2177" s="13" t="n">
        <f aca="false">MAX(0,F2177-I2177-J2177)</f>
        <v>0</v>
      </c>
      <c r="N2177" s="13" t="n">
        <f aca="false">IF(Kalender!A347="",0,J2176-H2177)</f>
        <v>0</v>
      </c>
    </row>
    <row r="2178" customFormat="false" ht="16.4" hidden="false" customHeight="false" outlineLevel="0" collapsed="false">
      <c r="A2178" s="13" t="str">
        <f aca="false">""</f>
        <v/>
      </c>
      <c r="B2178" s="13" t="n">
        <f aca="false">344</f>
        <v>344</v>
      </c>
      <c r="C2178" s="13" t="n">
        <f aca="false">IF(Szenarien!$H$16="OK",(IFERROR(SUMIF(Nutzungsprofile!$B$6:$B$11,"Schulbetrieb",Nutzungsprofile!$G$6:$G$11)*Kalender!C348/SUM(Kalender!$C$5:$C$370),0)+IFERROR(SUMIF(Nutzungsprofile!$B$6:$B$11,"Halle",Nutzungsprofile!$G$6:$G$11)*Kalender!D348/SUM(Kalender!$D$5:$D$370),0)+IFERROR(SUMIF(Nutzungsprofile!$B$6:$B$11,"Individuell",Nutzungsprofile!$G$6:$G$11)*Kalender!E348/SUM(Kalender!$E$5:$E$370),0))*Szenarien!$E$16,0)</f>
        <v>0</v>
      </c>
      <c r="D2178" s="13" t="n">
        <f aca="false">IF(Szenarien!$H$16="OK",(IFERROR(SUMIF(Nutzungsprofile!$B$17:$B$22,"Schulbetrieb",Nutzungsprofile!$G$17:$G$22)*Kalender!C348/SUM(Kalender!$C$5:$C$370),0)+IFERROR(SUMIF(Nutzungsprofile!$B$17:$B$22,"Halle",Nutzungsprofile!$G$17:$G$22)*Kalender!D348/SUM(Kalender!$D$5:$D$370),0)+IFERROR(SUMIF(Nutzungsprofile!$B$17:$B$22,"Individuell",Nutzungsprofile!$G$17:$G$22)*Kalender!E348/SUM(Kalender!$E$5:$E$370),0))*Szenarien!$D$16,0)</f>
        <v>0</v>
      </c>
      <c r="E2178" s="13" t="n">
        <f aca="false">IFERROR(MIN(C2178,Eingaben!$B$17)*Eingaben!$B$16,0)</f>
        <v>0</v>
      </c>
      <c r="F2178" s="13" t="n">
        <f aca="false">IFERROR(E2178*Eingaben!$B$15,0)</f>
        <v>0</v>
      </c>
      <c r="G2178" s="13" t="n">
        <f aca="false">IFERROR(IF(Kalender!A348="",0,J2177*(1-Eingaben!$B$20)),0)</f>
        <v>0</v>
      </c>
      <c r="H2178" s="13" t="n">
        <f aca="false">MIN(G2178,D2178)</f>
        <v>0</v>
      </c>
      <c r="I2178" s="13" t="n">
        <f aca="false">IFERROR(MIN(F2178*Eingaben!$B$19,MAX(0,D2178-H2178)),0)</f>
        <v>0</v>
      </c>
      <c r="J2178" s="13" t="n">
        <f aca="false">IFERROR(MIN(Eingaben!$B$18,MAX(0,F2178-I2178)),0)</f>
        <v>0</v>
      </c>
      <c r="K2178" s="13" t="n">
        <f aca="false">H2178+I2178</f>
        <v>0</v>
      </c>
      <c r="L2178" s="13" t="n">
        <f aca="false">MAX(0,D2178-K2178)</f>
        <v>0</v>
      </c>
      <c r="M2178" s="13" t="n">
        <f aca="false">MAX(0,F2178-I2178-J2178)</f>
        <v>0</v>
      </c>
      <c r="N2178" s="13" t="n">
        <f aca="false">IF(Kalender!A348="",0,J2177-H2178)</f>
        <v>0</v>
      </c>
    </row>
    <row r="2179" customFormat="false" ht="16.4" hidden="false" customHeight="false" outlineLevel="0" collapsed="false">
      <c r="A2179" s="13" t="str">
        <f aca="false">""</f>
        <v/>
      </c>
      <c r="B2179" s="13" t="n">
        <f aca="false">345</f>
        <v>345</v>
      </c>
      <c r="C2179" s="13" t="n">
        <f aca="false">IF(Szenarien!$H$16="OK",(IFERROR(SUMIF(Nutzungsprofile!$B$6:$B$11,"Schulbetrieb",Nutzungsprofile!$G$6:$G$11)*Kalender!C349/SUM(Kalender!$C$5:$C$370),0)+IFERROR(SUMIF(Nutzungsprofile!$B$6:$B$11,"Halle",Nutzungsprofile!$G$6:$G$11)*Kalender!D349/SUM(Kalender!$D$5:$D$370),0)+IFERROR(SUMIF(Nutzungsprofile!$B$6:$B$11,"Individuell",Nutzungsprofile!$G$6:$G$11)*Kalender!E349/SUM(Kalender!$E$5:$E$370),0))*Szenarien!$E$16,0)</f>
        <v>0</v>
      </c>
      <c r="D2179" s="13" t="n">
        <f aca="false">IF(Szenarien!$H$16="OK",(IFERROR(SUMIF(Nutzungsprofile!$B$17:$B$22,"Schulbetrieb",Nutzungsprofile!$G$17:$G$22)*Kalender!C349/SUM(Kalender!$C$5:$C$370),0)+IFERROR(SUMIF(Nutzungsprofile!$B$17:$B$22,"Halle",Nutzungsprofile!$G$17:$G$22)*Kalender!D349/SUM(Kalender!$D$5:$D$370),0)+IFERROR(SUMIF(Nutzungsprofile!$B$17:$B$22,"Individuell",Nutzungsprofile!$G$17:$G$22)*Kalender!E349/SUM(Kalender!$E$5:$E$370),0))*Szenarien!$D$16,0)</f>
        <v>0</v>
      </c>
      <c r="E2179" s="13" t="n">
        <f aca="false">IFERROR(MIN(C2179,Eingaben!$B$17)*Eingaben!$B$16,0)</f>
        <v>0</v>
      </c>
      <c r="F2179" s="13" t="n">
        <f aca="false">IFERROR(E2179*Eingaben!$B$15,0)</f>
        <v>0</v>
      </c>
      <c r="G2179" s="13" t="n">
        <f aca="false">IFERROR(IF(Kalender!A349="",0,J2178*(1-Eingaben!$B$20)),0)</f>
        <v>0</v>
      </c>
      <c r="H2179" s="13" t="n">
        <f aca="false">MIN(G2179,D2179)</f>
        <v>0</v>
      </c>
      <c r="I2179" s="13" t="n">
        <f aca="false">IFERROR(MIN(F2179*Eingaben!$B$19,MAX(0,D2179-H2179)),0)</f>
        <v>0</v>
      </c>
      <c r="J2179" s="13" t="n">
        <f aca="false">IFERROR(MIN(Eingaben!$B$18,MAX(0,F2179-I2179)),0)</f>
        <v>0</v>
      </c>
      <c r="K2179" s="13" t="n">
        <f aca="false">H2179+I2179</f>
        <v>0</v>
      </c>
      <c r="L2179" s="13" t="n">
        <f aca="false">MAX(0,D2179-K2179)</f>
        <v>0</v>
      </c>
      <c r="M2179" s="13" t="n">
        <f aca="false">MAX(0,F2179-I2179-J2179)</f>
        <v>0</v>
      </c>
      <c r="N2179" s="13" t="n">
        <f aca="false">IF(Kalender!A349="",0,J2178-H2179)</f>
        <v>0</v>
      </c>
    </row>
    <row r="2180" customFormat="false" ht="16.4" hidden="false" customHeight="false" outlineLevel="0" collapsed="false">
      <c r="A2180" s="13" t="str">
        <f aca="false">""</f>
        <v/>
      </c>
      <c r="B2180" s="13" t="n">
        <f aca="false">346</f>
        <v>346</v>
      </c>
      <c r="C2180" s="13" t="n">
        <f aca="false">IF(Szenarien!$H$16="OK",(IFERROR(SUMIF(Nutzungsprofile!$B$6:$B$11,"Schulbetrieb",Nutzungsprofile!$G$6:$G$11)*Kalender!C350/SUM(Kalender!$C$5:$C$370),0)+IFERROR(SUMIF(Nutzungsprofile!$B$6:$B$11,"Halle",Nutzungsprofile!$G$6:$G$11)*Kalender!D350/SUM(Kalender!$D$5:$D$370),0)+IFERROR(SUMIF(Nutzungsprofile!$B$6:$B$11,"Individuell",Nutzungsprofile!$G$6:$G$11)*Kalender!E350/SUM(Kalender!$E$5:$E$370),0))*Szenarien!$E$16,0)</f>
        <v>0</v>
      </c>
      <c r="D2180" s="13" t="n">
        <f aca="false">IF(Szenarien!$H$16="OK",(IFERROR(SUMIF(Nutzungsprofile!$B$17:$B$22,"Schulbetrieb",Nutzungsprofile!$G$17:$G$22)*Kalender!C350/SUM(Kalender!$C$5:$C$370),0)+IFERROR(SUMIF(Nutzungsprofile!$B$17:$B$22,"Halle",Nutzungsprofile!$G$17:$G$22)*Kalender!D350/SUM(Kalender!$D$5:$D$370),0)+IFERROR(SUMIF(Nutzungsprofile!$B$17:$B$22,"Individuell",Nutzungsprofile!$G$17:$G$22)*Kalender!E350/SUM(Kalender!$E$5:$E$370),0))*Szenarien!$D$16,0)</f>
        <v>0</v>
      </c>
      <c r="E2180" s="13" t="n">
        <f aca="false">IFERROR(MIN(C2180,Eingaben!$B$17)*Eingaben!$B$16,0)</f>
        <v>0</v>
      </c>
      <c r="F2180" s="13" t="n">
        <f aca="false">IFERROR(E2180*Eingaben!$B$15,0)</f>
        <v>0</v>
      </c>
      <c r="G2180" s="13" t="n">
        <f aca="false">IFERROR(IF(Kalender!A350="",0,J2179*(1-Eingaben!$B$20)),0)</f>
        <v>0</v>
      </c>
      <c r="H2180" s="13" t="n">
        <f aca="false">MIN(G2180,D2180)</f>
        <v>0</v>
      </c>
      <c r="I2180" s="13" t="n">
        <f aca="false">IFERROR(MIN(F2180*Eingaben!$B$19,MAX(0,D2180-H2180)),0)</f>
        <v>0</v>
      </c>
      <c r="J2180" s="13" t="n">
        <f aca="false">IFERROR(MIN(Eingaben!$B$18,MAX(0,F2180-I2180)),0)</f>
        <v>0</v>
      </c>
      <c r="K2180" s="13" t="n">
        <f aca="false">H2180+I2180</f>
        <v>0</v>
      </c>
      <c r="L2180" s="13" t="n">
        <f aca="false">MAX(0,D2180-K2180)</f>
        <v>0</v>
      </c>
      <c r="M2180" s="13" t="n">
        <f aca="false">MAX(0,F2180-I2180-J2180)</f>
        <v>0</v>
      </c>
      <c r="N2180" s="13" t="n">
        <f aca="false">IF(Kalender!A350="",0,J2179-H2180)</f>
        <v>0</v>
      </c>
    </row>
    <row r="2181" customFormat="false" ht="16.4" hidden="false" customHeight="false" outlineLevel="0" collapsed="false">
      <c r="A2181" s="13" t="str">
        <f aca="false">""</f>
        <v/>
      </c>
      <c r="B2181" s="13" t="n">
        <f aca="false">347</f>
        <v>347</v>
      </c>
      <c r="C2181" s="13" t="n">
        <f aca="false">IF(Szenarien!$H$16="OK",(IFERROR(SUMIF(Nutzungsprofile!$B$6:$B$11,"Schulbetrieb",Nutzungsprofile!$G$6:$G$11)*Kalender!C351/SUM(Kalender!$C$5:$C$370),0)+IFERROR(SUMIF(Nutzungsprofile!$B$6:$B$11,"Halle",Nutzungsprofile!$G$6:$G$11)*Kalender!D351/SUM(Kalender!$D$5:$D$370),0)+IFERROR(SUMIF(Nutzungsprofile!$B$6:$B$11,"Individuell",Nutzungsprofile!$G$6:$G$11)*Kalender!E351/SUM(Kalender!$E$5:$E$370),0))*Szenarien!$E$16,0)</f>
        <v>0</v>
      </c>
      <c r="D2181" s="13" t="n">
        <f aca="false">IF(Szenarien!$H$16="OK",(IFERROR(SUMIF(Nutzungsprofile!$B$17:$B$22,"Schulbetrieb",Nutzungsprofile!$G$17:$G$22)*Kalender!C351/SUM(Kalender!$C$5:$C$370),0)+IFERROR(SUMIF(Nutzungsprofile!$B$17:$B$22,"Halle",Nutzungsprofile!$G$17:$G$22)*Kalender!D351/SUM(Kalender!$D$5:$D$370),0)+IFERROR(SUMIF(Nutzungsprofile!$B$17:$B$22,"Individuell",Nutzungsprofile!$G$17:$G$22)*Kalender!E351/SUM(Kalender!$E$5:$E$370),0))*Szenarien!$D$16,0)</f>
        <v>0</v>
      </c>
      <c r="E2181" s="13" t="n">
        <f aca="false">IFERROR(MIN(C2181,Eingaben!$B$17)*Eingaben!$B$16,0)</f>
        <v>0</v>
      </c>
      <c r="F2181" s="13" t="n">
        <f aca="false">IFERROR(E2181*Eingaben!$B$15,0)</f>
        <v>0</v>
      </c>
      <c r="G2181" s="13" t="n">
        <f aca="false">IFERROR(IF(Kalender!A351="",0,J2180*(1-Eingaben!$B$20)),0)</f>
        <v>0</v>
      </c>
      <c r="H2181" s="13" t="n">
        <f aca="false">MIN(G2181,D2181)</f>
        <v>0</v>
      </c>
      <c r="I2181" s="13" t="n">
        <f aca="false">IFERROR(MIN(F2181*Eingaben!$B$19,MAX(0,D2181-H2181)),0)</f>
        <v>0</v>
      </c>
      <c r="J2181" s="13" t="n">
        <f aca="false">IFERROR(MIN(Eingaben!$B$18,MAX(0,F2181-I2181)),0)</f>
        <v>0</v>
      </c>
      <c r="K2181" s="13" t="n">
        <f aca="false">H2181+I2181</f>
        <v>0</v>
      </c>
      <c r="L2181" s="13" t="n">
        <f aca="false">MAX(0,D2181-K2181)</f>
        <v>0</v>
      </c>
      <c r="M2181" s="13" t="n">
        <f aca="false">MAX(0,F2181-I2181-J2181)</f>
        <v>0</v>
      </c>
      <c r="N2181" s="13" t="n">
        <f aca="false">IF(Kalender!A351="",0,J2180-H2181)</f>
        <v>0</v>
      </c>
    </row>
    <row r="2182" customFormat="false" ht="16.4" hidden="false" customHeight="false" outlineLevel="0" collapsed="false">
      <c r="A2182" s="13" t="str">
        <f aca="false">""</f>
        <v/>
      </c>
      <c r="B2182" s="13" t="n">
        <f aca="false">348</f>
        <v>348</v>
      </c>
      <c r="C2182" s="13" t="n">
        <f aca="false">IF(Szenarien!$H$16="OK",(IFERROR(SUMIF(Nutzungsprofile!$B$6:$B$11,"Schulbetrieb",Nutzungsprofile!$G$6:$G$11)*Kalender!C352/SUM(Kalender!$C$5:$C$370),0)+IFERROR(SUMIF(Nutzungsprofile!$B$6:$B$11,"Halle",Nutzungsprofile!$G$6:$G$11)*Kalender!D352/SUM(Kalender!$D$5:$D$370),0)+IFERROR(SUMIF(Nutzungsprofile!$B$6:$B$11,"Individuell",Nutzungsprofile!$G$6:$G$11)*Kalender!E352/SUM(Kalender!$E$5:$E$370),0))*Szenarien!$E$16,0)</f>
        <v>0</v>
      </c>
      <c r="D2182" s="13" t="n">
        <f aca="false">IF(Szenarien!$H$16="OK",(IFERROR(SUMIF(Nutzungsprofile!$B$17:$B$22,"Schulbetrieb",Nutzungsprofile!$G$17:$G$22)*Kalender!C352/SUM(Kalender!$C$5:$C$370),0)+IFERROR(SUMIF(Nutzungsprofile!$B$17:$B$22,"Halle",Nutzungsprofile!$G$17:$G$22)*Kalender!D352/SUM(Kalender!$D$5:$D$370),0)+IFERROR(SUMIF(Nutzungsprofile!$B$17:$B$22,"Individuell",Nutzungsprofile!$G$17:$G$22)*Kalender!E352/SUM(Kalender!$E$5:$E$370),0))*Szenarien!$D$16,0)</f>
        <v>0</v>
      </c>
      <c r="E2182" s="13" t="n">
        <f aca="false">IFERROR(MIN(C2182,Eingaben!$B$17)*Eingaben!$B$16,0)</f>
        <v>0</v>
      </c>
      <c r="F2182" s="13" t="n">
        <f aca="false">IFERROR(E2182*Eingaben!$B$15,0)</f>
        <v>0</v>
      </c>
      <c r="G2182" s="13" t="n">
        <f aca="false">IFERROR(IF(Kalender!A352="",0,J2181*(1-Eingaben!$B$20)),0)</f>
        <v>0</v>
      </c>
      <c r="H2182" s="13" t="n">
        <f aca="false">MIN(G2182,D2182)</f>
        <v>0</v>
      </c>
      <c r="I2182" s="13" t="n">
        <f aca="false">IFERROR(MIN(F2182*Eingaben!$B$19,MAX(0,D2182-H2182)),0)</f>
        <v>0</v>
      </c>
      <c r="J2182" s="13" t="n">
        <f aca="false">IFERROR(MIN(Eingaben!$B$18,MAX(0,F2182-I2182)),0)</f>
        <v>0</v>
      </c>
      <c r="K2182" s="13" t="n">
        <f aca="false">H2182+I2182</f>
        <v>0</v>
      </c>
      <c r="L2182" s="13" t="n">
        <f aca="false">MAX(0,D2182-K2182)</f>
        <v>0</v>
      </c>
      <c r="M2182" s="13" t="n">
        <f aca="false">MAX(0,F2182-I2182-J2182)</f>
        <v>0</v>
      </c>
      <c r="N2182" s="13" t="n">
        <f aca="false">IF(Kalender!A352="",0,J2181-H2182)</f>
        <v>0</v>
      </c>
    </row>
    <row r="2183" customFormat="false" ht="16.4" hidden="false" customHeight="false" outlineLevel="0" collapsed="false">
      <c r="A2183" s="13" t="str">
        <f aca="false">""</f>
        <v/>
      </c>
      <c r="B2183" s="13" t="n">
        <f aca="false">349</f>
        <v>349</v>
      </c>
      <c r="C2183" s="13" t="n">
        <f aca="false">IF(Szenarien!$H$16="OK",(IFERROR(SUMIF(Nutzungsprofile!$B$6:$B$11,"Schulbetrieb",Nutzungsprofile!$G$6:$G$11)*Kalender!C353/SUM(Kalender!$C$5:$C$370),0)+IFERROR(SUMIF(Nutzungsprofile!$B$6:$B$11,"Halle",Nutzungsprofile!$G$6:$G$11)*Kalender!D353/SUM(Kalender!$D$5:$D$370),0)+IFERROR(SUMIF(Nutzungsprofile!$B$6:$B$11,"Individuell",Nutzungsprofile!$G$6:$G$11)*Kalender!E353/SUM(Kalender!$E$5:$E$370),0))*Szenarien!$E$16,0)</f>
        <v>0</v>
      </c>
      <c r="D2183" s="13" t="n">
        <f aca="false">IF(Szenarien!$H$16="OK",(IFERROR(SUMIF(Nutzungsprofile!$B$17:$B$22,"Schulbetrieb",Nutzungsprofile!$G$17:$G$22)*Kalender!C353/SUM(Kalender!$C$5:$C$370),0)+IFERROR(SUMIF(Nutzungsprofile!$B$17:$B$22,"Halle",Nutzungsprofile!$G$17:$G$22)*Kalender!D353/SUM(Kalender!$D$5:$D$370),0)+IFERROR(SUMIF(Nutzungsprofile!$B$17:$B$22,"Individuell",Nutzungsprofile!$G$17:$G$22)*Kalender!E353/SUM(Kalender!$E$5:$E$370),0))*Szenarien!$D$16,0)</f>
        <v>0</v>
      </c>
      <c r="E2183" s="13" t="n">
        <f aca="false">IFERROR(MIN(C2183,Eingaben!$B$17)*Eingaben!$B$16,0)</f>
        <v>0</v>
      </c>
      <c r="F2183" s="13" t="n">
        <f aca="false">IFERROR(E2183*Eingaben!$B$15,0)</f>
        <v>0</v>
      </c>
      <c r="G2183" s="13" t="n">
        <f aca="false">IFERROR(IF(Kalender!A353="",0,J2182*(1-Eingaben!$B$20)),0)</f>
        <v>0</v>
      </c>
      <c r="H2183" s="13" t="n">
        <f aca="false">MIN(G2183,D2183)</f>
        <v>0</v>
      </c>
      <c r="I2183" s="13" t="n">
        <f aca="false">IFERROR(MIN(F2183*Eingaben!$B$19,MAX(0,D2183-H2183)),0)</f>
        <v>0</v>
      </c>
      <c r="J2183" s="13" t="n">
        <f aca="false">IFERROR(MIN(Eingaben!$B$18,MAX(0,F2183-I2183)),0)</f>
        <v>0</v>
      </c>
      <c r="K2183" s="13" t="n">
        <f aca="false">H2183+I2183</f>
        <v>0</v>
      </c>
      <c r="L2183" s="13" t="n">
        <f aca="false">MAX(0,D2183-K2183)</f>
        <v>0</v>
      </c>
      <c r="M2183" s="13" t="n">
        <f aca="false">MAX(0,F2183-I2183-J2183)</f>
        <v>0</v>
      </c>
      <c r="N2183" s="13" t="n">
        <f aca="false">IF(Kalender!A353="",0,J2182-H2183)</f>
        <v>0</v>
      </c>
    </row>
    <row r="2184" customFormat="false" ht="16.4" hidden="false" customHeight="false" outlineLevel="0" collapsed="false">
      <c r="A2184" s="13" t="str">
        <f aca="false">""</f>
        <v/>
      </c>
      <c r="B2184" s="13" t="n">
        <f aca="false">350</f>
        <v>350</v>
      </c>
      <c r="C2184" s="13" t="n">
        <f aca="false">IF(Szenarien!$H$16="OK",(IFERROR(SUMIF(Nutzungsprofile!$B$6:$B$11,"Schulbetrieb",Nutzungsprofile!$G$6:$G$11)*Kalender!C354/SUM(Kalender!$C$5:$C$370),0)+IFERROR(SUMIF(Nutzungsprofile!$B$6:$B$11,"Halle",Nutzungsprofile!$G$6:$G$11)*Kalender!D354/SUM(Kalender!$D$5:$D$370),0)+IFERROR(SUMIF(Nutzungsprofile!$B$6:$B$11,"Individuell",Nutzungsprofile!$G$6:$G$11)*Kalender!E354/SUM(Kalender!$E$5:$E$370),0))*Szenarien!$E$16,0)</f>
        <v>0</v>
      </c>
      <c r="D2184" s="13" t="n">
        <f aca="false">IF(Szenarien!$H$16="OK",(IFERROR(SUMIF(Nutzungsprofile!$B$17:$B$22,"Schulbetrieb",Nutzungsprofile!$G$17:$G$22)*Kalender!C354/SUM(Kalender!$C$5:$C$370),0)+IFERROR(SUMIF(Nutzungsprofile!$B$17:$B$22,"Halle",Nutzungsprofile!$G$17:$G$22)*Kalender!D354/SUM(Kalender!$D$5:$D$370),0)+IFERROR(SUMIF(Nutzungsprofile!$B$17:$B$22,"Individuell",Nutzungsprofile!$G$17:$G$22)*Kalender!E354/SUM(Kalender!$E$5:$E$370),0))*Szenarien!$D$16,0)</f>
        <v>0</v>
      </c>
      <c r="E2184" s="13" t="n">
        <f aca="false">IFERROR(MIN(C2184,Eingaben!$B$17)*Eingaben!$B$16,0)</f>
        <v>0</v>
      </c>
      <c r="F2184" s="13" t="n">
        <f aca="false">IFERROR(E2184*Eingaben!$B$15,0)</f>
        <v>0</v>
      </c>
      <c r="G2184" s="13" t="n">
        <f aca="false">IFERROR(IF(Kalender!A354="",0,J2183*(1-Eingaben!$B$20)),0)</f>
        <v>0</v>
      </c>
      <c r="H2184" s="13" t="n">
        <f aca="false">MIN(G2184,D2184)</f>
        <v>0</v>
      </c>
      <c r="I2184" s="13" t="n">
        <f aca="false">IFERROR(MIN(F2184*Eingaben!$B$19,MAX(0,D2184-H2184)),0)</f>
        <v>0</v>
      </c>
      <c r="J2184" s="13" t="n">
        <f aca="false">IFERROR(MIN(Eingaben!$B$18,MAX(0,F2184-I2184)),0)</f>
        <v>0</v>
      </c>
      <c r="K2184" s="13" t="n">
        <f aca="false">H2184+I2184</f>
        <v>0</v>
      </c>
      <c r="L2184" s="13" t="n">
        <f aca="false">MAX(0,D2184-K2184)</f>
        <v>0</v>
      </c>
      <c r="M2184" s="13" t="n">
        <f aca="false">MAX(0,F2184-I2184-J2184)</f>
        <v>0</v>
      </c>
      <c r="N2184" s="13" t="n">
        <f aca="false">IF(Kalender!A354="",0,J2183-H2184)</f>
        <v>0</v>
      </c>
    </row>
    <row r="2185" customFormat="false" ht="16.4" hidden="false" customHeight="false" outlineLevel="0" collapsed="false">
      <c r="A2185" s="13" t="str">
        <f aca="false">""</f>
        <v/>
      </c>
      <c r="B2185" s="13" t="n">
        <f aca="false">351</f>
        <v>351</v>
      </c>
      <c r="C2185" s="13" t="n">
        <f aca="false">IF(Szenarien!$H$16="OK",(IFERROR(SUMIF(Nutzungsprofile!$B$6:$B$11,"Schulbetrieb",Nutzungsprofile!$G$6:$G$11)*Kalender!C355/SUM(Kalender!$C$5:$C$370),0)+IFERROR(SUMIF(Nutzungsprofile!$B$6:$B$11,"Halle",Nutzungsprofile!$G$6:$G$11)*Kalender!D355/SUM(Kalender!$D$5:$D$370),0)+IFERROR(SUMIF(Nutzungsprofile!$B$6:$B$11,"Individuell",Nutzungsprofile!$G$6:$G$11)*Kalender!E355/SUM(Kalender!$E$5:$E$370),0))*Szenarien!$E$16,0)</f>
        <v>0</v>
      </c>
      <c r="D2185" s="13" t="n">
        <f aca="false">IF(Szenarien!$H$16="OK",(IFERROR(SUMIF(Nutzungsprofile!$B$17:$B$22,"Schulbetrieb",Nutzungsprofile!$G$17:$G$22)*Kalender!C355/SUM(Kalender!$C$5:$C$370),0)+IFERROR(SUMIF(Nutzungsprofile!$B$17:$B$22,"Halle",Nutzungsprofile!$G$17:$G$22)*Kalender!D355/SUM(Kalender!$D$5:$D$370),0)+IFERROR(SUMIF(Nutzungsprofile!$B$17:$B$22,"Individuell",Nutzungsprofile!$G$17:$G$22)*Kalender!E355/SUM(Kalender!$E$5:$E$370),0))*Szenarien!$D$16,0)</f>
        <v>0</v>
      </c>
      <c r="E2185" s="13" t="n">
        <f aca="false">IFERROR(MIN(C2185,Eingaben!$B$17)*Eingaben!$B$16,0)</f>
        <v>0</v>
      </c>
      <c r="F2185" s="13" t="n">
        <f aca="false">IFERROR(E2185*Eingaben!$B$15,0)</f>
        <v>0</v>
      </c>
      <c r="G2185" s="13" t="n">
        <f aca="false">IFERROR(IF(Kalender!A355="",0,J2184*(1-Eingaben!$B$20)),0)</f>
        <v>0</v>
      </c>
      <c r="H2185" s="13" t="n">
        <f aca="false">MIN(G2185,D2185)</f>
        <v>0</v>
      </c>
      <c r="I2185" s="13" t="n">
        <f aca="false">IFERROR(MIN(F2185*Eingaben!$B$19,MAX(0,D2185-H2185)),0)</f>
        <v>0</v>
      </c>
      <c r="J2185" s="13" t="n">
        <f aca="false">IFERROR(MIN(Eingaben!$B$18,MAX(0,F2185-I2185)),0)</f>
        <v>0</v>
      </c>
      <c r="K2185" s="13" t="n">
        <f aca="false">H2185+I2185</f>
        <v>0</v>
      </c>
      <c r="L2185" s="13" t="n">
        <f aca="false">MAX(0,D2185-K2185)</f>
        <v>0</v>
      </c>
      <c r="M2185" s="13" t="n">
        <f aca="false">MAX(0,F2185-I2185-J2185)</f>
        <v>0</v>
      </c>
      <c r="N2185" s="13" t="n">
        <f aca="false">IF(Kalender!A355="",0,J2184-H2185)</f>
        <v>0</v>
      </c>
    </row>
    <row r="2186" customFormat="false" ht="16.4" hidden="false" customHeight="false" outlineLevel="0" collapsed="false">
      <c r="A2186" s="13" t="str">
        <f aca="false">""</f>
        <v/>
      </c>
      <c r="B2186" s="13" t="n">
        <f aca="false">352</f>
        <v>352</v>
      </c>
      <c r="C2186" s="13" t="n">
        <f aca="false">IF(Szenarien!$H$16="OK",(IFERROR(SUMIF(Nutzungsprofile!$B$6:$B$11,"Schulbetrieb",Nutzungsprofile!$G$6:$G$11)*Kalender!C356/SUM(Kalender!$C$5:$C$370),0)+IFERROR(SUMIF(Nutzungsprofile!$B$6:$B$11,"Halle",Nutzungsprofile!$G$6:$G$11)*Kalender!D356/SUM(Kalender!$D$5:$D$370),0)+IFERROR(SUMIF(Nutzungsprofile!$B$6:$B$11,"Individuell",Nutzungsprofile!$G$6:$G$11)*Kalender!E356/SUM(Kalender!$E$5:$E$370),0))*Szenarien!$E$16,0)</f>
        <v>0</v>
      </c>
      <c r="D2186" s="13" t="n">
        <f aca="false">IF(Szenarien!$H$16="OK",(IFERROR(SUMIF(Nutzungsprofile!$B$17:$B$22,"Schulbetrieb",Nutzungsprofile!$G$17:$G$22)*Kalender!C356/SUM(Kalender!$C$5:$C$370),0)+IFERROR(SUMIF(Nutzungsprofile!$B$17:$B$22,"Halle",Nutzungsprofile!$G$17:$G$22)*Kalender!D356/SUM(Kalender!$D$5:$D$370),0)+IFERROR(SUMIF(Nutzungsprofile!$B$17:$B$22,"Individuell",Nutzungsprofile!$G$17:$G$22)*Kalender!E356/SUM(Kalender!$E$5:$E$370),0))*Szenarien!$D$16,0)</f>
        <v>0</v>
      </c>
      <c r="E2186" s="13" t="n">
        <f aca="false">IFERROR(MIN(C2186,Eingaben!$B$17)*Eingaben!$B$16,0)</f>
        <v>0</v>
      </c>
      <c r="F2186" s="13" t="n">
        <f aca="false">IFERROR(E2186*Eingaben!$B$15,0)</f>
        <v>0</v>
      </c>
      <c r="G2186" s="13" t="n">
        <f aca="false">IFERROR(IF(Kalender!A356="",0,J2185*(1-Eingaben!$B$20)),0)</f>
        <v>0</v>
      </c>
      <c r="H2186" s="13" t="n">
        <f aca="false">MIN(G2186,D2186)</f>
        <v>0</v>
      </c>
      <c r="I2186" s="13" t="n">
        <f aca="false">IFERROR(MIN(F2186*Eingaben!$B$19,MAX(0,D2186-H2186)),0)</f>
        <v>0</v>
      </c>
      <c r="J2186" s="13" t="n">
        <f aca="false">IFERROR(MIN(Eingaben!$B$18,MAX(0,F2186-I2186)),0)</f>
        <v>0</v>
      </c>
      <c r="K2186" s="13" t="n">
        <f aca="false">H2186+I2186</f>
        <v>0</v>
      </c>
      <c r="L2186" s="13" t="n">
        <f aca="false">MAX(0,D2186-K2186)</f>
        <v>0</v>
      </c>
      <c r="M2186" s="13" t="n">
        <f aca="false">MAX(0,F2186-I2186-J2186)</f>
        <v>0</v>
      </c>
      <c r="N2186" s="13" t="n">
        <f aca="false">IF(Kalender!A356="",0,J2185-H2186)</f>
        <v>0</v>
      </c>
    </row>
    <row r="2187" customFormat="false" ht="16.4" hidden="false" customHeight="false" outlineLevel="0" collapsed="false">
      <c r="A2187" s="13" t="str">
        <f aca="false">""</f>
        <v/>
      </c>
      <c r="B2187" s="13" t="n">
        <f aca="false">353</f>
        <v>353</v>
      </c>
      <c r="C2187" s="13" t="n">
        <f aca="false">IF(Szenarien!$H$16="OK",(IFERROR(SUMIF(Nutzungsprofile!$B$6:$B$11,"Schulbetrieb",Nutzungsprofile!$G$6:$G$11)*Kalender!C357/SUM(Kalender!$C$5:$C$370),0)+IFERROR(SUMIF(Nutzungsprofile!$B$6:$B$11,"Halle",Nutzungsprofile!$G$6:$G$11)*Kalender!D357/SUM(Kalender!$D$5:$D$370),0)+IFERROR(SUMIF(Nutzungsprofile!$B$6:$B$11,"Individuell",Nutzungsprofile!$G$6:$G$11)*Kalender!E357/SUM(Kalender!$E$5:$E$370),0))*Szenarien!$E$16,0)</f>
        <v>0</v>
      </c>
      <c r="D2187" s="13" t="n">
        <f aca="false">IF(Szenarien!$H$16="OK",(IFERROR(SUMIF(Nutzungsprofile!$B$17:$B$22,"Schulbetrieb",Nutzungsprofile!$G$17:$G$22)*Kalender!C357/SUM(Kalender!$C$5:$C$370),0)+IFERROR(SUMIF(Nutzungsprofile!$B$17:$B$22,"Halle",Nutzungsprofile!$G$17:$G$22)*Kalender!D357/SUM(Kalender!$D$5:$D$370),0)+IFERROR(SUMIF(Nutzungsprofile!$B$17:$B$22,"Individuell",Nutzungsprofile!$G$17:$G$22)*Kalender!E357/SUM(Kalender!$E$5:$E$370),0))*Szenarien!$D$16,0)</f>
        <v>0</v>
      </c>
      <c r="E2187" s="13" t="n">
        <f aca="false">IFERROR(MIN(C2187,Eingaben!$B$17)*Eingaben!$B$16,0)</f>
        <v>0</v>
      </c>
      <c r="F2187" s="13" t="n">
        <f aca="false">IFERROR(E2187*Eingaben!$B$15,0)</f>
        <v>0</v>
      </c>
      <c r="G2187" s="13" t="n">
        <f aca="false">IFERROR(IF(Kalender!A357="",0,J2186*(1-Eingaben!$B$20)),0)</f>
        <v>0</v>
      </c>
      <c r="H2187" s="13" t="n">
        <f aca="false">MIN(G2187,D2187)</f>
        <v>0</v>
      </c>
      <c r="I2187" s="13" t="n">
        <f aca="false">IFERROR(MIN(F2187*Eingaben!$B$19,MAX(0,D2187-H2187)),0)</f>
        <v>0</v>
      </c>
      <c r="J2187" s="13" t="n">
        <f aca="false">IFERROR(MIN(Eingaben!$B$18,MAX(0,F2187-I2187)),0)</f>
        <v>0</v>
      </c>
      <c r="K2187" s="13" t="n">
        <f aca="false">H2187+I2187</f>
        <v>0</v>
      </c>
      <c r="L2187" s="13" t="n">
        <f aca="false">MAX(0,D2187-K2187)</f>
        <v>0</v>
      </c>
      <c r="M2187" s="13" t="n">
        <f aca="false">MAX(0,F2187-I2187-J2187)</f>
        <v>0</v>
      </c>
      <c r="N2187" s="13" t="n">
        <f aca="false">IF(Kalender!A357="",0,J2186-H2187)</f>
        <v>0</v>
      </c>
    </row>
    <row r="2188" customFormat="false" ht="16.4" hidden="false" customHeight="false" outlineLevel="0" collapsed="false">
      <c r="A2188" s="13" t="str">
        <f aca="false">""</f>
        <v/>
      </c>
      <c r="B2188" s="13" t="n">
        <f aca="false">354</f>
        <v>354</v>
      </c>
      <c r="C2188" s="13" t="n">
        <f aca="false">IF(Szenarien!$H$16="OK",(IFERROR(SUMIF(Nutzungsprofile!$B$6:$B$11,"Schulbetrieb",Nutzungsprofile!$G$6:$G$11)*Kalender!C358/SUM(Kalender!$C$5:$C$370),0)+IFERROR(SUMIF(Nutzungsprofile!$B$6:$B$11,"Halle",Nutzungsprofile!$G$6:$G$11)*Kalender!D358/SUM(Kalender!$D$5:$D$370),0)+IFERROR(SUMIF(Nutzungsprofile!$B$6:$B$11,"Individuell",Nutzungsprofile!$G$6:$G$11)*Kalender!E358/SUM(Kalender!$E$5:$E$370),0))*Szenarien!$E$16,0)</f>
        <v>0</v>
      </c>
      <c r="D2188" s="13" t="n">
        <f aca="false">IF(Szenarien!$H$16="OK",(IFERROR(SUMIF(Nutzungsprofile!$B$17:$B$22,"Schulbetrieb",Nutzungsprofile!$G$17:$G$22)*Kalender!C358/SUM(Kalender!$C$5:$C$370),0)+IFERROR(SUMIF(Nutzungsprofile!$B$17:$B$22,"Halle",Nutzungsprofile!$G$17:$G$22)*Kalender!D358/SUM(Kalender!$D$5:$D$370),0)+IFERROR(SUMIF(Nutzungsprofile!$B$17:$B$22,"Individuell",Nutzungsprofile!$G$17:$G$22)*Kalender!E358/SUM(Kalender!$E$5:$E$370),0))*Szenarien!$D$16,0)</f>
        <v>0</v>
      </c>
      <c r="E2188" s="13" t="n">
        <f aca="false">IFERROR(MIN(C2188,Eingaben!$B$17)*Eingaben!$B$16,0)</f>
        <v>0</v>
      </c>
      <c r="F2188" s="13" t="n">
        <f aca="false">IFERROR(E2188*Eingaben!$B$15,0)</f>
        <v>0</v>
      </c>
      <c r="G2188" s="13" t="n">
        <f aca="false">IFERROR(IF(Kalender!A358="",0,J2187*(1-Eingaben!$B$20)),0)</f>
        <v>0</v>
      </c>
      <c r="H2188" s="13" t="n">
        <f aca="false">MIN(G2188,D2188)</f>
        <v>0</v>
      </c>
      <c r="I2188" s="13" t="n">
        <f aca="false">IFERROR(MIN(F2188*Eingaben!$B$19,MAX(0,D2188-H2188)),0)</f>
        <v>0</v>
      </c>
      <c r="J2188" s="13" t="n">
        <f aca="false">IFERROR(MIN(Eingaben!$B$18,MAX(0,F2188-I2188)),0)</f>
        <v>0</v>
      </c>
      <c r="K2188" s="13" t="n">
        <f aca="false">H2188+I2188</f>
        <v>0</v>
      </c>
      <c r="L2188" s="13" t="n">
        <f aca="false">MAX(0,D2188-K2188)</f>
        <v>0</v>
      </c>
      <c r="M2188" s="13" t="n">
        <f aca="false">MAX(0,F2188-I2188-J2188)</f>
        <v>0</v>
      </c>
      <c r="N2188" s="13" t="n">
        <f aca="false">IF(Kalender!A358="",0,J2187-H2188)</f>
        <v>0</v>
      </c>
    </row>
    <row r="2189" customFormat="false" ht="16.4" hidden="false" customHeight="false" outlineLevel="0" collapsed="false">
      <c r="A2189" s="13" t="str">
        <f aca="false">""</f>
        <v/>
      </c>
      <c r="B2189" s="13" t="n">
        <f aca="false">355</f>
        <v>355</v>
      </c>
      <c r="C2189" s="13" t="n">
        <f aca="false">IF(Szenarien!$H$16="OK",(IFERROR(SUMIF(Nutzungsprofile!$B$6:$B$11,"Schulbetrieb",Nutzungsprofile!$G$6:$G$11)*Kalender!C359/SUM(Kalender!$C$5:$C$370),0)+IFERROR(SUMIF(Nutzungsprofile!$B$6:$B$11,"Halle",Nutzungsprofile!$G$6:$G$11)*Kalender!D359/SUM(Kalender!$D$5:$D$370),0)+IFERROR(SUMIF(Nutzungsprofile!$B$6:$B$11,"Individuell",Nutzungsprofile!$G$6:$G$11)*Kalender!E359/SUM(Kalender!$E$5:$E$370),0))*Szenarien!$E$16,0)</f>
        <v>0</v>
      </c>
      <c r="D2189" s="13" t="n">
        <f aca="false">IF(Szenarien!$H$16="OK",(IFERROR(SUMIF(Nutzungsprofile!$B$17:$B$22,"Schulbetrieb",Nutzungsprofile!$G$17:$G$22)*Kalender!C359/SUM(Kalender!$C$5:$C$370),0)+IFERROR(SUMIF(Nutzungsprofile!$B$17:$B$22,"Halle",Nutzungsprofile!$G$17:$G$22)*Kalender!D359/SUM(Kalender!$D$5:$D$370),0)+IFERROR(SUMIF(Nutzungsprofile!$B$17:$B$22,"Individuell",Nutzungsprofile!$G$17:$G$22)*Kalender!E359/SUM(Kalender!$E$5:$E$370),0))*Szenarien!$D$16,0)</f>
        <v>0</v>
      </c>
      <c r="E2189" s="13" t="n">
        <f aca="false">IFERROR(MIN(C2189,Eingaben!$B$17)*Eingaben!$B$16,0)</f>
        <v>0</v>
      </c>
      <c r="F2189" s="13" t="n">
        <f aca="false">IFERROR(E2189*Eingaben!$B$15,0)</f>
        <v>0</v>
      </c>
      <c r="G2189" s="13" t="n">
        <f aca="false">IFERROR(IF(Kalender!A359="",0,J2188*(1-Eingaben!$B$20)),0)</f>
        <v>0</v>
      </c>
      <c r="H2189" s="13" t="n">
        <f aca="false">MIN(G2189,D2189)</f>
        <v>0</v>
      </c>
      <c r="I2189" s="13" t="n">
        <f aca="false">IFERROR(MIN(F2189*Eingaben!$B$19,MAX(0,D2189-H2189)),0)</f>
        <v>0</v>
      </c>
      <c r="J2189" s="13" t="n">
        <f aca="false">IFERROR(MIN(Eingaben!$B$18,MAX(0,F2189-I2189)),0)</f>
        <v>0</v>
      </c>
      <c r="K2189" s="13" t="n">
        <f aca="false">H2189+I2189</f>
        <v>0</v>
      </c>
      <c r="L2189" s="13" t="n">
        <f aca="false">MAX(0,D2189-K2189)</f>
        <v>0</v>
      </c>
      <c r="M2189" s="13" t="n">
        <f aca="false">MAX(0,F2189-I2189-J2189)</f>
        <v>0</v>
      </c>
      <c r="N2189" s="13" t="n">
        <f aca="false">IF(Kalender!A359="",0,J2188-H2189)</f>
        <v>0</v>
      </c>
    </row>
    <row r="2190" customFormat="false" ht="16.4" hidden="false" customHeight="false" outlineLevel="0" collapsed="false">
      <c r="A2190" s="13" t="str">
        <f aca="false">""</f>
        <v/>
      </c>
      <c r="B2190" s="13" t="n">
        <f aca="false">356</f>
        <v>356</v>
      </c>
      <c r="C2190" s="13" t="n">
        <f aca="false">IF(Szenarien!$H$16="OK",(IFERROR(SUMIF(Nutzungsprofile!$B$6:$B$11,"Schulbetrieb",Nutzungsprofile!$G$6:$G$11)*Kalender!C360/SUM(Kalender!$C$5:$C$370),0)+IFERROR(SUMIF(Nutzungsprofile!$B$6:$B$11,"Halle",Nutzungsprofile!$G$6:$G$11)*Kalender!D360/SUM(Kalender!$D$5:$D$370),0)+IFERROR(SUMIF(Nutzungsprofile!$B$6:$B$11,"Individuell",Nutzungsprofile!$G$6:$G$11)*Kalender!E360/SUM(Kalender!$E$5:$E$370),0))*Szenarien!$E$16,0)</f>
        <v>0</v>
      </c>
      <c r="D2190" s="13" t="n">
        <f aca="false">IF(Szenarien!$H$16="OK",(IFERROR(SUMIF(Nutzungsprofile!$B$17:$B$22,"Schulbetrieb",Nutzungsprofile!$G$17:$G$22)*Kalender!C360/SUM(Kalender!$C$5:$C$370),0)+IFERROR(SUMIF(Nutzungsprofile!$B$17:$B$22,"Halle",Nutzungsprofile!$G$17:$G$22)*Kalender!D360/SUM(Kalender!$D$5:$D$370),0)+IFERROR(SUMIF(Nutzungsprofile!$B$17:$B$22,"Individuell",Nutzungsprofile!$G$17:$G$22)*Kalender!E360/SUM(Kalender!$E$5:$E$370),0))*Szenarien!$D$16,0)</f>
        <v>0</v>
      </c>
      <c r="E2190" s="13" t="n">
        <f aca="false">IFERROR(MIN(C2190,Eingaben!$B$17)*Eingaben!$B$16,0)</f>
        <v>0</v>
      </c>
      <c r="F2190" s="13" t="n">
        <f aca="false">IFERROR(E2190*Eingaben!$B$15,0)</f>
        <v>0</v>
      </c>
      <c r="G2190" s="13" t="n">
        <f aca="false">IFERROR(IF(Kalender!A360="",0,J2189*(1-Eingaben!$B$20)),0)</f>
        <v>0</v>
      </c>
      <c r="H2190" s="13" t="n">
        <f aca="false">MIN(G2190,D2190)</f>
        <v>0</v>
      </c>
      <c r="I2190" s="13" t="n">
        <f aca="false">IFERROR(MIN(F2190*Eingaben!$B$19,MAX(0,D2190-H2190)),0)</f>
        <v>0</v>
      </c>
      <c r="J2190" s="13" t="n">
        <f aca="false">IFERROR(MIN(Eingaben!$B$18,MAX(0,F2190-I2190)),0)</f>
        <v>0</v>
      </c>
      <c r="K2190" s="13" t="n">
        <f aca="false">H2190+I2190</f>
        <v>0</v>
      </c>
      <c r="L2190" s="13" t="n">
        <f aca="false">MAX(0,D2190-K2190)</f>
        <v>0</v>
      </c>
      <c r="M2190" s="13" t="n">
        <f aca="false">MAX(0,F2190-I2190-J2190)</f>
        <v>0</v>
      </c>
      <c r="N2190" s="13" t="n">
        <f aca="false">IF(Kalender!A360="",0,J2189-H2190)</f>
        <v>0</v>
      </c>
    </row>
    <row r="2191" customFormat="false" ht="16.4" hidden="false" customHeight="false" outlineLevel="0" collapsed="false">
      <c r="A2191" s="13" t="str">
        <f aca="false">""</f>
        <v/>
      </c>
      <c r="B2191" s="13" t="n">
        <f aca="false">357</f>
        <v>357</v>
      </c>
      <c r="C2191" s="13" t="n">
        <f aca="false">IF(Szenarien!$H$16="OK",(IFERROR(SUMIF(Nutzungsprofile!$B$6:$B$11,"Schulbetrieb",Nutzungsprofile!$G$6:$G$11)*Kalender!C361/SUM(Kalender!$C$5:$C$370),0)+IFERROR(SUMIF(Nutzungsprofile!$B$6:$B$11,"Halle",Nutzungsprofile!$G$6:$G$11)*Kalender!D361/SUM(Kalender!$D$5:$D$370),0)+IFERROR(SUMIF(Nutzungsprofile!$B$6:$B$11,"Individuell",Nutzungsprofile!$G$6:$G$11)*Kalender!E361/SUM(Kalender!$E$5:$E$370),0))*Szenarien!$E$16,0)</f>
        <v>0</v>
      </c>
      <c r="D2191" s="13" t="n">
        <f aca="false">IF(Szenarien!$H$16="OK",(IFERROR(SUMIF(Nutzungsprofile!$B$17:$B$22,"Schulbetrieb",Nutzungsprofile!$G$17:$G$22)*Kalender!C361/SUM(Kalender!$C$5:$C$370),0)+IFERROR(SUMIF(Nutzungsprofile!$B$17:$B$22,"Halle",Nutzungsprofile!$G$17:$G$22)*Kalender!D361/SUM(Kalender!$D$5:$D$370),0)+IFERROR(SUMIF(Nutzungsprofile!$B$17:$B$22,"Individuell",Nutzungsprofile!$G$17:$G$22)*Kalender!E361/SUM(Kalender!$E$5:$E$370),0))*Szenarien!$D$16,0)</f>
        <v>0</v>
      </c>
      <c r="E2191" s="13" t="n">
        <f aca="false">IFERROR(MIN(C2191,Eingaben!$B$17)*Eingaben!$B$16,0)</f>
        <v>0</v>
      </c>
      <c r="F2191" s="13" t="n">
        <f aca="false">IFERROR(E2191*Eingaben!$B$15,0)</f>
        <v>0</v>
      </c>
      <c r="G2191" s="13" t="n">
        <f aca="false">IFERROR(IF(Kalender!A361="",0,J2190*(1-Eingaben!$B$20)),0)</f>
        <v>0</v>
      </c>
      <c r="H2191" s="13" t="n">
        <f aca="false">MIN(G2191,D2191)</f>
        <v>0</v>
      </c>
      <c r="I2191" s="13" t="n">
        <f aca="false">IFERROR(MIN(F2191*Eingaben!$B$19,MAX(0,D2191-H2191)),0)</f>
        <v>0</v>
      </c>
      <c r="J2191" s="13" t="n">
        <f aca="false">IFERROR(MIN(Eingaben!$B$18,MAX(0,F2191-I2191)),0)</f>
        <v>0</v>
      </c>
      <c r="K2191" s="13" t="n">
        <f aca="false">H2191+I2191</f>
        <v>0</v>
      </c>
      <c r="L2191" s="13" t="n">
        <f aca="false">MAX(0,D2191-K2191)</f>
        <v>0</v>
      </c>
      <c r="M2191" s="13" t="n">
        <f aca="false">MAX(0,F2191-I2191-J2191)</f>
        <v>0</v>
      </c>
      <c r="N2191" s="13" t="n">
        <f aca="false">IF(Kalender!A361="",0,J2190-H2191)</f>
        <v>0</v>
      </c>
    </row>
    <row r="2192" customFormat="false" ht="16.4" hidden="false" customHeight="false" outlineLevel="0" collapsed="false">
      <c r="A2192" s="13" t="str">
        <f aca="false">""</f>
        <v/>
      </c>
      <c r="B2192" s="13" t="n">
        <f aca="false">358</f>
        <v>358</v>
      </c>
      <c r="C2192" s="13" t="n">
        <f aca="false">IF(Szenarien!$H$16="OK",(IFERROR(SUMIF(Nutzungsprofile!$B$6:$B$11,"Schulbetrieb",Nutzungsprofile!$G$6:$G$11)*Kalender!C362/SUM(Kalender!$C$5:$C$370),0)+IFERROR(SUMIF(Nutzungsprofile!$B$6:$B$11,"Halle",Nutzungsprofile!$G$6:$G$11)*Kalender!D362/SUM(Kalender!$D$5:$D$370),0)+IFERROR(SUMIF(Nutzungsprofile!$B$6:$B$11,"Individuell",Nutzungsprofile!$G$6:$G$11)*Kalender!E362/SUM(Kalender!$E$5:$E$370),0))*Szenarien!$E$16,0)</f>
        <v>0</v>
      </c>
      <c r="D2192" s="13" t="n">
        <f aca="false">IF(Szenarien!$H$16="OK",(IFERROR(SUMIF(Nutzungsprofile!$B$17:$B$22,"Schulbetrieb",Nutzungsprofile!$G$17:$G$22)*Kalender!C362/SUM(Kalender!$C$5:$C$370),0)+IFERROR(SUMIF(Nutzungsprofile!$B$17:$B$22,"Halle",Nutzungsprofile!$G$17:$G$22)*Kalender!D362/SUM(Kalender!$D$5:$D$370),0)+IFERROR(SUMIF(Nutzungsprofile!$B$17:$B$22,"Individuell",Nutzungsprofile!$G$17:$G$22)*Kalender!E362/SUM(Kalender!$E$5:$E$370),0))*Szenarien!$D$16,0)</f>
        <v>0</v>
      </c>
      <c r="E2192" s="13" t="n">
        <f aca="false">IFERROR(MIN(C2192,Eingaben!$B$17)*Eingaben!$B$16,0)</f>
        <v>0</v>
      </c>
      <c r="F2192" s="13" t="n">
        <f aca="false">IFERROR(E2192*Eingaben!$B$15,0)</f>
        <v>0</v>
      </c>
      <c r="G2192" s="13" t="n">
        <f aca="false">IFERROR(IF(Kalender!A362="",0,J2191*(1-Eingaben!$B$20)),0)</f>
        <v>0</v>
      </c>
      <c r="H2192" s="13" t="n">
        <f aca="false">MIN(G2192,D2192)</f>
        <v>0</v>
      </c>
      <c r="I2192" s="13" t="n">
        <f aca="false">IFERROR(MIN(F2192*Eingaben!$B$19,MAX(0,D2192-H2192)),0)</f>
        <v>0</v>
      </c>
      <c r="J2192" s="13" t="n">
        <f aca="false">IFERROR(MIN(Eingaben!$B$18,MAX(0,F2192-I2192)),0)</f>
        <v>0</v>
      </c>
      <c r="K2192" s="13" t="n">
        <f aca="false">H2192+I2192</f>
        <v>0</v>
      </c>
      <c r="L2192" s="13" t="n">
        <f aca="false">MAX(0,D2192-K2192)</f>
        <v>0</v>
      </c>
      <c r="M2192" s="13" t="n">
        <f aca="false">MAX(0,F2192-I2192-J2192)</f>
        <v>0</v>
      </c>
      <c r="N2192" s="13" t="n">
        <f aca="false">IF(Kalender!A362="",0,J2191-H2192)</f>
        <v>0</v>
      </c>
    </row>
    <row r="2193" customFormat="false" ht="16.4" hidden="false" customHeight="false" outlineLevel="0" collapsed="false">
      <c r="A2193" s="13" t="str">
        <f aca="false">""</f>
        <v/>
      </c>
      <c r="B2193" s="13" t="n">
        <f aca="false">359</f>
        <v>359</v>
      </c>
      <c r="C2193" s="13" t="n">
        <f aca="false">IF(Szenarien!$H$16="OK",(IFERROR(SUMIF(Nutzungsprofile!$B$6:$B$11,"Schulbetrieb",Nutzungsprofile!$G$6:$G$11)*Kalender!C363/SUM(Kalender!$C$5:$C$370),0)+IFERROR(SUMIF(Nutzungsprofile!$B$6:$B$11,"Halle",Nutzungsprofile!$G$6:$G$11)*Kalender!D363/SUM(Kalender!$D$5:$D$370),0)+IFERROR(SUMIF(Nutzungsprofile!$B$6:$B$11,"Individuell",Nutzungsprofile!$G$6:$G$11)*Kalender!E363/SUM(Kalender!$E$5:$E$370),0))*Szenarien!$E$16,0)</f>
        <v>0</v>
      </c>
      <c r="D2193" s="13" t="n">
        <f aca="false">IF(Szenarien!$H$16="OK",(IFERROR(SUMIF(Nutzungsprofile!$B$17:$B$22,"Schulbetrieb",Nutzungsprofile!$G$17:$G$22)*Kalender!C363/SUM(Kalender!$C$5:$C$370),0)+IFERROR(SUMIF(Nutzungsprofile!$B$17:$B$22,"Halle",Nutzungsprofile!$G$17:$G$22)*Kalender!D363/SUM(Kalender!$D$5:$D$370),0)+IFERROR(SUMIF(Nutzungsprofile!$B$17:$B$22,"Individuell",Nutzungsprofile!$G$17:$G$22)*Kalender!E363/SUM(Kalender!$E$5:$E$370),0))*Szenarien!$D$16,0)</f>
        <v>0</v>
      </c>
      <c r="E2193" s="13" t="n">
        <f aca="false">IFERROR(MIN(C2193,Eingaben!$B$17)*Eingaben!$B$16,0)</f>
        <v>0</v>
      </c>
      <c r="F2193" s="13" t="n">
        <f aca="false">IFERROR(E2193*Eingaben!$B$15,0)</f>
        <v>0</v>
      </c>
      <c r="G2193" s="13" t="n">
        <f aca="false">IFERROR(IF(Kalender!A363="",0,J2192*(1-Eingaben!$B$20)),0)</f>
        <v>0</v>
      </c>
      <c r="H2193" s="13" t="n">
        <f aca="false">MIN(G2193,D2193)</f>
        <v>0</v>
      </c>
      <c r="I2193" s="13" t="n">
        <f aca="false">IFERROR(MIN(F2193*Eingaben!$B$19,MAX(0,D2193-H2193)),0)</f>
        <v>0</v>
      </c>
      <c r="J2193" s="13" t="n">
        <f aca="false">IFERROR(MIN(Eingaben!$B$18,MAX(0,F2193-I2193)),0)</f>
        <v>0</v>
      </c>
      <c r="K2193" s="13" t="n">
        <f aca="false">H2193+I2193</f>
        <v>0</v>
      </c>
      <c r="L2193" s="13" t="n">
        <f aca="false">MAX(0,D2193-K2193)</f>
        <v>0</v>
      </c>
      <c r="M2193" s="13" t="n">
        <f aca="false">MAX(0,F2193-I2193-J2193)</f>
        <v>0</v>
      </c>
      <c r="N2193" s="13" t="n">
        <f aca="false">IF(Kalender!A363="",0,J2192-H2193)</f>
        <v>0</v>
      </c>
    </row>
    <row r="2194" customFormat="false" ht="16.4" hidden="false" customHeight="false" outlineLevel="0" collapsed="false">
      <c r="A2194" s="13" t="str">
        <f aca="false">""</f>
        <v/>
      </c>
      <c r="B2194" s="13" t="n">
        <f aca="false">360</f>
        <v>360</v>
      </c>
      <c r="C2194" s="13" t="n">
        <f aca="false">IF(Szenarien!$H$16="OK",(IFERROR(SUMIF(Nutzungsprofile!$B$6:$B$11,"Schulbetrieb",Nutzungsprofile!$G$6:$G$11)*Kalender!C364/SUM(Kalender!$C$5:$C$370),0)+IFERROR(SUMIF(Nutzungsprofile!$B$6:$B$11,"Halle",Nutzungsprofile!$G$6:$G$11)*Kalender!D364/SUM(Kalender!$D$5:$D$370),0)+IFERROR(SUMIF(Nutzungsprofile!$B$6:$B$11,"Individuell",Nutzungsprofile!$G$6:$G$11)*Kalender!E364/SUM(Kalender!$E$5:$E$370),0))*Szenarien!$E$16,0)</f>
        <v>0</v>
      </c>
      <c r="D2194" s="13" t="n">
        <f aca="false">IF(Szenarien!$H$16="OK",(IFERROR(SUMIF(Nutzungsprofile!$B$17:$B$22,"Schulbetrieb",Nutzungsprofile!$G$17:$G$22)*Kalender!C364/SUM(Kalender!$C$5:$C$370),0)+IFERROR(SUMIF(Nutzungsprofile!$B$17:$B$22,"Halle",Nutzungsprofile!$G$17:$G$22)*Kalender!D364/SUM(Kalender!$D$5:$D$370),0)+IFERROR(SUMIF(Nutzungsprofile!$B$17:$B$22,"Individuell",Nutzungsprofile!$G$17:$G$22)*Kalender!E364/SUM(Kalender!$E$5:$E$370),0))*Szenarien!$D$16,0)</f>
        <v>0</v>
      </c>
      <c r="E2194" s="13" t="n">
        <f aca="false">IFERROR(MIN(C2194,Eingaben!$B$17)*Eingaben!$B$16,0)</f>
        <v>0</v>
      </c>
      <c r="F2194" s="13" t="n">
        <f aca="false">IFERROR(E2194*Eingaben!$B$15,0)</f>
        <v>0</v>
      </c>
      <c r="G2194" s="13" t="n">
        <f aca="false">IFERROR(IF(Kalender!A364="",0,J2193*(1-Eingaben!$B$20)),0)</f>
        <v>0</v>
      </c>
      <c r="H2194" s="13" t="n">
        <f aca="false">MIN(G2194,D2194)</f>
        <v>0</v>
      </c>
      <c r="I2194" s="13" t="n">
        <f aca="false">IFERROR(MIN(F2194*Eingaben!$B$19,MAX(0,D2194-H2194)),0)</f>
        <v>0</v>
      </c>
      <c r="J2194" s="13" t="n">
        <f aca="false">IFERROR(MIN(Eingaben!$B$18,MAX(0,F2194-I2194)),0)</f>
        <v>0</v>
      </c>
      <c r="K2194" s="13" t="n">
        <f aca="false">H2194+I2194</f>
        <v>0</v>
      </c>
      <c r="L2194" s="13" t="n">
        <f aca="false">MAX(0,D2194-K2194)</f>
        <v>0</v>
      </c>
      <c r="M2194" s="13" t="n">
        <f aca="false">MAX(0,F2194-I2194-J2194)</f>
        <v>0</v>
      </c>
      <c r="N2194" s="13" t="n">
        <f aca="false">IF(Kalender!A364="",0,J2193-H2194)</f>
        <v>0</v>
      </c>
    </row>
    <row r="2195" customFormat="false" ht="16.4" hidden="false" customHeight="false" outlineLevel="0" collapsed="false">
      <c r="A2195" s="13" t="str">
        <f aca="false">""</f>
        <v/>
      </c>
      <c r="B2195" s="13" t="n">
        <f aca="false">361</f>
        <v>361</v>
      </c>
      <c r="C2195" s="13" t="n">
        <f aca="false">IF(Szenarien!$H$16="OK",(IFERROR(SUMIF(Nutzungsprofile!$B$6:$B$11,"Schulbetrieb",Nutzungsprofile!$G$6:$G$11)*Kalender!C365/SUM(Kalender!$C$5:$C$370),0)+IFERROR(SUMIF(Nutzungsprofile!$B$6:$B$11,"Halle",Nutzungsprofile!$G$6:$G$11)*Kalender!D365/SUM(Kalender!$D$5:$D$370),0)+IFERROR(SUMIF(Nutzungsprofile!$B$6:$B$11,"Individuell",Nutzungsprofile!$G$6:$G$11)*Kalender!E365/SUM(Kalender!$E$5:$E$370),0))*Szenarien!$E$16,0)</f>
        <v>0</v>
      </c>
      <c r="D2195" s="13" t="n">
        <f aca="false">IF(Szenarien!$H$16="OK",(IFERROR(SUMIF(Nutzungsprofile!$B$17:$B$22,"Schulbetrieb",Nutzungsprofile!$G$17:$G$22)*Kalender!C365/SUM(Kalender!$C$5:$C$370),0)+IFERROR(SUMIF(Nutzungsprofile!$B$17:$B$22,"Halle",Nutzungsprofile!$G$17:$G$22)*Kalender!D365/SUM(Kalender!$D$5:$D$370),0)+IFERROR(SUMIF(Nutzungsprofile!$B$17:$B$22,"Individuell",Nutzungsprofile!$G$17:$G$22)*Kalender!E365/SUM(Kalender!$E$5:$E$370),0))*Szenarien!$D$16,0)</f>
        <v>0</v>
      </c>
      <c r="E2195" s="13" t="n">
        <f aca="false">IFERROR(MIN(C2195,Eingaben!$B$17)*Eingaben!$B$16,0)</f>
        <v>0</v>
      </c>
      <c r="F2195" s="13" t="n">
        <f aca="false">IFERROR(E2195*Eingaben!$B$15,0)</f>
        <v>0</v>
      </c>
      <c r="G2195" s="13" t="n">
        <f aca="false">IFERROR(IF(Kalender!A365="",0,J2194*(1-Eingaben!$B$20)),0)</f>
        <v>0</v>
      </c>
      <c r="H2195" s="13" t="n">
        <f aca="false">MIN(G2195,D2195)</f>
        <v>0</v>
      </c>
      <c r="I2195" s="13" t="n">
        <f aca="false">IFERROR(MIN(F2195*Eingaben!$B$19,MAX(0,D2195-H2195)),0)</f>
        <v>0</v>
      </c>
      <c r="J2195" s="13" t="n">
        <f aca="false">IFERROR(MIN(Eingaben!$B$18,MAX(0,F2195-I2195)),0)</f>
        <v>0</v>
      </c>
      <c r="K2195" s="13" t="n">
        <f aca="false">H2195+I2195</f>
        <v>0</v>
      </c>
      <c r="L2195" s="13" t="n">
        <f aca="false">MAX(0,D2195-K2195)</f>
        <v>0</v>
      </c>
      <c r="M2195" s="13" t="n">
        <f aca="false">MAX(0,F2195-I2195-J2195)</f>
        <v>0</v>
      </c>
      <c r="N2195" s="13" t="n">
        <f aca="false">IF(Kalender!A365="",0,J2194-H2195)</f>
        <v>0</v>
      </c>
    </row>
    <row r="2196" customFormat="false" ht="16.4" hidden="false" customHeight="false" outlineLevel="0" collapsed="false">
      <c r="A2196" s="13" t="str">
        <f aca="false">""</f>
        <v/>
      </c>
      <c r="B2196" s="13" t="n">
        <f aca="false">362</f>
        <v>362</v>
      </c>
      <c r="C2196" s="13" t="n">
        <f aca="false">IF(Szenarien!$H$16="OK",(IFERROR(SUMIF(Nutzungsprofile!$B$6:$B$11,"Schulbetrieb",Nutzungsprofile!$G$6:$G$11)*Kalender!C366/SUM(Kalender!$C$5:$C$370),0)+IFERROR(SUMIF(Nutzungsprofile!$B$6:$B$11,"Halle",Nutzungsprofile!$G$6:$G$11)*Kalender!D366/SUM(Kalender!$D$5:$D$370),0)+IFERROR(SUMIF(Nutzungsprofile!$B$6:$B$11,"Individuell",Nutzungsprofile!$G$6:$G$11)*Kalender!E366/SUM(Kalender!$E$5:$E$370),0))*Szenarien!$E$16,0)</f>
        <v>0</v>
      </c>
      <c r="D2196" s="13" t="n">
        <f aca="false">IF(Szenarien!$H$16="OK",(IFERROR(SUMIF(Nutzungsprofile!$B$17:$B$22,"Schulbetrieb",Nutzungsprofile!$G$17:$G$22)*Kalender!C366/SUM(Kalender!$C$5:$C$370),0)+IFERROR(SUMIF(Nutzungsprofile!$B$17:$B$22,"Halle",Nutzungsprofile!$G$17:$G$22)*Kalender!D366/SUM(Kalender!$D$5:$D$370),0)+IFERROR(SUMIF(Nutzungsprofile!$B$17:$B$22,"Individuell",Nutzungsprofile!$G$17:$G$22)*Kalender!E366/SUM(Kalender!$E$5:$E$370),0))*Szenarien!$D$16,0)</f>
        <v>0</v>
      </c>
      <c r="E2196" s="13" t="n">
        <f aca="false">IFERROR(MIN(C2196,Eingaben!$B$17)*Eingaben!$B$16,0)</f>
        <v>0</v>
      </c>
      <c r="F2196" s="13" t="n">
        <f aca="false">IFERROR(E2196*Eingaben!$B$15,0)</f>
        <v>0</v>
      </c>
      <c r="G2196" s="13" t="n">
        <f aca="false">IFERROR(IF(Kalender!A366="",0,J2195*(1-Eingaben!$B$20)),0)</f>
        <v>0</v>
      </c>
      <c r="H2196" s="13" t="n">
        <f aca="false">MIN(G2196,D2196)</f>
        <v>0</v>
      </c>
      <c r="I2196" s="13" t="n">
        <f aca="false">IFERROR(MIN(F2196*Eingaben!$B$19,MAX(0,D2196-H2196)),0)</f>
        <v>0</v>
      </c>
      <c r="J2196" s="13" t="n">
        <f aca="false">IFERROR(MIN(Eingaben!$B$18,MAX(0,F2196-I2196)),0)</f>
        <v>0</v>
      </c>
      <c r="K2196" s="13" t="n">
        <f aca="false">H2196+I2196</f>
        <v>0</v>
      </c>
      <c r="L2196" s="13" t="n">
        <f aca="false">MAX(0,D2196-K2196)</f>
        <v>0</v>
      </c>
      <c r="M2196" s="13" t="n">
        <f aca="false">MAX(0,F2196-I2196-J2196)</f>
        <v>0</v>
      </c>
      <c r="N2196" s="13" t="n">
        <f aca="false">IF(Kalender!A366="",0,J2195-H2196)</f>
        <v>0</v>
      </c>
    </row>
    <row r="2197" customFormat="false" ht="16.4" hidden="false" customHeight="false" outlineLevel="0" collapsed="false">
      <c r="A2197" s="13" t="str">
        <f aca="false">""</f>
        <v/>
      </c>
      <c r="B2197" s="13" t="n">
        <f aca="false">363</f>
        <v>363</v>
      </c>
      <c r="C2197" s="13" t="n">
        <f aca="false">IF(Szenarien!$H$16="OK",(IFERROR(SUMIF(Nutzungsprofile!$B$6:$B$11,"Schulbetrieb",Nutzungsprofile!$G$6:$G$11)*Kalender!C367/SUM(Kalender!$C$5:$C$370),0)+IFERROR(SUMIF(Nutzungsprofile!$B$6:$B$11,"Halle",Nutzungsprofile!$G$6:$G$11)*Kalender!D367/SUM(Kalender!$D$5:$D$370),0)+IFERROR(SUMIF(Nutzungsprofile!$B$6:$B$11,"Individuell",Nutzungsprofile!$G$6:$G$11)*Kalender!E367/SUM(Kalender!$E$5:$E$370),0))*Szenarien!$E$16,0)</f>
        <v>0</v>
      </c>
      <c r="D2197" s="13" t="n">
        <f aca="false">IF(Szenarien!$H$16="OK",(IFERROR(SUMIF(Nutzungsprofile!$B$17:$B$22,"Schulbetrieb",Nutzungsprofile!$G$17:$G$22)*Kalender!C367/SUM(Kalender!$C$5:$C$370),0)+IFERROR(SUMIF(Nutzungsprofile!$B$17:$B$22,"Halle",Nutzungsprofile!$G$17:$G$22)*Kalender!D367/SUM(Kalender!$D$5:$D$370),0)+IFERROR(SUMIF(Nutzungsprofile!$B$17:$B$22,"Individuell",Nutzungsprofile!$G$17:$G$22)*Kalender!E367/SUM(Kalender!$E$5:$E$370),0))*Szenarien!$D$16,0)</f>
        <v>0</v>
      </c>
      <c r="E2197" s="13" t="n">
        <f aca="false">IFERROR(MIN(C2197,Eingaben!$B$17)*Eingaben!$B$16,0)</f>
        <v>0</v>
      </c>
      <c r="F2197" s="13" t="n">
        <f aca="false">IFERROR(E2197*Eingaben!$B$15,0)</f>
        <v>0</v>
      </c>
      <c r="G2197" s="13" t="n">
        <f aca="false">IFERROR(IF(Kalender!A367="",0,J2196*(1-Eingaben!$B$20)),0)</f>
        <v>0</v>
      </c>
      <c r="H2197" s="13" t="n">
        <f aca="false">MIN(G2197,D2197)</f>
        <v>0</v>
      </c>
      <c r="I2197" s="13" t="n">
        <f aca="false">IFERROR(MIN(F2197*Eingaben!$B$19,MAX(0,D2197-H2197)),0)</f>
        <v>0</v>
      </c>
      <c r="J2197" s="13" t="n">
        <f aca="false">IFERROR(MIN(Eingaben!$B$18,MAX(0,F2197-I2197)),0)</f>
        <v>0</v>
      </c>
      <c r="K2197" s="13" t="n">
        <f aca="false">H2197+I2197</f>
        <v>0</v>
      </c>
      <c r="L2197" s="13" t="n">
        <f aca="false">MAX(0,D2197-K2197)</f>
        <v>0</v>
      </c>
      <c r="M2197" s="13" t="n">
        <f aca="false">MAX(0,F2197-I2197-J2197)</f>
        <v>0</v>
      </c>
      <c r="N2197" s="13" t="n">
        <f aca="false">IF(Kalender!A367="",0,J2196-H2197)</f>
        <v>0</v>
      </c>
    </row>
    <row r="2198" customFormat="false" ht="16.4" hidden="false" customHeight="false" outlineLevel="0" collapsed="false">
      <c r="A2198" s="13" t="str">
        <f aca="false">""</f>
        <v/>
      </c>
      <c r="B2198" s="13" t="n">
        <f aca="false">364</f>
        <v>364</v>
      </c>
      <c r="C2198" s="13" t="n">
        <f aca="false">IF(Szenarien!$H$16="OK",(IFERROR(SUMIF(Nutzungsprofile!$B$6:$B$11,"Schulbetrieb",Nutzungsprofile!$G$6:$G$11)*Kalender!C368/SUM(Kalender!$C$5:$C$370),0)+IFERROR(SUMIF(Nutzungsprofile!$B$6:$B$11,"Halle",Nutzungsprofile!$G$6:$G$11)*Kalender!D368/SUM(Kalender!$D$5:$D$370),0)+IFERROR(SUMIF(Nutzungsprofile!$B$6:$B$11,"Individuell",Nutzungsprofile!$G$6:$G$11)*Kalender!E368/SUM(Kalender!$E$5:$E$370),0))*Szenarien!$E$16,0)</f>
        <v>0</v>
      </c>
      <c r="D2198" s="13" t="n">
        <f aca="false">IF(Szenarien!$H$16="OK",(IFERROR(SUMIF(Nutzungsprofile!$B$17:$B$22,"Schulbetrieb",Nutzungsprofile!$G$17:$G$22)*Kalender!C368/SUM(Kalender!$C$5:$C$370),0)+IFERROR(SUMIF(Nutzungsprofile!$B$17:$B$22,"Halle",Nutzungsprofile!$G$17:$G$22)*Kalender!D368/SUM(Kalender!$D$5:$D$370),0)+IFERROR(SUMIF(Nutzungsprofile!$B$17:$B$22,"Individuell",Nutzungsprofile!$G$17:$G$22)*Kalender!E368/SUM(Kalender!$E$5:$E$370),0))*Szenarien!$D$16,0)</f>
        <v>0</v>
      </c>
      <c r="E2198" s="13" t="n">
        <f aca="false">IFERROR(MIN(C2198,Eingaben!$B$17)*Eingaben!$B$16,0)</f>
        <v>0</v>
      </c>
      <c r="F2198" s="13" t="n">
        <f aca="false">IFERROR(E2198*Eingaben!$B$15,0)</f>
        <v>0</v>
      </c>
      <c r="G2198" s="13" t="n">
        <f aca="false">IFERROR(IF(Kalender!A368="",0,J2197*(1-Eingaben!$B$20)),0)</f>
        <v>0</v>
      </c>
      <c r="H2198" s="13" t="n">
        <f aca="false">MIN(G2198,D2198)</f>
        <v>0</v>
      </c>
      <c r="I2198" s="13" t="n">
        <f aca="false">IFERROR(MIN(F2198*Eingaben!$B$19,MAX(0,D2198-H2198)),0)</f>
        <v>0</v>
      </c>
      <c r="J2198" s="13" t="n">
        <f aca="false">IFERROR(MIN(Eingaben!$B$18,MAX(0,F2198-I2198)),0)</f>
        <v>0</v>
      </c>
      <c r="K2198" s="13" t="n">
        <f aca="false">H2198+I2198</f>
        <v>0</v>
      </c>
      <c r="L2198" s="13" t="n">
        <f aca="false">MAX(0,D2198-K2198)</f>
        <v>0</v>
      </c>
      <c r="M2198" s="13" t="n">
        <f aca="false">MAX(0,F2198-I2198-J2198)</f>
        <v>0</v>
      </c>
      <c r="N2198" s="13" t="n">
        <f aca="false">IF(Kalender!A368="",0,J2197-H2198)</f>
        <v>0</v>
      </c>
    </row>
    <row r="2199" customFormat="false" ht="16.4" hidden="false" customHeight="false" outlineLevel="0" collapsed="false">
      <c r="A2199" s="13" t="str">
        <f aca="false">""</f>
        <v/>
      </c>
      <c r="B2199" s="13" t="n">
        <f aca="false">365</f>
        <v>365</v>
      </c>
      <c r="C2199" s="13" t="n">
        <f aca="false">IF(Szenarien!$H$16="OK",(IFERROR(SUMIF(Nutzungsprofile!$B$6:$B$11,"Schulbetrieb",Nutzungsprofile!$G$6:$G$11)*Kalender!C369/SUM(Kalender!$C$5:$C$370),0)+IFERROR(SUMIF(Nutzungsprofile!$B$6:$B$11,"Halle",Nutzungsprofile!$G$6:$G$11)*Kalender!D369/SUM(Kalender!$D$5:$D$370),0)+IFERROR(SUMIF(Nutzungsprofile!$B$6:$B$11,"Individuell",Nutzungsprofile!$G$6:$G$11)*Kalender!E369/SUM(Kalender!$E$5:$E$370),0))*Szenarien!$E$16,0)</f>
        <v>0</v>
      </c>
      <c r="D2199" s="13" t="n">
        <f aca="false">IF(Szenarien!$H$16="OK",(IFERROR(SUMIF(Nutzungsprofile!$B$17:$B$22,"Schulbetrieb",Nutzungsprofile!$G$17:$G$22)*Kalender!C369/SUM(Kalender!$C$5:$C$370),0)+IFERROR(SUMIF(Nutzungsprofile!$B$17:$B$22,"Halle",Nutzungsprofile!$G$17:$G$22)*Kalender!D369/SUM(Kalender!$D$5:$D$370),0)+IFERROR(SUMIF(Nutzungsprofile!$B$17:$B$22,"Individuell",Nutzungsprofile!$G$17:$G$22)*Kalender!E369/SUM(Kalender!$E$5:$E$370),0))*Szenarien!$D$16,0)</f>
        <v>0</v>
      </c>
      <c r="E2199" s="13" t="n">
        <f aca="false">IFERROR(MIN(C2199,Eingaben!$B$17)*Eingaben!$B$16,0)</f>
        <v>0</v>
      </c>
      <c r="F2199" s="13" t="n">
        <f aca="false">IFERROR(E2199*Eingaben!$B$15,0)</f>
        <v>0</v>
      </c>
      <c r="G2199" s="13" t="n">
        <f aca="false">IFERROR(IF(Kalender!A369="",0,J2198*(1-Eingaben!$B$20)),0)</f>
        <v>0</v>
      </c>
      <c r="H2199" s="13" t="n">
        <f aca="false">MIN(G2199,D2199)</f>
        <v>0</v>
      </c>
      <c r="I2199" s="13" t="n">
        <f aca="false">IFERROR(MIN(F2199*Eingaben!$B$19,MAX(0,D2199-H2199)),0)</f>
        <v>0</v>
      </c>
      <c r="J2199" s="13" t="n">
        <f aca="false">IFERROR(MIN(Eingaben!$B$18,MAX(0,F2199-I2199)),0)</f>
        <v>0</v>
      </c>
      <c r="K2199" s="13" t="n">
        <f aca="false">H2199+I2199</f>
        <v>0</v>
      </c>
      <c r="L2199" s="13" t="n">
        <f aca="false">MAX(0,D2199-K2199)</f>
        <v>0</v>
      </c>
      <c r="M2199" s="13" t="n">
        <f aca="false">MAX(0,F2199-I2199-J2199)</f>
        <v>0</v>
      </c>
      <c r="N2199" s="13" t="n">
        <f aca="false">IF(Kalender!A369="",0,J2198-H2199)</f>
        <v>0</v>
      </c>
    </row>
    <row r="2200" customFormat="false" ht="16.4" hidden="false" customHeight="false" outlineLevel="0" collapsed="false">
      <c r="A2200" s="13" t="str">
        <f aca="false">""</f>
        <v/>
      </c>
      <c r="B2200" s="13" t="n">
        <f aca="false">366</f>
        <v>366</v>
      </c>
      <c r="C2200" s="13" t="n">
        <f aca="false">IF(Szenarien!$H$16="OK",(IFERROR(SUMIF(Nutzungsprofile!$B$6:$B$11,"Schulbetrieb",Nutzungsprofile!$G$6:$G$11)*Kalender!C370/SUM(Kalender!$C$5:$C$370),0)+IFERROR(SUMIF(Nutzungsprofile!$B$6:$B$11,"Halle",Nutzungsprofile!$G$6:$G$11)*Kalender!D370/SUM(Kalender!$D$5:$D$370),0)+IFERROR(SUMIF(Nutzungsprofile!$B$6:$B$11,"Individuell",Nutzungsprofile!$G$6:$G$11)*Kalender!E370/SUM(Kalender!$E$5:$E$370),0))*Szenarien!$E$16,0)</f>
        <v>0</v>
      </c>
      <c r="D2200" s="13" t="n">
        <f aca="false">IF(Szenarien!$H$16="OK",(IFERROR(SUMIF(Nutzungsprofile!$B$17:$B$22,"Schulbetrieb",Nutzungsprofile!$G$17:$G$22)*Kalender!C370/SUM(Kalender!$C$5:$C$370),0)+IFERROR(SUMIF(Nutzungsprofile!$B$17:$B$22,"Halle",Nutzungsprofile!$G$17:$G$22)*Kalender!D370/SUM(Kalender!$D$5:$D$370),0)+IFERROR(SUMIF(Nutzungsprofile!$B$17:$B$22,"Individuell",Nutzungsprofile!$G$17:$G$22)*Kalender!E370/SUM(Kalender!$E$5:$E$370),0))*Szenarien!$D$16,0)</f>
        <v>0</v>
      </c>
      <c r="E2200" s="13" t="n">
        <f aca="false">IFERROR(MIN(C2200,Eingaben!$B$17)*Eingaben!$B$16,0)</f>
        <v>0</v>
      </c>
      <c r="F2200" s="13" t="n">
        <f aca="false">IFERROR(E2200*Eingaben!$B$15,0)</f>
        <v>0</v>
      </c>
      <c r="G2200" s="13" t="n">
        <f aca="false">IFERROR(IF(Kalender!A370="",0,J2199*(1-Eingaben!$B$20)),0)</f>
        <v>0</v>
      </c>
      <c r="H2200" s="13" t="n">
        <f aca="false">MIN(G2200,D2200)</f>
        <v>0</v>
      </c>
      <c r="I2200" s="13" t="n">
        <f aca="false">IFERROR(MIN(F2200*Eingaben!$B$19,MAX(0,D2200-H2200)),0)</f>
        <v>0</v>
      </c>
      <c r="J2200" s="13" t="n">
        <f aca="false">IFERROR(MIN(Eingaben!$B$18,MAX(0,F2200-I2200)),0)</f>
        <v>0</v>
      </c>
      <c r="K2200" s="13" t="n">
        <f aca="false">H2200+I2200</f>
        <v>0</v>
      </c>
      <c r="L2200" s="13" t="n">
        <f aca="false">MAX(0,D2200-K2200)</f>
        <v>0</v>
      </c>
      <c r="M2200" s="13" t="n">
        <f aca="false">MAX(0,F2200-I2200-J2200)</f>
        <v>0</v>
      </c>
      <c r="N2200" s="13" t="n">
        <f aca="false">IF(Kalender!A370="",0,J2199-H2200)</f>
        <v>0</v>
      </c>
    </row>
    <row r="2201" customFormat="false" ht="31.3" hidden="false" customHeight="false" outlineLevel="0" collapsed="false">
      <c r="A2201" s="13" t="str">
        <f aca="false">"Trinkwasserpreis +20 %"</f>
        <v>Trinkwasserpreis +20 %</v>
      </c>
      <c r="B2201" s="13" t="n">
        <f aca="false">1</f>
        <v>1</v>
      </c>
      <c r="C2201" s="13" t="n">
        <f aca="false">IF(Szenarien!$H$17="OK",(IFERROR(SUMIF(Nutzungsprofile!$B$6:$B$11,"Schulbetrieb",Nutzungsprofile!$G$6:$G$11)*Kalender!C5/SUM(Kalender!$C$5:$C$370),0)+IFERROR(SUMIF(Nutzungsprofile!$B$6:$B$11,"Halle",Nutzungsprofile!$G$6:$G$11)*Kalender!D5/SUM(Kalender!$D$5:$D$370),0)+IFERROR(SUMIF(Nutzungsprofile!$B$6:$B$11,"Individuell",Nutzungsprofile!$G$6:$G$11)*Kalender!E5/SUM(Kalender!$E$5:$E$370),0))*Szenarien!$E$17,0)</f>
        <v>2.94</v>
      </c>
      <c r="D2201" s="13" t="n">
        <f aca="false">IF(Szenarien!$H$17="OK",(IFERROR(SUMIF(Nutzungsprofile!$B$17:$B$22,"Schulbetrieb",Nutzungsprofile!$G$17:$G$22)*Kalender!C5/SUM(Kalender!$C$5:$C$370),0)+IFERROR(SUMIF(Nutzungsprofile!$B$17:$B$22,"Halle",Nutzungsprofile!$G$17:$G$22)*Kalender!D5/SUM(Kalender!$D$5:$D$370),0)+IFERROR(SUMIF(Nutzungsprofile!$B$17:$B$22,"Individuell",Nutzungsprofile!$G$17:$G$22)*Kalender!E5/SUM(Kalender!$E$5:$E$370),0))*Szenarien!$D$17,0)</f>
        <v>4.94</v>
      </c>
      <c r="E2201" s="13" t="n">
        <f aca="false">IFERROR(MIN(C2201,Eingaben!$B$17)*Eingaben!$B$16,0)</f>
        <v>2.793</v>
      </c>
      <c r="F2201" s="13" t="n">
        <f aca="false">IFERROR(E2201*Eingaben!$B$15,0)</f>
        <v>2.5137</v>
      </c>
      <c r="G2201" s="13" t="n">
        <f aca="false">0</f>
        <v>0</v>
      </c>
      <c r="H2201" s="13" t="n">
        <f aca="false">MIN(G2201,D2201)</f>
        <v>0</v>
      </c>
      <c r="I2201" s="13" t="n">
        <f aca="false">IFERROR(MIN(F2201*Eingaben!$B$19,MAX(0,D2201-H2201)),0)</f>
        <v>1.75959</v>
      </c>
      <c r="J2201" s="13" t="n">
        <f aca="false">IFERROR(MIN(Eingaben!$B$18,MAX(0,F2201-I2201)),0)</f>
        <v>0.75411</v>
      </c>
      <c r="K2201" s="13" t="n">
        <f aca="false">H2201+I2201</f>
        <v>1.75959</v>
      </c>
      <c r="L2201" s="13" t="n">
        <f aca="false">MAX(0,D2201-K2201)</f>
        <v>3.18041</v>
      </c>
      <c r="M2201" s="13" t="n">
        <f aca="false">MAX(0,F2201-I2201-J2201)</f>
        <v>0</v>
      </c>
      <c r="N2201" s="13" t="n">
        <f aca="false">0</f>
        <v>0</v>
      </c>
    </row>
    <row r="2202" customFormat="false" ht="16.4" hidden="false" customHeight="false" outlineLevel="0" collapsed="false">
      <c r="A2202" s="13" t="str">
        <f aca="false">""</f>
        <v/>
      </c>
      <c r="B2202" s="13" t="n">
        <f aca="false">2</f>
        <v>2</v>
      </c>
      <c r="C2202" s="13" t="n">
        <f aca="false">IF(Szenarien!$H$17="OK",(IFERROR(SUMIF(Nutzungsprofile!$B$6:$B$11,"Schulbetrieb",Nutzungsprofile!$G$6:$G$11)*Kalender!C6/SUM(Kalender!$C$5:$C$370),0)+IFERROR(SUMIF(Nutzungsprofile!$B$6:$B$11,"Halle",Nutzungsprofile!$G$6:$G$11)*Kalender!D6/SUM(Kalender!$D$5:$D$370),0)+IFERROR(SUMIF(Nutzungsprofile!$B$6:$B$11,"Individuell",Nutzungsprofile!$G$6:$G$11)*Kalender!E6/SUM(Kalender!$E$5:$E$370),0))*Szenarien!$E$17,0)</f>
        <v>2.94</v>
      </c>
      <c r="D2202" s="13" t="n">
        <f aca="false">IF(Szenarien!$H$17="OK",(IFERROR(SUMIF(Nutzungsprofile!$B$17:$B$22,"Schulbetrieb",Nutzungsprofile!$G$17:$G$22)*Kalender!C6/SUM(Kalender!$C$5:$C$370),0)+IFERROR(SUMIF(Nutzungsprofile!$B$17:$B$22,"Halle",Nutzungsprofile!$G$17:$G$22)*Kalender!D6/SUM(Kalender!$D$5:$D$370),0)+IFERROR(SUMIF(Nutzungsprofile!$B$17:$B$22,"Individuell",Nutzungsprofile!$G$17:$G$22)*Kalender!E6/SUM(Kalender!$E$5:$E$370),0))*Szenarien!$D$17,0)</f>
        <v>4.94</v>
      </c>
      <c r="E2202" s="13" t="n">
        <f aca="false">IFERROR(MIN(C2202,Eingaben!$B$17)*Eingaben!$B$16,0)</f>
        <v>2.793</v>
      </c>
      <c r="F2202" s="13" t="n">
        <f aca="false">IFERROR(E2202*Eingaben!$B$15,0)</f>
        <v>2.5137</v>
      </c>
      <c r="G2202" s="13" t="n">
        <f aca="false">IFERROR(IF(Kalender!A6="",0,J2201*(1-Eingaben!$B$20)),0)</f>
        <v>0.7390278</v>
      </c>
      <c r="H2202" s="13" t="n">
        <f aca="false">MIN(G2202,D2202)</f>
        <v>0.7390278</v>
      </c>
      <c r="I2202" s="13" t="n">
        <f aca="false">IFERROR(MIN(F2202*Eingaben!$B$19,MAX(0,D2202-H2202)),0)</f>
        <v>1.75959</v>
      </c>
      <c r="J2202" s="13" t="n">
        <f aca="false">IFERROR(MIN(Eingaben!$B$18,MAX(0,F2202-I2202)),0)</f>
        <v>0.75411</v>
      </c>
      <c r="K2202" s="13" t="n">
        <f aca="false">H2202+I2202</f>
        <v>2.4986178</v>
      </c>
      <c r="L2202" s="13" t="n">
        <f aca="false">MAX(0,D2202-K2202)</f>
        <v>2.4413822</v>
      </c>
      <c r="M2202" s="13" t="n">
        <f aca="false">MAX(0,F2202-I2202-J2202)</f>
        <v>0</v>
      </c>
      <c r="N2202" s="13" t="n">
        <f aca="false">IF(Kalender!A6="",0,J2201-H2202)</f>
        <v>0.0150822</v>
      </c>
    </row>
    <row r="2203" customFormat="false" ht="16.4" hidden="false" customHeight="false" outlineLevel="0" collapsed="false">
      <c r="A2203" s="13" t="str">
        <f aca="false">""</f>
        <v/>
      </c>
      <c r="B2203" s="13" t="n">
        <f aca="false">3</f>
        <v>3</v>
      </c>
      <c r="C2203" s="13" t="n">
        <f aca="false">IF(Szenarien!$H$17="OK",(IFERROR(SUMIF(Nutzungsprofile!$B$6:$B$11,"Schulbetrieb",Nutzungsprofile!$G$6:$G$11)*Kalender!C7/SUM(Kalender!$C$5:$C$370),0)+IFERROR(SUMIF(Nutzungsprofile!$B$6:$B$11,"Halle",Nutzungsprofile!$G$6:$G$11)*Kalender!D7/SUM(Kalender!$D$5:$D$370),0)+IFERROR(SUMIF(Nutzungsprofile!$B$6:$B$11,"Individuell",Nutzungsprofile!$G$6:$G$11)*Kalender!E7/SUM(Kalender!$E$5:$E$370),0))*Szenarien!$E$17,0)</f>
        <v>2.04</v>
      </c>
      <c r="D2203" s="13" t="n">
        <f aca="false">IF(Szenarien!$H$17="OK",(IFERROR(SUMIF(Nutzungsprofile!$B$17:$B$22,"Schulbetrieb",Nutzungsprofile!$G$17:$G$22)*Kalender!C7/SUM(Kalender!$C$5:$C$370),0)+IFERROR(SUMIF(Nutzungsprofile!$B$17:$B$22,"Halle",Nutzungsprofile!$G$17:$G$22)*Kalender!D7/SUM(Kalender!$D$5:$D$370),0)+IFERROR(SUMIF(Nutzungsprofile!$B$17:$B$22,"Individuell",Nutzungsprofile!$G$17:$G$22)*Kalender!E7/SUM(Kalender!$E$5:$E$370),0))*Szenarien!$D$17,0)</f>
        <v>0.89</v>
      </c>
      <c r="E2203" s="13" t="n">
        <f aca="false">IFERROR(MIN(C2203,Eingaben!$B$17)*Eingaben!$B$16,0)</f>
        <v>1.938</v>
      </c>
      <c r="F2203" s="13" t="n">
        <f aca="false">IFERROR(E2203*Eingaben!$B$15,0)</f>
        <v>1.7442</v>
      </c>
      <c r="G2203" s="13" t="n">
        <f aca="false">IFERROR(IF(Kalender!A7="",0,J2202*(1-Eingaben!$B$20)),0)</f>
        <v>0.7390278</v>
      </c>
      <c r="H2203" s="13" t="n">
        <f aca="false">MIN(G2203,D2203)</f>
        <v>0.7390278</v>
      </c>
      <c r="I2203" s="13" t="n">
        <f aca="false">IFERROR(MIN(F2203*Eingaben!$B$19,MAX(0,D2203-H2203)),0)</f>
        <v>0.1509722</v>
      </c>
      <c r="J2203" s="13" t="n">
        <f aca="false">IFERROR(MIN(Eingaben!$B$18,MAX(0,F2203-I2203)),0)</f>
        <v>1.5932278</v>
      </c>
      <c r="K2203" s="13" t="n">
        <f aca="false">H2203+I2203</f>
        <v>0.89</v>
      </c>
      <c r="L2203" s="13" t="n">
        <f aca="false">MAX(0,D2203-K2203)</f>
        <v>0</v>
      </c>
      <c r="M2203" s="13" t="n">
        <f aca="false">MAX(0,F2203-I2203-J2203)</f>
        <v>0</v>
      </c>
      <c r="N2203" s="13" t="n">
        <f aca="false">IF(Kalender!A7="",0,J2202-H2203)</f>
        <v>0.0150822</v>
      </c>
    </row>
    <row r="2204" customFormat="false" ht="16.4" hidden="false" customHeight="false" outlineLevel="0" collapsed="false">
      <c r="A2204" s="13" t="str">
        <f aca="false">""</f>
        <v/>
      </c>
      <c r="B2204" s="13" t="n">
        <f aca="false">4</f>
        <v>4</v>
      </c>
      <c r="C2204" s="13" t="n">
        <f aca="false">IF(Szenarien!$H$17="OK",(IFERROR(SUMIF(Nutzungsprofile!$B$6:$B$11,"Schulbetrieb",Nutzungsprofile!$G$6:$G$11)*Kalender!C8/SUM(Kalender!$C$5:$C$370),0)+IFERROR(SUMIF(Nutzungsprofile!$B$6:$B$11,"Halle",Nutzungsprofile!$G$6:$G$11)*Kalender!D8/SUM(Kalender!$D$5:$D$370),0)+IFERROR(SUMIF(Nutzungsprofile!$B$6:$B$11,"Individuell",Nutzungsprofile!$G$6:$G$11)*Kalender!E8/SUM(Kalender!$E$5:$E$370),0))*Szenarien!$E$17,0)</f>
        <v>2.04</v>
      </c>
      <c r="D2204" s="13" t="n">
        <f aca="false">IF(Szenarien!$H$17="OK",(IFERROR(SUMIF(Nutzungsprofile!$B$17:$B$22,"Schulbetrieb",Nutzungsprofile!$G$17:$G$22)*Kalender!C8/SUM(Kalender!$C$5:$C$370),0)+IFERROR(SUMIF(Nutzungsprofile!$B$17:$B$22,"Halle",Nutzungsprofile!$G$17:$G$22)*Kalender!D8/SUM(Kalender!$D$5:$D$370),0)+IFERROR(SUMIF(Nutzungsprofile!$B$17:$B$22,"Individuell",Nutzungsprofile!$G$17:$G$22)*Kalender!E8/SUM(Kalender!$E$5:$E$370),0))*Szenarien!$D$17,0)</f>
        <v>0.89</v>
      </c>
      <c r="E2204" s="13" t="n">
        <f aca="false">IFERROR(MIN(C2204,Eingaben!$B$17)*Eingaben!$B$16,0)</f>
        <v>1.938</v>
      </c>
      <c r="F2204" s="13" t="n">
        <f aca="false">IFERROR(E2204*Eingaben!$B$15,0)</f>
        <v>1.7442</v>
      </c>
      <c r="G2204" s="13" t="n">
        <f aca="false">IFERROR(IF(Kalender!A8="",0,J2203*(1-Eingaben!$B$20)),0)</f>
        <v>1.561363244</v>
      </c>
      <c r="H2204" s="13" t="n">
        <f aca="false">MIN(G2204,D2204)</f>
        <v>0.89</v>
      </c>
      <c r="I2204" s="13" t="n">
        <f aca="false">IFERROR(MIN(F2204*Eingaben!$B$19,MAX(0,D2204-H2204)),0)</f>
        <v>0</v>
      </c>
      <c r="J2204" s="13" t="n">
        <f aca="false">IFERROR(MIN(Eingaben!$B$18,MAX(0,F2204-I2204)),0)</f>
        <v>1.7442</v>
      </c>
      <c r="K2204" s="13" t="n">
        <f aca="false">H2204+I2204</f>
        <v>0.89</v>
      </c>
      <c r="L2204" s="13" t="n">
        <f aca="false">MAX(0,D2204-K2204)</f>
        <v>0</v>
      </c>
      <c r="M2204" s="13" t="n">
        <f aca="false">MAX(0,F2204-I2204-J2204)</f>
        <v>0</v>
      </c>
      <c r="N2204" s="13" t="n">
        <f aca="false">IF(Kalender!A8="",0,J2203-H2204)</f>
        <v>0.7032278</v>
      </c>
    </row>
    <row r="2205" customFormat="false" ht="16.4" hidden="false" customHeight="false" outlineLevel="0" collapsed="false">
      <c r="A2205" s="13" t="str">
        <f aca="false">""</f>
        <v/>
      </c>
      <c r="B2205" s="13" t="n">
        <f aca="false">5</f>
        <v>5</v>
      </c>
      <c r="C2205" s="13" t="n">
        <f aca="false">IF(Szenarien!$H$17="OK",(IFERROR(SUMIF(Nutzungsprofile!$B$6:$B$11,"Schulbetrieb",Nutzungsprofile!$G$6:$G$11)*Kalender!C9/SUM(Kalender!$C$5:$C$370),0)+IFERROR(SUMIF(Nutzungsprofile!$B$6:$B$11,"Halle",Nutzungsprofile!$G$6:$G$11)*Kalender!D9/SUM(Kalender!$D$5:$D$370),0)+IFERROR(SUMIF(Nutzungsprofile!$B$6:$B$11,"Individuell",Nutzungsprofile!$G$6:$G$11)*Kalender!E9/SUM(Kalender!$E$5:$E$370),0))*Szenarien!$E$17,0)</f>
        <v>2.94</v>
      </c>
      <c r="D2205" s="13" t="n">
        <f aca="false">IF(Szenarien!$H$17="OK",(IFERROR(SUMIF(Nutzungsprofile!$B$17:$B$22,"Schulbetrieb",Nutzungsprofile!$G$17:$G$22)*Kalender!C9/SUM(Kalender!$C$5:$C$370),0)+IFERROR(SUMIF(Nutzungsprofile!$B$17:$B$22,"Halle",Nutzungsprofile!$G$17:$G$22)*Kalender!D9/SUM(Kalender!$D$5:$D$370),0)+IFERROR(SUMIF(Nutzungsprofile!$B$17:$B$22,"Individuell",Nutzungsprofile!$G$17:$G$22)*Kalender!E9/SUM(Kalender!$E$5:$E$370),0))*Szenarien!$D$17,0)</f>
        <v>4.94</v>
      </c>
      <c r="E2205" s="13" t="n">
        <f aca="false">IFERROR(MIN(C2205,Eingaben!$B$17)*Eingaben!$B$16,0)</f>
        <v>2.793</v>
      </c>
      <c r="F2205" s="13" t="n">
        <f aca="false">IFERROR(E2205*Eingaben!$B$15,0)</f>
        <v>2.5137</v>
      </c>
      <c r="G2205" s="13" t="n">
        <f aca="false">IFERROR(IF(Kalender!A9="",0,J2204*(1-Eingaben!$B$20)),0)</f>
        <v>1.709316</v>
      </c>
      <c r="H2205" s="13" t="n">
        <f aca="false">MIN(G2205,D2205)</f>
        <v>1.709316</v>
      </c>
      <c r="I2205" s="13" t="n">
        <f aca="false">IFERROR(MIN(F2205*Eingaben!$B$19,MAX(0,D2205-H2205)),0)</f>
        <v>1.75959</v>
      </c>
      <c r="J2205" s="13" t="n">
        <f aca="false">IFERROR(MIN(Eingaben!$B$18,MAX(0,F2205-I2205)),0)</f>
        <v>0.75411</v>
      </c>
      <c r="K2205" s="13" t="n">
        <f aca="false">H2205+I2205</f>
        <v>3.468906</v>
      </c>
      <c r="L2205" s="13" t="n">
        <f aca="false">MAX(0,D2205-K2205)</f>
        <v>1.471094</v>
      </c>
      <c r="M2205" s="13" t="n">
        <f aca="false">MAX(0,F2205-I2205-J2205)</f>
        <v>0</v>
      </c>
      <c r="N2205" s="13" t="n">
        <f aca="false">IF(Kalender!A9="",0,J2204-H2205)</f>
        <v>0.0348840000000001</v>
      </c>
    </row>
    <row r="2206" customFormat="false" ht="16.4" hidden="false" customHeight="false" outlineLevel="0" collapsed="false">
      <c r="A2206" s="13" t="str">
        <f aca="false">""</f>
        <v/>
      </c>
      <c r="B2206" s="13" t="n">
        <f aca="false">6</f>
        <v>6</v>
      </c>
      <c r="C2206" s="13" t="n">
        <f aca="false">IF(Szenarien!$H$17="OK",(IFERROR(SUMIF(Nutzungsprofile!$B$6:$B$11,"Schulbetrieb",Nutzungsprofile!$G$6:$G$11)*Kalender!C10/SUM(Kalender!$C$5:$C$370),0)+IFERROR(SUMIF(Nutzungsprofile!$B$6:$B$11,"Halle",Nutzungsprofile!$G$6:$G$11)*Kalender!D10/SUM(Kalender!$D$5:$D$370),0)+IFERROR(SUMIF(Nutzungsprofile!$B$6:$B$11,"Individuell",Nutzungsprofile!$G$6:$G$11)*Kalender!E10/SUM(Kalender!$E$5:$E$370),0))*Szenarien!$E$17,0)</f>
        <v>2.94</v>
      </c>
      <c r="D2206" s="13" t="n">
        <f aca="false">IF(Szenarien!$H$17="OK",(IFERROR(SUMIF(Nutzungsprofile!$B$17:$B$22,"Schulbetrieb",Nutzungsprofile!$G$17:$G$22)*Kalender!C10/SUM(Kalender!$C$5:$C$370),0)+IFERROR(SUMIF(Nutzungsprofile!$B$17:$B$22,"Halle",Nutzungsprofile!$G$17:$G$22)*Kalender!D10/SUM(Kalender!$D$5:$D$370),0)+IFERROR(SUMIF(Nutzungsprofile!$B$17:$B$22,"Individuell",Nutzungsprofile!$G$17:$G$22)*Kalender!E10/SUM(Kalender!$E$5:$E$370),0))*Szenarien!$D$17,0)</f>
        <v>4.94</v>
      </c>
      <c r="E2206" s="13" t="n">
        <f aca="false">IFERROR(MIN(C2206,Eingaben!$B$17)*Eingaben!$B$16,0)</f>
        <v>2.793</v>
      </c>
      <c r="F2206" s="13" t="n">
        <f aca="false">IFERROR(E2206*Eingaben!$B$15,0)</f>
        <v>2.5137</v>
      </c>
      <c r="G2206" s="13" t="n">
        <f aca="false">IFERROR(IF(Kalender!A10="",0,J2205*(1-Eingaben!$B$20)),0)</f>
        <v>0.7390278</v>
      </c>
      <c r="H2206" s="13" t="n">
        <f aca="false">MIN(G2206,D2206)</f>
        <v>0.7390278</v>
      </c>
      <c r="I2206" s="13" t="n">
        <f aca="false">IFERROR(MIN(F2206*Eingaben!$B$19,MAX(0,D2206-H2206)),0)</f>
        <v>1.75959</v>
      </c>
      <c r="J2206" s="13" t="n">
        <f aca="false">IFERROR(MIN(Eingaben!$B$18,MAX(0,F2206-I2206)),0)</f>
        <v>0.75411</v>
      </c>
      <c r="K2206" s="13" t="n">
        <f aca="false">H2206+I2206</f>
        <v>2.4986178</v>
      </c>
      <c r="L2206" s="13" t="n">
        <f aca="false">MAX(0,D2206-K2206)</f>
        <v>2.4413822</v>
      </c>
      <c r="M2206" s="13" t="n">
        <f aca="false">MAX(0,F2206-I2206-J2206)</f>
        <v>0</v>
      </c>
      <c r="N2206" s="13" t="n">
        <f aca="false">IF(Kalender!A10="",0,J2205-H2206)</f>
        <v>0.0150822</v>
      </c>
    </row>
    <row r="2207" customFormat="false" ht="16.4" hidden="false" customHeight="false" outlineLevel="0" collapsed="false">
      <c r="A2207" s="13" t="str">
        <f aca="false">""</f>
        <v/>
      </c>
      <c r="B2207" s="13" t="n">
        <f aca="false">7</f>
        <v>7</v>
      </c>
      <c r="C2207" s="13" t="n">
        <f aca="false">IF(Szenarien!$H$17="OK",(IFERROR(SUMIF(Nutzungsprofile!$B$6:$B$11,"Schulbetrieb",Nutzungsprofile!$G$6:$G$11)*Kalender!C11/SUM(Kalender!$C$5:$C$370),0)+IFERROR(SUMIF(Nutzungsprofile!$B$6:$B$11,"Halle",Nutzungsprofile!$G$6:$G$11)*Kalender!D11/SUM(Kalender!$D$5:$D$370),0)+IFERROR(SUMIF(Nutzungsprofile!$B$6:$B$11,"Individuell",Nutzungsprofile!$G$6:$G$11)*Kalender!E11/SUM(Kalender!$E$5:$E$370),0))*Szenarien!$E$17,0)</f>
        <v>2.94</v>
      </c>
      <c r="D2207" s="13" t="n">
        <f aca="false">IF(Szenarien!$H$17="OK",(IFERROR(SUMIF(Nutzungsprofile!$B$17:$B$22,"Schulbetrieb",Nutzungsprofile!$G$17:$G$22)*Kalender!C11/SUM(Kalender!$C$5:$C$370),0)+IFERROR(SUMIF(Nutzungsprofile!$B$17:$B$22,"Halle",Nutzungsprofile!$G$17:$G$22)*Kalender!D11/SUM(Kalender!$D$5:$D$370),0)+IFERROR(SUMIF(Nutzungsprofile!$B$17:$B$22,"Individuell",Nutzungsprofile!$G$17:$G$22)*Kalender!E11/SUM(Kalender!$E$5:$E$370),0))*Szenarien!$D$17,0)</f>
        <v>4.94</v>
      </c>
      <c r="E2207" s="13" t="n">
        <f aca="false">IFERROR(MIN(C2207,Eingaben!$B$17)*Eingaben!$B$16,0)</f>
        <v>2.793</v>
      </c>
      <c r="F2207" s="13" t="n">
        <f aca="false">IFERROR(E2207*Eingaben!$B$15,0)</f>
        <v>2.5137</v>
      </c>
      <c r="G2207" s="13" t="n">
        <f aca="false">IFERROR(IF(Kalender!A11="",0,J2206*(1-Eingaben!$B$20)),0)</f>
        <v>0.7390278</v>
      </c>
      <c r="H2207" s="13" t="n">
        <f aca="false">MIN(G2207,D2207)</f>
        <v>0.7390278</v>
      </c>
      <c r="I2207" s="13" t="n">
        <f aca="false">IFERROR(MIN(F2207*Eingaben!$B$19,MAX(0,D2207-H2207)),0)</f>
        <v>1.75959</v>
      </c>
      <c r="J2207" s="13" t="n">
        <f aca="false">IFERROR(MIN(Eingaben!$B$18,MAX(0,F2207-I2207)),0)</f>
        <v>0.75411</v>
      </c>
      <c r="K2207" s="13" t="n">
        <f aca="false">H2207+I2207</f>
        <v>2.4986178</v>
      </c>
      <c r="L2207" s="13" t="n">
        <f aca="false">MAX(0,D2207-K2207)</f>
        <v>2.4413822</v>
      </c>
      <c r="M2207" s="13" t="n">
        <f aca="false">MAX(0,F2207-I2207-J2207)</f>
        <v>0</v>
      </c>
      <c r="N2207" s="13" t="n">
        <f aca="false">IF(Kalender!A11="",0,J2206-H2207)</f>
        <v>0.0150822</v>
      </c>
    </row>
    <row r="2208" customFormat="false" ht="16.4" hidden="false" customHeight="false" outlineLevel="0" collapsed="false">
      <c r="A2208" s="13" t="str">
        <f aca="false">""</f>
        <v/>
      </c>
      <c r="B2208" s="13" t="n">
        <f aca="false">8</f>
        <v>8</v>
      </c>
      <c r="C2208" s="13" t="n">
        <f aca="false">IF(Szenarien!$H$17="OK",(IFERROR(SUMIF(Nutzungsprofile!$B$6:$B$11,"Schulbetrieb",Nutzungsprofile!$G$6:$G$11)*Kalender!C12/SUM(Kalender!$C$5:$C$370),0)+IFERROR(SUMIF(Nutzungsprofile!$B$6:$B$11,"Halle",Nutzungsprofile!$G$6:$G$11)*Kalender!D12/SUM(Kalender!$D$5:$D$370),0)+IFERROR(SUMIF(Nutzungsprofile!$B$6:$B$11,"Individuell",Nutzungsprofile!$G$6:$G$11)*Kalender!E12/SUM(Kalender!$E$5:$E$370),0))*Szenarien!$E$17,0)</f>
        <v>2.94</v>
      </c>
      <c r="D2208" s="13" t="n">
        <f aca="false">IF(Szenarien!$H$17="OK",(IFERROR(SUMIF(Nutzungsprofile!$B$17:$B$22,"Schulbetrieb",Nutzungsprofile!$G$17:$G$22)*Kalender!C12/SUM(Kalender!$C$5:$C$370),0)+IFERROR(SUMIF(Nutzungsprofile!$B$17:$B$22,"Halle",Nutzungsprofile!$G$17:$G$22)*Kalender!D12/SUM(Kalender!$D$5:$D$370),0)+IFERROR(SUMIF(Nutzungsprofile!$B$17:$B$22,"Individuell",Nutzungsprofile!$G$17:$G$22)*Kalender!E12/SUM(Kalender!$E$5:$E$370),0))*Szenarien!$D$17,0)</f>
        <v>4.94</v>
      </c>
      <c r="E2208" s="13" t="n">
        <f aca="false">IFERROR(MIN(C2208,Eingaben!$B$17)*Eingaben!$B$16,0)</f>
        <v>2.793</v>
      </c>
      <c r="F2208" s="13" t="n">
        <f aca="false">IFERROR(E2208*Eingaben!$B$15,0)</f>
        <v>2.5137</v>
      </c>
      <c r="G2208" s="13" t="n">
        <f aca="false">IFERROR(IF(Kalender!A12="",0,J2207*(1-Eingaben!$B$20)),0)</f>
        <v>0.7390278</v>
      </c>
      <c r="H2208" s="13" t="n">
        <f aca="false">MIN(G2208,D2208)</f>
        <v>0.7390278</v>
      </c>
      <c r="I2208" s="13" t="n">
        <f aca="false">IFERROR(MIN(F2208*Eingaben!$B$19,MAX(0,D2208-H2208)),0)</f>
        <v>1.75959</v>
      </c>
      <c r="J2208" s="13" t="n">
        <f aca="false">IFERROR(MIN(Eingaben!$B$18,MAX(0,F2208-I2208)),0)</f>
        <v>0.75411</v>
      </c>
      <c r="K2208" s="13" t="n">
        <f aca="false">H2208+I2208</f>
        <v>2.4986178</v>
      </c>
      <c r="L2208" s="13" t="n">
        <f aca="false">MAX(0,D2208-K2208)</f>
        <v>2.4413822</v>
      </c>
      <c r="M2208" s="13" t="n">
        <f aca="false">MAX(0,F2208-I2208-J2208)</f>
        <v>0</v>
      </c>
      <c r="N2208" s="13" t="n">
        <f aca="false">IF(Kalender!A12="",0,J2207-H2208)</f>
        <v>0.0150822</v>
      </c>
    </row>
    <row r="2209" customFormat="false" ht="16.4" hidden="false" customHeight="false" outlineLevel="0" collapsed="false">
      <c r="A2209" s="13" t="str">
        <f aca="false">""</f>
        <v/>
      </c>
      <c r="B2209" s="13" t="n">
        <f aca="false">9</f>
        <v>9</v>
      </c>
      <c r="C2209" s="13" t="n">
        <f aca="false">IF(Szenarien!$H$17="OK",(IFERROR(SUMIF(Nutzungsprofile!$B$6:$B$11,"Schulbetrieb",Nutzungsprofile!$G$6:$G$11)*Kalender!C13/SUM(Kalender!$C$5:$C$370),0)+IFERROR(SUMIF(Nutzungsprofile!$B$6:$B$11,"Halle",Nutzungsprofile!$G$6:$G$11)*Kalender!D13/SUM(Kalender!$D$5:$D$370),0)+IFERROR(SUMIF(Nutzungsprofile!$B$6:$B$11,"Individuell",Nutzungsprofile!$G$6:$G$11)*Kalender!E13/SUM(Kalender!$E$5:$E$370),0))*Szenarien!$E$17,0)</f>
        <v>2.94</v>
      </c>
      <c r="D2209" s="13" t="n">
        <f aca="false">IF(Szenarien!$H$17="OK",(IFERROR(SUMIF(Nutzungsprofile!$B$17:$B$22,"Schulbetrieb",Nutzungsprofile!$G$17:$G$22)*Kalender!C13/SUM(Kalender!$C$5:$C$370),0)+IFERROR(SUMIF(Nutzungsprofile!$B$17:$B$22,"Halle",Nutzungsprofile!$G$17:$G$22)*Kalender!D13/SUM(Kalender!$D$5:$D$370),0)+IFERROR(SUMIF(Nutzungsprofile!$B$17:$B$22,"Individuell",Nutzungsprofile!$G$17:$G$22)*Kalender!E13/SUM(Kalender!$E$5:$E$370),0))*Szenarien!$D$17,0)</f>
        <v>4.94</v>
      </c>
      <c r="E2209" s="13" t="n">
        <f aca="false">IFERROR(MIN(C2209,Eingaben!$B$17)*Eingaben!$B$16,0)</f>
        <v>2.793</v>
      </c>
      <c r="F2209" s="13" t="n">
        <f aca="false">IFERROR(E2209*Eingaben!$B$15,0)</f>
        <v>2.5137</v>
      </c>
      <c r="G2209" s="13" t="n">
        <f aca="false">IFERROR(IF(Kalender!A13="",0,J2208*(1-Eingaben!$B$20)),0)</f>
        <v>0.7390278</v>
      </c>
      <c r="H2209" s="13" t="n">
        <f aca="false">MIN(G2209,D2209)</f>
        <v>0.7390278</v>
      </c>
      <c r="I2209" s="13" t="n">
        <f aca="false">IFERROR(MIN(F2209*Eingaben!$B$19,MAX(0,D2209-H2209)),0)</f>
        <v>1.75959</v>
      </c>
      <c r="J2209" s="13" t="n">
        <f aca="false">IFERROR(MIN(Eingaben!$B$18,MAX(0,F2209-I2209)),0)</f>
        <v>0.75411</v>
      </c>
      <c r="K2209" s="13" t="n">
        <f aca="false">H2209+I2209</f>
        <v>2.4986178</v>
      </c>
      <c r="L2209" s="13" t="n">
        <f aca="false">MAX(0,D2209-K2209)</f>
        <v>2.4413822</v>
      </c>
      <c r="M2209" s="13" t="n">
        <f aca="false">MAX(0,F2209-I2209-J2209)</f>
        <v>0</v>
      </c>
      <c r="N2209" s="13" t="n">
        <f aca="false">IF(Kalender!A13="",0,J2208-H2209)</f>
        <v>0.0150822</v>
      </c>
    </row>
    <row r="2210" customFormat="false" ht="16.4" hidden="false" customHeight="false" outlineLevel="0" collapsed="false">
      <c r="A2210" s="13" t="str">
        <f aca="false">""</f>
        <v/>
      </c>
      <c r="B2210" s="13" t="n">
        <f aca="false">10</f>
        <v>10</v>
      </c>
      <c r="C2210" s="13" t="n">
        <f aca="false">IF(Szenarien!$H$17="OK",(IFERROR(SUMIF(Nutzungsprofile!$B$6:$B$11,"Schulbetrieb",Nutzungsprofile!$G$6:$G$11)*Kalender!C14/SUM(Kalender!$C$5:$C$370),0)+IFERROR(SUMIF(Nutzungsprofile!$B$6:$B$11,"Halle",Nutzungsprofile!$G$6:$G$11)*Kalender!D14/SUM(Kalender!$D$5:$D$370),0)+IFERROR(SUMIF(Nutzungsprofile!$B$6:$B$11,"Individuell",Nutzungsprofile!$G$6:$G$11)*Kalender!E14/SUM(Kalender!$E$5:$E$370),0))*Szenarien!$E$17,0)</f>
        <v>2.04</v>
      </c>
      <c r="D2210" s="13" t="n">
        <f aca="false">IF(Szenarien!$H$17="OK",(IFERROR(SUMIF(Nutzungsprofile!$B$17:$B$22,"Schulbetrieb",Nutzungsprofile!$G$17:$G$22)*Kalender!C14/SUM(Kalender!$C$5:$C$370),0)+IFERROR(SUMIF(Nutzungsprofile!$B$17:$B$22,"Halle",Nutzungsprofile!$G$17:$G$22)*Kalender!D14/SUM(Kalender!$D$5:$D$370),0)+IFERROR(SUMIF(Nutzungsprofile!$B$17:$B$22,"Individuell",Nutzungsprofile!$G$17:$G$22)*Kalender!E14/SUM(Kalender!$E$5:$E$370),0))*Szenarien!$D$17,0)</f>
        <v>0.89</v>
      </c>
      <c r="E2210" s="13" t="n">
        <f aca="false">IFERROR(MIN(C2210,Eingaben!$B$17)*Eingaben!$B$16,0)</f>
        <v>1.938</v>
      </c>
      <c r="F2210" s="13" t="n">
        <f aca="false">IFERROR(E2210*Eingaben!$B$15,0)</f>
        <v>1.7442</v>
      </c>
      <c r="G2210" s="13" t="n">
        <f aca="false">IFERROR(IF(Kalender!A14="",0,J2209*(1-Eingaben!$B$20)),0)</f>
        <v>0.7390278</v>
      </c>
      <c r="H2210" s="13" t="n">
        <f aca="false">MIN(G2210,D2210)</f>
        <v>0.7390278</v>
      </c>
      <c r="I2210" s="13" t="n">
        <f aca="false">IFERROR(MIN(F2210*Eingaben!$B$19,MAX(0,D2210-H2210)),0)</f>
        <v>0.1509722</v>
      </c>
      <c r="J2210" s="13" t="n">
        <f aca="false">IFERROR(MIN(Eingaben!$B$18,MAX(0,F2210-I2210)),0)</f>
        <v>1.5932278</v>
      </c>
      <c r="K2210" s="13" t="n">
        <f aca="false">H2210+I2210</f>
        <v>0.89</v>
      </c>
      <c r="L2210" s="13" t="n">
        <f aca="false">MAX(0,D2210-K2210)</f>
        <v>0</v>
      </c>
      <c r="M2210" s="13" t="n">
        <f aca="false">MAX(0,F2210-I2210-J2210)</f>
        <v>0</v>
      </c>
      <c r="N2210" s="13" t="n">
        <f aca="false">IF(Kalender!A14="",0,J2209-H2210)</f>
        <v>0.0150822</v>
      </c>
    </row>
    <row r="2211" customFormat="false" ht="16.4" hidden="false" customHeight="false" outlineLevel="0" collapsed="false">
      <c r="A2211" s="13" t="str">
        <f aca="false">""</f>
        <v/>
      </c>
      <c r="B2211" s="13" t="n">
        <f aca="false">11</f>
        <v>11</v>
      </c>
      <c r="C2211" s="13" t="n">
        <f aca="false">IF(Szenarien!$H$17="OK",(IFERROR(SUMIF(Nutzungsprofile!$B$6:$B$11,"Schulbetrieb",Nutzungsprofile!$G$6:$G$11)*Kalender!C15/SUM(Kalender!$C$5:$C$370),0)+IFERROR(SUMIF(Nutzungsprofile!$B$6:$B$11,"Halle",Nutzungsprofile!$G$6:$G$11)*Kalender!D15/SUM(Kalender!$D$5:$D$370),0)+IFERROR(SUMIF(Nutzungsprofile!$B$6:$B$11,"Individuell",Nutzungsprofile!$G$6:$G$11)*Kalender!E15/SUM(Kalender!$E$5:$E$370),0))*Szenarien!$E$17,0)</f>
        <v>2.04</v>
      </c>
      <c r="D2211" s="13" t="n">
        <f aca="false">IF(Szenarien!$H$17="OK",(IFERROR(SUMIF(Nutzungsprofile!$B$17:$B$22,"Schulbetrieb",Nutzungsprofile!$G$17:$G$22)*Kalender!C15/SUM(Kalender!$C$5:$C$370),0)+IFERROR(SUMIF(Nutzungsprofile!$B$17:$B$22,"Halle",Nutzungsprofile!$G$17:$G$22)*Kalender!D15/SUM(Kalender!$D$5:$D$370),0)+IFERROR(SUMIF(Nutzungsprofile!$B$17:$B$22,"Individuell",Nutzungsprofile!$G$17:$G$22)*Kalender!E15/SUM(Kalender!$E$5:$E$370),0))*Szenarien!$D$17,0)</f>
        <v>0.89</v>
      </c>
      <c r="E2211" s="13" t="n">
        <f aca="false">IFERROR(MIN(C2211,Eingaben!$B$17)*Eingaben!$B$16,0)</f>
        <v>1.938</v>
      </c>
      <c r="F2211" s="13" t="n">
        <f aca="false">IFERROR(E2211*Eingaben!$B$15,0)</f>
        <v>1.7442</v>
      </c>
      <c r="G2211" s="13" t="n">
        <f aca="false">IFERROR(IF(Kalender!A15="",0,J2210*(1-Eingaben!$B$20)),0)</f>
        <v>1.561363244</v>
      </c>
      <c r="H2211" s="13" t="n">
        <f aca="false">MIN(G2211,D2211)</f>
        <v>0.89</v>
      </c>
      <c r="I2211" s="13" t="n">
        <f aca="false">IFERROR(MIN(F2211*Eingaben!$B$19,MAX(0,D2211-H2211)),0)</f>
        <v>0</v>
      </c>
      <c r="J2211" s="13" t="n">
        <f aca="false">IFERROR(MIN(Eingaben!$B$18,MAX(0,F2211-I2211)),0)</f>
        <v>1.7442</v>
      </c>
      <c r="K2211" s="13" t="n">
        <f aca="false">H2211+I2211</f>
        <v>0.89</v>
      </c>
      <c r="L2211" s="13" t="n">
        <f aca="false">MAX(0,D2211-K2211)</f>
        <v>0</v>
      </c>
      <c r="M2211" s="13" t="n">
        <f aca="false">MAX(0,F2211-I2211-J2211)</f>
        <v>0</v>
      </c>
      <c r="N2211" s="13" t="n">
        <f aca="false">IF(Kalender!A15="",0,J2210-H2211)</f>
        <v>0.7032278</v>
      </c>
    </row>
    <row r="2212" customFormat="false" ht="16.4" hidden="false" customHeight="false" outlineLevel="0" collapsed="false">
      <c r="A2212" s="13" t="str">
        <f aca="false">""</f>
        <v/>
      </c>
      <c r="B2212" s="13" t="n">
        <f aca="false">12</f>
        <v>12</v>
      </c>
      <c r="C2212" s="13" t="n">
        <f aca="false">IF(Szenarien!$H$17="OK",(IFERROR(SUMIF(Nutzungsprofile!$B$6:$B$11,"Schulbetrieb",Nutzungsprofile!$G$6:$G$11)*Kalender!C16/SUM(Kalender!$C$5:$C$370),0)+IFERROR(SUMIF(Nutzungsprofile!$B$6:$B$11,"Halle",Nutzungsprofile!$G$6:$G$11)*Kalender!D16/SUM(Kalender!$D$5:$D$370),0)+IFERROR(SUMIF(Nutzungsprofile!$B$6:$B$11,"Individuell",Nutzungsprofile!$G$6:$G$11)*Kalender!E16/SUM(Kalender!$E$5:$E$370),0))*Szenarien!$E$17,0)</f>
        <v>2.94</v>
      </c>
      <c r="D2212" s="13" t="n">
        <f aca="false">IF(Szenarien!$H$17="OK",(IFERROR(SUMIF(Nutzungsprofile!$B$17:$B$22,"Schulbetrieb",Nutzungsprofile!$G$17:$G$22)*Kalender!C16/SUM(Kalender!$C$5:$C$370),0)+IFERROR(SUMIF(Nutzungsprofile!$B$17:$B$22,"Halle",Nutzungsprofile!$G$17:$G$22)*Kalender!D16/SUM(Kalender!$D$5:$D$370),0)+IFERROR(SUMIF(Nutzungsprofile!$B$17:$B$22,"Individuell",Nutzungsprofile!$G$17:$G$22)*Kalender!E16/SUM(Kalender!$E$5:$E$370),0))*Szenarien!$D$17,0)</f>
        <v>4.94</v>
      </c>
      <c r="E2212" s="13" t="n">
        <f aca="false">IFERROR(MIN(C2212,Eingaben!$B$17)*Eingaben!$B$16,0)</f>
        <v>2.793</v>
      </c>
      <c r="F2212" s="13" t="n">
        <f aca="false">IFERROR(E2212*Eingaben!$B$15,0)</f>
        <v>2.5137</v>
      </c>
      <c r="G2212" s="13" t="n">
        <f aca="false">IFERROR(IF(Kalender!A16="",0,J2211*(1-Eingaben!$B$20)),0)</f>
        <v>1.709316</v>
      </c>
      <c r="H2212" s="13" t="n">
        <f aca="false">MIN(G2212,D2212)</f>
        <v>1.709316</v>
      </c>
      <c r="I2212" s="13" t="n">
        <f aca="false">IFERROR(MIN(F2212*Eingaben!$B$19,MAX(0,D2212-H2212)),0)</f>
        <v>1.75959</v>
      </c>
      <c r="J2212" s="13" t="n">
        <f aca="false">IFERROR(MIN(Eingaben!$B$18,MAX(0,F2212-I2212)),0)</f>
        <v>0.75411</v>
      </c>
      <c r="K2212" s="13" t="n">
        <f aca="false">H2212+I2212</f>
        <v>3.468906</v>
      </c>
      <c r="L2212" s="13" t="n">
        <f aca="false">MAX(0,D2212-K2212)</f>
        <v>1.471094</v>
      </c>
      <c r="M2212" s="13" t="n">
        <f aca="false">MAX(0,F2212-I2212-J2212)</f>
        <v>0</v>
      </c>
      <c r="N2212" s="13" t="n">
        <f aca="false">IF(Kalender!A16="",0,J2211-H2212)</f>
        <v>0.0348840000000001</v>
      </c>
    </row>
    <row r="2213" customFormat="false" ht="16.4" hidden="false" customHeight="false" outlineLevel="0" collapsed="false">
      <c r="A2213" s="13" t="str">
        <f aca="false">""</f>
        <v/>
      </c>
      <c r="B2213" s="13" t="n">
        <f aca="false">13</f>
        <v>13</v>
      </c>
      <c r="C2213" s="13" t="n">
        <f aca="false">IF(Szenarien!$H$17="OK",(IFERROR(SUMIF(Nutzungsprofile!$B$6:$B$11,"Schulbetrieb",Nutzungsprofile!$G$6:$G$11)*Kalender!C17/SUM(Kalender!$C$5:$C$370),0)+IFERROR(SUMIF(Nutzungsprofile!$B$6:$B$11,"Halle",Nutzungsprofile!$G$6:$G$11)*Kalender!D17/SUM(Kalender!$D$5:$D$370),0)+IFERROR(SUMIF(Nutzungsprofile!$B$6:$B$11,"Individuell",Nutzungsprofile!$G$6:$G$11)*Kalender!E17/SUM(Kalender!$E$5:$E$370),0))*Szenarien!$E$17,0)</f>
        <v>2.94</v>
      </c>
      <c r="D2213" s="13" t="n">
        <f aca="false">IF(Szenarien!$H$17="OK",(IFERROR(SUMIF(Nutzungsprofile!$B$17:$B$22,"Schulbetrieb",Nutzungsprofile!$G$17:$G$22)*Kalender!C17/SUM(Kalender!$C$5:$C$370),0)+IFERROR(SUMIF(Nutzungsprofile!$B$17:$B$22,"Halle",Nutzungsprofile!$G$17:$G$22)*Kalender!D17/SUM(Kalender!$D$5:$D$370),0)+IFERROR(SUMIF(Nutzungsprofile!$B$17:$B$22,"Individuell",Nutzungsprofile!$G$17:$G$22)*Kalender!E17/SUM(Kalender!$E$5:$E$370),0))*Szenarien!$D$17,0)</f>
        <v>4.94</v>
      </c>
      <c r="E2213" s="13" t="n">
        <f aca="false">IFERROR(MIN(C2213,Eingaben!$B$17)*Eingaben!$B$16,0)</f>
        <v>2.793</v>
      </c>
      <c r="F2213" s="13" t="n">
        <f aca="false">IFERROR(E2213*Eingaben!$B$15,0)</f>
        <v>2.5137</v>
      </c>
      <c r="G2213" s="13" t="n">
        <f aca="false">IFERROR(IF(Kalender!A17="",0,J2212*(1-Eingaben!$B$20)),0)</f>
        <v>0.7390278</v>
      </c>
      <c r="H2213" s="13" t="n">
        <f aca="false">MIN(G2213,D2213)</f>
        <v>0.7390278</v>
      </c>
      <c r="I2213" s="13" t="n">
        <f aca="false">IFERROR(MIN(F2213*Eingaben!$B$19,MAX(0,D2213-H2213)),0)</f>
        <v>1.75959</v>
      </c>
      <c r="J2213" s="13" t="n">
        <f aca="false">IFERROR(MIN(Eingaben!$B$18,MAX(0,F2213-I2213)),0)</f>
        <v>0.75411</v>
      </c>
      <c r="K2213" s="13" t="n">
        <f aca="false">H2213+I2213</f>
        <v>2.4986178</v>
      </c>
      <c r="L2213" s="13" t="n">
        <f aca="false">MAX(0,D2213-K2213)</f>
        <v>2.4413822</v>
      </c>
      <c r="M2213" s="13" t="n">
        <f aca="false">MAX(0,F2213-I2213-J2213)</f>
        <v>0</v>
      </c>
      <c r="N2213" s="13" t="n">
        <f aca="false">IF(Kalender!A17="",0,J2212-H2213)</f>
        <v>0.0150822</v>
      </c>
    </row>
    <row r="2214" customFormat="false" ht="16.4" hidden="false" customHeight="false" outlineLevel="0" collapsed="false">
      <c r="A2214" s="13" t="str">
        <f aca="false">""</f>
        <v/>
      </c>
      <c r="B2214" s="13" t="n">
        <f aca="false">14</f>
        <v>14</v>
      </c>
      <c r="C2214" s="13" t="n">
        <f aca="false">IF(Szenarien!$H$17="OK",(IFERROR(SUMIF(Nutzungsprofile!$B$6:$B$11,"Schulbetrieb",Nutzungsprofile!$G$6:$G$11)*Kalender!C18/SUM(Kalender!$C$5:$C$370),0)+IFERROR(SUMIF(Nutzungsprofile!$B$6:$B$11,"Halle",Nutzungsprofile!$G$6:$G$11)*Kalender!D18/SUM(Kalender!$D$5:$D$370),0)+IFERROR(SUMIF(Nutzungsprofile!$B$6:$B$11,"Individuell",Nutzungsprofile!$G$6:$G$11)*Kalender!E18/SUM(Kalender!$E$5:$E$370),0))*Szenarien!$E$17,0)</f>
        <v>2.94</v>
      </c>
      <c r="D2214" s="13" t="n">
        <f aca="false">IF(Szenarien!$H$17="OK",(IFERROR(SUMIF(Nutzungsprofile!$B$17:$B$22,"Schulbetrieb",Nutzungsprofile!$G$17:$G$22)*Kalender!C18/SUM(Kalender!$C$5:$C$370),0)+IFERROR(SUMIF(Nutzungsprofile!$B$17:$B$22,"Halle",Nutzungsprofile!$G$17:$G$22)*Kalender!D18/SUM(Kalender!$D$5:$D$370),0)+IFERROR(SUMIF(Nutzungsprofile!$B$17:$B$22,"Individuell",Nutzungsprofile!$G$17:$G$22)*Kalender!E18/SUM(Kalender!$E$5:$E$370),0))*Szenarien!$D$17,0)</f>
        <v>4.94</v>
      </c>
      <c r="E2214" s="13" t="n">
        <f aca="false">IFERROR(MIN(C2214,Eingaben!$B$17)*Eingaben!$B$16,0)</f>
        <v>2.793</v>
      </c>
      <c r="F2214" s="13" t="n">
        <f aca="false">IFERROR(E2214*Eingaben!$B$15,0)</f>
        <v>2.5137</v>
      </c>
      <c r="G2214" s="13" t="n">
        <f aca="false">IFERROR(IF(Kalender!A18="",0,J2213*(1-Eingaben!$B$20)),0)</f>
        <v>0.7390278</v>
      </c>
      <c r="H2214" s="13" t="n">
        <f aca="false">MIN(G2214,D2214)</f>
        <v>0.7390278</v>
      </c>
      <c r="I2214" s="13" t="n">
        <f aca="false">IFERROR(MIN(F2214*Eingaben!$B$19,MAX(0,D2214-H2214)),0)</f>
        <v>1.75959</v>
      </c>
      <c r="J2214" s="13" t="n">
        <f aca="false">IFERROR(MIN(Eingaben!$B$18,MAX(0,F2214-I2214)),0)</f>
        <v>0.75411</v>
      </c>
      <c r="K2214" s="13" t="n">
        <f aca="false">H2214+I2214</f>
        <v>2.4986178</v>
      </c>
      <c r="L2214" s="13" t="n">
        <f aca="false">MAX(0,D2214-K2214)</f>
        <v>2.4413822</v>
      </c>
      <c r="M2214" s="13" t="n">
        <f aca="false">MAX(0,F2214-I2214-J2214)</f>
        <v>0</v>
      </c>
      <c r="N2214" s="13" t="n">
        <f aca="false">IF(Kalender!A18="",0,J2213-H2214)</f>
        <v>0.0150822</v>
      </c>
    </row>
    <row r="2215" customFormat="false" ht="16.4" hidden="false" customHeight="false" outlineLevel="0" collapsed="false">
      <c r="A2215" s="13" t="str">
        <f aca="false">""</f>
        <v/>
      </c>
      <c r="B2215" s="13" t="n">
        <f aca="false">15</f>
        <v>15</v>
      </c>
      <c r="C2215" s="13" t="n">
        <f aca="false">IF(Szenarien!$H$17="OK",(IFERROR(SUMIF(Nutzungsprofile!$B$6:$B$11,"Schulbetrieb",Nutzungsprofile!$G$6:$G$11)*Kalender!C19/SUM(Kalender!$C$5:$C$370),0)+IFERROR(SUMIF(Nutzungsprofile!$B$6:$B$11,"Halle",Nutzungsprofile!$G$6:$G$11)*Kalender!D19/SUM(Kalender!$D$5:$D$370),0)+IFERROR(SUMIF(Nutzungsprofile!$B$6:$B$11,"Individuell",Nutzungsprofile!$G$6:$G$11)*Kalender!E19/SUM(Kalender!$E$5:$E$370),0))*Szenarien!$E$17,0)</f>
        <v>2.94</v>
      </c>
      <c r="D2215" s="13" t="n">
        <f aca="false">IF(Szenarien!$H$17="OK",(IFERROR(SUMIF(Nutzungsprofile!$B$17:$B$22,"Schulbetrieb",Nutzungsprofile!$G$17:$G$22)*Kalender!C19/SUM(Kalender!$C$5:$C$370),0)+IFERROR(SUMIF(Nutzungsprofile!$B$17:$B$22,"Halle",Nutzungsprofile!$G$17:$G$22)*Kalender!D19/SUM(Kalender!$D$5:$D$370),0)+IFERROR(SUMIF(Nutzungsprofile!$B$17:$B$22,"Individuell",Nutzungsprofile!$G$17:$G$22)*Kalender!E19/SUM(Kalender!$E$5:$E$370),0))*Szenarien!$D$17,0)</f>
        <v>4.94</v>
      </c>
      <c r="E2215" s="13" t="n">
        <f aca="false">IFERROR(MIN(C2215,Eingaben!$B$17)*Eingaben!$B$16,0)</f>
        <v>2.793</v>
      </c>
      <c r="F2215" s="13" t="n">
        <f aca="false">IFERROR(E2215*Eingaben!$B$15,0)</f>
        <v>2.5137</v>
      </c>
      <c r="G2215" s="13" t="n">
        <f aca="false">IFERROR(IF(Kalender!A19="",0,J2214*(1-Eingaben!$B$20)),0)</f>
        <v>0.7390278</v>
      </c>
      <c r="H2215" s="13" t="n">
        <f aca="false">MIN(G2215,D2215)</f>
        <v>0.7390278</v>
      </c>
      <c r="I2215" s="13" t="n">
        <f aca="false">IFERROR(MIN(F2215*Eingaben!$B$19,MAX(0,D2215-H2215)),0)</f>
        <v>1.75959</v>
      </c>
      <c r="J2215" s="13" t="n">
        <f aca="false">IFERROR(MIN(Eingaben!$B$18,MAX(0,F2215-I2215)),0)</f>
        <v>0.75411</v>
      </c>
      <c r="K2215" s="13" t="n">
        <f aca="false">H2215+I2215</f>
        <v>2.4986178</v>
      </c>
      <c r="L2215" s="13" t="n">
        <f aca="false">MAX(0,D2215-K2215)</f>
        <v>2.4413822</v>
      </c>
      <c r="M2215" s="13" t="n">
        <f aca="false">MAX(0,F2215-I2215-J2215)</f>
        <v>0</v>
      </c>
      <c r="N2215" s="13" t="n">
        <f aca="false">IF(Kalender!A19="",0,J2214-H2215)</f>
        <v>0.0150822</v>
      </c>
    </row>
    <row r="2216" customFormat="false" ht="16.4" hidden="false" customHeight="false" outlineLevel="0" collapsed="false">
      <c r="A2216" s="13" t="str">
        <f aca="false">""</f>
        <v/>
      </c>
      <c r="B2216" s="13" t="n">
        <f aca="false">16</f>
        <v>16</v>
      </c>
      <c r="C2216" s="13" t="n">
        <f aca="false">IF(Szenarien!$H$17="OK",(IFERROR(SUMIF(Nutzungsprofile!$B$6:$B$11,"Schulbetrieb",Nutzungsprofile!$G$6:$G$11)*Kalender!C20/SUM(Kalender!$C$5:$C$370),0)+IFERROR(SUMIF(Nutzungsprofile!$B$6:$B$11,"Halle",Nutzungsprofile!$G$6:$G$11)*Kalender!D20/SUM(Kalender!$D$5:$D$370),0)+IFERROR(SUMIF(Nutzungsprofile!$B$6:$B$11,"Individuell",Nutzungsprofile!$G$6:$G$11)*Kalender!E20/SUM(Kalender!$E$5:$E$370),0))*Szenarien!$E$17,0)</f>
        <v>2.94</v>
      </c>
      <c r="D2216" s="13" t="n">
        <f aca="false">IF(Szenarien!$H$17="OK",(IFERROR(SUMIF(Nutzungsprofile!$B$17:$B$22,"Schulbetrieb",Nutzungsprofile!$G$17:$G$22)*Kalender!C20/SUM(Kalender!$C$5:$C$370),0)+IFERROR(SUMIF(Nutzungsprofile!$B$17:$B$22,"Halle",Nutzungsprofile!$G$17:$G$22)*Kalender!D20/SUM(Kalender!$D$5:$D$370),0)+IFERROR(SUMIF(Nutzungsprofile!$B$17:$B$22,"Individuell",Nutzungsprofile!$G$17:$G$22)*Kalender!E20/SUM(Kalender!$E$5:$E$370),0))*Szenarien!$D$17,0)</f>
        <v>4.94</v>
      </c>
      <c r="E2216" s="13" t="n">
        <f aca="false">IFERROR(MIN(C2216,Eingaben!$B$17)*Eingaben!$B$16,0)</f>
        <v>2.793</v>
      </c>
      <c r="F2216" s="13" t="n">
        <f aca="false">IFERROR(E2216*Eingaben!$B$15,0)</f>
        <v>2.5137</v>
      </c>
      <c r="G2216" s="13" t="n">
        <f aca="false">IFERROR(IF(Kalender!A20="",0,J2215*(1-Eingaben!$B$20)),0)</f>
        <v>0.7390278</v>
      </c>
      <c r="H2216" s="13" t="n">
        <f aca="false">MIN(G2216,D2216)</f>
        <v>0.7390278</v>
      </c>
      <c r="I2216" s="13" t="n">
        <f aca="false">IFERROR(MIN(F2216*Eingaben!$B$19,MAX(0,D2216-H2216)),0)</f>
        <v>1.75959</v>
      </c>
      <c r="J2216" s="13" t="n">
        <f aca="false">IFERROR(MIN(Eingaben!$B$18,MAX(0,F2216-I2216)),0)</f>
        <v>0.75411</v>
      </c>
      <c r="K2216" s="13" t="n">
        <f aca="false">H2216+I2216</f>
        <v>2.4986178</v>
      </c>
      <c r="L2216" s="13" t="n">
        <f aca="false">MAX(0,D2216-K2216)</f>
        <v>2.4413822</v>
      </c>
      <c r="M2216" s="13" t="n">
        <f aca="false">MAX(0,F2216-I2216-J2216)</f>
        <v>0</v>
      </c>
      <c r="N2216" s="13" t="n">
        <f aca="false">IF(Kalender!A20="",0,J2215-H2216)</f>
        <v>0.0150822</v>
      </c>
    </row>
    <row r="2217" customFormat="false" ht="16.4" hidden="false" customHeight="false" outlineLevel="0" collapsed="false">
      <c r="A2217" s="13" t="str">
        <f aca="false">""</f>
        <v/>
      </c>
      <c r="B2217" s="13" t="n">
        <f aca="false">17</f>
        <v>17</v>
      </c>
      <c r="C2217" s="13" t="n">
        <f aca="false">IF(Szenarien!$H$17="OK",(IFERROR(SUMIF(Nutzungsprofile!$B$6:$B$11,"Schulbetrieb",Nutzungsprofile!$G$6:$G$11)*Kalender!C21/SUM(Kalender!$C$5:$C$370),0)+IFERROR(SUMIF(Nutzungsprofile!$B$6:$B$11,"Halle",Nutzungsprofile!$G$6:$G$11)*Kalender!D21/SUM(Kalender!$D$5:$D$370),0)+IFERROR(SUMIF(Nutzungsprofile!$B$6:$B$11,"Individuell",Nutzungsprofile!$G$6:$G$11)*Kalender!E21/SUM(Kalender!$E$5:$E$370),0))*Szenarien!$E$17,0)</f>
        <v>2.04</v>
      </c>
      <c r="D2217" s="13" t="n">
        <f aca="false">IF(Szenarien!$H$17="OK",(IFERROR(SUMIF(Nutzungsprofile!$B$17:$B$22,"Schulbetrieb",Nutzungsprofile!$G$17:$G$22)*Kalender!C21/SUM(Kalender!$C$5:$C$370),0)+IFERROR(SUMIF(Nutzungsprofile!$B$17:$B$22,"Halle",Nutzungsprofile!$G$17:$G$22)*Kalender!D21/SUM(Kalender!$D$5:$D$370),0)+IFERROR(SUMIF(Nutzungsprofile!$B$17:$B$22,"Individuell",Nutzungsprofile!$G$17:$G$22)*Kalender!E21/SUM(Kalender!$E$5:$E$370),0))*Szenarien!$D$17,0)</f>
        <v>0.89</v>
      </c>
      <c r="E2217" s="13" t="n">
        <f aca="false">IFERROR(MIN(C2217,Eingaben!$B$17)*Eingaben!$B$16,0)</f>
        <v>1.938</v>
      </c>
      <c r="F2217" s="13" t="n">
        <f aca="false">IFERROR(E2217*Eingaben!$B$15,0)</f>
        <v>1.7442</v>
      </c>
      <c r="G2217" s="13" t="n">
        <f aca="false">IFERROR(IF(Kalender!A21="",0,J2216*(1-Eingaben!$B$20)),0)</f>
        <v>0.7390278</v>
      </c>
      <c r="H2217" s="13" t="n">
        <f aca="false">MIN(G2217,D2217)</f>
        <v>0.7390278</v>
      </c>
      <c r="I2217" s="13" t="n">
        <f aca="false">IFERROR(MIN(F2217*Eingaben!$B$19,MAX(0,D2217-H2217)),0)</f>
        <v>0.1509722</v>
      </c>
      <c r="J2217" s="13" t="n">
        <f aca="false">IFERROR(MIN(Eingaben!$B$18,MAX(0,F2217-I2217)),0)</f>
        <v>1.5932278</v>
      </c>
      <c r="K2217" s="13" t="n">
        <f aca="false">H2217+I2217</f>
        <v>0.89</v>
      </c>
      <c r="L2217" s="13" t="n">
        <f aca="false">MAX(0,D2217-K2217)</f>
        <v>0</v>
      </c>
      <c r="M2217" s="13" t="n">
        <f aca="false">MAX(0,F2217-I2217-J2217)</f>
        <v>0</v>
      </c>
      <c r="N2217" s="13" t="n">
        <f aca="false">IF(Kalender!A21="",0,J2216-H2217)</f>
        <v>0.0150822</v>
      </c>
    </row>
    <row r="2218" customFormat="false" ht="16.4" hidden="false" customHeight="false" outlineLevel="0" collapsed="false">
      <c r="A2218" s="13" t="str">
        <f aca="false">""</f>
        <v/>
      </c>
      <c r="B2218" s="13" t="n">
        <f aca="false">18</f>
        <v>18</v>
      </c>
      <c r="C2218" s="13" t="n">
        <f aca="false">IF(Szenarien!$H$17="OK",(IFERROR(SUMIF(Nutzungsprofile!$B$6:$B$11,"Schulbetrieb",Nutzungsprofile!$G$6:$G$11)*Kalender!C22/SUM(Kalender!$C$5:$C$370),0)+IFERROR(SUMIF(Nutzungsprofile!$B$6:$B$11,"Halle",Nutzungsprofile!$G$6:$G$11)*Kalender!D22/SUM(Kalender!$D$5:$D$370),0)+IFERROR(SUMIF(Nutzungsprofile!$B$6:$B$11,"Individuell",Nutzungsprofile!$G$6:$G$11)*Kalender!E22/SUM(Kalender!$E$5:$E$370),0))*Szenarien!$E$17,0)</f>
        <v>2.04</v>
      </c>
      <c r="D2218" s="13" t="n">
        <f aca="false">IF(Szenarien!$H$17="OK",(IFERROR(SUMIF(Nutzungsprofile!$B$17:$B$22,"Schulbetrieb",Nutzungsprofile!$G$17:$G$22)*Kalender!C22/SUM(Kalender!$C$5:$C$370),0)+IFERROR(SUMIF(Nutzungsprofile!$B$17:$B$22,"Halle",Nutzungsprofile!$G$17:$G$22)*Kalender!D22/SUM(Kalender!$D$5:$D$370),0)+IFERROR(SUMIF(Nutzungsprofile!$B$17:$B$22,"Individuell",Nutzungsprofile!$G$17:$G$22)*Kalender!E22/SUM(Kalender!$E$5:$E$370),0))*Szenarien!$D$17,0)</f>
        <v>0.89</v>
      </c>
      <c r="E2218" s="13" t="n">
        <f aca="false">IFERROR(MIN(C2218,Eingaben!$B$17)*Eingaben!$B$16,0)</f>
        <v>1.938</v>
      </c>
      <c r="F2218" s="13" t="n">
        <f aca="false">IFERROR(E2218*Eingaben!$B$15,0)</f>
        <v>1.7442</v>
      </c>
      <c r="G2218" s="13" t="n">
        <f aca="false">IFERROR(IF(Kalender!A22="",0,J2217*(1-Eingaben!$B$20)),0)</f>
        <v>1.561363244</v>
      </c>
      <c r="H2218" s="13" t="n">
        <f aca="false">MIN(G2218,D2218)</f>
        <v>0.89</v>
      </c>
      <c r="I2218" s="13" t="n">
        <f aca="false">IFERROR(MIN(F2218*Eingaben!$B$19,MAX(0,D2218-H2218)),0)</f>
        <v>0</v>
      </c>
      <c r="J2218" s="13" t="n">
        <f aca="false">IFERROR(MIN(Eingaben!$B$18,MAX(0,F2218-I2218)),0)</f>
        <v>1.7442</v>
      </c>
      <c r="K2218" s="13" t="n">
        <f aca="false">H2218+I2218</f>
        <v>0.89</v>
      </c>
      <c r="L2218" s="13" t="n">
        <f aca="false">MAX(0,D2218-K2218)</f>
        <v>0</v>
      </c>
      <c r="M2218" s="13" t="n">
        <f aca="false">MAX(0,F2218-I2218-J2218)</f>
        <v>0</v>
      </c>
      <c r="N2218" s="13" t="n">
        <f aca="false">IF(Kalender!A22="",0,J2217-H2218)</f>
        <v>0.7032278</v>
      </c>
    </row>
    <row r="2219" customFormat="false" ht="16.4" hidden="false" customHeight="false" outlineLevel="0" collapsed="false">
      <c r="A2219" s="13" t="str">
        <f aca="false">""</f>
        <v/>
      </c>
      <c r="B2219" s="13" t="n">
        <f aca="false">19</f>
        <v>19</v>
      </c>
      <c r="C2219" s="13" t="n">
        <f aca="false">IF(Szenarien!$H$17="OK",(IFERROR(SUMIF(Nutzungsprofile!$B$6:$B$11,"Schulbetrieb",Nutzungsprofile!$G$6:$G$11)*Kalender!C23/SUM(Kalender!$C$5:$C$370),0)+IFERROR(SUMIF(Nutzungsprofile!$B$6:$B$11,"Halle",Nutzungsprofile!$G$6:$G$11)*Kalender!D23/SUM(Kalender!$D$5:$D$370),0)+IFERROR(SUMIF(Nutzungsprofile!$B$6:$B$11,"Individuell",Nutzungsprofile!$G$6:$G$11)*Kalender!E23/SUM(Kalender!$E$5:$E$370),0))*Szenarien!$E$17,0)</f>
        <v>2.94</v>
      </c>
      <c r="D2219" s="13" t="n">
        <f aca="false">IF(Szenarien!$H$17="OK",(IFERROR(SUMIF(Nutzungsprofile!$B$17:$B$22,"Schulbetrieb",Nutzungsprofile!$G$17:$G$22)*Kalender!C23/SUM(Kalender!$C$5:$C$370),0)+IFERROR(SUMIF(Nutzungsprofile!$B$17:$B$22,"Halle",Nutzungsprofile!$G$17:$G$22)*Kalender!D23/SUM(Kalender!$D$5:$D$370),0)+IFERROR(SUMIF(Nutzungsprofile!$B$17:$B$22,"Individuell",Nutzungsprofile!$G$17:$G$22)*Kalender!E23/SUM(Kalender!$E$5:$E$370),0))*Szenarien!$D$17,0)</f>
        <v>4.94</v>
      </c>
      <c r="E2219" s="13" t="n">
        <f aca="false">IFERROR(MIN(C2219,Eingaben!$B$17)*Eingaben!$B$16,0)</f>
        <v>2.793</v>
      </c>
      <c r="F2219" s="13" t="n">
        <f aca="false">IFERROR(E2219*Eingaben!$B$15,0)</f>
        <v>2.5137</v>
      </c>
      <c r="G2219" s="13" t="n">
        <f aca="false">IFERROR(IF(Kalender!A23="",0,J2218*(1-Eingaben!$B$20)),0)</f>
        <v>1.709316</v>
      </c>
      <c r="H2219" s="13" t="n">
        <f aca="false">MIN(G2219,D2219)</f>
        <v>1.709316</v>
      </c>
      <c r="I2219" s="13" t="n">
        <f aca="false">IFERROR(MIN(F2219*Eingaben!$B$19,MAX(0,D2219-H2219)),0)</f>
        <v>1.75959</v>
      </c>
      <c r="J2219" s="13" t="n">
        <f aca="false">IFERROR(MIN(Eingaben!$B$18,MAX(0,F2219-I2219)),0)</f>
        <v>0.75411</v>
      </c>
      <c r="K2219" s="13" t="n">
        <f aca="false">H2219+I2219</f>
        <v>3.468906</v>
      </c>
      <c r="L2219" s="13" t="n">
        <f aca="false">MAX(0,D2219-K2219)</f>
        <v>1.471094</v>
      </c>
      <c r="M2219" s="13" t="n">
        <f aca="false">MAX(0,F2219-I2219-J2219)</f>
        <v>0</v>
      </c>
      <c r="N2219" s="13" t="n">
        <f aca="false">IF(Kalender!A23="",0,J2218-H2219)</f>
        <v>0.0348840000000001</v>
      </c>
    </row>
    <row r="2220" customFormat="false" ht="16.4" hidden="false" customHeight="false" outlineLevel="0" collapsed="false">
      <c r="A2220" s="13" t="str">
        <f aca="false">""</f>
        <v/>
      </c>
      <c r="B2220" s="13" t="n">
        <f aca="false">20</f>
        <v>20</v>
      </c>
      <c r="C2220" s="13" t="n">
        <f aca="false">IF(Szenarien!$H$17="OK",(IFERROR(SUMIF(Nutzungsprofile!$B$6:$B$11,"Schulbetrieb",Nutzungsprofile!$G$6:$G$11)*Kalender!C24/SUM(Kalender!$C$5:$C$370),0)+IFERROR(SUMIF(Nutzungsprofile!$B$6:$B$11,"Halle",Nutzungsprofile!$G$6:$G$11)*Kalender!D24/SUM(Kalender!$D$5:$D$370),0)+IFERROR(SUMIF(Nutzungsprofile!$B$6:$B$11,"Individuell",Nutzungsprofile!$G$6:$G$11)*Kalender!E24/SUM(Kalender!$E$5:$E$370),0))*Szenarien!$E$17,0)</f>
        <v>2.94</v>
      </c>
      <c r="D2220" s="13" t="n">
        <f aca="false">IF(Szenarien!$H$17="OK",(IFERROR(SUMIF(Nutzungsprofile!$B$17:$B$22,"Schulbetrieb",Nutzungsprofile!$G$17:$G$22)*Kalender!C24/SUM(Kalender!$C$5:$C$370),0)+IFERROR(SUMIF(Nutzungsprofile!$B$17:$B$22,"Halle",Nutzungsprofile!$G$17:$G$22)*Kalender!D24/SUM(Kalender!$D$5:$D$370),0)+IFERROR(SUMIF(Nutzungsprofile!$B$17:$B$22,"Individuell",Nutzungsprofile!$G$17:$G$22)*Kalender!E24/SUM(Kalender!$E$5:$E$370),0))*Szenarien!$D$17,0)</f>
        <v>4.94</v>
      </c>
      <c r="E2220" s="13" t="n">
        <f aca="false">IFERROR(MIN(C2220,Eingaben!$B$17)*Eingaben!$B$16,0)</f>
        <v>2.793</v>
      </c>
      <c r="F2220" s="13" t="n">
        <f aca="false">IFERROR(E2220*Eingaben!$B$15,0)</f>
        <v>2.5137</v>
      </c>
      <c r="G2220" s="13" t="n">
        <f aca="false">IFERROR(IF(Kalender!A24="",0,J2219*(1-Eingaben!$B$20)),0)</f>
        <v>0.7390278</v>
      </c>
      <c r="H2220" s="13" t="n">
        <f aca="false">MIN(G2220,D2220)</f>
        <v>0.7390278</v>
      </c>
      <c r="I2220" s="13" t="n">
        <f aca="false">IFERROR(MIN(F2220*Eingaben!$B$19,MAX(0,D2220-H2220)),0)</f>
        <v>1.75959</v>
      </c>
      <c r="J2220" s="13" t="n">
        <f aca="false">IFERROR(MIN(Eingaben!$B$18,MAX(0,F2220-I2220)),0)</f>
        <v>0.75411</v>
      </c>
      <c r="K2220" s="13" t="n">
        <f aca="false">H2220+I2220</f>
        <v>2.4986178</v>
      </c>
      <c r="L2220" s="13" t="n">
        <f aca="false">MAX(0,D2220-K2220)</f>
        <v>2.4413822</v>
      </c>
      <c r="M2220" s="13" t="n">
        <f aca="false">MAX(0,F2220-I2220-J2220)</f>
        <v>0</v>
      </c>
      <c r="N2220" s="13" t="n">
        <f aca="false">IF(Kalender!A24="",0,J2219-H2220)</f>
        <v>0.0150822</v>
      </c>
    </row>
    <row r="2221" customFormat="false" ht="16.4" hidden="false" customHeight="false" outlineLevel="0" collapsed="false">
      <c r="A2221" s="13" t="str">
        <f aca="false">""</f>
        <v/>
      </c>
      <c r="B2221" s="13" t="n">
        <f aca="false">21</f>
        <v>21</v>
      </c>
      <c r="C2221" s="13" t="n">
        <f aca="false">IF(Szenarien!$H$17="OK",(IFERROR(SUMIF(Nutzungsprofile!$B$6:$B$11,"Schulbetrieb",Nutzungsprofile!$G$6:$G$11)*Kalender!C25/SUM(Kalender!$C$5:$C$370),0)+IFERROR(SUMIF(Nutzungsprofile!$B$6:$B$11,"Halle",Nutzungsprofile!$G$6:$G$11)*Kalender!D25/SUM(Kalender!$D$5:$D$370),0)+IFERROR(SUMIF(Nutzungsprofile!$B$6:$B$11,"Individuell",Nutzungsprofile!$G$6:$G$11)*Kalender!E25/SUM(Kalender!$E$5:$E$370),0))*Szenarien!$E$17,0)</f>
        <v>2.94</v>
      </c>
      <c r="D2221" s="13" t="n">
        <f aca="false">IF(Szenarien!$H$17="OK",(IFERROR(SUMIF(Nutzungsprofile!$B$17:$B$22,"Schulbetrieb",Nutzungsprofile!$G$17:$G$22)*Kalender!C25/SUM(Kalender!$C$5:$C$370),0)+IFERROR(SUMIF(Nutzungsprofile!$B$17:$B$22,"Halle",Nutzungsprofile!$G$17:$G$22)*Kalender!D25/SUM(Kalender!$D$5:$D$370),0)+IFERROR(SUMIF(Nutzungsprofile!$B$17:$B$22,"Individuell",Nutzungsprofile!$G$17:$G$22)*Kalender!E25/SUM(Kalender!$E$5:$E$370),0))*Szenarien!$D$17,0)</f>
        <v>4.94</v>
      </c>
      <c r="E2221" s="13" t="n">
        <f aca="false">IFERROR(MIN(C2221,Eingaben!$B$17)*Eingaben!$B$16,0)</f>
        <v>2.793</v>
      </c>
      <c r="F2221" s="13" t="n">
        <f aca="false">IFERROR(E2221*Eingaben!$B$15,0)</f>
        <v>2.5137</v>
      </c>
      <c r="G2221" s="13" t="n">
        <f aca="false">IFERROR(IF(Kalender!A25="",0,J2220*(1-Eingaben!$B$20)),0)</f>
        <v>0.7390278</v>
      </c>
      <c r="H2221" s="13" t="n">
        <f aca="false">MIN(G2221,D2221)</f>
        <v>0.7390278</v>
      </c>
      <c r="I2221" s="13" t="n">
        <f aca="false">IFERROR(MIN(F2221*Eingaben!$B$19,MAX(0,D2221-H2221)),0)</f>
        <v>1.75959</v>
      </c>
      <c r="J2221" s="13" t="n">
        <f aca="false">IFERROR(MIN(Eingaben!$B$18,MAX(0,F2221-I2221)),0)</f>
        <v>0.75411</v>
      </c>
      <c r="K2221" s="13" t="n">
        <f aca="false">H2221+I2221</f>
        <v>2.4986178</v>
      </c>
      <c r="L2221" s="13" t="n">
        <f aca="false">MAX(0,D2221-K2221)</f>
        <v>2.4413822</v>
      </c>
      <c r="M2221" s="13" t="n">
        <f aca="false">MAX(0,F2221-I2221-J2221)</f>
        <v>0</v>
      </c>
      <c r="N2221" s="13" t="n">
        <f aca="false">IF(Kalender!A25="",0,J2220-H2221)</f>
        <v>0.0150822</v>
      </c>
    </row>
    <row r="2222" customFormat="false" ht="16.4" hidden="false" customHeight="false" outlineLevel="0" collapsed="false">
      <c r="A2222" s="13" t="str">
        <f aca="false">""</f>
        <v/>
      </c>
      <c r="B2222" s="13" t="n">
        <f aca="false">22</f>
        <v>22</v>
      </c>
      <c r="C2222" s="13" t="n">
        <f aca="false">IF(Szenarien!$H$17="OK",(IFERROR(SUMIF(Nutzungsprofile!$B$6:$B$11,"Schulbetrieb",Nutzungsprofile!$G$6:$G$11)*Kalender!C26/SUM(Kalender!$C$5:$C$370),0)+IFERROR(SUMIF(Nutzungsprofile!$B$6:$B$11,"Halle",Nutzungsprofile!$G$6:$G$11)*Kalender!D26/SUM(Kalender!$D$5:$D$370),0)+IFERROR(SUMIF(Nutzungsprofile!$B$6:$B$11,"Individuell",Nutzungsprofile!$G$6:$G$11)*Kalender!E26/SUM(Kalender!$E$5:$E$370),0))*Szenarien!$E$17,0)</f>
        <v>2.94</v>
      </c>
      <c r="D2222" s="13" t="n">
        <f aca="false">IF(Szenarien!$H$17="OK",(IFERROR(SUMIF(Nutzungsprofile!$B$17:$B$22,"Schulbetrieb",Nutzungsprofile!$G$17:$G$22)*Kalender!C26/SUM(Kalender!$C$5:$C$370),0)+IFERROR(SUMIF(Nutzungsprofile!$B$17:$B$22,"Halle",Nutzungsprofile!$G$17:$G$22)*Kalender!D26/SUM(Kalender!$D$5:$D$370),0)+IFERROR(SUMIF(Nutzungsprofile!$B$17:$B$22,"Individuell",Nutzungsprofile!$G$17:$G$22)*Kalender!E26/SUM(Kalender!$E$5:$E$370),0))*Szenarien!$D$17,0)</f>
        <v>4.94</v>
      </c>
      <c r="E2222" s="13" t="n">
        <f aca="false">IFERROR(MIN(C2222,Eingaben!$B$17)*Eingaben!$B$16,0)</f>
        <v>2.793</v>
      </c>
      <c r="F2222" s="13" t="n">
        <f aca="false">IFERROR(E2222*Eingaben!$B$15,0)</f>
        <v>2.5137</v>
      </c>
      <c r="G2222" s="13" t="n">
        <f aca="false">IFERROR(IF(Kalender!A26="",0,J2221*(1-Eingaben!$B$20)),0)</f>
        <v>0.7390278</v>
      </c>
      <c r="H2222" s="13" t="n">
        <f aca="false">MIN(G2222,D2222)</f>
        <v>0.7390278</v>
      </c>
      <c r="I2222" s="13" t="n">
        <f aca="false">IFERROR(MIN(F2222*Eingaben!$B$19,MAX(0,D2222-H2222)),0)</f>
        <v>1.75959</v>
      </c>
      <c r="J2222" s="13" t="n">
        <f aca="false">IFERROR(MIN(Eingaben!$B$18,MAX(0,F2222-I2222)),0)</f>
        <v>0.75411</v>
      </c>
      <c r="K2222" s="13" t="n">
        <f aca="false">H2222+I2222</f>
        <v>2.4986178</v>
      </c>
      <c r="L2222" s="13" t="n">
        <f aca="false">MAX(0,D2222-K2222)</f>
        <v>2.4413822</v>
      </c>
      <c r="M2222" s="13" t="n">
        <f aca="false">MAX(0,F2222-I2222-J2222)</f>
        <v>0</v>
      </c>
      <c r="N2222" s="13" t="n">
        <f aca="false">IF(Kalender!A26="",0,J2221-H2222)</f>
        <v>0.0150822</v>
      </c>
    </row>
    <row r="2223" customFormat="false" ht="16.4" hidden="false" customHeight="false" outlineLevel="0" collapsed="false">
      <c r="A2223" s="13" t="str">
        <f aca="false">""</f>
        <v/>
      </c>
      <c r="B2223" s="13" t="n">
        <f aca="false">23</f>
        <v>23</v>
      </c>
      <c r="C2223" s="13" t="n">
        <f aca="false">IF(Szenarien!$H$17="OK",(IFERROR(SUMIF(Nutzungsprofile!$B$6:$B$11,"Schulbetrieb",Nutzungsprofile!$G$6:$G$11)*Kalender!C27/SUM(Kalender!$C$5:$C$370),0)+IFERROR(SUMIF(Nutzungsprofile!$B$6:$B$11,"Halle",Nutzungsprofile!$G$6:$G$11)*Kalender!D27/SUM(Kalender!$D$5:$D$370),0)+IFERROR(SUMIF(Nutzungsprofile!$B$6:$B$11,"Individuell",Nutzungsprofile!$G$6:$G$11)*Kalender!E27/SUM(Kalender!$E$5:$E$370),0))*Szenarien!$E$17,0)</f>
        <v>2.94</v>
      </c>
      <c r="D2223" s="13" t="n">
        <f aca="false">IF(Szenarien!$H$17="OK",(IFERROR(SUMIF(Nutzungsprofile!$B$17:$B$22,"Schulbetrieb",Nutzungsprofile!$G$17:$G$22)*Kalender!C27/SUM(Kalender!$C$5:$C$370),0)+IFERROR(SUMIF(Nutzungsprofile!$B$17:$B$22,"Halle",Nutzungsprofile!$G$17:$G$22)*Kalender!D27/SUM(Kalender!$D$5:$D$370),0)+IFERROR(SUMIF(Nutzungsprofile!$B$17:$B$22,"Individuell",Nutzungsprofile!$G$17:$G$22)*Kalender!E27/SUM(Kalender!$E$5:$E$370),0))*Szenarien!$D$17,0)</f>
        <v>4.94</v>
      </c>
      <c r="E2223" s="13" t="n">
        <f aca="false">IFERROR(MIN(C2223,Eingaben!$B$17)*Eingaben!$B$16,0)</f>
        <v>2.793</v>
      </c>
      <c r="F2223" s="13" t="n">
        <f aca="false">IFERROR(E2223*Eingaben!$B$15,0)</f>
        <v>2.5137</v>
      </c>
      <c r="G2223" s="13" t="n">
        <f aca="false">IFERROR(IF(Kalender!A27="",0,J2222*(1-Eingaben!$B$20)),0)</f>
        <v>0.7390278</v>
      </c>
      <c r="H2223" s="13" t="n">
        <f aca="false">MIN(G2223,D2223)</f>
        <v>0.7390278</v>
      </c>
      <c r="I2223" s="13" t="n">
        <f aca="false">IFERROR(MIN(F2223*Eingaben!$B$19,MAX(0,D2223-H2223)),0)</f>
        <v>1.75959</v>
      </c>
      <c r="J2223" s="13" t="n">
        <f aca="false">IFERROR(MIN(Eingaben!$B$18,MAX(0,F2223-I2223)),0)</f>
        <v>0.75411</v>
      </c>
      <c r="K2223" s="13" t="n">
        <f aca="false">H2223+I2223</f>
        <v>2.4986178</v>
      </c>
      <c r="L2223" s="13" t="n">
        <f aca="false">MAX(0,D2223-K2223)</f>
        <v>2.4413822</v>
      </c>
      <c r="M2223" s="13" t="n">
        <f aca="false">MAX(0,F2223-I2223-J2223)</f>
        <v>0</v>
      </c>
      <c r="N2223" s="13" t="n">
        <f aca="false">IF(Kalender!A27="",0,J2222-H2223)</f>
        <v>0.0150822</v>
      </c>
    </row>
    <row r="2224" customFormat="false" ht="16.4" hidden="false" customHeight="false" outlineLevel="0" collapsed="false">
      <c r="A2224" s="13" t="str">
        <f aca="false">""</f>
        <v/>
      </c>
      <c r="B2224" s="13" t="n">
        <f aca="false">24</f>
        <v>24</v>
      </c>
      <c r="C2224" s="13" t="n">
        <f aca="false">IF(Szenarien!$H$17="OK",(IFERROR(SUMIF(Nutzungsprofile!$B$6:$B$11,"Schulbetrieb",Nutzungsprofile!$G$6:$G$11)*Kalender!C28/SUM(Kalender!$C$5:$C$370),0)+IFERROR(SUMIF(Nutzungsprofile!$B$6:$B$11,"Halle",Nutzungsprofile!$G$6:$G$11)*Kalender!D28/SUM(Kalender!$D$5:$D$370),0)+IFERROR(SUMIF(Nutzungsprofile!$B$6:$B$11,"Individuell",Nutzungsprofile!$G$6:$G$11)*Kalender!E28/SUM(Kalender!$E$5:$E$370),0))*Szenarien!$E$17,0)</f>
        <v>2.04</v>
      </c>
      <c r="D2224" s="13" t="n">
        <f aca="false">IF(Szenarien!$H$17="OK",(IFERROR(SUMIF(Nutzungsprofile!$B$17:$B$22,"Schulbetrieb",Nutzungsprofile!$G$17:$G$22)*Kalender!C28/SUM(Kalender!$C$5:$C$370),0)+IFERROR(SUMIF(Nutzungsprofile!$B$17:$B$22,"Halle",Nutzungsprofile!$G$17:$G$22)*Kalender!D28/SUM(Kalender!$D$5:$D$370),0)+IFERROR(SUMIF(Nutzungsprofile!$B$17:$B$22,"Individuell",Nutzungsprofile!$G$17:$G$22)*Kalender!E28/SUM(Kalender!$E$5:$E$370),0))*Szenarien!$D$17,0)</f>
        <v>0.89</v>
      </c>
      <c r="E2224" s="13" t="n">
        <f aca="false">IFERROR(MIN(C2224,Eingaben!$B$17)*Eingaben!$B$16,0)</f>
        <v>1.938</v>
      </c>
      <c r="F2224" s="13" t="n">
        <f aca="false">IFERROR(E2224*Eingaben!$B$15,0)</f>
        <v>1.7442</v>
      </c>
      <c r="G2224" s="13" t="n">
        <f aca="false">IFERROR(IF(Kalender!A28="",0,J2223*(1-Eingaben!$B$20)),0)</f>
        <v>0.7390278</v>
      </c>
      <c r="H2224" s="13" t="n">
        <f aca="false">MIN(G2224,D2224)</f>
        <v>0.7390278</v>
      </c>
      <c r="I2224" s="13" t="n">
        <f aca="false">IFERROR(MIN(F2224*Eingaben!$B$19,MAX(0,D2224-H2224)),0)</f>
        <v>0.1509722</v>
      </c>
      <c r="J2224" s="13" t="n">
        <f aca="false">IFERROR(MIN(Eingaben!$B$18,MAX(0,F2224-I2224)),0)</f>
        <v>1.5932278</v>
      </c>
      <c r="K2224" s="13" t="n">
        <f aca="false">H2224+I2224</f>
        <v>0.89</v>
      </c>
      <c r="L2224" s="13" t="n">
        <f aca="false">MAX(0,D2224-K2224)</f>
        <v>0</v>
      </c>
      <c r="M2224" s="13" t="n">
        <f aca="false">MAX(0,F2224-I2224-J2224)</f>
        <v>0</v>
      </c>
      <c r="N2224" s="13" t="n">
        <f aca="false">IF(Kalender!A28="",0,J2223-H2224)</f>
        <v>0.0150822</v>
      </c>
    </row>
    <row r="2225" customFormat="false" ht="16.4" hidden="false" customHeight="false" outlineLevel="0" collapsed="false">
      <c r="A2225" s="13" t="str">
        <f aca="false">""</f>
        <v/>
      </c>
      <c r="B2225" s="13" t="n">
        <f aca="false">25</f>
        <v>25</v>
      </c>
      <c r="C2225" s="13" t="n">
        <f aca="false">IF(Szenarien!$H$17="OK",(IFERROR(SUMIF(Nutzungsprofile!$B$6:$B$11,"Schulbetrieb",Nutzungsprofile!$G$6:$G$11)*Kalender!C29/SUM(Kalender!$C$5:$C$370),0)+IFERROR(SUMIF(Nutzungsprofile!$B$6:$B$11,"Halle",Nutzungsprofile!$G$6:$G$11)*Kalender!D29/SUM(Kalender!$D$5:$D$370),0)+IFERROR(SUMIF(Nutzungsprofile!$B$6:$B$11,"Individuell",Nutzungsprofile!$G$6:$G$11)*Kalender!E29/SUM(Kalender!$E$5:$E$370),0))*Szenarien!$E$17,0)</f>
        <v>2.04</v>
      </c>
      <c r="D2225" s="13" t="n">
        <f aca="false">IF(Szenarien!$H$17="OK",(IFERROR(SUMIF(Nutzungsprofile!$B$17:$B$22,"Schulbetrieb",Nutzungsprofile!$G$17:$G$22)*Kalender!C29/SUM(Kalender!$C$5:$C$370),0)+IFERROR(SUMIF(Nutzungsprofile!$B$17:$B$22,"Halle",Nutzungsprofile!$G$17:$G$22)*Kalender!D29/SUM(Kalender!$D$5:$D$370),0)+IFERROR(SUMIF(Nutzungsprofile!$B$17:$B$22,"Individuell",Nutzungsprofile!$G$17:$G$22)*Kalender!E29/SUM(Kalender!$E$5:$E$370),0))*Szenarien!$D$17,0)</f>
        <v>0.89</v>
      </c>
      <c r="E2225" s="13" t="n">
        <f aca="false">IFERROR(MIN(C2225,Eingaben!$B$17)*Eingaben!$B$16,0)</f>
        <v>1.938</v>
      </c>
      <c r="F2225" s="13" t="n">
        <f aca="false">IFERROR(E2225*Eingaben!$B$15,0)</f>
        <v>1.7442</v>
      </c>
      <c r="G2225" s="13" t="n">
        <f aca="false">IFERROR(IF(Kalender!A29="",0,J2224*(1-Eingaben!$B$20)),0)</f>
        <v>1.561363244</v>
      </c>
      <c r="H2225" s="13" t="n">
        <f aca="false">MIN(G2225,D2225)</f>
        <v>0.89</v>
      </c>
      <c r="I2225" s="13" t="n">
        <f aca="false">IFERROR(MIN(F2225*Eingaben!$B$19,MAX(0,D2225-H2225)),0)</f>
        <v>0</v>
      </c>
      <c r="J2225" s="13" t="n">
        <f aca="false">IFERROR(MIN(Eingaben!$B$18,MAX(0,F2225-I2225)),0)</f>
        <v>1.7442</v>
      </c>
      <c r="K2225" s="13" t="n">
        <f aca="false">H2225+I2225</f>
        <v>0.89</v>
      </c>
      <c r="L2225" s="13" t="n">
        <f aca="false">MAX(0,D2225-K2225)</f>
        <v>0</v>
      </c>
      <c r="M2225" s="13" t="n">
        <f aca="false">MAX(0,F2225-I2225-J2225)</f>
        <v>0</v>
      </c>
      <c r="N2225" s="13" t="n">
        <f aca="false">IF(Kalender!A29="",0,J2224-H2225)</f>
        <v>0.7032278</v>
      </c>
    </row>
    <row r="2226" customFormat="false" ht="16.4" hidden="false" customHeight="false" outlineLevel="0" collapsed="false">
      <c r="A2226" s="13" t="str">
        <f aca="false">""</f>
        <v/>
      </c>
      <c r="B2226" s="13" t="n">
        <f aca="false">26</f>
        <v>26</v>
      </c>
      <c r="C2226" s="13" t="n">
        <f aca="false">IF(Szenarien!$H$17="OK",(IFERROR(SUMIF(Nutzungsprofile!$B$6:$B$11,"Schulbetrieb",Nutzungsprofile!$G$6:$G$11)*Kalender!C30/SUM(Kalender!$C$5:$C$370),0)+IFERROR(SUMIF(Nutzungsprofile!$B$6:$B$11,"Halle",Nutzungsprofile!$G$6:$G$11)*Kalender!D30/SUM(Kalender!$D$5:$D$370),0)+IFERROR(SUMIF(Nutzungsprofile!$B$6:$B$11,"Individuell",Nutzungsprofile!$G$6:$G$11)*Kalender!E30/SUM(Kalender!$E$5:$E$370),0))*Szenarien!$E$17,0)</f>
        <v>2.94</v>
      </c>
      <c r="D2226" s="13" t="n">
        <f aca="false">IF(Szenarien!$H$17="OK",(IFERROR(SUMIF(Nutzungsprofile!$B$17:$B$22,"Schulbetrieb",Nutzungsprofile!$G$17:$G$22)*Kalender!C30/SUM(Kalender!$C$5:$C$370),0)+IFERROR(SUMIF(Nutzungsprofile!$B$17:$B$22,"Halle",Nutzungsprofile!$G$17:$G$22)*Kalender!D30/SUM(Kalender!$D$5:$D$370),0)+IFERROR(SUMIF(Nutzungsprofile!$B$17:$B$22,"Individuell",Nutzungsprofile!$G$17:$G$22)*Kalender!E30/SUM(Kalender!$E$5:$E$370),0))*Szenarien!$D$17,0)</f>
        <v>4.94</v>
      </c>
      <c r="E2226" s="13" t="n">
        <f aca="false">IFERROR(MIN(C2226,Eingaben!$B$17)*Eingaben!$B$16,0)</f>
        <v>2.793</v>
      </c>
      <c r="F2226" s="13" t="n">
        <f aca="false">IFERROR(E2226*Eingaben!$B$15,0)</f>
        <v>2.5137</v>
      </c>
      <c r="G2226" s="13" t="n">
        <f aca="false">IFERROR(IF(Kalender!A30="",0,J2225*(1-Eingaben!$B$20)),0)</f>
        <v>1.709316</v>
      </c>
      <c r="H2226" s="13" t="n">
        <f aca="false">MIN(G2226,D2226)</f>
        <v>1.709316</v>
      </c>
      <c r="I2226" s="13" t="n">
        <f aca="false">IFERROR(MIN(F2226*Eingaben!$B$19,MAX(0,D2226-H2226)),0)</f>
        <v>1.75959</v>
      </c>
      <c r="J2226" s="13" t="n">
        <f aca="false">IFERROR(MIN(Eingaben!$B$18,MAX(0,F2226-I2226)),0)</f>
        <v>0.75411</v>
      </c>
      <c r="K2226" s="13" t="n">
        <f aca="false">H2226+I2226</f>
        <v>3.468906</v>
      </c>
      <c r="L2226" s="13" t="n">
        <f aca="false">MAX(0,D2226-K2226)</f>
        <v>1.471094</v>
      </c>
      <c r="M2226" s="13" t="n">
        <f aca="false">MAX(0,F2226-I2226-J2226)</f>
        <v>0</v>
      </c>
      <c r="N2226" s="13" t="n">
        <f aca="false">IF(Kalender!A30="",0,J2225-H2226)</f>
        <v>0.0348840000000001</v>
      </c>
    </row>
    <row r="2227" customFormat="false" ht="16.4" hidden="false" customHeight="false" outlineLevel="0" collapsed="false">
      <c r="A2227" s="13" t="str">
        <f aca="false">""</f>
        <v/>
      </c>
      <c r="B2227" s="13" t="n">
        <f aca="false">27</f>
        <v>27</v>
      </c>
      <c r="C2227" s="13" t="n">
        <f aca="false">IF(Szenarien!$H$17="OK",(IFERROR(SUMIF(Nutzungsprofile!$B$6:$B$11,"Schulbetrieb",Nutzungsprofile!$G$6:$G$11)*Kalender!C31/SUM(Kalender!$C$5:$C$370),0)+IFERROR(SUMIF(Nutzungsprofile!$B$6:$B$11,"Halle",Nutzungsprofile!$G$6:$G$11)*Kalender!D31/SUM(Kalender!$D$5:$D$370),0)+IFERROR(SUMIF(Nutzungsprofile!$B$6:$B$11,"Individuell",Nutzungsprofile!$G$6:$G$11)*Kalender!E31/SUM(Kalender!$E$5:$E$370),0))*Szenarien!$E$17,0)</f>
        <v>2.94</v>
      </c>
      <c r="D2227" s="13" t="n">
        <f aca="false">IF(Szenarien!$H$17="OK",(IFERROR(SUMIF(Nutzungsprofile!$B$17:$B$22,"Schulbetrieb",Nutzungsprofile!$G$17:$G$22)*Kalender!C31/SUM(Kalender!$C$5:$C$370),0)+IFERROR(SUMIF(Nutzungsprofile!$B$17:$B$22,"Halle",Nutzungsprofile!$G$17:$G$22)*Kalender!D31/SUM(Kalender!$D$5:$D$370),0)+IFERROR(SUMIF(Nutzungsprofile!$B$17:$B$22,"Individuell",Nutzungsprofile!$G$17:$G$22)*Kalender!E31/SUM(Kalender!$E$5:$E$370),0))*Szenarien!$D$17,0)</f>
        <v>4.94</v>
      </c>
      <c r="E2227" s="13" t="n">
        <f aca="false">IFERROR(MIN(C2227,Eingaben!$B$17)*Eingaben!$B$16,0)</f>
        <v>2.793</v>
      </c>
      <c r="F2227" s="13" t="n">
        <f aca="false">IFERROR(E2227*Eingaben!$B$15,0)</f>
        <v>2.5137</v>
      </c>
      <c r="G2227" s="13" t="n">
        <f aca="false">IFERROR(IF(Kalender!A31="",0,J2226*(1-Eingaben!$B$20)),0)</f>
        <v>0.7390278</v>
      </c>
      <c r="H2227" s="13" t="n">
        <f aca="false">MIN(G2227,D2227)</f>
        <v>0.7390278</v>
      </c>
      <c r="I2227" s="13" t="n">
        <f aca="false">IFERROR(MIN(F2227*Eingaben!$B$19,MAX(0,D2227-H2227)),0)</f>
        <v>1.75959</v>
      </c>
      <c r="J2227" s="13" t="n">
        <f aca="false">IFERROR(MIN(Eingaben!$B$18,MAX(0,F2227-I2227)),0)</f>
        <v>0.75411</v>
      </c>
      <c r="K2227" s="13" t="n">
        <f aca="false">H2227+I2227</f>
        <v>2.4986178</v>
      </c>
      <c r="L2227" s="13" t="n">
        <f aca="false">MAX(0,D2227-K2227)</f>
        <v>2.4413822</v>
      </c>
      <c r="M2227" s="13" t="n">
        <f aca="false">MAX(0,F2227-I2227-J2227)</f>
        <v>0</v>
      </c>
      <c r="N2227" s="13" t="n">
        <f aca="false">IF(Kalender!A31="",0,J2226-H2227)</f>
        <v>0.0150822</v>
      </c>
    </row>
    <row r="2228" customFormat="false" ht="16.4" hidden="false" customHeight="false" outlineLevel="0" collapsed="false">
      <c r="A2228" s="13" t="str">
        <f aca="false">""</f>
        <v/>
      </c>
      <c r="B2228" s="13" t="n">
        <f aca="false">28</f>
        <v>28</v>
      </c>
      <c r="C2228" s="13" t="n">
        <f aca="false">IF(Szenarien!$H$17="OK",(IFERROR(SUMIF(Nutzungsprofile!$B$6:$B$11,"Schulbetrieb",Nutzungsprofile!$G$6:$G$11)*Kalender!C32/SUM(Kalender!$C$5:$C$370),0)+IFERROR(SUMIF(Nutzungsprofile!$B$6:$B$11,"Halle",Nutzungsprofile!$G$6:$G$11)*Kalender!D32/SUM(Kalender!$D$5:$D$370),0)+IFERROR(SUMIF(Nutzungsprofile!$B$6:$B$11,"Individuell",Nutzungsprofile!$G$6:$G$11)*Kalender!E32/SUM(Kalender!$E$5:$E$370),0))*Szenarien!$E$17,0)</f>
        <v>2.94</v>
      </c>
      <c r="D2228" s="13" t="n">
        <f aca="false">IF(Szenarien!$H$17="OK",(IFERROR(SUMIF(Nutzungsprofile!$B$17:$B$22,"Schulbetrieb",Nutzungsprofile!$G$17:$G$22)*Kalender!C32/SUM(Kalender!$C$5:$C$370),0)+IFERROR(SUMIF(Nutzungsprofile!$B$17:$B$22,"Halle",Nutzungsprofile!$G$17:$G$22)*Kalender!D32/SUM(Kalender!$D$5:$D$370),0)+IFERROR(SUMIF(Nutzungsprofile!$B$17:$B$22,"Individuell",Nutzungsprofile!$G$17:$G$22)*Kalender!E32/SUM(Kalender!$E$5:$E$370),0))*Szenarien!$D$17,0)</f>
        <v>4.94</v>
      </c>
      <c r="E2228" s="13" t="n">
        <f aca="false">IFERROR(MIN(C2228,Eingaben!$B$17)*Eingaben!$B$16,0)</f>
        <v>2.793</v>
      </c>
      <c r="F2228" s="13" t="n">
        <f aca="false">IFERROR(E2228*Eingaben!$B$15,0)</f>
        <v>2.5137</v>
      </c>
      <c r="G2228" s="13" t="n">
        <f aca="false">IFERROR(IF(Kalender!A32="",0,J2227*(1-Eingaben!$B$20)),0)</f>
        <v>0.7390278</v>
      </c>
      <c r="H2228" s="13" t="n">
        <f aca="false">MIN(G2228,D2228)</f>
        <v>0.7390278</v>
      </c>
      <c r="I2228" s="13" t="n">
        <f aca="false">IFERROR(MIN(F2228*Eingaben!$B$19,MAX(0,D2228-H2228)),0)</f>
        <v>1.75959</v>
      </c>
      <c r="J2228" s="13" t="n">
        <f aca="false">IFERROR(MIN(Eingaben!$B$18,MAX(0,F2228-I2228)),0)</f>
        <v>0.75411</v>
      </c>
      <c r="K2228" s="13" t="n">
        <f aca="false">H2228+I2228</f>
        <v>2.4986178</v>
      </c>
      <c r="L2228" s="13" t="n">
        <f aca="false">MAX(0,D2228-K2228)</f>
        <v>2.4413822</v>
      </c>
      <c r="M2228" s="13" t="n">
        <f aca="false">MAX(0,F2228-I2228-J2228)</f>
        <v>0</v>
      </c>
      <c r="N2228" s="13" t="n">
        <f aca="false">IF(Kalender!A32="",0,J2227-H2228)</f>
        <v>0.0150822</v>
      </c>
    </row>
    <row r="2229" customFormat="false" ht="16.4" hidden="false" customHeight="false" outlineLevel="0" collapsed="false">
      <c r="A2229" s="13" t="str">
        <f aca="false">""</f>
        <v/>
      </c>
      <c r="B2229" s="13" t="n">
        <f aca="false">29</f>
        <v>29</v>
      </c>
      <c r="C2229" s="13" t="n">
        <f aca="false">IF(Szenarien!$H$17="OK",(IFERROR(SUMIF(Nutzungsprofile!$B$6:$B$11,"Schulbetrieb",Nutzungsprofile!$G$6:$G$11)*Kalender!C33/SUM(Kalender!$C$5:$C$370),0)+IFERROR(SUMIF(Nutzungsprofile!$B$6:$B$11,"Halle",Nutzungsprofile!$G$6:$G$11)*Kalender!D33/SUM(Kalender!$D$5:$D$370),0)+IFERROR(SUMIF(Nutzungsprofile!$B$6:$B$11,"Individuell",Nutzungsprofile!$G$6:$G$11)*Kalender!E33/SUM(Kalender!$E$5:$E$370),0))*Szenarien!$E$17,0)</f>
        <v>2.94</v>
      </c>
      <c r="D2229" s="13" t="n">
        <f aca="false">IF(Szenarien!$H$17="OK",(IFERROR(SUMIF(Nutzungsprofile!$B$17:$B$22,"Schulbetrieb",Nutzungsprofile!$G$17:$G$22)*Kalender!C33/SUM(Kalender!$C$5:$C$370),0)+IFERROR(SUMIF(Nutzungsprofile!$B$17:$B$22,"Halle",Nutzungsprofile!$G$17:$G$22)*Kalender!D33/SUM(Kalender!$D$5:$D$370),0)+IFERROR(SUMIF(Nutzungsprofile!$B$17:$B$22,"Individuell",Nutzungsprofile!$G$17:$G$22)*Kalender!E33/SUM(Kalender!$E$5:$E$370),0))*Szenarien!$D$17,0)</f>
        <v>4.94</v>
      </c>
      <c r="E2229" s="13" t="n">
        <f aca="false">IFERROR(MIN(C2229,Eingaben!$B$17)*Eingaben!$B$16,0)</f>
        <v>2.793</v>
      </c>
      <c r="F2229" s="13" t="n">
        <f aca="false">IFERROR(E2229*Eingaben!$B$15,0)</f>
        <v>2.5137</v>
      </c>
      <c r="G2229" s="13" t="n">
        <f aca="false">IFERROR(IF(Kalender!A33="",0,J2228*(1-Eingaben!$B$20)),0)</f>
        <v>0.7390278</v>
      </c>
      <c r="H2229" s="13" t="n">
        <f aca="false">MIN(G2229,D2229)</f>
        <v>0.7390278</v>
      </c>
      <c r="I2229" s="13" t="n">
        <f aca="false">IFERROR(MIN(F2229*Eingaben!$B$19,MAX(0,D2229-H2229)),0)</f>
        <v>1.75959</v>
      </c>
      <c r="J2229" s="13" t="n">
        <f aca="false">IFERROR(MIN(Eingaben!$B$18,MAX(0,F2229-I2229)),0)</f>
        <v>0.75411</v>
      </c>
      <c r="K2229" s="13" t="n">
        <f aca="false">H2229+I2229</f>
        <v>2.4986178</v>
      </c>
      <c r="L2229" s="13" t="n">
        <f aca="false">MAX(0,D2229-K2229)</f>
        <v>2.4413822</v>
      </c>
      <c r="M2229" s="13" t="n">
        <f aca="false">MAX(0,F2229-I2229-J2229)</f>
        <v>0</v>
      </c>
      <c r="N2229" s="13" t="n">
        <f aca="false">IF(Kalender!A33="",0,J2228-H2229)</f>
        <v>0.0150822</v>
      </c>
    </row>
    <row r="2230" customFormat="false" ht="16.4" hidden="false" customHeight="false" outlineLevel="0" collapsed="false">
      <c r="A2230" s="13" t="str">
        <f aca="false">""</f>
        <v/>
      </c>
      <c r="B2230" s="13" t="n">
        <f aca="false">30</f>
        <v>30</v>
      </c>
      <c r="C2230" s="13" t="n">
        <f aca="false">IF(Szenarien!$H$17="OK",(IFERROR(SUMIF(Nutzungsprofile!$B$6:$B$11,"Schulbetrieb",Nutzungsprofile!$G$6:$G$11)*Kalender!C34/SUM(Kalender!$C$5:$C$370),0)+IFERROR(SUMIF(Nutzungsprofile!$B$6:$B$11,"Halle",Nutzungsprofile!$G$6:$G$11)*Kalender!D34/SUM(Kalender!$D$5:$D$370),0)+IFERROR(SUMIF(Nutzungsprofile!$B$6:$B$11,"Individuell",Nutzungsprofile!$G$6:$G$11)*Kalender!E34/SUM(Kalender!$E$5:$E$370),0))*Szenarien!$E$17,0)</f>
        <v>2.94</v>
      </c>
      <c r="D2230" s="13" t="n">
        <f aca="false">IF(Szenarien!$H$17="OK",(IFERROR(SUMIF(Nutzungsprofile!$B$17:$B$22,"Schulbetrieb",Nutzungsprofile!$G$17:$G$22)*Kalender!C34/SUM(Kalender!$C$5:$C$370),0)+IFERROR(SUMIF(Nutzungsprofile!$B$17:$B$22,"Halle",Nutzungsprofile!$G$17:$G$22)*Kalender!D34/SUM(Kalender!$D$5:$D$370),0)+IFERROR(SUMIF(Nutzungsprofile!$B$17:$B$22,"Individuell",Nutzungsprofile!$G$17:$G$22)*Kalender!E34/SUM(Kalender!$E$5:$E$370),0))*Szenarien!$D$17,0)</f>
        <v>4.94</v>
      </c>
      <c r="E2230" s="13" t="n">
        <f aca="false">IFERROR(MIN(C2230,Eingaben!$B$17)*Eingaben!$B$16,0)</f>
        <v>2.793</v>
      </c>
      <c r="F2230" s="13" t="n">
        <f aca="false">IFERROR(E2230*Eingaben!$B$15,0)</f>
        <v>2.5137</v>
      </c>
      <c r="G2230" s="13" t="n">
        <f aca="false">IFERROR(IF(Kalender!A34="",0,J2229*(1-Eingaben!$B$20)),0)</f>
        <v>0.7390278</v>
      </c>
      <c r="H2230" s="13" t="n">
        <f aca="false">MIN(G2230,D2230)</f>
        <v>0.7390278</v>
      </c>
      <c r="I2230" s="13" t="n">
        <f aca="false">IFERROR(MIN(F2230*Eingaben!$B$19,MAX(0,D2230-H2230)),0)</f>
        <v>1.75959</v>
      </c>
      <c r="J2230" s="13" t="n">
        <f aca="false">IFERROR(MIN(Eingaben!$B$18,MAX(0,F2230-I2230)),0)</f>
        <v>0.75411</v>
      </c>
      <c r="K2230" s="13" t="n">
        <f aca="false">H2230+I2230</f>
        <v>2.4986178</v>
      </c>
      <c r="L2230" s="13" t="n">
        <f aca="false">MAX(0,D2230-K2230)</f>
        <v>2.4413822</v>
      </c>
      <c r="M2230" s="13" t="n">
        <f aca="false">MAX(0,F2230-I2230-J2230)</f>
        <v>0</v>
      </c>
      <c r="N2230" s="13" t="n">
        <f aca="false">IF(Kalender!A34="",0,J2229-H2230)</f>
        <v>0.0150822</v>
      </c>
    </row>
    <row r="2231" customFormat="false" ht="16.4" hidden="false" customHeight="false" outlineLevel="0" collapsed="false">
      <c r="A2231" s="13" t="str">
        <f aca="false">""</f>
        <v/>
      </c>
      <c r="B2231" s="13" t="n">
        <f aca="false">31</f>
        <v>31</v>
      </c>
      <c r="C2231" s="13" t="n">
        <f aca="false">IF(Szenarien!$H$17="OK",(IFERROR(SUMIF(Nutzungsprofile!$B$6:$B$11,"Schulbetrieb",Nutzungsprofile!$G$6:$G$11)*Kalender!C35/SUM(Kalender!$C$5:$C$370),0)+IFERROR(SUMIF(Nutzungsprofile!$B$6:$B$11,"Halle",Nutzungsprofile!$G$6:$G$11)*Kalender!D35/SUM(Kalender!$D$5:$D$370),0)+IFERROR(SUMIF(Nutzungsprofile!$B$6:$B$11,"Individuell",Nutzungsprofile!$G$6:$G$11)*Kalender!E35/SUM(Kalender!$E$5:$E$370),0))*Szenarien!$E$17,0)</f>
        <v>2.04</v>
      </c>
      <c r="D2231" s="13" t="n">
        <f aca="false">IF(Szenarien!$H$17="OK",(IFERROR(SUMIF(Nutzungsprofile!$B$17:$B$22,"Schulbetrieb",Nutzungsprofile!$G$17:$G$22)*Kalender!C35/SUM(Kalender!$C$5:$C$370),0)+IFERROR(SUMIF(Nutzungsprofile!$B$17:$B$22,"Halle",Nutzungsprofile!$G$17:$G$22)*Kalender!D35/SUM(Kalender!$D$5:$D$370),0)+IFERROR(SUMIF(Nutzungsprofile!$B$17:$B$22,"Individuell",Nutzungsprofile!$G$17:$G$22)*Kalender!E35/SUM(Kalender!$E$5:$E$370),0))*Szenarien!$D$17,0)</f>
        <v>0.89</v>
      </c>
      <c r="E2231" s="13" t="n">
        <f aca="false">IFERROR(MIN(C2231,Eingaben!$B$17)*Eingaben!$B$16,0)</f>
        <v>1.938</v>
      </c>
      <c r="F2231" s="13" t="n">
        <f aca="false">IFERROR(E2231*Eingaben!$B$15,0)</f>
        <v>1.7442</v>
      </c>
      <c r="G2231" s="13" t="n">
        <f aca="false">IFERROR(IF(Kalender!A35="",0,J2230*(1-Eingaben!$B$20)),0)</f>
        <v>0.7390278</v>
      </c>
      <c r="H2231" s="13" t="n">
        <f aca="false">MIN(G2231,D2231)</f>
        <v>0.7390278</v>
      </c>
      <c r="I2231" s="13" t="n">
        <f aca="false">IFERROR(MIN(F2231*Eingaben!$B$19,MAX(0,D2231-H2231)),0)</f>
        <v>0.1509722</v>
      </c>
      <c r="J2231" s="13" t="n">
        <f aca="false">IFERROR(MIN(Eingaben!$B$18,MAX(0,F2231-I2231)),0)</f>
        <v>1.5932278</v>
      </c>
      <c r="K2231" s="13" t="n">
        <f aca="false">H2231+I2231</f>
        <v>0.89</v>
      </c>
      <c r="L2231" s="13" t="n">
        <f aca="false">MAX(0,D2231-K2231)</f>
        <v>0</v>
      </c>
      <c r="M2231" s="13" t="n">
        <f aca="false">MAX(0,F2231-I2231-J2231)</f>
        <v>0</v>
      </c>
      <c r="N2231" s="13" t="n">
        <f aca="false">IF(Kalender!A35="",0,J2230-H2231)</f>
        <v>0.0150822</v>
      </c>
    </row>
    <row r="2232" customFormat="false" ht="16.4" hidden="false" customHeight="false" outlineLevel="0" collapsed="false">
      <c r="A2232" s="13" t="str">
        <f aca="false">""</f>
        <v/>
      </c>
      <c r="B2232" s="13" t="n">
        <f aca="false">32</f>
        <v>32</v>
      </c>
      <c r="C2232" s="13" t="n">
        <f aca="false">IF(Szenarien!$H$17="OK",(IFERROR(SUMIF(Nutzungsprofile!$B$6:$B$11,"Schulbetrieb",Nutzungsprofile!$G$6:$G$11)*Kalender!C36/SUM(Kalender!$C$5:$C$370),0)+IFERROR(SUMIF(Nutzungsprofile!$B$6:$B$11,"Halle",Nutzungsprofile!$G$6:$G$11)*Kalender!D36/SUM(Kalender!$D$5:$D$370),0)+IFERROR(SUMIF(Nutzungsprofile!$B$6:$B$11,"Individuell",Nutzungsprofile!$G$6:$G$11)*Kalender!E36/SUM(Kalender!$E$5:$E$370),0))*Szenarien!$E$17,0)</f>
        <v>2.04</v>
      </c>
      <c r="D2232" s="13" t="n">
        <f aca="false">IF(Szenarien!$H$17="OK",(IFERROR(SUMIF(Nutzungsprofile!$B$17:$B$22,"Schulbetrieb",Nutzungsprofile!$G$17:$G$22)*Kalender!C36/SUM(Kalender!$C$5:$C$370),0)+IFERROR(SUMIF(Nutzungsprofile!$B$17:$B$22,"Halle",Nutzungsprofile!$G$17:$G$22)*Kalender!D36/SUM(Kalender!$D$5:$D$370),0)+IFERROR(SUMIF(Nutzungsprofile!$B$17:$B$22,"Individuell",Nutzungsprofile!$G$17:$G$22)*Kalender!E36/SUM(Kalender!$E$5:$E$370),0))*Szenarien!$D$17,0)</f>
        <v>0.89</v>
      </c>
      <c r="E2232" s="13" t="n">
        <f aca="false">IFERROR(MIN(C2232,Eingaben!$B$17)*Eingaben!$B$16,0)</f>
        <v>1.938</v>
      </c>
      <c r="F2232" s="13" t="n">
        <f aca="false">IFERROR(E2232*Eingaben!$B$15,0)</f>
        <v>1.7442</v>
      </c>
      <c r="G2232" s="13" t="n">
        <f aca="false">IFERROR(IF(Kalender!A36="",0,J2231*(1-Eingaben!$B$20)),0)</f>
        <v>1.561363244</v>
      </c>
      <c r="H2232" s="13" t="n">
        <f aca="false">MIN(G2232,D2232)</f>
        <v>0.89</v>
      </c>
      <c r="I2232" s="13" t="n">
        <f aca="false">IFERROR(MIN(F2232*Eingaben!$B$19,MAX(0,D2232-H2232)),0)</f>
        <v>0</v>
      </c>
      <c r="J2232" s="13" t="n">
        <f aca="false">IFERROR(MIN(Eingaben!$B$18,MAX(0,F2232-I2232)),0)</f>
        <v>1.7442</v>
      </c>
      <c r="K2232" s="13" t="n">
        <f aca="false">H2232+I2232</f>
        <v>0.89</v>
      </c>
      <c r="L2232" s="13" t="n">
        <f aca="false">MAX(0,D2232-K2232)</f>
        <v>0</v>
      </c>
      <c r="M2232" s="13" t="n">
        <f aca="false">MAX(0,F2232-I2232-J2232)</f>
        <v>0</v>
      </c>
      <c r="N2232" s="13" t="n">
        <f aca="false">IF(Kalender!A36="",0,J2231-H2232)</f>
        <v>0.7032278</v>
      </c>
    </row>
    <row r="2233" customFormat="false" ht="16.4" hidden="false" customHeight="false" outlineLevel="0" collapsed="false">
      <c r="A2233" s="13" t="str">
        <f aca="false">""</f>
        <v/>
      </c>
      <c r="B2233" s="13" t="n">
        <f aca="false">33</f>
        <v>33</v>
      </c>
      <c r="C2233" s="13" t="n">
        <f aca="false">IF(Szenarien!$H$17="OK",(IFERROR(SUMIF(Nutzungsprofile!$B$6:$B$11,"Schulbetrieb",Nutzungsprofile!$G$6:$G$11)*Kalender!C37/SUM(Kalender!$C$5:$C$370),0)+IFERROR(SUMIF(Nutzungsprofile!$B$6:$B$11,"Halle",Nutzungsprofile!$G$6:$G$11)*Kalender!D37/SUM(Kalender!$D$5:$D$370),0)+IFERROR(SUMIF(Nutzungsprofile!$B$6:$B$11,"Individuell",Nutzungsprofile!$G$6:$G$11)*Kalender!E37/SUM(Kalender!$E$5:$E$370),0))*Szenarien!$E$17,0)</f>
        <v>2.94</v>
      </c>
      <c r="D2233" s="13" t="n">
        <f aca="false">IF(Szenarien!$H$17="OK",(IFERROR(SUMIF(Nutzungsprofile!$B$17:$B$22,"Schulbetrieb",Nutzungsprofile!$G$17:$G$22)*Kalender!C37/SUM(Kalender!$C$5:$C$370),0)+IFERROR(SUMIF(Nutzungsprofile!$B$17:$B$22,"Halle",Nutzungsprofile!$G$17:$G$22)*Kalender!D37/SUM(Kalender!$D$5:$D$370),0)+IFERROR(SUMIF(Nutzungsprofile!$B$17:$B$22,"Individuell",Nutzungsprofile!$G$17:$G$22)*Kalender!E37/SUM(Kalender!$E$5:$E$370),0))*Szenarien!$D$17,0)</f>
        <v>4.94</v>
      </c>
      <c r="E2233" s="13" t="n">
        <f aca="false">IFERROR(MIN(C2233,Eingaben!$B$17)*Eingaben!$B$16,0)</f>
        <v>2.793</v>
      </c>
      <c r="F2233" s="13" t="n">
        <f aca="false">IFERROR(E2233*Eingaben!$B$15,0)</f>
        <v>2.5137</v>
      </c>
      <c r="G2233" s="13" t="n">
        <f aca="false">IFERROR(IF(Kalender!A37="",0,J2232*(1-Eingaben!$B$20)),0)</f>
        <v>1.709316</v>
      </c>
      <c r="H2233" s="13" t="n">
        <f aca="false">MIN(G2233,D2233)</f>
        <v>1.709316</v>
      </c>
      <c r="I2233" s="13" t="n">
        <f aca="false">IFERROR(MIN(F2233*Eingaben!$B$19,MAX(0,D2233-H2233)),0)</f>
        <v>1.75959</v>
      </c>
      <c r="J2233" s="13" t="n">
        <f aca="false">IFERROR(MIN(Eingaben!$B$18,MAX(0,F2233-I2233)),0)</f>
        <v>0.75411</v>
      </c>
      <c r="K2233" s="13" t="n">
        <f aca="false">H2233+I2233</f>
        <v>3.468906</v>
      </c>
      <c r="L2233" s="13" t="n">
        <f aca="false">MAX(0,D2233-K2233)</f>
        <v>1.471094</v>
      </c>
      <c r="M2233" s="13" t="n">
        <f aca="false">MAX(0,F2233-I2233-J2233)</f>
        <v>0</v>
      </c>
      <c r="N2233" s="13" t="n">
        <f aca="false">IF(Kalender!A37="",0,J2232-H2233)</f>
        <v>0.0348840000000001</v>
      </c>
    </row>
    <row r="2234" customFormat="false" ht="16.4" hidden="false" customHeight="false" outlineLevel="0" collapsed="false">
      <c r="A2234" s="13" t="str">
        <f aca="false">""</f>
        <v/>
      </c>
      <c r="B2234" s="13" t="n">
        <f aca="false">34</f>
        <v>34</v>
      </c>
      <c r="C2234" s="13" t="n">
        <f aca="false">IF(Szenarien!$H$17="OK",(IFERROR(SUMIF(Nutzungsprofile!$B$6:$B$11,"Schulbetrieb",Nutzungsprofile!$G$6:$G$11)*Kalender!C38/SUM(Kalender!$C$5:$C$370),0)+IFERROR(SUMIF(Nutzungsprofile!$B$6:$B$11,"Halle",Nutzungsprofile!$G$6:$G$11)*Kalender!D38/SUM(Kalender!$D$5:$D$370),0)+IFERROR(SUMIF(Nutzungsprofile!$B$6:$B$11,"Individuell",Nutzungsprofile!$G$6:$G$11)*Kalender!E38/SUM(Kalender!$E$5:$E$370),0))*Szenarien!$E$17,0)</f>
        <v>2.94</v>
      </c>
      <c r="D2234" s="13" t="n">
        <f aca="false">IF(Szenarien!$H$17="OK",(IFERROR(SUMIF(Nutzungsprofile!$B$17:$B$22,"Schulbetrieb",Nutzungsprofile!$G$17:$G$22)*Kalender!C38/SUM(Kalender!$C$5:$C$370),0)+IFERROR(SUMIF(Nutzungsprofile!$B$17:$B$22,"Halle",Nutzungsprofile!$G$17:$G$22)*Kalender!D38/SUM(Kalender!$D$5:$D$370),0)+IFERROR(SUMIF(Nutzungsprofile!$B$17:$B$22,"Individuell",Nutzungsprofile!$G$17:$G$22)*Kalender!E38/SUM(Kalender!$E$5:$E$370),0))*Szenarien!$D$17,0)</f>
        <v>4.94</v>
      </c>
      <c r="E2234" s="13" t="n">
        <f aca="false">IFERROR(MIN(C2234,Eingaben!$B$17)*Eingaben!$B$16,0)</f>
        <v>2.793</v>
      </c>
      <c r="F2234" s="13" t="n">
        <f aca="false">IFERROR(E2234*Eingaben!$B$15,0)</f>
        <v>2.5137</v>
      </c>
      <c r="G2234" s="13" t="n">
        <f aca="false">IFERROR(IF(Kalender!A38="",0,J2233*(1-Eingaben!$B$20)),0)</f>
        <v>0.7390278</v>
      </c>
      <c r="H2234" s="13" t="n">
        <f aca="false">MIN(G2234,D2234)</f>
        <v>0.7390278</v>
      </c>
      <c r="I2234" s="13" t="n">
        <f aca="false">IFERROR(MIN(F2234*Eingaben!$B$19,MAX(0,D2234-H2234)),0)</f>
        <v>1.75959</v>
      </c>
      <c r="J2234" s="13" t="n">
        <f aca="false">IFERROR(MIN(Eingaben!$B$18,MAX(0,F2234-I2234)),0)</f>
        <v>0.75411</v>
      </c>
      <c r="K2234" s="13" t="n">
        <f aca="false">H2234+I2234</f>
        <v>2.4986178</v>
      </c>
      <c r="L2234" s="13" t="n">
        <f aca="false">MAX(0,D2234-K2234)</f>
        <v>2.4413822</v>
      </c>
      <c r="M2234" s="13" t="n">
        <f aca="false">MAX(0,F2234-I2234-J2234)</f>
        <v>0</v>
      </c>
      <c r="N2234" s="13" t="n">
        <f aca="false">IF(Kalender!A38="",0,J2233-H2234)</f>
        <v>0.0150822</v>
      </c>
    </row>
    <row r="2235" customFormat="false" ht="16.4" hidden="false" customHeight="false" outlineLevel="0" collapsed="false">
      <c r="A2235" s="13" t="str">
        <f aca="false">""</f>
        <v/>
      </c>
      <c r="B2235" s="13" t="n">
        <f aca="false">35</f>
        <v>35</v>
      </c>
      <c r="C2235" s="13" t="n">
        <f aca="false">IF(Szenarien!$H$17="OK",(IFERROR(SUMIF(Nutzungsprofile!$B$6:$B$11,"Schulbetrieb",Nutzungsprofile!$G$6:$G$11)*Kalender!C39/SUM(Kalender!$C$5:$C$370),0)+IFERROR(SUMIF(Nutzungsprofile!$B$6:$B$11,"Halle",Nutzungsprofile!$G$6:$G$11)*Kalender!D39/SUM(Kalender!$D$5:$D$370),0)+IFERROR(SUMIF(Nutzungsprofile!$B$6:$B$11,"Individuell",Nutzungsprofile!$G$6:$G$11)*Kalender!E39/SUM(Kalender!$E$5:$E$370),0))*Szenarien!$E$17,0)</f>
        <v>2.94</v>
      </c>
      <c r="D2235" s="13" t="n">
        <f aca="false">IF(Szenarien!$H$17="OK",(IFERROR(SUMIF(Nutzungsprofile!$B$17:$B$22,"Schulbetrieb",Nutzungsprofile!$G$17:$G$22)*Kalender!C39/SUM(Kalender!$C$5:$C$370),0)+IFERROR(SUMIF(Nutzungsprofile!$B$17:$B$22,"Halle",Nutzungsprofile!$G$17:$G$22)*Kalender!D39/SUM(Kalender!$D$5:$D$370),0)+IFERROR(SUMIF(Nutzungsprofile!$B$17:$B$22,"Individuell",Nutzungsprofile!$G$17:$G$22)*Kalender!E39/SUM(Kalender!$E$5:$E$370),0))*Szenarien!$D$17,0)</f>
        <v>4.94</v>
      </c>
      <c r="E2235" s="13" t="n">
        <f aca="false">IFERROR(MIN(C2235,Eingaben!$B$17)*Eingaben!$B$16,0)</f>
        <v>2.793</v>
      </c>
      <c r="F2235" s="13" t="n">
        <f aca="false">IFERROR(E2235*Eingaben!$B$15,0)</f>
        <v>2.5137</v>
      </c>
      <c r="G2235" s="13" t="n">
        <f aca="false">IFERROR(IF(Kalender!A39="",0,J2234*(1-Eingaben!$B$20)),0)</f>
        <v>0.7390278</v>
      </c>
      <c r="H2235" s="13" t="n">
        <f aca="false">MIN(G2235,D2235)</f>
        <v>0.7390278</v>
      </c>
      <c r="I2235" s="13" t="n">
        <f aca="false">IFERROR(MIN(F2235*Eingaben!$B$19,MAX(0,D2235-H2235)),0)</f>
        <v>1.75959</v>
      </c>
      <c r="J2235" s="13" t="n">
        <f aca="false">IFERROR(MIN(Eingaben!$B$18,MAX(0,F2235-I2235)),0)</f>
        <v>0.75411</v>
      </c>
      <c r="K2235" s="13" t="n">
        <f aca="false">H2235+I2235</f>
        <v>2.4986178</v>
      </c>
      <c r="L2235" s="13" t="n">
        <f aca="false">MAX(0,D2235-K2235)</f>
        <v>2.4413822</v>
      </c>
      <c r="M2235" s="13" t="n">
        <f aca="false">MAX(0,F2235-I2235-J2235)</f>
        <v>0</v>
      </c>
      <c r="N2235" s="13" t="n">
        <f aca="false">IF(Kalender!A39="",0,J2234-H2235)</f>
        <v>0.0150822</v>
      </c>
    </row>
    <row r="2236" customFormat="false" ht="16.4" hidden="false" customHeight="false" outlineLevel="0" collapsed="false">
      <c r="A2236" s="13" t="str">
        <f aca="false">""</f>
        <v/>
      </c>
      <c r="B2236" s="13" t="n">
        <f aca="false">36</f>
        <v>36</v>
      </c>
      <c r="C2236" s="13" t="n">
        <f aca="false">IF(Szenarien!$H$17="OK",(IFERROR(SUMIF(Nutzungsprofile!$B$6:$B$11,"Schulbetrieb",Nutzungsprofile!$G$6:$G$11)*Kalender!C40/SUM(Kalender!$C$5:$C$370),0)+IFERROR(SUMIF(Nutzungsprofile!$B$6:$B$11,"Halle",Nutzungsprofile!$G$6:$G$11)*Kalender!D40/SUM(Kalender!$D$5:$D$370),0)+IFERROR(SUMIF(Nutzungsprofile!$B$6:$B$11,"Individuell",Nutzungsprofile!$G$6:$G$11)*Kalender!E40/SUM(Kalender!$E$5:$E$370),0))*Szenarien!$E$17,0)</f>
        <v>2.94</v>
      </c>
      <c r="D2236" s="13" t="n">
        <f aca="false">IF(Szenarien!$H$17="OK",(IFERROR(SUMIF(Nutzungsprofile!$B$17:$B$22,"Schulbetrieb",Nutzungsprofile!$G$17:$G$22)*Kalender!C40/SUM(Kalender!$C$5:$C$370),0)+IFERROR(SUMIF(Nutzungsprofile!$B$17:$B$22,"Halle",Nutzungsprofile!$G$17:$G$22)*Kalender!D40/SUM(Kalender!$D$5:$D$370),0)+IFERROR(SUMIF(Nutzungsprofile!$B$17:$B$22,"Individuell",Nutzungsprofile!$G$17:$G$22)*Kalender!E40/SUM(Kalender!$E$5:$E$370),0))*Szenarien!$D$17,0)</f>
        <v>4.94</v>
      </c>
      <c r="E2236" s="13" t="n">
        <f aca="false">IFERROR(MIN(C2236,Eingaben!$B$17)*Eingaben!$B$16,0)</f>
        <v>2.793</v>
      </c>
      <c r="F2236" s="13" t="n">
        <f aca="false">IFERROR(E2236*Eingaben!$B$15,0)</f>
        <v>2.5137</v>
      </c>
      <c r="G2236" s="13" t="n">
        <f aca="false">IFERROR(IF(Kalender!A40="",0,J2235*(1-Eingaben!$B$20)),0)</f>
        <v>0.7390278</v>
      </c>
      <c r="H2236" s="13" t="n">
        <f aca="false">MIN(G2236,D2236)</f>
        <v>0.7390278</v>
      </c>
      <c r="I2236" s="13" t="n">
        <f aca="false">IFERROR(MIN(F2236*Eingaben!$B$19,MAX(0,D2236-H2236)),0)</f>
        <v>1.75959</v>
      </c>
      <c r="J2236" s="13" t="n">
        <f aca="false">IFERROR(MIN(Eingaben!$B$18,MAX(0,F2236-I2236)),0)</f>
        <v>0.75411</v>
      </c>
      <c r="K2236" s="13" t="n">
        <f aca="false">H2236+I2236</f>
        <v>2.4986178</v>
      </c>
      <c r="L2236" s="13" t="n">
        <f aca="false">MAX(0,D2236-K2236)</f>
        <v>2.4413822</v>
      </c>
      <c r="M2236" s="13" t="n">
        <f aca="false">MAX(0,F2236-I2236-J2236)</f>
        <v>0</v>
      </c>
      <c r="N2236" s="13" t="n">
        <f aca="false">IF(Kalender!A40="",0,J2235-H2236)</f>
        <v>0.0150822</v>
      </c>
    </row>
    <row r="2237" customFormat="false" ht="16.4" hidden="false" customHeight="false" outlineLevel="0" collapsed="false">
      <c r="A2237" s="13" t="str">
        <f aca="false">""</f>
        <v/>
      </c>
      <c r="B2237" s="13" t="n">
        <f aca="false">37</f>
        <v>37</v>
      </c>
      <c r="C2237" s="13" t="n">
        <f aca="false">IF(Szenarien!$H$17="OK",(IFERROR(SUMIF(Nutzungsprofile!$B$6:$B$11,"Schulbetrieb",Nutzungsprofile!$G$6:$G$11)*Kalender!C41/SUM(Kalender!$C$5:$C$370),0)+IFERROR(SUMIF(Nutzungsprofile!$B$6:$B$11,"Halle",Nutzungsprofile!$G$6:$G$11)*Kalender!D41/SUM(Kalender!$D$5:$D$370),0)+IFERROR(SUMIF(Nutzungsprofile!$B$6:$B$11,"Individuell",Nutzungsprofile!$G$6:$G$11)*Kalender!E41/SUM(Kalender!$E$5:$E$370),0))*Szenarien!$E$17,0)</f>
        <v>2.94</v>
      </c>
      <c r="D2237" s="13" t="n">
        <f aca="false">IF(Szenarien!$H$17="OK",(IFERROR(SUMIF(Nutzungsprofile!$B$17:$B$22,"Schulbetrieb",Nutzungsprofile!$G$17:$G$22)*Kalender!C41/SUM(Kalender!$C$5:$C$370),0)+IFERROR(SUMIF(Nutzungsprofile!$B$17:$B$22,"Halle",Nutzungsprofile!$G$17:$G$22)*Kalender!D41/SUM(Kalender!$D$5:$D$370),0)+IFERROR(SUMIF(Nutzungsprofile!$B$17:$B$22,"Individuell",Nutzungsprofile!$G$17:$G$22)*Kalender!E41/SUM(Kalender!$E$5:$E$370),0))*Szenarien!$D$17,0)</f>
        <v>4.94</v>
      </c>
      <c r="E2237" s="13" t="n">
        <f aca="false">IFERROR(MIN(C2237,Eingaben!$B$17)*Eingaben!$B$16,0)</f>
        <v>2.793</v>
      </c>
      <c r="F2237" s="13" t="n">
        <f aca="false">IFERROR(E2237*Eingaben!$B$15,0)</f>
        <v>2.5137</v>
      </c>
      <c r="G2237" s="13" t="n">
        <f aca="false">IFERROR(IF(Kalender!A41="",0,J2236*(1-Eingaben!$B$20)),0)</f>
        <v>0.7390278</v>
      </c>
      <c r="H2237" s="13" t="n">
        <f aca="false">MIN(G2237,D2237)</f>
        <v>0.7390278</v>
      </c>
      <c r="I2237" s="13" t="n">
        <f aca="false">IFERROR(MIN(F2237*Eingaben!$B$19,MAX(0,D2237-H2237)),0)</f>
        <v>1.75959</v>
      </c>
      <c r="J2237" s="13" t="n">
        <f aca="false">IFERROR(MIN(Eingaben!$B$18,MAX(0,F2237-I2237)),0)</f>
        <v>0.75411</v>
      </c>
      <c r="K2237" s="13" t="n">
        <f aca="false">H2237+I2237</f>
        <v>2.4986178</v>
      </c>
      <c r="L2237" s="13" t="n">
        <f aca="false">MAX(0,D2237-K2237)</f>
        <v>2.4413822</v>
      </c>
      <c r="M2237" s="13" t="n">
        <f aca="false">MAX(0,F2237-I2237-J2237)</f>
        <v>0</v>
      </c>
      <c r="N2237" s="13" t="n">
        <f aca="false">IF(Kalender!A41="",0,J2236-H2237)</f>
        <v>0.0150822</v>
      </c>
    </row>
    <row r="2238" customFormat="false" ht="16.4" hidden="false" customHeight="false" outlineLevel="0" collapsed="false">
      <c r="A2238" s="13" t="str">
        <f aca="false">""</f>
        <v/>
      </c>
      <c r="B2238" s="13" t="n">
        <f aca="false">38</f>
        <v>38</v>
      </c>
      <c r="C2238" s="13" t="n">
        <f aca="false">IF(Szenarien!$H$17="OK",(IFERROR(SUMIF(Nutzungsprofile!$B$6:$B$11,"Schulbetrieb",Nutzungsprofile!$G$6:$G$11)*Kalender!C42/SUM(Kalender!$C$5:$C$370),0)+IFERROR(SUMIF(Nutzungsprofile!$B$6:$B$11,"Halle",Nutzungsprofile!$G$6:$G$11)*Kalender!D42/SUM(Kalender!$D$5:$D$370),0)+IFERROR(SUMIF(Nutzungsprofile!$B$6:$B$11,"Individuell",Nutzungsprofile!$G$6:$G$11)*Kalender!E42/SUM(Kalender!$E$5:$E$370),0))*Szenarien!$E$17,0)</f>
        <v>2.04</v>
      </c>
      <c r="D2238" s="13" t="n">
        <f aca="false">IF(Szenarien!$H$17="OK",(IFERROR(SUMIF(Nutzungsprofile!$B$17:$B$22,"Schulbetrieb",Nutzungsprofile!$G$17:$G$22)*Kalender!C42/SUM(Kalender!$C$5:$C$370),0)+IFERROR(SUMIF(Nutzungsprofile!$B$17:$B$22,"Halle",Nutzungsprofile!$G$17:$G$22)*Kalender!D42/SUM(Kalender!$D$5:$D$370),0)+IFERROR(SUMIF(Nutzungsprofile!$B$17:$B$22,"Individuell",Nutzungsprofile!$G$17:$G$22)*Kalender!E42/SUM(Kalender!$E$5:$E$370),0))*Szenarien!$D$17,0)</f>
        <v>0.89</v>
      </c>
      <c r="E2238" s="13" t="n">
        <f aca="false">IFERROR(MIN(C2238,Eingaben!$B$17)*Eingaben!$B$16,0)</f>
        <v>1.938</v>
      </c>
      <c r="F2238" s="13" t="n">
        <f aca="false">IFERROR(E2238*Eingaben!$B$15,0)</f>
        <v>1.7442</v>
      </c>
      <c r="G2238" s="13" t="n">
        <f aca="false">IFERROR(IF(Kalender!A42="",0,J2237*(1-Eingaben!$B$20)),0)</f>
        <v>0.7390278</v>
      </c>
      <c r="H2238" s="13" t="n">
        <f aca="false">MIN(G2238,D2238)</f>
        <v>0.7390278</v>
      </c>
      <c r="I2238" s="13" t="n">
        <f aca="false">IFERROR(MIN(F2238*Eingaben!$B$19,MAX(0,D2238-H2238)),0)</f>
        <v>0.1509722</v>
      </c>
      <c r="J2238" s="13" t="n">
        <f aca="false">IFERROR(MIN(Eingaben!$B$18,MAX(0,F2238-I2238)),0)</f>
        <v>1.5932278</v>
      </c>
      <c r="K2238" s="13" t="n">
        <f aca="false">H2238+I2238</f>
        <v>0.89</v>
      </c>
      <c r="L2238" s="13" t="n">
        <f aca="false">MAX(0,D2238-K2238)</f>
        <v>0</v>
      </c>
      <c r="M2238" s="13" t="n">
        <f aca="false">MAX(0,F2238-I2238-J2238)</f>
        <v>0</v>
      </c>
      <c r="N2238" s="13" t="n">
        <f aca="false">IF(Kalender!A42="",0,J2237-H2238)</f>
        <v>0.0150822</v>
      </c>
    </row>
    <row r="2239" customFormat="false" ht="16.4" hidden="false" customHeight="false" outlineLevel="0" collapsed="false">
      <c r="A2239" s="13" t="str">
        <f aca="false">""</f>
        <v/>
      </c>
      <c r="B2239" s="13" t="n">
        <f aca="false">39</f>
        <v>39</v>
      </c>
      <c r="C2239" s="13" t="n">
        <f aca="false">IF(Szenarien!$H$17="OK",(IFERROR(SUMIF(Nutzungsprofile!$B$6:$B$11,"Schulbetrieb",Nutzungsprofile!$G$6:$G$11)*Kalender!C43/SUM(Kalender!$C$5:$C$370),0)+IFERROR(SUMIF(Nutzungsprofile!$B$6:$B$11,"Halle",Nutzungsprofile!$G$6:$G$11)*Kalender!D43/SUM(Kalender!$D$5:$D$370),0)+IFERROR(SUMIF(Nutzungsprofile!$B$6:$B$11,"Individuell",Nutzungsprofile!$G$6:$G$11)*Kalender!E43/SUM(Kalender!$E$5:$E$370),0))*Szenarien!$E$17,0)</f>
        <v>2.04</v>
      </c>
      <c r="D2239" s="13" t="n">
        <f aca="false">IF(Szenarien!$H$17="OK",(IFERROR(SUMIF(Nutzungsprofile!$B$17:$B$22,"Schulbetrieb",Nutzungsprofile!$G$17:$G$22)*Kalender!C43/SUM(Kalender!$C$5:$C$370),0)+IFERROR(SUMIF(Nutzungsprofile!$B$17:$B$22,"Halle",Nutzungsprofile!$G$17:$G$22)*Kalender!D43/SUM(Kalender!$D$5:$D$370),0)+IFERROR(SUMIF(Nutzungsprofile!$B$17:$B$22,"Individuell",Nutzungsprofile!$G$17:$G$22)*Kalender!E43/SUM(Kalender!$E$5:$E$370),0))*Szenarien!$D$17,0)</f>
        <v>0.89</v>
      </c>
      <c r="E2239" s="13" t="n">
        <f aca="false">IFERROR(MIN(C2239,Eingaben!$B$17)*Eingaben!$B$16,0)</f>
        <v>1.938</v>
      </c>
      <c r="F2239" s="13" t="n">
        <f aca="false">IFERROR(E2239*Eingaben!$B$15,0)</f>
        <v>1.7442</v>
      </c>
      <c r="G2239" s="13" t="n">
        <f aca="false">IFERROR(IF(Kalender!A43="",0,J2238*(1-Eingaben!$B$20)),0)</f>
        <v>1.561363244</v>
      </c>
      <c r="H2239" s="13" t="n">
        <f aca="false">MIN(G2239,D2239)</f>
        <v>0.89</v>
      </c>
      <c r="I2239" s="13" t="n">
        <f aca="false">IFERROR(MIN(F2239*Eingaben!$B$19,MAX(0,D2239-H2239)),0)</f>
        <v>0</v>
      </c>
      <c r="J2239" s="13" t="n">
        <f aca="false">IFERROR(MIN(Eingaben!$B$18,MAX(0,F2239-I2239)),0)</f>
        <v>1.7442</v>
      </c>
      <c r="K2239" s="13" t="n">
        <f aca="false">H2239+I2239</f>
        <v>0.89</v>
      </c>
      <c r="L2239" s="13" t="n">
        <f aca="false">MAX(0,D2239-K2239)</f>
        <v>0</v>
      </c>
      <c r="M2239" s="13" t="n">
        <f aca="false">MAX(0,F2239-I2239-J2239)</f>
        <v>0</v>
      </c>
      <c r="N2239" s="13" t="n">
        <f aca="false">IF(Kalender!A43="",0,J2238-H2239)</f>
        <v>0.7032278</v>
      </c>
    </row>
    <row r="2240" customFormat="false" ht="16.4" hidden="false" customHeight="false" outlineLevel="0" collapsed="false">
      <c r="A2240" s="13" t="str">
        <f aca="false">""</f>
        <v/>
      </c>
      <c r="B2240" s="13" t="n">
        <f aca="false">40</f>
        <v>40</v>
      </c>
      <c r="C2240" s="13" t="n">
        <f aca="false">IF(Szenarien!$H$17="OK",(IFERROR(SUMIF(Nutzungsprofile!$B$6:$B$11,"Schulbetrieb",Nutzungsprofile!$G$6:$G$11)*Kalender!C44/SUM(Kalender!$C$5:$C$370),0)+IFERROR(SUMIF(Nutzungsprofile!$B$6:$B$11,"Halle",Nutzungsprofile!$G$6:$G$11)*Kalender!D44/SUM(Kalender!$D$5:$D$370),0)+IFERROR(SUMIF(Nutzungsprofile!$B$6:$B$11,"Individuell",Nutzungsprofile!$G$6:$G$11)*Kalender!E44/SUM(Kalender!$E$5:$E$370),0))*Szenarien!$E$17,0)</f>
        <v>2.94</v>
      </c>
      <c r="D2240" s="13" t="n">
        <f aca="false">IF(Szenarien!$H$17="OK",(IFERROR(SUMIF(Nutzungsprofile!$B$17:$B$22,"Schulbetrieb",Nutzungsprofile!$G$17:$G$22)*Kalender!C44/SUM(Kalender!$C$5:$C$370),0)+IFERROR(SUMIF(Nutzungsprofile!$B$17:$B$22,"Halle",Nutzungsprofile!$G$17:$G$22)*Kalender!D44/SUM(Kalender!$D$5:$D$370),0)+IFERROR(SUMIF(Nutzungsprofile!$B$17:$B$22,"Individuell",Nutzungsprofile!$G$17:$G$22)*Kalender!E44/SUM(Kalender!$E$5:$E$370),0))*Szenarien!$D$17,0)</f>
        <v>4.94</v>
      </c>
      <c r="E2240" s="13" t="n">
        <f aca="false">IFERROR(MIN(C2240,Eingaben!$B$17)*Eingaben!$B$16,0)</f>
        <v>2.793</v>
      </c>
      <c r="F2240" s="13" t="n">
        <f aca="false">IFERROR(E2240*Eingaben!$B$15,0)</f>
        <v>2.5137</v>
      </c>
      <c r="G2240" s="13" t="n">
        <f aca="false">IFERROR(IF(Kalender!A44="",0,J2239*(1-Eingaben!$B$20)),0)</f>
        <v>1.709316</v>
      </c>
      <c r="H2240" s="13" t="n">
        <f aca="false">MIN(G2240,D2240)</f>
        <v>1.709316</v>
      </c>
      <c r="I2240" s="13" t="n">
        <f aca="false">IFERROR(MIN(F2240*Eingaben!$B$19,MAX(0,D2240-H2240)),0)</f>
        <v>1.75959</v>
      </c>
      <c r="J2240" s="13" t="n">
        <f aca="false">IFERROR(MIN(Eingaben!$B$18,MAX(0,F2240-I2240)),0)</f>
        <v>0.75411</v>
      </c>
      <c r="K2240" s="13" t="n">
        <f aca="false">H2240+I2240</f>
        <v>3.468906</v>
      </c>
      <c r="L2240" s="13" t="n">
        <f aca="false">MAX(0,D2240-K2240)</f>
        <v>1.471094</v>
      </c>
      <c r="M2240" s="13" t="n">
        <f aca="false">MAX(0,F2240-I2240-J2240)</f>
        <v>0</v>
      </c>
      <c r="N2240" s="13" t="n">
        <f aca="false">IF(Kalender!A44="",0,J2239-H2240)</f>
        <v>0.0348840000000001</v>
      </c>
    </row>
    <row r="2241" customFormat="false" ht="16.4" hidden="false" customHeight="false" outlineLevel="0" collapsed="false">
      <c r="A2241" s="13" t="str">
        <f aca="false">""</f>
        <v/>
      </c>
      <c r="B2241" s="13" t="n">
        <f aca="false">41</f>
        <v>41</v>
      </c>
      <c r="C2241" s="13" t="n">
        <f aca="false">IF(Szenarien!$H$17="OK",(IFERROR(SUMIF(Nutzungsprofile!$B$6:$B$11,"Schulbetrieb",Nutzungsprofile!$G$6:$G$11)*Kalender!C45/SUM(Kalender!$C$5:$C$370),0)+IFERROR(SUMIF(Nutzungsprofile!$B$6:$B$11,"Halle",Nutzungsprofile!$G$6:$G$11)*Kalender!D45/SUM(Kalender!$D$5:$D$370),0)+IFERROR(SUMIF(Nutzungsprofile!$B$6:$B$11,"Individuell",Nutzungsprofile!$G$6:$G$11)*Kalender!E45/SUM(Kalender!$E$5:$E$370),0))*Szenarien!$E$17,0)</f>
        <v>2.94</v>
      </c>
      <c r="D2241" s="13" t="n">
        <f aca="false">IF(Szenarien!$H$17="OK",(IFERROR(SUMIF(Nutzungsprofile!$B$17:$B$22,"Schulbetrieb",Nutzungsprofile!$G$17:$G$22)*Kalender!C45/SUM(Kalender!$C$5:$C$370),0)+IFERROR(SUMIF(Nutzungsprofile!$B$17:$B$22,"Halle",Nutzungsprofile!$G$17:$G$22)*Kalender!D45/SUM(Kalender!$D$5:$D$370),0)+IFERROR(SUMIF(Nutzungsprofile!$B$17:$B$22,"Individuell",Nutzungsprofile!$G$17:$G$22)*Kalender!E45/SUM(Kalender!$E$5:$E$370),0))*Szenarien!$D$17,0)</f>
        <v>4.94</v>
      </c>
      <c r="E2241" s="13" t="n">
        <f aca="false">IFERROR(MIN(C2241,Eingaben!$B$17)*Eingaben!$B$16,0)</f>
        <v>2.793</v>
      </c>
      <c r="F2241" s="13" t="n">
        <f aca="false">IFERROR(E2241*Eingaben!$B$15,0)</f>
        <v>2.5137</v>
      </c>
      <c r="G2241" s="13" t="n">
        <f aca="false">IFERROR(IF(Kalender!A45="",0,J2240*(1-Eingaben!$B$20)),0)</f>
        <v>0.7390278</v>
      </c>
      <c r="H2241" s="13" t="n">
        <f aca="false">MIN(G2241,D2241)</f>
        <v>0.7390278</v>
      </c>
      <c r="I2241" s="13" t="n">
        <f aca="false">IFERROR(MIN(F2241*Eingaben!$B$19,MAX(0,D2241-H2241)),0)</f>
        <v>1.75959</v>
      </c>
      <c r="J2241" s="13" t="n">
        <f aca="false">IFERROR(MIN(Eingaben!$B$18,MAX(0,F2241-I2241)),0)</f>
        <v>0.75411</v>
      </c>
      <c r="K2241" s="13" t="n">
        <f aca="false">H2241+I2241</f>
        <v>2.4986178</v>
      </c>
      <c r="L2241" s="13" t="n">
        <f aca="false">MAX(0,D2241-K2241)</f>
        <v>2.4413822</v>
      </c>
      <c r="M2241" s="13" t="n">
        <f aca="false">MAX(0,F2241-I2241-J2241)</f>
        <v>0</v>
      </c>
      <c r="N2241" s="13" t="n">
        <f aca="false">IF(Kalender!A45="",0,J2240-H2241)</f>
        <v>0.0150822</v>
      </c>
    </row>
    <row r="2242" customFormat="false" ht="16.4" hidden="false" customHeight="false" outlineLevel="0" collapsed="false">
      <c r="A2242" s="13" t="str">
        <f aca="false">""</f>
        <v/>
      </c>
      <c r="B2242" s="13" t="n">
        <f aca="false">42</f>
        <v>42</v>
      </c>
      <c r="C2242" s="13" t="n">
        <f aca="false">IF(Szenarien!$H$17="OK",(IFERROR(SUMIF(Nutzungsprofile!$B$6:$B$11,"Schulbetrieb",Nutzungsprofile!$G$6:$G$11)*Kalender!C46/SUM(Kalender!$C$5:$C$370),0)+IFERROR(SUMIF(Nutzungsprofile!$B$6:$B$11,"Halle",Nutzungsprofile!$G$6:$G$11)*Kalender!D46/SUM(Kalender!$D$5:$D$370),0)+IFERROR(SUMIF(Nutzungsprofile!$B$6:$B$11,"Individuell",Nutzungsprofile!$G$6:$G$11)*Kalender!E46/SUM(Kalender!$E$5:$E$370),0))*Szenarien!$E$17,0)</f>
        <v>2.94</v>
      </c>
      <c r="D2242" s="13" t="n">
        <f aca="false">IF(Szenarien!$H$17="OK",(IFERROR(SUMIF(Nutzungsprofile!$B$17:$B$22,"Schulbetrieb",Nutzungsprofile!$G$17:$G$22)*Kalender!C46/SUM(Kalender!$C$5:$C$370),0)+IFERROR(SUMIF(Nutzungsprofile!$B$17:$B$22,"Halle",Nutzungsprofile!$G$17:$G$22)*Kalender!D46/SUM(Kalender!$D$5:$D$370),0)+IFERROR(SUMIF(Nutzungsprofile!$B$17:$B$22,"Individuell",Nutzungsprofile!$G$17:$G$22)*Kalender!E46/SUM(Kalender!$E$5:$E$370),0))*Szenarien!$D$17,0)</f>
        <v>4.94</v>
      </c>
      <c r="E2242" s="13" t="n">
        <f aca="false">IFERROR(MIN(C2242,Eingaben!$B$17)*Eingaben!$B$16,0)</f>
        <v>2.793</v>
      </c>
      <c r="F2242" s="13" t="n">
        <f aca="false">IFERROR(E2242*Eingaben!$B$15,0)</f>
        <v>2.5137</v>
      </c>
      <c r="G2242" s="13" t="n">
        <f aca="false">IFERROR(IF(Kalender!A46="",0,J2241*(1-Eingaben!$B$20)),0)</f>
        <v>0.7390278</v>
      </c>
      <c r="H2242" s="13" t="n">
        <f aca="false">MIN(G2242,D2242)</f>
        <v>0.7390278</v>
      </c>
      <c r="I2242" s="13" t="n">
        <f aca="false">IFERROR(MIN(F2242*Eingaben!$B$19,MAX(0,D2242-H2242)),0)</f>
        <v>1.75959</v>
      </c>
      <c r="J2242" s="13" t="n">
        <f aca="false">IFERROR(MIN(Eingaben!$B$18,MAX(0,F2242-I2242)),0)</f>
        <v>0.75411</v>
      </c>
      <c r="K2242" s="13" t="n">
        <f aca="false">H2242+I2242</f>
        <v>2.4986178</v>
      </c>
      <c r="L2242" s="13" t="n">
        <f aca="false">MAX(0,D2242-K2242)</f>
        <v>2.4413822</v>
      </c>
      <c r="M2242" s="13" t="n">
        <f aca="false">MAX(0,F2242-I2242-J2242)</f>
        <v>0</v>
      </c>
      <c r="N2242" s="13" t="n">
        <f aca="false">IF(Kalender!A46="",0,J2241-H2242)</f>
        <v>0.0150822</v>
      </c>
    </row>
    <row r="2243" customFormat="false" ht="16.4" hidden="false" customHeight="false" outlineLevel="0" collapsed="false">
      <c r="A2243" s="13" t="str">
        <f aca="false">""</f>
        <v/>
      </c>
      <c r="B2243" s="13" t="n">
        <f aca="false">43</f>
        <v>43</v>
      </c>
      <c r="C2243" s="13" t="n">
        <f aca="false">IF(Szenarien!$H$17="OK",(IFERROR(SUMIF(Nutzungsprofile!$B$6:$B$11,"Schulbetrieb",Nutzungsprofile!$G$6:$G$11)*Kalender!C47/SUM(Kalender!$C$5:$C$370),0)+IFERROR(SUMIF(Nutzungsprofile!$B$6:$B$11,"Halle",Nutzungsprofile!$G$6:$G$11)*Kalender!D47/SUM(Kalender!$D$5:$D$370),0)+IFERROR(SUMIF(Nutzungsprofile!$B$6:$B$11,"Individuell",Nutzungsprofile!$G$6:$G$11)*Kalender!E47/SUM(Kalender!$E$5:$E$370),0))*Szenarien!$E$17,0)</f>
        <v>2.94</v>
      </c>
      <c r="D2243" s="13" t="n">
        <f aca="false">IF(Szenarien!$H$17="OK",(IFERROR(SUMIF(Nutzungsprofile!$B$17:$B$22,"Schulbetrieb",Nutzungsprofile!$G$17:$G$22)*Kalender!C47/SUM(Kalender!$C$5:$C$370),0)+IFERROR(SUMIF(Nutzungsprofile!$B$17:$B$22,"Halle",Nutzungsprofile!$G$17:$G$22)*Kalender!D47/SUM(Kalender!$D$5:$D$370),0)+IFERROR(SUMIF(Nutzungsprofile!$B$17:$B$22,"Individuell",Nutzungsprofile!$G$17:$G$22)*Kalender!E47/SUM(Kalender!$E$5:$E$370),0))*Szenarien!$D$17,0)</f>
        <v>4.94</v>
      </c>
      <c r="E2243" s="13" t="n">
        <f aca="false">IFERROR(MIN(C2243,Eingaben!$B$17)*Eingaben!$B$16,0)</f>
        <v>2.793</v>
      </c>
      <c r="F2243" s="13" t="n">
        <f aca="false">IFERROR(E2243*Eingaben!$B$15,0)</f>
        <v>2.5137</v>
      </c>
      <c r="G2243" s="13" t="n">
        <f aca="false">IFERROR(IF(Kalender!A47="",0,J2242*(1-Eingaben!$B$20)),0)</f>
        <v>0.7390278</v>
      </c>
      <c r="H2243" s="13" t="n">
        <f aca="false">MIN(G2243,D2243)</f>
        <v>0.7390278</v>
      </c>
      <c r="I2243" s="13" t="n">
        <f aca="false">IFERROR(MIN(F2243*Eingaben!$B$19,MAX(0,D2243-H2243)),0)</f>
        <v>1.75959</v>
      </c>
      <c r="J2243" s="13" t="n">
        <f aca="false">IFERROR(MIN(Eingaben!$B$18,MAX(0,F2243-I2243)),0)</f>
        <v>0.75411</v>
      </c>
      <c r="K2243" s="13" t="n">
        <f aca="false">H2243+I2243</f>
        <v>2.4986178</v>
      </c>
      <c r="L2243" s="13" t="n">
        <f aca="false">MAX(0,D2243-K2243)</f>
        <v>2.4413822</v>
      </c>
      <c r="M2243" s="13" t="n">
        <f aca="false">MAX(0,F2243-I2243-J2243)</f>
        <v>0</v>
      </c>
      <c r="N2243" s="13" t="n">
        <f aca="false">IF(Kalender!A47="",0,J2242-H2243)</f>
        <v>0.0150822</v>
      </c>
    </row>
    <row r="2244" customFormat="false" ht="16.4" hidden="false" customHeight="false" outlineLevel="0" collapsed="false">
      <c r="A2244" s="13" t="str">
        <f aca="false">""</f>
        <v/>
      </c>
      <c r="B2244" s="13" t="n">
        <f aca="false">44</f>
        <v>44</v>
      </c>
      <c r="C2244" s="13" t="n">
        <f aca="false">IF(Szenarien!$H$17="OK",(IFERROR(SUMIF(Nutzungsprofile!$B$6:$B$11,"Schulbetrieb",Nutzungsprofile!$G$6:$G$11)*Kalender!C48/SUM(Kalender!$C$5:$C$370),0)+IFERROR(SUMIF(Nutzungsprofile!$B$6:$B$11,"Halle",Nutzungsprofile!$G$6:$G$11)*Kalender!D48/SUM(Kalender!$D$5:$D$370),0)+IFERROR(SUMIF(Nutzungsprofile!$B$6:$B$11,"Individuell",Nutzungsprofile!$G$6:$G$11)*Kalender!E48/SUM(Kalender!$E$5:$E$370),0))*Szenarien!$E$17,0)</f>
        <v>2.94</v>
      </c>
      <c r="D2244" s="13" t="n">
        <f aca="false">IF(Szenarien!$H$17="OK",(IFERROR(SUMIF(Nutzungsprofile!$B$17:$B$22,"Schulbetrieb",Nutzungsprofile!$G$17:$G$22)*Kalender!C48/SUM(Kalender!$C$5:$C$370),0)+IFERROR(SUMIF(Nutzungsprofile!$B$17:$B$22,"Halle",Nutzungsprofile!$G$17:$G$22)*Kalender!D48/SUM(Kalender!$D$5:$D$370),0)+IFERROR(SUMIF(Nutzungsprofile!$B$17:$B$22,"Individuell",Nutzungsprofile!$G$17:$G$22)*Kalender!E48/SUM(Kalender!$E$5:$E$370),0))*Szenarien!$D$17,0)</f>
        <v>4.94</v>
      </c>
      <c r="E2244" s="13" t="n">
        <f aca="false">IFERROR(MIN(C2244,Eingaben!$B$17)*Eingaben!$B$16,0)</f>
        <v>2.793</v>
      </c>
      <c r="F2244" s="13" t="n">
        <f aca="false">IFERROR(E2244*Eingaben!$B$15,0)</f>
        <v>2.5137</v>
      </c>
      <c r="G2244" s="13" t="n">
        <f aca="false">IFERROR(IF(Kalender!A48="",0,J2243*(1-Eingaben!$B$20)),0)</f>
        <v>0.7390278</v>
      </c>
      <c r="H2244" s="13" t="n">
        <f aca="false">MIN(G2244,D2244)</f>
        <v>0.7390278</v>
      </c>
      <c r="I2244" s="13" t="n">
        <f aca="false">IFERROR(MIN(F2244*Eingaben!$B$19,MAX(0,D2244-H2244)),0)</f>
        <v>1.75959</v>
      </c>
      <c r="J2244" s="13" t="n">
        <f aca="false">IFERROR(MIN(Eingaben!$B$18,MAX(0,F2244-I2244)),0)</f>
        <v>0.75411</v>
      </c>
      <c r="K2244" s="13" t="n">
        <f aca="false">H2244+I2244</f>
        <v>2.4986178</v>
      </c>
      <c r="L2244" s="13" t="n">
        <f aca="false">MAX(0,D2244-K2244)</f>
        <v>2.4413822</v>
      </c>
      <c r="M2244" s="13" t="n">
        <f aca="false">MAX(0,F2244-I2244-J2244)</f>
        <v>0</v>
      </c>
      <c r="N2244" s="13" t="n">
        <f aca="false">IF(Kalender!A48="",0,J2243-H2244)</f>
        <v>0.0150822</v>
      </c>
    </row>
    <row r="2245" customFormat="false" ht="16.4" hidden="false" customHeight="false" outlineLevel="0" collapsed="false">
      <c r="A2245" s="13" t="str">
        <f aca="false">""</f>
        <v/>
      </c>
      <c r="B2245" s="13" t="n">
        <f aca="false">45</f>
        <v>45</v>
      </c>
      <c r="C2245" s="13" t="n">
        <f aca="false">IF(Szenarien!$H$17="OK",(IFERROR(SUMIF(Nutzungsprofile!$B$6:$B$11,"Schulbetrieb",Nutzungsprofile!$G$6:$G$11)*Kalender!C49/SUM(Kalender!$C$5:$C$370),0)+IFERROR(SUMIF(Nutzungsprofile!$B$6:$B$11,"Halle",Nutzungsprofile!$G$6:$G$11)*Kalender!D49/SUM(Kalender!$D$5:$D$370),0)+IFERROR(SUMIF(Nutzungsprofile!$B$6:$B$11,"Individuell",Nutzungsprofile!$G$6:$G$11)*Kalender!E49/SUM(Kalender!$E$5:$E$370),0))*Szenarien!$E$17,0)</f>
        <v>2.04</v>
      </c>
      <c r="D2245" s="13" t="n">
        <f aca="false">IF(Szenarien!$H$17="OK",(IFERROR(SUMIF(Nutzungsprofile!$B$17:$B$22,"Schulbetrieb",Nutzungsprofile!$G$17:$G$22)*Kalender!C49/SUM(Kalender!$C$5:$C$370),0)+IFERROR(SUMIF(Nutzungsprofile!$B$17:$B$22,"Halle",Nutzungsprofile!$G$17:$G$22)*Kalender!D49/SUM(Kalender!$D$5:$D$370),0)+IFERROR(SUMIF(Nutzungsprofile!$B$17:$B$22,"Individuell",Nutzungsprofile!$G$17:$G$22)*Kalender!E49/SUM(Kalender!$E$5:$E$370),0))*Szenarien!$D$17,0)</f>
        <v>0.89</v>
      </c>
      <c r="E2245" s="13" t="n">
        <f aca="false">IFERROR(MIN(C2245,Eingaben!$B$17)*Eingaben!$B$16,0)</f>
        <v>1.938</v>
      </c>
      <c r="F2245" s="13" t="n">
        <f aca="false">IFERROR(E2245*Eingaben!$B$15,0)</f>
        <v>1.7442</v>
      </c>
      <c r="G2245" s="13" t="n">
        <f aca="false">IFERROR(IF(Kalender!A49="",0,J2244*(1-Eingaben!$B$20)),0)</f>
        <v>0.7390278</v>
      </c>
      <c r="H2245" s="13" t="n">
        <f aca="false">MIN(G2245,D2245)</f>
        <v>0.7390278</v>
      </c>
      <c r="I2245" s="13" t="n">
        <f aca="false">IFERROR(MIN(F2245*Eingaben!$B$19,MAX(0,D2245-H2245)),0)</f>
        <v>0.1509722</v>
      </c>
      <c r="J2245" s="13" t="n">
        <f aca="false">IFERROR(MIN(Eingaben!$B$18,MAX(0,F2245-I2245)),0)</f>
        <v>1.5932278</v>
      </c>
      <c r="K2245" s="13" t="n">
        <f aca="false">H2245+I2245</f>
        <v>0.89</v>
      </c>
      <c r="L2245" s="13" t="n">
        <f aca="false">MAX(0,D2245-K2245)</f>
        <v>0</v>
      </c>
      <c r="M2245" s="13" t="n">
        <f aca="false">MAX(0,F2245-I2245-J2245)</f>
        <v>0</v>
      </c>
      <c r="N2245" s="13" t="n">
        <f aca="false">IF(Kalender!A49="",0,J2244-H2245)</f>
        <v>0.0150822</v>
      </c>
    </row>
    <row r="2246" customFormat="false" ht="16.4" hidden="false" customHeight="false" outlineLevel="0" collapsed="false">
      <c r="A2246" s="13" t="str">
        <f aca="false">""</f>
        <v/>
      </c>
      <c r="B2246" s="13" t="n">
        <f aca="false">46</f>
        <v>46</v>
      </c>
      <c r="C2246" s="13" t="n">
        <f aca="false">IF(Szenarien!$H$17="OK",(IFERROR(SUMIF(Nutzungsprofile!$B$6:$B$11,"Schulbetrieb",Nutzungsprofile!$G$6:$G$11)*Kalender!C50/SUM(Kalender!$C$5:$C$370),0)+IFERROR(SUMIF(Nutzungsprofile!$B$6:$B$11,"Halle",Nutzungsprofile!$G$6:$G$11)*Kalender!D50/SUM(Kalender!$D$5:$D$370),0)+IFERROR(SUMIF(Nutzungsprofile!$B$6:$B$11,"Individuell",Nutzungsprofile!$G$6:$G$11)*Kalender!E50/SUM(Kalender!$E$5:$E$370),0))*Szenarien!$E$17,0)</f>
        <v>2.04</v>
      </c>
      <c r="D2246" s="13" t="n">
        <f aca="false">IF(Szenarien!$H$17="OK",(IFERROR(SUMIF(Nutzungsprofile!$B$17:$B$22,"Schulbetrieb",Nutzungsprofile!$G$17:$G$22)*Kalender!C50/SUM(Kalender!$C$5:$C$370),0)+IFERROR(SUMIF(Nutzungsprofile!$B$17:$B$22,"Halle",Nutzungsprofile!$G$17:$G$22)*Kalender!D50/SUM(Kalender!$D$5:$D$370),0)+IFERROR(SUMIF(Nutzungsprofile!$B$17:$B$22,"Individuell",Nutzungsprofile!$G$17:$G$22)*Kalender!E50/SUM(Kalender!$E$5:$E$370),0))*Szenarien!$D$17,0)</f>
        <v>0.89</v>
      </c>
      <c r="E2246" s="13" t="n">
        <f aca="false">IFERROR(MIN(C2246,Eingaben!$B$17)*Eingaben!$B$16,0)</f>
        <v>1.938</v>
      </c>
      <c r="F2246" s="13" t="n">
        <f aca="false">IFERROR(E2246*Eingaben!$B$15,0)</f>
        <v>1.7442</v>
      </c>
      <c r="G2246" s="13" t="n">
        <f aca="false">IFERROR(IF(Kalender!A50="",0,J2245*(1-Eingaben!$B$20)),0)</f>
        <v>1.561363244</v>
      </c>
      <c r="H2246" s="13" t="n">
        <f aca="false">MIN(G2246,D2246)</f>
        <v>0.89</v>
      </c>
      <c r="I2246" s="13" t="n">
        <f aca="false">IFERROR(MIN(F2246*Eingaben!$B$19,MAX(0,D2246-H2246)),0)</f>
        <v>0</v>
      </c>
      <c r="J2246" s="13" t="n">
        <f aca="false">IFERROR(MIN(Eingaben!$B$18,MAX(0,F2246-I2246)),0)</f>
        <v>1.7442</v>
      </c>
      <c r="K2246" s="13" t="n">
        <f aca="false">H2246+I2246</f>
        <v>0.89</v>
      </c>
      <c r="L2246" s="13" t="n">
        <f aca="false">MAX(0,D2246-K2246)</f>
        <v>0</v>
      </c>
      <c r="M2246" s="13" t="n">
        <f aca="false">MAX(0,F2246-I2246-J2246)</f>
        <v>0</v>
      </c>
      <c r="N2246" s="13" t="n">
        <f aca="false">IF(Kalender!A50="",0,J2245-H2246)</f>
        <v>0.7032278</v>
      </c>
    </row>
    <row r="2247" customFormat="false" ht="16.4" hidden="false" customHeight="false" outlineLevel="0" collapsed="false">
      <c r="A2247" s="13" t="str">
        <f aca="false">""</f>
        <v/>
      </c>
      <c r="B2247" s="13" t="n">
        <f aca="false">47</f>
        <v>47</v>
      </c>
      <c r="C2247" s="13" t="n">
        <f aca="false">IF(Szenarien!$H$17="OK",(IFERROR(SUMIF(Nutzungsprofile!$B$6:$B$11,"Schulbetrieb",Nutzungsprofile!$G$6:$G$11)*Kalender!C51/SUM(Kalender!$C$5:$C$370),0)+IFERROR(SUMIF(Nutzungsprofile!$B$6:$B$11,"Halle",Nutzungsprofile!$G$6:$G$11)*Kalender!D51/SUM(Kalender!$D$5:$D$370),0)+IFERROR(SUMIF(Nutzungsprofile!$B$6:$B$11,"Individuell",Nutzungsprofile!$G$6:$G$11)*Kalender!E51/SUM(Kalender!$E$5:$E$370),0))*Szenarien!$E$17,0)</f>
        <v>2.94</v>
      </c>
      <c r="D2247" s="13" t="n">
        <f aca="false">IF(Szenarien!$H$17="OK",(IFERROR(SUMIF(Nutzungsprofile!$B$17:$B$22,"Schulbetrieb",Nutzungsprofile!$G$17:$G$22)*Kalender!C51/SUM(Kalender!$C$5:$C$370),0)+IFERROR(SUMIF(Nutzungsprofile!$B$17:$B$22,"Halle",Nutzungsprofile!$G$17:$G$22)*Kalender!D51/SUM(Kalender!$D$5:$D$370),0)+IFERROR(SUMIF(Nutzungsprofile!$B$17:$B$22,"Individuell",Nutzungsprofile!$G$17:$G$22)*Kalender!E51/SUM(Kalender!$E$5:$E$370),0))*Szenarien!$D$17,0)</f>
        <v>4.94</v>
      </c>
      <c r="E2247" s="13" t="n">
        <f aca="false">IFERROR(MIN(C2247,Eingaben!$B$17)*Eingaben!$B$16,0)</f>
        <v>2.793</v>
      </c>
      <c r="F2247" s="13" t="n">
        <f aca="false">IFERROR(E2247*Eingaben!$B$15,0)</f>
        <v>2.5137</v>
      </c>
      <c r="G2247" s="13" t="n">
        <f aca="false">IFERROR(IF(Kalender!A51="",0,J2246*(1-Eingaben!$B$20)),0)</f>
        <v>1.709316</v>
      </c>
      <c r="H2247" s="13" t="n">
        <f aca="false">MIN(G2247,D2247)</f>
        <v>1.709316</v>
      </c>
      <c r="I2247" s="13" t="n">
        <f aca="false">IFERROR(MIN(F2247*Eingaben!$B$19,MAX(0,D2247-H2247)),0)</f>
        <v>1.75959</v>
      </c>
      <c r="J2247" s="13" t="n">
        <f aca="false">IFERROR(MIN(Eingaben!$B$18,MAX(0,F2247-I2247)),0)</f>
        <v>0.75411</v>
      </c>
      <c r="K2247" s="13" t="n">
        <f aca="false">H2247+I2247</f>
        <v>3.468906</v>
      </c>
      <c r="L2247" s="13" t="n">
        <f aca="false">MAX(0,D2247-K2247)</f>
        <v>1.471094</v>
      </c>
      <c r="M2247" s="13" t="n">
        <f aca="false">MAX(0,F2247-I2247-J2247)</f>
        <v>0</v>
      </c>
      <c r="N2247" s="13" t="n">
        <f aca="false">IF(Kalender!A51="",0,J2246-H2247)</f>
        <v>0.0348840000000001</v>
      </c>
    </row>
    <row r="2248" customFormat="false" ht="16.4" hidden="false" customHeight="false" outlineLevel="0" collapsed="false">
      <c r="A2248" s="13" t="str">
        <f aca="false">""</f>
        <v/>
      </c>
      <c r="B2248" s="13" t="n">
        <f aca="false">48</f>
        <v>48</v>
      </c>
      <c r="C2248" s="13" t="n">
        <f aca="false">IF(Szenarien!$H$17="OK",(IFERROR(SUMIF(Nutzungsprofile!$B$6:$B$11,"Schulbetrieb",Nutzungsprofile!$G$6:$G$11)*Kalender!C52/SUM(Kalender!$C$5:$C$370),0)+IFERROR(SUMIF(Nutzungsprofile!$B$6:$B$11,"Halle",Nutzungsprofile!$G$6:$G$11)*Kalender!D52/SUM(Kalender!$D$5:$D$370),0)+IFERROR(SUMIF(Nutzungsprofile!$B$6:$B$11,"Individuell",Nutzungsprofile!$G$6:$G$11)*Kalender!E52/SUM(Kalender!$E$5:$E$370),0))*Szenarien!$E$17,0)</f>
        <v>2.94</v>
      </c>
      <c r="D2248" s="13" t="n">
        <f aca="false">IF(Szenarien!$H$17="OK",(IFERROR(SUMIF(Nutzungsprofile!$B$17:$B$22,"Schulbetrieb",Nutzungsprofile!$G$17:$G$22)*Kalender!C52/SUM(Kalender!$C$5:$C$370),0)+IFERROR(SUMIF(Nutzungsprofile!$B$17:$B$22,"Halle",Nutzungsprofile!$G$17:$G$22)*Kalender!D52/SUM(Kalender!$D$5:$D$370),0)+IFERROR(SUMIF(Nutzungsprofile!$B$17:$B$22,"Individuell",Nutzungsprofile!$G$17:$G$22)*Kalender!E52/SUM(Kalender!$E$5:$E$370),0))*Szenarien!$D$17,0)</f>
        <v>4.94</v>
      </c>
      <c r="E2248" s="13" t="n">
        <f aca="false">IFERROR(MIN(C2248,Eingaben!$B$17)*Eingaben!$B$16,0)</f>
        <v>2.793</v>
      </c>
      <c r="F2248" s="13" t="n">
        <f aca="false">IFERROR(E2248*Eingaben!$B$15,0)</f>
        <v>2.5137</v>
      </c>
      <c r="G2248" s="13" t="n">
        <f aca="false">IFERROR(IF(Kalender!A52="",0,J2247*(1-Eingaben!$B$20)),0)</f>
        <v>0.7390278</v>
      </c>
      <c r="H2248" s="13" t="n">
        <f aca="false">MIN(G2248,D2248)</f>
        <v>0.7390278</v>
      </c>
      <c r="I2248" s="13" t="n">
        <f aca="false">IFERROR(MIN(F2248*Eingaben!$B$19,MAX(0,D2248-H2248)),0)</f>
        <v>1.75959</v>
      </c>
      <c r="J2248" s="13" t="n">
        <f aca="false">IFERROR(MIN(Eingaben!$B$18,MAX(0,F2248-I2248)),0)</f>
        <v>0.75411</v>
      </c>
      <c r="K2248" s="13" t="n">
        <f aca="false">H2248+I2248</f>
        <v>2.4986178</v>
      </c>
      <c r="L2248" s="13" t="n">
        <f aca="false">MAX(0,D2248-K2248)</f>
        <v>2.4413822</v>
      </c>
      <c r="M2248" s="13" t="n">
        <f aca="false">MAX(0,F2248-I2248-J2248)</f>
        <v>0</v>
      </c>
      <c r="N2248" s="13" t="n">
        <f aca="false">IF(Kalender!A52="",0,J2247-H2248)</f>
        <v>0.0150822</v>
      </c>
    </row>
    <row r="2249" customFormat="false" ht="16.4" hidden="false" customHeight="false" outlineLevel="0" collapsed="false">
      <c r="A2249" s="13" t="str">
        <f aca="false">""</f>
        <v/>
      </c>
      <c r="B2249" s="13" t="n">
        <f aca="false">49</f>
        <v>49</v>
      </c>
      <c r="C2249" s="13" t="n">
        <f aca="false">IF(Szenarien!$H$17="OK",(IFERROR(SUMIF(Nutzungsprofile!$B$6:$B$11,"Schulbetrieb",Nutzungsprofile!$G$6:$G$11)*Kalender!C53/SUM(Kalender!$C$5:$C$370),0)+IFERROR(SUMIF(Nutzungsprofile!$B$6:$B$11,"Halle",Nutzungsprofile!$G$6:$G$11)*Kalender!D53/SUM(Kalender!$D$5:$D$370),0)+IFERROR(SUMIF(Nutzungsprofile!$B$6:$B$11,"Individuell",Nutzungsprofile!$G$6:$G$11)*Kalender!E53/SUM(Kalender!$E$5:$E$370),0))*Szenarien!$E$17,0)</f>
        <v>2.94</v>
      </c>
      <c r="D2249" s="13" t="n">
        <f aca="false">IF(Szenarien!$H$17="OK",(IFERROR(SUMIF(Nutzungsprofile!$B$17:$B$22,"Schulbetrieb",Nutzungsprofile!$G$17:$G$22)*Kalender!C53/SUM(Kalender!$C$5:$C$370),0)+IFERROR(SUMIF(Nutzungsprofile!$B$17:$B$22,"Halle",Nutzungsprofile!$G$17:$G$22)*Kalender!D53/SUM(Kalender!$D$5:$D$370),0)+IFERROR(SUMIF(Nutzungsprofile!$B$17:$B$22,"Individuell",Nutzungsprofile!$G$17:$G$22)*Kalender!E53/SUM(Kalender!$E$5:$E$370),0))*Szenarien!$D$17,0)</f>
        <v>4.94</v>
      </c>
      <c r="E2249" s="13" t="n">
        <f aca="false">IFERROR(MIN(C2249,Eingaben!$B$17)*Eingaben!$B$16,0)</f>
        <v>2.793</v>
      </c>
      <c r="F2249" s="13" t="n">
        <f aca="false">IFERROR(E2249*Eingaben!$B$15,0)</f>
        <v>2.5137</v>
      </c>
      <c r="G2249" s="13" t="n">
        <f aca="false">IFERROR(IF(Kalender!A53="",0,J2248*(1-Eingaben!$B$20)),0)</f>
        <v>0.7390278</v>
      </c>
      <c r="H2249" s="13" t="n">
        <f aca="false">MIN(G2249,D2249)</f>
        <v>0.7390278</v>
      </c>
      <c r="I2249" s="13" t="n">
        <f aca="false">IFERROR(MIN(F2249*Eingaben!$B$19,MAX(0,D2249-H2249)),0)</f>
        <v>1.75959</v>
      </c>
      <c r="J2249" s="13" t="n">
        <f aca="false">IFERROR(MIN(Eingaben!$B$18,MAX(0,F2249-I2249)),0)</f>
        <v>0.75411</v>
      </c>
      <c r="K2249" s="13" t="n">
        <f aca="false">H2249+I2249</f>
        <v>2.4986178</v>
      </c>
      <c r="L2249" s="13" t="n">
        <f aca="false">MAX(0,D2249-K2249)</f>
        <v>2.4413822</v>
      </c>
      <c r="M2249" s="13" t="n">
        <f aca="false">MAX(0,F2249-I2249-J2249)</f>
        <v>0</v>
      </c>
      <c r="N2249" s="13" t="n">
        <f aca="false">IF(Kalender!A53="",0,J2248-H2249)</f>
        <v>0.0150822</v>
      </c>
    </row>
    <row r="2250" customFormat="false" ht="16.4" hidden="false" customHeight="false" outlineLevel="0" collapsed="false">
      <c r="A2250" s="13" t="str">
        <f aca="false">""</f>
        <v/>
      </c>
      <c r="B2250" s="13" t="n">
        <f aca="false">50</f>
        <v>50</v>
      </c>
      <c r="C2250" s="13" t="n">
        <f aca="false">IF(Szenarien!$H$17="OK",(IFERROR(SUMIF(Nutzungsprofile!$B$6:$B$11,"Schulbetrieb",Nutzungsprofile!$G$6:$G$11)*Kalender!C54/SUM(Kalender!$C$5:$C$370),0)+IFERROR(SUMIF(Nutzungsprofile!$B$6:$B$11,"Halle",Nutzungsprofile!$G$6:$G$11)*Kalender!D54/SUM(Kalender!$D$5:$D$370),0)+IFERROR(SUMIF(Nutzungsprofile!$B$6:$B$11,"Individuell",Nutzungsprofile!$G$6:$G$11)*Kalender!E54/SUM(Kalender!$E$5:$E$370),0))*Szenarien!$E$17,0)</f>
        <v>2.94</v>
      </c>
      <c r="D2250" s="13" t="n">
        <f aca="false">IF(Szenarien!$H$17="OK",(IFERROR(SUMIF(Nutzungsprofile!$B$17:$B$22,"Schulbetrieb",Nutzungsprofile!$G$17:$G$22)*Kalender!C54/SUM(Kalender!$C$5:$C$370),0)+IFERROR(SUMIF(Nutzungsprofile!$B$17:$B$22,"Halle",Nutzungsprofile!$G$17:$G$22)*Kalender!D54/SUM(Kalender!$D$5:$D$370),0)+IFERROR(SUMIF(Nutzungsprofile!$B$17:$B$22,"Individuell",Nutzungsprofile!$G$17:$G$22)*Kalender!E54/SUM(Kalender!$E$5:$E$370),0))*Szenarien!$D$17,0)</f>
        <v>4.94</v>
      </c>
      <c r="E2250" s="13" t="n">
        <f aca="false">IFERROR(MIN(C2250,Eingaben!$B$17)*Eingaben!$B$16,0)</f>
        <v>2.793</v>
      </c>
      <c r="F2250" s="13" t="n">
        <f aca="false">IFERROR(E2250*Eingaben!$B$15,0)</f>
        <v>2.5137</v>
      </c>
      <c r="G2250" s="13" t="n">
        <f aca="false">IFERROR(IF(Kalender!A54="",0,J2249*(1-Eingaben!$B$20)),0)</f>
        <v>0.7390278</v>
      </c>
      <c r="H2250" s="13" t="n">
        <f aca="false">MIN(G2250,D2250)</f>
        <v>0.7390278</v>
      </c>
      <c r="I2250" s="13" t="n">
        <f aca="false">IFERROR(MIN(F2250*Eingaben!$B$19,MAX(0,D2250-H2250)),0)</f>
        <v>1.75959</v>
      </c>
      <c r="J2250" s="13" t="n">
        <f aca="false">IFERROR(MIN(Eingaben!$B$18,MAX(0,F2250-I2250)),0)</f>
        <v>0.75411</v>
      </c>
      <c r="K2250" s="13" t="n">
        <f aca="false">H2250+I2250</f>
        <v>2.4986178</v>
      </c>
      <c r="L2250" s="13" t="n">
        <f aca="false">MAX(0,D2250-K2250)</f>
        <v>2.4413822</v>
      </c>
      <c r="M2250" s="13" t="n">
        <f aca="false">MAX(0,F2250-I2250-J2250)</f>
        <v>0</v>
      </c>
      <c r="N2250" s="13" t="n">
        <f aca="false">IF(Kalender!A54="",0,J2249-H2250)</f>
        <v>0.0150822</v>
      </c>
    </row>
    <row r="2251" customFormat="false" ht="16.4" hidden="false" customHeight="false" outlineLevel="0" collapsed="false">
      <c r="A2251" s="13" t="str">
        <f aca="false">""</f>
        <v/>
      </c>
      <c r="B2251" s="13" t="n">
        <f aca="false">51</f>
        <v>51</v>
      </c>
      <c r="C2251" s="13" t="n">
        <f aca="false">IF(Szenarien!$H$17="OK",(IFERROR(SUMIF(Nutzungsprofile!$B$6:$B$11,"Schulbetrieb",Nutzungsprofile!$G$6:$G$11)*Kalender!C55/SUM(Kalender!$C$5:$C$370),0)+IFERROR(SUMIF(Nutzungsprofile!$B$6:$B$11,"Halle",Nutzungsprofile!$G$6:$G$11)*Kalender!D55/SUM(Kalender!$D$5:$D$370),0)+IFERROR(SUMIF(Nutzungsprofile!$B$6:$B$11,"Individuell",Nutzungsprofile!$G$6:$G$11)*Kalender!E55/SUM(Kalender!$E$5:$E$370),0))*Szenarien!$E$17,0)</f>
        <v>2.94</v>
      </c>
      <c r="D2251" s="13" t="n">
        <f aca="false">IF(Szenarien!$H$17="OK",(IFERROR(SUMIF(Nutzungsprofile!$B$17:$B$22,"Schulbetrieb",Nutzungsprofile!$G$17:$G$22)*Kalender!C55/SUM(Kalender!$C$5:$C$370),0)+IFERROR(SUMIF(Nutzungsprofile!$B$17:$B$22,"Halle",Nutzungsprofile!$G$17:$G$22)*Kalender!D55/SUM(Kalender!$D$5:$D$370),0)+IFERROR(SUMIF(Nutzungsprofile!$B$17:$B$22,"Individuell",Nutzungsprofile!$G$17:$G$22)*Kalender!E55/SUM(Kalender!$E$5:$E$370),0))*Szenarien!$D$17,0)</f>
        <v>4.94</v>
      </c>
      <c r="E2251" s="13" t="n">
        <f aca="false">IFERROR(MIN(C2251,Eingaben!$B$17)*Eingaben!$B$16,0)</f>
        <v>2.793</v>
      </c>
      <c r="F2251" s="13" t="n">
        <f aca="false">IFERROR(E2251*Eingaben!$B$15,0)</f>
        <v>2.5137</v>
      </c>
      <c r="G2251" s="13" t="n">
        <f aca="false">IFERROR(IF(Kalender!A55="",0,J2250*(1-Eingaben!$B$20)),0)</f>
        <v>0.7390278</v>
      </c>
      <c r="H2251" s="13" t="n">
        <f aca="false">MIN(G2251,D2251)</f>
        <v>0.7390278</v>
      </c>
      <c r="I2251" s="13" t="n">
        <f aca="false">IFERROR(MIN(F2251*Eingaben!$B$19,MAX(0,D2251-H2251)),0)</f>
        <v>1.75959</v>
      </c>
      <c r="J2251" s="13" t="n">
        <f aca="false">IFERROR(MIN(Eingaben!$B$18,MAX(0,F2251-I2251)),0)</f>
        <v>0.75411</v>
      </c>
      <c r="K2251" s="13" t="n">
        <f aca="false">H2251+I2251</f>
        <v>2.4986178</v>
      </c>
      <c r="L2251" s="13" t="n">
        <f aca="false">MAX(0,D2251-K2251)</f>
        <v>2.4413822</v>
      </c>
      <c r="M2251" s="13" t="n">
        <f aca="false">MAX(0,F2251-I2251-J2251)</f>
        <v>0</v>
      </c>
      <c r="N2251" s="13" t="n">
        <f aca="false">IF(Kalender!A55="",0,J2250-H2251)</f>
        <v>0.0150822</v>
      </c>
    </row>
    <row r="2252" customFormat="false" ht="16.4" hidden="false" customHeight="false" outlineLevel="0" collapsed="false">
      <c r="A2252" s="13" t="str">
        <f aca="false">""</f>
        <v/>
      </c>
      <c r="B2252" s="13" t="n">
        <f aca="false">52</f>
        <v>52</v>
      </c>
      <c r="C2252" s="13" t="n">
        <f aca="false">IF(Szenarien!$H$17="OK",(IFERROR(SUMIF(Nutzungsprofile!$B$6:$B$11,"Schulbetrieb",Nutzungsprofile!$G$6:$G$11)*Kalender!C56/SUM(Kalender!$C$5:$C$370),0)+IFERROR(SUMIF(Nutzungsprofile!$B$6:$B$11,"Halle",Nutzungsprofile!$G$6:$G$11)*Kalender!D56/SUM(Kalender!$D$5:$D$370),0)+IFERROR(SUMIF(Nutzungsprofile!$B$6:$B$11,"Individuell",Nutzungsprofile!$G$6:$G$11)*Kalender!E56/SUM(Kalender!$E$5:$E$370),0))*Szenarien!$E$17,0)</f>
        <v>2.04</v>
      </c>
      <c r="D2252" s="13" t="n">
        <f aca="false">IF(Szenarien!$H$17="OK",(IFERROR(SUMIF(Nutzungsprofile!$B$17:$B$22,"Schulbetrieb",Nutzungsprofile!$G$17:$G$22)*Kalender!C56/SUM(Kalender!$C$5:$C$370),0)+IFERROR(SUMIF(Nutzungsprofile!$B$17:$B$22,"Halle",Nutzungsprofile!$G$17:$G$22)*Kalender!D56/SUM(Kalender!$D$5:$D$370),0)+IFERROR(SUMIF(Nutzungsprofile!$B$17:$B$22,"Individuell",Nutzungsprofile!$G$17:$G$22)*Kalender!E56/SUM(Kalender!$E$5:$E$370),0))*Szenarien!$D$17,0)</f>
        <v>0.89</v>
      </c>
      <c r="E2252" s="13" t="n">
        <f aca="false">IFERROR(MIN(C2252,Eingaben!$B$17)*Eingaben!$B$16,0)</f>
        <v>1.938</v>
      </c>
      <c r="F2252" s="13" t="n">
        <f aca="false">IFERROR(E2252*Eingaben!$B$15,0)</f>
        <v>1.7442</v>
      </c>
      <c r="G2252" s="13" t="n">
        <f aca="false">IFERROR(IF(Kalender!A56="",0,J2251*(1-Eingaben!$B$20)),0)</f>
        <v>0.7390278</v>
      </c>
      <c r="H2252" s="13" t="n">
        <f aca="false">MIN(G2252,D2252)</f>
        <v>0.7390278</v>
      </c>
      <c r="I2252" s="13" t="n">
        <f aca="false">IFERROR(MIN(F2252*Eingaben!$B$19,MAX(0,D2252-H2252)),0)</f>
        <v>0.1509722</v>
      </c>
      <c r="J2252" s="13" t="n">
        <f aca="false">IFERROR(MIN(Eingaben!$B$18,MAX(0,F2252-I2252)),0)</f>
        <v>1.5932278</v>
      </c>
      <c r="K2252" s="13" t="n">
        <f aca="false">H2252+I2252</f>
        <v>0.89</v>
      </c>
      <c r="L2252" s="13" t="n">
        <f aca="false">MAX(0,D2252-K2252)</f>
        <v>0</v>
      </c>
      <c r="M2252" s="13" t="n">
        <f aca="false">MAX(0,F2252-I2252-J2252)</f>
        <v>0</v>
      </c>
      <c r="N2252" s="13" t="n">
        <f aca="false">IF(Kalender!A56="",0,J2251-H2252)</f>
        <v>0.0150822</v>
      </c>
    </row>
    <row r="2253" customFormat="false" ht="16.4" hidden="false" customHeight="false" outlineLevel="0" collapsed="false">
      <c r="A2253" s="13" t="str">
        <f aca="false">""</f>
        <v/>
      </c>
      <c r="B2253" s="13" t="n">
        <f aca="false">53</f>
        <v>53</v>
      </c>
      <c r="C2253" s="13" t="n">
        <f aca="false">IF(Szenarien!$H$17="OK",(IFERROR(SUMIF(Nutzungsprofile!$B$6:$B$11,"Schulbetrieb",Nutzungsprofile!$G$6:$G$11)*Kalender!C57/SUM(Kalender!$C$5:$C$370),0)+IFERROR(SUMIF(Nutzungsprofile!$B$6:$B$11,"Halle",Nutzungsprofile!$G$6:$G$11)*Kalender!D57/SUM(Kalender!$D$5:$D$370),0)+IFERROR(SUMIF(Nutzungsprofile!$B$6:$B$11,"Individuell",Nutzungsprofile!$G$6:$G$11)*Kalender!E57/SUM(Kalender!$E$5:$E$370),0))*Szenarien!$E$17,0)</f>
        <v>2.04</v>
      </c>
      <c r="D2253" s="13" t="n">
        <f aca="false">IF(Szenarien!$H$17="OK",(IFERROR(SUMIF(Nutzungsprofile!$B$17:$B$22,"Schulbetrieb",Nutzungsprofile!$G$17:$G$22)*Kalender!C57/SUM(Kalender!$C$5:$C$370),0)+IFERROR(SUMIF(Nutzungsprofile!$B$17:$B$22,"Halle",Nutzungsprofile!$G$17:$G$22)*Kalender!D57/SUM(Kalender!$D$5:$D$370),0)+IFERROR(SUMIF(Nutzungsprofile!$B$17:$B$22,"Individuell",Nutzungsprofile!$G$17:$G$22)*Kalender!E57/SUM(Kalender!$E$5:$E$370),0))*Szenarien!$D$17,0)</f>
        <v>0.89</v>
      </c>
      <c r="E2253" s="13" t="n">
        <f aca="false">IFERROR(MIN(C2253,Eingaben!$B$17)*Eingaben!$B$16,0)</f>
        <v>1.938</v>
      </c>
      <c r="F2253" s="13" t="n">
        <f aca="false">IFERROR(E2253*Eingaben!$B$15,0)</f>
        <v>1.7442</v>
      </c>
      <c r="G2253" s="13" t="n">
        <f aca="false">IFERROR(IF(Kalender!A57="",0,J2252*(1-Eingaben!$B$20)),0)</f>
        <v>1.561363244</v>
      </c>
      <c r="H2253" s="13" t="n">
        <f aca="false">MIN(G2253,D2253)</f>
        <v>0.89</v>
      </c>
      <c r="I2253" s="13" t="n">
        <f aca="false">IFERROR(MIN(F2253*Eingaben!$B$19,MAX(0,D2253-H2253)),0)</f>
        <v>0</v>
      </c>
      <c r="J2253" s="13" t="n">
        <f aca="false">IFERROR(MIN(Eingaben!$B$18,MAX(0,F2253-I2253)),0)</f>
        <v>1.7442</v>
      </c>
      <c r="K2253" s="13" t="n">
        <f aca="false">H2253+I2253</f>
        <v>0.89</v>
      </c>
      <c r="L2253" s="13" t="n">
        <f aca="false">MAX(0,D2253-K2253)</f>
        <v>0</v>
      </c>
      <c r="M2253" s="13" t="n">
        <f aca="false">MAX(0,F2253-I2253-J2253)</f>
        <v>0</v>
      </c>
      <c r="N2253" s="13" t="n">
        <f aca="false">IF(Kalender!A57="",0,J2252-H2253)</f>
        <v>0.7032278</v>
      </c>
    </row>
    <row r="2254" customFormat="false" ht="16.4" hidden="false" customHeight="false" outlineLevel="0" collapsed="false">
      <c r="A2254" s="13" t="str">
        <f aca="false">""</f>
        <v/>
      </c>
      <c r="B2254" s="13" t="n">
        <f aca="false">54</f>
        <v>54</v>
      </c>
      <c r="C2254" s="13" t="n">
        <f aca="false">IF(Szenarien!$H$17="OK",(IFERROR(SUMIF(Nutzungsprofile!$B$6:$B$11,"Schulbetrieb",Nutzungsprofile!$G$6:$G$11)*Kalender!C58/SUM(Kalender!$C$5:$C$370),0)+IFERROR(SUMIF(Nutzungsprofile!$B$6:$B$11,"Halle",Nutzungsprofile!$G$6:$G$11)*Kalender!D58/SUM(Kalender!$D$5:$D$370),0)+IFERROR(SUMIF(Nutzungsprofile!$B$6:$B$11,"Individuell",Nutzungsprofile!$G$6:$G$11)*Kalender!E58/SUM(Kalender!$E$5:$E$370),0))*Szenarien!$E$17,0)</f>
        <v>2.94</v>
      </c>
      <c r="D2254" s="13" t="n">
        <f aca="false">IF(Szenarien!$H$17="OK",(IFERROR(SUMIF(Nutzungsprofile!$B$17:$B$22,"Schulbetrieb",Nutzungsprofile!$G$17:$G$22)*Kalender!C58/SUM(Kalender!$C$5:$C$370),0)+IFERROR(SUMIF(Nutzungsprofile!$B$17:$B$22,"Halle",Nutzungsprofile!$G$17:$G$22)*Kalender!D58/SUM(Kalender!$D$5:$D$370),0)+IFERROR(SUMIF(Nutzungsprofile!$B$17:$B$22,"Individuell",Nutzungsprofile!$G$17:$G$22)*Kalender!E58/SUM(Kalender!$E$5:$E$370),0))*Szenarien!$D$17,0)</f>
        <v>4.94</v>
      </c>
      <c r="E2254" s="13" t="n">
        <f aca="false">IFERROR(MIN(C2254,Eingaben!$B$17)*Eingaben!$B$16,0)</f>
        <v>2.793</v>
      </c>
      <c r="F2254" s="13" t="n">
        <f aca="false">IFERROR(E2254*Eingaben!$B$15,0)</f>
        <v>2.5137</v>
      </c>
      <c r="G2254" s="13" t="n">
        <f aca="false">IFERROR(IF(Kalender!A58="",0,J2253*(1-Eingaben!$B$20)),0)</f>
        <v>1.709316</v>
      </c>
      <c r="H2254" s="13" t="n">
        <f aca="false">MIN(G2254,D2254)</f>
        <v>1.709316</v>
      </c>
      <c r="I2254" s="13" t="n">
        <f aca="false">IFERROR(MIN(F2254*Eingaben!$B$19,MAX(0,D2254-H2254)),0)</f>
        <v>1.75959</v>
      </c>
      <c r="J2254" s="13" t="n">
        <f aca="false">IFERROR(MIN(Eingaben!$B$18,MAX(0,F2254-I2254)),0)</f>
        <v>0.75411</v>
      </c>
      <c r="K2254" s="13" t="n">
        <f aca="false">H2254+I2254</f>
        <v>3.468906</v>
      </c>
      <c r="L2254" s="13" t="n">
        <f aca="false">MAX(0,D2254-K2254)</f>
        <v>1.471094</v>
      </c>
      <c r="M2254" s="13" t="n">
        <f aca="false">MAX(0,F2254-I2254-J2254)</f>
        <v>0</v>
      </c>
      <c r="N2254" s="13" t="n">
        <f aca="false">IF(Kalender!A58="",0,J2253-H2254)</f>
        <v>0.0348840000000001</v>
      </c>
    </row>
    <row r="2255" customFormat="false" ht="16.4" hidden="false" customHeight="false" outlineLevel="0" collapsed="false">
      <c r="A2255" s="13" t="str">
        <f aca="false">""</f>
        <v/>
      </c>
      <c r="B2255" s="13" t="n">
        <f aca="false">55</f>
        <v>55</v>
      </c>
      <c r="C2255" s="13" t="n">
        <f aca="false">IF(Szenarien!$H$17="OK",(IFERROR(SUMIF(Nutzungsprofile!$B$6:$B$11,"Schulbetrieb",Nutzungsprofile!$G$6:$G$11)*Kalender!C59/SUM(Kalender!$C$5:$C$370),0)+IFERROR(SUMIF(Nutzungsprofile!$B$6:$B$11,"Halle",Nutzungsprofile!$G$6:$G$11)*Kalender!D59/SUM(Kalender!$D$5:$D$370),0)+IFERROR(SUMIF(Nutzungsprofile!$B$6:$B$11,"Individuell",Nutzungsprofile!$G$6:$G$11)*Kalender!E59/SUM(Kalender!$E$5:$E$370),0))*Szenarien!$E$17,0)</f>
        <v>2.94</v>
      </c>
      <c r="D2255" s="13" t="n">
        <f aca="false">IF(Szenarien!$H$17="OK",(IFERROR(SUMIF(Nutzungsprofile!$B$17:$B$22,"Schulbetrieb",Nutzungsprofile!$G$17:$G$22)*Kalender!C59/SUM(Kalender!$C$5:$C$370),0)+IFERROR(SUMIF(Nutzungsprofile!$B$17:$B$22,"Halle",Nutzungsprofile!$G$17:$G$22)*Kalender!D59/SUM(Kalender!$D$5:$D$370),0)+IFERROR(SUMIF(Nutzungsprofile!$B$17:$B$22,"Individuell",Nutzungsprofile!$G$17:$G$22)*Kalender!E59/SUM(Kalender!$E$5:$E$370),0))*Szenarien!$D$17,0)</f>
        <v>4.94</v>
      </c>
      <c r="E2255" s="13" t="n">
        <f aca="false">IFERROR(MIN(C2255,Eingaben!$B$17)*Eingaben!$B$16,0)</f>
        <v>2.793</v>
      </c>
      <c r="F2255" s="13" t="n">
        <f aca="false">IFERROR(E2255*Eingaben!$B$15,0)</f>
        <v>2.5137</v>
      </c>
      <c r="G2255" s="13" t="n">
        <f aca="false">IFERROR(IF(Kalender!A59="",0,J2254*(1-Eingaben!$B$20)),0)</f>
        <v>0.7390278</v>
      </c>
      <c r="H2255" s="13" t="n">
        <f aca="false">MIN(G2255,D2255)</f>
        <v>0.7390278</v>
      </c>
      <c r="I2255" s="13" t="n">
        <f aca="false">IFERROR(MIN(F2255*Eingaben!$B$19,MAX(0,D2255-H2255)),0)</f>
        <v>1.75959</v>
      </c>
      <c r="J2255" s="13" t="n">
        <f aca="false">IFERROR(MIN(Eingaben!$B$18,MAX(0,F2255-I2255)),0)</f>
        <v>0.75411</v>
      </c>
      <c r="K2255" s="13" t="n">
        <f aca="false">H2255+I2255</f>
        <v>2.4986178</v>
      </c>
      <c r="L2255" s="13" t="n">
        <f aca="false">MAX(0,D2255-K2255)</f>
        <v>2.4413822</v>
      </c>
      <c r="M2255" s="13" t="n">
        <f aca="false">MAX(0,F2255-I2255-J2255)</f>
        <v>0</v>
      </c>
      <c r="N2255" s="13" t="n">
        <f aca="false">IF(Kalender!A59="",0,J2254-H2255)</f>
        <v>0.0150822</v>
      </c>
    </row>
    <row r="2256" customFormat="false" ht="16.4" hidden="false" customHeight="false" outlineLevel="0" collapsed="false">
      <c r="A2256" s="13" t="str">
        <f aca="false">""</f>
        <v/>
      </c>
      <c r="B2256" s="13" t="n">
        <f aca="false">56</f>
        <v>56</v>
      </c>
      <c r="C2256" s="13" t="n">
        <f aca="false">IF(Szenarien!$H$17="OK",(IFERROR(SUMIF(Nutzungsprofile!$B$6:$B$11,"Schulbetrieb",Nutzungsprofile!$G$6:$G$11)*Kalender!C60/SUM(Kalender!$C$5:$C$370),0)+IFERROR(SUMIF(Nutzungsprofile!$B$6:$B$11,"Halle",Nutzungsprofile!$G$6:$G$11)*Kalender!D60/SUM(Kalender!$D$5:$D$370),0)+IFERROR(SUMIF(Nutzungsprofile!$B$6:$B$11,"Individuell",Nutzungsprofile!$G$6:$G$11)*Kalender!E60/SUM(Kalender!$E$5:$E$370),0))*Szenarien!$E$17,0)</f>
        <v>2.94</v>
      </c>
      <c r="D2256" s="13" t="n">
        <f aca="false">IF(Szenarien!$H$17="OK",(IFERROR(SUMIF(Nutzungsprofile!$B$17:$B$22,"Schulbetrieb",Nutzungsprofile!$G$17:$G$22)*Kalender!C60/SUM(Kalender!$C$5:$C$370),0)+IFERROR(SUMIF(Nutzungsprofile!$B$17:$B$22,"Halle",Nutzungsprofile!$G$17:$G$22)*Kalender!D60/SUM(Kalender!$D$5:$D$370),0)+IFERROR(SUMIF(Nutzungsprofile!$B$17:$B$22,"Individuell",Nutzungsprofile!$G$17:$G$22)*Kalender!E60/SUM(Kalender!$E$5:$E$370),0))*Szenarien!$D$17,0)</f>
        <v>4.94</v>
      </c>
      <c r="E2256" s="13" t="n">
        <f aca="false">IFERROR(MIN(C2256,Eingaben!$B$17)*Eingaben!$B$16,0)</f>
        <v>2.793</v>
      </c>
      <c r="F2256" s="13" t="n">
        <f aca="false">IFERROR(E2256*Eingaben!$B$15,0)</f>
        <v>2.5137</v>
      </c>
      <c r="G2256" s="13" t="n">
        <f aca="false">IFERROR(IF(Kalender!A60="",0,J2255*(1-Eingaben!$B$20)),0)</f>
        <v>0.7390278</v>
      </c>
      <c r="H2256" s="13" t="n">
        <f aca="false">MIN(G2256,D2256)</f>
        <v>0.7390278</v>
      </c>
      <c r="I2256" s="13" t="n">
        <f aca="false">IFERROR(MIN(F2256*Eingaben!$B$19,MAX(0,D2256-H2256)),0)</f>
        <v>1.75959</v>
      </c>
      <c r="J2256" s="13" t="n">
        <f aca="false">IFERROR(MIN(Eingaben!$B$18,MAX(0,F2256-I2256)),0)</f>
        <v>0.75411</v>
      </c>
      <c r="K2256" s="13" t="n">
        <f aca="false">H2256+I2256</f>
        <v>2.4986178</v>
      </c>
      <c r="L2256" s="13" t="n">
        <f aca="false">MAX(0,D2256-K2256)</f>
        <v>2.4413822</v>
      </c>
      <c r="M2256" s="13" t="n">
        <f aca="false">MAX(0,F2256-I2256-J2256)</f>
        <v>0</v>
      </c>
      <c r="N2256" s="13" t="n">
        <f aca="false">IF(Kalender!A60="",0,J2255-H2256)</f>
        <v>0.0150822</v>
      </c>
    </row>
    <row r="2257" customFormat="false" ht="16.4" hidden="false" customHeight="false" outlineLevel="0" collapsed="false">
      <c r="A2257" s="13" t="str">
        <f aca="false">""</f>
        <v/>
      </c>
      <c r="B2257" s="13" t="n">
        <f aca="false">57</f>
        <v>57</v>
      </c>
      <c r="C2257" s="13" t="n">
        <f aca="false">IF(Szenarien!$H$17="OK",(IFERROR(SUMIF(Nutzungsprofile!$B$6:$B$11,"Schulbetrieb",Nutzungsprofile!$G$6:$G$11)*Kalender!C61/SUM(Kalender!$C$5:$C$370),0)+IFERROR(SUMIF(Nutzungsprofile!$B$6:$B$11,"Halle",Nutzungsprofile!$G$6:$G$11)*Kalender!D61/SUM(Kalender!$D$5:$D$370),0)+IFERROR(SUMIF(Nutzungsprofile!$B$6:$B$11,"Individuell",Nutzungsprofile!$G$6:$G$11)*Kalender!E61/SUM(Kalender!$E$5:$E$370),0))*Szenarien!$E$17,0)</f>
        <v>2.94</v>
      </c>
      <c r="D2257" s="13" t="n">
        <f aca="false">IF(Szenarien!$H$17="OK",(IFERROR(SUMIF(Nutzungsprofile!$B$17:$B$22,"Schulbetrieb",Nutzungsprofile!$G$17:$G$22)*Kalender!C61/SUM(Kalender!$C$5:$C$370),0)+IFERROR(SUMIF(Nutzungsprofile!$B$17:$B$22,"Halle",Nutzungsprofile!$G$17:$G$22)*Kalender!D61/SUM(Kalender!$D$5:$D$370),0)+IFERROR(SUMIF(Nutzungsprofile!$B$17:$B$22,"Individuell",Nutzungsprofile!$G$17:$G$22)*Kalender!E61/SUM(Kalender!$E$5:$E$370),0))*Szenarien!$D$17,0)</f>
        <v>4.94</v>
      </c>
      <c r="E2257" s="13" t="n">
        <f aca="false">IFERROR(MIN(C2257,Eingaben!$B$17)*Eingaben!$B$16,0)</f>
        <v>2.793</v>
      </c>
      <c r="F2257" s="13" t="n">
        <f aca="false">IFERROR(E2257*Eingaben!$B$15,0)</f>
        <v>2.5137</v>
      </c>
      <c r="G2257" s="13" t="n">
        <f aca="false">IFERROR(IF(Kalender!A61="",0,J2256*(1-Eingaben!$B$20)),0)</f>
        <v>0.7390278</v>
      </c>
      <c r="H2257" s="13" t="n">
        <f aca="false">MIN(G2257,D2257)</f>
        <v>0.7390278</v>
      </c>
      <c r="I2257" s="13" t="n">
        <f aca="false">IFERROR(MIN(F2257*Eingaben!$B$19,MAX(0,D2257-H2257)),0)</f>
        <v>1.75959</v>
      </c>
      <c r="J2257" s="13" t="n">
        <f aca="false">IFERROR(MIN(Eingaben!$B$18,MAX(0,F2257-I2257)),0)</f>
        <v>0.75411</v>
      </c>
      <c r="K2257" s="13" t="n">
        <f aca="false">H2257+I2257</f>
        <v>2.4986178</v>
      </c>
      <c r="L2257" s="13" t="n">
        <f aca="false">MAX(0,D2257-K2257)</f>
        <v>2.4413822</v>
      </c>
      <c r="M2257" s="13" t="n">
        <f aca="false">MAX(0,F2257-I2257-J2257)</f>
        <v>0</v>
      </c>
      <c r="N2257" s="13" t="n">
        <f aca="false">IF(Kalender!A61="",0,J2256-H2257)</f>
        <v>0.0150822</v>
      </c>
    </row>
    <row r="2258" customFormat="false" ht="16.4" hidden="false" customHeight="false" outlineLevel="0" collapsed="false">
      <c r="A2258" s="13" t="str">
        <f aca="false">""</f>
        <v/>
      </c>
      <c r="B2258" s="13" t="n">
        <f aca="false">58</f>
        <v>58</v>
      </c>
      <c r="C2258" s="13" t="n">
        <f aca="false">IF(Szenarien!$H$17="OK",(IFERROR(SUMIF(Nutzungsprofile!$B$6:$B$11,"Schulbetrieb",Nutzungsprofile!$G$6:$G$11)*Kalender!C62/SUM(Kalender!$C$5:$C$370),0)+IFERROR(SUMIF(Nutzungsprofile!$B$6:$B$11,"Halle",Nutzungsprofile!$G$6:$G$11)*Kalender!D62/SUM(Kalender!$D$5:$D$370),0)+IFERROR(SUMIF(Nutzungsprofile!$B$6:$B$11,"Individuell",Nutzungsprofile!$G$6:$G$11)*Kalender!E62/SUM(Kalender!$E$5:$E$370),0))*Szenarien!$E$17,0)</f>
        <v>2.94</v>
      </c>
      <c r="D2258" s="13" t="n">
        <f aca="false">IF(Szenarien!$H$17="OK",(IFERROR(SUMIF(Nutzungsprofile!$B$17:$B$22,"Schulbetrieb",Nutzungsprofile!$G$17:$G$22)*Kalender!C62/SUM(Kalender!$C$5:$C$370),0)+IFERROR(SUMIF(Nutzungsprofile!$B$17:$B$22,"Halle",Nutzungsprofile!$G$17:$G$22)*Kalender!D62/SUM(Kalender!$D$5:$D$370),0)+IFERROR(SUMIF(Nutzungsprofile!$B$17:$B$22,"Individuell",Nutzungsprofile!$G$17:$G$22)*Kalender!E62/SUM(Kalender!$E$5:$E$370),0))*Szenarien!$D$17,0)</f>
        <v>4.94</v>
      </c>
      <c r="E2258" s="13" t="n">
        <f aca="false">IFERROR(MIN(C2258,Eingaben!$B$17)*Eingaben!$B$16,0)</f>
        <v>2.793</v>
      </c>
      <c r="F2258" s="13" t="n">
        <f aca="false">IFERROR(E2258*Eingaben!$B$15,0)</f>
        <v>2.5137</v>
      </c>
      <c r="G2258" s="13" t="n">
        <f aca="false">IFERROR(IF(Kalender!A62="",0,J2257*(1-Eingaben!$B$20)),0)</f>
        <v>0.7390278</v>
      </c>
      <c r="H2258" s="13" t="n">
        <f aca="false">MIN(G2258,D2258)</f>
        <v>0.7390278</v>
      </c>
      <c r="I2258" s="13" t="n">
        <f aca="false">IFERROR(MIN(F2258*Eingaben!$B$19,MAX(0,D2258-H2258)),0)</f>
        <v>1.75959</v>
      </c>
      <c r="J2258" s="13" t="n">
        <f aca="false">IFERROR(MIN(Eingaben!$B$18,MAX(0,F2258-I2258)),0)</f>
        <v>0.75411</v>
      </c>
      <c r="K2258" s="13" t="n">
        <f aca="false">H2258+I2258</f>
        <v>2.4986178</v>
      </c>
      <c r="L2258" s="13" t="n">
        <f aca="false">MAX(0,D2258-K2258)</f>
        <v>2.4413822</v>
      </c>
      <c r="M2258" s="13" t="n">
        <f aca="false">MAX(0,F2258-I2258-J2258)</f>
        <v>0</v>
      </c>
      <c r="N2258" s="13" t="n">
        <f aca="false">IF(Kalender!A62="",0,J2257-H2258)</f>
        <v>0.0150822</v>
      </c>
    </row>
    <row r="2259" customFormat="false" ht="16.4" hidden="false" customHeight="false" outlineLevel="0" collapsed="false">
      <c r="A2259" s="13" t="str">
        <f aca="false">""</f>
        <v/>
      </c>
      <c r="B2259" s="13" t="n">
        <f aca="false">59</f>
        <v>59</v>
      </c>
      <c r="C2259" s="13" t="n">
        <f aca="false">IF(Szenarien!$H$17="OK",(IFERROR(SUMIF(Nutzungsprofile!$B$6:$B$11,"Schulbetrieb",Nutzungsprofile!$G$6:$G$11)*Kalender!C63/SUM(Kalender!$C$5:$C$370),0)+IFERROR(SUMIF(Nutzungsprofile!$B$6:$B$11,"Halle",Nutzungsprofile!$G$6:$G$11)*Kalender!D63/SUM(Kalender!$D$5:$D$370),0)+IFERROR(SUMIF(Nutzungsprofile!$B$6:$B$11,"Individuell",Nutzungsprofile!$G$6:$G$11)*Kalender!E63/SUM(Kalender!$E$5:$E$370),0))*Szenarien!$E$17,0)</f>
        <v>2.04</v>
      </c>
      <c r="D2259" s="13" t="n">
        <f aca="false">IF(Szenarien!$H$17="OK",(IFERROR(SUMIF(Nutzungsprofile!$B$17:$B$22,"Schulbetrieb",Nutzungsprofile!$G$17:$G$22)*Kalender!C63/SUM(Kalender!$C$5:$C$370),0)+IFERROR(SUMIF(Nutzungsprofile!$B$17:$B$22,"Halle",Nutzungsprofile!$G$17:$G$22)*Kalender!D63/SUM(Kalender!$D$5:$D$370),0)+IFERROR(SUMIF(Nutzungsprofile!$B$17:$B$22,"Individuell",Nutzungsprofile!$G$17:$G$22)*Kalender!E63/SUM(Kalender!$E$5:$E$370),0))*Szenarien!$D$17,0)</f>
        <v>0.89</v>
      </c>
      <c r="E2259" s="13" t="n">
        <f aca="false">IFERROR(MIN(C2259,Eingaben!$B$17)*Eingaben!$B$16,0)</f>
        <v>1.938</v>
      </c>
      <c r="F2259" s="13" t="n">
        <f aca="false">IFERROR(E2259*Eingaben!$B$15,0)</f>
        <v>1.7442</v>
      </c>
      <c r="G2259" s="13" t="n">
        <f aca="false">IFERROR(IF(Kalender!A63="",0,J2258*(1-Eingaben!$B$20)),0)</f>
        <v>0.7390278</v>
      </c>
      <c r="H2259" s="13" t="n">
        <f aca="false">MIN(G2259,D2259)</f>
        <v>0.7390278</v>
      </c>
      <c r="I2259" s="13" t="n">
        <f aca="false">IFERROR(MIN(F2259*Eingaben!$B$19,MAX(0,D2259-H2259)),0)</f>
        <v>0.1509722</v>
      </c>
      <c r="J2259" s="13" t="n">
        <f aca="false">IFERROR(MIN(Eingaben!$B$18,MAX(0,F2259-I2259)),0)</f>
        <v>1.5932278</v>
      </c>
      <c r="K2259" s="13" t="n">
        <f aca="false">H2259+I2259</f>
        <v>0.89</v>
      </c>
      <c r="L2259" s="13" t="n">
        <f aca="false">MAX(0,D2259-K2259)</f>
        <v>0</v>
      </c>
      <c r="M2259" s="13" t="n">
        <f aca="false">MAX(0,F2259-I2259-J2259)</f>
        <v>0</v>
      </c>
      <c r="N2259" s="13" t="n">
        <f aca="false">IF(Kalender!A63="",0,J2258-H2259)</f>
        <v>0.0150822</v>
      </c>
    </row>
    <row r="2260" customFormat="false" ht="16.4" hidden="false" customHeight="false" outlineLevel="0" collapsed="false">
      <c r="A2260" s="13" t="str">
        <f aca="false">""</f>
        <v/>
      </c>
      <c r="B2260" s="13" t="n">
        <f aca="false">60</f>
        <v>60</v>
      </c>
      <c r="C2260" s="13" t="n">
        <f aca="false">IF(Szenarien!$H$17="OK",(IFERROR(SUMIF(Nutzungsprofile!$B$6:$B$11,"Schulbetrieb",Nutzungsprofile!$G$6:$G$11)*Kalender!C64/SUM(Kalender!$C$5:$C$370),0)+IFERROR(SUMIF(Nutzungsprofile!$B$6:$B$11,"Halle",Nutzungsprofile!$G$6:$G$11)*Kalender!D64/SUM(Kalender!$D$5:$D$370),0)+IFERROR(SUMIF(Nutzungsprofile!$B$6:$B$11,"Individuell",Nutzungsprofile!$G$6:$G$11)*Kalender!E64/SUM(Kalender!$E$5:$E$370),0))*Szenarien!$E$17,0)</f>
        <v>2.04</v>
      </c>
      <c r="D2260" s="13" t="n">
        <f aca="false">IF(Szenarien!$H$17="OK",(IFERROR(SUMIF(Nutzungsprofile!$B$17:$B$22,"Schulbetrieb",Nutzungsprofile!$G$17:$G$22)*Kalender!C64/SUM(Kalender!$C$5:$C$370),0)+IFERROR(SUMIF(Nutzungsprofile!$B$17:$B$22,"Halle",Nutzungsprofile!$G$17:$G$22)*Kalender!D64/SUM(Kalender!$D$5:$D$370),0)+IFERROR(SUMIF(Nutzungsprofile!$B$17:$B$22,"Individuell",Nutzungsprofile!$G$17:$G$22)*Kalender!E64/SUM(Kalender!$E$5:$E$370),0))*Szenarien!$D$17,0)</f>
        <v>0.89</v>
      </c>
      <c r="E2260" s="13" t="n">
        <f aca="false">IFERROR(MIN(C2260,Eingaben!$B$17)*Eingaben!$B$16,0)</f>
        <v>1.938</v>
      </c>
      <c r="F2260" s="13" t="n">
        <f aca="false">IFERROR(E2260*Eingaben!$B$15,0)</f>
        <v>1.7442</v>
      </c>
      <c r="G2260" s="13" t="n">
        <f aca="false">IFERROR(IF(Kalender!A64="",0,J2259*(1-Eingaben!$B$20)),0)</f>
        <v>1.561363244</v>
      </c>
      <c r="H2260" s="13" t="n">
        <f aca="false">MIN(G2260,D2260)</f>
        <v>0.89</v>
      </c>
      <c r="I2260" s="13" t="n">
        <f aca="false">IFERROR(MIN(F2260*Eingaben!$B$19,MAX(0,D2260-H2260)),0)</f>
        <v>0</v>
      </c>
      <c r="J2260" s="13" t="n">
        <f aca="false">IFERROR(MIN(Eingaben!$B$18,MAX(0,F2260-I2260)),0)</f>
        <v>1.7442</v>
      </c>
      <c r="K2260" s="13" t="n">
        <f aca="false">H2260+I2260</f>
        <v>0.89</v>
      </c>
      <c r="L2260" s="13" t="n">
        <f aca="false">MAX(0,D2260-K2260)</f>
        <v>0</v>
      </c>
      <c r="M2260" s="13" t="n">
        <f aca="false">MAX(0,F2260-I2260-J2260)</f>
        <v>0</v>
      </c>
      <c r="N2260" s="13" t="n">
        <f aca="false">IF(Kalender!A64="",0,J2259-H2260)</f>
        <v>0.7032278</v>
      </c>
    </row>
    <row r="2261" customFormat="false" ht="16.4" hidden="false" customHeight="false" outlineLevel="0" collapsed="false">
      <c r="A2261" s="13" t="str">
        <f aca="false">""</f>
        <v/>
      </c>
      <c r="B2261" s="13" t="n">
        <f aca="false">61</f>
        <v>61</v>
      </c>
      <c r="C2261" s="13" t="n">
        <f aca="false">IF(Szenarien!$H$17="OK",(IFERROR(SUMIF(Nutzungsprofile!$B$6:$B$11,"Schulbetrieb",Nutzungsprofile!$G$6:$G$11)*Kalender!C65/SUM(Kalender!$C$5:$C$370),0)+IFERROR(SUMIF(Nutzungsprofile!$B$6:$B$11,"Halle",Nutzungsprofile!$G$6:$G$11)*Kalender!D65/SUM(Kalender!$D$5:$D$370),0)+IFERROR(SUMIF(Nutzungsprofile!$B$6:$B$11,"Individuell",Nutzungsprofile!$G$6:$G$11)*Kalender!E65/SUM(Kalender!$E$5:$E$370),0))*Szenarien!$E$17,0)</f>
        <v>2.94</v>
      </c>
      <c r="D2261" s="13" t="n">
        <f aca="false">IF(Szenarien!$H$17="OK",(IFERROR(SUMIF(Nutzungsprofile!$B$17:$B$22,"Schulbetrieb",Nutzungsprofile!$G$17:$G$22)*Kalender!C65/SUM(Kalender!$C$5:$C$370),0)+IFERROR(SUMIF(Nutzungsprofile!$B$17:$B$22,"Halle",Nutzungsprofile!$G$17:$G$22)*Kalender!D65/SUM(Kalender!$D$5:$D$370),0)+IFERROR(SUMIF(Nutzungsprofile!$B$17:$B$22,"Individuell",Nutzungsprofile!$G$17:$G$22)*Kalender!E65/SUM(Kalender!$E$5:$E$370),0))*Szenarien!$D$17,0)</f>
        <v>4.94</v>
      </c>
      <c r="E2261" s="13" t="n">
        <f aca="false">IFERROR(MIN(C2261,Eingaben!$B$17)*Eingaben!$B$16,0)</f>
        <v>2.793</v>
      </c>
      <c r="F2261" s="13" t="n">
        <f aca="false">IFERROR(E2261*Eingaben!$B$15,0)</f>
        <v>2.5137</v>
      </c>
      <c r="G2261" s="13" t="n">
        <f aca="false">IFERROR(IF(Kalender!A65="",0,J2260*(1-Eingaben!$B$20)),0)</f>
        <v>1.709316</v>
      </c>
      <c r="H2261" s="13" t="n">
        <f aca="false">MIN(G2261,D2261)</f>
        <v>1.709316</v>
      </c>
      <c r="I2261" s="13" t="n">
        <f aca="false">IFERROR(MIN(F2261*Eingaben!$B$19,MAX(0,D2261-H2261)),0)</f>
        <v>1.75959</v>
      </c>
      <c r="J2261" s="13" t="n">
        <f aca="false">IFERROR(MIN(Eingaben!$B$18,MAX(0,F2261-I2261)),0)</f>
        <v>0.75411</v>
      </c>
      <c r="K2261" s="13" t="n">
        <f aca="false">H2261+I2261</f>
        <v>3.468906</v>
      </c>
      <c r="L2261" s="13" t="n">
        <f aca="false">MAX(0,D2261-K2261)</f>
        <v>1.471094</v>
      </c>
      <c r="M2261" s="13" t="n">
        <f aca="false">MAX(0,F2261-I2261-J2261)</f>
        <v>0</v>
      </c>
      <c r="N2261" s="13" t="n">
        <f aca="false">IF(Kalender!A65="",0,J2260-H2261)</f>
        <v>0.0348840000000001</v>
      </c>
    </row>
    <row r="2262" customFormat="false" ht="16.4" hidden="false" customHeight="false" outlineLevel="0" collapsed="false">
      <c r="A2262" s="13" t="str">
        <f aca="false">""</f>
        <v/>
      </c>
      <c r="B2262" s="13" t="n">
        <f aca="false">62</f>
        <v>62</v>
      </c>
      <c r="C2262" s="13" t="n">
        <f aca="false">IF(Szenarien!$H$17="OK",(IFERROR(SUMIF(Nutzungsprofile!$B$6:$B$11,"Schulbetrieb",Nutzungsprofile!$G$6:$G$11)*Kalender!C66/SUM(Kalender!$C$5:$C$370),0)+IFERROR(SUMIF(Nutzungsprofile!$B$6:$B$11,"Halle",Nutzungsprofile!$G$6:$G$11)*Kalender!D66/SUM(Kalender!$D$5:$D$370),0)+IFERROR(SUMIF(Nutzungsprofile!$B$6:$B$11,"Individuell",Nutzungsprofile!$G$6:$G$11)*Kalender!E66/SUM(Kalender!$E$5:$E$370),0))*Szenarien!$E$17,0)</f>
        <v>2.94</v>
      </c>
      <c r="D2262" s="13" t="n">
        <f aca="false">IF(Szenarien!$H$17="OK",(IFERROR(SUMIF(Nutzungsprofile!$B$17:$B$22,"Schulbetrieb",Nutzungsprofile!$G$17:$G$22)*Kalender!C66/SUM(Kalender!$C$5:$C$370),0)+IFERROR(SUMIF(Nutzungsprofile!$B$17:$B$22,"Halle",Nutzungsprofile!$G$17:$G$22)*Kalender!D66/SUM(Kalender!$D$5:$D$370),0)+IFERROR(SUMIF(Nutzungsprofile!$B$17:$B$22,"Individuell",Nutzungsprofile!$G$17:$G$22)*Kalender!E66/SUM(Kalender!$E$5:$E$370),0))*Szenarien!$D$17,0)</f>
        <v>4.94</v>
      </c>
      <c r="E2262" s="13" t="n">
        <f aca="false">IFERROR(MIN(C2262,Eingaben!$B$17)*Eingaben!$B$16,0)</f>
        <v>2.793</v>
      </c>
      <c r="F2262" s="13" t="n">
        <f aca="false">IFERROR(E2262*Eingaben!$B$15,0)</f>
        <v>2.5137</v>
      </c>
      <c r="G2262" s="13" t="n">
        <f aca="false">IFERROR(IF(Kalender!A66="",0,J2261*(1-Eingaben!$B$20)),0)</f>
        <v>0.7390278</v>
      </c>
      <c r="H2262" s="13" t="n">
        <f aca="false">MIN(G2262,D2262)</f>
        <v>0.7390278</v>
      </c>
      <c r="I2262" s="13" t="n">
        <f aca="false">IFERROR(MIN(F2262*Eingaben!$B$19,MAX(0,D2262-H2262)),0)</f>
        <v>1.75959</v>
      </c>
      <c r="J2262" s="13" t="n">
        <f aca="false">IFERROR(MIN(Eingaben!$B$18,MAX(0,F2262-I2262)),0)</f>
        <v>0.75411</v>
      </c>
      <c r="K2262" s="13" t="n">
        <f aca="false">H2262+I2262</f>
        <v>2.4986178</v>
      </c>
      <c r="L2262" s="13" t="n">
        <f aca="false">MAX(0,D2262-K2262)</f>
        <v>2.4413822</v>
      </c>
      <c r="M2262" s="13" t="n">
        <f aca="false">MAX(0,F2262-I2262-J2262)</f>
        <v>0</v>
      </c>
      <c r="N2262" s="13" t="n">
        <f aca="false">IF(Kalender!A66="",0,J2261-H2262)</f>
        <v>0.0150822</v>
      </c>
    </row>
    <row r="2263" customFormat="false" ht="16.4" hidden="false" customHeight="false" outlineLevel="0" collapsed="false">
      <c r="A2263" s="13" t="str">
        <f aca="false">""</f>
        <v/>
      </c>
      <c r="B2263" s="13" t="n">
        <f aca="false">63</f>
        <v>63</v>
      </c>
      <c r="C2263" s="13" t="n">
        <f aca="false">IF(Szenarien!$H$17="OK",(IFERROR(SUMIF(Nutzungsprofile!$B$6:$B$11,"Schulbetrieb",Nutzungsprofile!$G$6:$G$11)*Kalender!C67/SUM(Kalender!$C$5:$C$370),0)+IFERROR(SUMIF(Nutzungsprofile!$B$6:$B$11,"Halle",Nutzungsprofile!$G$6:$G$11)*Kalender!D67/SUM(Kalender!$D$5:$D$370),0)+IFERROR(SUMIF(Nutzungsprofile!$B$6:$B$11,"Individuell",Nutzungsprofile!$G$6:$G$11)*Kalender!E67/SUM(Kalender!$E$5:$E$370),0))*Szenarien!$E$17,0)</f>
        <v>2.94</v>
      </c>
      <c r="D2263" s="13" t="n">
        <f aca="false">IF(Szenarien!$H$17="OK",(IFERROR(SUMIF(Nutzungsprofile!$B$17:$B$22,"Schulbetrieb",Nutzungsprofile!$G$17:$G$22)*Kalender!C67/SUM(Kalender!$C$5:$C$370),0)+IFERROR(SUMIF(Nutzungsprofile!$B$17:$B$22,"Halle",Nutzungsprofile!$G$17:$G$22)*Kalender!D67/SUM(Kalender!$D$5:$D$370),0)+IFERROR(SUMIF(Nutzungsprofile!$B$17:$B$22,"Individuell",Nutzungsprofile!$G$17:$G$22)*Kalender!E67/SUM(Kalender!$E$5:$E$370),0))*Szenarien!$D$17,0)</f>
        <v>4.94</v>
      </c>
      <c r="E2263" s="13" t="n">
        <f aca="false">IFERROR(MIN(C2263,Eingaben!$B$17)*Eingaben!$B$16,0)</f>
        <v>2.793</v>
      </c>
      <c r="F2263" s="13" t="n">
        <f aca="false">IFERROR(E2263*Eingaben!$B$15,0)</f>
        <v>2.5137</v>
      </c>
      <c r="G2263" s="13" t="n">
        <f aca="false">IFERROR(IF(Kalender!A67="",0,J2262*(1-Eingaben!$B$20)),0)</f>
        <v>0.7390278</v>
      </c>
      <c r="H2263" s="13" t="n">
        <f aca="false">MIN(G2263,D2263)</f>
        <v>0.7390278</v>
      </c>
      <c r="I2263" s="13" t="n">
        <f aca="false">IFERROR(MIN(F2263*Eingaben!$B$19,MAX(0,D2263-H2263)),0)</f>
        <v>1.75959</v>
      </c>
      <c r="J2263" s="13" t="n">
        <f aca="false">IFERROR(MIN(Eingaben!$B$18,MAX(0,F2263-I2263)),0)</f>
        <v>0.75411</v>
      </c>
      <c r="K2263" s="13" t="n">
        <f aca="false">H2263+I2263</f>
        <v>2.4986178</v>
      </c>
      <c r="L2263" s="13" t="n">
        <f aca="false">MAX(0,D2263-K2263)</f>
        <v>2.4413822</v>
      </c>
      <c r="M2263" s="13" t="n">
        <f aca="false">MAX(0,F2263-I2263-J2263)</f>
        <v>0</v>
      </c>
      <c r="N2263" s="13" t="n">
        <f aca="false">IF(Kalender!A67="",0,J2262-H2263)</f>
        <v>0.0150822</v>
      </c>
    </row>
    <row r="2264" customFormat="false" ht="16.4" hidden="false" customHeight="false" outlineLevel="0" collapsed="false">
      <c r="A2264" s="13" t="str">
        <f aca="false">""</f>
        <v/>
      </c>
      <c r="B2264" s="13" t="n">
        <f aca="false">64</f>
        <v>64</v>
      </c>
      <c r="C2264" s="13" t="n">
        <f aca="false">IF(Szenarien!$H$17="OK",(IFERROR(SUMIF(Nutzungsprofile!$B$6:$B$11,"Schulbetrieb",Nutzungsprofile!$G$6:$G$11)*Kalender!C68/SUM(Kalender!$C$5:$C$370),0)+IFERROR(SUMIF(Nutzungsprofile!$B$6:$B$11,"Halle",Nutzungsprofile!$G$6:$G$11)*Kalender!D68/SUM(Kalender!$D$5:$D$370),0)+IFERROR(SUMIF(Nutzungsprofile!$B$6:$B$11,"Individuell",Nutzungsprofile!$G$6:$G$11)*Kalender!E68/SUM(Kalender!$E$5:$E$370),0))*Szenarien!$E$17,0)</f>
        <v>2.94</v>
      </c>
      <c r="D2264" s="13" t="n">
        <f aca="false">IF(Szenarien!$H$17="OK",(IFERROR(SUMIF(Nutzungsprofile!$B$17:$B$22,"Schulbetrieb",Nutzungsprofile!$G$17:$G$22)*Kalender!C68/SUM(Kalender!$C$5:$C$370),0)+IFERROR(SUMIF(Nutzungsprofile!$B$17:$B$22,"Halle",Nutzungsprofile!$G$17:$G$22)*Kalender!D68/SUM(Kalender!$D$5:$D$370),0)+IFERROR(SUMIF(Nutzungsprofile!$B$17:$B$22,"Individuell",Nutzungsprofile!$G$17:$G$22)*Kalender!E68/SUM(Kalender!$E$5:$E$370),0))*Szenarien!$D$17,0)</f>
        <v>4.94</v>
      </c>
      <c r="E2264" s="13" t="n">
        <f aca="false">IFERROR(MIN(C2264,Eingaben!$B$17)*Eingaben!$B$16,0)</f>
        <v>2.793</v>
      </c>
      <c r="F2264" s="13" t="n">
        <f aca="false">IFERROR(E2264*Eingaben!$B$15,0)</f>
        <v>2.5137</v>
      </c>
      <c r="G2264" s="13" t="n">
        <f aca="false">IFERROR(IF(Kalender!A68="",0,J2263*(1-Eingaben!$B$20)),0)</f>
        <v>0.7390278</v>
      </c>
      <c r="H2264" s="13" t="n">
        <f aca="false">MIN(G2264,D2264)</f>
        <v>0.7390278</v>
      </c>
      <c r="I2264" s="13" t="n">
        <f aca="false">IFERROR(MIN(F2264*Eingaben!$B$19,MAX(0,D2264-H2264)),0)</f>
        <v>1.75959</v>
      </c>
      <c r="J2264" s="13" t="n">
        <f aca="false">IFERROR(MIN(Eingaben!$B$18,MAX(0,F2264-I2264)),0)</f>
        <v>0.75411</v>
      </c>
      <c r="K2264" s="13" t="n">
        <f aca="false">H2264+I2264</f>
        <v>2.4986178</v>
      </c>
      <c r="L2264" s="13" t="n">
        <f aca="false">MAX(0,D2264-K2264)</f>
        <v>2.4413822</v>
      </c>
      <c r="M2264" s="13" t="n">
        <f aca="false">MAX(0,F2264-I2264-J2264)</f>
        <v>0</v>
      </c>
      <c r="N2264" s="13" t="n">
        <f aca="false">IF(Kalender!A68="",0,J2263-H2264)</f>
        <v>0.0150822</v>
      </c>
    </row>
    <row r="2265" customFormat="false" ht="16.4" hidden="false" customHeight="false" outlineLevel="0" collapsed="false">
      <c r="A2265" s="13" t="str">
        <f aca="false">""</f>
        <v/>
      </c>
      <c r="B2265" s="13" t="n">
        <f aca="false">65</f>
        <v>65</v>
      </c>
      <c r="C2265" s="13" t="n">
        <f aca="false">IF(Szenarien!$H$17="OK",(IFERROR(SUMIF(Nutzungsprofile!$B$6:$B$11,"Schulbetrieb",Nutzungsprofile!$G$6:$G$11)*Kalender!C69/SUM(Kalender!$C$5:$C$370),0)+IFERROR(SUMIF(Nutzungsprofile!$B$6:$B$11,"Halle",Nutzungsprofile!$G$6:$G$11)*Kalender!D69/SUM(Kalender!$D$5:$D$370),0)+IFERROR(SUMIF(Nutzungsprofile!$B$6:$B$11,"Individuell",Nutzungsprofile!$G$6:$G$11)*Kalender!E69/SUM(Kalender!$E$5:$E$370),0))*Szenarien!$E$17,0)</f>
        <v>2.94</v>
      </c>
      <c r="D2265" s="13" t="n">
        <f aca="false">IF(Szenarien!$H$17="OK",(IFERROR(SUMIF(Nutzungsprofile!$B$17:$B$22,"Schulbetrieb",Nutzungsprofile!$G$17:$G$22)*Kalender!C69/SUM(Kalender!$C$5:$C$370),0)+IFERROR(SUMIF(Nutzungsprofile!$B$17:$B$22,"Halle",Nutzungsprofile!$G$17:$G$22)*Kalender!D69/SUM(Kalender!$D$5:$D$370),0)+IFERROR(SUMIF(Nutzungsprofile!$B$17:$B$22,"Individuell",Nutzungsprofile!$G$17:$G$22)*Kalender!E69/SUM(Kalender!$E$5:$E$370),0))*Szenarien!$D$17,0)</f>
        <v>4.94</v>
      </c>
      <c r="E2265" s="13" t="n">
        <f aca="false">IFERROR(MIN(C2265,Eingaben!$B$17)*Eingaben!$B$16,0)</f>
        <v>2.793</v>
      </c>
      <c r="F2265" s="13" t="n">
        <f aca="false">IFERROR(E2265*Eingaben!$B$15,0)</f>
        <v>2.5137</v>
      </c>
      <c r="G2265" s="13" t="n">
        <f aca="false">IFERROR(IF(Kalender!A69="",0,J2264*(1-Eingaben!$B$20)),0)</f>
        <v>0.7390278</v>
      </c>
      <c r="H2265" s="13" t="n">
        <f aca="false">MIN(G2265,D2265)</f>
        <v>0.7390278</v>
      </c>
      <c r="I2265" s="13" t="n">
        <f aca="false">IFERROR(MIN(F2265*Eingaben!$B$19,MAX(0,D2265-H2265)),0)</f>
        <v>1.75959</v>
      </c>
      <c r="J2265" s="13" t="n">
        <f aca="false">IFERROR(MIN(Eingaben!$B$18,MAX(0,F2265-I2265)),0)</f>
        <v>0.75411</v>
      </c>
      <c r="K2265" s="13" t="n">
        <f aca="false">H2265+I2265</f>
        <v>2.4986178</v>
      </c>
      <c r="L2265" s="13" t="n">
        <f aca="false">MAX(0,D2265-K2265)</f>
        <v>2.4413822</v>
      </c>
      <c r="M2265" s="13" t="n">
        <f aca="false">MAX(0,F2265-I2265-J2265)</f>
        <v>0</v>
      </c>
      <c r="N2265" s="13" t="n">
        <f aca="false">IF(Kalender!A69="",0,J2264-H2265)</f>
        <v>0.0150822</v>
      </c>
    </row>
    <row r="2266" customFormat="false" ht="16.4" hidden="false" customHeight="false" outlineLevel="0" collapsed="false">
      <c r="A2266" s="13" t="str">
        <f aca="false">""</f>
        <v/>
      </c>
      <c r="B2266" s="13" t="n">
        <f aca="false">66</f>
        <v>66</v>
      </c>
      <c r="C2266" s="13" t="n">
        <f aca="false">IF(Szenarien!$H$17="OK",(IFERROR(SUMIF(Nutzungsprofile!$B$6:$B$11,"Schulbetrieb",Nutzungsprofile!$G$6:$G$11)*Kalender!C70/SUM(Kalender!$C$5:$C$370),0)+IFERROR(SUMIF(Nutzungsprofile!$B$6:$B$11,"Halle",Nutzungsprofile!$G$6:$G$11)*Kalender!D70/SUM(Kalender!$D$5:$D$370),0)+IFERROR(SUMIF(Nutzungsprofile!$B$6:$B$11,"Individuell",Nutzungsprofile!$G$6:$G$11)*Kalender!E70/SUM(Kalender!$E$5:$E$370),0))*Szenarien!$E$17,0)</f>
        <v>2.04</v>
      </c>
      <c r="D2266" s="13" t="n">
        <f aca="false">IF(Szenarien!$H$17="OK",(IFERROR(SUMIF(Nutzungsprofile!$B$17:$B$22,"Schulbetrieb",Nutzungsprofile!$G$17:$G$22)*Kalender!C70/SUM(Kalender!$C$5:$C$370),0)+IFERROR(SUMIF(Nutzungsprofile!$B$17:$B$22,"Halle",Nutzungsprofile!$G$17:$G$22)*Kalender!D70/SUM(Kalender!$D$5:$D$370),0)+IFERROR(SUMIF(Nutzungsprofile!$B$17:$B$22,"Individuell",Nutzungsprofile!$G$17:$G$22)*Kalender!E70/SUM(Kalender!$E$5:$E$370),0))*Szenarien!$D$17,0)</f>
        <v>0.89</v>
      </c>
      <c r="E2266" s="13" t="n">
        <f aca="false">IFERROR(MIN(C2266,Eingaben!$B$17)*Eingaben!$B$16,0)</f>
        <v>1.938</v>
      </c>
      <c r="F2266" s="13" t="n">
        <f aca="false">IFERROR(E2266*Eingaben!$B$15,0)</f>
        <v>1.7442</v>
      </c>
      <c r="G2266" s="13" t="n">
        <f aca="false">IFERROR(IF(Kalender!A70="",0,J2265*(1-Eingaben!$B$20)),0)</f>
        <v>0.7390278</v>
      </c>
      <c r="H2266" s="13" t="n">
        <f aca="false">MIN(G2266,D2266)</f>
        <v>0.7390278</v>
      </c>
      <c r="I2266" s="13" t="n">
        <f aca="false">IFERROR(MIN(F2266*Eingaben!$B$19,MAX(0,D2266-H2266)),0)</f>
        <v>0.1509722</v>
      </c>
      <c r="J2266" s="13" t="n">
        <f aca="false">IFERROR(MIN(Eingaben!$B$18,MAX(0,F2266-I2266)),0)</f>
        <v>1.5932278</v>
      </c>
      <c r="K2266" s="13" t="n">
        <f aca="false">H2266+I2266</f>
        <v>0.89</v>
      </c>
      <c r="L2266" s="13" t="n">
        <f aca="false">MAX(0,D2266-K2266)</f>
        <v>0</v>
      </c>
      <c r="M2266" s="13" t="n">
        <f aca="false">MAX(0,F2266-I2266-J2266)</f>
        <v>0</v>
      </c>
      <c r="N2266" s="13" t="n">
        <f aca="false">IF(Kalender!A70="",0,J2265-H2266)</f>
        <v>0.0150822</v>
      </c>
    </row>
    <row r="2267" customFormat="false" ht="16.4" hidden="false" customHeight="false" outlineLevel="0" collapsed="false">
      <c r="A2267" s="13" t="str">
        <f aca="false">""</f>
        <v/>
      </c>
      <c r="B2267" s="13" t="n">
        <f aca="false">67</f>
        <v>67</v>
      </c>
      <c r="C2267" s="13" t="n">
        <f aca="false">IF(Szenarien!$H$17="OK",(IFERROR(SUMIF(Nutzungsprofile!$B$6:$B$11,"Schulbetrieb",Nutzungsprofile!$G$6:$G$11)*Kalender!C71/SUM(Kalender!$C$5:$C$370),0)+IFERROR(SUMIF(Nutzungsprofile!$B$6:$B$11,"Halle",Nutzungsprofile!$G$6:$G$11)*Kalender!D71/SUM(Kalender!$D$5:$D$370),0)+IFERROR(SUMIF(Nutzungsprofile!$B$6:$B$11,"Individuell",Nutzungsprofile!$G$6:$G$11)*Kalender!E71/SUM(Kalender!$E$5:$E$370),0))*Szenarien!$E$17,0)</f>
        <v>2.04</v>
      </c>
      <c r="D2267" s="13" t="n">
        <f aca="false">IF(Szenarien!$H$17="OK",(IFERROR(SUMIF(Nutzungsprofile!$B$17:$B$22,"Schulbetrieb",Nutzungsprofile!$G$17:$G$22)*Kalender!C71/SUM(Kalender!$C$5:$C$370),0)+IFERROR(SUMIF(Nutzungsprofile!$B$17:$B$22,"Halle",Nutzungsprofile!$G$17:$G$22)*Kalender!D71/SUM(Kalender!$D$5:$D$370),0)+IFERROR(SUMIF(Nutzungsprofile!$B$17:$B$22,"Individuell",Nutzungsprofile!$G$17:$G$22)*Kalender!E71/SUM(Kalender!$E$5:$E$370),0))*Szenarien!$D$17,0)</f>
        <v>0.89</v>
      </c>
      <c r="E2267" s="13" t="n">
        <f aca="false">IFERROR(MIN(C2267,Eingaben!$B$17)*Eingaben!$B$16,0)</f>
        <v>1.938</v>
      </c>
      <c r="F2267" s="13" t="n">
        <f aca="false">IFERROR(E2267*Eingaben!$B$15,0)</f>
        <v>1.7442</v>
      </c>
      <c r="G2267" s="13" t="n">
        <f aca="false">IFERROR(IF(Kalender!A71="",0,J2266*(1-Eingaben!$B$20)),0)</f>
        <v>1.561363244</v>
      </c>
      <c r="H2267" s="13" t="n">
        <f aca="false">MIN(G2267,D2267)</f>
        <v>0.89</v>
      </c>
      <c r="I2267" s="13" t="n">
        <f aca="false">IFERROR(MIN(F2267*Eingaben!$B$19,MAX(0,D2267-H2267)),0)</f>
        <v>0</v>
      </c>
      <c r="J2267" s="13" t="n">
        <f aca="false">IFERROR(MIN(Eingaben!$B$18,MAX(0,F2267-I2267)),0)</f>
        <v>1.7442</v>
      </c>
      <c r="K2267" s="13" t="n">
        <f aca="false">H2267+I2267</f>
        <v>0.89</v>
      </c>
      <c r="L2267" s="13" t="n">
        <f aca="false">MAX(0,D2267-K2267)</f>
        <v>0</v>
      </c>
      <c r="M2267" s="13" t="n">
        <f aca="false">MAX(0,F2267-I2267-J2267)</f>
        <v>0</v>
      </c>
      <c r="N2267" s="13" t="n">
        <f aca="false">IF(Kalender!A71="",0,J2266-H2267)</f>
        <v>0.7032278</v>
      </c>
    </row>
    <row r="2268" customFormat="false" ht="16.4" hidden="false" customHeight="false" outlineLevel="0" collapsed="false">
      <c r="A2268" s="13" t="str">
        <f aca="false">""</f>
        <v/>
      </c>
      <c r="B2268" s="13" t="n">
        <f aca="false">68</f>
        <v>68</v>
      </c>
      <c r="C2268" s="13" t="n">
        <f aca="false">IF(Szenarien!$H$17="OK",(IFERROR(SUMIF(Nutzungsprofile!$B$6:$B$11,"Schulbetrieb",Nutzungsprofile!$G$6:$G$11)*Kalender!C72/SUM(Kalender!$C$5:$C$370),0)+IFERROR(SUMIF(Nutzungsprofile!$B$6:$B$11,"Halle",Nutzungsprofile!$G$6:$G$11)*Kalender!D72/SUM(Kalender!$D$5:$D$370),0)+IFERROR(SUMIF(Nutzungsprofile!$B$6:$B$11,"Individuell",Nutzungsprofile!$G$6:$G$11)*Kalender!E72/SUM(Kalender!$E$5:$E$370),0))*Szenarien!$E$17,0)</f>
        <v>2.94</v>
      </c>
      <c r="D2268" s="13" t="n">
        <f aca="false">IF(Szenarien!$H$17="OK",(IFERROR(SUMIF(Nutzungsprofile!$B$17:$B$22,"Schulbetrieb",Nutzungsprofile!$G$17:$G$22)*Kalender!C72/SUM(Kalender!$C$5:$C$370),0)+IFERROR(SUMIF(Nutzungsprofile!$B$17:$B$22,"Halle",Nutzungsprofile!$G$17:$G$22)*Kalender!D72/SUM(Kalender!$D$5:$D$370),0)+IFERROR(SUMIF(Nutzungsprofile!$B$17:$B$22,"Individuell",Nutzungsprofile!$G$17:$G$22)*Kalender!E72/SUM(Kalender!$E$5:$E$370),0))*Szenarien!$D$17,0)</f>
        <v>4.94</v>
      </c>
      <c r="E2268" s="13" t="n">
        <f aca="false">IFERROR(MIN(C2268,Eingaben!$B$17)*Eingaben!$B$16,0)</f>
        <v>2.793</v>
      </c>
      <c r="F2268" s="13" t="n">
        <f aca="false">IFERROR(E2268*Eingaben!$B$15,0)</f>
        <v>2.5137</v>
      </c>
      <c r="G2268" s="13" t="n">
        <f aca="false">IFERROR(IF(Kalender!A72="",0,J2267*(1-Eingaben!$B$20)),0)</f>
        <v>1.709316</v>
      </c>
      <c r="H2268" s="13" t="n">
        <f aca="false">MIN(G2268,D2268)</f>
        <v>1.709316</v>
      </c>
      <c r="I2268" s="13" t="n">
        <f aca="false">IFERROR(MIN(F2268*Eingaben!$B$19,MAX(0,D2268-H2268)),0)</f>
        <v>1.75959</v>
      </c>
      <c r="J2268" s="13" t="n">
        <f aca="false">IFERROR(MIN(Eingaben!$B$18,MAX(0,F2268-I2268)),0)</f>
        <v>0.75411</v>
      </c>
      <c r="K2268" s="13" t="n">
        <f aca="false">H2268+I2268</f>
        <v>3.468906</v>
      </c>
      <c r="L2268" s="13" t="n">
        <f aca="false">MAX(0,D2268-K2268)</f>
        <v>1.471094</v>
      </c>
      <c r="M2268" s="13" t="n">
        <f aca="false">MAX(0,F2268-I2268-J2268)</f>
        <v>0</v>
      </c>
      <c r="N2268" s="13" t="n">
        <f aca="false">IF(Kalender!A72="",0,J2267-H2268)</f>
        <v>0.0348840000000001</v>
      </c>
    </row>
    <row r="2269" customFormat="false" ht="16.4" hidden="false" customHeight="false" outlineLevel="0" collapsed="false">
      <c r="A2269" s="13" t="str">
        <f aca="false">""</f>
        <v/>
      </c>
      <c r="B2269" s="13" t="n">
        <f aca="false">69</f>
        <v>69</v>
      </c>
      <c r="C2269" s="13" t="n">
        <f aca="false">IF(Szenarien!$H$17="OK",(IFERROR(SUMIF(Nutzungsprofile!$B$6:$B$11,"Schulbetrieb",Nutzungsprofile!$G$6:$G$11)*Kalender!C73/SUM(Kalender!$C$5:$C$370),0)+IFERROR(SUMIF(Nutzungsprofile!$B$6:$B$11,"Halle",Nutzungsprofile!$G$6:$G$11)*Kalender!D73/SUM(Kalender!$D$5:$D$370),0)+IFERROR(SUMIF(Nutzungsprofile!$B$6:$B$11,"Individuell",Nutzungsprofile!$G$6:$G$11)*Kalender!E73/SUM(Kalender!$E$5:$E$370),0))*Szenarien!$E$17,0)</f>
        <v>2.94</v>
      </c>
      <c r="D2269" s="13" t="n">
        <f aca="false">IF(Szenarien!$H$17="OK",(IFERROR(SUMIF(Nutzungsprofile!$B$17:$B$22,"Schulbetrieb",Nutzungsprofile!$G$17:$G$22)*Kalender!C73/SUM(Kalender!$C$5:$C$370),0)+IFERROR(SUMIF(Nutzungsprofile!$B$17:$B$22,"Halle",Nutzungsprofile!$G$17:$G$22)*Kalender!D73/SUM(Kalender!$D$5:$D$370),0)+IFERROR(SUMIF(Nutzungsprofile!$B$17:$B$22,"Individuell",Nutzungsprofile!$G$17:$G$22)*Kalender!E73/SUM(Kalender!$E$5:$E$370),0))*Szenarien!$D$17,0)</f>
        <v>4.94</v>
      </c>
      <c r="E2269" s="13" t="n">
        <f aca="false">IFERROR(MIN(C2269,Eingaben!$B$17)*Eingaben!$B$16,0)</f>
        <v>2.793</v>
      </c>
      <c r="F2269" s="13" t="n">
        <f aca="false">IFERROR(E2269*Eingaben!$B$15,0)</f>
        <v>2.5137</v>
      </c>
      <c r="G2269" s="13" t="n">
        <f aca="false">IFERROR(IF(Kalender!A73="",0,J2268*(1-Eingaben!$B$20)),0)</f>
        <v>0.7390278</v>
      </c>
      <c r="H2269" s="13" t="n">
        <f aca="false">MIN(G2269,D2269)</f>
        <v>0.7390278</v>
      </c>
      <c r="I2269" s="13" t="n">
        <f aca="false">IFERROR(MIN(F2269*Eingaben!$B$19,MAX(0,D2269-H2269)),0)</f>
        <v>1.75959</v>
      </c>
      <c r="J2269" s="13" t="n">
        <f aca="false">IFERROR(MIN(Eingaben!$B$18,MAX(0,F2269-I2269)),0)</f>
        <v>0.75411</v>
      </c>
      <c r="K2269" s="13" t="n">
        <f aca="false">H2269+I2269</f>
        <v>2.4986178</v>
      </c>
      <c r="L2269" s="13" t="n">
        <f aca="false">MAX(0,D2269-K2269)</f>
        <v>2.4413822</v>
      </c>
      <c r="M2269" s="13" t="n">
        <f aca="false">MAX(0,F2269-I2269-J2269)</f>
        <v>0</v>
      </c>
      <c r="N2269" s="13" t="n">
        <f aca="false">IF(Kalender!A73="",0,J2268-H2269)</f>
        <v>0.0150822</v>
      </c>
    </row>
    <row r="2270" customFormat="false" ht="16.4" hidden="false" customHeight="false" outlineLevel="0" collapsed="false">
      <c r="A2270" s="13" t="str">
        <f aca="false">""</f>
        <v/>
      </c>
      <c r="B2270" s="13" t="n">
        <f aca="false">70</f>
        <v>70</v>
      </c>
      <c r="C2270" s="13" t="n">
        <f aca="false">IF(Szenarien!$H$17="OK",(IFERROR(SUMIF(Nutzungsprofile!$B$6:$B$11,"Schulbetrieb",Nutzungsprofile!$G$6:$G$11)*Kalender!C74/SUM(Kalender!$C$5:$C$370),0)+IFERROR(SUMIF(Nutzungsprofile!$B$6:$B$11,"Halle",Nutzungsprofile!$G$6:$G$11)*Kalender!D74/SUM(Kalender!$D$5:$D$370),0)+IFERROR(SUMIF(Nutzungsprofile!$B$6:$B$11,"Individuell",Nutzungsprofile!$G$6:$G$11)*Kalender!E74/SUM(Kalender!$E$5:$E$370),0))*Szenarien!$E$17,0)</f>
        <v>2.94</v>
      </c>
      <c r="D2270" s="13" t="n">
        <f aca="false">IF(Szenarien!$H$17="OK",(IFERROR(SUMIF(Nutzungsprofile!$B$17:$B$22,"Schulbetrieb",Nutzungsprofile!$G$17:$G$22)*Kalender!C74/SUM(Kalender!$C$5:$C$370),0)+IFERROR(SUMIF(Nutzungsprofile!$B$17:$B$22,"Halle",Nutzungsprofile!$G$17:$G$22)*Kalender!D74/SUM(Kalender!$D$5:$D$370),0)+IFERROR(SUMIF(Nutzungsprofile!$B$17:$B$22,"Individuell",Nutzungsprofile!$G$17:$G$22)*Kalender!E74/SUM(Kalender!$E$5:$E$370),0))*Szenarien!$D$17,0)</f>
        <v>4.94</v>
      </c>
      <c r="E2270" s="13" t="n">
        <f aca="false">IFERROR(MIN(C2270,Eingaben!$B$17)*Eingaben!$B$16,0)</f>
        <v>2.793</v>
      </c>
      <c r="F2270" s="13" t="n">
        <f aca="false">IFERROR(E2270*Eingaben!$B$15,0)</f>
        <v>2.5137</v>
      </c>
      <c r="G2270" s="13" t="n">
        <f aca="false">IFERROR(IF(Kalender!A74="",0,J2269*(1-Eingaben!$B$20)),0)</f>
        <v>0.7390278</v>
      </c>
      <c r="H2270" s="13" t="n">
        <f aca="false">MIN(G2270,D2270)</f>
        <v>0.7390278</v>
      </c>
      <c r="I2270" s="13" t="n">
        <f aca="false">IFERROR(MIN(F2270*Eingaben!$B$19,MAX(0,D2270-H2270)),0)</f>
        <v>1.75959</v>
      </c>
      <c r="J2270" s="13" t="n">
        <f aca="false">IFERROR(MIN(Eingaben!$B$18,MAX(0,F2270-I2270)),0)</f>
        <v>0.75411</v>
      </c>
      <c r="K2270" s="13" t="n">
        <f aca="false">H2270+I2270</f>
        <v>2.4986178</v>
      </c>
      <c r="L2270" s="13" t="n">
        <f aca="false">MAX(0,D2270-K2270)</f>
        <v>2.4413822</v>
      </c>
      <c r="M2270" s="13" t="n">
        <f aca="false">MAX(0,F2270-I2270-J2270)</f>
        <v>0</v>
      </c>
      <c r="N2270" s="13" t="n">
        <f aca="false">IF(Kalender!A74="",0,J2269-H2270)</f>
        <v>0.0150822</v>
      </c>
    </row>
    <row r="2271" customFormat="false" ht="16.4" hidden="false" customHeight="false" outlineLevel="0" collapsed="false">
      <c r="A2271" s="13" t="str">
        <f aca="false">""</f>
        <v/>
      </c>
      <c r="B2271" s="13" t="n">
        <f aca="false">71</f>
        <v>71</v>
      </c>
      <c r="C2271" s="13" t="n">
        <f aca="false">IF(Szenarien!$H$17="OK",(IFERROR(SUMIF(Nutzungsprofile!$B$6:$B$11,"Schulbetrieb",Nutzungsprofile!$G$6:$G$11)*Kalender!C75/SUM(Kalender!$C$5:$C$370),0)+IFERROR(SUMIF(Nutzungsprofile!$B$6:$B$11,"Halle",Nutzungsprofile!$G$6:$G$11)*Kalender!D75/SUM(Kalender!$D$5:$D$370),0)+IFERROR(SUMIF(Nutzungsprofile!$B$6:$B$11,"Individuell",Nutzungsprofile!$G$6:$G$11)*Kalender!E75/SUM(Kalender!$E$5:$E$370),0))*Szenarien!$E$17,0)</f>
        <v>2.94</v>
      </c>
      <c r="D2271" s="13" t="n">
        <f aca="false">IF(Szenarien!$H$17="OK",(IFERROR(SUMIF(Nutzungsprofile!$B$17:$B$22,"Schulbetrieb",Nutzungsprofile!$G$17:$G$22)*Kalender!C75/SUM(Kalender!$C$5:$C$370),0)+IFERROR(SUMIF(Nutzungsprofile!$B$17:$B$22,"Halle",Nutzungsprofile!$G$17:$G$22)*Kalender!D75/SUM(Kalender!$D$5:$D$370),0)+IFERROR(SUMIF(Nutzungsprofile!$B$17:$B$22,"Individuell",Nutzungsprofile!$G$17:$G$22)*Kalender!E75/SUM(Kalender!$E$5:$E$370),0))*Szenarien!$D$17,0)</f>
        <v>4.94</v>
      </c>
      <c r="E2271" s="13" t="n">
        <f aca="false">IFERROR(MIN(C2271,Eingaben!$B$17)*Eingaben!$B$16,0)</f>
        <v>2.793</v>
      </c>
      <c r="F2271" s="13" t="n">
        <f aca="false">IFERROR(E2271*Eingaben!$B$15,0)</f>
        <v>2.5137</v>
      </c>
      <c r="G2271" s="13" t="n">
        <f aca="false">IFERROR(IF(Kalender!A75="",0,J2270*(1-Eingaben!$B$20)),0)</f>
        <v>0.7390278</v>
      </c>
      <c r="H2271" s="13" t="n">
        <f aca="false">MIN(G2271,D2271)</f>
        <v>0.7390278</v>
      </c>
      <c r="I2271" s="13" t="n">
        <f aca="false">IFERROR(MIN(F2271*Eingaben!$B$19,MAX(0,D2271-H2271)),0)</f>
        <v>1.75959</v>
      </c>
      <c r="J2271" s="13" t="n">
        <f aca="false">IFERROR(MIN(Eingaben!$B$18,MAX(0,F2271-I2271)),0)</f>
        <v>0.75411</v>
      </c>
      <c r="K2271" s="13" t="n">
        <f aca="false">H2271+I2271</f>
        <v>2.4986178</v>
      </c>
      <c r="L2271" s="13" t="n">
        <f aca="false">MAX(0,D2271-K2271)</f>
        <v>2.4413822</v>
      </c>
      <c r="M2271" s="13" t="n">
        <f aca="false">MAX(0,F2271-I2271-J2271)</f>
        <v>0</v>
      </c>
      <c r="N2271" s="13" t="n">
        <f aca="false">IF(Kalender!A75="",0,J2270-H2271)</f>
        <v>0.0150822</v>
      </c>
    </row>
    <row r="2272" customFormat="false" ht="16.4" hidden="false" customHeight="false" outlineLevel="0" collapsed="false">
      <c r="A2272" s="13" t="str">
        <f aca="false">""</f>
        <v/>
      </c>
      <c r="B2272" s="13" t="n">
        <f aca="false">72</f>
        <v>72</v>
      </c>
      <c r="C2272" s="13" t="n">
        <f aca="false">IF(Szenarien!$H$17="OK",(IFERROR(SUMIF(Nutzungsprofile!$B$6:$B$11,"Schulbetrieb",Nutzungsprofile!$G$6:$G$11)*Kalender!C76/SUM(Kalender!$C$5:$C$370),0)+IFERROR(SUMIF(Nutzungsprofile!$B$6:$B$11,"Halle",Nutzungsprofile!$G$6:$G$11)*Kalender!D76/SUM(Kalender!$D$5:$D$370),0)+IFERROR(SUMIF(Nutzungsprofile!$B$6:$B$11,"Individuell",Nutzungsprofile!$G$6:$G$11)*Kalender!E76/SUM(Kalender!$E$5:$E$370),0))*Szenarien!$E$17,0)</f>
        <v>2.94</v>
      </c>
      <c r="D2272" s="13" t="n">
        <f aca="false">IF(Szenarien!$H$17="OK",(IFERROR(SUMIF(Nutzungsprofile!$B$17:$B$22,"Schulbetrieb",Nutzungsprofile!$G$17:$G$22)*Kalender!C76/SUM(Kalender!$C$5:$C$370),0)+IFERROR(SUMIF(Nutzungsprofile!$B$17:$B$22,"Halle",Nutzungsprofile!$G$17:$G$22)*Kalender!D76/SUM(Kalender!$D$5:$D$370),0)+IFERROR(SUMIF(Nutzungsprofile!$B$17:$B$22,"Individuell",Nutzungsprofile!$G$17:$G$22)*Kalender!E76/SUM(Kalender!$E$5:$E$370),0))*Szenarien!$D$17,0)</f>
        <v>4.94</v>
      </c>
      <c r="E2272" s="13" t="n">
        <f aca="false">IFERROR(MIN(C2272,Eingaben!$B$17)*Eingaben!$B$16,0)</f>
        <v>2.793</v>
      </c>
      <c r="F2272" s="13" t="n">
        <f aca="false">IFERROR(E2272*Eingaben!$B$15,0)</f>
        <v>2.5137</v>
      </c>
      <c r="G2272" s="13" t="n">
        <f aca="false">IFERROR(IF(Kalender!A76="",0,J2271*(1-Eingaben!$B$20)),0)</f>
        <v>0.7390278</v>
      </c>
      <c r="H2272" s="13" t="n">
        <f aca="false">MIN(G2272,D2272)</f>
        <v>0.7390278</v>
      </c>
      <c r="I2272" s="13" t="n">
        <f aca="false">IFERROR(MIN(F2272*Eingaben!$B$19,MAX(0,D2272-H2272)),0)</f>
        <v>1.75959</v>
      </c>
      <c r="J2272" s="13" t="n">
        <f aca="false">IFERROR(MIN(Eingaben!$B$18,MAX(0,F2272-I2272)),0)</f>
        <v>0.75411</v>
      </c>
      <c r="K2272" s="13" t="n">
        <f aca="false">H2272+I2272</f>
        <v>2.4986178</v>
      </c>
      <c r="L2272" s="13" t="n">
        <f aca="false">MAX(0,D2272-K2272)</f>
        <v>2.4413822</v>
      </c>
      <c r="M2272" s="13" t="n">
        <f aca="false">MAX(0,F2272-I2272-J2272)</f>
        <v>0</v>
      </c>
      <c r="N2272" s="13" t="n">
        <f aca="false">IF(Kalender!A76="",0,J2271-H2272)</f>
        <v>0.0150822</v>
      </c>
    </row>
    <row r="2273" customFormat="false" ht="16.4" hidden="false" customHeight="false" outlineLevel="0" collapsed="false">
      <c r="A2273" s="13" t="str">
        <f aca="false">""</f>
        <v/>
      </c>
      <c r="B2273" s="13" t="n">
        <f aca="false">73</f>
        <v>73</v>
      </c>
      <c r="C2273" s="13" t="n">
        <f aca="false">IF(Szenarien!$H$17="OK",(IFERROR(SUMIF(Nutzungsprofile!$B$6:$B$11,"Schulbetrieb",Nutzungsprofile!$G$6:$G$11)*Kalender!C77/SUM(Kalender!$C$5:$C$370),0)+IFERROR(SUMIF(Nutzungsprofile!$B$6:$B$11,"Halle",Nutzungsprofile!$G$6:$G$11)*Kalender!D77/SUM(Kalender!$D$5:$D$370),0)+IFERROR(SUMIF(Nutzungsprofile!$B$6:$B$11,"Individuell",Nutzungsprofile!$G$6:$G$11)*Kalender!E77/SUM(Kalender!$E$5:$E$370),0))*Szenarien!$E$17,0)</f>
        <v>2.04</v>
      </c>
      <c r="D2273" s="13" t="n">
        <f aca="false">IF(Szenarien!$H$17="OK",(IFERROR(SUMIF(Nutzungsprofile!$B$17:$B$22,"Schulbetrieb",Nutzungsprofile!$G$17:$G$22)*Kalender!C77/SUM(Kalender!$C$5:$C$370),0)+IFERROR(SUMIF(Nutzungsprofile!$B$17:$B$22,"Halle",Nutzungsprofile!$G$17:$G$22)*Kalender!D77/SUM(Kalender!$D$5:$D$370),0)+IFERROR(SUMIF(Nutzungsprofile!$B$17:$B$22,"Individuell",Nutzungsprofile!$G$17:$G$22)*Kalender!E77/SUM(Kalender!$E$5:$E$370),0))*Szenarien!$D$17,0)</f>
        <v>0.89</v>
      </c>
      <c r="E2273" s="13" t="n">
        <f aca="false">IFERROR(MIN(C2273,Eingaben!$B$17)*Eingaben!$B$16,0)</f>
        <v>1.938</v>
      </c>
      <c r="F2273" s="13" t="n">
        <f aca="false">IFERROR(E2273*Eingaben!$B$15,0)</f>
        <v>1.7442</v>
      </c>
      <c r="G2273" s="13" t="n">
        <f aca="false">IFERROR(IF(Kalender!A77="",0,J2272*(1-Eingaben!$B$20)),0)</f>
        <v>0.7390278</v>
      </c>
      <c r="H2273" s="13" t="n">
        <f aca="false">MIN(G2273,D2273)</f>
        <v>0.7390278</v>
      </c>
      <c r="I2273" s="13" t="n">
        <f aca="false">IFERROR(MIN(F2273*Eingaben!$B$19,MAX(0,D2273-H2273)),0)</f>
        <v>0.1509722</v>
      </c>
      <c r="J2273" s="13" t="n">
        <f aca="false">IFERROR(MIN(Eingaben!$B$18,MAX(0,F2273-I2273)),0)</f>
        <v>1.5932278</v>
      </c>
      <c r="K2273" s="13" t="n">
        <f aca="false">H2273+I2273</f>
        <v>0.89</v>
      </c>
      <c r="L2273" s="13" t="n">
        <f aca="false">MAX(0,D2273-K2273)</f>
        <v>0</v>
      </c>
      <c r="M2273" s="13" t="n">
        <f aca="false">MAX(0,F2273-I2273-J2273)</f>
        <v>0</v>
      </c>
      <c r="N2273" s="13" t="n">
        <f aca="false">IF(Kalender!A77="",0,J2272-H2273)</f>
        <v>0.0150822</v>
      </c>
    </row>
    <row r="2274" customFormat="false" ht="16.4" hidden="false" customHeight="false" outlineLevel="0" collapsed="false">
      <c r="A2274" s="13" t="str">
        <f aca="false">""</f>
        <v/>
      </c>
      <c r="B2274" s="13" t="n">
        <f aca="false">74</f>
        <v>74</v>
      </c>
      <c r="C2274" s="13" t="n">
        <f aca="false">IF(Szenarien!$H$17="OK",(IFERROR(SUMIF(Nutzungsprofile!$B$6:$B$11,"Schulbetrieb",Nutzungsprofile!$G$6:$G$11)*Kalender!C78/SUM(Kalender!$C$5:$C$370),0)+IFERROR(SUMIF(Nutzungsprofile!$B$6:$B$11,"Halle",Nutzungsprofile!$G$6:$G$11)*Kalender!D78/SUM(Kalender!$D$5:$D$370),0)+IFERROR(SUMIF(Nutzungsprofile!$B$6:$B$11,"Individuell",Nutzungsprofile!$G$6:$G$11)*Kalender!E78/SUM(Kalender!$E$5:$E$370),0))*Szenarien!$E$17,0)</f>
        <v>2.04</v>
      </c>
      <c r="D2274" s="13" t="n">
        <f aca="false">IF(Szenarien!$H$17="OK",(IFERROR(SUMIF(Nutzungsprofile!$B$17:$B$22,"Schulbetrieb",Nutzungsprofile!$G$17:$G$22)*Kalender!C78/SUM(Kalender!$C$5:$C$370),0)+IFERROR(SUMIF(Nutzungsprofile!$B$17:$B$22,"Halle",Nutzungsprofile!$G$17:$G$22)*Kalender!D78/SUM(Kalender!$D$5:$D$370),0)+IFERROR(SUMIF(Nutzungsprofile!$B$17:$B$22,"Individuell",Nutzungsprofile!$G$17:$G$22)*Kalender!E78/SUM(Kalender!$E$5:$E$370),0))*Szenarien!$D$17,0)</f>
        <v>0.89</v>
      </c>
      <c r="E2274" s="13" t="n">
        <f aca="false">IFERROR(MIN(C2274,Eingaben!$B$17)*Eingaben!$B$16,0)</f>
        <v>1.938</v>
      </c>
      <c r="F2274" s="13" t="n">
        <f aca="false">IFERROR(E2274*Eingaben!$B$15,0)</f>
        <v>1.7442</v>
      </c>
      <c r="G2274" s="13" t="n">
        <f aca="false">IFERROR(IF(Kalender!A78="",0,J2273*(1-Eingaben!$B$20)),0)</f>
        <v>1.561363244</v>
      </c>
      <c r="H2274" s="13" t="n">
        <f aca="false">MIN(G2274,D2274)</f>
        <v>0.89</v>
      </c>
      <c r="I2274" s="13" t="n">
        <f aca="false">IFERROR(MIN(F2274*Eingaben!$B$19,MAX(0,D2274-H2274)),0)</f>
        <v>0</v>
      </c>
      <c r="J2274" s="13" t="n">
        <f aca="false">IFERROR(MIN(Eingaben!$B$18,MAX(0,F2274-I2274)),0)</f>
        <v>1.7442</v>
      </c>
      <c r="K2274" s="13" t="n">
        <f aca="false">H2274+I2274</f>
        <v>0.89</v>
      </c>
      <c r="L2274" s="13" t="n">
        <f aca="false">MAX(0,D2274-K2274)</f>
        <v>0</v>
      </c>
      <c r="M2274" s="13" t="n">
        <f aca="false">MAX(0,F2274-I2274-J2274)</f>
        <v>0</v>
      </c>
      <c r="N2274" s="13" t="n">
        <f aca="false">IF(Kalender!A78="",0,J2273-H2274)</f>
        <v>0.7032278</v>
      </c>
    </row>
    <row r="2275" customFormat="false" ht="16.4" hidden="false" customHeight="false" outlineLevel="0" collapsed="false">
      <c r="A2275" s="13" t="str">
        <f aca="false">""</f>
        <v/>
      </c>
      <c r="B2275" s="13" t="n">
        <f aca="false">75</f>
        <v>75</v>
      </c>
      <c r="C2275" s="13" t="n">
        <f aca="false">IF(Szenarien!$H$17="OK",(IFERROR(SUMIF(Nutzungsprofile!$B$6:$B$11,"Schulbetrieb",Nutzungsprofile!$G$6:$G$11)*Kalender!C79/SUM(Kalender!$C$5:$C$370),0)+IFERROR(SUMIF(Nutzungsprofile!$B$6:$B$11,"Halle",Nutzungsprofile!$G$6:$G$11)*Kalender!D79/SUM(Kalender!$D$5:$D$370),0)+IFERROR(SUMIF(Nutzungsprofile!$B$6:$B$11,"Individuell",Nutzungsprofile!$G$6:$G$11)*Kalender!E79/SUM(Kalender!$E$5:$E$370),0))*Szenarien!$E$17,0)</f>
        <v>2.94</v>
      </c>
      <c r="D2275" s="13" t="n">
        <f aca="false">IF(Szenarien!$H$17="OK",(IFERROR(SUMIF(Nutzungsprofile!$B$17:$B$22,"Schulbetrieb",Nutzungsprofile!$G$17:$G$22)*Kalender!C79/SUM(Kalender!$C$5:$C$370),0)+IFERROR(SUMIF(Nutzungsprofile!$B$17:$B$22,"Halle",Nutzungsprofile!$G$17:$G$22)*Kalender!D79/SUM(Kalender!$D$5:$D$370),0)+IFERROR(SUMIF(Nutzungsprofile!$B$17:$B$22,"Individuell",Nutzungsprofile!$G$17:$G$22)*Kalender!E79/SUM(Kalender!$E$5:$E$370),0))*Szenarien!$D$17,0)</f>
        <v>4.94</v>
      </c>
      <c r="E2275" s="13" t="n">
        <f aca="false">IFERROR(MIN(C2275,Eingaben!$B$17)*Eingaben!$B$16,0)</f>
        <v>2.793</v>
      </c>
      <c r="F2275" s="13" t="n">
        <f aca="false">IFERROR(E2275*Eingaben!$B$15,0)</f>
        <v>2.5137</v>
      </c>
      <c r="G2275" s="13" t="n">
        <f aca="false">IFERROR(IF(Kalender!A79="",0,J2274*(1-Eingaben!$B$20)),0)</f>
        <v>1.709316</v>
      </c>
      <c r="H2275" s="13" t="n">
        <f aca="false">MIN(G2275,D2275)</f>
        <v>1.709316</v>
      </c>
      <c r="I2275" s="13" t="n">
        <f aca="false">IFERROR(MIN(F2275*Eingaben!$B$19,MAX(0,D2275-H2275)),0)</f>
        <v>1.75959</v>
      </c>
      <c r="J2275" s="13" t="n">
        <f aca="false">IFERROR(MIN(Eingaben!$B$18,MAX(0,F2275-I2275)),0)</f>
        <v>0.75411</v>
      </c>
      <c r="K2275" s="13" t="n">
        <f aca="false">H2275+I2275</f>
        <v>3.468906</v>
      </c>
      <c r="L2275" s="13" t="n">
        <f aca="false">MAX(0,D2275-K2275)</f>
        <v>1.471094</v>
      </c>
      <c r="M2275" s="13" t="n">
        <f aca="false">MAX(0,F2275-I2275-J2275)</f>
        <v>0</v>
      </c>
      <c r="N2275" s="13" t="n">
        <f aca="false">IF(Kalender!A79="",0,J2274-H2275)</f>
        <v>0.0348840000000001</v>
      </c>
    </row>
    <row r="2276" customFormat="false" ht="16.4" hidden="false" customHeight="false" outlineLevel="0" collapsed="false">
      <c r="A2276" s="13" t="str">
        <f aca="false">""</f>
        <v/>
      </c>
      <c r="B2276" s="13" t="n">
        <f aca="false">76</f>
        <v>76</v>
      </c>
      <c r="C2276" s="13" t="n">
        <f aca="false">IF(Szenarien!$H$17="OK",(IFERROR(SUMIF(Nutzungsprofile!$B$6:$B$11,"Schulbetrieb",Nutzungsprofile!$G$6:$G$11)*Kalender!C80/SUM(Kalender!$C$5:$C$370),0)+IFERROR(SUMIF(Nutzungsprofile!$B$6:$B$11,"Halle",Nutzungsprofile!$G$6:$G$11)*Kalender!D80/SUM(Kalender!$D$5:$D$370),0)+IFERROR(SUMIF(Nutzungsprofile!$B$6:$B$11,"Individuell",Nutzungsprofile!$G$6:$G$11)*Kalender!E80/SUM(Kalender!$E$5:$E$370),0))*Szenarien!$E$17,0)</f>
        <v>2.94</v>
      </c>
      <c r="D2276" s="13" t="n">
        <f aca="false">IF(Szenarien!$H$17="OK",(IFERROR(SUMIF(Nutzungsprofile!$B$17:$B$22,"Schulbetrieb",Nutzungsprofile!$G$17:$G$22)*Kalender!C80/SUM(Kalender!$C$5:$C$370),0)+IFERROR(SUMIF(Nutzungsprofile!$B$17:$B$22,"Halle",Nutzungsprofile!$G$17:$G$22)*Kalender!D80/SUM(Kalender!$D$5:$D$370),0)+IFERROR(SUMIF(Nutzungsprofile!$B$17:$B$22,"Individuell",Nutzungsprofile!$G$17:$G$22)*Kalender!E80/SUM(Kalender!$E$5:$E$370),0))*Szenarien!$D$17,0)</f>
        <v>4.94</v>
      </c>
      <c r="E2276" s="13" t="n">
        <f aca="false">IFERROR(MIN(C2276,Eingaben!$B$17)*Eingaben!$B$16,0)</f>
        <v>2.793</v>
      </c>
      <c r="F2276" s="13" t="n">
        <f aca="false">IFERROR(E2276*Eingaben!$B$15,0)</f>
        <v>2.5137</v>
      </c>
      <c r="G2276" s="13" t="n">
        <f aca="false">IFERROR(IF(Kalender!A80="",0,J2275*(1-Eingaben!$B$20)),0)</f>
        <v>0.7390278</v>
      </c>
      <c r="H2276" s="13" t="n">
        <f aca="false">MIN(G2276,D2276)</f>
        <v>0.7390278</v>
      </c>
      <c r="I2276" s="13" t="n">
        <f aca="false">IFERROR(MIN(F2276*Eingaben!$B$19,MAX(0,D2276-H2276)),0)</f>
        <v>1.75959</v>
      </c>
      <c r="J2276" s="13" t="n">
        <f aca="false">IFERROR(MIN(Eingaben!$B$18,MAX(0,F2276-I2276)),0)</f>
        <v>0.75411</v>
      </c>
      <c r="K2276" s="13" t="n">
        <f aca="false">H2276+I2276</f>
        <v>2.4986178</v>
      </c>
      <c r="L2276" s="13" t="n">
        <f aca="false">MAX(0,D2276-K2276)</f>
        <v>2.4413822</v>
      </c>
      <c r="M2276" s="13" t="n">
        <f aca="false">MAX(0,F2276-I2276-J2276)</f>
        <v>0</v>
      </c>
      <c r="N2276" s="13" t="n">
        <f aca="false">IF(Kalender!A80="",0,J2275-H2276)</f>
        <v>0.0150822</v>
      </c>
    </row>
    <row r="2277" customFormat="false" ht="16.4" hidden="false" customHeight="false" outlineLevel="0" collapsed="false">
      <c r="A2277" s="13" t="str">
        <f aca="false">""</f>
        <v/>
      </c>
      <c r="B2277" s="13" t="n">
        <f aca="false">77</f>
        <v>77</v>
      </c>
      <c r="C2277" s="13" t="n">
        <f aca="false">IF(Szenarien!$H$17="OK",(IFERROR(SUMIF(Nutzungsprofile!$B$6:$B$11,"Schulbetrieb",Nutzungsprofile!$G$6:$G$11)*Kalender!C81/SUM(Kalender!$C$5:$C$370),0)+IFERROR(SUMIF(Nutzungsprofile!$B$6:$B$11,"Halle",Nutzungsprofile!$G$6:$G$11)*Kalender!D81/SUM(Kalender!$D$5:$D$370),0)+IFERROR(SUMIF(Nutzungsprofile!$B$6:$B$11,"Individuell",Nutzungsprofile!$G$6:$G$11)*Kalender!E81/SUM(Kalender!$E$5:$E$370),0))*Szenarien!$E$17,0)</f>
        <v>2.94</v>
      </c>
      <c r="D2277" s="13" t="n">
        <f aca="false">IF(Szenarien!$H$17="OK",(IFERROR(SUMIF(Nutzungsprofile!$B$17:$B$22,"Schulbetrieb",Nutzungsprofile!$G$17:$G$22)*Kalender!C81/SUM(Kalender!$C$5:$C$370),0)+IFERROR(SUMIF(Nutzungsprofile!$B$17:$B$22,"Halle",Nutzungsprofile!$G$17:$G$22)*Kalender!D81/SUM(Kalender!$D$5:$D$370),0)+IFERROR(SUMIF(Nutzungsprofile!$B$17:$B$22,"Individuell",Nutzungsprofile!$G$17:$G$22)*Kalender!E81/SUM(Kalender!$E$5:$E$370),0))*Szenarien!$D$17,0)</f>
        <v>4.94</v>
      </c>
      <c r="E2277" s="13" t="n">
        <f aca="false">IFERROR(MIN(C2277,Eingaben!$B$17)*Eingaben!$B$16,0)</f>
        <v>2.793</v>
      </c>
      <c r="F2277" s="13" t="n">
        <f aca="false">IFERROR(E2277*Eingaben!$B$15,0)</f>
        <v>2.5137</v>
      </c>
      <c r="G2277" s="13" t="n">
        <f aca="false">IFERROR(IF(Kalender!A81="",0,J2276*(1-Eingaben!$B$20)),0)</f>
        <v>0.7390278</v>
      </c>
      <c r="H2277" s="13" t="n">
        <f aca="false">MIN(G2277,D2277)</f>
        <v>0.7390278</v>
      </c>
      <c r="I2277" s="13" t="n">
        <f aca="false">IFERROR(MIN(F2277*Eingaben!$B$19,MAX(0,D2277-H2277)),0)</f>
        <v>1.75959</v>
      </c>
      <c r="J2277" s="13" t="n">
        <f aca="false">IFERROR(MIN(Eingaben!$B$18,MAX(0,F2277-I2277)),0)</f>
        <v>0.75411</v>
      </c>
      <c r="K2277" s="13" t="n">
        <f aca="false">H2277+I2277</f>
        <v>2.4986178</v>
      </c>
      <c r="L2277" s="13" t="n">
        <f aca="false">MAX(0,D2277-K2277)</f>
        <v>2.4413822</v>
      </c>
      <c r="M2277" s="13" t="n">
        <f aca="false">MAX(0,F2277-I2277-J2277)</f>
        <v>0</v>
      </c>
      <c r="N2277" s="13" t="n">
        <f aca="false">IF(Kalender!A81="",0,J2276-H2277)</f>
        <v>0.0150822</v>
      </c>
    </row>
    <row r="2278" customFormat="false" ht="16.4" hidden="false" customHeight="false" outlineLevel="0" collapsed="false">
      <c r="A2278" s="13" t="str">
        <f aca="false">""</f>
        <v/>
      </c>
      <c r="B2278" s="13" t="n">
        <f aca="false">78</f>
        <v>78</v>
      </c>
      <c r="C2278" s="13" t="n">
        <f aca="false">IF(Szenarien!$H$17="OK",(IFERROR(SUMIF(Nutzungsprofile!$B$6:$B$11,"Schulbetrieb",Nutzungsprofile!$G$6:$G$11)*Kalender!C82/SUM(Kalender!$C$5:$C$370),0)+IFERROR(SUMIF(Nutzungsprofile!$B$6:$B$11,"Halle",Nutzungsprofile!$G$6:$G$11)*Kalender!D82/SUM(Kalender!$D$5:$D$370),0)+IFERROR(SUMIF(Nutzungsprofile!$B$6:$B$11,"Individuell",Nutzungsprofile!$G$6:$G$11)*Kalender!E82/SUM(Kalender!$E$5:$E$370),0))*Szenarien!$E$17,0)</f>
        <v>2.94</v>
      </c>
      <c r="D2278" s="13" t="n">
        <f aca="false">IF(Szenarien!$H$17="OK",(IFERROR(SUMIF(Nutzungsprofile!$B$17:$B$22,"Schulbetrieb",Nutzungsprofile!$G$17:$G$22)*Kalender!C82/SUM(Kalender!$C$5:$C$370),0)+IFERROR(SUMIF(Nutzungsprofile!$B$17:$B$22,"Halle",Nutzungsprofile!$G$17:$G$22)*Kalender!D82/SUM(Kalender!$D$5:$D$370),0)+IFERROR(SUMIF(Nutzungsprofile!$B$17:$B$22,"Individuell",Nutzungsprofile!$G$17:$G$22)*Kalender!E82/SUM(Kalender!$E$5:$E$370),0))*Szenarien!$D$17,0)</f>
        <v>4.94</v>
      </c>
      <c r="E2278" s="13" t="n">
        <f aca="false">IFERROR(MIN(C2278,Eingaben!$B$17)*Eingaben!$B$16,0)</f>
        <v>2.793</v>
      </c>
      <c r="F2278" s="13" t="n">
        <f aca="false">IFERROR(E2278*Eingaben!$B$15,0)</f>
        <v>2.5137</v>
      </c>
      <c r="G2278" s="13" t="n">
        <f aca="false">IFERROR(IF(Kalender!A82="",0,J2277*(1-Eingaben!$B$20)),0)</f>
        <v>0.7390278</v>
      </c>
      <c r="H2278" s="13" t="n">
        <f aca="false">MIN(G2278,D2278)</f>
        <v>0.7390278</v>
      </c>
      <c r="I2278" s="13" t="n">
        <f aca="false">IFERROR(MIN(F2278*Eingaben!$B$19,MAX(0,D2278-H2278)),0)</f>
        <v>1.75959</v>
      </c>
      <c r="J2278" s="13" t="n">
        <f aca="false">IFERROR(MIN(Eingaben!$B$18,MAX(0,F2278-I2278)),0)</f>
        <v>0.75411</v>
      </c>
      <c r="K2278" s="13" t="n">
        <f aca="false">H2278+I2278</f>
        <v>2.4986178</v>
      </c>
      <c r="L2278" s="13" t="n">
        <f aca="false">MAX(0,D2278-K2278)</f>
        <v>2.4413822</v>
      </c>
      <c r="M2278" s="13" t="n">
        <f aca="false">MAX(0,F2278-I2278-J2278)</f>
        <v>0</v>
      </c>
      <c r="N2278" s="13" t="n">
        <f aca="false">IF(Kalender!A82="",0,J2277-H2278)</f>
        <v>0.0150822</v>
      </c>
    </row>
    <row r="2279" customFormat="false" ht="16.4" hidden="false" customHeight="false" outlineLevel="0" collapsed="false">
      <c r="A2279" s="13" t="str">
        <f aca="false">""</f>
        <v/>
      </c>
      <c r="B2279" s="13" t="n">
        <f aca="false">79</f>
        <v>79</v>
      </c>
      <c r="C2279" s="13" t="n">
        <f aca="false">IF(Szenarien!$H$17="OK",(IFERROR(SUMIF(Nutzungsprofile!$B$6:$B$11,"Schulbetrieb",Nutzungsprofile!$G$6:$G$11)*Kalender!C83/SUM(Kalender!$C$5:$C$370),0)+IFERROR(SUMIF(Nutzungsprofile!$B$6:$B$11,"Halle",Nutzungsprofile!$G$6:$G$11)*Kalender!D83/SUM(Kalender!$D$5:$D$370),0)+IFERROR(SUMIF(Nutzungsprofile!$B$6:$B$11,"Individuell",Nutzungsprofile!$G$6:$G$11)*Kalender!E83/SUM(Kalender!$E$5:$E$370),0))*Szenarien!$E$17,0)</f>
        <v>2.94</v>
      </c>
      <c r="D2279" s="13" t="n">
        <f aca="false">IF(Szenarien!$H$17="OK",(IFERROR(SUMIF(Nutzungsprofile!$B$17:$B$22,"Schulbetrieb",Nutzungsprofile!$G$17:$G$22)*Kalender!C83/SUM(Kalender!$C$5:$C$370),0)+IFERROR(SUMIF(Nutzungsprofile!$B$17:$B$22,"Halle",Nutzungsprofile!$G$17:$G$22)*Kalender!D83/SUM(Kalender!$D$5:$D$370),0)+IFERROR(SUMIF(Nutzungsprofile!$B$17:$B$22,"Individuell",Nutzungsprofile!$G$17:$G$22)*Kalender!E83/SUM(Kalender!$E$5:$E$370),0))*Szenarien!$D$17,0)</f>
        <v>4.94</v>
      </c>
      <c r="E2279" s="13" t="n">
        <f aca="false">IFERROR(MIN(C2279,Eingaben!$B$17)*Eingaben!$B$16,0)</f>
        <v>2.793</v>
      </c>
      <c r="F2279" s="13" t="n">
        <f aca="false">IFERROR(E2279*Eingaben!$B$15,0)</f>
        <v>2.5137</v>
      </c>
      <c r="G2279" s="13" t="n">
        <f aca="false">IFERROR(IF(Kalender!A83="",0,J2278*(1-Eingaben!$B$20)),0)</f>
        <v>0.7390278</v>
      </c>
      <c r="H2279" s="13" t="n">
        <f aca="false">MIN(G2279,D2279)</f>
        <v>0.7390278</v>
      </c>
      <c r="I2279" s="13" t="n">
        <f aca="false">IFERROR(MIN(F2279*Eingaben!$B$19,MAX(0,D2279-H2279)),0)</f>
        <v>1.75959</v>
      </c>
      <c r="J2279" s="13" t="n">
        <f aca="false">IFERROR(MIN(Eingaben!$B$18,MAX(0,F2279-I2279)),0)</f>
        <v>0.75411</v>
      </c>
      <c r="K2279" s="13" t="n">
        <f aca="false">H2279+I2279</f>
        <v>2.4986178</v>
      </c>
      <c r="L2279" s="13" t="n">
        <f aca="false">MAX(0,D2279-K2279)</f>
        <v>2.4413822</v>
      </c>
      <c r="M2279" s="13" t="n">
        <f aca="false">MAX(0,F2279-I2279-J2279)</f>
        <v>0</v>
      </c>
      <c r="N2279" s="13" t="n">
        <f aca="false">IF(Kalender!A83="",0,J2278-H2279)</f>
        <v>0.0150822</v>
      </c>
    </row>
    <row r="2280" customFormat="false" ht="16.4" hidden="false" customHeight="false" outlineLevel="0" collapsed="false">
      <c r="A2280" s="13" t="str">
        <f aca="false">""</f>
        <v/>
      </c>
      <c r="B2280" s="13" t="n">
        <f aca="false">80</f>
        <v>80</v>
      </c>
      <c r="C2280" s="13" t="n">
        <f aca="false">IF(Szenarien!$H$17="OK",(IFERROR(SUMIF(Nutzungsprofile!$B$6:$B$11,"Schulbetrieb",Nutzungsprofile!$G$6:$G$11)*Kalender!C84/SUM(Kalender!$C$5:$C$370),0)+IFERROR(SUMIF(Nutzungsprofile!$B$6:$B$11,"Halle",Nutzungsprofile!$G$6:$G$11)*Kalender!D84/SUM(Kalender!$D$5:$D$370),0)+IFERROR(SUMIF(Nutzungsprofile!$B$6:$B$11,"Individuell",Nutzungsprofile!$G$6:$G$11)*Kalender!E84/SUM(Kalender!$E$5:$E$370),0))*Szenarien!$E$17,0)</f>
        <v>2.04</v>
      </c>
      <c r="D2280" s="13" t="n">
        <f aca="false">IF(Szenarien!$H$17="OK",(IFERROR(SUMIF(Nutzungsprofile!$B$17:$B$22,"Schulbetrieb",Nutzungsprofile!$G$17:$G$22)*Kalender!C84/SUM(Kalender!$C$5:$C$370),0)+IFERROR(SUMIF(Nutzungsprofile!$B$17:$B$22,"Halle",Nutzungsprofile!$G$17:$G$22)*Kalender!D84/SUM(Kalender!$D$5:$D$370),0)+IFERROR(SUMIF(Nutzungsprofile!$B$17:$B$22,"Individuell",Nutzungsprofile!$G$17:$G$22)*Kalender!E84/SUM(Kalender!$E$5:$E$370),0))*Szenarien!$D$17,0)</f>
        <v>0.89</v>
      </c>
      <c r="E2280" s="13" t="n">
        <f aca="false">IFERROR(MIN(C2280,Eingaben!$B$17)*Eingaben!$B$16,0)</f>
        <v>1.938</v>
      </c>
      <c r="F2280" s="13" t="n">
        <f aca="false">IFERROR(E2280*Eingaben!$B$15,0)</f>
        <v>1.7442</v>
      </c>
      <c r="G2280" s="13" t="n">
        <f aca="false">IFERROR(IF(Kalender!A84="",0,J2279*(1-Eingaben!$B$20)),0)</f>
        <v>0.7390278</v>
      </c>
      <c r="H2280" s="13" t="n">
        <f aca="false">MIN(G2280,D2280)</f>
        <v>0.7390278</v>
      </c>
      <c r="I2280" s="13" t="n">
        <f aca="false">IFERROR(MIN(F2280*Eingaben!$B$19,MAX(0,D2280-H2280)),0)</f>
        <v>0.1509722</v>
      </c>
      <c r="J2280" s="13" t="n">
        <f aca="false">IFERROR(MIN(Eingaben!$B$18,MAX(0,F2280-I2280)),0)</f>
        <v>1.5932278</v>
      </c>
      <c r="K2280" s="13" t="n">
        <f aca="false">H2280+I2280</f>
        <v>0.89</v>
      </c>
      <c r="L2280" s="13" t="n">
        <f aca="false">MAX(0,D2280-K2280)</f>
        <v>0</v>
      </c>
      <c r="M2280" s="13" t="n">
        <f aca="false">MAX(0,F2280-I2280-J2280)</f>
        <v>0</v>
      </c>
      <c r="N2280" s="13" t="n">
        <f aca="false">IF(Kalender!A84="",0,J2279-H2280)</f>
        <v>0.0150822</v>
      </c>
    </row>
    <row r="2281" customFormat="false" ht="16.4" hidden="false" customHeight="false" outlineLevel="0" collapsed="false">
      <c r="A2281" s="13" t="str">
        <f aca="false">""</f>
        <v/>
      </c>
      <c r="B2281" s="13" t="n">
        <f aca="false">81</f>
        <v>81</v>
      </c>
      <c r="C2281" s="13" t="n">
        <f aca="false">IF(Szenarien!$H$17="OK",(IFERROR(SUMIF(Nutzungsprofile!$B$6:$B$11,"Schulbetrieb",Nutzungsprofile!$G$6:$G$11)*Kalender!C85/SUM(Kalender!$C$5:$C$370),0)+IFERROR(SUMIF(Nutzungsprofile!$B$6:$B$11,"Halle",Nutzungsprofile!$G$6:$G$11)*Kalender!D85/SUM(Kalender!$D$5:$D$370),0)+IFERROR(SUMIF(Nutzungsprofile!$B$6:$B$11,"Individuell",Nutzungsprofile!$G$6:$G$11)*Kalender!E85/SUM(Kalender!$E$5:$E$370),0))*Szenarien!$E$17,0)</f>
        <v>2.04</v>
      </c>
      <c r="D2281" s="13" t="n">
        <f aca="false">IF(Szenarien!$H$17="OK",(IFERROR(SUMIF(Nutzungsprofile!$B$17:$B$22,"Schulbetrieb",Nutzungsprofile!$G$17:$G$22)*Kalender!C85/SUM(Kalender!$C$5:$C$370),0)+IFERROR(SUMIF(Nutzungsprofile!$B$17:$B$22,"Halle",Nutzungsprofile!$G$17:$G$22)*Kalender!D85/SUM(Kalender!$D$5:$D$370),0)+IFERROR(SUMIF(Nutzungsprofile!$B$17:$B$22,"Individuell",Nutzungsprofile!$G$17:$G$22)*Kalender!E85/SUM(Kalender!$E$5:$E$370),0))*Szenarien!$D$17,0)</f>
        <v>0.89</v>
      </c>
      <c r="E2281" s="13" t="n">
        <f aca="false">IFERROR(MIN(C2281,Eingaben!$B$17)*Eingaben!$B$16,0)</f>
        <v>1.938</v>
      </c>
      <c r="F2281" s="13" t="n">
        <f aca="false">IFERROR(E2281*Eingaben!$B$15,0)</f>
        <v>1.7442</v>
      </c>
      <c r="G2281" s="13" t="n">
        <f aca="false">IFERROR(IF(Kalender!A85="",0,J2280*(1-Eingaben!$B$20)),0)</f>
        <v>1.561363244</v>
      </c>
      <c r="H2281" s="13" t="n">
        <f aca="false">MIN(G2281,D2281)</f>
        <v>0.89</v>
      </c>
      <c r="I2281" s="13" t="n">
        <f aca="false">IFERROR(MIN(F2281*Eingaben!$B$19,MAX(0,D2281-H2281)),0)</f>
        <v>0</v>
      </c>
      <c r="J2281" s="13" t="n">
        <f aca="false">IFERROR(MIN(Eingaben!$B$18,MAX(0,F2281-I2281)),0)</f>
        <v>1.7442</v>
      </c>
      <c r="K2281" s="13" t="n">
        <f aca="false">H2281+I2281</f>
        <v>0.89</v>
      </c>
      <c r="L2281" s="13" t="n">
        <f aca="false">MAX(0,D2281-K2281)</f>
        <v>0</v>
      </c>
      <c r="M2281" s="13" t="n">
        <f aca="false">MAX(0,F2281-I2281-J2281)</f>
        <v>0</v>
      </c>
      <c r="N2281" s="13" t="n">
        <f aca="false">IF(Kalender!A85="",0,J2280-H2281)</f>
        <v>0.7032278</v>
      </c>
    </row>
    <row r="2282" customFormat="false" ht="16.4" hidden="false" customHeight="false" outlineLevel="0" collapsed="false">
      <c r="A2282" s="13" t="str">
        <f aca="false">""</f>
        <v/>
      </c>
      <c r="B2282" s="13" t="n">
        <f aca="false">82</f>
        <v>82</v>
      </c>
      <c r="C2282" s="13" t="n">
        <f aca="false">IF(Szenarien!$H$17="OK",(IFERROR(SUMIF(Nutzungsprofile!$B$6:$B$11,"Schulbetrieb",Nutzungsprofile!$G$6:$G$11)*Kalender!C86/SUM(Kalender!$C$5:$C$370),0)+IFERROR(SUMIF(Nutzungsprofile!$B$6:$B$11,"Halle",Nutzungsprofile!$G$6:$G$11)*Kalender!D86/SUM(Kalender!$D$5:$D$370),0)+IFERROR(SUMIF(Nutzungsprofile!$B$6:$B$11,"Individuell",Nutzungsprofile!$G$6:$G$11)*Kalender!E86/SUM(Kalender!$E$5:$E$370),0))*Szenarien!$E$17,0)</f>
        <v>2.94</v>
      </c>
      <c r="D2282" s="13" t="n">
        <f aca="false">IF(Szenarien!$H$17="OK",(IFERROR(SUMIF(Nutzungsprofile!$B$17:$B$22,"Schulbetrieb",Nutzungsprofile!$G$17:$G$22)*Kalender!C86/SUM(Kalender!$C$5:$C$370),0)+IFERROR(SUMIF(Nutzungsprofile!$B$17:$B$22,"Halle",Nutzungsprofile!$G$17:$G$22)*Kalender!D86/SUM(Kalender!$D$5:$D$370),0)+IFERROR(SUMIF(Nutzungsprofile!$B$17:$B$22,"Individuell",Nutzungsprofile!$G$17:$G$22)*Kalender!E86/SUM(Kalender!$E$5:$E$370),0))*Szenarien!$D$17,0)</f>
        <v>4.94</v>
      </c>
      <c r="E2282" s="13" t="n">
        <f aca="false">IFERROR(MIN(C2282,Eingaben!$B$17)*Eingaben!$B$16,0)</f>
        <v>2.793</v>
      </c>
      <c r="F2282" s="13" t="n">
        <f aca="false">IFERROR(E2282*Eingaben!$B$15,0)</f>
        <v>2.5137</v>
      </c>
      <c r="G2282" s="13" t="n">
        <f aca="false">IFERROR(IF(Kalender!A86="",0,J2281*(1-Eingaben!$B$20)),0)</f>
        <v>1.709316</v>
      </c>
      <c r="H2282" s="13" t="n">
        <f aca="false">MIN(G2282,D2282)</f>
        <v>1.709316</v>
      </c>
      <c r="I2282" s="13" t="n">
        <f aca="false">IFERROR(MIN(F2282*Eingaben!$B$19,MAX(0,D2282-H2282)),0)</f>
        <v>1.75959</v>
      </c>
      <c r="J2282" s="13" t="n">
        <f aca="false">IFERROR(MIN(Eingaben!$B$18,MAX(0,F2282-I2282)),0)</f>
        <v>0.75411</v>
      </c>
      <c r="K2282" s="13" t="n">
        <f aca="false">H2282+I2282</f>
        <v>3.468906</v>
      </c>
      <c r="L2282" s="13" t="n">
        <f aca="false">MAX(0,D2282-K2282)</f>
        <v>1.471094</v>
      </c>
      <c r="M2282" s="13" t="n">
        <f aca="false">MAX(0,F2282-I2282-J2282)</f>
        <v>0</v>
      </c>
      <c r="N2282" s="13" t="n">
        <f aca="false">IF(Kalender!A86="",0,J2281-H2282)</f>
        <v>0.0348840000000001</v>
      </c>
    </row>
    <row r="2283" customFormat="false" ht="16.4" hidden="false" customHeight="false" outlineLevel="0" collapsed="false">
      <c r="A2283" s="13" t="str">
        <f aca="false">""</f>
        <v/>
      </c>
      <c r="B2283" s="13" t="n">
        <f aca="false">83</f>
        <v>83</v>
      </c>
      <c r="C2283" s="13" t="n">
        <f aca="false">IF(Szenarien!$H$17="OK",(IFERROR(SUMIF(Nutzungsprofile!$B$6:$B$11,"Schulbetrieb",Nutzungsprofile!$G$6:$G$11)*Kalender!C87/SUM(Kalender!$C$5:$C$370),0)+IFERROR(SUMIF(Nutzungsprofile!$B$6:$B$11,"Halle",Nutzungsprofile!$G$6:$G$11)*Kalender!D87/SUM(Kalender!$D$5:$D$370),0)+IFERROR(SUMIF(Nutzungsprofile!$B$6:$B$11,"Individuell",Nutzungsprofile!$G$6:$G$11)*Kalender!E87/SUM(Kalender!$E$5:$E$370),0))*Szenarien!$E$17,0)</f>
        <v>2.94</v>
      </c>
      <c r="D2283" s="13" t="n">
        <f aca="false">IF(Szenarien!$H$17="OK",(IFERROR(SUMIF(Nutzungsprofile!$B$17:$B$22,"Schulbetrieb",Nutzungsprofile!$G$17:$G$22)*Kalender!C87/SUM(Kalender!$C$5:$C$370),0)+IFERROR(SUMIF(Nutzungsprofile!$B$17:$B$22,"Halle",Nutzungsprofile!$G$17:$G$22)*Kalender!D87/SUM(Kalender!$D$5:$D$370),0)+IFERROR(SUMIF(Nutzungsprofile!$B$17:$B$22,"Individuell",Nutzungsprofile!$G$17:$G$22)*Kalender!E87/SUM(Kalender!$E$5:$E$370),0))*Szenarien!$D$17,0)</f>
        <v>4.94</v>
      </c>
      <c r="E2283" s="13" t="n">
        <f aca="false">IFERROR(MIN(C2283,Eingaben!$B$17)*Eingaben!$B$16,0)</f>
        <v>2.793</v>
      </c>
      <c r="F2283" s="13" t="n">
        <f aca="false">IFERROR(E2283*Eingaben!$B$15,0)</f>
        <v>2.5137</v>
      </c>
      <c r="G2283" s="13" t="n">
        <f aca="false">IFERROR(IF(Kalender!A87="",0,J2282*(1-Eingaben!$B$20)),0)</f>
        <v>0.7390278</v>
      </c>
      <c r="H2283" s="13" t="n">
        <f aca="false">MIN(G2283,D2283)</f>
        <v>0.7390278</v>
      </c>
      <c r="I2283" s="13" t="n">
        <f aca="false">IFERROR(MIN(F2283*Eingaben!$B$19,MAX(0,D2283-H2283)),0)</f>
        <v>1.75959</v>
      </c>
      <c r="J2283" s="13" t="n">
        <f aca="false">IFERROR(MIN(Eingaben!$B$18,MAX(0,F2283-I2283)),0)</f>
        <v>0.75411</v>
      </c>
      <c r="K2283" s="13" t="n">
        <f aca="false">H2283+I2283</f>
        <v>2.4986178</v>
      </c>
      <c r="L2283" s="13" t="n">
        <f aca="false">MAX(0,D2283-K2283)</f>
        <v>2.4413822</v>
      </c>
      <c r="M2283" s="13" t="n">
        <f aca="false">MAX(0,F2283-I2283-J2283)</f>
        <v>0</v>
      </c>
      <c r="N2283" s="13" t="n">
        <f aca="false">IF(Kalender!A87="",0,J2282-H2283)</f>
        <v>0.0150822</v>
      </c>
    </row>
    <row r="2284" customFormat="false" ht="16.4" hidden="false" customHeight="false" outlineLevel="0" collapsed="false">
      <c r="A2284" s="13" t="str">
        <f aca="false">""</f>
        <v/>
      </c>
      <c r="B2284" s="13" t="n">
        <f aca="false">84</f>
        <v>84</v>
      </c>
      <c r="C2284" s="13" t="n">
        <f aca="false">IF(Szenarien!$H$17="OK",(IFERROR(SUMIF(Nutzungsprofile!$B$6:$B$11,"Schulbetrieb",Nutzungsprofile!$G$6:$G$11)*Kalender!C88/SUM(Kalender!$C$5:$C$370),0)+IFERROR(SUMIF(Nutzungsprofile!$B$6:$B$11,"Halle",Nutzungsprofile!$G$6:$G$11)*Kalender!D88/SUM(Kalender!$D$5:$D$370),0)+IFERROR(SUMIF(Nutzungsprofile!$B$6:$B$11,"Individuell",Nutzungsprofile!$G$6:$G$11)*Kalender!E88/SUM(Kalender!$E$5:$E$370),0))*Szenarien!$E$17,0)</f>
        <v>2.94</v>
      </c>
      <c r="D2284" s="13" t="n">
        <f aca="false">IF(Szenarien!$H$17="OK",(IFERROR(SUMIF(Nutzungsprofile!$B$17:$B$22,"Schulbetrieb",Nutzungsprofile!$G$17:$G$22)*Kalender!C88/SUM(Kalender!$C$5:$C$370),0)+IFERROR(SUMIF(Nutzungsprofile!$B$17:$B$22,"Halle",Nutzungsprofile!$G$17:$G$22)*Kalender!D88/SUM(Kalender!$D$5:$D$370),0)+IFERROR(SUMIF(Nutzungsprofile!$B$17:$B$22,"Individuell",Nutzungsprofile!$G$17:$G$22)*Kalender!E88/SUM(Kalender!$E$5:$E$370),0))*Szenarien!$D$17,0)</f>
        <v>4.94</v>
      </c>
      <c r="E2284" s="13" t="n">
        <f aca="false">IFERROR(MIN(C2284,Eingaben!$B$17)*Eingaben!$B$16,0)</f>
        <v>2.793</v>
      </c>
      <c r="F2284" s="13" t="n">
        <f aca="false">IFERROR(E2284*Eingaben!$B$15,0)</f>
        <v>2.5137</v>
      </c>
      <c r="G2284" s="13" t="n">
        <f aca="false">IFERROR(IF(Kalender!A88="",0,J2283*(1-Eingaben!$B$20)),0)</f>
        <v>0.7390278</v>
      </c>
      <c r="H2284" s="13" t="n">
        <f aca="false">MIN(G2284,D2284)</f>
        <v>0.7390278</v>
      </c>
      <c r="I2284" s="13" t="n">
        <f aca="false">IFERROR(MIN(F2284*Eingaben!$B$19,MAX(0,D2284-H2284)),0)</f>
        <v>1.75959</v>
      </c>
      <c r="J2284" s="13" t="n">
        <f aca="false">IFERROR(MIN(Eingaben!$B$18,MAX(0,F2284-I2284)),0)</f>
        <v>0.75411</v>
      </c>
      <c r="K2284" s="13" t="n">
        <f aca="false">H2284+I2284</f>
        <v>2.4986178</v>
      </c>
      <c r="L2284" s="13" t="n">
        <f aca="false">MAX(0,D2284-K2284)</f>
        <v>2.4413822</v>
      </c>
      <c r="M2284" s="13" t="n">
        <f aca="false">MAX(0,F2284-I2284-J2284)</f>
        <v>0</v>
      </c>
      <c r="N2284" s="13" t="n">
        <f aca="false">IF(Kalender!A88="",0,J2283-H2284)</f>
        <v>0.0150822</v>
      </c>
    </row>
    <row r="2285" customFormat="false" ht="16.4" hidden="false" customHeight="false" outlineLevel="0" collapsed="false">
      <c r="A2285" s="13" t="str">
        <f aca="false">""</f>
        <v/>
      </c>
      <c r="B2285" s="13" t="n">
        <f aca="false">85</f>
        <v>85</v>
      </c>
      <c r="C2285" s="13" t="n">
        <f aca="false">IF(Szenarien!$H$17="OK",(IFERROR(SUMIF(Nutzungsprofile!$B$6:$B$11,"Schulbetrieb",Nutzungsprofile!$G$6:$G$11)*Kalender!C89/SUM(Kalender!$C$5:$C$370),0)+IFERROR(SUMIF(Nutzungsprofile!$B$6:$B$11,"Halle",Nutzungsprofile!$G$6:$G$11)*Kalender!D89/SUM(Kalender!$D$5:$D$370),0)+IFERROR(SUMIF(Nutzungsprofile!$B$6:$B$11,"Individuell",Nutzungsprofile!$G$6:$G$11)*Kalender!E89/SUM(Kalender!$E$5:$E$370),0))*Szenarien!$E$17,0)</f>
        <v>2.94</v>
      </c>
      <c r="D2285" s="13" t="n">
        <f aca="false">IF(Szenarien!$H$17="OK",(IFERROR(SUMIF(Nutzungsprofile!$B$17:$B$22,"Schulbetrieb",Nutzungsprofile!$G$17:$G$22)*Kalender!C89/SUM(Kalender!$C$5:$C$370),0)+IFERROR(SUMIF(Nutzungsprofile!$B$17:$B$22,"Halle",Nutzungsprofile!$G$17:$G$22)*Kalender!D89/SUM(Kalender!$D$5:$D$370),0)+IFERROR(SUMIF(Nutzungsprofile!$B$17:$B$22,"Individuell",Nutzungsprofile!$G$17:$G$22)*Kalender!E89/SUM(Kalender!$E$5:$E$370),0))*Szenarien!$D$17,0)</f>
        <v>4.94</v>
      </c>
      <c r="E2285" s="13" t="n">
        <f aca="false">IFERROR(MIN(C2285,Eingaben!$B$17)*Eingaben!$B$16,0)</f>
        <v>2.793</v>
      </c>
      <c r="F2285" s="13" t="n">
        <f aca="false">IFERROR(E2285*Eingaben!$B$15,0)</f>
        <v>2.5137</v>
      </c>
      <c r="G2285" s="13" t="n">
        <f aca="false">IFERROR(IF(Kalender!A89="",0,J2284*(1-Eingaben!$B$20)),0)</f>
        <v>0.7390278</v>
      </c>
      <c r="H2285" s="13" t="n">
        <f aca="false">MIN(G2285,D2285)</f>
        <v>0.7390278</v>
      </c>
      <c r="I2285" s="13" t="n">
        <f aca="false">IFERROR(MIN(F2285*Eingaben!$B$19,MAX(0,D2285-H2285)),0)</f>
        <v>1.75959</v>
      </c>
      <c r="J2285" s="13" t="n">
        <f aca="false">IFERROR(MIN(Eingaben!$B$18,MAX(0,F2285-I2285)),0)</f>
        <v>0.75411</v>
      </c>
      <c r="K2285" s="13" t="n">
        <f aca="false">H2285+I2285</f>
        <v>2.4986178</v>
      </c>
      <c r="L2285" s="13" t="n">
        <f aca="false">MAX(0,D2285-K2285)</f>
        <v>2.4413822</v>
      </c>
      <c r="M2285" s="13" t="n">
        <f aca="false">MAX(0,F2285-I2285-J2285)</f>
        <v>0</v>
      </c>
      <c r="N2285" s="13" t="n">
        <f aca="false">IF(Kalender!A89="",0,J2284-H2285)</f>
        <v>0.0150822</v>
      </c>
    </row>
    <row r="2286" customFormat="false" ht="16.4" hidden="false" customHeight="false" outlineLevel="0" collapsed="false">
      <c r="A2286" s="13" t="str">
        <f aca="false">""</f>
        <v/>
      </c>
      <c r="B2286" s="13" t="n">
        <f aca="false">86</f>
        <v>86</v>
      </c>
      <c r="C2286" s="13" t="n">
        <f aca="false">IF(Szenarien!$H$17="OK",(IFERROR(SUMIF(Nutzungsprofile!$B$6:$B$11,"Schulbetrieb",Nutzungsprofile!$G$6:$G$11)*Kalender!C90/SUM(Kalender!$C$5:$C$370),0)+IFERROR(SUMIF(Nutzungsprofile!$B$6:$B$11,"Halle",Nutzungsprofile!$G$6:$G$11)*Kalender!D90/SUM(Kalender!$D$5:$D$370),0)+IFERROR(SUMIF(Nutzungsprofile!$B$6:$B$11,"Individuell",Nutzungsprofile!$G$6:$G$11)*Kalender!E90/SUM(Kalender!$E$5:$E$370),0))*Szenarien!$E$17,0)</f>
        <v>2.94</v>
      </c>
      <c r="D2286" s="13" t="n">
        <f aca="false">IF(Szenarien!$H$17="OK",(IFERROR(SUMIF(Nutzungsprofile!$B$17:$B$22,"Schulbetrieb",Nutzungsprofile!$G$17:$G$22)*Kalender!C90/SUM(Kalender!$C$5:$C$370),0)+IFERROR(SUMIF(Nutzungsprofile!$B$17:$B$22,"Halle",Nutzungsprofile!$G$17:$G$22)*Kalender!D90/SUM(Kalender!$D$5:$D$370),0)+IFERROR(SUMIF(Nutzungsprofile!$B$17:$B$22,"Individuell",Nutzungsprofile!$G$17:$G$22)*Kalender!E90/SUM(Kalender!$E$5:$E$370),0))*Szenarien!$D$17,0)</f>
        <v>4.94</v>
      </c>
      <c r="E2286" s="13" t="n">
        <f aca="false">IFERROR(MIN(C2286,Eingaben!$B$17)*Eingaben!$B$16,0)</f>
        <v>2.793</v>
      </c>
      <c r="F2286" s="13" t="n">
        <f aca="false">IFERROR(E2286*Eingaben!$B$15,0)</f>
        <v>2.5137</v>
      </c>
      <c r="G2286" s="13" t="n">
        <f aca="false">IFERROR(IF(Kalender!A90="",0,J2285*(1-Eingaben!$B$20)),0)</f>
        <v>0.7390278</v>
      </c>
      <c r="H2286" s="13" t="n">
        <f aca="false">MIN(G2286,D2286)</f>
        <v>0.7390278</v>
      </c>
      <c r="I2286" s="13" t="n">
        <f aca="false">IFERROR(MIN(F2286*Eingaben!$B$19,MAX(0,D2286-H2286)),0)</f>
        <v>1.75959</v>
      </c>
      <c r="J2286" s="13" t="n">
        <f aca="false">IFERROR(MIN(Eingaben!$B$18,MAX(0,F2286-I2286)),0)</f>
        <v>0.75411</v>
      </c>
      <c r="K2286" s="13" t="n">
        <f aca="false">H2286+I2286</f>
        <v>2.4986178</v>
      </c>
      <c r="L2286" s="13" t="n">
        <f aca="false">MAX(0,D2286-K2286)</f>
        <v>2.4413822</v>
      </c>
      <c r="M2286" s="13" t="n">
        <f aca="false">MAX(0,F2286-I2286-J2286)</f>
        <v>0</v>
      </c>
      <c r="N2286" s="13" t="n">
        <f aca="false">IF(Kalender!A90="",0,J2285-H2286)</f>
        <v>0.0150822</v>
      </c>
    </row>
    <row r="2287" customFormat="false" ht="16.4" hidden="false" customHeight="false" outlineLevel="0" collapsed="false">
      <c r="A2287" s="13" t="str">
        <f aca="false">""</f>
        <v/>
      </c>
      <c r="B2287" s="13" t="n">
        <f aca="false">87</f>
        <v>87</v>
      </c>
      <c r="C2287" s="13" t="n">
        <f aca="false">IF(Szenarien!$H$17="OK",(IFERROR(SUMIF(Nutzungsprofile!$B$6:$B$11,"Schulbetrieb",Nutzungsprofile!$G$6:$G$11)*Kalender!C91/SUM(Kalender!$C$5:$C$370),0)+IFERROR(SUMIF(Nutzungsprofile!$B$6:$B$11,"Halle",Nutzungsprofile!$G$6:$G$11)*Kalender!D91/SUM(Kalender!$D$5:$D$370),0)+IFERROR(SUMIF(Nutzungsprofile!$B$6:$B$11,"Individuell",Nutzungsprofile!$G$6:$G$11)*Kalender!E91/SUM(Kalender!$E$5:$E$370),0))*Szenarien!$E$17,0)</f>
        <v>2.04</v>
      </c>
      <c r="D2287" s="13" t="n">
        <f aca="false">IF(Szenarien!$H$17="OK",(IFERROR(SUMIF(Nutzungsprofile!$B$17:$B$22,"Schulbetrieb",Nutzungsprofile!$G$17:$G$22)*Kalender!C91/SUM(Kalender!$C$5:$C$370),0)+IFERROR(SUMIF(Nutzungsprofile!$B$17:$B$22,"Halle",Nutzungsprofile!$G$17:$G$22)*Kalender!D91/SUM(Kalender!$D$5:$D$370),0)+IFERROR(SUMIF(Nutzungsprofile!$B$17:$B$22,"Individuell",Nutzungsprofile!$G$17:$G$22)*Kalender!E91/SUM(Kalender!$E$5:$E$370),0))*Szenarien!$D$17,0)</f>
        <v>0.89</v>
      </c>
      <c r="E2287" s="13" t="n">
        <f aca="false">IFERROR(MIN(C2287,Eingaben!$B$17)*Eingaben!$B$16,0)</f>
        <v>1.938</v>
      </c>
      <c r="F2287" s="13" t="n">
        <f aca="false">IFERROR(E2287*Eingaben!$B$15,0)</f>
        <v>1.7442</v>
      </c>
      <c r="G2287" s="13" t="n">
        <f aca="false">IFERROR(IF(Kalender!A91="",0,J2286*(1-Eingaben!$B$20)),0)</f>
        <v>0.7390278</v>
      </c>
      <c r="H2287" s="13" t="n">
        <f aca="false">MIN(G2287,D2287)</f>
        <v>0.7390278</v>
      </c>
      <c r="I2287" s="13" t="n">
        <f aca="false">IFERROR(MIN(F2287*Eingaben!$B$19,MAX(0,D2287-H2287)),0)</f>
        <v>0.1509722</v>
      </c>
      <c r="J2287" s="13" t="n">
        <f aca="false">IFERROR(MIN(Eingaben!$B$18,MAX(0,F2287-I2287)),0)</f>
        <v>1.5932278</v>
      </c>
      <c r="K2287" s="13" t="n">
        <f aca="false">H2287+I2287</f>
        <v>0.89</v>
      </c>
      <c r="L2287" s="13" t="n">
        <f aca="false">MAX(0,D2287-K2287)</f>
        <v>0</v>
      </c>
      <c r="M2287" s="13" t="n">
        <f aca="false">MAX(0,F2287-I2287-J2287)</f>
        <v>0</v>
      </c>
      <c r="N2287" s="13" t="n">
        <f aca="false">IF(Kalender!A91="",0,J2286-H2287)</f>
        <v>0.0150822</v>
      </c>
    </row>
    <row r="2288" customFormat="false" ht="16.4" hidden="false" customHeight="false" outlineLevel="0" collapsed="false">
      <c r="A2288" s="13" t="str">
        <f aca="false">""</f>
        <v/>
      </c>
      <c r="B2288" s="13" t="n">
        <f aca="false">88</f>
        <v>88</v>
      </c>
      <c r="C2288" s="13" t="n">
        <f aca="false">IF(Szenarien!$H$17="OK",(IFERROR(SUMIF(Nutzungsprofile!$B$6:$B$11,"Schulbetrieb",Nutzungsprofile!$G$6:$G$11)*Kalender!C92/SUM(Kalender!$C$5:$C$370),0)+IFERROR(SUMIF(Nutzungsprofile!$B$6:$B$11,"Halle",Nutzungsprofile!$G$6:$G$11)*Kalender!D92/SUM(Kalender!$D$5:$D$370),0)+IFERROR(SUMIF(Nutzungsprofile!$B$6:$B$11,"Individuell",Nutzungsprofile!$G$6:$G$11)*Kalender!E92/SUM(Kalender!$E$5:$E$370),0))*Szenarien!$E$17,0)</f>
        <v>2.04</v>
      </c>
      <c r="D2288" s="13" t="n">
        <f aca="false">IF(Szenarien!$H$17="OK",(IFERROR(SUMIF(Nutzungsprofile!$B$17:$B$22,"Schulbetrieb",Nutzungsprofile!$G$17:$G$22)*Kalender!C92/SUM(Kalender!$C$5:$C$370),0)+IFERROR(SUMIF(Nutzungsprofile!$B$17:$B$22,"Halle",Nutzungsprofile!$G$17:$G$22)*Kalender!D92/SUM(Kalender!$D$5:$D$370),0)+IFERROR(SUMIF(Nutzungsprofile!$B$17:$B$22,"Individuell",Nutzungsprofile!$G$17:$G$22)*Kalender!E92/SUM(Kalender!$E$5:$E$370),0))*Szenarien!$D$17,0)</f>
        <v>0.89</v>
      </c>
      <c r="E2288" s="13" t="n">
        <f aca="false">IFERROR(MIN(C2288,Eingaben!$B$17)*Eingaben!$B$16,0)</f>
        <v>1.938</v>
      </c>
      <c r="F2288" s="13" t="n">
        <f aca="false">IFERROR(E2288*Eingaben!$B$15,0)</f>
        <v>1.7442</v>
      </c>
      <c r="G2288" s="13" t="n">
        <f aca="false">IFERROR(IF(Kalender!A92="",0,J2287*(1-Eingaben!$B$20)),0)</f>
        <v>1.561363244</v>
      </c>
      <c r="H2288" s="13" t="n">
        <f aca="false">MIN(G2288,D2288)</f>
        <v>0.89</v>
      </c>
      <c r="I2288" s="13" t="n">
        <f aca="false">IFERROR(MIN(F2288*Eingaben!$B$19,MAX(0,D2288-H2288)),0)</f>
        <v>0</v>
      </c>
      <c r="J2288" s="13" t="n">
        <f aca="false">IFERROR(MIN(Eingaben!$B$18,MAX(0,F2288-I2288)),0)</f>
        <v>1.7442</v>
      </c>
      <c r="K2288" s="13" t="n">
        <f aca="false">H2288+I2288</f>
        <v>0.89</v>
      </c>
      <c r="L2288" s="13" t="n">
        <f aca="false">MAX(0,D2288-K2288)</f>
        <v>0</v>
      </c>
      <c r="M2288" s="13" t="n">
        <f aca="false">MAX(0,F2288-I2288-J2288)</f>
        <v>0</v>
      </c>
      <c r="N2288" s="13" t="n">
        <f aca="false">IF(Kalender!A92="",0,J2287-H2288)</f>
        <v>0.7032278</v>
      </c>
    </row>
    <row r="2289" customFormat="false" ht="16.4" hidden="false" customHeight="false" outlineLevel="0" collapsed="false">
      <c r="A2289" s="13" t="str">
        <f aca="false">""</f>
        <v/>
      </c>
      <c r="B2289" s="13" t="n">
        <f aca="false">89</f>
        <v>89</v>
      </c>
      <c r="C2289" s="13" t="n">
        <f aca="false">IF(Szenarien!$H$17="OK",(IFERROR(SUMIF(Nutzungsprofile!$B$6:$B$11,"Schulbetrieb",Nutzungsprofile!$G$6:$G$11)*Kalender!C93/SUM(Kalender!$C$5:$C$370),0)+IFERROR(SUMIF(Nutzungsprofile!$B$6:$B$11,"Halle",Nutzungsprofile!$G$6:$G$11)*Kalender!D93/SUM(Kalender!$D$5:$D$370),0)+IFERROR(SUMIF(Nutzungsprofile!$B$6:$B$11,"Individuell",Nutzungsprofile!$G$6:$G$11)*Kalender!E93/SUM(Kalender!$E$5:$E$370),0))*Szenarien!$E$17,0)</f>
        <v>2.94</v>
      </c>
      <c r="D2289" s="13" t="n">
        <f aca="false">IF(Szenarien!$H$17="OK",(IFERROR(SUMIF(Nutzungsprofile!$B$17:$B$22,"Schulbetrieb",Nutzungsprofile!$G$17:$G$22)*Kalender!C93/SUM(Kalender!$C$5:$C$370),0)+IFERROR(SUMIF(Nutzungsprofile!$B$17:$B$22,"Halle",Nutzungsprofile!$G$17:$G$22)*Kalender!D93/SUM(Kalender!$D$5:$D$370),0)+IFERROR(SUMIF(Nutzungsprofile!$B$17:$B$22,"Individuell",Nutzungsprofile!$G$17:$G$22)*Kalender!E93/SUM(Kalender!$E$5:$E$370),0))*Szenarien!$D$17,0)</f>
        <v>4.94</v>
      </c>
      <c r="E2289" s="13" t="n">
        <f aca="false">IFERROR(MIN(C2289,Eingaben!$B$17)*Eingaben!$B$16,0)</f>
        <v>2.793</v>
      </c>
      <c r="F2289" s="13" t="n">
        <f aca="false">IFERROR(E2289*Eingaben!$B$15,0)</f>
        <v>2.5137</v>
      </c>
      <c r="G2289" s="13" t="n">
        <f aca="false">IFERROR(IF(Kalender!A93="",0,J2288*(1-Eingaben!$B$20)),0)</f>
        <v>1.709316</v>
      </c>
      <c r="H2289" s="13" t="n">
        <f aca="false">MIN(G2289,D2289)</f>
        <v>1.709316</v>
      </c>
      <c r="I2289" s="13" t="n">
        <f aca="false">IFERROR(MIN(F2289*Eingaben!$B$19,MAX(0,D2289-H2289)),0)</f>
        <v>1.75959</v>
      </c>
      <c r="J2289" s="13" t="n">
        <f aca="false">IFERROR(MIN(Eingaben!$B$18,MAX(0,F2289-I2289)),0)</f>
        <v>0.75411</v>
      </c>
      <c r="K2289" s="13" t="n">
        <f aca="false">H2289+I2289</f>
        <v>3.468906</v>
      </c>
      <c r="L2289" s="13" t="n">
        <f aca="false">MAX(0,D2289-K2289)</f>
        <v>1.471094</v>
      </c>
      <c r="M2289" s="13" t="n">
        <f aca="false">MAX(0,F2289-I2289-J2289)</f>
        <v>0</v>
      </c>
      <c r="N2289" s="13" t="n">
        <f aca="false">IF(Kalender!A93="",0,J2288-H2289)</f>
        <v>0.0348840000000001</v>
      </c>
    </row>
    <row r="2290" customFormat="false" ht="16.4" hidden="false" customHeight="false" outlineLevel="0" collapsed="false">
      <c r="A2290" s="13" t="str">
        <f aca="false">""</f>
        <v/>
      </c>
      <c r="B2290" s="13" t="n">
        <f aca="false">90</f>
        <v>90</v>
      </c>
      <c r="C2290" s="13" t="n">
        <f aca="false">IF(Szenarien!$H$17="OK",(IFERROR(SUMIF(Nutzungsprofile!$B$6:$B$11,"Schulbetrieb",Nutzungsprofile!$G$6:$G$11)*Kalender!C94/SUM(Kalender!$C$5:$C$370),0)+IFERROR(SUMIF(Nutzungsprofile!$B$6:$B$11,"Halle",Nutzungsprofile!$G$6:$G$11)*Kalender!D94/SUM(Kalender!$D$5:$D$370),0)+IFERROR(SUMIF(Nutzungsprofile!$B$6:$B$11,"Individuell",Nutzungsprofile!$G$6:$G$11)*Kalender!E94/SUM(Kalender!$E$5:$E$370),0))*Szenarien!$E$17,0)</f>
        <v>2.94</v>
      </c>
      <c r="D2290" s="13" t="n">
        <f aca="false">IF(Szenarien!$H$17="OK",(IFERROR(SUMIF(Nutzungsprofile!$B$17:$B$22,"Schulbetrieb",Nutzungsprofile!$G$17:$G$22)*Kalender!C94/SUM(Kalender!$C$5:$C$370),0)+IFERROR(SUMIF(Nutzungsprofile!$B$17:$B$22,"Halle",Nutzungsprofile!$G$17:$G$22)*Kalender!D94/SUM(Kalender!$D$5:$D$370),0)+IFERROR(SUMIF(Nutzungsprofile!$B$17:$B$22,"Individuell",Nutzungsprofile!$G$17:$G$22)*Kalender!E94/SUM(Kalender!$E$5:$E$370),0))*Szenarien!$D$17,0)</f>
        <v>4.94</v>
      </c>
      <c r="E2290" s="13" t="n">
        <f aca="false">IFERROR(MIN(C2290,Eingaben!$B$17)*Eingaben!$B$16,0)</f>
        <v>2.793</v>
      </c>
      <c r="F2290" s="13" t="n">
        <f aca="false">IFERROR(E2290*Eingaben!$B$15,0)</f>
        <v>2.5137</v>
      </c>
      <c r="G2290" s="13" t="n">
        <f aca="false">IFERROR(IF(Kalender!A94="",0,J2289*(1-Eingaben!$B$20)),0)</f>
        <v>0.7390278</v>
      </c>
      <c r="H2290" s="13" t="n">
        <f aca="false">MIN(G2290,D2290)</f>
        <v>0.7390278</v>
      </c>
      <c r="I2290" s="13" t="n">
        <f aca="false">IFERROR(MIN(F2290*Eingaben!$B$19,MAX(0,D2290-H2290)),0)</f>
        <v>1.75959</v>
      </c>
      <c r="J2290" s="13" t="n">
        <f aca="false">IFERROR(MIN(Eingaben!$B$18,MAX(0,F2290-I2290)),0)</f>
        <v>0.75411</v>
      </c>
      <c r="K2290" s="13" t="n">
        <f aca="false">H2290+I2290</f>
        <v>2.4986178</v>
      </c>
      <c r="L2290" s="13" t="n">
        <f aca="false">MAX(0,D2290-K2290)</f>
        <v>2.4413822</v>
      </c>
      <c r="M2290" s="13" t="n">
        <f aca="false">MAX(0,F2290-I2290-J2290)</f>
        <v>0</v>
      </c>
      <c r="N2290" s="13" t="n">
        <f aca="false">IF(Kalender!A94="",0,J2289-H2290)</f>
        <v>0.0150822</v>
      </c>
    </row>
    <row r="2291" customFormat="false" ht="16.4" hidden="false" customHeight="false" outlineLevel="0" collapsed="false">
      <c r="A2291" s="13" t="str">
        <f aca="false">""</f>
        <v/>
      </c>
      <c r="B2291" s="13" t="n">
        <f aca="false">91</f>
        <v>91</v>
      </c>
      <c r="C2291" s="13" t="n">
        <f aca="false">IF(Szenarien!$H$17="OK",(IFERROR(SUMIF(Nutzungsprofile!$B$6:$B$11,"Schulbetrieb",Nutzungsprofile!$G$6:$G$11)*Kalender!C95/SUM(Kalender!$C$5:$C$370),0)+IFERROR(SUMIF(Nutzungsprofile!$B$6:$B$11,"Halle",Nutzungsprofile!$G$6:$G$11)*Kalender!D95/SUM(Kalender!$D$5:$D$370),0)+IFERROR(SUMIF(Nutzungsprofile!$B$6:$B$11,"Individuell",Nutzungsprofile!$G$6:$G$11)*Kalender!E95/SUM(Kalender!$E$5:$E$370),0))*Szenarien!$E$17,0)</f>
        <v>2.94</v>
      </c>
      <c r="D2291" s="13" t="n">
        <f aca="false">IF(Szenarien!$H$17="OK",(IFERROR(SUMIF(Nutzungsprofile!$B$17:$B$22,"Schulbetrieb",Nutzungsprofile!$G$17:$G$22)*Kalender!C95/SUM(Kalender!$C$5:$C$370),0)+IFERROR(SUMIF(Nutzungsprofile!$B$17:$B$22,"Halle",Nutzungsprofile!$G$17:$G$22)*Kalender!D95/SUM(Kalender!$D$5:$D$370),0)+IFERROR(SUMIF(Nutzungsprofile!$B$17:$B$22,"Individuell",Nutzungsprofile!$G$17:$G$22)*Kalender!E95/SUM(Kalender!$E$5:$E$370),0))*Szenarien!$D$17,0)</f>
        <v>4.94</v>
      </c>
      <c r="E2291" s="13" t="n">
        <f aca="false">IFERROR(MIN(C2291,Eingaben!$B$17)*Eingaben!$B$16,0)</f>
        <v>2.793</v>
      </c>
      <c r="F2291" s="13" t="n">
        <f aca="false">IFERROR(E2291*Eingaben!$B$15,0)</f>
        <v>2.5137</v>
      </c>
      <c r="G2291" s="13" t="n">
        <f aca="false">IFERROR(IF(Kalender!A95="",0,J2290*(1-Eingaben!$B$20)),0)</f>
        <v>0.7390278</v>
      </c>
      <c r="H2291" s="13" t="n">
        <f aca="false">MIN(G2291,D2291)</f>
        <v>0.7390278</v>
      </c>
      <c r="I2291" s="13" t="n">
        <f aca="false">IFERROR(MIN(F2291*Eingaben!$B$19,MAX(0,D2291-H2291)),0)</f>
        <v>1.75959</v>
      </c>
      <c r="J2291" s="13" t="n">
        <f aca="false">IFERROR(MIN(Eingaben!$B$18,MAX(0,F2291-I2291)),0)</f>
        <v>0.75411</v>
      </c>
      <c r="K2291" s="13" t="n">
        <f aca="false">H2291+I2291</f>
        <v>2.4986178</v>
      </c>
      <c r="L2291" s="13" t="n">
        <f aca="false">MAX(0,D2291-K2291)</f>
        <v>2.4413822</v>
      </c>
      <c r="M2291" s="13" t="n">
        <f aca="false">MAX(0,F2291-I2291-J2291)</f>
        <v>0</v>
      </c>
      <c r="N2291" s="13" t="n">
        <f aca="false">IF(Kalender!A95="",0,J2290-H2291)</f>
        <v>0.0150822</v>
      </c>
    </row>
    <row r="2292" customFormat="false" ht="16.4" hidden="false" customHeight="false" outlineLevel="0" collapsed="false">
      <c r="A2292" s="13" t="str">
        <f aca="false">""</f>
        <v/>
      </c>
      <c r="B2292" s="13" t="n">
        <f aca="false">92</f>
        <v>92</v>
      </c>
      <c r="C2292" s="13" t="n">
        <f aca="false">IF(Szenarien!$H$17="OK",(IFERROR(SUMIF(Nutzungsprofile!$B$6:$B$11,"Schulbetrieb",Nutzungsprofile!$G$6:$G$11)*Kalender!C96/SUM(Kalender!$C$5:$C$370),0)+IFERROR(SUMIF(Nutzungsprofile!$B$6:$B$11,"Halle",Nutzungsprofile!$G$6:$G$11)*Kalender!D96/SUM(Kalender!$D$5:$D$370),0)+IFERROR(SUMIF(Nutzungsprofile!$B$6:$B$11,"Individuell",Nutzungsprofile!$G$6:$G$11)*Kalender!E96/SUM(Kalender!$E$5:$E$370),0))*Szenarien!$E$17,0)</f>
        <v>2.94</v>
      </c>
      <c r="D2292" s="13" t="n">
        <f aca="false">IF(Szenarien!$H$17="OK",(IFERROR(SUMIF(Nutzungsprofile!$B$17:$B$22,"Schulbetrieb",Nutzungsprofile!$G$17:$G$22)*Kalender!C96/SUM(Kalender!$C$5:$C$370),0)+IFERROR(SUMIF(Nutzungsprofile!$B$17:$B$22,"Halle",Nutzungsprofile!$G$17:$G$22)*Kalender!D96/SUM(Kalender!$D$5:$D$370),0)+IFERROR(SUMIF(Nutzungsprofile!$B$17:$B$22,"Individuell",Nutzungsprofile!$G$17:$G$22)*Kalender!E96/SUM(Kalender!$E$5:$E$370),0))*Szenarien!$D$17,0)</f>
        <v>4.94</v>
      </c>
      <c r="E2292" s="13" t="n">
        <f aca="false">IFERROR(MIN(C2292,Eingaben!$B$17)*Eingaben!$B$16,0)</f>
        <v>2.793</v>
      </c>
      <c r="F2292" s="13" t="n">
        <f aca="false">IFERROR(E2292*Eingaben!$B$15,0)</f>
        <v>2.5137</v>
      </c>
      <c r="G2292" s="13" t="n">
        <f aca="false">IFERROR(IF(Kalender!A96="",0,J2291*(1-Eingaben!$B$20)),0)</f>
        <v>0.7390278</v>
      </c>
      <c r="H2292" s="13" t="n">
        <f aca="false">MIN(G2292,D2292)</f>
        <v>0.7390278</v>
      </c>
      <c r="I2292" s="13" t="n">
        <f aca="false">IFERROR(MIN(F2292*Eingaben!$B$19,MAX(0,D2292-H2292)),0)</f>
        <v>1.75959</v>
      </c>
      <c r="J2292" s="13" t="n">
        <f aca="false">IFERROR(MIN(Eingaben!$B$18,MAX(0,F2292-I2292)),0)</f>
        <v>0.75411</v>
      </c>
      <c r="K2292" s="13" t="n">
        <f aca="false">H2292+I2292</f>
        <v>2.4986178</v>
      </c>
      <c r="L2292" s="13" t="n">
        <f aca="false">MAX(0,D2292-K2292)</f>
        <v>2.4413822</v>
      </c>
      <c r="M2292" s="13" t="n">
        <f aca="false">MAX(0,F2292-I2292-J2292)</f>
        <v>0</v>
      </c>
      <c r="N2292" s="13" t="n">
        <f aca="false">IF(Kalender!A96="",0,J2291-H2292)</f>
        <v>0.0150822</v>
      </c>
    </row>
    <row r="2293" customFormat="false" ht="16.4" hidden="false" customHeight="false" outlineLevel="0" collapsed="false">
      <c r="A2293" s="13" t="str">
        <f aca="false">""</f>
        <v/>
      </c>
      <c r="B2293" s="13" t="n">
        <f aca="false">93</f>
        <v>93</v>
      </c>
      <c r="C2293" s="13" t="n">
        <f aca="false">IF(Szenarien!$H$17="OK",(IFERROR(SUMIF(Nutzungsprofile!$B$6:$B$11,"Schulbetrieb",Nutzungsprofile!$G$6:$G$11)*Kalender!C97/SUM(Kalender!$C$5:$C$370),0)+IFERROR(SUMIF(Nutzungsprofile!$B$6:$B$11,"Halle",Nutzungsprofile!$G$6:$G$11)*Kalender!D97/SUM(Kalender!$D$5:$D$370),0)+IFERROR(SUMIF(Nutzungsprofile!$B$6:$B$11,"Individuell",Nutzungsprofile!$G$6:$G$11)*Kalender!E97/SUM(Kalender!$E$5:$E$370),0))*Szenarien!$E$17,0)</f>
        <v>2.94</v>
      </c>
      <c r="D2293" s="13" t="n">
        <f aca="false">IF(Szenarien!$H$17="OK",(IFERROR(SUMIF(Nutzungsprofile!$B$17:$B$22,"Schulbetrieb",Nutzungsprofile!$G$17:$G$22)*Kalender!C97/SUM(Kalender!$C$5:$C$370),0)+IFERROR(SUMIF(Nutzungsprofile!$B$17:$B$22,"Halle",Nutzungsprofile!$G$17:$G$22)*Kalender!D97/SUM(Kalender!$D$5:$D$370),0)+IFERROR(SUMIF(Nutzungsprofile!$B$17:$B$22,"Individuell",Nutzungsprofile!$G$17:$G$22)*Kalender!E97/SUM(Kalender!$E$5:$E$370),0))*Szenarien!$D$17,0)</f>
        <v>4.94</v>
      </c>
      <c r="E2293" s="13" t="n">
        <f aca="false">IFERROR(MIN(C2293,Eingaben!$B$17)*Eingaben!$B$16,0)</f>
        <v>2.793</v>
      </c>
      <c r="F2293" s="13" t="n">
        <f aca="false">IFERROR(E2293*Eingaben!$B$15,0)</f>
        <v>2.5137</v>
      </c>
      <c r="G2293" s="13" t="n">
        <f aca="false">IFERROR(IF(Kalender!A97="",0,J2292*(1-Eingaben!$B$20)),0)</f>
        <v>0.7390278</v>
      </c>
      <c r="H2293" s="13" t="n">
        <f aca="false">MIN(G2293,D2293)</f>
        <v>0.7390278</v>
      </c>
      <c r="I2293" s="13" t="n">
        <f aca="false">IFERROR(MIN(F2293*Eingaben!$B$19,MAX(0,D2293-H2293)),0)</f>
        <v>1.75959</v>
      </c>
      <c r="J2293" s="13" t="n">
        <f aca="false">IFERROR(MIN(Eingaben!$B$18,MAX(0,F2293-I2293)),0)</f>
        <v>0.75411</v>
      </c>
      <c r="K2293" s="13" t="n">
        <f aca="false">H2293+I2293</f>
        <v>2.4986178</v>
      </c>
      <c r="L2293" s="13" t="n">
        <f aca="false">MAX(0,D2293-K2293)</f>
        <v>2.4413822</v>
      </c>
      <c r="M2293" s="13" t="n">
        <f aca="false">MAX(0,F2293-I2293-J2293)</f>
        <v>0</v>
      </c>
      <c r="N2293" s="13" t="n">
        <f aca="false">IF(Kalender!A97="",0,J2292-H2293)</f>
        <v>0.0150822</v>
      </c>
    </row>
    <row r="2294" customFormat="false" ht="16.4" hidden="false" customHeight="false" outlineLevel="0" collapsed="false">
      <c r="A2294" s="13" t="str">
        <f aca="false">""</f>
        <v/>
      </c>
      <c r="B2294" s="13" t="n">
        <f aca="false">94</f>
        <v>94</v>
      </c>
      <c r="C2294" s="13" t="n">
        <f aca="false">IF(Szenarien!$H$17="OK",(IFERROR(SUMIF(Nutzungsprofile!$B$6:$B$11,"Schulbetrieb",Nutzungsprofile!$G$6:$G$11)*Kalender!C98/SUM(Kalender!$C$5:$C$370),0)+IFERROR(SUMIF(Nutzungsprofile!$B$6:$B$11,"Halle",Nutzungsprofile!$G$6:$G$11)*Kalender!D98/SUM(Kalender!$D$5:$D$370),0)+IFERROR(SUMIF(Nutzungsprofile!$B$6:$B$11,"Individuell",Nutzungsprofile!$G$6:$G$11)*Kalender!E98/SUM(Kalender!$E$5:$E$370),0))*Szenarien!$E$17,0)</f>
        <v>2.04</v>
      </c>
      <c r="D2294" s="13" t="n">
        <f aca="false">IF(Szenarien!$H$17="OK",(IFERROR(SUMIF(Nutzungsprofile!$B$17:$B$22,"Schulbetrieb",Nutzungsprofile!$G$17:$G$22)*Kalender!C98/SUM(Kalender!$C$5:$C$370),0)+IFERROR(SUMIF(Nutzungsprofile!$B$17:$B$22,"Halle",Nutzungsprofile!$G$17:$G$22)*Kalender!D98/SUM(Kalender!$D$5:$D$370),0)+IFERROR(SUMIF(Nutzungsprofile!$B$17:$B$22,"Individuell",Nutzungsprofile!$G$17:$G$22)*Kalender!E98/SUM(Kalender!$E$5:$E$370),0))*Szenarien!$D$17,0)</f>
        <v>0.89</v>
      </c>
      <c r="E2294" s="13" t="n">
        <f aca="false">IFERROR(MIN(C2294,Eingaben!$B$17)*Eingaben!$B$16,0)</f>
        <v>1.938</v>
      </c>
      <c r="F2294" s="13" t="n">
        <f aca="false">IFERROR(E2294*Eingaben!$B$15,0)</f>
        <v>1.7442</v>
      </c>
      <c r="G2294" s="13" t="n">
        <f aca="false">IFERROR(IF(Kalender!A98="",0,J2293*(1-Eingaben!$B$20)),0)</f>
        <v>0.7390278</v>
      </c>
      <c r="H2294" s="13" t="n">
        <f aca="false">MIN(G2294,D2294)</f>
        <v>0.7390278</v>
      </c>
      <c r="I2294" s="13" t="n">
        <f aca="false">IFERROR(MIN(F2294*Eingaben!$B$19,MAX(0,D2294-H2294)),0)</f>
        <v>0.1509722</v>
      </c>
      <c r="J2294" s="13" t="n">
        <f aca="false">IFERROR(MIN(Eingaben!$B$18,MAX(0,F2294-I2294)),0)</f>
        <v>1.5932278</v>
      </c>
      <c r="K2294" s="13" t="n">
        <f aca="false">H2294+I2294</f>
        <v>0.89</v>
      </c>
      <c r="L2294" s="13" t="n">
        <f aca="false">MAX(0,D2294-K2294)</f>
        <v>0</v>
      </c>
      <c r="M2294" s="13" t="n">
        <f aca="false">MAX(0,F2294-I2294-J2294)</f>
        <v>0</v>
      </c>
      <c r="N2294" s="13" t="n">
        <f aca="false">IF(Kalender!A98="",0,J2293-H2294)</f>
        <v>0.0150822</v>
      </c>
    </row>
    <row r="2295" customFormat="false" ht="16.4" hidden="false" customHeight="false" outlineLevel="0" collapsed="false">
      <c r="A2295" s="13" t="str">
        <f aca="false">""</f>
        <v/>
      </c>
      <c r="B2295" s="13" t="n">
        <f aca="false">95</f>
        <v>95</v>
      </c>
      <c r="C2295" s="13" t="n">
        <f aca="false">IF(Szenarien!$H$17="OK",(IFERROR(SUMIF(Nutzungsprofile!$B$6:$B$11,"Schulbetrieb",Nutzungsprofile!$G$6:$G$11)*Kalender!C99/SUM(Kalender!$C$5:$C$370),0)+IFERROR(SUMIF(Nutzungsprofile!$B$6:$B$11,"Halle",Nutzungsprofile!$G$6:$G$11)*Kalender!D99/SUM(Kalender!$D$5:$D$370),0)+IFERROR(SUMIF(Nutzungsprofile!$B$6:$B$11,"Individuell",Nutzungsprofile!$G$6:$G$11)*Kalender!E99/SUM(Kalender!$E$5:$E$370),0))*Szenarien!$E$17,0)</f>
        <v>2.04</v>
      </c>
      <c r="D2295" s="13" t="n">
        <f aca="false">IF(Szenarien!$H$17="OK",(IFERROR(SUMIF(Nutzungsprofile!$B$17:$B$22,"Schulbetrieb",Nutzungsprofile!$G$17:$G$22)*Kalender!C99/SUM(Kalender!$C$5:$C$370),0)+IFERROR(SUMIF(Nutzungsprofile!$B$17:$B$22,"Halle",Nutzungsprofile!$G$17:$G$22)*Kalender!D99/SUM(Kalender!$D$5:$D$370),0)+IFERROR(SUMIF(Nutzungsprofile!$B$17:$B$22,"Individuell",Nutzungsprofile!$G$17:$G$22)*Kalender!E99/SUM(Kalender!$E$5:$E$370),0))*Szenarien!$D$17,0)</f>
        <v>0.89</v>
      </c>
      <c r="E2295" s="13" t="n">
        <f aca="false">IFERROR(MIN(C2295,Eingaben!$B$17)*Eingaben!$B$16,0)</f>
        <v>1.938</v>
      </c>
      <c r="F2295" s="13" t="n">
        <f aca="false">IFERROR(E2295*Eingaben!$B$15,0)</f>
        <v>1.7442</v>
      </c>
      <c r="G2295" s="13" t="n">
        <f aca="false">IFERROR(IF(Kalender!A99="",0,J2294*(1-Eingaben!$B$20)),0)</f>
        <v>1.561363244</v>
      </c>
      <c r="H2295" s="13" t="n">
        <f aca="false">MIN(G2295,D2295)</f>
        <v>0.89</v>
      </c>
      <c r="I2295" s="13" t="n">
        <f aca="false">IFERROR(MIN(F2295*Eingaben!$B$19,MAX(0,D2295-H2295)),0)</f>
        <v>0</v>
      </c>
      <c r="J2295" s="13" t="n">
        <f aca="false">IFERROR(MIN(Eingaben!$B$18,MAX(0,F2295-I2295)),0)</f>
        <v>1.7442</v>
      </c>
      <c r="K2295" s="13" t="n">
        <f aca="false">H2295+I2295</f>
        <v>0.89</v>
      </c>
      <c r="L2295" s="13" t="n">
        <f aca="false">MAX(0,D2295-K2295)</f>
        <v>0</v>
      </c>
      <c r="M2295" s="13" t="n">
        <f aca="false">MAX(0,F2295-I2295-J2295)</f>
        <v>0</v>
      </c>
      <c r="N2295" s="13" t="n">
        <f aca="false">IF(Kalender!A99="",0,J2294-H2295)</f>
        <v>0.7032278</v>
      </c>
    </row>
    <row r="2296" customFormat="false" ht="16.4" hidden="false" customHeight="false" outlineLevel="0" collapsed="false">
      <c r="A2296" s="13" t="str">
        <f aca="false">""</f>
        <v/>
      </c>
      <c r="B2296" s="13" t="n">
        <f aca="false">96</f>
        <v>96</v>
      </c>
      <c r="C2296" s="13" t="n">
        <f aca="false">IF(Szenarien!$H$17="OK",(IFERROR(SUMIF(Nutzungsprofile!$B$6:$B$11,"Schulbetrieb",Nutzungsprofile!$G$6:$G$11)*Kalender!C100/SUM(Kalender!$C$5:$C$370),0)+IFERROR(SUMIF(Nutzungsprofile!$B$6:$B$11,"Halle",Nutzungsprofile!$G$6:$G$11)*Kalender!D100/SUM(Kalender!$D$5:$D$370),0)+IFERROR(SUMIF(Nutzungsprofile!$B$6:$B$11,"Individuell",Nutzungsprofile!$G$6:$G$11)*Kalender!E100/SUM(Kalender!$E$5:$E$370),0))*Szenarien!$E$17,0)</f>
        <v>2.94</v>
      </c>
      <c r="D2296" s="13" t="n">
        <f aca="false">IF(Szenarien!$H$17="OK",(IFERROR(SUMIF(Nutzungsprofile!$B$17:$B$22,"Schulbetrieb",Nutzungsprofile!$G$17:$G$22)*Kalender!C100/SUM(Kalender!$C$5:$C$370),0)+IFERROR(SUMIF(Nutzungsprofile!$B$17:$B$22,"Halle",Nutzungsprofile!$G$17:$G$22)*Kalender!D100/SUM(Kalender!$D$5:$D$370),0)+IFERROR(SUMIF(Nutzungsprofile!$B$17:$B$22,"Individuell",Nutzungsprofile!$G$17:$G$22)*Kalender!E100/SUM(Kalender!$E$5:$E$370),0))*Szenarien!$D$17,0)</f>
        <v>4.94</v>
      </c>
      <c r="E2296" s="13" t="n">
        <f aca="false">IFERROR(MIN(C2296,Eingaben!$B$17)*Eingaben!$B$16,0)</f>
        <v>2.793</v>
      </c>
      <c r="F2296" s="13" t="n">
        <f aca="false">IFERROR(E2296*Eingaben!$B$15,0)</f>
        <v>2.5137</v>
      </c>
      <c r="G2296" s="13" t="n">
        <f aca="false">IFERROR(IF(Kalender!A100="",0,J2295*(1-Eingaben!$B$20)),0)</f>
        <v>1.709316</v>
      </c>
      <c r="H2296" s="13" t="n">
        <f aca="false">MIN(G2296,D2296)</f>
        <v>1.709316</v>
      </c>
      <c r="I2296" s="13" t="n">
        <f aca="false">IFERROR(MIN(F2296*Eingaben!$B$19,MAX(0,D2296-H2296)),0)</f>
        <v>1.75959</v>
      </c>
      <c r="J2296" s="13" t="n">
        <f aca="false">IFERROR(MIN(Eingaben!$B$18,MAX(0,F2296-I2296)),0)</f>
        <v>0.75411</v>
      </c>
      <c r="K2296" s="13" t="n">
        <f aca="false">H2296+I2296</f>
        <v>3.468906</v>
      </c>
      <c r="L2296" s="13" t="n">
        <f aca="false">MAX(0,D2296-K2296)</f>
        <v>1.471094</v>
      </c>
      <c r="M2296" s="13" t="n">
        <f aca="false">MAX(0,F2296-I2296-J2296)</f>
        <v>0</v>
      </c>
      <c r="N2296" s="13" t="n">
        <f aca="false">IF(Kalender!A100="",0,J2295-H2296)</f>
        <v>0.0348840000000001</v>
      </c>
    </row>
    <row r="2297" customFormat="false" ht="16.4" hidden="false" customHeight="false" outlineLevel="0" collapsed="false">
      <c r="A2297" s="13" t="str">
        <f aca="false">""</f>
        <v/>
      </c>
      <c r="B2297" s="13" t="n">
        <f aca="false">97</f>
        <v>97</v>
      </c>
      <c r="C2297" s="13" t="n">
        <f aca="false">IF(Szenarien!$H$17="OK",(IFERROR(SUMIF(Nutzungsprofile!$B$6:$B$11,"Schulbetrieb",Nutzungsprofile!$G$6:$G$11)*Kalender!C101/SUM(Kalender!$C$5:$C$370),0)+IFERROR(SUMIF(Nutzungsprofile!$B$6:$B$11,"Halle",Nutzungsprofile!$G$6:$G$11)*Kalender!D101/SUM(Kalender!$D$5:$D$370),0)+IFERROR(SUMIF(Nutzungsprofile!$B$6:$B$11,"Individuell",Nutzungsprofile!$G$6:$G$11)*Kalender!E101/SUM(Kalender!$E$5:$E$370),0))*Szenarien!$E$17,0)</f>
        <v>2.94</v>
      </c>
      <c r="D2297" s="13" t="n">
        <f aca="false">IF(Szenarien!$H$17="OK",(IFERROR(SUMIF(Nutzungsprofile!$B$17:$B$22,"Schulbetrieb",Nutzungsprofile!$G$17:$G$22)*Kalender!C101/SUM(Kalender!$C$5:$C$370),0)+IFERROR(SUMIF(Nutzungsprofile!$B$17:$B$22,"Halle",Nutzungsprofile!$G$17:$G$22)*Kalender!D101/SUM(Kalender!$D$5:$D$370),0)+IFERROR(SUMIF(Nutzungsprofile!$B$17:$B$22,"Individuell",Nutzungsprofile!$G$17:$G$22)*Kalender!E101/SUM(Kalender!$E$5:$E$370),0))*Szenarien!$D$17,0)</f>
        <v>4.94</v>
      </c>
      <c r="E2297" s="13" t="n">
        <f aca="false">IFERROR(MIN(C2297,Eingaben!$B$17)*Eingaben!$B$16,0)</f>
        <v>2.793</v>
      </c>
      <c r="F2297" s="13" t="n">
        <f aca="false">IFERROR(E2297*Eingaben!$B$15,0)</f>
        <v>2.5137</v>
      </c>
      <c r="G2297" s="13" t="n">
        <f aca="false">IFERROR(IF(Kalender!A101="",0,J2296*(1-Eingaben!$B$20)),0)</f>
        <v>0.7390278</v>
      </c>
      <c r="H2297" s="13" t="n">
        <f aca="false">MIN(G2297,D2297)</f>
        <v>0.7390278</v>
      </c>
      <c r="I2297" s="13" t="n">
        <f aca="false">IFERROR(MIN(F2297*Eingaben!$B$19,MAX(0,D2297-H2297)),0)</f>
        <v>1.75959</v>
      </c>
      <c r="J2297" s="13" t="n">
        <f aca="false">IFERROR(MIN(Eingaben!$B$18,MAX(0,F2297-I2297)),0)</f>
        <v>0.75411</v>
      </c>
      <c r="K2297" s="13" t="n">
        <f aca="false">H2297+I2297</f>
        <v>2.4986178</v>
      </c>
      <c r="L2297" s="13" t="n">
        <f aca="false">MAX(0,D2297-K2297)</f>
        <v>2.4413822</v>
      </c>
      <c r="M2297" s="13" t="n">
        <f aca="false">MAX(0,F2297-I2297-J2297)</f>
        <v>0</v>
      </c>
      <c r="N2297" s="13" t="n">
        <f aca="false">IF(Kalender!A101="",0,J2296-H2297)</f>
        <v>0.0150822</v>
      </c>
    </row>
    <row r="2298" customFormat="false" ht="16.4" hidden="false" customHeight="false" outlineLevel="0" collapsed="false">
      <c r="A2298" s="13" t="str">
        <f aca="false">""</f>
        <v/>
      </c>
      <c r="B2298" s="13" t="n">
        <f aca="false">98</f>
        <v>98</v>
      </c>
      <c r="C2298" s="13" t="n">
        <f aca="false">IF(Szenarien!$H$17="OK",(IFERROR(SUMIF(Nutzungsprofile!$B$6:$B$11,"Schulbetrieb",Nutzungsprofile!$G$6:$G$11)*Kalender!C102/SUM(Kalender!$C$5:$C$370),0)+IFERROR(SUMIF(Nutzungsprofile!$B$6:$B$11,"Halle",Nutzungsprofile!$G$6:$G$11)*Kalender!D102/SUM(Kalender!$D$5:$D$370),0)+IFERROR(SUMIF(Nutzungsprofile!$B$6:$B$11,"Individuell",Nutzungsprofile!$G$6:$G$11)*Kalender!E102/SUM(Kalender!$E$5:$E$370),0))*Szenarien!$E$17,0)</f>
        <v>2.94</v>
      </c>
      <c r="D2298" s="13" t="n">
        <f aca="false">IF(Szenarien!$H$17="OK",(IFERROR(SUMIF(Nutzungsprofile!$B$17:$B$22,"Schulbetrieb",Nutzungsprofile!$G$17:$G$22)*Kalender!C102/SUM(Kalender!$C$5:$C$370),0)+IFERROR(SUMIF(Nutzungsprofile!$B$17:$B$22,"Halle",Nutzungsprofile!$G$17:$G$22)*Kalender!D102/SUM(Kalender!$D$5:$D$370),0)+IFERROR(SUMIF(Nutzungsprofile!$B$17:$B$22,"Individuell",Nutzungsprofile!$G$17:$G$22)*Kalender!E102/SUM(Kalender!$E$5:$E$370),0))*Szenarien!$D$17,0)</f>
        <v>4.94</v>
      </c>
      <c r="E2298" s="13" t="n">
        <f aca="false">IFERROR(MIN(C2298,Eingaben!$B$17)*Eingaben!$B$16,0)</f>
        <v>2.793</v>
      </c>
      <c r="F2298" s="13" t="n">
        <f aca="false">IFERROR(E2298*Eingaben!$B$15,0)</f>
        <v>2.5137</v>
      </c>
      <c r="G2298" s="13" t="n">
        <f aca="false">IFERROR(IF(Kalender!A102="",0,J2297*(1-Eingaben!$B$20)),0)</f>
        <v>0.7390278</v>
      </c>
      <c r="H2298" s="13" t="n">
        <f aca="false">MIN(G2298,D2298)</f>
        <v>0.7390278</v>
      </c>
      <c r="I2298" s="13" t="n">
        <f aca="false">IFERROR(MIN(F2298*Eingaben!$B$19,MAX(0,D2298-H2298)),0)</f>
        <v>1.75959</v>
      </c>
      <c r="J2298" s="13" t="n">
        <f aca="false">IFERROR(MIN(Eingaben!$B$18,MAX(0,F2298-I2298)),0)</f>
        <v>0.75411</v>
      </c>
      <c r="K2298" s="13" t="n">
        <f aca="false">H2298+I2298</f>
        <v>2.4986178</v>
      </c>
      <c r="L2298" s="13" t="n">
        <f aca="false">MAX(0,D2298-K2298)</f>
        <v>2.4413822</v>
      </c>
      <c r="M2298" s="13" t="n">
        <f aca="false">MAX(0,F2298-I2298-J2298)</f>
        <v>0</v>
      </c>
      <c r="N2298" s="13" t="n">
        <f aca="false">IF(Kalender!A102="",0,J2297-H2298)</f>
        <v>0.0150822</v>
      </c>
    </row>
    <row r="2299" customFormat="false" ht="16.4" hidden="false" customHeight="false" outlineLevel="0" collapsed="false">
      <c r="A2299" s="13" t="str">
        <f aca="false">""</f>
        <v/>
      </c>
      <c r="B2299" s="13" t="n">
        <f aca="false">99</f>
        <v>99</v>
      </c>
      <c r="C2299" s="13" t="n">
        <f aca="false">IF(Szenarien!$H$17="OK",(IFERROR(SUMIF(Nutzungsprofile!$B$6:$B$11,"Schulbetrieb",Nutzungsprofile!$G$6:$G$11)*Kalender!C103/SUM(Kalender!$C$5:$C$370),0)+IFERROR(SUMIF(Nutzungsprofile!$B$6:$B$11,"Halle",Nutzungsprofile!$G$6:$G$11)*Kalender!D103/SUM(Kalender!$D$5:$D$370),0)+IFERROR(SUMIF(Nutzungsprofile!$B$6:$B$11,"Individuell",Nutzungsprofile!$G$6:$G$11)*Kalender!E103/SUM(Kalender!$E$5:$E$370),0))*Szenarien!$E$17,0)</f>
        <v>2.94</v>
      </c>
      <c r="D2299" s="13" t="n">
        <f aca="false">IF(Szenarien!$H$17="OK",(IFERROR(SUMIF(Nutzungsprofile!$B$17:$B$22,"Schulbetrieb",Nutzungsprofile!$G$17:$G$22)*Kalender!C103/SUM(Kalender!$C$5:$C$370),0)+IFERROR(SUMIF(Nutzungsprofile!$B$17:$B$22,"Halle",Nutzungsprofile!$G$17:$G$22)*Kalender!D103/SUM(Kalender!$D$5:$D$370),0)+IFERROR(SUMIF(Nutzungsprofile!$B$17:$B$22,"Individuell",Nutzungsprofile!$G$17:$G$22)*Kalender!E103/SUM(Kalender!$E$5:$E$370),0))*Szenarien!$D$17,0)</f>
        <v>4.94</v>
      </c>
      <c r="E2299" s="13" t="n">
        <f aca="false">IFERROR(MIN(C2299,Eingaben!$B$17)*Eingaben!$B$16,0)</f>
        <v>2.793</v>
      </c>
      <c r="F2299" s="13" t="n">
        <f aca="false">IFERROR(E2299*Eingaben!$B$15,0)</f>
        <v>2.5137</v>
      </c>
      <c r="G2299" s="13" t="n">
        <f aca="false">IFERROR(IF(Kalender!A103="",0,J2298*(1-Eingaben!$B$20)),0)</f>
        <v>0.7390278</v>
      </c>
      <c r="H2299" s="13" t="n">
        <f aca="false">MIN(G2299,D2299)</f>
        <v>0.7390278</v>
      </c>
      <c r="I2299" s="13" t="n">
        <f aca="false">IFERROR(MIN(F2299*Eingaben!$B$19,MAX(0,D2299-H2299)),0)</f>
        <v>1.75959</v>
      </c>
      <c r="J2299" s="13" t="n">
        <f aca="false">IFERROR(MIN(Eingaben!$B$18,MAX(0,F2299-I2299)),0)</f>
        <v>0.75411</v>
      </c>
      <c r="K2299" s="13" t="n">
        <f aca="false">H2299+I2299</f>
        <v>2.4986178</v>
      </c>
      <c r="L2299" s="13" t="n">
        <f aca="false">MAX(0,D2299-K2299)</f>
        <v>2.4413822</v>
      </c>
      <c r="M2299" s="13" t="n">
        <f aca="false">MAX(0,F2299-I2299-J2299)</f>
        <v>0</v>
      </c>
      <c r="N2299" s="13" t="n">
        <f aca="false">IF(Kalender!A103="",0,J2298-H2299)</f>
        <v>0.0150822</v>
      </c>
    </row>
    <row r="2300" customFormat="false" ht="16.4" hidden="false" customHeight="false" outlineLevel="0" collapsed="false">
      <c r="A2300" s="13" t="str">
        <f aca="false">""</f>
        <v/>
      </c>
      <c r="B2300" s="13" t="n">
        <f aca="false">100</f>
        <v>100</v>
      </c>
      <c r="C2300" s="13" t="n">
        <f aca="false">IF(Szenarien!$H$17="OK",(IFERROR(SUMIF(Nutzungsprofile!$B$6:$B$11,"Schulbetrieb",Nutzungsprofile!$G$6:$G$11)*Kalender!C104/SUM(Kalender!$C$5:$C$370),0)+IFERROR(SUMIF(Nutzungsprofile!$B$6:$B$11,"Halle",Nutzungsprofile!$G$6:$G$11)*Kalender!D104/SUM(Kalender!$D$5:$D$370),0)+IFERROR(SUMIF(Nutzungsprofile!$B$6:$B$11,"Individuell",Nutzungsprofile!$G$6:$G$11)*Kalender!E104/SUM(Kalender!$E$5:$E$370),0))*Szenarien!$E$17,0)</f>
        <v>2.94</v>
      </c>
      <c r="D2300" s="13" t="n">
        <f aca="false">IF(Szenarien!$H$17="OK",(IFERROR(SUMIF(Nutzungsprofile!$B$17:$B$22,"Schulbetrieb",Nutzungsprofile!$G$17:$G$22)*Kalender!C104/SUM(Kalender!$C$5:$C$370),0)+IFERROR(SUMIF(Nutzungsprofile!$B$17:$B$22,"Halle",Nutzungsprofile!$G$17:$G$22)*Kalender!D104/SUM(Kalender!$D$5:$D$370),0)+IFERROR(SUMIF(Nutzungsprofile!$B$17:$B$22,"Individuell",Nutzungsprofile!$G$17:$G$22)*Kalender!E104/SUM(Kalender!$E$5:$E$370),0))*Szenarien!$D$17,0)</f>
        <v>4.94</v>
      </c>
      <c r="E2300" s="13" t="n">
        <f aca="false">IFERROR(MIN(C2300,Eingaben!$B$17)*Eingaben!$B$16,0)</f>
        <v>2.793</v>
      </c>
      <c r="F2300" s="13" t="n">
        <f aca="false">IFERROR(E2300*Eingaben!$B$15,0)</f>
        <v>2.5137</v>
      </c>
      <c r="G2300" s="13" t="n">
        <f aca="false">IFERROR(IF(Kalender!A104="",0,J2299*(1-Eingaben!$B$20)),0)</f>
        <v>0.7390278</v>
      </c>
      <c r="H2300" s="13" t="n">
        <f aca="false">MIN(G2300,D2300)</f>
        <v>0.7390278</v>
      </c>
      <c r="I2300" s="13" t="n">
        <f aca="false">IFERROR(MIN(F2300*Eingaben!$B$19,MAX(0,D2300-H2300)),0)</f>
        <v>1.75959</v>
      </c>
      <c r="J2300" s="13" t="n">
        <f aca="false">IFERROR(MIN(Eingaben!$B$18,MAX(0,F2300-I2300)),0)</f>
        <v>0.75411</v>
      </c>
      <c r="K2300" s="13" t="n">
        <f aca="false">H2300+I2300</f>
        <v>2.4986178</v>
      </c>
      <c r="L2300" s="13" t="n">
        <f aca="false">MAX(0,D2300-K2300)</f>
        <v>2.4413822</v>
      </c>
      <c r="M2300" s="13" t="n">
        <f aca="false">MAX(0,F2300-I2300-J2300)</f>
        <v>0</v>
      </c>
      <c r="N2300" s="13" t="n">
        <f aca="false">IF(Kalender!A104="",0,J2299-H2300)</f>
        <v>0.0150822</v>
      </c>
    </row>
    <row r="2301" customFormat="false" ht="16.4" hidden="false" customHeight="false" outlineLevel="0" collapsed="false">
      <c r="A2301" s="13" t="str">
        <f aca="false">""</f>
        <v/>
      </c>
      <c r="B2301" s="13" t="n">
        <f aca="false">101</f>
        <v>101</v>
      </c>
      <c r="C2301" s="13" t="n">
        <f aca="false">IF(Szenarien!$H$17="OK",(IFERROR(SUMIF(Nutzungsprofile!$B$6:$B$11,"Schulbetrieb",Nutzungsprofile!$G$6:$G$11)*Kalender!C105/SUM(Kalender!$C$5:$C$370),0)+IFERROR(SUMIF(Nutzungsprofile!$B$6:$B$11,"Halle",Nutzungsprofile!$G$6:$G$11)*Kalender!D105/SUM(Kalender!$D$5:$D$370),0)+IFERROR(SUMIF(Nutzungsprofile!$B$6:$B$11,"Individuell",Nutzungsprofile!$G$6:$G$11)*Kalender!E105/SUM(Kalender!$E$5:$E$370),0))*Szenarien!$E$17,0)</f>
        <v>2.04</v>
      </c>
      <c r="D2301" s="13" t="n">
        <f aca="false">IF(Szenarien!$H$17="OK",(IFERROR(SUMIF(Nutzungsprofile!$B$17:$B$22,"Schulbetrieb",Nutzungsprofile!$G$17:$G$22)*Kalender!C105/SUM(Kalender!$C$5:$C$370),0)+IFERROR(SUMIF(Nutzungsprofile!$B$17:$B$22,"Halle",Nutzungsprofile!$G$17:$G$22)*Kalender!D105/SUM(Kalender!$D$5:$D$370),0)+IFERROR(SUMIF(Nutzungsprofile!$B$17:$B$22,"Individuell",Nutzungsprofile!$G$17:$G$22)*Kalender!E105/SUM(Kalender!$E$5:$E$370),0))*Szenarien!$D$17,0)</f>
        <v>0.89</v>
      </c>
      <c r="E2301" s="13" t="n">
        <f aca="false">IFERROR(MIN(C2301,Eingaben!$B$17)*Eingaben!$B$16,0)</f>
        <v>1.938</v>
      </c>
      <c r="F2301" s="13" t="n">
        <f aca="false">IFERROR(E2301*Eingaben!$B$15,0)</f>
        <v>1.7442</v>
      </c>
      <c r="G2301" s="13" t="n">
        <f aca="false">IFERROR(IF(Kalender!A105="",0,J2300*(1-Eingaben!$B$20)),0)</f>
        <v>0.7390278</v>
      </c>
      <c r="H2301" s="13" t="n">
        <f aca="false">MIN(G2301,D2301)</f>
        <v>0.7390278</v>
      </c>
      <c r="I2301" s="13" t="n">
        <f aca="false">IFERROR(MIN(F2301*Eingaben!$B$19,MAX(0,D2301-H2301)),0)</f>
        <v>0.1509722</v>
      </c>
      <c r="J2301" s="13" t="n">
        <f aca="false">IFERROR(MIN(Eingaben!$B$18,MAX(0,F2301-I2301)),0)</f>
        <v>1.5932278</v>
      </c>
      <c r="K2301" s="13" t="n">
        <f aca="false">H2301+I2301</f>
        <v>0.89</v>
      </c>
      <c r="L2301" s="13" t="n">
        <f aca="false">MAX(0,D2301-K2301)</f>
        <v>0</v>
      </c>
      <c r="M2301" s="13" t="n">
        <f aca="false">MAX(0,F2301-I2301-J2301)</f>
        <v>0</v>
      </c>
      <c r="N2301" s="13" t="n">
        <f aca="false">IF(Kalender!A105="",0,J2300-H2301)</f>
        <v>0.0150822</v>
      </c>
    </row>
    <row r="2302" customFormat="false" ht="16.4" hidden="false" customHeight="false" outlineLevel="0" collapsed="false">
      <c r="A2302" s="13" t="str">
        <f aca="false">""</f>
        <v/>
      </c>
      <c r="B2302" s="13" t="n">
        <f aca="false">102</f>
        <v>102</v>
      </c>
      <c r="C2302" s="13" t="n">
        <f aca="false">IF(Szenarien!$H$17="OK",(IFERROR(SUMIF(Nutzungsprofile!$B$6:$B$11,"Schulbetrieb",Nutzungsprofile!$G$6:$G$11)*Kalender!C106/SUM(Kalender!$C$5:$C$370),0)+IFERROR(SUMIF(Nutzungsprofile!$B$6:$B$11,"Halle",Nutzungsprofile!$G$6:$G$11)*Kalender!D106/SUM(Kalender!$D$5:$D$370),0)+IFERROR(SUMIF(Nutzungsprofile!$B$6:$B$11,"Individuell",Nutzungsprofile!$G$6:$G$11)*Kalender!E106/SUM(Kalender!$E$5:$E$370),0))*Szenarien!$E$17,0)</f>
        <v>2.04</v>
      </c>
      <c r="D2302" s="13" t="n">
        <f aca="false">IF(Szenarien!$H$17="OK",(IFERROR(SUMIF(Nutzungsprofile!$B$17:$B$22,"Schulbetrieb",Nutzungsprofile!$G$17:$G$22)*Kalender!C106/SUM(Kalender!$C$5:$C$370),0)+IFERROR(SUMIF(Nutzungsprofile!$B$17:$B$22,"Halle",Nutzungsprofile!$G$17:$G$22)*Kalender!D106/SUM(Kalender!$D$5:$D$370),0)+IFERROR(SUMIF(Nutzungsprofile!$B$17:$B$22,"Individuell",Nutzungsprofile!$G$17:$G$22)*Kalender!E106/SUM(Kalender!$E$5:$E$370),0))*Szenarien!$D$17,0)</f>
        <v>0.89</v>
      </c>
      <c r="E2302" s="13" t="n">
        <f aca="false">IFERROR(MIN(C2302,Eingaben!$B$17)*Eingaben!$B$16,0)</f>
        <v>1.938</v>
      </c>
      <c r="F2302" s="13" t="n">
        <f aca="false">IFERROR(E2302*Eingaben!$B$15,0)</f>
        <v>1.7442</v>
      </c>
      <c r="G2302" s="13" t="n">
        <f aca="false">IFERROR(IF(Kalender!A106="",0,J2301*(1-Eingaben!$B$20)),0)</f>
        <v>1.561363244</v>
      </c>
      <c r="H2302" s="13" t="n">
        <f aca="false">MIN(G2302,D2302)</f>
        <v>0.89</v>
      </c>
      <c r="I2302" s="13" t="n">
        <f aca="false">IFERROR(MIN(F2302*Eingaben!$B$19,MAX(0,D2302-H2302)),0)</f>
        <v>0</v>
      </c>
      <c r="J2302" s="13" t="n">
        <f aca="false">IFERROR(MIN(Eingaben!$B$18,MAX(0,F2302-I2302)),0)</f>
        <v>1.7442</v>
      </c>
      <c r="K2302" s="13" t="n">
        <f aca="false">H2302+I2302</f>
        <v>0.89</v>
      </c>
      <c r="L2302" s="13" t="n">
        <f aca="false">MAX(0,D2302-K2302)</f>
        <v>0</v>
      </c>
      <c r="M2302" s="13" t="n">
        <f aca="false">MAX(0,F2302-I2302-J2302)</f>
        <v>0</v>
      </c>
      <c r="N2302" s="13" t="n">
        <f aca="false">IF(Kalender!A106="",0,J2301-H2302)</f>
        <v>0.7032278</v>
      </c>
    </row>
    <row r="2303" customFormat="false" ht="16.4" hidden="false" customHeight="false" outlineLevel="0" collapsed="false">
      <c r="A2303" s="13" t="str">
        <f aca="false">""</f>
        <v/>
      </c>
      <c r="B2303" s="13" t="n">
        <f aca="false">103</f>
        <v>103</v>
      </c>
      <c r="C2303" s="13" t="n">
        <f aca="false">IF(Szenarien!$H$17="OK",(IFERROR(SUMIF(Nutzungsprofile!$B$6:$B$11,"Schulbetrieb",Nutzungsprofile!$G$6:$G$11)*Kalender!C107/SUM(Kalender!$C$5:$C$370),0)+IFERROR(SUMIF(Nutzungsprofile!$B$6:$B$11,"Halle",Nutzungsprofile!$G$6:$G$11)*Kalender!D107/SUM(Kalender!$D$5:$D$370),0)+IFERROR(SUMIF(Nutzungsprofile!$B$6:$B$11,"Individuell",Nutzungsprofile!$G$6:$G$11)*Kalender!E107/SUM(Kalender!$E$5:$E$370),0))*Szenarien!$E$17,0)</f>
        <v>2.94</v>
      </c>
      <c r="D2303" s="13" t="n">
        <f aca="false">IF(Szenarien!$H$17="OK",(IFERROR(SUMIF(Nutzungsprofile!$B$17:$B$22,"Schulbetrieb",Nutzungsprofile!$G$17:$G$22)*Kalender!C107/SUM(Kalender!$C$5:$C$370),0)+IFERROR(SUMIF(Nutzungsprofile!$B$17:$B$22,"Halle",Nutzungsprofile!$G$17:$G$22)*Kalender!D107/SUM(Kalender!$D$5:$D$370),0)+IFERROR(SUMIF(Nutzungsprofile!$B$17:$B$22,"Individuell",Nutzungsprofile!$G$17:$G$22)*Kalender!E107/SUM(Kalender!$E$5:$E$370),0))*Szenarien!$D$17,0)</f>
        <v>4.94</v>
      </c>
      <c r="E2303" s="13" t="n">
        <f aca="false">IFERROR(MIN(C2303,Eingaben!$B$17)*Eingaben!$B$16,0)</f>
        <v>2.793</v>
      </c>
      <c r="F2303" s="13" t="n">
        <f aca="false">IFERROR(E2303*Eingaben!$B$15,0)</f>
        <v>2.5137</v>
      </c>
      <c r="G2303" s="13" t="n">
        <f aca="false">IFERROR(IF(Kalender!A107="",0,J2302*(1-Eingaben!$B$20)),0)</f>
        <v>1.709316</v>
      </c>
      <c r="H2303" s="13" t="n">
        <f aca="false">MIN(G2303,D2303)</f>
        <v>1.709316</v>
      </c>
      <c r="I2303" s="13" t="n">
        <f aca="false">IFERROR(MIN(F2303*Eingaben!$B$19,MAX(0,D2303-H2303)),0)</f>
        <v>1.75959</v>
      </c>
      <c r="J2303" s="13" t="n">
        <f aca="false">IFERROR(MIN(Eingaben!$B$18,MAX(0,F2303-I2303)),0)</f>
        <v>0.75411</v>
      </c>
      <c r="K2303" s="13" t="n">
        <f aca="false">H2303+I2303</f>
        <v>3.468906</v>
      </c>
      <c r="L2303" s="13" t="n">
        <f aca="false">MAX(0,D2303-K2303)</f>
        <v>1.471094</v>
      </c>
      <c r="M2303" s="13" t="n">
        <f aca="false">MAX(0,F2303-I2303-J2303)</f>
        <v>0</v>
      </c>
      <c r="N2303" s="13" t="n">
        <f aca="false">IF(Kalender!A107="",0,J2302-H2303)</f>
        <v>0.0348840000000001</v>
      </c>
    </row>
    <row r="2304" customFormat="false" ht="16.4" hidden="false" customHeight="false" outlineLevel="0" collapsed="false">
      <c r="A2304" s="13" t="str">
        <f aca="false">""</f>
        <v/>
      </c>
      <c r="B2304" s="13" t="n">
        <f aca="false">104</f>
        <v>104</v>
      </c>
      <c r="C2304" s="13" t="n">
        <f aca="false">IF(Szenarien!$H$17="OK",(IFERROR(SUMIF(Nutzungsprofile!$B$6:$B$11,"Schulbetrieb",Nutzungsprofile!$G$6:$G$11)*Kalender!C108/SUM(Kalender!$C$5:$C$370),0)+IFERROR(SUMIF(Nutzungsprofile!$B$6:$B$11,"Halle",Nutzungsprofile!$G$6:$G$11)*Kalender!D108/SUM(Kalender!$D$5:$D$370),0)+IFERROR(SUMIF(Nutzungsprofile!$B$6:$B$11,"Individuell",Nutzungsprofile!$G$6:$G$11)*Kalender!E108/SUM(Kalender!$E$5:$E$370),0))*Szenarien!$E$17,0)</f>
        <v>2.94</v>
      </c>
      <c r="D2304" s="13" t="n">
        <f aca="false">IF(Szenarien!$H$17="OK",(IFERROR(SUMIF(Nutzungsprofile!$B$17:$B$22,"Schulbetrieb",Nutzungsprofile!$G$17:$G$22)*Kalender!C108/SUM(Kalender!$C$5:$C$370),0)+IFERROR(SUMIF(Nutzungsprofile!$B$17:$B$22,"Halle",Nutzungsprofile!$G$17:$G$22)*Kalender!D108/SUM(Kalender!$D$5:$D$370),0)+IFERROR(SUMIF(Nutzungsprofile!$B$17:$B$22,"Individuell",Nutzungsprofile!$G$17:$G$22)*Kalender!E108/SUM(Kalender!$E$5:$E$370),0))*Szenarien!$D$17,0)</f>
        <v>4.94</v>
      </c>
      <c r="E2304" s="13" t="n">
        <f aca="false">IFERROR(MIN(C2304,Eingaben!$B$17)*Eingaben!$B$16,0)</f>
        <v>2.793</v>
      </c>
      <c r="F2304" s="13" t="n">
        <f aca="false">IFERROR(E2304*Eingaben!$B$15,0)</f>
        <v>2.5137</v>
      </c>
      <c r="G2304" s="13" t="n">
        <f aca="false">IFERROR(IF(Kalender!A108="",0,J2303*(1-Eingaben!$B$20)),0)</f>
        <v>0.7390278</v>
      </c>
      <c r="H2304" s="13" t="n">
        <f aca="false">MIN(G2304,D2304)</f>
        <v>0.7390278</v>
      </c>
      <c r="I2304" s="13" t="n">
        <f aca="false">IFERROR(MIN(F2304*Eingaben!$B$19,MAX(0,D2304-H2304)),0)</f>
        <v>1.75959</v>
      </c>
      <c r="J2304" s="13" t="n">
        <f aca="false">IFERROR(MIN(Eingaben!$B$18,MAX(0,F2304-I2304)),0)</f>
        <v>0.75411</v>
      </c>
      <c r="K2304" s="13" t="n">
        <f aca="false">H2304+I2304</f>
        <v>2.4986178</v>
      </c>
      <c r="L2304" s="13" t="n">
        <f aca="false">MAX(0,D2304-K2304)</f>
        <v>2.4413822</v>
      </c>
      <c r="M2304" s="13" t="n">
        <f aca="false">MAX(0,F2304-I2304-J2304)</f>
        <v>0</v>
      </c>
      <c r="N2304" s="13" t="n">
        <f aca="false">IF(Kalender!A108="",0,J2303-H2304)</f>
        <v>0.0150822</v>
      </c>
    </row>
    <row r="2305" customFormat="false" ht="16.4" hidden="false" customHeight="false" outlineLevel="0" collapsed="false">
      <c r="A2305" s="13" t="str">
        <f aca="false">""</f>
        <v/>
      </c>
      <c r="B2305" s="13" t="n">
        <f aca="false">105</f>
        <v>105</v>
      </c>
      <c r="C2305" s="13" t="n">
        <f aca="false">IF(Szenarien!$H$17="OK",(IFERROR(SUMIF(Nutzungsprofile!$B$6:$B$11,"Schulbetrieb",Nutzungsprofile!$G$6:$G$11)*Kalender!C109/SUM(Kalender!$C$5:$C$370),0)+IFERROR(SUMIF(Nutzungsprofile!$B$6:$B$11,"Halle",Nutzungsprofile!$G$6:$G$11)*Kalender!D109/SUM(Kalender!$D$5:$D$370),0)+IFERROR(SUMIF(Nutzungsprofile!$B$6:$B$11,"Individuell",Nutzungsprofile!$G$6:$G$11)*Kalender!E109/SUM(Kalender!$E$5:$E$370),0))*Szenarien!$E$17,0)</f>
        <v>2.94</v>
      </c>
      <c r="D2305" s="13" t="n">
        <f aca="false">IF(Szenarien!$H$17="OK",(IFERROR(SUMIF(Nutzungsprofile!$B$17:$B$22,"Schulbetrieb",Nutzungsprofile!$G$17:$G$22)*Kalender!C109/SUM(Kalender!$C$5:$C$370),0)+IFERROR(SUMIF(Nutzungsprofile!$B$17:$B$22,"Halle",Nutzungsprofile!$G$17:$G$22)*Kalender!D109/SUM(Kalender!$D$5:$D$370),0)+IFERROR(SUMIF(Nutzungsprofile!$B$17:$B$22,"Individuell",Nutzungsprofile!$G$17:$G$22)*Kalender!E109/SUM(Kalender!$E$5:$E$370),0))*Szenarien!$D$17,0)</f>
        <v>4.94</v>
      </c>
      <c r="E2305" s="13" t="n">
        <f aca="false">IFERROR(MIN(C2305,Eingaben!$B$17)*Eingaben!$B$16,0)</f>
        <v>2.793</v>
      </c>
      <c r="F2305" s="13" t="n">
        <f aca="false">IFERROR(E2305*Eingaben!$B$15,0)</f>
        <v>2.5137</v>
      </c>
      <c r="G2305" s="13" t="n">
        <f aca="false">IFERROR(IF(Kalender!A109="",0,J2304*(1-Eingaben!$B$20)),0)</f>
        <v>0.7390278</v>
      </c>
      <c r="H2305" s="13" t="n">
        <f aca="false">MIN(G2305,D2305)</f>
        <v>0.7390278</v>
      </c>
      <c r="I2305" s="13" t="n">
        <f aca="false">IFERROR(MIN(F2305*Eingaben!$B$19,MAX(0,D2305-H2305)),0)</f>
        <v>1.75959</v>
      </c>
      <c r="J2305" s="13" t="n">
        <f aca="false">IFERROR(MIN(Eingaben!$B$18,MAX(0,F2305-I2305)),0)</f>
        <v>0.75411</v>
      </c>
      <c r="K2305" s="13" t="n">
        <f aca="false">H2305+I2305</f>
        <v>2.4986178</v>
      </c>
      <c r="L2305" s="13" t="n">
        <f aca="false">MAX(0,D2305-K2305)</f>
        <v>2.4413822</v>
      </c>
      <c r="M2305" s="13" t="n">
        <f aca="false">MAX(0,F2305-I2305-J2305)</f>
        <v>0</v>
      </c>
      <c r="N2305" s="13" t="n">
        <f aca="false">IF(Kalender!A109="",0,J2304-H2305)</f>
        <v>0.0150822</v>
      </c>
    </row>
    <row r="2306" customFormat="false" ht="16.4" hidden="false" customHeight="false" outlineLevel="0" collapsed="false">
      <c r="A2306" s="13" t="str">
        <f aca="false">""</f>
        <v/>
      </c>
      <c r="B2306" s="13" t="n">
        <f aca="false">106</f>
        <v>106</v>
      </c>
      <c r="C2306" s="13" t="n">
        <f aca="false">IF(Szenarien!$H$17="OK",(IFERROR(SUMIF(Nutzungsprofile!$B$6:$B$11,"Schulbetrieb",Nutzungsprofile!$G$6:$G$11)*Kalender!C110/SUM(Kalender!$C$5:$C$370),0)+IFERROR(SUMIF(Nutzungsprofile!$B$6:$B$11,"Halle",Nutzungsprofile!$G$6:$G$11)*Kalender!D110/SUM(Kalender!$D$5:$D$370),0)+IFERROR(SUMIF(Nutzungsprofile!$B$6:$B$11,"Individuell",Nutzungsprofile!$G$6:$G$11)*Kalender!E110/SUM(Kalender!$E$5:$E$370),0))*Szenarien!$E$17,0)</f>
        <v>2.94</v>
      </c>
      <c r="D2306" s="13" t="n">
        <f aca="false">IF(Szenarien!$H$17="OK",(IFERROR(SUMIF(Nutzungsprofile!$B$17:$B$22,"Schulbetrieb",Nutzungsprofile!$G$17:$G$22)*Kalender!C110/SUM(Kalender!$C$5:$C$370),0)+IFERROR(SUMIF(Nutzungsprofile!$B$17:$B$22,"Halle",Nutzungsprofile!$G$17:$G$22)*Kalender!D110/SUM(Kalender!$D$5:$D$370),0)+IFERROR(SUMIF(Nutzungsprofile!$B$17:$B$22,"Individuell",Nutzungsprofile!$G$17:$G$22)*Kalender!E110/SUM(Kalender!$E$5:$E$370),0))*Szenarien!$D$17,0)</f>
        <v>4.94</v>
      </c>
      <c r="E2306" s="13" t="n">
        <f aca="false">IFERROR(MIN(C2306,Eingaben!$B$17)*Eingaben!$B$16,0)</f>
        <v>2.793</v>
      </c>
      <c r="F2306" s="13" t="n">
        <f aca="false">IFERROR(E2306*Eingaben!$B$15,0)</f>
        <v>2.5137</v>
      </c>
      <c r="G2306" s="13" t="n">
        <f aca="false">IFERROR(IF(Kalender!A110="",0,J2305*(1-Eingaben!$B$20)),0)</f>
        <v>0.7390278</v>
      </c>
      <c r="H2306" s="13" t="n">
        <f aca="false">MIN(G2306,D2306)</f>
        <v>0.7390278</v>
      </c>
      <c r="I2306" s="13" t="n">
        <f aca="false">IFERROR(MIN(F2306*Eingaben!$B$19,MAX(0,D2306-H2306)),0)</f>
        <v>1.75959</v>
      </c>
      <c r="J2306" s="13" t="n">
        <f aca="false">IFERROR(MIN(Eingaben!$B$18,MAX(0,F2306-I2306)),0)</f>
        <v>0.75411</v>
      </c>
      <c r="K2306" s="13" t="n">
        <f aca="false">H2306+I2306</f>
        <v>2.4986178</v>
      </c>
      <c r="L2306" s="13" t="n">
        <f aca="false">MAX(0,D2306-K2306)</f>
        <v>2.4413822</v>
      </c>
      <c r="M2306" s="13" t="n">
        <f aca="false">MAX(0,F2306-I2306-J2306)</f>
        <v>0</v>
      </c>
      <c r="N2306" s="13" t="n">
        <f aca="false">IF(Kalender!A110="",0,J2305-H2306)</f>
        <v>0.0150822</v>
      </c>
    </row>
    <row r="2307" customFormat="false" ht="16.4" hidden="false" customHeight="false" outlineLevel="0" collapsed="false">
      <c r="A2307" s="13" t="str">
        <f aca="false">""</f>
        <v/>
      </c>
      <c r="B2307" s="13" t="n">
        <f aca="false">107</f>
        <v>107</v>
      </c>
      <c r="C2307" s="13" t="n">
        <f aca="false">IF(Szenarien!$H$17="OK",(IFERROR(SUMIF(Nutzungsprofile!$B$6:$B$11,"Schulbetrieb",Nutzungsprofile!$G$6:$G$11)*Kalender!C111/SUM(Kalender!$C$5:$C$370),0)+IFERROR(SUMIF(Nutzungsprofile!$B$6:$B$11,"Halle",Nutzungsprofile!$G$6:$G$11)*Kalender!D111/SUM(Kalender!$D$5:$D$370),0)+IFERROR(SUMIF(Nutzungsprofile!$B$6:$B$11,"Individuell",Nutzungsprofile!$G$6:$G$11)*Kalender!E111/SUM(Kalender!$E$5:$E$370),0))*Szenarien!$E$17,0)</f>
        <v>2.94</v>
      </c>
      <c r="D2307" s="13" t="n">
        <f aca="false">IF(Szenarien!$H$17="OK",(IFERROR(SUMIF(Nutzungsprofile!$B$17:$B$22,"Schulbetrieb",Nutzungsprofile!$G$17:$G$22)*Kalender!C111/SUM(Kalender!$C$5:$C$370),0)+IFERROR(SUMIF(Nutzungsprofile!$B$17:$B$22,"Halle",Nutzungsprofile!$G$17:$G$22)*Kalender!D111/SUM(Kalender!$D$5:$D$370),0)+IFERROR(SUMIF(Nutzungsprofile!$B$17:$B$22,"Individuell",Nutzungsprofile!$G$17:$G$22)*Kalender!E111/SUM(Kalender!$E$5:$E$370),0))*Szenarien!$D$17,0)</f>
        <v>4.94</v>
      </c>
      <c r="E2307" s="13" t="n">
        <f aca="false">IFERROR(MIN(C2307,Eingaben!$B$17)*Eingaben!$B$16,0)</f>
        <v>2.793</v>
      </c>
      <c r="F2307" s="13" t="n">
        <f aca="false">IFERROR(E2307*Eingaben!$B$15,0)</f>
        <v>2.5137</v>
      </c>
      <c r="G2307" s="13" t="n">
        <f aca="false">IFERROR(IF(Kalender!A111="",0,J2306*(1-Eingaben!$B$20)),0)</f>
        <v>0.7390278</v>
      </c>
      <c r="H2307" s="13" t="n">
        <f aca="false">MIN(G2307,D2307)</f>
        <v>0.7390278</v>
      </c>
      <c r="I2307" s="13" t="n">
        <f aca="false">IFERROR(MIN(F2307*Eingaben!$B$19,MAX(0,D2307-H2307)),0)</f>
        <v>1.75959</v>
      </c>
      <c r="J2307" s="13" t="n">
        <f aca="false">IFERROR(MIN(Eingaben!$B$18,MAX(0,F2307-I2307)),0)</f>
        <v>0.75411</v>
      </c>
      <c r="K2307" s="13" t="n">
        <f aca="false">H2307+I2307</f>
        <v>2.4986178</v>
      </c>
      <c r="L2307" s="13" t="n">
        <f aca="false">MAX(0,D2307-K2307)</f>
        <v>2.4413822</v>
      </c>
      <c r="M2307" s="13" t="n">
        <f aca="false">MAX(0,F2307-I2307-J2307)</f>
        <v>0</v>
      </c>
      <c r="N2307" s="13" t="n">
        <f aca="false">IF(Kalender!A111="",0,J2306-H2307)</f>
        <v>0.0150822</v>
      </c>
    </row>
    <row r="2308" customFormat="false" ht="16.4" hidden="false" customHeight="false" outlineLevel="0" collapsed="false">
      <c r="A2308" s="13" t="str">
        <f aca="false">""</f>
        <v/>
      </c>
      <c r="B2308" s="13" t="n">
        <f aca="false">108</f>
        <v>108</v>
      </c>
      <c r="C2308" s="13" t="n">
        <f aca="false">IF(Szenarien!$H$17="OK",(IFERROR(SUMIF(Nutzungsprofile!$B$6:$B$11,"Schulbetrieb",Nutzungsprofile!$G$6:$G$11)*Kalender!C112/SUM(Kalender!$C$5:$C$370),0)+IFERROR(SUMIF(Nutzungsprofile!$B$6:$B$11,"Halle",Nutzungsprofile!$G$6:$G$11)*Kalender!D112/SUM(Kalender!$D$5:$D$370),0)+IFERROR(SUMIF(Nutzungsprofile!$B$6:$B$11,"Individuell",Nutzungsprofile!$G$6:$G$11)*Kalender!E112/SUM(Kalender!$E$5:$E$370),0))*Szenarien!$E$17,0)</f>
        <v>2.04</v>
      </c>
      <c r="D2308" s="13" t="n">
        <f aca="false">IF(Szenarien!$H$17="OK",(IFERROR(SUMIF(Nutzungsprofile!$B$17:$B$22,"Schulbetrieb",Nutzungsprofile!$G$17:$G$22)*Kalender!C112/SUM(Kalender!$C$5:$C$370),0)+IFERROR(SUMIF(Nutzungsprofile!$B$17:$B$22,"Halle",Nutzungsprofile!$G$17:$G$22)*Kalender!D112/SUM(Kalender!$D$5:$D$370),0)+IFERROR(SUMIF(Nutzungsprofile!$B$17:$B$22,"Individuell",Nutzungsprofile!$G$17:$G$22)*Kalender!E112/SUM(Kalender!$E$5:$E$370),0))*Szenarien!$D$17,0)</f>
        <v>0.89</v>
      </c>
      <c r="E2308" s="13" t="n">
        <f aca="false">IFERROR(MIN(C2308,Eingaben!$B$17)*Eingaben!$B$16,0)</f>
        <v>1.938</v>
      </c>
      <c r="F2308" s="13" t="n">
        <f aca="false">IFERROR(E2308*Eingaben!$B$15,0)</f>
        <v>1.7442</v>
      </c>
      <c r="G2308" s="13" t="n">
        <f aca="false">IFERROR(IF(Kalender!A112="",0,J2307*(1-Eingaben!$B$20)),0)</f>
        <v>0.7390278</v>
      </c>
      <c r="H2308" s="13" t="n">
        <f aca="false">MIN(G2308,D2308)</f>
        <v>0.7390278</v>
      </c>
      <c r="I2308" s="13" t="n">
        <f aca="false">IFERROR(MIN(F2308*Eingaben!$B$19,MAX(0,D2308-H2308)),0)</f>
        <v>0.1509722</v>
      </c>
      <c r="J2308" s="13" t="n">
        <f aca="false">IFERROR(MIN(Eingaben!$B$18,MAX(0,F2308-I2308)),0)</f>
        <v>1.5932278</v>
      </c>
      <c r="K2308" s="13" t="n">
        <f aca="false">H2308+I2308</f>
        <v>0.89</v>
      </c>
      <c r="L2308" s="13" t="n">
        <f aca="false">MAX(0,D2308-K2308)</f>
        <v>0</v>
      </c>
      <c r="M2308" s="13" t="n">
        <f aca="false">MAX(0,F2308-I2308-J2308)</f>
        <v>0</v>
      </c>
      <c r="N2308" s="13" t="n">
        <f aca="false">IF(Kalender!A112="",0,J2307-H2308)</f>
        <v>0.0150822</v>
      </c>
    </row>
    <row r="2309" customFormat="false" ht="16.4" hidden="false" customHeight="false" outlineLevel="0" collapsed="false">
      <c r="A2309" s="13" t="str">
        <f aca="false">""</f>
        <v/>
      </c>
      <c r="B2309" s="13" t="n">
        <f aca="false">109</f>
        <v>109</v>
      </c>
      <c r="C2309" s="13" t="n">
        <f aca="false">IF(Szenarien!$H$17="OK",(IFERROR(SUMIF(Nutzungsprofile!$B$6:$B$11,"Schulbetrieb",Nutzungsprofile!$G$6:$G$11)*Kalender!C113/SUM(Kalender!$C$5:$C$370),0)+IFERROR(SUMIF(Nutzungsprofile!$B$6:$B$11,"Halle",Nutzungsprofile!$G$6:$G$11)*Kalender!D113/SUM(Kalender!$D$5:$D$370),0)+IFERROR(SUMIF(Nutzungsprofile!$B$6:$B$11,"Individuell",Nutzungsprofile!$G$6:$G$11)*Kalender!E113/SUM(Kalender!$E$5:$E$370),0))*Szenarien!$E$17,0)</f>
        <v>2.04</v>
      </c>
      <c r="D2309" s="13" t="n">
        <f aca="false">IF(Szenarien!$H$17="OK",(IFERROR(SUMIF(Nutzungsprofile!$B$17:$B$22,"Schulbetrieb",Nutzungsprofile!$G$17:$G$22)*Kalender!C113/SUM(Kalender!$C$5:$C$370),0)+IFERROR(SUMIF(Nutzungsprofile!$B$17:$B$22,"Halle",Nutzungsprofile!$G$17:$G$22)*Kalender!D113/SUM(Kalender!$D$5:$D$370),0)+IFERROR(SUMIF(Nutzungsprofile!$B$17:$B$22,"Individuell",Nutzungsprofile!$G$17:$G$22)*Kalender!E113/SUM(Kalender!$E$5:$E$370),0))*Szenarien!$D$17,0)</f>
        <v>0.89</v>
      </c>
      <c r="E2309" s="13" t="n">
        <f aca="false">IFERROR(MIN(C2309,Eingaben!$B$17)*Eingaben!$B$16,0)</f>
        <v>1.938</v>
      </c>
      <c r="F2309" s="13" t="n">
        <f aca="false">IFERROR(E2309*Eingaben!$B$15,0)</f>
        <v>1.7442</v>
      </c>
      <c r="G2309" s="13" t="n">
        <f aca="false">IFERROR(IF(Kalender!A113="",0,J2308*(1-Eingaben!$B$20)),0)</f>
        <v>1.561363244</v>
      </c>
      <c r="H2309" s="13" t="n">
        <f aca="false">MIN(G2309,D2309)</f>
        <v>0.89</v>
      </c>
      <c r="I2309" s="13" t="n">
        <f aca="false">IFERROR(MIN(F2309*Eingaben!$B$19,MAX(0,D2309-H2309)),0)</f>
        <v>0</v>
      </c>
      <c r="J2309" s="13" t="n">
        <f aca="false">IFERROR(MIN(Eingaben!$B$18,MAX(0,F2309-I2309)),0)</f>
        <v>1.7442</v>
      </c>
      <c r="K2309" s="13" t="n">
        <f aca="false">H2309+I2309</f>
        <v>0.89</v>
      </c>
      <c r="L2309" s="13" t="n">
        <f aca="false">MAX(0,D2309-K2309)</f>
        <v>0</v>
      </c>
      <c r="M2309" s="13" t="n">
        <f aca="false">MAX(0,F2309-I2309-J2309)</f>
        <v>0</v>
      </c>
      <c r="N2309" s="13" t="n">
        <f aca="false">IF(Kalender!A113="",0,J2308-H2309)</f>
        <v>0.7032278</v>
      </c>
    </row>
    <row r="2310" customFormat="false" ht="16.4" hidden="false" customHeight="false" outlineLevel="0" collapsed="false">
      <c r="A2310" s="13" t="str">
        <f aca="false">""</f>
        <v/>
      </c>
      <c r="B2310" s="13" t="n">
        <f aca="false">110</f>
        <v>110</v>
      </c>
      <c r="C2310" s="13" t="n">
        <f aca="false">IF(Szenarien!$H$17="OK",(IFERROR(SUMIF(Nutzungsprofile!$B$6:$B$11,"Schulbetrieb",Nutzungsprofile!$G$6:$G$11)*Kalender!C114/SUM(Kalender!$C$5:$C$370),0)+IFERROR(SUMIF(Nutzungsprofile!$B$6:$B$11,"Halle",Nutzungsprofile!$G$6:$G$11)*Kalender!D114/SUM(Kalender!$D$5:$D$370),0)+IFERROR(SUMIF(Nutzungsprofile!$B$6:$B$11,"Individuell",Nutzungsprofile!$G$6:$G$11)*Kalender!E114/SUM(Kalender!$E$5:$E$370),0))*Szenarien!$E$17,0)</f>
        <v>2.94</v>
      </c>
      <c r="D2310" s="13" t="n">
        <f aca="false">IF(Szenarien!$H$17="OK",(IFERROR(SUMIF(Nutzungsprofile!$B$17:$B$22,"Schulbetrieb",Nutzungsprofile!$G$17:$G$22)*Kalender!C114/SUM(Kalender!$C$5:$C$370),0)+IFERROR(SUMIF(Nutzungsprofile!$B$17:$B$22,"Halle",Nutzungsprofile!$G$17:$G$22)*Kalender!D114/SUM(Kalender!$D$5:$D$370),0)+IFERROR(SUMIF(Nutzungsprofile!$B$17:$B$22,"Individuell",Nutzungsprofile!$G$17:$G$22)*Kalender!E114/SUM(Kalender!$E$5:$E$370),0))*Szenarien!$D$17,0)</f>
        <v>4.94</v>
      </c>
      <c r="E2310" s="13" t="n">
        <f aca="false">IFERROR(MIN(C2310,Eingaben!$B$17)*Eingaben!$B$16,0)</f>
        <v>2.793</v>
      </c>
      <c r="F2310" s="13" t="n">
        <f aca="false">IFERROR(E2310*Eingaben!$B$15,0)</f>
        <v>2.5137</v>
      </c>
      <c r="G2310" s="13" t="n">
        <f aca="false">IFERROR(IF(Kalender!A114="",0,J2309*(1-Eingaben!$B$20)),0)</f>
        <v>1.709316</v>
      </c>
      <c r="H2310" s="13" t="n">
        <f aca="false">MIN(G2310,D2310)</f>
        <v>1.709316</v>
      </c>
      <c r="I2310" s="13" t="n">
        <f aca="false">IFERROR(MIN(F2310*Eingaben!$B$19,MAX(0,D2310-H2310)),0)</f>
        <v>1.75959</v>
      </c>
      <c r="J2310" s="13" t="n">
        <f aca="false">IFERROR(MIN(Eingaben!$B$18,MAX(0,F2310-I2310)),0)</f>
        <v>0.75411</v>
      </c>
      <c r="K2310" s="13" t="n">
        <f aca="false">H2310+I2310</f>
        <v>3.468906</v>
      </c>
      <c r="L2310" s="13" t="n">
        <f aca="false">MAX(0,D2310-K2310)</f>
        <v>1.471094</v>
      </c>
      <c r="M2310" s="13" t="n">
        <f aca="false">MAX(0,F2310-I2310-J2310)</f>
        <v>0</v>
      </c>
      <c r="N2310" s="13" t="n">
        <f aca="false">IF(Kalender!A114="",0,J2309-H2310)</f>
        <v>0.0348840000000001</v>
      </c>
    </row>
    <row r="2311" customFormat="false" ht="16.4" hidden="false" customHeight="false" outlineLevel="0" collapsed="false">
      <c r="A2311" s="13" t="str">
        <f aca="false">""</f>
        <v/>
      </c>
      <c r="B2311" s="13" t="n">
        <f aca="false">111</f>
        <v>111</v>
      </c>
      <c r="C2311" s="13" t="n">
        <f aca="false">IF(Szenarien!$H$17="OK",(IFERROR(SUMIF(Nutzungsprofile!$B$6:$B$11,"Schulbetrieb",Nutzungsprofile!$G$6:$G$11)*Kalender!C115/SUM(Kalender!$C$5:$C$370),0)+IFERROR(SUMIF(Nutzungsprofile!$B$6:$B$11,"Halle",Nutzungsprofile!$G$6:$G$11)*Kalender!D115/SUM(Kalender!$D$5:$D$370),0)+IFERROR(SUMIF(Nutzungsprofile!$B$6:$B$11,"Individuell",Nutzungsprofile!$G$6:$G$11)*Kalender!E115/SUM(Kalender!$E$5:$E$370),0))*Szenarien!$E$17,0)</f>
        <v>2.94</v>
      </c>
      <c r="D2311" s="13" t="n">
        <f aca="false">IF(Szenarien!$H$17="OK",(IFERROR(SUMIF(Nutzungsprofile!$B$17:$B$22,"Schulbetrieb",Nutzungsprofile!$G$17:$G$22)*Kalender!C115/SUM(Kalender!$C$5:$C$370),0)+IFERROR(SUMIF(Nutzungsprofile!$B$17:$B$22,"Halle",Nutzungsprofile!$G$17:$G$22)*Kalender!D115/SUM(Kalender!$D$5:$D$370),0)+IFERROR(SUMIF(Nutzungsprofile!$B$17:$B$22,"Individuell",Nutzungsprofile!$G$17:$G$22)*Kalender!E115/SUM(Kalender!$E$5:$E$370),0))*Szenarien!$D$17,0)</f>
        <v>4.94</v>
      </c>
      <c r="E2311" s="13" t="n">
        <f aca="false">IFERROR(MIN(C2311,Eingaben!$B$17)*Eingaben!$B$16,0)</f>
        <v>2.793</v>
      </c>
      <c r="F2311" s="13" t="n">
        <f aca="false">IFERROR(E2311*Eingaben!$B$15,0)</f>
        <v>2.5137</v>
      </c>
      <c r="G2311" s="13" t="n">
        <f aca="false">IFERROR(IF(Kalender!A115="",0,J2310*(1-Eingaben!$B$20)),0)</f>
        <v>0.7390278</v>
      </c>
      <c r="H2311" s="13" t="n">
        <f aca="false">MIN(G2311,D2311)</f>
        <v>0.7390278</v>
      </c>
      <c r="I2311" s="13" t="n">
        <f aca="false">IFERROR(MIN(F2311*Eingaben!$B$19,MAX(0,D2311-H2311)),0)</f>
        <v>1.75959</v>
      </c>
      <c r="J2311" s="13" t="n">
        <f aca="false">IFERROR(MIN(Eingaben!$B$18,MAX(0,F2311-I2311)),0)</f>
        <v>0.75411</v>
      </c>
      <c r="K2311" s="13" t="n">
        <f aca="false">H2311+I2311</f>
        <v>2.4986178</v>
      </c>
      <c r="L2311" s="13" t="n">
        <f aca="false">MAX(0,D2311-K2311)</f>
        <v>2.4413822</v>
      </c>
      <c r="M2311" s="13" t="n">
        <f aca="false">MAX(0,F2311-I2311-J2311)</f>
        <v>0</v>
      </c>
      <c r="N2311" s="13" t="n">
        <f aca="false">IF(Kalender!A115="",0,J2310-H2311)</f>
        <v>0.0150822</v>
      </c>
    </row>
    <row r="2312" customFormat="false" ht="16.4" hidden="false" customHeight="false" outlineLevel="0" collapsed="false">
      <c r="A2312" s="13" t="str">
        <f aca="false">""</f>
        <v/>
      </c>
      <c r="B2312" s="13" t="n">
        <f aca="false">112</f>
        <v>112</v>
      </c>
      <c r="C2312" s="13" t="n">
        <f aca="false">IF(Szenarien!$H$17="OK",(IFERROR(SUMIF(Nutzungsprofile!$B$6:$B$11,"Schulbetrieb",Nutzungsprofile!$G$6:$G$11)*Kalender!C116/SUM(Kalender!$C$5:$C$370),0)+IFERROR(SUMIF(Nutzungsprofile!$B$6:$B$11,"Halle",Nutzungsprofile!$G$6:$G$11)*Kalender!D116/SUM(Kalender!$D$5:$D$370),0)+IFERROR(SUMIF(Nutzungsprofile!$B$6:$B$11,"Individuell",Nutzungsprofile!$G$6:$G$11)*Kalender!E116/SUM(Kalender!$E$5:$E$370),0))*Szenarien!$E$17,0)</f>
        <v>2.94</v>
      </c>
      <c r="D2312" s="13" t="n">
        <f aca="false">IF(Szenarien!$H$17="OK",(IFERROR(SUMIF(Nutzungsprofile!$B$17:$B$22,"Schulbetrieb",Nutzungsprofile!$G$17:$G$22)*Kalender!C116/SUM(Kalender!$C$5:$C$370),0)+IFERROR(SUMIF(Nutzungsprofile!$B$17:$B$22,"Halle",Nutzungsprofile!$G$17:$G$22)*Kalender!D116/SUM(Kalender!$D$5:$D$370),0)+IFERROR(SUMIF(Nutzungsprofile!$B$17:$B$22,"Individuell",Nutzungsprofile!$G$17:$G$22)*Kalender!E116/SUM(Kalender!$E$5:$E$370),0))*Szenarien!$D$17,0)</f>
        <v>4.94</v>
      </c>
      <c r="E2312" s="13" t="n">
        <f aca="false">IFERROR(MIN(C2312,Eingaben!$B$17)*Eingaben!$B$16,0)</f>
        <v>2.793</v>
      </c>
      <c r="F2312" s="13" t="n">
        <f aca="false">IFERROR(E2312*Eingaben!$B$15,0)</f>
        <v>2.5137</v>
      </c>
      <c r="G2312" s="13" t="n">
        <f aca="false">IFERROR(IF(Kalender!A116="",0,J2311*(1-Eingaben!$B$20)),0)</f>
        <v>0.7390278</v>
      </c>
      <c r="H2312" s="13" t="n">
        <f aca="false">MIN(G2312,D2312)</f>
        <v>0.7390278</v>
      </c>
      <c r="I2312" s="13" t="n">
        <f aca="false">IFERROR(MIN(F2312*Eingaben!$B$19,MAX(0,D2312-H2312)),0)</f>
        <v>1.75959</v>
      </c>
      <c r="J2312" s="13" t="n">
        <f aca="false">IFERROR(MIN(Eingaben!$B$18,MAX(0,F2312-I2312)),0)</f>
        <v>0.75411</v>
      </c>
      <c r="K2312" s="13" t="n">
        <f aca="false">H2312+I2312</f>
        <v>2.4986178</v>
      </c>
      <c r="L2312" s="13" t="n">
        <f aca="false">MAX(0,D2312-K2312)</f>
        <v>2.4413822</v>
      </c>
      <c r="M2312" s="13" t="n">
        <f aca="false">MAX(0,F2312-I2312-J2312)</f>
        <v>0</v>
      </c>
      <c r="N2312" s="13" t="n">
        <f aca="false">IF(Kalender!A116="",0,J2311-H2312)</f>
        <v>0.0150822</v>
      </c>
    </row>
    <row r="2313" customFormat="false" ht="16.4" hidden="false" customHeight="false" outlineLevel="0" collapsed="false">
      <c r="A2313" s="13" t="str">
        <f aca="false">""</f>
        <v/>
      </c>
      <c r="B2313" s="13" t="n">
        <f aca="false">113</f>
        <v>113</v>
      </c>
      <c r="C2313" s="13" t="n">
        <f aca="false">IF(Szenarien!$H$17="OK",(IFERROR(SUMIF(Nutzungsprofile!$B$6:$B$11,"Schulbetrieb",Nutzungsprofile!$G$6:$G$11)*Kalender!C117/SUM(Kalender!$C$5:$C$370),0)+IFERROR(SUMIF(Nutzungsprofile!$B$6:$B$11,"Halle",Nutzungsprofile!$G$6:$G$11)*Kalender!D117/SUM(Kalender!$D$5:$D$370),0)+IFERROR(SUMIF(Nutzungsprofile!$B$6:$B$11,"Individuell",Nutzungsprofile!$G$6:$G$11)*Kalender!E117/SUM(Kalender!$E$5:$E$370),0))*Szenarien!$E$17,0)</f>
        <v>2.94</v>
      </c>
      <c r="D2313" s="13" t="n">
        <f aca="false">IF(Szenarien!$H$17="OK",(IFERROR(SUMIF(Nutzungsprofile!$B$17:$B$22,"Schulbetrieb",Nutzungsprofile!$G$17:$G$22)*Kalender!C117/SUM(Kalender!$C$5:$C$370),0)+IFERROR(SUMIF(Nutzungsprofile!$B$17:$B$22,"Halle",Nutzungsprofile!$G$17:$G$22)*Kalender!D117/SUM(Kalender!$D$5:$D$370),0)+IFERROR(SUMIF(Nutzungsprofile!$B$17:$B$22,"Individuell",Nutzungsprofile!$G$17:$G$22)*Kalender!E117/SUM(Kalender!$E$5:$E$370),0))*Szenarien!$D$17,0)</f>
        <v>4.94</v>
      </c>
      <c r="E2313" s="13" t="n">
        <f aca="false">IFERROR(MIN(C2313,Eingaben!$B$17)*Eingaben!$B$16,0)</f>
        <v>2.793</v>
      </c>
      <c r="F2313" s="13" t="n">
        <f aca="false">IFERROR(E2313*Eingaben!$B$15,0)</f>
        <v>2.5137</v>
      </c>
      <c r="G2313" s="13" t="n">
        <f aca="false">IFERROR(IF(Kalender!A117="",0,J2312*(1-Eingaben!$B$20)),0)</f>
        <v>0.7390278</v>
      </c>
      <c r="H2313" s="13" t="n">
        <f aca="false">MIN(G2313,D2313)</f>
        <v>0.7390278</v>
      </c>
      <c r="I2313" s="13" t="n">
        <f aca="false">IFERROR(MIN(F2313*Eingaben!$B$19,MAX(0,D2313-H2313)),0)</f>
        <v>1.75959</v>
      </c>
      <c r="J2313" s="13" t="n">
        <f aca="false">IFERROR(MIN(Eingaben!$B$18,MAX(0,F2313-I2313)),0)</f>
        <v>0.75411</v>
      </c>
      <c r="K2313" s="13" t="n">
        <f aca="false">H2313+I2313</f>
        <v>2.4986178</v>
      </c>
      <c r="L2313" s="13" t="n">
        <f aca="false">MAX(0,D2313-K2313)</f>
        <v>2.4413822</v>
      </c>
      <c r="M2313" s="13" t="n">
        <f aca="false">MAX(0,F2313-I2313-J2313)</f>
        <v>0</v>
      </c>
      <c r="N2313" s="13" t="n">
        <f aca="false">IF(Kalender!A117="",0,J2312-H2313)</f>
        <v>0.0150822</v>
      </c>
    </row>
    <row r="2314" customFormat="false" ht="16.4" hidden="false" customHeight="false" outlineLevel="0" collapsed="false">
      <c r="A2314" s="13" t="str">
        <f aca="false">""</f>
        <v/>
      </c>
      <c r="B2314" s="13" t="n">
        <f aca="false">114</f>
        <v>114</v>
      </c>
      <c r="C2314" s="13" t="n">
        <f aca="false">IF(Szenarien!$H$17="OK",(IFERROR(SUMIF(Nutzungsprofile!$B$6:$B$11,"Schulbetrieb",Nutzungsprofile!$G$6:$G$11)*Kalender!C118/SUM(Kalender!$C$5:$C$370),0)+IFERROR(SUMIF(Nutzungsprofile!$B$6:$B$11,"Halle",Nutzungsprofile!$G$6:$G$11)*Kalender!D118/SUM(Kalender!$D$5:$D$370),0)+IFERROR(SUMIF(Nutzungsprofile!$B$6:$B$11,"Individuell",Nutzungsprofile!$G$6:$G$11)*Kalender!E118/SUM(Kalender!$E$5:$E$370),0))*Szenarien!$E$17,0)</f>
        <v>2.94</v>
      </c>
      <c r="D2314" s="13" t="n">
        <f aca="false">IF(Szenarien!$H$17="OK",(IFERROR(SUMIF(Nutzungsprofile!$B$17:$B$22,"Schulbetrieb",Nutzungsprofile!$G$17:$G$22)*Kalender!C118/SUM(Kalender!$C$5:$C$370),0)+IFERROR(SUMIF(Nutzungsprofile!$B$17:$B$22,"Halle",Nutzungsprofile!$G$17:$G$22)*Kalender!D118/SUM(Kalender!$D$5:$D$370),0)+IFERROR(SUMIF(Nutzungsprofile!$B$17:$B$22,"Individuell",Nutzungsprofile!$G$17:$G$22)*Kalender!E118/SUM(Kalender!$E$5:$E$370),0))*Szenarien!$D$17,0)</f>
        <v>4.94</v>
      </c>
      <c r="E2314" s="13" t="n">
        <f aca="false">IFERROR(MIN(C2314,Eingaben!$B$17)*Eingaben!$B$16,0)</f>
        <v>2.793</v>
      </c>
      <c r="F2314" s="13" t="n">
        <f aca="false">IFERROR(E2314*Eingaben!$B$15,0)</f>
        <v>2.5137</v>
      </c>
      <c r="G2314" s="13" t="n">
        <f aca="false">IFERROR(IF(Kalender!A118="",0,J2313*(1-Eingaben!$B$20)),0)</f>
        <v>0.7390278</v>
      </c>
      <c r="H2314" s="13" t="n">
        <f aca="false">MIN(G2314,D2314)</f>
        <v>0.7390278</v>
      </c>
      <c r="I2314" s="13" t="n">
        <f aca="false">IFERROR(MIN(F2314*Eingaben!$B$19,MAX(0,D2314-H2314)),0)</f>
        <v>1.75959</v>
      </c>
      <c r="J2314" s="13" t="n">
        <f aca="false">IFERROR(MIN(Eingaben!$B$18,MAX(0,F2314-I2314)),0)</f>
        <v>0.75411</v>
      </c>
      <c r="K2314" s="13" t="n">
        <f aca="false">H2314+I2314</f>
        <v>2.4986178</v>
      </c>
      <c r="L2314" s="13" t="n">
        <f aca="false">MAX(0,D2314-K2314)</f>
        <v>2.4413822</v>
      </c>
      <c r="M2314" s="13" t="n">
        <f aca="false">MAX(0,F2314-I2314-J2314)</f>
        <v>0</v>
      </c>
      <c r="N2314" s="13" t="n">
        <f aca="false">IF(Kalender!A118="",0,J2313-H2314)</f>
        <v>0.0150822</v>
      </c>
    </row>
    <row r="2315" customFormat="false" ht="16.4" hidden="false" customHeight="false" outlineLevel="0" collapsed="false">
      <c r="A2315" s="13" t="str">
        <f aca="false">""</f>
        <v/>
      </c>
      <c r="B2315" s="13" t="n">
        <f aca="false">115</f>
        <v>115</v>
      </c>
      <c r="C2315" s="13" t="n">
        <f aca="false">IF(Szenarien!$H$17="OK",(IFERROR(SUMIF(Nutzungsprofile!$B$6:$B$11,"Schulbetrieb",Nutzungsprofile!$G$6:$G$11)*Kalender!C119/SUM(Kalender!$C$5:$C$370),0)+IFERROR(SUMIF(Nutzungsprofile!$B$6:$B$11,"Halle",Nutzungsprofile!$G$6:$G$11)*Kalender!D119/SUM(Kalender!$D$5:$D$370),0)+IFERROR(SUMIF(Nutzungsprofile!$B$6:$B$11,"Individuell",Nutzungsprofile!$G$6:$G$11)*Kalender!E119/SUM(Kalender!$E$5:$E$370),0))*Szenarien!$E$17,0)</f>
        <v>2.04</v>
      </c>
      <c r="D2315" s="13" t="n">
        <f aca="false">IF(Szenarien!$H$17="OK",(IFERROR(SUMIF(Nutzungsprofile!$B$17:$B$22,"Schulbetrieb",Nutzungsprofile!$G$17:$G$22)*Kalender!C119/SUM(Kalender!$C$5:$C$370),0)+IFERROR(SUMIF(Nutzungsprofile!$B$17:$B$22,"Halle",Nutzungsprofile!$G$17:$G$22)*Kalender!D119/SUM(Kalender!$D$5:$D$370),0)+IFERROR(SUMIF(Nutzungsprofile!$B$17:$B$22,"Individuell",Nutzungsprofile!$G$17:$G$22)*Kalender!E119/SUM(Kalender!$E$5:$E$370),0))*Szenarien!$D$17,0)</f>
        <v>0.89</v>
      </c>
      <c r="E2315" s="13" t="n">
        <f aca="false">IFERROR(MIN(C2315,Eingaben!$B$17)*Eingaben!$B$16,0)</f>
        <v>1.938</v>
      </c>
      <c r="F2315" s="13" t="n">
        <f aca="false">IFERROR(E2315*Eingaben!$B$15,0)</f>
        <v>1.7442</v>
      </c>
      <c r="G2315" s="13" t="n">
        <f aca="false">IFERROR(IF(Kalender!A119="",0,J2314*(1-Eingaben!$B$20)),0)</f>
        <v>0.7390278</v>
      </c>
      <c r="H2315" s="13" t="n">
        <f aca="false">MIN(G2315,D2315)</f>
        <v>0.7390278</v>
      </c>
      <c r="I2315" s="13" t="n">
        <f aca="false">IFERROR(MIN(F2315*Eingaben!$B$19,MAX(0,D2315-H2315)),0)</f>
        <v>0.1509722</v>
      </c>
      <c r="J2315" s="13" t="n">
        <f aca="false">IFERROR(MIN(Eingaben!$B$18,MAX(0,F2315-I2315)),0)</f>
        <v>1.5932278</v>
      </c>
      <c r="K2315" s="13" t="n">
        <f aca="false">H2315+I2315</f>
        <v>0.89</v>
      </c>
      <c r="L2315" s="13" t="n">
        <f aca="false">MAX(0,D2315-K2315)</f>
        <v>0</v>
      </c>
      <c r="M2315" s="13" t="n">
        <f aca="false">MAX(0,F2315-I2315-J2315)</f>
        <v>0</v>
      </c>
      <c r="N2315" s="13" t="n">
        <f aca="false">IF(Kalender!A119="",0,J2314-H2315)</f>
        <v>0.0150822</v>
      </c>
    </row>
    <row r="2316" customFormat="false" ht="16.4" hidden="false" customHeight="false" outlineLevel="0" collapsed="false">
      <c r="A2316" s="13" t="str">
        <f aca="false">""</f>
        <v/>
      </c>
      <c r="B2316" s="13" t="n">
        <f aca="false">116</f>
        <v>116</v>
      </c>
      <c r="C2316" s="13" t="n">
        <f aca="false">IF(Szenarien!$H$17="OK",(IFERROR(SUMIF(Nutzungsprofile!$B$6:$B$11,"Schulbetrieb",Nutzungsprofile!$G$6:$G$11)*Kalender!C120/SUM(Kalender!$C$5:$C$370),0)+IFERROR(SUMIF(Nutzungsprofile!$B$6:$B$11,"Halle",Nutzungsprofile!$G$6:$G$11)*Kalender!D120/SUM(Kalender!$D$5:$D$370),0)+IFERROR(SUMIF(Nutzungsprofile!$B$6:$B$11,"Individuell",Nutzungsprofile!$G$6:$G$11)*Kalender!E120/SUM(Kalender!$E$5:$E$370),0))*Szenarien!$E$17,0)</f>
        <v>2.04</v>
      </c>
      <c r="D2316" s="13" t="n">
        <f aca="false">IF(Szenarien!$H$17="OK",(IFERROR(SUMIF(Nutzungsprofile!$B$17:$B$22,"Schulbetrieb",Nutzungsprofile!$G$17:$G$22)*Kalender!C120/SUM(Kalender!$C$5:$C$370),0)+IFERROR(SUMIF(Nutzungsprofile!$B$17:$B$22,"Halle",Nutzungsprofile!$G$17:$G$22)*Kalender!D120/SUM(Kalender!$D$5:$D$370),0)+IFERROR(SUMIF(Nutzungsprofile!$B$17:$B$22,"Individuell",Nutzungsprofile!$G$17:$G$22)*Kalender!E120/SUM(Kalender!$E$5:$E$370),0))*Szenarien!$D$17,0)</f>
        <v>0.89</v>
      </c>
      <c r="E2316" s="13" t="n">
        <f aca="false">IFERROR(MIN(C2316,Eingaben!$B$17)*Eingaben!$B$16,0)</f>
        <v>1.938</v>
      </c>
      <c r="F2316" s="13" t="n">
        <f aca="false">IFERROR(E2316*Eingaben!$B$15,0)</f>
        <v>1.7442</v>
      </c>
      <c r="G2316" s="13" t="n">
        <f aca="false">IFERROR(IF(Kalender!A120="",0,J2315*(1-Eingaben!$B$20)),0)</f>
        <v>1.561363244</v>
      </c>
      <c r="H2316" s="13" t="n">
        <f aca="false">MIN(G2316,D2316)</f>
        <v>0.89</v>
      </c>
      <c r="I2316" s="13" t="n">
        <f aca="false">IFERROR(MIN(F2316*Eingaben!$B$19,MAX(0,D2316-H2316)),0)</f>
        <v>0</v>
      </c>
      <c r="J2316" s="13" t="n">
        <f aca="false">IFERROR(MIN(Eingaben!$B$18,MAX(0,F2316-I2316)),0)</f>
        <v>1.7442</v>
      </c>
      <c r="K2316" s="13" t="n">
        <f aca="false">H2316+I2316</f>
        <v>0.89</v>
      </c>
      <c r="L2316" s="13" t="n">
        <f aca="false">MAX(0,D2316-K2316)</f>
        <v>0</v>
      </c>
      <c r="M2316" s="13" t="n">
        <f aca="false">MAX(0,F2316-I2316-J2316)</f>
        <v>0</v>
      </c>
      <c r="N2316" s="13" t="n">
        <f aca="false">IF(Kalender!A120="",0,J2315-H2316)</f>
        <v>0.7032278</v>
      </c>
    </row>
    <row r="2317" customFormat="false" ht="16.4" hidden="false" customHeight="false" outlineLevel="0" collapsed="false">
      <c r="A2317" s="13" t="str">
        <f aca="false">""</f>
        <v/>
      </c>
      <c r="B2317" s="13" t="n">
        <f aca="false">117</f>
        <v>117</v>
      </c>
      <c r="C2317" s="13" t="n">
        <f aca="false">IF(Szenarien!$H$17="OK",(IFERROR(SUMIF(Nutzungsprofile!$B$6:$B$11,"Schulbetrieb",Nutzungsprofile!$G$6:$G$11)*Kalender!C121/SUM(Kalender!$C$5:$C$370),0)+IFERROR(SUMIF(Nutzungsprofile!$B$6:$B$11,"Halle",Nutzungsprofile!$G$6:$G$11)*Kalender!D121/SUM(Kalender!$D$5:$D$370),0)+IFERROR(SUMIF(Nutzungsprofile!$B$6:$B$11,"Individuell",Nutzungsprofile!$G$6:$G$11)*Kalender!E121/SUM(Kalender!$E$5:$E$370),0))*Szenarien!$E$17,0)</f>
        <v>2.94</v>
      </c>
      <c r="D2317" s="13" t="n">
        <f aca="false">IF(Szenarien!$H$17="OK",(IFERROR(SUMIF(Nutzungsprofile!$B$17:$B$22,"Schulbetrieb",Nutzungsprofile!$G$17:$G$22)*Kalender!C121/SUM(Kalender!$C$5:$C$370),0)+IFERROR(SUMIF(Nutzungsprofile!$B$17:$B$22,"Halle",Nutzungsprofile!$G$17:$G$22)*Kalender!D121/SUM(Kalender!$D$5:$D$370),0)+IFERROR(SUMIF(Nutzungsprofile!$B$17:$B$22,"Individuell",Nutzungsprofile!$G$17:$G$22)*Kalender!E121/SUM(Kalender!$E$5:$E$370),0))*Szenarien!$D$17,0)</f>
        <v>4.94</v>
      </c>
      <c r="E2317" s="13" t="n">
        <f aca="false">IFERROR(MIN(C2317,Eingaben!$B$17)*Eingaben!$B$16,0)</f>
        <v>2.793</v>
      </c>
      <c r="F2317" s="13" t="n">
        <f aca="false">IFERROR(E2317*Eingaben!$B$15,0)</f>
        <v>2.5137</v>
      </c>
      <c r="G2317" s="13" t="n">
        <f aca="false">IFERROR(IF(Kalender!A121="",0,J2316*(1-Eingaben!$B$20)),0)</f>
        <v>1.709316</v>
      </c>
      <c r="H2317" s="13" t="n">
        <f aca="false">MIN(G2317,D2317)</f>
        <v>1.709316</v>
      </c>
      <c r="I2317" s="13" t="n">
        <f aca="false">IFERROR(MIN(F2317*Eingaben!$B$19,MAX(0,D2317-H2317)),0)</f>
        <v>1.75959</v>
      </c>
      <c r="J2317" s="13" t="n">
        <f aca="false">IFERROR(MIN(Eingaben!$B$18,MAX(0,F2317-I2317)),0)</f>
        <v>0.75411</v>
      </c>
      <c r="K2317" s="13" t="n">
        <f aca="false">H2317+I2317</f>
        <v>3.468906</v>
      </c>
      <c r="L2317" s="13" t="n">
        <f aca="false">MAX(0,D2317-K2317)</f>
        <v>1.471094</v>
      </c>
      <c r="M2317" s="13" t="n">
        <f aca="false">MAX(0,F2317-I2317-J2317)</f>
        <v>0</v>
      </c>
      <c r="N2317" s="13" t="n">
        <f aca="false">IF(Kalender!A121="",0,J2316-H2317)</f>
        <v>0.0348840000000001</v>
      </c>
    </row>
    <row r="2318" customFormat="false" ht="16.4" hidden="false" customHeight="false" outlineLevel="0" collapsed="false">
      <c r="A2318" s="13" t="str">
        <f aca="false">""</f>
        <v/>
      </c>
      <c r="B2318" s="13" t="n">
        <f aca="false">118</f>
        <v>118</v>
      </c>
      <c r="C2318" s="13" t="n">
        <f aca="false">IF(Szenarien!$H$17="OK",(IFERROR(SUMIF(Nutzungsprofile!$B$6:$B$11,"Schulbetrieb",Nutzungsprofile!$G$6:$G$11)*Kalender!C122/SUM(Kalender!$C$5:$C$370),0)+IFERROR(SUMIF(Nutzungsprofile!$B$6:$B$11,"Halle",Nutzungsprofile!$G$6:$G$11)*Kalender!D122/SUM(Kalender!$D$5:$D$370),0)+IFERROR(SUMIF(Nutzungsprofile!$B$6:$B$11,"Individuell",Nutzungsprofile!$G$6:$G$11)*Kalender!E122/SUM(Kalender!$E$5:$E$370),0))*Szenarien!$E$17,0)</f>
        <v>2.94</v>
      </c>
      <c r="D2318" s="13" t="n">
        <f aca="false">IF(Szenarien!$H$17="OK",(IFERROR(SUMIF(Nutzungsprofile!$B$17:$B$22,"Schulbetrieb",Nutzungsprofile!$G$17:$G$22)*Kalender!C122/SUM(Kalender!$C$5:$C$370),0)+IFERROR(SUMIF(Nutzungsprofile!$B$17:$B$22,"Halle",Nutzungsprofile!$G$17:$G$22)*Kalender!D122/SUM(Kalender!$D$5:$D$370),0)+IFERROR(SUMIF(Nutzungsprofile!$B$17:$B$22,"Individuell",Nutzungsprofile!$G$17:$G$22)*Kalender!E122/SUM(Kalender!$E$5:$E$370),0))*Szenarien!$D$17,0)</f>
        <v>4.94</v>
      </c>
      <c r="E2318" s="13" t="n">
        <f aca="false">IFERROR(MIN(C2318,Eingaben!$B$17)*Eingaben!$B$16,0)</f>
        <v>2.793</v>
      </c>
      <c r="F2318" s="13" t="n">
        <f aca="false">IFERROR(E2318*Eingaben!$B$15,0)</f>
        <v>2.5137</v>
      </c>
      <c r="G2318" s="13" t="n">
        <f aca="false">IFERROR(IF(Kalender!A122="",0,J2317*(1-Eingaben!$B$20)),0)</f>
        <v>0.7390278</v>
      </c>
      <c r="H2318" s="13" t="n">
        <f aca="false">MIN(G2318,D2318)</f>
        <v>0.7390278</v>
      </c>
      <c r="I2318" s="13" t="n">
        <f aca="false">IFERROR(MIN(F2318*Eingaben!$B$19,MAX(0,D2318-H2318)),0)</f>
        <v>1.75959</v>
      </c>
      <c r="J2318" s="13" t="n">
        <f aca="false">IFERROR(MIN(Eingaben!$B$18,MAX(0,F2318-I2318)),0)</f>
        <v>0.75411</v>
      </c>
      <c r="K2318" s="13" t="n">
        <f aca="false">H2318+I2318</f>
        <v>2.4986178</v>
      </c>
      <c r="L2318" s="13" t="n">
        <f aca="false">MAX(0,D2318-K2318)</f>
        <v>2.4413822</v>
      </c>
      <c r="M2318" s="13" t="n">
        <f aca="false">MAX(0,F2318-I2318-J2318)</f>
        <v>0</v>
      </c>
      <c r="N2318" s="13" t="n">
        <f aca="false">IF(Kalender!A122="",0,J2317-H2318)</f>
        <v>0.0150822</v>
      </c>
    </row>
    <row r="2319" customFormat="false" ht="16.4" hidden="false" customHeight="false" outlineLevel="0" collapsed="false">
      <c r="A2319" s="13" t="str">
        <f aca="false">""</f>
        <v/>
      </c>
      <c r="B2319" s="13" t="n">
        <f aca="false">119</f>
        <v>119</v>
      </c>
      <c r="C2319" s="13" t="n">
        <f aca="false">IF(Szenarien!$H$17="OK",(IFERROR(SUMIF(Nutzungsprofile!$B$6:$B$11,"Schulbetrieb",Nutzungsprofile!$G$6:$G$11)*Kalender!C123/SUM(Kalender!$C$5:$C$370),0)+IFERROR(SUMIF(Nutzungsprofile!$B$6:$B$11,"Halle",Nutzungsprofile!$G$6:$G$11)*Kalender!D123/SUM(Kalender!$D$5:$D$370),0)+IFERROR(SUMIF(Nutzungsprofile!$B$6:$B$11,"Individuell",Nutzungsprofile!$G$6:$G$11)*Kalender!E123/SUM(Kalender!$E$5:$E$370),0))*Szenarien!$E$17,0)</f>
        <v>2.94</v>
      </c>
      <c r="D2319" s="13" t="n">
        <f aca="false">IF(Szenarien!$H$17="OK",(IFERROR(SUMIF(Nutzungsprofile!$B$17:$B$22,"Schulbetrieb",Nutzungsprofile!$G$17:$G$22)*Kalender!C123/SUM(Kalender!$C$5:$C$370),0)+IFERROR(SUMIF(Nutzungsprofile!$B$17:$B$22,"Halle",Nutzungsprofile!$G$17:$G$22)*Kalender!D123/SUM(Kalender!$D$5:$D$370),0)+IFERROR(SUMIF(Nutzungsprofile!$B$17:$B$22,"Individuell",Nutzungsprofile!$G$17:$G$22)*Kalender!E123/SUM(Kalender!$E$5:$E$370),0))*Szenarien!$D$17,0)</f>
        <v>4.94</v>
      </c>
      <c r="E2319" s="13" t="n">
        <f aca="false">IFERROR(MIN(C2319,Eingaben!$B$17)*Eingaben!$B$16,0)</f>
        <v>2.793</v>
      </c>
      <c r="F2319" s="13" t="n">
        <f aca="false">IFERROR(E2319*Eingaben!$B$15,0)</f>
        <v>2.5137</v>
      </c>
      <c r="G2319" s="13" t="n">
        <f aca="false">IFERROR(IF(Kalender!A123="",0,J2318*(1-Eingaben!$B$20)),0)</f>
        <v>0.7390278</v>
      </c>
      <c r="H2319" s="13" t="n">
        <f aca="false">MIN(G2319,D2319)</f>
        <v>0.7390278</v>
      </c>
      <c r="I2319" s="13" t="n">
        <f aca="false">IFERROR(MIN(F2319*Eingaben!$B$19,MAX(0,D2319-H2319)),0)</f>
        <v>1.75959</v>
      </c>
      <c r="J2319" s="13" t="n">
        <f aca="false">IFERROR(MIN(Eingaben!$B$18,MAX(0,F2319-I2319)),0)</f>
        <v>0.75411</v>
      </c>
      <c r="K2319" s="13" t="n">
        <f aca="false">H2319+I2319</f>
        <v>2.4986178</v>
      </c>
      <c r="L2319" s="13" t="n">
        <f aca="false">MAX(0,D2319-K2319)</f>
        <v>2.4413822</v>
      </c>
      <c r="M2319" s="13" t="n">
        <f aca="false">MAX(0,F2319-I2319-J2319)</f>
        <v>0</v>
      </c>
      <c r="N2319" s="13" t="n">
        <f aca="false">IF(Kalender!A123="",0,J2318-H2319)</f>
        <v>0.0150822</v>
      </c>
    </row>
    <row r="2320" customFormat="false" ht="16.4" hidden="false" customHeight="false" outlineLevel="0" collapsed="false">
      <c r="A2320" s="13" t="str">
        <f aca="false">""</f>
        <v/>
      </c>
      <c r="B2320" s="13" t="n">
        <f aca="false">120</f>
        <v>120</v>
      </c>
      <c r="C2320" s="13" t="n">
        <f aca="false">IF(Szenarien!$H$17="OK",(IFERROR(SUMIF(Nutzungsprofile!$B$6:$B$11,"Schulbetrieb",Nutzungsprofile!$G$6:$G$11)*Kalender!C124/SUM(Kalender!$C$5:$C$370),0)+IFERROR(SUMIF(Nutzungsprofile!$B$6:$B$11,"Halle",Nutzungsprofile!$G$6:$G$11)*Kalender!D124/SUM(Kalender!$D$5:$D$370),0)+IFERROR(SUMIF(Nutzungsprofile!$B$6:$B$11,"Individuell",Nutzungsprofile!$G$6:$G$11)*Kalender!E124/SUM(Kalender!$E$5:$E$370),0))*Szenarien!$E$17,0)</f>
        <v>2.94</v>
      </c>
      <c r="D2320" s="13" t="n">
        <f aca="false">IF(Szenarien!$H$17="OK",(IFERROR(SUMIF(Nutzungsprofile!$B$17:$B$22,"Schulbetrieb",Nutzungsprofile!$G$17:$G$22)*Kalender!C124/SUM(Kalender!$C$5:$C$370),0)+IFERROR(SUMIF(Nutzungsprofile!$B$17:$B$22,"Halle",Nutzungsprofile!$G$17:$G$22)*Kalender!D124/SUM(Kalender!$D$5:$D$370),0)+IFERROR(SUMIF(Nutzungsprofile!$B$17:$B$22,"Individuell",Nutzungsprofile!$G$17:$G$22)*Kalender!E124/SUM(Kalender!$E$5:$E$370),0))*Szenarien!$D$17,0)</f>
        <v>4.94</v>
      </c>
      <c r="E2320" s="13" t="n">
        <f aca="false">IFERROR(MIN(C2320,Eingaben!$B$17)*Eingaben!$B$16,0)</f>
        <v>2.793</v>
      </c>
      <c r="F2320" s="13" t="n">
        <f aca="false">IFERROR(E2320*Eingaben!$B$15,0)</f>
        <v>2.5137</v>
      </c>
      <c r="G2320" s="13" t="n">
        <f aca="false">IFERROR(IF(Kalender!A124="",0,J2319*(1-Eingaben!$B$20)),0)</f>
        <v>0.7390278</v>
      </c>
      <c r="H2320" s="13" t="n">
        <f aca="false">MIN(G2320,D2320)</f>
        <v>0.7390278</v>
      </c>
      <c r="I2320" s="13" t="n">
        <f aca="false">IFERROR(MIN(F2320*Eingaben!$B$19,MAX(0,D2320-H2320)),0)</f>
        <v>1.75959</v>
      </c>
      <c r="J2320" s="13" t="n">
        <f aca="false">IFERROR(MIN(Eingaben!$B$18,MAX(0,F2320-I2320)),0)</f>
        <v>0.75411</v>
      </c>
      <c r="K2320" s="13" t="n">
        <f aca="false">H2320+I2320</f>
        <v>2.4986178</v>
      </c>
      <c r="L2320" s="13" t="n">
        <f aca="false">MAX(0,D2320-K2320)</f>
        <v>2.4413822</v>
      </c>
      <c r="M2320" s="13" t="n">
        <f aca="false">MAX(0,F2320-I2320-J2320)</f>
        <v>0</v>
      </c>
      <c r="N2320" s="13" t="n">
        <f aca="false">IF(Kalender!A124="",0,J2319-H2320)</f>
        <v>0.0150822</v>
      </c>
    </row>
    <row r="2321" customFormat="false" ht="16.4" hidden="false" customHeight="false" outlineLevel="0" collapsed="false">
      <c r="A2321" s="13" t="str">
        <f aca="false">""</f>
        <v/>
      </c>
      <c r="B2321" s="13" t="n">
        <f aca="false">121</f>
        <v>121</v>
      </c>
      <c r="C2321" s="13" t="n">
        <f aca="false">IF(Szenarien!$H$17="OK",(IFERROR(SUMIF(Nutzungsprofile!$B$6:$B$11,"Schulbetrieb",Nutzungsprofile!$G$6:$G$11)*Kalender!C125/SUM(Kalender!$C$5:$C$370),0)+IFERROR(SUMIF(Nutzungsprofile!$B$6:$B$11,"Halle",Nutzungsprofile!$G$6:$G$11)*Kalender!D125/SUM(Kalender!$D$5:$D$370),0)+IFERROR(SUMIF(Nutzungsprofile!$B$6:$B$11,"Individuell",Nutzungsprofile!$G$6:$G$11)*Kalender!E125/SUM(Kalender!$E$5:$E$370),0))*Szenarien!$E$17,0)</f>
        <v>2.94</v>
      </c>
      <c r="D2321" s="13" t="n">
        <f aca="false">IF(Szenarien!$H$17="OK",(IFERROR(SUMIF(Nutzungsprofile!$B$17:$B$22,"Schulbetrieb",Nutzungsprofile!$G$17:$G$22)*Kalender!C125/SUM(Kalender!$C$5:$C$370),0)+IFERROR(SUMIF(Nutzungsprofile!$B$17:$B$22,"Halle",Nutzungsprofile!$G$17:$G$22)*Kalender!D125/SUM(Kalender!$D$5:$D$370),0)+IFERROR(SUMIF(Nutzungsprofile!$B$17:$B$22,"Individuell",Nutzungsprofile!$G$17:$G$22)*Kalender!E125/SUM(Kalender!$E$5:$E$370),0))*Szenarien!$D$17,0)</f>
        <v>4.94</v>
      </c>
      <c r="E2321" s="13" t="n">
        <f aca="false">IFERROR(MIN(C2321,Eingaben!$B$17)*Eingaben!$B$16,0)</f>
        <v>2.793</v>
      </c>
      <c r="F2321" s="13" t="n">
        <f aca="false">IFERROR(E2321*Eingaben!$B$15,0)</f>
        <v>2.5137</v>
      </c>
      <c r="G2321" s="13" t="n">
        <f aca="false">IFERROR(IF(Kalender!A125="",0,J2320*(1-Eingaben!$B$20)),0)</f>
        <v>0.7390278</v>
      </c>
      <c r="H2321" s="13" t="n">
        <f aca="false">MIN(G2321,D2321)</f>
        <v>0.7390278</v>
      </c>
      <c r="I2321" s="13" t="n">
        <f aca="false">IFERROR(MIN(F2321*Eingaben!$B$19,MAX(0,D2321-H2321)),0)</f>
        <v>1.75959</v>
      </c>
      <c r="J2321" s="13" t="n">
        <f aca="false">IFERROR(MIN(Eingaben!$B$18,MAX(0,F2321-I2321)),0)</f>
        <v>0.75411</v>
      </c>
      <c r="K2321" s="13" t="n">
        <f aca="false">H2321+I2321</f>
        <v>2.4986178</v>
      </c>
      <c r="L2321" s="13" t="n">
        <f aca="false">MAX(0,D2321-K2321)</f>
        <v>2.4413822</v>
      </c>
      <c r="M2321" s="13" t="n">
        <f aca="false">MAX(0,F2321-I2321-J2321)</f>
        <v>0</v>
      </c>
      <c r="N2321" s="13" t="n">
        <f aca="false">IF(Kalender!A125="",0,J2320-H2321)</f>
        <v>0.0150822</v>
      </c>
    </row>
    <row r="2322" customFormat="false" ht="16.4" hidden="false" customHeight="false" outlineLevel="0" collapsed="false">
      <c r="A2322" s="13" t="str">
        <f aca="false">""</f>
        <v/>
      </c>
      <c r="B2322" s="13" t="n">
        <f aca="false">122</f>
        <v>122</v>
      </c>
      <c r="C2322" s="13" t="n">
        <f aca="false">IF(Szenarien!$H$17="OK",(IFERROR(SUMIF(Nutzungsprofile!$B$6:$B$11,"Schulbetrieb",Nutzungsprofile!$G$6:$G$11)*Kalender!C126/SUM(Kalender!$C$5:$C$370),0)+IFERROR(SUMIF(Nutzungsprofile!$B$6:$B$11,"Halle",Nutzungsprofile!$G$6:$G$11)*Kalender!D126/SUM(Kalender!$D$5:$D$370),0)+IFERROR(SUMIF(Nutzungsprofile!$B$6:$B$11,"Individuell",Nutzungsprofile!$G$6:$G$11)*Kalender!E126/SUM(Kalender!$E$5:$E$370),0))*Szenarien!$E$17,0)</f>
        <v>2.04</v>
      </c>
      <c r="D2322" s="13" t="n">
        <f aca="false">IF(Szenarien!$H$17="OK",(IFERROR(SUMIF(Nutzungsprofile!$B$17:$B$22,"Schulbetrieb",Nutzungsprofile!$G$17:$G$22)*Kalender!C126/SUM(Kalender!$C$5:$C$370),0)+IFERROR(SUMIF(Nutzungsprofile!$B$17:$B$22,"Halle",Nutzungsprofile!$G$17:$G$22)*Kalender!D126/SUM(Kalender!$D$5:$D$370),0)+IFERROR(SUMIF(Nutzungsprofile!$B$17:$B$22,"Individuell",Nutzungsprofile!$G$17:$G$22)*Kalender!E126/SUM(Kalender!$E$5:$E$370),0))*Szenarien!$D$17,0)</f>
        <v>0.89</v>
      </c>
      <c r="E2322" s="13" t="n">
        <f aca="false">IFERROR(MIN(C2322,Eingaben!$B$17)*Eingaben!$B$16,0)</f>
        <v>1.938</v>
      </c>
      <c r="F2322" s="13" t="n">
        <f aca="false">IFERROR(E2322*Eingaben!$B$15,0)</f>
        <v>1.7442</v>
      </c>
      <c r="G2322" s="13" t="n">
        <f aca="false">IFERROR(IF(Kalender!A126="",0,J2321*(1-Eingaben!$B$20)),0)</f>
        <v>0.7390278</v>
      </c>
      <c r="H2322" s="13" t="n">
        <f aca="false">MIN(G2322,D2322)</f>
        <v>0.7390278</v>
      </c>
      <c r="I2322" s="13" t="n">
        <f aca="false">IFERROR(MIN(F2322*Eingaben!$B$19,MAX(0,D2322-H2322)),0)</f>
        <v>0.1509722</v>
      </c>
      <c r="J2322" s="13" t="n">
        <f aca="false">IFERROR(MIN(Eingaben!$B$18,MAX(0,F2322-I2322)),0)</f>
        <v>1.5932278</v>
      </c>
      <c r="K2322" s="13" t="n">
        <f aca="false">H2322+I2322</f>
        <v>0.89</v>
      </c>
      <c r="L2322" s="13" t="n">
        <f aca="false">MAX(0,D2322-K2322)</f>
        <v>0</v>
      </c>
      <c r="M2322" s="13" t="n">
        <f aca="false">MAX(0,F2322-I2322-J2322)</f>
        <v>0</v>
      </c>
      <c r="N2322" s="13" t="n">
        <f aca="false">IF(Kalender!A126="",0,J2321-H2322)</f>
        <v>0.0150822</v>
      </c>
    </row>
    <row r="2323" customFormat="false" ht="16.4" hidden="false" customHeight="false" outlineLevel="0" collapsed="false">
      <c r="A2323" s="13" t="str">
        <f aca="false">""</f>
        <v/>
      </c>
      <c r="B2323" s="13" t="n">
        <f aca="false">123</f>
        <v>123</v>
      </c>
      <c r="C2323" s="13" t="n">
        <f aca="false">IF(Szenarien!$H$17="OK",(IFERROR(SUMIF(Nutzungsprofile!$B$6:$B$11,"Schulbetrieb",Nutzungsprofile!$G$6:$G$11)*Kalender!C127/SUM(Kalender!$C$5:$C$370),0)+IFERROR(SUMIF(Nutzungsprofile!$B$6:$B$11,"Halle",Nutzungsprofile!$G$6:$G$11)*Kalender!D127/SUM(Kalender!$D$5:$D$370),0)+IFERROR(SUMIF(Nutzungsprofile!$B$6:$B$11,"Individuell",Nutzungsprofile!$G$6:$G$11)*Kalender!E127/SUM(Kalender!$E$5:$E$370),0))*Szenarien!$E$17,0)</f>
        <v>2.04</v>
      </c>
      <c r="D2323" s="13" t="n">
        <f aca="false">IF(Szenarien!$H$17="OK",(IFERROR(SUMIF(Nutzungsprofile!$B$17:$B$22,"Schulbetrieb",Nutzungsprofile!$G$17:$G$22)*Kalender!C127/SUM(Kalender!$C$5:$C$370),0)+IFERROR(SUMIF(Nutzungsprofile!$B$17:$B$22,"Halle",Nutzungsprofile!$G$17:$G$22)*Kalender!D127/SUM(Kalender!$D$5:$D$370),0)+IFERROR(SUMIF(Nutzungsprofile!$B$17:$B$22,"Individuell",Nutzungsprofile!$G$17:$G$22)*Kalender!E127/SUM(Kalender!$E$5:$E$370),0))*Szenarien!$D$17,0)</f>
        <v>0.89</v>
      </c>
      <c r="E2323" s="13" t="n">
        <f aca="false">IFERROR(MIN(C2323,Eingaben!$B$17)*Eingaben!$B$16,0)</f>
        <v>1.938</v>
      </c>
      <c r="F2323" s="13" t="n">
        <f aca="false">IFERROR(E2323*Eingaben!$B$15,0)</f>
        <v>1.7442</v>
      </c>
      <c r="G2323" s="13" t="n">
        <f aca="false">IFERROR(IF(Kalender!A127="",0,J2322*(1-Eingaben!$B$20)),0)</f>
        <v>1.561363244</v>
      </c>
      <c r="H2323" s="13" t="n">
        <f aca="false">MIN(G2323,D2323)</f>
        <v>0.89</v>
      </c>
      <c r="I2323" s="13" t="n">
        <f aca="false">IFERROR(MIN(F2323*Eingaben!$B$19,MAX(0,D2323-H2323)),0)</f>
        <v>0</v>
      </c>
      <c r="J2323" s="13" t="n">
        <f aca="false">IFERROR(MIN(Eingaben!$B$18,MAX(0,F2323-I2323)),0)</f>
        <v>1.7442</v>
      </c>
      <c r="K2323" s="13" t="n">
        <f aca="false">H2323+I2323</f>
        <v>0.89</v>
      </c>
      <c r="L2323" s="13" t="n">
        <f aca="false">MAX(0,D2323-K2323)</f>
        <v>0</v>
      </c>
      <c r="M2323" s="13" t="n">
        <f aca="false">MAX(0,F2323-I2323-J2323)</f>
        <v>0</v>
      </c>
      <c r="N2323" s="13" t="n">
        <f aca="false">IF(Kalender!A127="",0,J2322-H2323)</f>
        <v>0.7032278</v>
      </c>
    </row>
    <row r="2324" customFormat="false" ht="16.4" hidden="false" customHeight="false" outlineLevel="0" collapsed="false">
      <c r="A2324" s="13" t="str">
        <f aca="false">""</f>
        <v/>
      </c>
      <c r="B2324" s="13" t="n">
        <f aca="false">124</f>
        <v>124</v>
      </c>
      <c r="C2324" s="13" t="n">
        <f aca="false">IF(Szenarien!$H$17="OK",(IFERROR(SUMIF(Nutzungsprofile!$B$6:$B$11,"Schulbetrieb",Nutzungsprofile!$G$6:$G$11)*Kalender!C128/SUM(Kalender!$C$5:$C$370),0)+IFERROR(SUMIF(Nutzungsprofile!$B$6:$B$11,"Halle",Nutzungsprofile!$G$6:$G$11)*Kalender!D128/SUM(Kalender!$D$5:$D$370),0)+IFERROR(SUMIF(Nutzungsprofile!$B$6:$B$11,"Individuell",Nutzungsprofile!$G$6:$G$11)*Kalender!E128/SUM(Kalender!$E$5:$E$370),0))*Szenarien!$E$17,0)</f>
        <v>2.94</v>
      </c>
      <c r="D2324" s="13" t="n">
        <f aca="false">IF(Szenarien!$H$17="OK",(IFERROR(SUMIF(Nutzungsprofile!$B$17:$B$22,"Schulbetrieb",Nutzungsprofile!$G$17:$G$22)*Kalender!C128/SUM(Kalender!$C$5:$C$370),0)+IFERROR(SUMIF(Nutzungsprofile!$B$17:$B$22,"Halle",Nutzungsprofile!$G$17:$G$22)*Kalender!D128/SUM(Kalender!$D$5:$D$370),0)+IFERROR(SUMIF(Nutzungsprofile!$B$17:$B$22,"Individuell",Nutzungsprofile!$G$17:$G$22)*Kalender!E128/SUM(Kalender!$E$5:$E$370),0))*Szenarien!$D$17,0)</f>
        <v>4.94</v>
      </c>
      <c r="E2324" s="13" t="n">
        <f aca="false">IFERROR(MIN(C2324,Eingaben!$B$17)*Eingaben!$B$16,0)</f>
        <v>2.793</v>
      </c>
      <c r="F2324" s="13" t="n">
        <f aca="false">IFERROR(E2324*Eingaben!$B$15,0)</f>
        <v>2.5137</v>
      </c>
      <c r="G2324" s="13" t="n">
        <f aca="false">IFERROR(IF(Kalender!A128="",0,J2323*(1-Eingaben!$B$20)),0)</f>
        <v>1.709316</v>
      </c>
      <c r="H2324" s="13" t="n">
        <f aca="false">MIN(G2324,D2324)</f>
        <v>1.709316</v>
      </c>
      <c r="I2324" s="13" t="n">
        <f aca="false">IFERROR(MIN(F2324*Eingaben!$B$19,MAX(0,D2324-H2324)),0)</f>
        <v>1.75959</v>
      </c>
      <c r="J2324" s="13" t="n">
        <f aca="false">IFERROR(MIN(Eingaben!$B$18,MAX(0,F2324-I2324)),0)</f>
        <v>0.75411</v>
      </c>
      <c r="K2324" s="13" t="n">
        <f aca="false">H2324+I2324</f>
        <v>3.468906</v>
      </c>
      <c r="L2324" s="13" t="n">
        <f aca="false">MAX(0,D2324-K2324)</f>
        <v>1.471094</v>
      </c>
      <c r="M2324" s="13" t="n">
        <f aca="false">MAX(0,F2324-I2324-J2324)</f>
        <v>0</v>
      </c>
      <c r="N2324" s="13" t="n">
        <f aca="false">IF(Kalender!A128="",0,J2323-H2324)</f>
        <v>0.0348840000000001</v>
      </c>
    </row>
    <row r="2325" customFormat="false" ht="16.4" hidden="false" customHeight="false" outlineLevel="0" collapsed="false">
      <c r="A2325" s="13" t="str">
        <f aca="false">""</f>
        <v/>
      </c>
      <c r="B2325" s="13" t="n">
        <f aca="false">125</f>
        <v>125</v>
      </c>
      <c r="C2325" s="13" t="n">
        <f aca="false">IF(Szenarien!$H$17="OK",(IFERROR(SUMIF(Nutzungsprofile!$B$6:$B$11,"Schulbetrieb",Nutzungsprofile!$G$6:$G$11)*Kalender!C129/SUM(Kalender!$C$5:$C$370),0)+IFERROR(SUMIF(Nutzungsprofile!$B$6:$B$11,"Halle",Nutzungsprofile!$G$6:$G$11)*Kalender!D129/SUM(Kalender!$D$5:$D$370),0)+IFERROR(SUMIF(Nutzungsprofile!$B$6:$B$11,"Individuell",Nutzungsprofile!$G$6:$G$11)*Kalender!E129/SUM(Kalender!$E$5:$E$370),0))*Szenarien!$E$17,0)</f>
        <v>2.94</v>
      </c>
      <c r="D2325" s="13" t="n">
        <f aca="false">IF(Szenarien!$H$17="OK",(IFERROR(SUMIF(Nutzungsprofile!$B$17:$B$22,"Schulbetrieb",Nutzungsprofile!$G$17:$G$22)*Kalender!C129/SUM(Kalender!$C$5:$C$370),0)+IFERROR(SUMIF(Nutzungsprofile!$B$17:$B$22,"Halle",Nutzungsprofile!$G$17:$G$22)*Kalender!D129/SUM(Kalender!$D$5:$D$370),0)+IFERROR(SUMIF(Nutzungsprofile!$B$17:$B$22,"Individuell",Nutzungsprofile!$G$17:$G$22)*Kalender!E129/SUM(Kalender!$E$5:$E$370),0))*Szenarien!$D$17,0)</f>
        <v>4.94</v>
      </c>
      <c r="E2325" s="13" t="n">
        <f aca="false">IFERROR(MIN(C2325,Eingaben!$B$17)*Eingaben!$B$16,0)</f>
        <v>2.793</v>
      </c>
      <c r="F2325" s="13" t="n">
        <f aca="false">IFERROR(E2325*Eingaben!$B$15,0)</f>
        <v>2.5137</v>
      </c>
      <c r="G2325" s="13" t="n">
        <f aca="false">IFERROR(IF(Kalender!A129="",0,J2324*(1-Eingaben!$B$20)),0)</f>
        <v>0.7390278</v>
      </c>
      <c r="H2325" s="13" t="n">
        <f aca="false">MIN(G2325,D2325)</f>
        <v>0.7390278</v>
      </c>
      <c r="I2325" s="13" t="n">
        <f aca="false">IFERROR(MIN(F2325*Eingaben!$B$19,MAX(0,D2325-H2325)),0)</f>
        <v>1.75959</v>
      </c>
      <c r="J2325" s="13" t="n">
        <f aca="false">IFERROR(MIN(Eingaben!$B$18,MAX(0,F2325-I2325)),0)</f>
        <v>0.75411</v>
      </c>
      <c r="K2325" s="13" t="n">
        <f aca="false">H2325+I2325</f>
        <v>2.4986178</v>
      </c>
      <c r="L2325" s="13" t="n">
        <f aca="false">MAX(0,D2325-K2325)</f>
        <v>2.4413822</v>
      </c>
      <c r="M2325" s="13" t="n">
        <f aca="false">MAX(0,F2325-I2325-J2325)</f>
        <v>0</v>
      </c>
      <c r="N2325" s="13" t="n">
        <f aca="false">IF(Kalender!A129="",0,J2324-H2325)</f>
        <v>0.0150822</v>
      </c>
    </row>
    <row r="2326" customFormat="false" ht="16.4" hidden="false" customHeight="false" outlineLevel="0" collapsed="false">
      <c r="A2326" s="13" t="str">
        <f aca="false">""</f>
        <v/>
      </c>
      <c r="B2326" s="13" t="n">
        <f aca="false">126</f>
        <v>126</v>
      </c>
      <c r="C2326" s="13" t="n">
        <f aca="false">IF(Szenarien!$H$17="OK",(IFERROR(SUMIF(Nutzungsprofile!$B$6:$B$11,"Schulbetrieb",Nutzungsprofile!$G$6:$G$11)*Kalender!C130/SUM(Kalender!$C$5:$C$370),0)+IFERROR(SUMIF(Nutzungsprofile!$B$6:$B$11,"Halle",Nutzungsprofile!$G$6:$G$11)*Kalender!D130/SUM(Kalender!$D$5:$D$370),0)+IFERROR(SUMIF(Nutzungsprofile!$B$6:$B$11,"Individuell",Nutzungsprofile!$G$6:$G$11)*Kalender!E130/SUM(Kalender!$E$5:$E$370),0))*Szenarien!$E$17,0)</f>
        <v>2.94</v>
      </c>
      <c r="D2326" s="13" t="n">
        <f aca="false">IF(Szenarien!$H$17="OK",(IFERROR(SUMIF(Nutzungsprofile!$B$17:$B$22,"Schulbetrieb",Nutzungsprofile!$G$17:$G$22)*Kalender!C130/SUM(Kalender!$C$5:$C$370),0)+IFERROR(SUMIF(Nutzungsprofile!$B$17:$B$22,"Halle",Nutzungsprofile!$G$17:$G$22)*Kalender!D130/SUM(Kalender!$D$5:$D$370),0)+IFERROR(SUMIF(Nutzungsprofile!$B$17:$B$22,"Individuell",Nutzungsprofile!$G$17:$G$22)*Kalender!E130/SUM(Kalender!$E$5:$E$370),0))*Szenarien!$D$17,0)</f>
        <v>4.94</v>
      </c>
      <c r="E2326" s="13" t="n">
        <f aca="false">IFERROR(MIN(C2326,Eingaben!$B$17)*Eingaben!$B$16,0)</f>
        <v>2.793</v>
      </c>
      <c r="F2326" s="13" t="n">
        <f aca="false">IFERROR(E2326*Eingaben!$B$15,0)</f>
        <v>2.5137</v>
      </c>
      <c r="G2326" s="13" t="n">
        <f aca="false">IFERROR(IF(Kalender!A130="",0,J2325*(1-Eingaben!$B$20)),0)</f>
        <v>0.7390278</v>
      </c>
      <c r="H2326" s="13" t="n">
        <f aca="false">MIN(G2326,D2326)</f>
        <v>0.7390278</v>
      </c>
      <c r="I2326" s="13" t="n">
        <f aca="false">IFERROR(MIN(F2326*Eingaben!$B$19,MAX(0,D2326-H2326)),0)</f>
        <v>1.75959</v>
      </c>
      <c r="J2326" s="13" t="n">
        <f aca="false">IFERROR(MIN(Eingaben!$B$18,MAX(0,F2326-I2326)),0)</f>
        <v>0.75411</v>
      </c>
      <c r="K2326" s="13" t="n">
        <f aca="false">H2326+I2326</f>
        <v>2.4986178</v>
      </c>
      <c r="L2326" s="13" t="n">
        <f aca="false">MAX(0,D2326-K2326)</f>
        <v>2.4413822</v>
      </c>
      <c r="M2326" s="13" t="n">
        <f aca="false">MAX(0,F2326-I2326-J2326)</f>
        <v>0</v>
      </c>
      <c r="N2326" s="13" t="n">
        <f aca="false">IF(Kalender!A130="",0,J2325-H2326)</f>
        <v>0.0150822</v>
      </c>
    </row>
    <row r="2327" customFormat="false" ht="16.4" hidden="false" customHeight="false" outlineLevel="0" collapsed="false">
      <c r="A2327" s="13" t="str">
        <f aca="false">""</f>
        <v/>
      </c>
      <c r="B2327" s="13" t="n">
        <f aca="false">127</f>
        <v>127</v>
      </c>
      <c r="C2327" s="13" t="n">
        <f aca="false">IF(Szenarien!$H$17="OK",(IFERROR(SUMIF(Nutzungsprofile!$B$6:$B$11,"Schulbetrieb",Nutzungsprofile!$G$6:$G$11)*Kalender!C131/SUM(Kalender!$C$5:$C$370),0)+IFERROR(SUMIF(Nutzungsprofile!$B$6:$B$11,"Halle",Nutzungsprofile!$G$6:$G$11)*Kalender!D131/SUM(Kalender!$D$5:$D$370),0)+IFERROR(SUMIF(Nutzungsprofile!$B$6:$B$11,"Individuell",Nutzungsprofile!$G$6:$G$11)*Kalender!E131/SUM(Kalender!$E$5:$E$370),0))*Szenarien!$E$17,0)</f>
        <v>2.94</v>
      </c>
      <c r="D2327" s="13" t="n">
        <f aca="false">IF(Szenarien!$H$17="OK",(IFERROR(SUMIF(Nutzungsprofile!$B$17:$B$22,"Schulbetrieb",Nutzungsprofile!$G$17:$G$22)*Kalender!C131/SUM(Kalender!$C$5:$C$370),0)+IFERROR(SUMIF(Nutzungsprofile!$B$17:$B$22,"Halle",Nutzungsprofile!$G$17:$G$22)*Kalender!D131/SUM(Kalender!$D$5:$D$370),0)+IFERROR(SUMIF(Nutzungsprofile!$B$17:$B$22,"Individuell",Nutzungsprofile!$G$17:$G$22)*Kalender!E131/SUM(Kalender!$E$5:$E$370),0))*Szenarien!$D$17,0)</f>
        <v>4.94</v>
      </c>
      <c r="E2327" s="13" t="n">
        <f aca="false">IFERROR(MIN(C2327,Eingaben!$B$17)*Eingaben!$B$16,0)</f>
        <v>2.793</v>
      </c>
      <c r="F2327" s="13" t="n">
        <f aca="false">IFERROR(E2327*Eingaben!$B$15,0)</f>
        <v>2.5137</v>
      </c>
      <c r="G2327" s="13" t="n">
        <f aca="false">IFERROR(IF(Kalender!A131="",0,J2326*(1-Eingaben!$B$20)),0)</f>
        <v>0.7390278</v>
      </c>
      <c r="H2327" s="13" t="n">
        <f aca="false">MIN(G2327,D2327)</f>
        <v>0.7390278</v>
      </c>
      <c r="I2327" s="13" t="n">
        <f aca="false">IFERROR(MIN(F2327*Eingaben!$B$19,MAX(0,D2327-H2327)),0)</f>
        <v>1.75959</v>
      </c>
      <c r="J2327" s="13" t="n">
        <f aca="false">IFERROR(MIN(Eingaben!$B$18,MAX(0,F2327-I2327)),0)</f>
        <v>0.75411</v>
      </c>
      <c r="K2327" s="13" t="n">
        <f aca="false">H2327+I2327</f>
        <v>2.4986178</v>
      </c>
      <c r="L2327" s="13" t="n">
        <f aca="false">MAX(0,D2327-K2327)</f>
        <v>2.4413822</v>
      </c>
      <c r="M2327" s="13" t="n">
        <f aca="false">MAX(0,F2327-I2327-J2327)</f>
        <v>0</v>
      </c>
      <c r="N2327" s="13" t="n">
        <f aca="false">IF(Kalender!A131="",0,J2326-H2327)</f>
        <v>0.0150822</v>
      </c>
    </row>
    <row r="2328" customFormat="false" ht="16.4" hidden="false" customHeight="false" outlineLevel="0" collapsed="false">
      <c r="A2328" s="13" t="str">
        <f aca="false">""</f>
        <v/>
      </c>
      <c r="B2328" s="13" t="n">
        <f aca="false">128</f>
        <v>128</v>
      </c>
      <c r="C2328" s="13" t="n">
        <f aca="false">IF(Szenarien!$H$17="OK",(IFERROR(SUMIF(Nutzungsprofile!$B$6:$B$11,"Schulbetrieb",Nutzungsprofile!$G$6:$G$11)*Kalender!C132/SUM(Kalender!$C$5:$C$370),0)+IFERROR(SUMIF(Nutzungsprofile!$B$6:$B$11,"Halle",Nutzungsprofile!$G$6:$G$11)*Kalender!D132/SUM(Kalender!$D$5:$D$370),0)+IFERROR(SUMIF(Nutzungsprofile!$B$6:$B$11,"Individuell",Nutzungsprofile!$G$6:$G$11)*Kalender!E132/SUM(Kalender!$E$5:$E$370),0))*Szenarien!$E$17,0)</f>
        <v>2.94</v>
      </c>
      <c r="D2328" s="13" t="n">
        <f aca="false">IF(Szenarien!$H$17="OK",(IFERROR(SUMIF(Nutzungsprofile!$B$17:$B$22,"Schulbetrieb",Nutzungsprofile!$G$17:$G$22)*Kalender!C132/SUM(Kalender!$C$5:$C$370),0)+IFERROR(SUMIF(Nutzungsprofile!$B$17:$B$22,"Halle",Nutzungsprofile!$G$17:$G$22)*Kalender!D132/SUM(Kalender!$D$5:$D$370),0)+IFERROR(SUMIF(Nutzungsprofile!$B$17:$B$22,"Individuell",Nutzungsprofile!$G$17:$G$22)*Kalender!E132/SUM(Kalender!$E$5:$E$370),0))*Szenarien!$D$17,0)</f>
        <v>4.94</v>
      </c>
      <c r="E2328" s="13" t="n">
        <f aca="false">IFERROR(MIN(C2328,Eingaben!$B$17)*Eingaben!$B$16,0)</f>
        <v>2.793</v>
      </c>
      <c r="F2328" s="13" t="n">
        <f aca="false">IFERROR(E2328*Eingaben!$B$15,0)</f>
        <v>2.5137</v>
      </c>
      <c r="G2328" s="13" t="n">
        <f aca="false">IFERROR(IF(Kalender!A132="",0,J2327*(1-Eingaben!$B$20)),0)</f>
        <v>0.7390278</v>
      </c>
      <c r="H2328" s="13" t="n">
        <f aca="false">MIN(G2328,D2328)</f>
        <v>0.7390278</v>
      </c>
      <c r="I2328" s="13" t="n">
        <f aca="false">IFERROR(MIN(F2328*Eingaben!$B$19,MAX(0,D2328-H2328)),0)</f>
        <v>1.75959</v>
      </c>
      <c r="J2328" s="13" t="n">
        <f aca="false">IFERROR(MIN(Eingaben!$B$18,MAX(0,F2328-I2328)),0)</f>
        <v>0.75411</v>
      </c>
      <c r="K2328" s="13" t="n">
        <f aca="false">H2328+I2328</f>
        <v>2.4986178</v>
      </c>
      <c r="L2328" s="13" t="n">
        <f aca="false">MAX(0,D2328-K2328)</f>
        <v>2.4413822</v>
      </c>
      <c r="M2328" s="13" t="n">
        <f aca="false">MAX(0,F2328-I2328-J2328)</f>
        <v>0</v>
      </c>
      <c r="N2328" s="13" t="n">
        <f aca="false">IF(Kalender!A132="",0,J2327-H2328)</f>
        <v>0.0150822</v>
      </c>
    </row>
    <row r="2329" customFormat="false" ht="16.4" hidden="false" customHeight="false" outlineLevel="0" collapsed="false">
      <c r="A2329" s="13" t="str">
        <f aca="false">""</f>
        <v/>
      </c>
      <c r="B2329" s="13" t="n">
        <f aca="false">129</f>
        <v>129</v>
      </c>
      <c r="C2329" s="13" t="n">
        <f aca="false">IF(Szenarien!$H$17="OK",(IFERROR(SUMIF(Nutzungsprofile!$B$6:$B$11,"Schulbetrieb",Nutzungsprofile!$G$6:$G$11)*Kalender!C133/SUM(Kalender!$C$5:$C$370),0)+IFERROR(SUMIF(Nutzungsprofile!$B$6:$B$11,"Halle",Nutzungsprofile!$G$6:$G$11)*Kalender!D133/SUM(Kalender!$D$5:$D$370),0)+IFERROR(SUMIF(Nutzungsprofile!$B$6:$B$11,"Individuell",Nutzungsprofile!$G$6:$G$11)*Kalender!E133/SUM(Kalender!$E$5:$E$370),0))*Szenarien!$E$17,0)</f>
        <v>2.04</v>
      </c>
      <c r="D2329" s="13" t="n">
        <f aca="false">IF(Szenarien!$H$17="OK",(IFERROR(SUMIF(Nutzungsprofile!$B$17:$B$22,"Schulbetrieb",Nutzungsprofile!$G$17:$G$22)*Kalender!C133/SUM(Kalender!$C$5:$C$370),0)+IFERROR(SUMIF(Nutzungsprofile!$B$17:$B$22,"Halle",Nutzungsprofile!$G$17:$G$22)*Kalender!D133/SUM(Kalender!$D$5:$D$370),0)+IFERROR(SUMIF(Nutzungsprofile!$B$17:$B$22,"Individuell",Nutzungsprofile!$G$17:$G$22)*Kalender!E133/SUM(Kalender!$E$5:$E$370),0))*Szenarien!$D$17,0)</f>
        <v>0.89</v>
      </c>
      <c r="E2329" s="13" t="n">
        <f aca="false">IFERROR(MIN(C2329,Eingaben!$B$17)*Eingaben!$B$16,0)</f>
        <v>1.938</v>
      </c>
      <c r="F2329" s="13" t="n">
        <f aca="false">IFERROR(E2329*Eingaben!$B$15,0)</f>
        <v>1.7442</v>
      </c>
      <c r="G2329" s="13" t="n">
        <f aca="false">IFERROR(IF(Kalender!A133="",0,J2328*(1-Eingaben!$B$20)),0)</f>
        <v>0.7390278</v>
      </c>
      <c r="H2329" s="13" t="n">
        <f aca="false">MIN(G2329,D2329)</f>
        <v>0.7390278</v>
      </c>
      <c r="I2329" s="13" t="n">
        <f aca="false">IFERROR(MIN(F2329*Eingaben!$B$19,MAX(0,D2329-H2329)),0)</f>
        <v>0.1509722</v>
      </c>
      <c r="J2329" s="13" t="n">
        <f aca="false">IFERROR(MIN(Eingaben!$B$18,MAX(0,F2329-I2329)),0)</f>
        <v>1.5932278</v>
      </c>
      <c r="K2329" s="13" t="n">
        <f aca="false">H2329+I2329</f>
        <v>0.89</v>
      </c>
      <c r="L2329" s="13" t="n">
        <f aca="false">MAX(0,D2329-K2329)</f>
        <v>0</v>
      </c>
      <c r="M2329" s="13" t="n">
        <f aca="false">MAX(0,F2329-I2329-J2329)</f>
        <v>0</v>
      </c>
      <c r="N2329" s="13" t="n">
        <f aca="false">IF(Kalender!A133="",0,J2328-H2329)</f>
        <v>0.0150822</v>
      </c>
    </row>
    <row r="2330" customFormat="false" ht="16.4" hidden="false" customHeight="false" outlineLevel="0" collapsed="false">
      <c r="A2330" s="13" t="str">
        <f aca="false">""</f>
        <v/>
      </c>
      <c r="B2330" s="13" t="n">
        <f aca="false">130</f>
        <v>130</v>
      </c>
      <c r="C2330" s="13" t="n">
        <f aca="false">IF(Szenarien!$H$17="OK",(IFERROR(SUMIF(Nutzungsprofile!$B$6:$B$11,"Schulbetrieb",Nutzungsprofile!$G$6:$G$11)*Kalender!C134/SUM(Kalender!$C$5:$C$370),0)+IFERROR(SUMIF(Nutzungsprofile!$B$6:$B$11,"Halle",Nutzungsprofile!$G$6:$G$11)*Kalender!D134/SUM(Kalender!$D$5:$D$370),0)+IFERROR(SUMIF(Nutzungsprofile!$B$6:$B$11,"Individuell",Nutzungsprofile!$G$6:$G$11)*Kalender!E134/SUM(Kalender!$E$5:$E$370),0))*Szenarien!$E$17,0)</f>
        <v>2.04</v>
      </c>
      <c r="D2330" s="13" t="n">
        <f aca="false">IF(Szenarien!$H$17="OK",(IFERROR(SUMIF(Nutzungsprofile!$B$17:$B$22,"Schulbetrieb",Nutzungsprofile!$G$17:$G$22)*Kalender!C134/SUM(Kalender!$C$5:$C$370),0)+IFERROR(SUMIF(Nutzungsprofile!$B$17:$B$22,"Halle",Nutzungsprofile!$G$17:$G$22)*Kalender!D134/SUM(Kalender!$D$5:$D$370),0)+IFERROR(SUMIF(Nutzungsprofile!$B$17:$B$22,"Individuell",Nutzungsprofile!$G$17:$G$22)*Kalender!E134/SUM(Kalender!$E$5:$E$370),0))*Szenarien!$D$17,0)</f>
        <v>0.89</v>
      </c>
      <c r="E2330" s="13" t="n">
        <f aca="false">IFERROR(MIN(C2330,Eingaben!$B$17)*Eingaben!$B$16,0)</f>
        <v>1.938</v>
      </c>
      <c r="F2330" s="13" t="n">
        <f aca="false">IFERROR(E2330*Eingaben!$B$15,0)</f>
        <v>1.7442</v>
      </c>
      <c r="G2330" s="13" t="n">
        <f aca="false">IFERROR(IF(Kalender!A134="",0,J2329*(1-Eingaben!$B$20)),0)</f>
        <v>1.561363244</v>
      </c>
      <c r="H2330" s="13" t="n">
        <f aca="false">MIN(G2330,D2330)</f>
        <v>0.89</v>
      </c>
      <c r="I2330" s="13" t="n">
        <f aca="false">IFERROR(MIN(F2330*Eingaben!$B$19,MAX(0,D2330-H2330)),0)</f>
        <v>0</v>
      </c>
      <c r="J2330" s="13" t="n">
        <f aca="false">IFERROR(MIN(Eingaben!$B$18,MAX(0,F2330-I2330)),0)</f>
        <v>1.7442</v>
      </c>
      <c r="K2330" s="13" t="n">
        <f aca="false">H2330+I2330</f>
        <v>0.89</v>
      </c>
      <c r="L2330" s="13" t="n">
        <f aca="false">MAX(0,D2330-K2330)</f>
        <v>0</v>
      </c>
      <c r="M2330" s="13" t="n">
        <f aca="false">MAX(0,F2330-I2330-J2330)</f>
        <v>0</v>
      </c>
      <c r="N2330" s="13" t="n">
        <f aca="false">IF(Kalender!A134="",0,J2329-H2330)</f>
        <v>0.7032278</v>
      </c>
    </row>
    <row r="2331" customFormat="false" ht="16.4" hidden="false" customHeight="false" outlineLevel="0" collapsed="false">
      <c r="A2331" s="13" t="str">
        <f aca="false">""</f>
        <v/>
      </c>
      <c r="B2331" s="13" t="n">
        <f aca="false">131</f>
        <v>131</v>
      </c>
      <c r="C2331" s="13" t="n">
        <f aca="false">IF(Szenarien!$H$17="OK",(IFERROR(SUMIF(Nutzungsprofile!$B$6:$B$11,"Schulbetrieb",Nutzungsprofile!$G$6:$G$11)*Kalender!C135/SUM(Kalender!$C$5:$C$370),0)+IFERROR(SUMIF(Nutzungsprofile!$B$6:$B$11,"Halle",Nutzungsprofile!$G$6:$G$11)*Kalender!D135/SUM(Kalender!$D$5:$D$370),0)+IFERROR(SUMIF(Nutzungsprofile!$B$6:$B$11,"Individuell",Nutzungsprofile!$G$6:$G$11)*Kalender!E135/SUM(Kalender!$E$5:$E$370),0))*Szenarien!$E$17,0)</f>
        <v>2.94</v>
      </c>
      <c r="D2331" s="13" t="n">
        <f aca="false">IF(Szenarien!$H$17="OK",(IFERROR(SUMIF(Nutzungsprofile!$B$17:$B$22,"Schulbetrieb",Nutzungsprofile!$G$17:$G$22)*Kalender!C135/SUM(Kalender!$C$5:$C$370),0)+IFERROR(SUMIF(Nutzungsprofile!$B$17:$B$22,"Halle",Nutzungsprofile!$G$17:$G$22)*Kalender!D135/SUM(Kalender!$D$5:$D$370),0)+IFERROR(SUMIF(Nutzungsprofile!$B$17:$B$22,"Individuell",Nutzungsprofile!$G$17:$G$22)*Kalender!E135/SUM(Kalender!$E$5:$E$370),0))*Szenarien!$D$17,0)</f>
        <v>4.94</v>
      </c>
      <c r="E2331" s="13" t="n">
        <f aca="false">IFERROR(MIN(C2331,Eingaben!$B$17)*Eingaben!$B$16,0)</f>
        <v>2.793</v>
      </c>
      <c r="F2331" s="13" t="n">
        <f aca="false">IFERROR(E2331*Eingaben!$B$15,0)</f>
        <v>2.5137</v>
      </c>
      <c r="G2331" s="13" t="n">
        <f aca="false">IFERROR(IF(Kalender!A135="",0,J2330*(1-Eingaben!$B$20)),0)</f>
        <v>1.709316</v>
      </c>
      <c r="H2331" s="13" t="n">
        <f aca="false">MIN(G2331,D2331)</f>
        <v>1.709316</v>
      </c>
      <c r="I2331" s="13" t="n">
        <f aca="false">IFERROR(MIN(F2331*Eingaben!$B$19,MAX(0,D2331-H2331)),0)</f>
        <v>1.75959</v>
      </c>
      <c r="J2331" s="13" t="n">
        <f aca="false">IFERROR(MIN(Eingaben!$B$18,MAX(0,F2331-I2331)),0)</f>
        <v>0.75411</v>
      </c>
      <c r="K2331" s="13" t="n">
        <f aca="false">H2331+I2331</f>
        <v>3.468906</v>
      </c>
      <c r="L2331" s="13" t="n">
        <f aca="false">MAX(0,D2331-K2331)</f>
        <v>1.471094</v>
      </c>
      <c r="M2331" s="13" t="n">
        <f aca="false">MAX(0,F2331-I2331-J2331)</f>
        <v>0</v>
      </c>
      <c r="N2331" s="13" t="n">
        <f aca="false">IF(Kalender!A135="",0,J2330-H2331)</f>
        <v>0.0348840000000001</v>
      </c>
    </row>
    <row r="2332" customFormat="false" ht="16.4" hidden="false" customHeight="false" outlineLevel="0" collapsed="false">
      <c r="A2332" s="13" t="str">
        <f aca="false">""</f>
        <v/>
      </c>
      <c r="B2332" s="13" t="n">
        <f aca="false">132</f>
        <v>132</v>
      </c>
      <c r="C2332" s="13" t="n">
        <f aca="false">IF(Szenarien!$H$17="OK",(IFERROR(SUMIF(Nutzungsprofile!$B$6:$B$11,"Schulbetrieb",Nutzungsprofile!$G$6:$G$11)*Kalender!C136/SUM(Kalender!$C$5:$C$370),0)+IFERROR(SUMIF(Nutzungsprofile!$B$6:$B$11,"Halle",Nutzungsprofile!$G$6:$G$11)*Kalender!D136/SUM(Kalender!$D$5:$D$370),0)+IFERROR(SUMIF(Nutzungsprofile!$B$6:$B$11,"Individuell",Nutzungsprofile!$G$6:$G$11)*Kalender!E136/SUM(Kalender!$E$5:$E$370),0))*Szenarien!$E$17,0)</f>
        <v>2.94</v>
      </c>
      <c r="D2332" s="13" t="n">
        <f aca="false">IF(Szenarien!$H$17="OK",(IFERROR(SUMIF(Nutzungsprofile!$B$17:$B$22,"Schulbetrieb",Nutzungsprofile!$G$17:$G$22)*Kalender!C136/SUM(Kalender!$C$5:$C$370),0)+IFERROR(SUMIF(Nutzungsprofile!$B$17:$B$22,"Halle",Nutzungsprofile!$G$17:$G$22)*Kalender!D136/SUM(Kalender!$D$5:$D$370),0)+IFERROR(SUMIF(Nutzungsprofile!$B$17:$B$22,"Individuell",Nutzungsprofile!$G$17:$G$22)*Kalender!E136/SUM(Kalender!$E$5:$E$370),0))*Szenarien!$D$17,0)</f>
        <v>4.94</v>
      </c>
      <c r="E2332" s="13" t="n">
        <f aca="false">IFERROR(MIN(C2332,Eingaben!$B$17)*Eingaben!$B$16,0)</f>
        <v>2.793</v>
      </c>
      <c r="F2332" s="13" t="n">
        <f aca="false">IFERROR(E2332*Eingaben!$B$15,0)</f>
        <v>2.5137</v>
      </c>
      <c r="G2332" s="13" t="n">
        <f aca="false">IFERROR(IF(Kalender!A136="",0,J2331*(1-Eingaben!$B$20)),0)</f>
        <v>0.7390278</v>
      </c>
      <c r="H2332" s="13" t="n">
        <f aca="false">MIN(G2332,D2332)</f>
        <v>0.7390278</v>
      </c>
      <c r="I2332" s="13" t="n">
        <f aca="false">IFERROR(MIN(F2332*Eingaben!$B$19,MAX(0,D2332-H2332)),0)</f>
        <v>1.75959</v>
      </c>
      <c r="J2332" s="13" t="n">
        <f aca="false">IFERROR(MIN(Eingaben!$B$18,MAX(0,F2332-I2332)),0)</f>
        <v>0.75411</v>
      </c>
      <c r="K2332" s="13" t="n">
        <f aca="false">H2332+I2332</f>
        <v>2.4986178</v>
      </c>
      <c r="L2332" s="13" t="n">
        <f aca="false">MAX(0,D2332-K2332)</f>
        <v>2.4413822</v>
      </c>
      <c r="M2332" s="13" t="n">
        <f aca="false">MAX(0,F2332-I2332-J2332)</f>
        <v>0</v>
      </c>
      <c r="N2332" s="13" t="n">
        <f aca="false">IF(Kalender!A136="",0,J2331-H2332)</f>
        <v>0.0150822</v>
      </c>
    </row>
    <row r="2333" customFormat="false" ht="16.4" hidden="false" customHeight="false" outlineLevel="0" collapsed="false">
      <c r="A2333" s="13" t="str">
        <f aca="false">""</f>
        <v/>
      </c>
      <c r="B2333" s="13" t="n">
        <f aca="false">133</f>
        <v>133</v>
      </c>
      <c r="C2333" s="13" t="n">
        <f aca="false">IF(Szenarien!$H$17="OK",(IFERROR(SUMIF(Nutzungsprofile!$B$6:$B$11,"Schulbetrieb",Nutzungsprofile!$G$6:$G$11)*Kalender!C137/SUM(Kalender!$C$5:$C$370),0)+IFERROR(SUMIF(Nutzungsprofile!$B$6:$B$11,"Halle",Nutzungsprofile!$G$6:$G$11)*Kalender!D137/SUM(Kalender!$D$5:$D$370),0)+IFERROR(SUMIF(Nutzungsprofile!$B$6:$B$11,"Individuell",Nutzungsprofile!$G$6:$G$11)*Kalender!E137/SUM(Kalender!$E$5:$E$370),0))*Szenarien!$E$17,0)</f>
        <v>2.94</v>
      </c>
      <c r="D2333" s="13" t="n">
        <f aca="false">IF(Szenarien!$H$17="OK",(IFERROR(SUMIF(Nutzungsprofile!$B$17:$B$22,"Schulbetrieb",Nutzungsprofile!$G$17:$G$22)*Kalender!C137/SUM(Kalender!$C$5:$C$370),0)+IFERROR(SUMIF(Nutzungsprofile!$B$17:$B$22,"Halle",Nutzungsprofile!$G$17:$G$22)*Kalender!D137/SUM(Kalender!$D$5:$D$370),0)+IFERROR(SUMIF(Nutzungsprofile!$B$17:$B$22,"Individuell",Nutzungsprofile!$G$17:$G$22)*Kalender!E137/SUM(Kalender!$E$5:$E$370),0))*Szenarien!$D$17,0)</f>
        <v>4.94</v>
      </c>
      <c r="E2333" s="13" t="n">
        <f aca="false">IFERROR(MIN(C2333,Eingaben!$B$17)*Eingaben!$B$16,0)</f>
        <v>2.793</v>
      </c>
      <c r="F2333" s="13" t="n">
        <f aca="false">IFERROR(E2333*Eingaben!$B$15,0)</f>
        <v>2.5137</v>
      </c>
      <c r="G2333" s="13" t="n">
        <f aca="false">IFERROR(IF(Kalender!A137="",0,J2332*(1-Eingaben!$B$20)),0)</f>
        <v>0.7390278</v>
      </c>
      <c r="H2333" s="13" t="n">
        <f aca="false">MIN(G2333,D2333)</f>
        <v>0.7390278</v>
      </c>
      <c r="I2333" s="13" t="n">
        <f aca="false">IFERROR(MIN(F2333*Eingaben!$B$19,MAX(0,D2333-H2333)),0)</f>
        <v>1.75959</v>
      </c>
      <c r="J2333" s="13" t="n">
        <f aca="false">IFERROR(MIN(Eingaben!$B$18,MAX(0,F2333-I2333)),0)</f>
        <v>0.75411</v>
      </c>
      <c r="K2333" s="13" t="n">
        <f aca="false">H2333+I2333</f>
        <v>2.4986178</v>
      </c>
      <c r="L2333" s="13" t="n">
        <f aca="false">MAX(0,D2333-K2333)</f>
        <v>2.4413822</v>
      </c>
      <c r="M2333" s="13" t="n">
        <f aca="false">MAX(0,F2333-I2333-J2333)</f>
        <v>0</v>
      </c>
      <c r="N2333" s="13" t="n">
        <f aca="false">IF(Kalender!A137="",0,J2332-H2333)</f>
        <v>0.0150822</v>
      </c>
    </row>
    <row r="2334" customFormat="false" ht="16.4" hidden="false" customHeight="false" outlineLevel="0" collapsed="false">
      <c r="A2334" s="13" t="str">
        <f aca="false">""</f>
        <v/>
      </c>
      <c r="B2334" s="13" t="n">
        <f aca="false">134</f>
        <v>134</v>
      </c>
      <c r="C2334" s="13" t="n">
        <f aca="false">IF(Szenarien!$H$17="OK",(IFERROR(SUMIF(Nutzungsprofile!$B$6:$B$11,"Schulbetrieb",Nutzungsprofile!$G$6:$G$11)*Kalender!C138/SUM(Kalender!$C$5:$C$370),0)+IFERROR(SUMIF(Nutzungsprofile!$B$6:$B$11,"Halle",Nutzungsprofile!$G$6:$G$11)*Kalender!D138/SUM(Kalender!$D$5:$D$370),0)+IFERROR(SUMIF(Nutzungsprofile!$B$6:$B$11,"Individuell",Nutzungsprofile!$G$6:$G$11)*Kalender!E138/SUM(Kalender!$E$5:$E$370),0))*Szenarien!$E$17,0)</f>
        <v>2.94</v>
      </c>
      <c r="D2334" s="13" t="n">
        <f aca="false">IF(Szenarien!$H$17="OK",(IFERROR(SUMIF(Nutzungsprofile!$B$17:$B$22,"Schulbetrieb",Nutzungsprofile!$G$17:$G$22)*Kalender!C138/SUM(Kalender!$C$5:$C$370),0)+IFERROR(SUMIF(Nutzungsprofile!$B$17:$B$22,"Halle",Nutzungsprofile!$G$17:$G$22)*Kalender!D138/SUM(Kalender!$D$5:$D$370),0)+IFERROR(SUMIF(Nutzungsprofile!$B$17:$B$22,"Individuell",Nutzungsprofile!$G$17:$G$22)*Kalender!E138/SUM(Kalender!$E$5:$E$370),0))*Szenarien!$D$17,0)</f>
        <v>4.94</v>
      </c>
      <c r="E2334" s="13" t="n">
        <f aca="false">IFERROR(MIN(C2334,Eingaben!$B$17)*Eingaben!$B$16,0)</f>
        <v>2.793</v>
      </c>
      <c r="F2334" s="13" t="n">
        <f aca="false">IFERROR(E2334*Eingaben!$B$15,0)</f>
        <v>2.5137</v>
      </c>
      <c r="G2334" s="13" t="n">
        <f aca="false">IFERROR(IF(Kalender!A138="",0,J2333*(1-Eingaben!$B$20)),0)</f>
        <v>0.7390278</v>
      </c>
      <c r="H2334" s="13" t="n">
        <f aca="false">MIN(G2334,D2334)</f>
        <v>0.7390278</v>
      </c>
      <c r="I2334" s="13" t="n">
        <f aca="false">IFERROR(MIN(F2334*Eingaben!$B$19,MAX(0,D2334-H2334)),0)</f>
        <v>1.75959</v>
      </c>
      <c r="J2334" s="13" t="n">
        <f aca="false">IFERROR(MIN(Eingaben!$B$18,MAX(0,F2334-I2334)),0)</f>
        <v>0.75411</v>
      </c>
      <c r="K2334" s="13" t="n">
        <f aca="false">H2334+I2334</f>
        <v>2.4986178</v>
      </c>
      <c r="L2334" s="13" t="n">
        <f aca="false">MAX(0,D2334-K2334)</f>
        <v>2.4413822</v>
      </c>
      <c r="M2334" s="13" t="n">
        <f aca="false">MAX(0,F2334-I2334-J2334)</f>
        <v>0</v>
      </c>
      <c r="N2334" s="13" t="n">
        <f aca="false">IF(Kalender!A138="",0,J2333-H2334)</f>
        <v>0.0150822</v>
      </c>
    </row>
    <row r="2335" customFormat="false" ht="16.4" hidden="false" customHeight="false" outlineLevel="0" collapsed="false">
      <c r="A2335" s="13" t="str">
        <f aca="false">""</f>
        <v/>
      </c>
      <c r="B2335" s="13" t="n">
        <f aca="false">135</f>
        <v>135</v>
      </c>
      <c r="C2335" s="13" t="n">
        <f aca="false">IF(Szenarien!$H$17="OK",(IFERROR(SUMIF(Nutzungsprofile!$B$6:$B$11,"Schulbetrieb",Nutzungsprofile!$G$6:$G$11)*Kalender!C139/SUM(Kalender!$C$5:$C$370),0)+IFERROR(SUMIF(Nutzungsprofile!$B$6:$B$11,"Halle",Nutzungsprofile!$G$6:$G$11)*Kalender!D139/SUM(Kalender!$D$5:$D$370),0)+IFERROR(SUMIF(Nutzungsprofile!$B$6:$B$11,"Individuell",Nutzungsprofile!$G$6:$G$11)*Kalender!E139/SUM(Kalender!$E$5:$E$370),0))*Szenarien!$E$17,0)</f>
        <v>2.94</v>
      </c>
      <c r="D2335" s="13" t="n">
        <f aca="false">IF(Szenarien!$H$17="OK",(IFERROR(SUMIF(Nutzungsprofile!$B$17:$B$22,"Schulbetrieb",Nutzungsprofile!$G$17:$G$22)*Kalender!C139/SUM(Kalender!$C$5:$C$370),0)+IFERROR(SUMIF(Nutzungsprofile!$B$17:$B$22,"Halle",Nutzungsprofile!$G$17:$G$22)*Kalender!D139/SUM(Kalender!$D$5:$D$370),0)+IFERROR(SUMIF(Nutzungsprofile!$B$17:$B$22,"Individuell",Nutzungsprofile!$G$17:$G$22)*Kalender!E139/SUM(Kalender!$E$5:$E$370),0))*Szenarien!$D$17,0)</f>
        <v>4.94</v>
      </c>
      <c r="E2335" s="13" t="n">
        <f aca="false">IFERROR(MIN(C2335,Eingaben!$B$17)*Eingaben!$B$16,0)</f>
        <v>2.793</v>
      </c>
      <c r="F2335" s="13" t="n">
        <f aca="false">IFERROR(E2335*Eingaben!$B$15,0)</f>
        <v>2.5137</v>
      </c>
      <c r="G2335" s="13" t="n">
        <f aca="false">IFERROR(IF(Kalender!A139="",0,J2334*(1-Eingaben!$B$20)),0)</f>
        <v>0.7390278</v>
      </c>
      <c r="H2335" s="13" t="n">
        <f aca="false">MIN(G2335,D2335)</f>
        <v>0.7390278</v>
      </c>
      <c r="I2335" s="13" t="n">
        <f aca="false">IFERROR(MIN(F2335*Eingaben!$B$19,MAX(0,D2335-H2335)),0)</f>
        <v>1.75959</v>
      </c>
      <c r="J2335" s="13" t="n">
        <f aca="false">IFERROR(MIN(Eingaben!$B$18,MAX(0,F2335-I2335)),0)</f>
        <v>0.75411</v>
      </c>
      <c r="K2335" s="13" t="n">
        <f aca="false">H2335+I2335</f>
        <v>2.4986178</v>
      </c>
      <c r="L2335" s="13" t="n">
        <f aca="false">MAX(0,D2335-K2335)</f>
        <v>2.4413822</v>
      </c>
      <c r="M2335" s="13" t="n">
        <f aca="false">MAX(0,F2335-I2335-J2335)</f>
        <v>0</v>
      </c>
      <c r="N2335" s="13" t="n">
        <f aca="false">IF(Kalender!A139="",0,J2334-H2335)</f>
        <v>0.0150822</v>
      </c>
    </row>
    <row r="2336" customFormat="false" ht="16.4" hidden="false" customHeight="false" outlineLevel="0" collapsed="false">
      <c r="A2336" s="13" t="str">
        <f aca="false">""</f>
        <v/>
      </c>
      <c r="B2336" s="13" t="n">
        <f aca="false">136</f>
        <v>136</v>
      </c>
      <c r="C2336" s="13" t="n">
        <f aca="false">IF(Szenarien!$H$17="OK",(IFERROR(SUMIF(Nutzungsprofile!$B$6:$B$11,"Schulbetrieb",Nutzungsprofile!$G$6:$G$11)*Kalender!C140/SUM(Kalender!$C$5:$C$370),0)+IFERROR(SUMIF(Nutzungsprofile!$B$6:$B$11,"Halle",Nutzungsprofile!$G$6:$G$11)*Kalender!D140/SUM(Kalender!$D$5:$D$370),0)+IFERROR(SUMIF(Nutzungsprofile!$B$6:$B$11,"Individuell",Nutzungsprofile!$G$6:$G$11)*Kalender!E140/SUM(Kalender!$E$5:$E$370),0))*Szenarien!$E$17,0)</f>
        <v>2.04</v>
      </c>
      <c r="D2336" s="13" t="n">
        <f aca="false">IF(Szenarien!$H$17="OK",(IFERROR(SUMIF(Nutzungsprofile!$B$17:$B$22,"Schulbetrieb",Nutzungsprofile!$G$17:$G$22)*Kalender!C140/SUM(Kalender!$C$5:$C$370),0)+IFERROR(SUMIF(Nutzungsprofile!$B$17:$B$22,"Halle",Nutzungsprofile!$G$17:$G$22)*Kalender!D140/SUM(Kalender!$D$5:$D$370),0)+IFERROR(SUMIF(Nutzungsprofile!$B$17:$B$22,"Individuell",Nutzungsprofile!$G$17:$G$22)*Kalender!E140/SUM(Kalender!$E$5:$E$370),0))*Szenarien!$D$17,0)</f>
        <v>0.89</v>
      </c>
      <c r="E2336" s="13" t="n">
        <f aca="false">IFERROR(MIN(C2336,Eingaben!$B$17)*Eingaben!$B$16,0)</f>
        <v>1.938</v>
      </c>
      <c r="F2336" s="13" t="n">
        <f aca="false">IFERROR(E2336*Eingaben!$B$15,0)</f>
        <v>1.7442</v>
      </c>
      <c r="G2336" s="13" t="n">
        <f aca="false">IFERROR(IF(Kalender!A140="",0,J2335*(1-Eingaben!$B$20)),0)</f>
        <v>0.7390278</v>
      </c>
      <c r="H2336" s="13" t="n">
        <f aca="false">MIN(G2336,D2336)</f>
        <v>0.7390278</v>
      </c>
      <c r="I2336" s="13" t="n">
        <f aca="false">IFERROR(MIN(F2336*Eingaben!$B$19,MAX(0,D2336-H2336)),0)</f>
        <v>0.1509722</v>
      </c>
      <c r="J2336" s="13" t="n">
        <f aca="false">IFERROR(MIN(Eingaben!$B$18,MAX(0,F2336-I2336)),0)</f>
        <v>1.5932278</v>
      </c>
      <c r="K2336" s="13" t="n">
        <f aca="false">H2336+I2336</f>
        <v>0.89</v>
      </c>
      <c r="L2336" s="13" t="n">
        <f aca="false">MAX(0,D2336-K2336)</f>
        <v>0</v>
      </c>
      <c r="M2336" s="13" t="n">
        <f aca="false">MAX(0,F2336-I2336-J2336)</f>
        <v>0</v>
      </c>
      <c r="N2336" s="13" t="n">
        <f aca="false">IF(Kalender!A140="",0,J2335-H2336)</f>
        <v>0.0150822</v>
      </c>
    </row>
    <row r="2337" customFormat="false" ht="16.4" hidden="false" customHeight="false" outlineLevel="0" collapsed="false">
      <c r="A2337" s="13" t="str">
        <f aca="false">""</f>
        <v/>
      </c>
      <c r="B2337" s="13" t="n">
        <f aca="false">137</f>
        <v>137</v>
      </c>
      <c r="C2337" s="13" t="n">
        <f aca="false">IF(Szenarien!$H$17="OK",(IFERROR(SUMIF(Nutzungsprofile!$B$6:$B$11,"Schulbetrieb",Nutzungsprofile!$G$6:$G$11)*Kalender!C141/SUM(Kalender!$C$5:$C$370),0)+IFERROR(SUMIF(Nutzungsprofile!$B$6:$B$11,"Halle",Nutzungsprofile!$G$6:$G$11)*Kalender!D141/SUM(Kalender!$D$5:$D$370),0)+IFERROR(SUMIF(Nutzungsprofile!$B$6:$B$11,"Individuell",Nutzungsprofile!$G$6:$G$11)*Kalender!E141/SUM(Kalender!$E$5:$E$370),0))*Szenarien!$E$17,0)</f>
        <v>2.04</v>
      </c>
      <c r="D2337" s="13" t="n">
        <f aca="false">IF(Szenarien!$H$17="OK",(IFERROR(SUMIF(Nutzungsprofile!$B$17:$B$22,"Schulbetrieb",Nutzungsprofile!$G$17:$G$22)*Kalender!C141/SUM(Kalender!$C$5:$C$370),0)+IFERROR(SUMIF(Nutzungsprofile!$B$17:$B$22,"Halle",Nutzungsprofile!$G$17:$G$22)*Kalender!D141/SUM(Kalender!$D$5:$D$370),0)+IFERROR(SUMIF(Nutzungsprofile!$B$17:$B$22,"Individuell",Nutzungsprofile!$G$17:$G$22)*Kalender!E141/SUM(Kalender!$E$5:$E$370),0))*Szenarien!$D$17,0)</f>
        <v>0.89</v>
      </c>
      <c r="E2337" s="13" t="n">
        <f aca="false">IFERROR(MIN(C2337,Eingaben!$B$17)*Eingaben!$B$16,0)</f>
        <v>1.938</v>
      </c>
      <c r="F2337" s="13" t="n">
        <f aca="false">IFERROR(E2337*Eingaben!$B$15,0)</f>
        <v>1.7442</v>
      </c>
      <c r="G2337" s="13" t="n">
        <f aca="false">IFERROR(IF(Kalender!A141="",0,J2336*(1-Eingaben!$B$20)),0)</f>
        <v>1.561363244</v>
      </c>
      <c r="H2337" s="13" t="n">
        <f aca="false">MIN(G2337,D2337)</f>
        <v>0.89</v>
      </c>
      <c r="I2337" s="13" t="n">
        <f aca="false">IFERROR(MIN(F2337*Eingaben!$B$19,MAX(0,D2337-H2337)),0)</f>
        <v>0</v>
      </c>
      <c r="J2337" s="13" t="n">
        <f aca="false">IFERROR(MIN(Eingaben!$B$18,MAX(0,F2337-I2337)),0)</f>
        <v>1.7442</v>
      </c>
      <c r="K2337" s="13" t="n">
        <f aca="false">H2337+I2337</f>
        <v>0.89</v>
      </c>
      <c r="L2337" s="13" t="n">
        <f aca="false">MAX(0,D2337-K2337)</f>
        <v>0</v>
      </c>
      <c r="M2337" s="13" t="n">
        <f aca="false">MAX(0,F2337-I2337-J2337)</f>
        <v>0</v>
      </c>
      <c r="N2337" s="13" t="n">
        <f aca="false">IF(Kalender!A141="",0,J2336-H2337)</f>
        <v>0.7032278</v>
      </c>
    </row>
    <row r="2338" customFormat="false" ht="16.4" hidden="false" customHeight="false" outlineLevel="0" collapsed="false">
      <c r="A2338" s="13" t="str">
        <f aca="false">""</f>
        <v/>
      </c>
      <c r="B2338" s="13" t="n">
        <f aca="false">138</f>
        <v>138</v>
      </c>
      <c r="C2338" s="13" t="n">
        <f aca="false">IF(Szenarien!$H$17="OK",(IFERROR(SUMIF(Nutzungsprofile!$B$6:$B$11,"Schulbetrieb",Nutzungsprofile!$G$6:$G$11)*Kalender!C142/SUM(Kalender!$C$5:$C$370),0)+IFERROR(SUMIF(Nutzungsprofile!$B$6:$B$11,"Halle",Nutzungsprofile!$G$6:$G$11)*Kalender!D142/SUM(Kalender!$D$5:$D$370),0)+IFERROR(SUMIF(Nutzungsprofile!$B$6:$B$11,"Individuell",Nutzungsprofile!$G$6:$G$11)*Kalender!E142/SUM(Kalender!$E$5:$E$370),0))*Szenarien!$E$17,0)</f>
        <v>2.94</v>
      </c>
      <c r="D2338" s="13" t="n">
        <f aca="false">IF(Szenarien!$H$17="OK",(IFERROR(SUMIF(Nutzungsprofile!$B$17:$B$22,"Schulbetrieb",Nutzungsprofile!$G$17:$G$22)*Kalender!C142/SUM(Kalender!$C$5:$C$370),0)+IFERROR(SUMIF(Nutzungsprofile!$B$17:$B$22,"Halle",Nutzungsprofile!$G$17:$G$22)*Kalender!D142/SUM(Kalender!$D$5:$D$370),0)+IFERROR(SUMIF(Nutzungsprofile!$B$17:$B$22,"Individuell",Nutzungsprofile!$G$17:$G$22)*Kalender!E142/SUM(Kalender!$E$5:$E$370),0))*Szenarien!$D$17,0)</f>
        <v>4.94</v>
      </c>
      <c r="E2338" s="13" t="n">
        <f aca="false">IFERROR(MIN(C2338,Eingaben!$B$17)*Eingaben!$B$16,0)</f>
        <v>2.793</v>
      </c>
      <c r="F2338" s="13" t="n">
        <f aca="false">IFERROR(E2338*Eingaben!$B$15,0)</f>
        <v>2.5137</v>
      </c>
      <c r="G2338" s="13" t="n">
        <f aca="false">IFERROR(IF(Kalender!A142="",0,J2337*(1-Eingaben!$B$20)),0)</f>
        <v>1.709316</v>
      </c>
      <c r="H2338" s="13" t="n">
        <f aca="false">MIN(G2338,D2338)</f>
        <v>1.709316</v>
      </c>
      <c r="I2338" s="13" t="n">
        <f aca="false">IFERROR(MIN(F2338*Eingaben!$B$19,MAX(0,D2338-H2338)),0)</f>
        <v>1.75959</v>
      </c>
      <c r="J2338" s="13" t="n">
        <f aca="false">IFERROR(MIN(Eingaben!$B$18,MAX(0,F2338-I2338)),0)</f>
        <v>0.75411</v>
      </c>
      <c r="K2338" s="13" t="n">
        <f aca="false">H2338+I2338</f>
        <v>3.468906</v>
      </c>
      <c r="L2338" s="13" t="n">
        <f aca="false">MAX(0,D2338-K2338)</f>
        <v>1.471094</v>
      </c>
      <c r="M2338" s="13" t="n">
        <f aca="false">MAX(0,F2338-I2338-J2338)</f>
        <v>0</v>
      </c>
      <c r="N2338" s="13" t="n">
        <f aca="false">IF(Kalender!A142="",0,J2337-H2338)</f>
        <v>0.0348840000000001</v>
      </c>
    </row>
    <row r="2339" customFormat="false" ht="16.4" hidden="false" customHeight="false" outlineLevel="0" collapsed="false">
      <c r="A2339" s="13" t="str">
        <f aca="false">""</f>
        <v/>
      </c>
      <c r="B2339" s="13" t="n">
        <f aca="false">139</f>
        <v>139</v>
      </c>
      <c r="C2339" s="13" t="n">
        <f aca="false">IF(Szenarien!$H$17="OK",(IFERROR(SUMIF(Nutzungsprofile!$B$6:$B$11,"Schulbetrieb",Nutzungsprofile!$G$6:$G$11)*Kalender!C143/SUM(Kalender!$C$5:$C$370),0)+IFERROR(SUMIF(Nutzungsprofile!$B$6:$B$11,"Halle",Nutzungsprofile!$G$6:$G$11)*Kalender!D143/SUM(Kalender!$D$5:$D$370),0)+IFERROR(SUMIF(Nutzungsprofile!$B$6:$B$11,"Individuell",Nutzungsprofile!$G$6:$G$11)*Kalender!E143/SUM(Kalender!$E$5:$E$370),0))*Szenarien!$E$17,0)</f>
        <v>2.94</v>
      </c>
      <c r="D2339" s="13" t="n">
        <f aca="false">IF(Szenarien!$H$17="OK",(IFERROR(SUMIF(Nutzungsprofile!$B$17:$B$22,"Schulbetrieb",Nutzungsprofile!$G$17:$G$22)*Kalender!C143/SUM(Kalender!$C$5:$C$370),0)+IFERROR(SUMIF(Nutzungsprofile!$B$17:$B$22,"Halle",Nutzungsprofile!$G$17:$G$22)*Kalender!D143/SUM(Kalender!$D$5:$D$370),0)+IFERROR(SUMIF(Nutzungsprofile!$B$17:$B$22,"Individuell",Nutzungsprofile!$G$17:$G$22)*Kalender!E143/SUM(Kalender!$E$5:$E$370),0))*Szenarien!$D$17,0)</f>
        <v>4.94</v>
      </c>
      <c r="E2339" s="13" t="n">
        <f aca="false">IFERROR(MIN(C2339,Eingaben!$B$17)*Eingaben!$B$16,0)</f>
        <v>2.793</v>
      </c>
      <c r="F2339" s="13" t="n">
        <f aca="false">IFERROR(E2339*Eingaben!$B$15,0)</f>
        <v>2.5137</v>
      </c>
      <c r="G2339" s="13" t="n">
        <f aca="false">IFERROR(IF(Kalender!A143="",0,J2338*(1-Eingaben!$B$20)),0)</f>
        <v>0.7390278</v>
      </c>
      <c r="H2339" s="13" t="n">
        <f aca="false">MIN(G2339,D2339)</f>
        <v>0.7390278</v>
      </c>
      <c r="I2339" s="13" t="n">
        <f aca="false">IFERROR(MIN(F2339*Eingaben!$B$19,MAX(0,D2339-H2339)),0)</f>
        <v>1.75959</v>
      </c>
      <c r="J2339" s="13" t="n">
        <f aca="false">IFERROR(MIN(Eingaben!$B$18,MAX(0,F2339-I2339)),0)</f>
        <v>0.75411</v>
      </c>
      <c r="K2339" s="13" t="n">
        <f aca="false">H2339+I2339</f>
        <v>2.4986178</v>
      </c>
      <c r="L2339" s="13" t="n">
        <f aca="false">MAX(0,D2339-K2339)</f>
        <v>2.4413822</v>
      </c>
      <c r="M2339" s="13" t="n">
        <f aca="false">MAX(0,F2339-I2339-J2339)</f>
        <v>0</v>
      </c>
      <c r="N2339" s="13" t="n">
        <f aca="false">IF(Kalender!A143="",0,J2338-H2339)</f>
        <v>0.0150822</v>
      </c>
    </row>
    <row r="2340" customFormat="false" ht="16.4" hidden="false" customHeight="false" outlineLevel="0" collapsed="false">
      <c r="A2340" s="13" t="str">
        <f aca="false">""</f>
        <v/>
      </c>
      <c r="B2340" s="13" t="n">
        <f aca="false">140</f>
        <v>140</v>
      </c>
      <c r="C2340" s="13" t="n">
        <f aca="false">IF(Szenarien!$H$17="OK",(IFERROR(SUMIF(Nutzungsprofile!$B$6:$B$11,"Schulbetrieb",Nutzungsprofile!$G$6:$G$11)*Kalender!C144/SUM(Kalender!$C$5:$C$370),0)+IFERROR(SUMIF(Nutzungsprofile!$B$6:$B$11,"Halle",Nutzungsprofile!$G$6:$G$11)*Kalender!D144/SUM(Kalender!$D$5:$D$370),0)+IFERROR(SUMIF(Nutzungsprofile!$B$6:$B$11,"Individuell",Nutzungsprofile!$G$6:$G$11)*Kalender!E144/SUM(Kalender!$E$5:$E$370),0))*Szenarien!$E$17,0)</f>
        <v>2.94</v>
      </c>
      <c r="D2340" s="13" t="n">
        <f aca="false">IF(Szenarien!$H$17="OK",(IFERROR(SUMIF(Nutzungsprofile!$B$17:$B$22,"Schulbetrieb",Nutzungsprofile!$G$17:$G$22)*Kalender!C144/SUM(Kalender!$C$5:$C$370),0)+IFERROR(SUMIF(Nutzungsprofile!$B$17:$B$22,"Halle",Nutzungsprofile!$G$17:$G$22)*Kalender!D144/SUM(Kalender!$D$5:$D$370),0)+IFERROR(SUMIF(Nutzungsprofile!$B$17:$B$22,"Individuell",Nutzungsprofile!$G$17:$G$22)*Kalender!E144/SUM(Kalender!$E$5:$E$370),0))*Szenarien!$D$17,0)</f>
        <v>4.94</v>
      </c>
      <c r="E2340" s="13" t="n">
        <f aca="false">IFERROR(MIN(C2340,Eingaben!$B$17)*Eingaben!$B$16,0)</f>
        <v>2.793</v>
      </c>
      <c r="F2340" s="13" t="n">
        <f aca="false">IFERROR(E2340*Eingaben!$B$15,0)</f>
        <v>2.5137</v>
      </c>
      <c r="G2340" s="13" t="n">
        <f aca="false">IFERROR(IF(Kalender!A144="",0,J2339*(1-Eingaben!$B$20)),0)</f>
        <v>0.7390278</v>
      </c>
      <c r="H2340" s="13" t="n">
        <f aca="false">MIN(G2340,D2340)</f>
        <v>0.7390278</v>
      </c>
      <c r="I2340" s="13" t="n">
        <f aca="false">IFERROR(MIN(F2340*Eingaben!$B$19,MAX(0,D2340-H2340)),0)</f>
        <v>1.75959</v>
      </c>
      <c r="J2340" s="13" t="n">
        <f aca="false">IFERROR(MIN(Eingaben!$B$18,MAX(0,F2340-I2340)),0)</f>
        <v>0.75411</v>
      </c>
      <c r="K2340" s="13" t="n">
        <f aca="false">H2340+I2340</f>
        <v>2.4986178</v>
      </c>
      <c r="L2340" s="13" t="n">
        <f aca="false">MAX(0,D2340-K2340)</f>
        <v>2.4413822</v>
      </c>
      <c r="M2340" s="13" t="n">
        <f aca="false">MAX(0,F2340-I2340-J2340)</f>
        <v>0</v>
      </c>
      <c r="N2340" s="13" t="n">
        <f aca="false">IF(Kalender!A144="",0,J2339-H2340)</f>
        <v>0.0150822</v>
      </c>
    </row>
    <row r="2341" customFormat="false" ht="16.4" hidden="false" customHeight="false" outlineLevel="0" collapsed="false">
      <c r="A2341" s="13" t="str">
        <f aca="false">""</f>
        <v/>
      </c>
      <c r="B2341" s="13" t="n">
        <f aca="false">141</f>
        <v>141</v>
      </c>
      <c r="C2341" s="13" t="n">
        <f aca="false">IF(Szenarien!$H$17="OK",(IFERROR(SUMIF(Nutzungsprofile!$B$6:$B$11,"Schulbetrieb",Nutzungsprofile!$G$6:$G$11)*Kalender!C145/SUM(Kalender!$C$5:$C$370),0)+IFERROR(SUMIF(Nutzungsprofile!$B$6:$B$11,"Halle",Nutzungsprofile!$G$6:$G$11)*Kalender!D145/SUM(Kalender!$D$5:$D$370),0)+IFERROR(SUMIF(Nutzungsprofile!$B$6:$B$11,"Individuell",Nutzungsprofile!$G$6:$G$11)*Kalender!E145/SUM(Kalender!$E$5:$E$370),0))*Szenarien!$E$17,0)</f>
        <v>2.94</v>
      </c>
      <c r="D2341" s="13" t="n">
        <f aca="false">IF(Szenarien!$H$17="OK",(IFERROR(SUMIF(Nutzungsprofile!$B$17:$B$22,"Schulbetrieb",Nutzungsprofile!$G$17:$G$22)*Kalender!C145/SUM(Kalender!$C$5:$C$370),0)+IFERROR(SUMIF(Nutzungsprofile!$B$17:$B$22,"Halle",Nutzungsprofile!$G$17:$G$22)*Kalender!D145/SUM(Kalender!$D$5:$D$370),0)+IFERROR(SUMIF(Nutzungsprofile!$B$17:$B$22,"Individuell",Nutzungsprofile!$G$17:$G$22)*Kalender!E145/SUM(Kalender!$E$5:$E$370),0))*Szenarien!$D$17,0)</f>
        <v>4.94</v>
      </c>
      <c r="E2341" s="13" t="n">
        <f aca="false">IFERROR(MIN(C2341,Eingaben!$B$17)*Eingaben!$B$16,0)</f>
        <v>2.793</v>
      </c>
      <c r="F2341" s="13" t="n">
        <f aca="false">IFERROR(E2341*Eingaben!$B$15,0)</f>
        <v>2.5137</v>
      </c>
      <c r="G2341" s="13" t="n">
        <f aca="false">IFERROR(IF(Kalender!A145="",0,J2340*(1-Eingaben!$B$20)),0)</f>
        <v>0.7390278</v>
      </c>
      <c r="H2341" s="13" t="n">
        <f aca="false">MIN(G2341,D2341)</f>
        <v>0.7390278</v>
      </c>
      <c r="I2341" s="13" t="n">
        <f aca="false">IFERROR(MIN(F2341*Eingaben!$B$19,MAX(0,D2341-H2341)),0)</f>
        <v>1.75959</v>
      </c>
      <c r="J2341" s="13" t="n">
        <f aca="false">IFERROR(MIN(Eingaben!$B$18,MAX(0,F2341-I2341)),0)</f>
        <v>0.75411</v>
      </c>
      <c r="K2341" s="13" t="n">
        <f aca="false">H2341+I2341</f>
        <v>2.4986178</v>
      </c>
      <c r="L2341" s="13" t="n">
        <f aca="false">MAX(0,D2341-K2341)</f>
        <v>2.4413822</v>
      </c>
      <c r="M2341" s="13" t="n">
        <f aca="false">MAX(0,F2341-I2341-J2341)</f>
        <v>0</v>
      </c>
      <c r="N2341" s="13" t="n">
        <f aca="false">IF(Kalender!A145="",0,J2340-H2341)</f>
        <v>0.0150822</v>
      </c>
    </row>
    <row r="2342" customFormat="false" ht="16.4" hidden="false" customHeight="false" outlineLevel="0" collapsed="false">
      <c r="A2342" s="13" t="str">
        <f aca="false">""</f>
        <v/>
      </c>
      <c r="B2342" s="13" t="n">
        <f aca="false">142</f>
        <v>142</v>
      </c>
      <c r="C2342" s="13" t="n">
        <f aca="false">IF(Szenarien!$H$17="OK",(IFERROR(SUMIF(Nutzungsprofile!$B$6:$B$11,"Schulbetrieb",Nutzungsprofile!$G$6:$G$11)*Kalender!C146/SUM(Kalender!$C$5:$C$370),0)+IFERROR(SUMIF(Nutzungsprofile!$B$6:$B$11,"Halle",Nutzungsprofile!$G$6:$G$11)*Kalender!D146/SUM(Kalender!$D$5:$D$370),0)+IFERROR(SUMIF(Nutzungsprofile!$B$6:$B$11,"Individuell",Nutzungsprofile!$G$6:$G$11)*Kalender!E146/SUM(Kalender!$E$5:$E$370),0))*Szenarien!$E$17,0)</f>
        <v>2.94</v>
      </c>
      <c r="D2342" s="13" t="n">
        <f aca="false">IF(Szenarien!$H$17="OK",(IFERROR(SUMIF(Nutzungsprofile!$B$17:$B$22,"Schulbetrieb",Nutzungsprofile!$G$17:$G$22)*Kalender!C146/SUM(Kalender!$C$5:$C$370),0)+IFERROR(SUMIF(Nutzungsprofile!$B$17:$B$22,"Halle",Nutzungsprofile!$G$17:$G$22)*Kalender!D146/SUM(Kalender!$D$5:$D$370),0)+IFERROR(SUMIF(Nutzungsprofile!$B$17:$B$22,"Individuell",Nutzungsprofile!$G$17:$G$22)*Kalender!E146/SUM(Kalender!$E$5:$E$370),0))*Szenarien!$D$17,0)</f>
        <v>4.94</v>
      </c>
      <c r="E2342" s="13" t="n">
        <f aca="false">IFERROR(MIN(C2342,Eingaben!$B$17)*Eingaben!$B$16,0)</f>
        <v>2.793</v>
      </c>
      <c r="F2342" s="13" t="n">
        <f aca="false">IFERROR(E2342*Eingaben!$B$15,0)</f>
        <v>2.5137</v>
      </c>
      <c r="G2342" s="13" t="n">
        <f aca="false">IFERROR(IF(Kalender!A146="",0,J2341*(1-Eingaben!$B$20)),0)</f>
        <v>0.7390278</v>
      </c>
      <c r="H2342" s="13" t="n">
        <f aca="false">MIN(G2342,D2342)</f>
        <v>0.7390278</v>
      </c>
      <c r="I2342" s="13" t="n">
        <f aca="false">IFERROR(MIN(F2342*Eingaben!$B$19,MAX(0,D2342-H2342)),0)</f>
        <v>1.75959</v>
      </c>
      <c r="J2342" s="13" t="n">
        <f aca="false">IFERROR(MIN(Eingaben!$B$18,MAX(0,F2342-I2342)),0)</f>
        <v>0.75411</v>
      </c>
      <c r="K2342" s="13" t="n">
        <f aca="false">H2342+I2342</f>
        <v>2.4986178</v>
      </c>
      <c r="L2342" s="13" t="n">
        <f aca="false">MAX(0,D2342-K2342)</f>
        <v>2.4413822</v>
      </c>
      <c r="M2342" s="13" t="n">
        <f aca="false">MAX(0,F2342-I2342-J2342)</f>
        <v>0</v>
      </c>
      <c r="N2342" s="13" t="n">
        <f aca="false">IF(Kalender!A146="",0,J2341-H2342)</f>
        <v>0.0150822</v>
      </c>
    </row>
    <row r="2343" customFormat="false" ht="16.4" hidden="false" customHeight="false" outlineLevel="0" collapsed="false">
      <c r="A2343" s="13" t="str">
        <f aca="false">""</f>
        <v/>
      </c>
      <c r="B2343" s="13" t="n">
        <f aca="false">143</f>
        <v>143</v>
      </c>
      <c r="C2343" s="13" t="n">
        <f aca="false">IF(Szenarien!$H$17="OK",(IFERROR(SUMIF(Nutzungsprofile!$B$6:$B$11,"Schulbetrieb",Nutzungsprofile!$G$6:$G$11)*Kalender!C147/SUM(Kalender!$C$5:$C$370),0)+IFERROR(SUMIF(Nutzungsprofile!$B$6:$B$11,"Halle",Nutzungsprofile!$G$6:$G$11)*Kalender!D147/SUM(Kalender!$D$5:$D$370),0)+IFERROR(SUMIF(Nutzungsprofile!$B$6:$B$11,"Individuell",Nutzungsprofile!$G$6:$G$11)*Kalender!E147/SUM(Kalender!$E$5:$E$370),0))*Szenarien!$E$17,0)</f>
        <v>2.04</v>
      </c>
      <c r="D2343" s="13" t="n">
        <f aca="false">IF(Szenarien!$H$17="OK",(IFERROR(SUMIF(Nutzungsprofile!$B$17:$B$22,"Schulbetrieb",Nutzungsprofile!$G$17:$G$22)*Kalender!C147/SUM(Kalender!$C$5:$C$370),0)+IFERROR(SUMIF(Nutzungsprofile!$B$17:$B$22,"Halle",Nutzungsprofile!$G$17:$G$22)*Kalender!D147/SUM(Kalender!$D$5:$D$370),0)+IFERROR(SUMIF(Nutzungsprofile!$B$17:$B$22,"Individuell",Nutzungsprofile!$G$17:$G$22)*Kalender!E147/SUM(Kalender!$E$5:$E$370),0))*Szenarien!$D$17,0)</f>
        <v>0.89</v>
      </c>
      <c r="E2343" s="13" t="n">
        <f aca="false">IFERROR(MIN(C2343,Eingaben!$B$17)*Eingaben!$B$16,0)</f>
        <v>1.938</v>
      </c>
      <c r="F2343" s="13" t="n">
        <f aca="false">IFERROR(E2343*Eingaben!$B$15,0)</f>
        <v>1.7442</v>
      </c>
      <c r="G2343" s="13" t="n">
        <f aca="false">IFERROR(IF(Kalender!A147="",0,J2342*(1-Eingaben!$B$20)),0)</f>
        <v>0.7390278</v>
      </c>
      <c r="H2343" s="13" t="n">
        <f aca="false">MIN(G2343,D2343)</f>
        <v>0.7390278</v>
      </c>
      <c r="I2343" s="13" t="n">
        <f aca="false">IFERROR(MIN(F2343*Eingaben!$B$19,MAX(0,D2343-H2343)),0)</f>
        <v>0.1509722</v>
      </c>
      <c r="J2343" s="13" t="n">
        <f aca="false">IFERROR(MIN(Eingaben!$B$18,MAX(0,F2343-I2343)),0)</f>
        <v>1.5932278</v>
      </c>
      <c r="K2343" s="13" t="n">
        <f aca="false">H2343+I2343</f>
        <v>0.89</v>
      </c>
      <c r="L2343" s="13" t="n">
        <f aca="false">MAX(0,D2343-K2343)</f>
        <v>0</v>
      </c>
      <c r="M2343" s="13" t="n">
        <f aca="false">MAX(0,F2343-I2343-J2343)</f>
        <v>0</v>
      </c>
      <c r="N2343" s="13" t="n">
        <f aca="false">IF(Kalender!A147="",0,J2342-H2343)</f>
        <v>0.0150822</v>
      </c>
    </row>
    <row r="2344" customFormat="false" ht="16.4" hidden="false" customHeight="false" outlineLevel="0" collapsed="false">
      <c r="A2344" s="13" t="str">
        <f aca="false">""</f>
        <v/>
      </c>
      <c r="B2344" s="13" t="n">
        <f aca="false">144</f>
        <v>144</v>
      </c>
      <c r="C2344" s="13" t="n">
        <f aca="false">IF(Szenarien!$H$17="OK",(IFERROR(SUMIF(Nutzungsprofile!$B$6:$B$11,"Schulbetrieb",Nutzungsprofile!$G$6:$G$11)*Kalender!C148/SUM(Kalender!$C$5:$C$370),0)+IFERROR(SUMIF(Nutzungsprofile!$B$6:$B$11,"Halle",Nutzungsprofile!$G$6:$G$11)*Kalender!D148/SUM(Kalender!$D$5:$D$370),0)+IFERROR(SUMIF(Nutzungsprofile!$B$6:$B$11,"Individuell",Nutzungsprofile!$G$6:$G$11)*Kalender!E148/SUM(Kalender!$E$5:$E$370),0))*Szenarien!$E$17,0)</f>
        <v>2.04</v>
      </c>
      <c r="D2344" s="13" t="n">
        <f aca="false">IF(Szenarien!$H$17="OK",(IFERROR(SUMIF(Nutzungsprofile!$B$17:$B$22,"Schulbetrieb",Nutzungsprofile!$G$17:$G$22)*Kalender!C148/SUM(Kalender!$C$5:$C$370),0)+IFERROR(SUMIF(Nutzungsprofile!$B$17:$B$22,"Halle",Nutzungsprofile!$G$17:$G$22)*Kalender!D148/SUM(Kalender!$D$5:$D$370),0)+IFERROR(SUMIF(Nutzungsprofile!$B$17:$B$22,"Individuell",Nutzungsprofile!$G$17:$G$22)*Kalender!E148/SUM(Kalender!$E$5:$E$370),0))*Szenarien!$D$17,0)</f>
        <v>0.89</v>
      </c>
      <c r="E2344" s="13" t="n">
        <f aca="false">IFERROR(MIN(C2344,Eingaben!$B$17)*Eingaben!$B$16,0)</f>
        <v>1.938</v>
      </c>
      <c r="F2344" s="13" t="n">
        <f aca="false">IFERROR(E2344*Eingaben!$B$15,0)</f>
        <v>1.7442</v>
      </c>
      <c r="G2344" s="13" t="n">
        <f aca="false">IFERROR(IF(Kalender!A148="",0,J2343*(1-Eingaben!$B$20)),0)</f>
        <v>1.561363244</v>
      </c>
      <c r="H2344" s="13" t="n">
        <f aca="false">MIN(G2344,D2344)</f>
        <v>0.89</v>
      </c>
      <c r="I2344" s="13" t="n">
        <f aca="false">IFERROR(MIN(F2344*Eingaben!$B$19,MAX(0,D2344-H2344)),0)</f>
        <v>0</v>
      </c>
      <c r="J2344" s="13" t="n">
        <f aca="false">IFERROR(MIN(Eingaben!$B$18,MAX(0,F2344-I2344)),0)</f>
        <v>1.7442</v>
      </c>
      <c r="K2344" s="13" t="n">
        <f aca="false">H2344+I2344</f>
        <v>0.89</v>
      </c>
      <c r="L2344" s="13" t="n">
        <f aca="false">MAX(0,D2344-K2344)</f>
        <v>0</v>
      </c>
      <c r="M2344" s="13" t="n">
        <f aca="false">MAX(0,F2344-I2344-J2344)</f>
        <v>0</v>
      </c>
      <c r="N2344" s="13" t="n">
        <f aca="false">IF(Kalender!A148="",0,J2343-H2344)</f>
        <v>0.7032278</v>
      </c>
    </row>
    <row r="2345" customFormat="false" ht="16.4" hidden="false" customHeight="false" outlineLevel="0" collapsed="false">
      <c r="A2345" s="13" t="str">
        <f aca="false">""</f>
        <v/>
      </c>
      <c r="B2345" s="13" t="n">
        <f aca="false">145</f>
        <v>145</v>
      </c>
      <c r="C2345" s="13" t="n">
        <f aca="false">IF(Szenarien!$H$17="OK",(IFERROR(SUMIF(Nutzungsprofile!$B$6:$B$11,"Schulbetrieb",Nutzungsprofile!$G$6:$G$11)*Kalender!C149/SUM(Kalender!$C$5:$C$370),0)+IFERROR(SUMIF(Nutzungsprofile!$B$6:$B$11,"Halle",Nutzungsprofile!$G$6:$G$11)*Kalender!D149/SUM(Kalender!$D$5:$D$370),0)+IFERROR(SUMIF(Nutzungsprofile!$B$6:$B$11,"Individuell",Nutzungsprofile!$G$6:$G$11)*Kalender!E149/SUM(Kalender!$E$5:$E$370),0))*Szenarien!$E$17,0)</f>
        <v>2.94</v>
      </c>
      <c r="D2345" s="13" t="n">
        <f aca="false">IF(Szenarien!$H$17="OK",(IFERROR(SUMIF(Nutzungsprofile!$B$17:$B$22,"Schulbetrieb",Nutzungsprofile!$G$17:$G$22)*Kalender!C149/SUM(Kalender!$C$5:$C$370),0)+IFERROR(SUMIF(Nutzungsprofile!$B$17:$B$22,"Halle",Nutzungsprofile!$G$17:$G$22)*Kalender!D149/SUM(Kalender!$D$5:$D$370),0)+IFERROR(SUMIF(Nutzungsprofile!$B$17:$B$22,"Individuell",Nutzungsprofile!$G$17:$G$22)*Kalender!E149/SUM(Kalender!$E$5:$E$370),0))*Szenarien!$D$17,0)</f>
        <v>4.94</v>
      </c>
      <c r="E2345" s="13" t="n">
        <f aca="false">IFERROR(MIN(C2345,Eingaben!$B$17)*Eingaben!$B$16,0)</f>
        <v>2.793</v>
      </c>
      <c r="F2345" s="13" t="n">
        <f aca="false">IFERROR(E2345*Eingaben!$B$15,0)</f>
        <v>2.5137</v>
      </c>
      <c r="G2345" s="13" t="n">
        <f aca="false">IFERROR(IF(Kalender!A149="",0,J2344*(1-Eingaben!$B$20)),0)</f>
        <v>1.709316</v>
      </c>
      <c r="H2345" s="13" t="n">
        <f aca="false">MIN(G2345,D2345)</f>
        <v>1.709316</v>
      </c>
      <c r="I2345" s="13" t="n">
        <f aca="false">IFERROR(MIN(F2345*Eingaben!$B$19,MAX(0,D2345-H2345)),0)</f>
        <v>1.75959</v>
      </c>
      <c r="J2345" s="13" t="n">
        <f aca="false">IFERROR(MIN(Eingaben!$B$18,MAX(0,F2345-I2345)),0)</f>
        <v>0.75411</v>
      </c>
      <c r="K2345" s="13" t="n">
        <f aca="false">H2345+I2345</f>
        <v>3.468906</v>
      </c>
      <c r="L2345" s="13" t="n">
        <f aca="false">MAX(0,D2345-K2345)</f>
        <v>1.471094</v>
      </c>
      <c r="M2345" s="13" t="n">
        <f aca="false">MAX(0,F2345-I2345-J2345)</f>
        <v>0</v>
      </c>
      <c r="N2345" s="13" t="n">
        <f aca="false">IF(Kalender!A149="",0,J2344-H2345)</f>
        <v>0.0348840000000001</v>
      </c>
    </row>
    <row r="2346" customFormat="false" ht="16.4" hidden="false" customHeight="false" outlineLevel="0" collapsed="false">
      <c r="A2346" s="13" t="str">
        <f aca="false">""</f>
        <v/>
      </c>
      <c r="B2346" s="13" t="n">
        <f aca="false">146</f>
        <v>146</v>
      </c>
      <c r="C2346" s="13" t="n">
        <f aca="false">IF(Szenarien!$H$17="OK",(IFERROR(SUMIF(Nutzungsprofile!$B$6:$B$11,"Schulbetrieb",Nutzungsprofile!$G$6:$G$11)*Kalender!C150/SUM(Kalender!$C$5:$C$370),0)+IFERROR(SUMIF(Nutzungsprofile!$B$6:$B$11,"Halle",Nutzungsprofile!$G$6:$G$11)*Kalender!D150/SUM(Kalender!$D$5:$D$370),0)+IFERROR(SUMIF(Nutzungsprofile!$B$6:$B$11,"Individuell",Nutzungsprofile!$G$6:$G$11)*Kalender!E150/SUM(Kalender!$E$5:$E$370),0))*Szenarien!$E$17,0)</f>
        <v>2.94</v>
      </c>
      <c r="D2346" s="13" t="n">
        <f aca="false">IF(Szenarien!$H$17="OK",(IFERROR(SUMIF(Nutzungsprofile!$B$17:$B$22,"Schulbetrieb",Nutzungsprofile!$G$17:$G$22)*Kalender!C150/SUM(Kalender!$C$5:$C$370),0)+IFERROR(SUMIF(Nutzungsprofile!$B$17:$B$22,"Halle",Nutzungsprofile!$G$17:$G$22)*Kalender!D150/SUM(Kalender!$D$5:$D$370),0)+IFERROR(SUMIF(Nutzungsprofile!$B$17:$B$22,"Individuell",Nutzungsprofile!$G$17:$G$22)*Kalender!E150/SUM(Kalender!$E$5:$E$370),0))*Szenarien!$D$17,0)</f>
        <v>4.94</v>
      </c>
      <c r="E2346" s="13" t="n">
        <f aca="false">IFERROR(MIN(C2346,Eingaben!$B$17)*Eingaben!$B$16,0)</f>
        <v>2.793</v>
      </c>
      <c r="F2346" s="13" t="n">
        <f aca="false">IFERROR(E2346*Eingaben!$B$15,0)</f>
        <v>2.5137</v>
      </c>
      <c r="G2346" s="13" t="n">
        <f aca="false">IFERROR(IF(Kalender!A150="",0,J2345*(1-Eingaben!$B$20)),0)</f>
        <v>0.7390278</v>
      </c>
      <c r="H2346" s="13" t="n">
        <f aca="false">MIN(G2346,D2346)</f>
        <v>0.7390278</v>
      </c>
      <c r="I2346" s="13" t="n">
        <f aca="false">IFERROR(MIN(F2346*Eingaben!$B$19,MAX(0,D2346-H2346)),0)</f>
        <v>1.75959</v>
      </c>
      <c r="J2346" s="13" t="n">
        <f aca="false">IFERROR(MIN(Eingaben!$B$18,MAX(0,F2346-I2346)),0)</f>
        <v>0.75411</v>
      </c>
      <c r="K2346" s="13" t="n">
        <f aca="false">H2346+I2346</f>
        <v>2.4986178</v>
      </c>
      <c r="L2346" s="13" t="n">
        <f aca="false">MAX(0,D2346-K2346)</f>
        <v>2.4413822</v>
      </c>
      <c r="M2346" s="13" t="n">
        <f aca="false">MAX(0,F2346-I2346-J2346)</f>
        <v>0</v>
      </c>
      <c r="N2346" s="13" t="n">
        <f aca="false">IF(Kalender!A150="",0,J2345-H2346)</f>
        <v>0.0150822</v>
      </c>
    </row>
    <row r="2347" customFormat="false" ht="16.4" hidden="false" customHeight="false" outlineLevel="0" collapsed="false">
      <c r="A2347" s="13" t="str">
        <f aca="false">""</f>
        <v/>
      </c>
      <c r="B2347" s="13" t="n">
        <f aca="false">147</f>
        <v>147</v>
      </c>
      <c r="C2347" s="13" t="n">
        <f aca="false">IF(Szenarien!$H$17="OK",(IFERROR(SUMIF(Nutzungsprofile!$B$6:$B$11,"Schulbetrieb",Nutzungsprofile!$G$6:$G$11)*Kalender!C151/SUM(Kalender!$C$5:$C$370),0)+IFERROR(SUMIF(Nutzungsprofile!$B$6:$B$11,"Halle",Nutzungsprofile!$G$6:$G$11)*Kalender!D151/SUM(Kalender!$D$5:$D$370),0)+IFERROR(SUMIF(Nutzungsprofile!$B$6:$B$11,"Individuell",Nutzungsprofile!$G$6:$G$11)*Kalender!E151/SUM(Kalender!$E$5:$E$370),0))*Szenarien!$E$17,0)</f>
        <v>2.94</v>
      </c>
      <c r="D2347" s="13" t="n">
        <f aca="false">IF(Szenarien!$H$17="OK",(IFERROR(SUMIF(Nutzungsprofile!$B$17:$B$22,"Schulbetrieb",Nutzungsprofile!$G$17:$G$22)*Kalender!C151/SUM(Kalender!$C$5:$C$370),0)+IFERROR(SUMIF(Nutzungsprofile!$B$17:$B$22,"Halle",Nutzungsprofile!$G$17:$G$22)*Kalender!D151/SUM(Kalender!$D$5:$D$370),0)+IFERROR(SUMIF(Nutzungsprofile!$B$17:$B$22,"Individuell",Nutzungsprofile!$G$17:$G$22)*Kalender!E151/SUM(Kalender!$E$5:$E$370),0))*Szenarien!$D$17,0)</f>
        <v>4.94</v>
      </c>
      <c r="E2347" s="13" t="n">
        <f aca="false">IFERROR(MIN(C2347,Eingaben!$B$17)*Eingaben!$B$16,0)</f>
        <v>2.793</v>
      </c>
      <c r="F2347" s="13" t="n">
        <f aca="false">IFERROR(E2347*Eingaben!$B$15,0)</f>
        <v>2.5137</v>
      </c>
      <c r="G2347" s="13" t="n">
        <f aca="false">IFERROR(IF(Kalender!A151="",0,J2346*(1-Eingaben!$B$20)),0)</f>
        <v>0.7390278</v>
      </c>
      <c r="H2347" s="13" t="n">
        <f aca="false">MIN(G2347,D2347)</f>
        <v>0.7390278</v>
      </c>
      <c r="I2347" s="13" t="n">
        <f aca="false">IFERROR(MIN(F2347*Eingaben!$B$19,MAX(0,D2347-H2347)),0)</f>
        <v>1.75959</v>
      </c>
      <c r="J2347" s="13" t="n">
        <f aca="false">IFERROR(MIN(Eingaben!$B$18,MAX(0,F2347-I2347)),0)</f>
        <v>0.75411</v>
      </c>
      <c r="K2347" s="13" t="n">
        <f aca="false">H2347+I2347</f>
        <v>2.4986178</v>
      </c>
      <c r="L2347" s="13" t="n">
        <f aca="false">MAX(0,D2347-K2347)</f>
        <v>2.4413822</v>
      </c>
      <c r="M2347" s="13" t="n">
        <f aca="false">MAX(0,F2347-I2347-J2347)</f>
        <v>0</v>
      </c>
      <c r="N2347" s="13" t="n">
        <f aca="false">IF(Kalender!A151="",0,J2346-H2347)</f>
        <v>0.0150822</v>
      </c>
    </row>
    <row r="2348" customFormat="false" ht="16.4" hidden="false" customHeight="false" outlineLevel="0" collapsed="false">
      <c r="A2348" s="13" t="str">
        <f aca="false">""</f>
        <v/>
      </c>
      <c r="B2348" s="13" t="n">
        <f aca="false">148</f>
        <v>148</v>
      </c>
      <c r="C2348" s="13" t="n">
        <f aca="false">IF(Szenarien!$H$17="OK",(IFERROR(SUMIF(Nutzungsprofile!$B$6:$B$11,"Schulbetrieb",Nutzungsprofile!$G$6:$G$11)*Kalender!C152/SUM(Kalender!$C$5:$C$370),0)+IFERROR(SUMIF(Nutzungsprofile!$B$6:$B$11,"Halle",Nutzungsprofile!$G$6:$G$11)*Kalender!D152/SUM(Kalender!$D$5:$D$370),0)+IFERROR(SUMIF(Nutzungsprofile!$B$6:$B$11,"Individuell",Nutzungsprofile!$G$6:$G$11)*Kalender!E152/SUM(Kalender!$E$5:$E$370),0))*Szenarien!$E$17,0)</f>
        <v>2.94</v>
      </c>
      <c r="D2348" s="13" t="n">
        <f aca="false">IF(Szenarien!$H$17="OK",(IFERROR(SUMIF(Nutzungsprofile!$B$17:$B$22,"Schulbetrieb",Nutzungsprofile!$G$17:$G$22)*Kalender!C152/SUM(Kalender!$C$5:$C$370),0)+IFERROR(SUMIF(Nutzungsprofile!$B$17:$B$22,"Halle",Nutzungsprofile!$G$17:$G$22)*Kalender!D152/SUM(Kalender!$D$5:$D$370),0)+IFERROR(SUMIF(Nutzungsprofile!$B$17:$B$22,"Individuell",Nutzungsprofile!$G$17:$G$22)*Kalender!E152/SUM(Kalender!$E$5:$E$370),0))*Szenarien!$D$17,0)</f>
        <v>4.94</v>
      </c>
      <c r="E2348" s="13" t="n">
        <f aca="false">IFERROR(MIN(C2348,Eingaben!$B$17)*Eingaben!$B$16,0)</f>
        <v>2.793</v>
      </c>
      <c r="F2348" s="13" t="n">
        <f aca="false">IFERROR(E2348*Eingaben!$B$15,0)</f>
        <v>2.5137</v>
      </c>
      <c r="G2348" s="13" t="n">
        <f aca="false">IFERROR(IF(Kalender!A152="",0,J2347*(1-Eingaben!$B$20)),0)</f>
        <v>0.7390278</v>
      </c>
      <c r="H2348" s="13" t="n">
        <f aca="false">MIN(G2348,D2348)</f>
        <v>0.7390278</v>
      </c>
      <c r="I2348" s="13" t="n">
        <f aca="false">IFERROR(MIN(F2348*Eingaben!$B$19,MAX(0,D2348-H2348)),0)</f>
        <v>1.75959</v>
      </c>
      <c r="J2348" s="13" t="n">
        <f aca="false">IFERROR(MIN(Eingaben!$B$18,MAX(0,F2348-I2348)),0)</f>
        <v>0.75411</v>
      </c>
      <c r="K2348" s="13" t="n">
        <f aca="false">H2348+I2348</f>
        <v>2.4986178</v>
      </c>
      <c r="L2348" s="13" t="n">
        <f aca="false">MAX(0,D2348-K2348)</f>
        <v>2.4413822</v>
      </c>
      <c r="M2348" s="13" t="n">
        <f aca="false">MAX(0,F2348-I2348-J2348)</f>
        <v>0</v>
      </c>
      <c r="N2348" s="13" t="n">
        <f aca="false">IF(Kalender!A152="",0,J2347-H2348)</f>
        <v>0.0150822</v>
      </c>
    </row>
    <row r="2349" customFormat="false" ht="16.4" hidden="false" customHeight="false" outlineLevel="0" collapsed="false">
      <c r="A2349" s="13" t="str">
        <f aca="false">""</f>
        <v/>
      </c>
      <c r="B2349" s="13" t="n">
        <f aca="false">149</f>
        <v>149</v>
      </c>
      <c r="C2349" s="13" t="n">
        <f aca="false">IF(Szenarien!$H$17="OK",(IFERROR(SUMIF(Nutzungsprofile!$B$6:$B$11,"Schulbetrieb",Nutzungsprofile!$G$6:$G$11)*Kalender!C153/SUM(Kalender!$C$5:$C$370),0)+IFERROR(SUMIF(Nutzungsprofile!$B$6:$B$11,"Halle",Nutzungsprofile!$G$6:$G$11)*Kalender!D153/SUM(Kalender!$D$5:$D$370),0)+IFERROR(SUMIF(Nutzungsprofile!$B$6:$B$11,"Individuell",Nutzungsprofile!$G$6:$G$11)*Kalender!E153/SUM(Kalender!$E$5:$E$370),0))*Szenarien!$E$17,0)</f>
        <v>2.94</v>
      </c>
      <c r="D2349" s="13" t="n">
        <f aca="false">IF(Szenarien!$H$17="OK",(IFERROR(SUMIF(Nutzungsprofile!$B$17:$B$22,"Schulbetrieb",Nutzungsprofile!$G$17:$G$22)*Kalender!C153/SUM(Kalender!$C$5:$C$370),0)+IFERROR(SUMIF(Nutzungsprofile!$B$17:$B$22,"Halle",Nutzungsprofile!$G$17:$G$22)*Kalender!D153/SUM(Kalender!$D$5:$D$370),0)+IFERROR(SUMIF(Nutzungsprofile!$B$17:$B$22,"Individuell",Nutzungsprofile!$G$17:$G$22)*Kalender!E153/SUM(Kalender!$E$5:$E$370),0))*Szenarien!$D$17,0)</f>
        <v>4.94</v>
      </c>
      <c r="E2349" s="13" t="n">
        <f aca="false">IFERROR(MIN(C2349,Eingaben!$B$17)*Eingaben!$B$16,0)</f>
        <v>2.793</v>
      </c>
      <c r="F2349" s="13" t="n">
        <f aca="false">IFERROR(E2349*Eingaben!$B$15,0)</f>
        <v>2.5137</v>
      </c>
      <c r="G2349" s="13" t="n">
        <f aca="false">IFERROR(IF(Kalender!A153="",0,J2348*(1-Eingaben!$B$20)),0)</f>
        <v>0.7390278</v>
      </c>
      <c r="H2349" s="13" t="n">
        <f aca="false">MIN(G2349,D2349)</f>
        <v>0.7390278</v>
      </c>
      <c r="I2349" s="13" t="n">
        <f aca="false">IFERROR(MIN(F2349*Eingaben!$B$19,MAX(0,D2349-H2349)),0)</f>
        <v>1.75959</v>
      </c>
      <c r="J2349" s="13" t="n">
        <f aca="false">IFERROR(MIN(Eingaben!$B$18,MAX(0,F2349-I2349)),0)</f>
        <v>0.75411</v>
      </c>
      <c r="K2349" s="13" t="n">
        <f aca="false">H2349+I2349</f>
        <v>2.4986178</v>
      </c>
      <c r="L2349" s="13" t="n">
        <f aca="false">MAX(0,D2349-K2349)</f>
        <v>2.4413822</v>
      </c>
      <c r="M2349" s="13" t="n">
        <f aca="false">MAX(0,F2349-I2349-J2349)</f>
        <v>0</v>
      </c>
      <c r="N2349" s="13" t="n">
        <f aca="false">IF(Kalender!A153="",0,J2348-H2349)</f>
        <v>0.0150822</v>
      </c>
    </row>
    <row r="2350" customFormat="false" ht="16.4" hidden="false" customHeight="false" outlineLevel="0" collapsed="false">
      <c r="A2350" s="13" t="str">
        <f aca="false">""</f>
        <v/>
      </c>
      <c r="B2350" s="13" t="n">
        <f aca="false">150</f>
        <v>150</v>
      </c>
      <c r="C2350" s="13" t="n">
        <f aca="false">IF(Szenarien!$H$17="OK",(IFERROR(SUMIF(Nutzungsprofile!$B$6:$B$11,"Schulbetrieb",Nutzungsprofile!$G$6:$G$11)*Kalender!C154/SUM(Kalender!$C$5:$C$370),0)+IFERROR(SUMIF(Nutzungsprofile!$B$6:$B$11,"Halle",Nutzungsprofile!$G$6:$G$11)*Kalender!D154/SUM(Kalender!$D$5:$D$370),0)+IFERROR(SUMIF(Nutzungsprofile!$B$6:$B$11,"Individuell",Nutzungsprofile!$G$6:$G$11)*Kalender!E154/SUM(Kalender!$E$5:$E$370),0))*Szenarien!$E$17,0)</f>
        <v>2.04</v>
      </c>
      <c r="D2350" s="13" t="n">
        <f aca="false">IF(Szenarien!$H$17="OK",(IFERROR(SUMIF(Nutzungsprofile!$B$17:$B$22,"Schulbetrieb",Nutzungsprofile!$G$17:$G$22)*Kalender!C154/SUM(Kalender!$C$5:$C$370),0)+IFERROR(SUMIF(Nutzungsprofile!$B$17:$B$22,"Halle",Nutzungsprofile!$G$17:$G$22)*Kalender!D154/SUM(Kalender!$D$5:$D$370),0)+IFERROR(SUMIF(Nutzungsprofile!$B$17:$B$22,"Individuell",Nutzungsprofile!$G$17:$G$22)*Kalender!E154/SUM(Kalender!$E$5:$E$370),0))*Szenarien!$D$17,0)</f>
        <v>0.89</v>
      </c>
      <c r="E2350" s="13" t="n">
        <f aca="false">IFERROR(MIN(C2350,Eingaben!$B$17)*Eingaben!$B$16,0)</f>
        <v>1.938</v>
      </c>
      <c r="F2350" s="13" t="n">
        <f aca="false">IFERROR(E2350*Eingaben!$B$15,0)</f>
        <v>1.7442</v>
      </c>
      <c r="G2350" s="13" t="n">
        <f aca="false">IFERROR(IF(Kalender!A154="",0,J2349*(1-Eingaben!$B$20)),0)</f>
        <v>0.7390278</v>
      </c>
      <c r="H2350" s="13" t="n">
        <f aca="false">MIN(G2350,D2350)</f>
        <v>0.7390278</v>
      </c>
      <c r="I2350" s="13" t="n">
        <f aca="false">IFERROR(MIN(F2350*Eingaben!$B$19,MAX(0,D2350-H2350)),0)</f>
        <v>0.1509722</v>
      </c>
      <c r="J2350" s="13" t="n">
        <f aca="false">IFERROR(MIN(Eingaben!$B$18,MAX(0,F2350-I2350)),0)</f>
        <v>1.5932278</v>
      </c>
      <c r="K2350" s="13" t="n">
        <f aca="false">H2350+I2350</f>
        <v>0.89</v>
      </c>
      <c r="L2350" s="13" t="n">
        <f aca="false">MAX(0,D2350-K2350)</f>
        <v>0</v>
      </c>
      <c r="M2350" s="13" t="n">
        <f aca="false">MAX(0,F2350-I2350-J2350)</f>
        <v>0</v>
      </c>
      <c r="N2350" s="13" t="n">
        <f aca="false">IF(Kalender!A154="",0,J2349-H2350)</f>
        <v>0.0150822</v>
      </c>
    </row>
    <row r="2351" customFormat="false" ht="16.4" hidden="false" customHeight="false" outlineLevel="0" collapsed="false">
      <c r="A2351" s="13" t="str">
        <f aca="false">""</f>
        <v/>
      </c>
      <c r="B2351" s="13" t="n">
        <f aca="false">151</f>
        <v>151</v>
      </c>
      <c r="C2351" s="13" t="n">
        <f aca="false">IF(Szenarien!$H$17="OK",(IFERROR(SUMIF(Nutzungsprofile!$B$6:$B$11,"Schulbetrieb",Nutzungsprofile!$G$6:$G$11)*Kalender!C155/SUM(Kalender!$C$5:$C$370),0)+IFERROR(SUMIF(Nutzungsprofile!$B$6:$B$11,"Halle",Nutzungsprofile!$G$6:$G$11)*Kalender!D155/SUM(Kalender!$D$5:$D$370),0)+IFERROR(SUMIF(Nutzungsprofile!$B$6:$B$11,"Individuell",Nutzungsprofile!$G$6:$G$11)*Kalender!E155/SUM(Kalender!$E$5:$E$370),0))*Szenarien!$E$17,0)</f>
        <v>2.04</v>
      </c>
      <c r="D2351" s="13" t="n">
        <f aca="false">IF(Szenarien!$H$17="OK",(IFERROR(SUMIF(Nutzungsprofile!$B$17:$B$22,"Schulbetrieb",Nutzungsprofile!$G$17:$G$22)*Kalender!C155/SUM(Kalender!$C$5:$C$370),0)+IFERROR(SUMIF(Nutzungsprofile!$B$17:$B$22,"Halle",Nutzungsprofile!$G$17:$G$22)*Kalender!D155/SUM(Kalender!$D$5:$D$370),0)+IFERROR(SUMIF(Nutzungsprofile!$B$17:$B$22,"Individuell",Nutzungsprofile!$G$17:$G$22)*Kalender!E155/SUM(Kalender!$E$5:$E$370),0))*Szenarien!$D$17,0)</f>
        <v>0.89</v>
      </c>
      <c r="E2351" s="13" t="n">
        <f aca="false">IFERROR(MIN(C2351,Eingaben!$B$17)*Eingaben!$B$16,0)</f>
        <v>1.938</v>
      </c>
      <c r="F2351" s="13" t="n">
        <f aca="false">IFERROR(E2351*Eingaben!$B$15,0)</f>
        <v>1.7442</v>
      </c>
      <c r="G2351" s="13" t="n">
        <f aca="false">IFERROR(IF(Kalender!A155="",0,J2350*(1-Eingaben!$B$20)),0)</f>
        <v>1.561363244</v>
      </c>
      <c r="H2351" s="13" t="n">
        <f aca="false">MIN(G2351,D2351)</f>
        <v>0.89</v>
      </c>
      <c r="I2351" s="13" t="n">
        <f aca="false">IFERROR(MIN(F2351*Eingaben!$B$19,MAX(0,D2351-H2351)),0)</f>
        <v>0</v>
      </c>
      <c r="J2351" s="13" t="n">
        <f aca="false">IFERROR(MIN(Eingaben!$B$18,MAX(0,F2351-I2351)),0)</f>
        <v>1.7442</v>
      </c>
      <c r="K2351" s="13" t="n">
        <f aca="false">H2351+I2351</f>
        <v>0.89</v>
      </c>
      <c r="L2351" s="13" t="n">
        <f aca="false">MAX(0,D2351-K2351)</f>
        <v>0</v>
      </c>
      <c r="M2351" s="13" t="n">
        <f aca="false">MAX(0,F2351-I2351-J2351)</f>
        <v>0</v>
      </c>
      <c r="N2351" s="13" t="n">
        <f aca="false">IF(Kalender!A155="",0,J2350-H2351)</f>
        <v>0.7032278</v>
      </c>
    </row>
    <row r="2352" customFormat="false" ht="16.4" hidden="false" customHeight="false" outlineLevel="0" collapsed="false">
      <c r="A2352" s="13" t="str">
        <f aca="false">""</f>
        <v/>
      </c>
      <c r="B2352" s="13" t="n">
        <f aca="false">152</f>
        <v>152</v>
      </c>
      <c r="C2352" s="13" t="n">
        <f aca="false">IF(Szenarien!$H$17="OK",(IFERROR(SUMIF(Nutzungsprofile!$B$6:$B$11,"Schulbetrieb",Nutzungsprofile!$G$6:$G$11)*Kalender!C156/SUM(Kalender!$C$5:$C$370),0)+IFERROR(SUMIF(Nutzungsprofile!$B$6:$B$11,"Halle",Nutzungsprofile!$G$6:$G$11)*Kalender!D156/SUM(Kalender!$D$5:$D$370),0)+IFERROR(SUMIF(Nutzungsprofile!$B$6:$B$11,"Individuell",Nutzungsprofile!$G$6:$G$11)*Kalender!E156/SUM(Kalender!$E$5:$E$370),0))*Szenarien!$E$17,0)</f>
        <v>2.94</v>
      </c>
      <c r="D2352" s="13" t="n">
        <f aca="false">IF(Szenarien!$H$17="OK",(IFERROR(SUMIF(Nutzungsprofile!$B$17:$B$22,"Schulbetrieb",Nutzungsprofile!$G$17:$G$22)*Kalender!C156/SUM(Kalender!$C$5:$C$370),0)+IFERROR(SUMIF(Nutzungsprofile!$B$17:$B$22,"Halle",Nutzungsprofile!$G$17:$G$22)*Kalender!D156/SUM(Kalender!$D$5:$D$370),0)+IFERROR(SUMIF(Nutzungsprofile!$B$17:$B$22,"Individuell",Nutzungsprofile!$G$17:$G$22)*Kalender!E156/SUM(Kalender!$E$5:$E$370),0))*Szenarien!$D$17,0)</f>
        <v>4.94</v>
      </c>
      <c r="E2352" s="13" t="n">
        <f aca="false">IFERROR(MIN(C2352,Eingaben!$B$17)*Eingaben!$B$16,0)</f>
        <v>2.793</v>
      </c>
      <c r="F2352" s="13" t="n">
        <f aca="false">IFERROR(E2352*Eingaben!$B$15,0)</f>
        <v>2.5137</v>
      </c>
      <c r="G2352" s="13" t="n">
        <f aca="false">IFERROR(IF(Kalender!A156="",0,J2351*(1-Eingaben!$B$20)),0)</f>
        <v>1.709316</v>
      </c>
      <c r="H2352" s="13" t="n">
        <f aca="false">MIN(G2352,D2352)</f>
        <v>1.709316</v>
      </c>
      <c r="I2352" s="13" t="n">
        <f aca="false">IFERROR(MIN(F2352*Eingaben!$B$19,MAX(0,D2352-H2352)),0)</f>
        <v>1.75959</v>
      </c>
      <c r="J2352" s="13" t="n">
        <f aca="false">IFERROR(MIN(Eingaben!$B$18,MAX(0,F2352-I2352)),0)</f>
        <v>0.75411</v>
      </c>
      <c r="K2352" s="13" t="n">
        <f aca="false">H2352+I2352</f>
        <v>3.468906</v>
      </c>
      <c r="L2352" s="13" t="n">
        <f aca="false">MAX(0,D2352-K2352)</f>
        <v>1.471094</v>
      </c>
      <c r="M2352" s="13" t="n">
        <f aca="false">MAX(0,F2352-I2352-J2352)</f>
        <v>0</v>
      </c>
      <c r="N2352" s="13" t="n">
        <f aca="false">IF(Kalender!A156="",0,J2351-H2352)</f>
        <v>0.0348840000000001</v>
      </c>
    </row>
    <row r="2353" customFormat="false" ht="16.4" hidden="false" customHeight="false" outlineLevel="0" collapsed="false">
      <c r="A2353" s="13" t="str">
        <f aca="false">""</f>
        <v/>
      </c>
      <c r="B2353" s="13" t="n">
        <f aca="false">153</f>
        <v>153</v>
      </c>
      <c r="C2353" s="13" t="n">
        <f aca="false">IF(Szenarien!$H$17="OK",(IFERROR(SUMIF(Nutzungsprofile!$B$6:$B$11,"Schulbetrieb",Nutzungsprofile!$G$6:$G$11)*Kalender!C157/SUM(Kalender!$C$5:$C$370),0)+IFERROR(SUMIF(Nutzungsprofile!$B$6:$B$11,"Halle",Nutzungsprofile!$G$6:$G$11)*Kalender!D157/SUM(Kalender!$D$5:$D$370),0)+IFERROR(SUMIF(Nutzungsprofile!$B$6:$B$11,"Individuell",Nutzungsprofile!$G$6:$G$11)*Kalender!E157/SUM(Kalender!$E$5:$E$370),0))*Szenarien!$E$17,0)</f>
        <v>2.94</v>
      </c>
      <c r="D2353" s="13" t="n">
        <f aca="false">IF(Szenarien!$H$17="OK",(IFERROR(SUMIF(Nutzungsprofile!$B$17:$B$22,"Schulbetrieb",Nutzungsprofile!$G$17:$G$22)*Kalender!C157/SUM(Kalender!$C$5:$C$370),0)+IFERROR(SUMIF(Nutzungsprofile!$B$17:$B$22,"Halle",Nutzungsprofile!$G$17:$G$22)*Kalender!D157/SUM(Kalender!$D$5:$D$370),0)+IFERROR(SUMIF(Nutzungsprofile!$B$17:$B$22,"Individuell",Nutzungsprofile!$G$17:$G$22)*Kalender!E157/SUM(Kalender!$E$5:$E$370),0))*Szenarien!$D$17,0)</f>
        <v>4.94</v>
      </c>
      <c r="E2353" s="13" t="n">
        <f aca="false">IFERROR(MIN(C2353,Eingaben!$B$17)*Eingaben!$B$16,0)</f>
        <v>2.793</v>
      </c>
      <c r="F2353" s="13" t="n">
        <f aca="false">IFERROR(E2353*Eingaben!$B$15,0)</f>
        <v>2.5137</v>
      </c>
      <c r="G2353" s="13" t="n">
        <f aca="false">IFERROR(IF(Kalender!A157="",0,J2352*(1-Eingaben!$B$20)),0)</f>
        <v>0.7390278</v>
      </c>
      <c r="H2353" s="13" t="n">
        <f aca="false">MIN(G2353,D2353)</f>
        <v>0.7390278</v>
      </c>
      <c r="I2353" s="13" t="n">
        <f aca="false">IFERROR(MIN(F2353*Eingaben!$B$19,MAX(0,D2353-H2353)),0)</f>
        <v>1.75959</v>
      </c>
      <c r="J2353" s="13" t="n">
        <f aca="false">IFERROR(MIN(Eingaben!$B$18,MAX(0,F2353-I2353)),0)</f>
        <v>0.75411</v>
      </c>
      <c r="K2353" s="13" t="n">
        <f aca="false">H2353+I2353</f>
        <v>2.4986178</v>
      </c>
      <c r="L2353" s="13" t="n">
        <f aca="false">MAX(0,D2353-K2353)</f>
        <v>2.4413822</v>
      </c>
      <c r="M2353" s="13" t="n">
        <f aca="false">MAX(0,F2353-I2353-J2353)</f>
        <v>0</v>
      </c>
      <c r="N2353" s="13" t="n">
        <f aca="false">IF(Kalender!A157="",0,J2352-H2353)</f>
        <v>0.0150822</v>
      </c>
    </row>
    <row r="2354" customFormat="false" ht="16.4" hidden="false" customHeight="false" outlineLevel="0" collapsed="false">
      <c r="A2354" s="13" t="str">
        <f aca="false">""</f>
        <v/>
      </c>
      <c r="B2354" s="13" t="n">
        <f aca="false">154</f>
        <v>154</v>
      </c>
      <c r="C2354" s="13" t="n">
        <f aca="false">IF(Szenarien!$H$17="OK",(IFERROR(SUMIF(Nutzungsprofile!$B$6:$B$11,"Schulbetrieb",Nutzungsprofile!$G$6:$G$11)*Kalender!C158/SUM(Kalender!$C$5:$C$370),0)+IFERROR(SUMIF(Nutzungsprofile!$B$6:$B$11,"Halle",Nutzungsprofile!$G$6:$G$11)*Kalender!D158/SUM(Kalender!$D$5:$D$370),0)+IFERROR(SUMIF(Nutzungsprofile!$B$6:$B$11,"Individuell",Nutzungsprofile!$G$6:$G$11)*Kalender!E158/SUM(Kalender!$E$5:$E$370),0))*Szenarien!$E$17,0)</f>
        <v>2.94</v>
      </c>
      <c r="D2354" s="13" t="n">
        <f aca="false">IF(Szenarien!$H$17="OK",(IFERROR(SUMIF(Nutzungsprofile!$B$17:$B$22,"Schulbetrieb",Nutzungsprofile!$G$17:$G$22)*Kalender!C158/SUM(Kalender!$C$5:$C$370),0)+IFERROR(SUMIF(Nutzungsprofile!$B$17:$B$22,"Halle",Nutzungsprofile!$G$17:$G$22)*Kalender!D158/SUM(Kalender!$D$5:$D$370),0)+IFERROR(SUMIF(Nutzungsprofile!$B$17:$B$22,"Individuell",Nutzungsprofile!$G$17:$G$22)*Kalender!E158/SUM(Kalender!$E$5:$E$370),0))*Szenarien!$D$17,0)</f>
        <v>4.94</v>
      </c>
      <c r="E2354" s="13" t="n">
        <f aca="false">IFERROR(MIN(C2354,Eingaben!$B$17)*Eingaben!$B$16,0)</f>
        <v>2.793</v>
      </c>
      <c r="F2354" s="13" t="n">
        <f aca="false">IFERROR(E2354*Eingaben!$B$15,0)</f>
        <v>2.5137</v>
      </c>
      <c r="G2354" s="13" t="n">
        <f aca="false">IFERROR(IF(Kalender!A158="",0,J2353*(1-Eingaben!$B$20)),0)</f>
        <v>0.7390278</v>
      </c>
      <c r="H2354" s="13" t="n">
        <f aca="false">MIN(G2354,D2354)</f>
        <v>0.7390278</v>
      </c>
      <c r="I2354" s="13" t="n">
        <f aca="false">IFERROR(MIN(F2354*Eingaben!$B$19,MAX(0,D2354-H2354)),0)</f>
        <v>1.75959</v>
      </c>
      <c r="J2354" s="13" t="n">
        <f aca="false">IFERROR(MIN(Eingaben!$B$18,MAX(0,F2354-I2354)),0)</f>
        <v>0.75411</v>
      </c>
      <c r="K2354" s="13" t="n">
        <f aca="false">H2354+I2354</f>
        <v>2.4986178</v>
      </c>
      <c r="L2354" s="13" t="n">
        <f aca="false">MAX(0,D2354-K2354)</f>
        <v>2.4413822</v>
      </c>
      <c r="M2354" s="13" t="n">
        <f aca="false">MAX(0,F2354-I2354-J2354)</f>
        <v>0</v>
      </c>
      <c r="N2354" s="13" t="n">
        <f aca="false">IF(Kalender!A158="",0,J2353-H2354)</f>
        <v>0.0150822</v>
      </c>
    </row>
    <row r="2355" customFormat="false" ht="16.4" hidden="false" customHeight="false" outlineLevel="0" collapsed="false">
      <c r="A2355" s="13" t="str">
        <f aca="false">""</f>
        <v/>
      </c>
      <c r="B2355" s="13" t="n">
        <f aca="false">155</f>
        <v>155</v>
      </c>
      <c r="C2355" s="13" t="n">
        <f aca="false">IF(Szenarien!$H$17="OK",(IFERROR(SUMIF(Nutzungsprofile!$B$6:$B$11,"Schulbetrieb",Nutzungsprofile!$G$6:$G$11)*Kalender!C159/SUM(Kalender!$C$5:$C$370),0)+IFERROR(SUMIF(Nutzungsprofile!$B$6:$B$11,"Halle",Nutzungsprofile!$G$6:$G$11)*Kalender!D159/SUM(Kalender!$D$5:$D$370),0)+IFERROR(SUMIF(Nutzungsprofile!$B$6:$B$11,"Individuell",Nutzungsprofile!$G$6:$G$11)*Kalender!E159/SUM(Kalender!$E$5:$E$370),0))*Szenarien!$E$17,0)</f>
        <v>2.94</v>
      </c>
      <c r="D2355" s="13" t="n">
        <f aca="false">IF(Szenarien!$H$17="OK",(IFERROR(SUMIF(Nutzungsprofile!$B$17:$B$22,"Schulbetrieb",Nutzungsprofile!$G$17:$G$22)*Kalender!C159/SUM(Kalender!$C$5:$C$370),0)+IFERROR(SUMIF(Nutzungsprofile!$B$17:$B$22,"Halle",Nutzungsprofile!$G$17:$G$22)*Kalender!D159/SUM(Kalender!$D$5:$D$370),0)+IFERROR(SUMIF(Nutzungsprofile!$B$17:$B$22,"Individuell",Nutzungsprofile!$G$17:$G$22)*Kalender!E159/SUM(Kalender!$E$5:$E$370),0))*Szenarien!$D$17,0)</f>
        <v>4.94</v>
      </c>
      <c r="E2355" s="13" t="n">
        <f aca="false">IFERROR(MIN(C2355,Eingaben!$B$17)*Eingaben!$B$16,0)</f>
        <v>2.793</v>
      </c>
      <c r="F2355" s="13" t="n">
        <f aca="false">IFERROR(E2355*Eingaben!$B$15,0)</f>
        <v>2.5137</v>
      </c>
      <c r="G2355" s="13" t="n">
        <f aca="false">IFERROR(IF(Kalender!A159="",0,J2354*(1-Eingaben!$B$20)),0)</f>
        <v>0.7390278</v>
      </c>
      <c r="H2355" s="13" t="n">
        <f aca="false">MIN(G2355,D2355)</f>
        <v>0.7390278</v>
      </c>
      <c r="I2355" s="13" t="n">
        <f aca="false">IFERROR(MIN(F2355*Eingaben!$B$19,MAX(0,D2355-H2355)),0)</f>
        <v>1.75959</v>
      </c>
      <c r="J2355" s="13" t="n">
        <f aca="false">IFERROR(MIN(Eingaben!$B$18,MAX(0,F2355-I2355)),0)</f>
        <v>0.75411</v>
      </c>
      <c r="K2355" s="13" t="n">
        <f aca="false">H2355+I2355</f>
        <v>2.4986178</v>
      </c>
      <c r="L2355" s="13" t="n">
        <f aca="false">MAX(0,D2355-K2355)</f>
        <v>2.4413822</v>
      </c>
      <c r="M2355" s="13" t="n">
        <f aca="false">MAX(0,F2355-I2355-J2355)</f>
        <v>0</v>
      </c>
      <c r="N2355" s="13" t="n">
        <f aca="false">IF(Kalender!A159="",0,J2354-H2355)</f>
        <v>0.0150822</v>
      </c>
    </row>
    <row r="2356" customFormat="false" ht="16.4" hidden="false" customHeight="false" outlineLevel="0" collapsed="false">
      <c r="A2356" s="13" t="str">
        <f aca="false">""</f>
        <v/>
      </c>
      <c r="B2356" s="13" t="n">
        <f aca="false">156</f>
        <v>156</v>
      </c>
      <c r="C2356" s="13" t="n">
        <f aca="false">IF(Szenarien!$H$17="OK",(IFERROR(SUMIF(Nutzungsprofile!$B$6:$B$11,"Schulbetrieb",Nutzungsprofile!$G$6:$G$11)*Kalender!C160/SUM(Kalender!$C$5:$C$370),0)+IFERROR(SUMIF(Nutzungsprofile!$B$6:$B$11,"Halle",Nutzungsprofile!$G$6:$G$11)*Kalender!D160/SUM(Kalender!$D$5:$D$370),0)+IFERROR(SUMIF(Nutzungsprofile!$B$6:$B$11,"Individuell",Nutzungsprofile!$G$6:$G$11)*Kalender!E160/SUM(Kalender!$E$5:$E$370),0))*Szenarien!$E$17,0)</f>
        <v>2.94</v>
      </c>
      <c r="D2356" s="13" t="n">
        <f aca="false">IF(Szenarien!$H$17="OK",(IFERROR(SUMIF(Nutzungsprofile!$B$17:$B$22,"Schulbetrieb",Nutzungsprofile!$G$17:$G$22)*Kalender!C160/SUM(Kalender!$C$5:$C$370),0)+IFERROR(SUMIF(Nutzungsprofile!$B$17:$B$22,"Halle",Nutzungsprofile!$G$17:$G$22)*Kalender!D160/SUM(Kalender!$D$5:$D$370),0)+IFERROR(SUMIF(Nutzungsprofile!$B$17:$B$22,"Individuell",Nutzungsprofile!$G$17:$G$22)*Kalender!E160/SUM(Kalender!$E$5:$E$370),0))*Szenarien!$D$17,0)</f>
        <v>4.94</v>
      </c>
      <c r="E2356" s="13" t="n">
        <f aca="false">IFERROR(MIN(C2356,Eingaben!$B$17)*Eingaben!$B$16,0)</f>
        <v>2.793</v>
      </c>
      <c r="F2356" s="13" t="n">
        <f aca="false">IFERROR(E2356*Eingaben!$B$15,0)</f>
        <v>2.5137</v>
      </c>
      <c r="G2356" s="13" t="n">
        <f aca="false">IFERROR(IF(Kalender!A160="",0,J2355*(1-Eingaben!$B$20)),0)</f>
        <v>0.7390278</v>
      </c>
      <c r="H2356" s="13" t="n">
        <f aca="false">MIN(G2356,D2356)</f>
        <v>0.7390278</v>
      </c>
      <c r="I2356" s="13" t="n">
        <f aca="false">IFERROR(MIN(F2356*Eingaben!$B$19,MAX(0,D2356-H2356)),0)</f>
        <v>1.75959</v>
      </c>
      <c r="J2356" s="13" t="n">
        <f aca="false">IFERROR(MIN(Eingaben!$B$18,MAX(0,F2356-I2356)),0)</f>
        <v>0.75411</v>
      </c>
      <c r="K2356" s="13" t="n">
        <f aca="false">H2356+I2356</f>
        <v>2.4986178</v>
      </c>
      <c r="L2356" s="13" t="n">
        <f aca="false">MAX(0,D2356-K2356)</f>
        <v>2.4413822</v>
      </c>
      <c r="M2356" s="13" t="n">
        <f aca="false">MAX(0,F2356-I2356-J2356)</f>
        <v>0</v>
      </c>
      <c r="N2356" s="13" t="n">
        <f aca="false">IF(Kalender!A160="",0,J2355-H2356)</f>
        <v>0.0150822</v>
      </c>
    </row>
    <row r="2357" customFormat="false" ht="16.4" hidden="false" customHeight="false" outlineLevel="0" collapsed="false">
      <c r="A2357" s="13" t="str">
        <f aca="false">""</f>
        <v/>
      </c>
      <c r="B2357" s="13" t="n">
        <f aca="false">157</f>
        <v>157</v>
      </c>
      <c r="C2357" s="13" t="n">
        <f aca="false">IF(Szenarien!$H$17="OK",(IFERROR(SUMIF(Nutzungsprofile!$B$6:$B$11,"Schulbetrieb",Nutzungsprofile!$G$6:$G$11)*Kalender!C161/SUM(Kalender!$C$5:$C$370),0)+IFERROR(SUMIF(Nutzungsprofile!$B$6:$B$11,"Halle",Nutzungsprofile!$G$6:$G$11)*Kalender!D161/SUM(Kalender!$D$5:$D$370),0)+IFERROR(SUMIF(Nutzungsprofile!$B$6:$B$11,"Individuell",Nutzungsprofile!$G$6:$G$11)*Kalender!E161/SUM(Kalender!$E$5:$E$370),0))*Szenarien!$E$17,0)</f>
        <v>2.04</v>
      </c>
      <c r="D2357" s="13" t="n">
        <f aca="false">IF(Szenarien!$H$17="OK",(IFERROR(SUMIF(Nutzungsprofile!$B$17:$B$22,"Schulbetrieb",Nutzungsprofile!$G$17:$G$22)*Kalender!C161/SUM(Kalender!$C$5:$C$370),0)+IFERROR(SUMIF(Nutzungsprofile!$B$17:$B$22,"Halle",Nutzungsprofile!$G$17:$G$22)*Kalender!D161/SUM(Kalender!$D$5:$D$370),0)+IFERROR(SUMIF(Nutzungsprofile!$B$17:$B$22,"Individuell",Nutzungsprofile!$G$17:$G$22)*Kalender!E161/SUM(Kalender!$E$5:$E$370),0))*Szenarien!$D$17,0)</f>
        <v>0.89</v>
      </c>
      <c r="E2357" s="13" t="n">
        <f aca="false">IFERROR(MIN(C2357,Eingaben!$B$17)*Eingaben!$B$16,0)</f>
        <v>1.938</v>
      </c>
      <c r="F2357" s="13" t="n">
        <f aca="false">IFERROR(E2357*Eingaben!$B$15,0)</f>
        <v>1.7442</v>
      </c>
      <c r="G2357" s="13" t="n">
        <f aca="false">IFERROR(IF(Kalender!A161="",0,J2356*(1-Eingaben!$B$20)),0)</f>
        <v>0.7390278</v>
      </c>
      <c r="H2357" s="13" t="n">
        <f aca="false">MIN(G2357,D2357)</f>
        <v>0.7390278</v>
      </c>
      <c r="I2357" s="13" t="n">
        <f aca="false">IFERROR(MIN(F2357*Eingaben!$B$19,MAX(0,D2357-H2357)),0)</f>
        <v>0.1509722</v>
      </c>
      <c r="J2357" s="13" t="n">
        <f aca="false">IFERROR(MIN(Eingaben!$B$18,MAX(0,F2357-I2357)),0)</f>
        <v>1.5932278</v>
      </c>
      <c r="K2357" s="13" t="n">
        <f aca="false">H2357+I2357</f>
        <v>0.89</v>
      </c>
      <c r="L2357" s="13" t="n">
        <f aca="false">MAX(0,D2357-K2357)</f>
        <v>0</v>
      </c>
      <c r="M2357" s="13" t="n">
        <f aca="false">MAX(0,F2357-I2357-J2357)</f>
        <v>0</v>
      </c>
      <c r="N2357" s="13" t="n">
        <f aca="false">IF(Kalender!A161="",0,J2356-H2357)</f>
        <v>0.0150822</v>
      </c>
    </row>
    <row r="2358" customFormat="false" ht="16.4" hidden="false" customHeight="false" outlineLevel="0" collapsed="false">
      <c r="A2358" s="13" t="str">
        <f aca="false">""</f>
        <v/>
      </c>
      <c r="B2358" s="13" t="n">
        <f aca="false">158</f>
        <v>158</v>
      </c>
      <c r="C2358" s="13" t="n">
        <f aca="false">IF(Szenarien!$H$17="OK",(IFERROR(SUMIF(Nutzungsprofile!$B$6:$B$11,"Schulbetrieb",Nutzungsprofile!$G$6:$G$11)*Kalender!C162/SUM(Kalender!$C$5:$C$370),0)+IFERROR(SUMIF(Nutzungsprofile!$B$6:$B$11,"Halle",Nutzungsprofile!$G$6:$G$11)*Kalender!D162/SUM(Kalender!$D$5:$D$370),0)+IFERROR(SUMIF(Nutzungsprofile!$B$6:$B$11,"Individuell",Nutzungsprofile!$G$6:$G$11)*Kalender!E162/SUM(Kalender!$E$5:$E$370),0))*Szenarien!$E$17,0)</f>
        <v>2.04</v>
      </c>
      <c r="D2358" s="13" t="n">
        <f aca="false">IF(Szenarien!$H$17="OK",(IFERROR(SUMIF(Nutzungsprofile!$B$17:$B$22,"Schulbetrieb",Nutzungsprofile!$G$17:$G$22)*Kalender!C162/SUM(Kalender!$C$5:$C$370),0)+IFERROR(SUMIF(Nutzungsprofile!$B$17:$B$22,"Halle",Nutzungsprofile!$G$17:$G$22)*Kalender!D162/SUM(Kalender!$D$5:$D$370),0)+IFERROR(SUMIF(Nutzungsprofile!$B$17:$B$22,"Individuell",Nutzungsprofile!$G$17:$G$22)*Kalender!E162/SUM(Kalender!$E$5:$E$370),0))*Szenarien!$D$17,0)</f>
        <v>0.89</v>
      </c>
      <c r="E2358" s="13" t="n">
        <f aca="false">IFERROR(MIN(C2358,Eingaben!$B$17)*Eingaben!$B$16,0)</f>
        <v>1.938</v>
      </c>
      <c r="F2358" s="13" t="n">
        <f aca="false">IFERROR(E2358*Eingaben!$B$15,0)</f>
        <v>1.7442</v>
      </c>
      <c r="G2358" s="13" t="n">
        <f aca="false">IFERROR(IF(Kalender!A162="",0,J2357*(1-Eingaben!$B$20)),0)</f>
        <v>1.561363244</v>
      </c>
      <c r="H2358" s="13" t="n">
        <f aca="false">MIN(G2358,D2358)</f>
        <v>0.89</v>
      </c>
      <c r="I2358" s="13" t="n">
        <f aca="false">IFERROR(MIN(F2358*Eingaben!$B$19,MAX(0,D2358-H2358)),0)</f>
        <v>0</v>
      </c>
      <c r="J2358" s="13" t="n">
        <f aca="false">IFERROR(MIN(Eingaben!$B$18,MAX(0,F2358-I2358)),0)</f>
        <v>1.7442</v>
      </c>
      <c r="K2358" s="13" t="n">
        <f aca="false">H2358+I2358</f>
        <v>0.89</v>
      </c>
      <c r="L2358" s="13" t="n">
        <f aca="false">MAX(0,D2358-K2358)</f>
        <v>0</v>
      </c>
      <c r="M2358" s="13" t="n">
        <f aca="false">MAX(0,F2358-I2358-J2358)</f>
        <v>0</v>
      </c>
      <c r="N2358" s="13" t="n">
        <f aca="false">IF(Kalender!A162="",0,J2357-H2358)</f>
        <v>0.7032278</v>
      </c>
    </row>
    <row r="2359" customFormat="false" ht="16.4" hidden="false" customHeight="false" outlineLevel="0" collapsed="false">
      <c r="A2359" s="13" t="str">
        <f aca="false">""</f>
        <v/>
      </c>
      <c r="B2359" s="13" t="n">
        <f aca="false">159</f>
        <v>159</v>
      </c>
      <c r="C2359" s="13" t="n">
        <f aca="false">IF(Szenarien!$H$17="OK",(IFERROR(SUMIF(Nutzungsprofile!$B$6:$B$11,"Schulbetrieb",Nutzungsprofile!$G$6:$G$11)*Kalender!C163/SUM(Kalender!$C$5:$C$370),0)+IFERROR(SUMIF(Nutzungsprofile!$B$6:$B$11,"Halle",Nutzungsprofile!$G$6:$G$11)*Kalender!D163/SUM(Kalender!$D$5:$D$370),0)+IFERROR(SUMIF(Nutzungsprofile!$B$6:$B$11,"Individuell",Nutzungsprofile!$G$6:$G$11)*Kalender!E163/SUM(Kalender!$E$5:$E$370),0))*Szenarien!$E$17,0)</f>
        <v>2.94</v>
      </c>
      <c r="D2359" s="13" t="n">
        <f aca="false">IF(Szenarien!$H$17="OK",(IFERROR(SUMIF(Nutzungsprofile!$B$17:$B$22,"Schulbetrieb",Nutzungsprofile!$G$17:$G$22)*Kalender!C163/SUM(Kalender!$C$5:$C$370),0)+IFERROR(SUMIF(Nutzungsprofile!$B$17:$B$22,"Halle",Nutzungsprofile!$G$17:$G$22)*Kalender!D163/SUM(Kalender!$D$5:$D$370),0)+IFERROR(SUMIF(Nutzungsprofile!$B$17:$B$22,"Individuell",Nutzungsprofile!$G$17:$G$22)*Kalender!E163/SUM(Kalender!$E$5:$E$370),0))*Szenarien!$D$17,0)</f>
        <v>4.94</v>
      </c>
      <c r="E2359" s="13" t="n">
        <f aca="false">IFERROR(MIN(C2359,Eingaben!$B$17)*Eingaben!$B$16,0)</f>
        <v>2.793</v>
      </c>
      <c r="F2359" s="13" t="n">
        <f aca="false">IFERROR(E2359*Eingaben!$B$15,0)</f>
        <v>2.5137</v>
      </c>
      <c r="G2359" s="13" t="n">
        <f aca="false">IFERROR(IF(Kalender!A163="",0,J2358*(1-Eingaben!$B$20)),0)</f>
        <v>1.709316</v>
      </c>
      <c r="H2359" s="13" t="n">
        <f aca="false">MIN(G2359,D2359)</f>
        <v>1.709316</v>
      </c>
      <c r="I2359" s="13" t="n">
        <f aca="false">IFERROR(MIN(F2359*Eingaben!$B$19,MAX(0,D2359-H2359)),0)</f>
        <v>1.75959</v>
      </c>
      <c r="J2359" s="13" t="n">
        <f aca="false">IFERROR(MIN(Eingaben!$B$18,MAX(0,F2359-I2359)),0)</f>
        <v>0.75411</v>
      </c>
      <c r="K2359" s="13" t="n">
        <f aca="false">H2359+I2359</f>
        <v>3.468906</v>
      </c>
      <c r="L2359" s="13" t="n">
        <f aca="false">MAX(0,D2359-K2359)</f>
        <v>1.471094</v>
      </c>
      <c r="M2359" s="13" t="n">
        <f aca="false">MAX(0,F2359-I2359-J2359)</f>
        <v>0</v>
      </c>
      <c r="N2359" s="13" t="n">
        <f aca="false">IF(Kalender!A163="",0,J2358-H2359)</f>
        <v>0.0348840000000001</v>
      </c>
    </row>
    <row r="2360" customFormat="false" ht="16.4" hidden="false" customHeight="false" outlineLevel="0" collapsed="false">
      <c r="A2360" s="13" t="str">
        <f aca="false">""</f>
        <v/>
      </c>
      <c r="B2360" s="13" t="n">
        <f aca="false">160</f>
        <v>160</v>
      </c>
      <c r="C2360" s="13" t="n">
        <f aca="false">IF(Szenarien!$H$17="OK",(IFERROR(SUMIF(Nutzungsprofile!$B$6:$B$11,"Schulbetrieb",Nutzungsprofile!$G$6:$G$11)*Kalender!C164/SUM(Kalender!$C$5:$C$370),0)+IFERROR(SUMIF(Nutzungsprofile!$B$6:$B$11,"Halle",Nutzungsprofile!$G$6:$G$11)*Kalender!D164/SUM(Kalender!$D$5:$D$370),0)+IFERROR(SUMIF(Nutzungsprofile!$B$6:$B$11,"Individuell",Nutzungsprofile!$G$6:$G$11)*Kalender!E164/SUM(Kalender!$E$5:$E$370),0))*Szenarien!$E$17,0)</f>
        <v>2.94</v>
      </c>
      <c r="D2360" s="13" t="n">
        <f aca="false">IF(Szenarien!$H$17="OK",(IFERROR(SUMIF(Nutzungsprofile!$B$17:$B$22,"Schulbetrieb",Nutzungsprofile!$G$17:$G$22)*Kalender!C164/SUM(Kalender!$C$5:$C$370),0)+IFERROR(SUMIF(Nutzungsprofile!$B$17:$B$22,"Halle",Nutzungsprofile!$G$17:$G$22)*Kalender!D164/SUM(Kalender!$D$5:$D$370),0)+IFERROR(SUMIF(Nutzungsprofile!$B$17:$B$22,"Individuell",Nutzungsprofile!$G$17:$G$22)*Kalender!E164/SUM(Kalender!$E$5:$E$370),0))*Szenarien!$D$17,0)</f>
        <v>4.94</v>
      </c>
      <c r="E2360" s="13" t="n">
        <f aca="false">IFERROR(MIN(C2360,Eingaben!$B$17)*Eingaben!$B$16,0)</f>
        <v>2.793</v>
      </c>
      <c r="F2360" s="13" t="n">
        <f aca="false">IFERROR(E2360*Eingaben!$B$15,0)</f>
        <v>2.5137</v>
      </c>
      <c r="G2360" s="13" t="n">
        <f aca="false">IFERROR(IF(Kalender!A164="",0,J2359*(1-Eingaben!$B$20)),0)</f>
        <v>0.7390278</v>
      </c>
      <c r="H2360" s="13" t="n">
        <f aca="false">MIN(G2360,D2360)</f>
        <v>0.7390278</v>
      </c>
      <c r="I2360" s="13" t="n">
        <f aca="false">IFERROR(MIN(F2360*Eingaben!$B$19,MAX(0,D2360-H2360)),0)</f>
        <v>1.75959</v>
      </c>
      <c r="J2360" s="13" t="n">
        <f aca="false">IFERROR(MIN(Eingaben!$B$18,MAX(0,F2360-I2360)),0)</f>
        <v>0.75411</v>
      </c>
      <c r="K2360" s="13" t="n">
        <f aca="false">H2360+I2360</f>
        <v>2.4986178</v>
      </c>
      <c r="L2360" s="13" t="n">
        <f aca="false">MAX(0,D2360-K2360)</f>
        <v>2.4413822</v>
      </c>
      <c r="M2360" s="13" t="n">
        <f aca="false">MAX(0,F2360-I2360-J2360)</f>
        <v>0</v>
      </c>
      <c r="N2360" s="13" t="n">
        <f aca="false">IF(Kalender!A164="",0,J2359-H2360)</f>
        <v>0.0150822</v>
      </c>
    </row>
    <row r="2361" customFormat="false" ht="16.4" hidden="false" customHeight="false" outlineLevel="0" collapsed="false">
      <c r="A2361" s="13" t="str">
        <f aca="false">""</f>
        <v/>
      </c>
      <c r="B2361" s="13" t="n">
        <f aca="false">161</f>
        <v>161</v>
      </c>
      <c r="C2361" s="13" t="n">
        <f aca="false">IF(Szenarien!$H$17="OK",(IFERROR(SUMIF(Nutzungsprofile!$B$6:$B$11,"Schulbetrieb",Nutzungsprofile!$G$6:$G$11)*Kalender!C165/SUM(Kalender!$C$5:$C$370),0)+IFERROR(SUMIF(Nutzungsprofile!$B$6:$B$11,"Halle",Nutzungsprofile!$G$6:$G$11)*Kalender!D165/SUM(Kalender!$D$5:$D$370),0)+IFERROR(SUMIF(Nutzungsprofile!$B$6:$B$11,"Individuell",Nutzungsprofile!$G$6:$G$11)*Kalender!E165/SUM(Kalender!$E$5:$E$370),0))*Szenarien!$E$17,0)</f>
        <v>2.94</v>
      </c>
      <c r="D2361" s="13" t="n">
        <f aca="false">IF(Szenarien!$H$17="OK",(IFERROR(SUMIF(Nutzungsprofile!$B$17:$B$22,"Schulbetrieb",Nutzungsprofile!$G$17:$G$22)*Kalender!C165/SUM(Kalender!$C$5:$C$370),0)+IFERROR(SUMIF(Nutzungsprofile!$B$17:$B$22,"Halle",Nutzungsprofile!$G$17:$G$22)*Kalender!D165/SUM(Kalender!$D$5:$D$370),0)+IFERROR(SUMIF(Nutzungsprofile!$B$17:$B$22,"Individuell",Nutzungsprofile!$G$17:$G$22)*Kalender!E165/SUM(Kalender!$E$5:$E$370),0))*Szenarien!$D$17,0)</f>
        <v>4.94</v>
      </c>
      <c r="E2361" s="13" t="n">
        <f aca="false">IFERROR(MIN(C2361,Eingaben!$B$17)*Eingaben!$B$16,0)</f>
        <v>2.793</v>
      </c>
      <c r="F2361" s="13" t="n">
        <f aca="false">IFERROR(E2361*Eingaben!$B$15,0)</f>
        <v>2.5137</v>
      </c>
      <c r="G2361" s="13" t="n">
        <f aca="false">IFERROR(IF(Kalender!A165="",0,J2360*(1-Eingaben!$B$20)),0)</f>
        <v>0.7390278</v>
      </c>
      <c r="H2361" s="13" t="n">
        <f aca="false">MIN(G2361,D2361)</f>
        <v>0.7390278</v>
      </c>
      <c r="I2361" s="13" t="n">
        <f aca="false">IFERROR(MIN(F2361*Eingaben!$B$19,MAX(0,D2361-H2361)),0)</f>
        <v>1.75959</v>
      </c>
      <c r="J2361" s="13" t="n">
        <f aca="false">IFERROR(MIN(Eingaben!$B$18,MAX(0,F2361-I2361)),0)</f>
        <v>0.75411</v>
      </c>
      <c r="K2361" s="13" t="n">
        <f aca="false">H2361+I2361</f>
        <v>2.4986178</v>
      </c>
      <c r="L2361" s="13" t="n">
        <f aca="false">MAX(0,D2361-K2361)</f>
        <v>2.4413822</v>
      </c>
      <c r="M2361" s="13" t="n">
        <f aca="false">MAX(0,F2361-I2361-J2361)</f>
        <v>0</v>
      </c>
      <c r="N2361" s="13" t="n">
        <f aca="false">IF(Kalender!A165="",0,J2360-H2361)</f>
        <v>0.0150822</v>
      </c>
    </row>
    <row r="2362" customFormat="false" ht="16.4" hidden="false" customHeight="false" outlineLevel="0" collapsed="false">
      <c r="A2362" s="13" t="str">
        <f aca="false">""</f>
        <v/>
      </c>
      <c r="B2362" s="13" t="n">
        <f aca="false">162</f>
        <v>162</v>
      </c>
      <c r="C2362" s="13" t="n">
        <f aca="false">IF(Szenarien!$H$17="OK",(IFERROR(SUMIF(Nutzungsprofile!$B$6:$B$11,"Schulbetrieb",Nutzungsprofile!$G$6:$G$11)*Kalender!C166/SUM(Kalender!$C$5:$C$370),0)+IFERROR(SUMIF(Nutzungsprofile!$B$6:$B$11,"Halle",Nutzungsprofile!$G$6:$G$11)*Kalender!D166/SUM(Kalender!$D$5:$D$370),0)+IFERROR(SUMIF(Nutzungsprofile!$B$6:$B$11,"Individuell",Nutzungsprofile!$G$6:$G$11)*Kalender!E166/SUM(Kalender!$E$5:$E$370),0))*Szenarien!$E$17,0)</f>
        <v>2.94</v>
      </c>
      <c r="D2362" s="13" t="n">
        <f aca="false">IF(Szenarien!$H$17="OK",(IFERROR(SUMIF(Nutzungsprofile!$B$17:$B$22,"Schulbetrieb",Nutzungsprofile!$G$17:$G$22)*Kalender!C166/SUM(Kalender!$C$5:$C$370),0)+IFERROR(SUMIF(Nutzungsprofile!$B$17:$B$22,"Halle",Nutzungsprofile!$G$17:$G$22)*Kalender!D166/SUM(Kalender!$D$5:$D$370),0)+IFERROR(SUMIF(Nutzungsprofile!$B$17:$B$22,"Individuell",Nutzungsprofile!$G$17:$G$22)*Kalender!E166/SUM(Kalender!$E$5:$E$370),0))*Szenarien!$D$17,0)</f>
        <v>4.94</v>
      </c>
      <c r="E2362" s="13" t="n">
        <f aca="false">IFERROR(MIN(C2362,Eingaben!$B$17)*Eingaben!$B$16,0)</f>
        <v>2.793</v>
      </c>
      <c r="F2362" s="13" t="n">
        <f aca="false">IFERROR(E2362*Eingaben!$B$15,0)</f>
        <v>2.5137</v>
      </c>
      <c r="G2362" s="13" t="n">
        <f aca="false">IFERROR(IF(Kalender!A166="",0,J2361*(1-Eingaben!$B$20)),0)</f>
        <v>0.7390278</v>
      </c>
      <c r="H2362" s="13" t="n">
        <f aca="false">MIN(G2362,D2362)</f>
        <v>0.7390278</v>
      </c>
      <c r="I2362" s="13" t="n">
        <f aca="false">IFERROR(MIN(F2362*Eingaben!$B$19,MAX(0,D2362-H2362)),0)</f>
        <v>1.75959</v>
      </c>
      <c r="J2362" s="13" t="n">
        <f aca="false">IFERROR(MIN(Eingaben!$B$18,MAX(0,F2362-I2362)),0)</f>
        <v>0.75411</v>
      </c>
      <c r="K2362" s="13" t="n">
        <f aca="false">H2362+I2362</f>
        <v>2.4986178</v>
      </c>
      <c r="L2362" s="13" t="n">
        <f aca="false">MAX(0,D2362-K2362)</f>
        <v>2.4413822</v>
      </c>
      <c r="M2362" s="13" t="n">
        <f aca="false">MAX(0,F2362-I2362-J2362)</f>
        <v>0</v>
      </c>
      <c r="N2362" s="13" t="n">
        <f aca="false">IF(Kalender!A166="",0,J2361-H2362)</f>
        <v>0.0150822</v>
      </c>
    </row>
    <row r="2363" customFormat="false" ht="16.4" hidden="false" customHeight="false" outlineLevel="0" collapsed="false">
      <c r="A2363" s="13" t="str">
        <f aca="false">""</f>
        <v/>
      </c>
      <c r="B2363" s="13" t="n">
        <f aca="false">163</f>
        <v>163</v>
      </c>
      <c r="C2363" s="13" t="n">
        <f aca="false">IF(Szenarien!$H$17="OK",(IFERROR(SUMIF(Nutzungsprofile!$B$6:$B$11,"Schulbetrieb",Nutzungsprofile!$G$6:$G$11)*Kalender!C167/SUM(Kalender!$C$5:$C$370),0)+IFERROR(SUMIF(Nutzungsprofile!$B$6:$B$11,"Halle",Nutzungsprofile!$G$6:$G$11)*Kalender!D167/SUM(Kalender!$D$5:$D$370),0)+IFERROR(SUMIF(Nutzungsprofile!$B$6:$B$11,"Individuell",Nutzungsprofile!$G$6:$G$11)*Kalender!E167/SUM(Kalender!$E$5:$E$370),0))*Szenarien!$E$17,0)</f>
        <v>2.94</v>
      </c>
      <c r="D2363" s="13" t="n">
        <f aca="false">IF(Szenarien!$H$17="OK",(IFERROR(SUMIF(Nutzungsprofile!$B$17:$B$22,"Schulbetrieb",Nutzungsprofile!$G$17:$G$22)*Kalender!C167/SUM(Kalender!$C$5:$C$370),0)+IFERROR(SUMIF(Nutzungsprofile!$B$17:$B$22,"Halle",Nutzungsprofile!$G$17:$G$22)*Kalender!D167/SUM(Kalender!$D$5:$D$370),0)+IFERROR(SUMIF(Nutzungsprofile!$B$17:$B$22,"Individuell",Nutzungsprofile!$G$17:$G$22)*Kalender!E167/SUM(Kalender!$E$5:$E$370),0))*Szenarien!$D$17,0)</f>
        <v>4.94</v>
      </c>
      <c r="E2363" s="13" t="n">
        <f aca="false">IFERROR(MIN(C2363,Eingaben!$B$17)*Eingaben!$B$16,0)</f>
        <v>2.793</v>
      </c>
      <c r="F2363" s="13" t="n">
        <f aca="false">IFERROR(E2363*Eingaben!$B$15,0)</f>
        <v>2.5137</v>
      </c>
      <c r="G2363" s="13" t="n">
        <f aca="false">IFERROR(IF(Kalender!A167="",0,J2362*(1-Eingaben!$B$20)),0)</f>
        <v>0.7390278</v>
      </c>
      <c r="H2363" s="13" t="n">
        <f aca="false">MIN(G2363,D2363)</f>
        <v>0.7390278</v>
      </c>
      <c r="I2363" s="13" t="n">
        <f aca="false">IFERROR(MIN(F2363*Eingaben!$B$19,MAX(0,D2363-H2363)),0)</f>
        <v>1.75959</v>
      </c>
      <c r="J2363" s="13" t="n">
        <f aca="false">IFERROR(MIN(Eingaben!$B$18,MAX(0,F2363-I2363)),0)</f>
        <v>0.75411</v>
      </c>
      <c r="K2363" s="13" t="n">
        <f aca="false">H2363+I2363</f>
        <v>2.4986178</v>
      </c>
      <c r="L2363" s="13" t="n">
        <f aca="false">MAX(0,D2363-K2363)</f>
        <v>2.4413822</v>
      </c>
      <c r="M2363" s="13" t="n">
        <f aca="false">MAX(0,F2363-I2363-J2363)</f>
        <v>0</v>
      </c>
      <c r="N2363" s="13" t="n">
        <f aca="false">IF(Kalender!A167="",0,J2362-H2363)</f>
        <v>0.0150822</v>
      </c>
    </row>
    <row r="2364" customFormat="false" ht="16.4" hidden="false" customHeight="false" outlineLevel="0" collapsed="false">
      <c r="A2364" s="13" t="str">
        <f aca="false">""</f>
        <v/>
      </c>
      <c r="B2364" s="13" t="n">
        <f aca="false">164</f>
        <v>164</v>
      </c>
      <c r="C2364" s="13" t="n">
        <f aca="false">IF(Szenarien!$H$17="OK",(IFERROR(SUMIF(Nutzungsprofile!$B$6:$B$11,"Schulbetrieb",Nutzungsprofile!$G$6:$G$11)*Kalender!C168/SUM(Kalender!$C$5:$C$370),0)+IFERROR(SUMIF(Nutzungsprofile!$B$6:$B$11,"Halle",Nutzungsprofile!$G$6:$G$11)*Kalender!D168/SUM(Kalender!$D$5:$D$370),0)+IFERROR(SUMIF(Nutzungsprofile!$B$6:$B$11,"Individuell",Nutzungsprofile!$G$6:$G$11)*Kalender!E168/SUM(Kalender!$E$5:$E$370),0))*Szenarien!$E$17,0)</f>
        <v>2.04</v>
      </c>
      <c r="D2364" s="13" t="n">
        <f aca="false">IF(Szenarien!$H$17="OK",(IFERROR(SUMIF(Nutzungsprofile!$B$17:$B$22,"Schulbetrieb",Nutzungsprofile!$G$17:$G$22)*Kalender!C168/SUM(Kalender!$C$5:$C$370),0)+IFERROR(SUMIF(Nutzungsprofile!$B$17:$B$22,"Halle",Nutzungsprofile!$G$17:$G$22)*Kalender!D168/SUM(Kalender!$D$5:$D$370),0)+IFERROR(SUMIF(Nutzungsprofile!$B$17:$B$22,"Individuell",Nutzungsprofile!$G$17:$G$22)*Kalender!E168/SUM(Kalender!$E$5:$E$370),0))*Szenarien!$D$17,0)</f>
        <v>0.89</v>
      </c>
      <c r="E2364" s="13" t="n">
        <f aca="false">IFERROR(MIN(C2364,Eingaben!$B$17)*Eingaben!$B$16,0)</f>
        <v>1.938</v>
      </c>
      <c r="F2364" s="13" t="n">
        <f aca="false">IFERROR(E2364*Eingaben!$B$15,0)</f>
        <v>1.7442</v>
      </c>
      <c r="G2364" s="13" t="n">
        <f aca="false">IFERROR(IF(Kalender!A168="",0,J2363*(1-Eingaben!$B$20)),0)</f>
        <v>0.7390278</v>
      </c>
      <c r="H2364" s="13" t="n">
        <f aca="false">MIN(G2364,D2364)</f>
        <v>0.7390278</v>
      </c>
      <c r="I2364" s="13" t="n">
        <f aca="false">IFERROR(MIN(F2364*Eingaben!$B$19,MAX(0,D2364-H2364)),0)</f>
        <v>0.1509722</v>
      </c>
      <c r="J2364" s="13" t="n">
        <f aca="false">IFERROR(MIN(Eingaben!$B$18,MAX(0,F2364-I2364)),0)</f>
        <v>1.5932278</v>
      </c>
      <c r="K2364" s="13" t="n">
        <f aca="false">H2364+I2364</f>
        <v>0.89</v>
      </c>
      <c r="L2364" s="13" t="n">
        <f aca="false">MAX(0,D2364-K2364)</f>
        <v>0</v>
      </c>
      <c r="M2364" s="13" t="n">
        <f aca="false">MAX(0,F2364-I2364-J2364)</f>
        <v>0</v>
      </c>
      <c r="N2364" s="13" t="n">
        <f aca="false">IF(Kalender!A168="",0,J2363-H2364)</f>
        <v>0.0150822</v>
      </c>
    </row>
    <row r="2365" customFormat="false" ht="16.4" hidden="false" customHeight="false" outlineLevel="0" collapsed="false">
      <c r="A2365" s="13" t="str">
        <f aca="false">""</f>
        <v/>
      </c>
      <c r="B2365" s="13" t="n">
        <f aca="false">165</f>
        <v>165</v>
      </c>
      <c r="C2365" s="13" t="n">
        <f aca="false">IF(Szenarien!$H$17="OK",(IFERROR(SUMIF(Nutzungsprofile!$B$6:$B$11,"Schulbetrieb",Nutzungsprofile!$G$6:$G$11)*Kalender!C169/SUM(Kalender!$C$5:$C$370),0)+IFERROR(SUMIF(Nutzungsprofile!$B$6:$B$11,"Halle",Nutzungsprofile!$G$6:$G$11)*Kalender!D169/SUM(Kalender!$D$5:$D$370),0)+IFERROR(SUMIF(Nutzungsprofile!$B$6:$B$11,"Individuell",Nutzungsprofile!$G$6:$G$11)*Kalender!E169/SUM(Kalender!$E$5:$E$370),0))*Szenarien!$E$17,0)</f>
        <v>2.04</v>
      </c>
      <c r="D2365" s="13" t="n">
        <f aca="false">IF(Szenarien!$H$17="OK",(IFERROR(SUMIF(Nutzungsprofile!$B$17:$B$22,"Schulbetrieb",Nutzungsprofile!$G$17:$G$22)*Kalender!C169/SUM(Kalender!$C$5:$C$370),0)+IFERROR(SUMIF(Nutzungsprofile!$B$17:$B$22,"Halle",Nutzungsprofile!$G$17:$G$22)*Kalender!D169/SUM(Kalender!$D$5:$D$370),0)+IFERROR(SUMIF(Nutzungsprofile!$B$17:$B$22,"Individuell",Nutzungsprofile!$G$17:$G$22)*Kalender!E169/SUM(Kalender!$E$5:$E$370),0))*Szenarien!$D$17,0)</f>
        <v>0.89</v>
      </c>
      <c r="E2365" s="13" t="n">
        <f aca="false">IFERROR(MIN(C2365,Eingaben!$B$17)*Eingaben!$B$16,0)</f>
        <v>1.938</v>
      </c>
      <c r="F2365" s="13" t="n">
        <f aca="false">IFERROR(E2365*Eingaben!$B$15,0)</f>
        <v>1.7442</v>
      </c>
      <c r="G2365" s="13" t="n">
        <f aca="false">IFERROR(IF(Kalender!A169="",0,J2364*(1-Eingaben!$B$20)),0)</f>
        <v>1.561363244</v>
      </c>
      <c r="H2365" s="13" t="n">
        <f aca="false">MIN(G2365,D2365)</f>
        <v>0.89</v>
      </c>
      <c r="I2365" s="13" t="n">
        <f aca="false">IFERROR(MIN(F2365*Eingaben!$B$19,MAX(0,D2365-H2365)),0)</f>
        <v>0</v>
      </c>
      <c r="J2365" s="13" t="n">
        <f aca="false">IFERROR(MIN(Eingaben!$B$18,MAX(0,F2365-I2365)),0)</f>
        <v>1.7442</v>
      </c>
      <c r="K2365" s="13" t="n">
        <f aca="false">H2365+I2365</f>
        <v>0.89</v>
      </c>
      <c r="L2365" s="13" t="n">
        <f aca="false">MAX(0,D2365-K2365)</f>
        <v>0</v>
      </c>
      <c r="M2365" s="13" t="n">
        <f aca="false">MAX(0,F2365-I2365-J2365)</f>
        <v>0</v>
      </c>
      <c r="N2365" s="13" t="n">
        <f aca="false">IF(Kalender!A169="",0,J2364-H2365)</f>
        <v>0.7032278</v>
      </c>
    </row>
    <row r="2366" customFormat="false" ht="16.4" hidden="false" customHeight="false" outlineLevel="0" collapsed="false">
      <c r="A2366" s="13" t="str">
        <f aca="false">""</f>
        <v/>
      </c>
      <c r="B2366" s="13" t="n">
        <f aca="false">166</f>
        <v>166</v>
      </c>
      <c r="C2366" s="13" t="n">
        <f aca="false">IF(Szenarien!$H$17="OK",(IFERROR(SUMIF(Nutzungsprofile!$B$6:$B$11,"Schulbetrieb",Nutzungsprofile!$G$6:$G$11)*Kalender!C170/SUM(Kalender!$C$5:$C$370),0)+IFERROR(SUMIF(Nutzungsprofile!$B$6:$B$11,"Halle",Nutzungsprofile!$G$6:$G$11)*Kalender!D170/SUM(Kalender!$D$5:$D$370),0)+IFERROR(SUMIF(Nutzungsprofile!$B$6:$B$11,"Individuell",Nutzungsprofile!$G$6:$G$11)*Kalender!E170/SUM(Kalender!$E$5:$E$370),0))*Szenarien!$E$17,0)</f>
        <v>2.94</v>
      </c>
      <c r="D2366" s="13" t="n">
        <f aca="false">IF(Szenarien!$H$17="OK",(IFERROR(SUMIF(Nutzungsprofile!$B$17:$B$22,"Schulbetrieb",Nutzungsprofile!$G$17:$G$22)*Kalender!C170/SUM(Kalender!$C$5:$C$370),0)+IFERROR(SUMIF(Nutzungsprofile!$B$17:$B$22,"Halle",Nutzungsprofile!$G$17:$G$22)*Kalender!D170/SUM(Kalender!$D$5:$D$370),0)+IFERROR(SUMIF(Nutzungsprofile!$B$17:$B$22,"Individuell",Nutzungsprofile!$G$17:$G$22)*Kalender!E170/SUM(Kalender!$E$5:$E$370),0))*Szenarien!$D$17,0)</f>
        <v>4.94</v>
      </c>
      <c r="E2366" s="13" t="n">
        <f aca="false">IFERROR(MIN(C2366,Eingaben!$B$17)*Eingaben!$B$16,0)</f>
        <v>2.793</v>
      </c>
      <c r="F2366" s="13" t="n">
        <f aca="false">IFERROR(E2366*Eingaben!$B$15,0)</f>
        <v>2.5137</v>
      </c>
      <c r="G2366" s="13" t="n">
        <f aca="false">IFERROR(IF(Kalender!A170="",0,J2365*(1-Eingaben!$B$20)),0)</f>
        <v>1.709316</v>
      </c>
      <c r="H2366" s="13" t="n">
        <f aca="false">MIN(G2366,D2366)</f>
        <v>1.709316</v>
      </c>
      <c r="I2366" s="13" t="n">
        <f aca="false">IFERROR(MIN(F2366*Eingaben!$B$19,MAX(0,D2366-H2366)),0)</f>
        <v>1.75959</v>
      </c>
      <c r="J2366" s="13" t="n">
        <f aca="false">IFERROR(MIN(Eingaben!$B$18,MAX(0,F2366-I2366)),0)</f>
        <v>0.75411</v>
      </c>
      <c r="K2366" s="13" t="n">
        <f aca="false">H2366+I2366</f>
        <v>3.468906</v>
      </c>
      <c r="L2366" s="13" t="n">
        <f aca="false">MAX(0,D2366-K2366)</f>
        <v>1.471094</v>
      </c>
      <c r="M2366" s="13" t="n">
        <f aca="false">MAX(0,F2366-I2366-J2366)</f>
        <v>0</v>
      </c>
      <c r="N2366" s="13" t="n">
        <f aca="false">IF(Kalender!A170="",0,J2365-H2366)</f>
        <v>0.0348840000000001</v>
      </c>
    </row>
    <row r="2367" customFormat="false" ht="16.4" hidden="false" customHeight="false" outlineLevel="0" collapsed="false">
      <c r="A2367" s="13" t="str">
        <f aca="false">""</f>
        <v/>
      </c>
      <c r="B2367" s="13" t="n">
        <f aca="false">167</f>
        <v>167</v>
      </c>
      <c r="C2367" s="13" t="n">
        <f aca="false">IF(Szenarien!$H$17="OK",(IFERROR(SUMIF(Nutzungsprofile!$B$6:$B$11,"Schulbetrieb",Nutzungsprofile!$G$6:$G$11)*Kalender!C171/SUM(Kalender!$C$5:$C$370),0)+IFERROR(SUMIF(Nutzungsprofile!$B$6:$B$11,"Halle",Nutzungsprofile!$G$6:$G$11)*Kalender!D171/SUM(Kalender!$D$5:$D$370),0)+IFERROR(SUMIF(Nutzungsprofile!$B$6:$B$11,"Individuell",Nutzungsprofile!$G$6:$G$11)*Kalender!E171/SUM(Kalender!$E$5:$E$370),0))*Szenarien!$E$17,0)</f>
        <v>2.94</v>
      </c>
      <c r="D2367" s="13" t="n">
        <f aca="false">IF(Szenarien!$H$17="OK",(IFERROR(SUMIF(Nutzungsprofile!$B$17:$B$22,"Schulbetrieb",Nutzungsprofile!$G$17:$G$22)*Kalender!C171/SUM(Kalender!$C$5:$C$370),0)+IFERROR(SUMIF(Nutzungsprofile!$B$17:$B$22,"Halle",Nutzungsprofile!$G$17:$G$22)*Kalender!D171/SUM(Kalender!$D$5:$D$370),0)+IFERROR(SUMIF(Nutzungsprofile!$B$17:$B$22,"Individuell",Nutzungsprofile!$G$17:$G$22)*Kalender!E171/SUM(Kalender!$E$5:$E$370),0))*Szenarien!$D$17,0)</f>
        <v>4.94</v>
      </c>
      <c r="E2367" s="13" t="n">
        <f aca="false">IFERROR(MIN(C2367,Eingaben!$B$17)*Eingaben!$B$16,0)</f>
        <v>2.793</v>
      </c>
      <c r="F2367" s="13" t="n">
        <f aca="false">IFERROR(E2367*Eingaben!$B$15,0)</f>
        <v>2.5137</v>
      </c>
      <c r="G2367" s="13" t="n">
        <f aca="false">IFERROR(IF(Kalender!A171="",0,J2366*(1-Eingaben!$B$20)),0)</f>
        <v>0.7390278</v>
      </c>
      <c r="H2367" s="13" t="n">
        <f aca="false">MIN(G2367,D2367)</f>
        <v>0.7390278</v>
      </c>
      <c r="I2367" s="13" t="n">
        <f aca="false">IFERROR(MIN(F2367*Eingaben!$B$19,MAX(0,D2367-H2367)),0)</f>
        <v>1.75959</v>
      </c>
      <c r="J2367" s="13" t="n">
        <f aca="false">IFERROR(MIN(Eingaben!$B$18,MAX(0,F2367-I2367)),0)</f>
        <v>0.75411</v>
      </c>
      <c r="K2367" s="13" t="n">
        <f aca="false">H2367+I2367</f>
        <v>2.4986178</v>
      </c>
      <c r="L2367" s="13" t="n">
        <f aca="false">MAX(0,D2367-K2367)</f>
        <v>2.4413822</v>
      </c>
      <c r="M2367" s="13" t="n">
        <f aca="false">MAX(0,F2367-I2367-J2367)</f>
        <v>0</v>
      </c>
      <c r="N2367" s="13" t="n">
        <f aca="false">IF(Kalender!A171="",0,J2366-H2367)</f>
        <v>0.0150822</v>
      </c>
    </row>
    <row r="2368" customFormat="false" ht="16.4" hidden="false" customHeight="false" outlineLevel="0" collapsed="false">
      <c r="A2368" s="13" t="str">
        <f aca="false">""</f>
        <v/>
      </c>
      <c r="B2368" s="13" t="n">
        <f aca="false">168</f>
        <v>168</v>
      </c>
      <c r="C2368" s="13" t="n">
        <f aca="false">IF(Szenarien!$H$17="OK",(IFERROR(SUMIF(Nutzungsprofile!$B$6:$B$11,"Schulbetrieb",Nutzungsprofile!$G$6:$G$11)*Kalender!C172/SUM(Kalender!$C$5:$C$370),0)+IFERROR(SUMIF(Nutzungsprofile!$B$6:$B$11,"Halle",Nutzungsprofile!$G$6:$G$11)*Kalender!D172/SUM(Kalender!$D$5:$D$370),0)+IFERROR(SUMIF(Nutzungsprofile!$B$6:$B$11,"Individuell",Nutzungsprofile!$G$6:$G$11)*Kalender!E172/SUM(Kalender!$E$5:$E$370),0))*Szenarien!$E$17,0)</f>
        <v>2.94</v>
      </c>
      <c r="D2368" s="13" t="n">
        <f aca="false">IF(Szenarien!$H$17="OK",(IFERROR(SUMIF(Nutzungsprofile!$B$17:$B$22,"Schulbetrieb",Nutzungsprofile!$G$17:$G$22)*Kalender!C172/SUM(Kalender!$C$5:$C$370),0)+IFERROR(SUMIF(Nutzungsprofile!$B$17:$B$22,"Halle",Nutzungsprofile!$G$17:$G$22)*Kalender!D172/SUM(Kalender!$D$5:$D$370),0)+IFERROR(SUMIF(Nutzungsprofile!$B$17:$B$22,"Individuell",Nutzungsprofile!$G$17:$G$22)*Kalender!E172/SUM(Kalender!$E$5:$E$370),0))*Szenarien!$D$17,0)</f>
        <v>4.94</v>
      </c>
      <c r="E2368" s="13" t="n">
        <f aca="false">IFERROR(MIN(C2368,Eingaben!$B$17)*Eingaben!$B$16,0)</f>
        <v>2.793</v>
      </c>
      <c r="F2368" s="13" t="n">
        <f aca="false">IFERROR(E2368*Eingaben!$B$15,0)</f>
        <v>2.5137</v>
      </c>
      <c r="G2368" s="13" t="n">
        <f aca="false">IFERROR(IF(Kalender!A172="",0,J2367*(1-Eingaben!$B$20)),0)</f>
        <v>0.7390278</v>
      </c>
      <c r="H2368" s="13" t="n">
        <f aca="false">MIN(G2368,D2368)</f>
        <v>0.7390278</v>
      </c>
      <c r="I2368" s="13" t="n">
        <f aca="false">IFERROR(MIN(F2368*Eingaben!$B$19,MAX(0,D2368-H2368)),0)</f>
        <v>1.75959</v>
      </c>
      <c r="J2368" s="13" t="n">
        <f aca="false">IFERROR(MIN(Eingaben!$B$18,MAX(0,F2368-I2368)),0)</f>
        <v>0.75411</v>
      </c>
      <c r="K2368" s="13" t="n">
        <f aca="false">H2368+I2368</f>
        <v>2.4986178</v>
      </c>
      <c r="L2368" s="13" t="n">
        <f aca="false">MAX(0,D2368-K2368)</f>
        <v>2.4413822</v>
      </c>
      <c r="M2368" s="13" t="n">
        <f aca="false">MAX(0,F2368-I2368-J2368)</f>
        <v>0</v>
      </c>
      <c r="N2368" s="13" t="n">
        <f aca="false">IF(Kalender!A172="",0,J2367-H2368)</f>
        <v>0.0150822</v>
      </c>
    </row>
    <row r="2369" customFormat="false" ht="16.4" hidden="false" customHeight="false" outlineLevel="0" collapsed="false">
      <c r="A2369" s="13" t="str">
        <f aca="false">""</f>
        <v/>
      </c>
      <c r="B2369" s="13" t="n">
        <f aca="false">169</f>
        <v>169</v>
      </c>
      <c r="C2369" s="13" t="n">
        <f aca="false">IF(Szenarien!$H$17="OK",(IFERROR(SUMIF(Nutzungsprofile!$B$6:$B$11,"Schulbetrieb",Nutzungsprofile!$G$6:$G$11)*Kalender!C173/SUM(Kalender!$C$5:$C$370),0)+IFERROR(SUMIF(Nutzungsprofile!$B$6:$B$11,"Halle",Nutzungsprofile!$G$6:$G$11)*Kalender!D173/SUM(Kalender!$D$5:$D$370),0)+IFERROR(SUMIF(Nutzungsprofile!$B$6:$B$11,"Individuell",Nutzungsprofile!$G$6:$G$11)*Kalender!E173/SUM(Kalender!$E$5:$E$370),0))*Szenarien!$E$17,0)</f>
        <v>2.94</v>
      </c>
      <c r="D2369" s="13" t="n">
        <f aca="false">IF(Szenarien!$H$17="OK",(IFERROR(SUMIF(Nutzungsprofile!$B$17:$B$22,"Schulbetrieb",Nutzungsprofile!$G$17:$G$22)*Kalender!C173/SUM(Kalender!$C$5:$C$370),0)+IFERROR(SUMIF(Nutzungsprofile!$B$17:$B$22,"Halle",Nutzungsprofile!$G$17:$G$22)*Kalender!D173/SUM(Kalender!$D$5:$D$370),0)+IFERROR(SUMIF(Nutzungsprofile!$B$17:$B$22,"Individuell",Nutzungsprofile!$G$17:$G$22)*Kalender!E173/SUM(Kalender!$E$5:$E$370),0))*Szenarien!$D$17,0)</f>
        <v>4.94</v>
      </c>
      <c r="E2369" s="13" t="n">
        <f aca="false">IFERROR(MIN(C2369,Eingaben!$B$17)*Eingaben!$B$16,0)</f>
        <v>2.793</v>
      </c>
      <c r="F2369" s="13" t="n">
        <f aca="false">IFERROR(E2369*Eingaben!$B$15,0)</f>
        <v>2.5137</v>
      </c>
      <c r="G2369" s="13" t="n">
        <f aca="false">IFERROR(IF(Kalender!A173="",0,J2368*(1-Eingaben!$B$20)),0)</f>
        <v>0.7390278</v>
      </c>
      <c r="H2369" s="13" t="n">
        <f aca="false">MIN(G2369,D2369)</f>
        <v>0.7390278</v>
      </c>
      <c r="I2369" s="13" t="n">
        <f aca="false">IFERROR(MIN(F2369*Eingaben!$B$19,MAX(0,D2369-H2369)),0)</f>
        <v>1.75959</v>
      </c>
      <c r="J2369" s="13" t="n">
        <f aca="false">IFERROR(MIN(Eingaben!$B$18,MAX(0,F2369-I2369)),0)</f>
        <v>0.75411</v>
      </c>
      <c r="K2369" s="13" t="n">
        <f aca="false">H2369+I2369</f>
        <v>2.4986178</v>
      </c>
      <c r="L2369" s="13" t="n">
        <f aca="false">MAX(0,D2369-K2369)</f>
        <v>2.4413822</v>
      </c>
      <c r="M2369" s="13" t="n">
        <f aca="false">MAX(0,F2369-I2369-J2369)</f>
        <v>0</v>
      </c>
      <c r="N2369" s="13" t="n">
        <f aca="false">IF(Kalender!A173="",0,J2368-H2369)</f>
        <v>0.0150822</v>
      </c>
    </row>
    <row r="2370" customFormat="false" ht="16.4" hidden="false" customHeight="false" outlineLevel="0" collapsed="false">
      <c r="A2370" s="13" t="str">
        <f aca="false">""</f>
        <v/>
      </c>
      <c r="B2370" s="13" t="n">
        <f aca="false">170</f>
        <v>170</v>
      </c>
      <c r="C2370" s="13" t="n">
        <f aca="false">IF(Szenarien!$H$17="OK",(IFERROR(SUMIF(Nutzungsprofile!$B$6:$B$11,"Schulbetrieb",Nutzungsprofile!$G$6:$G$11)*Kalender!C174/SUM(Kalender!$C$5:$C$370),0)+IFERROR(SUMIF(Nutzungsprofile!$B$6:$B$11,"Halle",Nutzungsprofile!$G$6:$G$11)*Kalender!D174/SUM(Kalender!$D$5:$D$370),0)+IFERROR(SUMIF(Nutzungsprofile!$B$6:$B$11,"Individuell",Nutzungsprofile!$G$6:$G$11)*Kalender!E174/SUM(Kalender!$E$5:$E$370),0))*Szenarien!$E$17,0)</f>
        <v>2.94</v>
      </c>
      <c r="D2370" s="13" t="n">
        <f aca="false">IF(Szenarien!$H$17="OK",(IFERROR(SUMIF(Nutzungsprofile!$B$17:$B$22,"Schulbetrieb",Nutzungsprofile!$G$17:$G$22)*Kalender!C174/SUM(Kalender!$C$5:$C$370),0)+IFERROR(SUMIF(Nutzungsprofile!$B$17:$B$22,"Halle",Nutzungsprofile!$G$17:$G$22)*Kalender!D174/SUM(Kalender!$D$5:$D$370),0)+IFERROR(SUMIF(Nutzungsprofile!$B$17:$B$22,"Individuell",Nutzungsprofile!$G$17:$G$22)*Kalender!E174/SUM(Kalender!$E$5:$E$370),0))*Szenarien!$D$17,0)</f>
        <v>4.94</v>
      </c>
      <c r="E2370" s="13" t="n">
        <f aca="false">IFERROR(MIN(C2370,Eingaben!$B$17)*Eingaben!$B$16,0)</f>
        <v>2.793</v>
      </c>
      <c r="F2370" s="13" t="n">
        <f aca="false">IFERROR(E2370*Eingaben!$B$15,0)</f>
        <v>2.5137</v>
      </c>
      <c r="G2370" s="13" t="n">
        <f aca="false">IFERROR(IF(Kalender!A174="",0,J2369*(1-Eingaben!$B$20)),0)</f>
        <v>0.7390278</v>
      </c>
      <c r="H2370" s="13" t="n">
        <f aca="false">MIN(G2370,D2370)</f>
        <v>0.7390278</v>
      </c>
      <c r="I2370" s="13" t="n">
        <f aca="false">IFERROR(MIN(F2370*Eingaben!$B$19,MAX(0,D2370-H2370)),0)</f>
        <v>1.75959</v>
      </c>
      <c r="J2370" s="13" t="n">
        <f aca="false">IFERROR(MIN(Eingaben!$B$18,MAX(0,F2370-I2370)),0)</f>
        <v>0.75411</v>
      </c>
      <c r="K2370" s="13" t="n">
        <f aca="false">H2370+I2370</f>
        <v>2.4986178</v>
      </c>
      <c r="L2370" s="13" t="n">
        <f aca="false">MAX(0,D2370-K2370)</f>
        <v>2.4413822</v>
      </c>
      <c r="M2370" s="13" t="n">
        <f aca="false">MAX(0,F2370-I2370-J2370)</f>
        <v>0</v>
      </c>
      <c r="N2370" s="13" t="n">
        <f aca="false">IF(Kalender!A174="",0,J2369-H2370)</f>
        <v>0.0150822</v>
      </c>
    </row>
    <row r="2371" customFormat="false" ht="16.4" hidden="false" customHeight="false" outlineLevel="0" collapsed="false">
      <c r="A2371" s="13" t="str">
        <f aca="false">""</f>
        <v/>
      </c>
      <c r="B2371" s="13" t="n">
        <f aca="false">171</f>
        <v>171</v>
      </c>
      <c r="C2371" s="13" t="n">
        <f aca="false">IF(Szenarien!$H$17="OK",(IFERROR(SUMIF(Nutzungsprofile!$B$6:$B$11,"Schulbetrieb",Nutzungsprofile!$G$6:$G$11)*Kalender!C175/SUM(Kalender!$C$5:$C$370),0)+IFERROR(SUMIF(Nutzungsprofile!$B$6:$B$11,"Halle",Nutzungsprofile!$G$6:$G$11)*Kalender!D175/SUM(Kalender!$D$5:$D$370),0)+IFERROR(SUMIF(Nutzungsprofile!$B$6:$B$11,"Individuell",Nutzungsprofile!$G$6:$G$11)*Kalender!E175/SUM(Kalender!$E$5:$E$370),0))*Szenarien!$E$17,0)</f>
        <v>2.04</v>
      </c>
      <c r="D2371" s="13" t="n">
        <f aca="false">IF(Szenarien!$H$17="OK",(IFERROR(SUMIF(Nutzungsprofile!$B$17:$B$22,"Schulbetrieb",Nutzungsprofile!$G$17:$G$22)*Kalender!C175/SUM(Kalender!$C$5:$C$370),0)+IFERROR(SUMIF(Nutzungsprofile!$B$17:$B$22,"Halle",Nutzungsprofile!$G$17:$G$22)*Kalender!D175/SUM(Kalender!$D$5:$D$370),0)+IFERROR(SUMIF(Nutzungsprofile!$B$17:$B$22,"Individuell",Nutzungsprofile!$G$17:$G$22)*Kalender!E175/SUM(Kalender!$E$5:$E$370),0))*Szenarien!$D$17,0)</f>
        <v>0.89</v>
      </c>
      <c r="E2371" s="13" t="n">
        <f aca="false">IFERROR(MIN(C2371,Eingaben!$B$17)*Eingaben!$B$16,0)</f>
        <v>1.938</v>
      </c>
      <c r="F2371" s="13" t="n">
        <f aca="false">IFERROR(E2371*Eingaben!$B$15,0)</f>
        <v>1.7442</v>
      </c>
      <c r="G2371" s="13" t="n">
        <f aca="false">IFERROR(IF(Kalender!A175="",0,J2370*(1-Eingaben!$B$20)),0)</f>
        <v>0.7390278</v>
      </c>
      <c r="H2371" s="13" t="n">
        <f aca="false">MIN(G2371,D2371)</f>
        <v>0.7390278</v>
      </c>
      <c r="I2371" s="13" t="n">
        <f aca="false">IFERROR(MIN(F2371*Eingaben!$B$19,MAX(0,D2371-H2371)),0)</f>
        <v>0.1509722</v>
      </c>
      <c r="J2371" s="13" t="n">
        <f aca="false">IFERROR(MIN(Eingaben!$B$18,MAX(0,F2371-I2371)),0)</f>
        <v>1.5932278</v>
      </c>
      <c r="K2371" s="13" t="n">
        <f aca="false">H2371+I2371</f>
        <v>0.89</v>
      </c>
      <c r="L2371" s="13" t="n">
        <f aca="false">MAX(0,D2371-K2371)</f>
        <v>0</v>
      </c>
      <c r="M2371" s="13" t="n">
        <f aca="false">MAX(0,F2371-I2371-J2371)</f>
        <v>0</v>
      </c>
      <c r="N2371" s="13" t="n">
        <f aca="false">IF(Kalender!A175="",0,J2370-H2371)</f>
        <v>0.0150822</v>
      </c>
    </row>
    <row r="2372" customFormat="false" ht="16.4" hidden="false" customHeight="false" outlineLevel="0" collapsed="false">
      <c r="A2372" s="13" t="str">
        <f aca="false">""</f>
        <v/>
      </c>
      <c r="B2372" s="13" t="n">
        <f aca="false">172</f>
        <v>172</v>
      </c>
      <c r="C2372" s="13" t="n">
        <f aca="false">IF(Szenarien!$H$17="OK",(IFERROR(SUMIF(Nutzungsprofile!$B$6:$B$11,"Schulbetrieb",Nutzungsprofile!$G$6:$G$11)*Kalender!C176/SUM(Kalender!$C$5:$C$370),0)+IFERROR(SUMIF(Nutzungsprofile!$B$6:$B$11,"Halle",Nutzungsprofile!$G$6:$G$11)*Kalender!D176/SUM(Kalender!$D$5:$D$370),0)+IFERROR(SUMIF(Nutzungsprofile!$B$6:$B$11,"Individuell",Nutzungsprofile!$G$6:$G$11)*Kalender!E176/SUM(Kalender!$E$5:$E$370),0))*Szenarien!$E$17,0)</f>
        <v>2.04</v>
      </c>
      <c r="D2372" s="13" t="n">
        <f aca="false">IF(Szenarien!$H$17="OK",(IFERROR(SUMIF(Nutzungsprofile!$B$17:$B$22,"Schulbetrieb",Nutzungsprofile!$G$17:$G$22)*Kalender!C176/SUM(Kalender!$C$5:$C$370),0)+IFERROR(SUMIF(Nutzungsprofile!$B$17:$B$22,"Halle",Nutzungsprofile!$G$17:$G$22)*Kalender!D176/SUM(Kalender!$D$5:$D$370),0)+IFERROR(SUMIF(Nutzungsprofile!$B$17:$B$22,"Individuell",Nutzungsprofile!$G$17:$G$22)*Kalender!E176/SUM(Kalender!$E$5:$E$370),0))*Szenarien!$D$17,0)</f>
        <v>0.89</v>
      </c>
      <c r="E2372" s="13" t="n">
        <f aca="false">IFERROR(MIN(C2372,Eingaben!$B$17)*Eingaben!$B$16,0)</f>
        <v>1.938</v>
      </c>
      <c r="F2372" s="13" t="n">
        <f aca="false">IFERROR(E2372*Eingaben!$B$15,0)</f>
        <v>1.7442</v>
      </c>
      <c r="G2372" s="13" t="n">
        <f aca="false">IFERROR(IF(Kalender!A176="",0,J2371*(1-Eingaben!$B$20)),0)</f>
        <v>1.561363244</v>
      </c>
      <c r="H2372" s="13" t="n">
        <f aca="false">MIN(G2372,D2372)</f>
        <v>0.89</v>
      </c>
      <c r="I2372" s="13" t="n">
        <f aca="false">IFERROR(MIN(F2372*Eingaben!$B$19,MAX(0,D2372-H2372)),0)</f>
        <v>0</v>
      </c>
      <c r="J2372" s="13" t="n">
        <f aca="false">IFERROR(MIN(Eingaben!$B$18,MAX(0,F2372-I2372)),0)</f>
        <v>1.7442</v>
      </c>
      <c r="K2372" s="13" t="n">
        <f aca="false">H2372+I2372</f>
        <v>0.89</v>
      </c>
      <c r="L2372" s="13" t="n">
        <f aca="false">MAX(0,D2372-K2372)</f>
        <v>0</v>
      </c>
      <c r="M2372" s="13" t="n">
        <f aca="false">MAX(0,F2372-I2372-J2372)</f>
        <v>0</v>
      </c>
      <c r="N2372" s="13" t="n">
        <f aca="false">IF(Kalender!A176="",0,J2371-H2372)</f>
        <v>0.7032278</v>
      </c>
    </row>
    <row r="2373" customFormat="false" ht="16.4" hidden="false" customHeight="false" outlineLevel="0" collapsed="false">
      <c r="A2373" s="13" t="str">
        <f aca="false">""</f>
        <v/>
      </c>
      <c r="B2373" s="13" t="n">
        <f aca="false">173</f>
        <v>173</v>
      </c>
      <c r="C2373" s="13" t="n">
        <f aca="false">IF(Szenarien!$H$17="OK",(IFERROR(SUMIF(Nutzungsprofile!$B$6:$B$11,"Schulbetrieb",Nutzungsprofile!$G$6:$G$11)*Kalender!C177/SUM(Kalender!$C$5:$C$370),0)+IFERROR(SUMIF(Nutzungsprofile!$B$6:$B$11,"Halle",Nutzungsprofile!$G$6:$G$11)*Kalender!D177/SUM(Kalender!$D$5:$D$370),0)+IFERROR(SUMIF(Nutzungsprofile!$B$6:$B$11,"Individuell",Nutzungsprofile!$G$6:$G$11)*Kalender!E177/SUM(Kalender!$E$5:$E$370),0))*Szenarien!$E$17,0)</f>
        <v>2.94</v>
      </c>
      <c r="D2373" s="13" t="n">
        <f aca="false">IF(Szenarien!$H$17="OK",(IFERROR(SUMIF(Nutzungsprofile!$B$17:$B$22,"Schulbetrieb",Nutzungsprofile!$G$17:$G$22)*Kalender!C177/SUM(Kalender!$C$5:$C$370),0)+IFERROR(SUMIF(Nutzungsprofile!$B$17:$B$22,"Halle",Nutzungsprofile!$G$17:$G$22)*Kalender!D177/SUM(Kalender!$D$5:$D$370),0)+IFERROR(SUMIF(Nutzungsprofile!$B$17:$B$22,"Individuell",Nutzungsprofile!$G$17:$G$22)*Kalender!E177/SUM(Kalender!$E$5:$E$370),0))*Szenarien!$D$17,0)</f>
        <v>4.94</v>
      </c>
      <c r="E2373" s="13" t="n">
        <f aca="false">IFERROR(MIN(C2373,Eingaben!$B$17)*Eingaben!$B$16,0)</f>
        <v>2.793</v>
      </c>
      <c r="F2373" s="13" t="n">
        <f aca="false">IFERROR(E2373*Eingaben!$B$15,0)</f>
        <v>2.5137</v>
      </c>
      <c r="G2373" s="13" t="n">
        <f aca="false">IFERROR(IF(Kalender!A177="",0,J2372*(1-Eingaben!$B$20)),0)</f>
        <v>1.709316</v>
      </c>
      <c r="H2373" s="13" t="n">
        <f aca="false">MIN(G2373,D2373)</f>
        <v>1.709316</v>
      </c>
      <c r="I2373" s="13" t="n">
        <f aca="false">IFERROR(MIN(F2373*Eingaben!$B$19,MAX(0,D2373-H2373)),0)</f>
        <v>1.75959</v>
      </c>
      <c r="J2373" s="13" t="n">
        <f aca="false">IFERROR(MIN(Eingaben!$B$18,MAX(0,F2373-I2373)),0)</f>
        <v>0.75411</v>
      </c>
      <c r="K2373" s="13" t="n">
        <f aca="false">H2373+I2373</f>
        <v>3.468906</v>
      </c>
      <c r="L2373" s="13" t="n">
        <f aca="false">MAX(0,D2373-K2373)</f>
        <v>1.471094</v>
      </c>
      <c r="M2373" s="13" t="n">
        <f aca="false">MAX(0,F2373-I2373-J2373)</f>
        <v>0</v>
      </c>
      <c r="N2373" s="13" t="n">
        <f aca="false">IF(Kalender!A177="",0,J2372-H2373)</f>
        <v>0.0348840000000001</v>
      </c>
    </row>
    <row r="2374" customFormat="false" ht="16.4" hidden="false" customHeight="false" outlineLevel="0" collapsed="false">
      <c r="A2374" s="13" t="str">
        <f aca="false">""</f>
        <v/>
      </c>
      <c r="B2374" s="13" t="n">
        <f aca="false">174</f>
        <v>174</v>
      </c>
      <c r="C2374" s="13" t="n">
        <f aca="false">IF(Szenarien!$H$17="OK",(IFERROR(SUMIF(Nutzungsprofile!$B$6:$B$11,"Schulbetrieb",Nutzungsprofile!$G$6:$G$11)*Kalender!C178/SUM(Kalender!$C$5:$C$370),0)+IFERROR(SUMIF(Nutzungsprofile!$B$6:$B$11,"Halle",Nutzungsprofile!$G$6:$G$11)*Kalender!D178/SUM(Kalender!$D$5:$D$370),0)+IFERROR(SUMIF(Nutzungsprofile!$B$6:$B$11,"Individuell",Nutzungsprofile!$G$6:$G$11)*Kalender!E178/SUM(Kalender!$E$5:$E$370),0))*Szenarien!$E$17,0)</f>
        <v>2.94</v>
      </c>
      <c r="D2374" s="13" t="n">
        <f aca="false">IF(Szenarien!$H$17="OK",(IFERROR(SUMIF(Nutzungsprofile!$B$17:$B$22,"Schulbetrieb",Nutzungsprofile!$G$17:$G$22)*Kalender!C178/SUM(Kalender!$C$5:$C$370),0)+IFERROR(SUMIF(Nutzungsprofile!$B$17:$B$22,"Halle",Nutzungsprofile!$G$17:$G$22)*Kalender!D178/SUM(Kalender!$D$5:$D$370),0)+IFERROR(SUMIF(Nutzungsprofile!$B$17:$B$22,"Individuell",Nutzungsprofile!$G$17:$G$22)*Kalender!E178/SUM(Kalender!$E$5:$E$370),0))*Szenarien!$D$17,0)</f>
        <v>4.94</v>
      </c>
      <c r="E2374" s="13" t="n">
        <f aca="false">IFERROR(MIN(C2374,Eingaben!$B$17)*Eingaben!$B$16,0)</f>
        <v>2.793</v>
      </c>
      <c r="F2374" s="13" t="n">
        <f aca="false">IFERROR(E2374*Eingaben!$B$15,0)</f>
        <v>2.5137</v>
      </c>
      <c r="G2374" s="13" t="n">
        <f aca="false">IFERROR(IF(Kalender!A178="",0,J2373*(1-Eingaben!$B$20)),0)</f>
        <v>0.7390278</v>
      </c>
      <c r="H2374" s="13" t="n">
        <f aca="false">MIN(G2374,D2374)</f>
        <v>0.7390278</v>
      </c>
      <c r="I2374" s="13" t="n">
        <f aca="false">IFERROR(MIN(F2374*Eingaben!$B$19,MAX(0,D2374-H2374)),0)</f>
        <v>1.75959</v>
      </c>
      <c r="J2374" s="13" t="n">
        <f aca="false">IFERROR(MIN(Eingaben!$B$18,MAX(0,F2374-I2374)),0)</f>
        <v>0.75411</v>
      </c>
      <c r="K2374" s="13" t="n">
        <f aca="false">H2374+I2374</f>
        <v>2.4986178</v>
      </c>
      <c r="L2374" s="13" t="n">
        <f aca="false">MAX(0,D2374-K2374)</f>
        <v>2.4413822</v>
      </c>
      <c r="M2374" s="13" t="n">
        <f aca="false">MAX(0,F2374-I2374-J2374)</f>
        <v>0</v>
      </c>
      <c r="N2374" s="13" t="n">
        <f aca="false">IF(Kalender!A178="",0,J2373-H2374)</f>
        <v>0.0150822</v>
      </c>
    </row>
    <row r="2375" customFormat="false" ht="16.4" hidden="false" customHeight="false" outlineLevel="0" collapsed="false">
      <c r="A2375" s="13" t="str">
        <f aca="false">""</f>
        <v/>
      </c>
      <c r="B2375" s="13" t="n">
        <f aca="false">175</f>
        <v>175</v>
      </c>
      <c r="C2375" s="13" t="n">
        <f aca="false">IF(Szenarien!$H$17="OK",(IFERROR(SUMIF(Nutzungsprofile!$B$6:$B$11,"Schulbetrieb",Nutzungsprofile!$G$6:$G$11)*Kalender!C179/SUM(Kalender!$C$5:$C$370),0)+IFERROR(SUMIF(Nutzungsprofile!$B$6:$B$11,"Halle",Nutzungsprofile!$G$6:$G$11)*Kalender!D179/SUM(Kalender!$D$5:$D$370),0)+IFERROR(SUMIF(Nutzungsprofile!$B$6:$B$11,"Individuell",Nutzungsprofile!$G$6:$G$11)*Kalender!E179/SUM(Kalender!$E$5:$E$370),0))*Szenarien!$E$17,0)</f>
        <v>2.94</v>
      </c>
      <c r="D2375" s="13" t="n">
        <f aca="false">IF(Szenarien!$H$17="OK",(IFERROR(SUMIF(Nutzungsprofile!$B$17:$B$22,"Schulbetrieb",Nutzungsprofile!$G$17:$G$22)*Kalender!C179/SUM(Kalender!$C$5:$C$370),0)+IFERROR(SUMIF(Nutzungsprofile!$B$17:$B$22,"Halle",Nutzungsprofile!$G$17:$G$22)*Kalender!D179/SUM(Kalender!$D$5:$D$370),0)+IFERROR(SUMIF(Nutzungsprofile!$B$17:$B$22,"Individuell",Nutzungsprofile!$G$17:$G$22)*Kalender!E179/SUM(Kalender!$E$5:$E$370),0))*Szenarien!$D$17,0)</f>
        <v>4.94</v>
      </c>
      <c r="E2375" s="13" t="n">
        <f aca="false">IFERROR(MIN(C2375,Eingaben!$B$17)*Eingaben!$B$16,0)</f>
        <v>2.793</v>
      </c>
      <c r="F2375" s="13" t="n">
        <f aca="false">IFERROR(E2375*Eingaben!$B$15,0)</f>
        <v>2.5137</v>
      </c>
      <c r="G2375" s="13" t="n">
        <f aca="false">IFERROR(IF(Kalender!A179="",0,J2374*(1-Eingaben!$B$20)),0)</f>
        <v>0.7390278</v>
      </c>
      <c r="H2375" s="13" t="n">
        <f aca="false">MIN(G2375,D2375)</f>
        <v>0.7390278</v>
      </c>
      <c r="I2375" s="13" t="n">
        <f aca="false">IFERROR(MIN(F2375*Eingaben!$B$19,MAX(0,D2375-H2375)),0)</f>
        <v>1.75959</v>
      </c>
      <c r="J2375" s="13" t="n">
        <f aca="false">IFERROR(MIN(Eingaben!$B$18,MAX(0,F2375-I2375)),0)</f>
        <v>0.75411</v>
      </c>
      <c r="K2375" s="13" t="n">
        <f aca="false">H2375+I2375</f>
        <v>2.4986178</v>
      </c>
      <c r="L2375" s="13" t="n">
        <f aca="false">MAX(0,D2375-K2375)</f>
        <v>2.4413822</v>
      </c>
      <c r="M2375" s="13" t="n">
        <f aca="false">MAX(0,F2375-I2375-J2375)</f>
        <v>0</v>
      </c>
      <c r="N2375" s="13" t="n">
        <f aca="false">IF(Kalender!A179="",0,J2374-H2375)</f>
        <v>0.0150822</v>
      </c>
    </row>
    <row r="2376" customFormat="false" ht="16.4" hidden="false" customHeight="false" outlineLevel="0" collapsed="false">
      <c r="A2376" s="13" t="str">
        <f aca="false">""</f>
        <v/>
      </c>
      <c r="B2376" s="13" t="n">
        <f aca="false">176</f>
        <v>176</v>
      </c>
      <c r="C2376" s="13" t="n">
        <f aca="false">IF(Szenarien!$H$17="OK",(IFERROR(SUMIF(Nutzungsprofile!$B$6:$B$11,"Schulbetrieb",Nutzungsprofile!$G$6:$G$11)*Kalender!C180/SUM(Kalender!$C$5:$C$370),0)+IFERROR(SUMIF(Nutzungsprofile!$B$6:$B$11,"Halle",Nutzungsprofile!$G$6:$G$11)*Kalender!D180/SUM(Kalender!$D$5:$D$370),0)+IFERROR(SUMIF(Nutzungsprofile!$B$6:$B$11,"Individuell",Nutzungsprofile!$G$6:$G$11)*Kalender!E180/SUM(Kalender!$E$5:$E$370),0))*Szenarien!$E$17,0)</f>
        <v>2.94</v>
      </c>
      <c r="D2376" s="13" t="n">
        <f aca="false">IF(Szenarien!$H$17="OK",(IFERROR(SUMIF(Nutzungsprofile!$B$17:$B$22,"Schulbetrieb",Nutzungsprofile!$G$17:$G$22)*Kalender!C180/SUM(Kalender!$C$5:$C$370),0)+IFERROR(SUMIF(Nutzungsprofile!$B$17:$B$22,"Halle",Nutzungsprofile!$G$17:$G$22)*Kalender!D180/SUM(Kalender!$D$5:$D$370),0)+IFERROR(SUMIF(Nutzungsprofile!$B$17:$B$22,"Individuell",Nutzungsprofile!$G$17:$G$22)*Kalender!E180/SUM(Kalender!$E$5:$E$370),0))*Szenarien!$D$17,0)</f>
        <v>4.94</v>
      </c>
      <c r="E2376" s="13" t="n">
        <f aca="false">IFERROR(MIN(C2376,Eingaben!$B$17)*Eingaben!$B$16,0)</f>
        <v>2.793</v>
      </c>
      <c r="F2376" s="13" t="n">
        <f aca="false">IFERROR(E2376*Eingaben!$B$15,0)</f>
        <v>2.5137</v>
      </c>
      <c r="G2376" s="13" t="n">
        <f aca="false">IFERROR(IF(Kalender!A180="",0,J2375*(1-Eingaben!$B$20)),0)</f>
        <v>0.7390278</v>
      </c>
      <c r="H2376" s="13" t="n">
        <f aca="false">MIN(G2376,D2376)</f>
        <v>0.7390278</v>
      </c>
      <c r="I2376" s="13" t="n">
        <f aca="false">IFERROR(MIN(F2376*Eingaben!$B$19,MAX(0,D2376-H2376)),0)</f>
        <v>1.75959</v>
      </c>
      <c r="J2376" s="13" t="n">
        <f aca="false">IFERROR(MIN(Eingaben!$B$18,MAX(0,F2376-I2376)),0)</f>
        <v>0.75411</v>
      </c>
      <c r="K2376" s="13" t="n">
        <f aca="false">H2376+I2376</f>
        <v>2.4986178</v>
      </c>
      <c r="L2376" s="13" t="n">
        <f aca="false">MAX(0,D2376-K2376)</f>
        <v>2.4413822</v>
      </c>
      <c r="M2376" s="13" t="n">
        <f aca="false">MAX(0,F2376-I2376-J2376)</f>
        <v>0</v>
      </c>
      <c r="N2376" s="13" t="n">
        <f aca="false">IF(Kalender!A180="",0,J2375-H2376)</f>
        <v>0.0150822</v>
      </c>
    </row>
    <row r="2377" customFormat="false" ht="16.4" hidden="false" customHeight="false" outlineLevel="0" collapsed="false">
      <c r="A2377" s="13" t="str">
        <f aca="false">""</f>
        <v/>
      </c>
      <c r="B2377" s="13" t="n">
        <f aca="false">177</f>
        <v>177</v>
      </c>
      <c r="C2377" s="13" t="n">
        <f aca="false">IF(Szenarien!$H$17="OK",(IFERROR(SUMIF(Nutzungsprofile!$B$6:$B$11,"Schulbetrieb",Nutzungsprofile!$G$6:$G$11)*Kalender!C181/SUM(Kalender!$C$5:$C$370),0)+IFERROR(SUMIF(Nutzungsprofile!$B$6:$B$11,"Halle",Nutzungsprofile!$G$6:$G$11)*Kalender!D181/SUM(Kalender!$D$5:$D$370),0)+IFERROR(SUMIF(Nutzungsprofile!$B$6:$B$11,"Individuell",Nutzungsprofile!$G$6:$G$11)*Kalender!E181/SUM(Kalender!$E$5:$E$370),0))*Szenarien!$E$17,0)</f>
        <v>2.94</v>
      </c>
      <c r="D2377" s="13" t="n">
        <f aca="false">IF(Szenarien!$H$17="OK",(IFERROR(SUMIF(Nutzungsprofile!$B$17:$B$22,"Schulbetrieb",Nutzungsprofile!$G$17:$G$22)*Kalender!C181/SUM(Kalender!$C$5:$C$370),0)+IFERROR(SUMIF(Nutzungsprofile!$B$17:$B$22,"Halle",Nutzungsprofile!$G$17:$G$22)*Kalender!D181/SUM(Kalender!$D$5:$D$370),0)+IFERROR(SUMIF(Nutzungsprofile!$B$17:$B$22,"Individuell",Nutzungsprofile!$G$17:$G$22)*Kalender!E181/SUM(Kalender!$E$5:$E$370),0))*Szenarien!$D$17,0)</f>
        <v>4.94</v>
      </c>
      <c r="E2377" s="13" t="n">
        <f aca="false">IFERROR(MIN(C2377,Eingaben!$B$17)*Eingaben!$B$16,0)</f>
        <v>2.793</v>
      </c>
      <c r="F2377" s="13" t="n">
        <f aca="false">IFERROR(E2377*Eingaben!$B$15,0)</f>
        <v>2.5137</v>
      </c>
      <c r="G2377" s="13" t="n">
        <f aca="false">IFERROR(IF(Kalender!A181="",0,J2376*(1-Eingaben!$B$20)),0)</f>
        <v>0.7390278</v>
      </c>
      <c r="H2377" s="13" t="n">
        <f aca="false">MIN(G2377,D2377)</f>
        <v>0.7390278</v>
      </c>
      <c r="I2377" s="13" t="n">
        <f aca="false">IFERROR(MIN(F2377*Eingaben!$B$19,MAX(0,D2377-H2377)),0)</f>
        <v>1.75959</v>
      </c>
      <c r="J2377" s="13" t="n">
        <f aca="false">IFERROR(MIN(Eingaben!$B$18,MAX(0,F2377-I2377)),0)</f>
        <v>0.75411</v>
      </c>
      <c r="K2377" s="13" t="n">
        <f aca="false">H2377+I2377</f>
        <v>2.4986178</v>
      </c>
      <c r="L2377" s="13" t="n">
        <f aca="false">MAX(0,D2377-K2377)</f>
        <v>2.4413822</v>
      </c>
      <c r="M2377" s="13" t="n">
        <f aca="false">MAX(0,F2377-I2377-J2377)</f>
        <v>0</v>
      </c>
      <c r="N2377" s="13" t="n">
        <f aca="false">IF(Kalender!A181="",0,J2376-H2377)</f>
        <v>0.0150822</v>
      </c>
    </row>
    <row r="2378" customFormat="false" ht="16.4" hidden="false" customHeight="false" outlineLevel="0" collapsed="false">
      <c r="A2378" s="13" t="str">
        <f aca="false">""</f>
        <v/>
      </c>
      <c r="B2378" s="13" t="n">
        <f aca="false">178</f>
        <v>178</v>
      </c>
      <c r="C2378" s="13" t="n">
        <f aca="false">IF(Szenarien!$H$17="OK",(IFERROR(SUMIF(Nutzungsprofile!$B$6:$B$11,"Schulbetrieb",Nutzungsprofile!$G$6:$G$11)*Kalender!C182/SUM(Kalender!$C$5:$C$370),0)+IFERROR(SUMIF(Nutzungsprofile!$B$6:$B$11,"Halle",Nutzungsprofile!$G$6:$G$11)*Kalender!D182/SUM(Kalender!$D$5:$D$370),0)+IFERROR(SUMIF(Nutzungsprofile!$B$6:$B$11,"Individuell",Nutzungsprofile!$G$6:$G$11)*Kalender!E182/SUM(Kalender!$E$5:$E$370),0))*Szenarien!$E$17,0)</f>
        <v>2.04</v>
      </c>
      <c r="D2378" s="13" t="n">
        <f aca="false">IF(Szenarien!$H$17="OK",(IFERROR(SUMIF(Nutzungsprofile!$B$17:$B$22,"Schulbetrieb",Nutzungsprofile!$G$17:$G$22)*Kalender!C182/SUM(Kalender!$C$5:$C$370),0)+IFERROR(SUMIF(Nutzungsprofile!$B$17:$B$22,"Halle",Nutzungsprofile!$G$17:$G$22)*Kalender!D182/SUM(Kalender!$D$5:$D$370),0)+IFERROR(SUMIF(Nutzungsprofile!$B$17:$B$22,"Individuell",Nutzungsprofile!$G$17:$G$22)*Kalender!E182/SUM(Kalender!$E$5:$E$370),0))*Szenarien!$D$17,0)</f>
        <v>0.89</v>
      </c>
      <c r="E2378" s="13" t="n">
        <f aca="false">IFERROR(MIN(C2378,Eingaben!$B$17)*Eingaben!$B$16,0)</f>
        <v>1.938</v>
      </c>
      <c r="F2378" s="13" t="n">
        <f aca="false">IFERROR(E2378*Eingaben!$B$15,0)</f>
        <v>1.7442</v>
      </c>
      <c r="G2378" s="13" t="n">
        <f aca="false">IFERROR(IF(Kalender!A182="",0,J2377*(1-Eingaben!$B$20)),0)</f>
        <v>0.7390278</v>
      </c>
      <c r="H2378" s="13" t="n">
        <f aca="false">MIN(G2378,D2378)</f>
        <v>0.7390278</v>
      </c>
      <c r="I2378" s="13" t="n">
        <f aca="false">IFERROR(MIN(F2378*Eingaben!$B$19,MAX(0,D2378-H2378)),0)</f>
        <v>0.1509722</v>
      </c>
      <c r="J2378" s="13" t="n">
        <f aca="false">IFERROR(MIN(Eingaben!$B$18,MAX(0,F2378-I2378)),0)</f>
        <v>1.5932278</v>
      </c>
      <c r="K2378" s="13" t="n">
        <f aca="false">H2378+I2378</f>
        <v>0.89</v>
      </c>
      <c r="L2378" s="13" t="n">
        <f aca="false">MAX(0,D2378-K2378)</f>
        <v>0</v>
      </c>
      <c r="M2378" s="13" t="n">
        <f aca="false">MAX(0,F2378-I2378-J2378)</f>
        <v>0</v>
      </c>
      <c r="N2378" s="13" t="n">
        <f aca="false">IF(Kalender!A182="",0,J2377-H2378)</f>
        <v>0.0150822</v>
      </c>
    </row>
    <row r="2379" customFormat="false" ht="16.4" hidden="false" customHeight="false" outlineLevel="0" collapsed="false">
      <c r="A2379" s="13" t="str">
        <f aca="false">""</f>
        <v/>
      </c>
      <c r="B2379" s="13" t="n">
        <f aca="false">179</f>
        <v>179</v>
      </c>
      <c r="C2379" s="13" t="n">
        <f aca="false">IF(Szenarien!$H$17="OK",(IFERROR(SUMIF(Nutzungsprofile!$B$6:$B$11,"Schulbetrieb",Nutzungsprofile!$G$6:$G$11)*Kalender!C183/SUM(Kalender!$C$5:$C$370),0)+IFERROR(SUMIF(Nutzungsprofile!$B$6:$B$11,"Halle",Nutzungsprofile!$G$6:$G$11)*Kalender!D183/SUM(Kalender!$D$5:$D$370),0)+IFERROR(SUMIF(Nutzungsprofile!$B$6:$B$11,"Individuell",Nutzungsprofile!$G$6:$G$11)*Kalender!E183/SUM(Kalender!$E$5:$E$370),0))*Szenarien!$E$17,0)</f>
        <v>2.04</v>
      </c>
      <c r="D2379" s="13" t="n">
        <f aca="false">IF(Szenarien!$H$17="OK",(IFERROR(SUMIF(Nutzungsprofile!$B$17:$B$22,"Schulbetrieb",Nutzungsprofile!$G$17:$G$22)*Kalender!C183/SUM(Kalender!$C$5:$C$370),0)+IFERROR(SUMIF(Nutzungsprofile!$B$17:$B$22,"Halle",Nutzungsprofile!$G$17:$G$22)*Kalender!D183/SUM(Kalender!$D$5:$D$370),0)+IFERROR(SUMIF(Nutzungsprofile!$B$17:$B$22,"Individuell",Nutzungsprofile!$G$17:$G$22)*Kalender!E183/SUM(Kalender!$E$5:$E$370),0))*Szenarien!$D$17,0)</f>
        <v>0.89</v>
      </c>
      <c r="E2379" s="13" t="n">
        <f aca="false">IFERROR(MIN(C2379,Eingaben!$B$17)*Eingaben!$B$16,0)</f>
        <v>1.938</v>
      </c>
      <c r="F2379" s="13" t="n">
        <f aca="false">IFERROR(E2379*Eingaben!$B$15,0)</f>
        <v>1.7442</v>
      </c>
      <c r="G2379" s="13" t="n">
        <f aca="false">IFERROR(IF(Kalender!A183="",0,J2378*(1-Eingaben!$B$20)),0)</f>
        <v>1.561363244</v>
      </c>
      <c r="H2379" s="13" t="n">
        <f aca="false">MIN(G2379,D2379)</f>
        <v>0.89</v>
      </c>
      <c r="I2379" s="13" t="n">
        <f aca="false">IFERROR(MIN(F2379*Eingaben!$B$19,MAX(0,D2379-H2379)),0)</f>
        <v>0</v>
      </c>
      <c r="J2379" s="13" t="n">
        <f aca="false">IFERROR(MIN(Eingaben!$B$18,MAX(0,F2379-I2379)),0)</f>
        <v>1.7442</v>
      </c>
      <c r="K2379" s="13" t="n">
        <f aca="false">H2379+I2379</f>
        <v>0.89</v>
      </c>
      <c r="L2379" s="13" t="n">
        <f aca="false">MAX(0,D2379-K2379)</f>
        <v>0</v>
      </c>
      <c r="M2379" s="13" t="n">
        <f aca="false">MAX(0,F2379-I2379-J2379)</f>
        <v>0</v>
      </c>
      <c r="N2379" s="13" t="n">
        <f aca="false">IF(Kalender!A183="",0,J2378-H2379)</f>
        <v>0.7032278</v>
      </c>
    </row>
    <row r="2380" customFormat="false" ht="16.4" hidden="false" customHeight="false" outlineLevel="0" collapsed="false">
      <c r="A2380" s="13" t="str">
        <f aca="false">""</f>
        <v/>
      </c>
      <c r="B2380" s="13" t="n">
        <f aca="false">180</f>
        <v>180</v>
      </c>
      <c r="C2380" s="13" t="n">
        <f aca="false">IF(Szenarien!$H$17="OK",(IFERROR(SUMIF(Nutzungsprofile!$B$6:$B$11,"Schulbetrieb",Nutzungsprofile!$G$6:$G$11)*Kalender!C184/SUM(Kalender!$C$5:$C$370),0)+IFERROR(SUMIF(Nutzungsprofile!$B$6:$B$11,"Halle",Nutzungsprofile!$G$6:$G$11)*Kalender!D184/SUM(Kalender!$D$5:$D$370),0)+IFERROR(SUMIF(Nutzungsprofile!$B$6:$B$11,"Individuell",Nutzungsprofile!$G$6:$G$11)*Kalender!E184/SUM(Kalender!$E$5:$E$370),0))*Szenarien!$E$17,0)</f>
        <v>2.94</v>
      </c>
      <c r="D2380" s="13" t="n">
        <f aca="false">IF(Szenarien!$H$17="OK",(IFERROR(SUMIF(Nutzungsprofile!$B$17:$B$22,"Schulbetrieb",Nutzungsprofile!$G$17:$G$22)*Kalender!C184/SUM(Kalender!$C$5:$C$370),0)+IFERROR(SUMIF(Nutzungsprofile!$B$17:$B$22,"Halle",Nutzungsprofile!$G$17:$G$22)*Kalender!D184/SUM(Kalender!$D$5:$D$370),0)+IFERROR(SUMIF(Nutzungsprofile!$B$17:$B$22,"Individuell",Nutzungsprofile!$G$17:$G$22)*Kalender!E184/SUM(Kalender!$E$5:$E$370),0))*Szenarien!$D$17,0)</f>
        <v>4.94</v>
      </c>
      <c r="E2380" s="13" t="n">
        <f aca="false">IFERROR(MIN(C2380,Eingaben!$B$17)*Eingaben!$B$16,0)</f>
        <v>2.793</v>
      </c>
      <c r="F2380" s="13" t="n">
        <f aca="false">IFERROR(E2380*Eingaben!$B$15,0)</f>
        <v>2.5137</v>
      </c>
      <c r="G2380" s="13" t="n">
        <f aca="false">IFERROR(IF(Kalender!A184="",0,J2379*(1-Eingaben!$B$20)),0)</f>
        <v>1.709316</v>
      </c>
      <c r="H2380" s="13" t="n">
        <f aca="false">MIN(G2380,D2380)</f>
        <v>1.709316</v>
      </c>
      <c r="I2380" s="13" t="n">
        <f aca="false">IFERROR(MIN(F2380*Eingaben!$B$19,MAX(0,D2380-H2380)),0)</f>
        <v>1.75959</v>
      </c>
      <c r="J2380" s="13" t="n">
        <f aca="false">IFERROR(MIN(Eingaben!$B$18,MAX(0,F2380-I2380)),0)</f>
        <v>0.75411</v>
      </c>
      <c r="K2380" s="13" t="n">
        <f aca="false">H2380+I2380</f>
        <v>3.468906</v>
      </c>
      <c r="L2380" s="13" t="n">
        <f aca="false">MAX(0,D2380-K2380)</f>
        <v>1.471094</v>
      </c>
      <c r="M2380" s="13" t="n">
        <f aca="false">MAX(0,F2380-I2380-J2380)</f>
        <v>0</v>
      </c>
      <c r="N2380" s="13" t="n">
        <f aca="false">IF(Kalender!A184="",0,J2379-H2380)</f>
        <v>0.0348840000000001</v>
      </c>
    </row>
    <row r="2381" customFormat="false" ht="16.4" hidden="false" customHeight="false" outlineLevel="0" collapsed="false">
      <c r="A2381" s="13" t="str">
        <f aca="false">""</f>
        <v/>
      </c>
      <c r="B2381" s="13" t="n">
        <f aca="false">181</f>
        <v>181</v>
      </c>
      <c r="C2381" s="13" t="n">
        <f aca="false">IF(Szenarien!$H$17="OK",(IFERROR(SUMIF(Nutzungsprofile!$B$6:$B$11,"Schulbetrieb",Nutzungsprofile!$G$6:$G$11)*Kalender!C185/SUM(Kalender!$C$5:$C$370),0)+IFERROR(SUMIF(Nutzungsprofile!$B$6:$B$11,"Halle",Nutzungsprofile!$G$6:$G$11)*Kalender!D185/SUM(Kalender!$D$5:$D$370),0)+IFERROR(SUMIF(Nutzungsprofile!$B$6:$B$11,"Individuell",Nutzungsprofile!$G$6:$G$11)*Kalender!E185/SUM(Kalender!$E$5:$E$370),0))*Szenarien!$E$17,0)</f>
        <v>2.94</v>
      </c>
      <c r="D2381" s="13" t="n">
        <f aca="false">IF(Szenarien!$H$17="OK",(IFERROR(SUMIF(Nutzungsprofile!$B$17:$B$22,"Schulbetrieb",Nutzungsprofile!$G$17:$G$22)*Kalender!C185/SUM(Kalender!$C$5:$C$370),0)+IFERROR(SUMIF(Nutzungsprofile!$B$17:$B$22,"Halle",Nutzungsprofile!$G$17:$G$22)*Kalender!D185/SUM(Kalender!$D$5:$D$370),0)+IFERROR(SUMIF(Nutzungsprofile!$B$17:$B$22,"Individuell",Nutzungsprofile!$G$17:$G$22)*Kalender!E185/SUM(Kalender!$E$5:$E$370),0))*Szenarien!$D$17,0)</f>
        <v>4.94</v>
      </c>
      <c r="E2381" s="13" t="n">
        <f aca="false">IFERROR(MIN(C2381,Eingaben!$B$17)*Eingaben!$B$16,0)</f>
        <v>2.793</v>
      </c>
      <c r="F2381" s="13" t="n">
        <f aca="false">IFERROR(E2381*Eingaben!$B$15,0)</f>
        <v>2.5137</v>
      </c>
      <c r="G2381" s="13" t="n">
        <f aca="false">IFERROR(IF(Kalender!A185="",0,J2380*(1-Eingaben!$B$20)),0)</f>
        <v>0.7390278</v>
      </c>
      <c r="H2381" s="13" t="n">
        <f aca="false">MIN(G2381,D2381)</f>
        <v>0.7390278</v>
      </c>
      <c r="I2381" s="13" t="n">
        <f aca="false">IFERROR(MIN(F2381*Eingaben!$B$19,MAX(0,D2381-H2381)),0)</f>
        <v>1.75959</v>
      </c>
      <c r="J2381" s="13" t="n">
        <f aca="false">IFERROR(MIN(Eingaben!$B$18,MAX(0,F2381-I2381)),0)</f>
        <v>0.75411</v>
      </c>
      <c r="K2381" s="13" t="n">
        <f aca="false">H2381+I2381</f>
        <v>2.4986178</v>
      </c>
      <c r="L2381" s="13" t="n">
        <f aca="false">MAX(0,D2381-K2381)</f>
        <v>2.4413822</v>
      </c>
      <c r="M2381" s="13" t="n">
        <f aca="false">MAX(0,F2381-I2381-J2381)</f>
        <v>0</v>
      </c>
      <c r="N2381" s="13" t="n">
        <f aca="false">IF(Kalender!A185="",0,J2380-H2381)</f>
        <v>0.0150822</v>
      </c>
    </row>
    <row r="2382" customFormat="false" ht="16.4" hidden="false" customHeight="false" outlineLevel="0" collapsed="false">
      <c r="A2382" s="13" t="str">
        <f aca="false">""</f>
        <v/>
      </c>
      <c r="B2382" s="13" t="n">
        <f aca="false">182</f>
        <v>182</v>
      </c>
      <c r="C2382" s="13" t="n">
        <f aca="false">IF(Szenarien!$H$17="OK",(IFERROR(SUMIF(Nutzungsprofile!$B$6:$B$11,"Schulbetrieb",Nutzungsprofile!$G$6:$G$11)*Kalender!C186/SUM(Kalender!$C$5:$C$370),0)+IFERROR(SUMIF(Nutzungsprofile!$B$6:$B$11,"Halle",Nutzungsprofile!$G$6:$G$11)*Kalender!D186/SUM(Kalender!$D$5:$D$370),0)+IFERROR(SUMIF(Nutzungsprofile!$B$6:$B$11,"Individuell",Nutzungsprofile!$G$6:$G$11)*Kalender!E186/SUM(Kalender!$E$5:$E$370),0))*Szenarien!$E$17,0)</f>
        <v>2.04</v>
      </c>
      <c r="D2382" s="13" t="n">
        <f aca="false">IF(Szenarien!$H$17="OK",(IFERROR(SUMIF(Nutzungsprofile!$B$17:$B$22,"Schulbetrieb",Nutzungsprofile!$G$17:$G$22)*Kalender!C186/SUM(Kalender!$C$5:$C$370),0)+IFERROR(SUMIF(Nutzungsprofile!$B$17:$B$22,"Halle",Nutzungsprofile!$G$17:$G$22)*Kalender!D186/SUM(Kalender!$D$5:$D$370),0)+IFERROR(SUMIF(Nutzungsprofile!$B$17:$B$22,"Individuell",Nutzungsprofile!$G$17:$G$22)*Kalender!E186/SUM(Kalender!$E$5:$E$370),0))*Szenarien!$D$17,0)</f>
        <v>0.89</v>
      </c>
      <c r="E2382" s="13" t="n">
        <f aca="false">IFERROR(MIN(C2382,Eingaben!$B$17)*Eingaben!$B$16,0)</f>
        <v>1.938</v>
      </c>
      <c r="F2382" s="13" t="n">
        <f aca="false">IFERROR(E2382*Eingaben!$B$15,0)</f>
        <v>1.7442</v>
      </c>
      <c r="G2382" s="13" t="n">
        <f aca="false">IFERROR(IF(Kalender!A186="",0,J2381*(1-Eingaben!$B$20)),0)</f>
        <v>0.7390278</v>
      </c>
      <c r="H2382" s="13" t="n">
        <f aca="false">MIN(G2382,D2382)</f>
        <v>0.7390278</v>
      </c>
      <c r="I2382" s="13" t="n">
        <f aca="false">IFERROR(MIN(F2382*Eingaben!$B$19,MAX(0,D2382-H2382)),0)</f>
        <v>0.1509722</v>
      </c>
      <c r="J2382" s="13" t="n">
        <f aca="false">IFERROR(MIN(Eingaben!$B$18,MAX(0,F2382-I2382)),0)</f>
        <v>1.5932278</v>
      </c>
      <c r="K2382" s="13" t="n">
        <f aca="false">H2382+I2382</f>
        <v>0.89</v>
      </c>
      <c r="L2382" s="13" t="n">
        <f aca="false">MAX(0,D2382-K2382)</f>
        <v>0</v>
      </c>
      <c r="M2382" s="13" t="n">
        <f aca="false">MAX(0,F2382-I2382-J2382)</f>
        <v>0</v>
      </c>
      <c r="N2382" s="13" t="n">
        <f aca="false">IF(Kalender!A186="",0,J2381-H2382)</f>
        <v>0.0150822</v>
      </c>
    </row>
    <row r="2383" customFormat="false" ht="16.4" hidden="false" customHeight="false" outlineLevel="0" collapsed="false">
      <c r="A2383" s="13" t="str">
        <f aca="false">""</f>
        <v/>
      </c>
      <c r="B2383" s="13" t="n">
        <f aca="false">183</f>
        <v>183</v>
      </c>
      <c r="C2383" s="13" t="n">
        <f aca="false">IF(Szenarien!$H$17="OK",(IFERROR(SUMIF(Nutzungsprofile!$B$6:$B$11,"Schulbetrieb",Nutzungsprofile!$G$6:$G$11)*Kalender!C187/SUM(Kalender!$C$5:$C$370),0)+IFERROR(SUMIF(Nutzungsprofile!$B$6:$B$11,"Halle",Nutzungsprofile!$G$6:$G$11)*Kalender!D187/SUM(Kalender!$D$5:$D$370),0)+IFERROR(SUMIF(Nutzungsprofile!$B$6:$B$11,"Individuell",Nutzungsprofile!$G$6:$G$11)*Kalender!E187/SUM(Kalender!$E$5:$E$370),0))*Szenarien!$E$17,0)</f>
        <v>2.04</v>
      </c>
      <c r="D2383" s="13" t="n">
        <f aca="false">IF(Szenarien!$H$17="OK",(IFERROR(SUMIF(Nutzungsprofile!$B$17:$B$22,"Schulbetrieb",Nutzungsprofile!$G$17:$G$22)*Kalender!C187/SUM(Kalender!$C$5:$C$370),0)+IFERROR(SUMIF(Nutzungsprofile!$B$17:$B$22,"Halle",Nutzungsprofile!$G$17:$G$22)*Kalender!D187/SUM(Kalender!$D$5:$D$370),0)+IFERROR(SUMIF(Nutzungsprofile!$B$17:$B$22,"Individuell",Nutzungsprofile!$G$17:$G$22)*Kalender!E187/SUM(Kalender!$E$5:$E$370),0))*Szenarien!$D$17,0)</f>
        <v>0.89</v>
      </c>
      <c r="E2383" s="13" t="n">
        <f aca="false">IFERROR(MIN(C2383,Eingaben!$B$17)*Eingaben!$B$16,0)</f>
        <v>1.938</v>
      </c>
      <c r="F2383" s="13" t="n">
        <f aca="false">IFERROR(E2383*Eingaben!$B$15,0)</f>
        <v>1.7442</v>
      </c>
      <c r="G2383" s="13" t="n">
        <f aca="false">IFERROR(IF(Kalender!A187="",0,J2382*(1-Eingaben!$B$20)),0)</f>
        <v>1.561363244</v>
      </c>
      <c r="H2383" s="13" t="n">
        <f aca="false">MIN(G2383,D2383)</f>
        <v>0.89</v>
      </c>
      <c r="I2383" s="13" t="n">
        <f aca="false">IFERROR(MIN(F2383*Eingaben!$B$19,MAX(0,D2383-H2383)),0)</f>
        <v>0</v>
      </c>
      <c r="J2383" s="13" t="n">
        <f aca="false">IFERROR(MIN(Eingaben!$B$18,MAX(0,F2383-I2383)),0)</f>
        <v>1.7442</v>
      </c>
      <c r="K2383" s="13" t="n">
        <f aca="false">H2383+I2383</f>
        <v>0.89</v>
      </c>
      <c r="L2383" s="13" t="n">
        <f aca="false">MAX(0,D2383-K2383)</f>
        <v>0</v>
      </c>
      <c r="M2383" s="13" t="n">
        <f aca="false">MAX(0,F2383-I2383-J2383)</f>
        <v>0</v>
      </c>
      <c r="N2383" s="13" t="n">
        <f aca="false">IF(Kalender!A187="",0,J2382-H2383)</f>
        <v>0.7032278</v>
      </c>
    </row>
    <row r="2384" customFormat="false" ht="16.4" hidden="false" customHeight="false" outlineLevel="0" collapsed="false">
      <c r="A2384" s="13" t="str">
        <f aca="false">""</f>
        <v/>
      </c>
      <c r="B2384" s="13" t="n">
        <f aca="false">184</f>
        <v>184</v>
      </c>
      <c r="C2384" s="13" t="n">
        <f aca="false">IF(Szenarien!$H$17="OK",(IFERROR(SUMIF(Nutzungsprofile!$B$6:$B$11,"Schulbetrieb",Nutzungsprofile!$G$6:$G$11)*Kalender!C188/SUM(Kalender!$C$5:$C$370),0)+IFERROR(SUMIF(Nutzungsprofile!$B$6:$B$11,"Halle",Nutzungsprofile!$G$6:$G$11)*Kalender!D188/SUM(Kalender!$D$5:$D$370),0)+IFERROR(SUMIF(Nutzungsprofile!$B$6:$B$11,"Individuell",Nutzungsprofile!$G$6:$G$11)*Kalender!E188/SUM(Kalender!$E$5:$E$370),0))*Szenarien!$E$17,0)</f>
        <v>2.04</v>
      </c>
      <c r="D2384" s="13" t="n">
        <f aca="false">IF(Szenarien!$H$17="OK",(IFERROR(SUMIF(Nutzungsprofile!$B$17:$B$22,"Schulbetrieb",Nutzungsprofile!$G$17:$G$22)*Kalender!C188/SUM(Kalender!$C$5:$C$370),0)+IFERROR(SUMIF(Nutzungsprofile!$B$17:$B$22,"Halle",Nutzungsprofile!$G$17:$G$22)*Kalender!D188/SUM(Kalender!$D$5:$D$370),0)+IFERROR(SUMIF(Nutzungsprofile!$B$17:$B$22,"Individuell",Nutzungsprofile!$G$17:$G$22)*Kalender!E188/SUM(Kalender!$E$5:$E$370),0))*Szenarien!$D$17,0)</f>
        <v>0.89</v>
      </c>
      <c r="E2384" s="13" t="n">
        <f aca="false">IFERROR(MIN(C2384,Eingaben!$B$17)*Eingaben!$B$16,0)</f>
        <v>1.938</v>
      </c>
      <c r="F2384" s="13" t="n">
        <f aca="false">IFERROR(E2384*Eingaben!$B$15,0)</f>
        <v>1.7442</v>
      </c>
      <c r="G2384" s="13" t="n">
        <f aca="false">IFERROR(IF(Kalender!A188="",0,J2383*(1-Eingaben!$B$20)),0)</f>
        <v>1.709316</v>
      </c>
      <c r="H2384" s="13" t="n">
        <f aca="false">MIN(G2384,D2384)</f>
        <v>0.89</v>
      </c>
      <c r="I2384" s="13" t="n">
        <f aca="false">IFERROR(MIN(F2384*Eingaben!$B$19,MAX(0,D2384-H2384)),0)</f>
        <v>0</v>
      </c>
      <c r="J2384" s="13" t="n">
        <f aca="false">IFERROR(MIN(Eingaben!$B$18,MAX(0,F2384-I2384)),0)</f>
        <v>1.7442</v>
      </c>
      <c r="K2384" s="13" t="n">
        <f aca="false">H2384+I2384</f>
        <v>0.89</v>
      </c>
      <c r="L2384" s="13" t="n">
        <f aca="false">MAX(0,D2384-K2384)</f>
        <v>0</v>
      </c>
      <c r="M2384" s="13" t="n">
        <f aca="false">MAX(0,F2384-I2384-J2384)</f>
        <v>0</v>
      </c>
      <c r="N2384" s="13" t="n">
        <f aca="false">IF(Kalender!A188="",0,J2383-H2384)</f>
        <v>0.8542</v>
      </c>
    </row>
    <row r="2385" customFormat="false" ht="16.4" hidden="false" customHeight="false" outlineLevel="0" collapsed="false">
      <c r="A2385" s="13" t="str">
        <f aca="false">""</f>
        <v/>
      </c>
      <c r="B2385" s="13" t="n">
        <f aca="false">185</f>
        <v>185</v>
      </c>
      <c r="C2385" s="13" t="n">
        <f aca="false">IF(Szenarien!$H$17="OK",(IFERROR(SUMIF(Nutzungsprofile!$B$6:$B$11,"Schulbetrieb",Nutzungsprofile!$G$6:$G$11)*Kalender!C189/SUM(Kalender!$C$5:$C$370),0)+IFERROR(SUMIF(Nutzungsprofile!$B$6:$B$11,"Halle",Nutzungsprofile!$G$6:$G$11)*Kalender!D189/SUM(Kalender!$D$5:$D$370),0)+IFERROR(SUMIF(Nutzungsprofile!$B$6:$B$11,"Individuell",Nutzungsprofile!$G$6:$G$11)*Kalender!E189/SUM(Kalender!$E$5:$E$370),0))*Szenarien!$E$17,0)</f>
        <v>2.04</v>
      </c>
      <c r="D2385" s="13" t="n">
        <f aca="false">IF(Szenarien!$H$17="OK",(IFERROR(SUMIF(Nutzungsprofile!$B$17:$B$22,"Schulbetrieb",Nutzungsprofile!$G$17:$G$22)*Kalender!C189/SUM(Kalender!$C$5:$C$370),0)+IFERROR(SUMIF(Nutzungsprofile!$B$17:$B$22,"Halle",Nutzungsprofile!$G$17:$G$22)*Kalender!D189/SUM(Kalender!$D$5:$D$370),0)+IFERROR(SUMIF(Nutzungsprofile!$B$17:$B$22,"Individuell",Nutzungsprofile!$G$17:$G$22)*Kalender!E189/SUM(Kalender!$E$5:$E$370),0))*Szenarien!$D$17,0)</f>
        <v>0.89</v>
      </c>
      <c r="E2385" s="13" t="n">
        <f aca="false">IFERROR(MIN(C2385,Eingaben!$B$17)*Eingaben!$B$16,0)</f>
        <v>1.938</v>
      </c>
      <c r="F2385" s="13" t="n">
        <f aca="false">IFERROR(E2385*Eingaben!$B$15,0)</f>
        <v>1.7442</v>
      </c>
      <c r="G2385" s="13" t="n">
        <f aca="false">IFERROR(IF(Kalender!A189="",0,J2384*(1-Eingaben!$B$20)),0)</f>
        <v>1.709316</v>
      </c>
      <c r="H2385" s="13" t="n">
        <f aca="false">MIN(G2385,D2385)</f>
        <v>0.89</v>
      </c>
      <c r="I2385" s="13" t="n">
        <f aca="false">IFERROR(MIN(F2385*Eingaben!$B$19,MAX(0,D2385-H2385)),0)</f>
        <v>0</v>
      </c>
      <c r="J2385" s="13" t="n">
        <f aca="false">IFERROR(MIN(Eingaben!$B$18,MAX(0,F2385-I2385)),0)</f>
        <v>1.7442</v>
      </c>
      <c r="K2385" s="13" t="n">
        <f aca="false">H2385+I2385</f>
        <v>0.89</v>
      </c>
      <c r="L2385" s="13" t="n">
        <f aca="false">MAX(0,D2385-K2385)</f>
        <v>0</v>
      </c>
      <c r="M2385" s="13" t="n">
        <f aca="false">MAX(0,F2385-I2385-J2385)</f>
        <v>0</v>
      </c>
      <c r="N2385" s="13" t="n">
        <f aca="false">IF(Kalender!A189="",0,J2384-H2385)</f>
        <v>0.8542</v>
      </c>
    </row>
    <row r="2386" customFormat="false" ht="16.4" hidden="false" customHeight="false" outlineLevel="0" collapsed="false">
      <c r="A2386" s="13" t="str">
        <f aca="false">""</f>
        <v/>
      </c>
      <c r="B2386" s="13" t="n">
        <f aca="false">186</f>
        <v>186</v>
      </c>
      <c r="C2386" s="13" t="n">
        <f aca="false">IF(Szenarien!$H$17="OK",(IFERROR(SUMIF(Nutzungsprofile!$B$6:$B$11,"Schulbetrieb",Nutzungsprofile!$G$6:$G$11)*Kalender!C190/SUM(Kalender!$C$5:$C$370),0)+IFERROR(SUMIF(Nutzungsprofile!$B$6:$B$11,"Halle",Nutzungsprofile!$G$6:$G$11)*Kalender!D190/SUM(Kalender!$D$5:$D$370),0)+IFERROR(SUMIF(Nutzungsprofile!$B$6:$B$11,"Individuell",Nutzungsprofile!$G$6:$G$11)*Kalender!E190/SUM(Kalender!$E$5:$E$370),0))*Szenarien!$E$17,0)</f>
        <v>2.04</v>
      </c>
      <c r="D2386" s="13" t="n">
        <f aca="false">IF(Szenarien!$H$17="OK",(IFERROR(SUMIF(Nutzungsprofile!$B$17:$B$22,"Schulbetrieb",Nutzungsprofile!$G$17:$G$22)*Kalender!C190/SUM(Kalender!$C$5:$C$370),0)+IFERROR(SUMIF(Nutzungsprofile!$B$17:$B$22,"Halle",Nutzungsprofile!$G$17:$G$22)*Kalender!D190/SUM(Kalender!$D$5:$D$370),0)+IFERROR(SUMIF(Nutzungsprofile!$B$17:$B$22,"Individuell",Nutzungsprofile!$G$17:$G$22)*Kalender!E190/SUM(Kalender!$E$5:$E$370),0))*Szenarien!$D$17,0)</f>
        <v>0.89</v>
      </c>
      <c r="E2386" s="13" t="n">
        <f aca="false">IFERROR(MIN(C2386,Eingaben!$B$17)*Eingaben!$B$16,0)</f>
        <v>1.938</v>
      </c>
      <c r="F2386" s="13" t="n">
        <f aca="false">IFERROR(E2386*Eingaben!$B$15,0)</f>
        <v>1.7442</v>
      </c>
      <c r="G2386" s="13" t="n">
        <f aca="false">IFERROR(IF(Kalender!A190="",0,J2385*(1-Eingaben!$B$20)),0)</f>
        <v>1.709316</v>
      </c>
      <c r="H2386" s="13" t="n">
        <f aca="false">MIN(G2386,D2386)</f>
        <v>0.89</v>
      </c>
      <c r="I2386" s="13" t="n">
        <f aca="false">IFERROR(MIN(F2386*Eingaben!$B$19,MAX(0,D2386-H2386)),0)</f>
        <v>0</v>
      </c>
      <c r="J2386" s="13" t="n">
        <f aca="false">IFERROR(MIN(Eingaben!$B$18,MAX(0,F2386-I2386)),0)</f>
        <v>1.7442</v>
      </c>
      <c r="K2386" s="13" t="n">
        <f aca="false">H2386+I2386</f>
        <v>0.89</v>
      </c>
      <c r="L2386" s="13" t="n">
        <f aca="false">MAX(0,D2386-K2386)</f>
        <v>0</v>
      </c>
      <c r="M2386" s="13" t="n">
        <f aca="false">MAX(0,F2386-I2386-J2386)</f>
        <v>0</v>
      </c>
      <c r="N2386" s="13" t="n">
        <f aca="false">IF(Kalender!A190="",0,J2385-H2386)</f>
        <v>0.8542</v>
      </c>
    </row>
    <row r="2387" customFormat="false" ht="16.4" hidden="false" customHeight="false" outlineLevel="0" collapsed="false">
      <c r="A2387" s="13" t="str">
        <f aca="false">""</f>
        <v/>
      </c>
      <c r="B2387" s="13" t="n">
        <f aca="false">187</f>
        <v>187</v>
      </c>
      <c r="C2387" s="13" t="n">
        <f aca="false">IF(Szenarien!$H$17="OK",(IFERROR(SUMIF(Nutzungsprofile!$B$6:$B$11,"Schulbetrieb",Nutzungsprofile!$G$6:$G$11)*Kalender!C191/SUM(Kalender!$C$5:$C$370),0)+IFERROR(SUMIF(Nutzungsprofile!$B$6:$B$11,"Halle",Nutzungsprofile!$G$6:$G$11)*Kalender!D191/SUM(Kalender!$D$5:$D$370),0)+IFERROR(SUMIF(Nutzungsprofile!$B$6:$B$11,"Individuell",Nutzungsprofile!$G$6:$G$11)*Kalender!E191/SUM(Kalender!$E$5:$E$370),0))*Szenarien!$E$17,0)</f>
        <v>2.04</v>
      </c>
      <c r="D2387" s="13" t="n">
        <f aca="false">IF(Szenarien!$H$17="OK",(IFERROR(SUMIF(Nutzungsprofile!$B$17:$B$22,"Schulbetrieb",Nutzungsprofile!$G$17:$G$22)*Kalender!C191/SUM(Kalender!$C$5:$C$370),0)+IFERROR(SUMIF(Nutzungsprofile!$B$17:$B$22,"Halle",Nutzungsprofile!$G$17:$G$22)*Kalender!D191/SUM(Kalender!$D$5:$D$370),0)+IFERROR(SUMIF(Nutzungsprofile!$B$17:$B$22,"Individuell",Nutzungsprofile!$G$17:$G$22)*Kalender!E191/SUM(Kalender!$E$5:$E$370),0))*Szenarien!$D$17,0)</f>
        <v>0.89</v>
      </c>
      <c r="E2387" s="13" t="n">
        <f aca="false">IFERROR(MIN(C2387,Eingaben!$B$17)*Eingaben!$B$16,0)</f>
        <v>1.938</v>
      </c>
      <c r="F2387" s="13" t="n">
        <f aca="false">IFERROR(E2387*Eingaben!$B$15,0)</f>
        <v>1.7442</v>
      </c>
      <c r="G2387" s="13" t="n">
        <f aca="false">IFERROR(IF(Kalender!A191="",0,J2386*(1-Eingaben!$B$20)),0)</f>
        <v>1.709316</v>
      </c>
      <c r="H2387" s="13" t="n">
        <f aca="false">MIN(G2387,D2387)</f>
        <v>0.89</v>
      </c>
      <c r="I2387" s="13" t="n">
        <f aca="false">IFERROR(MIN(F2387*Eingaben!$B$19,MAX(0,D2387-H2387)),0)</f>
        <v>0</v>
      </c>
      <c r="J2387" s="13" t="n">
        <f aca="false">IFERROR(MIN(Eingaben!$B$18,MAX(0,F2387-I2387)),0)</f>
        <v>1.7442</v>
      </c>
      <c r="K2387" s="13" t="n">
        <f aca="false">H2387+I2387</f>
        <v>0.89</v>
      </c>
      <c r="L2387" s="13" t="n">
        <f aca="false">MAX(0,D2387-K2387)</f>
        <v>0</v>
      </c>
      <c r="M2387" s="13" t="n">
        <f aca="false">MAX(0,F2387-I2387-J2387)</f>
        <v>0</v>
      </c>
      <c r="N2387" s="13" t="n">
        <f aca="false">IF(Kalender!A191="",0,J2386-H2387)</f>
        <v>0.8542</v>
      </c>
    </row>
    <row r="2388" customFormat="false" ht="16.4" hidden="false" customHeight="false" outlineLevel="0" collapsed="false">
      <c r="A2388" s="13" t="str">
        <f aca="false">""</f>
        <v/>
      </c>
      <c r="B2388" s="13" t="n">
        <f aca="false">188</f>
        <v>188</v>
      </c>
      <c r="C2388" s="13" t="n">
        <f aca="false">IF(Szenarien!$H$17="OK",(IFERROR(SUMIF(Nutzungsprofile!$B$6:$B$11,"Schulbetrieb",Nutzungsprofile!$G$6:$G$11)*Kalender!C192/SUM(Kalender!$C$5:$C$370),0)+IFERROR(SUMIF(Nutzungsprofile!$B$6:$B$11,"Halle",Nutzungsprofile!$G$6:$G$11)*Kalender!D192/SUM(Kalender!$D$5:$D$370),0)+IFERROR(SUMIF(Nutzungsprofile!$B$6:$B$11,"Individuell",Nutzungsprofile!$G$6:$G$11)*Kalender!E192/SUM(Kalender!$E$5:$E$370),0))*Szenarien!$E$17,0)</f>
        <v>2.04</v>
      </c>
      <c r="D2388" s="13" t="n">
        <f aca="false">IF(Szenarien!$H$17="OK",(IFERROR(SUMIF(Nutzungsprofile!$B$17:$B$22,"Schulbetrieb",Nutzungsprofile!$G$17:$G$22)*Kalender!C192/SUM(Kalender!$C$5:$C$370),0)+IFERROR(SUMIF(Nutzungsprofile!$B$17:$B$22,"Halle",Nutzungsprofile!$G$17:$G$22)*Kalender!D192/SUM(Kalender!$D$5:$D$370),0)+IFERROR(SUMIF(Nutzungsprofile!$B$17:$B$22,"Individuell",Nutzungsprofile!$G$17:$G$22)*Kalender!E192/SUM(Kalender!$E$5:$E$370),0))*Szenarien!$D$17,0)</f>
        <v>0.89</v>
      </c>
      <c r="E2388" s="13" t="n">
        <f aca="false">IFERROR(MIN(C2388,Eingaben!$B$17)*Eingaben!$B$16,0)</f>
        <v>1.938</v>
      </c>
      <c r="F2388" s="13" t="n">
        <f aca="false">IFERROR(E2388*Eingaben!$B$15,0)</f>
        <v>1.7442</v>
      </c>
      <c r="G2388" s="13" t="n">
        <f aca="false">IFERROR(IF(Kalender!A192="",0,J2387*(1-Eingaben!$B$20)),0)</f>
        <v>1.709316</v>
      </c>
      <c r="H2388" s="13" t="n">
        <f aca="false">MIN(G2388,D2388)</f>
        <v>0.89</v>
      </c>
      <c r="I2388" s="13" t="n">
        <f aca="false">IFERROR(MIN(F2388*Eingaben!$B$19,MAX(0,D2388-H2388)),0)</f>
        <v>0</v>
      </c>
      <c r="J2388" s="13" t="n">
        <f aca="false">IFERROR(MIN(Eingaben!$B$18,MAX(0,F2388-I2388)),0)</f>
        <v>1.7442</v>
      </c>
      <c r="K2388" s="13" t="n">
        <f aca="false">H2388+I2388</f>
        <v>0.89</v>
      </c>
      <c r="L2388" s="13" t="n">
        <f aca="false">MAX(0,D2388-K2388)</f>
        <v>0</v>
      </c>
      <c r="M2388" s="13" t="n">
        <f aca="false">MAX(0,F2388-I2388-J2388)</f>
        <v>0</v>
      </c>
      <c r="N2388" s="13" t="n">
        <f aca="false">IF(Kalender!A192="",0,J2387-H2388)</f>
        <v>0.8542</v>
      </c>
    </row>
    <row r="2389" customFormat="false" ht="16.4" hidden="false" customHeight="false" outlineLevel="0" collapsed="false">
      <c r="A2389" s="13" t="str">
        <f aca="false">""</f>
        <v/>
      </c>
      <c r="B2389" s="13" t="n">
        <f aca="false">189</f>
        <v>189</v>
      </c>
      <c r="C2389" s="13" t="n">
        <f aca="false">IF(Szenarien!$H$17="OK",(IFERROR(SUMIF(Nutzungsprofile!$B$6:$B$11,"Schulbetrieb",Nutzungsprofile!$G$6:$G$11)*Kalender!C193/SUM(Kalender!$C$5:$C$370),0)+IFERROR(SUMIF(Nutzungsprofile!$B$6:$B$11,"Halle",Nutzungsprofile!$G$6:$G$11)*Kalender!D193/SUM(Kalender!$D$5:$D$370),0)+IFERROR(SUMIF(Nutzungsprofile!$B$6:$B$11,"Individuell",Nutzungsprofile!$G$6:$G$11)*Kalender!E193/SUM(Kalender!$E$5:$E$370),0))*Szenarien!$E$17,0)</f>
        <v>2.04</v>
      </c>
      <c r="D2389" s="13" t="n">
        <f aca="false">IF(Szenarien!$H$17="OK",(IFERROR(SUMIF(Nutzungsprofile!$B$17:$B$22,"Schulbetrieb",Nutzungsprofile!$G$17:$G$22)*Kalender!C193/SUM(Kalender!$C$5:$C$370),0)+IFERROR(SUMIF(Nutzungsprofile!$B$17:$B$22,"Halle",Nutzungsprofile!$G$17:$G$22)*Kalender!D193/SUM(Kalender!$D$5:$D$370),0)+IFERROR(SUMIF(Nutzungsprofile!$B$17:$B$22,"Individuell",Nutzungsprofile!$G$17:$G$22)*Kalender!E193/SUM(Kalender!$E$5:$E$370),0))*Szenarien!$D$17,0)</f>
        <v>0.89</v>
      </c>
      <c r="E2389" s="13" t="n">
        <f aca="false">IFERROR(MIN(C2389,Eingaben!$B$17)*Eingaben!$B$16,0)</f>
        <v>1.938</v>
      </c>
      <c r="F2389" s="13" t="n">
        <f aca="false">IFERROR(E2389*Eingaben!$B$15,0)</f>
        <v>1.7442</v>
      </c>
      <c r="G2389" s="13" t="n">
        <f aca="false">IFERROR(IF(Kalender!A193="",0,J2388*(1-Eingaben!$B$20)),0)</f>
        <v>1.709316</v>
      </c>
      <c r="H2389" s="13" t="n">
        <f aca="false">MIN(G2389,D2389)</f>
        <v>0.89</v>
      </c>
      <c r="I2389" s="13" t="n">
        <f aca="false">IFERROR(MIN(F2389*Eingaben!$B$19,MAX(0,D2389-H2389)),0)</f>
        <v>0</v>
      </c>
      <c r="J2389" s="13" t="n">
        <f aca="false">IFERROR(MIN(Eingaben!$B$18,MAX(0,F2389-I2389)),0)</f>
        <v>1.7442</v>
      </c>
      <c r="K2389" s="13" t="n">
        <f aca="false">H2389+I2389</f>
        <v>0.89</v>
      </c>
      <c r="L2389" s="13" t="n">
        <f aca="false">MAX(0,D2389-K2389)</f>
        <v>0</v>
      </c>
      <c r="M2389" s="13" t="n">
        <f aca="false">MAX(0,F2389-I2389-J2389)</f>
        <v>0</v>
      </c>
      <c r="N2389" s="13" t="n">
        <f aca="false">IF(Kalender!A193="",0,J2388-H2389)</f>
        <v>0.8542</v>
      </c>
    </row>
    <row r="2390" customFormat="false" ht="16.4" hidden="false" customHeight="false" outlineLevel="0" collapsed="false">
      <c r="A2390" s="13" t="str">
        <f aca="false">""</f>
        <v/>
      </c>
      <c r="B2390" s="13" t="n">
        <f aca="false">190</f>
        <v>190</v>
      </c>
      <c r="C2390" s="13" t="n">
        <f aca="false">IF(Szenarien!$H$17="OK",(IFERROR(SUMIF(Nutzungsprofile!$B$6:$B$11,"Schulbetrieb",Nutzungsprofile!$G$6:$G$11)*Kalender!C194/SUM(Kalender!$C$5:$C$370),0)+IFERROR(SUMIF(Nutzungsprofile!$B$6:$B$11,"Halle",Nutzungsprofile!$G$6:$G$11)*Kalender!D194/SUM(Kalender!$D$5:$D$370),0)+IFERROR(SUMIF(Nutzungsprofile!$B$6:$B$11,"Individuell",Nutzungsprofile!$G$6:$G$11)*Kalender!E194/SUM(Kalender!$E$5:$E$370),0))*Szenarien!$E$17,0)</f>
        <v>2.04</v>
      </c>
      <c r="D2390" s="13" t="n">
        <f aca="false">IF(Szenarien!$H$17="OK",(IFERROR(SUMIF(Nutzungsprofile!$B$17:$B$22,"Schulbetrieb",Nutzungsprofile!$G$17:$G$22)*Kalender!C194/SUM(Kalender!$C$5:$C$370),0)+IFERROR(SUMIF(Nutzungsprofile!$B$17:$B$22,"Halle",Nutzungsprofile!$G$17:$G$22)*Kalender!D194/SUM(Kalender!$D$5:$D$370),0)+IFERROR(SUMIF(Nutzungsprofile!$B$17:$B$22,"Individuell",Nutzungsprofile!$G$17:$G$22)*Kalender!E194/SUM(Kalender!$E$5:$E$370),0))*Szenarien!$D$17,0)</f>
        <v>0.89</v>
      </c>
      <c r="E2390" s="13" t="n">
        <f aca="false">IFERROR(MIN(C2390,Eingaben!$B$17)*Eingaben!$B$16,0)</f>
        <v>1.938</v>
      </c>
      <c r="F2390" s="13" t="n">
        <f aca="false">IFERROR(E2390*Eingaben!$B$15,0)</f>
        <v>1.7442</v>
      </c>
      <c r="G2390" s="13" t="n">
        <f aca="false">IFERROR(IF(Kalender!A194="",0,J2389*(1-Eingaben!$B$20)),0)</f>
        <v>1.709316</v>
      </c>
      <c r="H2390" s="13" t="n">
        <f aca="false">MIN(G2390,D2390)</f>
        <v>0.89</v>
      </c>
      <c r="I2390" s="13" t="n">
        <f aca="false">IFERROR(MIN(F2390*Eingaben!$B$19,MAX(0,D2390-H2390)),0)</f>
        <v>0</v>
      </c>
      <c r="J2390" s="13" t="n">
        <f aca="false">IFERROR(MIN(Eingaben!$B$18,MAX(0,F2390-I2390)),0)</f>
        <v>1.7442</v>
      </c>
      <c r="K2390" s="13" t="n">
        <f aca="false">H2390+I2390</f>
        <v>0.89</v>
      </c>
      <c r="L2390" s="13" t="n">
        <f aca="false">MAX(0,D2390-K2390)</f>
        <v>0</v>
      </c>
      <c r="M2390" s="13" t="n">
        <f aca="false">MAX(0,F2390-I2390-J2390)</f>
        <v>0</v>
      </c>
      <c r="N2390" s="13" t="n">
        <f aca="false">IF(Kalender!A194="",0,J2389-H2390)</f>
        <v>0.8542</v>
      </c>
    </row>
    <row r="2391" customFormat="false" ht="16.4" hidden="false" customHeight="false" outlineLevel="0" collapsed="false">
      <c r="A2391" s="13" t="str">
        <f aca="false">""</f>
        <v/>
      </c>
      <c r="B2391" s="13" t="n">
        <f aca="false">191</f>
        <v>191</v>
      </c>
      <c r="C2391" s="13" t="n">
        <f aca="false">IF(Szenarien!$H$17="OK",(IFERROR(SUMIF(Nutzungsprofile!$B$6:$B$11,"Schulbetrieb",Nutzungsprofile!$G$6:$G$11)*Kalender!C195/SUM(Kalender!$C$5:$C$370),0)+IFERROR(SUMIF(Nutzungsprofile!$B$6:$B$11,"Halle",Nutzungsprofile!$G$6:$G$11)*Kalender!D195/SUM(Kalender!$D$5:$D$370),0)+IFERROR(SUMIF(Nutzungsprofile!$B$6:$B$11,"Individuell",Nutzungsprofile!$G$6:$G$11)*Kalender!E195/SUM(Kalender!$E$5:$E$370),0))*Szenarien!$E$17,0)</f>
        <v>2.04</v>
      </c>
      <c r="D2391" s="13" t="n">
        <f aca="false">IF(Szenarien!$H$17="OK",(IFERROR(SUMIF(Nutzungsprofile!$B$17:$B$22,"Schulbetrieb",Nutzungsprofile!$G$17:$G$22)*Kalender!C195/SUM(Kalender!$C$5:$C$370),0)+IFERROR(SUMIF(Nutzungsprofile!$B$17:$B$22,"Halle",Nutzungsprofile!$G$17:$G$22)*Kalender!D195/SUM(Kalender!$D$5:$D$370),0)+IFERROR(SUMIF(Nutzungsprofile!$B$17:$B$22,"Individuell",Nutzungsprofile!$G$17:$G$22)*Kalender!E195/SUM(Kalender!$E$5:$E$370),0))*Szenarien!$D$17,0)</f>
        <v>0.89</v>
      </c>
      <c r="E2391" s="13" t="n">
        <f aca="false">IFERROR(MIN(C2391,Eingaben!$B$17)*Eingaben!$B$16,0)</f>
        <v>1.938</v>
      </c>
      <c r="F2391" s="13" t="n">
        <f aca="false">IFERROR(E2391*Eingaben!$B$15,0)</f>
        <v>1.7442</v>
      </c>
      <c r="G2391" s="13" t="n">
        <f aca="false">IFERROR(IF(Kalender!A195="",0,J2390*(1-Eingaben!$B$20)),0)</f>
        <v>1.709316</v>
      </c>
      <c r="H2391" s="13" t="n">
        <f aca="false">MIN(G2391,D2391)</f>
        <v>0.89</v>
      </c>
      <c r="I2391" s="13" t="n">
        <f aca="false">IFERROR(MIN(F2391*Eingaben!$B$19,MAX(0,D2391-H2391)),0)</f>
        <v>0</v>
      </c>
      <c r="J2391" s="13" t="n">
        <f aca="false">IFERROR(MIN(Eingaben!$B$18,MAX(0,F2391-I2391)),0)</f>
        <v>1.7442</v>
      </c>
      <c r="K2391" s="13" t="n">
        <f aca="false">H2391+I2391</f>
        <v>0.89</v>
      </c>
      <c r="L2391" s="13" t="n">
        <f aca="false">MAX(0,D2391-K2391)</f>
        <v>0</v>
      </c>
      <c r="M2391" s="13" t="n">
        <f aca="false">MAX(0,F2391-I2391-J2391)</f>
        <v>0</v>
      </c>
      <c r="N2391" s="13" t="n">
        <f aca="false">IF(Kalender!A195="",0,J2390-H2391)</f>
        <v>0.8542</v>
      </c>
    </row>
    <row r="2392" customFormat="false" ht="16.4" hidden="false" customHeight="false" outlineLevel="0" collapsed="false">
      <c r="A2392" s="13" t="str">
        <f aca="false">""</f>
        <v/>
      </c>
      <c r="B2392" s="13" t="n">
        <f aca="false">192</f>
        <v>192</v>
      </c>
      <c r="C2392" s="13" t="n">
        <f aca="false">IF(Szenarien!$H$17="OK",(IFERROR(SUMIF(Nutzungsprofile!$B$6:$B$11,"Schulbetrieb",Nutzungsprofile!$G$6:$G$11)*Kalender!C196/SUM(Kalender!$C$5:$C$370),0)+IFERROR(SUMIF(Nutzungsprofile!$B$6:$B$11,"Halle",Nutzungsprofile!$G$6:$G$11)*Kalender!D196/SUM(Kalender!$D$5:$D$370),0)+IFERROR(SUMIF(Nutzungsprofile!$B$6:$B$11,"Individuell",Nutzungsprofile!$G$6:$G$11)*Kalender!E196/SUM(Kalender!$E$5:$E$370),0))*Szenarien!$E$17,0)</f>
        <v>2.04</v>
      </c>
      <c r="D2392" s="13" t="n">
        <f aca="false">IF(Szenarien!$H$17="OK",(IFERROR(SUMIF(Nutzungsprofile!$B$17:$B$22,"Schulbetrieb",Nutzungsprofile!$G$17:$G$22)*Kalender!C196/SUM(Kalender!$C$5:$C$370),0)+IFERROR(SUMIF(Nutzungsprofile!$B$17:$B$22,"Halle",Nutzungsprofile!$G$17:$G$22)*Kalender!D196/SUM(Kalender!$D$5:$D$370),0)+IFERROR(SUMIF(Nutzungsprofile!$B$17:$B$22,"Individuell",Nutzungsprofile!$G$17:$G$22)*Kalender!E196/SUM(Kalender!$E$5:$E$370),0))*Szenarien!$D$17,0)</f>
        <v>0.89</v>
      </c>
      <c r="E2392" s="13" t="n">
        <f aca="false">IFERROR(MIN(C2392,Eingaben!$B$17)*Eingaben!$B$16,0)</f>
        <v>1.938</v>
      </c>
      <c r="F2392" s="13" t="n">
        <f aca="false">IFERROR(E2392*Eingaben!$B$15,0)</f>
        <v>1.7442</v>
      </c>
      <c r="G2392" s="13" t="n">
        <f aca="false">IFERROR(IF(Kalender!A196="",0,J2391*(1-Eingaben!$B$20)),0)</f>
        <v>1.709316</v>
      </c>
      <c r="H2392" s="13" t="n">
        <f aca="false">MIN(G2392,D2392)</f>
        <v>0.89</v>
      </c>
      <c r="I2392" s="13" t="n">
        <f aca="false">IFERROR(MIN(F2392*Eingaben!$B$19,MAX(0,D2392-H2392)),0)</f>
        <v>0</v>
      </c>
      <c r="J2392" s="13" t="n">
        <f aca="false">IFERROR(MIN(Eingaben!$B$18,MAX(0,F2392-I2392)),0)</f>
        <v>1.7442</v>
      </c>
      <c r="K2392" s="13" t="n">
        <f aca="false">H2392+I2392</f>
        <v>0.89</v>
      </c>
      <c r="L2392" s="13" t="n">
        <f aca="false">MAX(0,D2392-K2392)</f>
        <v>0</v>
      </c>
      <c r="M2392" s="13" t="n">
        <f aca="false">MAX(0,F2392-I2392-J2392)</f>
        <v>0</v>
      </c>
      <c r="N2392" s="13" t="n">
        <f aca="false">IF(Kalender!A196="",0,J2391-H2392)</f>
        <v>0.8542</v>
      </c>
    </row>
    <row r="2393" customFormat="false" ht="16.4" hidden="false" customHeight="false" outlineLevel="0" collapsed="false">
      <c r="A2393" s="13" t="str">
        <f aca="false">""</f>
        <v/>
      </c>
      <c r="B2393" s="13" t="n">
        <f aca="false">193</f>
        <v>193</v>
      </c>
      <c r="C2393" s="13" t="n">
        <f aca="false">IF(Szenarien!$H$17="OK",(IFERROR(SUMIF(Nutzungsprofile!$B$6:$B$11,"Schulbetrieb",Nutzungsprofile!$G$6:$G$11)*Kalender!C197/SUM(Kalender!$C$5:$C$370),0)+IFERROR(SUMIF(Nutzungsprofile!$B$6:$B$11,"Halle",Nutzungsprofile!$G$6:$G$11)*Kalender!D197/SUM(Kalender!$D$5:$D$370),0)+IFERROR(SUMIF(Nutzungsprofile!$B$6:$B$11,"Individuell",Nutzungsprofile!$G$6:$G$11)*Kalender!E197/SUM(Kalender!$E$5:$E$370),0))*Szenarien!$E$17,0)</f>
        <v>2.04</v>
      </c>
      <c r="D2393" s="13" t="n">
        <f aca="false">IF(Szenarien!$H$17="OK",(IFERROR(SUMIF(Nutzungsprofile!$B$17:$B$22,"Schulbetrieb",Nutzungsprofile!$G$17:$G$22)*Kalender!C197/SUM(Kalender!$C$5:$C$370),0)+IFERROR(SUMIF(Nutzungsprofile!$B$17:$B$22,"Halle",Nutzungsprofile!$G$17:$G$22)*Kalender!D197/SUM(Kalender!$D$5:$D$370),0)+IFERROR(SUMIF(Nutzungsprofile!$B$17:$B$22,"Individuell",Nutzungsprofile!$G$17:$G$22)*Kalender!E197/SUM(Kalender!$E$5:$E$370),0))*Szenarien!$D$17,0)</f>
        <v>0.89</v>
      </c>
      <c r="E2393" s="13" t="n">
        <f aca="false">IFERROR(MIN(C2393,Eingaben!$B$17)*Eingaben!$B$16,0)</f>
        <v>1.938</v>
      </c>
      <c r="F2393" s="13" t="n">
        <f aca="false">IFERROR(E2393*Eingaben!$B$15,0)</f>
        <v>1.7442</v>
      </c>
      <c r="G2393" s="13" t="n">
        <f aca="false">IFERROR(IF(Kalender!A197="",0,J2392*(1-Eingaben!$B$20)),0)</f>
        <v>1.709316</v>
      </c>
      <c r="H2393" s="13" t="n">
        <f aca="false">MIN(G2393,D2393)</f>
        <v>0.89</v>
      </c>
      <c r="I2393" s="13" t="n">
        <f aca="false">IFERROR(MIN(F2393*Eingaben!$B$19,MAX(0,D2393-H2393)),0)</f>
        <v>0</v>
      </c>
      <c r="J2393" s="13" t="n">
        <f aca="false">IFERROR(MIN(Eingaben!$B$18,MAX(0,F2393-I2393)),0)</f>
        <v>1.7442</v>
      </c>
      <c r="K2393" s="13" t="n">
        <f aca="false">H2393+I2393</f>
        <v>0.89</v>
      </c>
      <c r="L2393" s="13" t="n">
        <f aca="false">MAX(0,D2393-K2393)</f>
        <v>0</v>
      </c>
      <c r="M2393" s="13" t="n">
        <f aca="false">MAX(0,F2393-I2393-J2393)</f>
        <v>0</v>
      </c>
      <c r="N2393" s="13" t="n">
        <f aca="false">IF(Kalender!A197="",0,J2392-H2393)</f>
        <v>0.8542</v>
      </c>
    </row>
    <row r="2394" customFormat="false" ht="16.4" hidden="false" customHeight="false" outlineLevel="0" collapsed="false">
      <c r="A2394" s="13" t="str">
        <f aca="false">""</f>
        <v/>
      </c>
      <c r="B2394" s="13" t="n">
        <f aca="false">194</f>
        <v>194</v>
      </c>
      <c r="C2394" s="13" t="n">
        <f aca="false">IF(Szenarien!$H$17="OK",(IFERROR(SUMIF(Nutzungsprofile!$B$6:$B$11,"Schulbetrieb",Nutzungsprofile!$G$6:$G$11)*Kalender!C198/SUM(Kalender!$C$5:$C$370),0)+IFERROR(SUMIF(Nutzungsprofile!$B$6:$B$11,"Halle",Nutzungsprofile!$G$6:$G$11)*Kalender!D198/SUM(Kalender!$D$5:$D$370),0)+IFERROR(SUMIF(Nutzungsprofile!$B$6:$B$11,"Individuell",Nutzungsprofile!$G$6:$G$11)*Kalender!E198/SUM(Kalender!$E$5:$E$370),0))*Szenarien!$E$17,0)</f>
        <v>2.04</v>
      </c>
      <c r="D2394" s="13" t="n">
        <f aca="false">IF(Szenarien!$H$17="OK",(IFERROR(SUMIF(Nutzungsprofile!$B$17:$B$22,"Schulbetrieb",Nutzungsprofile!$G$17:$G$22)*Kalender!C198/SUM(Kalender!$C$5:$C$370),0)+IFERROR(SUMIF(Nutzungsprofile!$B$17:$B$22,"Halle",Nutzungsprofile!$G$17:$G$22)*Kalender!D198/SUM(Kalender!$D$5:$D$370),0)+IFERROR(SUMIF(Nutzungsprofile!$B$17:$B$22,"Individuell",Nutzungsprofile!$G$17:$G$22)*Kalender!E198/SUM(Kalender!$E$5:$E$370),0))*Szenarien!$D$17,0)</f>
        <v>0.89</v>
      </c>
      <c r="E2394" s="13" t="n">
        <f aca="false">IFERROR(MIN(C2394,Eingaben!$B$17)*Eingaben!$B$16,0)</f>
        <v>1.938</v>
      </c>
      <c r="F2394" s="13" t="n">
        <f aca="false">IFERROR(E2394*Eingaben!$B$15,0)</f>
        <v>1.7442</v>
      </c>
      <c r="G2394" s="13" t="n">
        <f aca="false">IFERROR(IF(Kalender!A198="",0,J2393*(1-Eingaben!$B$20)),0)</f>
        <v>1.709316</v>
      </c>
      <c r="H2394" s="13" t="n">
        <f aca="false">MIN(G2394,D2394)</f>
        <v>0.89</v>
      </c>
      <c r="I2394" s="13" t="n">
        <f aca="false">IFERROR(MIN(F2394*Eingaben!$B$19,MAX(0,D2394-H2394)),0)</f>
        <v>0</v>
      </c>
      <c r="J2394" s="13" t="n">
        <f aca="false">IFERROR(MIN(Eingaben!$B$18,MAX(0,F2394-I2394)),0)</f>
        <v>1.7442</v>
      </c>
      <c r="K2394" s="13" t="n">
        <f aca="false">H2394+I2394</f>
        <v>0.89</v>
      </c>
      <c r="L2394" s="13" t="n">
        <f aca="false">MAX(0,D2394-K2394)</f>
        <v>0</v>
      </c>
      <c r="M2394" s="13" t="n">
        <f aca="false">MAX(0,F2394-I2394-J2394)</f>
        <v>0</v>
      </c>
      <c r="N2394" s="13" t="n">
        <f aca="false">IF(Kalender!A198="",0,J2393-H2394)</f>
        <v>0.8542</v>
      </c>
    </row>
    <row r="2395" customFormat="false" ht="16.4" hidden="false" customHeight="false" outlineLevel="0" collapsed="false">
      <c r="A2395" s="13" t="str">
        <f aca="false">""</f>
        <v/>
      </c>
      <c r="B2395" s="13" t="n">
        <f aca="false">195</f>
        <v>195</v>
      </c>
      <c r="C2395" s="13" t="n">
        <f aca="false">IF(Szenarien!$H$17="OK",(IFERROR(SUMIF(Nutzungsprofile!$B$6:$B$11,"Schulbetrieb",Nutzungsprofile!$G$6:$G$11)*Kalender!C199/SUM(Kalender!$C$5:$C$370),0)+IFERROR(SUMIF(Nutzungsprofile!$B$6:$B$11,"Halle",Nutzungsprofile!$G$6:$G$11)*Kalender!D199/SUM(Kalender!$D$5:$D$370),0)+IFERROR(SUMIF(Nutzungsprofile!$B$6:$B$11,"Individuell",Nutzungsprofile!$G$6:$G$11)*Kalender!E199/SUM(Kalender!$E$5:$E$370),0))*Szenarien!$E$17,0)</f>
        <v>2.04</v>
      </c>
      <c r="D2395" s="13" t="n">
        <f aca="false">IF(Szenarien!$H$17="OK",(IFERROR(SUMIF(Nutzungsprofile!$B$17:$B$22,"Schulbetrieb",Nutzungsprofile!$G$17:$G$22)*Kalender!C199/SUM(Kalender!$C$5:$C$370),0)+IFERROR(SUMIF(Nutzungsprofile!$B$17:$B$22,"Halle",Nutzungsprofile!$G$17:$G$22)*Kalender!D199/SUM(Kalender!$D$5:$D$370),0)+IFERROR(SUMIF(Nutzungsprofile!$B$17:$B$22,"Individuell",Nutzungsprofile!$G$17:$G$22)*Kalender!E199/SUM(Kalender!$E$5:$E$370),0))*Szenarien!$D$17,0)</f>
        <v>0.89</v>
      </c>
      <c r="E2395" s="13" t="n">
        <f aca="false">IFERROR(MIN(C2395,Eingaben!$B$17)*Eingaben!$B$16,0)</f>
        <v>1.938</v>
      </c>
      <c r="F2395" s="13" t="n">
        <f aca="false">IFERROR(E2395*Eingaben!$B$15,0)</f>
        <v>1.7442</v>
      </c>
      <c r="G2395" s="13" t="n">
        <f aca="false">IFERROR(IF(Kalender!A199="",0,J2394*(1-Eingaben!$B$20)),0)</f>
        <v>1.709316</v>
      </c>
      <c r="H2395" s="13" t="n">
        <f aca="false">MIN(G2395,D2395)</f>
        <v>0.89</v>
      </c>
      <c r="I2395" s="13" t="n">
        <f aca="false">IFERROR(MIN(F2395*Eingaben!$B$19,MAX(0,D2395-H2395)),0)</f>
        <v>0</v>
      </c>
      <c r="J2395" s="13" t="n">
        <f aca="false">IFERROR(MIN(Eingaben!$B$18,MAX(0,F2395-I2395)),0)</f>
        <v>1.7442</v>
      </c>
      <c r="K2395" s="13" t="n">
        <f aca="false">H2395+I2395</f>
        <v>0.89</v>
      </c>
      <c r="L2395" s="13" t="n">
        <f aca="false">MAX(0,D2395-K2395)</f>
        <v>0</v>
      </c>
      <c r="M2395" s="13" t="n">
        <f aca="false">MAX(0,F2395-I2395-J2395)</f>
        <v>0</v>
      </c>
      <c r="N2395" s="13" t="n">
        <f aca="false">IF(Kalender!A199="",0,J2394-H2395)</f>
        <v>0.8542</v>
      </c>
    </row>
    <row r="2396" customFormat="false" ht="16.4" hidden="false" customHeight="false" outlineLevel="0" collapsed="false">
      <c r="A2396" s="13" t="str">
        <f aca="false">""</f>
        <v/>
      </c>
      <c r="B2396" s="13" t="n">
        <f aca="false">196</f>
        <v>196</v>
      </c>
      <c r="C2396" s="13" t="n">
        <f aca="false">IF(Szenarien!$H$17="OK",(IFERROR(SUMIF(Nutzungsprofile!$B$6:$B$11,"Schulbetrieb",Nutzungsprofile!$G$6:$G$11)*Kalender!C200/SUM(Kalender!$C$5:$C$370),0)+IFERROR(SUMIF(Nutzungsprofile!$B$6:$B$11,"Halle",Nutzungsprofile!$G$6:$G$11)*Kalender!D200/SUM(Kalender!$D$5:$D$370),0)+IFERROR(SUMIF(Nutzungsprofile!$B$6:$B$11,"Individuell",Nutzungsprofile!$G$6:$G$11)*Kalender!E200/SUM(Kalender!$E$5:$E$370),0))*Szenarien!$E$17,0)</f>
        <v>2.04</v>
      </c>
      <c r="D2396" s="13" t="n">
        <f aca="false">IF(Szenarien!$H$17="OK",(IFERROR(SUMIF(Nutzungsprofile!$B$17:$B$22,"Schulbetrieb",Nutzungsprofile!$G$17:$G$22)*Kalender!C200/SUM(Kalender!$C$5:$C$370),0)+IFERROR(SUMIF(Nutzungsprofile!$B$17:$B$22,"Halle",Nutzungsprofile!$G$17:$G$22)*Kalender!D200/SUM(Kalender!$D$5:$D$370),0)+IFERROR(SUMIF(Nutzungsprofile!$B$17:$B$22,"Individuell",Nutzungsprofile!$G$17:$G$22)*Kalender!E200/SUM(Kalender!$E$5:$E$370),0))*Szenarien!$D$17,0)</f>
        <v>0.89</v>
      </c>
      <c r="E2396" s="13" t="n">
        <f aca="false">IFERROR(MIN(C2396,Eingaben!$B$17)*Eingaben!$B$16,0)</f>
        <v>1.938</v>
      </c>
      <c r="F2396" s="13" t="n">
        <f aca="false">IFERROR(E2396*Eingaben!$B$15,0)</f>
        <v>1.7442</v>
      </c>
      <c r="G2396" s="13" t="n">
        <f aca="false">IFERROR(IF(Kalender!A200="",0,J2395*(1-Eingaben!$B$20)),0)</f>
        <v>1.709316</v>
      </c>
      <c r="H2396" s="13" t="n">
        <f aca="false">MIN(G2396,D2396)</f>
        <v>0.89</v>
      </c>
      <c r="I2396" s="13" t="n">
        <f aca="false">IFERROR(MIN(F2396*Eingaben!$B$19,MAX(0,D2396-H2396)),0)</f>
        <v>0</v>
      </c>
      <c r="J2396" s="13" t="n">
        <f aca="false">IFERROR(MIN(Eingaben!$B$18,MAX(0,F2396-I2396)),0)</f>
        <v>1.7442</v>
      </c>
      <c r="K2396" s="13" t="n">
        <f aca="false">H2396+I2396</f>
        <v>0.89</v>
      </c>
      <c r="L2396" s="13" t="n">
        <f aca="false">MAX(0,D2396-K2396)</f>
        <v>0</v>
      </c>
      <c r="M2396" s="13" t="n">
        <f aca="false">MAX(0,F2396-I2396-J2396)</f>
        <v>0</v>
      </c>
      <c r="N2396" s="13" t="n">
        <f aca="false">IF(Kalender!A200="",0,J2395-H2396)</f>
        <v>0.8542</v>
      </c>
    </row>
    <row r="2397" customFormat="false" ht="16.4" hidden="false" customHeight="false" outlineLevel="0" collapsed="false">
      <c r="A2397" s="13" t="str">
        <f aca="false">""</f>
        <v/>
      </c>
      <c r="B2397" s="13" t="n">
        <f aca="false">197</f>
        <v>197</v>
      </c>
      <c r="C2397" s="13" t="n">
        <f aca="false">IF(Szenarien!$H$17="OK",(IFERROR(SUMIF(Nutzungsprofile!$B$6:$B$11,"Schulbetrieb",Nutzungsprofile!$G$6:$G$11)*Kalender!C201/SUM(Kalender!$C$5:$C$370),0)+IFERROR(SUMIF(Nutzungsprofile!$B$6:$B$11,"Halle",Nutzungsprofile!$G$6:$G$11)*Kalender!D201/SUM(Kalender!$D$5:$D$370),0)+IFERROR(SUMIF(Nutzungsprofile!$B$6:$B$11,"Individuell",Nutzungsprofile!$G$6:$G$11)*Kalender!E201/SUM(Kalender!$E$5:$E$370),0))*Szenarien!$E$17,0)</f>
        <v>2.04</v>
      </c>
      <c r="D2397" s="13" t="n">
        <f aca="false">IF(Szenarien!$H$17="OK",(IFERROR(SUMIF(Nutzungsprofile!$B$17:$B$22,"Schulbetrieb",Nutzungsprofile!$G$17:$G$22)*Kalender!C201/SUM(Kalender!$C$5:$C$370),0)+IFERROR(SUMIF(Nutzungsprofile!$B$17:$B$22,"Halle",Nutzungsprofile!$G$17:$G$22)*Kalender!D201/SUM(Kalender!$D$5:$D$370),0)+IFERROR(SUMIF(Nutzungsprofile!$B$17:$B$22,"Individuell",Nutzungsprofile!$G$17:$G$22)*Kalender!E201/SUM(Kalender!$E$5:$E$370),0))*Szenarien!$D$17,0)</f>
        <v>0.89</v>
      </c>
      <c r="E2397" s="13" t="n">
        <f aca="false">IFERROR(MIN(C2397,Eingaben!$B$17)*Eingaben!$B$16,0)</f>
        <v>1.938</v>
      </c>
      <c r="F2397" s="13" t="n">
        <f aca="false">IFERROR(E2397*Eingaben!$B$15,0)</f>
        <v>1.7442</v>
      </c>
      <c r="G2397" s="13" t="n">
        <f aca="false">IFERROR(IF(Kalender!A201="",0,J2396*(1-Eingaben!$B$20)),0)</f>
        <v>1.709316</v>
      </c>
      <c r="H2397" s="13" t="n">
        <f aca="false">MIN(G2397,D2397)</f>
        <v>0.89</v>
      </c>
      <c r="I2397" s="13" t="n">
        <f aca="false">IFERROR(MIN(F2397*Eingaben!$B$19,MAX(0,D2397-H2397)),0)</f>
        <v>0</v>
      </c>
      <c r="J2397" s="13" t="n">
        <f aca="false">IFERROR(MIN(Eingaben!$B$18,MAX(0,F2397-I2397)),0)</f>
        <v>1.7442</v>
      </c>
      <c r="K2397" s="13" t="n">
        <f aca="false">H2397+I2397</f>
        <v>0.89</v>
      </c>
      <c r="L2397" s="13" t="n">
        <f aca="false">MAX(0,D2397-K2397)</f>
        <v>0</v>
      </c>
      <c r="M2397" s="13" t="n">
        <f aca="false">MAX(0,F2397-I2397-J2397)</f>
        <v>0</v>
      </c>
      <c r="N2397" s="13" t="n">
        <f aca="false">IF(Kalender!A201="",0,J2396-H2397)</f>
        <v>0.8542</v>
      </c>
    </row>
    <row r="2398" customFormat="false" ht="16.4" hidden="false" customHeight="false" outlineLevel="0" collapsed="false">
      <c r="A2398" s="13" t="str">
        <f aca="false">""</f>
        <v/>
      </c>
      <c r="B2398" s="13" t="n">
        <f aca="false">198</f>
        <v>198</v>
      </c>
      <c r="C2398" s="13" t="n">
        <f aca="false">IF(Szenarien!$H$17="OK",(IFERROR(SUMIF(Nutzungsprofile!$B$6:$B$11,"Schulbetrieb",Nutzungsprofile!$G$6:$G$11)*Kalender!C202/SUM(Kalender!$C$5:$C$370),0)+IFERROR(SUMIF(Nutzungsprofile!$B$6:$B$11,"Halle",Nutzungsprofile!$G$6:$G$11)*Kalender!D202/SUM(Kalender!$D$5:$D$370),0)+IFERROR(SUMIF(Nutzungsprofile!$B$6:$B$11,"Individuell",Nutzungsprofile!$G$6:$G$11)*Kalender!E202/SUM(Kalender!$E$5:$E$370),0))*Szenarien!$E$17,0)</f>
        <v>2.04</v>
      </c>
      <c r="D2398" s="13" t="n">
        <f aca="false">IF(Szenarien!$H$17="OK",(IFERROR(SUMIF(Nutzungsprofile!$B$17:$B$22,"Schulbetrieb",Nutzungsprofile!$G$17:$G$22)*Kalender!C202/SUM(Kalender!$C$5:$C$370),0)+IFERROR(SUMIF(Nutzungsprofile!$B$17:$B$22,"Halle",Nutzungsprofile!$G$17:$G$22)*Kalender!D202/SUM(Kalender!$D$5:$D$370),0)+IFERROR(SUMIF(Nutzungsprofile!$B$17:$B$22,"Individuell",Nutzungsprofile!$G$17:$G$22)*Kalender!E202/SUM(Kalender!$E$5:$E$370),0))*Szenarien!$D$17,0)</f>
        <v>0.89</v>
      </c>
      <c r="E2398" s="13" t="n">
        <f aca="false">IFERROR(MIN(C2398,Eingaben!$B$17)*Eingaben!$B$16,0)</f>
        <v>1.938</v>
      </c>
      <c r="F2398" s="13" t="n">
        <f aca="false">IFERROR(E2398*Eingaben!$B$15,0)</f>
        <v>1.7442</v>
      </c>
      <c r="G2398" s="13" t="n">
        <f aca="false">IFERROR(IF(Kalender!A202="",0,J2397*(1-Eingaben!$B$20)),0)</f>
        <v>1.709316</v>
      </c>
      <c r="H2398" s="13" t="n">
        <f aca="false">MIN(G2398,D2398)</f>
        <v>0.89</v>
      </c>
      <c r="I2398" s="13" t="n">
        <f aca="false">IFERROR(MIN(F2398*Eingaben!$B$19,MAX(0,D2398-H2398)),0)</f>
        <v>0</v>
      </c>
      <c r="J2398" s="13" t="n">
        <f aca="false">IFERROR(MIN(Eingaben!$B$18,MAX(0,F2398-I2398)),0)</f>
        <v>1.7442</v>
      </c>
      <c r="K2398" s="13" t="n">
        <f aca="false">H2398+I2398</f>
        <v>0.89</v>
      </c>
      <c r="L2398" s="13" t="n">
        <f aca="false">MAX(0,D2398-K2398)</f>
        <v>0</v>
      </c>
      <c r="M2398" s="13" t="n">
        <f aca="false">MAX(0,F2398-I2398-J2398)</f>
        <v>0</v>
      </c>
      <c r="N2398" s="13" t="n">
        <f aca="false">IF(Kalender!A202="",0,J2397-H2398)</f>
        <v>0.8542</v>
      </c>
    </row>
    <row r="2399" customFormat="false" ht="16.4" hidden="false" customHeight="false" outlineLevel="0" collapsed="false">
      <c r="A2399" s="13" t="str">
        <f aca="false">""</f>
        <v/>
      </c>
      <c r="B2399" s="13" t="n">
        <f aca="false">199</f>
        <v>199</v>
      </c>
      <c r="C2399" s="13" t="n">
        <f aca="false">IF(Szenarien!$H$17="OK",(IFERROR(SUMIF(Nutzungsprofile!$B$6:$B$11,"Schulbetrieb",Nutzungsprofile!$G$6:$G$11)*Kalender!C203/SUM(Kalender!$C$5:$C$370),0)+IFERROR(SUMIF(Nutzungsprofile!$B$6:$B$11,"Halle",Nutzungsprofile!$G$6:$G$11)*Kalender!D203/SUM(Kalender!$D$5:$D$370),0)+IFERROR(SUMIF(Nutzungsprofile!$B$6:$B$11,"Individuell",Nutzungsprofile!$G$6:$G$11)*Kalender!E203/SUM(Kalender!$E$5:$E$370),0))*Szenarien!$E$17,0)</f>
        <v>2.04</v>
      </c>
      <c r="D2399" s="13" t="n">
        <f aca="false">IF(Szenarien!$H$17="OK",(IFERROR(SUMIF(Nutzungsprofile!$B$17:$B$22,"Schulbetrieb",Nutzungsprofile!$G$17:$G$22)*Kalender!C203/SUM(Kalender!$C$5:$C$370),0)+IFERROR(SUMIF(Nutzungsprofile!$B$17:$B$22,"Halle",Nutzungsprofile!$G$17:$G$22)*Kalender!D203/SUM(Kalender!$D$5:$D$370),0)+IFERROR(SUMIF(Nutzungsprofile!$B$17:$B$22,"Individuell",Nutzungsprofile!$G$17:$G$22)*Kalender!E203/SUM(Kalender!$E$5:$E$370),0))*Szenarien!$D$17,0)</f>
        <v>0.89</v>
      </c>
      <c r="E2399" s="13" t="n">
        <f aca="false">IFERROR(MIN(C2399,Eingaben!$B$17)*Eingaben!$B$16,0)</f>
        <v>1.938</v>
      </c>
      <c r="F2399" s="13" t="n">
        <f aca="false">IFERROR(E2399*Eingaben!$B$15,0)</f>
        <v>1.7442</v>
      </c>
      <c r="G2399" s="13" t="n">
        <f aca="false">IFERROR(IF(Kalender!A203="",0,J2398*(1-Eingaben!$B$20)),0)</f>
        <v>1.709316</v>
      </c>
      <c r="H2399" s="13" t="n">
        <f aca="false">MIN(G2399,D2399)</f>
        <v>0.89</v>
      </c>
      <c r="I2399" s="13" t="n">
        <f aca="false">IFERROR(MIN(F2399*Eingaben!$B$19,MAX(0,D2399-H2399)),0)</f>
        <v>0</v>
      </c>
      <c r="J2399" s="13" t="n">
        <f aca="false">IFERROR(MIN(Eingaben!$B$18,MAX(0,F2399-I2399)),0)</f>
        <v>1.7442</v>
      </c>
      <c r="K2399" s="13" t="n">
        <f aca="false">H2399+I2399</f>
        <v>0.89</v>
      </c>
      <c r="L2399" s="13" t="n">
        <f aca="false">MAX(0,D2399-K2399)</f>
        <v>0</v>
      </c>
      <c r="M2399" s="13" t="n">
        <f aca="false">MAX(0,F2399-I2399-J2399)</f>
        <v>0</v>
      </c>
      <c r="N2399" s="13" t="n">
        <f aca="false">IF(Kalender!A203="",0,J2398-H2399)</f>
        <v>0.8542</v>
      </c>
    </row>
    <row r="2400" customFormat="false" ht="16.4" hidden="false" customHeight="false" outlineLevel="0" collapsed="false">
      <c r="A2400" s="13" t="str">
        <f aca="false">""</f>
        <v/>
      </c>
      <c r="B2400" s="13" t="n">
        <f aca="false">200</f>
        <v>200</v>
      </c>
      <c r="C2400" s="13" t="n">
        <f aca="false">IF(Szenarien!$H$17="OK",(IFERROR(SUMIF(Nutzungsprofile!$B$6:$B$11,"Schulbetrieb",Nutzungsprofile!$G$6:$G$11)*Kalender!C204/SUM(Kalender!$C$5:$C$370),0)+IFERROR(SUMIF(Nutzungsprofile!$B$6:$B$11,"Halle",Nutzungsprofile!$G$6:$G$11)*Kalender!D204/SUM(Kalender!$D$5:$D$370),0)+IFERROR(SUMIF(Nutzungsprofile!$B$6:$B$11,"Individuell",Nutzungsprofile!$G$6:$G$11)*Kalender!E204/SUM(Kalender!$E$5:$E$370),0))*Szenarien!$E$17,0)</f>
        <v>2.04</v>
      </c>
      <c r="D2400" s="13" t="n">
        <f aca="false">IF(Szenarien!$H$17="OK",(IFERROR(SUMIF(Nutzungsprofile!$B$17:$B$22,"Schulbetrieb",Nutzungsprofile!$G$17:$G$22)*Kalender!C204/SUM(Kalender!$C$5:$C$370),0)+IFERROR(SUMIF(Nutzungsprofile!$B$17:$B$22,"Halle",Nutzungsprofile!$G$17:$G$22)*Kalender!D204/SUM(Kalender!$D$5:$D$370),0)+IFERROR(SUMIF(Nutzungsprofile!$B$17:$B$22,"Individuell",Nutzungsprofile!$G$17:$G$22)*Kalender!E204/SUM(Kalender!$E$5:$E$370),0))*Szenarien!$D$17,0)</f>
        <v>0.89</v>
      </c>
      <c r="E2400" s="13" t="n">
        <f aca="false">IFERROR(MIN(C2400,Eingaben!$B$17)*Eingaben!$B$16,0)</f>
        <v>1.938</v>
      </c>
      <c r="F2400" s="13" t="n">
        <f aca="false">IFERROR(E2400*Eingaben!$B$15,0)</f>
        <v>1.7442</v>
      </c>
      <c r="G2400" s="13" t="n">
        <f aca="false">IFERROR(IF(Kalender!A204="",0,J2399*(1-Eingaben!$B$20)),0)</f>
        <v>1.709316</v>
      </c>
      <c r="H2400" s="13" t="n">
        <f aca="false">MIN(G2400,D2400)</f>
        <v>0.89</v>
      </c>
      <c r="I2400" s="13" t="n">
        <f aca="false">IFERROR(MIN(F2400*Eingaben!$B$19,MAX(0,D2400-H2400)),0)</f>
        <v>0</v>
      </c>
      <c r="J2400" s="13" t="n">
        <f aca="false">IFERROR(MIN(Eingaben!$B$18,MAX(0,F2400-I2400)),0)</f>
        <v>1.7442</v>
      </c>
      <c r="K2400" s="13" t="n">
        <f aca="false">H2400+I2400</f>
        <v>0.89</v>
      </c>
      <c r="L2400" s="13" t="n">
        <f aca="false">MAX(0,D2400-K2400)</f>
        <v>0</v>
      </c>
      <c r="M2400" s="13" t="n">
        <f aca="false">MAX(0,F2400-I2400-J2400)</f>
        <v>0</v>
      </c>
      <c r="N2400" s="13" t="n">
        <f aca="false">IF(Kalender!A204="",0,J2399-H2400)</f>
        <v>0.8542</v>
      </c>
    </row>
    <row r="2401" customFormat="false" ht="16.4" hidden="false" customHeight="false" outlineLevel="0" collapsed="false">
      <c r="A2401" s="13" t="str">
        <f aca="false">""</f>
        <v/>
      </c>
      <c r="B2401" s="13" t="n">
        <f aca="false">201</f>
        <v>201</v>
      </c>
      <c r="C2401" s="13" t="n">
        <f aca="false">IF(Szenarien!$H$17="OK",(IFERROR(SUMIF(Nutzungsprofile!$B$6:$B$11,"Schulbetrieb",Nutzungsprofile!$G$6:$G$11)*Kalender!C205/SUM(Kalender!$C$5:$C$370),0)+IFERROR(SUMIF(Nutzungsprofile!$B$6:$B$11,"Halle",Nutzungsprofile!$G$6:$G$11)*Kalender!D205/SUM(Kalender!$D$5:$D$370),0)+IFERROR(SUMIF(Nutzungsprofile!$B$6:$B$11,"Individuell",Nutzungsprofile!$G$6:$G$11)*Kalender!E205/SUM(Kalender!$E$5:$E$370),0))*Szenarien!$E$17,0)</f>
        <v>2.04</v>
      </c>
      <c r="D2401" s="13" t="n">
        <f aca="false">IF(Szenarien!$H$17="OK",(IFERROR(SUMIF(Nutzungsprofile!$B$17:$B$22,"Schulbetrieb",Nutzungsprofile!$G$17:$G$22)*Kalender!C205/SUM(Kalender!$C$5:$C$370),0)+IFERROR(SUMIF(Nutzungsprofile!$B$17:$B$22,"Halle",Nutzungsprofile!$G$17:$G$22)*Kalender!D205/SUM(Kalender!$D$5:$D$370),0)+IFERROR(SUMIF(Nutzungsprofile!$B$17:$B$22,"Individuell",Nutzungsprofile!$G$17:$G$22)*Kalender!E205/SUM(Kalender!$E$5:$E$370),0))*Szenarien!$D$17,0)</f>
        <v>0.89</v>
      </c>
      <c r="E2401" s="13" t="n">
        <f aca="false">IFERROR(MIN(C2401,Eingaben!$B$17)*Eingaben!$B$16,0)</f>
        <v>1.938</v>
      </c>
      <c r="F2401" s="13" t="n">
        <f aca="false">IFERROR(E2401*Eingaben!$B$15,0)</f>
        <v>1.7442</v>
      </c>
      <c r="G2401" s="13" t="n">
        <f aca="false">IFERROR(IF(Kalender!A205="",0,J2400*(1-Eingaben!$B$20)),0)</f>
        <v>1.709316</v>
      </c>
      <c r="H2401" s="13" t="n">
        <f aca="false">MIN(G2401,D2401)</f>
        <v>0.89</v>
      </c>
      <c r="I2401" s="13" t="n">
        <f aca="false">IFERROR(MIN(F2401*Eingaben!$B$19,MAX(0,D2401-H2401)),0)</f>
        <v>0</v>
      </c>
      <c r="J2401" s="13" t="n">
        <f aca="false">IFERROR(MIN(Eingaben!$B$18,MAX(0,F2401-I2401)),0)</f>
        <v>1.7442</v>
      </c>
      <c r="K2401" s="13" t="n">
        <f aca="false">H2401+I2401</f>
        <v>0.89</v>
      </c>
      <c r="L2401" s="13" t="n">
        <f aca="false">MAX(0,D2401-K2401)</f>
        <v>0</v>
      </c>
      <c r="M2401" s="13" t="n">
        <f aca="false">MAX(0,F2401-I2401-J2401)</f>
        <v>0</v>
      </c>
      <c r="N2401" s="13" t="n">
        <f aca="false">IF(Kalender!A205="",0,J2400-H2401)</f>
        <v>0.8542</v>
      </c>
    </row>
    <row r="2402" customFormat="false" ht="16.4" hidden="false" customHeight="false" outlineLevel="0" collapsed="false">
      <c r="A2402" s="13" t="str">
        <f aca="false">""</f>
        <v/>
      </c>
      <c r="B2402" s="13" t="n">
        <f aca="false">202</f>
        <v>202</v>
      </c>
      <c r="C2402" s="13" t="n">
        <f aca="false">IF(Szenarien!$H$17="OK",(IFERROR(SUMIF(Nutzungsprofile!$B$6:$B$11,"Schulbetrieb",Nutzungsprofile!$G$6:$G$11)*Kalender!C206/SUM(Kalender!$C$5:$C$370),0)+IFERROR(SUMIF(Nutzungsprofile!$B$6:$B$11,"Halle",Nutzungsprofile!$G$6:$G$11)*Kalender!D206/SUM(Kalender!$D$5:$D$370),0)+IFERROR(SUMIF(Nutzungsprofile!$B$6:$B$11,"Individuell",Nutzungsprofile!$G$6:$G$11)*Kalender!E206/SUM(Kalender!$E$5:$E$370),0))*Szenarien!$E$17,0)</f>
        <v>2.04</v>
      </c>
      <c r="D2402" s="13" t="n">
        <f aca="false">IF(Szenarien!$H$17="OK",(IFERROR(SUMIF(Nutzungsprofile!$B$17:$B$22,"Schulbetrieb",Nutzungsprofile!$G$17:$G$22)*Kalender!C206/SUM(Kalender!$C$5:$C$370),0)+IFERROR(SUMIF(Nutzungsprofile!$B$17:$B$22,"Halle",Nutzungsprofile!$G$17:$G$22)*Kalender!D206/SUM(Kalender!$D$5:$D$370),0)+IFERROR(SUMIF(Nutzungsprofile!$B$17:$B$22,"Individuell",Nutzungsprofile!$G$17:$G$22)*Kalender!E206/SUM(Kalender!$E$5:$E$370),0))*Szenarien!$D$17,0)</f>
        <v>0.89</v>
      </c>
      <c r="E2402" s="13" t="n">
        <f aca="false">IFERROR(MIN(C2402,Eingaben!$B$17)*Eingaben!$B$16,0)</f>
        <v>1.938</v>
      </c>
      <c r="F2402" s="13" t="n">
        <f aca="false">IFERROR(E2402*Eingaben!$B$15,0)</f>
        <v>1.7442</v>
      </c>
      <c r="G2402" s="13" t="n">
        <f aca="false">IFERROR(IF(Kalender!A206="",0,J2401*(1-Eingaben!$B$20)),0)</f>
        <v>1.709316</v>
      </c>
      <c r="H2402" s="13" t="n">
        <f aca="false">MIN(G2402,D2402)</f>
        <v>0.89</v>
      </c>
      <c r="I2402" s="13" t="n">
        <f aca="false">IFERROR(MIN(F2402*Eingaben!$B$19,MAX(0,D2402-H2402)),0)</f>
        <v>0</v>
      </c>
      <c r="J2402" s="13" t="n">
        <f aca="false">IFERROR(MIN(Eingaben!$B$18,MAX(0,F2402-I2402)),0)</f>
        <v>1.7442</v>
      </c>
      <c r="K2402" s="13" t="n">
        <f aca="false">H2402+I2402</f>
        <v>0.89</v>
      </c>
      <c r="L2402" s="13" t="n">
        <f aca="false">MAX(0,D2402-K2402)</f>
        <v>0</v>
      </c>
      <c r="M2402" s="13" t="n">
        <f aca="false">MAX(0,F2402-I2402-J2402)</f>
        <v>0</v>
      </c>
      <c r="N2402" s="13" t="n">
        <f aca="false">IF(Kalender!A206="",0,J2401-H2402)</f>
        <v>0.8542</v>
      </c>
    </row>
    <row r="2403" customFormat="false" ht="16.4" hidden="false" customHeight="false" outlineLevel="0" collapsed="false">
      <c r="A2403" s="13" t="str">
        <f aca="false">""</f>
        <v/>
      </c>
      <c r="B2403" s="13" t="n">
        <f aca="false">203</f>
        <v>203</v>
      </c>
      <c r="C2403" s="13" t="n">
        <f aca="false">IF(Szenarien!$H$17="OK",(IFERROR(SUMIF(Nutzungsprofile!$B$6:$B$11,"Schulbetrieb",Nutzungsprofile!$G$6:$G$11)*Kalender!C207/SUM(Kalender!$C$5:$C$370),0)+IFERROR(SUMIF(Nutzungsprofile!$B$6:$B$11,"Halle",Nutzungsprofile!$G$6:$G$11)*Kalender!D207/SUM(Kalender!$D$5:$D$370),0)+IFERROR(SUMIF(Nutzungsprofile!$B$6:$B$11,"Individuell",Nutzungsprofile!$G$6:$G$11)*Kalender!E207/SUM(Kalender!$E$5:$E$370),0))*Szenarien!$E$17,0)</f>
        <v>2.04</v>
      </c>
      <c r="D2403" s="13" t="n">
        <f aca="false">IF(Szenarien!$H$17="OK",(IFERROR(SUMIF(Nutzungsprofile!$B$17:$B$22,"Schulbetrieb",Nutzungsprofile!$G$17:$G$22)*Kalender!C207/SUM(Kalender!$C$5:$C$370),0)+IFERROR(SUMIF(Nutzungsprofile!$B$17:$B$22,"Halle",Nutzungsprofile!$G$17:$G$22)*Kalender!D207/SUM(Kalender!$D$5:$D$370),0)+IFERROR(SUMIF(Nutzungsprofile!$B$17:$B$22,"Individuell",Nutzungsprofile!$G$17:$G$22)*Kalender!E207/SUM(Kalender!$E$5:$E$370),0))*Szenarien!$D$17,0)</f>
        <v>0.89</v>
      </c>
      <c r="E2403" s="13" t="n">
        <f aca="false">IFERROR(MIN(C2403,Eingaben!$B$17)*Eingaben!$B$16,0)</f>
        <v>1.938</v>
      </c>
      <c r="F2403" s="13" t="n">
        <f aca="false">IFERROR(E2403*Eingaben!$B$15,0)</f>
        <v>1.7442</v>
      </c>
      <c r="G2403" s="13" t="n">
        <f aca="false">IFERROR(IF(Kalender!A207="",0,J2402*(1-Eingaben!$B$20)),0)</f>
        <v>1.709316</v>
      </c>
      <c r="H2403" s="13" t="n">
        <f aca="false">MIN(G2403,D2403)</f>
        <v>0.89</v>
      </c>
      <c r="I2403" s="13" t="n">
        <f aca="false">IFERROR(MIN(F2403*Eingaben!$B$19,MAX(0,D2403-H2403)),0)</f>
        <v>0</v>
      </c>
      <c r="J2403" s="13" t="n">
        <f aca="false">IFERROR(MIN(Eingaben!$B$18,MAX(0,F2403-I2403)),0)</f>
        <v>1.7442</v>
      </c>
      <c r="K2403" s="13" t="n">
        <f aca="false">H2403+I2403</f>
        <v>0.89</v>
      </c>
      <c r="L2403" s="13" t="n">
        <f aca="false">MAX(0,D2403-K2403)</f>
        <v>0</v>
      </c>
      <c r="M2403" s="13" t="n">
        <f aca="false">MAX(0,F2403-I2403-J2403)</f>
        <v>0</v>
      </c>
      <c r="N2403" s="13" t="n">
        <f aca="false">IF(Kalender!A207="",0,J2402-H2403)</f>
        <v>0.8542</v>
      </c>
    </row>
    <row r="2404" customFormat="false" ht="16.4" hidden="false" customHeight="false" outlineLevel="0" collapsed="false">
      <c r="A2404" s="13" t="str">
        <f aca="false">""</f>
        <v/>
      </c>
      <c r="B2404" s="13" t="n">
        <f aca="false">204</f>
        <v>204</v>
      </c>
      <c r="C2404" s="13" t="n">
        <f aca="false">IF(Szenarien!$H$17="OK",(IFERROR(SUMIF(Nutzungsprofile!$B$6:$B$11,"Schulbetrieb",Nutzungsprofile!$G$6:$G$11)*Kalender!C208/SUM(Kalender!$C$5:$C$370),0)+IFERROR(SUMIF(Nutzungsprofile!$B$6:$B$11,"Halle",Nutzungsprofile!$G$6:$G$11)*Kalender!D208/SUM(Kalender!$D$5:$D$370),0)+IFERROR(SUMIF(Nutzungsprofile!$B$6:$B$11,"Individuell",Nutzungsprofile!$G$6:$G$11)*Kalender!E208/SUM(Kalender!$E$5:$E$370),0))*Szenarien!$E$17,0)</f>
        <v>2.04</v>
      </c>
      <c r="D2404" s="13" t="n">
        <f aca="false">IF(Szenarien!$H$17="OK",(IFERROR(SUMIF(Nutzungsprofile!$B$17:$B$22,"Schulbetrieb",Nutzungsprofile!$G$17:$G$22)*Kalender!C208/SUM(Kalender!$C$5:$C$370),0)+IFERROR(SUMIF(Nutzungsprofile!$B$17:$B$22,"Halle",Nutzungsprofile!$G$17:$G$22)*Kalender!D208/SUM(Kalender!$D$5:$D$370),0)+IFERROR(SUMIF(Nutzungsprofile!$B$17:$B$22,"Individuell",Nutzungsprofile!$G$17:$G$22)*Kalender!E208/SUM(Kalender!$E$5:$E$370),0))*Szenarien!$D$17,0)</f>
        <v>0.89</v>
      </c>
      <c r="E2404" s="13" t="n">
        <f aca="false">IFERROR(MIN(C2404,Eingaben!$B$17)*Eingaben!$B$16,0)</f>
        <v>1.938</v>
      </c>
      <c r="F2404" s="13" t="n">
        <f aca="false">IFERROR(E2404*Eingaben!$B$15,0)</f>
        <v>1.7442</v>
      </c>
      <c r="G2404" s="13" t="n">
        <f aca="false">IFERROR(IF(Kalender!A208="",0,J2403*(1-Eingaben!$B$20)),0)</f>
        <v>1.709316</v>
      </c>
      <c r="H2404" s="13" t="n">
        <f aca="false">MIN(G2404,D2404)</f>
        <v>0.89</v>
      </c>
      <c r="I2404" s="13" t="n">
        <f aca="false">IFERROR(MIN(F2404*Eingaben!$B$19,MAX(0,D2404-H2404)),0)</f>
        <v>0</v>
      </c>
      <c r="J2404" s="13" t="n">
        <f aca="false">IFERROR(MIN(Eingaben!$B$18,MAX(0,F2404-I2404)),0)</f>
        <v>1.7442</v>
      </c>
      <c r="K2404" s="13" t="n">
        <f aca="false">H2404+I2404</f>
        <v>0.89</v>
      </c>
      <c r="L2404" s="13" t="n">
        <f aca="false">MAX(0,D2404-K2404)</f>
        <v>0</v>
      </c>
      <c r="M2404" s="13" t="n">
        <f aca="false">MAX(0,F2404-I2404-J2404)</f>
        <v>0</v>
      </c>
      <c r="N2404" s="13" t="n">
        <f aca="false">IF(Kalender!A208="",0,J2403-H2404)</f>
        <v>0.8542</v>
      </c>
    </row>
    <row r="2405" customFormat="false" ht="16.4" hidden="false" customHeight="false" outlineLevel="0" collapsed="false">
      <c r="A2405" s="13" t="str">
        <f aca="false">""</f>
        <v/>
      </c>
      <c r="B2405" s="13" t="n">
        <f aca="false">205</f>
        <v>205</v>
      </c>
      <c r="C2405" s="13" t="n">
        <f aca="false">IF(Szenarien!$H$17="OK",(IFERROR(SUMIF(Nutzungsprofile!$B$6:$B$11,"Schulbetrieb",Nutzungsprofile!$G$6:$G$11)*Kalender!C209/SUM(Kalender!$C$5:$C$370),0)+IFERROR(SUMIF(Nutzungsprofile!$B$6:$B$11,"Halle",Nutzungsprofile!$G$6:$G$11)*Kalender!D209/SUM(Kalender!$D$5:$D$370),0)+IFERROR(SUMIF(Nutzungsprofile!$B$6:$B$11,"Individuell",Nutzungsprofile!$G$6:$G$11)*Kalender!E209/SUM(Kalender!$E$5:$E$370),0))*Szenarien!$E$17,0)</f>
        <v>2.04</v>
      </c>
      <c r="D2405" s="13" t="n">
        <f aca="false">IF(Szenarien!$H$17="OK",(IFERROR(SUMIF(Nutzungsprofile!$B$17:$B$22,"Schulbetrieb",Nutzungsprofile!$G$17:$G$22)*Kalender!C209/SUM(Kalender!$C$5:$C$370),0)+IFERROR(SUMIF(Nutzungsprofile!$B$17:$B$22,"Halle",Nutzungsprofile!$G$17:$G$22)*Kalender!D209/SUM(Kalender!$D$5:$D$370),0)+IFERROR(SUMIF(Nutzungsprofile!$B$17:$B$22,"Individuell",Nutzungsprofile!$G$17:$G$22)*Kalender!E209/SUM(Kalender!$E$5:$E$370),0))*Szenarien!$D$17,0)</f>
        <v>0.89</v>
      </c>
      <c r="E2405" s="13" t="n">
        <f aca="false">IFERROR(MIN(C2405,Eingaben!$B$17)*Eingaben!$B$16,0)</f>
        <v>1.938</v>
      </c>
      <c r="F2405" s="13" t="n">
        <f aca="false">IFERROR(E2405*Eingaben!$B$15,0)</f>
        <v>1.7442</v>
      </c>
      <c r="G2405" s="13" t="n">
        <f aca="false">IFERROR(IF(Kalender!A209="",0,J2404*(1-Eingaben!$B$20)),0)</f>
        <v>1.709316</v>
      </c>
      <c r="H2405" s="13" t="n">
        <f aca="false">MIN(G2405,D2405)</f>
        <v>0.89</v>
      </c>
      <c r="I2405" s="13" t="n">
        <f aca="false">IFERROR(MIN(F2405*Eingaben!$B$19,MAX(0,D2405-H2405)),0)</f>
        <v>0</v>
      </c>
      <c r="J2405" s="13" t="n">
        <f aca="false">IFERROR(MIN(Eingaben!$B$18,MAX(0,F2405-I2405)),0)</f>
        <v>1.7442</v>
      </c>
      <c r="K2405" s="13" t="n">
        <f aca="false">H2405+I2405</f>
        <v>0.89</v>
      </c>
      <c r="L2405" s="13" t="n">
        <f aca="false">MAX(0,D2405-K2405)</f>
        <v>0</v>
      </c>
      <c r="M2405" s="13" t="n">
        <f aca="false">MAX(0,F2405-I2405-J2405)</f>
        <v>0</v>
      </c>
      <c r="N2405" s="13" t="n">
        <f aca="false">IF(Kalender!A209="",0,J2404-H2405)</f>
        <v>0.8542</v>
      </c>
    </row>
    <row r="2406" customFormat="false" ht="16.4" hidden="false" customHeight="false" outlineLevel="0" collapsed="false">
      <c r="A2406" s="13" t="str">
        <f aca="false">""</f>
        <v/>
      </c>
      <c r="B2406" s="13" t="n">
        <f aca="false">206</f>
        <v>206</v>
      </c>
      <c r="C2406" s="13" t="n">
        <f aca="false">IF(Szenarien!$H$17="OK",(IFERROR(SUMIF(Nutzungsprofile!$B$6:$B$11,"Schulbetrieb",Nutzungsprofile!$G$6:$G$11)*Kalender!C210/SUM(Kalender!$C$5:$C$370),0)+IFERROR(SUMIF(Nutzungsprofile!$B$6:$B$11,"Halle",Nutzungsprofile!$G$6:$G$11)*Kalender!D210/SUM(Kalender!$D$5:$D$370),0)+IFERROR(SUMIF(Nutzungsprofile!$B$6:$B$11,"Individuell",Nutzungsprofile!$G$6:$G$11)*Kalender!E210/SUM(Kalender!$E$5:$E$370),0))*Szenarien!$E$17,0)</f>
        <v>2.04</v>
      </c>
      <c r="D2406" s="13" t="n">
        <f aca="false">IF(Szenarien!$H$17="OK",(IFERROR(SUMIF(Nutzungsprofile!$B$17:$B$22,"Schulbetrieb",Nutzungsprofile!$G$17:$G$22)*Kalender!C210/SUM(Kalender!$C$5:$C$370),0)+IFERROR(SUMIF(Nutzungsprofile!$B$17:$B$22,"Halle",Nutzungsprofile!$G$17:$G$22)*Kalender!D210/SUM(Kalender!$D$5:$D$370),0)+IFERROR(SUMIF(Nutzungsprofile!$B$17:$B$22,"Individuell",Nutzungsprofile!$G$17:$G$22)*Kalender!E210/SUM(Kalender!$E$5:$E$370),0))*Szenarien!$D$17,0)</f>
        <v>0.89</v>
      </c>
      <c r="E2406" s="13" t="n">
        <f aca="false">IFERROR(MIN(C2406,Eingaben!$B$17)*Eingaben!$B$16,0)</f>
        <v>1.938</v>
      </c>
      <c r="F2406" s="13" t="n">
        <f aca="false">IFERROR(E2406*Eingaben!$B$15,0)</f>
        <v>1.7442</v>
      </c>
      <c r="G2406" s="13" t="n">
        <f aca="false">IFERROR(IF(Kalender!A210="",0,J2405*(1-Eingaben!$B$20)),0)</f>
        <v>1.709316</v>
      </c>
      <c r="H2406" s="13" t="n">
        <f aca="false">MIN(G2406,D2406)</f>
        <v>0.89</v>
      </c>
      <c r="I2406" s="13" t="n">
        <f aca="false">IFERROR(MIN(F2406*Eingaben!$B$19,MAX(0,D2406-H2406)),0)</f>
        <v>0</v>
      </c>
      <c r="J2406" s="13" t="n">
        <f aca="false">IFERROR(MIN(Eingaben!$B$18,MAX(0,F2406-I2406)),0)</f>
        <v>1.7442</v>
      </c>
      <c r="K2406" s="13" t="n">
        <f aca="false">H2406+I2406</f>
        <v>0.89</v>
      </c>
      <c r="L2406" s="13" t="n">
        <f aca="false">MAX(0,D2406-K2406)</f>
        <v>0</v>
      </c>
      <c r="M2406" s="13" t="n">
        <f aca="false">MAX(0,F2406-I2406-J2406)</f>
        <v>0</v>
      </c>
      <c r="N2406" s="13" t="n">
        <f aca="false">IF(Kalender!A210="",0,J2405-H2406)</f>
        <v>0.8542</v>
      </c>
    </row>
    <row r="2407" customFormat="false" ht="16.4" hidden="false" customHeight="false" outlineLevel="0" collapsed="false">
      <c r="A2407" s="13" t="str">
        <f aca="false">""</f>
        <v/>
      </c>
      <c r="B2407" s="13" t="n">
        <f aca="false">207</f>
        <v>207</v>
      </c>
      <c r="C2407" s="13" t="n">
        <f aca="false">IF(Szenarien!$H$17="OK",(IFERROR(SUMIF(Nutzungsprofile!$B$6:$B$11,"Schulbetrieb",Nutzungsprofile!$G$6:$G$11)*Kalender!C211/SUM(Kalender!$C$5:$C$370),0)+IFERROR(SUMIF(Nutzungsprofile!$B$6:$B$11,"Halle",Nutzungsprofile!$G$6:$G$11)*Kalender!D211/SUM(Kalender!$D$5:$D$370),0)+IFERROR(SUMIF(Nutzungsprofile!$B$6:$B$11,"Individuell",Nutzungsprofile!$G$6:$G$11)*Kalender!E211/SUM(Kalender!$E$5:$E$370),0))*Szenarien!$E$17,0)</f>
        <v>2.04</v>
      </c>
      <c r="D2407" s="13" t="n">
        <f aca="false">IF(Szenarien!$H$17="OK",(IFERROR(SUMIF(Nutzungsprofile!$B$17:$B$22,"Schulbetrieb",Nutzungsprofile!$G$17:$G$22)*Kalender!C211/SUM(Kalender!$C$5:$C$370),0)+IFERROR(SUMIF(Nutzungsprofile!$B$17:$B$22,"Halle",Nutzungsprofile!$G$17:$G$22)*Kalender!D211/SUM(Kalender!$D$5:$D$370),0)+IFERROR(SUMIF(Nutzungsprofile!$B$17:$B$22,"Individuell",Nutzungsprofile!$G$17:$G$22)*Kalender!E211/SUM(Kalender!$E$5:$E$370),0))*Szenarien!$D$17,0)</f>
        <v>0.89</v>
      </c>
      <c r="E2407" s="13" t="n">
        <f aca="false">IFERROR(MIN(C2407,Eingaben!$B$17)*Eingaben!$B$16,0)</f>
        <v>1.938</v>
      </c>
      <c r="F2407" s="13" t="n">
        <f aca="false">IFERROR(E2407*Eingaben!$B$15,0)</f>
        <v>1.7442</v>
      </c>
      <c r="G2407" s="13" t="n">
        <f aca="false">IFERROR(IF(Kalender!A211="",0,J2406*(1-Eingaben!$B$20)),0)</f>
        <v>1.709316</v>
      </c>
      <c r="H2407" s="13" t="n">
        <f aca="false">MIN(G2407,D2407)</f>
        <v>0.89</v>
      </c>
      <c r="I2407" s="13" t="n">
        <f aca="false">IFERROR(MIN(F2407*Eingaben!$B$19,MAX(0,D2407-H2407)),0)</f>
        <v>0</v>
      </c>
      <c r="J2407" s="13" t="n">
        <f aca="false">IFERROR(MIN(Eingaben!$B$18,MAX(0,F2407-I2407)),0)</f>
        <v>1.7442</v>
      </c>
      <c r="K2407" s="13" t="n">
        <f aca="false">H2407+I2407</f>
        <v>0.89</v>
      </c>
      <c r="L2407" s="13" t="n">
        <f aca="false">MAX(0,D2407-K2407)</f>
        <v>0</v>
      </c>
      <c r="M2407" s="13" t="n">
        <f aca="false">MAX(0,F2407-I2407-J2407)</f>
        <v>0</v>
      </c>
      <c r="N2407" s="13" t="n">
        <f aca="false">IF(Kalender!A211="",0,J2406-H2407)</f>
        <v>0.8542</v>
      </c>
    </row>
    <row r="2408" customFormat="false" ht="16.4" hidden="false" customHeight="false" outlineLevel="0" collapsed="false">
      <c r="A2408" s="13" t="str">
        <f aca="false">""</f>
        <v/>
      </c>
      <c r="B2408" s="13" t="n">
        <f aca="false">208</f>
        <v>208</v>
      </c>
      <c r="C2408" s="13" t="n">
        <f aca="false">IF(Szenarien!$H$17="OK",(IFERROR(SUMIF(Nutzungsprofile!$B$6:$B$11,"Schulbetrieb",Nutzungsprofile!$G$6:$G$11)*Kalender!C212/SUM(Kalender!$C$5:$C$370),0)+IFERROR(SUMIF(Nutzungsprofile!$B$6:$B$11,"Halle",Nutzungsprofile!$G$6:$G$11)*Kalender!D212/SUM(Kalender!$D$5:$D$370),0)+IFERROR(SUMIF(Nutzungsprofile!$B$6:$B$11,"Individuell",Nutzungsprofile!$G$6:$G$11)*Kalender!E212/SUM(Kalender!$E$5:$E$370),0))*Szenarien!$E$17,0)</f>
        <v>2.04</v>
      </c>
      <c r="D2408" s="13" t="n">
        <f aca="false">IF(Szenarien!$H$17="OK",(IFERROR(SUMIF(Nutzungsprofile!$B$17:$B$22,"Schulbetrieb",Nutzungsprofile!$G$17:$G$22)*Kalender!C212/SUM(Kalender!$C$5:$C$370),0)+IFERROR(SUMIF(Nutzungsprofile!$B$17:$B$22,"Halle",Nutzungsprofile!$G$17:$G$22)*Kalender!D212/SUM(Kalender!$D$5:$D$370),0)+IFERROR(SUMIF(Nutzungsprofile!$B$17:$B$22,"Individuell",Nutzungsprofile!$G$17:$G$22)*Kalender!E212/SUM(Kalender!$E$5:$E$370),0))*Szenarien!$D$17,0)</f>
        <v>0.89</v>
      </c>
      <c r="E2408" s="13" t="n">
        <f aca="false">IFERROR(MIN(C2408,Eingaben!$B$17)*Eingaben!$B$16,0)</f>
        <v>1.938</v>
      </c>
      <c r="F2408" s="13" t="n">
        <f aca="false">IFERROR(E2408*Eingaben!$B$15,0)</f>
        <v>1.7442</v>
      </c>
      <c r="G2408" s="13" t="n">
        <f aca="false">IFERROR(IF(Kalender!A212="",0,J2407*(1-Eingaben!$B$20)),0)</f>
        <v>1.709316</v>
      </c>
      <c r="H2408" s="13" t="n">
        <f aca="false">MIN(G2408,D2408)</f>
        <v>0.89</v>
      </c>
      <c r="I2408" s="13" t="n">
        <f aca="false">IFERROR(MIN(F2408*Eingaben!$B$19,MAX(0,D2408-H2408)),0)</f>
        <v>0</v>
      </c>
      <c r="J2408" s="13" t="n">
        <f aca="false">IFERROR(MIN(Eingaben!$B$18,MAX(0,F2408-I2408)),0)</f>
        <v>1.7442</v>
      </c>
      <c r="K2408" s="13" t="n">
        <f aca="false">H2408+I2408</f>
        <v>0.89</v>
      </c>
      <c r="L2408" s="13" t="n">
        <f aca="false">MAX(0,D2408-K2408)</f>
        <v>0</v>
      </c>
      <c r="M2408" s="13" t="n">
        <f aca="false">MAX(0,F2408-I2408-J2408)</f>
        <v>0</v>
      </c>
      <c r="N2408" s="13" t="n">
        <f aca="false">IF(Kalender!A212="",0,J2407-H2408)</f>
        <v>0.8542</v>
      </c>
    </row>
    <row r="2409" customFormat="false" ht="16.4" hidden="false" customHeight="false" outlineLevel="0" collapsed="false">
      <c r="A2409" s="13" t="str">
        <f aca="false">""</f>
        <v/>
      </c>
      <c r="B2409" s="13" t="n">
        <f aca="false">209</f>
        <v>209</v>
      </c>
      <c r="C2409" s="13" t="n">
        <f aca="false">IF(Szenarien!$H$17="OK",(IFERROR(SUMIF(Nutzungsprofile!$B$6:$B$11,"Schulbetrieb",Nutzungsprofile!$G$6:$G$11)*Kalender!C213/SUM(Kalender!$C$5:$C$370),0)+IFERROR(SUMIF(Nutzungsprofile!$B$6:$B$11,"Halle",Nutzungsprofile!$G$6:$G$11)*Kalender!D213/SUM(Kalender!$D$5:$D$370),0)+IFERROR(SUMIF(Nutzungsprofile!$B$6:$B$11,"Individuell",Nutzungsprofile!$G$6:$G$11)*Kalender!E213/SUM(Kalender!$E$5:$E$370),0))*Szenarien!$E$17,0)</f>
        <v>2.04</v>
      </c>
      <c r="D2409" s="13" t="n">
        <f aca="false">IF(Szenarien!$H$17="OK",(IFERROR(SUMIF(Nutzungsprofile!$B$17:$B$22,"Schulbetrieb",Nutzungsprofile!$G$17:$G$22)*Kalender!C213/SUM(Kalender!$C$5:$C$370),0)+IFERROR(SUMIF(Nutzungsprofile!$B$17:$B$22,"Halle",Nutzungsprofile!$G$17:$G$22)*Kalender!D213/SUM(Kalender!$D$5:$D$370),0)+IFERROR(SUMIF(Nutzungsprofile!$B$17:$B$22,"Individuell",Nutzungsprofile!$G$17:$G$22)*Kalender!E213/SUM(Kalender!$E$5:$E$370),0))*Szenarien!$D$17,0)</f>
        <v>0.89</v>
      </c>
      <c r="E2409" s="13" t="n">
        <f aca="false">IFERROR(MIN(C2409,Eingaben!$B$17)*Eingaben!$B$16,0)</f>
        <v>1.938</v>
      </c>
      <c r="F2409" s="13" t="n">
        <f aca="false">IFERROR(E2409*Eingaben!$B$15,0)</f>
        <v>1.7442</v>
      </c>
      <c r="G2409" s="13" t="n">
        <f aca="false">IFERROR(IF(Kalender!A213="",0,J2408*(1-Eingaben!$B$20)),0)</f>
        <v>1.709316</v>
      </c>
      <c r="H2409" s="13" t="n">
        <f aca="false">MIN(G2409,D2409)</f>
        <v>0.89</v>
      </c>
      <c r="I2409" s="13" t="n">
        <f aca="false">IFERROR(MIN(F2409*Eingaben!$B$19,MAX(0,D2409-H2409)),0)</f>
        <v>0</v>
      </c>
      <c r="J2409" s="13" t="n">
        <f aca="false">IFERROR(MIN(Eingaben!$B$18,MAX(0,F2409-I2409)),0)</f>
        <v>1.7442</v>
      </c>
      <c r="K2409" s="13" t="n">
        <f aca="false">H2409+I2409</f>
        <v>0.89</v>
      </c>
      <c r="L2409" s="13" t="n">
        <f aca="false">MAX(0,D2409-K2409)</f>
        <v>0</v>
      </c>
      <c r="M2409" s="13" t="n">
        <f aca="false">MAX(0,F2409-I2409-J2409)</f>
        <v>0</v>
      </c>
      <c r="N2409" s="13" t="n">
        <f aca="false">IF(Kalender!A213="",0,J2408-H2409)</f>
        <v>0.8542</v>
      </c>
    </row>
    <row r="2410" customFormat="false" ht="16.4" hidden="false" customHeight="false" outlineLevel="0" collapsed="false">
      <c r="A2410" s="13" t="str">
        <f aca="false">""</f>
        <v/>
      </c>
      <c r="B2410" s="13" t="n">
        <f aca="false">210</f>
        <v>210</v>
      </c>
      <c r="C2410" s="13" t="n">
        <f aca="false">IF(Szenarien!$H$17="OK",(IFERROR(SUMIF(Nutzungsprofile!$B$6:$B$11,"Schulbetrieb",Nutzungsprofile!$G$6:$G$11)*Kalender!C214/SUM(Kalender!$C$5:$C$370),0)+IFERROR(SUMIF(Nutzungsprofile!$B$6:$B$11,"Halle",Nutzungsprofile!$G$6:$G$11)*Kalender!D214/SUM(Kalender!$D$5:$D$370),0)+IFERROR(SUMIF(Nutzungsprofile!$B$6:$B$11,"Individuell",Nutzungsprofile!$G$6:$G$11)*Kalender!E214/SUM(Kalender!$E$5:$E$370),0))*Szenarien!$E$17,0)</f>
        <v>2.04</v>
      </c>
      <c r="D2410" s="13" t="n">
        <f aca="false">IF(Szenarien!$H$17="OK",(IFERROR(SUMIF(Nutzungsprofile!$B$17:$B$22,"Schulbetrieb",Nutzungsprofile!$G$17:$G$22)*Kalender!C214/SUM(Kalender!$C$5:$C$370),0)+IFERROR(SUMIF(Nutzungsprofile!$B$17:$B$22,"Halle",Nutzungsprofile!$G$17:$G$22)*Kalender!D214/SUM(Kalender!$D$5:$D$370),0)+IFERROR(SUMIF(Nutzungsprofile!$B$17:$B$22,"Individuell",Nutzungsprofile!$G$17:$G$22)*Kalender!E214/SUM(Kalender!$E$5:$E$370),0))*Szenarien!$D$17,0)</f>
        <v>0.89</v>
      </c>
      <c r="E2410" s="13" t="n">
        <f aca="false">IFERROR(MIN(C2410,Eingaben!$B$17)*Eingaben!$B$16,0)</f>
        <v>1.938</v>
      </c>
      <c r="F2410" s="13" t="n">
        <f aca="false">IFERROR(E2410*Eingaben!$B$15,0)</f>
        <v>1.7442</v>
      </c>
      <c r="G2410" s="13" t="n">
        <f aca="false">IFERROR(IF(Kalender!A214="",0,J2409*(1-Eingaben!$B$20)),0)</f>
        <v>1.709316</v>
      </c>
      <c r="H2410" s="13" t="n">
        <f aca="false">MIN(G2410,D2410)</f>
        <v>0.89</v>
      </c>
      <c r="I2410" s="13" t="n">
        <f aca="false">IFERROR(MIN(F2410*Eingaben!$B$19,MAX(0,D2410-H2410)),0)</f>
        <v>0</v>
      </c>
      <c r="J2410" s="13" t="n">
        <f aca="false">IFERROR(MIN(Eingaben!$B$18,MAX(0,F2410-I2410)),0)</f>
        <v>1.7442</v>
      </c>
      <c r="K2410" s="13" t="n">
        <f aca="false">H2410+I2410</f>
        <v>0.89</v>
      </c>
      <c r="L2410" s="13" t="n">
        <f aca="false">MAX(0,D2410-K2410)</f>
        <v>0</v>
      </c>
      <c r="M2410" s="13" t="n">
        <f aca="false">MAX(0,F2410-I2410-J2410)</f>
        <v>0</v>
      </c>
      <c r="N2410" s="13" t="n">
        <f aca="false">IF(Kalender!A214="",0,J2409-H2410)</f>
        <v>0.8542</v>
      </c>
    </row>
    <row r="2411" customFormat="false" ht="16.4" hidden="false" customHeight="false" outlineLevel="0" collapsed="false">
      <c r="A2411" s="13" t="str">
        <f aca="false">""</f>
        <v/>
      </c>
      <c r="B2411" s="13" t="n">
        <f aca="false">211</f>
        <v>211</v>
      </c>
      <c r="C2411" s="13" t="n">
        <f aca="false">IF(Szenarien!$H$17="OK",(IFERROR(SUMIF(Nutzungsprofile!$B$6:$B$11,"Schulbetrieb",Nutzungsprofile!$G$6:$G$11)*Kalender!C215/SUM(Kalender!$C$5:$C$370),0)+IFERROR(SUMIF(Nutzungsprofile!$B$6:$B$11,"Halle",Nutzungsprofile!$G$6:$G$11)*Kalender!D215/SUM(Kalender!$D$5:$D$370),0)+IFERROR(SUMIF(Nutzungsprofile!$B$6:$B$11,"Individuell",Nutzungsprofile!$G$6:$G$11)*Kalender!E215/SUM(Kalender!$E$5:$E$370),0))*Szenarien!$E$17,0)</f>
        <v>2.04</v>
      </c>
      <c r="D2411" s="13" t="n">
        <f aca="false">IF(Szenarien!$H$17="OK",(IFERROR(SUMIF(Nutzungsprofile!$B$17:$B$22,"Schulbetrieb",Nutzungsprofile!$G$17:$G$22)*Kalender!C215/SUM(Kalender!$C$5:$C$370),0)+IFERROR(SUMIF(Nutzungsprofile!$B$17:$B$22,"Halle",Nutzungsprofile!$G$17:$G$22)*Kalender!D215/SUM(Kalender!$D$5:$D$370),0)+IFERROR(SUMIF(Nutzungsprofile!$B$17:$B$22,"Individuell",Nutzungsprofile!$G$17:$G$22)*Kalender!E215/SUM(Kalender!$E$5:$E$370),0))*Szenarien!$D$17,0)</f>
        <v>0.89</v>
      </c>
      <c r="E2411" s="13" t="n">
        <f aca="false">IFERROR(MIN(C2411,Eingaben!$B$17)*Eingaben!$B$16,0)</f>
        <v>1.938</v>
      </c>
      <c r="F2411" s="13" t="n">
        <f aca="false">IFERROR(E2411*Eingaben!$B$15,0)</f>
        <v>1.7442</v>
      </c>
      <c r="G2411" s="13" t="n">
        <f aca="false">IFERROR(IF(Kalender!A215="",0,J2410*(1-Eingaben!$B$20)),0)</f>
        <v>1.709316</v>
      </c>
      <c r="H2411" s="13" t="n">
        <f aca="false">MIN(G2411,D2411)</f>
        <v>0.89</v>
      </c>
      <c r="I2411" s="13" t="n">
        <f aca="false">IFERROR(MIN(F2411*Eingaben!$B$19,MAX(0,D2411-H2411)),0)</f>
        <v>0</v>
      </c>
      <c r="J2411" s="13" t="n">
        <f aca="false">IFERROR(MIN(Eingaben!$B$18,MAX(0,F2411-I2411)),0)</f>
        <v>1.7442</v>
      </c>
      <c r="K2411" s="13" t="n">
        <f aca="false">H2411+I2411</f>
        <v>0.89</v>
      </c>
      <c r="L2411" s="13" t="n">
        <f aca="false">MAX(0,D2411-K2411)</f>
        <v>0</v>
      </c>
      <c r="M2411" s="13" t="n">
        <f aca="false">MAX(0,F2411-I2411-J2411)</f>
        <v>0</v>
      </c>
      <c r="N2411" s="13" t="n">
        <f aca="false">IF(Kalender!A215="",0,J2410-H2411)</f>
        <v>0.8542</v>
      </c>
    </row>
    <row r="2412" customFormat="false" ht="16.4" hidden="false" customHeight="false" outlineLevel="0" collapsed="false">
      <c r="A2412" s="13" t="str">
        <f aca="false">""</f>
        <v/>
      </c>
      <c r="B2412" s="13" t="n">
        <f aca="false">212</f>
        <v>212</v>
      </c>
      <c r="C2412" s="13" t="n">
        <f aca="false">IF(Szenarien!$H$17="OK",(IFERROR(SUMIF(Nutzungsprofile!$B$6:$B$11,"Schulbetrieb",Nutzungsprofile!$G$6:$G$11)*Kalender!C216/SUM(Kalender!$C$5:$C$370),0)+IFERROR(SUMIF(Nutzungsprofile!$B$6:$B$11,"Halle",Nutzungsprofile!$G$6:$G$11)*Kalender!D216/SUM(Kalender!$D$5:$D$370),0)+IFERROR(SUMIF(Nutzungsprofile!$B$6:$B$11,"Individuell",Nutzungsprofile!$G$6:$G$11)*Kalender!E216/SUM(Kalender!$E$5:$E$370),0))*Szenarien!$E$17,0)</f>
        <v>2.04</v>
      </c>
      <c r="D2412" s="13" t="n">
        <f aca="false">IF(Szenarien!$H$17="OK",(IFERROR(SUMIF(Nutzungsprofile!$B$17:$B$22,"Schulbetrieb",Nutzungsprofile!$G$17:$G$22)*Kalender!C216/SUM(Kalender!$C$5:$C$370),0)+IFERROR(SUMIF(Nutzungsprofile!$B$17:$B$22,"Halle",Nutzungsprofile!$G$17:$G$22)*Kalender!D216/SUM(Kalender!$D$5:$D$370),0)+IFERROR(SUMIF(Nutzungsprofile!$B$17:$B$22,"Individuell",Nutzungsprofile!$G$17:$G$22)*Kalender!E216/SUM(Kalender!$E$5:$E$370),0))*Szenarien!$D$17,0)</f>
        <v>0.89</v>
      </c>
      <c r="E2412" s="13" t="n">
        <f aca="false">IFERROR(MIN(C2412,Eingaben!$B$17)*Eingaben!$B$16,0)</f>
        <v>1.938</v>
      </c>
      <c r="F2412" s="13" t="n">
        <f aca="false">IFERROR(E2412*Eingaben!$B$15,0)</f>
        <v>1.7442</v>
      </c>
      <c r="G2412" s="13" t="n">
        <f aca="false">IFERROR(IF(Kalender!A216="",0,J2411*(1-Eingaben!$B$20)),0)</f>
        <v>1.709316</v>
      </c>
      <c r="H2412" s="13" t="n">
        <f aca="false">MIN(G2412,D2412)</f>
        <v>0.89</v>
      </c>
      <c r="I2412" s="13" t="n">
        <f aca="false">IFERROR(MIN(F2412*Eingaben!$B$19,MAX(0,D2412-H2412)),0)</f>
        <v>0</v>
      </c>
      <c r="J2412" s="13" t="n">
        <f aca="false">IFERROR(MIN(Eingaben!$B$18,MAX(0,F2412-I2412)),0)</f>
        <v>1.7442</v>
      </c>
      <c r="K2412" s="13" t="n">
        <f aca="false">H2412+I2412</f>
        <v>0.89</v>
      </c>
      <c r="L2412" s="13" t="n">
        <f aca="false">MAX(0,D2412-K2412)</f>
        <v>0</v>
      </c>
      <c r="M2412" s="13" t="n">
        <f aca="false">MAX(0,F2412-I2412-J2412)</f>
        <v>0</v>
      </c>
      <c r="N2412" s="13" t="n">
        <f aca="false">IF(Kalender!A216="",0,J2411-H2412)</f>
        <v>0.8542</v>
      </c>
    </row>
    <row r="2413" customFormat="false" ht="16.4" hidden="false" customHeight="false" outlineLevel="0" collapsed="false">
      <c r="A2413" s="13" t="str">
        <f aca="false">""</f>
        <v/>
      </c>
      <c r="B2413" s="13" t="n">
        <f aca="false">213</f>
        <v>213</v>
      </c>
      <c r="C2413" s="13" t="n">
        <f aca="false">IF(Szenarien!$H$17="OK",(IFERROR(SUMIF(Nutzungsprofile!$B$6:$B$11,"Schulbetrieb",Nutzungsprofile!$G$6:$G$11)*Kalender!C217/SUM(Kalender!$C$5:$C$370),0)+IFERROR(SUMIF(Nutzungsprofile!$B$6:$B$11,"Halle",Nutzungsprofile!$G$6:$G$11)*Kalender!D217/SUM(Kalender!$D$5:$D$370),0)+IFERROR(SUMIF(Nutzungsprofile!$B$6:$B$11,"Individuell",Nutzungsprofile!$G$6:$G$11)*Kalender!E217/SUM(Kalender!$E$5:$E$370),0))*Szenarien!$E$17,0)</f>
        <v>2.04</v>
      </c>
      <c r="D2413" s="13" t="n">
        <f aca="false">IF(Szenarien!$H$17="OK",(IFERROR(SUMIF(Nutzungsprofile!$B$17:$B$22,"Schulbetrieb",Nutzungsprofile!$G$17:$G$22)*Kalender!C217/SUM(Kalender!$C$5:$C$370),0)+IFERROR(SUMIF(Nutzungsprofile!$B$17:$B$22,"Halle",Nutzungsprofile!$G$17:$G$22)*Kalender!D217/SUM(Kalender!$D$5:$D$370),0)+IFERROR(SUMIF(Nutzungsprofile!$B$17:$B$22,"Individuell",Nutzungsprofile!$G$17:$G$22)*Kalender!E217/SUM(Kalender!$E$5:$E$370),0))*Szenarien!$D$17,0)</f>
        <v>0.89</v>
      </c>
      <c r="E2413" s="13" t="n">
        <f aca="false">IFERROR(MIN(C2413,Eingaben!$B$17)*Eingaben!$B$16,0)</f>
        <v>1.938</v>
      </c>
      <c r="F2413" s="13" t="n">
        <f aca="false">IFERROR(E2413*Eingaben!$B$15,0)</f>
        <v>1.7442</v>
      </c>
      <c r="G2413" s="13" t="n">
        <f aca="false">IFERROR(IF(Kalender!A217="",0,J2412*(1-Eingaben!$B$20)),0)</f>
        <v>1.709316</v>
      </c>
      <c r="H2413" s="13" t="n">
        <f aca="false">MIN(G2413,D2413)</f>
        <v>0.89</v>
      </c>
      <c r="I2413" s="13" t="n">
        <f aca="false">IFERROR(MIN(F2413*Eingaben!$B$19,MAX(0,D2413-H2413)),0)</f>
        <v>0</v>
      </c>
      <c r="J2413" s="13" t="n">
        <f aca="false">IFERROR(MIN(Eingaben!$B$18,MAX(0,F2413-I2413)),0)</f>
        <v>1.7442</v>
      </c>
      <c r="K2413" s="13" t="n">
        <f aca="false">H2413+I2413</f>
        <v>0.89</v>
      </c>
      <c r="L2413" s="13" t="n">
        <f aca="false">MAX(0,D2413-K2413)</f>
        <v>0</v>
      </c>
      <c r="M2413" s="13" t="n">
        <f aca="false">MAX(0,F2413-I2413-J2413)</f>
        <v>0</v>
      </c>
      <c r="N2413" s="13" t="n">
        <f aca="false">IF(Kalender!A217="",0,J2412-H2413)</f>
        <v>0.8542</v>
      </c>
    </row>
    <row r="2414" customFormat="false" ht="16.4" hidden="false" customHeight="false" outlineLevel="0" collapsed="false">
      <c r="A2414" s="13" t="str">
        <f aca="false">""</f>
        <v/>
      </c>
      <c r="B2414" s="13" t="n">
        <f aca="false">214</f>
        <v>214</v>
      </c>
      <c r="C2414" s="13" t="n">
        <f aca="false">IF(Szenarien!$H$17="OK",(IFERROR(SUMIF(Nutzungsprofile!$B$6:$B$11,"Schulbetrieb",Nutzungsprofile!$G$6:$G$11)*Kalender!C218/SUM(Kalender!$C$5:$C$370),0)+IFERROR(SUMIF(Nutzungsprofile!$B$6:$B$11,"Halle",Nutzungsprofile!$G$6:$G$11)*Kalender!D218/SUM(Kalender!$D$5:$D$370),0)+IFERROR(SUMIF(Nutzungsprofile!$B$6:$B$11,"Individuell",Nutzungsprofile!$G$6:$G$11)*Kalender!E218/SUM(Kalender!$E$5:$E$370),0))*Szenarien!$E$17,0)</f>
        <v>2.04</v>
      </c>
      <c r="D2414" s="13" t="n">
        <f aca="false">IF(Szenarien!$H$17="OK",(IFERROR(SUMIF(Nutzungsprofile!$B$17:$B$22,"Schulbetrieb",Nutzungsprofile!$G$17:$G$22)*Kalender!C218/SUM(Kalender!$C$5:$C$370),0)+IFERROR(SUMIF(Nutzungsprofile!$B$17:$B$22,"Halle",Nutzungsprofile!$G$17:$G$22)*Kalender!D218/SUM(Kalender!$D$5:$D$370),0)+IFERROR(SUMIF(Nutzungsprofile!$B$17:$B$22,"Individuell",Nutzungsprofile!$G$17:$G$22)*Kalender!E218/SUM(Kalender!$E$5:$E$370),0))*Szenarien!$D$17,0)</f>
        <v>0.89</v>
      </c>
      <c r="E2414" s="13" t="n">
        <f aca="false">IFERROR(MIN(C2414,Eingaben!$B$17)*Eingaben!$B$16,0)</f>
        <v>1.938</v>
      </c>
      <c r="F2414" s="13" t="n">
        <f aca="false">IFERROR(E2414*Eingaben!$B$15,0)</f>
        <v>1.7442</v>
      </c>
      <c r="G2414" s="13" t="n">
        <f aca="false">IFERROR(IF(Kalender!A218="",0,J2413*(1-Eingaben!$B$20)),0)</f>
        <v>1.709316</v>
      </c>
      <c r="H2414" s="13" t="n">
        <f aca="false">MIN(G2414,D2414)</f>
        <v>0.89</v>
      </c>
      <c r="I2414" s="13" t="n">
        <f aca="false">IFERROR(MIN(F2414*Eingaben!$B$19,MAX(0,D2414-H2414)),0)</f>
        <v>0</v>
      </c>
      <c r="J2414" s="13" t="n">
        <f aca="false">IFERROR(MIN(Eingaben!$B$18,MAX(0,F2414-I2414)),0)</f>
        <v>1.7442</v>
      </c>
      <c r="K2414" s="13" t="n">
        <f aca="false">H2414+I2414</f>
        <v>0.89</v>
      </c>
      <c r="L2414" s="13" t="n">
        <f aca="false">MAX(0,D2414-K2414)</f>
        <v>0</v>
      </c>
      <c r="M2414" s="13" t="n">
        <f aca="false">MAX(0,F2414-I2414-J2414)</f>
        <v>0</v>
      </c>
      <c r="N2414" s="13" t="n">
        <f aca="false">IF(Kalender!A218="",0,J2413-H2414)</f>
        <v>0.8542</v>
      </c>
    </row>
    <row r="2415" customFormat="false" ht="16.4" hidden="false" customHeight="false" outlineLevel="0" collapsed="false">
      <c r="A2415" s="13" t="str">
        <f aca="false">""</f>
        <v/>
      </c>
      <c r="B2415" s="13" t="n">
        <f aca="false">215</f>
        <v>215</v>
      </c>
      <c r="C2415" s="13" t="n">
        <f aca="false">IF(Szenarien!$H$17="OK",(IFERROR(SUMIF(Nutzungsprofile!$B$6:$B$11,"Schulbetrieb",Nutzungsprofile!$G$6:$G$11)*Kalender!C219/SUM(Kalender!$C$5:$C$370),0)+IFERROR(SUMIF(Nutzungsprofile!$B$6:$B$11,"Halle",Nutzungsprofile!$G$6:$G$11)*Kalender!D219/SUM(Kalender!$D$5:$D$370),0)+IFERROR(SUMIF(Nutzungsprofile!$B$6:$B$11,"Individuell",Nutzungsprofile!$G$6:$G$11)*Kalender!E219/SUM(Kalender!$E$5:$E$370),0))*Szenarien!$E$17,0)</f>
        <v>2.04</v>
      </c>
      <c r="D2415" s="13" t="n">
        <f aca="false">IF(Szenarien!$H$17="OK",(IFERROR(SUMIF(Nutzungsprofile!$B$17:$B$22,"Schulbetrieb",Nutzungsprofile!$G$17:$G$22)*Kalender!C219/SUM(Kalender!$C$5:$C$370),0)+IFERROR(SUMIF(Nutzungsprofile!$B$17:$B$22,"Halle",Nutzungsprofile!$G$17:$G$22)*Kalender!D219/SUM(Kalender!$D$5:$D$370),0)+IFERROR(SUMIF(Nutzungsprofile!$B$17:$B$22,"Individuell",Nutzungsprofile!$G$17:$G$22)*Kalender!E219/SUM(Kalender!$E$5:$E$370),0))*Szenarien!$D$17,0)</f>
        <v>0.89</v>
      </c>
      <c r="E2415" s="13" t="n">
        <f aca="false">IFERROR(MIN(C2415,Eingaben!$B$17)*Eingaben!$B$16,0)</f>
        <v>1.938</v>
      </c>
      <c r="F2415" s="13" t="n">
        <f aca="false">IFERROR(E2415*Eingaben!$B$15,0)</f>
        <v>1.7442</v>
      </c>
      <c r="G2415" s="13" t="n">
        <f aca="false">IFERROR(IF(Kalender!A219="",0,J2414*(1-Eingaben!$B$20)),0)</f>
        <v>1.709316</v>
      </c>
      <c r="H2415" s="13" t="n">
        <f aca="false">MIN(G2415,D2415)</f>
        <v>0.89</v>
      </c>
      <c r="I2415" s="13" t="n">
        <f aca="false">IFERROR(MIN(F2415*Eingaben!$B$19,MAX(0,D2415-H2415)),0)</f>
        <v>0</v>
      </c>
      <c r="J2415" s="13" t="n">
        <f aca="false">IFERROR(MIN(Eingaben!$B$18,MAX(0,F2415-I2415)),0)</f>
        <v>1.7442</v>
      </c>
      <c r="K2415" s="13" t="n">
        <f aca="false">H2415+I2415</f>
        <v>0.89</v>
      </c>
      <c r="L2415" s="13" t="n">
        <f aca="false">MAX(0,D2415-K2415)</f>
        <v>0</v>
      </c>
      <c r="M2415" s="13" t="n">
        <f aca="false">MAX(0,F2415-I2415-J2415)</f>
        <v>0</v>
      </c>
      <c r="N2415" s="13" t="n">
        <f aca="false">IF(Kalender!A219="",0,J2414-H2415)</f>
        <v>0.8542</v>
      </c>
    </row>
    <row r="2416" customFormat="false" ht="16.4" hidden="false" customHeight="false" outlineLevel="0" collapsed="false">
      <c r="A2416" s="13" t="str">
        <f aca="false">""</f>
        <v/>
      </c>
      <c r="B2416" s="13" t="n">
        <f aca="false">216</f>
        <v>216</v>
      </c>
      <c r="C2416" s="13" t="n">
        <f aca="false">IF(Szenarien!$H$17="OK",(IFERROR(SUMIF(Nutzungsprofile!$B$6:$B$11,"Schulbetrieb",Nutzungsprofile!$G$6:$G$11)*Kalender!C220/SUM(Kalender!$C$5:$C$370),0)+IFERROR(SUMIF(Nutzungsprofile!$B$6:$B$11,"Halle",Nutzungsprofile!$G$6:$G$11)*Kalender!D220/SUM(Kalender!$D$5:$D$370),0)+IFERROR(SUMIF(Nutzungsprofile!$B$6:$B$11,"Individuell",Nutzungsprofile!$G$6:$G$11)*Kalender!E220/SUM(Kalender!$E$5:$E$370),0))*Szenarien!$E$17,0)</f>
        <v>2.04</v>
      </c>
      <c r="D2416" s="13" t="n">
        <f aca="false">IF(Szenarien!$H$17="OK",(IFERROR(SUMIF(Nutzungsprofile!$B$17:$B$22,"Schulbetrieb",Nutzungsprofile!$G$17:$G$22)*Kalender!C220/SUM(Kalender!$C$5:$C$370),0)+IFERROR(SUMIF(Nutzungsprofile!$B$17:$B$22,"Halle",Nutzungsprofile!$G$17:$G$22)*Kalender!D220/SUM(Kalender!$D$5:$D$370),0)+IFERROR(SUMIF(Nutzungsprofile!$B$17:$B$22,"Individuell",Nutzungsprofile!$G$17:$G$22)*Kalender!E220/SUM(Kalender!$E$5:$E$370),0))*Szenarien!$D$17,0)</f>
        <v>0.89</v>
      </c>
      <c r="E2416" s="13" t="n">
        <f aca="false">IFERROR(MIN(C2416,Eingaben!$B$17)*Eingaben!$B$16,0)</f>
        <v>1.938</v>
      </c>
      <c r="F2416" s="13" t="n">
        <f aca="false">IFERROR(E2416*Eingaben!$B$15,0)</f>
        <v>1.7442</v>
      </c>
      <c r="G2416" s="13" t="n">
        <f aca="false">IFERROR(IF(Kalender!A220="",0,J2415*(1-Eingaben!$B$20)),0)</f>
        <v>1.709316</v>
      </c>
      <c r="H2416" s="13" t="n">
        <f aca="false">MIN(G2416,D2416)</f>
        <v>0.89</v>
      </c>
      <c r="I2416" s="13" t="n">
        <f aca="false">IFERROR(MIN(F2416*Eingaben!$B$19,MAX(0,D2416-H2416)),0)</f>
        <v>0</v>
      </c>
      <c r="J2416" s="13" t="n">
        <f aca="false">IFERROR(MIN(Eingaben!$B$18,MAX(0,F2416-I2416)),0)</f>
        <v>1.7442</v>
      </c>
      <c r="K2416" s="13" t="n">
        <f aca="false">H2416+I2416</f>
        <v>0.89</v>
      </c>
      <c r="L2416" s="13" t="n">
        <f aca="false">MAX(0,D2416-K2416)</f>
        <v>0</v>
      </c>
      <c r="M2416" s="13" t="n">
        <f aca="false">MAX(0,F2416-I2416-J2416)</f>
        <v>0</v>
      </c>
      <c r="N2416" s="13" t="n">
        <f aca="false">IF(Kalender!A220="",0,J2415-H2416)</f>
        <v>0.8542</v>
      </c>
    </row>
    <row r="2417" customFormat="false" ht="16.4" hidden="false" customHeight="false" outlineLevel="0" collapsed="false">
      <c r="A2417" s="13" t="str">
        <f aca="false">""</f>
        <v/>
      </c>
      <c r="B2417" s="13" t="n">
        <f aca="false">217</f>
        <v>217</v>
      </c>
      <c r="C2417" s="13" t="n">
        <f aca="false">IF(Szenarien!$H$17="OK",(IFERROR(SUMIF(Nutzungsprofile!$B$6:$B$11,"Schulbetrieb",Nutzungsprofile!$G$6:$G$11)*Kalender!C221/SUM(Kalender!$C$5:$C$370),0)+IFERROR(SUMIF(Nutzungsprofile!$B$6:$B$11,"Halle",Nutzungsprofile!$G$6:$G$11)*Kalender!D221/SUM(Kalender!$D$5:$D$370),0)+IFERROR(SUMIF(Nutzungsprofile!$B$6:$B$11,"Individuell",Nutzungsprofile!$G$6:$G$11)*Kalender!E221/SUM(Kalender!$E$5:$E$370),0))*Szenarien!$E$17,0)</f>
        <v>2.04</v>
      </c>
      <c r="D2417" s="13" t="n">
        <f aca="false">IF(Szenarien!$H$17="OK",(IFERROR(SUMIF(Nutzungsprofile!$B$17:$B$22,"Schulbetrieb",Nutzungsprofile!$G$17:$G$22)*Kalender!C221/SUM(Kalender!$C$5:$C$370),0)+IFERROR(SUMIF(Nutzungsprofile!$B$17:$B$22,"Halle",Nutzungsprofile!$G$17:$G$22)*Kalender!D221/SUM(Kalender!$D$5:$D$370),0)+IFERROR(SUMIF(Nutzungsprofile!$B$17:$B$22,"Individuell",Nutzungsprofile!$G$17:$G$22)*Kalender!E221/SUM(Kalender!$E$5:$E$370),0))*Szenarien!$D$17,0)</f>
        <v>0.89</v>
      </c>
      <c r="E2417" s="13" t="n">
        <f aca="false">IFERROR(MIN(C2417,Eingaben!$B$17)*Eingaben!$B$16,0)</f>
        <v>1.938</v>
      </c>
      <c r="F2417" s="13" t="n">
        <f aca="false">IFERROR(E2417*Eingaben!$B$15,0)</f>
        <v>1.7442</v>
      </c>
      <c r="G2417" s="13" t="n">
        <f aca="false">IFERROR(IF(Kalender!A221="",0,J2416*(1-Eingaben!$B$20)),0)</f>
        <v>1.709316</v>
      </c>
      <c r="H2417" s="13" t="n">
        <f aca="false">MIN(G2417,D2417)</f>
        <v>0.89</v>
      </c>
      <c r="I2417" s="13" t="n">
        <f aca="false">IFERROR(MIN(F2417*Eingaben!$B$19,MAX(0,D2417-H2417)),0)</f>
        <v>0</v>
      </c>
      <c r="J2417" s="13" t="n">
        <f aca="false">IFERROR(MIN(Eingaben!$B$18,MAX(0,F2417-I2417)),0)</f>
        <v>1.7442</v>
      </c>
      <c r="K2417" s="13" t="n">
        <f aca="false">H2417+I2417</f>
        <v>0.89</v>
      </c>
      <c r="L2417" s="13" t="n">
        <f aca="false">MAX(0,D2417-K2417)</f>
        <v>0</v>
      </c>
      <c r="M2417" s="13" t="n">
        <f aca="false">MAX(0,F2417-I2417-J2417)</f>
        <v>0</v>
      </c>
      <c r="N2417" s="13" t="n">
        <f aca="false">IF(Kalender!A221="",0,J2416-H2417)</f>
        <v>0.8542</v>
      </c>
    </row>
    <row r="2418" customFormat="false" ht="16.4" hidden="false" customHeight="false" outlineLevel="0" collapsed="false">
      <c r="A2418" s="13" t="str">
        <f aca="false">""</f>
        <v/>
      </c>
      <c r="B2418" s="13" t="n">
        <f aca="false">218</f>
        <v>218</v>
      </c>
      <c r="C2418" s="13" t="n">
        <f aca="false">IF(Szenarien!$H$17="OK",(IFERROR(SUMIF(Nutzungsprofile!$B$6:$B$11,"Schulbetrieb",Nutzungsprofile!$G$6:$G$11)*Kalender!C222/SUM(Kalender!$C$5:$C$370),0)+IFERROR(SUMIF(Nutzungsprofile!$B$6:$B$11,"Halle",Nutzungsprofile!$G$6:$G$11)*Kalender!D222/SUM(Kalender!$D$5:$D$370),0)+IFERROR(SUMIF(Nutzungsprofile!$B$6:$B$11,"Individuell",Nutzungsprofile!$G$6:$G$11)*Kalender!E222/SUM(Kalender!$E$5:$E$370),0))*Szenarien!$E$17,0)</f>
        <v>2.04</v>
      </c>
      <c r="D2418" s="13" t="n">
        <f aca="false">IF(Szenarien!$H$17="OK",(IFERROR(SUMIF(Nutzungsprofile!$B$17:$B$22,"Schulbetrieb",Nutzungsprofile!$G$17:$G$22)*Kalender!C222/SUM(Kalender!$C$5:$C$370),0)+IFERROR(SUMIF(Nutzungsprofile!$B$17:$B$22,"Halle",Nutzungsprofile!$G$17:$G$22)*Kalender!D222/SUM(Kalender!$D$5:$D$370),0)+IFERROR(SUMIF(Nutzungsprofile!$B$17:$B$22,"Individuell",Nutzungsprofile!$G$17:$G$22)*Kalender!E222/SUM(Kalender!$E$5:$E$370),0))*Szenarien!$D$17,0)</f>
        <v>0.89</v>
      </c>
      <c r="E2418" s="13" t="n">
        <f aca="false">IFERROR(MIN(C2418,Eingaben!$B$17)*Eingaben!$B$16,0)</f>
        <v>1.938</v>
      </c>
      <c r="F2418" s="13" t="n">
        <f aca="false">IFERROR(E2418*Eingaben!$B$15,0)</f>
        <v>1.7442</v>
      </c>
      <c r="G2418" s="13" t="n">
        <f aca="false">IFERROR(IF(Kalender!A222="",0,J2417*(1-Eingaben!$B$20)),0)</f>
        <v>1.709316</v>
      </c>
      <c r="H2418" s="13" t="n">
        <f aca="false">MIN(G2418,D2418)</f>
        <v>0.89</v>
      </c>
      <c r="I2418" s="13" t="n">
        <f aca="false">IFERROR(MIN(F2418*Eingaben!$B$19,MAX(0,D2418-H2418)),0)</f>
        <v>0</v>
      </c>
      <c r="J2418" s="13" t="n">
        <f aca="false">IFERROR(MIN(Eingaben!$B$18,MAX(0,F2418-I2418)),0)</f>
        <v>1.7442</v>
      </c>
      <c r="K2418" s="13" t="n">
        <f aca="false">H2418+I2418</f>
        <v>0.89</v>
      </c>
      <c r="L2418" s="13" t="n">
        <f aca="false">MAX(0,D2418-K2418)</f>
        <v>0</v>
      </c>
      <c r="M2418" s="13" t="n">
        <f aca="false">MAX(0,F2418-I2418-J2418)</f>
        <v>0</v>
      </c>
      <c r="N2418" s="13" t="n">
        <f aca="false">IF(Kalender!A222="",0,J2417-H2418)</f>
        <v>0.8542</v>
      </c>
    </row>
    <row r="2419" customFormat="false" ht="16.4" hidden="false" customHeight="false" outlineLevel="0" collapsed="false">
      <c r="A2419" s="13" t="str">
        <f aca="false">""</f>
        <v/>
      </c>
      <c r="B2419" s="13" t="n">
        <f aca="false">219</f>
        <v>219</v>
      </c>
      <c r="C2419" s="13" t="n">
        <f aca="false">IF(Szenarien!$H$17="OK",(IFERROR(SUMIF(Nutzungsprofile!$B$6:$B$11,"Schulbetrieb",Nutzungsprofile!$G$6:$G$11)*Kalender!C223/SUM(Kalender!$C$5:$C$370),0)+IFERROR(SUMIF(Nutzungsprofile!$B$6:$B$11,"Halle",Nutzungsprofile!$G$6:$G$11)*Kalender!D223/SUM(Kalender!$D$5:$D$370),0)+IFERROR(SUMIF(Nutzungsprofile!$B$6:$B$11,"Individuell",Nutzungsprofile!$G$6:$G$11)*Kalender!E223/SUM(Kalender!$E$5:$E$370),0))*Szenarien!$E$17,0)</f>
        <v>2.04</v>
      </c>
      <c r="D2419" s="13" t="n">
        <f aca="false">IF(Szenarien!$H$17="OK",(IFERROR(SUMIF(Nutzungsprofile!$B$17:$B$22,"Schulbetrieb",Nutzungsprofile!$G$17:$G$22)*Kalender!C223/SUM(Kalender!$C$5:$C$370),0)+IFERROR(SUMIF(Nutzungsprofile!$B$17:$B$22,"Halle",Nutzungsprofile!$G$17:$G$22)*Kalender!D223/SUM(Kalender!$D$5:$D$370),0)+IFERROR(SUMIF(Nutzungsprofile!$B$17:$B$22,"Individuell",Nutzungsprofile!$G$17:$G$22)*Kalender!E223/SUM(Kalender!$E$5:$E$370),0))*Szenarien!$D$17,0)</f>
        <v>0.89</v>
      </c>
      <c r="E2419" s="13" t="n">
        <f aca="false">IFERROR(MIN(C2419,Eingaben!$B$17)*Eingaben!$B$16,0)</f>
        <v>1.938</v>
      </c>
      <c r="F2419" s="13" t="n">
        <f aca="false">IFERROR(E2419*Eingaben!$B$15,0)</f>
        <v>1.7442</v>
      </c>
      <c r="G2419" s="13" t="n">
        <f aca="false">IFERROR(IF(Kalender!A223="",0,J2418*(1-Eingaben!$B$20)),0)</f>
        <v>1.709316</v>
      </c>
      <c r="H2419" s="13" t="n">
        <f aca="false">MIN(G2419,D2419)</f>
        <v>0.89</v>
      </c>
      <c r="I2419" s="13" t="n">
        <f aca="false">IFERROR(MIN(F2419*Eingaben!$B$19,MAX(0,D2419-H2419)),0)</f>
        <v>0</v>
      </c>
      <c r="J2419" s="13" t="n">
        <f aca="false">IFERROR(MIN(Eingaben!$B$18,MAX(0,F2419-I2419)),0)</f>
        <v>1.7442</v>
      </c>
      <c r="K2419" s="13" t="n">
        <f aca="false">H2419+I2419</f>
        <v>0.89</v>
      </c>
      <c r="L2419" s="13" t="n">
        <f aca="false">MAX(0,D2419-K2419)</f>
        <v>0</v>
      </c>
      <c r="M2419" s="13" t="n">
        <f aca="false">MAX(0,F2419-I2419-J2419)</f>
        <v>0</v>
      </c>
      <c r="N2419" s="13" t="n">
        <f aca="false">IF(Kalender!A223="",0,J2418-H2419)</f>
        <v>0.8542</v>
      </c>
    </row>
    <row r="2420" customFormat="false" ht="16.4" hidden="false" customHeight="false" outlineLevel="0" collapsed="false">
      <c r="A2420" s="13" t="str">
        <f aca="false">""</f>
        <v/>
      </c>
      <c r="B2420" s="13" t="n">
        <f aca="false">220</f>
        <v>220</v>
      </c>
      <c r="C2420" s="13" t="n">
        <f aca="false">IF(Szenarien!$H$17="OK",(IFERROR(SUMIF(Nutzungsprofile!$B$6:$B$11,"Schulbetrieb",Nutzungsprofile!$G$6:$G$11)*Kalender!C224/SUM(Kalender!$C$5:$C$370),0)+IFERROR(SUMIF(Nutzungsprofile!$B$6:$B$11,"Halle",Nutzungsprofile!$G$6:$G$11)*Kalender!D224/SUM(Kalender!$D$5:$D$370),0)+IFERROR(SUMIF(Nutzungsprofile!$B$6:$B$11,"Individuell",Nutzungsprofile!$G$6:$G$11)*Kalender!E224/SUM(Kalender!$E$5:$E$370),0))*Szenarien!$E$17,0)</f>
        <v>2.04</v>
      </c>
      <c r="D2420" s="13" t="n">
        <f aca="false">IF(Szenarien!$H$17="OK",(IFERROR(SUMIF(Nutzungsprofile!$B$17:$B$22,"Schulbetrieb",Nutzungsprofile!$G$17:$G$22)*Kalender!C224/SUM(Kalender!$C$5:$C$370),0)+IFERROR(SUMIF(Nutzungsprofile!$B$17:$B$22,"Halle",Nutzungsprofile!$G$17:$G$22)*Kalender!D224/SUM(Kalender!$D$5:$D$370),0)+IFERROR(SUMIF(Nutzungsprofile!$B$17:$B$22,"Individuell",Nutzungsprofile!$G$17:$G$22)*Kalender!E224/SUM(Kalender!$E$5:$E$370),0))*Szenarien!$D$17,0)</f>
        <v>0.89</v>
      </c>
      <c r="E2420" s="13" t="n">
        <f aca="false">IFERROR(MIN(C2420,Eingaben!$B$17)*Eingaben!$B$16,0)</f>
        <v>1.938</v>
      </c>
      <c r="F2420" s="13" t="n">
        <f aca="false">IFERROR(E2420*Eingaben!$B$15,0)</f>
        <v>1.7442</v>
      </c>
      <c r="G2420" s="13" t="n">
        <f aca="false">IFERROR(IF(Kalender!A224="",0,J2419*(1-Eingaben!$B$20)),0)</f>
        <v>1.709316</v>
      </c>
      <c r="H2420" s="13" t="n">
        <f aca="false">MIN(G2420,D2420)</f>
        <v>0.89</v>
      </c>
      <c r="I2420" s="13" t="n">
        <f aca="false">IFERROR(MIN(F2420*Eingaben!$B$19,MAX(0,D2420-H2420)),0)</f>
        <v>0</v>
      </c>
      <c r="J2420" s="13" t="n">
        <f aca="false">IFERROR(MIN(Eingaben!$B$18,MAX(0,F2420-I2420)),0)</f>
        <v>1.7442</v>
      </c>
      <c r="K2420" s="13" t="n">
        <f aca="false">H2420+I2420</f>
        <v>0.89</v>
      </c>
      <c r="L2420" s="13" t="n">
        <f aca="false">MAX(0,D2420-K2420)</f>
        <v>0</v>
      </c>
      <c r="M2420" s="13" t="n">
        <f aca="false">MAX(0,F2420-I2420-J2420)</f>
        <v>0</v>
      </c>
      <c r="N2420" s="13" t="n">
        <f aca="false">IF(Kalender!A224="",0,J2419-H2420)</f>
        <v>0.8542</v>
      </c>
    </row>
    <row r="2421" customFormat="false" ht="16.4" hidden="false" customHeight="false" outlineLevel="0" collapsed="false">
      <c r="A2421" s="13" t="str">
        <f aca="false">""</f>
        <v/>
      </c>
      <c r="B2421" s="13" t="n">
        <f aca="false">221</f>
        <v>221</v>
      </c>
      <c r="C2421" s="13" t="n">
        <f aca="false">IF(Szenarien!$H$17="OK",(IFERROR(SUMIF(Nutzungsprofile!$B$6:$B$11,"Schulbetrieb",Nutzungsprofile!$G$6:$G$11)*Kalender!C225/SUM(Kalender!$C$5:$C$370),0)+IFERROR(SUMIF(Nutzungsprofile!$B$6:$B$11,"Halle",Nutzungsprofile!$G$6:$G$11)*Kalender!D225/SUM(Kalender!$D$5:$D$370),0)+IFERROR(SUMIF(Nutzungsprofile!$B$6:$B$11,"Individuell",Nutzungsprofile!$G$6:$G$11)*Kalender!E225/SUM(Kalender!$E$5:$E$370),0))*Szenarien!$E$17,0)</f>
        <v>2.04</v>
      </c>
      <c r="D2421" s="13" t="n">
        <f aca="false">IF(Szenarien!$H$17="OK",(IFERROR(SUMIF(Nutzungsprofile!$B$17:$B$22,"Schulbetrieb",Nutzungsprofile!$G$17:$G$22)*Kalender!C225/SUM(Kalender!$C$5:$C$370),0)+IFERROR(SUMIF(Nutzungsprofile!$B$17:$B$22,"Halle",Nutzungsprofile!$G$17:$G$22)*Kalender!D225/SUM(Kalender!$D$5:$D$370),0)+IFERROR(SUMIF(Nutzungsprofile!$B$17:$B$22,"Individuell",Nutzungsprofile!$G$17:$G$22)*Kalender!E225/SUM(Kalender!$E$5:$E$370),0))*Szenarien!$D$17,0)</f>
        <v>0.89</v>
      </c>
      <c r="E2421" s="13" t="n">
        <f aca="false">IFERROR(MIN(C2421,Eingaben!$B$17)*Eingaben!$B$16,0)</f>
        <v>1.938</v>
      </c>
      <c r="F2421" s="13" t="n">
        <f aca="false">IFERROR(E2421*Eingaben!$B$15,0)</f>
        <v>1.7442</v>
      </c>
      <c r="G2421" s="13" t="n">
        <f aca="false">IFERROR(IF(Kalender!A225="",0,J2420*(1-Eingaben!$B$20)),0)</f>
        <v>1.709316</v>
      </c>
      <c r="H2421" s="13" t="n">
        <f aca="false">MIN(G2421,D2421)</f>
        <v>0.89</v>
      </c>
      <c r="I2421" s="13" t="n">
        <f aca="false">IFERROR(MIN(F2421*Eingaben!$B$19,MAX(0,D2421-H2421)),0)</f>
        <v>0</v>
      </c>
      <c r="J2421" s="13" t="n">
        <f aca="false">IFERROR(MIN(Eingaben!$B$18,MAX(0,F2421-I2421)),0)</f>
        <v>1.7442</v>
      </c>
      <c r="K2421" s="13" t="n">
        <f aca="false">H2421+I2421</f>
        <v>0.89</v>
      </c>
      <c r="L2421" s="13" t="n">
        <f aca="false">MAX(0,D2421-K2421)</f>
        <v>0</v>
      </c>
      <c r="M2421" s="13" t="n">
        <f aca="false">MAX(0,F2421-I2421-J2421)</f>
        <v>0</v>
      </c>
      <c r="N2421" s="13" t="n">
        <f aca="false">IF(Kalender!A225="",0,J2420-H2421)</f>
        <v>0.8542</v>
      </c>
    </row>
    <row r="2422" customFormat="false" ht="16.4" hidden="false" customHeight="false" outlineLevel="0" collapsed="false">
      <c r="A2422" s="13" t="str">
        <f aca="false">""</f>
        <v/>
      </c>
      <c r="B2422" s="13" t="n">
        <f aca="false">222</f>
        <v>222</v>
      </c>
      <c r="C2422" s="13" t="n">
        <f aca="false">IF(Szenarien!$H$17="OK",(IFERROR(SUMIF(Nutzungsprofile!$B$6:$B$11,"Schulbetrieb",Nutzungsprofile!$G$6:$G$11)*Kalender!C226/SUM(Kalender!$C$5:$C$370),0)+IFERROR(SUMIF(Nutzungsprofile!$B$6:$B$11,"Halle",Nutzungsprofile!$G$6:$G$11)*Kalender!D226/SUM(Kalender!$D$5:$D$370),0)+IFERROR(SUMIF(Nutzungsprofile!$B$6:$B$11,"Individuell",Nutzungsprofile!$G$6:$G$11)*Kalender!E226/SUM(Kalender!$E$5:$E$370),0))*Szenarien!$E$17,0)</f>
        <v>2.04</v>
      </c>
      <c r="D2422" s="13" t="n">
        <f aca="false">IF(Szenarien!$H$17="OK",(IFERROR(SUMIF(Nutzungsprofile!$B$17:$B$22,"Schulbetrieb",Nutzungsprofile!$G$17:$G$22)*Kalender!C226/SUM(Kalender!$C$5:$C$370),0)+IFERROR(SUMIF(Nutzungsprofile!$B$17:$B$22,"Halle",Nutzungsprofile!$G$17:$G$22)*Kalender!D226/SUM(Kalender!$D$5:$D$370),0)+IFERROR(SUMIF(Nutzungsprofile!$B$17:$B$22,"Individuell",Nutzungsprofile!$G$17:$G$22)*Kalender!E226/SUM(Kalender!$E$5:$E$370),0))*Szenarien!$D$17,0)</f>
        <v>0.89</v>
      </c>
      <c r="E2422" s="13" t="n">
        <f aca="false">IFERROR(MIN(C2422,Eingaben!$B$17)*Eingaben!$B$16,0)</f>
        <v>1.938</v>
      </c>
      <c r="F2422" s="13" t="n">
        <f aca="false">IFERROR(E2422*Eingaben!$B$15,0)</f>
        <v>1.7442</v>
      </c>
      <c r="G2422" s="13" t="n">
        <f aca="false">IFERROR(IF(Kalender!A226="",0,J2421*(1-Eingaben!$B$20)),0)</f>
        <v>1.709316</v>
      </c>
      <c r="H2422" s="13" t="n">
        <f aca="false">MIN(G2422,D2422)</f>
        <v>0.89</v>
      </c>
      <c r="I2422" s="13" t="n">
        <f aca="false">IFERROR(MIN(F2422*Eingaben!$B$19,MAX(0,D2422-H2422)),0)</f>
        <v>0</v>
      </c>
      <c r="J2422" s="13" t="n">
        <f aca="false">IFERROR(MIN(Eingaben!$B$18,MAX(0,F2422-I2422)),0)</f>
        <v>1.7442</v>
      </c>
      <c r="K2422" s="13" t="n">
        <f aca="false">H2422+I2422</f>
        <v>0.89</v>
      </c>
      <c r="L2422" s="13" t="n">
        <f aca="false">MAX(0,D2422-K2422)</f>
        <v>0</v>
      </c>
      <c r="M2422" s="13" t="n">
        <f aca="false">MAX(0,F2422-I2422-J2422)</f>
        <v>0</v>
      </c>
      <c r="N2422" s="13" t="n">
        <f aca="false">IF(Kalender!A226="",0,J2421-H2422)</f>
        <v>0.8542</v>
      </c>
    </row>
    <row r="2423" customFormat="false" ht="16.4" hidden="false" customHeight="false" outlineLevel="0" collapsed="false">
      <c r="A2423" s="13" t="str">
        <f aca="false">""</f>
        <v/>
      </c>
      <c r="B2423" s="13" t="n">
        <f aca="false">223</f>
        <v>223</v>
      </c>
      <c r="C2423" s="13" t="n">
        <f aca="false">IF(Szenarien!$H$17="OK",(IFERROR(SUMIF(Nutzungsprofile!$B$6:$B$11,"Schulbetrieb",Nutzungsprofile!$G$6:$G$11)*Kalender!C227/SUM(Kalender!$C$5:$C$370),0)+IFERROR(SUMIF(Nutzungsprofile!$B$6:$B$11,"Halle",Nutzungsprofile!$G$6:$G$11)*Kalender!D227/SUM(Kalender!$D$5:$D$370),0)+IFERROR(SUMIF(Nutzungsprofile!$B$6:$B$11,"Individuell",Nutzungsprofile!$G$6:$G$11)*Kalender!E227/SUM(Kalender!$E$5:$E$370),0))*Szenarien!$E$17,0)</f>
        <v>2.04</v>
      </c>
      <c r="D2423" s="13" t="n">
        <f aca="false">IF(Szenarien!$H$17="OK",(IFERROR(SUMIF(Nutzungsprofile!$B$17:$B$22,"Schulbetrieb",Nutzungsprofile!$G$17:$G$22)*Kalender!C227/SUM(Kalender!$C$5:$C$370),0)+IFERROR(SUMIF(Nutzungsprofile!$B$17:$B$22,"Halle",Nutzungsprofile!$G$17:$G$22)*Kalender!D227/SUM(Kalender!$D$5:$D$370),0)+IFERROR(SUMIF(Nutzungsprofile!$B$17:$B$22,"Individuell",Nutzungsprofile!$G$17:$G$22)*Kalender!E227/SUM(Kalender!$E$5:$E$370),0))*Szenarien!$D$17,0)</f>
        <v>0.89</v>
      </c>
      <c r="E2423" s="13" t="n">
        <f aca="false">IFERROR(MIN(C2423,Eingaben!$B$17)*Eingaben!$B$16,0)</f>
        <v>1.938</v>
      </c>
      <c r="F2423" s="13" t="n">
        <f aca="false">IFERROR(E2423*Eingaben!$B$15,0)</f>
        <v>1.7442</v>
      </c>
      <c r="G2423" s="13" t="n">
        <f aca="false">IFERROR(IF(Kalender!A227="",0,J2422*(1-Eingaben!$B$20)),0)</f>
        <v>1.709316</v>
      </c>
      <c r="H2423" s="13" t="n">
        <f aca="false">MIN(G2423,D2423)</f>
        <v>0.89</v>
      </c>
      <c r="I2423" s="13" t="n">
        <f aca="false">IFERROR(MIN(F2423*Eingaben!$B$19,MAX(0,D2423-H2423)),0)</f>
        <v>0</v>
      </c>
      <c r="J2423" s="13" t="n">
        <f aca="false">IFERROR(MIN(Eingaben!$B$18,MAX(0,F2423-I2423)),0)</f>
        <v>1.7442</v>
      </c>
      <c r="K2423" s="13" t="n">
        <f aca="false">H2423+I2423</f>
        <v>0.89</v>
      </c>
      <c r="L2423" s="13" t="n">
        <f aca="false">MAX(0,D2423-K2423)</f>
        <v>0</v>
      </c>
      <c r="M2423" s="13" t="n">
        <f aca="false">MAX(0,F2423-I2423-J2423)</f>
        <v>0</v>
      </c>
      <c r="N2423" s="13" t="n">
        <f aca="false">IF(Kalender!A227="",0,J2422-H2423)</f>
        <v>0.8542</v>
      </c>
    </row>
    <row r="2424" customFormat="false" ht="16.4" hidden="false" customHeight="false" outlineLevel="0" collapsed="false">
      <c r="A2424" s="13" t="str">
        <f aca="false">""</f>
        <v/>
      </c>
      <c r="B2424" s="13" t="n">
        <f aca="false">224</f>
        <v>224</v>
      </c>
      <c r="C2424" s="13" t="n">
        <f aca="false">IF(Szenarien!$H$17="OK",(IFERROR(SUMIF(Nutzungsprofile!$B$6:$B$11,"Schulbetrieb",Nutzungsprofile!$G$6:$G$11)*Kalender!C228/SUM(Kalender!$C$5:$C$370),0)+IFERROR(SUMIF(Nutzungsprofile!$B$6:$B$11,"Halle",Nutzungsprofile!$G$6:$G$11)*Kalender!D228/SUM(Kalender!$D$5:$D$370),0)+IFERROR(SUMIF(Nutzungsprofile!$B$6:$B$11,"Individuell",Nutzungsprofile!$G$6:$G$11)*Kalender!E228/SUM(Kalender!$E$5:$E$370),0))*Szenarien!$E$17,0)</f>
        <v>2.04</v>
      </c>
      <c r="D2424" s="13" t="n">
        <f aca="false">IF(Szenarien!$H$17="OK",(IFERROR(SUMIF(Nutzungsprofile!$B$17:$B$22,"Schulbetrieb",Nutzungsprofile!$G$17:$G$22)*Kalender!C228/SUM(Kalender!$C$5:$C$370),0)+IFERROR(SUMIF(Nutzungsprofile!$B$17:$B$22,"Halle",Nutzungsprofile!$G$17:$G$22)*Kalender!D228/SUM(Kalender!$D$5:$D$370),0)+IFERROR(SUMIF(Nutzungsprofile!$B$17:$B$22,"Individuell",Nutzungsprofile!$G$17:$G$22)*Kalender!E228/SUM(Kalender!$E$5:$E$370),0))*Szenarien!$D$17,0)</f>
        <v>0.89</v>
      </c>
      <c r="E2424" s="13" t="n">
        <f aca="false">IFERROR(MIN(C2424,Eingaben!$B$17)*Eingaben!$B$16,0)</f>
        <v>1.938</v>
      </c>
      <c r="F2424" s="13" t="n">
        <f aca="false">IFERROR(E2424*Eingaben!$B$15,0)</f>
        <v>1.7442</v>
      </c>
      <c r="G2424" s="13" t="n">
        <f aca="false">IFERROR(IF(Kalender!A228="",0,J2423*(1-Eingaben!$B$20)),0)</f>
        <v>1.709316</v>
      </c>
      <c r="H2424" s="13" t="n">
        <f aca="false">MIN(G2424,D2424)</f>
        <v>0.89</v>
      </c>
      <c r="I2424" s="13" t="n">
        <f aca="false">IFERROR(MIN(F2424*Eingaben!$B$19,MAX(0,D2424-H2424)),0)</f>
        <v>0</v>
      </c>
      <c r="J2424" s="13" t="n">
        <f aca="false">IFERROR(MIN(Eingaben!$B$18,MAX(0,F2424-I2424)),0)</f>
        <v>1.7442</v>
      </c>
      <c r="K2424" s="13" t="n">
        <f aca="false">H2424+I2424</f>
        <v>0.89</v>
      </c>
      <c r="L2424" s="13" t="n">
        <f aca="false">MAX(0,D2424-K2424)</f>
        <v>0</v>
      </c>
      <c r="M2424" s="13" t="n">
        <f aca="false">MAX(0,F2424-I2424-J2424)</f>
        <v>0</v>
      </c>
      <c r="N2424" s="13" t="n">
        <f aca="false">IF(Kalender!A228="",0,J2423-H2424)</f>
        <v>0.8542</v>
      </c>
    </row>
    <row r="2425" customFormat="false" ht="16.4" hidden="false" customHeight="false" outlineLevel="0" collapsed="false">
      <c r="A2425" s="13" t="str">
        <f aca="false">""</f>
        <v/>
      </c>
      <c r="B2425" s="13" t="n">
        <f aca="false">225</f>
        <v>225</v>
      </c>
      <c r="C2425" s="13" t="n">
        <f aca="false">IF(Szenarien!$H$17="OK",(IFERROR(SUMIF(Nutzungsprofile!$B$6:$B$11,"Schulbetrieb",Nutzungsprofile!$G$6:$G$11)*Kalender!C229/SUM(Kalender!$C$5:$C$370),0)+IFERROR(SUMIF(Nutzungsprofile!$B$6:$B$11,"Halle",Nutzungsprofile!$G$6:$G$11)*Kalender!D229/SUM(Kalender!$D$5:$D$370),0)+IFERROR(SUMIF(Nutzungsprofile!$B$6:$B$11,"Individuell",Nutzungsprofile!$G$6:$G$11)*Kalender!E229/SUM(Kalender!$E$5:$E$370),0))*Szenarien!$E$17,0)</f>
        <v>2.04</v>
      </c>
      <c r="D2425" s="13" t="n">
        <f aca="false">IF(Szenarien!$H$17="OK",(IFERROR(SUMIF(Nutzungsprofile!$B$17:$B$22,"Schulbetrieb",Nutzungsprofile!$G$17:$G$22)*Kalender!C229/SUM(Kalender!$C$5:$C$370),0)+IFERROR(SUMIF(Nutzungsprofile!$B$17:$B$22,"Halle",Nutzungsprofile!$G$17:$G$22)*Kalender!D229/SUM(Kalender!$D$5:$D$370),0)+IFERROR(SUMIF(Nutzungsprofile!$B$17:$B$22,"Individuell",Nutzungsprofile!$G$17:$G$22)*Kalender!E229/SUM(Kalender!$E$5:$E$370),0))*Szenarien!$D$17,0)</f>
        <v>0.89</v>
      </c>
      <c r="E2425" s="13" t="n">
        <f aca="false">IFERROR(MIN(C2425,Eingaben!$B$17)*Eingaben!$B$16,0)</f>
        <v>1.938</v>
      </c>
      <c r="F2425" s="13" t="n">
        <f aca="false">IFERROR(E2425*Eingaben!$B$15,0)</f>
        <v>1.7442</v>
      </c>
      <c r="G2425" s="13" t="n">
        <f aca="false">IFERROR(IF(Kalender!A229="",0,J2424*(1-Eingaben!$B$20)),0)</f>
        <v>1.709316</v>
      </c>
      <c r="H2425" s="13" t="n">
        <f aca="false">MIN(G2425,D2425)</f>
        <v>0.89</v>
      </c>
      <c r="I2425" s="13" t="n">
        <f aca="false">IFERROR(MIN(F2425*Eingaben!$B$19,MAX(0,D2425-H2425)),0)</f>
        <v>0</v>
      </c>
      <c r="J2425" s="13" t="n">
        <f aca="false">IFERROR(MIN(Eingaben!$B$18,MAX(0,F2425-I2425)),0)</f>
        <v>1.7442</v>
      </c>
      <c r="K2425" s="13" t="n">
        <f aca="false">H2425+I2425</f>
        <v>0.89</v>
      </c>
      <c r="L2425" s="13" t="n">
        <f aca="false">MAX(0,D2425-K2425)</f>
        <v>0</v>
      </c>
      <c r="M2425" s="13" t="n">
        <f aca="false">MAX(0,F2425-I2425-J2425)</f>
        <v>0</v>
      </c>
      <c r="N2425" s="13" t="n">
        <f aca="false">IF(Kalender!A229="",0,J2424-H2425)</f>
        <v>0.8542</v>
      </c>
    </row>
    <row r="2426" customFormat="false" ht="16.4" hidden="false" customHeight="false" outlineLevel="0" collapsed="false">
      <c r="A2426" s="13" t="str">
        <f aca="false">""</f>
        <v/>
      </c>
      <c r="B2426" s="13" t="n">
        <f aca="false">226</f>
        <v>226</v>
      </c>
      <c r="C2426" s="13" t="n">
        <f aca="false">IF(Szenarien!$H$17="OK",(IFERROR(SUMIF(Nutzungsprofile!$B$6:$B$11,"Schulbetrieb",Nutzungsprofile!$G$6:$G$11)*Kalender!C230/SUM(Kalender!$C$5:$C$370),0)+IFERROR(SUMIF(Nutzungsprofile!$B$6:$B$11,"Halle",Nutzungsprofile!$G$6:$G$11)*Kalender!D230/SUM(Kalender!$D$5:$D$370),0)+IFERROR(SUMIF(Nutzungsprofile!$B$6:$B$11,"Individuell",Nutzungsprofile!$G$6:$G$11)*Kalender!E230/SUM(Kalender!$E$5:$E$370),0))*Szenarien!$E$17,0)</f>
        <v>2.04</v>
      </c>
      <c r="D2426" s="13" t="n">
        <f aca="false">IF(Szenarien!$H$17="OK",(IFERROR(SUMIF(Nutzungsprofile!$B$17:$B$22,"Schulbetrieb",Nutzungsprofile!$G$17:$G$22)*Kalender!C230/SUM(Kalender!$C$5:$C$370),0)+IFERROR(SUMIF(Nutzungsprofile!$B$17:$B$22,"Halle",Nutzungsprofile!$G$17:$G$22)*Kalender!D230/SUM(Kalender!$D$5:$D$370),0)+IFERROR(SUMIF(Nutzungsprofile!$B$17:$B$22,"Individuell",Nutzungsprofile!$G$17:$G$22)*Kalender!E230/SUM(Kalender!$E$5:$E$370),0))*Szenarien!$D$17,0)</f>
        <v>0.89</v>
      </c>
      <c r="E2426" s="13" t="n">
        <f aca="false">IFERROR(MIN(C2426,Eingaben!$B$17)*Eingaben!$B$16,0)</f>
        <v>1.938</v>
      </c>
      <c r="F2426" s="13" t="n">
        <f aca="false">IFERROR(E2426*Eingaben!$B$15,0)</f>
        <v>1.7442</v>
      </c>
      <c r="G2426" s="13" t="n">
        <f aca="false">IFERROR(IF(Kalender!A230="",0,J2425*(1-Eingaben!$B$20)),0)</f>
        <v>1.709316</v>
      </c>
      <c r="H2426" s="13" t="n">
        <f aca="false">MIN(G2426,D2426)</f>
        <v>0.89</v>
      </c>
      <c r="I2426" s="13" t="n">
        <f aca="false">IFERROR(MIN(F2426*Eingaben!$B$19,MAX(0,D2426-H2426)),0)</f>
        <v>0</v>
      </c>
      <c r="J2426" s="13" t="n">
        <f aca="false">IFERROR(MIN(Eingaben!$B$18,MAX(0,F2426-I2426)),0)</f>
        <v>1.7442</v>
      </c>
      <c r="K2426" s="13" t="n">
        <f aca="false">H2426+I2426</f>
        <v>0.89</v>
      </c>
      <c r="L2426" s="13" t="n">
        <f aca="false">MAX(0,D2426-K2426)</f>
        <v>0</v>
      </c>
      <c r="M2426" s="13" t="n">
        <f aca="false">MAX(0,F2426-I2426-J2426)</f>
        <v>0</v>
      </c>
      <c r="N2426" s="13" t="n">
        <f aca="false">IF(Kalender!A230="",0,J2425-H2426)</f>
        <v>0.8542</v>
      </c>
    </row>
    <row r="2427" customFormat="false" ht="16.4" hidden="false" customHeight="false" outlineLevel="0" collapsed="false">
      <c r="A2427" s="13" t="str">
        <f aca="false">""</f>
        <v/>
      </c>
      <c r="B2427" s="13" t="n">
        <f aca="false">227</f>
        <v>227</v>
      </c>
      <c r="C2427" s="13" t="n">
        <f aca="false">IF(Szenarien!$H$17="OK",(IFERROR(SUMIF(Nutzungsprofile!$B$6:$B$11,"Schulbetrieb",Nutzungsprofile!$G$6:$G$11)*Kalender!C231/SUM(Kalender!$C$5:$C$370),0)+IFERROR(SUMIF(Nutzungsprofile!$B$6:$B$11,"Halle",Nutzungsprofile!$G$6:$G$11)*Kalender!D231/SUM(Kalender!$D$5:$D$370),0)+IFERROR(SUMIF(Nutzungsprofile!$B$6:$B$11,"Individuell",Nutzungsprofile!$G$6:$G$11)*Kalender!E231/SUM(Kalender!$E$5:$E$370),0))*Szenarien!$E$17,0)</f>
        <v>2.04</v>
      </c>
      <c r="D2427" s="13" t="n">
        <f aca="false">IF(Szenarien!$H$17="OK",(IFERROR(SUMIF(Nutzungsprofile!$B$17:$B$22,"Schulbetrieb",Nutzungsprofile!$G$17:$G$22)*Kalender!C231/SUM(Kalender!$C$5:$C$370),0)+IFERROR(SUMIF(Nutzungsprofile!$B$17:$B$22,"Halle",Nutzungsprofile!$G$17:$G$22)*Kalender!D231/SUM(Kalender!$D$5:$D$370),0)+IFERROR(SUMIF(Nutzungsprofile!$B$17:$B$22,"Individuell",Nutzungsprofile!$G$17:$G$22)*Kalender!E231/SUM(Kalender!$E$5:$E$370),0))*Szenarien!$D$17,0)</f>
        <v>0.89</v>
      </c>
      <c r="E2427" s="13" t="n">
        <f aca="false">IFERROR(MIN(C2427,Eingaben!$B$17)*Eingaben!$B$16,0)</f>
        <v>1.938</v>
      </c>
      <c r="F2427" s="13" t="n">
        <f aca="false">IFERROR(E2427*Eingaben!$B$15,0)</f>
        <v>1.7442</v>
      </c>
      <c r="G2427" s="13" t="n">
        <f aca="false">IFERROR(IF(Kalender!A231="",0,J2426*(1-Eingaben!$B$20)),0)</f>
        <v>1.709316</v>
      </c>
      <c r="H2427" s="13" t="n">
        <f aca="false">MIN(G2427,D2427)</f>
        <v>0.89</v>
      </c>
      <c r="I2427" s="13" t="n">
        <f aca="false">IFERROR(MIN(F2427*Eingaben!$B$19,MAX(0,D2427-H2427)),0)</f>
        <v>0</v>
      </c>
      <c r="J2427" s="13" t="n">
        <f aca="false">IFERROR(MIN(Eingaben!$B$18,MAX(0,F2427-I2427)),0)</f>
        <v>1.7442</v>
      </c>
      <c r="K2427" s="13" t="n">
        <f aca="false">H2427+I2427</f>
        <v>0.89</v>
      </c>
      <c r="L2427" s="13" t="n">
        <f aca="false">MAX(0,D2427-K2427)</f>
        <v>0</v>
      </c>
      <c r="M2427" s="13" t="n">
        <f aca="false">MAX(0,F2427-I2427-J2427)</f>
        <v>0</v>
      </c>
      <c r="N2427" s="13" t="n">
        <f aca="false">IF(Kalender!A231="",0,J2426-H2427)</f>
        <v>0.8542</v>
      </c>
    </row>
    <row r="2428" customFormat="false" ht="16.4" hidden="false" customHeight="false" outlineLevel="0" collapsed="false">
      <c r="A2428" s="13" t="str">
        <f aca="false">""</f>
        <v/>
      </c>
      <c r="B2428" s="13" t="n">
        <f aca="false">228</f>
        <v>228</v>
      </c>
      <c r="C2428" s="13" t="n">
        <f aca="false">IF(Szenarien!$H$17="OK",(IFERROR(SUMIF(Nutzungsprofile!$B$6:$B$11,"Schulbetrieb",Nutzungsprofile!$G$6:$G$11)*Kalender!C232/SUM(Kalender!$C$5:$C$370),0)+IFERROR(SUMIF(Nutzungsprofile!$B$6:$B$11,"Halle",Nutzungsprofile!$G$6:$G$11)*Kalender!D232/SUM(Kalender!$D$5:$D$370),0)+IFERROR(SUMIF(Nutzungsprofile!$B$6:$B$11,"Individuell",Nutzungsprofile!$G$6:$G$11)*Kalender!E232/SUM(Kalender!$E$5:$E$370),0))*Szenarien!$E$17,0)</f>
        <v>2.04</v>
      </c>
      <c r="D2428" s="13" t="n">
        <f aca="false">IF(Szenarien!$H$17="OK",(IFERROR(SUMIF(Nutzungsprofile!$B$17:$B$22,"Schulbetrieb",Nutzungsprofile!$G$17:$G$22)*Kalender!C232/SUM(Kalender!$C$5:$C$370),0)+IFERROR(SUMIF(Nutzungsprofile!$B$17:$B$22,"Halle",Nutzungsprofile!$G$17:$G$22)*Kalender!D232/SUM(Kalender!$D$5:$D$370),0)+IFERROR(SUMIF(Nutzungsprofile!$B$17:$B$22,"Individuell",Nutzungsprofile!$G$17:$G$22)*Kalender!E232/SUM(Kalender!$E$5:$E$370),0))*Szenarien!$D$17,0)</f>
        <v>0.89</v>
      </c>
      <c r="E2428" s="13" t="n">
        <f aca="false">IFERROR(MIN(C2428,Eingaben!$B$17)*Eingaben!$B$16,0)</f>
        <v>1.938</v>
      </c>
      <c r="F2428" s="13" t="n">
        <f aca="false">IFERROR(E2428*Eingaben!$B$15,0)</f>
        <v>1.7442</v>
      </c>
      <c r="G2428" s="13" t="n">
        <f aca="false">IFERROR(IF(Kalender!A232="",0,J2427*(1-Eingaben!$B$20)),0)</f>
        <v>1.709316</v>
      </c>
      <c r="H2428" s="13" t="n">
        <f aca="false">MIN(G2428,D2428)</f>
        <v>0.89</v>
      </c>
      <c r="I2428" s="13" t="n">
        <f aca="false">IFERROR(MIN(F2428*Eingaben!$B$19,MAX(0,D2428-H2428)),0)</f>
        <v>0</v>
      </c>
      <c r="J2428" s="13" t="n">
        <f aca="false">IFERROR(MIN(Eingaben!$B$18,MAX(0,F2428-I2428)),0)</f>
        <v>1.7442</v>
      </c>
      <c r="K2428" s="13" t="n">
        <f aca="false">H2428+I2428</f>
        <v>0.89</v>
      </c>
      <c r="L2428" s="13" t="n">
        <f aca="false">MAX(0,D2428-K2428)</f>
        <v>0</v>
      </c>
      <c r="M2428" s="13" t="n">
        <f aca="false">MAX(0,F2428-I2428-J2428)</f>
        <v>0</v>
      </c>
      <c r="N2428" s="13" t="n">
        <f aca="false">IF(Kalender!A232="",0,J2427-H2428)</f>
        <v>0.8542</v>
      </c>
    </row>
    <row r="2429" customFormat="false" ht="16.4" hidden="false" customHeight="false" outlineLevel="0" collapsed="false">
      <c r="A2429" s="13" t="str">
        <f aca="false">""</f>
        <v/>
      </c>
      <c r="B2429" s="13" t="n">
        <f aca="false">229</f>
        <v>229</v>
      </c>
      <c r="C2429" s="13" t="n">
        <f aca="false">IF(Szenarien!$H$17="OK",(IFERROR(SUMIF(Nutzungsprofile!$B$6:$B$11,"Schulbetrieb",Nutzungsprofile!$G$6:$G$11)*Kalender!C233/SUM(Kalender!$C$5:$C$370),0)+IFERROR(SUMIF(Nutzungsprofile!$B$6:$B$11,"Halle",Nutzungsprofile!$G$6:$G$11)*Kalender!D233/SUM(Kalender!$D$5:$D$370),0)+IFERROR(SUMIF(Nutzungsprofile!$B$6:$B$11,"Individuell",Nutzungsprofile!$G$6:$G$11)*Kalender!E233/SUM(Kalender!$E$5:$E$370),0))*Szenarien!$E$17,0)</f>
        <v>2.04</v>
      </c>
      <c r="D2429" s="13" t="n">
        <f aca="false">IF(Szenarien!$H$17="OK",(IFERROR(SUMIF(Nutzungsprofile!$B$17:$B$22,"Schulbetrieb",Nutzungsprofile!$G$17:$G$22)*Kalender!C233/SUM(Kalender!$C$5:$C$370),0)+IFERROR(SUMIF(Nutzungsprofile!$B$17:$B$22,"Halle",Nutzungsprofile!$G$17:$G$22)*Kalender!D233/SUM(Kalender!$D$5:$D$370),0)+IFERROR(SUMIF(Nutzungsprofile!$B$17:$B$22,"Individuell",Nutzungsprofile!$G$17:$G$22)*Kalender!E233/SUM(Kalender!$E$5:$E$370),0))*Szenarien!$D$17,0)</f>
        <v>0.89</v>
      </c>
      <c r="E2429" s="13" t="n">
        <f aca="false">IFERROR(MIN(C2429,Eingaben!$B$17)*Eingaben!$B$16,0)</f>
        <v>1.938</v>
      </c>
      <c r="F2429" s="13" t="n">
        <f aca="false">IFERROR(E2429*Eingaben!$B$15,0)</f>
        <v>1.7442</v>
      </c>
      <c r="G2429" s="13" t="n">
        <f aca="false">IFERROR(IF(Kalender!A233="",0,J2428*(1-Eingaben!$B$20)),0)</f>
        <v>1.709316</v>
      </c>
      <c r="H2429" s="13" t="n">
        <f aca="false">MIN(G2429,D2429)</f>
        <v>0.89</v>
      </c>
      <c r="I2429" s="13" t="n">
        <f aca="false">IFERROR(MIN(F2429*Eingaben!$B$19,MAX(0,D2429-H2429)),0)</f>
        <v>0</v>
      </c>
      <c r="J2429" s="13" t="n">
        <f aca="false">IFERROR(MIN(Eingaben!$B$18,MAX(0,F2429-I2429)),0)</f>
        <v>1.7442</v>
      </c>
      <c r="K2429" s="13" t="n">
        <f aca="false">H2429+I2429</f>
        <v>0.89</v>
      </c>
      <c r="L2429" s="13" t="n">
        <f aca="false">MAX(0,D2429-K2429)</f>
        <v>0</v>
      </c>
      <c r="M2429" s="13" t="n">
        <f aca="false">MAX(0,F2429-I2429-J2429)</f>
        <v>0</v>
      </c>
      <c r="N2429" s="13" t="n">
        <f aca="false">IF(Kalender!A233="",0,J2428-H2429)</f>
        <v>0.8542</v>
      </c>
    </row>
    <row r="2430" customFormat="false" ht="16.4" hidden="false" customHeight="false" outlineLevel="0" collapsed="false">
      <c r="A2430" s="13" t="str">
        <f aca="false">""</f>
        <v/>
      </c>
      <c r="B2430" s="13" t="n">
        <f aca="false">230</f>
        <v>230</v>
      </c>
      <c r="C2430" s="13" t="n">
        <f aca="false">IF(Szenarien!$H$17="OK",(IFERROR(SUMIF(Nutzungsprofile!$B$6:$B$11,"Schulbetrieb",Nutzungsprofile!$G$6:$G$11)*Kalender!C234/SUM(Kalender!$C$5:$C$370),0)+IFERROR(SUMIF(Nutzungsprofile!$B$6:$B$11,"Halle",Nutzungsprofile!$G$6:$G$11)*Kalender!D234/SUM(Kalender!$D$5:$D$370),0)+IFERROR(SUMIF(Nutzungsprofile!$B$6:$B$11,"Individuell",Nutzungsprofile!$G$6:$G$11)*Kalender!E234/SUM(Kalender!$E$5:$E$370),0))*Szenarien!$E$17,0)</f>
        <v>2.04</v>
      </c>
      <c r="D2430" s="13" t="n">
        <f aca="false">IF(Szenarien!$H$17="OK",(IFERROR(SUMIF(Nutzungsprofile!$B$17:$B$22,"Schulbetrieb",Nutzungsprofile!$G$17:$G$22)*Kalender!C234/SUM(Kalender!$C$5:$C$370),0)+IFERROR(SUMIF(Nutzungsprofile!$B$17:$B$22,"Halle",Nutzungsprofile!$G$17:$G$22)*Kalender!D234/SUM(Kalender!$D$5:$D$370),0)+IFERROR(SUMIF(Nutzungsprofile!$B$17:$B$22,"Individuell",Nutzungsprofile!$G$17:$G$22)*Kalender!E234/SUM(Kalender!$E$5:$E$370),0))*Szenarien!$D$17,0)</f>
        <v>0.89</v>
      </c>
      <c r="E2430" s="13" t="n">
        <f aca="false">IFERROR(MIN(C2430,Eingaben!$B$17)*Eingaben!$B$16,0)</f>
        <v>1.938</v>
      </c>
      <c r="F2430" s="13" t="n">
        <f aca="false">IFERROR(E2430*Eingaben!$B$15,0)</f>
        <v>1.7442</v>
      </c>
      <c r="G2430" s="13" t="n">
        <f aca="false">IFERROR(IF(Kalender!A234="",0,J2429*(1-Eingaben!$B$20)),0)</f>
        <v>1.709316</v>
      </c>
      <c r="H2430" s="13" t="n">
        <f aca="false">MIN(G2430,D2430)</f>
        <v>0.89</v>
      </c>
      <c r="I2430" s="13" t="n">
        <f aca="false">IFERROR(MIN(F2430*Eingaben!$B$19,MAX(0,D2430-H2430)),0)</f>
        <v>0</v>
      </c>
      <c r="J2430" s="13" t="n">
        <f aca="false">IFERROR(MIN(Eingaben!$B$18,MAX(0,F2430-I2430)),0)</f>
        <v>1.7442</v>
      </c>
      <c r="K2430" s="13" t="n">
        <f aca="false">H2430+I2430</f>
        <v>0.89</v>
      </c>
      <c r="L2430" s="13" t="n">
        <f aca="false">MAX(0,D2430-K2430)</f>
        <v>0</v>
      </c>
      <c r="M2430" s="13" t="n">
        <f aca="false">MAX(0,F2430-I2430-J2430)</f>
        <v>0</v>
      </c>
      <c r="N2430" s="13" t="n">
        <f aca="false">IF(Kalender!A234="",0,J2429-H2430)</f>
        <v>0.8542</v>
      </c>
    </row>
    <row r="2431" customFormat="false" ht="16.4" hidden="false" customHeight="false" outlineLevel="0" collapsed="false">
      <c r="A2431" s="13" t="str">
        <f aca="false">""</f>
        <v/>
      </c>
      <c r="B2431" s="13" t="n">
        <f aca="false">231</f>
        <v>231</v>
      </c>
      <c r="C2431" s="13" t="n">
        <f aca="false">IF(Szenarien!$H$17="OK",(IFERROR(SUMIF(Nutzungsprofile!$B$6:$B$11,"Schulbetrieb",Nutzungsprofile!$G$6:$G$11)*Kalender!C235/SUM(Kalender!$C$5:$C$370),0)+IFERROR(SUMIF(Nutzungsprofile!$B$6:$B$11,"Halle",Nutzungsprofile!$G$6:$G$11)*Kalender!D235/SUM(Kalender!$D$5:$D$370),0)+IFERROR(SUMIF(Nutzungsprofile!$B$6:$B$11,"Individuell",Nutzungsprofile!$G$6:$G$11)*Kalender!E235/SUM(Kalender!$E$5:$E$370),0))*Szenarien!$E$17,0)</f>
        <v>2.04</v>
      </c>
      <c r="D2431" s="13" t="n">
        <f aca="false">IF(Szenarien!$H$17="OK",(IFERROR(SUMIF(Nutzungsprofile!$B$17:$B$22,"Schulbetrieb",Nutzungsprofile!$G$17:$G$22)*Kalender!C235/SUM(Kalender!$C$5:$C$370),0)+IFERROR(SUMIF(Nutzungsprofile!$B$17:$B$22,"Halle",Nutzungsprofile!$G$17:$G$22)*Kalender!D235/SUM(Kalender!$D$5:$D$370),0)+IFERROR(SUMIF(Nutzungsprofile!$B$17:$B$22,"Individuell",Nutzungsprofile!$G$17:$G$22)*Kalender!E235/SUM(Kalender!$E$5:$E$370),0))*Szenarien!$D$17,0)</f>
        <v>0.89</v>
      </c>
      <c r="E2431" s="13" t="n">
        <f aca="false">IFERROR(MIN(C2431,Eingaben!$B$17)*Eingaben!$B$16,0)</f>
        <v>1.938</v>
      </c>
      <c r="F2431" s="13" t="n">
        <f aca="false">IFERROR(E2431*Eingaben!$B$15,0)</f>
        <v>1.7442</v>
      </c>
      <c r="G2431" s="13" t="n">
        <f aca="false">IFERROR(IF(Kalender!A235="",0,J2430*(1-Eingaben!$B$20)),0)</f>
        <v>1.709316</v>
      </c>
      <c r="H2431" s="13" t="n">
        <f aca="false">MIN(G2431,D2431)</f>
        <v>0.89</v>
      </c>
      <c r="I2431" s="13" t="n">
        <f aca="false">IFERROR(MIN(F2431*Eingaben!$B$19,MAX(0,D2431-H2431)),0)</f>
        <v>0</v>
      </c>
      <c r="J2431" s="13" t="n">
        <f aca="false">IFERROR(MIN(Eingaben!$B$18,MAX(0,F2431-I2431)),0)</f>
        <v>1.7442</v>
      </c>
      <c r="K2431" s="13" t="n">
        <f aca="false">H2431+I2431</f>
        <v>0.89</v>
      </c>
      <c r="L2431" s="13" t="n">
        <f aca="false">MAX(0,D2431-K2431)</f>
        <v>0</v>
      </c>
      <c r="M2431" s="13" t="n">
        <f aca="false">MAX(0,F2431-I2431-J2431)</f>
        <v>0</v>
      </c>
      <c r="N2431" s="13" t="n">
        <f aca="false">IF(Kalender!A235="",0,J2430-H2431)</f>
        <v>0.8542</v>
      </c>
    </row>
    <row r="2432" customFormat="false" ht="16.4" hidden="false" customHeight="false" outlineLevel="0" collapsed="false">
      <c r="A2432" s="13" t="str">
        <f aca="false">""</f>
        <v/>
      </c>
      <c r="B2432" s="13" t="n">
        <f aca="false">232</f>
        <v>232</v>
      </c>
      <c r="C2432" s="13" t="n">
        <f aca="false">IF(Szenarien!$H$17="OK",(IFERROR(SUMIF(Nutzungsprofile!$B$6:$B$11,"Schulbetrieb",Nutzungsprofile!$G$6:$G$11)*Kalender!C236/SUM(Kalender!$C$5:$C$370),0)+IFERROR(SUMIF(Nutzungsprofile!$B$6:$B$11,"Halle",Nutzungsprofile!$G$6:$G$11)*Kalender!D236/SUM(Kalender!$D$5:$D$370),0)+IFERROR(SUMIF(Nutzungsprofile!$B$6:$B$11,"Individuell",Nutzungsprofile!$G$6:$G$11)*Kalender!E236/SUM(Kalender!$E$5:$E$370),0))*Szenarien!$E$17,0)</f>
        <v>2.04</v>
      </c>
      <c r="D2432" s="13" t="n">
        <f aca="false">IF(Szenarien!$H$17="OK",(IFERROR(SUMIF(Nutzungsprofile!$B$17:$B$22,"Schulbetrieb",Nutzungsprofile!$G$17:$G$22)*Kalender!C236/SUM(Kalender!$C$5:$C$370),0)+IFERROR(SUMIF(Nutzungsprofile!$B$17:$B$22,"Halle",Nutzungsprofile!$G$17:$G$22)*Kalender!D236/SUM(Kalender!$D$5:$D$370),0)+IFERROR(SUMIF(Nutzungsprofile!$B$17:$B$22,"Individuell",Nutzungsprofile!$G$17:$G$22)*Kalender!E236/SUM(Kalender!$E$5:$E$370),0))*Szenarien!$D$17,0)</f>
        <v>0.89</v>
      </c>
      <c r="E2432" s="13" t="n">
        <f aca="false">IFERROR(MIN(C2432,Eingaben!$B$17)*Eingaben!$B$16,0)</f>
        <v>1.938</v>
      </c>
      <c r="F2432" s="13" t="n">
        <f aca="false">IFERROR(E2432*Eingaben!$B$15,0)</f>
        <v>1.7442</v>
      </c>
      <c r="G2432" s="13" t="n">
        <f aca="false">IFERROR(IF(Kalender!A236="",0,J2431*(1-Eingaben!$B$20)),0)</f>
        <v>1.709316</v>
      </c>
      <c r="H2432" s="13" t="n">
        <f aca="false">MIN(G2432,D2432)</f>
        <v>0.89</v>
      </c>
      <c r="I2432" s="13" t="n">
        <f aca="false">IFERROR(MIN(F2432*Eingaben!$B$19,MAX(0,D2432-H2432)),0)</f>
        <v>0</v>
      </c>
      <c r="J2432" s="13" t="n">
        <f aca="false">IFERROR(MIN(Eingaben!$B$18,MAX(0,F2432-I2432)),0)</f>
        <v>1.7442</v>
      </c>
      <c r="K2432" s="13" t="n">
        <f aca="false">H2432+I2432</f>
        <v>0.89</v>
      </c>
      <c r="L2432" s="13" t="n">
        <f aca="false">MAX(0,D2432-K2432)</f>
        <v>0</v>
      </c>
      <c r="M2432" s="13" t="n">
        <f aca="false">MAX(0,F2432-I2432-J2432)</f>
        <v>0</v>
      </c>
      <c r="N2432" s="13" t="n">
        <f aca="false">IF(Kalender!A236="",0,J2431-H2432)</f>
        <v>0.8542</v>
      </c>
    </row>
    <row r="2433" customFormat="false" ht="16.4" hidden="false" customHeight="false" outlineLevel="0" collapsed="false">
      <c r="A2433" s="13" t="str">
        <f aca="false">""</f>
        <v/>
      </c>
      <c r="B2433" s="13" t="n">
        <f aca="false">233</f>
        <v>233</v>
      </c>
      <c r="C2433" s="13" t="n">
        <f aca="false">IF(Szenarien!$H$17="OK",(IFERROR(SUMIF(Nutzungsprofile!$B$6:$B$11,"Schulbetrieb",Nutzungsprofile!$G$6:$G$11)*Kalender!C237/SUM(Kalender!$C$5:$C$370),0)+IFERROR(SUMIF(Nutzungsprofile!$B$6:$B$11,"Halle",Nutzungsprofile!$G$6:$G$11)*Kalender!D237/SUM(Kalender!$D$5:$D$370),0)+IFERROR(SUMIF(Nutzungsprofile!$B$6:$B$11,"Individuell",Nutzungsprofile!$G$6:$G$11)*Kalender!E237/SUM(Kalender!$E$5:$E$370),0))*Szenarien!$E$17,0)</f>
        <v>2.04</v>
      </c>
      <c r="D2433" s="13" t="n">
        <f aca="false">IF(Szenarien!$H$17="OK",(IFERROR(SUMIF(Nutzungsprofile!$B$17:$B$22,"Schulbetrieb",Nutzungsprofile!$G$17:$G$22)*Kalender!C237/SUM(Kalender!$C$5:$C$370),0)+IFERROR(SUMIF(Nutzungsprofile!$B$17:$B$22,"Halle",Nutzungsprofile!$G$17:$G$22)*Kalender!D237/SUM(Kalender!$D$5:$D$370),0)+IFERROR(SUMIF(Nutzungsprofile!$B$17:$B$22,"Individuell",Nutzungsprofile!$G$17:$G$22)*Kalender!E237/SUM(Kalender!$E$5:$E$370),0))*Szenarien!$D$17,0)</f>
        <v>0.89</v>
      </c>
      <c r="E2433" s="13" t="n">
        <f aca="false">IFERROR(MIN(C2433,Eingaben!$B$17)*Eingaben!$B$16,0)</f>
        <v>1.938</v>
      </c>
      <c r="F2433" s="13" t="n">
        <f aca="false">IFERROR(E2433*Eingaben!$B$15,0)</f>
        <v>1.7442</v>
      </c>
      <c r="G2433" s="13" t="n">
        <f aca="false">IFERROR(IF(Kalender!A237="",0,J2432*(1-Eingaben!$B$20)),0)</f>
        <v>1.709316</v>
      </c>
      <c r="H2433" s="13" t="n">
        <f aca="false">MIN(G2433,D2433)</f>
        <v>0.89</v>
      </c>
      <c r="I2433" s="13" t="n">
        <f aca="false">IFERROR(MIN(F2433*Eingaben!$B$19,MAX(0,D2433-H2433)),0)</f>
        <v>0</v>
      </c>
      <c r="J2433" s="13" t="n">
        <f aca="false">IFERROR(MIN(Eingaben!$B$18,MAX(0,F2433-I2433)),0)</f>
        <v>1.7442</v>
      </c>
      <c r="K2433" s="13" t="n">
        <f aca="false">H2433+I2433</f>
        <v>0.89</v>
      </c>
      <c r="L2433" s="13" t="n">
        <f aca="false">MAX(0,D2433-K2433)</f>
        <v>0</v>
      </c>
      <c r="M2433" s="13" t="n">
        <f aca="false">MAX(0,F2433-I2433-J2433)</f>
        <v>0</v>
      </c>
      <c r="N2433" s="13" t="n">
        <f aca="false">IF(Kalender!A237="",0,J2432-H2433)</f>
        <v>0.8542</v>
      </c>
    </row>
    <row r="2434" customFormat="false" ht="16.4" hidden="false" customHeight="false" outlineLevel="0" collapsed="false">
      <c r="A2434" s="13" t="str">
        <f aca="false">""</f>
        <v/>
      </c>
      <c r="B2434" s="13" t="n">
        <f aca="false">234</f>
        <v>234</v>
      </c>
      <c r="C2434" s="13" t="n">
        <f aca="false">IF(Szenarien!$H$17="OK",(IFERROR(SUMIF(Nutzungsprofile!$B$6:$B$11,"Schulbetrieb",Nutzungsprofile!$G$6:$G$11)*Kalender!C238/SUM(Kalender!$C$5:$C$370),0)+IFERROR(SUMIF(Nutzungsprofile!$B$6:$B$11,"Halle",Nutzungsprofile!$G$6:$G$11)*Kalender!D238/SUM(Kalender!$D$5:$D$370),0)+IFERROR(SUMIF(Nutzungsprofile!$B$6:$B$11,"Individuell",Nutzungsprofile!$G$6:$G$11)*Kalender!E238/SUM(Kalender!$E$5:$E$370),0))*Szenarien!$E$17,0)</f>
        <v>2.04</v>
      </c>
      <c r="D2434" s="13" t="n">
        <f aca="false">IF(Szenarien!$H$17="OK",(IFERROR(SUMIF(Nutzungsprofile!$B$17:$B$22,"Schulbetrieb",Nutzungsprofile!$G$17:$G$22)*Kalender!C238/SUM(Kalender!$C$5:$C$370),0)+IFERROR(SUMIF(Nutzungsprofile!$B$17:$B$22,"Halle",Nutzungsprofile!$G$17:$G$22)*Kalender!D238/SUM(Kalender!$D$5:$D$370),0)+IFERROR(SUMIF(Nutzungsprofile!$B$17:$B$22,"Individuell",Nutzungsprofile!$G$17:$G$22)*Kalender!E238/SUM(Kalender!$E$5:$E$370),0))*Szenarien!$D$17,0)</f>
        <v>0.89</v>
      </c>
      <c r="E2434" s="13" t="n">
        <f aca="false">IFERROR(MIN(C2434,Eingaben!$B$17)*Eingaben!$B$16,0)</f>
        <v>1.938</v>
      </c>
      <c r="F2434" s="13" t="n">
        <f aca="false">IFERROR(E2434*Eingaben!$B$15,0)</f>
        <v>1.7442</v>
      </c>
      <c r="G2434" s="13" t="n">
        <f aca="false">IFERROR(IF(Kalender!A238="",0,J2433*(1-Eingaben!$B$20)),0)</f>
        <v>1.709316</v>
      </c>
      <c r="H2434" s="13" t="n">
        <f aca="false">MIN(G2434,D2434)</f>
        <v>0.89</v>
      </c>
      <c r="I2434" s="13" t="n">
        <f aca="false">IFERROR(MIN(F2434*Eingaben!$B$19,MAX(0,D2434-H2434)),0)</f>
        <v>0</v>
      </c>
      <c r="J2434" s="13" t="n">
        <f aca="false">IFERROR(MIN(Eingaben!$B$18,MAX(0,F2434-I2434)),0)</f>
        <v>1.7442</v>
      </c>
      <c r="K2434" s="13" t="n">
        <f aca="false">H2434+I2434</f>
        <v>0.89</v>
      </c>
      <c r="L2434" s="13" t="n">
        <f aca="false">MAX(0,D2434-K2434)</f>
        <v>0</v>
      </c>
      <c r="M2434" s="13" t="n">
        <f aca="false">MAX(0,F2434-I2434-J2434)</f>
        <v>0</v>
      </c>
      <c r="N2434" s="13" t="n">
        <f aca="false">IF(Kalender!A238="",0,J2433-H2434)</f>
        <v>0.8542</v>
      </c>
    </row>
    <row r="2435" customFormat="false" ht="16.4" hidden="false" customHeight="false" outlineLevel="0" collapsed="false">
      <c r="A2435" s="13" t="str">
        <f aca="false">""</f>
        <v/>
      </c>
      <c r="B2435" s="13" t="n">
        <f aca="false">235</f>
        <v>235</v>
      </c>
      <c r="C2435" s="13" t="n">
        <f aca="false">IF(Szenarien!$H$17="OK",(IFERROR(SUMIF(Nutzungsprofile!$B$6:$B$11,"Schulbetrieb",Nutzungsprofile!$G$6:$G$11)*Kalender!C239/SUM(Kalender!$C$5:$C$370),0)+IFERROR(SUMIF(Nutzungsprofile!$B$6:$B$11,"Halle",Nutzungsprofile!$G$6:$G$11)*Kalender!D239/SUM(Kalender!$D$5:$D$370),0)+IFERROR(SUMIF(Nutzungsprofile!$B$6:$B$11,"Individuell",Nutzungsprofile!$G$6:$G$11)*Kalender!E239/SUM(Kalender!$E$5:$E$370),0))*Szenarien!$E$17,0)</f>
        <v>2.04</v>
      </c>
      <c r="D2435" s="13" t="n">
        <f aca="false">IF(Szenarien!$H$17="OK",(IFERROR(SUMIF(Nutzungsprofile!$B$17:$B$22,"Schulbetrieb",Nutzungsprofile!$G$17:$G$22)*Kalender!C239/SUM(Kalender!$C$5:$C$370),0)+IFERROR(SUMIF(Nutzungsprofile!$B$17:$B$22,"Halle",Nutzungsprofile!$G$17:$G$22)*Kalender!D239/SUM(Kalender!$D$5:$D$370),0)+IFERROR(SUMIF(Nutzungsprofile!$B$17:$B$22,"Individuell",Nutzungsprofile!$G$17:$G$22)*Kalender!E239/SUM(Kalender!$E$5:$E$370),0))*Szenarien!$D$17,0)</f>
        <v>0.89</v>
      </c>
      <c r="E2435" s="13" t="n">
        <f aca="false">IFERROR(MIN(C2435,Eingaben!$B$17)*Eingaben!$B$16,0)</f>
        <v>1.938</v>
      </c>
      <c r="F2435" s="13" t="n">
        <f aca="false">IFERROR(E2435*Eingaben!$B$15,0)</f>
        <v>1.7442</v>
      </c>
      <c r="G2435" s="13" t="n">
        <f aca="false">IFERROR(IF(Kalender!A239="",0,J2434*(1-Eingaben!$B$20)),0)</f>
        <v>1.709316</v>
      </c>
      <c r="H2435" s="13" t="n">
        <f aca="false">MIN(G2435,D2435)</f>
        <v>0.89</v>
      </c>
      <c r="I2435" s="13" t="n">
        <f aca="false">IFERROR(MIN(F2435*Eingaben!$B$19,MAX(0,D2435-H2435)),0)</f>
        <v>0</v>
      </c>
      <c r="J2435" s="13" t="n">
        <f aca="false">IFERROR(MIN(Eingaben!$B$18,MAX(0,F2435-I2435)),0)</f>
        <v>1.7442</v>
      </c>
      <c r="K2435" s="13" t="n">
        <f aca="false">H2435+I2435</f>
        <v>0.89</v>
      </c>
      <c r="L2435" s="13" t="n">
        <f aca="false">MAX(0,D2435-K2435)</f>
        <v>0</v>
      </c>
      <c r="M2435" s="13" t="n">
        <f aca="false">MAX(0,F2435-I2435-J2435)</f>
        <v>0</v>
      </c>
      <c r="N2435" s="13" t="n">
        <f aca="false">IF(Kalender!A239="",0,J2434-H2435)</f>
        <v>0.8542</v>
      </c>
    </row>
    <row r="2436" customFormat="false" ht="16.4" hidden="false" customHeight="false" outlineLevel="0" collapsed="false">
      <c r="A2436" s="13" t="str">
        <f aca="false">""</f>
        <v/>
      </c>
      <c r="B2436" s="13" t="n">
        <f aca="false">236</f>
        <v>236</v>
      </c>
      <c r="C2436" s="13" t="n">
        <f aca="false">IF(Szenarien!$H$17="OK",(IFERROR(SUMIF(Nutzungsprofile!$B$6:$B$11,"Schulbetrieb",Nutzungsprofile!$G$6:$G$11)*Kalender!C240/SUM(Kalender!$C$5:$C$370),0)+IFERROR(SUMIF(Nutzungsprofile!$B$6:$B$11,"Halle",Nutzungsprofile!$G$6:$G$11)*Kalender!D240/SUM(Kalender!$D$5:$D$370),0)+IFERROR(SUMIF(Nutzungsprofile!$B$6:$B$11,"Individuell",Nutzungsprofile!$G$6:$G$11)*Kalender!E240/SUM(Kalender!$E$5:$E$370),0))*Szenarien!$E$17,0)</f>
        <v>2.04</v>
      </c>
      <c r="D2436" s="13" t="n">
        <f aca="false">IF(Szenarien!$H$17="OK",(IFERROR(SUMIF(Nutzungsprofile!$B$17:$B$22,"Schulbetrieb",Nutzungsprofile!$G$17:$G$22)*Kalender!C240/SUM(Kalender!$C$5:$C$370),0)+IFERROR(SUMIF(Nutzungsprofile!$B$17:$B$22,"Halle",Nutzungsprofile!$G$17:$G$22)*Kalender!D240/SUM(Kalender!$D$5:$D$370),0)+IFERROR(SUMIF(Nutzungsprofile!$B$17:$B$22,"Individuell",Nutzungsprofile!$G$17:$G$22)*Kalender!E240/SUM(Kalender!$E$5:$E$370),0))*Szenarien!$D$17,0)</f>
        <v>0.89</v>
      </c>
      <c r="E2436" s="13" t="n">
        <f aca="false">IFERROR(MIN(C2436,Eingaben!$B$17)*Eingaben!$B$16,0)</f>
        <v>1.938</v>
      </c>
      <c r="F2436" s="13" t="n">
        <f aca="false">IFERROR(E2436*Eingaben!$B$15,0)</f>
        <v>1.7442</v>
      </c>
      <c r="G2436" s="13" t="n">
        <f aca="false">IFERROR(IF(Kalender!A240="",0,J2435*(1-Eingaben!$B$20)),0)</f>
        <v>1.709316</v>
      </c>
      <c r="H2436" s="13" t="n">
        <f aca="false">MIN(G2436,D2436)</f>
        <v>0.89</v>
      </c>
      <c r="I2436" s="13" t="n">
        <f aca="false">IFERROR(MIN(F2436*Eingaben!$B$19,MAX(0,D2436-H2436)),0)</f>
        <v>0</v>
      </c>
      <c r="J2436" s="13" t="n">
        <f aca="false">IFERROR(MIN(Eingaben!$B$18,MAX(0,F2436-I2436)),0)</f>
        <v>1.7442</v>
      </c>
      <c r="K2436" s="13" t="n">
        <f aca="false">H2436+I2436</f>
        <v>0.89</v>
      </c>
      <c r="L2436" s="13" t="n">
        <f aca="false">MAX(0,D2436-K2436)</f>
        <v>0</v>
      </c>
      <c r="M2436" s="13" t="n">
        <f aca="false">MAX(0,F2436-I2436-J2436)</f>
        <v>0</v>
      </c>
      <c r="N2436" s="13" t="n">
        <f aca="false">IF(Kalender!A240="",0,J2435-H2436)</f>
        <v>0.8542</v>
      </c>
    </row>
    <row r="2437" customFormat="false" ht="16.4" hidden="false" customHeight="false" outlineLevel="0" collapsed="false">
      <c r="A2437" s="13" t="str">
        <f aca="false">""</f>
        <v/>
      </c>
      <c r="B2437" s="13" t="n">
        <f aca="false">237</f>
        <v>237</v>
      </c>
      <c r="C2437" s="13" t="n">
        <f aca="false">IF(Szenarien!$H$17="OK",(IFERROR(SUMIF(Nutzungsprofile!$B$6:$B$11,"Schulbetrieb",Nutzungsprofile!$G$6:$G$11)*Kalender!C241/SUM(Kalender!$C$5:$C$370),0)+IFERROR(SUMIF(Nutzungsprofile!$B$6:$B$11,"Halle",Nutzungsprofile!$G$6:$G$11)*Kalender!D241/SUM(Kalender!$D$5:$D$370),0)+IFERROR(SUMIF(Nutzungsprofile!$B$6:$B$11,"Individuell",Nutzungsprofile!$G$6:$G$11)*Kalender!E241/SUM(Kalender!$E$5:$E$370),0))*Szenarien!$E$17,0)</f>
        <v>2.04</v>
      </c>
      <c r="D2437" s="13" t="n">
        <f aca="false">IF(Szenarien!$H$17="OK",(IFERROR(SUMIF(Nutzungsprofile!$B$17:$B$22,"Schulbetrieb",Nutzungsprofile!$G$17:$G$22)*Kalender!C241/SUM(Kalender!$C$5:$C$370),0)+IFERROR(SUMIF(Nutzungsprofile!$B$17:$B$22,"Halle",Nutzungsprofile!$G$17:$G$22)*Kalender!D241/SUM(Kalender!$D$5:$D$370),0)+IFERROR(SUMIF(Nutzungsprofile!$B$17:$B$22,"Individuell",Nutzungsprofile!$G$17:$G$22)*Kalender!E241/SUM(Kalender!$E$5:$E$370),0))*Szenarien!$D$17,0)</f>
        <v>0.89</v>
      </c>
      <c r="E2437" s="13" t="n">
        <f aca="false">IFERROR(MIN(C2437,Eingaben!$B$17)*Eingaben!$B$16,0)</f>
        <v>1.938</v>
      </c>
      <c r="F2437" s="13" t="n">
        <f aca="false">IFERROR(E2437*Eingaben!$B$15,0)</f>
        <v>1.7442</v>
      </c>
      <c r="G2437" s="13" t="n">
        <f aca="false">IFERROR(IF(Kalender!A241="",0,J2436*(1-Eingaben!$B$20)),0)</f>
        <v>1.709316</v>
      </c>
      <c r="H2437" s="13" t="n">
        <f aca="false">MIN(G2437,D2437)</f>
        <v>0.89</v>
      </c>
      <c r="I2437" s="13" t="n">
        <f aca="false">IFERROR(MIN(F2437*Eingaben!$B$19,MAX(0,D2437-H2437)),0)</f>
        <v>0</v>
      </c>
      <c r="J2437" s="13" t="n">
        <f aca="false">IFERROR(MIN(Eingaben!$B$18,MAX(0,F2437-I2437)),0)</f>
        <v>1.7442</v>
      </c>
      <c r="K2437" s="13" t="n">
        <f aca="false">H2437+I2437</f>
        <v>0.89</v>
      </c>
      <c r="L2437" s="13" t="n">
        <f aca="false">MAX(0,D2437-K2437)</f>
        <v>0</v>
      </c>
      <c r="M2437" s="13" t="n">
        <f aca="false">MAX(0,F2437-I2437-J2437)</f>
        <v>0</v>
      </c>
      <c r="N2437" s="13" t="n">
        <f aca="false">IF(Kalender!A241="",0,J2436-H2437)</f>
        <v>0.8542</v>
      </c>
    </row>
    <row r="2438" customFormat="false" ht="16.4" hidden="false" customHeight="false" outlineLevel="0" collapsed="false">
      <c r="A2438" s="13" t="str">
        <f aca="false">""</f>
        <v/>
      </c>
      <c r="B2438" s="13" t="n">
        <f aca="false">238</f>
        <v>238</v>
      </c>
      <c r="C2438" s="13" t="n">
        <f aca="false">IF(Szenarien!$H$17="OK",(IFERROR(SUMIF(Nutzungsprofile!$B$6:$B$11,"Schulbetrieb",Nutzungsprofile!$G$6:$G$11)*Kalender!C242/SUM(Kalender!$C$5:$C$370),0)+IFERROR(SUMIF(Nutzungsprofile!$B$6:$B$11,"Halle",Nutzungsprofile!$G$6:$G$11)*Kalender!D242/SUM(Kalender!$D$5:$D$370),0)+IFERROR(SUMIF(Nutzungsprofile!$B$6:$B$11,"Individuell",Nutzungsprofile!$G$6:$G$11)*Kalender!E242/SUM(Kalender!$E$5:$E$370),0))*Szenarien!$E$17,0)</f>
        <v>2.04</v>
      </c>
      <c r="D2438" s="13" t="n">
        <f aca="false">IF(Szenarien!$H$17="OK",(IFERROR(SUMIF(Nutzungsprofile!$B$17:$B$22,"Schulbetrieb",Nutzungsprofile!$G$17:$G$22)*Kalender!C242/SUM(Kalender!$C$5:$C$370),0)+IFERROR(SUMIF(Nutzungsprofile!$B$17:$B$22,"Halle",Nutzungsprofile!$G$17:$G$22)*Kalender!D242/SUM(Kalender!$D$5:$D$370),0)+IFERROR(SUMIF(Nutzungsprofile!$B$17:$B$22,"Individuell",Nutzungsprofile!$G$17:$G$22)*Kalender!E242/SUM(Kalender!$E$5:$E$370),0))*Szenarien!$D$17,0)</f>
        <v>0.89</v>
      </c>
      <c r="E2438" s="13" t="n">
        <f aca="false">IFERROR(MIN(C2438,Eingaben!$B$17)*Eingaben!$B$16,0)</f>
        <v>1.938</v>
      </c>
      <c r="F2438" s="13" t="n">
        <f aca="false">IFERROR(E2438*Eingaben!$B$15,0)</f>
        <v>1.7442</v>
      </c>
      <c r="G2438" s="13" t="n">
        <f aca="false">IFERROR(IF(Kalender!A242="",0,J2437*(1-Eingaben!$B$20)),0)</f>
        <v>1.709316</v>
      </c>
      <c r="H2438" s="13" t="n">
        <f aca="false">MIN(G2438,D2438)</f>
        <v>0.89</v>
      </c>
      <c r="I2438" s="13" t="n">
        <f aca="false">IFERROR(MIN(F2438*Eingaben!$B$19,MAX(0,D2438-H2438)),0)</f>
        <v>0</v>
      </c>
      <c r="J2438" s="13" t="n">
        <f aca="false">IFERROR(MIN(Eingaben!$B$18,MAX(0,F2438-I2438)),0)</f>
        <v>1.7442</v>
      </c>
      <c r="K2438" s="13" t="n">
        <f aca="false">H2438+I2438</f>
        <v>0.89</v>
      </c>
      <c r="L2438" s="13" t="n">
        <f aca="false">MAX(0,D2438-K2438)</f>
        <v>0</v>
      </c>
      <c r="M2438" s="13" t="n">
        <f aca="false">MAX(0,F2438-I2438-J2438)</f>
        <v>0</v>
      </c>
      <c r="N2438" s="13" t="n">
        <f aca="false">IF(Kalender!A242="",0,J2437-H2438)</f>
        <v>0.8542</v>
      </c>
    </row>
    <row r="2439" customFormat="false" ht="16.4" hidden="false" customHeight="false" outlineLevel="0" collapsed="false">
      <c r="A2439" s="13" t="str">
        <f aca="false">""</f>
        <v/>
      </c>
      <c r="B2439" s="13" t="n">
        <f aca="false">239</f>
        <v>239</v>
      </c>
      <c r="C2439" s="13" t="n">
        <f aca="false">IF(Szenarien!$H$17="OK",(IFERROR(SUMIF(Nutzungsprofile!$B$6:$B$11,"Schulbetrieb",Nutzungsprofile!$G$6:$G$11)*Kalender!C243/SUM(Kalender!$C$5:$C$370),0)+IFERROR(SUMIF(Nutzungsprofile!$B$6:$B$11,"Halle",Nutzungsprofile!$G$6:$G$11)*Kalender!D243/SUM(Kalender!$D$5:$D$370),0)+IFERROR(SUMIF(Nutzungsprofile!$B$6:$B$11,"Individuell",Nutzungsprofile!$G$6:$G$11)*Kalender!E243/SUM(Kalender!$E$5:$E$370),0))*Szenarien!$E$17,0)</f>
        <v>2.04</v>
      </c>
      <c r="D2439" s="13" t="n">
        <f aca="false">IF(Szenarien!$H$17="OK",(IFERROR(SUMIF(Nutzungsprofile!$B$17:$B$22,"Schulbetrieb",Nutzungsprofile!$G$17:$G$22)*Kalender!C243/SUM(Kalender!$C$5:$C$370),0)+IFERROR(SUMIF(Nutzungsprofile!$B$17:$B$22,"Halle",Nutzungsprofile!$G$17:$G$22)*Kalender!D243/SUM(Kalender!$D$5:$D$370),0)+IFERROR(SUMIF(Nutzungsprofile!$B$17:$B$22,"Individuell",Nutzungsprofile!$G$17:$G$22)*Kalender!E243/SUM(Kalender!$E$5:$E$370),0))*Szenarien!$D$17,0)</f>
        <v>0.89</v>
      </c>
      <c r="E2439" s="13" t="n">
        <f aca="false">IFERROR(MIN(C2439,Eingaben!$B$17)*Eingaben!$B$16,0)</f>
        <v>1.938</v>
      </c>
      <c r="F2439" s="13" t="n">
        <f aca="false">IFERROR(E2439*Eingaben!$B$15,0)</f>
        <v>1.7442</v>
      </c>
      <c r="G2439" s="13" t="n">
        <f aca="false">IFERROR(IF(Kalender!A243="",0,J2438*(1-Eingaben!$B$20)),0)</f>
        <v>1.709316</v>
      </c>
      <c r="H2439" s="13" t="n">
        <f aca="false">MIN(G2439,D2439)</f>
        <v>0.89</v>
      </c>
      <c r="I2439" s="13" t="n">
        <f aca="false">IFERROR(MIN(F2439*Eingaben!$B$19,MAX(0,D2439-H2439)),0)</f>
        <v>0</v>
      </c>
      <c r="J2439" s="13" t="n">
        <f aca="false">IFERROR(MIN(Eingaben!$B$18,MAX(0,F2439-I2439)),0)</f>
        <v>1.7442</v>
      </c>
      <c r="K2439" s="13" t="n">
        <f aca="false">H2439+I2439</f>
        <v>0.89</v>
      </c>
      <c r="L2439" s="13" t="n">
        <f aca="false">MAX(0,D2439-K2439)</f>
        <v>0</v>
      </c>
      <c r="M2439" s="13" t="n">
        <f aca="false">MAX(0,F2439-I2439-J2439)</f>
        <v>0</v>
      </c>
      <c r="N2439" s="13" t="n">
        <f aca="false">IF(Kalender!A243="",0,J2438-H2439)</f>
        <v>0.8542</v>
      </c>
    </row>
    <row r="2440" customFormat="false" ht="16.4" hidden="false" customHeight="false" outlineLevel="0" collapsed="false">
      <c r="A2440" s="13" t="str">
        <f aca="false">""</f>
        <v/>
      </c>
      <c r="B2440" s="13" t="n">
        <f aca="false">240</f>
        <v>240</v>
      </c>
      <c r="C2440" s="13" t="n">
        <f aca="false">IF(Szenarien!$H$17="OK",(IFERROR(SUMIF(Nutzungsprofile!$B$6:$B$11,"Schulbetrieb",Nutzungsprofile!$G$6:$G$11)*Kalender!C244/SUM(Kalender!$C$5:$C$370),0)+IFERROR(SUMIF(Nutzungsprofile!$B$6:$B$11,"Halle",Nutzungsprofile!$G$6:$G$11)*Kalender!D244/SUM(Kalender!$D$5:$D$370),0)+IFERROR(SUMIF(Nutzungsprofile!$B$6:$B$11,"Individuell",Nutzungsprofile!$G$6:$G$11)*Kalender!E244/SUM(Kalender!$E$5:$E$370),0))*Szenarien!$E$17,0)</f>
        <v>2.04</v>
      </c>
      <c r="D2440" s="13" t="n">
        <f aca="false">IF(Szenarien!$H$17="OK",(IFERROR(SUMIF(Nutzungsprofile!$B$17:$B$22,"Schulbetrieb",Nutzungsprofile!$G$17:$G$22)*Kalender!C244/SUM(Kalender!$C$5:$C$370),0)+IFERROR(SUMIF(Nutzungsprofile!$B$17:$B$22,"Halle",Nutzungsprofile!$G$17:$G$22)*Kalender!D244/SUM(Kalender!$D$5:$D$370),0)+IFERROR(SUMIF(Nutzungsprofile!$B$17:$B$22,"Individuell",Nutzungsprofile!$G$17:$G$22)*Kalender!E244/SUM(Kalender!$E$5:$E$370),0))*Szenarien!$D$17,0)</f>
        <v>0.89</v>
      </c>
      <c r="E2440" s="13" t="n">
        <f aca="false">IFERROR(MIN(C2440,Eingaben!$B$17)*Eingaben!$B$16,0)</f>
        <v>1.938</v>
      </c>
      <c r="F2440" s="13" t="n">
        <f aca="false">IFERROR(E2440*Eingaben!$B$15,0)</f>
        <v>1.7442</v>
      </c>
      <c r="G2440" s="13" t="n">
        <f aca="false">IFERROR(IF(Kalender!A244="",0,J2439*(1-Eingaben!$B$20)),0)</f>
        <v>1.709316</v>
      </c>
      <c r="H2440" s="13" t="n">
        <f aca="false">MIN(G2440,D2440)</f>
        <v>0.89</v>
      </c>
      <c r="I2440" s="13" t="n">
        <f aca="false">IFERROR(MIN(F2440*Eingaben!$B$19,MAX(0,D2440-H2440)),0)</f>
        <v>0</v>
      </c>
      <c r="J2440" s="13" t="n">
        <f aca="false">IFERROR(MIN(Eingaben!$B$18,MAX(0,F2440-I2440)),0)</f>
        <v>1.7442</v>
      </c>
      <c r="K2440" s="13" t="n">
        <f aca="false">H2440+I2440</f>
        <v>0.89</v>
      </c>
      <c r="L2440" s="13" t="n">
        <f aca="false">MAX(0,D2440-K2440)</f>
        <v>0</v>
      </c>
      <c r="M2440" s="13" t="n">
        <f aca="false">MAX(0,F2440-I2440-J2440)</f>
        <v>0</v>
      </c>
      <c r="N2440" s="13" t="n">
        <f aca="false">IF(Kalender!A244="",0,J2439-H2440)</f>
        <v>0.8542</v>
      </c>
    </row>
    <row r="2441" customFormat="false" ht="16.4" hidden="false" customHeight="false" outlineLevel="0" collapsed="false">
      <c r="A2441" s="13" t="str">
        <f aca="false">""</f>
        <v/>
      </c>
      <c r="B2441" s="13" t="n">
        <f aca="false">241</f>
        <v>241</v>
      </c>
      <c r="C2441" s="13" t="n">
        <f aca="false">IF(Szenarien!$H$17="OK",(IFERROR(SUMIF(Nutzungsprofile!$B$6:$B$11,"Schulbetrieb",Nutzungsprofile!$G$6:$G$11)*Kalender!C245/SUM(Kalender!$C$5:$C$370),0)+IFERROR(SUMIF(Nutzungsprofile!$B$6:$B$11,"Halle",Nutzungsprofile!$G$6:$G$11)*Kalender!D245/SUM(Kalender!$D$5:$D$370),0)+IFERROR(SUMIF(Nutzungsprofile!$B$6:$B$11,"Individuell",Nutzungsprofile!$G$6:$G$11)*Kalender!E245/SUM(Kalender!$E$5:$E$370),0))*Szenarien!$E$17,0)</f>
        <v>2.04</v>
      </c>
      <c r="D2441" s="13" t="n">
        <f aca="false">IF(Szenarien!$H$17="OK",(IFERROR(SUMIF(Nutzungsprofile!$B$17:$B$22,"Schulbetrieb",Nutzungsprofile!$G$17:$G$22)*Kalender!C245/SUM(Kalender!$C$5:$C$370),0)+IFERROR(SUMIF(Nutzungsprofile!$B$17:$B$22,"Halle",Nutzungsprofile!$G$17:$G$22)*Kalender!D245/SUM(Kalender!$D$5:$D$370),0)+IFERROR(SUMIF(Nutzungsprofile!$B$17:$B$22,"Individuell",Nutzungsprofile!$G$17:$G$22)*Kalender!E245/SUM(Kalender!$E$5:$E$370),0))*Szenarien!$D$17,0)</f>
        <v>0.89</v>
      </c>
      <c r="E2441" s="13" t="n">
        <f aca="false">IFERROR(MIN(C2441,Eingaben!$B$17)*Eingaben!$B$16,0)</f>
        <v>1.938</v>
      </c>
      <c r="F2441" s="13" t="n">
        <f aca="false">IFERROR(E2441*Eingaben!$B$15,0)</f>
        <v>1.7442</v>
      </c>
      <c r="G2441" s="13" t="n">
        <f aca="false">IFERROR(IF(Kalender!A245="",0,J2440*(1-Eingaben!$B$20)),0)</f>
        <v>1.709316</v>
      </c>
      <c r="H2441" s="13" t="n">
        <f aca="false">MIN(G2441,D2441)</f>
        <v>0.89</v>
      </c>
      <c r="I2441" s="13" t="n">
        <f aca="false">IFERROR(MIN(F2441*Eingaben!$B$19,MAX(0,D2441-H2441)),0)</f>
        <v>0</v>
      </c>
      <c r="J2441" s="13" t="n">
        <f aca="false">IFERROR(MIN(Eingaben!$B$18,MAX(0,F2441-I2441)),0)</f>
        <v>1.7442</v>
      </c>
      <c r="K2441" s="13" t="n">
        <f aca="false">H2441+I2441</f>
        <v>0.89</v>
      </c>
      <c r="L2441" s="13" t="n">
        <f aca="false">MAX(0,D2441-K2441)</f>
        <v>0</v>
      </c>
      <c r="M2441" s="13" t="n">
        <f aca="false">MAX(0,F2441-I2441-J2441)</f>
        <v>0</v>
      </c>
      <c r="N2441" s="13" t="n">
        <f aca="false">IF(Kalender!A245="",0,J2440-H2441)</f>
        <v>0.8542</v>
      </c>
    </row>
    <row r="2442" customFormat="false" ht="16.4" hidden="false" customHeight="false" outlineLevel="0" collapsed="false">
      <c r="A2442" s="13" t="str">
        <f aca="false">""</f>
        <v/>
      </c>
      <c r="B2442" s="13" t="n">
        <f aca="false">242</f>
        <v>242</v>
      </c>
      <c r="C2442" s="13" t="n">
        <f aca="false">IF(Szenarien!$H$17="OK",(IFERROR(SUMIF(Nutzungsprofile!$B$6:$B$11,"Schulbetrieb",Nutzungsprofile!$G$6:$G$11)*Kalender!C246/SUM(Kalender!$C$5:$C$370),0)+IFERROR(SUMIF(Nutzungsprofile!$B$6:$B$11,"Halle",Nutzungsprofile!$G$6:$G$11)*Kalender!D246/SUM(Kalender!$D$5:$D$370),0)+IFERROR(SUMIF(Nutzungsprofile!$B$6:$B$11,"Individuell",Nutzungsprofile!$G$6:$G$11)*Kalender!E246/SUM(Kalender!$E$5:$E$370),0))*Szenarien!$E$17,0)</f>
        <v>2.04</v>
      </c>
      <c r="D2442" s="13" t="n">
        <f aca="false">IF(Szenarien!$H$17="OK",(IFERROR(SUMIF(Nutzungsprofile!$B$17:$B$22,"Schulbetrieb",Nutzungsprofile!$G$17:$G$22)*Kalender!C246/SUM(Kalender!$C$5:$C$370),0)+IFERROR(SUMIF(Nutzungsprofile!$B$17:$B$22,"Halle",Nutzungsprofile!$G$17:$G$22)*Kalender!D246/SUM(Kalender!$D$5:$D$370),0)+IFERROR(SUMIF(Nutzungsprofile!$B$17:$B$22,"Individuell",Nutzungsprofile!$G$17:$G$22)*Kalender!E246/SUM(Kalender!$E$5:$E$370),0))*Szenarien!$D$17,0)</f>
        <v>0.89</v>
      </c>
      <c r="E2442" s="13" t="n">
        <f aca="false">IFERROR(MIN(C2442,Eingaben!$B$17)*Eingaben!$B$16,0)</f>
        <v>1.938</v>
      </c>
      <c r="F2442" s="13" t="n">
        <f aca="false">IFERROR(E2442*Eingaben!$B$15,0)</f>
        <v>1.7442</v>
      </c>
      <c r="G2442" s="13" t="n">
        <f aca="false">IFERROR(IF(Kalender!A246="",0,J2441*(1-Eingaben!$B$20)),0)</f>
        <v>1.709316</v>
      </c>
      <c r="H2442" s="13" t="n">
        <f aca="false">MIN(G2442,D2442)</f>
        <v>0.89</v>
      </c>
      <c r="I2442" s="13" t="n">
        <f aca="false">IFERROR(MIN(F2442*Eingaben!$B$19,MAX(0,D2442-H2442)),0)</f>
        <v>0</v>
      </c>
      <c r="J2442" s="13" t="n">
        <f aca="false">IFERROR(MIN(Eingaben!$B$18,MAX(0,F2442-I2442)),0)</f>
        <v>1.7442</v>
      </c>
      <c r="K2442" s="13" t="n">
        <f aca="false">H2442+I2442</f>
        <v>0.89</v>
      </c>
      <c r="L2442" s="13" t="n">
        <f aca="false">MAX(0,D2442-K2442)</f>
        <v>0</v>
      </c>
      <c r="M2442" s="13" t="n">
        <f aca="false">MAX(0,F2442-I2442-J2442)</f>
        <v>0</v>
      </c>
      <c r="N2442" s="13" t="n">
        <f aca="false">IF(Kalender!A246="",0,J2441-H2442)</f>
        <v>0.8542</v>
      </c>
    </row>
    <row r="2443" customFormat="false" ht="16.4" hidden="false" customHeight="false" outlineLevel="0" collapsed="false">
      <c r="A2443" s="13" t="str">
        <f aca="false">""</f>
        <v/>
      </c>
      <c r="B2443" s="13" t="n">
        <f aca="false">243</f>
        <v>243</v>
      </c>
      <c r="C2443" s="13" t="n">
        <f aca="false">IF(Szenarien!$H$17="OK",(IFERROR(SUMIF(Nutzungsprofile!$B$6:$B$11,"Schulbetrieb",Nutzungsprofile!$G$6:$G$11)*Kalender!C247/SUM(Kalender!$C$5:$C$370),0)+IFERROR(SUMIF(Nutzungsprofile!$B$6:$B$11,"Halle",Nutzungsprofile!$G$6:$G$11)*Kalender!D247/SUM(Kalender!$D$5:$D$370),0)+IFERROR(SUMIF(Nutzungsprofile!$B$6:$B$11,"Individuell",Nutzungsprofile!$G$6:$G$11)*Kalender!E247/SUM(Kalender!$E$5:$E$370),0))*Szenarien!$E$17,0)</f>
        <v>2.04</v>
      </c>
      <c r="D2443" s="13" t="n">
        <f aca="false">IF(Szenarien!$H$17="OK",(IFERROR(SUMIF(Nutzungsprofile!$B$17:$B$22,"Schulbetrieb",Nutzungsprofile!$G$17:$G$22)*Kalender!C247/SUM(Kalender!$C$5:$C$370),0)+IFERROR(SUMIF(Nutzungsprofile!$B$17:$B$22,"Halle",Nutzungsprofile!$G$17:$G$22)*Kalender!D247/SUM(Kalender!$D$5:$D$370),0)+IFERROR(SUMIF(Nutzungsprofile!$B$17:$B$22,"Individuell",Nutzungsprofile!$G$17:$G$22)*Kalender!E247/SUM(Kalender!$E$5:$E$370),0))*Szenarien!$D$17,0)</f>
        <v>0.89</v>
      </c>
      <c r="E2443" s="13" t="n">
        <f aca="false">IFERROR(MIN(C2443,Eingaben!$B$17)*Eingaben!$B$16,0)</f>
        <v>1.938</v>
      </c>
      <c r="F2443" s="13" t="n">
        <f aca="false">IFERROR(E2443*Eingaben!$B$15,0)</f>
        <v>1.7442</v>
      </c>
      <c r="G2443" s="13" t="n">
        <f aca="false">IFERROR(IF(Kalender!A247="",0,J2442*(1-Eingaben!$B$20)),0)</f>
        <v>1.709316</v>
      </c>
      <c r="H2443" s="13" t="n">
        <f aca="false">MIN(G2443,D2443)</f>
        <v>0.89</v>
      </c>
      <c r="I2443" s="13" t="n">
        <f aca="false">IFERROR(MIN(F2443*Eingaben!$B$19,MAX(0,D2443-H2443)),0)</f>
        <v>0</v>
      </c>
      <c r="J2443" s="13" t="n">
        <f aca="false">IFERROR(MIN(Eingaben!$B$18,MAX(0,F2443-I2443)),0)</f>
        <v>1.7442</v>
      </c>
      <c r="K2443" s="13" t="n">
        <f aca="false">H2443+I2443</f>
        <v>0.89</v>
      </c>
      <c r="L2443" s="13" t="n">
        <f aca="false">MAX(0,D2443-K2443)</f>
        <v>0</v>
      </c>
      <c r="M2443" s="13" t="n">
        <f aca="false">MAX(0,F2443-I2443-J2443)</f>
        <v>0</v>
      </c>
      <c r="N2443" s="13" t="n">
        <f aca="false">IF(Kalender!A247="",0,J2442-H2443)</f>
        <v>0.8542</v>
      </c>
    </row>
    <row r="2444" customFormat="false" ht="16.4" hidden="false" customHeight="false" outlineLevel="0" collapsed="false">
      <c r="A2444" s="13" t="str">
        <f aca="false">""</f>
        <v/>
      </c>
      <c r="B2444" s="13" t="n">
        <f aca="false">244</f>
        <v>244</v>
      </c>
      <c r="C2444" s="13" t="n">
        <f aca="false">IF(Szenarien!$H$17="OK",(IFERROR(SUMIF(Nutzungsprofile!$B$6:$B$11,"Schulbetrieb",Nutzungsprofile!$G$6:$G$11)*Kalender!C248/SUM(Kalender!$C$5:$C$370),0)+IFERROR(SUMIF(Nutzungsprofile!$B$6:$B$11,"Halle",Nutzungsprofile!$G$6:$G$11)*Kalender!D248/SUM(Kalender!$D$5:$D$370),0)+IFERROR(SUMIF(Nutzungsprofile!$B$6:$B$11,"Individuell",Nutzungsprofile!$G$6:$G$11)*Kalender!E248/SUM(Kalender!$E$5:$E$370),0))*Szenarien!$E$17,0)</f>
        <v>2.94</v>
      </c>
      <c r="D2444" s="13" t="n">
        <f aca="false">IF(Szenarien!$H$17="OK",(IFERROR(SUMIF(Nutzungsprofile!$B$17:$B$22,"Schulbetrieb",Nutzungsprofile!$G$17:$G$22)*Kalender!C248/SUM(Kalender!$C$5:$C$370),0)+IFERROR(SUMIF(Nutzungsprofile!$B$17:$B$22,"Halle",Nutzungsprofile!$G$17:$G$22)*Kalender!D248/SUM(Kalender!$D$5:$D$370),0)+IFERROR(SUMIF(Nutzungsprofile!$B$17:$B$22,"Individuell",Nutzungsprofile!$G$17:$G$22)*Kalender!E248/SUM(Kalender!$E$5:$E$370),0))*Szenarien!$D$17,0)</f>
        <v>4.94</v>
      </c>
      <c r="E2444" s="13" t="n">
        <f aca="false">IFERROR(MIN(C2444,Eingaben!$B$17)*Eingaben!$B$16,0)</f>
        <v>2.793</v>
      </c>
      <c r="F2444" s="13" t="n">
        <f aca="false">IFERROR(E2444*Eingaben!$B$15,0)</f>
        <v>2.5137</v>
      </c>
      <c r="G2444" s="13" t="n">
        <f aca="false">IFERROR(IF(Kalender!A248="",0,J2443*(1-Eingaben!$B$20)),0)</f>
        <v>1.709316</v>
      </c>
      <c r="H2444" s="13" t="n">
        <f aca="false">MIN(G2444,D2444)</f>
        <v>1.709316</v>
      </c>
      <c r="I2444" s="13" t="n">
        <f aca="false">IFERROR(MIN(F2444*Eingaben!$B$19,MAX(0,D2444-H2444)),0)</f>
        <v>1.75959</v>
      </c>
      <c r="J2444" s="13" t="n">
        <f aca="false">IFERROR(MIN(Eingaben!$B$18,MAX(0,F2444-I2444)),0)</f>
        <v>0.75411</v>
      </c>
      <c r="K2444" s="13" t="n">
        <f aca="false">H2444+I2444</f>
        <v>3.468906</v>
      </c>
      <c r="L2444" s="13" t="n">
        <f aca="false">MAX(0,D2444-K2444)</f>
        <v>1.471094</v>
      </c>
      <c r="M2444" s="13" t="n">
        <f aca="false">MAX(0,F2444-I2444-J2444)</f>
        <v>0</v>
      </c>
      <c r="N2444" s="13" t="n">
        <f aca="false">IF(Kalender!A248="",0,J2443-H2444)</f>
        <v>0.0348840000000001</v>
      </c>
    </row>
    <row r="2445" customFormat="false" ht="16.4" hidden="false" customHeight="false" outlineLevel="0" collapsed="false">
      <c r="A2445" s="13" t="str">
        <f aca="false">""</f>
        <v/>
      </c>
      <c r="B2445" s="13" t="n">
        <f aca="false">245</f>
        <v>245</v>
      </c>
      <c r="C2445" s="13" t="n">
        <f aca="false">IF(Szenarien!$H$17="OK",(IFERROR(SUMIF(Nutzungsprofile!$B$6:$B$11,"Schulbetrieb",Nutzungsprofile!$G$6:$G$11)*Kalender!C249/SUM(Kalender!$C$5:$C$370),0)+IFERROR(SUMIF(Nutzungsprofile!$B$6:$B$11,"Halle",Nutzungsprofile!$G$6:$G$11)*Kalender!D249/SUM(Kalender!$D$5:$D$370),0)+IFERROR(SUMIF(Nutzungsprofile!$B$6:$B$11,"Individuell",Nutzungsprofile!$G$6:$G$11)*Kalender!E249/SUM(Kalender!$E$5:$E$370),0))*Szenarien!$E$17,0)</f>
        <v>2.94</v>
      </c>
      <c r="D2445" s="13" t="n">
        <f aca="false">IF(Szenarien!$H$17="OK",(IFERROR(SUMIF(Nutzungsprofile!$B$17:$B$22,"Schulbetrieb",Nutzungsprofile!$G$17:$G$22)*Kalender!C249/SUM(Kalender!$C$5:$C$370),0)+IFERROR(SUMIF(Nutzungsprofile!$B$17:$B$22,"Halle",Nutzungsprofile!$G$17:$G$22)*Kalender!D249/SUM(Kalender!$D$5:$D$370),0)+IFERROR(SUMIF(Nutzungsprofile!$B$17:$B$22,"Individuell",Nutzungsprofile!$G$17:$G$22)*Kalender!E249/SUM(Kalender!$E$5:$E$370),0))*Szenarien!$D$17,0)</f>
        <v>4.94</v>
      </c>
      <c r="E2445" s="13" t="n">
        <f aca="false">IFERROR(MIN(C2445,Eingaben!$B$17)*Eingaben!$B$16,0)</f>
        <v>2.793</v>
      </c>
      <c r="F2445" s="13" t="n">
        <f aca="false">IFERROR(E2445*Eingaben!$B$15,0)</f>
        <v>2.5137</v>
      </c>
      <c r="G2445" s="13" t="n">
        <f aca="false">IFERROR(IF(Kalender!A249="",0,J2444*(1-Eingaben!$B$20)),0)</f>
        <v>0.7390278</v>
      </c>
      <c r="H2445" s="13" t="n">
        <f aca="false">MIN(G2445,D2445)</f>
        <v>0.7390278</v>
      </c>
      <c r="I2445" s="13" t="n">
        <f aca="false">IFERROR(MIN(F2445*Eingaben!$B$19,MAX(0,D2445-H2445)),0)</f>
        <v>1.75959</v>
      </c>
      <c r="J2445" s="13" t="n">
        <f aca="false">IFERROR(MIN(Eingaben!$B$18,MAX(0,F2445-I2445)),0)</f>
        <v>0.75411</v>
      </c>
      <c r="K2445" s="13" t="n">
        <f aca="false">H2445+I2445</f>
        <v>2.4986178</v>
      </c>
      <c r="L2445" s="13" t="n">
        <f aca="false">MAX(0,D2445-K2445)</f>
        <v>2.4413822</v>
      </c>
      <c r="M2445" s="13" t="n">
        <f aca="false">MAX(0,F2445-I2445-J2445)</f>
        <v>0</v>
      </c>
      <c r="N2445" s="13" t="n">
        <f aca="false">IF(Kalender!A249="",0,J2444-H2445)</f>
        <v>0.0150822</v>
      </c>
    </row>
    <row r="2446" customFormat="false" ht="16.4" hidden="false" customHeight="false" outlineLevel="0" collapsed="false">
      <c r="A2446" s="13" t="str">
        <f aca="false">""</f>
        <v/>
      </c>
      <c r="B2446" s="13" t="n">
        <f aca="false">246</f>
        <v>246</v>
      </c>
      <c r="C2446" s="13" t="n">
        <f aca="false">IF(Szenarien!$H$17="OK",(IFERROR(SUMIF(Nutzungsprofile!$B$6:$B$11,"Schulbetrieb",Nutzungsprofile!$G$6:$G$11)*Kalender!C250/SUM(Kalender!$C$5:$C$370),0)+IFERROR(SUMIF(Nutzungsprofile!$B$6:$B$11,"Halle",Nutzungsprofile!$G$6:$G$11)*Kalender!D250/SUM(Kalender!$D$5:$D$370),0)+IFERROR(SUMIF(Nutzungsprofile!$B$6:$B$11,"Individuell",Nutzungsprofile!$G$6:$G$11)*Kalender!E250/SUM(Kalender!$E$5:$E$370),0))*Szenarien!$E$17,0)</f>
        <v>2.94</v>
      </c>
      <c r="D2446" s="13" t="n">
        <f aca="false">IF(Szenarien!$H$17="OK",(IFERROR(SUMIF(Nutzungsprofile!$B$17:$B$22,"Schulbetrieb",Nutzungsprofile!$G$17:$G$22)*Kalender!C250/SUM(Kalender!$C$5:$C$370),0)+IFERROR(SUMIF(Nutzungsprofile!$B$17:$B$22,"Halle",Nutzungsprofile!$G$17:$G$22)*Kalender!D250/SUM(Kalender!$D$5:$D$370),0)+IFERROR(SUMIF(Nutzungsprofile!$B$17:$B$22,"Individuell",Nutzungsprofile!$G$17:$G$22)*Kalender!E250/SUM(Kalender!$E$5:$E$370),0))*Szenarien!$D$17,0)</f>
        <v>4.94</v>
      </c>
      <c r="E2446" s="13" t="n">
        <f aca="false">IFERROR(MIN(C2446,Eingaben!$B$17)*Eingaben!$B$16,0)</f>
        <v>2.793</v>
      </c>
      <c r="F2446" s="13" t="n">
        <f aca="false">IFERROR(E2446*Eingaben!$B$15,0)</f>
        <v>2.5137</v>
      </c>
      <c r="G2446" s="13" t="n">
        <f aca="false">IFERROR(IF(Kalender!A250="",0,J2445*(1-Eingaben!$B$20)),0)</f>
        <v>0.7390278</v>
      </c>
      <c r="H2446" s="13" t="n">
        <f aca="false">MIN(G2446,D2446)</f>
        <v>0.7390278</v>
      </c>
      <c r="I2446" s="13" t="n">
        <f aca="false">IFERROR(MIN(F2446*Eingaben!$B$19,MAX(0,D2446-H2446)),0)</f>
        <v>1.75959</v>
      </c>
      <c r="J2446" s="13" t="n">
        <f aca="false">IFERROR(MIN(Eingaben!$B$18,MAX(0,F2446-I2446)),0)</f>
        <v>0.75411</v>
      </c>
      <c r="K2446" s="13" t="n">
        <f aca="false">H2446+I2446</f>
        <v>2.4986178</v>
      </c>
      <c r="L2446" s="13" t="n">
        <f aca="false">MAX(0,D2446-K2446)</f>
        <v>2.4413822</v>
      </c>
      <c r="M2446" s="13" t="n">
        <f aca="false">MAX(0,F2446-I2446-J2446)</f>
        <v>0</v>
      </c>
      <c r="N2446" s="13" t="n">
        <f aca="false">IF(Kalender!A250="",0,J2445-H2446)</f>
        <v>0.0150822</v>
      </c>
    </row>
    <row r="2447" customFormat="false" ht="16.4" hidden="false" customHeight="false" outlineLevel="0" collapsed="false">
      <c r="A2447" s="13" t="str">
        <f aca="false">""</f>
        <v/>
      </c>
      <c r="B2447" s="13" t="n">
        <f aca="false">247</f>
        <v>247</v>
      </c>
      <c r="C2447" s="13" t="n">
        <f aca="false">IF(Szenarien!$H$17="OK",(IFERROR(SUMIF(Nutzungsprofile!$B$6:$B$11,"Schulbetrieb",Nutzungsprofile!$G$6:$G$11)*Kalender!C251/SUM(Kalender!$C$5:$C$370),0)+IFERROR(SUMIF(Nutzungsprofile!$B$6:$B$11,"Halle",Nutzungsprofile!$G$6:$G$11)*Kalender!D251/SUM(Kalender!$D$5:$D$370),0)+IFERROR(SUMIF(Nutzungsprofile!$B$6:$B$11,"Individuell",Nutzungsprofile!$G$6:$G$11)*Kalender!E251/SUM(Kalender!$E$5:$E$370),0))*Szenarien!$E$17,0)</f>
        <v>2.94</v>
      </c>
      <c r="D2447" s="13" t="n">
        <f aca="false">IF(Szenarien!$H$17="OK",(IFERROR(SUMIF(Nutzungsprofile!$B$17:$B$22,"Schulbetrieb",Nutzungsprofile!$G$17:$G$22)*Kalender!C251/SUM(Kalender!$C$5:$C$370),0)+IFERROR(SUMIF(Nutzungsprofile!$B$17:$B$22,"Halle",Nutzungsprofile!$G$17:$G$22)*Kalender!D251/SUM(Kalender!$D$5:$D$370),0)+IFERROR(SUMIF(Nutzungsprofile!$B$17:$B$22,"Individuell",Nutzungsprofile!$G$17:$G$22)*Kalender!E251/SUM(Kalender!$E$5:$E$370),0))*Szenarien!$D$17,0)</f>
        <v>4.94</v>
      </c>
      <c r="E2447" s="13" t="n">
        <f aca="false">IFERROR(MIN(C2447,Eingaben!$B$17)*Eingaben!$B$16,0)</f>
        <v>2.793</v>
      </c>
      <c r="F2447" s="13" t="n">
        <f aca="false">IFERROR(E2447*Eingaben!$B$15,0)</f>
        <v>2.5137</v>
      </c>
      <c r="G2447" s="13" t="n">
        <f aca="false">IFERROR(IF(Kalender!A251="",0,J2446*(1-Eingaben!$B$20)),0)</f>
        <v>0.7390278</v>
      </c>
      <c r="H2447" s="13" t="n">
        <f aca="false">MIN(G2447,D2447)</f>
        <v>0.7390278</v>
      </c>
      <c r="I2447" s="13" t="n">
        <f aca="false">IFERROR(MIN(F2447*Eingaben!$B$19,MAX(0,D2447-H2447)),0)</f>
        <v>1.75959</v>
      </c>
      <c r="J2447" s="13" t="n">
        <f aca="false">IFERROR(MIN(Eingaben!$B$18,MAX(0,F2447-I2447)),0)</f>
        <v>0.75411</v>
      </c>
      <c r="K2447" s="13" t="n">
        <f aca="false">H2447+I2447</f>
        <v>2.4986178</v>
      </c>
      <c r="L2447" s="13" t="n">
        <f aca="false">MAX(0,D2447-K2447)</f>
        <v>2.4413822</v>
      </c>
      <c r="M2447" s="13" t="n">
        <f aca="false">MAX(0,F2447-I2447-J2447)</f>
        <v>0</v>
      </c>
      <c r="N2447" s="13" t="n">
        <f aca="false">IF(Kalender!A251="",0,J2446-H2447)</f>
        <v>0.0150822</v>
      </c>
    </row>
    <row r="2448" customFormat="false" ht="16.4" hidden="false" customHeight="false" outlineLevel="0" collapsed="false">
      <c r="A2448" s="13" t="str">
        <f aca="false">""</f>
        <v/>
      </c>
      <c r="B2448" s="13" t="n">
        <f aca="false">248</f>
        <v>248</v>
      </c>
      <c r="C2448" s="13" t="n">
        <f aca="false">IF(Szenarien!$H$17="OK",(IFERROR(SUMIF(Nutzungsprofile!$B$6:$B$11,"Schulbetrieb",Nutzungsprofile!$G$6:$G$11)*Kalender!C252/SUM(Kalender!$C$5:$C$370),0)+IFERROR(SUMIF(Nutzungsprofile!$B$6:$B$11,"Halle",Nutzungsprofile!$G$6:$G$11)*Kalender!D252/SUM(Kalender!$D$5:$D$370),0)+IFERROR(SUMIF(Nutzungsprofile!$B$6:$B$11,"Individuell",Nutzungsprofile!$G$6:$G$11)*Kalender!E252/SUM(Kalender!$E$5:$E$370),0))*Szenarien!$E$17,0)</f>
        <v>2.04</v>
      </c>
      <c r="D2448" s="13" t="n">
        <f aca="false">IF(Szenarien!$H$17="OK",(IFERROR(SUMIF(Nutzungsprofile!$B$17:$B$22,"Schulbetrieb",Nutzungsprofile!$G$17:$G$22)*Kalender!C252/SUM(Kalender!$C$5:$C$370),0)+IFERROR(SUMIF(Nutzungsprofile!$B$17:$B$22,"Halle",Nutzungsprofile!$G$17:$G$22)*Kalender!D252/SUM(Kalender!$D$5:$D$370),0)+IFERROR(SUMIF(Nutzungsprofile!$B$17:$B$22,"Individuell",Nutzungsprofile!$G$17:$G$22)*Kalender!E252/SUM(Kalender!$E$5:$E$370),0))*Szenarien!$D$17,0)</f>
        <v>0.89</v>
      </c>
      <c r="E2448" s="13" t="n">
        <f aca="false">IFERROR(MIN(C2448,Eingaben!$B$17)*Eingaben!$B$16,0)</f>
        <v>1.938</v>
      </c>
      <c r="F2448" s="13" t="n">
        <f aca="false">IFERROR(E2448*Eingaben!$B$15,0)</f>
        <v>1.7442</v>
      </c>
      <c r="G2448" s="13" t="n">
        <f aca="false">IFERROR(IF(Kalender!A252="",0,J2447*(1-Eingaben!$B$20)),0)</f>
        <v>0.7390278</v>
      </c>
      <c r="H2448" s="13" t="n">
        <f aca="false">MIN(G2448,D2448)</f>
        <v>0.7390278</v>
      </c>
      <c r="I2448" s="13" t="n">
        <f aca="false">IFERROR(MIN(F2448*Eingaben!$B$19,MAX(0,D2448-H2448)),0)</f>
        <v>0.1509722</v>
      </c>
      <c r="J2448" s="13" t="n">
        <f aca="false">IFERROR(MIN(Eingaben!$B$18,MAX(0,F2448-I2448)),0)</f>
        <v>1.5932278</v>
      </c>
      <c r="K2448" s="13" t="n">
        <f aca="false">H2448+I2448</f>
        <v>0.89</v>
      </c>
      <c r="L2448" s="13" t="n">
        <f aca="false">MAX(0,D2448-K2448)</f>
        <v>0</v>
      </c>
      <c r="M2448" s="13" t="n">
        <f aca="false">MAX(0,F2448-I2448-J2448)</f>
        <v>0</v>
      </c>
      <c r="N2448" s="13" t="n">
        <f aca="false">IF(Kalender!A252="",0,J2447-H2448)</f>
        <v>0.0150822</v>
      </c>
    </row>
    <row r="2449" customFormat="false" ht="16.4" hidden="false" customHeight="false" outlineLevel="0" collapsed="false">
      <c r="A2449" s="13" t="str">
        <f aca="false">""</f>
        <v/>
      </c>
      <c r="B2449" s="13" t="n">
        <f aca="false">249</f>
        <v>249</v>
      </c>
      <c r="C2449" s="13" t="n">
        <f aca="false">IF(Szenarien!$H$17="OK",(IFERROR(SUMIF(Nutzungsprofile!$B$6:$B$11,"Schulbetrieb",Nutzungsprofile!$G$6:$G$11)*Kalender!C253/SUM(Kalender!$C$5:$C$370),0)+IFERROR(SUMIF(Nutzungsprofile!$B$6:$B$11,"Halle",Nutzungsprofile!$G$6:$G$11)*Kalender!D253/SUM(Kalender!$D$5:$D$370),0)+IFERROR(SUMIF(Nutzungsprofile!$B$6:$B$11,"Individuell",Nutzungsprofile!$G$6:$G$11)*Kalender!E253/SUM(Kalender!$E$5:$E$370),0))*Szenarien!$E$17,0)</f>
        <v>2.04</v>
      </c>
      <c r="D2449" s="13" t="n">
        <f aca="false">IF(Szenarien!$H$17="OK",(IFERROR(SUMIF(Nutzungsprofile!$B$17:$B$22,"Schulbetrieb",Nutzungsprofile!$G$17:$G$22)*Kalender!C253/SUM(Kalender!$C$5:$C$370),0)+IFERROR(SUMIF(Nutzungsprofile!$B$17:$B$22,"Halle",Nutzungsprofile!$G$17:$G$22)*Kalender!D253/SUM(Kalender!$D$5:$D$370),0)+IFERROR(SUMIF(Nutzungsprofile!$B$17:$B$22,"Individuell",Nutzungsprofile!$G$17:$G$22)*Kalender!E253/SUM(Kalender!$E$5:$E$370),0))*Szenarien!$D$17,0)</f>
        <v>0.89</v>
      </c>
      <c r="E2449" s="13" t="n">
        <f aca="false">IFERROR(MIN(C2449,Eingaben!$B$17)*Eingaben!$B$16,0)</f>
        <v>1.938</v>
      </c>
      <c r="F2449" s="13" t="n">
        <f aca="false">IFERROR(E2449*Eingaben!$B$15,0)</f>
        <v>1.7442</v>
      </c>
      <c r="G2449" s="13" t="n">
        <f aca="false">IFERROR(IF(Kalender!A253="",0,J2448*(1-Eingaben!$B$20)),0)</f>
        <v>1.561363244</v>
      </c>
      <c r="H2449" s="13" t="n">
        <f aca="false">MIN(G2449,D2449)</f>
        <v>0.89</v>
      </c>
      <c r="I2449" s="13" t="n">
        <f aca="false">IFERROR(MIN(F2449*Eingaben!$B$19,MAX(0,D2449-H2449)),0)</f>
        <v>0</v>
      </c>
      <c r="J2449" s="13" t="n">
        <f aca="false">IFERROR(MIN(Eingaben!$B$18,MAX(0,F2449-I2449)),0)</f>
        <v>1.7442</v>
      </c>
      <c r="K2449" s="13" t="n">
        <f aca="false">H2449+I2449</f>
        <v>0.89</v>
      </c>
      <c r="L2449" s="13" t="n">
        <f aca="false">MAX(0,D2449-K2449)</f>
        <v>0</v>
      </c>
      <c r="M2449" s="13" t="n">
        <f aca="false">MAX(0,F2449-I2449-J2449)</f>
        <v>0</v>
      </c>
      <c r="N2449" s="13" t="n">
        <f aca="false">IF(Kalender!A253="",0,J2448-H2449)</f>
        <v>0.7032278</v>
      </c>
    </row>
    <row r="2450" customFormat="false" ht="16.4" hidden="false" customHeight="false" outlineLevel="0" collapsed="false">
      <c r="A2450" s="13" t="str">
        <f aca="false">""</f>
        <v/>
      </c>
      <c r="B2450" s="13" t="n">
        <f aca="false">250</f>
        <v>250</v>
      </c>
      <c r="C2450" s="13" t="n">
        <f aca="false">IF(Szenarien!$H$17="OK",(IFERROR(SUMIF(Nutzungsprofile!$B$6:$B$11,"Schulbetrieb",Nutzungsprofile!$G$6:$G$11)*Kalender!C254/SUM(Kalender!$C$5:$C$370),0)+IFERROR(SUMIF(Nutzungsprofile!$B$6:$B$11,"Halle",Nutzungsprofile!$G$6:$G$11)*Kalender!D254/SUM(Kalender!$D$5:$D$370),0)+IFERROR(SUMIF(Nutzungsprofile!$B$6:$B$11,"Individuell",Nutzungsprofile!$G$6:$G$11)*Kalender!E254/SUM(Kalender!$E$5:$E$370),0))*Szenarien!$E$17,0)</f>
        <v>2.94</v>
      </c>
      <c r="D2450" s="13" t="n">
        <f aca="false">IF(Szenarien!$H$17="OK",(IFERROR(SUMIF(Nutzungsprofile!$B$17:$B$22,"Schulbetrieb",Nutzungsprofile!$G$17:$G$22)*Kalender!C254/SUM(Kalender!$C$5:$C$370),0)+IFERROR(SUMIF(Nutzungsprofile!$B$17:$B$22,"Halle",Nutzungsprofile!$G$17:$G$22)*Kalender!D254/SUM(Kalender!$D$5:$D$370),0)+IFERROR(SUMIF(Nutzungsprofile!$B$17:$B$22,"Individuell",Nutzungsprofile!$G$17:$G$22)*Kalender!E254/SUM(Kalender!$E$5:$E$370),0))*Szenarien!$D$17,0)</f>
        <v>4.94</v>
      </c>
      <c r="E2450" s="13" t="n">
        <f aca="false">IFERROR(MIN(C2450,Eingaben!$B$17)*Eingaben!$B$16,0)</f>
        <v>2.793</v>
      </c>
      <c r="F2450" s="13" t="n">
        <f aca="false">IFERROR(E2450*Eingaben!$B$15,0)</f>
        <v>2.5137</v>
      </c>
      <c r="G2450" s="13" t="n">
        <f aca="false">IFERROR(IF(Kalender!A254="",0,J2449*(1-Eingaben!$B$20)),0)</f>
        <v>1.709316</v>
      </c>
      <c r="H2450" s="13" t="n">
        <f aca="false">MIN(G2450,D2450)</f>
        <v>1.709316</v>
      </c>
      <c r="I2450" s="13" t="n">
        <f aca="false">IFERROR(MIN(F2450*Eingaben!$B$19,MAX(0,D2450-H2450)),0)</f>
        <v>1.75959</v>
      </c>
      <c r="J2450" s="13" t="n">
        <f aca="false">IFERROR(MIN(Eingaben!$B$18,MAX(0,F2450-I2450)),0)</f>
        <v>0.75411</v>
      </c>
      <c r="K2450" s="13" t="n">
        <f aca="false">H2450+I2450</f>
        <v>3.468906</v>
      </c>
      <c r="L2450" s="13" t="n">
        <f aca="false">MAX(0,D2450-K2450)</f>
        <v>1.471094</v>
      </c>
      <c r="M2450" s="13" t="n">
        <f aca="false">MAX(0,F2450-I2450-J2450)</f>
        <v>0</v>
      </c>
      <c r="N2450" s="13" t="n">
        <f aca="false">IF(Kalender!A254="",0,J2449-H2450)</f>
        <v>0.0348840000000001</v>
      </c>
    </row>
    <row r="2451" customFormat="false" ht="16.4" hidden="false" customHeight="false" outlineLevel="0" collapsed="false">
      <c r="A2451" s="13" t="str">
        <f aca="false">""</f>
        <v/>
      </c>
      <c r="B2451" s="13" t="n">
        <f aca="false">251</f>
        <v>251</v>
      </c>
      <c r="C2451" s="13" t="n">
        <f aca="false">IF(Szenarien!$H$17="OK",(IFERROR(SUMIF(Nutzungsprofile!$B$6:$B$11,"Schulbetrieb",Nutzungsprofile!$G$6:$G$11)*Kalender!C255/SUM(Kalender!$C$5:$C$370),0)+IFERROR(SUMIF(Nutzungsprofile!$B$6:$B$11,"Halle",Nutzungsprofile!$G$6:$G$11)*Kalender!D255/SUM(Kalender!$D$5:$D$370),0)+IFERROR(SUMIF(Nutzungsprofile!$B$6:$B$11,"Individuell",Nutzungsprofile!$G$6:$G$11)*Kalender!E255/SUM(Kalender!$E$5:$E$370),0))*Szenarien!$E$17,0)</f>
        <v>2.94</v>
      </c>
      <c r="D2451" s="13" t="n">
        <f aca="false">IF(Szenarien!$H$17="OK",(IFERROR(SUMIF(Nutzungsprofile!$B$17:$B$22,"Schulbetrieb",Nutzungsprofile!$G$17:$G$22)*Kalender!C255/SUM(Kalender!$C$5:$C$370),0)+IFERROR(SUMIF(Nutzungsprofile!$B$17:$B$22,"Halle",Nutzungsprofile!$G$17:$G$22)*Kalender!D255/SUM(Kalender!$D$5:$D$370),0)+IFERROR(SUMIF(Nutzungsprofile!$B$17:$B$22,"Individuell",Nutzungsprofile!$G$17:$G$22)*Kalender!E255/SUM(Kalender!$E$5:$E$370),0))*Szenarien!$D$17,0)</f>
        <v>4.94</v>
      </c>
      <c r="E2451" s="13" t="n">
        <f aca="false">IFERROR(MIN(C2451,Eingaben!$B$17)*Eingaben!$B$16,0)</f>
        <v>2.793</v>
      </c>
      <c r="F2451" s="13" t="n">
        <f aca="false">IFERROR(E2451*Eingaben!$B$15,0)</f>
        <v>2.5137</v>
      </c>
      <c r="G2451" s="13" t="n">
        <f aca="false">IFERROR(IF(Kalender!A255="",0,J2450*(1-Eingaben!$B$20)),0)</f>
        <v>0.7390278</v>
      </c>
      <c r="H2451" s="13" t="n">
        <f aca="false">MIN(G2451,D2451)</f>
        <v>0.7390278</v>
      </c>
      <c r="I2451" s="13" t="n">
        <f aca="false">IFERROR(MIN(F2451*Eingaben!$B$19,MAX(0,D2451-H2451)),0)</f>
        <v>1.75959</v>
      </c>
      <c r="J2451" s="13" t="n">
        <f aca="false">IFERROR(MIN(Eingaben!$B$18,MAX(0,F2451-I2451)),0)</f>
        <v>0.75411</v>
      </c>
      <c r="K2451" s="13" t="n">
        <f aca="false">H2451+I2451</f>
        <v>2.4986178</v>
      </c>
      <c r="L2451" s="13" t="n">
        <f aca="false">MAX(0,D2451-K2451)</f>
        <v>2.4413822</v>
      </c>
      <c r="M2451" s="13" t="n">
        <f aca="false">MAX(0,F2451-I2451-J2451)</f>
        <v>0</v>
      </c>
      <c r="N2451" s="13" t="n">
        <f aca="false">IF(Kalender!A255="",0,J2450-H2451)</f>
        <v>0.0150822</v>
      </c>
    </row>
    <row r="2452" customFormat="false" ht="16.4" hidden="false" customHeight="false" outlineLevel="0" collapsed="false">
      <c r="A2452" s="13" t="str">
        <f aca="false">""</f>
        <v/>
      </c>
      <c r="B2452" s="13" t="n">
        <f aca="false">252</f>
        <v>252</v>
      </c>
      <c r="C2452" s="13" t="n">
        <f aca="false">IF(Szenarien!$H$17="OK",(IFERROR(SUMIF(Nutzungsprofile!$B$6:$B$11,"Schulbetrieb",Nutzungsprofile!$G$6:$G$11)*Kalender!C256/SUM(Kalender!$C$5:$C$370),0)+IFERROR(SUMIF(Nutzungsprofile!$B$6:$B$11,"Halle",Nutzungsprofile!$G$6:$G$11)*Kalender!D256/SUM(Kalender!$D$5:$D$370),0)+IFERROR(SUMIF(Nutzungsprofile!$B$6:$B$11,"Individuell",Nutzungsprofile!$G$6:$G$11)*Kalender!E256/SUM(Kalender!$E$5:$E$370),0))*Szenarien!$E$17,0)</f>
        <v>2.94</v>
      </c>
      <c r="D2452" s="13" t="n">
        <f aca="false">IF(Szenarien!$H$17="OK",(IFERROR(SUMIF(Nutzungsprofile!$B$17:$B$22,"Schulbetrieb",Nutzungsprofile!$G$17:$G$22)*Kalender!C256/SUM(Kalender!$C$5:$C$370),0)+IFERROR(SUMIF(Nutzungsprofile!$B$17:$B$22,"Halle",Nutzungsprofile!$G$17:$G$22)*Kalender!D256/SUM(Kalender!$D$5:$D$370),0)+IFERROR(SUMIF(Nutzungsprofile!$B$17:$B$22,"Individuell",Nutzungsprofile!$G$17:$G$22)*Kalender!E256/SUM(Kalender!$E$5:$E$370),0))*Szenarien!$D$17,0)</f>
        <v>4.94</v>
      </c>
      <c r="E2452" s="13" t="n">
        <f aca="false">IFERROR(MIN(C2452,Eingaben!$B$17)*Eingaben!$B$16,0)</f>
        <v>2.793</v>
      </c>
      <c r="F2452" s="13" t="n">
        <f aca="false">IFERROR(E2452*Eingaben!$B$15,0)</f>
        <v>2.5137</v>
      </c>
      <c r="G2452" s="13" t="n">
        <f aca="false">IFERROR(IF(Kalender!A256="",0,J2451*(1-Eingaben!$B$20)),0)</f>
        <v>0.7390278</v>
      </c>
      <c r="H2452" s="13" t="n">
        <f aca="false">MIN(G2452,D2452)</f>
        <v>0.7390278</v>
      </c>
      <c r="I2452" s="13" t="n">
        <f aca="false">IFERROR(MIN(F2452*Eingaben!$B$19,MAX(0,D2452-H2452)),0)</f>
        <v>1.75959</v>
      </c>
      <c r="J2452" s="13" t="n">
        <f aca="false">IFERROR(MIN(Eingaben!$B$18,MAX(0,F2452-I2452)),0)</f>
        <v>0.75411</v>
      </c>
      <c r="K2452" s="13" t="n">
        <f aca="false">H2452+I2452</f>
        <v>2.4986178</v>
      </c>
      <c r="L2452" s="13" t="n">
        <f aca="false">MAX(0,D2452-K2452)</f>
        <v>2.4413822</v>
      </c>
      <c r="M2452" s="13" t="n">
        <f aca="false">MAX(0,F2452-I2452-J2452)</f>
        <v>0</v>
      </c>
      <c r="N2452" s="13" t="n">
        <f aca="false">IF(Kalender!A256="",0,J2451-H2452)</f>
        <v>0.0150822</v>
      </c>
    </row>
    <row r="2453" customFormat="false" ht="16.4" hidden="false" customHeight="false" outlineLevel="0" collapsed="false">
      <c r="A2453" s="13" t="str">
        <f aca="false">""</f>
        <v/>
      </c>
      <c r="B2453" s="13" t="n">
        <f aca="false">253</f>
        <v>253</v>
      </c>
      <c r="C2453" s="13" t="n">
        <f aca="false">IF(Szenarien!$H$17="OK",(IFERROR(SUMIF(Nutzungsprofile!$B$6:$B$11,"Schulbetrieb",Nutzungsprofile!$G$6:$G$11)*Kalender!C257/SUM(Kalender!$C$5:$C$370),0)+IFERROR(SUMIF(Nutzungsprofile!$B$6:$B$11,"Halle",Nutzungsprofile!$G$6:$G$11)*Kalender!D257/SUM(Kalender!$D$5:$D$370),0)+IFERROR(SUMIF(Nutzungsprofile!$B$6:$B$11,"Individuell",Nutzungsprofile!$G$6:$G$11)*Kalender!E257/SUM(Kalender!$E$5:$E$370),0))*Szenarien!$E$17,0)</f>
        <v>2.94</v>
      </c>
      <c r="D2453" s="13" t="n">
        <f aca="false">IF(Szenarien!$H$17="OK",(IFERROR(SUMIF(Nutzungsprofile!$B$17:$B$22,"Schulbetrieb",Nutzungsprofile!$G$17:$G$22)*Kalender!C257/SUM(Kalender!$C$5:$C$370),0)+IFERROR(SUMIF(Nutzungsprofile!$B$17:$B$22,"Halle",Nutzungsprofile!$G$17:$G$22)*Kalender!D257/SUM(Kalender!$D$5:$D$370),0)+IFERROR(SUMIF(Nutzungsprofile!$B$17:$B$22,"Individuell",Nutzungsprofile!$G$17:$G$22)*Kalender!E257/SUM(Kalender!$E$5:$E$370),0))*Szenarien!$D$17,0)</f>
        <v>4.94</v>
      </c>
      <c r="E2453" s="13" t="n">
        <f aca="false">IFERROR(MIN(C2453,Eingaben!$B$17)*Eingaben!$B$16,0)</f>
        <v>2.793</v>
      </c>
      <c r="F2453" s="13" t="n">
        <f aca="false">IFERROR(E2453*Eingaben!$B$15,0)</f>
        <v>2.5137</v>
      </c>
      <c r="G2453" s="13" t="n">
        <f aca="false">IFERROR(IF(Kalender!A257="",0,J2452*(1-Eingaben!$B$20)),0)</f>
        <v>0.7390278</v>
      </c>
      <c r="H2453" s="13" t="n">
        <f aca="false">MIN(G2453,D2453)</f>
        <v>0.7390278</v>
      </c>
      <c r="I2453" s="13" t="n">
        <f aca="false">IFERROR(MIN(F2453*Eingaben!$B$19,MAX(0,D2453-H2453)),0)</f>
        <v>1.75959</v>
      </c>
      <c r="J2453" s="13" t="n">
        <f aca="false">IFERROR(MIN(Eingaben!$B$18,MAX(0,F2453-I2453)),0)</f>
        <v>0.75411</v>
      </c>
      <c r="K2453" s="13" t="n">
        <f aca="false">H2453+I2453</f>
        <v>2.4986178</v>
      </c>
      <c r="L2453" s="13" t="n">
        <f aca="false">MAX(0,D2453-K2453)</f>
        <v>2.4413822</v>
      </c>
      <c r="M2453" s="13" t="n">
        <f aca="false">MAX(0,F2453-I2453-J2453)</f>
        <v>0</v>
      </c>
      <c r="N2453" s="13" t="n">
        <f aca="false">IF(Kalender!A257="",0,J2452-H2453)</f>
        <v>0.0150822</v>
      </c>
    </row>
    <row r="2454" customFormat="false" ht="16.4" hidden="false" customHeight="false" outlineLevel="0" collapsed="false">
      <c r="A2454" s="13" t="str">
        <f aca="false">""</f>
        <v/>
      </c>
      <c r="B2454" s="13" t="n">
        <f aca="false">254</f>
        <v>254</v>
      </c>
      <c r="C2454" s="13" t="n">
        <f aca="false">IF(Szenarien!$H$17="OK",(IFERROR(SUMIF(Nutzungsprofile!$B$6:$B$11,"Schulbetrieb",Nutzungsprofile!$G$6:$G$11)*Kalender!C258/SUM(Kalender!$C$5:$C$370),0)+IFERROR(SUMIF(Nutzungsprofile!$B$6:$B$11,"Halle",Nutzungsprofile!$G$6:$G$11)*Kalender!D258/SUM(Kalender!$D$5:$D$370),0)+IFERROR(SUMIF(Nutzungsprofile!$B$6:$B$11,"Individuell",Nutzungsprofile!$G$6:$G$11)*Kalender!E258/SUM(Kalender!$E$5:$E$370),0))*Szenarien!$E$17,0)</f>
        <v>2.94</v>
      </c>
      <c r="D2454" s="13" t="n">
        <f aca="false">IF(Szenarien!$H$17="OK",(IFERROR(SUMIF(Nutzungsprofile!$B$17:$B$22,"Schulbetrieb",Nutzungsprofile!$G$17:$G$22)*Kalender!C258/SUM(Kalender!$C$5:$C$370),0)+IFERROR(SUMIF(Nutzungsprofile!$B$17:$B$22,"Halle",Nutzungsprofile!$G$17:$G$22)*Kalender!D258/SUM(Kalender!$D$5:$D$370),0)+IFERROR(SUMIF(Nutzungsprofile!$B$17:$B$22,"Individuell",Nutzungsprofile!$G$17:$G$22)*Kalender!E258/SUM(Kalender!$E$5:$E$370),0))*Szenarien!$D$17,0)</f>
        <v>4.94</v>
      </c>
      <c r="E2454" s="13" t="n">
        <f aca="false">IFERROR(MIN(C2454,Eingaben!$B$17)*Eingaben!$B$16,0)</f>
        <v>2.793</v>
      </c>
      <c r="F2454" s="13" t="n">
        <f aca="false">IFERROR(E2454*Eingaben!$B$15,0)</f>
        <v>2.5137</v>
      </c>
      <c r="G2454" s="13" t="n">
        <f aca="false">IFERROR(IF(Kalender!A258="",0,J2453*(1-Eingaben!$B$20)),0)</f>
        <v>0.7390278</v>
      </c>
      <c r="H2454" s="13" t="n">
        <f aca="false">MIN(G2454,D2454)</f>
        <v>0.7390278</v>
      </c>
      <c r="I2454" s="13" t="n">
        <f aca="false">IFERROR(MIN(F2454*Eingaben!$B$19,MAX(0,D2454-H2454)),0)</f>
        <v>1.75959</v>
      </c>
      <c r="J2454" s="13" t="n">
        <f aca="false">IFERROR(MIN(Eingaben!$B$18,MAX(0,F2454-I2454)),0)</f>
        <v>0.75411</v>
      </c>
      <c r="K2454" s="13" t="n">
        <f aca="false">H2454+I2454</f>
        <v>2.4986178</v>
      </c>
      <c r="L2454" s="13" t="n">
        <f aca="false">MAX(0,D2454-K2454)</f>
        <v>2.4413822</v>
      </c>
      <c r="M2454" s="13" t="n">
        <f aca="false">MAX(0,F2454-I2454-J2454)</f>
        <v>0</v>
      </c>
      <c r="N2454" s="13" t="n">
        <f aca="false">IF(Kalender!A258="",0,J2453-H2454)</f>
        <v>0.0150822</v>
      </c>
    </row>
    <row r="2455" customFormat="false" ht="16.4" hidden="false" customHeight="false" outlineLevel="0" collapsed="false">
      <c r="A2455" s="13" t="str">
        <f aca="false">""</f>
        <v/>
      </c>
      <c r="B2455" s="13" t="n">
        <f aca="false">255</f>
        <v>255</v>
      </c>
      <c r="C2455" s="13" t="n">
        <f aca="false">IF(Szenarien!$H$17="OK",(IFERROR(SUMIF(Nutzungsprofile!$B$6:$B$11,"Schulbetrieb",Nutzungsprofile!$G$6:$G$11)*Kalender!C259/SUM(Kalender!$C$5:$C$370),0)+IFERROR(SUMIF(Nutzungsprofile!$B$6:$B$11,"Halle",Nutzungsprofile!$G$6:$G$11)*Kalender!D259/SUM(Kalender!$D$5:$D$370),0)+IFERROR(SUMIF(Nutzungsprofile!$B$6:$B$11,"Individuell",Nutzungsprofile!$G$6:$G$11)*Kalender!E259/SUM(Kalender!$E$5:$E$370),0))*Szenarien!$E$17,0)</f>
        <v>2.04</v>
      </c>
      <c r="D2455" s="13" t="n">
        <f aca="false">IF(Szenarien!$H$17="OK",(IFERROR(SUMIF(Nutzungsprofile!$B$17:$B$22,"Schulbetrieb",Nutzungsprofile!$G$17:$G$22)*Kalender!C259/SUM(Kalender!$C$5:$C$370),0)+IFERROR(SUMIF(Nutzungsprofile!$B$17:$B$22,"Halle",Nutzungsprofile!$G$17:$G$22)*Kalender!D259/SUM(Kalender!$D$5:$D$370),0)+IFERROR(SUMIF(Nutzungsprofile!$B$17:$B$22,"Individuell",Nutzungsprofile!$G$17:$G$22)*Kalender!E259/SUM(Kalender!$E$5:$E$370),0))*Szenarien!$D$17,0)</f>
        <v>0.89</v>
      </c>
      <c r="E2455" s="13" t="n">
        <f aca="false">IFERROR(MIN(C2455,Eingaben!$B$17)*Eingaben!$B$16,0)</f>
        <v>1.938</v>
      </c>
      <c r="F2455" s="13" t="n">
        <f aca="false">IFERROR(E2455*Eingaben!$B$15,0)</f>
        <v>1.7442</v>
      </c>
      <c r="G2455" s="13" t="n">
        <f aca="false">IFERROR(IF(Kalender!A259="",0,J2454*(1-Eingaben!$B$20)),0)</f>
        <v>0.7390278</v>
      </c>
      <c r="H2455" s="13" t="n">
        <f aca="false">MIN(G2455,D2455)</f>
        <v>0.7390278</v>
      </c>
      <c r="I2455" s="13" t="n">
        <f aca="false">IFERROR(MIN(F2455*Eingaben!$B$19,MAX(0,D2455-H2455)),0)</f>
        <v>0.1509722</v>
      </c>
      <c r="J2455" s="13" t="n">
        <f aca="false">IFERROR(MIN(Eingaben!$B$18,MAX(0,F2455-I2455)),0)</f>
        <v>1.5932278</v>
      </c>
      <c r="K2455" s="13" t="n">
        <f aca="false">H2455+I2455</f>
        <v>0.89</v>
      </c>
      <c r="L2455" s="13" t="n">
        <f aca="false">MAX(0,D2455-K2455)</f>
        <v>0</v>
      </c>
      <c r="M2455" s="13" t="n">
        <f aca="false">MAX(0,F2455-I2455-J2455)</f>
        <v>0</v>
      </c>
      <c r="N2455" s="13" t="n">
        <f aca="false">IF(Kalender!A259="",0,J2454-H2455)</f>
        <v>0.0150822</v>
      </c>
    </row>
    <row r="2456" customFormat="false" ht="16.4" hidden="false" customHeight="false" outlineLevel="0" collapsed="false">
      <c r="A2456" s="13" t="str">
        <f aca="false">""</f>
        <v/>
      </c>
      <c r="B2456" s="13" t="n">
        <f aca="false">256</f>
        <v>256</v>
      </c>
      <c r="C2456" s="13" t="n">
        <f aca="false">IF(Szenarien!$H$17="OK",(IFERROR(SUMIF(Nutzungsprofile!$B$6:$B$11,"Schulbetrieb",Nutzungsprofile!$G$6:$G$11)*Kalender!C260/SUM(Kalender!$C$5:$C$370),0)+IFERROR(SUMIF(Nutzungsprofile!$B$6:$B$11,"Halle",Nutzungsprofile!$G$6:$G$11)*Kalender!D260/SUM(Kalender!$D$5:$D$370),0)+IFERROR(SUMIF(Nutzungsprofile!$B$6:$B$11,"Individuell",Nutzungsprofile!$G$6:$G$11)*Kalender!E260/SUM(Kalender!$E$5:$E$370),0))*Szenarien!$E$17,0)</f>
        <v>2.04</v>
      </c>
      <c r="D2456" s="13" t="n">
        <f aca="false">IF(Szenarien!$H$17="OK",(IFERROR(SUMIF(Nutzungsprofile!$B$17:$B$22,"Schulbetrieb",Nutzungsprofile!$G$17:$G$22)*Kalender!C260/SUM(Kalender!$C$5:$C$370),0)+IFERROR(SUMIF(Nutzungsprofile!$B$17:$B$22,"Halle",Nutzungsprofile!$G$17:$G$22)*Kalender!D260/SUM(Kalender!$D$5:$D$370),0)+IFERROR(SUMIF(Nutzungsprofile!$B$17:$B$22,"Individuell",Nutzungsprofile!$G$17:$G$22)*Kalender!E260/SUM(Kalender!$E$5:$E$370),0))*Szenarien!$D$17,0)</f>
        <v>0.89</v>
      </c>
      <c r="E2456" s="13" t="n">
        <f aca="false">IFERROR(MIN(C2456,Eingaben!$B$17)*Eingaben!$B$16,0)</f>
        <v>1.938</v>
      </c>
      <c r="F2456" s="13" t="n">
        <f aca="false">IFERROR(E2456*Eingaben!$B$15,0)</f>
        <v>1.7442</v>
      </c>
      <c r="G2456" s="13" t="n">
        <f aca="false">IFERROR(IF(Kalender!A260="",0,J2455*(1-Eingaben!$B$20)),0)</f>
        <v>1.561363244</v>
      </c>
      <c r="H2456" s="13" t="n">
        <f aca="false">MIN(G2456,D2456)</f>
        <v>0.89</v>
      </c>
      <c r="I2456" s="13" t="n">
        <f aca="false">IFERROR(MIN(F2456*Eingaben!$B$19,MAX(0,D2456-H2456)),0)</f>
        <v>0</v>
      </c>
      <c r="J2456" s="13" t="n">
        <f aca="false">IFERROR(MIN(Eingaben!$B$18,MAX(0,F2456-I2456)),0)</f>
        <v>1.7442</v>
      </c>
      <c r="K2456" s="13" t="n">
        <f aca="false">H2456+I2456</f>
        <v>0.89</v>
      </c>
      <c r="L2456" s="13" t="n">
        <f aca="false">MAX(0,D2456-K2456)</f>
        <v>0</v>
      </c>
      <c r="M2456" s="13" t="n">
        <f aca="false">MAX(0,F2456-I2456-J2456)</f>
        <v>0</v>
      </c>
      <c r="N2456" s="13" t="n">
        <f aca="false">IF(Kalender!A260="",0,J2455-H2456)</f>
        <v>0.7032278</v>
      </c>
    </row>
    <row r="2457" customFormat="false" ht="16.4" hidden="false" customHeight="false" outlineLevel="0" collapsed="false">
      <c r="A2457" s="13" t="str">
        <f aca="false">""</f>
        <v/>
      </c>
      <c r="B2457" s="13" t="n">
        <f aca="false">257</f>
        <v>257</v>
      </c>
      <c r="C2457" s="13" t="n">
        <f aca="false">IF(Szenarien!$H$17="OK",(IFERROR(SUMIF(Nutzungsprofile!$B$6:$B$11,"Schulbetrieb",Nutzungsprofile!$G$6:$G$11)*Kalender!C261/SUM(Kalender!$C$5:$C$370),0)+IFERROR(SUMIF(Nutzungsprofile!$B$6:$B$11,"Halle",Nutzungsprofile!$G$6:$G$11)*Kalender!D261/SUM(Kalender!$D$5:$D$370),0)+IFERROR(SUMIF(Nutzungsprofile!$B$6:$B$11,"Individuell",Nutzungsprofile!$G$6:$G$11)*Kalender!E261/SUM(Kalender!$E$5:$E$370),0))*Szenarien!$E$17,0)</f>
        <v>2.94</v>
      </c>
      <c r="D2457" s="13" t="n">
        <f aca="false">IF(Szenarien!$H$17="OK",(IFERROR(SUMIF(Nutzungsprofile!$B$17:$B$22,"Schulbetrieb",Nutzungsprofile!$G$17:$G$22)*Kalender!C261/SUM(Kalender!$C$5:$C$370),0)+IFERROR(SUMIF(Nutzungsprofile!$B$17:$B$22,"Halle",Nutzungsprofile!$G$17:$G$22)*Kalender!D261/SUM(Kalender!$D$5:$D$370),0)+IFERROR(SUMIF(Nutzungsprofile!$B$17:$B$22,"Individuell",Nutzungsprofile!$G$17:$G$22)*Kalender!E261/SUM(Kalender!$E$5:$E$370),0))*Szenarien!$D$17,0)</f>
        <v>4.94</v>
      </c>
      <c r="E2457" s="13" t="n">
        <f aca="false">IFERROR(MIN(C2457,Eingaben!$B$17)*Eingaben!$B$16,0)</f>
        <v>2.793</v>
      </c>
      <c r="F2457" s="13" t="n">
        <f aca="false">IFERROR(E2457*Eingaben!$B$15,0)</f>
        <v>2.5137</v>
      </c>
      <c r="G2457" s="13" t="n">
        <f aca="false">IFERROR(IF(Kalender!A261="",0,J2456*(1-Eingaben!$B$20)),0)</f>
        <v>1.709316</v>
      </c>
      <c r="H2457" s="13" t="n">
        <f aca="false">MIN(G2457,D2457)</f>
        <v>1.709316</v>
      </c>
      <c r="I2457" s="13" t="n">
        <f aca="false">IFERROR(MIN(F2457*Eingaben!$B$19,MAX(0,D2457-H2457)),0)</f>
        <v>1.75959</v>
      </c>
      <c r="J2457" s="13" t="n">
        <f aca="false">IFERROR(MIN(Eingaben!$B$18,MAX(0,F2457-I2457)),0)</f>
        <v>0.75411</v>
      </c>
      <c r="K2457" s="13" t="n">
        <f aca="false">H2457+I2457</f>
        <v>3.468906</v>
      </c>
      <c r="L2457" s="13" t="n">
        <f aca="false">MAX(0,D2457-K2457)</f>
        <v>1.471094</v>
      </c>
      <c r="M2457" s="13" t="n">
        <f aca="false">MAX(0,F2457-I2457-J2457)</f>
        <v>0</v>
      </c>
      <c r="N2457" s="13" t="n">
        <f aca="false">IF(Kalender!A261="",0,J2456-H2457)</f>
        <v>0.0348840000000001</v>
      </c>
    </row>
    <row r="2458" customFormat="false" ht="16.4" hidden="false" customHeight="false" outlineLevel="0" collapsed="false">
      <c r="A2458" s="13" t="str">
        <f aca="false">""</f>
        <v/>
      </c>
      <c r="B2458" s="13" t="n">
        <f aca="false">258</f>
        <v>258</v>
      </c>
      <c r="C2458" s="13" t="n">
        <f aca="false">IF(Szenarien!$H$17="OK",(IFERROR(SUMIF(Nutzungsprofile!$B$6:$B$11,"Schulbetrieb",Nutzungsprofile!$G$6:$G$11)*Kalender!C262/SUM(Kalender!$C$5:$C$370),0)+IFERROR(SUMIF(Nutzungsprofile!$B$6:$B$11,"Halle",Nutzungsprofile!$G$6:$G$11)*Kalender!D262/SUM(Kalender!$D$5:$D$370),0)+IFERROR(SUMIF(Nutzungsprofile!$B$6:$B$11,"Individuell",Nutzungsprofile!$G$6:$G$11)*Kalender!E262/SUM(Kalender!$E$5:$E$370),0))*Szenarien!$E$17,0)</f>
        <v>2.94</v>
      </c>
      <c r="D2458" s="13" t="n">
        <f aca="false">IF(Szenarien!$H$17="OK",(IFERROR(SUMIF(Nutzungsprofile!$B$17:$B$22,"Schulbetrieb",Nutzungsprofile!$G$17:$G$22)*Kalender!C262/SUM(Kalender!$C$5:$C$370),0)+IFERROR(SUMIF(Nutzungsprofile!$B$17:$B$22,"Halle",Nutzungsprofile!$G$17:$G$22)*Kalender!D262/SUM(Kalender!$D$5:$D$370),0)+IFERROR(SUMIF(Nutzungsprofile!$B$17:$B$22,"Individuell",Nutzungsprofile!$G$17:$G$22)*Kalender!E262/SUM(Kalender!$E$5:$E$370),0))*Szenarien!$D$17,0)</f>
        <v>4.94</v>
      </c>
      <c r="E2458" s="13" t="n">
        <f aca="false">IFERROR(MIN(C2458,Eingaben!$B$17)*Eingaben!$B$16,0)</f>
        <v>2.793</v>
      </c>
      <c r="F2458" s="13" t="n">
        <f aca="false">IFERROR(E2458*Eingaben!$B$15,0)</f>
        <v>2.5137</v>
      </c>
      <c r="G2458" s="13" t="n">
        <f aca="false">IFERROR(IF(Kalender!A262="",0,J2457*(1-Eingaben!$B$20)),0)</f>
        <v>0.7390278</v>
      </c>
      <c r="H2458" s="13" t="n">
        <f aca="false">MIN(G2458,D2458)</f>
        <v>0.7390278</v>
      </c>
      <c r="I2458" s="13" t="n">
        <f aca="false">IFERROR(MIN(F2458*Eingaben!$B$19,MAX(0,D2458-H2458)),0)</f>
        <v>1.75959</v>
      </c>
      <c r="J2458" s="13" t="n">
        <f aca="false">IFERROR(MIN(Eingaben!$B$18,MAX(0,F2458-I2458)),0)</f>
        <v>0.75411</v>
      </c>
      <c r="K2458" s="13" t="n">
        <f aca="false">H2458+I2458</f>
        <v>2.4986178</v>
      </c>
      <c r="L2458" s="13" t="n">
        <f aca="false">MAX(0,D2458-K2458)</f>
        <v>2.4413822</v>
      </c>
      <c r="M2458" s="13" t="n">
        <f aca="false">MAX(0,F2458-I2458-J2458)</f>
        <v>0</v>
      </c>
      <c r="N2458" s="13" t="n">
        <f aca="false">IF(Kalender!A262="",0,J2457-H2458)</f>
        <v>0.0150822</v>
      </c>
    </row>
    <row r="2459" customFormat="false" ht="16.4" hidden="false" customHeight="false" outlineLevel="0" collapsed="false">
      <c r="A2459" s="13" t="str">
        <f aca="false">""</f>
        <v/>
      </c>
      <c r="B2459" s="13" t="n">
        <f aca="false">259</f>
        <v>259</v>
      </c>
      <c r="C2459" s="13" t="n">
        <f aca="false">IF(Szenarien!$H$17="OK",(IFERROR(SUMIF(Nutzungsprofile!$B$6:$B$11,"Schulbetrieb",Nutzungsprofile!$G$6:$G$11)*Kalender!C263/SUM(Kalender!$C$5:$C$370),0)+IFERROR(SUMIF(Nutzungsprofile!$B$6:$B$11,"Halle",Nutzungsprofile!$G$6:$G$11)*Kalender!D263/SUM(Kalender!$D$5:$D$370),0)+IFERROR(SUMIF(Nutzungsprofile!$B$6:$B$11,"Individuell",Nutzungsprofile!$G$6:$G$11)*Kalender!E263/SUM(Kalender!$E$5:$E$370),0))*Szenarien!$E$17,0)</f>
        <v>2.94</v>
      </c>
      <c r="D2459" s="13" t="n">
        <f aca="false">IF(Szenarien!$H$17="OK",(IFERROR(SUMIF(Nutzungsprofile!$B$17:$B$22,"Schulbetrieb",Nutzungsprofile!$G$17:$G$22)*Kalender!C263/SUM(Kalender!$C$5:$C$370),0)+IFERROR(SUMIF(Nutzungsprofile!$B$17:$B$22,"Halle",Nutzungsprofile!$G$17:$G$22)*Kalender!D263/SUM(Kalender!$D$5:$D$370),0)+IFERROR(SUMIF(Nutzungsprofile!$B$17:$B$22,"Individuell",Nutzungsprofile!$G$17:$G$22)*Kalender!E263/SUM(Kalender!$E$5:$E$370),0))*Szenarien!$D$17,0)</f>
        <v>4.94</v>
      </c>
      <c r="E2459" s="13" t="n">
        <f aca="false">IFERROR(MIN(C2459,Eingaben!$B$17)*Eingaben!$B$16,0)</f>
        <v>2.793</v>
      </c>
      <c r="F2459" s="13" t="n">
        <f aca="false">IFERROR(E2459*Eingaben!$B$15,0)</f>
        <v>2.5137</v>
      </c>
      <c r="G2459" s="13" t="n">
        <f aca="false">IFERROR(IF(Kalender!A263="",0,J2458*(1-Eingaben!$B$20)),0)</f>
        <v>0.7390278</v>
      </c>
      <c r="H2459" s="13" t="n">
        <f aca="false">MIN(G2459,D2459)</f>
        <v>0.7390278</v>
      </c>
      <c r="I2459" s="13" t="n">
        <f aca="false">IFERROR(MIN(F2459*Eingaben!$B$19,MAX(0,D2459-H2459)),0)</f>
        <v>1.75959</v>
      </c>
      <c r="J2459" s="13" t="n">
        <f aca="false">IFERROR(MIN(Eingaben!$B$18,MAX(0,F2459-I2459)),0)</f>
        <v>0.75411</v>
      </c>
      <c r="K2459" s="13" t="n">
        <f aca="false">H2459+I2459</f>
        <v>2.4986178</v>
      </c>
      <c r="L2459" s="13" t="n">
        <f aca="false">MAX(0,D2459-K2459)</f>
        <v>2.4413822</v>
      </c>
      <c r="M2459" s="13" t="n">
        <f aca="false">MAX(0,F2459-I2459-J2459)</f>
        <v>0</v>
      </c>
      <c r="N2459" s="13" t="n">
        <f aca="false">IF(Kalender!A263="",0,J2458-H2459)</f>
        <v>0.0150822</v>
      </c>
    </row>
    <row r="2460" customFormat="false" ht="16.4" hidden="false" customHeight="false" outlineLevel="0" collapsed="false">
      <c r="A2460" s="13" t="str">
        <f aca="false">""</f>
        <v/>
      </c>
      <c r="B2460" s="13" t="n">
        <f aca="false">260</f>
        <v>260</v>
      </c>
      <c r="C2460" s="13" t="n">
        <f aca="false">IF(Szenarien!$H$17="OK",(IFERROR(SUMIF(Nutzungsprofile!$B$6:$B$11,"Schulbetrieb",Nutzungsprofile!$G$6:$G$11)*Kalender!C264/SUM(Kalender!$C$5:$C$370),0)+IFERROR(SUMIF(Nutzungsprofile!$B$6:$B$11,"Halle",Nutzungsprofile!$G$6:$G$11)*Kalender!D264/SUM(Kalender!$D$5:$D$370),0)+IFERROR(SUMIF(Nutzungsprofile!$B$6:$B$11,"Individuell",Nutzungsprofile!$G$6:$G$11)*Kalender!E264/SUM(Kalender!$E$5:$E$370),0))*Szenarien!$E$17,0)</f>
        <v>2.94</v>
      </c>
      <c r="D2460" s="13" t="n">
        <f aca="false">IF(Szenarien!$H$17="OK",(IFERROR(SUMIF(Nutzungsprofile!$B$17:$B$22,"Schulbetrieb",Nutzungsprofile!$G$17:$G$22)*Kalender!C264/SUM(Kalender!$C$5:$C$370),0)+IFERROR(SUMIF(Nutzungsprofile!$B$17:$B$22,"Halle",Nutzungsprofile!$G$17:$G$22)*Kalender!D264/SUM(Kalender!$D$5:$D$370),0)+IFERROR(SUMIF(Nutzungsprofile!$B$17:$B$22,"Individuell",Nutzungsprofile!$G$17:$G$22)*Kalender!E264/SUM(Kalender!$E$5:$E$370),0))*Szenarien!$D$17,0)</f>
        <v>4.94</v>
      </c>
      <c r="E2460" s="13" t="n">
        <f aca="false">IFERROR(MIN(C2460,Eingaben!$B$17)*Eingaben!$B$16,0)</f>
        <v>2.793</v>
      </c>
      <c r="F2460" s="13" t="n">
        <f aca="false">IFERROR(E2460*Eingaben!$B$15,0)</f>
        <v>2.5137</v>
      </c>
      <c r="G2460" s="13" t="n">
        <f aca="false">IFERROR(IF(Kalender!A264="",0,J2459*(1-Eingaben!$B$20)),0)</f>
        <v>0.7390278</v>
      </c>
      <c r="H2460" s="13" t="n">
        <f aca="false">MIN(G2460,D2460)</f>
        <v>0.7390278</v>
      </c>
      <c r="I2460" s="13" t="n">
        <f aca="false">IFERROR(MIN(F2460*Eingaben!$B$19,MAX(0,D2460-H2460)),0)</f>
        <v>1.75959</v>
      </c>
      <c r="J2460" s="13" t="n">
        <f aca="false">IFERROR(MIN(Eingaben!$B$18,MAX(0,F2460-I2460)),0)</f>
        <v>0.75411</v>
      </c>
      <c r="K2460" s="13" t="n">
        <f aca="false">H2460+I2460</f>
        <v>2.4986178</v>
      </c>
      <c r="L2460" s="13" t="n">
        <f aca="false">MAX(0,D2460-K2460)</f>
        <v>2.4413822</v>
      </c>
      <c r="M2460" s="13" t="n">
        <f aca="false">MAX(0,F2460-I2460-J2460)</f>
        <v>0</v>
      </c>
      <c r="N2460" s="13" t="n">
        <f aca="false">IF(Kalender!A264="",0,J2459-H2460)</f>
        <v>0.0150822</v>
      </c>
    </row>
    <row r="2461" customFormat="false" ht="16.4" hidden="false" customHeight="false" outlineLevel="0" collapsed="false">
      <c r="A2461" s="13" t="str">
        <f aca="false">""</f>
        <v/>
      </c>
      <c r="B2461" s="13" t="n">
        <f aca="false">261</f>
        <v>261</v>
      </c>
      <c r="C2461" s="13" t="n">
        <f aca="false">IF(Szenarien!$H$17="OK",(IFERROR(SUMIF(Nutzungsprofile!$B$6:$B$11,"Schulbetrieb",Nutzungsprofile!$G$6:$G$11)*Kalender!C265/SUM(Kalender!$C$5:$C$370),0)+IFERROR(SUMIF(Nutzungsprofile!$B$6:$B$11,"Halle",Nutzungsprofile!$G$6:$G$11)*Kalender!D265/SUM(Kalender!$D$5:$D$370),0)+IFERROR(SUMIF(Nutzungsprofile!$B$6:$B$11,"Individuell",Nutzungsprofile!$G$6:$G$11)*Kalender!E265/SUM(Kalender!$E$5:$E$370),0))*Szenarien!$E$17,0)</f>
        <v>2.94</v>
      </c>
      <c r="D2461" s="13" t="n">
        <f aca="false">IF(Szenarien!$H$17="OK",(IFERROR(SUMIF(Nutzungsprofile!$B$17:$B$22,"Schulbetrieb",Nutzungsprofile!$G$17:$G$22)*Kalender!C265/SUM(Kalender!$C$5:$C$370),0)+IFERROR(SUMIF(Nutzungsprofile!$B$17:$B$22,"Halle",Nutzungsprofile!$G$17:$G$22)*Kalender!D265/SUM(Kalender!$D$5:$D$370),0)+IFERROR(SUMIF(Nutzungsprofile!$B$17:$B$22,"Individuell",Nutzungsprofile!$G$17:$G$22)*Kalender!E265/SUM(Kalender!$E$5:$E$370),0))*Szenarien!$D$17,0)</f>
        <v>4.94</v>
      </c>
      <c r="E2461" s="13" t="n">
        <f aca="false">IFERROR(MIN(C2461,Eingaben!$B$17)*Eingaben!$B$16,0)</f>
        <v>2.793</v>
      </c>
      <c r="F2461" s="13" t="n">
        <f aca="false">IFERROR(E2461*Eingaben!$B$15,0)</f>
        <v>2.5137</v>
      </c>
      <c r="G2461" s="13" t="n">
        <f aca="false">IFERROR(IF(Kalender!A265="",0,J2460*(1-Eingaben!$B$20)),0)</f>
        <v>0.7390278</v>
      </c>
      <c r="H2461" s="13" t="n">
        <f aca="false">MIN(G2461,D2461)</f>
        <v>0.7390278</v>
      </c>
      <c r="I2461" s="13" t="n">
        <f aca="false">IFERROR(MIN(F2461*Eingaben!$B$19,MAX(0,D2461-H2461)),0)</f>
        <v>1.75959</v>
      </c>
      <c r="J2461" s="13" t="n">
        <f aca="false">IFERROR(MIN(Eingaben!$B$18,MAX(0,F2461-I2461)),0)</f>
        <v>0.75411</v>
      </c>
      <c r="K2461" s="13" t="n">
        <f aca="false">H2461+I2461</f>
        <v>2.4986178</v>
      </c>
      <c r="L2461" s="13" t="n">
        <f aca="false">MAX(0,D2461-K2461)</f>
        <v>2.4413822</v>
      </c>
      <c r="M2461" s="13" t="n">
        <f aca="false">MAX(0,F2461-I2461-J2461)</f>
        <v>0</v>
      </c>
      <c r="N2461" s="13" t="n">
        <f aca="false">IF(Kalender!A265="",0,J2460-H2461)</f>
        <v>0.0150822</v>
      </c>
    </row>
    <row r="2462" customFormat="false" ht="16.4" hidden="false" customHeight="false" outlineLevel="0" collapsed="false">
      <c r="A2462" s="13" t="str">
        <f aca="false">""</f>
        <v/>
      </c>
      <c r="B2462" s="13" t="n">
        <f aca="false">262</f>
        <v>262</v>
      </c>
      <c r="C2462" s="13" t="n">
        <f aca="false">IF(Szenarien!$H$17="OK",(IFERROR(SUMIF(Nutzungsprofile!$B$6:$B$11,"Schulbetrieb",Nutzungsprofile!$G$6:$G$11)*Kalender!C266/SUM(Kalender!$C$5:$C$370),0)+IFERROR(SUMIF(Nutzungsprofile!$B$6:$B$11,"Halle",Nutzungsprofile!$G$6:$G$11)*Kalender!D266/SUM(Kalender!$D$5:$D$370),0)+IFERROR(SUMIF(Nutzungsprofile!$B$6:$B$11,"Individuell",Nutzungsprofile!$G$6:$G$11)*Kalender!E266/SUM(Kalender!$E$5:$E$370),0))*Szenarien!$E$17,0)</f>
        <v>2.04</v>
      </c>
      <c r="D2462" s="13" t="n">
        <f aca="false">IF(Szenarien!$H$17="OK",(IFERROR(SUMIF(Nutzungsprofile!$B$17:$B$22,"Schulbetrieb",Nutzungsprofile!$G$17:$G$22)*Kalender!C266/SUM(Kalender!$C$5:$C$370),0)+IFERROR(SUMIF(Nutzungsprofile!$B$17:$B$22,"Halle",Nutzungsprofile!$G$17:$G$22)*Kalender!D266/SUM(Kalender!$D$5:$D$370),0)+IFERROR(SUMIF(Nutzungsprofile!$B$17:$B$22,"Individuell",Nutzungsprofile!$G$17:$G$22)*Kalender!E266/SUM(Kalender!$E$5:$E$370),0))*Szenarien!$D$17,0)</f>
        <v>0.89</v>
      </c>
      <c r="E2462" s="13" t="n">
        <f aca="false">IFERROR(MIN(C2462,Eingaben!$B$17)*Eingaben!$B$16,0)</f>
        <v>1.938</v>
      </c>
      <c r="F2462" s="13" t="n">
        <f aca="false">IFERROR(E2462*Eingaben!$B$15,0)</f>
        <v>1.7442</v>
      </c>
      <c r="G2462" s="13" t="n">
        <f aca="false">IFERROR(IF(Kalender!A266="",0,J2461*(1-Eingaben!$B$20)),0)</f>
        <v>0.7390278</v>
      </c>
      <c r="H2462" s="13" t="n">
        <f aca="false">MIN(G2462,D2462)</f>
        <v>0.7390278</v>
      </c>
      <c r="I2462" s="13" t="n">
        <f aca="false">IFERROR(MIN(F2462*Eingaben!$B$19,MAX(0,D2462-H2462)),0)</f>
        <v>0.1509722</v>
      </c>
      <c r="J2462" s="13" t="n">
        <f aca="false">IFERROR(MIN(Eingaben!$B$18,MAX(0,F2462-I2462)),0)</f>
        <v>1.5932278</v>
      </c>
      <c r="K2462" s="13" t="n">
        <f aca="false">H2462+I2462</f>
        <v>0.89</v>
      </c>
      <c r="L2462" s="13" t="n">
        <f aca="false">MAX(0,D2462-K2462)</f>
        <v>0</v>
      </c>
      <c r="M2462" s="13" t="n">
        <f aca="false">MAX(0,F2462-I2462-J2462)</f>
        <v>0</v>
      </c>
      <c r="N2462" s="13" t="n">
        <f aca="false">IF(Kalender!A266="",0,J2461-H2462)</f>
        <v>0.0150822</v>
      </c>
    </row>
    <row r="2463" customFormat="false" ht="16.4" hidden="false" customHeight="false" outlineLevel="0" collapsed="false">
      <c r="A2463" s="13" t="str">
        <f aca="false">""</f>
        <v/>
      </c>
      <c r="B2463" s="13" t="n">
        <f aca="false">263</f>
        <v>263</v>
      </c>
      <c r="C2463" s="13" t="n">
        <f aca="false">IF(Szenarien!$H$17="OK",(IFERROR(SUMIF(Nutzungsprofile!$B$6:$B$11,"Schulbetrieb",Nutzungsprofile!$G$6:$G$11)*Kalender!C267/SUM(Kalender!$C$5:$C$370),0)+IFERROR(SUMIF(Nutzungsprofile!$B$6:$B$11,"Halle",Nutzungsprofile!$G$6:$G$11)*Kalender!D267/SUM(Kalender!$D$5:$D$370),0)+IFERROR(SUMIF(Nutzungsprofile!$B$6:$B$11,"Individuell",Nutzungsprofile!$G$6:$G$11)*Kalender!E267/SUM(Kalender!$E$5:$E$370),0))*Szenarien!$E$17,0)</f>
        <v>2.04</v>
      </c>
      <c r="D2463" s="13" t="n">
        <f aca="false">IF(Szenarien!$H$17="OK",(IFERROR(SUMIF(Nutzungsprofile!$B$17:$B$22,"Schulbetrieb",Nutzungsprofile!$G$17:$G$22)*Kalender!C267/SUM(Kalender!$C$5:$C$370),0)+IFERROR(SUMIF(Nutzungsprofile!$B$17:$B$22,"Halle",Nutzungsprofile!$G$17:$G$22)*Kalender!D267/SUM(Kalender!$D$5:$D$370),0)+IFERROR(SUMIF(Nutzungsprofile!$B$17:$B$22,"Individuell",Nutzungsprofile!$G$17:$G$22)*Kalender!E267/SUM(Kalender!$E$5:$E$370),0))*Szenarien!$D$17,0)</f>
        <v>0.89</v>
      </c>
      <c r="E2463" s="13" t="n">
        <f aca="false">IFERROR(MIN(C2463,Eingaben!$B$17)*Eingaben!$B$16,0)</f>
        <v>1.938</v>
      </c>
      <c r="F2463" s="13" t="n">
        <f aca="false">IFERROR(E2463*Eingaben!$B$15,0)</f>
        <v>1.7442</v>
      </c>
      <c r="G2463" s="13" t="n">
        <f aca="false">IFERROR(IF(Kalender!A267="",0,J2462*(1-Eingaben!$B$20)),0)</f>
        <v>1.561363244</v>
      </c>
      <c r="H2463" s="13" t="n">
        <f aca="false">MIN(G2463,D2463)</f>
        <v>0.89</v>
      </c>
      <c r="I2463" s="13" t="n">
        <f aca="false">IFERROR(MIN(F2463*Eingaben!$B$19,MAX(0,D2463-H2463)),0)</f>
        <v>0</v>
      </c>
      <c r="J2463" s="13" t="n">
        <f aca="false">IFERROR(MIN(Eingaben!$B$18,MAX(0,F2463-I2463)),0)</f>
        <v>1.7442</v>
      </c>
      <c r="K2463" s="13" t="n">
        <f aca="false">H2463+I2463</f>
        <v>0.89</v>
      </c>
      <c r="L2463" s="13" t="n">
        <f aca="false">MAX(0,D2463-K2463)</f>
        <v>0</v>
      </c>
      <c r="M2463" s="13" t="n">
        <f aca="false">MAX(0,F2463-I2463-J2463)</f>
        <v>0</v>
      </c>
      <c r="N2463" s="13" t="n">
        <f aca="false">IF(Kalender!A267="",0,J2462-H2463)</f>
        <v>0.7032278</v>
      </c>
    </row>
    <row r="2464" customFormat="false" ht="16.4" hidden="false" customHeight="false" outlineLevel="0" collapsed="false">
      <c r="A2464" s="13" t="str">
        <f aca="false">""</f>
        <v/>
      </c>
      <c r="B2464" s="13" t="n">
        <f aca="false">264</f>
        <v>264</v>
      </c>
      <c r="C2464" s="13" t="n">
        <f aca="false">IF(Szenarien!$H$17="OK",(IFERROR(SUMIF(Nutzungsprofile!$B$6:$B$11,"Schulbetrieb",Nutzungsprofile!$G$6:$G$11)*Kalender!C268/SUM(Kalender!$C$5:$C$370),0)+IFERROR(SUMIF(Nutzungsprofile!$B$6:$B$11,"Halle",Nutzungsprofile!$G$6:$G$11)*Kalender!D268/SUM(Kalender!$D$5:$D$370),0)+IFERROR(SUMIF(Nutzungsprofile!$B$6:$B$11,"Individuell",Nutzungsprofile!$G$6:$G$11)*Kalender!E268/SUM(Kalender!$E$5:$E$370),0))*Szenarien!$E$17,0)</f>
        <v>2.94</v>
      </c>
      <c r="D2464" s="13" t="n">
        <f aca="false">IF(Szenarien!$H$17="OK",(IFERROR(SUMIF(Nutzungsprofile!$B$17:$B$22,"Schulbetrieb",Nutzungsprofile!$G$17:$G$22)*Kalender!C268/SUM(Kalender!$C$5:$C$370),0)+IFERROR(SUMIF(Nutzungsprofile!$B$17:$B$22,"Halle",Nutzungsprofile!$G$17:$G$22)*Kalender!D268/SUM(Kalender!$D$5:$D$370),0)+IFERROR(SUMIF(Nutzungsprofile!$B$17:$B$22,"Individuell",Nutzungsprofile!$G$17:$G$22)*Kalender!E268/SUM(Kalender!$E$5:$E$370),0))*Szenarien!$D$17,0)</f>
        <v>4.94</v>
      </c>
      <c r="E2464" s="13" t="n">
        <f aca="false">IFERROR(MIN(C2464,Eingaben!$B$17)*Eingaben!$B$16,0)</f>
        <v>2.793</v>
      </c>
      <c r="F2464" s="13" t="n">
        <f aca="false">IFERROR(E2464*Eingaben!$B$15,0)</f>
        <v>2.5137</v>
      </c>
      <c r="G2464" s="13" t="n">
        <f aca="false">IFERROR(IF(Kalender!A268="",0,J2463*(1-Eingaben!$B$20)),0)</f>
        <v>1.709316</v>
      </c>
      <c r="H2464" s="13" t="n">
        <f aca="false">MIN(G2464,D2464)</f>
        <v>1.709316</v>
      </c>
      <c r="I2464" s="13" t="n">
        <f aca="false">IFERROR(MIN(F2464*Eingaben!$B$19,MAX(0,D2464-H2464)),0)</f>
        <v>1.75959</v>
      </c>
      <c r="J2464" s="13" t="n">
        <f aca="false">IFERROR(MIN(Eingaben!$B$18,MAX(0,F2464-I2464)),0)</f>
        <v>0.75411</v>
      </c>
      <c r="K2464" s="13" t="n">
        <f aca="false">H2464+I2464</f>
        <v>3.468906</v>
      </c>
      <c r="L2464" s="13" t="n">
        <f aca="false">MAX(0,D2464-K2464)</f>
        <v>1.471094</v>
      </c>
      <c r="M2464" s="13" t="n">
        <f aca="false">MAX(0,F2464-I2464-J2464)</f>
        <v>0</v>
      </c>
      <c r="N2464" s="13" t="n">
        <f aca="false">IF(Kalender!A268="",0,J2463-H2464)</f>
        <v>0.0348840000000001</v>
      </c>
    </row>
    <row r="2465" customFormat="false" ht="16.4" hidden="false" customHeight="false" outlineLevel="0" collapsed="false">
      <c r="A2465" s="13" t="str">
        <f aca="false">""</f>
        <v/>
      </c>
      <c r="B2465" s="13" t="n">
        <f aca="false">265</f>
        <v>265</v>
      </c>
      <c r="C2465" s="13" t="n">
        <f aca="false">IF(Szenarien!$H$17="OK",(IFERROR(SUMIF(Nutzungsprofile!$B$6:$B$11,"Schulbetrieb",Nutzungsprofile!$G$6:$G$11)*Kalender!C269/SUM(Kalender!$C$5:$C$370),0)+IFERROR(SUMIF(Nutzungsprofile!$B$6:$B$11,"Halle",Nutzungsprofile!$G$6:$G$11)*Kalender!D269/SUM(Kalender!$D$5:$D$370),0)+IFERROR(SUMIF(Nutzungsprofile!$B$6:$B$11,"Individuell",Nutzungsprofile!$G$6:$G$11)*Kalender!E269/SUM(Kalender!$E$5:$E$370),0))*Szenarien!$E$17,0)</f>
        <v>2.94</v>
      </c>
      <c r="D2465" s="13" t="n">
        <f aca="false">IF(Szenarien!$H$17="OK",(IFERROR(SUMIF(Nutzungsprofile!$B$17:$B$22,"Schulbetrieb",Nutzungsprofile!$G$17:$G$22)*Kalender!C269/SUM(Kalender!$C$5:$C$370),0)+IFERROR(SUMIF(Nutzungsprofile!$B$17:$B$22,"Halle",Nutzungsprofile!$G$17:$G$22)*Kalender!D269/SUM(Kalender!$D$5:$D$370),0)+IFERROR(SUMIF(Nutzungsprofile!$B$17:$B$22,"Individuell",Nutzungsprofile!$G$17:$G$22)*Kalender!E269/SUM(Kalender!$E$5:$E$370),0))*Szenarien!$D$17,0)</f>
        <v>4.94</v>
      </c>
      <c r="E2465" s="13" t="n">
        <f aca="false">IFERROR(MIN(C2465,Eingaben!$B$17)*Eingaben!$B$16,0)</f>
        <v>2.793</v>
      </c>
      <c r="F2465" s="13" t="n">
        <f aca="false">IFERROR(E2465*Eingaben!$B$15,0)</f>
        <v>2.5137</v>
      </c>
      <c r="G2465" s="13" t="n">
        <f aca="false">IFERROR(IF(Kalender!A269="",0,J2464*(1-Eingaben!$B$20)),0)</f>
        <v>0.7390278</v>
      </c>
      <c r="H2465" s="13" t="n">
        <f aca="false">MIN(G2465,D2465)</f>
        <v>0.7390278</v>
      </c>
      <c r="I2465" s="13" t="n">
        <f aca="false">IFERROR(MIN(F2465*Eingaben!$B$19,MAX(0,D2465-H2465)),0)</f>
        <v>1.75959</v>
      </c>
      <c r="J2465" s="13" t="n">
        <f aca="false">IFERROR(MIN(Eingaben!$B$18,MAX(0,F2465-I2465)),0)</f>
        <v>0.75411</v>
      </c>
      <c r="K2465" s="13" t="n">
        <f aca="false">H2465+I2465</f>
        <v>2.4986178</v>
      </c>
      <c r="L2465" s="13" t="n">
        <f aca="false">MAX(0,D2465-K2465)</f>
        <v>2.4413822</v>
      </c>
      <c r="M2465" s="13" t="n">
        <f aca="false">MAX(0,F2465-I2465-J2465)</f>
        <v>0</v>
      </c>
      <c r="N2465" s="13" t="n">
        <f aca="false">IF(Kalender!A269="",0,J2464-H2465)</f>
        <v>0.0150822</v>
      </c>
    </row>
    <row r="2466" customFormat="false" ht="16.4" hidden="false" customHeight="false" outlineLevel="0" collapsed="false">
      <c r="A2466" s="13" t="str">
        <f aca="false">""</f>
        <v/>
      </c>
      <c r="B2466" s="13" t="n">
        <f aca="false">266</f>
        <v>266</v>
      </c>
      <c r="C2466" s="13" t="n">
        <f aca="false">IF(Szenarien!$H$17="OK",(IFERROR(SUMIF(Nutzungsprofile!$B$6:$B$11,"Schulbetrieb",Nutzungsprofile!$G$6:$G$11)*Kalender!C270/SUM(Kalender!$C$5:$C$370),0)+IFERROR(SUMIF(Nutzungsprofile!$B$6:$B$11,"Halle",Nutzungsprofile!$G$6:$G$11)*Kalender!D270/SUM(Kalender!$D$5:$D$370),0)+IFERROR(SUMIF(Nutzungsprofile!$B$6:$B$11,"Individuell",Nutzungsprofile!$G$6:$G$11)*Kalender!E270/SUM(Kalender!$E$5:$E$370),0))*Szenarien!$E$17,0)</f>
        <v>2.94</v>
      </c>
      <c r="D2466" s="13" t="n">
        <f aca="false">IF(Szenarien!$H$17="OK",(IFERROR(SUMIF(Nutzungsprofile!$B$17:$B$22,"Schulbetrieb",Nutzungsprofile!$G$17:$G$22)*Kalender!C270/SUM(Kalender!$C$5:$C$370),0)+IFERROR(SUMIF(Nutzungsprofile!$B$17:$B$22,"Halle",Nutzungsprofile!$G$17:$G$22)*Kalender!D270/SUM(Kalender!$D$5:$D$370),0)+IFERROR(SUMIF(Nutzungsprofile!$B$17:$B$22,"Individuell",Nutzungsprofile!$G$17:$G$22)*Kalender!E270/SUM(Kalender!$E$5:$E$370),0))*Szenarien!$D$17,0)</f>
        <v>4.94</v>
      </c>
      <c r="E2466" s="13" t="n">
        <f aca="false">IFERROR(MIN(C2466,Eingaben!$B$17)*Eingaben!$B$16,0)</f>
        <v>2.793</v>
      </c>
      <c r="F2466" s="13" t="n">
        <f aca="false">IFERROR(E2466*Eingaben!$B$15,0)</f>
        <v>2.5137</v>
      </c>
      <c r="G2466" s="13" t="n">
        <f aca="false">IFERROR(IF(Kalender!A270="",0,J2465*(1-Eingaben!$B$20)),0)</f>
        <v>0.7390278</v>
      </c>
      <c r="H2466" s="13" t="n">
        <f aca="false">MIN(G2466,D2466)</f>
        <v>0.7390278</v>
      </c>
      <c r="I2466" s="13" t="n">
        <f aca="false">IFERROR(MIN(F2466*Eingaben!$B$19,MAX(0,D2466-H2466)),0)</f>
        <v>1.75959</v>
      </c>
      <c r="J2466" s="13" t="n">
        <f aca="false">IFERROR(MIN(Eingaben!$B$18,MAX(0,F2466-I2466)),0)</f>
        <v>0.75411</v>
      </c>
      <c r="K2466" s="13" t="n">
        <f aca="false">H2466+I2466</f>
        <v>2.4986178</v>
      </c>
      <c r="L2466" s="13" t="n">
        <f aca="false">MAX(0,D2466-K2466)</f>
        <v>2.4413822</v>
      </c>
      <c r="M2466" s="13" t="n">
        <f aca="false">MAX(0,F2466-I2466-J2466)</f>
        <v>0</v>
      </c>
      <c r="N2466" s="13" t="n">
        <f aca="false">IF(Kalender!A270="",0,J2465-H2466)</f>
        <v>0.0150822</v>
      </c>
    </row>
    <row r="2467" customFormat="false" ht="16.4" hidden="false" customHeight="false" outlineLevel="0" collapsed="false">
      <c r="A2467" s="13" t="str">
        <f aca="false">""</f>
        <v/>
      </c>
      <c r="B2467" s="13" t="n">
        <f aca="false">267</f>
        <v>267</v>
      </c>
      <c r="C2467" s="13" t="n">
        <f aca="false">IF(Szenarien!$H$17="OK",(IFERROR(SUMIF(Nutzungsprofile!$B$6:$B$11,"Schulbetrieb",Nutzungsprofile!$G$6:$G$11)*Kalender!C271/SUM(Kalender!$C$5:$C$370),0)+IFERROR(SUMIF(Nutzungsprofile!$B$6:$B$11,"Halle",Nutzungsprofile!$G$6:$G$11)*Kalender!D271/SUM(Kalender!$D$5:$D$370),0)+IFERROR(SUMIF(Nutzungsprofile!$B$6:$B$11,"Individuell",Nutzungsprofile!$G$6:$G$11)*Kalender!E271/SUM(Kalender!$E$5:$E$370),0))*Szenarien!$E$17,0)</f>
        <v>2.94</v>
      </c>
      <c r="D2467" s="13" t="n">
        <f aca="false">IF(Szenarien!$H$17="OK",(IFERROR(SUMIF(Nutzungsprofile!$B$17:$B$22,"Schulbetrieb",Nutzungsprofile!$G$17:$G$22)*Kalender!C271/SUM(Kalender!$C$5:$C$370),0)+IFERROR(SUMIF(Nutzungsprofile!$B$17:$B$22,"Halle",Nutzungsprofile!$G$17:$G$22)*Kalender!D271/SUM(Kalender!$D$5:$D$370),0)+IFERROR(SUMIF(Nutzungsprofile!$B$17:$B$22,"Individuell",Nutzungsprofile!$G$17:$G$22)*Kalender!E271/SUM(Kalender!$E$5:$E$370),0))*Szenarien!$D$17,0)</f>
        <v>4.94</v>
      </c>
      <c r="E2467" s="13" t="n">
        <f aca="false">IFERROR(MIN(C2467,Eingaben!$B$17)*Eingaben!$B$16,0)</f>
        <v>2.793</v>
      </c>
      <c r="F2467" s="13" t="n">
        <f aca="false">IFERROR(E2467*Eingaben!$B$15,0)</f>
        <v>2.5137</v>
      </c>
      <c r="G2467" s="13" t="n">
        <f aca="false">IFERROR(IF(Kalender!A271="",0,J2466*(1-Eingaben!$B$20)),0)</f>
        <v>0.7390278</v>
      </c>
      <c r="H2467" s="13" t="n">
        <f aca="false">MIN(G2467,D2467)</f>
        <v>0.7390278</v>
      </c>
      <c r="I2467" s="13" t="n">
        <f aca="false">IFERROR(MIN(F2467*Eingaben!$B$19,MAX(0,D2467-H2467)),0)</f>
        <v>1.75959</v>
      </c>
      <c r="J2467" s="13" t="n">
        <f aca="false">IFERROR(MIN(Eingaben!$B$18,MAX(0,F2467-I2467)),0)</f>
        <v>0.75411</v>
      </c>
      <c r="K2467" s="13" t="n">
        <f aca="false">H2467+I2467</f>
        <v>2.4986178</v>
      </c>
      <c r="L2467" s="13" t="n">
        <f aca="false">MAX(0,D2467-K2467)</f>
        <v>2.4413822</v>
      </c>
      <c r="M2467" s="13" t="n">
        <f aca="false">MAX(0,F2467-I2467-J2467)</f>
        <v>0</v>
      </c>
      <c r="N2467" s="13" t="n">
        <f aca="false">IF(Kalender!A271="",0,J2466-H2467)</f>
        <v>0.0150822</v>
      </c>
    </row>
    <row r="2468" customFormat="false" ht="16.4" hidden="false" customHeight="false" outlineLevel="0" collapsed="false">
      <c r="A2468" s="13" t="str">
        <f aca="false">""</f>
        <v/>
      </c>
      <c r="B2468" s="13" t="n">
        <f aca="false">268</f>
        <v>268</v>
      </c>
      <c r="C2468" s="13" t="n">
        <f aca="false">IF(Szenarien!$H$17="OK",(IFERROR(SUMIF(Nutzungsprofile!$B$6:$B$11,"Schulbetrieb",Nutzungsprofile!$G$6:$G$11)*Kalender!C272/SUM(Kalender!$C$5:$C$370),0)+IFERROR(SUMIF(Nutzungsprofile!$B$6:$B$11,"Halle",Nutzungsprofile!$G$6:$G$11)*Kalender!D272/SUM(Kalender!$D$5:$D$370),0)+IFERROR(SUMIF(Nutzungsprofile!$B$6:$B$11,"Individuell",Nutzungsprofile!$G$6:$G$11)*Kalender!E272/SUM(Kalender!$E$5:$E$370),0))*Szenarien!$E$17,0)</f>
        <v>2.94</v>
      </c>
      <c r="D2468" s="13" t="n">
        <f aca="false">IF(Szenarien!$H$17="OK",(IFERROR(SUMIF(Nutzungsprofile!$B$17:$B$22,"Schulbetrieb",Nutzungsprofile!$G$17:$G$22)*Kalender!C272/SUM(Kalender!$C$5:$C$370),0)+IFERROR(SUMIF(Nutzungsprofile!$B$17:$B$22,"Halle",Nutzungsprofile!$G$17:$G$22)*Kalender!D272/SUM(Kalender!$D$5:$D$370),0)+IFERROR(SUMIF(Nutzungsprofile!$B$17:$B$22,"Individuell",Nutzungsprofile!$G$17:$G$22)*Kalender!E272/SUM(Kalender!$E$5:$E$370),0))*Szenarien!$D$17,0)</f>
        <v>4.94</v>
      </c>
      <c r="E2468" s="13" t="n">
        <f aca="false">IFERROR(MIN(C2468,Eingaben!$B$17)*Eingaben!$B$16,0)</f>
        <v>2.793</v>
      </c>
      <c r="F2468" s="13" t="n">
        <f aca="false">IFERROR(E2468*Eingaben!$B$15,0)</f>
        <v>2.5137</v>
      </c>
      <c r="G2468" s="13" t="n">
        <f aca="false">IFERROR(IF(Kalender!A272="",0,J2467*(1-Eingaben!$B$20)),0)</f>
        <v>0.7390278</v>
      </c>
      <c r="H2468" s="13" t="n">
        <f aca="false">MIN(G2468,D2468)</f>
        <v>0.7390278</v>
      </c>
      <c r="I2468" s="13" t="n">
        <f aca="false">IFERROR(MIN(F2468*Eingaben!$B$19,MAX(0,D2468-H2468)),0)</f>
        <v>1.75959</v>
      </c>
      <c r="J2468" s="13" t="n">
        <f aca="false">IFERROR(MIN(Eingaben!$B$18,MAX(0,F2468-I2468)),0)</f>
        <v>0.75411</v>
      </c>
      <c r="K2468" s="13" t="n">
        <f aca="false">H2468+I2468</f>
        <v>2.4986178</v>
      </c>
      <c r="L2468" s="13" t="n">
        <f aca="false">MAX(0,D2468-K2468)</f>
        <v>2.4413822</v>
      </c>
      <c r="M2468" s="13" t="n">
        <f aca="false">MAX(0,F2468-I2468-J2468)</f>
        <v>0</v>
      </c>
      <c r="N2468" s="13" t="n">
        <f aca="false">IF(Kalender!A272="",0,J2467-H2468)</f>
        <v>0.0150822</v>
      </c>
    </row>
    <row r="2469" customFormat="false" ht="16.4" hidden="false" customHeight="false" outlineLevel="0" collapsed="false">
      <c r="A2469" s="13" t="str">
        <f aca="false">""</f>
        <v/>
      </c>
      <c r="B2469" s="13" t="n">
        <f aca="false">269</f>
        <v>269</v>
      </c>
      <c r="C2469" s="13" t="n">
        <f aca="false">IF(Szenarien!$H$17="OK",(IFERROR(SUMIF(Nutzungsprofile!$B$6:$B$11,"Schulbetrieb",Nutzungsprofile!$G$6:$G$11)*Kalender!C273/SUM(Kalender!$C$5:$C$370),0)+IFERROR(SUMIF(Nutzungsprofile!$B$6:$B$11,"Halle",Nutzungsprofile!$G$6:$G$11)*Kalender!D273/SUM(Kalender!$D$5:$D$370),0)+IFERROR(SUMIF(Nutzungsprofile!$B$6:$B$11,"Individuell",Nutzungsprofile!$G$6:$G$11)*Kalender!E273/SUM(Kalender!$E$5:$E$370),0))*Szenarien!$E$17,0)</f>
        <v>2.04</v>
      </c>
      <c r="D2469" s="13" t="n">
        <f aca="false">IF(Szenarien!$H$17="OK",(IFERROR(SUMIF(Nutzungsprofile!$B$17:$B$22,"Schulbetrieb",Nutzungsprofile!$G$17:$G$22)*Kalender!C273/SUM(Kalender!$C$5:$C$370),0)+IFERROR(SUMIF(Nutzungsprofile!$B$17:$B$22,"Halle",Nutzungsprofile!$G$17:$G$22)*Kalender!D273/SUM(Kalender!$D$5:$D$370),0)+IFERROR(SUMIF(Nutzungsprofile!$B$17:$B$22,"Individuell",Nutzungsprofile!$G$17:$G$22)*Kalender!E273/SUM(Kalender!$E$5:$E$370),0))*Szenarien!$D$17,0)</f>
        <v>0.89</v>
      </c>
      <c r="E2469" s="13" t="n">
        <f aca="false">IFERROR(MIN(C2469,Eingaben!$B$17)*Eingaben!$B$16,0)</f>
        <v>1.938</v>
      </c>
      <c r="F2469" s="13" t="n">
        <f aca="false">IFERROR(E2469*Eingaben!$B$15,0)</f>
        <v>1.7442</v>
      </c>
      <c r="G2469" s="13" t="n">
        <f aca="false">IFERROR(IF(Kalender!A273="",0,J2468*(1-Eingaben!$B$20)),0)</f>
        <v>0.7390278</v>
      </c>
      <c r="H2469" s="13" t="n">
        <f aca="false">MIN(G2469,D2469)</f>
        <v>0.7390278</v>
      </c>
      <c r="I2469" s="13" t="n">
        <f aca="false">IFERROR(MIN(F2469*Eingaben!$B$19,MAX(0,D2469-H2469)),0)</f>
        <v>0.1509722</v>
      </c>
      <c r="J2469" s="13" t="n">
        <f aca="false">IFERROR(MIN(Eingaben!$B$18,MAX(0,F2469-I2469)),0)</f>
        <v>1.5932278</v>
      </c>
      <c r="K2469" s="13" t="n">
        <f aca="false">H2469+I2469</f>
        <v>0.89</v>
      </c>
      <c r="L2469" s="13" t="n">
        <f aca="false">MAX(0,D2469-K2469)</f>
        <v>0</v>
      </c>
      <c r="M2469" s="13" t="n">
        <f aca="false">MAX(0,F2469-I2469-J2469)</f>
        <v>0</v>
      </c>
      <c r="N2469" s="13" t="n">
        <f aca="false">IF(Kalender!A273="",0,J2468-H2469)</f>
        <v>0.0150822</v>
      </c>
    </row>
    <row r="2470" customFormat="false" ht="16.4" hidden="false" customHeight="false" outlineLevel="0" collapsed="false">
      <c r="A2470" s="13" t="str">
        <f aca="false">""</f>
        <v/>
      </c>
      <c r="B2470" s="13" t="n">
        <f aca="false">270</f>
        <v>270</v>
      </c>
      <c r="C2470" s="13" t="n">
        <f aca="false">IF(Szenarien!$H$17="OK",(IFERROR(SUMIF(Nutzungsprofile!$B$6:$B$11,"Schulbetrieb",Nutzungsprofile!$G$6:$G$11)*Kalender!C274/SUM(Kalender!$C$5:$C$370),0)+IFERROR(SUMIF(Nutzungsprofile!$B$6:$B$11,"Halle",Nutzungsprofile!$G$6:$G$11)*Kalender!D274/SUM(Kalender!$D$5:$D$370),0)+IFERROR(SUMIF(Nutzungsprofile!$B$6:$B$11,"Individuell",Nutzungsprofile!$G$6:$G$11)*Kalender!E274/SUM(Kalender!$E$5:$E$370),0))*Szenarien!$E$17,0)</f>
        <v>2.04</v>
      </c>
      <c r="D2470" s="13" t="n">
        <f aca="false">IF(Szenarien!$H$17="OK",(IFERROR(SUMIF(Nutzungsprofile!$B$17:$B$22,"Schulbetrieb",Nutzungsprofile!$G$17:$G$22)*Kalender!C274/SUM(Kalender!$C$5:$C$370),0)+IFERROR(SUMIF(Nutzungsprofile!$B$17:$B$22,"Halle",Nutzungsprofile!$G$17:$G$22)*Kalender!D274/SUM(Kalender!$D$5:$D$370),0)+IFERROR(SUMIF(Nutzungsprofile!$B$17:$B$22,"Individuell",Nutzungsprofile!$G$17:$G$22)*Kalender!E274/SUM(Kalender!$E$5:$E$370),0))*Szenarien!$D$17,0)</f>
        <v>0.89</v>
      </c>
      <c r="E2470" s="13" t="n">
        <f aca="false">IFERROR(MIN(C2470,Eingaben!$B$17)*Eingaben!$B$16,0)</f>
        <v>1.938</v>
      </c>
      <c r="F2470" s="13" t="n">
        <f aca="false">IFERROR(E2470*Eingaben!$B$15,0)</f>
        <v>1.7442</v>
      </c>
      <c r="G2470" s="13" t="n">
        <f aca="false">IFERROR(IF(Kalender!A274="",0,J2469*(1-Eingaben!$B$20)),0)</f>
        <v>1.561363244</v>
      </c>
      <c r="H2470" s="13" t="n">
        <f aca="false">MIN(G2470,D2470)</f>
        <v>0.89</v>
      </c>
      <c r="I2470" s="13" t="n">
        <f aca="false">IFERROR(MIN(F2470*Eingaben!$B$19,MAX(0,D2470-H2470)),0)</f>
        <v>0</v>
      </c>
      <c r="J2470" s="13" t="n">
        <f aca="false">IFERROR(MIN(Eingaben!$B$18,MAX(0,F2470-I2470)),0)</f>
        <v>1.7442</v>
      </c>
      <c r="K2470" s="13" t="n">
        <f aca="false">H2470+I2470</f>
        <v>0.89</v>
      </c>
      <c r="L2470" s="13" t="n">
        <f aca="false">MAX(0,D2470-K2470)</f>
        <v>0</v>
      </c>
      <c r="M2470" s="13" t="n">
        <f aca="false">MAX(0,F2470-I2470-J2470)</f>
        <v>0</v>
      </c>
      <c r="N2470" s="13" t="n">
        <f aca="false">IF(Kalender!A274="",0,J2469-H2470)</f>
        <v>0.7032278</v>
      </c>
    </row>
    <row r="2471" customFormat="false" ht="16.4" hidden="false" customHeight="false" outlineLevel="0" collapsed="false">
      <c r="A2471" s="13" t="str">
        <f aca="false">""</f>
        <v/>
      </c>
      <c r="B2471" s="13" t="n">
        <f aca="false">271</f>
        <v>271</v>
      </c>
      <c r="C2471" s="13" t="n">
        <f aca="false">IF(Szenarien!$H$17="OK",(IFERROR(SUMIF(Nutzungsprofile!$B$6:$B$11,"Schulbetrieb",Nutzungsprofile!$G$6:$G$11)*Kalender!C275/SUM(Kalender!$C$5:$C$370),0)+IFERROR(SUMIF(Nutzungsprofile!$B$6:$B$11,"Halle",Nutzungsprofile!$G$6:$G$11)*Kalender!D275/SUM(Kalender!$D$5:$D$370),0)+IFERROR(SUMIF(Nutzungsprofile!$B$6:$B$11,"Individuell",Nutzungsprofile!$G$6:$G$11)*Kalender!E275/SUM(Kalender!$E$5:$E$370),0))*Szenarien!$E$17,0)</f>
        <v>2.94</v>
      </c>
      <c r="D2471" s="13" t="n">
        <f aca="false">IF(Szenarien!$H$17="OK",(IFERROR(SUMIF(Nutzungsprofile!$B$17:$B$22,"Schulbetrieb",Nutzungsprofile!$G$17:$G$22)*Kalender!C275/SUM(Kalender!$C$5:$C$370),0)+IFERROR(SUMIF(Nutzungsprofile!$B$17:$B$22,"Halle",Nutzungsprofile!$G$17:$G$22)*Kalender!D275/SUM(Kalender!$D$5:$D$370),0)+IFERROR(SUMIF(Nutzungsprofile!$B$17:$B$22,"Individuell",Nutzungsprofile!$G$17:$G$22)*Kalender!E275/SUM(Kalender!$E$5:$E$370),0))*Szenarien!$D$17,0)</f>
        <v>4.94</v>
      </c>
      <c r="E2471" s="13" t="n">
        <f aca="false">IFERROR(MIN(C2471,Eingaben!$B$17)*Eingaben!$B$16,0)</f>
        <v>2.793</v>
      </c>
      <c r="F2471" s="13" t="n">
        <f aca="false">IFERROR(E2471*Eingaben!$B$15,0)</f>
        <v>2.5137</v>
      </c>
      <c r="G2471" s="13" t="n">
        <f aca="false">IFERROR(IF(Kalender!A275="",0,J2470*(1-Eingaben!$B$20)),0)</f>
        <v>1.709316</v>
      </c>
      <c r="H2471" s="13" t="n">
        <f aca="false">MIN(G2471,D2471)</f>
        <v>1.709316</v>
      </c>
      <c r="I2471" s="13" t="n">
        <f aca="false">IFERROR(MIN(F2471*Eingaben!$B$19,MAX(0,D2471-H2471)),0)</f>
        <v>1.75959</v>
      </c>
      <c r="J2471" s="13" t="n">
        <f aca="false">IFERROR(MIN(Eingaben!$B$18,MAX(0,F2471-I2471)),0)</f>
        <v>0.75411</v>
      </c>
      <c r="K2471" s="13" t="n">
        <f aca="false">H2471+I2471</f>
        <v>3.468906</v>
      </c>
      <c r="L2471" s="13" t="n">
        <f aca="false">MAX(0,D2471-K2471)</f>
        <v>1.471094</v>
      </c>
      <c r="M2471" s="13" t="n">
        <f aca="false">MAX(0,F2471-I2471-J2471)</f>
        <v>0</v>
      </c>
      <c r="N2471" s="13" t="n">
        <f aca="false">IF(Kalender!A275="",0,J2470-H2471)</f>
        <v>0.0348840000000001</v>
      </c>
    </row>
    <row r="2472" customFormat="false" ht="16.4" hidden="false" customHeight="false" outlineLevel="0" collapsed="false">
      <c r="A2472" s="13" t="str">
        <f aca="false">""</f>
        <v/>
      </c>
      <c r="B2472" s="13" t="n">
        <f aca="false">272</f>
        <v>272</v>
      </c>
      <c r="C2472" s="13" t="n">
        <f aca="false">IF(Szenarien!$H$17="OK",(IFERROR(SUMIF(Nutzungsprofile!$B$6:$B$11,"Schulbetrieb",Nutzungsprofile!$G$6:$G$11)*Kalender!C276/SUM(Kalender!$C$5:$C$370),0)+IFERROR(SUMIF(Nutzungsprofile!$B$6:$B$11,"Halle",Nutzungsprofile!$G$6:$G$11)*Kalender!D276/SUM(Kalender!$D$5:$D$370),0)+IFERROR(SUMIF(Nutzungsprofile!$B$6:$B$11,"Individuell",Nutzungsprofile!$G$6:$G$11)*Kalender!E276/SUM(Kalender!$E$5:$E$370),0))*Szenarien!$E$17,0)</f>
        <v>2.94</v>
      </c>
      <c r="D2472" s="13" t="n">
        <f aca="false">IF(Szenarien!$H$17="OK",(IFERROR(SUMIF(Nutzungsprofile!$B$17:$B$22,"Schulbetrieb",Nutzungsprofile!$G$17:$G$22)*Kalender!C276/SUM(Kalender!$C$5:$C$370),0)+IFERROR(SUMIF(Nutzungsprofile!$B$17:$B$22,"Halle",Nutzungsprofile!$G$17:$G$22)*Kalender!D276/SUM(Kalender!$D$5:$D$370),0)+IFERROR(SUMIF(Nutzungsprofile!$B$17:$B$22,"Individuell",Nutzungsprofile!$G$17:$G$22)*Kalender!E276/SUM(Kalender!$E$5:$E$370),0))*Szenarien!$D$17,0)</f>
        <v>4.94</v>
      </c>
      <c r="E2472" s="13" t="n">
        <f aca="false">IFERROR(MIN(C2472,Eingaben!$B$17)*Eingaben!$B$16,0)</f>
        <v>2.793</v>
      </c>
      <c r="F2472" s="13" t="n">
        <f aca="false">IFERROR(E2472*Eingaben!$B$15,0)</f>
        <v>2.5137</v>
      </c>
      <c r="G2472" s="13" t="n">
        <f aca="false">IFERROR(IF(Kalender!A276="",0,J2471*(1-Eingaben!$B$20)),0)</f>
        <v>0.7390278</v>
      </c>
      <c r="H2472" s="13" t="n">
        <f aca="false">MIN(G2472,D2472)</f>
        <v>0.7390278</v>
      </c>
      <c r="I2472" s="13" t="n">
        <f aca="false">IFERROR(MIN(F2472*Eingaben!$B$19,MAX(0,D2472-H2472)),0)</f>
        <v>1.75959</v>
      </c>
      <c r="J2472" s="13" t="n">
        <f aca="false">IFERROR(MIN(Eingaben!$B$18,MAX(0,F2472-I2472)),0)</f>
        <v>0.75411</v>
      </c>
      <c r="K2472" s="13" t="n">
        <f aca="false">H2472+I2472</f>
        <v>2.4986178</v>
      </c>
      <c r="L2472" s="13" t="n">
        <f aca="false">MAX(0,D2472-K2472)</f>
        <v>2.4413822</v>
      </c>
      <c r="M2472" s="13" t="n">
        <f aca="false">MAX(0,F2472-I2472-J2472)</f>
        <v>0</v>
      </c>
      <c r="N2472" s="13" t="n">
        <f aca="false">IF(Kalender!A276="",0,J2471-H2472)</f>
        <v>0.0150822</v>
      </c>
    </row>
    <row r="2473" customFormat="false" ht="16.4" hidden="false" customHeight="false" outlineLevel="0" collapsed="false">
      <c r="A2473" s="13" t="str">
        <f aca="false">""</f>
        <v/>
      </c>
      <c r="B2473" s="13" t="n">
        <f aca="false">273</f>
        <v>273</v>
      </c>
      <c r="C2473" s="13" t="n">
        <f aca="false">IF(Szenarien!$H$17="OK",(IFERROR(SUMIF(Nutzungsprofile!$B$6:$B$11,"Schulbetrieb",Nutzungsprofile!$G$6:$G$11)*Kalender!C277/SUM(Kalender!$C$5:$C$370),0)+IFERROR(SUMIF(Nutzungsprofile!$B$6:$B$11,"Halle",Nutzungsprofile!$G$6:$G$11)*Kalender!D277/SUM(Kalender!$D$5:$D$370),0)+IFERROR(SUMIF(Nutzungsprofile!$B$6:$B$11,"Individuell",Nutzungsprofile!$G$6:$G$11)*Kalender!E277/SUM(Kalender!$E$5:$E$370),0))*Szenarien!$E$17,0)</f>
        <v>2.94</v>
      </c>
      <c r="D2473" s="13" t="n">
        <f aca="false">IF(Szenarien!$H$17="OK",(IFERROR(SUMIF(Nutzungsprofile!$B$17:$B$22,"Schulbetrieb",Nutzungsprofile!$G$17:$G$22)*Kalender!C277/SUM(Kalender!$C$5:$C$370),0)+IFERROR(SUMIF(Nutzungsprofile!$B$17:$B$22,"Halle",Nutzungsprofile!$G$17:$G$22)*Kalender!D277/SUM(Kalender!$D$5:$D$370),0)+IFERROR(SUMIF(Nutzungsprofile!$B$17:$B$22,"Individuell",Nutzungsprofile!$G$17:$G$22)*Kalender!E277/SUM(Kalender!$E$5:$E$370),0))*Szenarien!$D$17,0)</f>
        <v>4.94</v>
      </c>
      <c r="E2473" s="13" t="n">
        <f aca="false">IFERROR(MIN(C2473,Eingaben!$B$17)*Eingaben!$B$16,0)</f>
        <v>2.793</v>
      </c>
      <c r="F2473" s="13" t="n">
        <f aca="false">IFERROR(E2473*Eingaben!$B$15,0)</f>
        <v>2.5137</v>
      </c>
      <c r="G2473" s="13" t="n">
        <f aca="false">IFERROR(IF(Kalender!A277="",0,J2472*(1-Eingaben!$B$20)),0)</f>
        <v>0.7390278</v>
      </c>
      <c r="H2473" s="13" t="n">
        <f aca="false">MIN(G2473,D2473)</f>
        <v>0.7390278</v>
      </c>
      <c r="I2473" s="13" t="n">
        <f aca="false">IFERROR(MIN(F2473*Eingaben!$B$19,MAX(0,D2473-H2473)),0)</f>
        <v>1.75959</v>
      </c>
      <c r="J2473" s="13" t="n">
        <f aca="false">IFERROR(MIN(Eingaben!$B$18,MAX(0,F2473-I2473)),0)</f>
        <v>0.75411</v>
      </c>
      <c r="K2473" s="13" t="n">
        <f aca="false">H2473+I2473</f>
        <v>2.4986178</v>
      </c>
      <c r="L2473" s="13" t="n">
        <f aca="false">MAX(0,D2473-K2473)</f>
        <v>2.4413822</v>
      </c>
      <c r="M2473" s="13" t="n">
        <f aca="false">MAX(0,F2473-I2473-J2473)</f>
        <v>0</v>
      </c>
      <c r="N2473" s="13" t="n">
        <f aca="false">IF(Kalender!A277="",0,J2472-H2473)</f>
        <v>0.0150822</v>
      </c>
    </row>
    <row r="2474" customFormat="false" ht="16.4" hidden="false" customHeight="false" outlineLevel="0" collapsed="false">
      <c r="A2474" s="13" t="str">
        <f aca="false">""</f>
        <v/>
      </c>
      <c r="B2474" s="13" t="n">
        <f aca="false">274</f>
        <v>274</v>
      </c>
      <c r="C2474" s="13" t="n">
        <f aca="false">IF(Szenarien!$H$17="OK",(IFERROR(SUMIF(Nutzungsprofile!$B$6:$B$11,"Schulbetrieb",Nutzungsprofile!$G$6:$G$11)*Kalender!C278/SUM(Kalender!$C$5:$C$370),0)+IFERROR(SUMIF(Nutzungsprofile!$B$6:$B$11,"Halle",Nutzungsprofile!$G$6:$G$11)*Kalender!D278/SUM(Kalender!$D$5:$D$370),0)+IFERROR(SUMIF(Nutzungsprofile!$B$6:$B$11,"Individuell",Nutzungsprofile!$G$6:$G$11)*Kalender!E278/SUM(Kalender!$E$5:$E$370),0))*Szenarien!$E$17,0)</f>
        <v>2.94</v>
      </c>
      <c r="D2474" s="13" t="n">
        <f aca="false">IF(Szenarien!$H$17="OK",(IFERROR(SUMIF(Nutzungsprofile!$B$17:$B$22,"Schulbetrieb",Nutzungsprofile!$G$17:$G$22)*Kalender!C278/SUM(Kalender!$C$5:$C$370),0)+IFERROR(SUMIF(Nutzungsprofile!$B$17:$B$22,"Halle",Nutzungsprofile!$G$17:$G$22)*Kalender!D278/SUM(Kalender!$D$5:$D$370),0)+IFERROR(SUMIF(Nutzungsprofile!$B$17:$B$22,"Individuell",Nutzungsprofile!$G$17:$G$22)*Kalender!E278/SUM(Kalender!$E$5:$E$370),0))*Szenarien!$D$17,0)</f>
        <v>4.94</v>
      </c>
      <c r="E2474" s="13" t="n">
        <f aca="false">IFERROR(MIN(C2474,Eingaben!$B$17)*Eingaben!$B$16,0)</f>
        <v>2.793</v>
      </c>
      <c r="F2474" s="13" t="n">
        <f aca="false">IFERROR(E2474*Eingaben!$B$15,0)</f>
        <v>2.5137</v>
      </c>
      <c r="G2474" s="13" t="n">
        <f aca="false">IFERROR(IF(Kalender!A278="",0,J2473*(1-Eingaben!$B$20)),0)</f>
        <v>0.7390278</v>
      </c>
      <c r="H2474" s="13" t="n">
        <f aca="false">MIN(G2474,D2474)</f>
        <v>0.7390278</v>
      </c>
      <c r="I2474" s="13" t="n">
        <f aca="false">IFERROR(MIN(F2474*Eingaben!$B$19,MAX(0,D2474-H2474)),0)</f>
        <v>1.75959</v>
      </c>
      <c r="J2474" s="13" t="n">
        <f aca="false">IFERROR(MIN(Eingaben!$B$18,MAX(0,F2474-I2474)),0)</f>
        <v>0.75411</v>
      </c>
      <c r="K2474" s="13" t="n">
        <f aca="false">H2474+I2474</f>
        <v>2.4986178</v>
      </c>
      <c r="L2474" s="13" t="n">
        <f aca="false">MAX(0,D2474-K2474)</f>
        <v>2.4413822</v>
      </c>
      <c r="M2474" s="13" t="n">
        <f aca="false">MAX(0,F2474-I2474-J2474)</f>
        <v>0</v>
      </c>
      <c r="N2474" s="13" t="n">
        <f aca="false">IF(Kalender!A278="",0,J2473-H2474)</f>
        <v>0.0150822</v>
      </c>
    </row>
    <row r="2475" customFormat="false" ht="16.4" hidden="false" customHeight="false" outlineLevel="0" collapsed="false">
      <c r="A2475" s="13" t="str">
        <f aca="false">""</f>
        <v/>
      </c>
      <c r="B2475" s="13" t="n">
        <f aca="false">275</f>
        <v>275</v>
      </c>
      <c r="C2475" s="13" t="n">
        <f aca="false">IF(Szenarien!$H$17="OK",(IFERROR(SUMIF(Nutzungsprofile!$B$6:$B$11,"Schulbetrieb",Nutzungsprofile!$G$6:$G$11)*Kalender!C279/SUM(Kalender!$C$5:$C$370),0)+IFERROR(SUMIF(Nutzungsprofile!$B$6:$B$11,"Halle",Nutzungsprofile!$G$6:$G$11)*Kalender!D279/SUM(Kalender!$D$5:$D$370),0)+IFERROR(SUMIF(Nutzungsprofile!$B$6:$B$11,"Individuell",Nutzungsprofile!$G$6:$G$11)*Kalender!E279/SUM(Kalender!$E$5:$E$370),0))*Szenarien!$E$17,0)</f>
        <v>2.94</v>
      </c>
      <c r="D2475" s="13" t="n">
        <f aca="false">IF(Szenarien!$H$17="OK",(IFERROR(SUMIF(Nutzungsprofile!$B$17:$B$22,"Schulbetrieb",Nutzungsprofile!$G$17:$G$22)*Kalender!C279/SUM(Kalender!$C$5:$C$370),0)+IFERROR(SUMIF(Nutzungsprofile!$B$17:$B$22,"Halle",Nutzungsprofile!$G$17:$G$22)*Kalender!D279/SUM(Kalender!$D$5:$D$370),0)+IFERROR(SUMIF(Nutzungsprofile!$B$17:$B$22,"Individuell",Nutzungsprofile!$G$17:$G$22)*Kalender!E279/SUM(Kalender!$E$5:$E$370),0))*Szenarien!$D$17,0)</f>
        <v>4.94</v>
      </c>
      <c r="E2475" s="13" t="n">
        <f aca="false">IFERROR(MIN(C2475,Eingaben!$B$17)*Eingaben!$B$16,0)</f>
        <v>2.793</v>
      </c>
      <c r="F2475" s="13" t="n">
        <f aca="false">IFERROR(E2475*Eingaben!$B$15,0)</f>
        <v>2.5137</v>
      </c>
      <c r="G2475" s="13" t="n">
        <f aca="false">IFERROR(IF(Kalender!A279="",0,J2474*(1-Eingaben!$B$20)),0)</f>
        <v>0.7390278</v>
      </c>
      <c r="H2475" s="13" t="n">
        <f aca="false">MIN(G2475,D2475)</f>
        <v>0.7390278</v>
      </c>
      <c r="I2475" s="13" t="n">
        <f aca="false">IFERROR(MIN(F2475*Eingaben!$B$19,MAX(0,D2475-H2475)),0)</f>
        <v>1.75959</v>
      </c>
      <c r="J2475" s="13" t="n">
        <f aca="false">IFERROR(MIN(Eingaben!$B$18,MAX(0,F2475-I2475)),0)</f>
        <v>0.75411</v>
      </c>
      <c r="K2475" s="13" t="n">
        <f aca="false">H2475+I2475</f>
        <v>2.4986178</v>
      </c>
      <c r="L2475" s="13" t="n">
        <f aca="false">MAX(0,D2475-K2475)</f>
        <v>2.4413822</v>
      </c>
      <c r="M2475" s="13" t="n">
        <f aca="false">MAX(0,F2475-I2475-J2475)</f>
        <v>0</v>
      </c>
      <c r="N2475" s="13" t="n">
        <f aca="false">IF(Kalender!A279="",0,J2474-H2475)</f>
        <v>0.0150822</v>
      </c>
    </row>
    <row r="2476" customFormat="false" ht="16.4" hidden="false" customHeight="false" outlineLevel="0" collapsed="false">
      <c r="A2476" s="13" t="str">
        <f aca="false">""</f>
        <v/>
      </c>
      <c r="B2476" s="13" t="n">
        <f aca="false">276</f>
        <v>276</v>
      </c>
      <c r="C2476" s="13" t="n">
        <f aca="false">IF(Szenarien!$H$17="OK",(IFERROR(SUMIF(Nutzungsprofile!$B$6:$B$11,"Schulbetrieb",Nutzungsprofile!$G$6:$G$11)*Kalender!C280/SUM(Kalender!$C$5:$C$370),0)+IFERROR(SUMIF(Nutzungsprofile!$B$6:$B$11,"Halle",Nutzungsprofile!$G$6:$G$11)*Kalender!D280/SUM(Kalender!$D$5:$D$370),0)+IFERROR(SUMIF(Nutzungsprofile!$B$6:$B$11,"Individuell",Nutzungsprofile!$G$6:$G$11)*Kalender!E280/SUM(Kalender!$E$5:$E$370),0))*Szenarien!$E$17,0)</f>
        <v>2.04</v>
      </c>
      <c r="D2476" s="13" t="n">
        <f aca="false">IF(Szenarien!$H$17="OK",(IFERROR(SUMIF(Nutzungsprofile!$B$17:$B$22,"Schulbetrieb",Nutzungsprofile!$G$17:$G$22)*Kalender!C280/SUM(Kalender!$C$5:$C$370),0)+IFERROR(SUMIF(Nutzungsprofile!$B$17:$B$22,"Halle",Nutzungsprofile!$G$17:$G$22)*Kalender!D280/SUM(Kalender!$D$5:$D$370),0)+IFERROR(SUMIF(Nutzungsprofile!$B$17:$B$22,"Individuell",Nutzungsprofile!$G$17:$G$22)*Kalender!E280/SUM(Kalender!$E$5:$E$370),0))*Szenarien!$D$17,0)</f>
        <v>0.89</v>
      </c>
      <c r="E2476" s="13" t="n">
        <f aca="false">IFERROR(MIN(C2476,Eingaben!$B$17)*Eingaben!$B$16,0)</f>
        <v>1.938</v>
      </c>
      <c r="F2476" s="13" t="n">
        <f aca="false">IFERROR(E2476*Eingaben!$B$15,0)</f>
        <v>1.7442</v>
      </c>
      <c r="G2476" s="13" t="n">
        <f aca="false">IFERROR(IF(Kalender!A280="",0,J2475*(1-Eingaben!$B$20)),0)</f>
        <v>0.7390278</v>
      </c>
      <c r="H2476" s="13" t="n">
        <f aca="false">MIN(G2476,D2476)</f>
        <v>0.7390278</v>
      </c>
      <c r="I2476" s="13" t="n">
        <f aca="false">IFERROR(MIN(F2476*Eingaben!$B$19,MAX(0,D2476-H2476)),0)</f>
        <v>0.1509722</v>
      </c>
      <c r="J2476" s="13" t="n">
        <f aca="false">IFERROR(MIN(Eingaben!$B$18,MAX(0,F2476-I2476)),0)</f>
        <v>1.5932278</v>
      </c>
      <c r="K2476" s="13" t="n">
        <f aca="false">H2476+I2476</f>
        <v>0.89</v>
      </c>
      <c r="L2476" s="13" t="n">
        <f aca="false">MAX(0,D2476-K2476)</f>
        <v>0</v>
      </c>
      <c r="M2476" s="13" t="n">
        <f aca="false">MAX(0,F2476-I2476-J2476)</f>
        <v>0</v>
      </c>
      <c r="N2476" s="13" t="n">
        <f aca="false">IF(Kalender!A280="",0,J2475-H2476)</f>
        <v>0.0150822</v>
      </c>
    </row>
    <row r="2477" customFormat="false" ht="16.4" hidden="false" customHeight="false" outlineLevel="0" collapsed="false">
      <c r="A2477" s="13" t="str">
        <f aca="false">""</f>
        <v/>
      </c>
      <c r="B2477" s="13" t="n">
        <f aca="false">277</f>
        <v>277</v>
      </c>
      <c r="C2477" s="13" t="n">
        <f aca="false">IF(Szenarien!$H$17="OK",(IFERROR(SUMIF(Nutzungsprofile!$B$6:$B$11,"Schulbetrieb",Nutzungsprofile!$G$6:$G$11)*Kalender!C281/SUM(Kalender!$C$5:$C$370),0)+IFERROR(SUMIF(Nutzungsprofile!$B$6:$B$11,"Halle",Nutzungsprofile!$G$6:$G$11)*Kalender!D281/SUM(Kalender!$D$5:$D$370),0)+IFERROR(SUMIF(Nutzungsprofile!$B$6:$B$11,"Individuell",Nutzungsprofile!$G$6:$G$11)*Kalender!E281/SUM(Kalender!$E$5:$E$370),0))*Szenarien!$E$17,0)</f>
        <v>2.04</v>
      </c>
      <c r="D2477" s="13" t="n">
        <f aca="false">IF(Szenarien!$H$17="OK",(IFERROR(SUMIF(Nutzungsprofile!$B$17:$B$22,"Schulbetrieb",Nutzungsprofile!$G$17:$G$22)*Kalender!C281/SUM(Kalender!$C$5:$C$370),0)+IFERROR(SUMIF(Nutzungsprofile!$B$17:$B$22,"Halle",Nutzungsprofile!$G$17:$G$22)*Kalender!D281/SUM(Kalender!$D$5:$D$370),0)+IFERROR(SUMIF(Nutzungsprofile!$B$17:$B$22,"Individuell",Nutzungsprofile!$G$17:$G$22)*Kalender!E281/SUM(Kalender!$E$5:$E$370),0))*Szenarien!$D$17,0)</f>
        <v>0.89</v>
      </c>
      <c r="E2477" s="13" t="n">
        <f aca="false">IFERROR(MIN(C2477,Eingaben!$B$17)*Eingaben!$B$16,0)</f>
        <v>1.938</v>
      </c>
      <c r="F2477" s="13" t="n">
        <f aca="false">IFERROR(E2477*Eingaben!$B$15,0)</f>
        <v>1.7442</v>
      </c>
      <c r="G2477" s="13" t="n">
        <f aca="false">IFERROR(IF(Kalender!A281="",0,J2476*(1-Eingaben!$B$20)),0)</f>
        <v>1.561363244</v>
      </c>
      <c r="H2477" s="13" t="n">
        <f aca="false">MIN(G2477,D2477)</f>
        <v>0.89</v>
      </c>
      <c r="I2477" s="13" t="n">
        <f aca="false">IFERROR(MIN(F2477*Eingaben!$B$19,MAX(0,D2477-H2477)),0)</f>
        <v>0</v>
      </c>
      <c r="J2477" s="13" t="n">
        <f aca="false">IFERROR(MIN(Eingaben!$B$18,MAX(0,F2477-I2477)),0)</f>
        <v>1.7442</v>
      </c>
      <c r="K2477" s="13" t="n">
        <f aca="false">H2477+I2477</f>
        <v>0.89</v>
      </c>
      <c r="L2477" s="13" t="n">
        <f aca="false">MAX(0,D2477-K2477)</f>
        <v>0</v>
      </c>
      <c r="M2477" s="13" t="n">
        <f aca="false">MAX(0,F2477-I2477-J2477)</f>
        <v>0</v>
      </c>
      <c r="N2477" s="13" t="n">
        <f aca="false">IF(Kalender!A281="",0,J2476-H2477)</f>
        <v>0.7032278</v>
      </c>
    </row>
    <row r="2478" customFormat="false" ht="16.4" hidden="false" customHeight="false" outlineLevel="0" collapsed="false">
      <c r="A2478" s="13" t="str">
        <f aca="false">""</f>
        <v/>
      </c>
      <c r="B2478" s="13" t="n">
        <f aca="false">278</f>
        <v>278</v>
      </c>
      <c r="C2478" s="13" t="n">
        <f aca="false">IF(Szenarien!$H$17="OK",(IFERROR(SUMIF(Nutzungsprofile!$B$6:$B$11,"Schulbetrieb",Nutzungsprofile!$G$6:$G$11)*Kalender!C282/SUM(Kalender!$C$5:$C$370),0)+IFERROR(SUMIF(Nutzungsprofile!$B$6:$B$11,"Halle",Nutzungsprofile!$G$6:$G$11)*Kalender!D282/SUM(Kalender!$D$5:$D$370),0)+IFERROR(SUMIF(Nutzungsprofile!$B$6:$B$11,"Individuell",Nutzungsprofile!$G$6:$G$11)*Kalender!E282/SUM(Kalender!$E$5:$E$370),0))*Szenarien!$E$17,0)</f>
        <v>2.94</v>
      </c>
      <c r="D2478" s="13" t="n">
        <f aca="false">IF(Szenarien!$H$17="OK",(IFERROR(SUMIF(Nutzungsprofile!$B$17:$B$22,"Schulbetrieb",Nutzungsprofile!$G$17:$G$22)*Kalender!C282/SUM(Kalender!$C$5:$C$370),0)+IFERROR(SUMIF(Nutzungsprofile!$B$17:$B$22,"Halle",Nutzungsprofile!$G$17:$G$22)*Kalender!D282/SUM(Kalender!$D$5:$D$370),0)+IFERROR(SUMIF(Nutzungsprofile!$B$17:$B$22,"Individuell",Nutzungsprofile!$G$17:$G$22)*Kalender!E282/SUM(Kalender!$E$5:$E$370),0))*Szenarien!$D$17,0)</f>
        <v>4.94</v>
      </c>
      <c r="E2478" s="13" t="n">
        <f aca="false">IFERROR(MIN(C2478,Eingaben!$B$17)*Eingaben!$B$16,0)</f>
        <v>2.793</v>
      </c>
      <c r="F2478" s="13" t="n">
        <f aca="false">IFERROR(E2478*Eingaben!$B$15,0)</f>
        <v>2.5137</v>
      </c>
      <c r="G2478" s="13" t="n">
        <f aca="false">IFERROR(IF(Kalender!A282="",0,J2477*(1-Eingaben!$B$20)),0)</f>
        <v>1.709316</v>
      </c>
      <c r="H2478" s="13" t="n">
        <f aca="false">MIN(G2478,D2478)</f>
        <v>1.709316</v>
      </c>
      <c r="I2478" s="13" t="n">
        <f aca="false">IFERROR(MIN(F2478*Eingaben!$B$19,MAX(0,D2478-H2478)),0)</f>
        <v>1.75959</v>
      </c>
      <c r="J2478" s="13" t="n">
        <f aca="false">IFERROR(MIN(Eingaben!$B$18,MAX(0,F2478-I2478)),0)</f>
        <v>0.75411</v>
      </c>
      <c r="K2478" s="13" t="n">
        <f aca="false">H2478+I2478</f>
        <v>3.468906</v>
      </c>
      <c r="L2478" s="13" t="n">
        <f aca="false">MAX(0,D2478-K2478)</f>
        <v>1.471094</v>
      </c>
      <c r="M2478" s="13" t="n">
        <f aca="false">MAX(0,F2478-I2478-J2478)</f>
        <v>0</v>
      </c>
      <c r="N2478" s="13" t="n">
        <f aca="false">IF(Kalender!A282="",0,J2477-H2478)</f>
        <v>0.0348840000000001</v>
      </c>
    </row>
    <row r="2479" customFormat="false" ht="16.4" hidden="false" customHeight="false" outlineLevel="0" collapsed="false">
      <c r="A2479" s="13" t="str">
        <f aca="false">""</f>
        <v/>
      </c>
      <c r="B2479" s="13" t="n">
        <f aca="false">279</f>
        <v>279</v>
      </c>
      <c r="C2479" s="13" t="n">
        <f aca="false">IF(Szenarien!$H$17="OK",(IFERROR(SUMIF(Nutzungsprofile!$B$6:$B$11,"Schulbetrieb",Nutzungsprofile!$G$6:$G$11)*Kalender!C283/SUM(Kalender!$C$5:$C$370),0)+IFERROR(SUMIF(Nutzungsprofile!$B$6:$B$11,"Halle",Nutzungsprofile!$G$6:$G$11)*Kalender!D283/SUM(Kalender!$D$5:$D$370),0)+IFERROR(SUMIF(Nutzungsprofile!$B$6:$B$11,"Individuell",Nutzungsprofile!$G$6:$G$11)*Kalender!E283/SUM(Kalender!$E$5:$E$370),0))*Szenarien!$E$17,0)</f>
        <v>2.94</v>
      </c>
      <c r="D2479" s="13" t="n">
        <f aca="false">IF(Szenarien!$H$17="OK",(IFERROR(SUMIF(Nutzungsprofile!$B$17:$B$22,"Schulbetrieb",Nutzungsprofile!$G$17:$G$22)*Kalender!C283/SUM(Kalender!$C$5:$C$370),0)+IFERROR(SUMIF(Nutzungsprofile!$B$17:$B$22,"Halle",Nutzungsprofile!$G$17:$G$22)*Kalender!D283/SUM(Kalender!$D$5:$D$370),0)+IFERROR(SUMIF(Nutzungsprofile!$B$17:$B$22,"Individuell",Nutzungsprofile!$G$17:$G$22)*Kalender!E283/SUM(Kalender!$E$5:$E$370),0))*Szenarien!$D$17,0)</f>
        <v>4.94</v>
      </c>
      <c r="E2479" s="13" t="n">
        <f aca="false">IFERROR(MIN(C2479,Eingaben!$B$17)*Eingaben!$B$16,0)</f>
        <v>2.793</v>
      </c>
      <c r="F2479" s="13" t="n">
        <f aca="false">IFERROR(E2479*Eingaben!$B$15,0)</f>
        <v>2.5137</v>
      </c>
      <c r="G2479" s="13" t="n">
        <f aca="false">IFERROR(IF(Kalender!A283="",0,J2478*(1-Eingaben!$B$20)),0)</f>
        <v>0.7390278</v>
      </c>
      <c r="H2479" s="13" t="n">
        <f aca="false">MIN(G2479,D2479)</f>
        <v>0.7390278</v>
      </c>
      <c r="I2479" s="13" t="n">
        <f aca="false">IFERROR(MIN(F2479*Eingaben!$B$19,MAX(0,D2479-H2479)),0)</f>
        <v>1.75959</v>
      </c>
      <c r="J2479" s="13" t="n">
        <f aca="false">IFERROR(MIN(Eingaben!$B$18,MAX(0,F2479-I2479)),0)</f>
        <v>0.75411</v>
      </c>
      <c r="K2479" s="13" t="n">
        <f aca="false">H2479+I2479</f>
        <v>2.4986178</v>
      </c>
      <c r="L2479" s="13" t="n">
        <f aca="false">MAX(0,D2479-K2479)</f>
        <v>2.4413822</v>
      </c>
      <c r="M2479" s="13" t="n">
        <f aca="false">MAX(0,F2479-I2479-J2479)</f>
        <v>0</v>
      </c>
      <c r="N2479" s="13" t="n">
        <f aca="false">IF(Kalender!A283="",0,J2478-H2479)</f>
        <v>0.0150822</v>
      </c>
    </row>
    <row r="2480" customFormat="false" ht="16.4" hidden="false" customHeight="false" outlineLevel="0" collapsed="false">
      <c r="A2480" s="13" t="str">
        <f aca="false">""</f>
        <v/>
      </c>
      <c r="B2480" s="13" t="n">
        <f aca="false">280</f>
        <v>280</v>
      </c>
      <c r="C2480" s="13" t="n">
        <f aca="false">IF(Szenarien!$H$17="OK",(IFERROR(SUMIF(Nutzungsprofile!$B$6:$B$11,"Schulbetrieb",Nutzungsprofile!$G$6:$G$11)*Kalender!C284/SUM(Kalender!$C$5:$C$370),0)+IFERROR(SUMIF(Nutzungsprofile!$B$6:$B$11,"Halle",Nutzungsprofile!$G$6:$G$11)*Kalender!D284/SUM(Kalender!$D$5:$D$370),0)+IFERROR(SUMIF(Nutzungsprofile!$B$6:$B$11,"Individuell",Nutzungsprofile!$G$6:$G$11)*Kalender!E284/SUM(Kalender!$E$5:$E$370),0))*Szenarien!$E$17,0)</f>
        <v>2.94</v>
      </c>
      <c r="D2480" s="13" t="n">
        <f aca="false">IF(Szenarien!$H$17="OK",(IFERROR(SUMIF(Nutzungsprofile!$B$17:$B$22,"Schulbetrieb",Nutzungsprofile!$G$17:$G$22)*Kalender!C284/SUM(Kalender!$C$5:$C$370),0)+IFERROR(SUMIF(Nutzungsprofile!$B$17:$B$22,"Halle",Nutzungsprofile!$G$17:$G$22)*Kalender!D284/SUM(Kalender!$D$5:$D$370),0)+IFERROR(SUMIF(Nutzungsprofile!$B$17:$B$22,"Individuell",Nutzungsprofile!$G$17:$G$22)*Kalender!E284/SUM(Kalender!$E$5:$E$370),0))*Szenarien!$D$17,0)</f>
        <v>4.94</v>
      </c>
      <c r="E2480" s="13" t="n">
        <f aca="false">IFERROR(MIN(C2480,Eingaben!$B$17)*Eingaben!$B$16,0)</f>
        <v>2.793</v>
      </c>
      <c r="F2480" s="13" t="n">
        <f aca="false">IFERROR(E2480*Eingaben!$B$15,0)</f>
        <v>2.5137</v>
      </c>
      <c r="G2480" s="13" t="n">
        <f aca="false">IFERROR(IF(Kalender!A284="",0,J2479*(1-Eingaben!$B$20)),0)</f>
        <v>0.7390278</v>
      </c>
      <c r="H2480" s="13" t="n">
        <f aca="false">MIN(G2480,D2480)</f>
        <v>0.7390278</v>
      </c>
      <c r="I2480" s="13" t="n">
        <f aca="false">IFERROR(MIN(F2480*Eingaben!$B$19,MAX(0,D2480-H2480)),0)</f>
        <v>1.75959</v>
      </c>
      <c r="J2480" s="13" t="n">
        <f aca="false">IFERROR(MIN(Eingaben!$B$18,MAX(0,F2480-I2480)),0)</f>
        <v>0.75411</v>
      </c>
      <c r="K2480" s="13" t="n">
        <f aca="false">H2480+I2480</f>
        <v>2.4986178</v>
      </c>
      <c r="L2480" s="13" t="n">
        <f aca="false">MAX(0,D2480-K2480)</f>
        <v>2.4413822</v>
      </c>
      <c r="M2480" s="13" t="n">
        <f aca="false">MAX(0,F2480-I2480-J2480)</f>
        <v>0</v>
      </c>
      <c r="N2480" s="13" t="n">
        <f aca="false">IF(Kalender!A284="",0,J2479-H2480)</f>
        <v>0.0150822</v>
      </c>
    </row>
    <row r="2481" customFormat="false" ht="16.4" hidden="false" customHeight="false" outlineLevel="0" collapsed="false">
      <c r="A2481" s="13" t="str">
        <f aca="false">""</f>
        <v/>
      </c>
      <c r="B2481" s="13" t="n">
        <f aca="false">281</f>
        <v>281</v>
      </c>
      <c r="C2481" s="13" t="n">
        <f aca="false">IF(Szenarien!$H$17="OK",(IFERROR(SUMIF(Nutzungsprofile!$B$6:$B$11,"Schulbetrieb",Nutzungsprofile!$G$6:$G$11)*Kalender!C285/SUM(Kalender!$C$5:$C$370),0)+IFERROR(SUMIF(Nutzungsprofile!$B$6:$B$11,"Halle",Nutzungsprofile!$G$6:$G$11)*Kalender!D285/SUM(Kalender!$D$5:$D$370),0)+IFERROR(SUMIF(Nutzungsprofile!$B$6:$B$11,"Individuell",Nutzungsprofile!$G$6:$G$11)*Kalender!E285/SUM(Kalender!$E$5:$E$370),0))*Szenarien!$E$17,0)</f>
        <v>0.9</v>
      </c>
      <c r="D2481" s="13" t="n">
        <f aca="false">IF(Szenarien!$H$17="OK",(IFERROR(SUMIF(Nutzungsprofile!$B$17:$B$22,"Schulbetrieb",Nutzungsprofile!$G$17:$G$22)*Kalender!C285/SUM(Kalender!$C$5:$C$370),0)+IFERROR(SUMIF(Nutzungsprofile!$B$17:$B$22,"Halle",Nutzungsprofile!$G$17:$G$22)*Kalender!D285/SUM(Kalender!$D$5:$D$370),0)+IFERROR(SUMIF(Nutzungsprofile!$B$17:$B$22,"Individuell",Nutzungsprofile!$G$17:$G$22)*Kalender!E285/SUM(Kalender!$E$5:$E$370),0))*Szenarien!$D$17,0)</f>
        <v>4.05</v>
      </c>
      <c r="E2481" s="13" t="n">
        <f aca="false">IFERROR(MIN(C2481,Eingaben!$B$17)*Eingaben!$B$16,0)</f>
        <v>0.855</v>
      </c>
      <c r="F2481" s="13" t="n">
        <f aca="false">IFERROR(E2481*Eingaben!$B$15,0)</f>
        <v>0.7695</v>
      </c>
      <c r="G2481" s="13" t="n">
        <f aca="false">IFERROR(IF(Kalender!A285="",0,J2480*(1-Eingaben!$B$20)),0)</f>
        <v>0.7390278</v>
      </c>
      <c r="H2481" s="13" t="n">
        <f aca="false">MIN(G2481,D2481)</f>
        <v>0.7390278</v>
      </c>
      <c r="I2481" s="13" t="n">
        <f aca="false">IFERROR(MIN(F2481*Eingaben!$B$19,MAX(0,D2481-H2481)),0)</f>
        <v>0.53865</v>
      </c>
      <c r="J2481" s="13" t="n">
        <f aca="false">IFERROR(MIN(Eingaben!$B$18,MAX(0,F2481-I2481)),0)</f>
        <v>0.23085</v>
      </c>
      <c r="K2481" s="13" t="n">
        <f aca="false">H2481+I2481</f>
        <v>1.2776778</v>
      </c>
      <c r="L2481" s="13" t="n">
        <f aca="false">MAX(0,D2481-K2481)</f>
        <v>2.7723222</v>
      </c>
      <c r="M2481" s="13" t="n">
        <f aca="false">MAX(0,F2481-I2481-J2481)</f>
        <v>0</v>
      </c>
      <c r="N2481" s="13" t="n">
        <f aca="false">IF(Kalender!A285="",0,J2480-H2481)</f>
        <v>0.0150822</v>
      </c>
    </row>
    <row r="2482" customFormat="false" ht="16.4" hidden="false" customHeight="false" outlineLevel="0" collapsed="false">
      <c r="A2482" s="13" t="str">
        <f aca="false">""</f>
        <v/>
      </c>
      <c r="B2482" s="13" t="n">
        <f aca="false">282</f>
        <v>282</v>
      </c>
      <c r="C2482" s="13" t="n">
        <f aca="false">IF(Szenarien!$H$17="OK",(IFERROR(SUMIF(Nutzungsprofile!$B$6:$B$11,"Schulbetrieb",Nutzungsprofile!$G$6:$G$11)*Kalender!C286/SUM(Kalender!$C$5:$C$370),0)+IFERROR(SUMIF(Nutzungsprofile!$B$6:$B$11,"Halle",Nutzungsprofile!$G$6:$G$11)*Kalender!D286/SUM(Kalender!$D$5:$D$370),0)+IFERROR(SUMIF(Nutzungsprofile!$B$6:$B$11,"Individuell",Nutzungsprofile!$G$6:$G$11)*Kalender!E286/SUM(Kalender!$E$5:$E$370),0))*Szenarien!$E$17,0)</f>
        <v>0.9</v>
      </c>
      <c r="D2482" s="13" t="n">
        <f aca="false">IF(Szenarien!$H$17="OK",(IFERROR(SUMIF(Nutzungsprofile!$B$17:$B$22,"Schulbetrieb",Nutzungsprofile!$G$17:$G$22)*Kalender!C286/SUM(Kalender!$C$5:$C$370),0)+IFERROR(SUMIF(Nutzungsprofile!$B$17:$B$22,"Halle",Nutzungsprofile!$G$17:$G$22)*Kalender!D286/SUM(Kalender!$D$5:$D$370),0)+IFERROR(SUMIF(Nutzungsprofile!$B$17:$B$22,"Individuell",Nutzungsprofile!$G$17:$G$22)*Kalender!E286/SUM(Kalender!$E$5:$E$370),0))*Szenarien!$D$17,0)</f>
        <v>4.05</v>
      </c>
      <c r="E2482" s="13" t="n">
        <f aca="false">IFERROR(MIN(C2482,Eingaben!$B$17)*Eingaben!$B$16,0)</f>
        <v>0.855</v>
      </c>
      <c r="F2482" s="13" t="n">
        <f aca="false">IFERROR(E2482*Eingaben!$B$15,0)</f>
        <v>0.7695</v>
      </c>
      <c r="G2482" s="13" t="n">
        <f aca="false">IFERROR(IF(Kalender!A286="",0,J2481*(1-Eingaben!$B$20)),0)</f>
        <v>0.226233</v>
      </c>
      <c r="H2482" s="13" t="n">
        <f aca="false">MIN(G2482,D2482)</f>
        <v>0.226233</v>
      </c>
      <c r="I2482" s="13" t="n">
        <f aca="false">IFERROR(MIN(F2482*Eingaben!$B$19,MAX(0,D2482-H2482)),0)</f>
        <v>0.53865</v>
      </c>
      <c r="J2482" s="13" t="n">
        <f aca="false">IFERROR(MIN(Eingaben!$B$18,MAX(0,F2482-I2482)),0)</f>
        <v>0.23085</v>
      </c>
      <c r="K2482" s="13" t="n">
        <f aca="false">H2482+I2482</f>
        <v>0.764883</v>
      </c>
      <c r="L2482" s="13" t="n">
        <f aca="false">MAX(0,D2482-K2482)</f>
        <v>3.285117</v>
      </c>
      <c r="M2482" s="13" t="n">
        <f aca="false">MAX(0,F2482-I2482-J2482)</f>
        <v>0</v>
      </c>
      <c r="N2482" s="13" t="n">
        <f aca="false">IF(Kalender!A286="",0,J2481-H2482)</f>
        <v>0.00461700000000001</v>
      </c>
    </row>
    <row r="2483" customFormat="false" ht="16.4" hidden="false" customHeight="false" outlineLevel="0" collapsed="false">
      <c r="A2483" s="13" t="str">
        <f aca="false">""</f>
        <v/>
      </c>
      <c r="B2483" s="13" t="n">
        <f aca="false">283</f>
        <v>283</v>
      </c>
      <c r="C2483" s="13" t="n">
        <f aca="false">IF(Szenarien!$H$17="OK",(IFERROR(SUMIF(Nutzungsprofile!$B$6:$B$11,"Schulbetrieb",Nutzungsprofile!$G$6:$G$11)*Kalender!C287/SUM(Kalender!$C$5:$C$370),0)+IFERROR(SUMIF(Nutzungsprofile!$B$6:$B$11,"Halle",Nutzungsprofile!$G$6:$G$11)*Kalender!D287/SUM(Kalender!$D$5:$D$370),0)+IFERROR(SUMIF(Nutzungsprofile!$B$6:$B$11,"Individuell",Nutzungsprofile!$G$6:$G$11)*Kalender!E287/SUM(Kalender!$E$5:$E$370),0))*Szenarien!$E$17,0)</f>
        <v>0</v>
      </c>
      <c r="D2483" s="13" t="n">
        <f aca="false">IF(Szenarien!$H$17="OK",(IFERROR(SUMIF(Nutzungsprofile!$B$17:$B$22,"Schulbetrieb",Nutzungsprofile!$G$17:$G$22)*Kalender!C287/SUM(Kalender!$C$5:$C$370),0)+IFERROR(SUMIF(Nutzungsprofile!$B$17:$B$22,"Halle",Nutzungsprofile!$G$17:$G$22)*Kalender!D287/SUM(Kalender!$D$5:$D$370),0)+IFERROR(SUMIF(Nutzungsprofile!$B$17:$B$22,"Individuell",Nutzungsprofile!$G$17:$G$22)*Kalender!E287/SUM(Kalender!$E$5:$E$370),0))*Szenarien!$D$17,0)</f>
        <v>0</v>
      </c>
      <c r="E2483" s="13" t="n">
        <f aca="false">IFERROR(MIN(C2483,Eingaben!$B$17)*Eingaben!$B$16,0)</f>
        <v>0</v>
      </c>
      <c r="F2483" s="13" t="n">
        <f aca="false">IFERROR(E2483*Eingaben!$B$15,0)</f>
        <v>0</v>
      </c>
      <c r="G2483" s="13" t="n">
        <f aca="false">IFERROR(IF(Kalender!A287="",0,J2482*(1-Eingaben!$B$20)),0)</f>
        <v>0.226233</v>
      </c>
      <c r="H2483" s="13" t="n">
        <f aca="false">MIN(G2483,D2483)</f>
        <v>0</v>
      </c>
      <c r="I2483" s="13" t="n">
        <f aca="false">IFERROR(MIN(F2483*Eingaben!$B$19,MAX(0,D2483-H2483)),0)</f>
        <v>0</v>
      </c>
      <c r="J2483" s="13" t="n">
        <f aca="false">IFERROR(MIN(Eingaben!$B$18,MAX(0,F2483-I2483)),0)</f>
        <v>0</v>
      </c>
      <c r="K2483" s="13" t="n">
        <f aca="false">H2483+I2483</f>
        <v>0</v>
      </c>
      <c r="L2483" s="13" t="n">
        <f aca="false">MAX(0,D2483-K2483)</f>
        <v>0</v>
      </c>
      <c r="M2483" s="13" t="n">
        <f aca="false">MAX(0,F2483-I2483-J2483)</f>
        <v>0</v>
      </c>
      <c r="N2483" s="13" t="n">
        <f aca="false">IF(Kalender!A287="",0,J2482-H2483)</f>
        <v>0.23085</v>
      </c>
    </row>
    <row r="2484" customFormat="false" ht="16.4" hidden="false" customHeight="false" outlineLevel="0" collapsed="false">
      <c r="A2484" s="13" t="str">
        <f aca="false">""</f>
        <v/>
      </c>
      <c r="B2484" s="13" t="n">
        <f aca="false">284</f>
        <v>284</v>
      </c>
      <c r="C2484" s="13" t="n">
        <f aca="false">IF(Szenarien!$H$17="OK",(IFERROR(SUMIF(Nutzungsprofile!$B$6:$B$11,"Schulbetrieb",Nutzungsprofile!$G$6:$G$11)*Kalender!C288/SUM(Kalender!$C$5:$C$370),0)+IFERROR(SUMIF(Nutzungsprofile!$B$6:$B$11,"Halle",Nutzungsprofile!$G$6:$G$11)*Kalender!D288/SUM(Kalender!$D$5:$D$370),0)+IFERROR(SUMIF(Nutzungsprofile!$B$6:$B$11,"Individuell",Nutzungsprofile!$G$6:$G$11)*Kalender!E288/SUM(Kalender!$E$5:$E$370),0))*Szenarien!$E$17,0)</f>
        <v>0</v>
      </c>
      <c r="D2484" s="13" t="n">
        <f aca="false">IF(Szenarien!$H$17="OK",(IFERROR(SUMIF(Nutzungsprofile!$B$17:$B$22,"Schulbetrieb",Nutzungsprofile!$G$17:$G$22)*Kalender!C288/SUM(Kalender!$C$5:$C$370),0)+IFERROR(SUMIF(Nutzungsprofile!$B$17:$B$22,"Halle",Nutzungsprofile!$G$17:$G$22)*Kalender!D288/SUM(Kalender!$D$5:$D$370),0)+IFERROR(SUMIF(Nutzungsprofile!$B$17:$B$22,"Individuell",Nutzungsprofile!$G$17:$G$22)*Kalender!E288/SUM(Kalender!$E$5:$E$370),0))*Szenarien!$D$17,0)</f>
        <v>0</v>
      </c>
      <c r="E2484" s="13" t="n">
        <f aca="false">IFERROR(MIN(C2484,Eingaben!$B$17)*Eingaben!$B$16,0)</f>
        <v>0</v>
      </c>
      <c r="F2484" s="13" t="n">
        <f aca="false">IFERROR(E2484*Eingaben!$B$15,0)</f>
        <v>0</v>
      </c>
      <c r="G2484" s="13" t="n">
        <f aca="false">IFERROR(IF(Kalender!A288="",0,J2483*(1-Eingaben!$B$20)),0)</f>
        <v>0</v>
      </c>
      <c r="H2484" s="13" t="n">
        <f aca="false">MIN(G2484,D2484)</f>
        <v>0</v>
      </c>
      <c r="I2484" s="13" t="n">
        <f aca="false">IFERROR(MIN(F2484*Eingaben!$B$19,MAX(0,D2484-H2484)),0)</f>
        <v>0</v>
      </c>
      <c r="J2484" s="13" t="n">
        <f aca="false">IFERROR(MIN(Eingaben!$B$18,MAX(0,F2484-I2484)),0)</f>
        <v>0</v>
      </c>
      <c r="K2484" s="13" t="n">
        <f aca="false">H2484+I2484</f>
        <v>0</v>
      </c>
      <c r="L2484" s="13" t="n">
        <f aca="false">MAX(0,D2484-K2484)</f>
        <v>0</v>
      </c>
      <c r="M2484" s="13" t="n">
        <f aca="false">MAX(0,F2484-I2484-J2484)</f>
        <v>0</v>
      </c>
      <c r="N2484" s="13" t="n">
        <f aca="false">IF(Kalender!A288="",0,J2483-H2484)</f>
        <v>0</v>
      </c>
    </row>
    <row r="2485" customFormat="false" ht="16.4" hidden="false" customHeight="false" outlineLevel="0" collapsed="false">
      <c r="A2485" s="13" t="str">
        <f aca="false">""</f>
        <v/>
      </c>
      <c r="B2485" s="13" t="n">
        <f aca="false">285</f>
        <v>285</v>
      </c>
      <c r="C2485" s="13" t="n">
        <f aca="false">IF(Szenarien!$H$17="OK",(IFERROR(SUMIF(Nutzungsprofile!$B$6:$B$11,"Schulbetrieb",Nutzungsprofile!$G$6:$G$11)*Kalender!C289/SUM(Kalender!$C$5:$C$370),0)+IFERROR(SUMIF(Nutzungsprofile!$B$6:$B$11,"Halle",Nutzungsprofile!$G$6:$G$11)*Kalender!D289/SUM(Kalender!$D$5:$D$370),0)+IFERROR(SUMIF(Nutzungsprofile!$B$6:$B$11,"Individuell",Nutzungsprofile!$G$6:$G$11)*Kalender!E289/SUM(Kalender!$E$5:$E$370),0))*Szenarien!$E$17,0)</f>
        <v>0.9</v>
      </c>
      <c r="D2485" s="13" t="n">
        <f aca="false">IF(Szenarien!$H$17="OK",(IFERROR(SUMIF(Nutzungsprofile!$B$17:$B$22,"Schulbetrieb",Nutzungsprofile!$G$17:$G$22)*Kalender!C289/SUM(Kalender!$C$5:$C$370),0)+IFERROR(SUMIF(Nutzungsprofile!$B$17:$B$22,"Halle",Nutzungsprofile!$G$17:$G$22)*Kalender!D289/SUM(Kalender!$D$5:$D$370),0)+IFERROR(SUMIF(Nutzungsprofile!$B$17:$B$22,"Individuell",Nutzungsprofile!$G$17:$G$22)*Kalender!E289/SUM(Kalender!$E$5:$E$370),0))*Szenarien!$D$17,0)</f>
        <v>4.05</v>
      </c>
      <c r="E2485" s="13" t="n">
        <f aca="false">IFERROR(MIN(C2485,Eingaben!$B$17)*Eingaben!$B$16,0)</f>
        <v>0.855</v>
      </c>
      <c r="F2485" s="13" t="n">
        <f aca="false">IFERROR(E2485*Eingaben!$B$15,0)</f>
        <v>0.7695</v>
      </c>
      <c r="G2485" s="13" t="n">
        <f aca="false">IFERROR(IF(Kalender!A289="",0,J2484*(1-Eingaben!$B$20)),0)</f>
        <v>0</v>
      </c>
      <c r="H2485" s="13" t="n">
        <f aca="false">MIN(G2485,D2485)</f>
        <v>0</v>
      </c>
      <c r="I2485" s="13" t="n">
        <f aca="false">IFERROR(MIN(F2485*Eingaben!$B$19,MAX(0,D2485-H2485)),0)</f>
        <v>0.53865</v>
      </c>
      <c r="J2485" s="13" t="n">
        <f aca="false">IFERROR(MIN(Eingaben!$B$18,MAX(0,F2485-I2485)),0)</f>
        <v>0.23085</v>
      </c>
      <c r="K2485" s="13" t="n">
        <f aca="false">H2485+I2485</f>
        <v>0.53865</v>
      </c>
      <c r="L2485" s="13" t="n">
        <f aca="false">MAX(0,D2485-K2485)</f>
        <v>3.51135</v>
      </c>
      <c r="M2485" s="13" t="n">
        <f aca="false">MAX(0,F2485-I2485-J2485)</f>
        <v>0</v>
      </c>
      <c r="N2485" s="13" t="n">
        <f aca="false">IF(Kalender!A289="",0,J2484-H2485)</f>
        <v>0</v>
      </c>
    </row>
    <row r="2486" customFormat="false" ht="16.4" hidden="false" customHeight="false" outlineLevel="0" collapsed="false">
      <c r="A2486" s="13" t="str">
        <f aca="false">""</f>
        <v/>
      </c>
      <c r="B2486" s="13" t="n">
        <f aca="false">286</f>
        <v>286</v>
      </c>
      <c r="C2486" s="13" t="n">
        <f aca="false">IF(Szenarien!$H$17="OK",(IFERROR(SUMIF(Nutzungsprofile!$B$6:$B$11,"Schulbetrieb",Nutzungsprofile!$G$6:$G$11)*Kalender!C290/SUM(Kalender!$C$5:$C$370),0)+IFERROR(SUMIF(Nutzungsprofile!$B$6:$B$11,"Halle",Nutzungsprofile!$G$6:$G$11)*Kalender!D290/SUM(Kalender!$D$5:$D$370),0)+IFERROR(SUMIF(Nutzungsprofile!$B$6:$B$11,"Individuell",Nutzungsprofile!$G$6:$G$11)*Kalender!E290/SUM(Kalender!$E$5:$E$370),0))*Szenarien!$E$17,0)</f>
        <v>0.9</v>
      </c>
      <c r="D2486" s="13" t="n">
        <f aca="false">IF(Szenarien!$H$17="OK",(IFERROR(SUMIF(Nutzungsprofile!$B$17:$B$22,"Schulbetrieb",Nutzungsprofile!$G$17:$G$22)*Kalender!C290/SUM(Kalender!$C$5:$C$370),0)+IFERROR(SUMIF(Nutzungsprofile!$B$17:$B$22,"Halle",Nutzungsprofile!$G$17:$G$22)*Kalender!D290/SUM(Kalender!$D$5:$D$370),0)+IFERROR(SUMIF(Nutzungsprofile!$B$17:$B$22,"Individuell",Nutzungsprofile!$G$17:$G$22)*Kalender!E290/SUM(Kalender!$E$5:$E$370),0))*Szenarien!$D$17,0)</f>
        <v>4.05</v>
      </c>
      <c r="E2486" s="13" t="n">
        <f aca="false">IFERROR(MIN(C2486,Eingaben!$B$17)*Eingaben!$B$16,0)</f>
        <v>0.855</v>
      </c>
      <c r="F2486" s="13" t="n">
        <f aca="false">IFERROR(E2486*Eingaben!$B$15,0)</f>
        <v>0.7695</v>
      </c>
      <c r="G2486" s="13" t="n">
        <f aca="false">IFERROR(IF(Kalender!A290="",0,J2485*(1-Eingaben!$B$20)),0)</f>
        <v>0.226233</v>
      </c>
      <c r="H2486" s="13" t="n">
        <f aca="false">MIN(G2486,D2486)</f>
        <v>0.226233</v>
      </c>
      <c r="I2486" s="13" t="n">
        <f aca="false">IFERROR(MIN(F2486*Eingaben!$B$19,MAX(0,D2486-H2486)),0)</f>
        <v>0.53865</v>
      </c>
      <c r="J2486" s="13" t="n">
        <f aca="false">IFERROR(MIN(Eingaben!$B$18,MAX(0,F2486-I2486)),0)</f>
        <v>0.23085</v>
      </c>
      <c r="K2486" s="13" t="n">
        <f aca="false">H2486+I2486</f>
        <v>0.764883</v>
      </c>
      <c r="L2486" s="13" t="n">
        <f aca="false">MAX(0,D2486-K2486)</f>
        <v>3.285117</v>
      </c>
      <c r="M2486" s="13" t="n">
        <f aca="false">MAX(0,F2486-I2486-J2486)</f>
        <v>0</v>
      </c>
      <c r="N2486" s="13" t="n">
        <f aca="false">IF(Kalender!A290="",0,J2485-H2486)</f>
        <v>0.00461700000000001</v>
      </c>
    </row>
    <row r="2487" customFormat="false" ht="16.4" hidden="false" customHeight="false" outlineLevel="0" collapsed="false">
      <c r="A2487" s="13" t="str">
        <f aca="false">""</f>
        <v/>
      </c>
      <c r="B2487" s="13" t="n">
        <f aca="false">287</f>
        <v>287</v>
      </c>
      <c r="C2487" s="13" t="n">
        <f aca="false">IF(Szenarien!$H$17="OK",(IFERROR(SUMIF(Nutzungsprofile!$B$6:$B$11,"Schulbetrieb",Nutzungsprofile!$G$6:$G$11)*Kalender!C291/SUM(Kalender!$C$5:$C$370),0)+IFERROR(SUMIF(Nutzungsprofile!$B$6:$B$11,"Halle",Nutzungsprofile!$G$6:$G$11)*Kalender!D291/SUM(Kalender!$D$5:$D$370),0)+IFERROR(SUMIF(Nutzungsprofile!$B$6:$B$11,"Individuell",Nutzungsprofile!$G$6:$G$11)*Kalender!E291/SUM(Kalender!$E$5:$E$370),0))*Szenarien!$E$17,0)</f>
        <v>0.9</v>
      </c>
      <c r="D2487" s="13" t="n">
        <f aca="false">IF(Szenarien!$H$17="OK",(IFERROR(SUMIF(Nutzungsprofile!$B$17:$B$22,"Schulbetrieb",Nutzungsprofile!$G$17:$G$22)*Kalender!C291/SUM(Kalender!$C$5:$C$370),0)+IFERROR(SUMIF(Nutzungsprofile!$B$17:$B$22,"Halle",Nutzungsprofile!$G$17:$G$22)*Kalender!D291/SUM(Kalender!$D$5:$D$370),0)+IFERROR(SUMIF(Nutzungsprofile!$B$17:$B$22,"Individuell",Nutzungsprofile!$G$17:$G$22)*Kalender!E291/SUM(Kalender!$E$5:$E$370),0))*Szenarien!$D$17,0)</f>
        <v>4.05</v>
      </c>
      <c r="E2487" s="13" t="n">
        <f aca="false">IFERROR(MIN(C2487,Eingaben!$B$17)*Eingaben!$B$16,0)</f>
        <v>0.855</v>
      </c>
      <c r="F2487" s="13" t="n">
        <f aca="false">IFERROR(E2487*Eingaben!$B$15,0)</f>
        <v>0.7695</v>
      </c>
      <c r="G2487" s="13" t="n">
        <f aca="false">IFERROR(IF(Kalender!A291="",0,J2486*(1-Eingaben!$B$20)),0)</f>
        <v>0.226233</v>
      </c>
      <c r="H2487" s="13" t="n">
        <f aca="false">MIN(G2487,D2487)</f>
        <v>0.226233</v>
      </c>
      <c r="I2487" s="13" t="n">
        <f aca="false">IFERROR(MIN(F2487*Eingaben!$B$19,MAX(0,D2487-H2487)),0)</f>
        <v>0.53865</v>
      </c>
      <c r="J2487" s="13" t="n">
        <f aca="false">IFERROR(MIN(Eingaben!$B$18,MAX(0,F2487-I2487)),0)</f>
        <v>0.23085</v>
      </c>
      <c r="K2487" s="13" t="n">
        <f aca="false">H2487+I2487</f>
        <v>0.764883</v>
      </c>
      <c r="L2487" s="13" t="n">
        <f aca="false">MAX(0,D2487-K2487)</f>
        <v>3.285117</v>
      </c>
      <c r="M2487" s="13" t="n">
        <f aca="false">MAX(0,F2487-I2487-J2487)</f>
        <v>0</v>
      </c>
      <c r="N2487" s="13" t="n">
        <f aca="false">IF(Kalender!A291="",0,J2486-H2487)</f>
        <v>0.00461700000000001</v>
      </c>
    </row>
    <row r="2488" customFormat="false" ht="16.4" hidden="false" customHeight="false" outlineLevel="0" collapsed="false">
      <c r="A2488" s="13" t="str">
        <f aca="false">""</f>
        <v/>
      </c>
      <c r="B2488" s="13" t="n">
        <f aca="false">288</f>
        <v>288</v>
      </c>
      <c r="C2488" s="13" t="n">
        <f aca="false">IF(Szenarien!$H$17="OK",(IFERROR(SUMIF(Nutzungsprofile!$B$6:$B$11,"Schulbetrieb",Nutzungsprofile!$G$6:$G$11)*Kalender!C292/SUM(Kalender!$C$5:$C$370),0)+IFERROR(SUMIF(Nutzungsprofile!$B$6:$B$11,"Halle",Nutzungsprofile!$G$6:$G$11)*Kalender!D292/SUM(Kalender!$D$5:$D$370),0)+IFERROR(SUMIF(Nutzungsprofile!$B$6:$B$11,"Individuell",Nutzungsprofile!$G$6:$G$11)*Kalender!E292/SUM(Kalender!$E$5:$E$370),0))*Szenarien!$E$17,0)</f>
        <v>0.9</v>
      </c>
      <c r="D2488" s="13" t="n">
        <f aca="false">IF(Szenarien!$H$17="OK",(IFERROR(SUMIF(Nutzungsprofile!$B$17:$B$22,"Schulbetrieb",Nutzungsprofile!$G$17:$G$22)*Kalender!C292/SUM(Kalender!$C$5:$C$370),0)+IFERROR(SUMIF(Nutzungsprofile!$B$17:$B$22,"Halle",Nutzungsprofile!$G$17:$G$22)*Kalender!D292/SUM(Kalender!$D$5:$D$370),0)+IFERROR(SUMIF(Nutzungsprofile!$B$17:$B$22,"Individuell",Nutzungsprofile!$G$17:$G$22)*Kalender!E292/SUM(Kalender!$E$5:$E$370),0))*Szenarien!$D$17,0)</f>
        <v>4.05</v>
      </c>
      <c r="E2488" s="13" t="n">
        <f aca="false">IFERROR(MIN(C2488,Eingaben!$B$17)*Eingaben!$B$16,0)</f>
        <v>0.855</v>
      </c>
      <c r="F2488" s="13" t="n">
        <f aca="false">IFERROR(E2488*Eingaben!$B$15,0)</f>
        <v>0.7695</v>
      </c>
      <c r="G2488" s="13" t="n">
        <f aca="false">IFERROR(IF(Kalender!A292="",0,J2487*(1-Eingaben!$B$20)),0)</f>
        <v>0.226233</v>
      </c>
      <c r="H2488" s="13" t="n">
        <f aca="false">MIN(G2488,D2488)</f>
        <v>0.226233</v>
      </c>
      <c r="I2488" s="13" t="n">
        <f aca="false">IFERROR(MIN(F2488*Eingaben!$B$19,MAX(0,D2488-H2488)),0)</f>
        <v>0.53865</v>
      </c>
      <c r="J2488" s="13" t="n">
        <f aca="false">IFERROR(MIN(Eingaben!$B$18,MAX(0,F2488-I2488)),0)</f>
        <v>0.23085</v>
      </c>
      <c r="K2488" s="13" t="n">
        <f aca="false">H2488+I2488</f>
        <v>0.764883</v>
      </c>
      <c r="L2488" s="13" t="n">
        <f aca="false">MAX(0,D2488-K2488)</f>
        <v>3.285117</v>
      </c>
      <c r="M2488" s="13" t="n">
        <f aca="false">MAX(0,F2488-I2488-J2488)</f>
        <v>0</v>
      </c>
      <c r="N2488" s="13" t="n">
        <f aca="false">IF(Kalender!A292="",0,J2487-H2488)</f>
        <v>0.00461700000000001</v>
      </c>
    </row>
    <row r="2489" customFormat="false" ht="16.4" hidden="false" customHeight="false" outlineLevel="0" collapsed="false">
      <c r="A2489" s="13" t="str">
        <f aca="false">""</f>
        <v/>
      </c>
      <c r="B2489" s="13" t="n">
        <f aca="false">289</f>
        <v>289</v>
      </c>
      <c r="C2489" s="13" t="n">
        <f aca="false">IF(Szenarien!$H$17="OK",(IFERROR(SUMIF(Nutzungsprofile!$B$6:$B$11,"Schulbetrieb",Nutzungsprofile!$G$6:$G$11)*Kalender!C293/SUM(Kalender!$C$5:$C$370),0)+IFERROR(SUMIF(Nutzungsprofile!$B$6:$B$11,"Halle",Nutzungsprofile!$G$6:$G$11)*Kalender!D293/SUM(Kalender!$D$5:$D$370),0)+IFERROR(SUMIF(Nutzungsprofile!$B$6:$B$11,"Individuell",Nutzungsprofile!$G$6:$G$11)*Kalender!E293/SUM(Kalender!$E$5:$E$370),0))*Szenarien!$E$17,0)</f>
        <v>0.9</v>
      </c>
      <c r="D2489" s="13" t="n">
        <f aca="false">IF(Szenarien!$H$17="OK",(IFERROR(SUMIF(Nutzungsprofile!$B$17:$B$22,"Schulbetrieb",Nutzungsprofile!$G$17:$G$22)*Kalender!C293/SUM(Kalender!$C$5:$C$370),0)+IFERROR(SUMIF(Nutzungsprofile!$B$17:$B$22,"Halle",Nutzungsprofile!$G$17:$G$22)*Kalender!D293/SUM(Kalender!$D$5:$D$370),0)+IFERROR(SUMIF(Nutzungsprofile!$B$17:$B$22,"Individuell",Nutzungsprofile!$G$17:$G$22)*Kalender!E293/SUM(Kalender!$E$5:$E$370),0))*Szenarien!$D$17,0)</f>
        <v>4.05</v>
      </c>
      <c r="E2489" s="13" t="n">
        <f aca="false">IFERROR(MIN(C2489,Eingaben!$B$17)*Eingaben!$B$16,0)</f>
        <v>0.855</v>
      </c>
      <c r="F2489" s="13" t="n">
        <f aca="false">IFERROR(E2489*Eingaben!$B$15,0)</f>
        <v>0.7695</v>
      </c>
      <c r="G2489" s="13" t="n">
        <f aca="false">IFERROR(IF(Kalender!A293="",0,J2488*(1-Eingaben!$B$20)),0)</f>
        <v>0.226233</v>
      </c>
      <c r="H2489" s="13" t="n">
        <f aca="false">MIN(G2489,D2489)</f>
        <v>0.226233</v>
      </c>
      <c r="I2489" s="13" t="n">
        <f aca="false">IFERROR(MIN(F2489*Eingaben!$B$19,MAX(0,D2489-H2489)),0)</f>
        <v>0.53865</v>
      </c>
      <c r="J2489" s="13" t="n">
        <f aca="false">IFERROR(MIN(Eingaben!$B$18,MAX(0,F2489-I2489)),0)</f>
        <v>0.23085</v>
      </c>
      <c r="K2489" s="13" t="n">
        <f aca="false">H2489+I2489</f>
        <v>0.764883</v>
      </c>
      <c r="L2489" s="13" t="n">
        <f aca="false">MAX(0,D2489-K2489)</f>
        <v>3.285117</v>
      </c>
      <c r="M2489" s="13" t="n">
        <f aca="false">MAX(0,F2489-I2489-J2489)</f>
        <v>0</v>
      </c>
      <c r="N2489" s="13" t="n">
        <f aca="false">IF(Kalender!A293="",0,J2488-H2489)</f>
        <v>0.00461700000000001</v>
      </c>
    </row>
    <row r="2490" customFormat="false" ht="16.4" hidden="false" customHeight="false" outlineLevel="0" collapsed="false">
      <c r="A2490" s="13" t="str">
        <f aca="false">""</f>
        <v/>
      </c>
      <c r="B2490" s="13" t="n">
        <f aca="false">290</f>
        <v>290</v>
      </c>
      <c r="C2490" s="13" t="n">
        <f aca="false">IF(Szenarien!$H$17="OK",(IFERROR(SUMIF(Nutzungsprofile!$B$6:$B$11,"Schulbetrieb",Nutzungsprofile!$G$6:$G$11)*Kalender!C294/SUM(Kalender!$C$5:$C$370),0)+IFERROR(SUMIF(Nutzungsprofile!$B$6:$B$11,"Halle",Nutzungsprofile!$G$6:$G$11)*Kalender!D294/SUM(Kalender!$D$5:$D$370),0)+IFERROR(SUMIF(Nutzungsprofile!$B$6:$B$11,"Individuell",Nutzungsprofile!$G$6:$G$11)*Kalender!E294/SUM(Kalender!$E$5:$E$370),0))*Szenarien!$E$17,0)</f>
        <v>0</v>
      </c>
      <c r="D2490" s="13" t="n">
        <f aca="false">IF(Szenarien!$H$17="OK",(IFERROR(SUMIF(Nutzungsprofile!$B$17:$B$22,"Schulbetrieb",Nutzungsprofile!$G$17:$G$22)*Kalender!C294/SUM(Kalender!$C$5:$C$370),0)+IFERROR(SUMIF(Nutzungsprofile!$B$17:$B$22,"Halle",Nutzungsprofile!$G$17:$G$22)*Kalender!D294/SUM(Kalender!$D$5:$D$370),0)+IFERROR(SUMIF(Nutzungsprofile!$B$17:$B$22,"Individuell",Nutzungsprofile!$G$17:$G$22)*Kalender!E294/SUM(Kalender!$E$5:$E$370),0))*Szenarien!$D$17,0)</f>
        <v>0</v>
      </c>
      <c r="E2490" s="13" t="n">
        <f aca="false">IFERROR(MIN(C2490,Eingaben!$B$17)*Eingaben!$B$16,0)</f>
        <v>0</v>
      </c>
      <c r="F2490" s="13" t="n">
        <f aca="false">IFERROR(E2490*Eingaben!$B$15,0)</f>
        <v>0</v>
      </c>
      <c r="G2490" s="13" t="n">
        <f aca="false">IFERROR(IF(Kalender!A294="",0,J2489*(1-Eingaben!$B$20)),0)</f>
        <v>0.226233</v>
      </c>
      <c r="H2490" s="13" t="n">
        <f aca="false">MIN(G2490,D2490)</f>
        <v>0</v>
      </c>
      <c r="I2490" s="13" t="n">
        <f aca="false">IFERROR(MIN(F2490*Eingaben!$B$19,MAX(0,D2490-H2490)),0)</f>
        <v>0</v>
      </c>
      <c r="J2490" s="13" t="n">
        <f aca="false">IFERROR(MIN(Eingaben!$B$18,MAX(0,F2490-I2490)),0)</f>
        <v>0</v>
      </c>
      <c r="K2490" s="13" t="n">
        <f aca="false">H2490+I2490</f>
        <v>0</v>
      </c>
      <c r="L2490" s="13" t="n">
        <f aca="false">MAX(0,D2490-K2490)</f>
        <v>0</v>
      </c>
      <c r="M2490" s="13" t="n">
        <f aca="false">MAX(0,F2490-I2490-J2490)</f>
        <v>0</v>
      </c>
      <c r="N2490" s="13" t="n">
        <f aca="false">IF(Kalender!A294="",0,J2489-H2490)</f>
        <v>0.23085</v>
      </c>
    </row>
    <row r="2491" customFormat="false" ht="16.4" hidden="false" customHeight="false" outlineLevel="0" collapsed="false">
      <c r="A2491" s="13" t="str">
        <f aca="false">""</f>
        <v/>
      </c>
      <c r="B2491" s="13" t="n">
        <f aca="false">291</f>
        <v>291</v>
      </c>
      <c r="C2491" s="13" t="n">
        <f aca="false">IF(Szenarien!$H$17="OK",(IFERROR(SUMIF(Nutzungsprofile!$B$6:$B$11,"Schulbetrieb",Nutzungsprofile!$G$6:$G$11)*Kalender!C295/SUM(Kalender!$C$5:$C$370),0)+IFERROR(SUMIF(Nutzungsprofile!$B$6:$B$11,"Halle",Nutzungsprofile!$G$6:$G$11)*Kalender!D295/SUM(Kalender!$D$5:$D$370),0)+IFERROR(SUMIF(Nutzungsprofile!$B$6:$B$11,"Individuell",Nutzungsprofile!$G$6:$G$11)*Kalender!E295/SUM(Kalender!$E$5:$E$370),0))*Szenarien!$E$17,0)</f>
        <v>0</v>
      </c>
      <c r="D2491" s="13" t="n">
        <f aca="false">IF(Szenarien!$H$17="OK",(IFERROR(SUMIF(Nutzungsprofile!$B$17:$B$22,"Schulbetrieb",Nutzungsprofile!$G$17:$G$22)*Kalender!C295/SUM(Kalender!$C$5:$C$370),0)+IFERROR(SUMIF(Nutzungsprofile!$B$17:$B$22,"Halle",Nutzungsprofile!$G$17:$G$22)*Kalender!D295/SUM(Kalender!$D$5:$D$370),0)+IFERROR(SUMIF(Nutzungsprofile!$B$17:$B$22,"Individuell",Nutzungsprofile!$G$17:$G$22)*Kalender!E295/SUM(Kalender!$E$5:$E$370),0))*Szenarien!$D$17,0)</f>
        <v>0</v>
      </c>
      <c r="E2491" s="13" t="n">
        <f aca="false">IFERROR(MIN(C2491,Eingaben!$B$17)*Eingaben!$B$16,0)</f>
        <v>0</v>
      </c>
      <c r="F2491" s="13" t="n">
        <f aca="false">IFERROR(E2491*Eingaben!$B$15,0)</f>
        <v>0</v>
      </c>
      <c r="G2491" s="13" t="n">
        <f aca="false">IFERROR(IF(Kalender!A295="",0,J2490*(1-Eingaben!$B$20)),0)</f>
        <v>0</v>
      </c>
      <c r="H2491" s="13" t="n">
        <f aca="false">MIN(G2491,D2491)</f>
        <v>0</v>
      </c>
      <c r="I2491" s="13" t="n">
        <f aca="false">IFERROR(MIN(F2491*Eingaben!$B$19,MAX(0,D2491-H2491)),0)</f>
        <v>0</v>
      </c>
      <c r="J2491" s="13" t="n">
        <f aca="false">IFERROR(MIN(Eingaben!$B$18,MAX(0,F2491-I2491)),0)</f>
        <v>0</v>
      </c>
      <c r="K2491" s="13" t="n">
        <f aca="false">H2491+I2491</f>
        <v>0</v>
      </c>
      <c r="L2491" s="13" t="n">
        <f aca="false">MAX(0,D2491-K2491)</f>
        <v>0</v>
      </c>
      <c r="M2491" s="13" t="n">
        <f aca="false">MAX(0,F2491-I2491-J2491)</f>
        <v>0</v>
      </c>
      <c r="N2491" s="13" t="n">
        <f aca="false">IF(Kalender!A295="",0,J2490-H2491)</f>
        <v>0</v>
      </c>
    </row>
    <row r="2492" customFormat="false" ht="16.4" hidden="false" customHeight="false" outlineLevel="0" collapsed="false">
      <c r="A2492" s="13" t="str">
        <f aca="false">""</f>
        <v/>
      </c>
      <c r="B2492" s="13" t="n">
        <f aca="false">292</f>
        <v>292</v>
      </c>
      <c r="C2492" s="13" t="n">
        <f aca="false">IF(Szenarien!$H$17="OK",(IFERROR(SUMIF(Nutzungsprofile!$B$6:$B$11,"Schulbetrieb",Nutzungsprofile!$G$6:$G$11)*Kalender!C296/SUM(Kalender!$C$5:$C$370),0)+IFERROR(SUMIF(Nutzungsprofile!$B$6:$B$11,"Halle",Nutzungsprofile!$G$6:$G$11)*Kalender!D296/SUM(Kalender!$D$5:$D$370),0)+IFERROR(SUMIF(Nutzungsprofile!$B$6:$B$11,"Individuell",Nutzungsprofile!$G$6:$G$11)*Kalender!E296/SUM(Kalender!$E$5:$E$370),0))*Szenarien!$E$17,0)</f>
        <v>0.9</v>
      </c>
      <c r="D2492" s="13" t="n">
        <f aca="false">IF(Szenarien!$H$17="OK",(IFERROR(SUMIF(Nutzungsprofile!$B$17:$B$22,"Schulbetrieb",Nutzungsprofile!$G$17:$G$22)*Kalender!C296/SUM(Kalender!$C$5:$C$370),0)+IFERROR(SUMIF(Nutzungsprofile!$B$17:$B$22,"Halle",Nutzungsprofile!$G$17:$G$22)*Kalender!D296/SUM(Kalender!$D$5:$D$370),0)+IFERROR(SUMIF(Nutzungsprofile!$B$17:$B$22,"Individuell",Nutzungsprofile!$G$17:$G$22)*Kalender!E296/SUM(Kalender!$E$5:$E$370),0))*Szenarien!$D$17,0)</f>
        <v>4.05</v>
      </c>
      <c r="E2492" s="13" t="n">
        <f aca="false">IFERROR(MIN(C2492,Eingaben!$B$17)*Eingaben!$B$16,0)</f>
        <v>0.855</v>
      </c>
      <c r="F2492" s="13" t="n">
        <f aca="false">IFERROR(E2492*Eingaben!$B$15,0)</f>
        <v>0.7695</v>
      </c>
      <c r="G2492" s="13" t="n">
        <f aca="false">IFERROR(IF(Kalender!A296="",0,J2491*(1-Eingaben!$B$20)),0)</f>
        <v>0</v>
      </c>
      <c r="H2492" s="13" t="n">
        <f aca="false">MIN(G2492,D2492)</f>
        <v>0</v>
      </c>
      <c r="I2492" s="13" t="n">
        <f aca="false">IFERROR(MIN(F2492*Eingaben!$B$19,MAX(0,D2492-H2492)),0)</f>
        <v>0.53865</v>
      </c>
      <c r="J2492" s="13" t="n">
        <f aca="false">IFERROR(MIN(Eingaben!$B$18,MAX(0,F2492-I2492)),0)</f>
        <v>0.23085</v>
      </c>
      <c r="K2492" s="13" t="n">
        <f aca="false">H2492+I2492</f>
        <v>0.53865</v>
      </c>
      <c r="L2492" s="13" t="n">
        <f aca="false">MAX(0,D2492-K2492)</f>
        <v>3.51135</v>
      </c>
      <c r="M2492" s="13" t="n">
        <f aca="false">MAX(0,F2492-I2492-J2492)</f>
        <v>0</v>
      </c>
      <c r="N2492" s="13" t="n">
        <f aca="false">IF(Kalender!A296="",0,J2491-H2492)</f>
        <v>0</v>
      </c>
    </row>
    <row r="2493" customFormat="false" ht="16.4" hidden="false" customHeight="false" outlineLevel="0" collapsed="false">
      <c r="A2493" s="13" t="str">
        <f aca="false">""</f>
        <v/>
      </c>
      <c r="B2493" s="13" t="n">
        <f aca="false">293</f>
        <v>293</v>
      </c>
      <c r="C2493" s="13" t="n">
        <f aca="false">IF(Szenarien!$H$17="OK",(IFERROR(SUMIF(Nutzungsprofile!$B$6:$B$11,"Schulbetrieb",Nutzungsprofile!$G$6:$G$11)*Kalender!C297/SUM(Kalender!$C$5:$C$370),0)+IFERROR(SUMIF(Nutzungsprofile!$B$6:$B$11,"Halle",Nutzungsprofile!$G$6:$G$11)*Kalender!D297/SUM(Kalender!$D$5:$D$370),0)+IFERROR(SUMIF(Nutzungsprofile!$B$6:$B$11,"Individuell",Nutzungsprofile!$G$6:$G$11)*Kalender!E297/SUM(Kalender!$E$5:$E$370),0))*Szenarien!$E$17,0)</f>
        <v>0.9</v>
      </c>
      <c r="D2493" s="13" t="n">
        <f aca="false">IF(Szenarien!$H$17="OK",(IFERROR(SUMIF(Nutzungsprofile!$B$17:$B$22,"Schulbetrieb",Nutzungsprofile!$G$17:$G$22)*Kalender!C297/SUM(Kalender!$C$5:$C$370),0)+IFERROR(SUMIF(Nutzungsprofile!$B$17:$B$22,"Halle",Nutzungsprofile!$G$17:$G$22)*Kalender!D297/SUM(Kalender!$D$5:$D$370),0)+IFERROR(SUMIF(Nutzungsprofile!$B$17:$B$22,"Individuell",Nutzungsprofile!$G$17:$G$22)*Kalender!E297/SUM(Kalender!$E$5:$E$370),0))*Szenarien!$D$17,0)</f>
        <v>4.05</v>
      </c>
      <c r="E2493" s="13" t="n">
        <f aca="false">IFERROR(MIN(C2493,Eingaben!$B$17)*Eingaben!$B$16,0)</f>
        <v>0.855</v>
      </c>
      <c r="F2493" s="13" t="n">
        <f aca="false">IFERROR(E2493*Eingaben!$B$15,0)</f>
        <v>0.7695</v>
      </c>
      <c r="G2493" s="13" t="n">
        <f aca="false">IFERROR(IF(Kalender!A297="",0,J2492*(1-Eingaben!$B$20)),0)</f>
        <v>0.226233</v>
      </c>
      <c r="H2493" s="13" t="n">
        <f aca="false">MIN(G2493,D2493)</f>
        <v>0.226233</v>
      </c>
      <c r="I2493" s="13" t="n">
        <f aca="false">IFERROR(MIN(F2493*Eingaben!$B$19,MAX(0,D2493-H2493)),0)</f>
        <v>0.53865</v>
      </c>
      <c r="J2493" s="13" t="n">
        <f aca="false">IFERROR(MIN(Eingaben!$B$18,MAX(0,F2493-I2493)),0)</f>
        <v>0.23085</v>
      </c>
      <c r="K2493" s="13" t="n">
        <f aca="false">H2493+I2493</f>
        <v>0.764883</v>
      </c>
      <c r="L2493" s="13" t="n">
        <f aca="false">MAX(0,D2493-K2493)</f>
        <v>3.285117</v>
      </c>
      <c r="M2493" s="13" t="n">
        <f aca="false">MAX(0,F2493-I2493-J2493)</f>
        <v>0</v>
      </c>
      <c r="N2493" s="13" t="n">
        <f aca="false">IF(Kalender!A297="",0,J2492-H2493)</f>
        <v>0.00461700000000001</v>
      </c>
    </row>
    <row r="2494" customFormat="false" ht="16.4" hidden="false" customHeight="false" outlineLevel="0" collapsed="false">
      <c r="A2494" s="13" t="str">
        <f aca="false">""</f>
        <v/>
      </c>
      <c r="B2494" s="13" t="n">
        <f aca="false">294</f>
        <v>294</v>
      </c>
      <c r="C2494" s="13" t="n">
        <f aca="false">IF(Szenarien!$H$17="OK",(IFERROR(SUMIF(Nutzungsprofile!$B$6:$B$11,"Schulbetrieb",Nutzungsprofile!$G$6:$G$11)*Kalender!C298/SUM(Kalender!$C$5:$C$370),0)+IFERROR(SUMIF(Nutzungsprofile!$B$6:$B$11,"Halle",Nutzungsprofile!$G$6:$G$11)*Kalender!D298/SUM(Kalender!$D$5:$D$370),0)+IFERROR(SUMIF(Nutzungsprofile!$B$6:$B$11,"Individuell",Nutzungsprofile!$G$6:$G$11)*Kalender!E298/SUM(Kalender!$E$5:$E$370),0))*Szenarien!$E$17,0)</f>
        <v>0.9</v>
      </c>
      <c r="D2494" s="13" t="n">
        <f aca="false">IF(Szenarien!$H$17="OK",(IFERROR(SUMIF(Nutzungsprofile!$B$17:$B$22,"Schulbetrieb",Nutzungsprofile!$G$17:$G$22)*Kalender!C298/SUM(Kalender!$C$5:$C$370),0)+IFERROR(SUMIF(Nutzungsprofile!$B$17:$B$22,"Halle",Nutzungsprofile!$G$17:$G$22)*Kalender!D298/SUM(Kalender!$D$5:$D$370),0)+IFERROR(SUMIF(Nutzungsprofile!$B$17:$B$22,"Individuell",Nutzungsprofile!$G$17:$G$22)*Kalender!E298/SUM(Kalender!$E$5:$E$370),0))*Szenarien!$D$17,0)</f>
        <v>4.05</v>
      </c>
      <c r="E2494" s="13" t="n">
        <f aca="false">IFERROR(MIN(C2494,Eingaben!$B$17)*Eingaben!$B$16,0)</f>
        <v>0.855</v>
      </c>
      <c r="F2494" s="13" t="n">
        <f aca="false">IFERROR(E2494*Eingaben!$B$15,0)</f>
        <v>0.7695</v>
      </c>
      <c r="G2494" s="13" t="n">
        <f aca="false">IFERROR(IF(Kalender!A298="",0,J2493*(1-Eingaben!$B$20)),0)</f>
        <v>0.226233</v>
      </c>
      <c r="H2494" s="13" t="n">
        <f aca="false">MIN(G2494,D2494)</f>
        <v>0.226233</v>
      </c>
      <c r="I2494" s="13" t="n">
        <f aca="false">IFERROR(MIN(F2494*Eingaben!$B$19,MAX(0,D2494-H2494)),0)</f>
        <v>0.53865</v>
      </c>
      <c r="J2494" s="13" t="n">
        <f aca="false">IFERROR(MIN(Eingaben!$B$18,MAX(0,F2494-I2494)),0)</f>
        <v>0.23085</v>
      </c>
      <c r="K2494" s="13" t="n">
        <f aca="false">H2494+I2494</f>
        <v>0.764883</v>
      </c>
      <c r="L2494" s="13" t="n">
        <f aca="false">MAX(0,D2494-K2494)</f>
        <v>3.285117</v>
      </c>
      <c r="M2494" s="13" t="n">
        <f aca="false">MAX(0,F2494-I2494-J2494)</f>
        <v>0</v>
      </c>
      <c r="N2494" s="13" t="n">
        <f aca="false">IF(Kalender!A298="",0,J2493-H2494)</f>
        <v>0.00461700000000001</v>
      </c>
    </row>
    <row r="2495" customFormat="false" ht="16.4" hidden="false" customHeight="false" outlineLevel="0" collapsed="false">
      <c r="A2495" s="13" t="str">
        <f aca="false">""</f>
        <v/>
      </c>
      <c r="B2495" s="13" t="n">
        <f aca="false">295</f>
        <v>295</v>
      </c>
      <c r="C2495" s="13" t="n">
        <f aca="false">IF(Szenarien!$H$17="OK",(IFERROR(SUMIF(Nutzungsprofile!$B$6:$B$11,"Schulbetrieb",Nutzungsprofile!$G$6:$G$11)*Kalender!C299/SUM(Kalender!$C$5:$C$370),0)+IFERROR(SUMIF(Nutzungsprofile!$B$6:$B$11,"Halle",Nutzungsprofile!$G$6:$G$11)*Kalender!D299/SUM(Kalender!$D$5:$D$370),0)+IFERROR(SUMIF(Nutzungsprofile!$B$6:$B$11,"Individuell",Nutzungsprofile!$G$6:$G$11)*Kalender!E299/SUM(Kalender!$E$5:$E$370),0))*Szenarien!$E$17,0)</f>
        <v>0.9</v>
      </c>
      <c r="D2495" s="13" t="n">
        <f aca="false">IF(Szenarien!$H$17="OK",(IFERROR(SUMIF(Nutzungsprofile!$B$17:$B$22,"Schulbetrieb",Nutzungsprofile!$G$17:$G$22)*Kalender!C299/SUM(Kalender!$C$5:$C$370),0)+IFERROR(SUMIF(Nutzungsprofile!$B$17:$B$22,"Halle",Nutzungsprofile!$G$17:$G$22)*Kalender!D299/SUM(Kalender!$D$5:$D$370),0)+IFERROR(SUMIF(Nutzungsprofile!$B$17:$B$22,"Individuell",Nutzungsprofile!$G$17:$G$22)*Kalender!E299/SUM(Kalender!$E$5:$E$370),0))*Szenarien!$D$17,0)</f>
        <v>4.05</v>
      </c>
      <c r="E2495" s="13" t="n">
        <f aca="false">IFERROR(MIN(C2495,Eingaben!$B$17)*Eingaben!$B$16,0)</f>
        <v>0.855</v>
      </c>
      <c r="F2495" s="13" t="n">
        <f aca="false">IFERROR(E2495*Eingaben!$B$15,0)</f>
        <v>0.7695</v>
      </c>
      <c r="G2495" s="13" t="n">
        <f aca="false">IFERROR(IF(Kalender!A299="",0,J2494*(1-Eingaben!$B$20)),0)</f>
        <v>0.226233</v>
      </c>
      <c r="H2495" s="13" t="n">
        <f aca="false">MIN(G2495,D2495)</f>
        <v>0.226233</v>
      </c>
      <c r="I2495" s="13" t="n">
        <f aca="false">IFERROR(MIN(F2495*Eingaben!$B$19,MAX(0,D2495-H2495)),0)</f>
        <v>0.53865</v>
      </c>
      <c r="J2495" s="13" t="n">
        <f aca="false">IFERROR(MIN(Eingaben!$B$18,MAX(0,F2495-I2495)),0)</f>
        <v>0.23085</v>
      </c>
      <c r="K2495" s="13" t="n">
        <f aca="false">H2495+I2495</f>
        <v>0.764883</v>
      </c>
      <c r="L2495" s="13" t="n">
        <f aca="false">MAX(0,D2495-K2495)</f>
        <v>3.285117</v>
      </c>
      <c r="M2495" s="13" t="n">
        <f aca="false">MAX(0,F2495-I2495-J2495)</f>
        <v>0</v>
      </c>
      <c r="N2495" s="13" t="n">
        <f aca="false">IF(Kalender!A299="",0,J2494-H2495)</f>
        <v>0.00461700000000001</v>
      </c>
    </row>
    <row r="2496" customFormat="false" ht="16.4" hidden="false" customHeight="false" outlineLevel="0" collapsed="false">
      <c r="A2496" s="13" t="str">
        <f aca="false">""</f>
        <v/>
      </c>
      <c r="B2496" s="13" t="n">
        <f aca="false">296</f>
        <v>296</v>
      </c>
      <c r="C2496" s="13" t="n">
        <f aca="false">IF(Szenarien!$H$17="OK",(IFERROR(SUMIF(Nutzungsprofile!$B$6:$B$11,"Schulbetrieb",Nutzungsprofile!$G$6:$G$11)*Kalender!C300/SUM(Kalender!$C$5:$C$370),0)+IFERROR(SUMIF(Nutzungsprofile!$B$6:$B$11,"Halle",Nutzungsprofile!$G$6:$G$11)*Kalender!D300/SUM(Kalender!$D$5:$D$370),0)+IFERROR(SUMIF(Nutzungsprofile!$B$6:$B$11,"Individuell",Nutzungsprofile!$G$6:$G$11)*Kalender!E300/SUM(Kalender!$E$5:$E$370),0))*Szenarien!$E$17,0)</f>
        <v>0.9</v>
      </c>
      <c r="D2496" s="13" t="n">
        <f aca="false">IF(Szenarien!$H$17="OK",(IFERROR(SUMIF(Nutzungsprofile!$B$17:$B$22,"Schulbetrieb",Nutzungsprofile!$G$17:$G$22)*Kalender!C300/SUM(Kalender!$C$5:$C$370),0)+IFERROR(SUMIF(Nutzungsprofile!$B$17:$B$22,"Halle",Nutzungsprofile!$G$17:$G$22)*Kalender!D300/SUM(Kalender!$D$5:$D$370),0)+IFERROR(SUMIF(Nutzungsprofile!$B$17:$B$22,"Individuell",Nutzungsprofile!$G$17:$G$22)*Kalender!E300/SUM(Kalender!$E$5:$E$370),0))*Szenarien!$D$17,0)</f>
        <v>4.05</v>
      </c>
      <c r="E2496" s="13" t="n">
        <f aca="false">IFERROR(MIN(C2496,Eingaben!$B$17)*Eingaben!$B$16,0)</f>
        <v>0.855</v>
      </c>
      <c r="F2496" s="13" t="n">
        <f aca="false">IFERROR(E2496*Eingaben!$B$15,0)</f>
        <v>0.7695</v>
      </c>
      <c r="G2496" s="13" t="n">
        <f aca="false">IFERROR(IF(Kalender!A300="",0,J2495*(1-Eingaben!$B$20)),0)</f>
        <v>0.226233</v>
      </c>
      <c r="H2496" s="13" t="n">
        <f aca="false">MIN(G2496,D2496)</f>
        <v>0.226233</v>
      </c>
      <c r="I2496" s="13" t="n">
        <f aca="false">IFERROR(MIN(F2496*Eingaben!$B$19,MAX(0,D2496-H2496)),0)</f>
        <v>0.53865</v>
      </c>
      <c r="J2496" s="13" t="n">
        <f aca="false">IFERROR(MIN(Eingaben!$B$18,MAX(0,F2496-I2496)),0)</f>
        <v>0.23085</v>
      </c>
      <c r="K2496" s="13" t="n">
        <f aca="false">H2496+I2496</f>
        <v>0.764883</v>
      </c>
      <c r="L2496" s="13" t="n">
        <f aca="false">MAX(0,D2496-K2496)</f>
        <v>3.285117</v>
      </c>
      <c r="M2496" s="13" t="n">
        <f aca="false">MAX(0,F2496-I2496-J2496)</f>
        <v>0</v>
      </c>
      <c r="N2496" s="13" t="n">
        <f aca="false">IF(Kalender!A300="",0,J2495-H2496)</f>
        <v>0.00461700000000001</v>
      </c>
    </row>
    <row r="2497" customFormat="false" ht="16.4" hidden="false" customHeight="false" outlineLevel="0" collapsed="false">
      <c r="A2497" s="13" t="str">
        <f aca="false">""</f>
        <v/>
      </c>
      <c r="B2497" s="13" t="n">
        <f aca="false">297</f>
        <v>297</v>
      </c>
      <c r="C2497" s="13" t="n">
        <f aca="false">IF(Szenarien!$H$17="OK",(IFERROR(SUMIF(Nutzungsprofile!$B$6:$B$11,"Schulbetrieb",Nutzungsprofile!$G$6:$G$11)*Kalender!C301/SUM(Kalender!$C$5:$C$370),0)+IFERROR(SUMIF(Nutzungsprofile!$B$6:$B$11,"Halle",Nutzungsprofile!$G$6:$G$11)*Kalender!D301/SUM(Kalender!$D$5:$D$370),0)+IFERROR(SUMIF(Nutzungsprofile!$B$6:$B$11,"Individuell",Nutzungsprofile!$G$6:$G$11)*Kalender!E301/SUM(Kalender!$E$5:$E$370),0))*Szenarien!$E$17,0)</f>
        <v>0</v>
      </c>
      <c r="D2497" s="13" t="n">
        <f aca="false">IF(Szenarien!$H$17="OK",(IFERROR(SUMIF(Nutzungsprofile!$B$17:$B$22,"Schulbetrieb",Nutzungsprofile!$G$17:$G$22)*Kalender!C301/SUM(Kalender!$C$5:$C$370),0)+IFERROR(SUMIF(Nutzungsprofile!$B$17:$B$22,"Halle",Nutzungsprofile!$G$17:$G$22)*Kalender!D301/SUM(Kalender!$D$5:$D$370),0)+IFERROR(SUMIF(Nutzungsprofile!$B$17:$B$22,"Individuell",Nutzungsprofile!$G$17:$G$22)*Kalender!E301/SUM(Kalender!$E$5:$E$370),0))*Szenarien!$D$17,0)</f>
        <v>0</v>
      </c>
      <c r="E2497" s="13" t="n">
        <f aca="false">IFERROR(MIN(C2497,Eingaben!$B$17)*Eingaben!$B$16,0)</f>
        <v>0</v>
      </c>
      <c r="F2497" s="13" t="n">
        <f aca="false">IFERROR(E2497*Eingaben!$B$15,0)</f>
        <v>0</v>
      </c>
      <c r="G2497" s="13" t="n">
        <f aca="false">IFERROR(IF(Kalender!A301="",0,J2496*(1-Eingaben!$B$20)),0)</f>
        <v>0.226233</v>
      </c>
      <c r="H2497" s="13" t="n">
        <f aca="false">MIN(G2497,D2497)</f>
        <v>0</v>
      </c>
      <c r="I2497" s="13" t="n">
        <f aca="false">IFERROR(MIN(F2497*Eingaben!$B$19,MAX(0,D2497-H2497)),0)</f>
        <v>0</v>
      </c>
      <c r="J2497" s="13" t="n">
        <f aca="false">IFERROR(MIN(Eingaben!$B$18,MAX(0,F2497-I2497)),0)</f>
        <v>0</v>
      </c>
      <c r="K2497" s="13" t="n">
        <f aca="false">H2497+I2497</f>
        <v>0</v>
      </c>
      <c r="L2497" s="13" t="n">
        <f aca="false">MAX(0,D2497-K2497)</f>
        <v>0</v>
      </c>
      <c r="M2497" s="13" t="n">
        <f aca="false">MAX(0,F2497-I2497-J2497)</f>
        <v>0</v>
      </c>
      <c r="N2497" s="13" t="n">
        <f aca="false">IF(Kalender!A301="",0,J2496-H2497)</f>
        <v>0.23085</v>
      </c>
    </row>
    <row r="2498" customFormat="false" ht="16.4" hidden="false" customHeight="false" outlineLevel="0" collapsed="false">
      <c r="A2498" s="13" t="str">
        <f aca="false">""</f>
        <v/>
      </c>
      <c r="B2498" s="13" t="n">
        <f aca="false">298</f>
        <v>298</v>
      </c>
      <c r="C2498" s="13" t="n">
        <f aca="false">IF(Szenarien!$H$17="OK",(IFERROR(SUMIF(Nutzungsprofile!$B$6:$B$11,"Schulbetrieb",Nutzungsprofile!$G$6:$G$11)*Kalender!C302/SUM(Kalender!$C$5:$C$370),0)+IFERROR(SUMIF(Nutzungsprofile!$B$6:$B$11,"Halle",Nutzungsprofile!$G$6:$G$11)*Kalender!D302/SUM(Kalender!$D$5:$D$370),0)+IFERROR(SUMIF(Nutzungsprofile!$B$6:$B$11,"Individuell",Nutzungsprofile!$G$6:$G$11)*Kalender!E302/SUM(Kalender!$E$5:$E$370),0))*Szenarien!$E$17,0)</f>
        <v>0</v>
      </c>
      <c r="D2498" s="13" t="n">
        <f aca="false">IF(Szenarien!$H$17="OK",(IFERROR(SUMIF(Nutzungsprofile!$B$17:$B$22,"Schulbetrieb",Nutzungsprofile!$G$17:$G$22)*Kalender!C302/SUM(Kalender!$C$5:$C$370),0)+IFERROR(SUMIF(Nutzungsprofile!$B$17:$B$22,"Halle",Nutzungsprofile!$G$17:$G$22)*Kalender!D302/SUM(Kalender!$D$5:$D$370),0)+IFERROR(SUMIF(Nutzungsprofile!$B$17:$B$22,"Individuell",Nutzungsprofile!$G$17:$G$22)*Kalender!E302/SUM(Kalender!$E$5:$E$370),0))*Szenarien!$D$17,0)</f>
        <v>0</v>
      </c>
      <c r="E2498" s="13" t="n">
        <f aca="false">IFERROR(MIN(C2498,Eingaben!$B$17)*Eingaben!$B$16,0)</f>
        <v>0</v>
      </c>
      <c r="F2498" s="13" t="n">
        <f aca="false">IFERROR(E2498*Eingaben!$B$15,0)</f>
        <v>0</v>
      </c>
      <c r="G2498" s="13" t="n">
        <f aca="false">IFERROR(IF(Kalender!A302="",0,J2497*(1-Eingaben!$B$20)),0)</f>
        <v>0</v>
      </c>
      <c r="H2498" s="13" t="n">
        <f aca="false">MIN(G2498,D2498)</f>
        <v>0</v>
      </c>
      <c r="I2498" s="13" t="n">
        <f aca="false">IFERROR(MIN(F2498*Eingaben!$B$19,MAX(0,D2498-H2498)),0)</f>
        <v>0</v>
      </c>
      <c r="J2498" s="13" t="n">
        <f aca="false">IFERROR(MIN(Eingaben!$B$18,MAX(0,F2498-I2498)),0)</f>
        <v>0</v>
      </c>
      <c r="K2498" s="13" t="n">
        <f aca="false">H2498+I2498</f>
        <v>0</v>
      </c>
      <c r="L2498" s="13" t="n">
        <f aca="false">MAX(0,D2498-K2498)</f>
        <v>0</v>
      </c>
      <c r="M2498" s="13" t="n">
        <f aca="false">MAX(0,F2498-I2498-J2498)</f>
        <v>0</v>
      </c>
      <c r="N2498" s="13" t="n">
        <f aca="false">IF(Kalender!A302="",0,J2497-H2498)</f>
        <v>0</v>
      </c>
    </row>
    <row r="2499" customFormat="false" ht="16.4" hidden="false" customHeight="false" outlineLevel="0" collapsed="false">
      <c r="A2499" s="13" t="str">
        <f aca="false">""</f>
        <v/>
      </c>
      <c r="B2499" s="13" t="n">
        <f aca="false">299</f>
        <v>299</v>
      </c>
      <c r="C2499" s="13" t="n">
        <f aca="false">IF(Szenarien!$H$17="OK",(IFERROR(SUMIF(Nutzungsprofile!$B$6:$B$11,"Schulbetrieb",Nutzungsprofile!$G$6:$G$11)*Kalender!C303/SUM(Kalender!$C$5:$C$370),0)+IFERROR(SUMIF(Nutzungsprofile!$B$6:$B$11,"Halle",Nutzungsprofile!$G$6:$G$11)*Kalender!D303/SUM(Kalender!$D$5:$D$370),0)+IFERROR(SUMIF(Nutzungsprofile!$B$6:$B$11,"Individuell",Nutzungsprofile!$G$6:$G$11)*Kalender!E303/SUM(Kalender!$E$5:$E$370),0))*Szenarien!$E$17,0)</f>
        <v>0.9</v>
      </c>
      <c r="D2499" s="13" t="n">
        <f aca="false">IF(Szenarien!$H$17="OK",(IFERROR(SUMIF(Nutzungsprofile!$B$17:$B$22,"Schulbetrieb",Nutzungsprofile!$G$17:$G$22)*Kalender!C303/SUM(Kalender!$C$5:$C$370),0)+IFERROR(SUMIF(Nutzungsprofile!$B$17:$B$22,"Halle",Nutzungsprofile!$G$17:$G$22)*Kalender!D303/SUM(Kalender!$D$5:$D$370),0)+IFERROR(SUMIF(Nutzungsprofile!$B$17:$B$22,"Individuell",Nutzungsprofile!$G$17:$G$22)*Kalender!E303/SUM(Kalender!$E$5:$E$370),0))*Szenarien!$D$17,0)</f>
        <v>4.05</v>
      </c>
      <c r="E2499" s="13" t="n">
        <f aca="false">IFERROR(MIN(C2499,Eingaben!$B$17)*Eingaben!$B$16,0)</f>
        <v>0.855</v>
      </c>
      <c r="F2499" s="13" t="n">
        <f aca="false">IFERROR(E2499*Eingaben!$B$15,0)</f>
        <v>0.7695</v>
      </c>
      <c r="G2499" s="13" t="n">
        <f aca="false">IFERROR(IF(Kalender!A303="",0,J2498*(1-Eingaben!$B$20)),0)</f>
        <v>0</v>
      </c>
      <c r="H2499" s="13" t="n">
        <f aca="false">MIN(G2499,D2499)</f>
        <v>0</v>
      </c>
      <c r="I2499" s="13" t="n">
        <f aca="false">IFERROR(MIN(F2499*Eingaben!$B$19,MAX(0,D2499-H2499)),0)</f>
        <v>0.53865</v>
      </c>
      <c r="J2499" s="13" t="n">
        <f aca="false">IFERROR(MIN(Eingaben!$B$18,MAX(0,F2499-I2499)),0)</f>
        <v>0.23085</v>
      </c>
      <c r="K2499" s="13" t="n">
        <f aca="false">H2499+I2499</f>
        <v>0.53865</v>
      </c>
      <c r="L2499" s="13" t="n">
        <f aca="false">MAX(0,D2499-K2499)</f>
        <v>3.51135</v>
      </c>
      <c r="M2499" s="13" t="n">
        <f aca="false">MAX(0,F2499-I2499-J2499)</f>
        <v>0</v>
      </c>
      <c r="N2499" s="13" t="n">
        <f aca="false">IF(Kalender!A303="",0,J2498-H2499)</f>
        <v>0</v>
      </c>
    </row>
    <row r="2500" customFormat="false" ht="16.4" hidden="false" customHeight="false" outlineLevel="0" collapsed="false">
      <c r="A2500" s="13" t="str">
        <f aca="false">""</f>
        <v/>
      </c>
      <c r="B2500" s="13" t="n">
        <f aca="false">300</f>
        <v>300</v>
      </c>
      <c r="C2500" s="13" t="n">
        <f aca="false">IF(Szenarien!$H$17="OK",(IFERROR(SUMIF(Nutzungsprofile!$B$6:$B$11,"Schulbetrieb",Nutzungsprofile!$G$6:$G$11)*Kalender!C304/SUM(Kalender!$C$5:$C$370),0)+IFERROR(SUMIF(Nutzungsprofile!$B$6:$B$11,"Halle",Nutzungsprofile!$G$6:$G$11)*Kalender!D304/SUM(Kalender!$D$5:$D$370),0)+IFERROR(SUMIF(Nutzungsprofile!$B$6:$B$11,"Individuell",Nutzungsprofile!$G$6:$G$11)*Kalender!E304/SUM(Kalender!$E$5:$E$370),0))*Szenarien!$E$17,0)</f>
        <v>0.9</v>
      </c>
      <c r="D2500" s="13" t="n">
        <f aca="false">IF(Szenarien!$H$17="OK",(IFERROR(SUMIF(Nutzungsprofile!$B$17:$B$22,"Schulbetrieb",Nutzungsprofile!$G$17:$G$22)*Kalender!C304/SUM(Kalender!$C$5:$C$370),0)+IFERROR(SUMIF(Nutzungsprofile!$B$17:$B$22,"Halle",Nutzungsprofile!$G$17:$G$22)*Kalender!D304/SUM(Kalender!$D$5:$D$370),0)+IFERROR(SUMIF(Nutzungsprofile!$B$17:$B$22,"Individuell",Nutzungsprofile!$G$17:$G$22)*Kalender!E304/SUM(Kalender!$E$5:$E$370),0))*Szenarien!$D$17,0)</f>
        <v>4.05</v>
      </c>
      <c r="E2500" s="13" t="n">
        <f aca="false">IFERROR(MIN(C2500,Eingaben!$B$17)*Eingaben!$B$16,0)</f>
        <v>0.855</v>
      </c>
      <c r="F2500" s="13" t="n">
        <f aca="false">IFERROR(E2500*Eingaben!$B$15,0)</f>
        <v>0.7695</v>
      </c>
      <c r="G2500" s="13" t="n">
        <f aca="false">IFERROR(IF(Kalender!A304="",0,J2499*(1-Eingaben!$B$20)),0)</f>
        <v>0.226233</v>
      </c>
      <c r="H2500" s="13" t="n">
        <f aca="false">MIN(G2500,D2500)</f>
        <v>0.226233</v>
      </c>
      <c r="I2500" s="13" t="n">
        <f aca="false">IFERROR(MIN(F2500*Eingaben!$B$19,MAX(0,D2500-H2500)),0)</f>
        <v>0.53865</v>
      </c>
      <c r="J2500" s="13" t="n">
        <f aca="false">IFERROR(MIN(Eingaben!$B$18,MAX(0,F2500-I2500)),0)</f>
        <v>0.23085</v>
      </c>
      <c r="K2500" s="13" t="n">
        <f aca="false">H2500+I2500</f>
        <v>0.764883</v>
      </c>
      <c r="L2500" s="13" t="n">
        <f aca="false">MAX(0,D2500-K2500)</f>
        <v>3.285117</v>
      </c>
      <c r="M2500" s="13" t="n">
        <f aca="false">MAX(0,F2500-I2500-J2500)</f>
        <v>0</v>
      </c>
      <c r="N2500" s="13" t="n">
        <f aca="false">IF(Kalender!A304="",0,J2499-H2500)</f>
        <v>0.00461700000000001</v>
      </c>
    </row>
    <row r="2501" customFormat="false" ht="16.4" hidden="false" customHeight="false" outlineLevel="0" collapsed="false">
      <c r="A2501" s="13" t="str">
        <f aca="false">""</f>
        <v/>
      </c>
      <c r="B2501" s="13" t="n">
        <f aca="false">301</f>
        <v>301</v>
      </c>
      <c r="C2501" s="13" t="n">
        <f aca="false">IF(Szenarien!$H$17="OK",(IFERROR(SUMIF(Nutzungsprofile!$B$6:$B$11,"Schulbetrieb",Nutzungsprofile!$G$6:$G$11)*Kalender!C305/SUM(Kalender!$C$5:$C$370),0)+IFERROR(SUMIF(Nutzungsprofile!$B$6:$B$11,"Halle",Nutzungsprofile!$G$6:$G$11)*Kalender!D305/SUM(Kalender!$D$5:$D$370),0)+IFERROR(SUMIF(Nutzungsprofile!$B$6:$B$11,"Individuell",Nutzungsprofile!$G$6:$G$11)*Kalender!E305/SUM(Kalender!$E$5:$E$370),0))*Szenarien!$E$17,0)</f>
        <v>0.9</v>
      </c>
      <c r="D2501" s="13" t="n">
        <f aca="false">IF(Szenarien!$H$17="OK",(IFERROR(SUMIF(Nutzungsprofile!$B$17:$B$22,"Schulbetrieb",Nutzungsprofile!$G$17:$G$22)*Kalender!C305/SUM(Kalender!$C$5:$C$370),0)+IFERROR(SUMIF(Nutzungsprofile!$B$17:$B$22,"Halle",Nutzungsprofile!$G$17:$G$22)*Kalender!D305/SUM(Kalender!$D$5:$D$370),0)+IFERROR(SUMIF(Nutzungsprofile!$B$17:$B$22,"Individuell",Nutzungsprofile!$G$17:$G$22)*Kalender!E305/SUM(Kalender!$E$5:$E$370),0))*Szenarien!$D$17,0)</f>
        <v>4.05</v>
      </c>
      <c r="E2501" s="13" t="n">
        <f aca="false">IFERROR(MIN(C2501,Eingaben!$B$17)*Eingaben!$B$16,0)</f>
        <v>0.855</v>
      </c>
      <c r="F2501" s="13" t="n">
        <f aca="false">IFERROR(E2501*Eingaben!$B$15,0)</f>
        <v>0.7695</v>
      </c>
      <c r="G2501" s="13" t="n">
        <f aca="false">IFERROR(IF(Kalender!A305="",0,J2500*(1-Eingaben!$B$20)),0)</f>
        <v>0.226233</v>
      </c>
      <c r="H2501" s="13" t="n">
        <f aca="false">MIN(G2501,D2501)</f>
        <v>0.226233</v>
      </c>
      <c r="I2501" s="13" t="n">
        <f aca="false">IFERROR(MIN(F2501*Eingaben!$B$19,MAX(0,D2501-H2501)),0)</f>
        <v>0.53865</v>
      </c>
      <c r="J2501" s="13" t="n">
        <f aca="false">IFERROR(MIN(Eingaben!$B$18,MAX(0,F2501-I2501)),0)</f>
        <v>0.23085</v>
      </c>
      <c r="K2501" s="13" t="n">
        <f aca="false">H2501+I2501</f>
        <v>0.764883</v>
      </c>
      <c r="L2501" s="13" t="n">
        <f aca="false">MAX(0,D2501-K2501)</f>
        <v>3.285117</v>
      </c>
      <c r="M2501" s="13" t="n">
        <f aca="false">MAX(0,F2501-I2501-J2501)</f>
        <v>0</v>
      </c>
      <c r="N2501" s="13" t="n">
        <f aca="false">IF(Kalender!A305="",0,J2500-H2501)</f>
        <v>0.00461700000000001</v>
      </c>
    </row>
    <row r="2502" customFormat="false" ht="16.4" hidden="false" customHeight="false" outlineLevel="0" collapsed="false">
      <c r="A2502" s="13" t="str">
        <f aca="false">""</f>
        <v/>
      </c>
      <c r="B2502" s="13" t="n">
        <f aca="false">302</f>
        <v>302</v>
      </c>
      <c r="C2502" s="13" t="n">
        <f aca="false">IF(Szenarien!$H$17="OK",(IFERROR(SUMIF(Nutzungsprofile!$B$6:$B$11,"Schulbetrieb",Nutzungsprofile!$G$6:$G$11)*Kalender!C306/SUM(Kalender!$C$5:$C$370),0)+IFERROR(SUMIF(Nutzungsprofile!$B$6:$B$11,"Halle",Nutzungsprofile!$G$6:$G$11)*Kalender!D306/SUM(Kalender!$D$5:$D$370),0)+IFERROR(SUMIF(Nutzungsprofile!$B$6:$B$11,"Individuell",Nutzungsprofile!$G$6:$G$11)*Kalender!E306/SUM(Kalender!$E$5:$E$370),0))*Szenarien!$E$17,0)</f>
        <v>0.9</v>
      </c>
      <c r="D2502" s="13" t="n">
        <f aca="false">IF(Szenarien!$H$17="OK",(IFERROR(SUMIF(Nutzungsprofile!$B$17:$B$22,"Schulbetrieb",Nutzungsprofile!$G$17:$G$22)*Kalender!C306/SUM(Kalender!$C$5:$C$370),0)+IFERROR(SUMIF(Nutzungsprofile!$B$17:$B$22,"Halle",Nutzungsprofile!$G$17:$G$22)*Kalender!D306/SUM(Kalender!$D$5:$D$370),0)+IFERROR(SUMIF(Nutzungsprofile!$B$17:$B$22,"Individuell",Nutzungsprofile!$G$17:$G$22)*Kalender!E306/SUM(Kalender!$E$5:$E$370),0))*Szenarien!$D$17,0)</f>
        <v>4.05</v>
      </c>
      <c r="E2502" s="13" t="n">
        <f aca="false">IFERROR(MIN(C2502,Eingaben!$B$17)*Eingaben!$B$16,0)</f>
        <v>0.855</v>
      </c>
      <c r="F2502" s="13" t="n">
        <f aca="false">IFERROR(E2502*Eingaben!$B$15,0)</f>
        <v>0.7695</v>
      </c>
      <c r="G2502" s="13" t="n">
        <f aca="false">IFERROR(IF(Kalender!A306="",0,J2501*(1-Eingaben!$B$20)),0)</f>
        <v>0.226233</v>
      </c>
      <c r="H2502" s="13" t="n">
        <f aca="false">MIN(G2502,D2502)</f>
        <v>0.226233</v>
      </c>
      <c r="I2502" s="13" t="n">
        <f aca="false">IFERROR(MIN(F2502*Eingaben!$B$19,MAX(0,D2502-H2502)),0)</f>
        <v>0.53865</v>
      </c>
      <c r="J2502" s="13" t="n">
        <f aca="false">IFERROR(MIN(Eingaben!$B$18,MAX(0,F2502-I2502)),0)</f>
        <v>0.23085</v>
      </c>
      <c r="K2502" s="13" t="n">
        <f aca="false">H2502+I2502</f>
        <v>0.764883</v>
      </c>
      <c r="L2502" s="13" t="n">
        <f aca="false">MAX(0,D2502-K2502)</f>
        <v>3.285117</v>
      </c>
      <c r="M2502" s="13" t="n">
        <f aca="false">MAX(0,F2502-I2502-J2502)</f>
        <v>0</v>
      </c>
      <c r="N2502" s="13" t="n">
        <f aca="false">IF(Kalender!A306="",0,J2501-H2502)</f>
        <v>0.00461700000000001</v>
      </c>
    </row>
    <row r="2503" customFormat="false" ht="16.4" hidden="false" customHeight="false" outlineLevel="0" collapsed="false">
      <c r="A2503" s="13" t="str">
        <f aca="false">""</f>
        <v/>
      </c>
      <c r="B2503" s="13" t="n">
        <f aca="false">303</f>
        <v>303</v>
      </c>
      <c r="C2503" s="13" t="n">
        <f aca="false">IF(Szenarien!$H$17="OK",(IFERROR(SUMIF(Nutzungsprofile!$B$6:$B$11,"Schulbetrieb",Nutzungsprofile!$G$6:$G$11)*Kalender!C307/SUM(Kalender!$C$5:$C$370),0)+IFERROR(SUMIF(Nutzungsprofile!$B$6:$B$11,"Halle",Nutzungsprofile!$G$6:$G$11)*Kalender!D307/SUM(Kalender!$D$5:$D$370),0)+IFERROR(SUMIF(Nutzungsprofile!$B$6:$B$11,"Individuell",Nutzungsprofile!$G$6:$G$11)*Kalender!E307/SUM(Kalender!$E$5:$E$370),0))*Szenarien!$E$17,0)</f>
        <v>0.9</v>
      </c>
      <c r="D2503" s="13" t="n">
        <f aca="false">IF(Szenarien!$H$17="OK",(IFERROR(SUMIF(Nutzungsprofile!$B$17:$B$22,"Schulbetrieb",Nutzungsprofile!$G$17:$G$22)*Kalender!C307/SUM(Kalender!$C$5:$C$370),0)+IFERROR(SUMIF(Nutzungsprofile!$B$17:$B$22,"Halle",Nutzungsprofile!$G$17:$G$22)*Kalender!D307/SUM(Kalender!$D$5:$D$370),0)+IFERROR(SUMIF(Nutzungsprofile!$B$17:$B$22,"Individuell",Nutzungsprofile!$G$17:$G$22)*Kalender!E307/SUM(Kalender!$E$5:$E$370),0))*Szenarien!$D$17,0)</f>
        <v>4.05</v>
      </c>
      <c r="E2503" s="13" t="n">
        <f aca="false">IFERROR(MIN(C2503,Eingaben!$B$17)*Eingaben!$B$16,0)</f>
        <v>0.855</v>
      </c>
      <c r="F2503" s="13" t="n">
        <f aca="false">IFERROR(E2503*Eingaben!$B$15,0)</f>
        <v>0.7695</v>
      </c>
      <c r="G2503" s="13" t="n">
        <f aca="false">IFERROR(IF(Kalender!A307="",0,J2502*(1-Eingaben!$B$20)),0)</f>
        <v>0.226233</v>
      </c>
      <c r="H2503" s="13" t="n">
        <f aca="false">MIN(G2503,D2503)</f>
        <v>0.226233</v>
      </c>
      <c r="I2503" s="13" t="n">
        <f aca="false">IFERROR(MIN(F2503*Eingaben!$B$19,MAX(0,D2503-H2503)),0)</f>
        <v>0.53865</v>
      </c>
      <c r="J2503" s="13" t="n">
        <f aca="false">IFERROR(MIN(Eingaben!$B$18,MAX(0,F2503-I2503)),0)</f>
        <v>0.23085</v>
      </c>
      <c r="K2503" s="13" t="n">
        <f aca="false">H2503+I2503</f>
        <v>0.764883</v>
      </c>
      <c r="L2503" s="13" t="n">
        <f aca="false">MAX(0,D2503-K2503)</f>
        <v>3.285117</v>
      </c>
      <c r="M2503" s="13" t="n">
        <f aca="false">MAX(0,F2503-I2503-J2503)</f>
        <v>0</v>
      </c>
      <c r="N2503" s="13" t="n">
        <f aca="false">IF(Kalender!A307="",0,J2502-H2503)</f>
        <v>0.00461700000000001</v>
      </c>
    </row>
    <row r="2504" customFormat="false" ht="16.4" hidden="false" customHeight="false" outlineLevel="0" collapsed="false">
      <c r="A2504" s="13" t="str">
        <f aca="false">""</f>
        <v/>
      </c>
      <c r="B2504" s="13" t="n">
        <f aca="false">304</f>
        <v>304</v>
      </c>
      <c r="C2504" s="13" t="n">
        <f aca="false">IF(Szenarien!$H$17="OK",(IFERROR(SUMIF(Nutzungsprofile!$B$6:$B$11,"Schulbetrieb",Nutzungsprofile!$G$6:$G$11)*Kalender!C308/SUM(Kalender!$C$5:$C$370),0)+IFERROR(SUMIF(Nutzungsprofile!$B$6:$B$11,"Halle",Nutzungsprofile!$G$6:$G$11)*Kalender!D308/SUM(Kalender!$D$5:$D$370),0)+IFERROR(SUMIF(Nutzungsprofile!$B$6:$B$11,"Individuell",Nutzungsprofile!$G$6:$G$11)*Kalender!E308/SUM(Kalender!$E$5:$E$370),0))*Szenarien!$E$17,0)</f>
        <v>0</v>
      </c>
      <c r="D2504" s="13" t="n">
        <f aca="false">IF(Szenarien!$H$17="OK",(IFERROR(SUMIF(Nutzungsprofile!$B$17:$B$22,"Schulbetrieb",Nutzungsprofile!$G$17:$G$22)*Kalender!C308/SUM(Kalender!$C$5:$C$370),0)+IFERROR(SUMIF(Nutzungsprofile!$B$17:$B$22,"Halle",Nutzungsprofile!$G$17:$G$22)*Kalender!D308/SUM(Kalender!$D$5:$D$370),0)+IFERROR(SUMIF(Nutzungsprofile!$B$17:$B$22,"Individuell",Nutzungsprofile!$G$17:$G$22)*Kalender!E308/SUM(Kalender!$E$5:$E$370),0))*Szenarien!$D$17,0)</f>
        <v>0</v>
      </c>
      <c r="E2504" s="13" t="n">
        <f aca="false">IFERROR(MIN(C2504,Eingaben!$B$17)*Eingaben!$B$16,0)</f>
        <v>0</v>
      </c>
      <c r="F2504" s="13" t="n">
        <f aca="false">IFERROR(E2504*Eingaben!$B$15,0)</f>
        <v>0</v>
      </c>
      <c r="G2504" s="13" t="n">
        <f aca="false">IFERROR(IF(Kalender!A308="",0,J2503*(1-Eingaben!$B$20)),0)</f>
        <v>0.226233</v>
      </c>
      <c r="H2504" s="13" t="n">
        <f aca="false">MIN(G2504,D2504)</f>
        <v>0</v>
      </c>
      <c r="I2504" s="13" t="n">
        <f aca="false">IFERROR(MIN(F2504*Eingaben!$B$19,MAX(0,D2504-H2504)),0)</f>
        <v>0</v>
      </c>
      <c r="J2504" s="13" t="n">
        <f aca="false">IFERROR(MIN(Eingaben!$B$18,MAX(0,F2504-I2504)),0)</f>
        <v>0</v>
      </c>
      <c r="K2504" s="13" t="n">
        <f aca="false">H2504+I2504</f>
        <v>0</v>
      </c>
      <c r="L2504" s="13" t="n">
        <f aca="false">MAX(0,D2504-K2504)</f>
        <v>0</v>
      </c>
      <c r="M2504" s="13" t="n">
        <f aca="false">MAX(0,F2504-I2504-J2504)</f>
        <v>0</v>
      </c>
      <c r="N2504" s="13" t="n">
        <f aca="false">IF(Kalender!A308="",0,J2503-H2504)</f>
        <v>0.23085</v>
      </c>
    </row>
    <row r="2505" customFormat="false" ht="16.4" hidden="false" customHeight="false" outlineLevel="0" collapsed="false">
      <c r="A2505" s="13" t="str">
        <f aca="false">""</f>
        <v/>
      </c>
      <c r="B2505" s="13" t="n">
        <f aca="false">305</f>
        <v>305</v>
      </c>
      <c r="C2505" s="13" t="n">
        <f aca="false">IF(Szenarien!$H$17="OK",(IFERROR(SUMIF(Nutzungsprofile!$B$6:$B$11,"Schulbetrieb",Nutzungsprofile!$G$6:$G$11)*Kalender!C309/SUM(Kalender!$C$5:$C$370),0)+IFERROR(SUMIF(Nutzungsprofile!$B$6:$B$11,"Halle",Nutzungsprofile!$G$6:$G$11)*Kalender!D309/SUM(Kalender!$D$5:$D$370),0)+IFERROR(SUMIF(Nutzungsprofile!$B$6:$B$11,"Individuell",Nutzungsprofile!$G$6:$G$11)*Kalender!E309/SUM(Kalender!$E$5:$E$370),0))*Szenarien!$E$17,0)</f>
        <v>0</v>
      </c>
      <c r="D2505" s="13" t="n">
        <f aca="false">IF(Szenarien!$H$17="OK",(IFERROR(SUMIF(Nutzungsprofile!$B$17:$B$22,"Schulbetrieb",Nutzungsprofile!$G$17:$G$22)*Kalender!C309/SUM(Kalender!$C$5:$C$370),0)+IFERROR(SUMIF(Nutzungsprofile!$B$17:$B$22,"Halle",Nutzungsprofile!$G$17:$G$22)*Kalender!D309/SUM(Kalender!$D$5:$D$370),0)+IFERROR(SUMIF(Nutzungsprofile!$B$17:$B$22,"Individuell",Nutzungsprofile!$G$17:$G$22)*Kalender!E309/SUM(Kalender!$E$5:$E$370),0))*Szenarien!$D$17,0)</f>
        <v>0</v>
      </c>
      <c r="E2505" s="13" t="n">
        <f aca="false">IFERROR(MIN(C2505,Eingaben!$B$17)*Eingaben!$B$16,0)</f>
        <v>0</v>
      </c>
      <c r="F2505" s="13" t="n">
        <f aca="false">IFERROR(E2505*Eingaben!$B$15,0)</f>
        <v>0</v>
      </c>
      <c r="G2505" s="13" t="n">
        <f aca="false">IFERROR(IF(Kalender!A309="",0,J2504*(1-Eingaben!$B$20)),0)</f>
        <v>0</v>
      </c>
      <c r="H2505" s="13" t="n">
        <f aca="false">MIN(G2505,D2505)</f>
        <v>0</v>
      </c>
      <c r="I2505" s="13" t="n">
        <f aca="false">IFERROR(MIN(F2505*Eingaben!$B$19,MAX(0,D2505-H2505)),0)</f>
        <v>0</v>
      </c>
      <c r="J2505" s="13" t="n">
        <f aca="false">IFERROR(MIN(Eingaben!$B$18,MAX(0,F2505-I2505)),0)</f>
        <v>0</v>
      </c>
      <c r="K2505" s="13" t="n">
        <f aca="false">H2505+I2505</f>
        <v>0</v>
      </c>
      <c r="L2505" s="13" t="n">
        <f aca="false">MAX(0,D2505-K2505)</f>
        <v>0</v>
      </c>
      <c r="M2505" s="13" t="n">
        <f aca="false">MAX(0,F2505-I2505-J2505)</f>
        <v>0</v>
      </c>
      <c r="N2505" s="13" t="n">
        <f aca="false">IF(Kalender!A309="",0,J2504-H2505)</f>
        <v>0</v>
      </c>
    </row>
    <row r="2506" customFormat="false" ht="16.4" hidden="false" customHeight="false" outlineLevel="0" collapsed="false">
      <c r="A2506" s="13" t="str">
        <f aca="false">""</f>
        <v/>
      </c>
      <c r="B2506" s="13" t="n">
        <f aca="false">306</f>
        <v>306</v>
      </c>
      <c r="C2506" s="13" t="n">
        <f aca="false">IF(Szenarien!$H$17="OK",(IFERROR(SUMIF(Nutzungsprofile!$B$6:$B$11,"Schulbetrieb",Nutzungsprofile!$G$6:$G$11)*Kalender!C310/SUM(Kalender!$C$5:$C$370),0)+IFERROR(SUMIF(Nutzungsprofile!$B$6:$B$11,"Halle",Nutzungsprofile!$G$6:$G$11)*Kalender!D310/SUM(Kalender!$D$5:$D$370),0)+IFERROR(SUMIF(Nutzungsprofile!$B$6:$B$11,"Individuell",Nutzungsprofile!$G$6:$G$11)*Kalender!E310/SUM(Kalender!$E$5:$E$370),0))*Szenarien!$E$17,0)</f>
        <v>0.9</v>
      </c>
      <c r="D2506" s="13" t="n">
        <f aca="false">IF(Szenarien!$H$17="OK",(IFERROR(SUMIF(Nutzungsprofile!$B$17:$B$22,"Schulbetrieb",Nutzungsprofile!$G$17:$G$22)*Kalender!C310/SUM(Kalender!$C$5:$C$370),0)+IFERROR(SUMIF(Nutzungsprofile!$B$17:$B$22,"Halle",Nutzungsprofile!$G$17:$G$22)*Kalender!D310/SUM(Kalender!$D$5:$D$370),0)+IFERROR(SUMIF(Nutzungsprofile!$B$17:$B$22,"Individuell",Nutzungsprofile!$G$17:$G$22)*Kalender!E310/SUM(Kalender!$E$5:$E$370),0))*Szenarien!$D$17,0)</f>
        <v>4.05</v>
      </c>
      <c r="E2506" s="13" t="n">
        <f aca="false">IFERROR(MIN(C2506,Eingaben!$B$17)*Eingaben!$B$16,0)</f>
        <v>0.855</v>
      </c>
      <c r="F2506" s="13" t="n">
        <f aca="false">IFERROR(E2506*Eingaben!$B$15,0)</f>
        <v>0.7695</v>
      </c>
      <c r="G2506" s="13" t="n">
        <f aca="false">IFERROR(IF(Kalender!A310="",0,J2505*(1-Eingaben!$B$20)),0)</f>
        <v>0</v>
      </c>
      <c r="H2506" s="13" t="n">
        <f aca="false">MIN(G2506,D2506)</f>
        <v>0</v>
      </c>
      <c r="I2506" s="13" t="n">
        <f aca="false">IFERROR(MIN(F2506*Eingaben!$B$19,MAX(0,D2506-H2506)),0)</f>
        <v>0.53865</v>
      </c>
      <c r="J2506" s="13" t="n">
        <f aca="false">IFERROR(MIN(Eingaben!$B$18,MAX(0,F2506-I2506)),0)</f>
        <v>0.23085</v>
      </c>
      <c r="K2506" s="13" t="n">
        <f aca="false">H2506+I2506</f>
        <v>0.53865</v>
      </c>
      <c r="L2506" s="13" t="n">
        <f aca="false">MAX(0,D2506-K2506)</f>
        <v>3.51135</v>
      </c>
      <c r="M2506" s="13" t="n">
        <f aca="false">MAX(0,F2506-I2506-J2506)</f>
        <v>0</v>
      </c>
      <c r="N2506" s="13" t="n">
        <f aca="false">IF(Kalender!A310="",0,J2505-H2506)</f>
        <v>0</v>
      </c>
    </row>
    <row r="2507" customFormat="false" ht="16.4" hidden="false" customHeight="false" outlineLevel="0" collapsed="false">
      <c r="A2507" s="13" t="str">
        <f aca="false">""</f>
        <v/>
      </c>
      <c r="B2507" s="13" t="n">
        <f aca="false">307</f>
        <v>307</v>
      </c>
      <c r="C2507" s="13" t="n">
        <f aca="false">IF(Szenarien!$H$17="OK",(IFERROR(SUMIF(Nutzungsprofile!$B$6:$B$11,"Schulbetrieb",Nutzungsprofile!$G$6:$G$11)*Kalender!C311/SUM(Kalender!$C$5:$C$370),0)+IFERROR(SUMIF(Nutzungsprofile!$B$6:$B$11,"Halle",Nutzungsprofile!$G$6:$G$11)*Kalender!D311/SUM(Kalender!$D$5:$D$370),0)+IFERROR(SUMIF(Nutzungsprofile!$B$6:$B$11,"Individuell",Nutzungsprofile!$G$6:$G$11)*Kalender!E311/SUM(Kalender!$E$5:$E$370),0))*Szenarien!$E$17,0)</f>
        <v>0.9</v>
      </c>
      <c r="D2507" s="13" t="n">
        <f aca="false">IF(Szenarien!$H$17="OK",(IFERROR(SUMIF(Nutzungsprofile!$B$17:$B$22,"Schulbetrieb",Nutzungsprofile!$G$17:$G$22)*Kalender!C311/SUM(Kalender!$C$5:$C$370),0)+IFERROR(SUMIF(Nutzungsprofile!$B$17:$B$22,"Halle",Nutzungsprofile!$G$17:$G$22)*Kalender!D311/SUM(Kalender!$D$5:$D$370),0)+IFERROR(SUMIF(Nutzungsprofile!$B$17:$B$22,"Individuell",Nutzungsprofile!$G$17:$G$22)*Kalender!E311/SUM(Kalender!$E$5:$E$370),0))*Szenarien!$D$17,0)</f>
        <v>4.05</v>
      </c>
      <c r="E2507" s="13" t="n">
        <f aca="false">IFERROR(MIN(C2507,Eingaben!$B$17)*Eingaben!$B$16,0)</f>
        <v>0.855</v>
      </c>
      <c r="F2507" s="13" t="n">
        <f aca="false">IFERROR(E2507*Eingaben!$B$15,0)</f>
        <v>0.7695</v>
      </c>
      <c r="G2507" s="13" t="n">
        <f aca="false">IFERROR(IF(Kalender!A311="",0,J2506*(1-Eingaben!$B$20)),0)</f>
        <v>0.226233</v>
      </c>
      <c r="H2507" s="13" t="n">
        <f aca="false">MIN(G2507,D2507)</f>
        <v>0.226233</v>
      </c>
      <c r="I2507" s="13" t="n">
        <f aca="false">IFERROR(MIN(F2507*Eingaben!$B$19,MAX(0,D2507-H2507)),0)</f>
        <v>0.53865</v>
      </c>
      <c r="J2507" s="13" t="n">
        <f aca="false">IFERROR(MIN(Eingaben!$B$18,MAX(0,F2507-I2507)),0)</f>
        <v>0.23085</v>
      </c>
      <c r="K2507" s="13" t="n">
        <f aca="false">H2507+I2507</f>
        <v>0.764883</v>
      </c>
      <c r="L2507" s="13" t="n">
        <f aca="false">MAX(0,D2507-K2507)</f>
        <v>3.285117</v>
      </c>
      <c r="M2507" s="13" t="n">
        <f aca="false">MAX(0,F2507-I2507-J2507)</f>
        <v>0</v>
      </c>
      <c r="N2507" s="13" t="n">
        <f aca="false">IF(Kalender!A311="",0,J2506-H2507)</f>
        <v>0.00461700000000001</v>
      </c>
    </row>
    <row r="2508" customFormat="false" ht="16.4" hidden="false" customHeight="false" outlineLevel="0" collapsed="false">
      <c r="A2508" s="13" t="str">
        <f aca="false">""</f>
        <v/>
      </c>
      <c r="B2508" s="13" t="n">
        <f aca="false">308</f>
        <v>308</v>
      </c>
      <c r="C2508" s="13" t="n">
        <f aca="false">IF(Szenarien!$H$17="OK",(IFERROR(SUMIF(Nutzungsprofile!$B$6:$B$11,"Schulbetrieb",Nutzungsprofile!$G$6:$G$11)*Kalender!C312/SUM(Kalender!$C$5:$C$370),0)+IFERROR(SUMIF(Nutzungsprofile!$B$6:$B$11,"Halle",Nutzungsprofile!$G$6:$G$11)*Kalender!D312/SUM(Kalender!$D$5:$D$370),0)+IFERROR(SUMIF(Nutzungsprofile!$B$6:$B$11,"Individuell",Nutzungsprofile!$G$6:$G$11)*Kalender!E312/SUM(Kalender!$E$5:$E$370),0))*Szenarien!$E$17,0)</f>
        <v>0.9</v>
      </c>
      <c r="D2508" s="13" t="n">
        <f aca="false">IF(Szenarien!$H$17="OK",(IFERROR(SUMIF(Nutzungsprofile!$B$17:$B$22,"Schulbetrieb",Nutzungsprofile!$G$17:$G$22)*Kalender!C312/SUM(Kalender!$C$5:$C$370),0)+IFERROR(SUMIF(Nutzungsprofile!$B$17:$B$22,"Halle",Nutzungsprofile!$G$17:$G$22)*Kalender!D312/SUM(Kalender!$D$5:$D$370),0)+IFERROR(SUMIF(Nutzungsprofile!$B$17:$B$22,"Individuell",Nutzungsprofile!$G$17:$G$22)*Kalender!E312/SUM(Kalender!$E$5:$E$370),0))*Szenarien!$D$17,0)</f>
        <v>4.05</v>
      </c>
      <c r="E2508" s="13" t="n">
        <f aca="false">IFERROR(MIN(C2508,Eingaben!$B$17)*Eingaben!$B$16,0)</f>
        <v>0.855</v>
      </c>
      <c r="F2508" s="13" t="n">
        <f aca="false">IFERROR(E2508*Eingaben!$B$15,0)</f>
        <v>0.7695</v>
      </c>
      <c r="G2508" s="13" t="n">
        <f aca="false">IFERROR(IF(Kalender!A312="",0,J2507*(1-Eingaben!$B$20)),0)</f>
        <v>0.226233</v>
      </c>
      <c r="H2508" s="13" t="n">
        <f aca="false">MIN(G2508,D2508)</f>
        <v>0.226233</v>
      </c>
      <c r="I2508" s="13" t="n">
        <f aca="false">IFERROR(MIN(F2508*Eingaben!$B$19,MAX(0,D2508-H2508)),0)</f>
        <v>0.53865</v>
      </c>
      <c r="J2508" s="13" t="n">
        <f aca="false">IFERROR(MIN(Eingaben!$B$18,MAX(0,F2508-I2508)),0)</f>
        <v>0.23085</v>
      </c>
      <c r="K2508" s="13" t="n">
        <f aca="false">H2508+I2508</f>
        <v>0.764883</v>
      </c>
      <c r="L2508" s="13" t="n">
        <f aca="false">MAX(0,D2508-K2508)</f>
        <v>3.285117</v>
      </c>
      <c r="M2508" s="13" t="n">
        <f aca="false">MAX(0,F2508-I2508-J2508)</f>
        <v>0</v>
      </c>
      <c r="N2508" s="13" t="n">
        <f aca="false">IF(Kalender!A312="",0,J2507-H2508)</f>
        <v>0.00461700000000001</v>
      </c>
    </row>
    <row r="2509" customFormat="false" ht="16.4" hidden="false" customHeight="false" outlineLevel="0" collapsed="false">
      <c r="A2509" s="13" t="str">
        <f aca="false">""</f>
        <v/>
      </c>
      <c r="B2509" s="13" t="n">
        <f aca="false">309</f>
        <v>309</v>
      </c>
      <c r="C2509" s="13" t="n">
        <f aca="false">IF(Szenarien!$H$17="OK",(IFERROR(SUMIF(Nutzungsprofile!$B$6:$B$11,"Schulbetrieb",Nutzungsprofile!$G$6:$G$11)*Kalender!C313/SUM(Kalender!$C$5:$C$370),0)+IFERROR(SUMIF(Nutzungsprofile!$B$6:$B$11,"Halle",Nutzungsprofile!$G$6:$G$11)*Kalender!D313/SUM(Kalender!$D$5:$D$370),0)+IFERROR(SUMIF(Nutzungsprofile!$B$6:$B$11,"Individuell",Nutzungsprofile!$G$6:$G$11)*Kalender!E313/SUM(Kalender!$E$5:$E$370),0))*Szenarien!$E$17,0)</f>
        <v>0.9</v>
      </c>
      <c r="D2509" s="13" t="n">
        <f aca="false">IF(Szenarien!$H$17="OK",(IFERROR(SUMIF(Nutzungsprofile!$B$17:$B$22,"Schulbetrieb",Nutzungsprofile!$G$17:$G$22)*Kalender!C313/SUM(Kalender!$C$5:$C$370),0)+IFERROR(SUMIF(Nutzungsprofile!$B$17:$B$22,"Halle",Nutzungsprofile!$G$17:$G$22)*Kalender!D313/SUM(Kalender!$D$5:$D$370),0)+IFERROR(SUMIF(Nutzungsprofile!$B$17:$B$22,"Individuell",Nutzungsprofile!$G$17:$G$22)*Kalender!E313/SUM(Kalender!$E$5:$E$370),0))*Szenarien!$D$17,0)</f>
        <v>4.05</v>
      </c>
      <c r="E2509" s="13" t="n">
        <f aca="false">IFERROR(MIN(C2509,Eingaben!$B$17)*Eingaben!$B$16,0)</f>
        <v>0.855</v>
      </c>
      <c r="F2509" s="13" t="n">
        <f aca="false">IFERROR(E2509*Eingaben!$B$15,0)</f>
        <v>0.7695</v>
      </c>
      <c r="G2509" s="13" t="n">
        <f aca="false">IFERROR(IF(Kalender!A313="",0,J2508*(1-Eingaben!$B$20)),0)</f>
        <v>0.226233</v>
      </c>
      <c r="H2509" s="13" t="n">
        <f aca="false">MIN(G2509,D2509)</f>
        <v>0.226233</v>
      </c>
      <c r="I2509" s="13" t="n">
        <f aca="false">IFERROR(MIN(F2509*Eingaben!$B$19,MAX(0,D2509-H2509)),0)</f>
        <v>0.53865</v>
      </c>
      <c r="J2509" s="13" t="n">
        <f aca="false">IFERROR(MIN(Eingaben!$B$18,MAX(0,F2509-I2509)),0)</f>
        <v>0.23085</v>
      </c>
      <c r="K2509" s="13" t="n">
        <f aca="false">H2509+I2509</f>
        <v>0.764883</v>
      </c>
      <c r="L2509" s="13" t="n">
        <f aca="false">MAX(0,D2509-K2509)</f>
        <v>3.285117</v>
      </c>
      <c r="M2509" s="13" t="n">
        <f aca="false">MAX(0,F2509-I2509-J2509)</f>
        <v>0</v>
      </c>
      <c r="N2509" s="13" t="n">
        <f aca="false">IF(Kalender!A313="",0,J2508-H2509)</f>
        <v>0.00461700000000001</v>
      </c>
    </row>
    <row r="2510" customFormat="false" ht="16.4" hidden="false" customHeight="false" outlineLevel="0" collapsed="false">
      <c r="A2510" s="13" t="str">
        <f aca="false">""</f>
        <v/>
      </c>
      <c r="B2510" s="13" t="n">
        <f aca="false">310</f>
        <v>310</v>
      </c>
      <c r="C2510" s="13" t="n">
        <f aca="false">IF(Szenarien!$H$17="OK",(IFERROR(SUMIF(Nutzungsprofile!$B$6:$B$11,"Schulbetrieb",Nutzungsprofile!$G$6:$G$11)*Kalender!C314/SUM(Kalender!$C$5:$C$370),0)+IFERROR(SUMIF(Nutzungsprofile!$B$6:$B$11,"Halle",Nutzungsprofile!$G$6:$G$11)*Kalender!D314/SUM(Kalender!$D$5:$D$370),0)+IFERROR(SUMIF(Nutzungsprofile!$B$6:$B$11,"Individuell",Nutzungsprofile!$G$6:$G$11)*Kalender!E314/SUM(Kalender!$E$5:$E$370),0))*Szenarien!$E$17,0)</f>
        <v>0.9</v>
      </c>
      <c r="D2510" s="13" t="n">
        <f aca="false">IF(Szenarien!$H$17="OK",(IFERROR(SUMIF(Nutzungsprofile!$B$17:$B$22,"Schulbetrieb",Nutzungsprofile!$G$17:$G$22)*Kalender!C314/SUM(Kalender!$C$5:$C$370),0)+IFERROR(SUMIF(Nutzungsprofile!$B$17:$B$22,"Halle",Nutzungsprofile!$G$17:$G$22)*Kalender!D314/SUM(Kalender!$D$5:$D$370),0)+IFERROR(SUMIF(Nutzungsprofile!$B$17:$B$22,"Individuell",Nutzungsprofile!$G$17:$G$22)*Kalender!E314/SUM(Kalender!$E$5:$E$370),0))*Szenarien!$D$17,0)</f>
        <v>4.05</v>
      </c>
      <c r="E2510" s="13" t="n">
        <f aca="false">IFERROR(MIN(C2510,Eingaben!$B$17)*Eingaben!$B$16,0)</f>
        <v>0.855</v>
      </c>
      <c r="F2510" s="13" t="n">
        <f aca="false">IFERROR(E2510*Eingaben!$B$15,0)</f>
        <v>0.7695</v>
      </c>
      <c r="G2510" s="13" t="n">
        <f aca="false">IFERROR(IF(Kalender!A314="",0,J2509*(1-Eingaben!$B$20)),0)</f>
        <v>0.226233</v>
      </c>
      <c r="H2510" s="13" t="n">
        <f aca="false">MIN(G2510,D2510)</f>
        <v>0.226233</v>
      </c>
      <c r="I2510" s="13" t="n">
        <f aca="false">IFERROR(MIN(F2510*Eingaben!$B$19,MAX(0,D2510-H2510)),0)</f>
        <v>0.53865</v>
      </c>
      <c r="J2510" s="13" t="n">
        <f aca="false">IFERROR(MIN(Eingaben!$B$18,MAX(0,F2510-I2510)),0)</f>
        <v>0.23085</v>
      </c>
      <c r="K2510" s="13" t="n">
        <f aca="false">H2510+I2510</f>
        <v>0.764883</v>
      </c>
      <c r="L2510" s="13" t="n">
        <f aca="false">MAX(0,D2510-K2510)</f>
        <v>3.285117</v>
      </c>
      <c r="M2510" s="13" t="n">
        <f aca="false">MAX(0,F2510-I2510-J2510)</f>
        <v>0</v>
      </c>
      <c r="N2510" s="13" t="n">
        <f aca="false">IF(Kalender!A314="",0,J2509-H2510)</f>
        <v>0.00461700000000001</v>
      </c>
    </row>
    <row r="2511" customFormat="false" ht="16.4" hidden="false" customHeight="false" outlineLevel="0" collapsed="false">
      <c r="A2511" s="13" t="str">
        <f aca="false">""</f>
        <v/>
      </c>
      <c r="B2511" s="13" t="n">
        <f aca="false">311</f>
        <v>311</v>
      </c>
      <c r="C2511" s="13" t="n">
        <f aca="false">IF(Szenarien!$H$17="OK",(IFERROR(SUMIF(Nutzungsprofile!$B$6:$B$11,"Schulbetrieb",Nutzungsprofile!$G$6:$G$11)*Kalender!C315/SUM(Kalender!$C$5:$C$370),0)+IFERROR(SUMIF(Nutzungsprofile!$B$6:$B$11,"Halle",Nutzungsprofile!$G$6:$G$11)*Kalender!D315/SUM(Kalender!$D$5:$D$370),0)+IFERROR(SUMIF(Nutzungsprofile!$B$6:$B$11,"Individuell",Nutzungsprofile!$G$6:$G$11)*Kalender!E315/SUM(Kalender!$E$5:$E$370),0))*Szenarien!$E$17,0)</f>
        <v>0</v>
      </c>
      <c r="D2511" s="13" t="n">
        <f aca="false">IF(Szenarien!$H$17="OK",(IFERROR(SUMIF(Nutzungsprofile!$B$17:$B$22,"Schulbetrieb",Nutzungsprofile!$G$17:$G$22)*Kalender!C315/SUM(Kalender!$C$5:$C$370),0)+IFERROR(SUMIF(Nutzungsprofile!$B$17:$B$22,"Halle",Nutzungsprofile!$G$17:$G$22)*Kalender!D315/SUM(Kalender!$D$5:$D$370),0)+IFERROR(SUMIF(Nutzungsprofile!$B$17:$B$22,"Individuell",Nutzungsprofile!$G$17:$G$22)*Kalender!E315/SUM(Kalender!$E$5:$E$370),0))*Szenarien!$D$17,0)</f>
        <v>0</v>
      </c>
      <c r="E2511" s="13" t="n">
        <f aca="false">IFERROR(MIN(C2511,Eingaben!$B$17)*Eingaben!$B$16,0)</f>
        <v>0</v>
      </c>
      <c r="F2511" s="13" t="n">
        <f aca="false">IFERROR(E2511*Eingaben!$B$15,0)</f>
        <v>0</v>
      </c>
      <c r="G2511" s="13" t="n">
        <f aca="false">IFERROR(IF(Kalender!A315="",0,J2510*(1-Eingaben!$B$20)),0)</f>
        <v>0.226233</v>
      </c>
      <c r="H2511" s="13" t="n">
        <f aca="false">MIN(G2511,D2511)</f>
        <v>0</v>
      </c>
      <c r="I2511" s="13" t="n">
        <f aca="false">IFERROR(MIN(F2511*Eingaben!$B$19,MAX(0,D2511-H2511)),0)</f>
        <v>0</v>
      </c>
      <c r="J2511" s="13" t="n">
        <f aca="false">IFERROR(MIN(Eingaben!$B$18,MAX(0,F2511-I2511)),0)</f>
        <v>0</v>
      </c>
      <c r="K2511" s="13" t="n">
        <f aca="false">H2511+I2511</f>
        <v>0</v>
      </c>
      <c r="L2511" s="13" t="n">
        <f aca="false">MAX(0,D2511-K2511)</f>
        <v>0</v>
      </c>
      <c r="M2511" s="13" t="n">
        <f aca="false">MAX(0,F2511-I2511-J2511)</f>
        <v>0</v>
      </c>
      <c r="N2511" s="13" t="n">
        <f aca="false">IF(Kalender!A315="",0,J2510-H2511)</f>
        <v>0.23085</v>
      </c>
    </row>
    <row r="2512" customFormat="false" ht="16.4" hidden="false" customHeight="false" outlineLevel="0" collapsed="false">
      <c r="A2512" s="13" t="str">
        <f aca="false">""</f>
        <v/>
      </c>
      <c r="B2512" s="13" t="n">
        <f aca="false">312</f>
        <v>312</v>
      </c>
      <c r="C2512" s="13" t="n">
        <f aca="false">IF(Szenarien!$H$17="OK",(IFERROR(SUMIF(Nutzungsprofile!$B$6:$B$11,"Schulbetrieb",Nutzungsprofile!$G$6:$G$11)*Kalender!C316/SUM(Kalender!$C$5:$C$370),0)+IFERROR(SUMIF(Nutzungsprofile!$B$6:$B$11,"Halle",Nutzungsprofile!$G$6:$G$11)*Kalender!D316/SUM(Kalender!$D$5:$D$370),0)+IFERROR(SUMIF(Nutzungsprofile!$B$6:$B$11,"Individuell",Nutzungsprofile!$G$6:$G$11)*Kalender!E316/SUM(Kalender!$E$5:$E$370),0))*Szenarien!$E$17,0)</f>
        <v>0</v>
      </c>
      <c r="D2512" s="13" t="n">
        <f aca="false">IF(Szenarien!$H$17="OK",(IFERROR(SUMIF(Nutzungsprofile!$B$17:$B$22,"Schulbetrieb",Nutzungsprofile!$G$17:$G$22)*Kalender!C316/SUM(Kalender!$C$5:$C$370),0)+IFERROR(SUMIF(Nutzungsprofile!$B$17:$B$22,"Halle",Nutzungsprofile!$G$17:$G$22)*Kalender!D316/SUM(Kalender!$D$5:$D$370),0)+IFERROR(SUMIF(Nutzungsprofile!$B$17:$B$22,"Individuell",Nutzungsprofile!$G$17:$G$22)*Kalender!E316/SUM(Kalender!$E$5:$E$370),0))*Szenarien!$D$17,0)</f>
        <v>0</v>
      </c>
      <c r="E2512" s="13" t="n">
        <f aca="false">IFERROR(MIN(C2512,Eingaben!$B$17)*Eingaben!$B$16,0)</f>
        <v>0</v>
      </c>
      <c r="F2512" s="13" t="n">
        <f aca="false">IFERROR(E2512*Eingaben!$B$15,0)</f>
        <v>0</v>
      </c>
      <c r="G2512" s="13" t="n">
        <f aca="false">IFERROR(IF(Kalender!A316="",0,J2511*(1-Eingaben!$B$20)),0)</f>
        <v>0</v>
      </c>
      <c r="H2512" s="13" t="n">
        <f aca="false">MIN(G2512,D2512)</f>
        <v>0</v>
      </c>
      <c r="I2512" s="13" t="n">
        <f aca="false">IFERROR(MIN(F2512*Eingaben!$B$19,MAX(0,D2512-H2512)),0)</f>
        <v>0</v>
      </c>
      <c r="J2512" s="13" t="n">
        <f aca="false">IFERROR(MIN(Eingaben!$B$18,MAX(0,F2512-I2512)),0)</f>
        <v>0</v>
      </c>
      <c r="K2512" s="13" t="n">
        <f aca="false">H2512+I2512</f>
        <v>0</v>
      </c>
      <c r="L2512" s="13" t="n">
        <f aca="false">MAX(0,D2512-K2512)</f>
        <v>0</v>
      </c>
      <c r="M2512" s="13" t="n">
        <f aca="false">MAX(0,F2512-I2512-J2512)</f>
        <v>0</v>
      </c>
      <c r="N2512" s="13" t="n">
        <f aca="false">IF(Kalender!A316="",0,J2511-H2512)</f>
        <v>0</v>
      </c>
    </row>
    <row r="2513" customFormat="false" ht="16.4" hidden="false" customHeight="false" outlineLevel="0" collapsed="false">
      <c r="A2513" s="13" t="str">
        <f aca="false">""</f>
        <v/>
      </c>
      <c r="B2513" s="13" t="n">
        <f aca="false">313</f>
        <v>313</v>
      </c>
      <c r="C2513" s="13" t="n">
        <f aca="false">IF(Szenarien!$H$17="OK",(IFERROR(SUMIF(Nutzungsprofile!$B$6:$B$11,"Schulbetrieb",Nutzungsprofile!$G$6:$G$11)*Kalender!C317/SUM(Kalender!$C$5:$C$370),0)+IFERROR(SUMIF(Nutzungsprofile!$B$6:$B$11,"Halle",Nutzungsprofile!$G$6:$G$11)*Kalender!D317/SUM(Kalender!$D$5:$D$370),0)+IFERROR(SUMIF(Nutzungsprofile!$B$6:$B$11,"Individuell",Nutzungsprofile!$G$6:$G$11)*Kalender!E317/SUM(Kalender!$E$5:$E$370),0))*Szenarien!$E$17,0)</f>
        <v>0.9</v>
      </c>
      <c r="D2513" s="13" t="n">
        <f aca="false">IF(Szenarien!$H$17="OK",(IFERROR(SUMIF(Nutzungsprofile!$B$17:$B$22,"Schulbetrieb",Nutzungsprofile!$G$17:$G$22)*Kalender!C317/SUM(Kalender!$C$5:$C$370),0)+IFERROR(SUMIF(Nutzungsprofile!$B$17:$B$22,"Halle",Nutzungsprofile!$G$17:$G$22)*Kalender!D317/SUM(Kalender!$D$5:$D$370),0)+IFERROR(SUMIF(Nutzungsprofile!$B$17:$B$22,"Individuell",Nutzungsprofile!$G$17:$G$22)*Kalender!E317/SUM(Kalender!$E$5:$E$370),0))*Szenarien!$D$17,0)</f>
        <v>4.05</v>
      </c>
      <c r="E2513" s="13" t="n">
        <f aca="false">IFERROR(MIN(C2513,Eingaben!$B$17)*Eingaben!$B$16,0)</f>
        <v>0.855</v>
      </c>
      <c r="F2513" s="13" t="n">
        <f aca="false">IFERROR(E2513*Eingaben!$B$15,0)</f>
        <v>0.7695</v>
      </c>
      <c r="G2513" s="13" t="n">
        <f aca="false">IFERROR(IF(Kalender!A317="",0,J2512*(1-Eingaben!$B$20)),0)</f>
        <v>0</v>
      </c>
      <c r="H2513" s="13" t="n">
        <f aca="false">MIN(G2513,D2513)</f>
        <v>0</v>
      </c>
      <c r="I2513" s="13" t="n">
        <f aca="false">IFERROR(MIN(F2513*Eingaben!$B$19,MAX(0,D2513-H2513)),0)</f>
        <v>0.53865</v>
      </c>
      <c r="J2513" s="13" t="n">
        <f aca="false">IFERROR(MIN(Eingaben!$B$18,MAX(0,F2513-I2513)),0)</f>
        <v>0.23085</v>
      </c>
      <c r="K2513" s="13" t="n">
        <f aca="false">H2513+I2513</f>
        <v>0.53865</v>
      </c>
      <c r="L2513" s="13" t="n">
        <f aca="false">MAX(0,D2513-K2513)</f>
        <v>3.51135</v>
      </c>
      <c r="M2513" s="13" t="n">
        <f aca="false">MAX(0,F2513-I2513-J2513)</f>
        <v>0</v>
      </c>
      <c r="N2513" s="13" t="n">
        <f aca="false">IF(Kalender!A317="",0,J2512-H2513)</f>
        <v>0</v>
      </c>
    </row>
    <row r="2514" customFormat="false" ht="16.4" hidden="false" customHeight="false" outlineLevel="0" collapsed="false">
      <c r="A2514" s="13" t="str">
        <f aca="false">""</f>
        <v/>
      </c>
      <c r="B2514" s="13" t="n">
        <f aca="false">314</f>
        <v>314</v>
      </c>
      <c r="C2514" s="13" t="n">
        <f aca="false">IF(Szenarien!$H$17="OK",(IFERROR(SUMIF(Nutzungsprofile!$B$6:$B$11,"Schulbetrieb",Nutzungsprofile!$G$6:$G$11)*Kalender!C318/SUM(Kalender!$C$5:$C$370),0)+IFERROR(SUMIF(Nutzungsprofile!$B$6:$B$11,"Halle",Nutzungsprofile!$G$6:$G$11)*Kalender!D318/SUM(Kalender!$D$5:$D$370),0)+IFERROR(SUMIF(Nutzungsprofile!$B$6:$B$11,"Individuell",Nutzungsprofile!$G$6:$G$11)*Kalender!E318/SUM(Kalender!$E$5:$E$370),0))*Szenarien!$E$17,0)</f>
        <v>0.9</v>
      </c>
      <c r="D2514" s="13" t="n">
        <f aca="false">IF(Szenarien!$H$17="OK",(IFERROR(SUMIF(Nutzungsprofile!$B$17:$B$22,"Schulbetrieb",Nutzungsprofile!$G$17:$G$22)*Kalender!C318/SUM(Kalender!$C$5:$C$370),0)+IFERROR(SUMIF(Nutzungsprofile!$B$17:$B$22,"Halle",Nutzungsprofile!$G$17:$G$22)*Kalender!D318/SUM(Kalender!$D$5:$D$370),0)+IFERROR(SUMIF(Nutzungsprofile!$B$17:$B$22,"Individuell",Nutzungsprofile!$G$17:$G$22)*Kalender!E318/SUM(Kalender!$E$5:$E$370),0))*Szenarien!$D$17,0)</f>
        <v>4.05</v>
      </c>
      <c r="E2514" s="13" t="n">
        <f aca="false">IFERROR(MIN(C2514,Eingaben!$B$17)*Eingaben!$B$16,0)</f>
        <v>0.855</v>
      </c>
      <c r="F2514" s="13" t="n">
        <f aca="false">IFERROR(E2514*Eingaben!$B$15,0)</f>
        <v>0.7695</v>
      </c>
      <c r="G2514" s="13" t="n">
        <f aca="false">IFERROR(IF(Kalender!A318="",0,J2513*(1-Eingaben!$B$20)),0)</f>
        <v>0.226233</v>
      </c>
      <c r="H2514" s="13" t="n">
        <f aca="false">MIN(G2514,D2514)</f>
        <v>0.226233</v>
      </c>
      <c r="I2514" s="13" t="n">
        <f aca="false">IFERROR(MIN(F2514*Eingaben!$B$19,MAX(0,D2514-H2514)),0)</f>
        <v>0.53865</v>
      </c>
      <c r="J2514" s="13" t="n">
        <f aca="false">IFERROR(MIN(Eingaben!$B$18,MAX(0,F2514-I2514)),0)</f>
        <v>0.23085</v>
      </c>
      <c r="K2514" s="13" t="n">
        <f aca="false">H2514+I2514</f>
        <v>0.764883</v>
      </c>
      <c r="L2514" s="13" t="n">
        <f aca="false">MAX(0,D2514-K2514)</f>
        <v>3.285117</v>
      </c>
      <c r="M2514" s="13" t="n">
        <f aca="false">MAX(0,F2514-I2514-J2514)</f>
        <v>0</v>
      </c>
      <c r="N2514" s="13" t="n">
        <f aca="false">IF(Kalender!A318="",0,J2513-H2514)</f>
        <v>0.00461700000000001</v>
      </c>
    </row>
    <row r="2515" customFormat="false" ht="16.4" hidden="false" customHeight="false" outlineLevel="0" collapsed="false">
      <c r="A2515" s="13" t="str">
        <f aca="false">""</f>
        <v/>
      </c>
      <c r="B2515" s="13" t="n">
        <f aca="false">315</f>
        <v>315</v>
      </c>
      <c r="C2515" s="13" t="n">
        <f aca="false">IF(Szenarien!$H$17="OK",(IFERROR(SUMIF(Nutzungsprofile!$B$6:$B$11,"Schulbetrieb",Nutzungsprofile!$G$6:$G$11)*Kalender!C319/SUM(Kalender!$C$5:$C$370),0)+IFERROR(SUMIF(Nutzungsprofile!$B$6:$B$11,"Halle",Nutzungsprofile!$G$6:$G$11)*Kalender!D319/SUM(Kalender!$D$5:$D$370),0)+IFERROR(SUMIF(Nutzungsprofile!$B$6:$B$11,"Individuell",Nutzungsprofile!$G$6:$G$11)*Kalender!E319/SUM(Kalender!$E$5:$E$370),0))*Szenarien!$E$17,0)</f>
        <v>0.9</v>
      </c>
      <c r="D2515" s="13" t="n">
        <f aca="false">IF(Szenarien!$H$17="OK",(IFERROR(SUMIF(Nutzungsprofile!$B$17:$B$22,"Schulbetrieb",Nutzungsprofile!$G$17:$G$22)*Kalender!C319/SUM(Kalender!$C$5:$C$370),0)+IFERROR(SUMIF(Nutzungsprofile!$B$17:$B$22,"Halle",Nutzungsprofile!$G$17:$G$22)*Kalender!D319/SUM(Kalender!$D$5:$D$370),0)+IFERROR(SUMIF(Nutzungsprofile!$B$17:$B$22,"Individuell",Nutzungsprofile!$G$17:$G$22)*Kalender!E319/SUM(Kalender!$E$5:$E$370),0))*Szenarien!$D$17,0)</f>
        <v>4.05</v>
      </c>
      <c r="E2515" s="13" t="n">
        <f aca="false">IFERROR(MIN(C2515,Eingaben!$B$17)*Eingaben!$B$16,0)</f>
        <v>0.855</v>
      </c>
      <c r="F2515" s="13" t="n">
        <f aca="false">IFERROR(E2515*Eingaben!$B$15,0)</f>
        <v>0.7695</v>
      </c>
      <c r="G2515" s="13" t="n">
        <f aca="false">IFERROR(IF(Kalender!A319="",0,J2514*(1-Eingaben!$B$20)),0)</f>
        <v>0.226233</v>
      </c>
      <c r="H2515" s="13" t="n">
        <f aca="false">MIN(G2515,D2515)</f>
        <v>0.226233</v>
      </c>
      <c r="I2515" s="13" t="n">
        <f aca="false">IFERROR(MIN(F2515*Eingaben!$B$19,MAX(0,D2515-H2515)),0)</f>
        <v>0.53865</v>
      </c>
      <c r="J2515" s="13" t="n">
        <f aca="false">IFERROR(MIN(Eingaben!$B$18,MAX(0,F2515-I2515)),0)</f>
        <v>0.23085</v>
      </c>
      <c r="K2515" s="13" t="n">
        <f aca="false">H2515+I2515</f>
        <v>0.764883</v>
      </c>
      <c r="L2515" s="13" t="n">
        <f aca="false">MAX(0,D2515-K2515)</f>
        <v>3.285117</v>
      </c>
      <c r="M2515" s="13" t="n">
        <f aca="false">MAX(0,F2515-I2515-J2515)</f>
        <v>0</v>
      </c>
      <c r="N2515" s="13" t="n">
        <f aca="false">IF(Kalender!A319="",0,J2514-H2515)</f>
        <v>0.00461700000000001</v>
      </c>
    </row>
    <row r="2516" customFormat="false" ht="16.4" hidden="false" customHeight="false" outlineLevel="0" collapsed="false">
      <c r="A2516" s="13" t="str">
        <f aca="false">""</f>
        <v/>
      </c>
      <c r="B2516" s="13" t="n">
        <f aca="false">316</f>
        <v>316</v>
      </c>
      <c r="C2516" s="13" t="n">
        <f aca="false">IF(Szenarien!$H$17="OK",(IFERROR(SUMIF(Nutzungsprofile!$B$6:$B$11,"Schulbetrieb",Nutzungsprofile!$G$6:$G$11)*Kalender!C320/SUM(Kalender!$C$5:$C$370),0)+IFERROR(SUMIF(Nutzungsprofile!$B$6:$B$11,"Halle",Nutzungsprofile!$G$6:$G$11)*Kalender!D320/SUM(Kalender!$D$5:$D$370),0)+IFERROR(SUMIF(Nutzungsprofile!$B$6:$B$11,"Individuell",Nutzungsprofile!$G$6:$G$11)*Kalender!E320/SUM(Kalender!$E$5:$E$370),0))*Szenarien!$E$17,0)</f>
        <v>0.9</v>
      </c>
      <c r="D2516" s="13" t="n">
        <f aca="false">IF(Szenarien!$H$17="OK",(IFERROR(SUMIF(Nutzungsprofile!$B$17:$B$22,"Schulbetrieb",Nutzungsprofile!$G$17:$G$22)*Kalender!C320/SUM(Kalender!$C$5:$C$370),0)+IFERROR(SUMIF(Nutzungsprofile!$B$17:$B$22,"Halle",Nutzungsprofile!$G$17:$G$22)*Kalender!D320/SUM(Kalender!$D$5:$D$370),0)+IFERROR(SUMIF(Nutzungsprofile!$B$17:$B$22,"Individuell",Nutzungsprofile!$G$17:$G$22)*Kalender!E320/SUM(Kalender!$E$5:$E$370),0))*Szenarien!$D$17,0)</f>
        <v>4.05</v>
      </c>
      <c r="E2516" s="13" t="n">
        <f aca="false">IFERROR(MIN(C2516,Eingaben!$B$17)*Eingaben!$B$16,0)</f>
        <v>0.855</v>
      </c>
      <c r="F2516" s="13" t="n">
        <f aca="false">IFERROR(E2516*Eingaben!$B$15,0)</f>
        <v>0.7695</v>
      </c>
      <c r="G2516" s="13" t="n">
        <f aca="false">IFERROR(IF(Kalender!A320="",0,J2515*(1-Eingaben!$B$20)),0)</f>
        <v>0.226233</v>
      </c>
      <c r="H2516" s="13" t="n">
        <f aca="false">MIN(G2516,D2516)</f>
        <v>0.226233</v>
      </c>
      <c r="I2516" s="13" t="n">
        <f aca="false">IFERROR(MIN(F2516*Eingaben!$B$19,MAX(0,D2516-H2516)),0)</f>
        <v>0.53865</v>
      </c>
      <c r="J2516" s="13" t="n">
        <f aca="false">IFERROR(MIN(Eingaben!$B$18,MAX(0,F2516-I2516)),0)</f>
        <v>0.23085</v>
      </c>
      <c r="K2516" s="13" t="n">
        <f aca="false">H2516+I2516</f>
        <v>0.764883</v>
      </c>
      <c r="L2516" s="13" t="n">
        <f aca="false">MAX(0,D2516-K2516)</f>
        <v>3.285117</v>
      </c>
      <c r="M2516" s="13" t="n">
        <f aca="false">MAX(0,F2516-I2516-J2516)</f>
        <v>0</v>
      </c>
      <c r="N2516" s="13" t="n">
        <f aca="false">IF(Kalender!A320="",0,J2515-H2516)</f>
        <v>0.00461700000000001</v>
      </c>
    </row>
    <row r="2517" customFormat="false" ht="16.4" hidden="false" customHeight="false" outlineLevel="0" collapsed="false">
      <c r="A2517" s="13" t="str">
        <f aca="false">""</f>
        <v/>
      </c>
      <c r="B2517" s="13" t="n">
        <f aca="false">317</f>
        <v>317</v>
      </c>
      <c r="C2517" s="13" t="n">
        <f aca="false">IF(Szenarien!$H$17="OK",(IFERROR(SUMIF(Nutzungsprofile!$B$6:$B$11,"Schulbetrieb",Nutzungsprofile!$G$6:$G$11)*Kalender!C321/SUM(Kalender!$C$5:$C$370),0)+IFERROR(SUMIF(Nutzungsprofile!$B$6:$B$11,"Halle",Nutzungsprofile!$G$6:$G$11)*Kalender!D321/SUM(Kalender!$D$5:$D$370),0)+IFERROR(SUMIF(Nutzungsprofile!$B$6:$B$11,"Individuell",Nutzungsprofile!$G$6:$G$11)*Kalender!E321/SUM(Kalender!$E$5:$E$370),0))*Szenarien!$E$17,0)</f>
        <v>0.9</v>
      </c>
      <c r="D2517" s="13" t="n">
        <f aca="false">IF(Szenarien!$H$17="OK",(IFERROR(SUMIF(Nutzungsprofile!$B$17:$B$22,"Schulbetrieb",Nutzungsprofile!$G$17:$G$22)*Kalender!C321/SUM(Kalender!$C$5:$C$370),0)+IFERROR(SUMIF(Nutzungsprofile!$B$17:$B$22,"Halle",Nutzungsprofile!$G$17:$G$22)*Kalender!D321/SUM(Kalender!$D$5:$D$370),0)+IFERROR(SUMIF(Nutzungsprofile!$B$17:$B$22,"Individuell",Nutzungsprofile!$G$17:$G$22)*Kalender!E321/SUM(Kalender!$E$5:$E$370),0))*Szenarien!$D$17,0)</f>
        <v>4.05</v>
      </c>
      <c r="E2517" s="13" t="n">
        <f aca="false">IFERROR(MIN(C2517,Eingaben!$B$17)*Eingaben!$B$16,0)</f>
        <v>0.855</v>
      </c>
      <c r="F2517" s="13" t="n">
        <f aca="false">IFERROR(E2517*Eingaben!$B$15,0)</f>
        <v>0.7695</v>
      </c>
      <c r="G2517" s="13" t="n">
        <f aca="false">IFERROR(IF(Kalender!A321="",0,J2516*(1-Eingaben!$B$20)),0)</f>
        <v>0.226233</v>
      </c>
      <c r="H2517" s="13" t="n">
        <f aca="false">MIN(G2517,D2517)</f>
        <v>0.226233</v>
      </c>
      <c r="I2517" s="13" t="n">
        <f aca="false">IFERROR(MIN(F2517*Eingaben!$B$19,MAX(0,D2517-H2517)),0)</f>
        <v>0.53865</v>
      </c>
      <c r="J2517" s="13" t="n">
        <f aca="false">IFERROR(MIN(Eingaben!$B$18,MAX(0,F2517-I2517)),0)</f>
        <v>0.23085</v>
      </c>
      <c r="K2517" s="13" t="n">
        <f aca="false">H2517+I2517</f>
        <v>0.764883</v>
      </c>
      <c r="L2517" s="13" t="n">
        <f aca="false">MAX(0,D2517-K2517)</f>
        <v>3.285117</v>
      </c>
      <c r="M2517" s="13" t="n">
        <f aca="false">MAX(0,F2517-I2517-J2517)</f>
        <v>0</v>
      </c>
      <c r="N2517" s="13" t="n">
        <f aca="false">IF(Kalender!A321="",0,J2516-H2517)</f>
        <v>0.00461700000000001</v>
      </c>
    </row>
    <row r="2518" customFormat="false" ht="16.4" hidden="false" customHeight="false" outlineLevel="0" collapsed="false">
      <c r="A2518" s="13" t="str">
        <f aca="false">""</f>
        <v/>
      </c>
      <c r="B2518" s="13" t="n">
        <f aca="false">318</f>
        <v>318</v>
      </c>
      <c r="C2518" s="13" t="n">
        <f aca="false">IF(Szenarien!$H$17="OK",(IFERROR(SUMIF(Nutzungsprofile!$B$6:$B$11,"Schulbetrieb",Nutzungsprofile!$G$6:$G$11)*Kalender!C322/SUM(Kalender!$C$5:$C$370),0)+IFERROR(SUMIF(Nutzungsprofile!$B$6:$B$11,"Halle",Nutzungsprofile!$G$6:$G$11)*Kalender!D322/SUM(Kalender!$D$5:$D$370),0)+IFERROR(SUMIF(Nutzungsprofile!$B$6:$B$11,"Individuell",Nutzungsprofile!$G$6:$G$11)*Kalender!E322/SUM(Kalender!$E$5:$E$370),0))*Szenarien!$E$17,0)</f>
        <v>0</v>
      </c>
      <c r="D2518" s="13" t="n">
        <f aca="false">IF(Szenarien!$H$17="OK",(IFERROR(SUMIF(Nutzungsprofile!$B$17:$B$22,"Schulbetrieb",Nutzungsprofile!$G$17:$G$22)*Kalender!C322/SUM(Kalender!$C$5:$C$370),0)+IFERROR(SUMIF(Nutzungsprofile!$B$17:$B$22,"Halle",Nutzungsprofile!$G$17:$G$22)*Kalender!D322/SUM(Kalender!$D$5:$D$370),0)+IFERROR(SUMIF(Nutzungsprofile!$B$17:$B$22,"Individuell",Nutzungsprofile!$G$17:$G$22)*Kalender!E322/SUM(Kalender!$E$5:$E$370),0))*Szenarien!$D$17,0)</f>
        <v>0</v>
      </c>
      <c r="E2518" s="13" t="n">
        <f aca="false">IFERROR(MIN(C2518,Eingaben!$B$17)*Eingaben!$B$16,0)</f>
        <v>0</v>
      </c>
      <c r="F2518" s="13" t="n">
        <f aca="false">IFERROR(E2518*Eingaben!$B$15,0)</f>
        <v>0</v>
      </c>
      <c r="G2518" s="13" t="n">
        <f aca="false">IFERROR(IF(Kalender!A322="",0,J2517*(1-Eingaben!$B$20)),0)</f>
        <v>0.226233</v>
      </c>
      <c r="H2518" s="13" t="n">
        <f aca="false">MIN(G2518,D2518)</f>
        <v>0</v>
      </c>
      <c r="I2518" s="13" t="n">
        <f aca="false">IFERROR(MIN(F2518*Eingaben!$B$19,MAX(0,D2518-H2518)),0)</f>
        <v>0</v>
      </c>
      <c r="J2518" s="13" t="n">
        <f aca="false">IFERROR(MIN(Eingaben!$B$18,MAX(0,F2518-I2518)),0)</f>
        <v>0</v>
      </c>
      <c r="K2518" s="13" t="n">
        <f aca="false">H2518+I2518</f>
        <v>0</v>
      </c>
      <c r="L2518" s="13" t="n">
        <f aca="false">MAX(0,D2518-K2518)</f>
        <v>0</v>
      </c>
      <c r="M2518" s="13" t="n">
        <f aca="false">MAX(0,F2518-I2518-J2518)</f>
        <v>0</v>
      </c>
      <c r="N2518" s="13" t="n">
        <f aca="false">IF(Kalender!A322="",0,J2517-H2518)</f>
        <v>0.23085</v>
      </c>
    </row>
    <row r="2519" customFormat="false" ht="16.4" hidden="false" customHeight="false" outlineLevel="0" collapsed="false">
      <c r="A2519" s="13" t="str">
        <f aca="false">""</f>
        <v/>
      </c>
      <c r="B2519" s="13" t="n">
        <f aca="false">319</f>
        <v>319</v>
      </c>
      <c r="C2519" s="13" t="n">
        <f aca="false">IF(Szenarien!$H$17="OK",(IFERROR(SUMIF(Nutzungsprofile!$B$6:$B$11,"Schulbetrieb",Nutzungsprofile!$G$6:$G$11)*Kalender!C323/SUM(Kalender!$C$5:$C$370),0)+IFERROR(SUMIF(Nutzungsprofile!$B$6:$B$11,"Halle",Nutzungsprofile!$G$6:$G$11)*Kalender!D323/SUM(Kalender!$D$5:$D$370),0)+IFERROR(SUMIF(Nutzungsprofile!$B$6:$B$11,"Individuell",Nutzungsprofile!$G$6:$G$11)*Kalender!E323/SUM(Kalender!$E$5:$E$370),0))*Szenarien!$E$17,0)</f>
        <v>0</v>
      </c>
      <c r="D2519" s="13" t="n">
        <f aca="false">IF(Szenarien!$H$17="OK",(IFERROR(SUMIF(Nutzungsprofile!$B$17:$B$22,"Schulbetrieb",Nutzungsprofile!$G$17:$G$22)*Kalender!C323/SUM(Kalender!$C$5:$C$370),0)+IFERROR(SUMIF(Nutzungsprofile!$B$17:$B$22,"Halle",Nutzungsprofile!$G$17:$G$22)*Kalender!D323/SUM(Kalender!$D$5:$D$370),0)+IFERROR(SUMIF(Nutzungsprofile!$B$17:$B$22,"Individuell",Nutzungsprofile!$G$17:$G$22)*Kalender!E323/SUM(Kalender!$E$5:$E$370),0))*Szenarien!$D$17,0)</f>
        <v>0</v>
      </c>
      <c r="E2519" s="13" t="n">
        <f aca="false">IFERROR(MIN(C2519,Eingaben!$B$17)*Eingaben!$B$16,0)</f>
        <v>0</v>
      </c>
      <c r="F2519" s="13" t="n">
        <f aca="false">IFERROR(E2519*Eingaben!$B$15,0)</f>
        <v>0</v>
      </c>
      <c r="G2519" s="13" t="n">
        <f aca="false">IFERROR(IF(Kalender!A323="",0,J2518*(1-Eingaben!$B$20)),0)</f>
        <v>0</v>
      </c>
      <c r="H2519" s="13" t="n">
        <f aca="false">MIN(G2519,D2519)</f>
        <v>0</v>
      </c>
      <c r="I2519" s="13" t="n">
        <f aca="false">IFERROR(MIN(F2519*Eingaben!$B$19,MAX(0,D2519-H2519)),0)</f>
        <v>0</v>
      </c>
      <c r="J2519" s="13" t="n">
        <f aca="false">IFERROR(MIN(Eingaben!$B$18,MAX(0,F2519-I2519)),0)</f>
        <v>0</v>
      </c>
      <c r="K2519" s="13" t="n">
        <f aca="false">H2519+I2519</f>
        <v>0</v>
      </c>
      <c r="L2519" s="13" t="n">
        <f aca="false">MAX(0,D2519-K2519)</f>
        <v>0</v>
      </c>
      <c r="M2519" s="13" t="n">
        <f aca="false">MAX(0,F2519-I2519-J2519)</f>
        <v>0</v>
      </c>
      <c r="N2519" s="13" t="n">
        <f aca="false">IF(Kalender!A323="",0,J2518-H2519)</f>
        <v>0</v>
      </c>
    </row>
    <row r="2520" customFormat="false" ht="16.4" hidden="false" customHeight="false" outlineLevel="0" collapsed="false">
      <c r="A2520" s="13" t="str">
        <f aca="false">""</f>
        <v/>
      </c>
      <c r="B2520" s="13" t="n">
        <f aca="false">320</f>
        <v>320</v>
      </c>
      <c r="C2520" s="13" t="n">
        <f aca="false">IF(Szenarien!$H$17="OK",(IFERROR(SUMIF(Nutzungsprofile!$B$6:$B$11,"Schulbetrieb",Nutzungsprofile!$G$6:$G$11)*Kalender!C324/SUM(Kalender!$C$5:$C$370),0)+IFERROR(SUMIF(Nutzungsprofile!$B$6:$B$11,"Halle",Nutzungsprofile!$G$6:$G$11)*Kalender!D324/SUM(Kalender!$D$5:$D$370),0)+IFERROR(SUMIF(Nutzungsprofile!$B$6:$B$11,"Individuell",Nutzungsprofile!$G$6:$G$11)*Kalender!E324/SUM(Kalender!$E$5:$E$370),0))*Szenarien!$E$17,0)</f>
        <v>0.9</v>
      </c>
      <c r="D2520" s="13" t="n">
        <f aca="false">IF(Szenarien!$H$17="OK",(IFERROR(SUMIF(Nutzungsprofile!$B$17:$B$22,"Schulbetrieb",Nutzungsprofile!$G$17:$G$22)*Kalender!C324/SUM(Kalender!$C$5:$C$370),0)+IFERROR(SUMIF(Nutzungsprofile!$B$17:$B$22,"Halle",Nutzungsprofile!$G$17:$G$22)*Kalender!D324/SUM(Kalender!$D$5:$D$370),0)+IFERROR(SUMIF(Nutzungsprofile!$B$17:$B$22,"Individuell",Nutzungsprofile!$G$17:$G$22)*Kalender!E324/SUM(Kalender!$E$5:$E$370),0))*Szenarien!$D$17,0)</f>
        <v>4.05</v>
      </c>
      <c r="E2520" s="13" t="n">
        <f aca="false">IFERROR(MIN(C2520,Eingaben!$B$17)*Eingaben!$B$16,0)</f>
        <v>0.855</v>
      </c>
      <c r="F2520" s="13" t="n">
        <f aca="false">IFERROR(E2520*Eingaben!$B$15,0)</f>
        <v>0.7695</v>
      </c>
      <c r="G2520" s="13" t="n">
        <f aca="false">IFERROR(IF(Kalender!A324="",0,J2519*(1-Eingaben!$B$20)),0)</f>
        <v>0</v>
      </c>
      <c r="H2520" s="13" t="n">
        <f aca="false">MIN(G2520,D2520)</f>
        <v>0</v>
      </c>
      <c r="I2520" s="13" t="n">
        <f aca="false">IFERROR(MIN(F2520*Eingaben!$B$19,MAX(0,D2520-H2520)),0)</f>
        <v>0.53865</v>
      </c>
      <c r="J2520" s="13" t="n">
        <f aca="false">IFERROR(MIN(Eingaben!$B$18,MAX(0,F2520-I2520)),0)</f>
        <v>0.23085</v>
      </c>
      <c r="K2520" s="13" t="n">
        <f aca="false">H2520+I2520</f>
        <v>0.53865</v>
      </c>
      <c r="L2520" s="13" t="n">
        <f aca="false">MAX(0,D2520-K2520)</f>
        <v>3.51135</v>
      </c>
      <c r="M2520" s="13" t="n">
        <f aca="false">MAX(0,F2520-I2520-J2520)</f>
        <v>0</v>
      </c>
      <c r="N2520" s="13" t="n">
        <f aca="false">IF(Kalender!A324="",0,J2519-H2520)</f>
        <v>0</v>
      </c>
    </row>
    <row r="2521" customFormat="false" ht="16.4" hidden="false" customHeight="false" outlineLevel="0" collapsed="false">
      <c r="A2521" s="13" t="str">
        <f aca="false">""</f>
        <v/>
      </c>
      <c r="B2521" s="13" t="n">
        <f aca="false">321</f>
        <v>321</v>
      </c>
      <c r="C2521" s="13" t="n">
        <f aca="false">IF(Szenarien!$H$17="OK",(IFERROR(SUMIF(Nutzungsprofile!$B$6:$B$11,"Schulbetrieb",Nutzungsprofile!$G$6:$G$11)*Kalender!C325/SUM(Kalender!$C$5:$C$370),0)+IFERROR(SUMIF(Nutzungsprofile!$B$6:$B$11,"Halle",Nutzungsprofile!$G$6:$G$11)*Kalender!D325/SUM(Kalender!$D$5:$D$370),0)+IFERROR(SUMIF(Nutzungsprofile!$B$6:$B$11,"Individuell",Nutzungsprofile!$G$6:$G$11)*Kalender!E325/SUM(Kalender!$E$5:$E$370),0))*Szenarien!$E$17,0)</f>
        <v>0.9</v>
      </c>
      <c r="D2521" s="13" t="n">
        <f aca="false">IF(Szenarien!$H$17="OK",(IFERROR(SUMIF(Nutzungsprofile!$B$17:$B$22,"Schulbetrieb",Nutzungsprofile!$G$17:$G$22)*Kalender!C325/SUM(Kalender!$C$5:$C$370),0)+IFERROR(SUMIF(Nutzungsprofile!$B$17:$B$22,"Halle",Nutzungsprofile!$G$17:$G$22)*Kalender!D325/SUM(Kalender!$D$5:$D$370),0)+IFERROR(SUMIF(Nutzungsprofile!$B$17:$B$22,"Individuell",Nutzungsprofile!$G$17:$G$22)*Kalender!E325/SUM(Kalender!$E$5:$E$370),0))*Szenarien!$D$17,0)</f>
        <v>4.05</v>
      </c>
      <c r="E2521" s="13" t="n">
        <f aca="false">IFERROR(MIN(C2521,Eingaben!$B$17)*Eingaben!$B$16,0)</f>
        <v>0.855</v>
      </c>
      <c r="F2521" s="13" t="n">
        <f aca="false">IFERROR(E2521*Eingaben!$B$15,0)</f>
        <v>0.7695</v>
      </c>
      <c r="G2521" s="13" t="n">
        <f aca="false">IFERROR(IF(Kalender!A325="",0,J2520*(1-Eingaben!$B$20)),0)</f>
        <v>0.226233</v>
      </c>
      <c r="H2521" s="13" t="n">
        <f aca="false">MIN(G2521,D2521)</f>
        <v>0.226233</v>
      </c>
      <c r="I2521" s="13" t="n">
        <f aca="false">IFERROR(MIN(F2521*Eingaben!$B$19,MAX(0,D2521-H2521)),0)</f>
        <v>0.53865</v>
      </c>
      <c r="J2521" s="13" t="n">
        <f aca="false">IFERROR(MIN(Eingaben!$B$18,MAX(0,F2521-I2521)),0)</f>
        <v>0.23085</v>
      </c>
      <c r="K2521" s="13" t="n">
        <f aca="false">H2521+I2521</f>
        <v>0.764883</v>
      </c>
      <c r="L2521" s="13" t="n">
        <f aca="false">MAX(0,D2521-K2521)</f>
        <v>3.285117</v>
      </c>
      <c r="M2521" s="13" t="n">
        <f aca="false">MAX(0,F2521-I2521-J2521)</f>
        <v>0</v>
      </c>
      <c r="N2521" s="13" t="n">
        <f aca="false">IF(Kalender!A325="",0,J2520-H2521)</f>
        <v>0.00461700000000001</v>
      </c>
    </row>
    <row r="2522" customFormat="false" ht="16.4" hidden="false" customHeight="false" outlineLevel="0" collapsed="false">
      <c r="A2522" s="13" t="str">
        <f aca="false">""</f>
        <v/>
      </c>
      <c r="B2522" s="13" t="n">
        <f aca="false">322</f>
        <v>322</v>
      </c>
      <c r="C2522" s="13" t="n">
        <f aca="false">IF(Szenarien!$H$17="OK",(IFERROR(SUMIF(Nutzungsprofile!$B$6:$B$11,"Schulbetrieb",Nutzungsprofile!$G$6:$G$11)*Kalender!C326/SUM(Kalender!$C$5:$C$370),0)+IFERROR(SUMIF(Nutzungsprofile!$B$6:$B$11,"Halle",Nutzungsprofile!$G$6:$G$11)*Kalender!D326/SUM(Kalender!$D$5:$D$370),0)+IFERROR(SUMIF(Nutzungsprofile!$B$6:$B$11,"Individuell",Nutzungsprofile!$G$6:$G$11)*Kalender!E326/SUM(Kalender!$E$5:$E$370),0))*Szenarien!$E$17,0)</f>
        <v>0.9</v>
      </c>
      <c r="D2522" s="13" t="n">
        <f aca="false">IF(Szenarien!$H$17="OK",(IFERROR(SUMIF(Nutzungsprofile!$B$17:$B$22,"Schulbetrieb",Nutzungsprofile!$G$17:$G$22)*Kalender!C326/SUM(Kalender!$C$5:$C$370),0)+IFERROR(SUMIF(Nutzungsprofile!$B$17:$B$22,"Halle",Nutzungsprofile!$G$17:$G$22)*Kalender!D326/SUM(Kalender!$D$5:$D$370),0)+IFERROR(SUMIF(Nutzungsprofile!$B$17:$B$22,"Individuell",Nutzungsprofile!$G$17:$G$22)*Kalender!E326/SUM(Kalender!$E$5:$E$370),0))*Szenarien!$D$17,0)</f>
        <v>4.05</v>
      </c>
      <c r="E2522" s="13" t="n">
        <f aca="false">IFERROR(MIN(C2522,Eingaben!$B$17)*Eingaben!$B$16,0)</f>
        <v>0.855</v>
      </c>
      <c r="F2522" s="13" t="n">
        <f aca="false">IFERROR(E2522*Eingaben!$B$15,0)</f>
        <v>0.7695</v>
      </c>
      <c r="G2522" s="13" t="n">
        <f aca="false">IFERROR(IF(Kalender!A326="",0,J2521*(1-Eingaben!$B$20)),0)</f>
        <v>0.226233</v>
      </c>
      <c r="H2522" s="13" t="n">
        <f aca="false">MIN(G2522,D2522)</f>
        <v>0.226233</v>
      </c>
      <c r="I2522" s="13" t="n">
        <f aca="false">IFERROR(MIN(F2522*Eingaben!$B$19,MAX(0,D2522-H2522)),0)</f>
        <v>0.53865</v>
      </c>
      <c r="J2522" s="13" t="n">
        <f aca="false">IFERROR(MIN(Eingaben!$B$18,MAX(0,F2522-I2522)),0)</f>
        <v>0.23085</v>
      </c>
      <c r="K2522" s="13" t="n">
        <f aca="false">H2522+I2522</f>
        <v>0.764883</v>
      </c>
      <c r="L2522" s="13" t="n">
        <f aca="false">MAX(0,D2522-K2522)</f>
        <v>3.285117</v>
      </c>
      <c r="M2522" s="13" t="n">
        <f aca="false">MAX(0,F2522-I2522-J2522)</f>
        <v>0</v>
      </c>
      <c r="N2522" s="13" t="n">
        <f aca="false">IF(Kalender!A326="",0,J2521-H2522)</f>
        <v>0.00461700000000001</v>
      </c>
    </row>
    <row r="2523" customFormat="false" ht="16.4" hidden="false" customHeight="false" outlineLevel="0" collapsed="false">
      <c r="A2523" s="13" t="str">
        <f aca="false">""</f>
        <v/>
      </c>
      <c r="B2523" s="13" t="n">
        <f aca="false">323</f>
        <v>323</v>
      </c>
      <c r="C2523" s="13" t="n">
        <f aca="false">IF(Szenarien!$H$17="OK",(IFERROR(SUMIF(Nutzungsprofile!$B$6:$B$11,"Schulbetrieb",Nutzungsprofile!$G$6:$G$11)*Kalender!C327/SUM(Kalender!$C$5:$C$370),0)+IFERROR(SUMIF(Nutzungsprofile!$B$6:$B$11,"Halle",Nutzungsprofile!$G$6:$G$11)*Kalender!D327/SUM(Kalender!$D$5:$D$370),0)+IFERROR(SUMIF(Nutzungsprofile!$B$6:$B$11,"Individuell",Nutzungsprofile!$G$6:$G$11)*Kalender!E327/SUM(Kalender!$E$5:$E$370),0))*Szenarien!$E$17,0)</f>
        <v>0.9</v>
      </c>
      <c r="D2523" s="13" t="n">
        <f aca="false">IF(Szenarien!$H$17="OK",(IFERROR(SUMIF(Nutzungsprofile!$B$17:$B$22,"Schulbetrieb",Nutzungsprofile!$G$17:$G$22)*Kalender!C327/SUM(Kalender!$C$5:$C$370),0)+IFERROR(SUMIF(Nutzungsprofile!$B$17:$B$22,"Halle",Nutzungsprofile!$G$17:$G$22)*Kalender!D327/SUM(Kalender!$D$5:$D$370),0)+IFERROR(SUMIF(Nutzungsprofile!$B$17:$B$22,"Individuell",Nutzungsprofile!$G$17:$G$22)*Kalender!E327/SUM(Kalender!$E$5:$E$370),0))*Szenarien!$D$17,0)</f>
        <v>4.05</v>
      </c>
      <c r="E2523" s="13" t="n">
        <f aca="false">IFERROR(MIN(C2523,Eingaben!$B$17)*Eingaben!$B$16,0)</f>
        <v>0.855</v>
      </c>
      <c r="F2523" s="13" t="n">
        <f aca="false">IFERROR(E2523*Eingaben!$B$15,0)</f>
        <v>0.7695</v>
      </c>
      <c r="G2523" s="13" t="n">
        <f aca="false">IFERROR(IF(Kalender!A327="",0,J2522*(1-Eingaben!$B$20)),0)</f>
        <v>0.226233</v>
      </c>
      <c r="H2523" s="13" t="n">
        <f aca="false">MIN(G2523,D2523)</f>
        <v>0.226233</v>
      </c>
      <c r="I2523" s="13" t="n">
        <f aca="false">IFERROR(MIN(F2523*Eingaben!$B$19,MAX(0,D2523-H2523)),0)</f>
        <v>0.53865</v>
      </c>
      <c r="J2523" s="13" t="n">
        <f aca="false">IFERROR(MIN(Eingaben!$B$18,MAX(0,F2523-I2523)),0)</f>
        <v>0.23085</v>
      </c>
      <c r="K2523" s="13" t="n">
        <f aca="false">H2523+I2523</f>
        <v>0.764883</v>
      </c>
      <c r="L2523" s="13" t="n">
        <f aca="false">MAX(0,D2523-K2523)</f>
        <v>3.285117</v>
      </c>
      <c r="M2523" s="13" t="n">
        <f aca="false">MAX(0,F2523-I2523-J2523)</f>
        <v>0</v>
      </c>
      <c r="N2523" s="13" t="n">
        <f aca="false">IF(Kalender!A327="",0,J2522-H2523)</f>
        <v>0.00461700000000001</v>
      </c>
    </row>
    <row r="2524" customFormat="false" ht="16.4" hidden="false" customHeight="false" outlineLevel="0" collapsed="false">
      <c r="A2524" s="13" t="str">
        <f aca="false">""</f>
        <v/>
      </c>
      <c r="B2524" s="13" t="n">
        <f aca="false">324</f>
        <v>324</v>
      </c>
      <c r="C2524" s="13" t="n">
        <f aca="false">IF(Szenarien!$H$17="OK",(IFERROR(SUMIF(Nutzungsprofile!$B$6:$B$11,"Schulbetrieb",Nutzungsprofile!$G$6:$G$11)*Kalender!C328/SUM(Kalender!$C$5:$C$370),0)+IFERROR(SUMIF(Nutzungsprofile!$B$6:$B$11,"Halle",Nutzungsprofile!$G$6:$G$11)*Kalender!D328/SUM(Kalender!$D$5:$D$370),0)+IFERROR(SUMIF(Nutzungsprofile!$B$6:$B$11,"Individuell",Nutzungsprofile!$G$6:$G$11)*Kalender!E328/SUM(Kalender!$E$5:$E$370),0))*Szenarien!$E$17,0)</f>
        <v>0.9</v>
      </c>
      <c r="D2524" s="13" t="n">
        <f aca="false">IF(Szenarien!$H$17="OK",(IFERROR(SUMIF(Nutzungsprofile!$B$17:$B$22,"Schulbetrieb",Nutzungsprofile!$G$17:$G$22)*Kalender!C328/SUM(Kalender!$C$5:$C$370),0)+IFERROR(SUMIF(Nutzungsprofile!$B$17:$B$22,"Halle",Nutzungsprofile!$G$17:$G$22)*Kalender!D328/SUM(Kalender!$D$5:$D$370),0)+IFERROR(SUMIF(Nutzungsprofile!$B$17:$B$22,"Individuell",Nutzungsprofile!$G$17:$G$22)*Kalender!E328/SUM(Kalender!$E$5:$E$370),0))*Szenarien!$D$17,0)</f>
        <v>4.05</v>
      </c>
      <c r="E2524" s="13" t="n">
        <f aca="false">IFERROR(MIN(C2524,Eingaben!$B$17)*Eingaben!$B$16,0)</f>
        <v>0.855</v>
      </c>
      <c r="F2524" s="13" t="n">
        <f aca="false">IFERROR(E2524*Eingaben!$B$15,0)</f>
        <v>0.7695</v>
      </c>
      <c r="G2524" s="13" t="n">
        <f aca="false">IFERROR(IF(Kalender!A328="",0,J2523*(1-Eingaben!$B$20)),0)</f>
        <v>0.226233</v>
      </c>
      <c r="H2524" s="13" t="n">
        <f aca="false">MIN(G2524,D2524)</f>
        <v>0.226233</v>
      </c>
      <c r="I2524" s="13" t="n">
        <f aca="false">IFERROR(MIN(F2524*Eingaben!$B$19,MAX(0,D2524-H2524)),0)</f>
        <v>0.53865</v>
      </c>
      <c r="J2524" s="13" t="n">
        <f aca="false">IFERROR(MIN(Eingaben!$B$18,MAX(0,F2524-I2524)),0)</f>
        <v>0.23085</v>
      </c>
      <c r="K2524" s="13" t="n">
        <f aca="false">H2524+I2524</f>
        <v>0.764883</v>
      </c>
      <c r="L2524" s="13" t="n">
        <f aca="false">MAX(0,D2524-K2524)</f>
        <v>3.285117</v>
      </c>
      <c r="M2524" s="13" t="n">
        <f aca="false">MAX(0,F2524-I2524-J2524)</f>
        <v>0</v>
      </c>
      <c r="N2524" s="13" t="n">
        <f aca="false">IF(Kalender!A328="",0,J2523-H2524)</f>
        <v>0.00461700000000001</v>
      </c>
    </row>
    <row r="2525" customFormat="false" ht="16.4" hidden="false" customHeight="false" outlineLevel="0" collapsed="false">
      <c r="A2525" s="13" t="str">
        <f aca="false">""</f>
        <v/>
      </c>
      <c r="B2525" s="13" t="n">
        <f aca="false">325</f>
        <v>325</v>
      </c>
      <c r="C2525" s="13" t="n">
        <f aca="false">IF(Szenarien!$H$17="OK",(IFERROR(SUMIF(Nutzungsprofile!$B$6:$B$11,"Schulbetrieb",Nutzungsprofile!$G$6:$G$11)*Kalender!C329/SUM(Kalender!$C$5:$C$370),0)+IFERROR(SUMIF(Nutzungsprofile!$B$6:$B$11,"Halle",Nutzungsprofile!$G$6:$G$11)*Kalender!D329/SUM(Kalender!$D$5:$D$370),0)+IFERROR(SUMIF(Nutzungsprofile!$B$6:$B$11,"Individuell",Nutzungsprofile!$G$6:$G$11)*Kalender!E329/SUM(Kalender!$E$5:$E$370),0))*Szenarien!$E$17,0)</f>
        <v>0</v>
      </c>
      <c r="D2525" s="13" t="n">
        <f aca="false">IF(Szenarien!$H$17="OK",(IFERROR(SUMIF(Nutzungsprofile!$B$17:$B$22,"Schulbetrieb",Nutzungsprofile!$G$17:$G$22)*Kalender!C329/SUM(Kalender!$C$5:$C$370),0)+IFERROR(SUMIF(Nutzungsprofile!$B$17:$B$22,"Halle",Nutzungsprofile!$G$17:$G$22)*Kalender!D329/SUM(Kalender!$D$5:$D$370),0)+IFERROR(SUMIF(Nutzungsprofile!$B$17:$B$22,"Individuell",Nutzungsprofile!$G$17:$G$22)*Kalender!E329/SUM(Kalender!$E$5:$E$370),0))*Szenarien!$D$17,0)</f>
        <v>0</v>
      </c>
      <c r="E2525" s="13" t="n">
        <f aca="false">IFERROR(MIN(C2525,Eingaben!$B$17)*Eingaben!$B$16,0)</f>
        <v>0</v>
      </c>
      <c r="F2525" s="13" t="n">
        <f aca="false">IFERROR(E2525*Eingaben!$B$15,0)</f>
        <v>0</v>
      </c>
      <c r="G2525" s="13" t="n">
        <f aca="false">IFERROR(IF(Kalender!A329="",0,J2524*(1-Eingaben!$B$20)),0)</f>
        <v>0.226233</v>
      </c>
      <c r="H2525" s="13" t="n">
        <f aca="false">MIN(G2525,D2525)</f>
        <v>0</v>
      </c>
      <c r="I2525" s="13" t="n">
        <f aca="false">IFERROR(MIN(F2525*Eingaben!$B$19,MAX(0,D2525-H2525)),0)</f>
        <v>0</v>
      </c>
      <c r="J2525" s="13" t="n">
        <f aca="false">IFERROR(MIN(Eingaben!$B$18,MAX(0,F2525-I2525)),0)</f>
        <v>0</v>
      </c>
      <c r="K2525" s="13" t="n">
        <f aca="false">H2525+I2525</f>
        <v>0</v>
      </c>
      <c r="L2525" s="13" t="n">
        <f aca="false">MAX(0,D2525-K2525)</f>
        <v>0</v>
      </c>
      <c r="M2525" s="13" t="n">
        <f aca="false">MAX(0,F2525-I2525-J2525)</f>
        <v>0</v>
      </c>
      <c r="N2525" s="13" t="n">
        <f aca="false">IF(Kalender!A329="",0,J2524-H2525)</f>
        <v>0.23085</v>
      </c>
    </row>
    <row r="2526" customFormat="false" ht="16.4" hidden="false" customHeight="false" outlineLevel="0" collapsed="false">
      <c r="A2526" s="13" t="str">
        <f aca="false">""</f>
        <v/>
      </c>
      <c r="B2526" s="13" t="n">
        <f aca="false">326</f>
        <v>326</v>
      </c>
      <c r="C2526" s="13" t="n">
        <f aca="false">IF(Szenarien!$H$17="OK",(IFERROR(SUMIF(Nutzungsprofile!$B$6:$B$11,"Schulbetrieb",Nutzungsprofile!$G$6:$G$11)*Kalender!C330/SUM(Kalender!$C$5:$C$370),0)+IFERROR(SUMIF(Nutzungsprofile!$B$6:$B$11,"Halle",Nutzungsprofile!$G$6:$G$11)*Kalender!D330/SUM(Kalender!$D$5:$D$370),0)+IFERROR(SUMIF(Nutzungsprofile!$B$6:$B$11,"Individuell",Nutzungsprofile!$G$6:$G$11)*Kalender!E330/SUM(Kalender!$E$5:$E$370),0))*Szenarien!$E$17,0)</f>
        <v>0</v>
      </c>
      <c r="D2526" s="13" t="n">
        <f aca="false">IF(Szenarien!$H$17="OK",(IFERROR(SUMIF(Nutzungsprofile!$B$17:$B$22,"Schulbetrieb",Nutzungsprofile!$G$17:$G$22)*Kalender!C330/SUM(Kalender!$C$5:$C$370),0)+IFERROR(SUMIF(Nutzungsprofile!$B$17:$B$22,"Halle",Nutzungsprofile!$G$17:$G$22)*Kalender!D330/SUM(Kalender!$D$5:$D$370),0)+IFERROR(SUMIF(Nutzungsprofile!$B$17:$B$22,"Individuell",Nutzungsprofile!$G$17:$G$22)*Kalender!E330/SUM(Kalender!$E$5:$E$370),0))*Szenarien!$D$17,0)</f>
        <v>0</v>
      </c>
      <c r="E2526" s="13" t="n">
        <f aca="false">IFERROR(MIN(C2526,Eingaben!$B$17)*Eingaben!$B$16,0)</f>
        <v>0</v>
      </c>
      <c r="F2526" s="13" t="n">
        <f aca="false">IFERROR(E2526*Eingaben!$B$15,0)</f>
        <v>0</v>
      </c>
      <c r="G2526" s="13" t="n">
        <f aca="false">IFERROR(IF(Kalender!A330="",0,J2525*(1-Eingaben!$B$20)),0)</f>
        <v>0</v>
      </c>
      <c r="H2526" s="13" t="n">
        <f aca="false">MIN(G2526,D2526)</f>
        <v>0</v>
      </c>
      <c r="I2526" s="13" t="n">
        <f aca="false">IFERROR(MIN(F2526*Eingaben!$B$19,MAX(0,D2526-H2526)),0)</f>
        <v>0</v>
      </c>
      <c r="J2526" s="13" t="n">
        <f aca="false">IFERROR(MIN(Eingaben!$B$18,MAX(0,F2526-I2526)),0)</f>
        <v>0</v>
      </c>
      <c r="K2526" s="13" t="n">
        <f aca="false">H2526+I2526</f>
        <v>0</v>
      </c>
      <c r="L2526" s="13" t="n">
        <f aca="false">MAX(0,D2526-K2526)</f>
        <v>0</v>
      </c>
      <c r="M2526" s="13" t="n">
        <f aca="false">MAX(0,F2526-I2526-J2526)</f>
        <v>0</v>
      </c>
      <c r="N2526" s="13" t="n">
        <f aca="false">IF(Kalender!A330="",0,J2525-H2526)</f>
        <v>0</v>
      </c>
    </row>
    <row r="2527" customFormat="false" ht="16.4" hidden="false" customHeight="false" outlineLevel="0" collapsed="false">
      <c r="A2527" s="13" t="str">
        <f aca="false">""</f>
        <v/>
      </c>
      <c r="B2527" s="13" t="n">
        <f aca="false">327</f>
        <v>327</v>
      </c>
      <c r="C2527" s="13" t="n">
        <f aca="false">IF(Szenarien!$H$17="OK",(IFERROR(SUMIF(Nutzungsprofile!$B$6:$B$11,"Schulbetrieb",Nutzungsprofile!$G$6:$G$11)*Kalender!C331/SUM(Kalender!$C$5:$C$370),0)+IFERROR(SUMIF(Nutzungsprofile!$B$6:$B$11,"Halle",Nutzungsprofile!$G$6:$G$11)*Kalender!D331/SUM(Kalender!$D$5:$D$370),0)+IFERROR(SUMIF(Nutzungsprofile!$B$6:$B$11,"Individuell",Nutzungsprofile!$G$6:$G$11)*Kalender!E331/SUM(Kalender!$E$5:$E$370),0))*Szenarien!$E$17,0)</f>
        <v>0.9</v>
      </c>
      <c r="D2527" s="13" t="n">
        <f aca="false">IF(Szenarien!$H$17="OK",(IFERROR(SUMIF(Nutzungsprofile!$B$17:$B$22,"Schulbetrieb",Nutzungsprofile!$G$17:$G$22)*Kalender!C331/SUM(Kalender!$C$5:$C$370),0)+IFERROR(SUMIF(Nutzungsprofile!$B$17:$B$22,"Halle",Nutzungsprofile!$G$17:$G$22)*Kalender!D331/SUM(Kalender!$D$5:$D$370),0)+IFERROR(SUMIF(Nutzungsprofile!$B$17:$B$22,"Individuell",Nutzungsprofile!$G$17:$G$22)*Kalender!E331/SUM(Kalender!$E$5:$E$370),0))*Szenarien!$D$17,0)</f>
        <v>4.05</v>
      </c>
      <c r="E2527" s="13" t="n">
        <f aca="false">IFERROR(MIN(C2527,Eingaben!$B$17)*Eingaben!$B$16,0)</f>
        <v>0.855</v>
      </c>
      <c r="F2527" s="13" t="n">
        <f aca="false">IFERROR(E2527*Eingaben!$B$15,0)</f>
        <v>0.7695</v>
      </c>
      <c r="G2527" s="13" t="n">
        <f aca="false">IFERROR(IF(Kalender!A331="",0,J2526*(1-Eingaben!$B$20)),0)</f>
        <v>0</v>
      </c>
      <c r="H2527" s="13" t="n">
        <f aca="false">MIN(G2527,D2527)</f>
        <v>0</v>
      </c>
      <c r="I2527" s="13" t="n">
        <f aca="false">IFERROR(MIN(F2527*Eingaben!$B$19,MAX(0,D2527-H2527)),0)</f>
        <v>0.53865</v>
      </c>
      <c r="J2527" s="13" t="n">
        <f aca="false">IFERROR(MIN(Eingaben!$B$18,MAX(0,F2527-I2527)),0)</f>
        <v>0.23085</v>
      </c>
      <c r="K2527" s="13" t="n">
        <f aca="false">H2527+I2527</f>
        <v>0.53865</v>
      </c>
      <c r="L2527" s="13" t="n">
        <f aca="false">MAX(0,D2527-K2527)</f>
        <v>3.51135</v>
      </c>
      <c r="M2527" s="13" t="n">
        <f aca="false">MAX(0,F2527-I2527-J2527)</f>
        <v>0</v>
      </c>
      <c r="N2527" s="13" t="n">
        <f aca="false">IF(Kalender!A331="",0,J2526-H2527)</f>
        <v>0</v>
      </c>
    </row>
    <row r="2528" customFormat="false" ht="16.4" hidden="false" customHeight="false" outlineLevel="0" collapsed="false">
      <c r="A2528" s="13" t="str">
        <f aca="false">""</f>
        <v/>
      </c>
      <c r="B2528" s="13" t="n">
        <f aca="false">328</f>
        <v>328</v>
      </c>
      <c r="C2528" s="13" t="n">
        <f aca="false">IF(Szenarien!$H$17="OK",(IFERROR(SUMIF(Nutzungsprofile!$B$6:$B$11,"Schulbetrieb",Nutzungsprofile!$G$6:$G$11)*Kalender!C332/SUM(Kalender!$C$5:$C$370),0)+IFERROR(SUMIF(Nutzungsprofile!$B$6:$B$11,"Halle",Nutzungsprofile!$G$6:$G$11)*Kalender!D332/SUM(Kalender!$D$5:$D$370),0)+IFERROR(SUMIF(Nutzungsprofile!$B$6:$B$11,"Individuell",Nutzungsprofile!$G$6:$G$11)*Kalender!E332/SUM(Kalender!$E$5:$E$370),0))*Szenarien!$E$17,0)</f>
        <v>0.9</v>
      </c>
      <c r="D2528" s="13" t="n">
        <f aca="false">IF(Szenarien!$H$17="OK",(IFERROR(SUMIF(Nutzungsprofile!$B$17:$B$22,"Schulbetrieb",Nutzungsprofile!$G$17:$G$22)*Kalender!C332/SUM(Kalender!$C$5:$C$370),0)+IFERROR(SUMIF(Nutzungsprofile!$B$17:$B$22,"Halle",Nutzungsprofile!$G$17:$G$22)*Kalender!D332/SUM(Kalender!$D$5:$D$370),0)+IFERROR(SUMIF(Nutzungsprofile!$B$17:$B$22,"Individuell",Nutzungsprofile!$G$17:$G$22)*Kalender!E332/SUM(Kalender!$E$5:$E$370),0))*Szenarien!$D$17,0)</f>
        <v>4.05</v>
      </c>
      <c r="E2528" s="13" t="n">
        <f aca="false">IFERROR(MIN(C2528,Eingaben!$B$17)*Eingaben!$B$16,0)</f>
        <v>0.855</v>
      </c>
      <c r="F2528" s="13" t="n">
        <f aca="false">IFERROR(E2528*Eingaben!$B$15,0)</f>
        <v>0.7695</v>
      </c>
      <c r="G2528" s="13" t="n">
        <f aca="false">IFERROR(IF(Kalender!A332="",0,J2527*(1-Eingaben!$B$20)),0)</f>
        <v>0.226233</v>
      </c>
      <c r="H2528" s="13" t="n">
        <f aca="false">MIN(G2528,D2528)</f>
        <v>0.226233</v>
      </c>
      <c r="I2528" s="13" t="n">
        <f aca="false">IFERROR(MIN(F2528*Eingaben!$B$19,MAX(0,D2528-H2528)),0)</f>
        <v>0.53865</v>
      </c>
      <c r="J2528" s="13" t="n">
        <f aca="false">IFERROR(MIN(Eingaben!$B$18,MAX(0,F2528-I2528)),0)</f>
        <v>0.23085</v>
      </c>
      <c r="K2528" s="13" t="n">
        <f aca="false">H2528+I2528</f>
        <v>0.764883</v>
      </c>
      <c r="L2528" s="13" t="n">
        <f aca="false">MAX(0,D2528-K2528)</f>
        <v>3.285117</v>
      </c>
      <c r="M2528" s="13" t="n">
        <f aca="false">MAX(0,F2528-I2528-J2528)</f>
        <v>0</v>
      </c>
      <c r="N2528" s="13" t="n">
        <f aca="false">IF(Kalender!A332="",0,J2527-H2528)</f>
        <v>0.00461700000000001</v>
      </c>
    </row>
    <row r="2529" customFormat="false" ht="16.4" hidden="false" customHeight="false" outlineLevel="0" collapsed="false">
      <c r="A2529" s="13" t="str">
        <f aca="false">""</f>
        <v/>
      </c>
      <c r="B2529" s="13" t="n">
        <f aca="false">329</f>
        <v>329</v>
      </c>
      <c r="C2529" s="13" t="n">
        <f aca="false">IF(Szenarien!$H$17="OK",(IFERROR(SUMIF(Nutzungsprofile!$B$6:$B$11,"Schulbetrieb",Nutzungsprofile!$G$6:$G$11)*Kalender!C333/SUM(Kalender!$C$5:$C$370),0)+IFERROR(SUMIF(Nutzungsprofile!$B$6:$B$11,"Halle",Nutzungsprofile!$G$6:$G$11)*Kalender!D333/SUM(Kalender!$D$5:$D$370),0)+IFERROR(SUMIF(Nutzungsprofile!$B$6:$B$11,"Individuell",Nutzungsprofile!$G$6:$G$11)*Kalender!E333/SUM(Kalender!$E$5:$E$370),0))*Szenarien!$E$17,0)</f>
        <v>0</v>
      </c>
      <c r="D2529" s="13" t="n">
        <f aca="false">IF(Szenarien!$H$17="OK",(IFERROR(SUMIF(Nutzungsprofile!$B$17:$B$22,"Schulbetrieb",Nutzungsprofile!$G$17:$G$22)*Kalender!C333/SUM(Kalender!$C$5:$C$370),0)+IFERROR(SUMIF(Nutzungsprofile!$B$17:$B$22,"Halle",Nutzungsprofile!$G$17:$G$22)*Kalender!D333/SUM(Kalender!$D$5:$D$370),0)+IFERROR(SUMIF(Nutzungsprofile!$B$17:$B$22,"Individuell",Nutzungsprofile!$G$17:$G$22)*Kalender!E333/SUM(Kalender!$E$5:$E$370),0))*Szenarien!$D$17,0)</f>
        <v>0</v>
      </c>
      <c r="E2529" s="13" t="n">
        <f aca="false">IFERROR(MIN(C2529,Eingaben!$B$17)*Eingaben!$B$16,0)</f>
        <v>0</v>
      </c>
      <c r="F2529" s="13" t="n">
        <f aca="false">IFERROR(E2529*Eingaben!$B$15,0)</f>
        <v>0</v>
      </c>
      <c r="G2529" s="13" t="n">
        <f aca="false">IFERROR(IF(Kalender!A333="",0,J2528*(1-Eingaben!$B$20)),0)</f>
        <v>0.226233</v>
      </c>
      <c r="H2529" s="13" t="n">
        <f aca="false">MIN(G2529,D2529)</f>
        <v>0</v>
      </c>
      <c r="I2529" s="13" t="n">
        <f aca="false">IFERROR(MIN(F2529*Eingaben!$B$19,MAX(0,D2529-H2529)),0)</f>
        <v>0</v>
      </c>
      <c r="J2529" s="13" t="n">
        <f aca="false">IFERROR(MIN(Eingaben!$B$18,MAX(0,F2529-I2529)),0)</f>
        <v>0</v>
      </c>
      <c r="K2529" s="13" t="n">
        <f aca="false">H2529+I2529</f>
        <v>0</v>
      </c>
      <c r="L2529" s="13" t="n">
        <f aca="false">MAX(0,D2529-K2529)</f>
        <v>0</v>
      </c>
      <c r="M2529" s="13" t="n">
        <f aca="false">MAX(0,F2529-I2529-J2529)</f>
        <v>0</v>
      </c>
      <c r="N2529" s="13" t="n">
        <f aca="false">IF(Kalender!A333="",0,J2528-H2529)</f>
        <v>0.23085</v>
      </c>
    </row>
    <row r="2530" customFormat="false" ht="16.4" hidden="false" customHeight="false" outlineLevel="0" collapsed="false">
      <c r="A2530" s="13" t="str">
        <f aca="false">""</f>
        <v/>
      </c>
      <c r="B2530" s="13" t="n">
        <f aca="false">330</f>
        <v>330</v>
      </c>
      <c r="C2530" s="13" t="n">
        <f aca="false">IF(Szenarien!$H$17="OK",(IFERROR(SUMIF(Nutzungsprofile!$B$6:$B$11,"Schulbetrieb",Nutzungsprofile!$G$6:$G$11)*Kalender!C334/SUM(Kalender!$C$5:$C$370),0)+IFERROR(SUMIF(Nutzungsprofile!$B$6:$B$11,"Halle",Nutzungsprofile!$G$6:$G$11)*Kalender!D334/SUM(Kalender!$D$5:$D$370),0)+IFERROR(SUMIF(Nutzungsprofile!$B$6:$B$11,"Individuell",Nutzungsprofile!$G$6:$G$11)*Kalender!E334/SUM(Kalender!$E$5:$E$370),0))*Szenarien!$E$17,0)</f>
        <v>0</v>
      </c>
      <c r="D2530" s="13" t="n">
        <f aca="false">IF(Szenarien!$H$17="OK",(IFERROR(SUMIF(Nutzungsprofile!$B$17:$B$22,"Schulbetrieb",Nutzungsprofile!$G$17:$G$22)*Kalender!C334/SUM(Kalender!$C$5:$C$370),0)+IFERROR(SUMIF(Nutzungsprofile!$B$17:$B$22,"Halle",Nutzungsprofile!$G$17:$G$22)*Kalender!D334/SUM(Kalender!$D$5:$D$370),0)+IFERROR(SUMIF(Nutzungsprofile!$B$17:$B$22,"Individuell",Nutzungsprofile!$G$17:$G$22)*Kalender!E334/SUM(Kalender!$E$5:$E$370),0))*Szenarien!$D$17,0)</f>
        <v>0</v>
      </c>
      <c r="E2530" s="13" t="n">
        <f aca="false">IFERROR(MIN(C2530,Eingaben!$B$17)*Eingaben!$B$16,0)</f>
        <v>0</v>
      </c>
      <c r="F2530" s="13" t="n">
        <f aca="false">IFERROR(E2530*Eingaben!$B$15,0)</f>
        <v>0</v>
      </c>
      <c r="G2530" s="13" t="n">
        <f aca="false">IFERROR(IF(Kalender!A334="",0,J2529*(1-Eingaben!$B$20)),0)</f>
        <v>0</v>
      </c>
      <c r="H2530" s="13" t="n">
        <f aca="false">MIN(G2530,D2530)</f>
        <v>0</v>
      </c>
      <c r="I2530" s="13" t="n">
        <f aca="false">IFERROR(MIN(F2530*Eingaben!$B$19,MAX(0,D2530-H2530)),0)</f>
        <v>0</v>
      </c>
      <c r="J2530" s="13" t="n">
        <f aca="false">IFERROR(MIN(Eingaben!$B$18,MAX(0,F2530-I2530)),0)</f>
        <v>0</v>
      </c>
      <c r="K2530" s="13" t="n">
        <f aca="false">H2530+I2530</f>
        <v>0</v>
      </c>
      <c r="L2530" s="13" t="n">
        <f aca="false">MAX(0,D2530-K2530)</f>
        <v>0</v>
      </c>
      <c r="M2530" s="13" t="n">
        <f aca="false">MAX(0,F2530-I2530-J2530)</f>
        <v>0</v>
      </c>
      <c r="N2530" s="13" t="n">
        <f aca="false">IF(Kalender!A334="",0,J2529-H2530)</f>
        <v>0</v>
      </c>
    </row>
    <row r="2531" customFormat="false" ht="16.4" hidden="false" customHeight="false" outlineLevel="0" collapsed="false">
      <c r="A2531" s="13" t="str">
        <f aca="false">""</f>
        <v/>
      </c>
      <c r="B2531" s="13" t="n">
        <f aca="false">331</f>
        <v>331</v>
      </c>
      <c r="C2531" s="13" t="n">
        <f aca="false">IF(Szenarien!$H$17="OK",(IFERROR(SUMIF(Nutzungsprofile!$B$6:$B$11,"Schulbetrieb",Nutzungsprofile!$G$6:$G$11)*Kalender!C335/SUM(Kalender!$C$5:$C$370),0)+IFERROR(SUMIF(Nutzungsprofile!$B$6:$B$11,"Halle",Nutzungsprofile!$G$6:$G$11)*Kalender!D335/SUM(Kalender!$D$5:$D$370),0)+IFERROR(SUMIF(Nutzungsprofile!$B$6:$B$11,"Individuell",Nutzungsprofile!$G$6:$G$11)*Kalender!E335/SUM(Kalender!$E$5:$E$370),0))*Szenarien!$E$17,0)</f>
        <v>0</v>
      </c>
      <c r="D2531" s="13" t="n">
        <f aca="false">IF(Szenarien!$H$17="OK",(IFERROR(SUMIF(Nutzungsprofile!$B$17:$B$22,"Schulbetrieb",Nutzungsprofile!$G$17:$G$22)*Kalender!C335/SUM(Kalender!$C$5:$C$370),0)+IFERROR(SUMIF(Nutzungsprofile!$B$17:$B$22,"Halle",Nutzungsprofile!$G$17:$G$22)*Kalender!D335/SUM(Kalender!$D$5:$D$370),0)+IFERROR(SUMIF(Nutzungsprofile!$B$17:$B$22,"Individuell",Nutzungsprofile!$G$17:$G$22)*Kalender!E335/SUM(Kalender!$E$5:$E$370),0))*Szenarien!$D$17,0)</f>
        <v>0</v>
      </c>
      <c r="E2531" s="13" t="n">
        <f aca="false">IFERROR(MIN(C2531,Eingaben!$B$17)*Eingaben!$B$16,0)</f>
        <v>0</v>
      </c>
      <c r="F2531" s="13" t="n">
        <f aca="false">IFERROR(E2531*Eingaben!$B$15,0)</f>
        <v>0</v>
      </c>
      <c r="G2531" s="13" t="n">
        <f aca="false">IFERROR(IF(Kalender!A335="",0,J2530*(1-Eingaben!$B$20)),0)</f>
        <v>0</v>
      </c>
      <c r="H2531" s="13" t="n">
        <f aca="false">MIN(G2531,D2531)</f>
        <v>0</v>
      </c>
      <c r="I2531" s="13" t="n">
        <f aca="false">IFERROR(MIN(F2531*Eingaben!$B$19,MAX(0,D2531-H2531)),0)</f>
        <v>0</v>
      </c>
      <c r="J2531" s="13" t="n">
        <f aca="false">IFERROR(MIN(Eingaben!$B$18,MAX(0,F2531-I2531)),0)</f>
        <v>0</v>
      </c>
      <c r="K2531" s="13" t="n">
        <f aca="false">H2531+I2531</f>
        <v>0</v>
      </c>
      <c r="L2531" s="13" t="n">
        <f aca="false">MAX(0,D2531-K2531)</f>
        <v>0</v>
      </c>
      <c r="M2531" s="13" t="n">
        <f aca="false">MAX(0,F2531-I2531-J2531)</f>
        <v>0</v>
      </c>
      <c r="N2531" s="13" t="n">
        <f aca="false">IF(Kalender!A335="",0,J2530-H2531)</f>
        <v>0</v>
      </c>
    </row>
    <row r="2532" customFormat="false" ht="16.4" hidden="false" customHeight="false" outlineLevel="0" collapsed="false">
      <c r="A2532" s="13" t="str">
        <f aca="false">""</f>
        <v/>
      </c>
      <c r="B2532" s="13" t="n">
        <f aca="false">332</f>
        <v>332</v>
      </c>
      <c r="C2532" s="13" t="n">
        <f aca="false">IF(Szenarien!$H$17="OK",(IFERROR(SUMIF(Nutzungsprofile!$B$6:$B$11,"Schulbetrieb",Nutzungsprofile!$G$6:$G$11)*Kalender!C336/SUM(Kalender!$C$5:$C$370),0)+IFERROR(SUMIF(Nutzungsprofile!$B$6:$B$11,"Halle",Nutzungsprofile!$G$6:$G$11)*Kalender!D336/SUM(Kalender!$D$5:$D$370),0)+IFERROR(SUMIF(Nutzungsprofile!$B$6:$B$11,"Individuell",Nutzungsprofile!$G$6:$G$11)*Kalender!E336/SUM(Kalender!$E$5:$E$370),0))*Szenarien!$E$17,0)</f>
        <v>0</v>
      </c>
      <c r="D2532" s="13" t="n">
        <f aca="false">IF(Szenarien!$H$17="OK",(IFERROR(SUMIF(Nutzungsprofile!$B$17:$B$22,"Schulbetrieb",Nutzungsprofile!$G$17:$G$22)*Kalender!C336/SUM(Kalender!$C$5:$C$370),0)+IFERROR(SUMIF(Nutzungsprofile!$B$17:$B$22,"Halle",Nutzungsprofile!$G$17:$G$22)*Kalender!D336/SUM(Kalender!$D$5:$D$370),0)+IFERROR(SUMIF(Nutzungsprofile!$B$17:$B$22,"Individuell",Nutzungsprofile!$G$17:$G$22)*Kalender!E336/SUM(Kalender!$E$5:$E$370),0))*Szenarien!$D$17,0)</f>
        <v>0</v>
      </c>
      <c r="E2532" s="13" t="n">
        <f aca="false">IFERROR(MIN(C2532,Eingaben!$B$17)*Eingaben!$B$16,0)</f>
        <v>0</v>
      </c>
      <c r="F2532" s="13" t="n">
        <f aca="false">IFERROR(E2532*Eingaben!$B$15,0)</f>
        <v>0</v>
      </c>
      <c r="G2532" s="13" t="n">
        <f aca="false">IFERROR(IF(Kalender!A336="",0,J2531*(1-Eingaben!$B$20)),0)</f>
        <v>0</v>
      </c>
      <c r="H2532" s="13" t="n">
        <f aca="false">MIN(G2532,D2532)</f>
        <v>0</v>
      </c>
      <c r="I2532" s="13" t="n">
        <f aca="false">IFERROR(MIN(F2532*Eingaben!$B$19,MAX(0,D2532-H2532)),0)</f>
        <v>0</v>
      </c>
      <c r="J2532" s="13" t="n">
        <f aca="false">IFERROR(MIN(Eingaben!$B$18,MAX(0,F2532-I2532)),0)</f>
        <v>0</v>
      </c>
      <c r="K2532" s="13" t="n">
        <f aca="false">H2532+I2532</f>
        <v>0</v>
      </c>
      <c r="L2532" s="13" t="n">
        <f aca="false">MAX(0,D2532-K2532)</f>
        <v>0</v>
      </c>
      <c r="M2532" s="13" t="n">
        <f aca="false">MAX(0,F2532-I2532-J2532)</f>
        <v>0</v>
      </c>
      <c r="N2532" s="13" t="n">
        <f aca="false">IF(Kalender!A336="",0,J2531-H2532)</f>
        <v>0</v>
      </c>
    </row>
    <row r="2533" customFormat="false" ht="16.4" hidden="false" customHeight="false" outlineLevel="0" collapsed="false">
      <c r="A2533" s="13" t="str">
        <f aca="false">""</f>
        <v/>
      </c>
      <c r="B2533" s="13" t="n">
        <f aca="false">333</f>
        <v>333</v>
      </c>
      <c r="C2533" s="13" t="n">
        <f aca="false">IF(Szenarien!$H$17="OK",(IFERROR(SUMIF(Nutzungsprofile!$B$6:$B$11,"Schulbetrieb",Nutzungsprofile!$G$6:$G$11)*Kalender!C337/SUM(Kalender!$C$5:$C$370),0)+IFERROR(SUMIF(Nutzungsprofile!$B$6:$B$11,"Halle",Nutzungsprofile!$G$6:$G$11)*Kalender!D337/SUM(Kalender!$D$5:$D$370),0)+IFERROR(SUMIF(Nutzungsprofile!$B$6:$B$11,"Individuell",Nutzungsprofile!$G$6:$G$11)*Kalender!E337/SUM(Kalender!$E$5:$E$370),0))*Szenarien!$E$17,0)</f>
        <v>0</v>
      </c>
      <c r="D2533" s="13" t="n">
        <f aca="false">IF(Szenarien!$H$17="OK",(IFERROR(SUMIF(Nutzungsprofile!$B$17:$B$22,"Schulbetrieb",Nutzungsprofile!$G$17:$G$22)*Kalender!C337/SUM(Kalender!$C$5:$C$370),0)+IFERROR(SUMIF(Nutzungsprofile!$B$17:$B$22,"Halle",Nutzungsprofile!$G$17:$G$22)*Kalender!D337/SUM(Kalender!$D$5:$D$370),0)+IFERROR(SUMIF(Nutzungsprofile!$B$17:$B$22,"Individuell",Nutzungsprofile!$G$17:$G$22)*Kalender!E337/SUM(Kalender!$E$5:$E$370),0))*Szenarien!$D$17,0)</f>
        <v>0</v>
      </c>
      <c r="E2533" s="13" t="n">
        <f aca="false">IFERROR(MIN(C2533,Eingaben!$B$17)*Eingaben!$B$16,0)</f>
        <v>0</v>
      </c>
      <c r="F2533" s="13" t="n">
        <f aca="false">IFERROR(E2533*Eingaben!$B$15,0)</f>
        <v>0</v>
      </c>
      <c r="G2533" s="13" t="n">
        <f aca="false">IFERROR(IF(Kalender!A337="",0,J2532*(1-Eingaben!$B$20)),0)</f>
        <v>0</v>
      </c>
      <c r="H2533" s="13" t="n">
        <f aca="false">MIN(G2533,D2533)</f>
        <v>0</v>
      </c>
      <c r="I2533" s="13" t="n">
        <f aca="false">IFERROR(MIN(F2533*Eingaben!$B$19,MAX(0,D2533-H2533)),0)</f>
        <v>0</v>
      </c>
      <c r="J2533" s="13" t="n">
        <f aca="false">IFERROR(MIN(Eingaben!$B$18,MAX(0,F2533-I2533)),0)</f>
        <v>0</v>
      </c>
      <c r="K2533" s="13" t="n">
        <f aca="false">H2533+I2533</f>
        <v>0</v>
      </c>
      <c r="L2533" s="13" t="n">
        <f aca="false">MAX(0,D2533-K2533)</f>
        <v>0</v>
      </c>
      <c r="M2533" s="13" t="n">
        <f aca="false">MAX(0,F2533-I2533-J2533)</f>
        <v>0</v>
      </c>
      <c r="N2533" s="13" t="n">
        <f aca="false">IF(Kalender!A337="",0,J2532-H2533)</f>
        <v>0</v>
      </c>
    </row>
    <row r="2534" customFormat="false" ht="16.4" hidden="false" customHeight="false" outlineLevel="0" collapsed="false">
      <c r="A2534" s="13" t="str">
        <f aca="false">""</f>
        <v/>
      </c>
      <c r="B2534" s="13" t="n">
        <f aca="false">334</f>
        <v>334</v>
      </c>
      <c r="C2534" s="13" t="n">
        <f aca="false">IF(Szenarien!$H$17="OK",(IFERROR(SUMIF(Nutzungsprofile!$B$6:$B$11,"Schulbetrieb",Nutzungsprofile!$G$6:$G$11)*Kalender!C338/SUM(Kalender!$C$5:$C$370),0)+IFERROR(SUMIF(Nutzungsprofile!$B$6:$B$11,"Halle",Nutzungsprofile!$G$6:$G$11)*Kalender!D338/SUM(Kalender!$D$5:$D$370),0)+IFERROR(SUMIF(Nutzungsprofile!$B$6:$B$11,"Individuell",Nutzungsprofile!$G$6:$G$11)*Kalender!E338/SUM(Kalender!$E$5:$E$370),0))*Szenarien!$E$17,0)</f>
        <v>0</v>
      </c>
      <c r="D2534" s="13" t="n">
        <f aca="false">IF(Szenarien!$H$17="OK",(IFERROR(SUMIF(Nutzungsprofile!$B$17:$B$22,"Schulbetrieb",Nutzungsprofile!$G$17:$G$22)*Kalender!C338/SUM(Kalender!$C$5:$C$370),0)+IFERROR(SUMIF(Nutzungsprofile!$B$17:$B$22,"Halle",Nutzungsprofile!$G$17:$G$22)*Kalender!D338/SUM(Kalender!$D$5:$D$370),0)+IFERROR(SUMIF(Nutzungsprofile!$B$17:$B$22,"Individuell",Nutzungsprofile!$G$17:$G$22)*Kalender!E338/SUM(Kalender!$E$5:$E$370),0))*Szenarien!$D$17,0)</f>
        <v>0</v>
      </c>
      <c r="E2534" s="13" t="n">
        <f aca="false">IFERROR(MIN(C2534,Eingaben!$B$17)*Eingaben!$B$16,0)</f>
        <v>0</v>
      </c>
      <c r="F2534" s="13" t="n">
        <f aca="false">IFERROR(E2534*Eingaben!$B$15,0)</f>
        <v>0</v>
      </c>
      <c r="G2534" s="13" t="n">
        <f aca="false">IFERROR(IF(Kalender!A338="",0,J2533*(1-Eingaben!$B$20)),0)</f>
        <v>0</v>
      </c>
      <c r="H2534" s="13" t="n">
        <f aca="false">MIN(G2534,D2534)</f>
        <v>0</v>
      </c>
      <c r="I2534" s="13" t="n">
        <f aca="false">IFERROR(MIN(F2534*Eingaben!$B$19,MAX(0,D2534-H2534)),0)</f>
        <v>0</v>
      </c>
      <c r="J2534" s="13" t="n">
        <f aca="false">IFERROR(MIN(Eingaben!$B$18,MAX(0,F2534-I2534)),0)</f>
        <v>0</v>
      </c>
      <c r="K2534" s="13" t="n">
        <f aca="false">H2534+I2534</f>
        <v>0</v>
      </c>
      <c r="L2534" s="13" t="n">
        <f aca="false">MAX(0,D2534-K2534)</f>
        <v>0</v>
      </c>
      <c r="M2534" s="13" t="n">
        <f aca="false">MAX(0,F2534-I2534-J2534)</f>
        <v>0</v>
      </c>
      <c r="N2534" s="13" t="n">
        <f aca="false">IF(Kalender!A338="",0,J2533-H2534)</f>
        <v>0</v>
      </c>
    </row>
    <row r="2535" customFormat="false" ht="16.4" hidden="false" customHeight="false" outlineLevel="0" collapsed="false">
      <c r="A2535" s="13" t="str">
        <f aca="false">""</f>
        <v/>
      </c>
      <c r="B2535" s="13" t="n">
        <f aca="false">335</f>
        <v>335</v>
      </c>
      <c r="C2535" s="13" t="n">
        <f aca="false">IF(Szenarien!$H$17="OK",(IFERROR(SUMIF(Nutzungsprofile!$B$6:$B$11,"Schulbetrieb",Nutzungsprofile!$G$6:$G$11)*Kalender!C339/SUM(Kalender!$C$5:$C$370),0)+IFERROR(SUMIF(Nutzungsprofile!$B$6:$B$11,"Halle",Nutzungsprofile!$G$6:$G$11)*Kalender!D339/SUM(Kalender!$D$5:$D$370),0)+IFERROR(SUMIF(Nutzungsprofile!$B$6:$B$11,"Individuell",Nutzungsprofile!$G$6:$G$11)*Kalender!E339/SUM(Kalender!$E$5:$E$370),0))*Szenarien!$E$17,0)</f>
        <v>0</v>
      </c>
      <c r="D2535" s="13" t="n">
        <f aca="false">IF(Szenarien!$H$17="OK",(IFERROR(SUMIF(Nutzungsprofile!$B$17:$B$22,"Schulbetrieb",Nutzungsprofile!$G$17:$G$22)*Kalender!C339/SUM(Kalender!$C$5:$C$370),0)+IFERROR(SUMIF(Nutzungsprofile!$B$17:$B$22,"Halle",Nutzungsprofile!$G$17:$G$22)*Kalender!D339/SUM(Kalender!$D$5:$D$370),0)+IFERROR(SUMIF(Nutzungsprofile!$B$17:$B$22,"Individuell",Nutzungsprofile!$G$17:$G$22)*Kalender!E339/SUM(Kalender!$E$5:$E$370),0))*Szenarien!$D$17,0)</f>
        <v>0</v>
      </c>
      <c r="E2535" s="13" t="n">
        <f aca="false">IFERROR(MIN(C2535,Eingaben!$B$17)*Eingaben!$B$16,0)</f>
        <v>0</v>
      </c>
      <c r="F2535" s="13" t="n">
        <f aca="false">IFERROR(E2535*Eingaben!$B$15,0)</f>
        <v>0</v>
      </c>
      <c r="G2535" s="13" t="n">
        <f aca="false">IFERROR(IF(Kalender!A339="",0,J2534*(1-Eingaben!$B$20)),0)</f>
        <v>0</v>
      </c>
      <c r="H2535" s="13" t="n">
        <f aca="false">MIN(G2535,D2535)</f>
        <v>0</v>
      </c>
      <c r="I2535" s="13" t="n">
        <f aca="false">IFERROR(MIN(F2535*Eingaben!$B$19,MAX(0,D2535-H2535)),0)</f>
        <v>0</v>
      </c>
      <c r="J2535" s="13" t="n">
        <f aca="false">IFERROR(MIN(Eingaben!$B$18,MAX(0,F2535-I2535)),0)</f>
        <v>0</v>
      </c>
      <c r="K2535" s="13" t="n">
        <f aca="false">H2535+I2535</f>
        <v>0</v>
      </c>
      <c r="L2535" s="13" t="n">
        <f aca="false">MAX(0,D2535-K2535)</f>
        <v>0</v>
      </c>
      <c r="M2535" s="13" t="n">
        <f aca="false">MAX(0,F2535-I2535-J2535)</f>
        <v>0</v>
      </c>
      <c r="N2535" s="13" t="n">
        <f aca="false">IF(Kalender!A339="",0,J2534-H2535)</f>
        <v>0</v>
      </c>
    </row>
    <row r="2536" customFormat="false" ht="16.4" hidden="false" customHeight="false" outlineLevel="0" collapsed="false">
      <c r="A2536" s="13" t="str">
        <f aca="false">""</f>
        <v/>
      </c>
      <c r="B2536" s="13" t="n">
        <f aca="false">336</f>
        <v>336</v>
      </c>
      <c r="C2536" s="13" t="n">
        <f aca="false">IF(Szenarien!$H$17="OK",(IFERROR(SUMIF(Nutzungsprofile!$B$6:$B$11,"Schulbetrieb",Nutzungsprofile!$G$6:$G$11)*Kalender!C340/SUM(Kalender!$C$5:$C$370),0)+IFERROR(SUMIF(Nutzungsprofile!$B$6:$B$11,"Halle",Nutzungsprofile!$G$6:$G$11)*Kalender!D340/SUM(Kalender!$D$5:$D$370),0)+IFERROR(SUMIF(Nutzungsprofile!$B$6:$B$11,"Individuell",Nutzungsprofile!$G$6:$G$11)*Kalender!E340/SUM(Kalender!$E$5:$E$370),0))*Szenarien!$E$17,0)</f>
        <v>0</v>
      </c>
      <c r="D2536" s="13" t="n">
        <f aca="false">IF(Szenarien!$H$17="OK",(IFERROR(SUMIF(Nutzungsprofile!$B$17:$B$22,"Schulbetrieb",Nutzungsprofile!$G$17:$G$22)*Kalender!C340/SUM(Kalender!$C$5:$C$370),0)+IFERROR(SUMIF(Nutzungsprofile!$B$17:$B$22,"Halle",Nutzungsprofile!$G$17:$G$22)*Kalender!D340/SUM(Kalender!$D$5:$D$370),0)+IFERROR(SUMIF(Nutzungsprofile!$B$17:$B$22,"Individuell",Nutzungsprofile!$G$17:$G$22)*Kalender!E340/SUM(Kalender!$E$5:$E$370),0))*Szenarien!$D$17,0)</f>
        <v>0</v>
      </c>
      <c r="E2536" s="13" t="n">
        <f aca="false">IFERROR(MIN(C2536,Eingaben!$B$17)*Eingaben!$B$16,0)</f>
        <v>0</v>
      </c>
      <c r="F2536" s="13" t="n">
        <f aca="false">IFERROR(E2536*Eingaben!$B$15,0)</f>
        <v>0</v>
      </c>
      <c r="G2536" s="13" t="n">
        <f aca="false">IFERROR(IF(Kalender!A340="",0,J2535*(1-Eingaben!$B$20)),0)</f>
        <v>0</v>
      </c>
      <c r="H2536" s="13" t="n">
        <f aca="false">MIN(G2536,D2536)</f>
        <v>0</v>
      </c>
      <c r="I2536" s="13" t="n">
        <f aca="false">IFERROR(MIN(F2536*Eingaben!$B$19,MAX(0,D2536-H2536)),0)</f>
        <v>0</v>
      </c>
      <c r="J2536" s="13" t="n">
        <f aca="false">IFERROR(MIN(Eingaben!$B$18,MAX(0,F2536-I2536)),0)</f>
        <v>0</v>
      </c>
      <c r="K2536" s="13" t="n">
        <f aca="false">H2536+I2536</f>
        <v>0</v>
      </c>
      <c r="L2536" s="13" t="n">
        <f aca="false">MAX(0,D2536-K2536)</f>
        <v>0</v>
      </c>
      <c r="M2536" s="13" t="n">
        <f aca="false">MAX(0,F2536-I2536-J2536)</f>
        <v>0</v>
      </c>
      <c r="N2536" s="13" t="n">
        <f aca="false">IF(Kalender!A340="",0,J2535-H2536)</f>
        <v>0</v>
      </c>
    </row>
    <row r="2537" customFormat="false" ht="16.4" hidden="false" customHeight="false" outlineLevel="0" collapsed="false">
      <c r="A2537" s="13" t="str">
        <f aca="false">""</f>
        <v/>
      </c>
      <c r="B2537" s="13" t="n">
        <f aca="false">337</f>
        <v>337</v>
      </c>
      <c r="C2537" s="13" t="n">
        <f aca="false">IF(Szenarien!$H$17="OK",(IFERROR(SUMIF(Nutzungsprofile!$B$6:$B$11,"Schulbetrieb",Nutzungsprofile!$G$6:$G$11)*Kalender!C341/SUM(Kalender!$C$5:$C$370),0)+IFERROR(SUMIF(Nutzungsprofile!$B$6:$B$11,"Halle",Nutzungsprofile!$G$6:$G$11)*Kalender!D341/SUM(Kalender!$D$5:$D$370),0)+IFERROR(SUMIF(Nutzungsprofile!$B$6:$B$11,"Individuell",Nutzungsprofile!$G$6:$G$11)*Kalender!E341/SUM(Kalender!$E$5:$E$370),0))*Szenarien!$E$17,0)</f>
        <v>0</v>
      </c>
      <c r="D2537" s="13" t="n">
        <f aca="false">IF(Szenarien!$H$17="OK",(IFERROR(SUMIF(Nutzungsprofile!$B$17:$B$22,"Schulbetrieb",Nutzungsprofile!$G$17:$G$22)*Kalender!C341/SUM(Kalender!$C$5:$C$370),0)+IFERROR(SUMIF(Nutzungsprofile!$B$17:$B$22,"Halle",Nutzungsprofile!$G$17:$G$22)*Kalender!D341/SUM(Kalender!$D$5:$D$370),0)+IFERROR(SUMIF(Nutzungsprofile!$B$17:$B$22,"Individuell",Nutzungsprofile!$G$17:$G$22)*Kalender!E341/SUM(Kalender!$E$5:$E$370),0))*Szenarien!$D$17,0)</f>
        <v>0</v>
      </c>
      <c r="E2537" s="13" t="n">
        <f aca="false">IFERROR(MIN(C2537,Eingaben!$B$17)*Eingaben!$B$16,0)</f>
        <v>0</v>
      </c>
      <c r="F2537" s="13" t="n">
        <f aca="false">IFERROR(E2537*Eingaben!$B$15,0)</f>
        <v>0</v>
      </c>
      <c r="G2537" s="13" t="n">
        <f aca="false">IFERROR(IF(Kalender!A341="",0,J2536*(1-Eingaben!$B$20)),0)</f>
        <v>0</v>
      </c>
      <c r="H2537" s="13" t="n">
        <f aca="false">MIN(G2537,D2537)</f>
        <v>0</v>
      </c>
      <c r="I2537" s="13" t="n">
        <f aca="false">IFERROR(MIN(F2537*Eingaben!$B$19,MAX(0,D2537-H2537)),0)</f>
        <v>0</v>
      </c>
      <c r="J2537" s="13" t="n">
        <f aca="false">IFERROR(MIN(Eingaben!$B$18,MAX(0,F2537-I2537)),0)</f>
        <v>0</v>
      </c>
      <c r="K2537" s="13" t="n">
        <f aca="false">H2537+I2537</f>
        <v>0</v>
      </c>
      <c r="L2537" s="13" t="n">
        <f aca="false">MAX(0,D2537-K2537)</f>
        <v>0</v>
      </c>
      <c r="M2537" s="13" t="n">
        <f aca="false">MAX(0,F2537-I2537-J2537)</f>
        <v>0</v>
      </c>
      <c r="N2537" s="13" t="n">
        <f aca="false">IF(Kalender!A341="",0,J2536-H2537)</f>
        <v>0</v>
      </c>
    </row>
    <row r="2538" customFormat="false" ht="16.4" hidden="false" customHeight="false" outlineLevel="0" collapsed="false">
      <c r="A2538" s="13" t="str">
        <f aca="false">""</f>
        <v/>
      </c>
      <c r="B2538" s="13" t="n">
        <f aca="false">338</f>
        <v>338</v>
      </c>
      <c r="C2538" s="13" t="n">
        <f aca="false">IF(Szenarien!$H$17="OK",(IFERROR(SUMIF(Nutzungsprofile!$B$6:$B$11,"Schulbetrieb",Nutzungsprofile!$G$6:$G$11)*Kalender!C342/SUM(Kalender!$C$5:$C$370),0)+IFERROR(SUMIF(Nutzungsprofile!$B$6:$B$11,"Halle",Nutzungsprofile!$G$6:$G$11)*Kalender!D342/SUM(Kalender!$D$5:$D$370),0)+IFERROR(SUMIF(Nutzungsprofile!$B$6:$B$11,"Individuell",Nutzungsprofile!$G$6:$G$11)*Kalender!E342/SUM(Kalender!$E$5:$E$370),0))*Szenarien!$E$17,0)</f>
        <v>0</v>
      </c>
      <c r="D2538" s="13" t="n">
        <f aca="false">IF(Szenarien!$H$17="OK",(IFERROR(SUMIF(Nutzungsprofile!$B$17:$B$22,"Schulbetrieb",Nutzungsprofile!$G$17:$G$22)*Kalender!C342/SUM(Kalender!$C$5:$C$370),0)+IFERROR(SUMIF(Nutzungsprofile!$B$17:$B$22,"Halle",Nutzungsprofile!$G$17:$G$22)*Kalender!D342/SUM(Kalender!$D$5:$D$370),0)+IFERROR(SUMIF(Nutzungsprofile!$B$17:$B$22,"Individuell",Nutzungsprofile!$G$17:$G$22)*Kalender!E342/SUM(Kalender!$E$5:$E$370),0))*Szenarien!$D$17,0)</f>
        <v>0</v>
      </c>
      <c r="E2538" s="13" t="n">
        <f aca="false">IFERROR(MIN(C2538,Eingaben!$B$17)*Eingaben!$B$16,0)</f>
        <v>0</v>
      </c>
      <c r="F2538" s="13" t="n">
        <f aca="false">IFERROR(E2538*Eingaben!$B$15,0)</f>
        <v>0</v>
      </c>
      <c r="G2538" s="13" t="n">
        <f aca="false">IFERROR(IF(Kalender!A342="",0,J2537*(1-Eingaben!$B$20)),0)</f>
        <v>0</v>
      </c>
      <c r="H2538" s="13" t="n">
        <f aca="false">MIN(G2538,D2538)</f>
        <v>0</v>
      </c>
      <c r="I2538" s="13" t="n">
        <f aca="false">IFERROR(MIN(F2538*Eingaben!$B$19,MAX(0,D2538-H2538)),0)</f>
        <v>0</v>
      </c>
      <c r="J2538" s="13" t="n">
        <f aca="false">IFERROR(MIN(Eingaben!$B$18,MAX(0,F2538-I2538)),0)</f>
        <v>0</v>
      </c>
      <c r="K2538" s="13" t="n">
        <f aca="false">H2538+I2538</f>
        <v>0</v>
      </c>
      <c r="L2538" s="13" t="n">
        <f aca="false">MAX(0,D2538-K2538)</f>
        <v>0</v>
      </c>
      <c r="M2538" s="13" t="n">
        <f aca="false">MAX(0,F2538-I2538-J2538)</f>
        <v>0</v>
      </c>
      <c r="N2538" s="13" t="n">
        <f aca="false">IF(Kalender!A342="",0,J2537-H2538)</f>
        <v>0</v>
      </c>
    </row>
    <row r="2539" customFormat="false" ht="16.4" hidden="false" customHeight="false" outlineLevel="0" collapsed="false">
      <c r="A2539" s="13" t="str">
        <f aca="false">""</f>
        <v/>
      </c>
      <c r="B2539" s="13" t="n">
        <f aca="false">339</f>
        <v>339</v>
      </c>
      <c r="C2539" s="13" t="n">
        <f aca="false">IF(Szenarien!$H$17="OK",(IFERROR(SUMIF(Nutzungsprofile!$B$6:$B$11,"Schulbetrieb",Nutzungsprofile!$G$6:$G$11)*Kalender!C343/SUM(Kalender!$C$5:$C$370),0)+IFERROR(SUMIF(Nutzungsprofile!$B$6:$B$11,"Halle",Nutzungsprofile!$G$6:$G$11)*Kalender!D343/SUM(Kalender!$D$5:$D$370),0)+IFERROR(SUMIF(Nutzungsprofile!$B$6:$B$11,"Individuell",Nutzungsprofile!$G$6:$G$11)*Kalender!E343/SUM(Kalender!$E$5:$E$370),0))*Szenarien!$E$17,0)</f>
        <v>0</v>
      </c>
      <c r="D2539" s="13" t="n">
        <f aca="false">IF(Szenarien!$H$17="OK",(IFERROR(SUMIF(Nutzungsprofile!$B$17:$B$22,"Schulbetrieb",Nutzungsprofile!$G$17:$G$22)*Kalender!C343/SUM(Kalender!$C$5:$C$370),0)+IFERROR(SUMIF(Nutzungsprofile!$B$17:$B$22,"Halle",Nutzungsprofile!$G$17:$G$22)*Kalender!D343/SUM(Kalender!$D$5:$D$370),0)+IFERROR(SUMIF(Nutzungsprofile!$B$17:$B$22,"Individuell",Nutzungsprofile!$G$17:$G$22)*Kalender!E343/SUM(Kalender!$E$5:$E$370),0))*Szenarien!$D$17,0)</f>
        <v>0</v>
      </c>
      <c r="E2539" s="13" t="n">
        <f aca="false">IFERROR(MIN(C2539,Eingaben!$B$17)*Eingaben!$B$16,0)</f>
        <v>0</v>
      </c>
      <c r="F2539" s="13" t="n">
        <f aca="false">IFERROR(E2539*Eingaben!$B$15,0)</f>
        <v>0</v>
      </c>
      <c r="G2539" s="13" t="n">
        <f aca="false">IFERROR(IF(Kalender!A343="",0,J2538*(1-Eingaben!$B$20)),0)</f>
        <v>0</v>
      </c>
      <c r="H2539" s="13" t="n">
        <f aca="false">MIN(G2539,D2539)</f>
        <v>0</v>
      </c>
      <c r="I2539" s="13" t="n">
        <f aca="false">IFERROR(MIN(F2539*Eingaben!$B$19,MAX(0,D2539-H2539)),0)</f>
        <v>0</v>
      </c>
      <c r="J2539" s="13" t="n">
        <f aca="false">IFERROR(MIN(Eingaben!$B$18,MAX(0,F2539-I2539)),0)</f>
        <v>0</v>
      </c>
      <c r="K2539" s="13" t="n">
        <f aca="false">H2539+I2539</f>
        <v>0</v>
      </c>
      <c r="L2539" s="13" t="n">
        <f aca="false">MAX(0,D2539-K2539)</f>
        <v>0</v>
      </c>
      <c r="M2539" s="13" t="n">
        <f aca="false">MAX(0,F2539-I2539-J2539)</f>
        <v>0</v>
      </c>
      <c r="N2539" s="13" t="n">
        <f aca="false">IF(Kalender!A343="",0,J2538-H2539)</f>
        <v>0</v>
      </c>
    </row>
    <row r="2540" customFormat="false" ht="16.4" hidden="false" customHeight="false" outlineLevel="0" collapsed="false">
      <c r="A2540" s="13" t="str">
        <f aca="false">""</f>
        <v/>
      </c>
      <c r="B2540" s="13" t="n">
        <f aca="false">340</f>
        <v>340</v>
      </c>
      <c r="C2540" s="13" t="n">
        <f aca="false">IF(Szenarien!$H$17="OK",(IFERROR(SUMIF(Nutzungsprofile!$B$6:$B$11,"Schulbetrieb",Nutzungsprofile!$G$6:$G$11)*Kalender!C344/SUM(Kalender!$C$5:$C$370),0)+IFERROR(SUMIF(Nutzungsprofile!$B$6:$B$11,"Halle",Nutzungsprofile!$G$6:$G$11)*Kalender!D344/SUM(Kalender!$D$5:$D$370),0)+IFERROR(SUMIF(Nutzungsprofile!$B$6:$B$11,"Individuell",Nutzungsprofile!$G$6:$G$11)*Kalender!E344/SUM(Kalender!$E$5:$E$370),0))*Szenarien!$E$17,0)</f>
        <v>0</v>
      </c>
      <c r="D2540" s="13" t="n">
        <f aca="false">IF(Szenarien!$H$17="OK",(IFERROR(SUMIF(Nutzungsprofile!$B$17:$B$22,"Schulbetrieb",Nutzungsprofile!$G$17:$G$22)*Kalender!C344/SUM(Kalender!$C$5:$C$370),0)+IFERROR(SUMIF(Nutzungsprofile!$B$17:$B$22,"Halle",Nutzungsprofile!$G$17:$G$22)*Kalender!D344/SUM(Kalender!$D$5:$D$370),0)+IFERROR(SUMIF(Nutzungsprofile!$B$17:$B$22,"Individuell",Nutzungsprofile!$G$17:$G$22)*Kalender!E344/SUM(Kalender!$E$5:$E$370),0))*Szenarien!$D$17,0)</f>
        <v>0</v>
      </c>
      <c r="E2540" s="13" t="n">
        <f aca="false">IFERROR(MIN(C2540,Eingaben!$B$17)*Eingaben!$B$16,0)</f>
        <v>0</v>
      </c>
      <c r="F2540" s="13" t="n">
        <f aca="false">IFERROR(E2540*Eingaben!$B$15,0)</f>
        <v>0</v>
      </c>
      <c r="G2540" s="13" t="n">
        <f aca="false">IFERROR(IF(Kalender!A344="",0,J2539*(1-Eingaben!$B$20)),0)</f>
        <v>0</v>
      </c>
      <c r="H2540" s="13" t="n">
        <f aca="false">MIN(G2540,D2540)</f>
        <v>0</v>
      </c>
      <c r="I2540" s="13" t="n">
        <f aca="false">IFERROR(MIN(F2540*Eingaben!$B$19,MAX(0,D2540-H2540)),0)</f>
        <v>0</v>
      </c>
      <c r="J2540" s="13" t="n">
        <f aca="false">IFERROR(MIN(Eingaben!$B$18,MAX(0,F2540-I2540)),0)</f>
        <v>0</v>
      </c>
      <c r="K2540" s="13" t="n">
        <f aca="false">H2540+I2540</f>
        <v>0</v>
      </c>
      <c r="L2540" s="13" t="n">
        <f aca="false">MAX(0,D2540-K2540)</f>
        <v>0</v>
      </c>
      <c r="M2540" s="13" t="n">
        <f aca="false">MAX(0,F2540-I2540-J2540)</f>
        <v>0</v>
      </c>
      <c r="N2540" s="13" t="n">
        <f aca="false">IF(Kalender!A344="",0,J2539-H2540)</f>
        <v>0</v>
      </c>
    </row>
    <row r="2541" customFormat="false" ht="16.4" hidden="false" customHeight="false" outlineLevel="0" collapsed="false">
      <c r="A2541" s="13" t="str">
        <f aca="false">""</f>
        <v/>
      </c>
      <c r="B2541" s="13" t="n">
        <f aca="false">341</f>
        <v>341</v>
      </c>
      <c r="C2541" s="13" t="n">
        <f aca="false">IF(Szenarien!$H$17="OK",(IFERROR(SUMIF(Nutzungsprofile!$B$6:$B$11,"Schulbetrieb",Nutzungsprofile!$G$6:$G$11)*Kalender!C345/SUM(Kalender!$C$5:$C$370),0)+IFERROR(SUMIF(Nutzungsprofile!$B$6:$B$11,"Halle",Nutzungsprofile!$G$6:$G$11)*Kalender!D345/SUM(Kalender!$D$5:$D$370),0)+IFERROR(SUMIF(Nutzungsprofile!$B$6:$B$11,"Individuell",Nutzungsprofile!$G$6:$G$11)*Kalender!E345/SUM(Kalender!$E$5:$E$370),0))*Szenarien!$E$17,0)</f>
        <v>0</v>
      </c>
      <c r="D2541" s="13" t="n">
        <f aca="false">IF(Szenarien!$H$17="OK",(IFERROR(SUMIF(Nutzungsprofile!$B$17:$B$22,"Schulbetrieb",Nutzungsprofile!$G$17:$G$22)*Kalender!C345/SUM(Kalender!$C$5:$C$370),0)+IFERROR(SUMIF(Nutzungsprofile!$B$17:$B$22,"Halle",Nutzungsprofile!$G$17:$G$22)*Kalender!D345/SUM(Kalender!$D$5:$D$370),0)+IFERROR(SUMIF(Nutzungsprofile!$B$17:$B$22,"Individuell",Nutzungsprofile!$G$17:$G$22)*Kalender!E345/SUM(Kalender!$E$5:$E$370),0))*Szenarien!$D$17,0)</f>
        <v>0</v>
      </c>
      <c r="E2541" s="13" t="n">
        <f aca="false">IFERROR(MIN(C2541,Eingaben!$B$17)*Eingaben!$B$16,0)</f>
        <v>0</v>
      </c>
      <c r="F2541" s="13" t="n">
        <f aca="false">IFERROR(E2541*Eingaben!$B$15,0)</f>
        <v>0</v>
      </c>
      <c r="G2541" s="13" t="n">
        <f aca="false">IFERROR(IF(Kalender!A345="",0,J2540*(1-Eingaben!$B$20)),0)</f>
        <v>0</v>
      </c>
      <c r="H2541" s="13" t="n">
        <f aca="false">MIN(G2541,D2541)</f>
        <v>0</v>
      </c>
      <c r="I2541" s="13" t="n">
        <f aca="false">IFERROR(MIN(F2541*Eingaben!$B$19,MAX(0,D2541-H2541)),0)</f>
        <v>0</v>
      </c>
      <c r="J2541" s="13" t="n">
        <f aca="false">IFERROR(MIN(Eingaben!$B$18,MAX(0,F2541-I2541)),0)</f>
        <v>0</v>
      </c>
      <c r="K2541" s="13" t="n">
        <f aca="false">H2541+I2541</f>
        <v>0</v>
      </c>
      <c r="L2541" s="13" t="n">
        <f aca="false">MAX(0,D2541-K2541)</f>
        <v>0</v>
      </c>
      <c r="M2541" s="13" t="n">
        <f aca="false">MAX(0,F2541-I2541-J2541)</f>
        <v>0</v>
      </c>
      <c r="N2541" s="13" t="n">
        <f aca="false">IF(Kalender!A345="",0,J2540-H2541)</f>
        <v>0</v>
      </c>
    </row>
    <row r="2542" customFormat="false" ht="16.4" hidden="false" customHeight="false" outlineLevel="0" collapsed="false">
      <c r="A2542" s="13" t="str">
        <f aca="false">""</f>
        <v/>
      </c>
      <c r="B2542" s="13" t="n">
        <f aca="false">342</f>
        <v>342</v>
      </c>
      <c r="C2542" s="13" t="n">
        <f aca="false">IF(Szenarien!$H$17="OK",(IFERROR(SUMIF(Nutzungsprofile!$B$6:$B$11,"Schulbetrieb",Nutzungsprofile!$G$6:$G$11)*Kalender!C346/SUM(Kalender!$C$5:$C$370),0)+IFERROR(SUMIF(Nutzungsprofile!$B$6:$B$11,"Halle",Nutzungsprofile!$G$6:$G$11)*Kalender!D346/SUM(Kalender!$D$5:$D$370),0)+IFERROR(SUMIF(Nutzungsprofile!$B$6:$B$11,"Individuell",Nutzungsprofile!$G$6:$G$11)*Kalender!E346/SUM(Kalender!$E$5:$E$370),0))*Szenarien!$E$17,0)</f>
        <v>0</v>
      </c>
      <c r="D2542" s="13" t="n">
        <f aca="false">IF(Szenarien!$H$17="OK",(IFERROR(SUMIF(Nutzungsprofile!$B$17:$B$22,"Schulbetrieb",Nutzungsprofile!$G$17:$G$22)*Kalender!C346/SUM(Kalender!$C$5:$C$370),0)+IFERROR(SUMIF(Nutzungsprofile!$B$17:$B$22,"Halle",Nutzungsprofile!$G$17:$G$22)*Kalender!D346/SUM(Kalender!$D$5:$D$370),0)+IFERROR(SUMIF(Nutzungsprofile!$B$17:$B$22,"Individuell",Nutzungsprofile!$G$17:$G$22)*Kalender!E346/SUM(Kalender!$E$5:$E$370),0))*Szenarien!$D$17,0)</f>
        <v>0</v>
      </c>
      <c r="E2542" s="13" t="n">
        <f aca="false">IFERROR(MIN(C2542,Eingaben!$B$17)*Eingaben!$B$16,0)</f>
        <v>0</v>
      </c>
      <c r="F2542" s="13" t="n">
        <f aca="false">IFERROR(E2542*Eingaben!$B$15,0)</f>
        <v>0</v>
      </c>
      <c r="G2542" s="13" t="n">
        <f aca="false">IFERROR(IF(Kalender!A346="",0,J2541*(1-Eingaben!$B$20)),0)</f>
        <v>0</v>
      </c>
      <c r="H2542" s="13" t="n">
        <f aca="false">MIN(G2542,D2542)</f>
        <v>0</v>
      </c>
      <c r="I2542" s="13" t="n">
        <f aca="false">IFERROR(MIN(F2542*Eingaben!$B$19,MAX(0,D2542-H2542)),0)</f>
        <v>0</v>
      </c>
      <c r="J2542" s="13" t="n">
        <f aca="false">IFERROR(MIN(Eingaben!$B$18,MAX(0,F2542-I2542)),0)</f>
        <v>0</v>
      </c>
      <c r="K2542" s="13" t="n">
        <f aca="false">H2542+I2542</f>
        <v>0</v>
      </c>
      <c r="L2542" s="13" t="n">
        <f aca="false">MAX(0,D2542-K2542)</f>
        <v>0</v>
      </c>
      <c r="M2542" s="13" t="n">
        <f aca="false">MAX(0,F2542-I2542-J2542)</f>
        <v>0</v>
      </c>
      <c r="N2542" s="13" t="n">
        <f aca="false">IF(Kalender!A346="",0,J2541-H2542)</f>
        <v>0</v>
      </c>
    </row>
    <row r="2543" customFormat="false" ht="16.4" hidden="false" customHeight="false" outlineLevel="0" collapsed="false">
      <c r="A2543" s="13" t="str">
        <f aca="false">""</f>
        <v/>
      </c>
      <c r="B2543" s="13" t="n">
        <f aca="false">343</f>
        <v>343</v>
      </c>
      <c r="C2543" s="13" t="n">
        <f aca="false">IF(Szenarien!$H$17="OK",(IFERROR(SUMIF(Nutzungsprofile!$B$6:$B$11,"Schulbetrieb",Nutzungsprofile!$G$6:$G$11)*Kalender!C347/SUM(Kalender!$C$5:$C$370),0)+IFERROR(SUMIF(Nutzungsprofile!$B$6:$B$11,"Halle",Nutzungsprofile!$G$6:$G$11)*Kalender!D347/SUM(Kalender!$D$5:$D$370),0)+IFERROR(SUMIF(Nutzungsprofile!$B$6:$B$11,"Individuell",Nutzungsprofile!$G$6:$G$11)*Kalender!E347/SUM(Kalender!$E$5:$E$370),0))*Szenarien!$E$17,0)</f>
        <v>0</v>
      </c>
      <c r="D2543" s="13" t="n">
        <f aca="false">IF(Szenarien!$H$17="OK",(IFERROR(SUMIF(Nutzungsprofile!$B$17:$B$22,"Schulbetrieb",Nutzungsprofile!$G$17:$G$22)*Kalender!C347/SUM(Kalender!$C$5:$C$370),0)+IFERROR(SUMIF(Nutzungsprofile!$B$17:$B$22,"Halle",Nutzungsprofile!$G$17:$G$22)*Kalender!D347/SUM(Kalender!$D$5:$D$370),0)+IFERROR(SUMIF(Nutzungsprofile!$B$17:$B$22,"Individuell",Nutzungsprofile!$G$17:$G$22)*Kalender!E347/SUM(Kalender!$E$5:$E$370),0))*Szenarien!$D$17,0)</f>
        <v>0</v>
      </c>
      <c r="E2543" s="13" t="n">
        <f aca="false">IFERROR(MIN(C2543,Eingaben!$B$17)*Eingaben!$B$16,0)</f>
        <v>0</v>
      </c>
      <c r="F2543" s="13" t="n">
        <f aca="false">IFERROR(E2543*Eingaben!$B$15,0)</f>
        <v>0</v>
      </c>
      <c r="G2543" s="13" t="n">
        <f aca="false">IFERROR(IF(Kalender!A347="",0,J2542*(1-Eingaben!$B$20)),0)</f>
        <v>0</v>
      </c>
      <c r="H2543" s="13" t="n">
        <f aca="false">MIN(G2543,D2543)</f>
        <v>0</v>
      </c>
      <c r="I2543" s="13" t="n">
        <f aca="false">IFERROR(MIN(F2543*Eingaben!$B$19,MAX(0,D2543-H2543)),0)</f>
        <v>0</v>
      </c>
      <c r="J2543" s="13" t="n">
        <f aca="false">IFERROR(MIN(Eingaben!$B$18,MAX(0,F2543-I2543)),0)</f>
        <v>0</v>
      </c>
      <c r="K2543" s="13" t="n">
        <f aca="false">H2543+I2543</f>
        <v>0</v>
      </c>
      <c r="L2543" s="13" t="n">
        <f aca="false">MAX(0,D2543-K2543)</f>
        <v>0</v>
      </c>
      <c r="M2543" s="13" t="n">
        <f aca="false">MAX(0,F2543-I2543-J2543)</f>
        <v>0</v>
      </c>
      <c r="N2543" s="13" t="n">
        <f aca="false">IF(Kalender!A347="",0,J2542-H2543)</f>
        <v>0</v>
      </c>
    </row>
    <row r="2544" customFormat="false" ht="16.4" hidden="false" customHeight="false" outlineLevel="0" collapsed="false">
      <c r="A2544" s="13" t="str">
        <f aca="false">""</f>
        <v/>
      </c>
      <c r="B2544" s="13" t="n">
        <f aca="false">344</f>
        <v>344</v>
      </c>
      <c r="C2544" s="13" t="n">
        <f aca="false">IF(Szenarien!$H$17="OK",(IFERROR(SUMIF(Nutzungsprofile!$B$6:$B$11,"Schulbetrieb",Nutzungsprofile!$G$6:$G$11)*Kalender!C348/SUM(Kalender!$C$5:$C$370),0)+IFERROR(SUMIF(Nutzungsprofile!$B$6:$B$11,"Halle",Nutzungsprofile!$G$6:$G$11)*Kalender!D348/SUM(Kalender!$D$5:$D$370),0)+IFERROR(SUMIF(Nutzungsprofile!$B$6:$B$11,"Individuell",Nutzungsprofile!$G$6:$G$11)*Kalender!E348/SUM(Kalender!$E$5:$E$370),0))*Szenarien!$E$17,0)</f>
        <v>0</v>
      </c>
      <c r="D2544" s="13" t="n">
        <f aca="false">IF(Szenarien!$H$17="OK",(IFERROR(SUMIF(Nutzungsprofile!$B$17:$B$22,"Schulbetrieb",Nutzungsprofile!$G$17:$G$22)*Kalender!C348/SUM(Kalender!$C$5:$C$370),0)+IFERROR(SUMIF(Nutzungsprofile!$B$17:$B$22,"Halle",Nutzungsprofile!$G$17:$G$22)*Kalender!D348/SUM(Kalender!$D$5:$D$370),0)+IFERROR(SUMIF(Nutzungsprofile!$B$17:$B$22,"Individuell",Nutzungsprofile!$G$17:$G$22)*Kalender!E348/SUM(Kalender!$E$5:$E$370),0))*Szenarien!$D$17,0)</f>
        <v>0</v>
      </c>
      <c r="E2544" s="13" t="n">
        <f aca="false">IFERROR(MIN(C2544,Eingaben!$B$17)*Eingaben!$B$16,0)</f>
        <v>0</v>
      </c>
      <c r="F2544" s="13" t="n">
        <f aca="false">IFERROR(E2544*Eingaben!$B$15,0)</f>
        <v>0</v>
      </c>
      <c r="G2544" s="13" t="n">
        <f aca="false">IFERROR(IF(Kalender!A348="",0,J2543*(1-Eingaben!$B$20)),0)</f>
        <v>0</v>
      </c>
      <c r="H2544" s="13" t="n">
        <f aca="false">MIN(G2544,D2544)</f>
        <v>0</v>
      </c>
      <c r="I2544" s="13" t="n">
        <f aca="false">IFERROR(MIN(F2544*Eingaben!$B$19,MAX(0,D2544-H2544)),0)</f>
        <v>0</v>
      </c>
      <c r="J2544" s="13" t="n">
        <f aca="false">IFERROR(MIN(Eingaben!$B$18,MAX(0,F2544-I2544)),0)</f>
        <v>0</v>
      </c>
      <c r="K2544" s="13" t="n">
        <f aca="false">H2544+I2544</f>
        <v>0</v>
      </c>
      <c r="L2544" s="13" t="n">
        <f aca="false">MAX(0,D2544-K2544)</f>
        <v>0</v>
      </c>
      <c r="M2544" s="13" t="n">
        <f aca="false">MAX(0,F2544-I2544-J2544)</f>
        <v>0</v>
      </c>
      <c r="N2544" s="13" t="n">
        <f aca="false">IF(Kalender!A348="",0,J2543-H2544)</f>
        <v>0</v>
      </c>
    </row>
    <row r="2545" customFormat="false" ht="16.4" hidden="false" customHeight="false" outlineLevel="0" collapsed="false">
      <c r="A2545" s="13" t="str">
        <f aca="false">""</f>
        <v/>
      </c>
      <c r="B2545" s="13" t="n">
        <f aca="false">345</f>
        <v>345</v>
      </c>
      <c r="C2545" s="13" t="n">
        <f aca="false">IF(Szenarien!$H$17="OK",(IFERROR(SUMIF(Nutzungsprofile!$B$6:$B$11,"Schulbetrieb",Nutzungsprofile!$G$6:$G$11)*Kalender!C349/SUM(Kalender!$C$5:$C$370),0)+IFERROR(SUMIF(Nutzungsprofile!$B$6:$B$11,"Halle",Nutzungsprofile!$G$6:$G$11)*Kalender!D349/SUM(Kalender!$D$5:$D$370),0)+IFERROR(SUMIF(Nutzungsprofile!$B$6:$B$11,"Individuell",Nutzungsprofile!$G$6:$G$11)*Kalender!E349/SUM(Kalender!$E$5:$E$370),0))*Szenarien!$E$17,0)</f>
        <v>0</v>
      </c>
      <c r="D2545" s="13" t="n">
        <f aca="false">IF(Szenarien!$H$17="OK",(IFERROR(SUMIF(Nutzungsprofile!$B$17:$B$22,"Schulbetrieb",Nutzungsprofile!$G$17:$G$22)*Kalender!C349/SUM(Kalender!$C$5:$C$370),0)+IFERROR(SUMIF(Nutzungsprofile!$B$17:$B$22,"Halle",Nutzungsprofile!$G$17:$G$22)*Kalender!D349/SUM(Kalender!$D$5:$D$370),0)+IFERROR(SUMIF(Nutzungsprofile!$B$17:$B$22,"Individuell",Nutzungsprofile!$G$17:$G$22)*Kalender!E349/SUM(Kalender!$E$5:$E$370),0))*Szenarien!$D$17,0)</f>
        <v>0</v>
      </c>
      <c r="E2545" s="13" t="n">
        <f aca="false">IFERROR(MIN(C2545,Eingaben!$B$17)*Eingaben!$B$16,0)</f>
        <v>0</v>
      </c>
      <c r="F2545" s="13" t="n">
        <f aca="false">IFERROR(E2545*Eingaben!$B$15,0)</f>
        <v>0</v>
      </c>
      <c r="G2545" s="13" t="n">
        <f aca="false">IFERROR(IF(Kalender!A349="",0,J2544*(1-Eingaben!$B$20)),0)</f>
        <v>0</v>
      </c>
      <c r="H2545" s="13" t="n">
        <f aca="false">MIN(G2545,D2545)</f>
        <v>0</v>
      </c>
      <c r="I2545" s="13" t="n">
        <f aca="false">IFERROR(MIN(F2545*Eingaben!$B$19,MAX(0,D2545-H2545)),0)</f>
        <v>0</v>
      </c>
      <c r="J2545" s="13" t="n">
        <f aca="false">IFERROR(MIN(Eingaben!$B$18,MAX(0,F2545-I2545)),0)</f>
        <v>0</v>
      </c>
      <c r="K2545" s="13" t="n">
        <f aca="false">H2545+I2545</f>
        <v>0</v>
      </c>
      <c r="L2545" s="13" t="n">
        <f aca="false">MAX(0,D2545-K2545)</f>
        <v>0</v>
      </c>
      <c r="M2545" s="13" t="n">
        <f aca="false">MAX(0,F2545-I2545-J2545)</f>
        <v>0</v>
      </c>
      <c r="N2545" s="13" t="n">
        <f aca="false">IF(Kalender!A349="",0,J2544-H2545)</f>
        <v>0</v>
      </c>
    </row>
    <row r="2546" customFormat="false" ht="16.4" hidden="false" customHeight="false" outlineLevel="0" collapsed="false">
      <c r="A2546" s="13" t="str">
        <f aca="false">""</f>
        <v/>
      </c>
      <c r="B2546" s="13" t="n">
        <f aca="false">346</f>
        <v>346</v>
      </c>
      <c r="C2546" s="13" t="n">
        <f aca="false">IF(Szenarien!$H$17="OK",(IFERROR(SUMIF(Nutzungsprofile!$B$6:$B$11,"Schulbetrieb",Nutzungsprofile!$G$6:$G$11)*Kalender!C350/SUM(Kalender!$C$5:$C$370),0)+IFERROR(SUMIF(Nutzungsprofile!$B$6:$B$11,"Halle",Nutzungsprofile!$G$6:$G$11)*Kalender!D350/SUM(Kalender!$D$5:$D$370),0)+IFERROR(SUMIF(Nutzungsprofile!$B$6:$B$11,"Individuell",Nutzungsprofile!$G$6:$G$11)*Kalender!E350/SUM(Kalender!$E$5:$E$370),0))*Szenarien!$E$17,0)</f>
        <v>0</v>
      </c>
      <c r="D2546" s="13" t="n">
        <f aca="false">IF(Szenarien!$H$17="OK",(IFERROR(SUMIF(Nutzungsprofile!$B$17:$B$22,"Schulbetrieb",Nutzungsprofile!$G$17:$G$22)*Kalender!C350/SUM(Kalender!$C$5:$C$370),0)+IFERROR(SUMIF(Nutzungsprofile!$B$17:$B$22,"Halle",Nutzungsprofile!$G$17:$G$22)*Kalender!D350/SUM(Kalender!$D$5:$D$370),0)+IFERROR(SUMIF(Nutzungsprofile!$B$17:$B$22,"Individuell",Nutzungsprofile!$G$17:$G$22)*Kalender!E350/SUM(Kalender!$E$5:$E$370),0))*Szenarien!$D$17,0)</f>
        <v>0</v>
      </c>
      <c r="E2546" s="13" t="n">
        <f aca="false">IFERROR(MIN(C2546,Eingaben!$B$17)*Eingaben!$B$16,0)</f>
        <v>0</v>
      </c>
      <c r="F2546" s="13" t="n">
        <f aca="false">IFERROR(E2546*Eingaben!$B$15,0)</f>
        <v>0</v>
      </c>
      <c r="G2546" s="13" t="n">
        <f aca="false">IFERROR(IF(Kalender!A350="",0,J2545*(1-Eingaben!$B$20)),0)</f>
        <v>0</v>
      </c>
      <c r="H2546" s="13" t="n">
        <f aca="false">MIN(G2546,D2546)</f>
        <v>0</v>
      </c>
      <c r="I2546" s="13" t="n">
        <f aca="false">IFERROR(MIN(F2546*Eingaben!$B$19,MAX(0,D2546-H2546)),0)</f>
        <v>0</v>
      </c>
      <c r="J2546" s="13" t="n">
        <f aca="false">IFERROR(MIN(Eingaben!$B$18,MAX(0,F2546-I2546)),0)</f>
        <v>0</v>
      </c>
      <c r="K2546" s="13" t="n">
        <f aca="false">H2546+I2546</f>
        <v>0</v>
      </c>
      <c r="L2546" s="13" t="n">
        <f aca="false">MAX(0,D2546-K2546)</f>
        <v>0</v>
      </c>
      <c r="M2546" s="13" t="n">
        <f aca="false">MAX(0,F2546-I2546-J2546)</f>
        <v>0</v>
      </c>
      <c r="N2546" s="13" t="n">
        <f aca="false">IF(Kalender!A350="",0,J2545-H2546)</f>
        <v>0</v>
      </c>
    </row>
    <row r="2547" customFormat="false" ht="16.4" hidden="false" customHeight="false" outlineLevel="0" collapsed="false">
      <c r="A2547" s="13" t="str">
        <f aca="false">""</f>
        <v/>
      </c>
      <c r="B2547" s="13" t="n">
        <f aca="false">347</f>
        <v>347</v>
      </c>
      <c r="C2547" s="13" t="n">
        <f aca="false">IF(Szenarien!$H$17="OK",(IFERROR(SUMIF(Nutzungsprofile!$B$6:$B$11,"Schulbetrieb",Nutzungsprofile!$G$6:$G$11)*Kalender!C351/SUM(Kalender!$C$5:$C$370),0)+IFERROR(SUMIF(Nutzungsprofile!$B$6:$B$11,"Halle",Nutzungsprofile!$G$6:$G$11)*Kalender!D351/SUM(Kalender!$D$5:$D$370),0)+IFERROR(SUMIF(Nutzungsprofile!$B$6:$B$11,"Individuell",Nutzungsprofile!$G$6:$G$11)*Kalender!E351/SUM(Kalender!$E$5:$E$370),0))*Szenarien!$E$17,0)</f>
        <v>0</v>
      </c>
      <c r="D2547" s="13" t="n">
        <f aca="false">IF(Szenarien!$H$17="OK",(IFERROR(SUMIF(Nutzungsprofile!$B$17:$B$22,"Schulbetrieb",Nutzungsprofile!$G$17:$G$22)*Kalender!C351/SUM(Kalender!$C$5:$C$370),0)+IFERROR(SUMIF(Nutzungsprofile!$B$17:$B$22,"Halle",Nutzungsprofile!$G$17:$G$22)*Kalender!D351/SUM(Kalender!$D$5:$D$370),0)+IFERROR(SUMIF(Nutzungsprofile!$B$17:$B$22,"Individuell",Nutzungsprofile!$G$17:$G$22)*Kalender!E351/SUM(Kalender!$E$5:$E$370),0))*Szenarien!$D$17,0)</f>
        <v>0</v>
      </c>
      <c r="E2547" s="13" t="n">
        <f aca="false">IFERROR(MIN(C2547,Eingaben!$B$17)*Eingaben!$B$16,0)</f>
        <v>0</v>
      </c>
      <c r="F2547" s="13" t="n">
        <f aca="false">IFERROR(E2547*Eingaben!$B$15,0)</f>
        <v>0</v>
      </c>
      <c r="G2547" s="13" t="n">
        <f aca="false">IFERROR(IF(Kalender!A351="",0,J2546*(1-Eingaben!$B$20)),0)</f>
        <v>0</v>
      </c>
      <c r="H2547" s="13" t="n">
        <f aca="false">MIN(G2547,D2547)</f>
        <v>0</v>
      </c>
      <c r="I2547" s="13" t="n">
        <f aca="false">IFERROR(MIN(F2547*Eingaben!$B$19,MAX(0,D2547-H2547)),0)</f>
        <v>0</v>
      </c>
      <c r="J2547" s="13" t="n">
        <f aca="false">IFERROR(MIN(Eingaben!$B$18,MAX(0,F2547-I2547)),0)</f>
        <v>0</v>
      </c>
      <c r="K2547" s="13" t="n">
        <f aca="false">H2547+I2547</f>
        <v>0</v>
      </c>
      <c r="L2547" s="13" t="n">
        <f aca="false">MAX(0,D2547-K2547)</f>
        <v>0</v>
      </c>
      <c r="M2547" s="13" t="n">
        <f aca="false">MAX(0,F2547-I2547-J2547)</f>
        <v>0</v>
      </c>
      <c r="N2547" s="13" t="n">
        <f aca="false">IF(Kalender!A351="",0,J2546-H2547)</f>
        <v>0</v>
      </c>
    </row>
    <row r="2548" customFormat="false" ht="16.4" hidden="false" customHeight="false" outlineLevel="0" collapsed="false">
      <c r="A2548" s="13" t="str">
        <f aca="false">""</f>
        <v/>
      </c>
      <c r="B2548" s="13" t="n">
        <f aca="false">348</f>
        <v>348</v>
      </c>
      <c r="C2548" s="13" t="n">
        <f aca="false">IF(Szenarien!$H$17="OK",(IFERROR(SUMIF(Nutzungsprofile!$B$6:$B$11,"Schulbetrieb",Nutzungsprofile!$G$6:$G$11)*Kalender!C352/SUM(Kalender!$C$5:$C$370),0)+IFERROR(SUMIF(Nutzungsprofile!$B$6:$B$11,"Halle",Nutzungsprofile!$G$6:$G$11)*Kalender!D352/SUM(Kalender!$D$5:$D$370),0)+IFERROR(SUMIF(Nutzungsprofile!$B$6:$B$11,"Individuell",Nutzungsprofile!$G$6:$G$11)*Kalender!E352/SUM(Kalender!$E$5:$E$370),0))*Szenarien!$E$17,0)</f>
        <v>0</v>
      </c>
      <c r="D2548" s="13" t="n">
        <f aca="false">IF(Szenarien!$H$17="OK",(IFERROR(SUMIF(Nutzungsprofile!$B$17:$B$22,"Schulbetrieb",Nutzungsprofile!$G$17:$G$22)*Kalender!C352/SUM(Kalender!$C$5:$C$370),0)+IFERROR(SUMIF(Nutzungsprofile!$B$17:$B$22,"Halle",Nutzungsprofile!$G$17:$G$22)*Kalender!D352/SUM(Kalender!$D$5:$D$370),0)+IFERROR(SUMIF(Nutzungsprofile!$B$17:$B$22,"Individuell",Nutzungsprofile!$G$17:$G$22)*Kalender!E352/SUM(Kalender!$E$5:$E$370),0))*Szenarien!$D$17,0)</f>
        <v>0</v>
      </c>
      <c r="E2548" s="13" t="n">
        <f aca="false">IFERROR(MIN(C2548,Eingaben!$B$17)*Eingaben!$B$16,0)</f>
        <v>0</v>
      </c>
      <c r="F2548" s="13" t="n">
        <f aca="false">IFERROR(E2548*Eingaben!$B$15,0)</f>
        <v>0</v>
      </c>
      <c r="G2548" s="13" t="n">
        <f aca="false">IFERROR(IF(Kalender!A352="",0,J2547*(1-Eingaben!$B$20)),0)</f>
        <v>0</v>
      </c>
      <c r="H2548" s="13" t="n">
        <f aca="false">MIN(G2548,D2548)</f>
        <v>0</v>
      </c>
      <c r="I2548" s="13" t="n">
        <f aca="false">IFERROR(MIN(F2548*Eingaben!$B$19,MAX(0,D2548-H2548)),0)</f>
        <v>0</v>
      </c>
      <c r="J2548" s="13" t="n">
        <f aca="false">IFERROR(MIN(Eingaben!$B$18,MAX(0,F2548-I2548)),0)</f>
        <v>0</v>
      </c>
      <c r="K2548" s="13" t="n">
        <f aca="false">H2548+I2548</f>
        <v>0</v>
      </c>
      <c r="L2548" s="13" t="n">
        <f aca="false">MAX(0,D2548-K2548)</f>
        <v>0</v>
      </c>
      <c r="M2548" s="13" t="n">
        <f aca="false">MAX(0,F2548-I2548-J2548)</f>
        <v>0</v>
      </c>
      <c r="N2548" s="13" t="n">
        <f aca="false">IF(Kalender!A352="",0,J2547-H2548)</f>
        <v>0</v>
      </c>
    </row>
    <row r="2549" customFormat="false" ht="16.4" hidden="false" customHeight="false" outlineLevel="0" collapsed="false">
      <c r="A2549" s="13" t="str">
        <f aca="false">""</f>
        <v/>
      </c>
      <c r="B2549" s="13" t="n">
        <f aca="false">349</f>
        <v>349</v>
      </c>
      <c r="C2549" s="13" t="n">
        <f aca="false">IF(Szenarien!$H$17="OK",(IFERROR(SUMIF(Nutzungsprofile!$B$6:$B$11,"Schulbetrieb",Nutzungsprofile!$G$6:$G$11)*Kalender!C353/SUM(Kalender!$C$5:$C$370),0)+IFERROR(SUMIF(Nutzungsprofile!$B$6:$B$11,"Halle",Nutzungsprofile!$G$6:$G$11)*Kalender!D353/SUM(Kalender!$D$5:$D$370),0)+IFERROR(SUMIF(Nutzungsprofile!$B$6:$B$11,"Individuell",Nutzungsprofile!$G$6:$G$11)*Kalender!E353/SUM(Kalender!$E$5:$E$370),0))*Szenarien!$E$17,0)</f>
        <v>0</v>
      </c>
      <c r="D2549" s="13" t="n">
        <f aca="false">IF(Szenarien!$H$17="OK",(IFERROR(SUMIF(Nutzungsprofile!$B$17:$B$22,"Schulbetrieb",Nutzungsprofile!$G$17:$G$22)*Kalender!C353/SUM(Kalender!$C$5:$C$370),0)+IFERROR(SUMIF(Nutzungsprofile!$B$17:$B$22,"Halle",Nutzungsprofile!$G$17:$G$22)*Kalender!D353/SUM(Kalender!$D$5:$D$370),0)+IFERROR(SUMIF(Nutzungsprofile!$B$17:$B$22,"Individuell",Nutzungsprofile!$G$17:$G$22)*Kalender!E353/SUM(Kalender!$E$5:$E$370),0))*Szenarien!$D$17,0)</f>
        <v>0</v>
      </c>
      <c r="E2549" s="13" t="n">
        <f aca="false">IFERROR(MIN(C2549,Eingaben!$B$17)*Eingaben!$B$16,0)</f>
        <v>0</v>
      </c>
      <c r="F2549" s="13" t="n">
        <f aca="false">IFERROR(E2549*Eingaben!$B$15,0)</f>
        <v>0</v>
      </c>
      <c r="G2549" s="13" t="n">
        <f aca="false">IFERROR(IF(Kalender!A353="",0,J2548*(1-Eingaben!$B$20)),0)</f>
        <v>0</v>
      </c>
      <c r="H2549" s="13" t="n">
        <f aca="false">MIN(G2549,D2549)</f>
        <v>0</v>
      </c>
      <c r="I2549" s="13" t="n">
        <f aca="false">IFERROR(MIN(F2549*Eingaben!$B$19,MAX(0,D2549-H2549)),0)</f>
        <v>0</v>
      </c>
      <c r="J2549" s="13" t="n">
        <f aca="false">IFERROR(MIN(Eingaben!$B$18,MAX(0,F2549-I2549)),0)</f>
        <v>0</v>
      </c>
      <c r="K2549" s="13" t="n">
        <f aca="false">H2549+I2549</f>
        <v>0</v>
      </c>
      <c r="L2549" s="13" t="n">
        <f aca="false">MAX(0,D2549-K2549)</f>
        <v>0</v>
      </c>
      <c r="M2549" s="13" t="n">
        <f aca="false">MAX(0,F2549-I2549-J2549)</f>
        <v>0</v>
      </c>
      <c r="N2549" s="13" t="n">
        <f aca="false">IF(Kalender!A353="",0,J2548-H2549)</f>
        <v>0</v>
      </c>
    </row>
    <row r="2550" customFormat="false" ht="16.4" hidden="false" customHeight="false" outlineLevel="0" collapsed="false">
      <c r="A2550" s="13" t="str">
        <f aca="false">""</f>
        <v/>
      </c>
      <c r="B2550" s="13" t="n">
        <f aca="false">350</f>
        <v>350</v>
      </c>
      <c r="C2550" s="13" t="n">
        <f aca="false">IF(Szenarien!$H$17="OK",(IFERROR(SUMIF(Nutzungsprofile!$B$6:$B$11,"Schulbetrieb",Nutzungsprofile!$G$6:$G$11)*Kalender!C354/SUM(Kalender!$C$5:$C$370),0)+IFERROR(SUMIF(Nutzungsprofile!$B$6:$B$11,"Halle",Nutzungsprofile!$G$6:$G$11)*Kalender!D354/SUM(Kalender!$D$5:$D$370),0)+IFERROR(SUMIF(Nutzungsprofile!$B$6:$B$11,"Individuell",Nutzungsprofile!$G$6:$G$11)*Kalender!E354/SUM(Kalender!$E$5:$E$370),0))*Szenarien!$E$17,0)</f>
        <v>0</v>
      </c>
      <c r="D2550" s="13" t="n">
        <f aca="false">IF(Szenarien!$H$17="OK",(IFERROR(SUMIF(Nutzungsprofile!$B$17:$B$22,"Schulbetrieb",Nutzungsprofile!$G$17:$G$22)*Kalender!C354/SUM(Kalender!$C$5:$C$370),0)+IFERROR(SUMIF(Nutzungsprofile!$B$17:$B$22,"Halle",Nutzungsprofile!$G$17:$G$22)*Kalender!D354/SUM(Kalender!$D$5:$D$370),0)+IFERROR(SUMIF(Nutzungsprofile!$B$17:$B$22,"Individuell",Nutzungsprofile!$G$17:$G$22)*Kalender!E354/SUM(Kalender!$E$5:$E$370),0))*Szenarien!$D$17,0)</f>
        <v>0</v>
      </c>
      <c r="E2550" s="13" t="n">
        <f aca="false">IFERROR(MIN(C2550,Eingaben!$B$17)*Eingaben!$B$16,0)</f>
        <v>0</v>
      </c>
      <c r="F2550" s="13" t="n">
        <f aca="false">IFERROR(E2550*Eingaben!$B$15,0)</f>
        <v>0</v>
      </c>
      <c r="G2550" s="13" t="n">
        <f aca="false">IFERROR(IF(Kalender!A354="",0,J2549*(1-Eingaben!$B$20)),0)</f>
        <v>0</v>
      </c>
      <c r="H2550" s="13" t="n">
        <f aca="false">MIN(G2550,D2550)</f>
        <v>0</v>
      </c>
      <c r="I2550" s="13" t="n">
        <f aca="false">IFERROR(MIN(F2550*Eingaben!$B$19,MAX(0,D2550-H2550)),0)</f>
        <v>0</v>
      </c>
      <c r="J2550" s="13" t="n">
        <f aca="false">IFERROR(MIN(Eingaben!$B$18,MAX(0,F2550-I2550)),0)</f>
        <v>0</v>
      </c>
      <c r="K2550" s="13" t="n">
        <f aca="false">H2550+I2550</f>
        <v>0</v>
      </c>
      <c r="L2550" s="13" t="n">
        <f aca="false">MAX(0,D2550-K2550)</f>
        <v>0</v>
      </c>
      <c r="M2550" s="13" t="n">
        <f aca="false">MAX(0,F2550-I2550-J2550)</f>
        <v>0</v>
      </c>
      <c r="N2550" s="13" t="n">
        <f aca="false">IF(Kalender!A354="",0,J2549-H2550)</f>
        <v>0</v>
      </c>
    </row>
    <row r="2551" customFormat="false" ht="16.4" hidden="false" customHeight="false" outlineLevel="0" collapsed="false">
      <c r="A2551" s="13" t="str">
        <f aca="false">""</f>
        <v/>
      </c>
      <c r="B2551" s="13" t="n">
        <f aca="false">351</f>
        <v>351</v>
      </c>
      <c r="C2551" s="13" t="n">
        <f aca="false">IF(Szenarien!$H$17="OK",(IFERROR(SUMIF(Nutzungsprofile!$B$6:$B$11,"Schulbetrieb",Nutzungsprofile!$G$6:$G$11)*Kalender!C355/SUM(Kalender!$C$5:$C$370),0)+IFERROR(SUMIF(Nutzungsprofile!$B$6:$B$11,"Halle",Nutzungsprofile!$G$6:$G$11)*Kalender!D355/SUM(Kalender!$D$5:$D$370),0)+IFERROR(SUMIF(Nutzungsprofile!$B$6:$B$11,"Individuell",Nutzungsprofile!$G$6:$G$11)*Kalender!E355/SUM(Kalender!$E$5:$E$370),0))*Szenarien!$E$17,0)</f>
        <v>0</v>
      </c>
      <c r="D2551" s="13" t="n">
        <f aca="false">IF(Szenarien!$H$17="OK",(IFERROR(SUMIF(Nutzungsprofile!$B$17:$B$22,"Schulbetrieb",Nutzungsprofile!$G$17:$G$22)*Kalender!C355/SUM(Kalender!$C$5:$C$370),0)+IFERROR(SUMIF(Nutzungsprofile!$B$17:$B$22,"Halle",Nutzungsprofile!$G$17:$G$22)*Kalender!D355/SUM(Kalender!$D$5:$D$370),0)+IFERROR(SUMIF(Nutzungsprofile!$B$17:$B$22,"Individuell",Nutzungsprofile!$G$17:$G$22)*Kalender!E355/SUM(Kalender!$E$5:$E$370),0))*Szenarien!$D$17,0)</f>
        <v>0</v>
      </c>
      <c r="E2551" s="13" t="n">
        <f aca="false">IFERROR(MIN(C2551,Eingaben!$B$17)*Eingaben!$B$16,0)</f>
        <v>0</v>
      </c>
      <c r="F2551" s="13" t="n">
        <f aca="false">IFERROR(E2551*Eingaben!$B$15,0)</f>
        <v>0</v>
      </c>
      <c r="G2551" s="13" t="n">
        <f aca="false">IFERROR(IF(Kalender!A355="",0,J2550*(1-Eingaben!$B$20)),0)</f>
        <v>0</v>
      </c>
      <c r="H2551" s="13" t="n">
        <f aca="false">MIN(G2551,D2551)</f>
        <v>0</v>
      </c>
      <c r="I2551" s="13" t="n">
        <f aca="false">IFERROR(MIN(F2551*Eingaben!$B$19,MAX(0,D2551-H2551)),0)</f>
        <v>0</v>
      </c>
      <c r="J2551" s="13" t="n">
        <f aca="false">IFERROR(MIN(Eingaben!$B$18,MAX(0,F2551-I2551)),0)</f>
        <v>0</v>
      </c>
      <c r="K2551" s="13" t="n">
        <f aca="false">H2551+I2551</f>
        <v>0</v>
      </c>
      <c r="L2551" s="13" t="n">
        <f aca="false">MAX(0,D2551-K2551)</f>
        <v>0</v>
      </c>
      <c r="M2551" s="13" t="n">
        <f aca="false">MAX(0,F2551-I2551-J2551)</f>
        <v>0</v>
      </c>
      <c r="N2551" s="13" t="n">
        <f aca="false">IF(Kalender!A355="",0,J2550-H2551)</f>
        <v>0</v>
      </c>
    </row>
    <row r="2552" customFormat="false" ht="16.4" hidden="false" customHeight="false" outlineLevel="0" collapsed="false">
      <c r="A2552" s="13" t="str">
        <f aca="false">""</f>
        <v/>
      </c>
      <c r="B2552" s="13" t="n">
        <f aca="false">352</f>
        <v>352</v>
      </c>
      <c r="C2552" s="13" t="n">
        <f aca="false">IF(Szenarien!$H$17="OK",(IFERROR(SUMIF(Nutzungsprofile!$B$6:$B$11,"Schulbetrieb",Nutzungsprofile!$G$6:$G$11)*Kalender!C356/SUM(Kalender!$C$5:$C$370),0)+IFERROR(SUMIF(Nutzungsprofile!$B$6:$B$11,"Halle",Nutzungsprofile!$G$6:$G$11)*Kalender!D356/SUM(Kalender!$D$5:$D$370),0)+IFERROR(SUMIF(Nutzungsprofile!$B$6:$B$11,"Individuell",Nutzungsprofile!$G$6:$G$11)*Kalender!E356/SUM(Kalender!$E$5:$E$370),0))*Szenarien!$E$17,0)</f>
        <v>0</v>
      </c>
      <c r="D2552" s="13" t="n">
        <f aca="false">IF(Szenarien!$H$17="OK",(IFERROR(SUMIF(Nutzungsprofile!$B$17:$B$22,"Schulbetrieb",Nutzungsprofile!$G$17:$G$22)*Kalender!C356/SUM(Kalender!$C$5:$C$370),0)+IFERROR(SUMIF(Nutzungsprofile!$B$17:$B$22,"Halle",Nutzungsprofile!$G$17:$G$22)*Kalender!D356/SUM(Kalender!$D$5:$D$370),0)+IFERROR(SUMIF(Nutzungsprofile!$B$17:$B$22,"Individuell",Nutzungsprofile!$G$17:$G$22)*Kalender!E356/SUM(Kalender!$E$5:$E$370),0))*Szenarien!$D$17,0)</f>
        <v>0</v>
      </c>
      <c r="E2552" s="13" t="n">
        <f aca="false">IFERROR(MIN(C2552,Eingaben!$B$17)*Eingaben!$B$16,0)</f>
        <v>0</v>
      </c>
      <c r="F2552" s="13" t="n">
        <f aca="false">IFERROR(E2552*Eingaben!$B$15,0)</f>
        <v>0</v>
      </c>
      <c r="G2552" s="13" t="n">
        <f aca="false">IFERROR(IF(Kalender!A356="",0,J2551*(1-Eingaben!$B$20)),0)</f>
        <v>0</v>
      </c>
      <c r="H2552" s="13" t="n">
        <f aca="false">MIN(G2552,D2552)</f>
        <v>0</v>
      </c>
      <c r="I2552" s="13" t="n">
        <f aca="false">IFERROR(MIN(F2552*Eingaben!$B$19,MAX(0,D2552-H2552)),0)</f>
        <v>0</v>
      </c>
      <c r="J2552" s="13" t="n">
        <f aca="false">IFERROR(MIN(Eingaben!$B$18,MAX(0,F2552-I2552)),0)</f>
        <v>0</v>
      </c>
      <c r="K2552" s="13" t="n">
        <f aca="false">H2552+I2552</f>
        <v>0</v>
      </c>
      <c r="L2552" s="13" t="n">
        <f aca="false">MAX(0,D2552-K2552)</f>
        <v>0</v>
      </c>
      <c r="M2552" s="13" t="n">
        <f aca="false">MAX(0,F2552-I2552-J2552)</f>
        <v>0</v>
      </c>
      <c r="N2552" s="13" t="n">
        <f aca="false">IF(Kalender!A356="",0,J2551-H2552)</f>
        <v>0</v>
      </c>
    </row>
    <row r="2553" customFormat="false" ht="16.4" hidden="false" customHeight="false" outlineLevel="0" collapsed="false">
      <c r="A2553" s="13" t="str">
        <f aca="false">""</f>
        <v/>
      </c>
      <c r="B2553" s="13" t="n">
        <f aca="false">353</f>
        <v>353</v>
      </c>
      <c r="C2553" s="13" t="n">
        <f aca="false">IF(Szenarien!$H$17="OK",(IFERROR(SUMIF(Nutzungsprofile!$B$6:$B$11,"Schulbetrieb",Nutzungsprofile!$G$6:$G$11)*Kalender!C357/SUM(Kalender!$C$5:$C$370),0)+IFERROR(SUMIF(Nutzungsprofile!$B$6:$B$11,"Halle",Nutzungsprofile!$G$6:$G$11)*Kalender!D357/SUM(Kalender!$D$5:$D$370),0)+IFERROR(SUMIF(Nutzungsprofile!$B$6:$B$11,"Individuell",Nutzungsprofile!$G$6:$G$11)*Kalender!E357/SUM(Kalender!$E$5:$E$370),0))*Szenarien!$E$17,0)</f>
        <v>0</v>
      </c>
      <c r="D2553" s="13" t="n">
        <f aca="false">IF(Szenarien!$H$17="OK",(IFERROR(SUMIF(Nutzungsprofile!$B$17:$B$22,"Schulbetrieb",Nutzungsprofile!$G$17:$G$22)*Kalender!C357/SUM(Kalender!$C$5:$C$370),0)+IFERROR(SUMIF(Nutzungsprofile!$B$17:$B$22,"Halle",Nutzungsprofile!$G$17:$G$22)*Kalender!D357/SUM(Kalender!$D$5:$D$370),0)+IFERROR(SUMIF(Nutzungsprofile!$B$17:$B$22,"Individuell",Nutzungsprofile!$G$17:$G$22)*Kalender!E357/SUM(Kalender!$E$5:$E$370),0))*Szenarien!$D$17,0)</f>
        <v>0</v>
      </c>
      <c r="E2553" s="13" t="n">
        <f aca="false">IFERROR(MIN(C2553,Eingaben!$B$17)*Eingaben!$B$16,0)</f>
        <v>0</v>
      </c>
      <c r="F2553" s="13" t="n">
        <f aca="false">IFERROR(E2553*Eingaben!$B$15,0)</f>
        <v>0</v>
      </c>
      <c r="G2553" s="13" t="n">
        <f aca="false">IFERROR(IF(Kalender!A357="",0,J2552*(1-Eingaben!$B$20)),0)</f>
        <v>0</v>
      </c>
      <c r="H2553" s="13" t="n">
        <f aca="false">MIN(G2553,D2553)</f>
        <v>0</v>
      </c>
      <c r="I2553" s="13" t="n">
        <f aca="false">IFERROR(MIN(F2553*Eingaben!$B$19,MAX(0,D2553-H2553)),0)</f>
        <v>0</v>
      </c>
      <c r="J2553" s="13" t="n">
        <f aca="false">IFERROR(MIN(Eingaben!$B$18,MAX(0,F2553-I2553)),0)</f>
        <v>0</v>
      </c>
      <c r="K2553" s="13" t="n">
        <f aca="false">H2553+I2553</f>
        <v>0</v>
      </c>
      <c r="L2553" s="13" t="n">
        <f aca="false">MAX(0,D2553-K2553)</f>
        <v>0</v>
      </c>
      <c r="M2553" s="13" t="n">
        <f aca="false">MAX(0,F2553-I2553-J2553)</f>
        <v>0</v>
      </c>
      <c r="N2553" s="13" t="n">
        <f aca="false">IF(Kalender!A357="",0,J2552-H2553)</f>
        <v>0</v>
      </c>
    </row>
    <row r="2554" customFormat="false" ht="16.4" hidden="false" customHeight="false" outlineLevel="0" collapsed="false">
      <c r="A2554" s="13" t="str">
        <f aca="false">""</f>
        <v/>
      </c>
      <c r="B2554" s="13" t="n">
        <f aca="false">354</f>
        <v>354</v>
      </c>
      <c r="C2554" s="13" t="n">
        <f aca="false">IF(Szenarien!$H$17="OK",(IFERROR(SUMIF(Nutzungsprofile!$B$6:$B$11,"Schulbetrieb",Nutzungsprofile!$G$6:$G$11)*Kalender!C358/SUM(Kalender!$C$5:$C$370),0)+IFERROR(SUMIF(Nutzungsprofile!$B$6:$B$11,"Halle",Nutzungsprofile!$G$6:$G$11)*Kalender!D358/SUM(Kalender!$D$5:$D$370),0)+IFERROR(SUMIF(Nutzungsprofile!$B$6:$B$11,"Individuell",Nutzungsprofile!$G$6:$G$11)*Kalender!E358/SUM(Kalender!$E$5:$E$370),0))*Szenarien!$E$17,0)</f>
        <v>0</v>
      </c>
      <c r="D2554" s="13" t="n">
        <f aca="false">IF(Szenarien!$H$17="OK",(IFERROR(SUMIF(Nutzungsprofile!$B$17:$B$22,"Schulbetrieb",Nutzungsprofile!$G$17:$G$22)*Kalender!C358/SUM(Kalender!$C$5:$C$370),0)+IFERROR(SUMIF(Nutzungsprofile!$B$17:$B$22,"Halle",Nutzungsprofile!$G$17:$G$22)*Kalender!D358/SUM(Kalender!$D$5:$D$370),0)+IFERROR(SUMIF(Nutzungsprofile!$B$17:$B$22,"Individuell",Nutzungsprofile!$G$17:$G$22)*Kalender!E358/SUM(Kalender!$E$5:$E$370),0))*Szenarien!$D$17,0)</f>
        <v>0</v>
      </c>
      <c r="E2554" s="13" t="n">
        <f aca="false">IFERROR(MIN(C2554,Eingaben!$B$17)*Eingaben!$B$16,0)</f>
        <v>0</v>
      </c>
      <c r="F2554" s="13" t="n">
        <f aca="false">IFERROR(E2554*Eingaben!$B$15,0)</f>
        <v>0</v>
      </c>
      <c r="G2554" s="13" t="n">
        <f aca="false">IFERROR(IF(Kalender!A358="",0,J2553*(1-Eingaben!$B$20)),0)</f>
        <v>0</v>
      </c>
      <c r="H2554" s="13" t="n">
        <f aca="false">MIN(G2554,D2554)</f>
        <v>0</v>
      </c>
      <c r="I2554" s="13" t="n">
        <f aca="false">IFERROR(MIN(F2554*Eingaben!$B$19,MAX(0,D2554-H2554)),0)</f>
        <v>0</v>
      </c>
      <c r="J2554" s="13" t="n">
        <f aca="false">IFERROR(MIN(Eingaben!$B$18,MAX(0,F2554-I2554)),0)</f>
        <v>0</v>
      </c>
      <c r="K2554" s="13" t="n">
        <f aca="false">H2554+I2554</f>
        <v>0</v>
      </c>
      <c r="L2554" s="13" t="n">
        <f aca="false">MAX(0,D2554-K2554)</f>
        <v>0</v>
      </c>
      <c r="M2554" s="13" t="n">
        <f aca="false">MAX(0,F2554-I2554-J2554)</f>
        <v>0</v>
      </c>
      <c r="N2554" s="13" t="n">
        <f aca="false">IF(Kalender!A358="",0,J2553-H2554)</f>
        <v>0</v>
      </c>
    </row>
    <row r="2555" customFormat="false" ht="16.4" hidden="false" customHeight="false" outlineLevel="0" collapsed="false">
      <c r="A2555" s="13" t="str">
        <f aca="false">""</f>
        <v/>
      </c>
      <c r="B2555" s="13" t="n">
        <f aca="false">355</f>
        <v>355</v>
      </c>
      <c r="C2555" s="13" t="n">
        <f aca="false">IF(Szenarien!$H$17="OK",(IFERROR(SUMIF(Nutzungsprofile!$B$6:$B$11,"Schulbetrieb",Nutzungsprofile!$G$6:$G$11)*Kalender!C359/SUM(Kalender!$C$5:$C$370),0)+IFERROR(SUMIF(Nutzungsprofile!$B$6:$B$11,"Halle",Nutzungsprofile!$G$6:$G$11)*Kalender!D359/SUM(Kalender!$D$5:$D$370),0)+IFERROR(SUMIF(Nutzungsprofile!$B$6:$B$11,"Individuell",Nutzungsprofile!$G$6:$G$11)*Kalender!E359/SUM(Kalender!$E$5:$E$370),0))*Szenarien!$E$17,0)</f>
        <v>0</v>
      </c>
      <c r="D2555" s="13" t="n">
        <f aca="false">IF(Szenarien!$H$17="OK",(IFERROR(SUMIF(Nutzungsprofile!$B$17:$B$22,"Schulbetrieb",Nutzungsprofile!$G$17:$G$22)*Kalender!C359/SUM(Kalender!$C$5:$C$370),0)+IFERROR(SUMIF(Nutzungsprofile!$B$17:$B$22,"Halle",Nutzungsprofile!$G$17:$G$22)*Kalender!D359/SUM(Kalender!$D$5:$D$370),0)+IFERROR(SUMIF(Nutzungsprofile!$B$17:$B$22,"Individuell",Nutzungsprofile!$G$17:$G$22)*Kalender!E359/SUM(Kalender!$E$5:$E$370),0))*Szenarien!$D$17,0)</f>
        <v>0</v>
      </c>
      <c r="E2555" s="13" t="n">
        <f aca="false">IFERROR(MIN(C2555,Eingaben!$B$17)*Eingaben!$B$16,0)</f>
        <v>0</v>
      </c>
      <c r="F2555" s="13" t="n">
        <f aca="false">IFERROR(E2555*Eingaben!$B$15,0)</f>
        <v>0</v>
      </c>
      <c r="G2555" s="13" t="n">
        <f aca="false">IFERROR(IF(Kalender!A359="",0,J2554*(1-Eingaben!$B$20)),0)</f>
        <v>0</v>
      </c>
      <c r="H2555" s="13" t="n">
        <f aca="false">MIN(G2555,D2555)</f>
        <v>0</v>
      </c>
      <c r="I2555" s="13" t="n">
        <f aca="false">IFERROR(MIN(F2555*Eingaben!$B$19,MAX(0,D2555-H2555)),0)</f>
        <v>0</v>
      </c>
      <c r="J2555" s="13" t="n">
        <f aca="false">IFERROR(MIN(Eingaben!$B$18,MAX(0,F2555-I2555)),0)</f>
        <v>0</v>
      </c>
      <c r="K2555" s="13" t="n">
        <f aca="false">H2555+I2555</f>
        <v>0</v>
      </c>
      <c r="L2555" s="13" t="n">
        <f aca="false">MAX(0,D2555-K2555)</f>
        <v>0</v>
      </c>
      <c r="M2555" s="13" t="n">
        <f aca="false">MAX(0,F2555-I2555-J2555)</f>
        <v>0</v>
      </c>
      <c r="N2555" s="13" t="n">
        <f aca="false">IF(Kalender!A359="",0,J2554-H2555)</f>
        <v>0</v>
      </c>
    </row>
    <row r="2556" customFormat="false" ht="16.4" hidden="false" customHeight="false" outlineLevel="0" collapsed="false">
      <c r="A2556" s="13" t="str">
        <f aca="false">""</f>
        <v/>
      </c>
      <c r="B2556" s="13" t="n">
        <f aca="false">356</f>
        <v>356</v>
      </c>
      <c r="C2556" s="13" t="n">
        <f aca="false">IF(Szenarien!$H$17="OK",(IFERROR(SUMIF(Nutzungsprofile!$B$6:$B$11,"Schulbetrieb",Nutzungsprofile!$G$6:$G$11)*Kalender!C360/SUM(Kalender!$C$5:$C$370),0)+IFERROR(SUMIF(Nutzungsprofile!$B$6:$B$11,"Halle",Nutzungsprofile!$G$6:$G$11)*Kalender!D360/SUM(Kalender!$D$5:$D$370),0)+IFERROR(SUMIF(Nutzungsprofile!$B$6:$B$11,"Individuell",Nutzungsprofile!$G$6:$G$11)*Kalender!E360/SUM(Kalender!$E$5:$E$370),0))*Szenarien!$E$17,0)</f>
        <v>0</v>
      </c>
      <c r="D2556" s="13" t="n">
        <f aca="false">IF(Szenarien!$H$17="OK",(IFERROR(SUMIF(Nutzungsprofile!$B$17:$B$22,"Schulbetrieb",Nutzungsprofile!$G$17:$G$22)*Kalender!C360/SUM(Kalender!$C$5:$C$370),0)+IFERROR(SUMIF(Nutzungsprofile!$B$17:$B$22,"Halle",Nutzungsprofile!$G$17:$G$22)*Kalender!D360/SUM(Kalender!$D$5:$D$370),0)+IFERROR(SUMIF(Nutzungsprofile!$B$17:$B$22,"Individuell",Nutzungsprofile!$G$17:$G$22)*Kalender!E360/SUM(Kalender!$E$5:$E$370),0))*Szenarien!$D$17,0)</f>
        <v>0</v>
      </c>
      <c r="E2556" s="13" t="n">
        <f aca="false">IFERROR(MIN(C2556,Eingaben!$B$17)*Eingaben!$B$16,0)</f>
        <v>0</v>
      </c>
      <c r="F2556" s="13" t="n">
        <f aca="false">IFERROR(E2556*Eingaben!$B$15,0)</f>
        <v>0</v>
      </c>
      <c r="G2556" s="13" t="n">
        <f aca="false">IFERROR(IF(Kalender!A360="",0,J2555*(1-Eingaben!$B$20)),0)</f>
        <v>0</v>
      </c>
      <c r="H2556" s="13" t="n">
        <f aca="false">MIN(G2556,D2556)</f>
        <v>0</v>
      </c>
      <c r="I2556" s="13" t="n">
        <f aca="false">IFERROR(MIN(F2556*Eingaben!$B$19,MAX(0,D2556-H2556)),0)</f>
        <v>0</v>
      </c>
      <c r="J2556" s="13" t="n">
        <f aca="false">IFERROR(MIN(Eingaben!$B$18,MAX(0,F2556-I2556)),0)</f>
        <v>0</v>
      </c>
      <c r="K2556" s="13" t="n">
        <f aca="false">H2556+I2556</f>
        <v>0</v>
      </c>
      <c r="L2556" s="13" t="n">
        <f aca="false">MAX(0,D2556-K2556)</f>
        <v>0</v>
      </c>
      <c r="M2556" s="13" t="n">
        <f aca="false">MAX(0,F2556-I2556-J2556)</f>
        <v>0</v>
      </c>
      <c r="N2556" s="13" t="n">
        <f aca="false">IF(Kalender!A360="",0,J2555-H2556)</f>
        <v>0</v>
      </c>
    </row>
    <row r="2557" customFormat="false" ht="16.4" hidden="false" customHeight="false" outlineLevel="0" collapsed="false">
      <c r="A2557" s="13" t="str">
        <f aca="false">""</f>
        <v/>
      </c>
      <c r="B2557" s="13" t="n">
        <f aca="false">357</f>
        <v>357</v>
      </c>
      <c r="C2557" s="13" t="n">
        <f aca="false">IF(Szenarien!$H$17="OK",(IFERROR(SUMIF(Nutzungsprofile!$B$6:$B$11,"Schulbetrieb",Nutzungsprofile!$G$6:$G$11)*Kalender!C361/SUM(Kalender!$C$5:$C$370),0)+IFERROR(SUMIF(Nutzungsprofile!$B$6:$B$11,"Halle",Nutzungsprofile!$G$6:$G$11)*Kalender!D361/SUM(Kalender!$D$5:$D$370),0)+IFERROR(SUMIF(Nutzungsprofile!$B$6:$B$11,"Individuell",Nutzungsprofile!$G$6:$G$11)*Kalender!E361/SUM(Kalender!$E$5:$E$370),0))*Szenarien!$E$17,0)</f>
        <v>0</v>
      </c>
      <c r="D2557" s="13" t="n">
        <f aca="false">IF(Szenarien!$H$17="OK",(IFERROR(SUMIF(Nutzungsprofile!$B$17:$B$22,"Schulbetrieb",Nutzungsprofile!$G$17:$G$22)*Kalender!C361/SUM(Kalender!$C$5:$C$370),0)+IFERROR(SUMIF(Nutzungsprofile!$B$17:$B$22,"Halle",Nutzungsprofile!$G$17:$G$22)*Kalender!D361/SUM(Kalender!$D$5:$D$370),0)+IFERROR(SUMIF(Nutzungsprofile!$B$17:$B$22,"Individuell",Nutzungsprofile!$G$17:$G$22)*Kalender!E361/SUM(Kalender!$E$5:$E$370),0))*Szenarien!$D$17,0)</f>
        <v>0</v>
      </c>
      <c r="E2557" s="13" t="n">
        <f aca="false">IFERROR(MIN(C2557,Eingaben!$B$17)*Eingaben!$B$16,0)</f>
        <v>0</v>
      </c>
      <c r="F2557" s="13" t="n">
        <f aca="false">IFERROR(E2557*Eingaben!$B$15,0)</f>
        <v>0</v>
      </c>
      <c r="G2557" s="13" t="n">
        <f aca="false">IFERROR(IF(Kalender!A361="",0,J2556*(1-Eingaben!$B$20)),0)</f>
        <v>0</v>
      </c>
      <c r="H2557" s="13" t="n">
        <f aca="false">MIN(G2557,D2557)</f>
        <v>0</v>
      </c>
      <c r="I2557" s="13" t="n">
        <f aca="false">IFERROR(MIN(F2557*Eingaben!$B$19,MAX(0,D2557-H2557)),0)</f>
        <v>0</v>
      </c>
      <c r="J2557" s="13" t="n">
        <f aca="false">IFERROR(MIN(Eingaben!$B$18,MAX(0,F2557-I2557)),0)</f>
        <v>0</v>
      </c>
      <c r="K2557" s="13" t="n">
        <f aca="false">H2557+I2557</f>
        <v>0</v>
      </c>
      <c r="L2557" s="13" t="n">
        <f aca="false">MAX(0,D2557-K2557)</f>
        <v>0</v>
      </c>
      <c r="M2557" s="13" t="n">
        <f aca="false">MAX(0,F2557-I2557-J2557)</f>
        <v>0</v>
      </c>
      <c r="N2557" s="13" t="n">
        <f aca="false">IF(Kalender!A361="",0,J2556-H2557)</f>
        <v>0</v>
      </c>
    </row>
    <row r="2558" customFormat="false" ht="16.4" hidden="false" customHeight="false" outlineLevel="0" collapsed="false">
      <c r="A2558" s="13" t="str">
        <f aca="false">""</f>
        <v/>
      </c>
      <c r="B2558" s="13" t="n">
        <f aca="false">358</f>
        <v>358</v>
      </c>
      <c r="C2558" s="13" t="n">
        <f aca="false">IF(Szenarien!$H$17="OK",(IFERROR(SUMIF(Nutzungsprofile!$B$6:$B$11,"Schulbetrieb",Nutzungsprofile!$G$6:$G$11)*Kalender!C362/SUM(Kalender!$C$5:$C$370),0)+IFERROR(SUMIF(Nutzungsprofile!$B$6:$B$11,"Halle",Nutzungsprofile!$G$6:$G$11)*Kalender!D362/SUM(Kalender!$D$5:$D$370),0)+IFERROR(SUMIF(Nutzungsprofile!$B$6:$B$11,"Individuell",Nutzungsprofile!$G$6:$G$11)*Kalender!E362/SUM(Kalender!$E$5:$E$370),0))*Szenarien!$E$17,0)</f>
        <v>0</v>
      </c>
      <c r="D2558" s="13" t="n">
        <f aca="false">IF(Szenarien!$H$17="OK",(IFERROR(SUMIF(Nutzungsprofile!$B$17:$B$22,"Schulbetrieb",Nutzungsprofile!$G$17:$G$22)*Kalender!C362/SUM(Kalender!$C$5:$C$370),0)+IFERROR(SUMIF(Nutzungsprofile!$B$17:$B$22,"Halle",Nutzungsprofile!$G$17:$G$22)*Kalender!D362/SUM(Kalender!$D$5:$D$370),0)+IFERROR(SUMIF(Nutzungsprofile!$B$17:$B$22,"Individuell",Nutzungsprofile!$G$17:$G$22)*Kalender!E362/SUM(Kalender!$E$5:$E$370),0))*Szenarien!$D$17,0)</f>
        <v>0</v>
      </c>
      <c r="E2558" s="13" t="n">
        <f aca="false">IFERROR(MIN(C2558,Eingaben!$B$17)*Eingaben!$B$16,0)</f>
        <v>0</v>
      </c>
      <c r="F2558" s="13" t="n">
        <f aca="false">IFERROR(E2558*Eingaben!$B$15,0)</f>
        <v>0</v>
      </c>
      <c r="G2558" s="13" t="n">
        <f aca="false">IFERROR(IF(Kalender!A362="",0,J2557*(1-Eingaben!$B$20)),0)</f>
        <v>0</v>
      </c>
      <c r="H2558" s="13" t="n">
        <f aca="false">MIN(G2558,D2558)</f>
        <v>0</v>
      </c>
      <c r="I2558" s="13" t="n">
        <f aca="false">IFERROR(MIN(F2558*Eingaben!$B$19,MAX(0,D2558-H2558)),0)</f>
        <v>0</v>
      </c>
      <c r="J2558" s="13" t="n">
        <f aca="false">IFERROR(MIN(Eingaben!$B$18,MAX(0,F2558-I2558)),0)</f>
        <v>0</v>
      </c>
      <c r="K2558" s="13" t="n">
        <f aca="false">H2558+I2558</f>
        <v>0</v>
      </c>
      <c r="L2558" s="13" t="n">
        <f aca="false">MAX(0,D2558-K2558)</f>
        <v>0</v>
      </c>
      <c r="M2558" s="13" t="n">
        <f aca="false">MAX(0,F2558-I2558-J2558)</f>
        <v>0</v>
      </c>
      <c r="N2558" s="13" t="n">
        <f aca="false">IF(Kalender!A362="",0,J2557-H2558)</f>
        <v>0</v>
      </c>
    </row>
    <row r="2559" customFormat="false" ht="16.4" hidden="false" customHeight="false" outlineLevel="0" collapsed="false">
      <c r="A2559" s="13" t="str">
        <f aca="false">""</f>
        <v/>
      </c>
      <c r="B2559" s="13" t="n">
        <f aca="false">359</f>
        <v>359</v>
      </c>
      <c r="C2559" s="13" t="n">
        <f aca="false">IF(Szenarien!$H$17="OK",(IFERROR(SUMIF(Nutzungsprofile!$B$6:$B$11,"Schulbetrieb",Nutzungsprofile!$G$6:$G$11)*Kalender!C363/SUM(Kalender!$C$5:$C$370),0)+IFERROR(SUMIF(Nutzungsprofile!$B$6:$B$11,"Halle",Nutzungsprofile!$G$6:$G$11)*Kalender!D363/SUM(Kalender!$D$5:$D$370),0)+IFERROR(SUMIF(Nutzungsprofile!$B$6:$B$11,"Individuell",Nutzungsprofile!$G$6:$G$11)*Kalender!E363/SUM(Kalender!$E$5:$E$370),0))*Szenarien!$E$17,0)</f>
        <v>0</v>
      </c>
      <c r="D2559" s="13" t="n">
        <f aca="false">IF(Szenarien!$H$17="OK",(IFERROR(SUMIF(Nutzungsprofile!$B$17:$B$22,"Schulbetrieb",Nutzungsprofile!$G$17:$G$22)*Kalender!C363/SUM(Kalender!$C$5:$C$370),0)+IFERROR(SUMIF(Nutzungsprofile!$B$17:$B$22,"Halle",Nutzungsprofile!$G$17:$G$22)*Kalender!D363/SUM(Kalender!$D$5:$D$370),0)+IFERROR(SUMIF(Nutzungsprofile!$B$17:$B$22,"Individuell",Nutzungsprofile!$G$17:$G$22)*Kalender!E363/SUM(Kalender!$E$5:$E$370),0))*Szenarien!$D$17,0)</f>
        <v>0</v>
      </c>
      <c r="E2559" s="13" t="n">
        <f aca="false">IFERROR(MIN(C2559,Eingaben!$B$17)*Eingaben!$B$16,0)</f>
        <v>0</v>
      </c>
      <c r="F2559" s="13" t="n">
        <f aca="false">IFERROR(E2559*Eingaben!$B$15,0)</f>
        <v>0</v>
      </c>
      <c r="G2559" s="13" t="n">
        <f aca="false">IFERROR(IF(Kalender!A363="",0,J2558*(1-Eingaben!$B$20)),0)</f>
        <v>0</v>
      </c>
      <c r="H2559" s="13" t="n">
        <f aca="false">MIN(G2559,D2559)</f>
        <v>0</v>
      </c>
      <c r="I2559" s="13" t="n">
        <f aca="false">IFERROR(MIN(F2559*Eingaben!$B$19,MAX(0,D2559-H2559)),0)</f>
        <v>0</v>
      </c>
      <c r="J2559" s="13" t="n">
        <f aca="false">IFERROR(MIN(Eingaben!$B$18,MAX(0,F2559-I2559)),0)</f>
        <v>0</v>
      </c>
      <c r="K2559" s="13" t="n">
        <f aca="false">H2559+I2559</f>
        <v>0</v>
      </c>
      <c r="L2559" s="13" t="n">
        <f aca="false">MAX(0,D2559-K2559)</f>
        <v>0</v>
      </c>
      <c r="M2559" s="13" t="n">
        <f aca="false">MAX(0,F2559-I2559-J2559)</f>
        <v>0</v>
      </c>
      <c r="N2559" s="13" t="n">
        <f aca="false">IF(Kalender!A363="",0,J2558-H2559)</f>
        <v>0</v>
      </c>
    </row>
    <row r="2560" customFormat="false" ht="16.4" hidden="false" customHeight="false" outlineLevel="0" collapsed="false">
      <c r="A2560" s="13" t="str">
        <f aca="false">""</f>
        <v/>
      </c>
      <c r="B2560" s="13" t="n">
        <f aca="false">360</f>
        <v>360</v>
      </c>
      <c r="C2560" s="13" t="n">
        <f aca="false">IF(Szenarien!$H$17="OK",(IFERROR(SUMIF(Nutzungsprofile!$B$6:$B$11,"Schulbetrieb",Nutzungsprofile!$G$6:$G$11)*Kalender!C364/SUM(Kalender!$C$5:$C$370),0)+IFERROR(SUMIF(Nutzungsprofile!$B$6:$B$11,"Halle",Nutzungsprofile!$G$6:$G$11)*Kalender!D364/SUM(Kalender!$D$5:$D$370),0)+IFERROR(SUMIF(Nutzungsprofile!$B$6:$B$11,"Individuell",Nutzungsprofile!$G$6:$G$11)*Kalender!E364/SUM(Kalender!$E$5:$E$370),0))*Szenarien!$E$17,0)</f>
        <v>0</v>
      </c>
      <c r="D2560" s="13" t="n">
        <f aca="false">IF(Szenarien!$H$17="OK",(IFERROR(SUMIF(Nutzungsprofile!$B$17:$B$22,"Schulbetrieb",Nutzungsprofile!$G$17:$G$22)*Kalender!C364/SUM(Kalender!$C$5:$C$370),0)+IFERROR(SUMIF(Nutzungsprofile!$B$17:$B$22,"Halle",Nutzungsprofile!$G$17:$G$22)*Kalender!D364/SUM(Kalender!$D$5:$D$370),0)+IFERROR(SUMIF(Nutzungsprofile!$B$17:$B$22,"Individuell",Nutzungsprofile!$G$17:$G$22)*Kalender!E364/SUM(Kalender!$E$5:$E$370),0))*Szenarien!$D$17,0)</f>
        <v>0</v>
      </c>
      <c r="E2560" s="13" t="n">
        <f aca="false">IFERROR(MIN(C2560,Eingaben!$B$17)*Eingaben!$B$16,0)</f>
        <v>0</v>
      </c>
      <c r="F2560" s="13" t="n">
        <f aca="false">IFERROR(E2560*Eingaben!$B$15,0)</f>
        <v>0</v>
      </c>
      <c r="G2560" s="13" t="n">
        <f aca="false">IFERROR(IF(Kalender!A364="",0,J2559*(1-Eingaben!$B$20)),0)</f>
        <v>0</v>
      </c>
      <c r="H2560" s="13" t="n">
        <f aca="false">MIN(G2560,D2560)</f>
        <v>0</v>
      </c>
      <c r="I2560" s="13" t="n">
        <f aca="false">IFERROR(MIN(F2560*Eingaben!$B$19,MAX(0,D2560-H2560)),0)</f>
        <v>0</v>
      </c>
      <c r="J2560" s="13" t="n">
        <f aca="false">IFERROR(MIN(Eingaben!$B$18,MAX(0,F2560-I2560)),0)</f>
        <v>0</v>
      </c>
      <c r="K2560" s="13" t="n">
        <f aca="false">H2560+I2560</f>
        <v>0</v>
      </c>
      <c r="L2560" s="13" t="n">
        <f aca="false">MAX(0,D2560-K2560)</f>
        <v>0</v>
      </c>
      <c r="M2560" s="13" t="n">
        <f aca="false">MAX(0,F2560-I2560-J2560)</f>
        <v>0</v>
      </c>
      <c r="N2560" s="13" t="n">
        <f aca="false">IF(Kalender!A364="",0,J2559-H2560)</f>
        <v>0</v>
      </c>
    </row>
    <row r="2561" customFormat="false" ht="16.4" hidden="false" customHeight="false" outlineLevel="0" collapsed="false">
      <c r="A2561" s="13" t="str">
        <f aca="false">""</f>
        <v/>
      </c>
      <c r="B2561" s="13" t="n">
        <f aca="false">361</f>
        <v>361</v>
      </c>
      <c r="C2561" s="13" t="n">
        <f aca="false">IF(Szenarien!$H$17="OK",(IFERROR(SUMIF(Nutzungsprofile!$B$6:$B$11,"Schulbetrieb",Nutzungsprofile!$G$6:$G$11)*Kalender!C365/SUM(Kalender!$C$5:$C$370),0)+IFERROR(SUMIF(Nutzungsprofile!$B$6:$B$11,"Halle",Nutzungsprofile!$G$6:$G$11)*Kalender!D365/SUM(Kalender!$D$5:$D$370),0)+IFERROR(SUMIF(Nutzungsprofile!$B$6:$B$11,"Individuell",Nutzungsprofile!$G$6:$G$11)*Kalender!E365/SUM(Kalender!$E$5:$E$370),0))*Szenarien!$E$17,0)</f>
        <v>0</v>
      </c>
      <c r="D2561" s="13" t="n">
        <f aca="false">IF(Szenarien!$H$17="OK",(IFERROR(SUMIF(Nutzungsprofile!$B$17:$B$22,"Schulbetrieb",Nutzungsprofile!$G$17:$G$22)*Kalender!C365/SUM(Kalender!$C$5:$C$370),0)+IFERROR(SUMIF(Nutzungsprofile!$B$17:$B$22,"Halle",Nutzungsprofile!$G$17:$G$22)*Kalender!D365/SUM(Kalender!$D$5:$D$370),0)+IFERROR(SUMIF(Nutzungsprofile!$B$17:$B$22,"Individuell",Nutzungsprofile!$G$17:$G$22)*Kalender!E365/SUM(Kalender!$E$5:$E$370),0))*Szenarien!$D$17,0)</f>
        <v>0</v>
      </c>
      <c r="E2561" s="13" t="n">
        <f aca="false">IFERROR(MIN(C2561,Eingaben!$B$17)*Eingaben!$B$16,0)</f>
        <v>0</v>
      </c>
      <c r="F2561" s="13" t="n">
        <f aca="false">IFERROR(E2561*Eingaben!$B$15,0)</f>
        <v>0</v>
      </c>
      <c r="G2561" s="13" t="n">
        <f aca="false">IFERROR(IF(Kalender!A365="",0,J2560*(1-Eingaben!$B$20)),0)</f>
        <v>0</v>
      </c>
      <c r="H2561" s="13" t="n">
        <f aca="false">MIN(G2561,D2561)</f>
        <v>0</v>
      </c>
      <c r="I2561" s="13" t="n">
        <f aca="false">IFERROR(MIN(F2561*Eingaben!$B$19,MAX(0,D2561-H2561)),0)</f>
        <v>0</v>
      </c>
      <c r="J2561" s="13" t="n">
        <f aca="false">IFERROR(MIN(Eingaben!$B$18,MAX(0,F2561-I2561)),0)</f>
        <v>0</v>
      </c>
      <c r="K2561" s="13" t="n">
        <f aca="false">H2561+I2561</f>
        <v>0</v>
      </c>
      <c r="L2561" s="13" t="n">
        <f aca="false">MAX(0,D2561-K2561)</f>
        <v>0</v>
      </c>
      <c r="M2561" s="13" t="n">
        <f aca="false">MAX(0,F2561-I2561-J2561)</f>
        <v>0</v>
      </c>
      <c r="N2561" s="13" t="n">
        <f aca="false">IF(Kalender!A365="",0,J2560-H2561)</f>
        <v>0</v>
      </c>
    </row>
    <row r="2562" customFormat="false" ht="16.4" hidden="false" customHeight="false" outlineLevel="0" collapsed="false">
      <c r="A2562" s="13" t="str">
        <f aca="false">""</f>
        <v/>
      </c>
      <c r="B2562" s="13" t="n">
        <f aca="false">362</f>
        <v>362</v>
      </c>
      <c r="C2562" s="13" t="n">
        <f aca="false">IF(Szenarien!$H$17="OK",(IFERROR(SUMIF(Nutzungsprofile!$B$6:$B$11,"Schulbetrieb",Nutzungsprofile!$G$6:$G$11)*Kalender!C366/SUM(Kalender!$C$5:$C$370),0)+IFERROR(SUMIF(Nutzungsprofile!$B$6:$B$11,"Halle",Nutzungsprofile!$G$6:$G$11)*Kalender!D366/SUM(Kalender!$D$5:$D$370),0)+IFERROR(SUMIF(Nutzungsprofile!$B$6:$B$11,"Individuell",Nutzungsprofile!$G$6:$G$11)*Kalender!E366/SUM(Kalender!$E$5:$E$370),0))*Szenarien!$E$17,0)</f>
        <v>0</v>
      </c>
      <c r="D2562" s="13" t="n">
        <f aca="false">IF(Szenarien!$H$17="OK",(IFERROR(SUMIF(Nutzungsprofile!$B$17:$B$22,"Schulbetrieb",Nutzungsprofile!$G$17:$G$22)*Kalender!C366/SUM(Kalender!$C$5:$C$370),0)+IFERROR(SUMIF(Nutzungsprofile!$B$17:$B$22,"Halle",Nutzungsprofile!$G$17:$G$22)*Kalender!D366/SUM(Kalender!$D$5:$D$370),0)+IFERROR(SUMIF(Nutzungsprofile!$B$17:$B$22,"Individuell",Nutzungsprofile!$G$17:$G$22)*Kalender!E366/SUM(Kalender!$E$5:$E$370),0))*Szenarien!$D$17,0)</f>
        <v>0</v>
      </c>
      <c r="E2562" s="13" t="n">
        <f aca="false">IFERROR(MIN(C2562,Eingaben!$B$17)*Eingaben!$B$16,0)</f>
        <v>0</v>
      </c>
      <c r="F2562" s="13" t="n">
        <f aca="false">IFERROR(E2562*Eingaben!$B$15,0)</f>
        <v>0</v>
      </c>
      <c r="G2562" s="13" t="n">
        <f aca="false">IFERROR(IF(Kalender!A366="",0,J2561*(1-Eingaben!$B$20)),0)</f>
        <v>0</v>
      </c>
      <c r="H2562" s="13" t="n">
        <f aca="false">MIN(G2562,D2562)</f>
        <v>0</v>
      </c>
      <c r="I2562" s="13" t="n">
        <f aca="false">IFERROR(MIN(F2562*Eingaben!$B$19,MAX(0,D2562-H2562)),0)</f>
        <v>0</v>
      </c>
      <c r="J2562" s="13" t="n">
        <f aca="false">IFERROR(MIN(Eingaben!$B$18,MAX(0,F2562-I2562)),0)</f>
        <v>0</v>
      </c>
      <c r="K2562" s="13" t="n">
        <f aca="false">H2562+I2562</f>
        <v>0</v>
      </c>
      <c r="L2562" s="13" t="n">
        <f aca="false">MAX(0,D2562-K2562)</f>
        <v>0</v>
      </c>
      <c r="M2562" s="13" t="n">
        <f aca="false">MAX(0,F2562-I2562-J2562)</f>
        <v>0</v>
      </c>
      <c r="N2562" s="13" t="n">
        <f aca="false">IF(Kalender!A366="",0,J2561-H2562)</f>
        <v>0</v>
      </c>
    </row>
    <row r="2563" customFormat="false" ht="16.4" hidden="false" customHeight="false" outlineLevel="0" collapsed="false">
      <c r="A2563" s="13" t="str">
        <f aca="false">""</f>
        <v/>
      </c>
      <c r="B2563" s="13" t="n">
        <f aca="false">363</f>
        <v>363</v>
      </c>
      <c r="C2563" s="13" t="n">
        <f aca="false">IF(Szenarien!$H$17="OK",(IFERROR(SUMIF(Nutzungsprofile!$B$6:$B$11,"Schulbetrieb",Nutzungsprofile!$G$6:$G$11)*Kalender!C367/SUM(Kalender!$C$5:$C$370),0)+IFERROR(SUMIF(Nutzungsprofile!$B$6:$B$11,"Halle",Nutzungsprofile!$G$6:$G$11)*Kalender!D367/SUM(Kalender!$D$5:$D$370),0)+IFERROR(SUMIF(Nutzungsprofile!$B$6:$B$11,"Individuell",Nutzungsprofile!$G$6:$G$11)*Kalender!E367/SUM(Kalender!$E$5:$E$370),0))*Szenarien!$E$17,0)</f>
        <v>0</v>
      </c>
      <c r="D2563" s="13" t="n">
        <f aca="false">IF(Szenarien!$H$17="OK",(IFERROR(SUMIF(Nutzungsprofile!$B$17:$B$22,"Schulbetrieb",Nutzungsprofile!$G$17:$G$22)*Kalender!C367/SUM(Kalender!$C$5:$C$370),0)+IFERROR(SUMIF(Nutzungsprofile!$B$17:$B$22,"Halle",Nutzungsprofile!$G$17:$G$22)*Kalender!D367/SUM(Kalender!$D$5:$D$370),0)+IFERROR(SUMIF(Nutzungsprofile!$B$17:$B$22,"Individuell",Nutzungsprofile!$G$17:$G$22)*Kalender!E367/SUM(Kalender!$E$5:$E$370),0))*Szenarien!$D$17,0)</f>
        <v>0</v>
      </c>
      <c r="E2563" s="13" t="n">
        <f aca="false">IFERROR(MIN(C2563,Eingaben!$B$17)*Eingaben!$B$16,0)</f>
        <v>0</v>
      </c>
      <c r="F2563" s="13" t="n">
        <f aca="false">IFERROR(E2563*Eingaben!$B$15,0)</f>
        <v>0</v>
      </c>
      <c r="G2563" s="13" t="n">
        <f aca="false">IFERROR(IF(Kalender!A367="",0,J2562*(1-Eingaben!$B$20)),0)</f>
        <v>0</v>
      </c>
      <c r="H2563" s="13" t="n">
        <f aca="false">MIN(G2563,D2563)</f>
        <v>0</v>
      </c>
      <c r="I2563" s="13" t="n">
        <f aca="false">IFERROR(MIN(F2563*Eingaben!$B$19,MAX(0,D2563-H2563)),0)</f>
        <v>0</v>
      </c>
      <c r="J2563" s="13" t="n">
        <f aca="false">IFERROR(MIN(Eingaben!$B$18,MAX(0,F2563-I2563)),0)</f>
        <v>0</v>
      </c>
      <c r="K2563" s="13" t="n">
        <f aca="false">H2563+I2563</f>
        <v>0</v>
      </c>
      <c r="L2563" s="13" t="n">
        <f aca="false">MAX(0,D2563-K2563)</f>
        <v>0</v>
      </c>
      <c r="M2563" s="13" t="n">
        <f aca="false">MAX(0,F2563-I2563-J2563)</f>
        <v>0</v>
      </c>
      <c r="N2563" s="13" t="n">
        <f aca="false">IF(Kalender!A367="",0,J2562-H2563)</f>
        <v>0</v>
      </c>
    </row>
    <row r="2564" customFormat="false" ht="16.4" hidden="false" customHeight="false" outlineLevel="0" collapsed="false">
      <c r="A2564" s="13" t="str">
        <f aca="false">""</f>
        <v/>
      </c>
      <c r="B2564" s="13" t="n">
        <f aca="false">364</f>
        <v>364</v>
      </c>
      <c r="C2564" s="13" t="n">
        <f aca="false">IF(Szenarien!$H$17="OK",(IFERROR(SUMIF(Nutzungsprofile!$B$6:$B$11,"Schulbetrieb",Nutzungsprofile!$G$6:$G$11)*Kalender!C368/SUM(Kalender!$C$5:$C$370),0)+IFERROR(SUMIF(Nutzungsprofile!$B$6:$B$11,"Halle",Nutzungsprofile!$G$6:$G$11)*Kalender!D368/SUM(Kalender!$D$5:$D$370),0)+IFERROR(SUMIF(Nutzungsprofile!$B$6:$B$11,"Individuell",Nutzungsprofile!$G$6:$G$11)*Kalender!E368/SUM(Kalender!$E$5:$E$370),0))*Szenarien!$E$17,0)</f>
        <v>0</v>
      </c>
      <c r="D2564" s="13" t="n">
        <f aca="false">IF(Szenarien!$H$17="OK",(IFERROR(SUMIF(Nutzungsprofile!$B$17:$B$22,"Schulbetrieb",Nutzungsprofile!$G$17:$G$22)*Kalender!C368/SUM(Kalender!$C$5:$C$370),0)+IFERROR(SUMIF(Nutzungsprofile!$B$17:$B$22,"Halle",Nutzungsprofile!$G$17:$G$22)*Kalender!D368/SUM(Kalender!$D$5:$D$370),0)+IFERROR(SUMIF(Nutzungsprofile!$B$17:$B$22,"Individuell",Nutzungsprofile!$G$17:$G$22)*Kalender!E368/SUM(Kalender!$E$5:$E$370),0))*Szenarien!$D$17,0)</f>
        <v>0</v>
      </c>
      <c r="E2564" s="13" t="n">
        <f aca="false">IFERROR(MIN(C2564,Eingaben!$B$17)*Eingaben!$B$16,0)</f>
        <v>0</v>
      </c>
      <c r="F2564" s="13" t="n">
        <f aca="false">IFERROR(E2564*Eingaben!$B$15,0)</f>
        <v>0</v>
      </c>
      <c r="G2564" s="13" t="n">
        <f aca="false">IFERROR(IF(Kalender!A368="",0,J2563*(1-Eingaben!$B$20)),0)</f>
        <v>0</v>
      </c>
      <c r="H2564" s="13" t="n">
        <f aca="false">MIN(G2564,D2564)</f>
        <v>0</v>
      </c>
      <c r="I2564" s="13" t="n">
        <f aca="false">IFERROR(MIN(F2564*Eingaben!$B$19,MAX(0,D2564-H2564)),0)</f>
        <v>0</v>
      </c>
      <c r="J2564" s="13" t="n">
        <f aca="false">IFERROR(MIN(Eingaben!$B$18,MAX(0,F2564-I2564)),0)</f>
        <v>0</v>
      </c>
      <c r="K2564" s="13" t="n">
        <f aca="false">H2564+I2564</f>
        <v>0</v>
      </c>
      <c r="L2564" s="13" t="n">
        <f aca="false">MAX(0,D2564-K2564)</f>
        <v>0</v>
      </c>
      <c r="M2564" s="13" t="n">
        <f aca="false">MAX(0,F2564-I2564-J2564)</f>
        <v>0</v>
      </c>
      <c r="N2564" s="13" t="n">
        <f aca="false">IF(Kalender!A368="",0,J2563-H2564)</f>
        <v>0</v>
      </c>
    </row>
    <row r="2565" customFormat="false" ht="16.4" hidden="false" customHeight="false" outlineLevel="0" collapsed="false">
      <c r="A2565" s="13" t="str">
        <f aca="false">""</f>
        <v/>
      </c>
      <c r="B2565" s="13" t="n">
        <f aca="false">365</f>
        <v>365</v>
      </c>
      <c r="C2565" s="13" t="n">
        <f aca="false">IF(Szenarien!$H$17="OK",(IFERROR(SUMIF(Nutzungsprofile!$B$6:$B$11,"Schulbetrieb",Nutzungsprofile!$G$6:$G$11)*Kalender!C369/SUM(Kalender!$C$5:$C$370),0)+IFERROR(SUMIF(Nutzungsprofile!$B$6:$B$11,"Halle",Nutzungsprofile!$G$6:$G$11)*Kalender!D369/SUM(Kalender!$D$5:$D$370),0)+IFERROR(SUMIF(Nutzungsprofile!$B$6:$B$11,"Individuell",Nutzungsprofile!$G$6:$G$11)*Kalender!E369/SUM(Kalender!$E$5:$E$370),0))*Szenarien!$E$17,0)</f>
        <v>0</v>
      </c>
      <c r="D2565" s="13" t="n">
        <f aca="false">IF(Szenarien!$H$17="OK",(IFERROR(SUMIF(Nutzungsprofile!$B$17:$B$22,"Schulbetrieb",Nutzungsprofile!$G$17:$G$22)*Kalender!C369/SUM(Kalender!$C$5:$C$370),0)+IFERROR(SUMIF(Nutzungsprofile!$B$17:$B$22,"Halle",Nutzungsprofile!$G$17:$G$22)*Kalender!D369/SUM(Kalender!$D$5:$D$370),0)+IFERROR(SUMIF(Nutzungsprofile!$B$17:$B$22,"Individuell",Nutzungsprofile!$G$17:$G$22)*Kalender!E369/SUM(Kalender!$E$5:$E$370),0))*Szenarien!$D$17,0)</f>
        <v>0</v>
      </c>
      <c r="E2565" s="13" t="n">
        <f aca="false">IFERROR(MIN(C2565,Eingaben!$B$17)*Eingaben!$B$16,0)</f>
        <v>0</v>
      </c>
      <c r="F2565" s="13" t="n">
        <f aca="false">IFERROR(E2565*Eingaben!$B$15,0)</f>
        <v>0</v>
      </c>
      <c r="G2565" s="13" t="n">
        <f aca="false">IFERROR(IF(Kalender!A369="",0,J2564*(1-Eingaben!$B$20)),0)</f>
        <v>0</v>
      </c>
      <c r="H2565" s="13" t="n">
        <f aca="false">MIN(G2565,D2565)</f>
        <v>0</v>
      </c>
      <c r="I2565" s="13" t="n">
        <f aca="false">IFERROR(MIN(F2565*Eingaben!$B$19,MAX(0,D2565-H2565)),0)</f>
        <v>0</v>
      </c>
      <c r="J2565" s="13" t="n">
        <f aca="false">IFERROR(MIN(Eingaben!$B$18,MAX(0,F2565-I2565)),0)</f>
        <v>0</v>
      </c>
      <c r="K2565" s="13" t="n">
        <f aca="false">H2565+I2565</f>
        <v>0</v>
      </c>
      <c r="L2565" s="13" t="n">
        <f aca="false">MAX(0,D2565-K2565)</f>
        <v>0</v>
      </c>
      <c r="M2565" s="13" t="n">
        <f aca="false">MAX(0,F2565-I2565-J2565)</f>
        <v>0</v>
      </c>
      <c r="N2565" s="13" t="n">
        <f aca="false">IF(Kalender!A369="",0,J2564-H2565)</f>
        <v>0</v>
      </c>
    </row>
    <row r="2566" customFormat="false" ht="16.4" hidden="false" customHeight="false" outlineLevel="0" collapsed="false">
      <c r="A2566" s="13" t="str">
        <f aca="false">""</f>
        <v/>
      </c>
      <c r="B2566" s="13" t="n">
        <f aca="false">366</f>
        <v>366</v>
      </c>
      <c r="C2566" s="13" t="n">
        <f aca="false">IF(Szenarien!$H$17="OK",(IFERROR(SUMIF(Nutzungsprofile!$B$6:$B$11,"Schulbetrieb",Nutzungsprofile!$G$6:$G$11)*Kalender!C370/SUM(Kalender!$C$5:$C$370),0)+IFERROR(SUMIF(Nutzungsprofile!$B$6:$B$11,"Halle",Nutzungsprofile!$G$6:$G$11)*Kalender!D370/SUM(Kalender!$D$5:$D$370),0)+IFERROR(SUMIF(Nutzungsprofile!$B$6:$B$11,"Individuell",Nutzungsprofile!$G$6:$G$11)*Kalender!E370/SUM(Kalender!$E$5:$E$370),0))*Szenarien!$E$17,0)</f>
        <v>0</v>
      </c>
      <c r="D2566" s="13" t="n">
        <f aca="false">IF(Szenarien!$H$17="OK",(IFERROR(SUMIF(Nutzungsprofile!$B$17:$B$22,"Schulbetrieb",Nutzungsprofile!$G$17:$G$22)*Kalender!C370/SUM(Kalender!$C$5:$C$370),0)+IFERROR(SUMIF(Nutzungsprofile!$B$17:$B$22,"Halle",Nutzungsprofile!$G$17:$G$22)*Kalender!D370/SUM(Kalender!$D$5:$D$370),0)+IFERROR(SUMIF(Nutzungsprofile!$B$17:$B$22,"Individuell",Nutzungsprofile!$G$17:$G$22)*Kalender!E370/SUM(Kalender!$E$5:$E$370),0))*Szenarien!$D$17,0)</f>
        <v>0</v>
      </c>
      <c r="E2566" s="13" t="n">
        <f aca="false">IFERROR(MIN(C2566,Eingaben!$B$17)*Eingaben!$B$16,0)</f>
        <v>0</v>
      </c>
      <c r="F2566" s="13" t="n">
        <f aca="false">IFERROR(E2566*Eingaben!$B$15,0)</f>
        <v>0</v>
      </c>
      <c r="G2566" s="13" t="n">
        <f aca="false">IFERROR(IF(Kalender!A370="",0,J2565*(1-Eingaben!$B$20)),0)</f>
        <v>0</v>
      </c>
      <c r="H2566" s="13" t="n">
        <f aca="false">MIN(G2566,D2566)</f>
        <v>0</v>
      </c>
      <c r="I2566" s="13" t="n">
        <f aca="false">IFERROR(MIN(F2566*Eingaben!$B$19,MAX(0,D2566-H2566)),0)</f>
        <v>0</v>
      </c>
      <c r="J2566" s="13" t="n">
        <f aca="false">IFERROR(MIN(Eingaben!$B$18,MAX(0,F2566-I2566)),0)</f>
        <v>0</v>
      </c>
      <c r="K2566" s="13" t="n">
        <f aca="false">H2566+I2566</f>
        <v>0</v>
      </c>
      <c r="L2566" s="13" t="n">
        <f aca="false">MAX(0,D2566-K2566)</f>
        <v>0</v>
      </c>
      <c r="M2566" s="13" t="n">
        <f aca="false">MAX(0,F2566-I2566-J2566)</f>
        <v>0</v>
      </c>
      <c r="N2566" s="13" t="n">
        <f aca="false">IF(Kalender!A370="",0,J2565-H2566)</f>
        <v>0</v>
      </c>
    </row>
    <row r="2567" customFormat="false" ht="31.3" hidden="false" customHeight="false" outlineLevel="0" collapsed="false">
      <c r="A2567" s="13" t="str">
        <f aca="false">"Betriebswasserbedarf −20 %"</f>
        <v>Betriebswasserbedarf −20 %</v>
      </c>
      <c r="B2567" s="13" t="n">
        <f aca="false">1</f>
        <v>1</v>
      </c>
      <c r="C2567" s="13" t="n">
        <f aca="false">IF(Szenarien!$H$18="OK",(IFERROR(SUMIF(Nutzungsprofile!$B$6:$B$11,"Schulbetrieb",Nutzungsprofile!$G$6:$G$11)*Kalender!C5/SUM(Kalender!$C$5:$C$370),0)+IFERROR(SUMIF(Nutzungsprofile!$B$6:$B$11,"Halle",Nutzungsprofile!$G$6:$G$11)*Kalender!D5/SUM(Kalender!$D$5:$D$370),0)+IFERROR(SUMIF(Nutzungsprofile!$B$6:$B$11,"Individuell",Nutzungsprofile!$G$6:$G$11)*Kalender!E5/SUM(Kalender!$E$5:$E$370),0))*Szenarien!$E$18,0)</f>
        <v>2.94</v>
      </c>
      <c r="D2567" s="13" t="n">
        <f aca="false">IF(Szenarien!$H$18="OK",(IFERROR(SUMIF(Nutzungsprofile!$B$17:$B$22,"Schulbetrieb",Nutzungsprofile!$G$17:$G$22)*Kalender!C5/SUM(Kalender!$C$5:$C$370),0)+IFERROR(SUMIF(Nutzungsprofile!$B$17:$B$22,"Halle",Nutzungsprofile!$G$17:$G$22)*Kalender!D5/SUM(Kalender!$D$5:$D$370),0)+IFERROR(SUMIF(Nutzungsprofile!$B$17:$B$22,"Individuell",Nutzungsprofile!$G$17:$G$22)*Kalender!E5/SUM(Kalender!$E$5:$E$370),0))*Szenarien!$D$18,0)</f>
        <v>3.952</v>
      </c>
      <c r="E2567" s="13" t="n">
        <f aca="false">IFERROR(MIN(C2567,Eingaben!$B$17)*Eingaben!$B$16,0)</f>
        <v>2.793</v>
      </c>
      <c r="F2567" s="13" t="n">
        <f aca="false">IFERROR(E2567*Eingaben!$B$15,0)</f>
        <v>2.5137</v>
      </c>
      <c r="G2567" s="13" t="n">
        <f aca="false">0</f>
        <v>0</v>
      </c>
      <c r="H2567" s="13" t="n">
        <f aca="false">MIN(G2567,D2567)</f>
        <v>0</v>
      </c>
      <c r="I2567" s="13" t="n">
        <f aca="false">IFERROR(MIN(F2567*Eingaben!$B$19,MAX(0,D2567-H2567)),0)</f>
        <v>1.75959</v>
      </c>
      <c r="J2567" s="13" t="n">
        <f aca="false">IFERROR(MIN(Eingaben!$B$18,MAX(0,F2567-I2567)),0)</f>
        <v>0.75411</v>
      </c>
      <c r="K2567" s="13" t="n">
        <f aca="false">H2567+I2567</f>
        <v>1.75959</v>
      </c>
      <c r="L2567" s="13" t="n">
        <f aca="false">MAX(0,D2567-K2567)</f>
        <v>2.19241</v>
      </c>
      <c r="M2567" s="13" t="n">
        <f aca="false">MAX(0,F2567-I2567-J2567)</f>
        <v>0</v>
      </c>
      <c r="N2567" s="13" t="n">
        <f aca="false">0</f>
        <v>0</v>
      </c>
    </row>
    <row r="2568" customFormat="false" ht="16.4" hidden="false" customHeight="false" outlineLevel="0" collapsed="false">
      <c r="A2568" s="13" t="str">
        <f aca="false">""</f>
        <v/>
      </c>
      <c r="B2568" s="13" t="n">
        <f aca="false">2</f>
        <v>2</v>
      </c>
      <c r="C2568" s="13" t="n">
        <f aca="false">IF(Szenarien!$H$18="OK",(IFERROR(SUMIF(Nutzungsprofile!$B$6:$B$11,"Schulbetrieb",Nutzungsprofile!$G$6:$G$11)*Kalender!C6/SUM(Kalender!$C$5:$C$370),0)+IFERROR(SUMIF(Nutzungsprofile!$B$6:$B$11,"Halle",Nutzungsprofile!$G$6:$G$11)*Kalender!D6/SUM(Kalender!$D$5:$D$370),0)+IFERROR(SUMIF(Nutzungsprofile!$B$6:$B$11,"Individuell",Nutzungsprofile!$G$6:$G$11)*Kalender!E6/SUM(Kalender!$E$5:$E$370),0))*Szenarien!$E$18,0)</f>
        <v>2.94</v>
      </c>
      <c r="D2568" s="13" t="n">
        <f aca="false">IF(Szenarien!$H$18="OK",(IFERROR(SUMIF(Nutzungsprofile!$B$17:$B$22,"Schulbetrieb",Nutzungsprofile!$G$17:$G$22)*Kalender!C6/SUM(Kalender!$C$5:$C$370),0)+IFERROR(SUMIF(Nutzungsprofile!$B$17:$B$22,"Halle",Nutzungsprofile!$G$17:$G$22)*Kalender!D6/SUM(Kalender!$D$5:$D$370),0)+IFERROR(SUMIF(Nutzungsprofile!$B$17:$B$22,"Individuell",Nutzungsprofile!$G$17:$G$22)*Kalender!E6/SUM(Kalender!$E$5:$E$370),0))*Szenarien!$D$18,0)</f>
        <v>3.952</v>
      </c>
      <c r="E2568" s="13" t="n">
        <f aca="false">IFERROR(MIN(C2568,Eingaben!$B$17)*Eingaben!$B$16,0)</f>
        <v>2.793</v>
      </c>
      <c r="F2568" s="13" t="n">
        <f aca="false">IFERROR(E2568*Eingaben!$B$15,0)</f>
        <v>2.5137</v>
      </c>
      <c r="G2568" s="13" t="n">
        <f aca="false">IFERROR(IF(Kalender!A6="",0,J2567*(1-Eingaben!$B$20)),0)</f>
        <v>0.7390278</v>
      </c>
      <c r="H2568" s="13" t="n">
        <f aca="false">MIN(G2568,D2568)</f>
        <v>0.7390278</v>
      </c>
      <c r="I2568" s="13" t="n">
        <f aca="false">IFERROR(MIN(F2568*Eingaben!$B$19,MAX(0,D2568-H2568)),0)</f>
        <v>1.75959</v>
      </c>
      <c r="J2568" s="13" t="n">
        <f aca="false">IFERROR(MIN(Eingaben!$B$18,MAX(0,F2568-I2568)),0)</f>
        <v>0.75411</v>
      </c>
      <c r="K2568" s="13" t="n">
        <f aca="false">H2568+I2568</f>
        <v>2.4986178</v>
      </c>
      <c r="L2568" s="13" t="n">
        <f aca="false">MAX(0,D2568-K2568)</f>
        <v>1.4533822</v>
      </c>
      <c r="M2568" s="13" t="n">
        <f aca="false">MAX(0,F2568-I2568-J2568)</f>
        <v>0</v>
      </c>
      <c r="N2568" s="13" t="n">
        <f aca="false">IF(Kalender!A6="",0,J2567-H2568)</f>
        <v>0.0150822</v>
      </c>
    </row>
    <row r="2569" customFormat="false" ht="16.4" hidden="false" customHeight="false" outlineLevel="0" collapsed="false">
      <c r="A2569" s="13" t="str">
        <f aca="false">""</f>
        <v/>
      </c>
      <c r="B2569" s="13" t="n">
        <f aca="false">3</f>
        <v>3</v>
      </c>
      <c r="C2569" s="13" t="n">
        <f aca="false">IF(Szenarien!$H$18="OK",(IFERROR(SUMIF(Nutzungsprofile!$B$6:$B$11,"Schulbetrieb",Nutzungsprofile!$G$6:$G$11)*Kalender!C7/SUM(Kalender!$C$5:$C$370),0)+IFERROR(SUMIF(Nutzungsprofile!$B$6:$B$11,"Halle",Nutzungsprofile!$G$6:$G$11)*Kalender!D7/SUM(Kalender!$D$5:$D$370),0)+IFERROR(SUMIF(Nutzungsprofile!$B$6:$B$11,"Individuell",Nutzungsprofile!$G$6:$G$11)*Kalender!E7/SUM(Kalender!$E$5:$E$370),0))*Szenarien!$E$18,0)</f>
        <v>2.04</v>
      </c>
      <c r="D2569" s="13" t="n">
        <f aca="false">IF(Szenarien!$H$18="OK",(IFERROR(SUMIF(Nutzungsprofile!$B$17:$B$22,"Schulbetrieb",Nutzungsprofile!$G$17:$G$22)*Kalender!C7/SUM(Kalender!$C$5:$C$370),0)+IFERROR(SUMIF(Nutzungsprofile!$B$17:$B$22,"Halle",Nutzungsprofile!$G$17:$G$22)*Kalender!D7/SUM(Kalender!$D$5:$D$370),0)+IFERROR(SUMIF(Nutzungsprofile!$B$17:$B$22,"Individuell",Nutzungsprofile!$G$17:$G$22)*Kalender!E7/SUM(Kalender!$E$5:$E$370),0))*Szenarien!$D$18,0)</f>
        <v>0.712</v>
      </c>
      <c r="E2569" s="13" t="n">
        <f aca="false">IFERROR(MIN(C2569,Eingaben!$B$17)*Eingaben!$B$16,0)</f>
        <v>1.938</v>
      </c>
      <c r="F2569" s="13" t="n">
        <f aca="false">IFERROR(E2569*Eingaben!$B$15,0)</f>
        <v>1.7442</v>
      </c>
      <c r="G2569" s="13" t="n">
        <f aca="false">IFERROR(IF(Kalender!A7="",0,J2568*(1-Eingaben!$B$20)),0)</f>
        <v>0.7390278</v>
      </c>
      <c r="H2569" s="13" t="n">
        <f aca="false">MIN(G2569,D2569)</f>
        <v>0.712</v>
      </c>
      <c r="I2569" s="13" t="n">
        <f aca="false">IFERROR(MIN(F2569*Eingaben!$B$19,MAX(0,D2569-H2569)),0)</f>
        <v>0</v>
      </c>
      <c r="J2569" s="13" t="n">
        <f aca="false">IFERROR(MIN(Eingaben!$B$18,MAX(0,F2569-I2569)),0)</f>
        <v>1.7442</v>
      </c>
      <c r="K2569" s="13" t="n">
        <f aca="false">H2569+I2569</f>
        <v>0.712</v>
      </c>
      <c r="L2569" s="13" t="n">
        <f aca="false">MAX(0,D2569-K2569)</f>
        <v>0</v>
      </c>
      <c r="M2569" s="13" t="n">
        <f aca="false">MAX(0,F2569-I2569-J2569)</f>
        <v>0</v>
      </c>
      <c r="N2569" s="13" t="n">
        <f aca="false">IF(Kalender!A7="",0,J2568-H2569)</f>
        <v>0.04211</v>
      </c>
    </row>
    <row r="2570" customFormat="false" ht="16.4" hidden="false" customHeight="false" outlineLevel="0" collapsed="false">
      <c r="A2570" s="13" t="str">
        <f aca="false">""</f>
        <v/>
      </c>
      <c r="B2570" s="13" t="n">
        <f aca="false">4</f>
        <v>4</v>
      </c>
      <c r="C2570" s="13" t="n">
        <f aca="false">IF(Szenarien!$H$18="OK",(IFERROR(SUMIF(Nutzungsprofile!$B$6:$B$11,"Schulbetrieb",Nutzungsprofile!$G$6:$G$11)*Kalender!C8/SUM(Kalender!$C$5:$C$370),0)+IFERROR(SUMIF(Nutzungsprofile!$B$6:$B$11,"Halle",Nutzungsprofile!$G$6:$G$11)*Kalender!D8/SUM(Kalender!$D$5:$D$370),0)+IFERROR(SUMIF(Nutzungsprofile!$B$6:$B$11,"Individuell",Nutzungsprofile!$G$6:$G$11)*Kalender!E8/SUM(Kalender!$E$5:$E$370),0))*Szenarien!$E$18,0)</f>
        <v>2.04</v>
      </c>
      <c r="D2570" s="13" t="n">
        <f aca="false">IF(Szenarien!$H$18="OK",(IFERROR(SUMIF(Nutzungsprofile!$B$17:$B$22,"Schulbetrieb",Nutzungsprofile!$G$17:$G$22)*Kalender!C8/SUM(Kalender!$C$5:$C$370),0)+IFERROR(SUMIF(Nutzungsprofile!$B$17:$B$22,"Halle",Nutzungsprofile!$G$17:$G$22)*Kalender!D8/SUM(Kalender!$D$5:$D$370),0)+IFERROR(SUMIF(Nutzungsprofile!$B$17:$B$22,"Individuell",Nutzungsprofile!$G$17:$G$22)*Kalender!E8/SUM(Kalender!$E$5:$E$370),0))*Szenarien!$D$18,0)</f>
        <v>0.712</v>
      </c>
      <c r="E2570" s="13" t="n">
        <f aca="false">IFERROR(MIN(C2570,Eingaben!$B$17)*Eingaben!$B$16,0)</f>
        <v>1.938</v>
      </c>
      <c r="F2570" s="13" t="n">
        <f aca="false">IFERROR(E2570*Eingaben!$B$15,0)</f>
        <v>1.7442</v>
      </c>
      <c r="G2570" s="13" t="n">
        <f aca="false">IFERROR(IF(Kalender!A8="",0,J2569*(1-Eingaben!$B$20)),0)</f>
        <v>1.709316</v>
      </c>
      <c r="H2570" s="13" t="n">
        <f aca="false">MIN(G2570,D2570)</f>
        <v>0.712</v>
      </c>
      <c r="I2570" s="13" t="n">
        <f aca="false">IFERROR(MIN(F2570*Eingaben!$B$19,MAX(0,D2570-H2570)),0)</f>
        <v>0</v>
      </c>
      <c r="J2570" s="13" t="n">
        <f aca="false">IFERROR(MIN(Eingaben!$B$18,MAX(0,F2570-I2570)),0)</f>
        <v>1.7442</v>
      </c>
      <c r="K2570" s="13" t="n">
        <f aca="false">H2570+I2570</f>
        <v>0.712</v>
      </c>
      <c r="L2570" s="13" t="n">
        <f aca="false">MAX(0,D2570-K2570)</f>
        <v>0</v>
      </c>
      <c r="M2570" s="13" t="n">
        <f aca="false">MAX(0,F2570-I2570-J2570)</f>
        <v>0</v>
      </c>
      <c r="N2570" s="13" t="n">
        <f aca="false">IF(Kalender!A8="",0,J2569-H2570)</f>
        <v>1.0322</v>
      </c>
    </row>
    <row r="2571" customFormat="false" ht="16.4" hidden="false" customHeight="false" outlineLevel="0" collapsed="false">
      <c r="A2571" s="13" t="str">
        <f aca="false">""</f>
        <v/>
      </c>
      <c r="B2571" s="13" t="n">
        <f aca="false">5</f>
        <v>5</v>
      </c>
      <c r="C2571" s="13" t="n">
        <f aca="false">IF(Szenarien!$H$18="OK",(IFERROR(SUMIF(Nutzungsprofile!$B$6:$B$11,"Schulbetrieb",Nutzungsprofile!$G$6:$G$11)*Kalender!C9/SUM(Kalender!$C$5:$C$370),0)+IFERROR(SUMIF(Nutzungsprofile!$B$6:$B$11,"Halle",Nutzungsprofile!$G$6:$G$11)*Kalender!D9/SUM(Kalender!$D$5:$D$370),0)+IFERROR(SUMIF(Nutzungsprofile!$B$6:$B$11,"Individuell",Nutzungsprofile!$G$6:$G$11)*Kalender!E9/SUM(Kalender!$E$5:$E$370),0))*Szenarien!$E$18,0)</f>
        <v>2.94</v>
      </c>
      <c r="D2571" s="13" t="n">
        <f aca="false">IF(Szenarien!$H$18="OK",(IFERROR(SUMIF(Nutzungsprofile!$B$17:$B$22,"Schulbetrieb",Nutzungsprofile!$G$17:$G$22)*Kalender!C9/SUM(Kalender!$C$5:$C$370),0)+IFERROR(SUMIF(Nutzungsprofile!$B$17:$B$22,"Halle",Nutzungsprofile!$G$17:$G$22)*Kalender!D9/SUM(Kalender!$D$5:$D$370),0)+IFERROR(SUMIF(Nutzungsprofile!$B$17:$B$22,"Individuell",Nutzungsprofile!$G$17:$G$22)*Kalender!E9/SUM(Kalender!$E$5:$E$370),0))*Szenarien!$D$18,0)</f>
        <v>3.952</v>
      </c>
      <c r="E2571" s="13" t="n">
        <f aca="false">IFERROR(MIN(C2571,Eingaben!$B$17)*Eingaben!$B$16,0)</f>
        <v>2.793</v>
      </c>
      <c r="F2571" s="13" t="n">
        <f aca="false">IFERROR(E2571*Eingaben!$B$15,0)</f>
        <v>2.5137</v>
      </c>
      <c r="G2571" s="13" t="n">
        <f aca="false">IFERROR(IF(Kalender!A9="",0,J2570*(1-Eingaben!$B$20)),0)</f>
        <v>1.709316</v>
      </c>
      <c r="H2571" s="13" t="n">
        <f aca="false">MIN(G2571,D2571)</f>
        <v>1.709316</v>
      </c>
      <c r="I2571" s="13" t="n">
        <f aca="false">IFERROR(MIN(F2571*Eingaben!$B$19,MAX(0,D2571-H2571)),0)</f>
        <v>1.75959</v>
      </c>
      <c r="J2571" s="13" t="n">
        <f aca="false">IFERROR(MIN(Eingaben!$B$18,MAX(0,F2571-I2571)),0)</f>
        <v>0.75411</v>
      </c>
      <c r="K2571" s="13" t="n">
        <f aca="false">H2571+I2571</f>
        <v>3.468906</v>
      </c>
      <c r="L2571" s="13" t="n">
        <f aca="false">MAX(0,D2571-K2571)</f>
        <v>0.483094</v>
      </c>
      <c r="M2571" s="13" t="n">
        <f aca="false">MAX(0,F2571-I2571-J2571)</f>
        <v>0</v>
      </c>
      <c r="N2571" s="13" t="n">
        <f aca="false">IF(Kalender!A9="",0,J2570-H2571)</f>
        <v>0.0348840000000001</v>
      </c>
    </row>
    <row r="2572" customFormat="false" ht="16.4" hidden="false" customHeight="false" outlineLevel="0" collapsed="false">
      <c r="A2572" s="13" t="str">
        <f aca="false">""</f>
        <v/>
      </c>
      <c r="B2572" s="13" t="n">
        <f aca="false">6</f>
        <v>6</v>
      </c>
      <c r="C2572" s="13" t="n">
        <f aca="false">IF(Szenarien!$H$18="OK",(IFERROR(SUMIF(Nutzungsprofile!$B$6:$B$11,"Schulbetrieb",Nutzungsprofile!$G$6:$G$11)*Kalender!C10/SUM(Kalender!$C$5:$C$370),0)+IFERROR(SUMIF(Nutzungsprofile!$B$6:$B$11,"Halle",Nutzungsprofile!$G$6:$G$11)*Kalender!D10/SUM(Kalender!$D$5:$D$370),0)+IFERROR(SUMIF(Nutzungsprofile!$B$6:$B$11,"Individuell",Nutzungsprofile!$G$6:$G$11)*Kalender!E10/SUM(Kalender!$E$5:$E$370),0))*Szenarien!$E$18,0)</f>
        <v>2.94</v>
      </c>
      <c r="D2572" s="13" t="n">
        <f aca="false">IF(Szenarien!$H$18="OK",(IFERROR(SUMIF(Nutzungsprofile!$B$17:$B$22,"Schulbetrieb",Nutzungsprofile!$G$17:$G$22)*Kalender!C10/SUM(Kalender!$C$5:$C$370),0)+IFERROR(SUMIF(Nutzungsprofile!$B$17:$B$22,"Halle",Nutzungsprofile!$G$17:$G$22)*Kalender!D10/SUM(Kalender!$D$5:$D$370),0)+IFERROR(SUMIF(Nutzungsprofile!$B$17:$B$22,"Individuell",Nutzungsprofile!$G$17:$G$22)*Kalender!E10/SUM(Kalender!$E$5:$E$370),0))*Szenarien!$D$18,0)</f>
        <v>3.952</v>
      </c>
      <c r="E2572" s="13" t="n">
        <f aca="false">IFERROR(MIN(C2572,Eingaben!$B$17)*Eingaben!$B$16,0)</f>
        <v>2.793</v>
      </c>
      <c r="F2572" s="13" t="n">
        <f aca="false">IFERROR(E2572*Eingaben!$B$15,0)</f>
        <v>2.5137</v>
      </c>
      <c r="G2572" s="13" t="n">
        <f aca="false">IFERROR(IF(Kalender!A10="",0,J2571*(1-Eingaben!$B$20)),0)</f>
        <v>0.7390278</v>
      </c>
      <c r="H2572" s="13" t="n">
        <f aca="false">MIN(G2572,D2572)</f>
        <v>0.7390278</v>
      </c>
      <c r="I2572" s="13" t="n">
        <f aca="false">IFERROR(MIN(F2572*Eingaben!$B$19,MAX(0,D2572-H2572)),0)</f>
        <v>1.75959</v>
      </c>
      <c r="J2572" s="13" t="n">
        <f aca="false">IFERROR(MIN(Eingaben!$B$18,MAX(0,F2572-I2572)),0)</f>
        <v>0.75411</v>
      </c>
      <c r="K2572" s="13" t="n">
        <f aca="false">H2572+I2572</f>
        <v>2.4986178</v>
      </c>
      <c r="L2572" s="13" t="n">
        <f aca="false">MAX(0,D2572-K2572)</f>
        <v>1.4533822</v>
      </c>
      <c r="M2572" s="13" t="n">
        <f aca="false">MAX(0,F2572-I2572-J2572)</f>
        <v>0</v>
      </c>
      <c r="N2572" s="13" t="n">
        <f aca="false">IF(Kalender!A10="",0,J2571-H2572)</f>
        <v>0.0150822</v>
      </c>
    </row>
    <row r="2573" customFormat="false" ht="16.4" hidden="false" customHeight="false" outlineLevel="0" collapsed="false">
      <c r="A2573" s="13" t="str">
        <f aca="false">""</f>
        <v/>
      </c>
      <c r="B2573" s="13" t="n">
        <f aca="false">7</f>
        <v>7</v>
      </c>
      <c r="C2573" s="13" t="n">
        <f aca="false">IF(Szenarien!$H$18="OK",(IFERROR(SUMIF(Nutzungsprofile!$B$6:$B$11,"Schulbetrieb",Nutzungsprofile!$G$6:$G$11)*Kalender!C11/SUM(Kalender!$C$5:$C$370),0)+IFERROR(SUMIF(Nutzungsprofile!$B$6:$B$11,"Halle",Nutzungsprofile!$G$6:$G$11)*Kalender!D11/SUM(Kalender!$D$5:$D$370),0)+IFERROR(SUMIF(Nutzungsprofile!$B$6:$B$11,"Individuell",Nutzungsprofile!$G$6:$G$11)*Kalender!E11/SUM(Kalender!$E$5:$E$370),0))*Szenarien!$E$18,0)</f>
        <v>2.94</v>
      </c>
      <c r="D2573" s="13" t="n">
        <f aca="false">IF(Szenarien!$H$18="OK",(IFERROR(SUMIF(Nutzungsprofile!$B$17:$B$22,"Schulbetrieb",Nutzungsprofile!$G$17:$G$22)*Kalender!C11/SUM(Kalender!$C$5:$C$370),0)+IFERROR(SUMIF(Nutzungsprofile!$B$17:$B$22,"Halle",Nutzungsprofile!$G$17:$G$22)*Kalender!D11/SUM(Kalender!$D$5:$D$370),0)+IFERROR(SUMIF(Nutzungsprofile!$B$17:$B$22,"Individuell",Nutzungsprofile!$G$17:$G$22)*Kalender!E11/SUM(Kalender!$E$5:$E$370),0))*Szenarien!$D$18,0)</f>
        <v>3.952</v>
      </c>
      <c r="E2573" s="13" t="n">
        <f aca="false">IFERROR(MIN(C2573,Eingaben!$B$17)*Eingaben!$B$16,0)</f>
        <v>2.793</v>
      </c>
      <c r="F2573" s="13" t="n">
        <f aca="false">IFERROR(E2573*Eingaben!$B$15,0)</f>
        <v>2.5137</v>
      </c>
      <c r="G2573" s="13" t="n">
        <f aca="false">IFERROR(IF(Kalender!A11="",0,J2572*(1-Eingaben!$B$20)),0)</f>
        <v>0.7390278</v>
      </c>
      <c r="H2573" s="13" t="n">
        <f aca="false">MIN(G2573,D2573)</f>
        <v>0.7390278</v>
      </c>
      <c r="I2573" s="13" t="n">
        <f aca="false">IFERROR(MIN(F2573*Eingaben!$B$19,MAX(0,D2573-H2573)),0)</f>
        <v>1.75959</v>
      </c>
      <c r="J2573" s="13" t="n">
        <f aca="false">IFERROR(MIN(Eingaben!$B$18,MAX(0,F2573-I2573)),0)</f>
        <v>0.75411</v>
      </c>
      <c r="K2573" s="13" t="n">
        <f aca="false">H2573+I2573</f>
        <v>2.4986178</v>
      </c>
      <c r="L2573" s="13" t="n">
        <f aca="false">MAX(0,D2573-K2573)</f>
        <v>1.4533822</v>
      </c>
      <c r="M2573" s="13" t="n">
        <f aca="false">MAX(0,F2573-I2573-J2573)</f>
        <v>0</v>
      </c>
      <c r="N2573" s="13" t="n">
        <f aca="false">IF(Kalender!A11="",0,J2572-H2573)</f>
        <v>0.0150822</v>
      </c>
    </row>
    <row r="2574" customFormat="false" ht="16.4" hidden="false" customHeight="false" outlineLevel="0" collapsed="false">
      <c r="A2574" s="13" t="str">
        <f aca="false">""</f>
        <v/>
      </c>
      <c r="B2574" s="13" t="n">
        <f aca="false">8</f>
        <v>8</v>
      </c>
      <c r="C2574" s="13" t="n">
        <f aca="false">IF(Szenarien!$H$18="OK",(IFERROR(SUMIF(Nutzungsprofile!$B$6:$B$11,"Schulbetrieb",Nutzungsprofile!$G$6:$G$11)*Kalender!C12/SUM(Kalender!$C$5:$C$370),0)+IFERROR(SUMIF(Nutzungsprofile!$B$6:$B$11,"Halle",Nutzungsprofile!$G$6:$G$11)*Kalender!D12/SUM(Kalender!$D$5:$D$370),0)+IFERROR(SUMIF(Nutzungsprofile!$B$6:$B$11,"Individuell",Nutzungsprofile!$G$6:$G$11)*Kalender!E12/SUM(Kalender!$E$5:$E$370),0))*Szenarien!$E$18,0)</f>
        <v>2.94</v>
      </c>
      <c r="D2574" s="13" t="n">
        <f aca="false">IF(Szenarien!$H$18="OK",(IFERROR(SUMIF(Nutzungsprofile!$B$17:$B$22,"Schulbetrieb",Nutzungsprofile!$G$17:$G$22)*Kalender!C12/SUM(Kalender!$C$5:$C$370),0)+IFERROR(SUMIF(Nutzungsprofile!$B$17:$B$22,"Halle",Nutzungsprofile!$G$17:$G$22)*Kalender!D12/SUM(Kalender!$D$5:$D$370),0)+IFERROR(SUMIF(Nutzungsprofile!$B$17:$B$22,"Individuell",Nutzungsprofile!$G$17:$G$22)*Kalender!E12/SUM(Kalender!$E$5:$E$370),0))*Szenarien!$D$18,0)</f>
        <v>3.952</v>
      </c>
      <c r="E2574" s="13" t="n">
        <f aca="false">IFERROR(MIN(C2574,Eingaben!$B$17)*Eingaben!$B$16,0)</f>
        <v>2.793</v>
      </c>
      <c r="F2574" s="13" t="n">
        <f aca="false">IFERROR(E2574*Eingaben!$B$15,0)</f>
        <v>2.5137</v>
      </c>
      <c r="G2574" s="13" t="n">
        <f aca="false">IFERROR(IF(Kalender!A12="",0,J2573*(1-Eingaben!$B$20)),0)</f>
        <v>0.7390278</v>
      </c>
      <c r="H2574" s="13" t="n">
        <f aca="false">MIN(G2574,D2574)</f>
        <v>0.7390278</v>
      </c>
      <c r="I2574" s="13" t="n">
        <f aca="false">IFERROR(MIN(F2574*Eingaben!$B$19,MAX(0,D2574-H2574)),0)</f>
        <v>1.75959</v>
      </c>
      <c r="J2574" s="13" t="n">
        <f aca="false">IFERROR(MIN(Eingaben!$B$18,MAX(0,F2574-I2574)),0)</f>
        <v>0.75411</v>
      </c>
      <c r="K2574" s="13" t="n">
        <f aca="false">H2574+I2574</f>
        <v>2.4986178</v>
      </c>
      <c r="L2574" s="13" t="n">
        <f aca="false">MAX(0,D2574-K2574)</f>
        <v>1.4533822</v>
      </c>
      <c r="M2574" s="13" t="n">
        <f aca="false">MAX(0,F2574-I2574-J2574)</f>
        <v>0</v>
      </c>
      <c r="N2574" s="13" t="n">
        <f aca="false">IF(Kalender!A12="",0,J2573-H2574)</f>
        <v>0.0150822</v>
      </c>
    </row>
    <row r="2575" customFormat="false" ht="16.4" hidden="false" customHeight="false" outlineLevel="0" collapsed="false">
      <c r="A2575" s="13" t="str">
        <f aca="false">""</f>
        <v/>
      </c>
      <c r="B2575" s="13" t="n">
        <f aca="false">9</f>
        <v>9</v>
      </c>
      <c r="C2575" s="13" t="n">
        <f aca="false">IF(Szenarien!$H$18="OK",(IFERROR(SUMIF(Nutzungsprofile!$B$6:$B$11,"Schulbetrieb",Nutzungsprofile!$G$6:$G$11)*Kalender!C13/SUM(Kalender!$C$5:$C$370),0)+IFERROR(SUMIF(Nutzungsprofile!$B$6:$B$11,"Halle",Nutzungsprofile!$G$6:$G$11)*Kalender!D13/SUM(Kalender!$D$5:$D$370),0)+IFERROR(SUMIF(Nutzungsprofile!$B$6:$B$11,"Individuell",Nutzungsprofile!$G$6:$G$11)*Kalender!E13/SUM(Kalender!$E$5:$E$370),0))*Szenarien!$E$18,0)</f>
        <v>2.94</v>
      </c>
      <c r="D2575" s="13" t="n">
        <f aca="false">IF(Szenarien!$H$18="OK",(IFERROR(SUMIF(Nutzungsprofile!$B$17:$B$22,"Schulbetrieb",Nutzungsprofile!$G$17:$G$22)*Kalender!C13/SUM(Kalender!$C$5:$C$370),0)+IFERROR(SUMIF(Nutzungsprofile!$B$17:$B$22,"Halle",Nutzungsprofile!$G$17:$G$22)*Kalender!D13/SUM(Kalender!$D$5:$D$370),0)+IFERROR(SUMIF(Nutzungsprofile!$B$17:$B$22,"Individuell",Nutzungsprofile!$G$17:$G$22)*Kalender!E13/SUM(Kalender!$E$5:$E$370),0))*Szenarien!$D$18,0)</f>
        <v>3.952</v>
      </c>
      <c r="E2575" s="13" t="n">
        <f aca="false">IFERROR(MIN(C2575,Eingaben!$B$17)*Eingaben!$B$16,0)</f>
        <v>2.793</v>
      </c>
      <c r="F2575" s="13" t="n">
        <f aca="false">IFERROR(E2575*Eingaben!$B$15,0)</f>
        <v>2.5137</v>
      </c>
      <c r="G2575" s="13" t="n">
        <f aca="false">IFERROR(IF(Kalender!A13="",0,J2574*(1-Eingaben!$B$20)),0)</f>
        <v>0.7390278</v>
      </c>
      <c r="H2575" s="13" t="n">
        <f aca="false">MIN(G2575,D2575)</f>
        <v>0.7390278</v>
      </c>
      <c r="I2575" s="13" t="n">
        <f aca="false">IFERROR(MIN(F2575*Eingaben!$B$19,MAX(0,D2575-H2575)),0)</f>
        <v>1.75959</v>
      </c>
      <c r="J2575" s="13" t="n">
        <f aca="false">IFERROR(MIN(Eingaben!$B$18,MAX(0,F2575-I2575)),0)</f>
        <v>0.75411</v>
      </c>
      <c r="K2575" s="13" t="n">
        <f aca="false">H2575+I2575</f>
        <v>2.4986178</v>
      </c>
      <c r="L2575" s="13" t="n">
        <f aca="false">MAX(0,D2575-K2575)</f>
        <v>1.4533822</v>
      </c>
      <c r="M2575" s="13" t="n">
        <f aca="false">MAX(0,F2575-I2575-J2575)</f>
        <v>0</v>
      </c>
      <c r="N2575" s="13" t="n">
        <f aca="false">IF(Kalender!A13="",0,J2574-H2575)</f>
        <v>0.0150822</v>
      </c>
    </row>
    <row r="2576" customFormat="false" ht="16.4" hidden="false" customHeight="false" outlineLevel="0" collapsed="false">
      <c r="A2576" s="13" t="str">
        <f aca="false">""</f>
        <v/>
      </c>
      <c r="B2576" s="13" t="n">
        <f aca="false">10</f>
        <v>10</v>
      </c>
      <c r="C2576" s="13" t="n">
        <f aca="false">IF(Szenarien!$H$18="OK",(IFERROR(SUMIF(Nutzungsprofile!$B$6:$B$11,"Schulbetrieb",Nutzungsprofile!$G$6:$G$11)*Kalender!C14/SUM(Kalender!$C$5:$C$370),0)+IFERROR(SUMIF(Nutzungsprofile!$B$6:$B$11,"Halle",Nutzungsprofile!$G$6:$G$11)*Kalender!D14/SUM(Kalender!$D$5:$D$370),0)+IFERROR(SUMIF(Nutzungsprofile!$B$6:$B$11,"Individuell",Nutzungsprofile!$G$6:$G$11)*Kalender!E14/SUM(Kalender!$E$5:$E$370),0))*Szenarien!$E$18,0)</f>
        <v>2.04</v>
      </c>
      <c r="D2576" s="13" t="n">
        <f aca="false">IF(Szenarien!$H$18="OK",(IFERROR(SUMIF(Nutzungsprofile!$B$17:$B$22,"Schulbetrieb",Nutzungsprofile!$G$17:$G$22)*Kalender!C14/SUM(Kalender!$C$5:$C$370),0)+IFERROR(SUMIF(Nutzungsprofile!$B$17:$B$22,"Halle",Nutzungsprofile!$G$17:$G$22)*Kalender!D14/SUM(Kalender!$D$5:$D$370),0)+IFERROR(SUMIF(Nutzungsprofile!$B$17:$B$22,"Individuell",Nutzungsprofile!$G$17:$G$22)*Kalender!E14/SUM(Kalender!$E$5:$E$370),0))*Szenarien!$D$18,0)</f>
        <v>0.712</v>
      </c>
      <c r="E2576" s="13" t="n">
        <f aca="false">IFERROR(MIN(C2576,Eingaben!$B$17)*Eingaben!$B$16,0)</f>
        <v>1.938</v>
      </c>
      <c r="F2576" s="13" t="n">
        <f aca="false">IFERROR(E2576*Eingaben!$B$15,0)</f>
        <v>1.7442</v>
      </c>
      <c r="G2576" s="13" t="n">
        <f aca="false">IFERROR(IF(Kalender!A14="",0,J2575*(1-Eingaben!$B$20)),0)</f>
        <v>0.7390278</v>
      </c>
      <c r="H2576" s="13" t="n">
        <f aca="false">MIN(G2576,D2576)</f>
        <v>0.712</v>
      </c>
      <c r="I2576" s="13" t="n">
        <f aca="false">IFERROR(MIN(F2576*Eingaben!$B$19,MAX(0,D2576-H2576)),0)</f>
        <v>0</v>
      </c>
      <c r="J2576" s="13" t="n">
        <f aca="false">IFERROR(MIN(Eingaben!$B$18,MAX(0,F2576-I2576)),0)</f>
        <v>1.7442</v>
      </c>
      <c r="K2576" s="13" t="n">
        <f aca="false">H2576+I2576</f>
        <v>0.712</v>
      </c>
      <c r="L2576" s="13" t="n">
        <f aca="false">MAX(0,D2576-K2576)</f>
        <v>0</v>
      </c>
      <c r="M2576" s="13" t="n">
        <f aca="false">MAX(0,F2576-I2576-J2576)</f>
        <v>0</v>
      </c>
      <c r="N2576" s="13" t="n">
        <f aca="false">IF(Kalender!A14="",0,J2575-H2576)</f>
        <v>0.04211</v>
      </c>
    </row>
    <row r="2577" customFormat="false" ht="16.4" hidden="false" customHeight="false" outlineLevel="0" collapsed="false">
      <c r="A2577" s="13" t="str">
        <f aca="false">""</f>
        <v/>
      </c>
      <c r="B2577" s="13" t="n">
        <f aca="false">11</f>
        <v>11</v>
      </c>
      <c r="C2577" s="13" t="n">
        <f aca="false">IF(Szenarien!$H$18="OK",(IFERROR(SUMIF(Nutzungsprofile!$B$6:$B$11,"Schulbetrieb",Nutzungsprofile!$G$6:$G$11)*Kalender!C15/SUM(Kalender!$C$5:$C$370),0)+IFERROR(SUMIF(Nutzungsprofile!$B$6:$B$11,"Halle",Nutzungsprofile!$G$6:$G$11)*Kalender!D15/SUM(Kalender!$D$5:$D$370),0)+IFERROR(SUMIF(Nutzungsprofile!$B$6:$B$11,"Individuell",Nutzungsprofile!$G$6:$G$11)*Kalender!E15/SUM(Kalender!$E$5:$E$370),0))*Szenarien!$E$18,0)</f>
        <v>2.04</v>
      </c>
      <c r="D2577" s="13" t="n">
        <f aca="false">IF(Szenarien!$H$18="OK",(IFERROR(SUMIF(Nutzungsprofile!$B$17:$B$22,"Schulbetrieb",Nutzungsprofile!$G$17:$G$22)*Kalender!C15/SUM(Kalender!$C$5:$C$370),0)+IFERROR(SUMIF(Nutzungsprofile!$B$17:$B$22,"Halle",Nutzungsprofile!$G$17:$G$22)*Kalender!D15/SUM(Kalender!$D$5:$D$370),0)+IFERROR(SUMIF(Nutzungsprofile!$B$17:$B$22,"Individuell",Nutzungsprofile!$G$17:$G$22)*Kalender!E15/SUM(Kalender!$E$5:$E$370),0))*Szenarien!$D$18,0)</f>
        <v>0.712</v>
      </c>
      <c r="E2577" s="13" t="n">
        <f aca="false">IFERROR(MIN(C2577,Eingaben!$B$17)*Eingaben!$B$16,0)</f>
        <v>1.938</v>
      </c>
      <c r="F2577" s="13" t="n">
        <f aca="false">IFERROR(E2577*Eingaben!$B$15,0)</f>
        <v>1.7442</v>
      </c>
      <c r="G2577" s="13" t="n">
        <f aca="false">IFERROR(IF(Kalender!A15="",0,J2576*(1-Eingaben!$B$20)),0)</f>
        <v>1.709316</v>
      </c>
      <c r="H2577" s="13" t="n">
        <f aca="false">MIN(G2577,D2577)</f>
        <v>0.712</v>
      </c>
      <c r="I2577" s="13" t="n">
        <f aca="false">IFERROR(MIN(F2577*Eingaben!$B$19,MAX(0,D2577-H2577)),0)</f>
        <v>0</v>
      </c>
      <c r="J2577" s="13" t="n">
        <f aca="false">IFERROR(MIN(Eingaben!$B$18,MAX(0,F2577-I2577)),0)</f>
        <v>1.7442</v>
      </c>
      <c r="K2577" s="13" t="n">
        <f aca="false">H2577+I2577</f>
        <v>0.712</v>
      </c>
      <c r="L2577" s="13" t="n">
        <f aca="false">MAX(0,D2577-K2577)</f>
        <v>0</v>
      </c>
      <c r="M2577" s="13" t="n">
        <f aca="false">MAX(0,F2577-I2577-J2577)</f>
        <v>0</v>
      </c>
      <c r="N2577" s="13" t="n">
        <f aca="false">IF(Kalender!A15="",0,J2576-H2577)</f>
        <v>1.0322</v>
      </c>
    </row>
    <row r="2578" customFormat="false" ht="16.4" hidden="false" customHeight="false" outlineLevel="0" collapsed="false">
      <c r="A2578" s="13" t="str">
        <f aca="false">""</f>
        <v/>
      </c>
      <c r="B2578" s="13" t="n">
        <f aca="false">12</f>
        <v>12</v>
      </c>
      <c r="C2578" s="13" t="n">
        <f aca="false">IF(Szenarien!$H$18="OK",(IFERROR(SUMIF(Nutzungsprofile!$B$6:$B$11,"Schulbetrieb",Nutzungsprofile!$G$6:$G$11)*Kalender!C16/SUM(Kalender!$C$5:$C$370),0)+IFERROR(SUMIF(Nutzungsprofile!$B$6:$B$11,"Halle",Nutzungsprofile!$G$6:$G$11)*Kalender!D16/SUM(Kalender!$D$5:$D$370),0)+IFERROR(SUMIF(Nutzungsprofile!$B$6:$B$11,"Individuell",Nutzungsprofile!$G$6:$G$11)*Kalender!E16/SUM(Kalender!$E$5:$E$370),0))*Szenarien!$E$18,0)</f>
        <v>2.94</v>
      </c>
      <c r="D2578" s="13" t="n">
        <f aca="false">IF(Szenarien!$H$18="OK",(IFERROR(SUMIF(Nutzungsprofile!$B$17:$B$22,"Schulbetrieb",Nutzungsprofile!$G$17:$G$22)*Kalender!C16/SUM(Kalender!$C$5:$C$370),0)+IFERROR(SUMIF(Nutzungsprofile!$B$17:$B$22,"Halle",Nutzungsprofile!$G$17:$G$22)*Kalender!D16/SUM(Kalender!$D$5:$D$370),0)+IFERROR(SUMIF(Nutzungsprofile!$B$17:$B$22,"Individuell",Nutzungsprofile!$G$17:$G$22)*Kalender!E16/SUM(Kalender!$E$5:$E$370),0))*Szenarien!$D$18,0)</f>
        <v>3.952</v>
      </c>
      <c r="E2578" s="13" t="n">
        <f aca="false">IFERROR(MIN(C2578,Eingaben!$B$17)*Eingaben!$B$16,0)</f>
        <v>2.793</v>
      </c>
      <c r="F2578" s="13" t="n">
        <f aca="false">IFERROR(E2578*Eingaben!$B$15,0)</f>
        <v>2.5137</v>
      </c>
      <c r="G2578" s="13" t="n">
        <f aca="false">IFERROR(IF(Kalender!A16="",0,J2577*(1-Eingaben!$B$20)),0)</f>
        <v>1.709316</v>
      </c>
      <c r="H2578" s="13" t="n">
        <f aca="false">MIN(G2578,D2578)</f>
        <v>1.709316</v>
      </c>
      <c r="I2578" s="13" t="n">
        <f aca="false">IFERROR(MIN(F2578*Eingaben!$B$19,MAX(0,D2578-H2578)),0)</f>
        <v>1.75959</v>
      </c>
      <c r="J2578" s="13" t="n">
        <f aca="false">IFERROR(MIN(Eingaben!$B$18,MAX(0,F2578-I2578)),0)</f>
        <v>0.75411</v>
      </c>
      <c r="K2578" s="13" t="n">
        <f aca="false">H2578+I2578</f>
        <v>3.468906</v>
      </c>
      <c r="L2578" s="13" t="n">
        <f aca="false">MAX(0,D2578-K2578)</f>
        <v>0.483094</v>
      </c>
      <c r="M2578" s="13" t="n">
        <f aca="false">MAX(0,F2578-I2578-J2578)</f>
        <v>0</v>
      </c>
      <c r="N2578" s="13" t="n">
        <f aca="false">IF(Kalender!A16="",0,J2577-H2578)</f>
        <v>0.0348840000000001</v>
      </c>
    </row>
    <row r="2579" customFormat="false" ht="16.4" hidden="false" customHeight="false" outlineLevel="0" collapsed="false">
      <c r="A2579" s="13" t="str">
        <f aca="false">""</f>
        <v/>
      </c>
      <c r="B2579" s="13" t="n">
        <f aca="false">13</f>
        <v>13</v>
      </c>
      <c r="C2579" s="13" t="n">
        <f aca="false">IF(Szenarien!$H$18="OK",(IFERROR(SUMIF(Nutzungsprofile!$B$6:$B$11,"Schulbetrieb",Nutzungsprofile!$G$6:$G$11)*Kalender!C17/SUM(Kalender!$C$5:$C$370),0)+IFERROR(SUMIF(Nutzungsprofile!$B$6:$B$11,"Halle",Nutzungsprofile!$G$6:$G$11)*Kalender!D17/SUM(Kalender!$D$5:$D$370),0)+IFERROR(SUMIF(Nutzungsprofile!$B$6:$B$11,"Individuell",Nutzungsprofile!$G$6:$G$11)*Kalender!E17/SUM(Kalender!$E$5:$E$370),0))*Szenarien!$E$18,0)</f>
        <v>2.94</v>
      </c>
      <c r="D2579" s="13" t="n">
        <f aca="false">IF(Szenarien!$H$18="OK",(IFERROR(SUMIF(Nutzungsprofile!$B$17:$B$22,"Schulbetrieb",Nutzungsprofile!$G$17:$G$22)*Kalender!C17/SUM(Kalender!$C$5:$C$370),0)+IFERROR(SUMIF(Nutzungsprofile!$B$17:$B$22,"Halle",Nutzungsprofile!$G$17:$G$22)*Kalender!D17/SUM(Kalender!$D$5:$D$370),0)+IFERROR(SUMIF(Nutzungsprofile!$B$17:$B$22,"Individuell",Nutzungsprofile!$G$17:$G$22)*Kalender!E17/SUM(Kalender!$E$5:$E$370),0))*Szenarien!$D$18,0)</f>
        <v>3.952</v>
      </c>
      <c r="E2579" s="13" t="n">
        <f aca="false">IFERROR(MIN(C2579,Eingaben!$B$17)*Eingaben!$B$16,0)</f>
        <v>2.793</v>
      </c>
      <c r="F2579" s="13" t="n">
        <f aca="false">IFERROR(E2579*Eingaben!$B$15,0)</f>
        <v>2.5137</v>
      </c>
      <c r="G2579" s="13" t="n">
        <f aca="false">IFERROR(IF(Kalender!A17="",0,J2578*(1-Eingaben!$B$20)),0)</f>
        <v>0.7390278</v>
      </c>
      <c r="H2579" s="13" t="n">
        <f aca="false">MIN(G2579,D2579)</f>
        <v>0.7390278</v>
      </c>
      <c r="I2579" s="13" t="n">
        <f aca="false">IFERROR(MIN(F2579*Eingaben!$B$19,MAX(0,D2579-H2579)),0)</f>
        <v>1.75959</v>
      </c>
      <c r="J2579" s="13" t="n">
        <f aca="false">IFERROR(MIN(Eingaben!$B$18,MAX(0,F2579-I2579)),0)</f>
        <v>0.75411</v>
      </c>
      <c r="K2579" s="13" t="n">
        <f aca="false">H2579+I2579</f>
        <v>2.4986178</v>
      </c>
      <c r="L2579" s="13" t="n">
        <f aca="false">MAX(0,D2579-K2579)</f>
        <v>1.4533822</v>
      </c>
      <c r="M2579" s="13" t="n">
        <f aca="false">MAX(0,F2579-I2579-J2579)</f>
        <v>0</v>
      </c>
      <c r="N2579" s="13" t="n">
        <f aca="false">IF(Kalender!A17="",0,J2578-H2579)</f>
        <v>0.0150822</v>
      </c>
    </row>
    <row r="2580" customFormat="false" ht="16.4" hidden="false" customHeight="false" outlineLevel="0" collapsed="false">
      <c r="A2580" s="13" t="str">
        <f aca="false">""</f>
        <v/>
      </c>
      <c r="B2580" s="13" t="n">
        <f aca="false">14</f>
        <v>14</v>
      </c>
      <c r="C2580" s="13" t="n">
        <f aca="false">IF(Szenarien!$H$18="OK",(IFERROR(SUMIF(Nutzungsprofile!$B$6:$B$11,"Schulbetrieb",Nutzungsprofile!$G$6:$G$11)*Kalender!C18/SUM(Kalender!$C$5:$C$370),0)+IFERROR(SUMIF(Nutzungsprofile!$B$6:$B$11,"Halle",Nutzungsprofile!$G$6:$G$11)*Kalender!D18/SUM(Kalender!$D$5:$D$370),0)+IFERROR(SUMIF(Nutzungsprofile!$B$6:$B$11,"Individuell",Nutzungsprofile!$G$6:$G$11)*Kalender!E18/SUM(Kalender!$E$5:$E$370),0))*Szenarien!$E$18,0)</f>
        <v>2.94</v>
      </c>
      <c r="D2580" s="13" t="n">
        <f aca="false">IF(Szenarien!$H$18="OK",(IFERROR(SUMIF(Nutzungsprofile!$B$17:$B$22,"Schulbetrieb",Nutzungsprofile!$G$17:$G$22)*Kalender!C18/SUM(Kalender!$C$5:$C$370),0)+IFERROR(SUMIF(Nutzungsprofile!$B$17:$B$22,"Halle",Nutzungsprofile!$G$17:$G$22)*Kalender!D18/SUM(Kalender!$D$5:$D$370),0)+IFERROR(SUMIF(Nutzungsprofile!$B$17:$B$22,"Individuell",Nutzungsprofile!$G$17:$G$22)*Kalender!E18/SUM(Kalender!$E$5:$E$370),0))*Szenarien!$D$18,0)</f>
        <v>3.952</v>
      </c>
      <c r="E2580" s="13" t="n">
        <f aca="false">IFERROR(MIN(C2580,Eingaben!$B$17)*Eingaben!$B$16,0)</f>
        <v>2.793</v>
      </c>
      <c r="F2580" s="13" t="n">
        <f aca="false">IFERROR(E2580*Eingaben!$B$15,0)</f>
        <v>2.5137</v>
      </c>
      <c r="G2580" s="13" t="n">
        <f aca="false">IFERROR(IF(Kalender!A18="",0,J2579*(1-Eingaben!$B$20)),0)</f>
        <v>0.7390278</v>
      </c>
      <c r="H2580" s="13" t="n">
        <f aca="false">MIN(G2580,D2580)</f>
        <v>0.7390278</v>
      </c>
      <c r="I2580" s="13" t="n">
        <f aca="false">IFERROR(MIN(F2580*Eingaben!$B$19,MAX(0,D2580-H2580)),0)</f>
        <v>1.75959</v>
      </c>
      <c r="J2580" s="13" t="n">
        <f aca="false">IFERROR(MIN(Eingaben!$B$18,MAX(0,F2580-I2580)),0)</f>
        <v>0.75411</v>
      </c>
      <c r="K2580" s="13" t="n">
        <f aca="false">H2580+I2580</f>
        <v>2.4986178</v>
      </c>
      <c r="L2580" s="13" t="n">
        <f aca="false">MAX(0,D2580-K2580)</f>
        <v>1.4533822</v>
      </c>
      <c r="M2580" s="13" t="n">
        <f aca="false">MAX(0,F2580-I2580-J2580)</f>
        <v>0</v>
      </c>
      <c r="N2580" s="13" t="n">
        <f aca="false">IF(Kalender!A18="",0,J2579-H2580)</f>
        <v>0.0150822</v>
      </c>
    </row>
    <row r="2581" customFormat="false" ht="16.4" hidden="false" customHeight="false" outlineLevel="0" collapsed="false">
      <c r="A2581" s="13" t="str">
        <f aca="false">""</f>
        <v/>
      </c>
      <c r="B2581" s="13" t="n">
        <f aca="false">15</f>
        <v>15</v>
      </c>
      <c r="C2581" s="13" t="n">
        <f aca="false">IF(Szenarien!$H$18="OK",(IFERROR(SUMIF(Nutzungsprofile!$B$6:$B$11,"Schulbetrieb",Nutzungsprofile!$G$6:$G$11)*Kalender!C19/SUM(Kalender!$C$5:$C$370),0)+IFERROR(SUMIF(Nutzungsprofile!$B$6:$B$11,"Halle",Nutzungsprofile!$G$6:$G$11)*Kalender!D19/SUM(Kalender!$D$5:$D$370),0)+IFERROR(SUMIF(Nutzungsprofile!$B$6:$B$11,"Individuell",Nutzungsprofile!$G$6:$G$11)*Kalender!E19/SUM(Kalender!$E$5:$E$370),0))*Szenarien!$E$18,0)</f>
        <v>2.94</v>
      </c>
      <c r="D2581" s="13" t="n">
        <f aca="false">IF(Szenarien!$H$18="OK",(IFERROR(SUMIF(Nutzungsprofile!$B$17:$B$22,"Schulbetrieb",Nutzungsprofile!$G$17:$G$22)*Kalender!C19/SUM(Kalender!$C$5:$C$370),0)+IFERROR(SUMIF(Nutzungsprofile!$B$17:$B$22,"Halle",Nutzungsprofile!$G$17:$G$22)*Kalender!D19/SUM(Kalender!$D$5:$D$370),0)+IFERROR(SUMIF(Nutzungsprofile!$B$17:$B$22,"Individuell",Nutzungsprofile!$G$17:$G$22)*Kalender!E19/SUM(Kalender!$E$5:$E$370),0))*Szenarien!$D$18,0)</f>
        <v>3.952</v>
      </c>
      <c r="E2581" s="13" t="n">
        <f aca="false">IFERROR(MIN(C2581,Eingaben!$B$17)*Eingaben!$B$16,0)</f>
        <v>2.793</v>
      </c>
      <c r="F2581" s="13" t="n">
        <f aca="false">IFERROR(E2581*Eingaben!$B$15,0)</f>
        <v>2.5137</v>
      </c>
      <c r="G2581" s="13" t="n">
        <f aca="false">IFERROR(IF(Kalender!A19="",0,J2580*(1-Eingaben!$B$20)),0)</f>
        <v>0.7390278</v>
      </c>
      <c r="H2581" s="13" t="n">
        <f aca="false">MIN(G2581,D2581)</f>
        <v>0.7390278</v>
      </c>
      <c r="I2581" s="13" t="n">
        <f aca="false">IFERROR(MIN(F2581*Eingaben!$B$19,MAX(0,D2581-H2581)),0)</f>
        <v>1.75959</v>
      </c>
      <c r="J2581" s="13" t="n">
        <f aca="false">IFERROR(MIN(Eingaben!$B$18,MAX(0,F2581-I2581)),0)</f>
        <v>0.75411</v>
      </c>
      <c r="K2581" s="13" t="n">
        <f aca="false">H2581+I2581</f>
        <v>2.4986178</v>
      </c>
      <c r="L2581" s="13" t="n">
        <f aca="false">MAX(0,D2581-K2581)</f>
        <v>1.4533822</v>
      </c>
      <c r="M2581" s="13" t="n">
        <f aca="false">MAX(0,F2581-I2581-J2581)</f>
        <v>0</v>
      </c>
      <c r="N2581" s="13" t="n">
        <f aca="false">IF(Kalender!A19="",0,J2580-H2581)</f>
        <v>0.0150822</v>
      </c>
    </row>
    <row r="2582" customFormat="false" ht="16.4" hidden="false" customHeight="false" outlineLevel="0" collapsed="false">
      <c r="A2582" s="13" t="str">
        <f aca="false">""</f>
        <v/>
      </c>
      <c r="B2582" s="13" t="n">
        <f aca="false">16</f>
        <v>16</v>
      </c>
      <c r="C2582" s="13" t="n">
        <f aca="false">IF(Szenarien!$H$18="OK",(IFERROR(SUMIF(Nutzungsprofile!$B$6:$B$11,"Schulbetrieb",Nutzungsprofile!$G$6:$G$11)*Kalender!C20/SUM(Kalender!$C$5:$C$370),0)+IFERROR(SUMIF(Nutzungsprofile!$B$6:$B$11,"Halle",Nutzungsprofile!$G$6:$G$11)*Kalender!D20/SUM(Kalender!$D$5:$D$370),0)+IFERROR(SUMIF(Nutzungsprofile!$B$6:$B$11,"Individuell",Nutzungsprofile!$G$6:$G$11)*Kalender!E20/SUM(Kalender!$E$5:$E$370),0))*Szenarien!$E$18,0)</f>
        <v>2.94</v>
      </c>
      <c r="D2582" s="13" t="n">
        <f aca="false">IF(Szenarien!$H$18="OK",(IFERROR(SUMIF(Nutzungsprofile!$B$17:$B$22,"Schulbetrieb",Nutzungsprofile!$G$17:$G$22)*Kalender!C20/SUM(Kalender!$C$5:$C$370),0)+IFERROR(SUMIF(Nutzungsprofile!$B$17:$B$22,"Halle",Nutzungsprofile!$G$17:$G$22)*Kalender!D20/SUM(Kalender!$D$5:$D$370),0)+IFERROR(SUMIF(Nutzungsprofile!$B$17:$B$22,"Individuell",Nutzungsprofile!$G$17:$G$22)*Kalender!E20/SUM(Kalender!$E$5:$E$370),0))*Szenarien!$D$18,0)</f>
        <v>3.952</v>
      </c>
      <c r="E2582" s="13" t="n">
        <f aca="false">IFERROR(MIN(C2582,Eingaben!$B$17)*Eingaben!$B$16,0)</f>
        <v>2.793</v>
      </c>
      <c r="F2582" s="13" t="n">
        <f aca="false">IFERROR(E2582*Eingaben!$B$15,0)</f>
        <v>2.5137</v>
      </c>
      <c r="G2582" s="13" t="n">
        <f aca="false">IFERROR(IF(Kalender!A20="",0,J2581*(1-Eingaben!$B$20)),0)</f>
        <v>0.7390278</v>
      </c>
      <c r="H2582" s="13" t="n">
        <f aca="false">MIN(G2582,D2582)</f>
        <v>0.7390278</v>
      </c>
      <c r="I2582" s="13" t="n">
        <f aca="false">IFERROR(MIN(F2582*Eingaben!$B$19,MAX(0,D2582-H2582)),0)</f>
        <v>1.75959</v>
      </c>
      <c r="J2582" s="13" t="n">
        <f aca="false">IFERROR(MIN(Eingaben!$B$18,MAX(0,F2582-I2582)),0)</f>
        <v>0.75411</v>
      </c>
      <c r="K2582" s="13" t="n">
        <f aca="false">H2582+I2582</f>
        <v>2.4986178</v>
      </c>
      <c r="L2582" s="13" t="n">
        <f aca="false">MAX(0,D2582-K2582)</f>
        <v>1.4533822</v>
      </c>
      <c r="M2582" s="13" t="n">
        <f aca="false">MAX(0,F2582-I2582-J2582)</f>
        <v>0</v>
      </c>
      <c r="N2582" s="13" t="n">
        <f aca="false">IF(Kalender!A20="",0,J2581-H2582)</f>
        <v>0.0150822</v>
      </c>
    </row>
    <row r="2583" customFormat="false" ht="16.4" hidden="false" customHeight="false" outlineLevel="0" collapsed="false">
      <c r="A2583" s="13" t="str">
        <f aca="false">""</f>
        <v/>
      </c>
      <c r="B2583" s="13" t="n">
        <f aca="false">17</f>
        <v>17</v>
      </c>
      <c r="C2583" s="13" t="n">
        <f aca="false">IF(Szenarien!$H$18="OK",(IFERROR(SUMIF(Nutzungsprofile!$B$6:$B$11,"Schulbetrieb",Nutzungsprofile!$G$6:$G$11)*Kalender!C21/SUM(Kalender!$C$5:$C$370),0)+IFERROR(SUMIF(Nutzungsprofile!$B$6:$B$11,"Halle",Nutzungsprofile!$G$6:$G$11)*Kalender!D21/SUM(Kalender!$D$5:$D$370),0)+IFERROR(SUMIF(Nutzungsprofile!$B$6:$B$11,"Individuell",Nutzungsprofile!$G$6:$G$11)*Kalender!E21/SUM(Kalender!$E$5:$E$370),0))*Szenarien!$E$18,0)</f>
        <v>2.04</v>
      </c>
      <c r="D2583" s="13" t="n">
        <f aca="false">IF(Szenarien!$H$18="OK",(IFERROR(SUMIF(Nutzungsprofile!$B$17:$B$22,"Schulbetrieb",Nutzungsprofile!$G$17:$G$22)*Kalender!C21/SUM(Kalender!$C$5:$C$370),0)+IFERROR(SUMIF(Nutzungsprofile!$B$17:$B$22,"Halle",Nutzungsprofile!$G$17:$G$22)*Kalender!D21/SUM(Kalender!$D$5:$D$370),0)+IFERROR(SUMIF(Nutzungsprofile!$B$17:$B$22,"Individuell",Nutzungsprofile!$G$17:$G$22)*Kalender!E21/SUM(Kalender!$E$5:$E$370),0))*Szenarien!$D$18,0)</f>
        <v>0.712</v>
      </c>
      <c r="E2583" s="13" t="n">
        <f aca="false">IFERROR(MIN(C2583,Eingaben!$B$17)*Eingaben!$B$16,0)</f>
        <v>1.938</v>
      </c>
      <c r="F2583" s="13" t="n">
        <f aca="false">IFERROR(E2583*Eingaben!$B$15,0)</f>
        <v>1.7442</v>
      </c>
      <c r="G2583" s="13" t="n">
        <f aca="false">IFERROR(IF(Kalender!A21="",0,J2582*(1-Eingaben!$B$20)),0)</f>
        <v>0.7390278</v>
      </c>
      <c r="H2583" s="13" t="n">
        <f aca="false">MIN(G2583,D2583)</f>
        <v>0.712</v>
      </c>
      <c r="I2583" s="13" t="n">
        <f aca="false">IFERROR(MIN(F2583*Eingaben!$B$19,MAX(0,D2583-H2583)),0)</f>
        <v>0</v>
      </c>
      <c r="J2583" s="13" t="n">
        <f aca="false">IFERROR(MIN(Eingaben!$B$18,MAX(0,F2583-I2583)),0)</f>
        <v>1.7442</v>
      </c>
      <c r="K2583" s="13" t="n">
        <f aca="false">H2583+I2583</f>
        <v>0.712</v>
      </c>
      <c r="L2583" s="13" t="n">
        <f aca="false">MAX(0,D2583-K2583)</f>
        <v>0</v>
      </c>
      <c r="M2583" s="13" t="n">
        <f aca="false">MAX(0,F2583-I2583-J2583)</f>
        <v>0</v>
      </c>
      <c r="N2583" s="13" t="n">
        <f aca="false">IF(Kalender!A21="",0,J2582-H2583)</f>
        <v>0.04211</v>
      </c>
    </row>
    <row r="2584" customFormat="false" ht="16.4" hidden="false" customHeight="false" outlineLevel="0" collapsed="false">
      <c r="A2584" s="13" t="str">
        <f aca="false">""</f>
        <v/>
      </c>
      <c r="B2584" s="13" t="n">
        <f aca="false">18</f>
        <v>18</v>
      </c>
      <c r="C2584" s="13" t="n">
        <f aca="false">IF(Szenarien!$H$18="OK",(IFERROR(SUMIF(Nutzungsprofile!$B$6:$B$11,"Schulbetrieb",Nutzungsprofile!$G$6:$G$11)*Kalender!C22/SUM(Kalender!$C$5:$C$370),0)+IFERROR(SUMIF(Nutzungsprofile!$B$6:$B$11,"Halle",Nutzungsprofile!$G$6:$G$11)*Kalender!D22/SUM(Kalender!$D$5:$D$370),0)+IFERROR(SUMIF(Nutzungsprofile!$B$6:$B$11,"Individuell",Nutzungsprofile!$G$6:$G$11)*Kalender!E22/SUM(Kalender!$E$5:$E$370),0))*Szenarien!$E$18,0)</f>
        <v>2.04</v>
      </c>
      <c r="D2584" s="13" t="n">
        <f aca="false">IF(Szenarien!$H$18="OK",(IFERROR(SUMIF(Nutzungsprofile!$B$17:$B$22,"Schulbetrieb",Nutzungsprofile!$G$17:$G$22)*Kalender!C22/SUM(Kalender!$C$5:$C$370),0)+IFERROR(SUMIF(Nutzungsprofile!$B$17:$B$22,"Halle",Nutzungsprofile!$G$17:$G$22)*Kalender!D22/SUM(Kalender!$D$5:$D$370),0)+IFERROR(SUMIF(Nutzungsprofile!$B$17:$B$22,"Individuell",Nutzungsprofile!$G$17:$G$22)*Kalender!E22/SUM(Kalender!$E$5:$E$370),0))*Szenarien!$D$18,0)</f>
        <v>0.712</v>
      </c>
      <c r="E2584" s="13" t="n">
        <f aca="false">IFERROR(MIN(C2584,Eingaben!$B$17)*Eingaben!$B$16,0)</f>
        <v>1.938</v>
      </c>
      <c r="F2584" s="13" t="n">
        <f aca="false">IFERROR(E2584*Eingaben!$B$15,0)</f>
        <v>1.7442</v>
      </c>
      <c r="G2584" s="13" t="n">
        <f aca="false">IFERROR(IF(Kalender!A22="",0,J2583*(1-Eingaben!$B$20)),0)</f>
        <v>1.709316</v>
      </c>
      <c r="H2584" s="13" t="n">
        <f aca="false">MIN(G2584,D2584)</f>
        <v>0.712</v>
      </c>
      <c r="I2584" s="13" t="n">
        <f aca="false">IFERROR(MIN(F2584*Eingaben!$B$19,MAX(0,D2584-H2584)),0)</f>
        <v>0</v>
      </c>
      <c r="J2584" s="13" t="n">
        <f aca="false">IFERROR(MIN(Eingaben!$B$18,MAX(0,F2584-I2584)),0)</f>
        <v>1.7442</v>
      </c>
      <c r="K2584" s="13" t="n">
        <f aca="false">H2584+I2584</f>
        <v>0.712</v>
      </c>
      <c r="L2584" s="13" t="n">
        <f aca="false">MAX(0,D2584-K2584)</f>
        <v>0</v>
      </c>
      <c r="M2584" s="13" t="n">
        <f aca="false">MAX(0,F2584-I2584-J2584)</f>
        <v>0</v>
      </c>
      <c r="N2584" s="13" t="n">
        <f aca="false">IF(Kalender!A22="",0,J2583-H2584)</f>
        <v>1.0322</v>
      </c>
    </row>
    <row r="2585" customFormat="false" ht="16.4" hidden="false" customHeight="false" outlineLevel="0" collapsed="false">
      <c r="A2585" s="13" t="str">
        <f aca="false">""</f>
        <v/>
      </c>
      <c r="B2585" s="13" t="n">
        <f aca="false">19</f>
        <v>19</v>
      </c>
      <c r="C2585" s="13" t="n">
        <f aca="false">IF(Szenarien!$H$18="OK",(IFERROR(SUMIF(Nutzungsprofile!$B$6:$B$11,"Schulbetrieb",Nutzungsprofile!$G$6:$G$11)*Kalender!C23/SUM(Kalender!$C$5:$C$370),0)+IFERROR(SUMIF(Nutzungsprofile!$B$6:$B$11,"Halle",Nutzungsprofile!$G$6:$G$11)*Kalender!D23/SUM(Kalender!$D$5:$D$370),0)+IFERROR(SUMIF(Nutzungsprofile!$B$6:$B$11,"Individuell",Nutzungsprofile!$G$6:$G$11)*Kalender!E23/SUM(Kalender!$E$5:$E$370),0))*Szenarien!$E$18,0)</f>
        <v>2.94</v>
      </c>
      <c r="D2585" s="13" t="n">
        <f aca="false">IF(Szenarien!$H$18="OK",(IFERROR(SUMIF(Nutzungsprofile!$B$17:$B$22,"Schulbetrieb",Nutzungsprofile!$G$17:$G$22)*Kalender!C23/SUM(Kalender!$C$5:$C$370),0)+IFERROR(SUMIF(Nutzungsprofile!$B$17:$B$22,"Halle",Nutzungsprofile!$G$17:$G$22)*Kalender!D23/SUM(Kalender!$D$5:$D$370),0)+IFERROR(SUMIF(Nutzungsprofile!$B$17:$B$22,"Individuell",Nutzungsprofile!$G$17:$G$22)*Kalender!E23/SUM(Kalender!$E$5:$E$370),0))*Szenarien!$D$18,0)</f>
        <v>3.952</v>
      </c>
      <c r="E2585" s="13" t="n">
        <f aca="false">IFERROR(MIN(C2585,Eingaben!$B$17)*Eingaben!$B$16,0)</f>
        <v>2.793</v>
      </c>
      <c r="F2585" s="13" t="n">
        <f aca="false">IFERROR(E2585*Eingaben!$B$15,0)</f>
        <v>2.5137</v>
      </c>
      <c r="G2585" s="13" t="n">
        <f aca="false">IFERROR(IF(Kalender!A23="",0,J2584*(1-Eingaben!$B$20)),0)</f>
        <v>1.709316</v>
      </c>
      <c r="H2585" s="13" t="n">
        <f aca="false">MIN(G2585,D2585)</f>
        <v>1.709316</v>
      </c>
      <c r="I2585" s="13" t="n">
        <f aca="false">IFERROR(MIN(F2585*Eingaben!$B$19,MAX(0,D2585-H2585)),0)</f>
        <v>1.75959</v>
      </c>
      <c r="J2585" s="13" t="n">
        <f aca="false">IFERROR(MIN(Eingaben!$B$18,MAX(0,F2585-I2585)),0)</f>
        <v>0.75411</v>
      </c>
      <c r="K2585" s="13" t="n">
        <f aca="false">H2585+I2585</f>
        <v>3.468906</v>
      </c>
      <c r="L2585" s="13" t="n">
        <f aca="false">MAX(0,D2585-K2585)</f>
        <v>0.483094</v>
      </c>
      <c r="M2585" s="13" t="n">
        <f aca="false">MAX(0,F2585-I2585-J2585)</f>
        <v>0</v>
      </c>
      <c r="N2585" s="13" t="n">
        <f aca="false">IF(Kalender!A23="",0,J2584-H2585)</f>
        <v>0.0348840000000001</v>
      </c>
    </row>
    <row r="2586" customFormat="false" ht="16.4" hidden="false" customHeight="false" outlineLevel="0" collapsed="false">
      <c r="A2586" s="13" t="str">
        <f aca="false">""</f>
        <v/>
      </c>
      <c r="B2586" s="13" t="n">
        <f aca="false">20</f>
        <v>20</v>
      </c>
      <c r="C2586" s="13" t="n">
        <f aca="false">IF(Szenarien!$H$18="OK",(IFERROR(SUMIF(Nutzungsprofile!$B$6:$B$11,"Schulbetrieb",Nutzungsprofile!$G$6:$G$11)*Kalender!C24/SUM(Kalender!$C$5:$C$370),0)+IFERROR(SUMIF(Nutzungsprofile!$B$6:$B$11,"Halle",Nutzungsprofile!$G$6:$G$11)*Kalender!D24/SUM(Kalender!$D$5:$D$370),0)+IFERROR(SUMIF(Nutzungsprofile!$B$6:$B$11,"Individuell",Nutzungsprofile!$G$6:$G$11)*Kalender!E24/SUM(Kalender!$E$5:$E$370),0))*Szenarien!$E$18,0)</f>
        <v>2.94</v>
      </c>
      <c r="D2586" s="13" t="n">
        <f aca="false">IF(Szenarien!$H$18="OK",(IFERROR(SUMIF(Nutzungsprofile!$B$17:$B$22,"Schulbetrieb",Nutzungsprofile!$G$17:$G$22)*Kalender!C24/SUM(Kalender!$C$5:$C$370),0)+IFERROR(SUMIF(Nutzungsprofile!$B$17:$B$22,"Halle",Nutzungsprofile!$G$17:$G$22)*Kalender!D24/SUM(Kalender!$D$5:$D$370),0)+IFERROR(SUMIF(Nutzungsprofile!$B$17:$B$22,"Individuell",Nutzungsprofile!$G$17:$G$22)*Kalender!E24/SUM(Kalender!$E$5:$E$370),0))*Szenarien!$D$18,0)</f>
        <v>3.952</v>
      </c>
      <c r="E2586" s="13" t="n">
        <f aca="false">IFERROR(MIN(C2586,Eingaben!$B$17)*Eingaben!$B$16,0)</f>
        <v>2.793</v>
      </c>
      <c r="F2586" s="13" t="n">
        <f aca="false">IFERROR(E2586*Eingaben!$B$15,0)</f>
        <v>2.5137</v>
      </c>
      <c r="G2586" s="13" t="n">
        <f aca="false">IFERROR(IF(Kalender!A24="",0,J2585*(1-Eingaben!$B$20)),0)</f>
        <v>0.7390278</v>
      </c>
      <c r="H2586" s="13" t="n">
        <f aca="false">MIN(G2586,D2586)</f>
        <v>0.7390278</v>
      </c>
      <c r="I2586" s="13" t="n">
        <f aca="false">IFERROR(MIN(F2586*Eingaben!$B$19,MAX(0,D2586-H2586)),0)</f>
        <v>1.75959</v>
      </c>
      <c r="J2586" s="13" t="n">
        <f aca="false">IFERROR(MIN(Eingaben!$B$18,MAX(0,F2586-I2586)),0)</f>
        <v>0.75411</v>
      </c>
      <c r="K2586" s="13" t="n">
        <f aca="false">H2586+I2586</f>
        <v>2.4986178</v>
      </c>
      <c r="L2586" s="13" t="n">
        <f aca="false">MAX(0,D2586-K2586)</f>
        <v>1.4533822</v>
      </c>
      <c r="M2586" s="13" t="n">
        <f aca="false">MAX(0,F2586-I2586-J2586)</f>
        <v>0</v>
      </c>
      <c r="N2586" s="13" t="n">
        <f aca="false">IF(Kalender!A24="",0,J2585-H2586)</f>
        <v>0.0150822</v>
      </c>
    </row>
    <row r="2587" customFormat="false" ht="16.4" hidden="false" customHeight="false" outlineLevel="0" collapsed="false">
      <c r="A2587" s="13" t="str">
        <f aca="false">""</f>
        <v/>
      </c>
      <c r="B2587" s="13" t="n">
        <f aca="false">21</f>
        <v>21</v>
      </c>
      <c r="C2587" s="13" t="n">
        <f aca="false">IF(Szenarien!$H$18="OK",(IFERROR(SUMIF(Nutzungsprofile!$B$6:$B$11,"Schulbetrieb",Nutzungsprofile!$G$6:$G$11)*Kalender!C25/SUM(Kalender!$C$5:$C$370),0)+IFERROR(SUMIF(Nutzungsprofile!$B$6:$B$11,"Halle",Nutzungsprofile!$G$6:$G$11)*Kalender!D25/SUM(Kalender!$D$5:$D$370),0)+IFERROR(SUMIF(Nutzungsprofile!$B$6:$B$11,"Individuell",Nutzungsprofile!$G$6:$G$11)*Kalender!E25/SUM(Kalender!$E$5:$E$370),0))*Szenarien!$E$18,0)</f>
        <v>2.94</v>
      </c>
      <c r="D2587" s="13" t="n">
        <f aca="false">IF(Szenarien!$H$18="OK",(IFERROR(SUMIF(Nutzungsprofile!$B$17:$B$22,"Schulbetrieb",Nutzungsprofile!$G$17:$G$22)*Kalender!C25/SUM(Kalender!$C$5:$C$370),0)+IFERROR(SUMIF(Nutzungsprofile!$B$17:$B$22,"Halle",Nutzungsprofile!$G$17:$G$22)*Kalender!D25/SUM(Kalender!$D$5:$D$370),0)+IFERROR(SUMIF(Nutzungsprofile!$B$17:$B$22,"Individuell",Nutzungsprofile!$G$17:$G$22)*Kalender!E25/SUM(Kalender!$E$5:$E$370),0))*Szenarien!$D$18,0)</f>
        <v>3.952</v>
      </c>
      <c r="E2587" s="13" t="n">
        <f aca="false">IFERROR(MIN(C2587,Eingaben!$B$17)*Eingaben!$B$16,0)</f>
        <v>2.793</v>
      </c>
      <c r="F2587" s="13" t="n">
        <f aca="false">IFERROR(E2587*Eingaben!$B$15,0)</f>
        <v>2.5137</v>
      </c>
      <c r="G2587" s="13" t="n">
        <f aca="false">IFERROR(IF(Kalender!A25="",0,J2586*(1-Eingaben!$B$20)),0)</f>
        <v>0.7390278</v>
      </c>
      <c r="H2587" s="13" t="n">
        <f aca="false">MIN(G2587,D2587)</f>
        <v>0.7390278</v>
      </c>
      <c r="I2587" s="13" t="n">
        <f aca="false">IFERROR(MIN(F2587*Eingaben!$B$19,MAX(0,D2587-H2587)),0)</f>
        <v>1.75959</v>
      </c>
      <c r="J2587" s="13" t="n">
        <f aca="false">IFERROR(MIN(Eingaben!$B$18,MAX(0,F2587-I2587)),0)</f>
        <v>0.75411</v>
      </c>
      <c r="K2587" s="13" t="n">
        <f aca="false">H2587+I2587</f>
        <v>2.4986178</v>
      </c>
      <c r="L2587" s="13" t="n">
        <f aca="false">MAX(0,D2587-K2587)</f>
        <v>1.4533822</v>
      </c>
      <c r="M2587" s="13" t="n">
        <f aca="false">MAX(0,F2587-I2587-J2587)</f>
        <v>0</v>
      </c>
      <c r="N2587" s="13" t="n">
        <f aca="false">IF(Kalender!A25="",0,J2586-H2587)</f>
        <v>0.0150822</v>
      </c>
    </row>
    <row r="2588" customFormat="false" ht="16.4" hidden="false" customHeight="false" outlineLevel="0" collapsed="false">
      <c r="A2588" s="13" t="str">
        <f aca="false">""</f>
        <v/>
      </c>
      <c r="B2588" s="13" t="n">
        <f aca="false">22</f>
        <v>22</v>
      </c>
      <c r="C2588" s="13" t="n">
        <f aca="false">IF(Szenarien!$H$18="OK",(IFERROR(SUMIF(Nutzungsprofile!$B$6:$B$11,"Schulbetrieb",Nutzungsprofile!$G$6:$G$11)*Kalender!C26/SUM(Kalender!$C$5:$C$370),0)+IFERROR(SUMIF(Nutzungsprofile!$B$6:$B$11,"Halle",Nutzungsprofile!$G$6:$G$11)*Kalender!D26/SUM(Kalender!$D$5:$D$370),0)+IFERROR(SUMIF(Nutzungsprofile!$B$6:$B$11,"Individuell",Nutzungsprofile!$G$6:$G$11)*Kalender!E26/SUM(Kalender!$E$5:$E$370),0))*Szenarien!$E$18,0)</f>
        <v>2.94</v>
      </c>
      <c r="D2588" s="13" t="n">
        <f aca="false">IF(Szenarien!$H$18="OK",(IFERROR(SUMIF(Nutzungsprofile!$B$17:$B$22,"Schulbetrieb",Nutzungsprofile!$G$17:$G$22)*Kalender!C26/SUM(Kalender!$C$5:$C$370),0)+IFERROR(SUMIF(Nutzungsprofile!$B$17:$B$22,"Halle",Nutzungsprofile!$G$17:$G$22)*Kalender!D26/SUM(Kalender!$D$5:$D$370),0)+IFERROR(SUMIF(Nutzungsprofile!$B$17:$B$22,"Individuell",Nutzungsprofile!$G$17:$G$22)*Kalender!E26/SUM(Kalender!$E$5:$E$370),0))*Szenarien!$D$18,0)</f>
        <v>3.952</v>
      </c>
      <c r="E2588" s="13" t="n">
        <f aca="false">IFERROR(MIN(C2588,Eingaben!$B$17)*Eingaben!$B$16,0)</f>
        <v>2.793</v>
      </c>
      <c r="F2588" s="13" t="n">
        <f aca="false">IFERROR(E2588*Eingaben!$B$15,0)</f>
        <v>2.5137</v>
      </c>
      <c r="G2588" s="13" t="n">
        <f aca="false">IFERROR(IF(Kalender!A26="",0,J2587*(1-Eingaben!$B$20)),0)</f>
        <v>0.7390278</v>
      </c>
      <c r="H2588" s="13" t="n">
        <f aca="false">MIN(G2588,D2588)</f>
        <v>0.7390278</v>
      </c>
      <c r="I2588" s="13" t="n">
        <f aca="false">IFERROR(MIN(F2588*Eingaben!$B$19,MAX(0,D2588-H2588)),0)</f>
        <v>1.75959</v>
      </c>
      <c r="J2588" s="13" t="n">
        <f aca="false">IFERROR(MIN(Eingaben!$B$18,MAX(0,F2588-I2588)),0)</f>
        <v>0.75411</v>
      </c>
      <c r="K2588" s="13" t="n">
        <f aca="false">H2588+I2588</f>
        <v>2.4986178</v>
      </c>
      <c r="L2588" s="13" t="n">
        <f aca="false">MAX(0,D2588-K2588)</f>
        <v>1.4533822</v>
      </c>
      <c r="M2588" s="13" t="n">
        <f aca="false">MAX(0,F2588-I2588-J2588)</f>
        <v>0</v>
      </c>
      <c r="N2588" s="13" t="n">
        <f aca="false">IF(Kalender!A26="",0,J2587-H2588)</f>
        <v>0.0150822</v>
      </c>
    </row>
    <row r="2589" customFormat="false" ht="16.4" hidden="false" customHeight="false" outlineLevel="0" collapsed="false">
      <c r="A2589" s="13" t="str">
        <f aca="false">""</f>
        <v/>
      </c>
      <c r="B2589" s="13" t="n">
        <f aca="false">23</f>
        <v>23</v>
      </c>
      <c r="C2589" s="13" t="n">
        <f aca="false">IF(Szenarien!$H$18="OK",(IFERROR(SUMIF(Nutzungsprofile!$B$6:$B$11,"Schulbetrieb",Nutzungsprofile!$G$6:$G$11)*Kalender!C27/SUM(Kalender!$C$5:$C$370),0)+IFERROR(SUMIF(Nutzungsprofile!$B$6:$B$11,"Halle",Nutzungsprofile!$G$6:$G$11)*Kalender!D27/SUM(Kalender!$D$5:$D$370),0)+IFERROR(SUMIF(Nutzungsprofile!$B$6:$B$11,"Individuell",Nutzungsprofile!$G$6:$G$11)*Kalender!E27/SUM(Kalender!$E$5:$E$370),0))*Szenarien!$E$18,0)</f>
        <v>2.94</v>
      </c>
      <c r="D2589" s="13" t="n">
        <f aca="false">IF(Szenarien!$H$18="OK",(IFERROR(SUMIF(Nutzungsprofile!$B$17:$B$22,"Schulbetrieb",Nutzungsprofile!$G$17:$G$22)*Kalender!C27/SUM(Kalender!$C$5:$C$370),0)+IFERROR(SUMIF(Nutzungsprofile!$B$17:$B$22,"Halle",Nutzungsprofile!$G$17:$G$22)*Kalender!D27/SUM(Kalender!$D$5:$D$370),0)+IFERROR(SUMIF(Nutzungsprofile!$B$17:$B$22,"Individuell",Nutzungsprofile!$G$17:$G$22)*Kalender!E27/SUM(Kalender!$E$5:$E$370),0))*Szenarien!$D$18,0)</f>
        <v>3.952</v>
      </c>
      <c r="E2589" s="13" t="n">
        <f aca="false">IFERROR(MIN(C2589,Eingaben!$B$17)*Eingaben!$B$16,0)</f>
        <v>2.793</v>
      </c>
      <c r="F2589" s="13" t="n">
        <f aca="false">IFERROR(E2589*Eingaben!$B$15,0)</f>
        <v>2.5137</v>
      </c>
      <c r="G2589" s="13" t="n">
        <f aca="false">IFERROR(IF(Kalender!A27="",0,J2588*(1-Eingaben!$B$20)),0)</f>
        <v>0.7390278</v>
      </c>
      <c r="H2589" s="13" t="n">
        <f aca="false">MIN(G2589,D2589)</f>
        <v>0.7390278</v>
      </c>
      <c r="I2589" s="13" t="n">
        <f aca="false">IFERROR(MIN(F2589*Eingaben!$B$19,MAX(0,D2589-H2589)),0)</f>
        <v>1.75959</v>
      </c>
      <c r="J2589" s="13" t="n">
        <f aca="false">IFERROR(MIN(Eingaben!$B$18,MAX(0,F2589-I2589)),0)</f>
        <v>0.75411</v>
      </c>
      <c r="K2589" s="13" t="n">
        <f aca="false">H2589+I2589</f>
        <v>2.4986178</v>
      </c>
      <c r="L2589" s="13" t="n">
        <f aca="false">MAX(0,D2589-K2589)</f>
        <v>1.4533822</v>
      </c>
      <c r="M2589" s="13" t="n">
        <f aca="false">MAX(0,F2589-I2589-J2589)</f>
        <v>0</v>
      </c>
      <c r="N2589" s="13" t="n">
        <f aca="false">IF(Kalender!A27="",0,J2588-H2589)</f>
        <v>0.0150822</v>
      </c>
    </row>
    <row r="2590" customFormat="false" ht="16.4" hidden="false" customHeight="false" outlineLevel="0" collapsed="false">
      <c r="A2590" s="13" t="str">
        <f aca="false">""</f>
        <v/>
      </c>
      <c r="B2590" s="13" t="n">
        <f aca="false">24</f>
        <v>24</v>
      </c>
      <c r="C2590" s="13" t="n">
        <f aca="false">IF(Szenarien!$H$18="OK",(IFERROR(SUMIF(Nutzungsprofile!$B$6:$B$11,"Schulbetrieb",Nutzungsprofile!$G$6:$G$11)*Kalender!C28/SUM(Kalender!$C$5:$C$370),0)+IFERROR(SUMIF(Nutzungsprofile!$B$6:$B$11,"Halle",Nutzungsprofile!$G$6:$G$11)*Kalender!D28/SUM(Kalender!$D$5:$D$370),0)+IFERROR(SUMIF(Nutzungsprofile!$B$6:$B$11,"Individuell",Nutzungsprofile!$G$6:$G$11)*Kalender!E28/SUM(Kalender!$E$5:$E$370),0))*Szenarien!$E$18,0)</f>
        <v>2.04</v>
      </c>
      <c r="D2590" s="13" t="n">
        <f aca="false">IF(Szenarien!$H$18="OK",(IFERROR(SUMIF(Nutzungsprofile!$B$17:$B$22,"Schulbetrieb",Nutzungsprofile!$G$17:$G$22)*Kalender!C28/SUM(Kalender!$C$5:$C$370),0)+IFERROR(SUMIF(Nutzungsprofile!$B$17:$B$22,"Halle",Nutzungsprofile!$G$17:$G$22)*Kalender!D28/SUM(Kalender!$D$5:$D$370),0)+IFERROR(SUMIF(Nutzungsprofile!$B$17:$B$22,"Individuell",Nutzungsprofile!$G$17:$G$22)*Kalender!E28/SUM(Kalender!$E$5:$E$370),0))*Szenarien!$D$18,0)</f>
        <v>0.712</v>
      </c>
      <c r="E2590" s="13" t="n">
        <f aca="false">IFERROR(MIN(C2590,Eingaben!$B$17)*Eingaben!$B$16,0)</f>
        <v>1.938</v>
      </c>
      <c r="F2590" s="13" t="n">
        <f aca="false">IFERROR(E2590*Eingaben!$B$15,0)</f>
        <v>1.7442</v>
      </c>
      <c r="G2590" s="13" t="n">
        <f aca="false">IFERROR(IF(Kalender!A28="",0,J2589*(1-Eingaben!$B$20)),0)</f>
        <v>0.7390278</v>
      </c>
      <c r="H2590" s="13" t="n">
        <f aca="false">MIN(G2590,D2590)</f>
        <v>0.712</v>
      </c>
      <c r="I2590" s="13" t="n">
        <f aca="false">IFERROR(MIN(F2590*Eingaben!$B$19,MAX(0,D2590-H2590)),0)</f>
        <v>0</v>
      </c>
      <c r="J2590" s="13" t="n">
        <f aca="false">IFERROR(MIN(Eingaben!$B$18,MAX(0,F2590-I2590)),0)</f>
        <v>1.7442</v>
      </c>
      <c r="K2590" s="13" t="n">
        <f aca="false">H2590+I2590</f>
        <v>0.712</v>
      </c>
      <c r="L2590" s="13" t="n">
        <f aca="false">MAX(0,D2590-K2590)</f>
        <v>0</v>
      </c>
      <c r="M2590" s="13" t="n">
        <f aca="false">MAX(0,F2590-I2590-J2590)</f>
        <v>0</v>
      </c>
      <c r="N2590" s="13" t="n">
        <f aca="false">IF(Kalender!A28="",0,J2589-H2590)</f>
        <v>0.04211</v>
      </c>
    </row>
    <row r="2591" customFormat="false" ht="16.4" hidden="false" customHeight="false" outlineLevel="0" collapsed="false">
      <c r="A2591" s="13" t="str">
        <f aca="false">""</f>
        <v/>
      </c>
      <c r="B2591" s="13" t="n">
        <f aca="false">25</f>
        <v>25</v>
      </c>
      <c r="C2591" s="13" t="n">
        <f aca="false">IF(Szenarien!$H$18="OK",(IFERROR(SUMIF(Nutzungsprofile!$B$6:$B$11,"Schulbetrieb",Nutzungsprofile!$G$6:$G$11)*Kalender!C29/SUM(Kalender!$C$5:$C$370),0)+IFERROR(SUMIF(Nutzungsprofile!$B$6:$B$11,"Halle",Nutzungsprofile!$G$6:$G$11)*Kalender!D29/SUM(Kalender!$D$5:$D$370),0)+IFERROR(SUMIF(Nutzungsprofile!$B$6:$B$11,"Individuell",Nutzungsprofile!$G$6:$G$11)*Kalender!E29/SUM(Kalender!$E$5:$E$370),0))*Szenarien!$E$18,0)</f>
        <v>2.04</v>
      </c>
      <c r="D2591" s="13" t="n">
        <f aca="false">IF(Szenarien!$H$18="OK",(IFERROR(SUMIF(Nutzungsprofile!$B$17:$B$22,"Schulbetrieb",Nutzungsprofile!$G$17:$G$22)*Kalender!C29/SUM(Kalender!$C$5:$C$370),0)+IFERROR(SUMIF(Nutzungsprofile!$B$17:$B$22,"Halle",Nutzungsprofile!$G$17:$G$22)*Kalender!D29/SUM(Kalender!$D$5:$D$370),0)+IFERROR(SUMIF(Nutzungsprofile!$B$17:$B$22,"Individuell",Nutzungsprofile!$G$17:$G$22)*Kalender!E29/SUM(Kalender!$E$5:$E$370),0))*Szenarien!$D$18,0)</f>
        <v>0.712</v>
      </c>
      <c r="E2591" s="13" t="n">
        <f aca="false">IFERROR(MIN(C2591,Eingaben!$B$17)*Eingaben!$B$16,0)</f>
        <v>1.938</v>
      </c>
      <c r="F2591" s="13" t="n">
        <f aca="false">IFERROR(E2591*Eingaben!$B$15,0)</f>
        <v>1.7442</v>
      </c>
      <c r="G2591" s="13" t="n">
        <f aca="false">IFERROR(IF(Kalender!A29="",0,J2590*(1-Eingaben!$B$20)),0)</f>
        <v>1.709316</v>
      </c>
      <c r="H2591" s="13" t="n">
        <f aca="false">MIN(G2591,D2591)</f>
        <v>0.712</v>
      </c>
      <c r="I2591" s="13" t="n">
        <f aca="false">IFERROR(MIN(F2591*Eingaben!$B$19,MAX(0,D2591-H2591)),0)</f>
        <v>0</v>
      </c>
      <c r="J2591" s="13" t="n">
        <f aca="false">IFERROR(MIN(Eingaben!$B$18,MAX(0,F2591-I2591)),0)</f>
        <v>1.7442</v>
      </c>
      <c r="K2591" s="13" t="n">
        <f aca="false">H2591+I2591</f>
        <v>0.712</v>
      </c>
      <c r="L2591" s="13" t="n">
        <f aca="false">MAX(0,D2591-K2591)</f>
        <v>0</v>
      </c>
      <c r="M2591" s="13" t="n">
        <f aca="false">MAX(0,F2591-I2591-J2591)</f>
        <v>0</v>
      </c>
      <c r="N2591" s="13" t="n">
        <f aca="false">IF(Kalender!A29="",0,J2590-H2591)</f>
        <v>1.0322</v>
      </c>
    </row>
    <row r="2592" customFormat="false" ht="16.4" hidden="false" customHeight="false" outlineLevel="0" collapsed="false">
      <c r="A2592" s="13" t="str">
        <f aca="false">""</f>
        <v/>
      </c>
      <c r="B2592" s="13" t="n">
        <f aca="false">26</f>
        <v>26</v>
      </c>
      <c r="C2592" s="13" t="n">
        <f aca="false">IF(Szenarien!$H$18="OK",(IFERROR(SUMIF(Nutzungsprofile!$B$6:$B$11,"Schulbetrieb",Nutzungsprofile!$G$6:$G$11)*Kalender!C30/SUM(Kalender!$C$5:$C$370),0)+IFERROR(SUMIF(Nutzungsprofile!$B$6:$B$11,"Halle",Nutzungsprofile!$G$6:$G$11)*Kalender!D30/SUM(Kalender!$D$5:$D$370),0)+IFERROR(SUMIF(Nutzungsprofile!$B$6:$B$11,"Individuell",Nutzungsprofile!$G$6:$G$11)*Kalender!E30/SUM(Kalender!$E$5:$E$370),0))*Szenarien!$E$18,0)</f>
        <v>2.94</v>
      </c>
      <c r="D2592" s="13" t="n">
        <f aca="false">IF(Szenarien!$H$18="OK",(IFERROR(SUMIF(Nutzungsprofile!$B$17:$B$22,"Schulbetrieb",Nutzungsprofile!$G$17:$G$22)*Kalender!C30/SUM(Kalender!$C$5:$C$370),0)+IFERROR(SUMIF(Nutzungsprofile!$B$17:$B$22,"Halle",Nutzungsprofile!$G$17:$G$22)*Kalender!D30/SUM(Kalender!$D$5:$D$370),0)+IFERROR(SUMIF(Nutzungsprofile!$B$17:$B$22,"Individuell",Nutzungsprofile!$G$17:$G$22)*Kalender!E30/SUM(Kalender!$E$5:$E$370),0))*Szenarien!$D$18,0)</f>
        <v>3.952</v>
      </c>
      <c r="E2592" s="13" t="n">
        <f aca="false">IFERROR(MIN(C2592,Eingaben!$B$17)*Eingaben!$B$16,0)</f>
        <v>2.793</v>
      </c>
      <c r="F2592" s="13" t="n">
        <f aca="false">IFERROR(E2592*Eingaben!$B$15,0)</f>
        <v>2.5137</v>
      </c>
      <c r="G2592" s="13" t="n">
        <f aca="false">IFERROR(IF(Kalender!A30="",0,J2591*(1-Eingaben!$B$20)),0)</f>
        <v>1.709316</v>
      </c>
      <c r="H2592" s="13" t="n">
        <f aca="false">MIN(G2592,D2592)</f>
        <v>1.709316</v>
      </c>
      <c r="I2592" s="13" t="n">
        <f aca="false">IFERROR(MIN(F2592*Eingaben!$B$19,MAX(0,D2592-H2592)),0)</f>
        <v>1.75959</v>
      </c>
      <c r="J2592" s="13" t="n">
        <f aca="false">IFERROR(MIN(Eingaben!$B$18,MAX(0,F2592-I2592)),0)</f>
        <v>0.75411</v>
      </c>
      <c r="K2592" s="13" t="n">
        <f aca="false">H2592+I2592</f>
        <v>3.468906</v>
      </c>
      <c r="L2592" s="13" t="n">
        <f aca="false">MAX(0,D2592-K2592)</f>
        <v>0.483094</v>
      </c>
      <c r="M2592" s="13" t="n">
        <f aca="false">MAX(0,F2592-I2592-J2592)</f>
        <v>0</v>
      </c>
      <c r="N2592" s="13" t="n">
        <f aca="false">IF(Kalender!A30="",0,J2591-H2592)</f>
        <v>0.0348840000000001</v>
      </c>
    </row>
    <row r="2593" customFormat="false" ht="16.4" hidden="false" customHeight="false" outlineLevel="0" collapsed="false">
      <c r="A2593" s="13" t="str">
        <f aca="false">""</f>
        <v/>
      </c>
      <c r="B2593" s="13" t="n">
        <f aca="false">27</f>
        <v>27</v>
      </c>
      <c r="C2593" s="13" t="n">
        <f aca="false">IF(Szenarien!$H$18="OK",(IFERROR(SUMIF(Nutzungsprofile!$B$6:$B$11,"Schulbetrieb",Nutzungsprofile!$G$6:$G$11)*Kalender!C31/SUM(Kalender!$C$5:$C$370),0)+IFERROR(SUMIF(Nutzungsprofile!$B$6:$B$11,"Halle",Nutzungsprofile!$G$6:$G$11)*Kalender!D31/SUM(Kalender!$D$5:$D$370),0)+IFERROR(SUMIF(Nutzungsprofile!$B$6:$B$11,"Individuell",Nutzungsprofile!$G$6:$G$11)*Kalender!E31/SUM(Kalender!$E$5:$E$370),0))*Szenarien!$E$18,0)</f>
        <v>2.94</v>
      </c>
      <c r="D2593" s="13" t="n">
        <f aca="false">IF(Szenarien!$H$18="OK",(IFERROR(SUMIF(Nutzungsprofile!$B$17:$B$22,"Schulbetrieb",Nutzungsprofile!$G$17:$G$22)*Kalender!C31/SUM(Kalender!$C$5:$C$370),0)+IFERROR(SUMIF(Nutzungsprofile!$B$17:$B$22,"Halle",Nutzungsprofile!$G$17:$G$22)*Kalender!D31/SUM(Kalender!$D$5:$D$370),0)+IFERROR(SUMIF(Nutzungsprofile!$B$17:$B$22,"Individuell",Nutzungsprofile!$G$17:$G$22)*Kalender!E31/SUM(Kalender!$E$5:$E$370),0))*Szenarien!$D$18,0)</f>
        <v>3.952</v>
      </c>
      <c r="E2593" s="13" t="n">
        <f aca="false">IFERROR(MIN(C2593,Eingaben!$B$17)*Eingaben!$B$16,0)</f>
        <v>2.793</v>
      </c>
      <c r="F2593" s="13" t="n">
        <f aca="false">IFERROR(E2593*Eingaben!$B$15,0)</f>
        <v>2.5137</v>
      </c>
      <c r="G2593" s="13" t="n">
        <f aca="false">IFERROR(IF(Kalender!A31="",0,J2592*(1-Eingaben!$B$20)),0)</f>
        <v>0.7390278</v>
      </c>
      <c r="H2593" s="13" t="n">
        <f aca="false">MIN(G2593,D2593)</f>
        <v>0.7390278</v>
      </c>
      <c r="I2593" s="13" t="n">
        <f aca="false">IFERROR(MIN(F2593*Eingaben!$B$19,MAX(0,D2593-H2593)),0)</f>
        <v>1.75959</v>
      </c>
      <c r="J2593" s="13" t="n">
        <f aca="false">IFERROR(MIN(Eingaben!$B$18,MAX(0,F2593-I2593)),0)</f>
        <v>0.75411</v>
      </c>
      <c r="K2593" s="13" t="n">
        <f aca="false">H2593+I2593</f>
        <v>2.4986178</v>
      </c>
      <c r="L2593" s="13" t="n">
        <f aca="false">MAX(0,D2593-K2593)</f>
        <v>1.4533822</v>
      </c>
      <c r="M2593" s="13" t="n">
        <f aca="false">MAX(0,F2593-I2593-J2593)</f>
        <v>0</v>
      </c>
      <c r="N2593" s="13" t="n">
        <f aca="false">IF(Kalender!A31="",0,J2592-H2593)</f>
        <v>0.0150822</v>
      </c>
    </row>
    <row r="2594" customFormat="false" ht="16.4" hidden="false" customHeight="false" outlineLevel="0" collapsed="false">
      <c r="A2594" s="13" t="str">
        <f aca="false">""</f>
        <v/>
      </c>
      <c r="B2594" s="13" t="n">
        <f aca="false">28</f>
        <v>28</v>
      </c>
      <c r="C2594" s="13" t="n">
        <f aca="false">IF(Szenarien!$H$18="OK",(IFERROR(SUMIF(Nutzungsprofile!$B$6:$B$11,"Schulbetrieb",Nutzungsprofile!$G$6:$G$11)*Kalender!C32/SUM(Kalender!$C$5:$C$370),0)+IFERROR(SUMIF(Nutzungsprofile!$B$6:$B$11,"Halle",Nutzungsprofile!$G$6:$G$11)*Kalender!D32/SUM(Kalender!$D$5:$D$370),0)+IFERROR(SUMIF(Nutzungsprofile!$B$6:$B$11,"Individuell",Nutzungsprofile!$G$6:$G$11)*Kalender!E32/SUM(Kalender!$E$5:$E$370),0))*Szenarien!$E$18,0)</f>
        <v>2.94</v>
      </c>
      <c r="D2594" s="13" t="n">
        <f aca="false">IF(Szenarien!$H$18="OK",(IFERROR(SUMIF(Nutzungsprofile!$B$17:$B$22,"Schulbetrieb",Nutzungsprofile!$G$17:$G$22)*Kalender!C32/SUM(Kalender!$C$5:$C$370),0)+IFERROR(SUMIF(Nutzungsprofile!$B$17:$B$22,"Halle",Nutzungsprofile!$G$17:$G$22)*Kalender!D32/SUM(Kalender!$D$5:$D$370),0)+IFERROR(SUMIF(Nutzungsprofile!$B$17:$B$22,"Individuell",Nutzungsprofile!$G$17:$G$22)*Kalender!E32/SUM(Kalender!$E$5:$E$370),0))*Szenarien!$D$18,0)</f>
        <v>3.952</v>
      </c>
      <c r="E2594" s="13" t="n">
        <f aca="false">IFERROR(MIN(C2594,Eingaben!$B$17)*Eingaben!$B$16,0)</f>
        <v>2.793</v>
      </c>
      <c r="F2594" s="13" t="n">
        <f aca="false">IFERROR(E2594*Eingaben!$B$15,0)</f>
        <v>2.5137</v>
      </c>
      <c r="G2594" s="13" t="n">
        <f aca="false">IFERROR(IF(Kalender!A32="",0,J2593*(1-Eingaben!$B$20)),0)</f>
        <v>0.7390278</v>
      </c>
      <c r="H2594" s="13" t="n">
        <f aca="false">MIN(G2594,D2594)</f>
        <v>0.7390278</v>
      </c>
      <c r="I2594" s="13" t="n">
        <f aca="false">IFERROR(MIN(F2594*Eingaben!$B$19,MAX(0,D2594-H2594)),0)</f>
        <v>1.75959</v>
      </c>
      <c r="J2594" s="13" t="n">
        <f aca="false">IFERROR(MIN(Eingaben!$B$18,MAX(0,F2594-I2594)),0)</f>
        <v>0.75411</v>
      </c>
      <c r="K2594" s="13" t="n">
        <f aca="false">H2594+I2594</f>
        <v>2.4986178</v>
      </c>
      <c r="L2594" s="13" t="n">
        <f aca="false">MAX(0,D2594-K2594)</f>
        <v>1.4533822</v>
      </c>
      <c r="M2594" s="13" t="n">
        <f aca="false">MAX(0,F2594-I2594-J2594)</f>
        <v>0</v>
      </c>
      <c r="N2594" s="13" t="n">
        <f aca="false">IF(Kalender!A32="",0,J2593-H2594)</f>
        <v>0.0150822</v>
      </c>
    </row>
    <row r="2595" customFormat="false" ht="16.4" hidden="false" customHeight="false" outlineLevel="0" collapsed="false">
      <c r="A2595" s="13" t="str">
        <f aca="false">""</f>
        <v/>
      </c>
      <c r="B2595" s="13" t="n">
        <f aca="false">29</f>
        <v>29</v>
      </c>
      <c r="C2595" s="13" t="n">
        <f aca="false">IF(Szenarien!$H$18="OK",(IFERROR(SUMIF(Nutzungsprofile!$B$6:$B$11,"Schulbetrieb",Nutzungsprofile!$G$6:$G$11)*Kalender!C33/SUM(Kalender!$C$5:$C$370),0)+IFERROR(SUMIF(Nutzungsprofile!$B$6:$B$11,"Halle",Nutzungsprofile!$G$6:$G$11)*Kalender!D33/SUM(Kalender!$D$5:$D$370),0)+IFERROR(SUMIF(Nutzungsprofile!$B$6:$B$11,"Individuell",Nutzungsprofile!$G$6:$G$11)*Kalender!E33/SUM(Kalender!$E$5:$E$370),0))*Szenarien!$E$18,0)</f>
        <v>2.94</v>
      </c>
      <c r="D2595" s="13" t="n">
        <f aca="false">IF(Szenarien!$H$18="OK",(IFERROR(SUMIF(Nutzungsprofile!$B$17:$B$22,"Schulbetrieb",Nutzungsprofile!$G$17:$G$22)*Kalender!C33/SUM(Kalender!$C$5:$C$370),0)+IFERROR(SUMIF(Nutzungsprofile!$B$17:$B$22,"Halle",Nutzungsprofile!$G$17:$G$22)*Kalender!D33/SUM(Kalender!$D$5:$D$370),0)+IFERROR(SUMIF(Nutzungsprofile!$B$17:$B$22,"Individuell",Nutzungsprofile!$G$17:$G$22)*Kalender!E33/SUM(Kalender!$E$5:$E$370),0))*Szenarien!$D$18,0)</f>
        <v>3.952</v>
      </c>
      <c r="E2595" s="13" t="n">
        <f aca="false">IFERROR(MIN(C2595,Eingaben!$B$17)*Eingaben!$B$16,0)</f>
        <v>2.793</v>
      </c>
      <c r="F2595" s="13" t="n">
        <f aca="false">IFERROR(E2595*Eingaben!$B$15,0)</f>
        <v>2.5137</v>
      </c>
      <c r="G2595" s="13" t="n">
        <f aca="false">IFERROR(IF(Kalender!A33="",0,J2594*(1-Eingaben!$B$20)),0)</f>
        <v>0.7390278</v>
      </c>
      <c r="H2595" s="13" t="n">
        <f aca="false">MIN(G2595,D2595)</f>
        <v>0.7390278</v>
      </c>
      <c r="I2595" s="13" t="n">
        <f aca="false">IFERROR(MIN(F2595*Eingaben!$B$19,MAX(0,D2595-H2595)),0)</f>
        <v>1.75959</v>
      </c>
      <c r="J2595" s="13" t="n">
        <f aca="false">IFERROR(MIN(Eingaben!$B$18,MAX(0,F2595-I2595)),0)</f>
        <v>0.75411</v>
      </c>
      <c r="K2595" s="13" t="n">
        <f aca="false">H2595+I2595</f>
        <v>2.4986178</v>
      </c>
      <c r="L2595" s="13" t="n">
        <f aca="false">MAX(0,D2595-K2595)</f>
        <v>1.4533822</v>
      </c>
      <c r="M2595" s="13" t="n">
        <f aca="false">MAX(0,F2595-I2595-J2595)</f>
        <v>0</v>
      </c>
      <c r="N2595" s="13" t="n">
        <f aca="false">IF(Kalender!A33="",0,J2594-H2595)</f>
        <v>0.0150822</v>
      </c>
    </row>
    <row r="2596" customFormat="false" ht="16.4" hidden="false" customHeight="false" outlineLevel="0" collapsed="false">
      <c r="A2596" s="13" t="str">
        <f aca="false">""</f>
        <v/>
      </c>
      <c r="B2596" s="13" t="n">
        <f aca="false">30</f>
        <v>30</v>
      </c>
      <c r="C2596" s="13" t="n">
        <f aca="false">IF(Szenarien!$H$18="OK",(IFERROR(SUMIF(Nutzungsprofile!$B$6:$B$11,"Schulbetrieb",Nutzungsprofile!$G$6:$G$11)*Kalender!C34/SUM(Kalender!$C$5:$C$370),0)+IFERROR(SUMIF(Nutzungsprofile!$B$6:$B$11,"Halle",Nutzungsprofile!$G$6:$G$11)*Kalender!D34/SUM(Kalender!$D$5:$D$370),0)+IFERROR(SUMIF(Nutzungsprofile!$B$6:$B$11,"Individuell",Nutzungsprofile!$G$6:$G$11)*Kalender!E34/SUM(Kalender!$E$5:$E$370),0))*Szenarien!$E$18,0)</f>
        <v>2.94</v>
      </c>
      <c r="D2596" s="13" t="n">
        <f aca="false">IF(Szenarien!$H$18="OK",(IFERROR(SUMIF(Nutzungsprofile!$B$17:$B$22,"Schulbetrieb",Nutzungsprofile!$G$17:$G$22)*Kalender!C34/SUM(Kalender!$C$5:$C$370),0)+IFERROR(SUMIF(Nutzungsprofile!$B$17:$B$22,"Halle",Nutzungsprofile!$G$17:$G$22)*Kalender!D34/SUM(Kalender!$D$5:$D$370),0)+IFERROR(SUMIF(Nutzungsprofile!$B$17:$B$22,"Individuell",Nutzungsprofile!$G$17:$G$22)*Kalender!E34/SUM(Kalender!$E$5:$E$370),0))*Szenarien!$D$18,0)</f>
        <v>3.952</v>
      </c>
      <c r="E2596" s="13" t="n">
        <f aca="false">IFERROR(MIN(C2596,Eingaben!$B$17)*Eingaben!$B$16,0)</f>
        <v>2.793</v>
      </c>
      <c r="F2596" s="13" t="n">
        <f aca="false">IFERROR(E2596*Eingaben!$B$15,0)</f>
        <v>2.5137</v>
      </c>
      <c r="G2596" s="13" t="n">
        <f aca="false">IFERROR(IF(Kalender!A34="",0,J2595*(1-Eingaben!$B$20)),0)</f>
        <v>0.7390278</v>
      </c>
      <c r="H2596" s="13" t="n">
        <f aca="false">MIN(G2596,D2596)</f>
        <v>0.7390278</v>
      </c>
      <c r="I2596" s="13" t="n">
        <f aca="false">IFERROR(MIN(F2596*Eingaben!$B$19,MAX(0,D2596-H2596)),0)</f>
        <v>1.75959</v>
      </c>
      <c r="J2596" s="13" t="n">
        <f aca="false">IFERROR(MIN(Eingaben!$B$18,MAX(0,F2596-I2596)),0)</f>
        <v>0.75411</v>
      </c>
      <c r="K2596" s="13" t="n">
        <f aca="false">H2596+I2596</f>
        <v>2.4986178</v>
      </c>
      <c r="L2596" s="13" t="n">
        <f aca="false">MAX(0,D2596-K2596)</f>
        <v>1.4533822</v>
      </c>
      <c r="M2596" s="13" t="n">
        <f aca="false">MAX(0,F2596-I2596-J2596)</f>
        <v>0</v>
      </c>
      <c r="N2596" s="13" t="n">
        <f aca="false">IF(Kalender!A34="",0,J2595-H2596)</f>
        <v>0.0150822</v>
      </c>
    </row>
    <row r="2597" customFormat="false" ht="16.4" hidden="false" customHeight="false" outlineLevel="0" collapsed="false">
      <c r="A2597" s="13" t="str">
        <f aca="false">""</f>
        <v/>
      </c>
      <c r="B2597" s="13" t="n">
        <f aca="false">31</f>
        <v>31</v>
      </c>
      <c r="C2597" s="13" t="n">
        <f aca="false">IF(Szenarien!$H$18="OK",(IFERROR(SUMIF(Nutzungsprofile!$B$6:$B$11,"Schulbetrieb",Nutzungsprofile!$G$6:$G$11)*Kalender!C35/SUM(Kalender!$C$5:$C$370),0)+IFERROR(SUMIF(Nutzungsprofile!$B$6:$B$11,"Halle",Nutzungsprofile!$G$6:$G$11)*Kalender!D35/SUM(Kalender!$D$5:$D$370),0)+IFERROR(SUMIF(Nutzungsprofile!$B$6:$B$11,"Individuell",Nutzungsprofile!$G$6:$G$11)*Kalender!E35/SUM(Kalender!$E$5:$E$370),0))*Szenarien!$E$18,0)</f>
        <v>2.04</v>
      </c>
      <c r="D2597" s="13" t="n">
        <f aca="false">IF(Szenarien!$H$18="OK",(IFERROR(SUMIF(Nutzungsprofile!$B$17:$B$22,"Schulbetrieb",Nutzungsprofile!$G$17:$G$22)*Kalender!C35/SUM(Kalender!$C$5:$C$370),0)+IFERROR(SUMIF(Nutzungsprofile!$B$17:$B$22,"Halle",Nutzungsprofile!$G$17:$G$22)*Kalender!D35/SUM(Kalender!$D$5:$D$370),0)+IFERROR(SUMIF(Nutzungsprofile!$B$17:$B$22,"Individuell",Nutzungsprofile!$G$17:$G$22)*Kalender!E35/SUM(Kalender!$E$5:$E$370),0))*Szenarien!$D$18,0)</f>
        <v>0.712</v>
      </c>
      <c r="E2597" s="13" t="n">
        <f aca="false">IFERROR(MIN(C2597,Eingaben!$B$17)*Eingaben!$B$16,0)</f>
        <v>1.938</v>
      </c>
      <c r="F2597" s="13" t="n">
        <f aca="false">IFERROR(E2597*Eingaben!$B$15,0)</f>
        <v>1.7442</v>
      </c>
      <c r="G2597" s="13" t="n">
        <f aca="false">IFERROR(IF(Kalender!A35="",0,J2596*(1-Eingaben!$B$20)),0)</f>
        <v>0.7390278</v>
      </c>
      <c r="H2597" s="13" t="n">
        <f aca="false">MIN(G2597,D2597)</f>
        <v>0.712</v>
      </c>
      <c r="I2597" s="13" t="n">
        <f aca="false">IFERROR(MIN(F2597*Eingaben!$B$19,MAX(0,D2597-H2597)),0)</f>
        <v>0</v>
      </c>
      <c r="J2597" s="13" t="n">
        <f aca="false">IFERROR(MIN(Eingaben!$B$18,MAX(0,F2597-I2597)),0)</f>
        <v>1.7442</v>
      </c>
      <c r="K2597" s="13" t="n">
        <f aca="false">H2597+I2597</f>
        <v>0.712</v>
      </c>
      <c r="L2597" s="13" t="n">
        <f aca="false">MAX(0,D2597-K2597)</f>
        <v>0</v>
      </c>
      <c r="M2597" s="13" t="n">
        <f aca="false">MAX(0,F2597-I2597-J2597)</f>
        <v>0</v>
      </c>
      <c r="N2597" s="13" t="n">
        <f aca="false">IF(Kalender!A35="",0,J2596-H2597)</f>
        <v>0.04211</v>
      </c>
    </row>
    <row r="2598" customFormat="false" ht="16.4" hidden="false" customHeight="false" outlineLevel="0" collapsed="false">
      <c r="A2598" s="13" t="str">
        <f aca="false">""</f>
        <v/>
      </c>
      <c r="B2598" s="13" t="n">
        <f aca="false">32</f>
        <v>32</v>
      </c>
      <c r="C2598" s="13" t="n">
        <f aca="false">IF(Szenarien!$H$18="OK",(IFERROR(SUMIF(Nutzungsprofile!$B$6:$B$11,"Schulbetrieb",Nutzungsprofile!$G$6:$G$11)*Kalender!C36/SUM(Kalender!$C$5:$C$370),0)+IFERROR(SUMIF(Nutzungsprofile!$B$6:$B$11,"Halle",Nutzungsprofile!$G$6:$G$11)*Kalender!D36/SUM(Kalender!$D$5:$D$370),0)+IFERROR(SUMIF(Nutzungsprofile!$B$6:$B$11,"Individuell",Nutzungsprofile!$G$6:$G$11)*Kalender!E36/SUM(Kalender!$E$5:$E$370),0))*Szenarien!$E$18,0)</f>
        <v>2.04</v>
      </c>
      <c r="D2598" s="13" t="n">
        <f aca="false">IF(Szenarien!$H$18="OK",(IFERROR(SUMIF(Nutzungsprofile!$B$17:$B$22,"Schulbetrieb",Nutzungsprofile!$G$17:$G$22)*Kalender!C36/SUM(Kalender!$C$5:$C$370),0)+IFERROR(SUMIF(Nutzungsprofile!$B$17:$B$22,"Halle",Nutzungsprofile!$G$17:$G$22)*Kalender!D36/SUM(Kalender!$D$5:$D$370),0)+IFERROR(SUMIF(Nutzungsprofile!$B$17:$B$22,"Individuell",Nutzungsprofile!$G$17:$G$22)*Kalender!E36/SUM(Kalender!$E$5:$E$370),0))*Szenarien!$D$18,0)</f>
        <v>0.712</v>
      </c>
      <c r="E2598" s="13" t="n">
        <f aca="false">IFERROR(MIN(C2598,Eingaben!$B$17)*Eingaben!$B$16,0)</f>
        <v>1.938</v>
      </c>
      <c r="F2598" s="13" t="n">
        <f aca="false">IFERROR(E2598*Eingaben!$B$15,0)</f>
        <v>1.7442</v>
      </c>
      <c r="G2598" s="13" t="n">
        <f aca="false">IFERROR(IF(Kalender!A36="",0,J2597*(1-Eingaben!$B$20)),0)</f>
        <v>1.709316</v>
      </c>
      <c r="H2598" s="13" t="n">
        <f aca="false">MIN(G2598,D2598)</f>
        <v>0.712</v>
      </c>
      <c r="I2598" s="13" t="n">
        <f aca="false">IFERROR(MIN(F2598*Eingaben!$B$19,MAX(0,D2598-H2598)),0)</f>
        <v>0</v>
      </c>
      <c r="J2598" s="13" t="n">
        <f aca="false">IFERROR(MIN(Eingaben!$B$18,MAX(0,F2598-I2598)),0)</f>
        <v>1.7442</v>
      </c>
      <c r="K2598" s="13" t="n">
        <f aca="false">H2598+I2598</f>
        <v>0.712</v>
      </c>
      <c r="L2598" s="13" t="n">
        <f aca="false">MAX(0,D2598-K2598)</f>
        <v>0</v>
      </c>
      <c r="M2598" s="13" t="n">
        <f aca="false">MAX(0,F2598-I2598-J2598)</f>
        <v>0</v>
      </c>
      <c r="N2598" s="13" t="n">
        <f aca="false">IF(Kalender!A36="",0,J2597-H2598)</f>
        <v>1.0322</v>
      </c>
    </row>
    <row r="2599" customFormat="false" ht="16.4" hidden="false" customHeight="false" outlineLevel="0" collapsed="false">
      <c r="A2599" s="13" t="str">
        <f aca="false">""</f>
        <v/>
      </c>
      <c r="B2599" s="13" t="n">
        <f aca="false">33</f>
        <v>33</v>
      </c>
      <c r="C2599" s="13" t="n">
        <f aca="false">IF(Szenarien!$H$18="OK",(IFERROR(SUMIF(Nutzungsprofile!$B$6:$B$11,"Schulbetrieb",Nutzungsprofile!$G$6:$G$11)*Kalender!C37/SUM(Kalender!$C$5:$C$370),0)+IFERROR(SUMIF(Nutzungsprofile!$B$6:$B$11,"Halle",Nutzungsprofile!$G$6:$G$11)*Kalender!D37/SUM(Kalender!$D$5:$D$370),0)+IFERROR(SUMIF(Nutzungsprofile!$B$6:$B$11,"Individuell",Nutzungsprofile!$G$6:$G$11)*Kalender!E37/SUM(Kalender!$E$5:$E$370),0))*Szenarien!$E$18,0)</f>
        <v>2.94</v>
      </c>
      <c r="D2599" s="13" t="n">
        <f aca="false">IF(Szenarien!$H$18="OK",(IFERROR(SUMIF(Nutzungsprofile!$B$17:$B$22,"Schulbetrieb",Nutzungsprofile!$G$17:$G$22)*Kalender!C37/SUM(Kalender!$C$5:$C$370),0)+IFERROR(SUMIF(Nutzungsprofile!$B$17:$B$22,"Halle",Nutzungsprofile!$G$17:$G$22)*Kalender!D37/SUM(Kalender!$D$5:$D$370),0)+IFERROR(SUMIF(Nutzungsprofile!$B$17:$B$22,"Individuell",Nutzungsprofile!$G$17:$G$22)*Kalender!E37/SUM(Kalender!$E$5:$E$370),0))*Szenarien!$D$18,0)</f>
        <v>3.952</v>
      </c>
      <c r="E2599" s="13" t="n">
        <f aca="false">IFERROR(MIN(C2599,Eingaben!$B$17)*Eingaben!$B$16,0)</f>
        <v>2.793</v>
      </c>
      <c r="F2599" s="13" t="n">
        <f aca="false">IFERROR(E2599*Eingaben!$B$15,0)</f>
        <v>2.5137</v>
      </c>
      <c r="G2599" s="13" t="n">
        <f aca="false">IFERROR(IF(Kalender!A37="",0,J2598*(1-Eingaben!$B$20)),0)</f>
        <v>1.709316</v>
      </c>
      <c r="H2599" s="13" t="n">
        <f aca="false">MIN(G2599,D2599)</f>
        <v>1.709316</v>
      </c>
      <c r="I2599" s="13" t="n">
        <f aca="false">IFERROR(MIN(F2599*Eingaben!$B$19,MAX(0,D2599-H2599)),0)</f>
        <v>1.75959</v>
      </c>
      <c r="J2599" s="13" t="n">
        <f aca="false">IFERROR(MIN(Eingaben!$B$18,MAX(0,F2599-I2599)),0)</f>
        <v>0.75411</v>
      </c>
      <c r="K2599" s="13" t="n">
        <f aca="false">H2599+I2599</f>
        <v>3.468906</v>
      </c>
      <c r="L2599" s="13" t="n">
        <f aca="false">MAX(0,D2599-K2599)</f>
        <v>0.483094</v>
      </c>
      <c r="M2599" s="13" t="n">
        <f aca="false">MAX(0,F2599-I2599-J2599)</f>
        <v>0</v>
      </c>
      <c r="N2599" s="13" t="n">
        <f aca="false">IF(Kalender!A37="",0,J2598-H2599)</f>
        <v>0.0348840000000001</v>
      </c>
    </row>
    <row r="2600" customFormat="false" ht="16.4" hidden="false" customHeight="false" outlineLevel="0" collapsed="false">
      <c r="A2600" s="13" t="str">
        <f aca="false">""</f>
        <v/>
      </c>
      <c r="B2600" s="13" t="n">
        <f aca="false">34</f>
        <v>34</v>
      </c>
      <c r="C2600" s="13" t="n">
        <f aca="false">IF(Szenarien!$H$18="OK",(IFERROR(SUMIF(Nutzungsprofile!$B$6:$B$11,"Schulbetrieb",Nutzungsprofile!$G$6:$G$11)*Kalender!C38/SUM(Kalender!$C$5:$C$370),0)+IFERROR(SUMIF(Nutzungsprofile!$B$6:$B$11,"Halle",Nutzungsprofile!$G$6:$G$11)*Kalender!D38/SUM(Kalender!$D$5:$D$370),0)+IFERROR(SUMIF(Nutzungsprofile!$B$6:$B$11,"Individuell",Nutzungsprofile!$G$6:$G$11)*Kalender!E38/SUM(Kalender!$E$5:$E$370),0))*Szenarien!$E$18,0)</f>
        <v>2.94</v>
      </c>
      <c r="D2600" s="13" t="n">
        <f aca="false">IF(Szenarien!$H$18="OK",(IFERROR(SUMIF(Nutzungsprofile!$B$17:$B$22,"Schulbetrieb",Nutzungsprofile!$G$17:$G$22)*Kalender!C38/SUM(Kalender!$C$5:$C$370),0)+IFERROR(SUMIF(Nutzungsprofile!$B$17:$B$22,"Halle",Nutzungsprofile!$G$17:$G$22)*Kalender!D38/SUM(Kalender!$D$5:$D$370),0)+IFERROR(SUMIF(Nutzungsprofile!$B$17:$B$22,"Individuell",Nutzungsprofile!$G$17:$G$22)*Kalender!E38/SUM(Kalender!$E$5:$E$370),0))*Szenarien!$D$18,0)</f>
        <v>3.952</v>
      </c>
      <c r="E2600" s="13" t="n">
        <f aca="false">IFERROR(MIN(C2600,Eingaben!$B$17)*Eingaben!$B$16,0)</f>
        <v>2.793</v>
      </c>
      <c r="F2600" s="13" t="n">
        <f aca="false">IFERROR(E2600*Eingaben!$B$15,0)</f>
        <v>2.5137</v>
      </c>
      <c r="G2600" s="13" t="n">
        <f aca="false">IFERROR(IF(Kalender!A38="",0,J2599*(1-Eingaben!$B$20)),0)</f>
        <v>0.7390278</v>
      </c>
      <c r="H2600" s="13" t="n">
        <f aca="false">MIN(G2600,D2600)</f>
        <v>0.7390278</v>
      </c>
      <c r="I2600" s="13" t="n">
        <f aca="false">IFERROR(MIN(F2600*Eingaben!$B$19,MAX(0,D2600-H2600)),0)</f>
        <v>1.75959</v>
      </c>
      <c r="J2600" s="13" t="n">
        <f aca="false">IFERROR(MIN(Eingaben!$B$18,MAX(0,F2600-I2600)),0)</f>
        <v>0.75411</v>
      </c>
      <c r="K2600" s="13" t="n">
        <f aca="false">H2600+I2600</f>
        <v>2.4986178</v>
      </c>
      <c r="L2600" s="13" t="n">
        <f aca="false">MAX(0,D2600-K2600)</f>
        <v>1.4533822</v>
      </c>
      <c r="M2600" s="13" t="n">
        <f aca="false">MAX(0,F2600-I2600-J2600)</f>
        <v>0</v>
      </c>
      <c r="N2600" s="13" t="n">
        <f aca="false">IF(Kalender!A38="",0,J2599-H2600)</f>
        <v>0.0150822</v>
      </c>
    </row>
    <row r="2601" customFormat="false" ht="16.4" hidden="false" customHeight="false" outlineLevel="0" collapsed="false">
      <c r="A2601" s="13" t="str">
        <f aca="false">""</f>
        <v/>
      </c>
      <c r="B2601" s="13" t="n">
        <f aca="false">35</f>
        <v>35</v>
      </c>
      <c r="C2601" s="13" t="n">
        <f aca="false">IF(Szenarien!$H$18="OK",(IFERROR(SUMIF(Nutzungsprofile!$B$6:$B$11,"Schulbetrieb",Nutzungsprofile!$G$6:$G$11)*Kalender!C39/SUM(Kalender!$C$5:$C$370),0)+IFERROR(SUMIF(Nutzungsprofile!$B$6:$B$11,"Halle",Nutzungsprofile!$G$6:$G$11)*Kalender!D39/SUM(Kalender!$D$5:$D$370),0)+IFERROR(SUMIF(Nutzungsprofile!$B$6:$B$11,"Individuell",Nutzungsprofile!$G$6:$G$11)*Kalender!E39/SUM(Kalender!$E$5:$E$370),0))*Szenarien!$E$18,0)</f>
        <v>2.94</v>
      </c>
      <c r="D2601" s="13" t="n">
        <f aca="false">IF(Szenarien!$H$18="OK",(IFERROR(SUMIF(Nutzungsprofile!$B$17:$B$22,"Schulbetrieb",Nutzungsprofile!$G$17:$G$22)*Kalender!C39/SUM(Kalender!$C$5:$C$370),0)+IFERROR(SUMIF(Nutzungsprofile!$B$17:$B$22,"Halle",Nutzungsprofile!$G$17:$G$22)*Kalender!D39/SUM(Kalender!$D$5:$D$370),0)+IFERROR(SUMIF(Nutzungsprofile!$B$17:$B$22,"Individuell",Nutzungsprofile!$G$17:$G$22)*Kalender!E39/SUM(Kalender!$E$5:$E$370),0))*Szenarien!$D$18,0)</f>
        <v>3.952</v>
      </c>
      <c r="E2601" s="13" t="n">
        <f aca="false">IFERROR(MIN(C2601,Eingaben!$B$17)*Eingaben!$B$16,0)</f>
        <v>2.793</v>
      </c>
      <c r="F2601" s="13" t="n">
        <f aca="false">IFERROR(E2601*Eingaben!$B$15,0)</f>
        <v>2.5137</v>
      </c>
      <c r="G2601" s="13" t="n">
        <f aca="false">IFERROR(IF(Kalender!A39="",0,J2600*(1-Eingaben!$B$20)),0)</f>
        <v>0.7390278</v>
      </c>
      <c r="H2601" s="13" t="n">
        <f aca="false">MIN(G2601,D2601)</f>
        <v>0.7390278</v>
      </c>
      <c r="I2601" s="13" t="n">
        <f aca="false">IFERROR(MIN(F2601*Eingaben!$B$19,MAX(0,D2601-H2601)),0)</f>
        <v>1.75959</v>
      </c>
      <c r="J2601" s="13" t="n">
        <f aca="false">IFERROR(MIN(Eingaben!$B$18,MAX(0,F2601-I2601)),0)</f>
        <v>0.75411</v>
      </c>
      <c r="K2601" s="13" t="n">
        <f aca="false">H2601+I2601</f>
        <v>2.4986178</v>
      </c>
      <c r="L2601" s="13" t="n">
        <f aca="false">MAX(0,D2601-K2601)</f>
        <v>1.4533822</v>
      </c>
      <c r="M2601" s="13" t="n">
        <f aca="false">MAX(0,F2601-I2601-J2601)</f>
        <v>0</v>
      </c>
      <c r="N2601" s="13" t="n">
        <f aca="false">IF(Kalender!A39="",0,J2600-H2601)</f>
        <v>0.0150822</v>
      </c>
    </row>
    <row r="2602" customFormat="false" ht="16.4" hidden="false" customHeight="false" outlineLevel="0" collapsed="false">
      <c r="A2602" s="13" t="str">
        <f aca="false">""</f>
        <v/>
      </c>
      <c r="B2602" s="13" t="n">
        <f aca="false">36</f>
        <v>36</v>
      </c>
      <c r="C2602" s="13" t="n">
        <f aca="false">IF(Szenarien!$H$18="OK",(IFERROR(SUMIF(Nutzungsprofile!$B$6:$B$11,"Schulbetrieb",Nutzungsprofile!$G$6:$G$11)*Kalender!C40/SUM(Kalender!$C$5:$C$370),0)+IFERROR(SUMIF(Nutzungsprofile!$B$6:$B$11,"Halle",Nutzungsprofile!$G$6:$G$11)*Kalender!D40/SUM(Kalender!$D$5:$D$370),0)+IFERROR(SUMIF(Nutzungsprofile!$B$6:$B$11,"Individuell",Nutzungsprofile!$G$6:$G$11)*Kalender!E40/SUM(Kalender!$E$5:$E$370),0))*Szenarien!$E$18,0)</f>
        <v>2.94</v>
      </c>
      <c r="D2602" s="13" t="n">
        <f aca="false">IF(Szenarien!$H$18="OK",(IFERROR(SUMIF(Nutzungsprofile!$B$17:$B$22,"Schulbetrieb",Nutzungsprofile!$G$17:$G$22)*Kalender!C40/SUM(Kalender!$C$5:$C$370),0)+IFERROR(SUMIF(Nutzungsprofile!$B$17:$B$22,"Halle",Nutzungsprofile!$G$17:$G$22)*Kalender!D40/SUM(Kalender!$D$5:$D$370),0)+IFERROR(SUMIF(Nutzungsprofile!$B$17:$B$22,"Individuell",Nutzungsprofile!$G$17:$G$22)*Kalender!E40/SUM(Kalender!$E$5:$E$370),0))*Szenarien!$D$18,0)</f>
        <v>3.952</v>
      </c>
      <c r="E2602" s="13" t="n">
        <f aca="false">IFERROR(MIN(C2602,Eingaben!$B$17)*Eingaben!$B$16,0)</f>
        <v>2.793</v>
      </c>
      <c r="F2602" s="13" t="n">
        <f aca="false">IFERROR(E2602*Eingaben!$B$15,0)</f>
        <v>2.5137</v>
      </c>
      <c r="G2602" s="13" t="n">
        <f aca="false">IFERROR(IF(Kalender!A40="",0,J2601*(1-Eingaben!$B$20)),0)</f>
        <v>0.7390278</v>
      </c>
      <c r="H2602" s="13" t="n">
        <f aca="false">MIN(G2602,D2602)</f>
        <v>0.7390278</v>
      </c>
      <c r="I2602" s="13" t="n">
        <f aca="false">IFERROR(MIN(F2602*Eingaben!$B$19,MAX(0,D2602-H2602)),0)</f>
        <v>1.75959</v>
      </c>
      <c r="J2602" s="13" t="n">
        <f aca="false">IFERROR(MIN(Eingaben!$B$18,MAX(0,F2602-I2602)),0)</f>
        <v>0.75411</v>
      </c>
      <c r="K2602" s="13" t="n">
        <f aca="false">H2602+I2602</f>
        <v>2.4986178</v>
      </c>
      <c r="L2602" s="13" t="n">
        <f aca="false">MAX(0,D2602-K2602)</f>
        <v>1.4533822</v>
      </c>
      <c r="M2602" s="13" t="n">
        <f aca="false">MAX(0,F2602-I2602-J2602)</f>
        <v>0</v>
      </c>
      <c r="N2602" s="13" t="n">
        <f aca="false">IF(Kalender!A40="",0,J2601-H2602)</f>
        <v>0.0150822</v>
      </c>
    </row>
    <row r="2603" customFormat="false" ht="16.4" hidden="false" customHeight="false" outlineLevel="0" collapsed="false">
      <c r="A2603" s="13" t="str">
        <f aca="false">""</f>
        <v/>
      </c>
      <c r="B2603" s="13" t="n">
        <f aca="false">37</f>
        <v>37</v>
      </c>
      <c r="C2603" s="13" t="n">
        <f aca="false">IF(Szenarien!$H$18="OK",(IFERROR(SUMIF(Nutzungsprofile!$B$6:$B$11,"Schulbetrieb",Nutzungsprofile!$G$6:$G$11)*Kalender!C41/SUM(Kalender!$C$5:$C$370),0)+IFERROR(SUMIF(Nutzungsprofile!$B$6:$B$11,"Halle",Nutzungsprofile!$G$6:$G$11)*Kalender!D41/SUM(Kalender!$D$5:$D$370),0)+IFERROR(SUMIF(Nutzungsprofile!$B$6:$B$11,"Individuell",Nutzungsprofile!$G$6:$G$11)*Kalender!E41/SUM(Kalender!$E$5:$E$370),0))*Szenarien!$E$18,0)</f>
        <v>2.94</v>
      </c>
      <c r="D2603" s="13" t="n">
        <f aca="false">IF(Szenarien!$H$18="OK",(IFERROR(SUMIF(Nutzungsprofile!$B$17:$B$22,"Schulbetrieb",Nutzungsprofile!$G$17:$G$22)*Kalender!C41/SUM(Kalender!$C$5:$C$370),0)+IFERROR(SUMIF(Nutzungsprofile!$B$17:$B$22,"Halle",Nutzungsprofile!$G$17:$G$22)*Kalender!D41/SUM(Kalender!$D$5:$D$370),0)+IFERROR(SUMIF(Nutzungsprofile!$B$17:$B$22,"Individuell",Nutzungsprofile!$G$17:$G$22)*Kalender!E41/SUM(Kalender!$E$5:$E$370),0))*Szenarien!$D$18,0)</f>
        <v>3.952</v>
      </c>
      <c r="E2603" s="13" t="n">
        <f aca="false">IFERROR(MIN(C2603,Eingaben!$B$17)*Eingaben!$B$16,0)</f>
        <v>2.793</v>
      </c>
      <c r="F2603" s="13" t="n">
        <f aca="false">IFERROR(E2603*Eingaben!$B$15,0)</f>
        <v>2.5137</v>
      </c>
      <c r="G2603" s="13" t="n">
        <f aca="false">IFERROR(IF(Kalender!A41="",0,J2602*(1-Eingaben!$B$20)),0)</f>
        <v>0.7390278</v>
      </c>
      <c r="H2603" s="13" t="n">
        <f aca="false">MIN(G2603,D2603)</f>
        <v>0.7390278</v>
      </c>
      <c r="I2603" s="13" t="n">
        <f aca="false">IFERROR(MIN(F2603*Eingaben!$B$19,MAX(0,D2603-H2603)),0)</f>
        <v>1.75959</v>
      </c>
      <c r="J2603" s="13" t="n">
        <f aca="false">IFERROR(MIN(Eingaben!$B$18,MAX(0,F2603-I2603)),0)</f>
        <v>0.75411</v>
      </c>
      <c r="K2603" s="13" t="n">
        <f aca="false">H2603+I2603</f>
        <v>2.4986178</v>
      </c>
      <c r="L2603" s="13" t="n">
        <f aca="false">MAX(0,D2603-K2603)</f>
        <v>1.4533822</v>
      </c>
      <c r="M2603" s="13" t="n">
        <f aca="false">MAX(0,F2603-I2603-J2603)</f>
        <v>0</v>
      </c>
      <c r="N2603" s="13" t="n">
        <f aca="false">IF(Kalender!A41="",0,J2602-H2603)</f>
        <v>0.0150822</v>
      </c>
    </row>
    <row r="2604" customFormat="false" ht="16.4" hidden="false" customHeight="false" outlineLevel="0" collapsed="false">
      <c r="A2604" s="13" t="str">
        <f aca="false">""</f>
        <v/>
      </c>
      <c r="B2604" s="13" t="n">
        <f aca="false">38</f>
        <v>38</v>
      </c>
      <c r="C2604" s="13" t="n">
        <f aca="false">IF(Szenarien!$H$18="OK",(IFERROR(SUMIF(Nutzungsprofile!$B$6:$B$11,"Schulbetrieb",Nutzungsprofile!$G$6:$G$11)*Kalender!C42/SUM(Kalender!$C$5:$C$370),0)+IFERROR(SUMIF(Nutzungsprofile!$B$6:$B$11,"Halle",Nutzungsprofile!$G$6:$G$11)*Kalender!D42/SUM(Kalender!$D$5:$D$370),0)+IFERROR(SUMIF(Nutzungsprofile!$B$6:$B$11,"Individuell",Nutzungsprofile!$G$6:$G$11)*Kalender!E42/SUM(Kalender!$E$5:$E$370),0))*Szenarien!$E$18,0)</f>
        <v>2.04</v>
      </c>
      <c r="D2604" s="13" t="n">
        <f aca="false">IF(Szenarien!$H$18="OK",(IFERROR(SUMIF(Nutzungsprofile!$B$17:$B$22,"Schulbetrieb",Nutzungsprofile!$G$17:$G$22)*Kalender!C42/SUM(Kalender!$C$5:$C$370),0)+IFERROR(SUMIF(Nutzungsprofile!$B$17:$B$22,"Halle",Nutzungsprofile!$G$17:$G$22)*Kalender!D42/SUM(Kalender!$D$5:$D$370),0)+IFERROR(SUMIF(Nutzungsprofile!$B$17:$B$22,"Individuell",Nutzungsprofile!$G$17:$G$22)*Kalender!E42/SUM(Kalender!$E$5:$E$370),0))*Szenarien!$D$18,0)</f>
        <v>0.712</v>
      </c>
      <c r="E2604" s="13" t="n">
        <f aca="false">IFERROR(MIN(C2604,Eingaben!$B$17)*Eingaben!$B$16,0)</f>
        <v>1.938</v>
      </c>
      <c r="F2604" s="13" t="n">
        <f aca="false">IFERROR(E2604*Eingaben!$B$15,0)</f>
        <v>1.7442</v>
      </c>
      <c r="G2604" s="13" t="n">
        <f aca="false">IFERROR(IF(Kalender!A42="",0,J2603*(1-Eingaben!$B$20)),0)</f>
        <v>0.7390278</v>
      </c>
      <c r="H2604" s="13" t="n">
        <f aca="false">MIN(G2604,D2604)</f>
        <v>0.712</v>
      </c>
      <c r="I2604" s="13" t="n">
        <f aca="false">IFERROR(MIN(F2604*Eingaben!$B$19,MAX(0,D2604-H2604)),0)</f>
        <v>0</v>
      </c>
      <c r="J2604" s="13" t="n">
        <f aca="false">IFERROR(MIN(Eingaben!$B$18,MAX(0,F2604-I2604)),0)</f>
        <v>1.7442</v>
      </c>
      <c r="K2604" s="13" t="n">
        <f aca="false">H2604+I2604</f>
        <v>0.712</v>
      </c>
      <c r="L2604" s="13" t="n">
        <f aca="false">MAX(0,D2604-K2604)</f>
        <v>0</v>
      </c>
      <c r="M2604" s="13" t="n">
        <f aca="false">MAX(0,F2604-I2604-J2604)</f>
        <v>0</v>
      </c>
      <c r="N2604" s="13" t="n">
        <f aca="false">IF(Kalender!A42="",0,J2603-H2604)</f>
        <v>0.04211</v>
      </c>
    </row>
    <row r="2605" customFormat="false" ht="16.4" hidden="false" customHeight="false" outlineLevel="0" collapsed="false">
      <c r="A2605" s="13" t="str">
        <f aca="false">""</f>
        <v/>
      </c>
      <c r="B2605" s="13" t="n">
        <f aca="false">39</f>
        <v>39</v>
      </c>
      <c r="C2605" s="13" t="n">
        <f aca="false">IF(Szenarien!$H$18="OK",(IFERROR(SUMIF(Nutzungsprofile!$B$6:$B$11,"Schulbetrieb",Nutzungsprofile!$G$6:$G$11)*Kalender!C43/SUM(Kalender!$C$5:$C$370),0)+IFERROR(SUMIF(Nutzungsprofile!$B$6:$B$11,"Halle",Nutzungsprofile!$G$6:$G$11)*Kalender!D43/SUM(Kalender!$D$5:$D$370),0)+IFERROR(SUMIF(Nutzungsprofile!$B$6:$B$11,"Individuell",Nutzungsprofile!$G$6:$G$11)*Kalender!E43/SUM(Kalender!$E$5:$E$370),0))*Szenarien!$E$18,0)</f>
        <v>2.04</v>
      </c>
      <c r="D2605" s="13" t="n">
        <f aca="false">IF(Szenarien!$H$18="OK",(IFERROR(SUMIF(Nutzungsprofile!$B$17:$B$22,"Schulbetrieb",Nutzungsprofile!$G$17:$G$22)*Kalender!C43/SUM(Kalender!$C$5:$C$370),0)+IFERROR(SUMIF(Nutzungsprofile!$B$17:$B$22,"Halle",Nutzungsprofile!$G$17:$G$22)*Kalender!D43/SUM(Kalender!$D$5:$D$370),0)+IFERROR(SUMIF(Nutzungsprofile!$B$17:$B$22,"Individuell",Nutzungsprofile!$G$17:$G$22)*Kalender!E43/SUM(Kalender!$E$5:$E$370),0))*Szenarien!$D$18,0)</f>
        <v>0.712</v>
      </c>
      <c r="E2605" s="13" t="n">
        <f aca="false">IFERROR(MIN(C2605,Eingaben!$B$17)*Eingaben!$B$16,0)</f>
        <v>1.938</v>
      </c>
      <c r="F2605" s="13" t="n">
        <f aca="false">IFERROR(E2605*Eingaben!$B$15,0)</f>
        <v>1.7442</v>
      </c>
      <c r="G2605" s="13" t="n">
        <f aca="false">IFERROR(IF(Kalender!A43="",0,J2604*(1-Eingaben!$B$20)),0)</f>
        <v>1.709316</v>
      </c>
      <c r="H2605" s="13" t="n">
        <f aca="false">MIN(G2605,D2605)</f>
        <v>0.712</v>
      </c>
      <c r="I2605" s="13" t="n">
        <f aca="false">IFERROR(MIN(F2605*Eingaben!$B$19,MAX(0,D2605-H2605)),0)</f>
        <v>0</v>
      </c>
      <c r="J2605" s="13" t="n">
        <f aca="false">IFERROR(MIN(Eingaben!$B$18,MAX(0,F2605-I2605)),0)</f>
        <v>1.7442</v>
      </c>
      <c r="K2605" s="13" t="n">
        <f aca="false">H2605+I2605</f>
        <v>0.712</v>
      </c>
      <c r="L2605" s="13" t="n">
        <f aca="false">MAX(0,D2605-K2605)</f>
        <v>0</v>
      </c>
      <c r="M2605" s="13" t="n">
        <f aca="false">MAX(0,F2605-I2605-J2605)</f>
        <v>0</v>
      </c>
      <c r="N2605" s="13" t="n">
        <f aca="false">IF(Kalender!A43="",0,J2604-H2605)</f>
        <v>1.0322</v>
      </c>
    </row>
    <row r="2606" customFormat="false" ht="16.4" hidden="false" customHeight="false" outlineLevel="0" collapsed="false">
      <c r="A2606" s="13" t="str">
        <f aca="false">""</f>
        <v/>
      </c>
      <c r="B2606" s="13" t="n">
        <f aca="false">40</f>
        <v>40</v>
      </c>
      <c r="C2606" s="13" t="n">
        <f aca="false">IF(Szenarien!$H$18="OK",(IFERROR(SUMIF(Nutzungsprofile!$B$6:$B$11,"Schulbetrieb",Nutzungsprofile!$G$6:$G$11)*Kalender!C44/SUM(Kalender!$C$5:$C$370),0)+IFERROR(SUMIF(Nutzungsprofile!$B$6:$B$11,"Halle",Nutzungsprofile!$G$6:$G$11)*Kalender!D44/SUM(Kalender!$D$5:$D$370),0)+IFERROR(SUMIF(Nutzungsprofile!$B$6:$B$11,"Individuell",Nutzungsprofile!$G$6:$G$11)*Kalender!E44/SUM(Kalender!$E$5:$E$370),0))*Szenarien!$E$18,0)</f>
        <v>2.94</v>
      </c>
      <c r="D2606" s="13" t="n">
        <f aca="false">IF(Szenarien!$H$18="OK",(IFERROR(SUMIF(Nutzungsprofile!$B$17:$B$22,"Schulbetrieb",Nutzungsprofile!$G$17:$G$22)*Kalender!C44/SUM(Kalender!$C$5:$C$370),0)+IFERROR(SUMIF(Nutzungsprofile!$B$17:$B$22,"Halle",Nutzungsprofile!$G$17:$G$22)*Kalender!D44/SUM(Kalender!$D$5:$D$370),0)+IFERROR(SUMIF(Nutzungsprofile!$B$17:$B$22,"Individuell",Nutzungsprofile!$G$17:$G$22)*Kalender!E44/SUM(Kalender!$E$5:$E$370),0))*Szenarien!$D$18,0)</f>
        <v>3.952</v>
      </c>
      <c r="E2606" s="13" t="n">
        <f aca="false">IFERROR(MIN(C2606,Eingaben!$B$17)*Eingaben!$B$16,0)</f>
        <v>2.793</v>
      </c>
      <c r="F2606" s="13" t="n">
        <f aca="false">IFERROR(E2606*Eingaben!$B$15,0)</f>
        <v>2.5137</v>
      </c>
      <c r="G2606" s="13" t="n">
        <f aca="false">IFERROR(IF(Kalender!A44="",0,J2605*(1-Eingaben!$B$20)),0)</f>
        <v>1.709316</v>
      </c>
      <c r="H2606" s="13" t="n">
        <f aca="false">MIN(G2606,D2606)</f>
        <v>1.709316</v>
      </c>
      <c r="I2606" s="13" t="n">
        <f aca="false">IFERROR(MIN(F2606*Eingaben!$B$19,MAX(0,D2606-H2606)),0)</f>
        <v>1.75959</v>
      </c>
      <c r="J2606" s="13" t="n">
        <f aca="false">IFERROR(MIN(Eingaben!$B$18,MAX(0,F2606-I2606)),0)</f>
        <v>0.75411</v>
      </c>
      <c r="K2606" s="13" t="n">
        <f aca="false">H2606+I2606</f>
        <v>3.468906</v>
      </c>
      <c r="L2606" s="13" t="n">
        <f aca="false">MAX(0,D2606-K2606)</f>
        <v>0.483094</v>
      </c>
      <c r="M2606" s="13" t="n">
        <f aca="false">MAX(0,F2606-I2606-J2606)</f>
        <v>0</v>
      </c>
      <c r="N2606" s="13" t="n">
        <f aca="false">IF(Kalender!A44="",0,J2605-H2606)</f>
        <v>0.0348840000000001</v>
      </c>
    </row>
    <row r="2607" customFormat="false" ht="16.4" hidden="false" customHeight="false" outlineLevel="0" collapsed="false">
      <c r="A2607" s="13" t="str">
        <f aca="false">""</f>
        <v/>
      </c>
      <c r="B2607" s="13" t="n">
        <f aca="false">41</f>
        <v>41</v>
      </c>
      <c r="C2607" s="13" t="n">
        <f aca="false">IF(Szenarien!$H$18="OK",(IFERROR(SUMIF(Nutzungsprofile!$B$6:$B$11,"Schulbetrieb",Nutzungsprofile!$G$6:$G$11)*Kalender!C45/SUM(Kalender!$C$5:$C$370),0)+IFERROR(SUMIF(Nutzungsprofile!$B$6:$B$11,"Halle",Nutzungsprofile!$G$6:$G$11)*Kalender!D45/SUM(Kalender!$D$5:$D$370),0)+IFERROR(SUMIF(Nutzungsprofile!$B$6:$B$11,"Individuell",Nutzungsprofile!$G$6:$G$11)*Kalender!E45/SUM(Kalender!$E$5:$E$370),0))*Szenarien!$E$18,0)</f>
        <v>2.94</v>
      </c>
      <c r="D2607" s="13" t="n">
        <f aca="false">IF(Szenarien!$H$18="OK",(IFERROR(SUMIF(Nutzungsprofile!$B$17:$B$22,"Schulbetrieb",Nutzungsprofile!$G$17:$G$22)*Kalender!C45/SUM(Kalender!$C$5:$C$370),0)+IFERROR(SUMIF(Nutzungsprofile!$B$17:$B$22,"Halle",Nutzungsprofile!$G$17:$G$22)*Kalender!D45/SUM(Kalender!$D$5:$D$370),0)+IFERROR(SUMIF(Nutzungsprofile!$B$17:$B$22,"Individuell",Nutzungsprofile!$G$17:$G$22)*Kalender!E45/SUM(Kalender!$E$5:$E$370),0))*Szenarien!$D$18,0)</f>
        <v>3.952</v>
      </c>
      <c r="E2607" s="13" t="n">
        <f aca="false">IFERROR(MIN(C2607,Eingaben!$B$17)*Eingaben!$B$16,0)</f>
        <v>2.793</v>
      </c>
      <c r="F2607" s="13" t="n">
        <f aca="false">IFERROR(E2607*Eingaben!$B$15,0)</f>
        <v>2.5137</v>
      </c>
      <c r="G2607" s="13" t="n">
        <f aca="false">IFERROR(IF(Kalender!A45="",0,J2606*(1-Eingaben!$B$20)),0)</f>
        <v>0.7390278</v>
      </c>
      <c r="H2607" s="13" t="n">
        <f aca="false">MIN(G2607,D2607)</f>
        <v>0.7390278</v>
      </c>
      <c r="I2607" s="13" t="n">
        <f aca="false">IFERROR(MIN(F2607*Eingaben!$B$19,MAX(0,D2607-H2607)),0)</f>
        <v>1.75959</v>
      </c>
      <c r="J2607" s="13" t="n">
        <f aca="false">IFERROR(MIN(Eingaben!$B$18,MAX(0,F2607-I2607)),0)</f>
        <v>0.75411</v>
      </c>
      <c r="K2607" s="13" t="n">
        <f aca="false">H2607+I2607</f>
        <v>2.4986178</v>
      </c>
      <c r="L2607" s="13" t="n">
        <f aca="false">MAX(0,D2607-K2607)</f>
        <v>1.4533822</v>
      </c>
      <c r="M2607" s="13" t="n">
        <f aca="false">MAX(0,F2607-I2607-J2607)</f>
        <v>0</v>
      </c>
      <c r="N2607" s="13" t="n">
        <f aca="false">IF(Kalender!A45="",0,J2606-H2607)</f>
        <v>0.0150822</v>
      </c>
    </row>
    <row r="2608" customFormat="false" ht="16.4" hidden="false" customHeight="false" outlineLevel="0" collapsed="false">
      <c r="A2608" s="13" t="str">
        <f aca="false">""</f>
        <v/>
      </c>
      <c r="B2608" s="13" t="n">
        <f aca="false">42</f>
        <v>42</v>
      </c>
      <c r="C2608" s="13" t="n">
        <f aca="false">IF(Szenarien!$H$18="OK",(IFERROR(SUMIF(Nutzungsprofile!$B$6:$B$11,"Schulbetrieb",Nutzungsprofile!$G$6:$G$11)*Kalender!C46/SUM(Kalender!$C$5:$C$370),0)+IFERROR(SUMIF(Nutzungsprofile!$B$6:$B$11,"Halle",Nutzungsprofile!$G$6:$G$11)*Kalender!D46/SUM(Kalender!$D$5:$D$370),0)+IFERROR(SUMIF(Nutzungsprofile!$B$6:$B$11,"Individuell",Nutzungsprofile!$G$6:$G$11)*Kalender!E46/SUM(Kalender!$E$5:$E$370),0))*Szenarien!$E$18,0)</f>
        <v>2.94</v>
      </c>
      <c r="D2608" s="13" t="n">
        <f aca="false">IF(Szenarien!$H$18="OK",(IFERROR(SUMIF(Nutzungsprofile!$B$17:$B$22,"Schulbetrieb",Nutzungsprofile!$G$17:$G$22)*Kalender!C46/SUM(Kalender!$C$5:$C$370),0)+IFERROR(SUMIF(Nutzungsprofile!$B$17:$B$22,"Halle",Nutzungsprofile!$G$17:$G$22)*Kalender!D46/SUM(Kalender!$D$5:$D$370),0)+IFERROR(SUMIF(Nutzungsprofile!$B$17:$B$22,"Individuell",Nutzungsprofile!$G$17:$G$22)*Kalender!E46/SUM(Kalender!$E$5:$E$370),0))*Szenarien!$D$18,0)</f>
        <v>3.952</v>
      </c>
      <c r="E2608" s="13" t="n">
        <f aca="false">IFERROR(MIN(C2608,Eingaben!$B$17)*Eingaben!$B$16,0)</f>
        <v>2.793</v>
      </c>
      <c r="F2608" s="13" t="n">
        <f aca="false">IFERROR(E2608*Eingaben!$B$15,0)</f>
        <v>2.5137</v>
      </c>
      <c r="G2608" s="13" t="n">
        <f aca="false">IFERROR(IF(Kalender!A46="",0,J2607*(1-Eingaben!$B$20)),0)</f>
        <v>0.7390278</v>
      </c>
      <c r="H2608" s="13" t="n">
        <f aca="false">MIN(G2608,D2608)</f>
        <v>0.7390278</v>
      </c>
      <c r="I2608" s="13" t="n">
        <f aca="false">IFERROR(MIN(F2608*Eingaben!$B$19,MAX(0,D2608-H2608)),0)</f>
        <v>1.75959</v>
      </c>
      <c r="J2608" s="13" t="n">
        <f aca="false">IFERROR(MIN(Eingaben!$B$18,MAX(0,F2608-I2608)),0)</f>
        <v>0.75411</v>
      </c>
      <c r="K2608" s="13" t="n">
        <f aca="false">H2608+I2608</f>
        <v>2.4986178</v>
      </c>
      <c r="L2608" s="13" t="n">
        <f aca="false">MAX(0,D2608-K2608)</f>
        <v>1.4533822</v>
      </c>
      <c r="M2608" s="13" t="n">
        <f aca="false">MAX(0,F2608-I2608-J2608)</f>
        <v>0</v>
      </c>
      <c r="N2608" s="13" t="n">
        <f aca="false">IF(Kalender!A46="",0,J2607-H2608)</f>
        <v>0.0150822</v>
      </c>
    </row>
    <row r="2609" customFormat="false" ht="16.4" hidden="false" customHeight="false" outlineLevel="0" collapsed="false">
      <c r="A2609" s="13" t="str">
        <f aca="false">""</f>
        <v/>
      </c>
      <c r="B2609" s="13" t="n">
        <f aca="false">43</f>
        <v>43</v>
      </c>
      <c r="C2609" s="13" t="n">
        <f aca="false">IF(Szenarien!$H$18="OK",(IFERROR(SUMIF(Nutzungsprofile!$B$6:$B$11,"Schulbetrieb",Nutzungsprofile!$G$6:$G$11)*Kalender!C47/SUM(Kalender!$C$5:$C$370),0)+IFERROR(SUMIF(Nutzungsprofile!$B$6:$B$11,"Halle",Nutzungsprofile!$G$6:$G$11)*Kalender!D47/SUM(Kalender!$D$5:$D$370),0)+IFERROR(SUMIF(Nutzungsprofile!$B$6:$B$11,"Individuell",Nutzungsprofile!$G$6:$G$11)*Kalender!E47/SUM(Kalender!$E$5:$E$370),0))*Szenarien!$E$18,0)</f>
        <v>2.94</v>
      </c>
      <c r="D2609" s="13" t="n">
        <f aca="false">IF(Szenarien!$H$18="OK",(IFERROR(SUMIF(Nutzungsprofile!$B$17:$B$22,"Schulbetrieb",Nutzungsprofile!$G$17:$G$22)*Kalender!C47/SUM(Kalender!$C$5:$C$370),0)+IFERROR(SUMIF(Nutzungsprofile!$B$17:$B$22,"Halle",Nutzungsprofile!$G$17:$G$22)*Kalender!D47/SUM(Kalender!$D$5:$D$370),0)+IFERROR(SUMIF(Nutzungsprofile!$B$17:$B$22,"Individuell",Nutzungsprofile!$G$17:$G$22)*Kalender!E47/SUM(Kalender!$E$5:$E$370),0))*Szenarien!$D$18,0)</f>
        <v>3.952</v>
      </c>
      <c r="E2609" s="13" t="n">
        <f aca="false">IFERROR(MIN(C2609,Eingaben!$B$17)*Eingaben!$B$16,0)</f>
        <v>2.793</v>
      </c>
      <c r="F2609" s="13" t="n">
        <f aca="false">IFERROR(E2609*Eingaben!$B$15,0)</f>
        <v>2.5137</v>
      </c>
      <c r="G2609" s="13" t="n">
        <f aca="false">IFERROR(IF(Kalender!A47="",0,J2608*(1-Eingaben!$B$20)),0)</f>
        <v>0.7390278</v>
      </c>
      <c r="H2609" s="13" t="n">
        <f aca="false">MIN(G2609,D2609)</f>
        <v>0.7390278</v>
      </c>
      <c r="I2609" s="13" t="n">
        <f aca="false">IFERROR(MIN(F2609*Eingaben!$B$19,MAX(0,D2609-H2609)),0)</f>
        <v>1.75959</v>
      </c>
      <c r="J2609" s="13" t="n">
        <f aca="false">IFERROR(MIN(Eingaben!$B$18,MAX(0,F2609-I2609)),0)</f>
        <v>0.75411</v>
      </c>
      <c r="K2609" s="13" t="n">
        <f aca="false">H2609+I2609</f>
        <v>2.4986178</v>
      </c>
      <c r="L2609" s="13" t="n">
        <f aca="false">MAX(0,D2609-K2609)</f>
        <v>1.4533822</v>
      </c>
      <c r="M2609" s="13" t="n">
        <f aca="false">MAX(0,F2609-I2609-J2609)</f>
        <v>0</v>
      </c>
      <c r="N2609" s="13" t="n">
        <f aca="false">IF(Kalender!A47="",0,J2608-H2609)</f>
        <v>0.0150822</v>
      </c>
    </row>
    <row r="2610" customFormat="false" ht="16.4" hidden="false" customHeight="false" outlineLevel="0" collapsed="false">
      <c r="A2610" s="13" t="str">
        <f aca="false">""</f>
        <v/>
      </c>
      <c r="B2610" s="13" t="n">
        <f aca="false">44</f>
        <v>44</v>
      </c>
      <c r="C2610" s="13" t="n">
        <f aca="false">IF(Szenarien!$H$18="OK",(IFERROR(SUMIF(Nutzungsprofile!$B$6:$B$11,"Schulbetrieb",Nutzungsprofile!$G$6:$G$11)*Kalender!C48/SUM(Kalender!$C$5:$C$370),0)+IFERROR(SUMIF(Nutzungsprofile!$B$6:$B$11,"Halle",Nutzungsprofile!$G$6:$G$11)*Kalender!D48/SUM(Kalender!$D$5:$D$370),0)+IFERROR(SUMIF(Nutzungsprofile!$B$6:$B$11,"Individuell",Nutzungsprofile!$G$6:$G$11)*Kalender!E48/SUM(Kalender!$E$5:$E$370),0))*Szenarien!$E$18,0)</f>
        <v>2.94</v>
      </c>
      <c r="D2610" s="13" t="n">
        <f aca="false">IF(Szenarien!$H$18="OK",(IFERROR(SUMIF(Nutzungsprofile!$B$17:$B$22,"Schulbetrieb",Nutzungsprofile!$G$17:$G$22)*Kalender!C48/SUM(Kalender!$C$5:$C$370),0)+IFERROR(SUMIF(Nutzungsprofile!$B$17:$B$22,"Halle",Nutzungsprofile!$G$17:$G$22)*Kalender!D48/SUM(Kalender!$D$5:$D$370),0)+IFERROR(SUMIF(Nutzungsprofile!$B$17:$B$22,"Individuell",Nutzungsprofile!$G$17:$G$22)*Kalender!E48/SUM(Kalender!$E$5:$E$370),0))*Szenarien!$D$18,0)</f>
        <v>3.952</v>
      </c>
      <c r="E2610" s="13" t="n">
        <f aca="false">IFERROR(MIN(C2610,Eingaben!$B$17)*Eingaben!$B$16,0)</f>
        <v>2.793</v>
      </c>
      <c r="F2610" s="13" t="n">
        <f aca="false">IFERROR(E2610*Eingaben!$B$15,0)</f>
        <v>2.5137</v>
      </c>
      <c r="G2610" s="13" t="n">
        <f aca="false">IFERROR(IF(Kalender!A48="",0,J2609*(1-Eingaben!$B$20)),0)</f>
        <v>0.7390278</v>
      </c>
      <c r="H2610" s="13" t="n">
        <f aca="false">MIN(G2610,D2610)</f>
        <v>0.7390278</v>
      </c>
      <c r="I2610" s="13" t="n">
        <f aca="false">IFERROR(MIN(F2610*Eingaben!$B$19,MAX(0,D2610-H2610)),0)</f>
        <v>1.75959</v>
      </c>
      <c r="J2610" s="13" t="n">
        <f aca="false">IFERROR(MIN(Eingaben!$B$18,MAX(0,F2610-I2610)),0)</f>
        <v>0.75411</v>
      </c>
      <c r="K2610" s="13" t="n">
        <f aca="false">H2610+I2610</f>
        <v>2.4986178</v>
      </c>
      <c r="L2610" s="13" t="n">
        <f aca="false">MAX(0,D2610-K2610)</f>
        <v>1.4533822</v>
      </c>
      <c r="M2610" s="13" t="n">
        <f aca="false">MAX(0,F2610-I2610-J2610)</f>
        <v>0</v>
      </c>
      <c r="N2610" s="13" t="n">
        <f aca="false">IF(Kalender!A48="",0,J2609-H2610)</f>
        <v>0.0150822</v>
      </c>
    </row>
    <row r="2611" customFormat="false" ht="16.4" hidden="false" customHeight="false" outlineLevel="0" collapsed="false">
      <c r="A2611" s="13" t="str">
        <f aca="false">""</f>
        <v/>
      </c>
      <c r="B2611" s="13" t="n">
        <f aca="false">45</f>
        <v>45</v>
      </c>
      <c r="C2611" s="13" t="n">
        <f aca="false">IF(Szenarien!$H$18="OK",(IFERROR(SUMIF(Nutzungsprofile!$B$6:$B$11,"Schulbetrieb",Nutzungsprofile!$G$6:$G$11)*Kalender!C49/SUM(Kalender!$C$5:$C$370),0)+IFERROR(SUMIF(Nutzungsprofile!$B$6:$B$11,"Halle",Nutzungsprofile!$G$6:$G$11)*Kalender!D49/SUM(Kalender!$D$5:$D$370),0)+IFERROR(SUMIF(Nutzungsprofile!$B$6:$B$11,"Individuell",Nutzungsprofile!$G$6:$G$11)*Kalender!E49/SUM(Kalender!$E$5:$E$370),0))*Szenarien!$E$18,0)</f>
        <v>2.04</v>
      </c>
      <c r="D2611" s="13" t="n">
        <f aca="false">IF(Szenarien!$H$18="OK",(IFERROR(SUMIF(Nutzungsprofile!$B$17:$B$22,"Schulbetrieb",Nutzungsprofile!$G$17:$G$22)*Kalender!C49/SUM(Kalender!$C$5:$C$370),0)+IFERROR(SUMIF(Nutzungsprofile!$B$17:$B$22,"Halle",Nutzungsprofile!$G$17:$G$22)*Kalender!D49/SUM(Kalender!$D$5:$D$370),0)+IFERROR(SUMIF(Nutzungsprofile!$B$17:$B$22,"Individuell",Nutzungsprofile!$G$17:$G$22)*Kalender!E49/SUM(Kalender!$E$5:$E$370),0))*Szenarien!$D$18,0)</f>
        <v>0.712</v>
      </c>
      <c r="E2611" s="13" t="n">
        <f aca="false">IFERROR(MIN(C2611,Eingaben!$B$17)*Eingaben!$B$16,0)</f>
        <v>1.938</v>
      </c>
      <c r="F2611" s="13" t="n">
        <f aca="false">IFERROR(E2611*Eingaben!$B$15,0)</f>
        <v>1.7442</v>
      </c>
      <c r="G2611" s="13" t="n">
        <f aca="false">IFERROR(IF(Kalender!A49="",0,J2610*(1-Eingaben!$B$20)),0)</f>
        <v>0.7390278</v>
      </c>
      <c r="H2611" s="13" t="n">
        <f aca="false">MIN(G2611,D2611)</f>
        <v>0.712</v>
      </c>
      <c r="I2611" s="13" t="n">
        <f aca="false">IFERROR(MIN(F2611*Eingaben!$B$19,MAX(0,D2611-H2611)),0)</f>
        <v>0</v>
      </c>
      <c r="J2611" s="13" t="n">
        <f aca="false">IFERROR(MIN(Eingaben!$B$18,MAX(0,F2611-I2611)),0)</f>
        <v>1.7442</v>
      </c>
      <c r="K2611" s="13" t="n">
        <f aca="false">H2611+I2611</f>
        <v>0.712</v>
      </c>
      <c r="L2611" s="13" t="n">
        <f aca="false">MAX(0,D2611-K2611)</f>
        <v>0</v>
      </c>
      <c r="M2611" s="13" t="n">
        <f aca="false">MAX(0,F2611-I2611-J2611)</f>
        <v>0</v>
      </c>
      <c r="N2611" s="13" t="n">
        <f aca="false">IF(Kalender!A49="",0,J2610-H2611)</f>
        <v>0.04211</v>
      </c>
    </row>
    <row r="2612" customFormat="false" ht="16.4" hidden="false" customHeight="false" outlineLevel="0" collapsed="false">
      <c r="A2612" s="13" t="str">
        <f aca="false">""</f>
        <v/>
      </c>
      <c r="B2612" s="13" t="n">
        <f aca="false">46</f>
        <v>46</v>
      </c>
      <c r="C2612" s="13" t="n">
        <f aca="false">IF(Szenarien!$H$18="OK",(IFERROR(SUMIF(Nutzungsprofile!$B$6:$B$11,"Schulbetrieb",Nutzungsprofile!$G$6:$G$11)*Kalender!C50/SUM(Kalender!$C$5:$C$370),0)+IFERROR(SUMIF(Nutzungsprofile!$B$6:$B$11,"Halle",Nutzungsprofile!$G$6:$G$11)*Kalender!D50/SUM(Kalender!$D$5:$D$370),0)+IFERROR(SUMIF(Nutzungsprofile!$B$6:$B$11,"Individuell",Nutzungsprofile!$G$6:$G$11)*Kalender!E50/SUM(Kalender!$E$5:$E$370),0))*Szenarien!$E$18,0)</f>
        <v>2.04</v>
      </c>
      <c r="D2612" s="13" t="n">
        <f aca="false">IF(Szenarien!$H$18="OK",(IFERROR(SUMIF(Nutzungsprofile!$B$17:$B$22,"Schulbetrieb",Nutzungsprofile!$G$17:$G$22)*Kalender!C50/SUM(Kalender!$C$5:$C$370),0)+IFERROR(SUMIF(Nutzungsprofile!$B$17:$B$22,"Halle",Nutzungsprofile!$G$17:$G$22)*Kalender!D50/SUM(Kalender!$D$5:$D$370),0)+IFERROR(SUMIF(Nutzungsprofile!$B$17:$B$22,"Individuell",Nutzungsprofile!$G$17:$G$22)*Kalender!E50/SUM(Kalender!$E$5:$E$370),0))*Szenarien!$D$18,0)</f>
        <v>0.712</v>
      </c>
      <c r="E2612" s="13" t="n">
        <f aca="false">IFERROR(MIN(C2612,Eingaben!$B$17)*Eingaben!$B$16,0)</f>
        <v>1.938</v>
      </c>
      <c r="F2612" s="13" t="n">
        <f aca="false">IFERROR(E2612*Eingaben!$B$15,0)</f>
        <v>1.7442</v>
      </c>
      <c r="G2612" s="13" t="n">
        <f aca="false">IFERROR(IF(Kalender!A50="",0,J2611*(1-Eingaben!$B$20)),0)</f>
        <v>1.709316</v>
      </c>
      <c r="H2612" s="13" t="n">
        <f aca="false">MIN(G2612,D2612)</f>
        <v>0.712</v>
      </c>
      <c r="I2612" s="13" t="n">
        <f aca="false">IFERROR(MIN(F2612*Eingaben!$B$19,MAX(0,D2612-H2612)),0)</f>
        <v>0</v>
      </c>
      <c r="J2612" s="13" t="n">
        <f aca="false">IFERROR(MIN(Eingaben!$B$18,MAX(0,F2612-I2612)),0)</f>
        <v>1.7442</v>
      </c>
      <c r="K2612" s="13" t="n">
        <f aca="false">H2612+I2612</f>
        <v>0.712</v>
      </c>
      <c r="L2612" s="13" t="n">
        <f aca="false">MAX(0,D2612-K2612)</f>
        <v>0</v>
      </c>
      <c r="M2612" s="13" t="n">
        <f aca="false">MAX(0,F2612-I2612-J2612)</f>
        <v>0</v>
      </c>
      <c r="N2612" s="13" t="n">
        <f aca="false">IF(Kalender!A50="",0,J2611-H2612)</f>
        <v>1.0322</v>
      </c>
    </row>
    <row r="2613" customFormat="false" ht="16.4" hidden="false" customHeight="false" outlineLevel="0" collapsed="false">
      <c r="A2613" s="13" t="str">
        <f aca="false">""</f>
        <v/>
      </c>
      <c r="B2613" s="13" t="n">
        <f aca="false">47</f>
        <v>47</v>
      </c>
      <c r="C2613" s="13" t="n">
        <f aca="false">IF(Szenarien!$H$18="OK",(IFERROR(SUMIF(Nutzungsprofile!$B$6:$B$11,"Schulbetrieb",Nutzungsprofile!$G$6:$G$11)*Kalender!C51/SUM(Kalender!$C$5:$C$370),0)+IFERROR(SUMIF(Nutzungsprofile!$B$6:$B$11,"Halle",Nutzungsprofile!$G$6:$G$11)*Kalender!D51/SUM(Kalender!$D$5:$D$370),0)+IFERROR(SUMIF(Nutzungsprofile!$B$6:$B$11,"Individuell",Nutzungsprofile!$G$6:$G$11)*Kalender!E51/SUM(Kalender!$E$5:$E$370),0))*Szenarien!$E$18,0)</f>
        <v>2.94</v>
      </c>
      <c r="D2613" s="13" t="n">
        <f aca="false">IF(Szenarien!$H$18="OK",(IFERROR(SUMIF(Nutzungsprofile!$B$17:$B$22,"Schulbetrieb",Nutzungsprofile!$G$17:$G$22)*Kalender!C51/SUM(Kalender!$C$5:$C$370),0)+IFERROR(SUMIF(Nutzungsprofile!$B$17:$B$22,"Halle",Nutzungsprofile!$G$17:$G$22)*Kalender!D51/SUM(Kalender!$D$5:$D$370),0)+IFERROR(SUMIF(Nutzungsprofile!$B$17:$B$22,"Individuell",Nutzungsprofile!$G$17:$G$22)*Kalender!E51/SUM(Kalender!$E$5:$E$370),0))*Szenarien!$D$18,0)</f>
        <v>3.952</v>
      </c>
      <c r="E2613" s="13" t="n">
        <f aca="false">IFERROR(MIN(C2613,Eingaben!$B$17)*Eingaben!$B$16,0)</f>
        <v>2.793</v>
      </c>
      <c r="F2613" s="13" t="n">
        <f aca="false">IFERROR(E2613*Eingaben!$B$15,0)</f>
        <v>2.5137</v>
      </c>
      <c r="G2613" s="13" t="n">
        <f aca="false">IFERROR(IF(Kalender!A51="",0,J2612*(1-Eingaben!$B$20)),0)</f>
        <v>1.709316</v>
      </c>
      <c r="H2613" s="13" t="n">
        <f aca="false">MIN(G2613,D2613)</f>
        <v>1.709316</v>
      </c>
      <c r="I2613" s="13" t="n">
        <f aca="false">IFERROR(MIN(F2613*Eingaben!$B$19,MAX(0,D2613-H2613)),0)</f>
        <v>1.75959</v>
      </c>
      <c r="J2613" s="13" t="n">
        <f aca="false">IFERROR(MIN(Eingaben!$B$18,MAX(0,F2613-I2613)),0)</f>
        <v>0.75411</v>
      </c>
      <c r="K2613" s="13" t="n">
        <f aca="false">H2613+I2613</f>
        <v>3.468906</v>
      </c>
      <c r="L2613" s="13" t="n">
        <f aca="false">MAX(0,D2613-K2613)</f>
        <v>0.483094</v>
      </c>
      <c r="M2613" s="13" t="n">
        <f aca="false">MAX(0,F2613-I2613-J2613)</f>
        <v>0</v>
      </c>
      <c r="N2613" s="13" t="n">
        <f aca="false">IF(Kalender!A51="",0,J2612-H2613)</f>
        <v>0.0348840000000001</v>
      </c>
    </row>
    <row r="2614" customFormat="false" ht="16.4" hidden="false" customHeight="false" outlineLevel="0" collapsed="false">
      <c r="A2614" s="13" t="str">
        <f aca="false">""</f>
        <v/>
      </c>
      <c r="B2614" s="13" t="n">
        <f aca="false">48</f>
        <v>48</v>
      </c>
      <c r="C2614" s="13" t="n">
        <f aca="false">IF(Szenarien!$H$18="OK",(IFERROR(SUMIF(Nutzungsprofile!$B$6:$B$11,"Schulbetrieb",Nutzungsprofile!$G$6:$G$11)*Kalender!C52/SUM(Kalender!$C$5:$C$370),0)+IFERROR(SUMIF(Nutzungsprofile!$B$6:$B$11,"Halle",Nutzungsprofile!$G$6:$G$11)*Kalender!D52/SUM(Kalender!$D$5:$D$370),0)+IFERROR(SUMIF(Nutzungsprofile!$B$6:$B$11,"Individuell",Nutzungsprofile!$G$6:$G$11)*Kalender!E52/SUM(Kalender!$E$5:$E$370),0))*Szenarien!$E$18,0)</f>
        <v>2.94</v>
      </c>
      <c r="D2614" s="13" t="n">
        <f aca="false">IF(Szenarien!$H$18="OK",(IFERROR(SUMIF(Nutzungsprofile!$B$17:$B$22,"Schulbetrieb",Nutzungsprofile!$G$17:$G$22)*Kalender!C52/SUM(Kalender!$C$5:$C$370),0)+IFERROR(SUMIF(Nutzungsprofile!$B$17:$B$22,"Halle",Nutzungsprofile!$G$17:$G$22)*Kalender!D52/SUM(Kalender!$D$5:$D$370),0)+IFERROR(SUMIF(Nutzungsprofile!$B$17:$B$22,"Individuell",Nutzungsprofile!$G$17:$G$22)*Kalender!E52/SUM(Kalender!$E$5:$E$370),0))*Szenarien!$D$18,0)</f>
        <v>3.952</v>
      </c>
      <c r="E2614" s="13" t="n">
        <f aca="false">IFERROR(MIN(C2614,Eingaben!$B$17)*Eingaben!$B$16,0)</f>
        <v>2.793</v>
      </c>
      <c r="F2614" s="13" t="n">
        <f aca="false">IFERROR(E2614*Eingaben!$B$15,0)</f>
        <v>2.5137</v>
      </c>
      <c r="G2614" s="13" t="n">
        <f aca="false">IFERROR(IF(Kalender!A52="",0,J2613*(1-Eingaben!$B$20)),0)</f>
        <v>0.7390278</v>
      </c>
      <c r="H2614" s="13" t="n">
        <f aca="false">MIN(G2614,D2614)</f>
        <v>0.7390278</v>
      </c>
      <c r="I2614" s="13" t="n">
        <f aca="false">IFERROR(MIN(F2614*Eingaben!$B$19,MAX(0,D2614-H2614)),0)</f>
        <v>1.75959</v>
      </c>
      <c r="J2614" s="13" t="n">
        <f aca="false">IFERROR(MIN(Eingaben!$B$18,MAX(0,F2614-I2614)),0)</f>
        <v>0.75411</v>
      </c>
      <c r="K2614" s="13" t="n">
        <f aca="false">H2614+I2614</f>
        <v>2.4986178</v>
      </c>
      <c r="L2614" s="13" t="n">
        <f aca="false">MAX(0,D2614-K2614)</f>
        <v>1.4533822</v>
      </c>
      <c r="M2614" s="13" t="n">
        <f aca="false">MAX(0,F2614-I2614-J2614)</f>
        <v>0</v>
      </c>
      <c r="N2614" s="13" t="n">
        <f aca="false">IF(Kalender!A52="",0,J2613-H2614)</f>
        <v>0.0150822</v>
      </c>
    </row>
    <row r="2615" customFormat="false" ht="16.4" hidden="false" customHeight="false" outlineLevel="0" collapsed="false">
      <c r="A2615" s="13" t="str">
        <f aca="false">""</f>
        <v/>
      </c>
      <c r="B2615" s="13" t="n">
        <f aca="false">49</f>
        <v>49</v>
      </c>
      <c r="C2615" s="13" t="n">
        <f aca="false">IF(Szenarien!$H$18="OK",(IFERROR(SUMIF(Nutzungsprofile!$B$6:$B$11,"Schulbetrieb",Nutzungsprofile!$G$6:$G$11)*Kalender!C53/SUM(Kalender!$C$5:$C$370),0)+IFERROR(SUMIF(Nutzungsprofile!$B$6:$B$11,"Halle",Nutzungsprofile!$G$6:$G$11)*Kalender!D53/SUM(Kalender!$D$5:$D$370),0)+IFERROR(SUMIF(Nutzungsprofile!$B$6:$B$11,"Individuell",Nutzungsprofile!$G$6:$G$11)*Kalender!E53/SUM(Kalender!$E$5:$E$370),0))*Szenarien!$E$18,0)</f>
        <v>2.94</v>
      </c>
      <c r="D2615" s="13" t="n">
        <f aca="false">IF(Szenarien!$H$18="OK",(IFERROR(SUMIF(Nutzungsprofile!$B$17:$B$22,"Schulbetrieb",Nutzungsprofile!$G$17:$G$22)*Kalender!C53/SUM(Kalender!$C$5:$C$370),0)+IFERROR(SUMIF(Nutzungsprofile!$B$17:$B$22,"Halle",Nutzungsprofile!$G$17:$G$22)*Kalender!D53/SUM(Kalender!$D$5:$D$370),0)+IFERROR(SUMIF(Nutzungsprofile!$B$17:$B$22,"Individuell",Nutzungsprofile!$G$17:$G$22)*Kalender!E53/SUM(Kalender!$E$5:$E$370),0))*Szenarien!$D$18,0)</f>
        <v>3.952</v>
      </c>
      <c r="E2615" s="13" t="n">
        <f aca="false">IFERROR(MIN(C2615,Eingaben!$B$17)*Eingaben!$B$16,0)</f>
        <v>2.793</v>
      </c>
      <c r="F2615" s="13" t="n">
        <f aca="false">IFERROR(E2615*Eingaben!$B$15,0)</f>
        <v>2.5137</v>
      </c>
      <c r="G2615" s="13" t="n">
        <f aca="false">IFERROR(IF(Kalender!A53="",0,J2614*(1-Eingaben!$B$20)),0)</f>
        <v>0.7390278</v>
      </c>
      <c r="H2615" s="13" t="n">
        <f aca="false">MIN(G2615,D2615)</f>
        <v>0.7390278</v>
      </c>
      <c r="I2615" s="13" t="n">
        <f aca="false">IFERROR(MIN(F2615*Eingaben!$B$19,MAX(0,D2615-H2615)),0)</f>
        <v>1.75959</v>
      </c>
      <c r="J2615" s="13" t="n">
        <f aca="false">IFERROR(MIN(Eingaben!$B$18,MAX(0,F2615-I2615)),0)</f>
        <v>0.75411</v>
      </c>
      <c r="K2615" s="13" t="n">
        <f aca="false">H2615+I2615</f>
        <v>2.4986178</v>
      </c>
      <c r="L2615" s="13" t="n">
        <f aca="false">MAX(0,D2615-K2615)</f>
        <v>1.4533822</v>
      </c>
      <c r="M2615" s="13" t="n">
        <f aca="false">MAX(0,F2615-I2615-J2615)</f>
        <v>0</v>
      </c>
      <c r="N2615" s="13" t="n">
        <f aca="false">IF(Kalender!A53="",0,J2614-H2615)</f>
        <v>0.0150822</v>
      </c>
    </row>
    <row r="2616" customFormat="false" ht="16.4" hidden="false" customHeight="false" outlineLevel="0" collapsed="false">
      <c r="A2616" s="13" t="str">
        <f aca="false">""</f>
        <v/>
      </c>
      <c r="B2616" s="13" t="n">
        <f aca="false">50</f>
        <v>50</v>
      </c>
      <c r="C2616" s="13" t="n">
        <f aca="false">IF(Szenarien!$H$18="OK",(IFERROR(SUMIF(Nutzungsprofile!$B$6:$B$11,"Schulbetrieb",Nutzungsprofile!$G$6:$G$11)*Kalender!C54/SUM(Kalender!$C$5:$C$370),0)+IFERROR(SUMIF(Nutzungsprofile!$B$6:$B$11,"Halle",Nutzungsprofile!$G$6:$G$11)*Kalender!D54/SUM(Kalender!$D$5:$D$370),0)+IFERROR(SUMIF(Nutzungsprofile!$B$6:$B$11,"Individuell",Nutzungsprofile!$G$6:$G$11)*Kalender!E54/SUM(Kalender!$E$5:$E$370),0))*Szenarien!$E$18,0)</f>
        <v>2.94</v>
      </c>
      <c r="D2616" s="13" t="n">
        <f aca="false">IF(Szenarien!$H$18="OK",(IFERROR(SUMIF(Nutzungsprofile!$B$17:$B$22,"Schulbetrieb",Nutzungsprofile!$G$17:$G$22)*Kalender!C54/SUM(Kalender!$C$5:$C$370),0)+IFERROR(SUMIF(Nutzungsprofile!$B$17:$B$22,"Halle",Nutzungsprofile!$G$17:$G$22)*Kalender!D54/SUM(Kalender!$D$5:$D$370),0)+IFERROR(SUMIF(Nutzungsprofile!$B$17:$B$22,"Individuell",Nutzungsprofile!$G$17:$G$22)*Kalender!E54/SUM(Kalender!$E$5:$E$370),0))*Szenarien!$D$18,0)</f>
        <v>3.952</v>
      </c>
      <c r="E2616" s="13" t="n">
        <f aca="false">IFERROR(MIN(C2616,Eingaben!$B$17)*Eingaben!$B$16,0)</f>
        <v>2.793</v>
      </c>
      <c r="F2616" s="13" t="n">
        <f aca="false">IFERROR(E2616*Eingaben!$B$15,0)</f>
        <v>2.5137</v>
      </c>
      <c r="G2616" s="13" t="n">
        <f aca="false">IFERROR(IF(Kalender!A54="",0,J2615*(1-Eingaben!$B$20)),0)</f>
        <v>0.7390278</v>
      </c>
      <c r="H2616" s="13" t="n">
        <f aca="false">MIN(G2616,D2616)</f>
        <v>0.7390278</v>
      </c>
      <c r="I2616" s="13" t="n">
        <f aca="false">IFERROR(MIN(F2616*Eingaben!$B$19,MAX(0,D2616-H2616)),0)</f>
        <v>1.75959</v>
      </c>
      <c r="J2616" s="13" t="n">
        <f aca="false">IFERROR(MIN(Eingaben!$B$18,MAX(0,F2616-I2616)),0)</f>
        <v>0.75411</v>
      </c>
      <c r="K2616" s="13" t="n">
        <f aca="false">H2616+I2616</f>
        <v>2.4986178</v>
      </c>
      <c r="L2616" s="13" t="n">
        <f aca="false">MAX(0,D2616-K2616)</f>
        <v>1.4533822</v>
      </c>
      <c r="M2616" s="13" t="n">
        <f aca="false">MAX(0,F2616-I2616-J2616)</f>
        <v>0</v>
      </c>
      <c r="N2616" s="13" t="n">
        <f aca="false">IF(Kalender!A54="",0,J2615-H2616)</f>
        <v>0.0150822</v>
      </c>
    </row>
    <row r="2617" customFormat="false" ht="16.4" hidden="false" customHeight="false" outlineLevel="0" collapsed="false">
      <c r="A2617" s="13" t="str">
        <f aca="false">""</f>
        <v/>
      </c>
      <c r="B2617" s="13" t="n">
        <f aca="false">51</f>
        <v>51</v>
      </c>
      <c r="C2617" s="13" t="n">
        <f aca="false">IF(Szenarien!$H$18="OK",(IFERROR(SUMIF(Nutzungsprofile!$B$6:$B$11,"Schulbetrieb",Nutzungsprofile!$G$6:$G$11)*Kalender!C55/SUM(Kalender!$C$5:$C$370),0)+IFERROR(SUMIF(Nutzungsprofile!$B$6:$B$11,"Halle",Nutzungsprofile!$G$6:$G$11)*Kalender!D55/SUM(Kalender!$D$5:$D$370),0)+IFERROR(SUMIF(Nutzungsprofile!$B$6:$B$11,"Individuell",Nutzungsprofile!$G$6:$G$11)*Kalender!E55/SUM(Kalender!$E$5:$E$370),0))*Szenarien!$E$18,0)</f>
        <v>2.94</v>
      </c>
      <c r="D2617" s="13" t="n">
        <f aca="false">IF(Szenarien!$H$18="OK",(IFERROR(SUMIF(Nutzungsprofile!$B$17:$B$22,"Schulbetrieb",Nutzungsprofile!$G$17:$G$22)*Kalender!C55/SUM(Kalender!$C$5:$C$370),0)+IFERROR(SUMIF(Nutzungsprofile!$B$17:$B$22,"Halle",Nutzungsprofile!$G$17:$G$22)*Kalender!D55/SUM(Kalender!$D$5:$D$370),0)+IFERROR(SUMIF(Nutzungsprofile!$B$17:$B$22,"Individuell",Nutzungsprofile!$G$17:$G$22)*Kalender!E55/SUM(Kalender!$E$5:$E$370),0))*Szenarien!$D$18,0)</f>
        <v>3.952</v>
      </c>
      <c r="E2617" s="13" t="n">
        <f aca="false">IFERROR(MIN(C2617,Eingaben!$B$17)*Eingaben!$B$16,0)</f>
        <v>2.793</v>
      </c>
      <c r="F2617" s="13" t="n">
        <f aca="false">IFERROR(E2617*Eingaben!$B$15,0)</f>
        <v>2.5137</v>
      </c>
      <c r="G2617" s="13" t="n">
        <f aca="false">IFERROR(IF(Kalender!A55="",0,J2616*(1-Eingaben!$B$20)),0)</f>
        <v>0.7390278</v>
      </c>
      <c r="H2617" s="13" t="n">
        <f aca="false">MIN(G2617,D2617)</f>
        <v>0.7390278</v>
      </c>
      <c r="I2617" s="13" t="n">
        <f aca="false">IFERROR(MIN(F2617*Eingaben!$B$19,MAX(0,D2617-H2617)),0)</f>
        <v>1.75959</v>
      </c>
      <c r="J2617" s="13" t="n">
        <f aca="false">IFERROR(MIN(Eingaben!$B$18,MAX(0,F2617-I2617)),0)</f>
        <v>0.75411</v>
      </c>
      <c r="K2617" s="13" t="n">
        <f aca="false">H2617+I2617</f>
        <v>2.4986178</v>
      </c>
      <c r="L2617" s="13" t="n">
        <f aca="false">MAX(0,D2617-K2617)</f>
        <v>1.4533822</v>
      </c>
      <c r="M2617" s="13" t="n">
        <f aca="false">MAX(0,F2617-I2617-J2617)</f>
        <v>0</v>
      </c>
      <c r="N2617" s="13" t="n">
        <f aca="false">IF(Kalender!A55="",0,J2616-H2617)</f>
        <v>0.0150822</v>
      </c>
    </row>
    <row r="2618" customFormat="false" ht="16.4" hidden="false" customHeight="false" outlineLevel="0" collapsed="false">
      <c r="A2618" s="13" t="str">
        <f aca="false">""</f>
        <v/>
      </c>
      <c r="B2618" s="13" t="n">
        <f aca="false">52</f>
        <v>52</v>
      </c>
      <c r="C2618" s="13" t="n">
        <f aca="false">IF(Szenarien!$H$18="OK",(IFERROR(SUMIF(Nutzungsprofile!$B$6:$B$11,"Schulbetrieb",Nutzungsprofile!$G$6:$G$11)*Kalender!C56/SUM(Kalender!$C$5:$C$370),0)+IFERROR(SUMIF(Nutzungsprofile!$B$6:$B$11,"Halle",Nutzungsprofile!$G$6:$G$11)*Kalender!D56/SUM(Kalender!$D$5:$D$370),0)+IFERROR(SUMIF(Nutzungsprofile!$B$6:$B$11,"Individuell",Nutzungsprofile!$G$6:$G$11)*Kalender!E56/SUM(Kalender!$E$5:$E$370),0))*Szenarien!$E$18,0)</f>
        <v>2.04</v>
      </c>
      <c r="D2618" s="13" t="n">
        <f aca="false">IF(Szenarien!$H$18="OK",(IFERROR(SUMIF(Nutzungsprofile!$B$17:$B$22,"Schulbetrieb",Nutzungsprofile!$G$17:$G$22)*Kalender!C56/SUM(Kalender!$C$5:$C$370),0)+IFERROR(SUMIF(Nutzungsprofile!$B$17:$B$22,"Halle",Nutzungsprofile!$G$17:$G$22)*Kalender!D56/SUM(Kalender!$D$5:$D$370),0)+IFERROR(SUMIF(Nutzungsprofile!$B$17:$B$22,"Individuell",Nutzungsprofile!$G$17:$G$22)*Kalender!E56/SUM(Kalender!$E$5:$E$370),0))*Szenarien!$D$18,0)</f>
        <v>0.712</v>
      </c>
      <c r="E2618" s="13" t="n">
        <f aca="false">IFERROR(MIN(C2618,Eingaben!$B$17)*Eingaben!$B$16,0)</f>
        <v>1.938</v>
      </c>
      <c r="F2618" s="13" t="n">
        <f aca="false">IFERROR(E2618*Eingaben!$B$15,0)</f>
        <v>1.7442</v>
      </c>
      <c r="G2618" s="13" t="n">
        <f aca="false">IFERROR(IF(Kalender!A56="",0,J2617*(1-Eingaben!$B$20)),0)</f>
        <v>0.7390278</v>
      </c>
      <c r="H2618" s="13" t="n">
        <f aca="false">MIN(G2618,D2618)</f>
        <v>0.712</v>
      </c>
      <c r="I2618" s="13" t="n">
        <f aca="false">IFERROR(MIN(F2618*Eingaben!$B$19,MAX(0,D2618-H2618)),0)</f>
        <v>0</v>
      </c>
      <c r="J2618" s="13" t="n">
        <f aca="false">IFERROR(MIN(Eingaben!$B$18,MAX(0,F2618-I2618)),0)</f>
        <v>1.7442</v>
      </c>
      <c r="K2618" s="13" t="n">
        <f aca="false">H2618+I2618</f>
        <v>0.712</v>
      </c>
      <c r="L2618" s="13" t="n">
        <f aca="false">MAX(0,D2618-K2618)</f>
        <v>0</v>
      </c>
      <c r="M2618" s="13" t="n">
        <f aca="false">MAX(0,F2618-I2618-J2618)</f>
        <v>0</v>
      </c>
      <c r="N2618" s="13" t="n">
        <f aca="false">IF(Kalender!A56="",0,J2617-H2618)</f>
        <v>0.04211</v>
      </c>
    </row>
    <row r="2619" customFormat="false" ht="16.4" hidden="false" customHeight="false" outlineLevel="0" collapsed="false">
      <c r="A2619" s="13" t="str">
        <f aca="false">""</f>
        <v/>
      </c>
      <c r="B2619" s="13" t="n">
        <f aca="false">53</f>
        <v>53</v>
      </c>
      <c r="C2619" s="13" t="n">
        <f aca="false">IF(Szenarien!$H$18="OK",(IFERROR(SUMIF(Nutzungsprofile!$B$6:$B$11,"Schulbetrieb",Nutzungsprofile!$G$6:$G$11)*Kalender!C57/SUM(Kalender!$C$5:$C$370),0)+IFERROR(SUMIF(Nutzungsprofile!$B$6:$B$11,"Halle",Nutzungsprofile!$G$6:$G$11)*Kalender!D57/SUM(Kalender!$D$5:$D$370),0)+IFERROR(SUMIF(Nutzungsprofile!$B$6:$B$11,"Individuell",Nutzungsprofile!$G$6:$G$11)*Kalender!E57/SUM(Kalender!$E$5:$E$370),0))*Szenarien!$E$18,0)</f>
        <v>2.04</v>
      </c>
      <c r="D2619" s="13" t="n">
        <f aca="false">IF(Szenarien!$H$18="OK",(IFERROR(SUMIF(Nutzungsprofile!$B$17:$B$22,"Schulbetrieb",Nutzungsprofile!$G$17:$G$22)*Kalender!C57/SUM(Kalender!$C$5:$C$370),0)+IFERROR(SUMIF(Nutzungsprofile!$B$17:$B$22,"Halle",Nutzungsprofile!$G$17:$G$22)*Kalender!D57/SUM(Kalender!$D$5:$D$370),0)+IFERROR(SUMIF(Nutzungsprofile!$B$17:$B$22,"Individuell",Nutzungsprofile!$G$17:$G$22)*Kalender!E57/SUM(Kalender!$E$5:$E$370),0))*Szenarien!$D$18,0)</f>
        <v>0.712</v>
      </c>
      <c r="E2619" s="13" t="n">
        <f aca="false">IFERROR(MIN(C2619,Eingaben!$B$17)*Eingaben!$B$16,0)</f>
        <v>1.938</v>
      </c>
      <c r="F2619" s="13" t="n">
        <f aca="false">IFERROR(E2619*Eingaben!$B$15,0)</f>
        <v>1.7442</v>
      </c>
      <c r="G2619" s="13" t="n">
        <f aca="false">IFERROR(IF(Kalender!A57="",0,J2618*(1-Eingaben!$B$20)),0)</f>
        <v>1.709316</v>
      </c>
      <c r="H2619" s="13" t="n">
        <f aca="false">MIN(G2619,D2619)</f>
        <v>0.712</v>
      </c>
      <c r="I2619" s="13" t="n">
        <f aca="false">IFERROR(MIN(F2619*Eingaben!$B$19,MAX(0,D2619-H2619)),0)</f>
        <v>0</v>
      </c>
      <c r="J2619" s="13" t="n">
        <f aca="false">IFERROR(MIN(Eingaben!$B$18,MAX(0,F2619-I2619)),0)</f>
        <v>1.7442</v>
      </c>
      <c r="K2619" s="13" t="n">
        <f aca="false">H2619+I2619</f>
        <v>0.712</v>
      </c>
      <c r="L2619" s="13" t="n">
        <f aca="false">MAX(0,D2619-K2619)</f>
        <v>0</v>
      </c>
      <c r="M2619" s="13" t="n">
        <f aca="false">MAX(0,F2619-I2619-J2619)</f>
        <v>0</v>
      </c>
      <c r="N2619" s="13" t="n">
        <f aca="false">IF(Kalender!A57="",0,J2618-H2619)</f>
        <v>1.0322</v>
      </c>
    </row>
    <row r="2620" customFormat="false" ht="16.4" hidden="false" customHeight="false" outlineLevel="0" collapsed="false">
      <c r="A2620" s="13" t="str">
        <f aca="false">""</f>
        <v/>
      </c>
      <c r="B2620" s="13" t="n">
        <f aca="false">54</f>
        <v>54</v>
      </c>
      <c r="C2620" s="13" t="n">
        <f aca="false">IF(Szenarien!$H$18="OK",(IFERROR(SUMIF(Nutzungsprofile!$B$6:$B$11,"Schulbetrieb",Nutzungsprofile!$G$6:$G$11)*Kalender!C58/SUM(Kalender!$C$5:$C$370),0)+IFERROR(SUMIF(Nutzungsprofile!$B$6:$B$11,"Halle",Nutzungsprofile!$G$6:$G$11)*Kalender!D58/SUM(Kalender!$D$5:$D$370),0)+IFERROR(SUMIF(Nutzungsprofile!$B$6:$B$11,"Individuell",Nutzungsprofile!$G$6:$G$11)*Kalender!E58/SUM(Kalender!$E$5:$E$370),0))*Szenarien!$E$18,0)</f>
        <v>2.94</v>
      </c>
      <c r="D2620" s="13" t="n">
        <f aca="false">IF(Szenarien!$H$18="OK",(IFERROR(SUMIF(Nutzungsprofile!$B$17:$B$22,"Schulbetrieb",Nutzungsprofile!$G$17:$G$22)*Kalender!C58/SUM(Kalender!$C$5:$C$370),0)+IFERROR(SUMIF(Nutzungsprofile!$B$17:$B$22,"Halle",Nutzungsprofile!$G$17:$G$22)*Kalender!D58/SUM(Kalender!$D$5:$D$370),0)+IFERROR(SUMIF(Nutzungsprofile!$B$17:$B$22,"Individuell",Nutzungsprofile!$G$17:$G$22)*Kalender!E58/SUM(Kalender!$E$5:$E$370),0))*Szenarien!$D$18,0)</f>
        <v>3.952</v>
      </c>
      <c r="E2620" s="13" t="n">
        <f aca="false">IFERROR(MIN(C2620,Eingaben!$B$17)*Eingaben!$B$16,0)</f>
        <v>2.793</v>
      </c>
      <c r="F2620" s="13" t="n">
        <f aca="false">IFERROR(E2620*Eingaben!$B$15,0)</f>
        <v>2.5137</v>
      </c>
      <c r="G2620" s="13" t="n">
        <f aca="false">IFERROR(IF(Kalender!A58="",0,J2619*(1-Eingaben!$B$20)),0)</f>
        <v>1.709316</v>
      </c>
      <c r="H2620" s="13" t="n">
        <f aca="false">MIN(G2620,D2620)</f>
        <v>1.709316</v>
      </c>
      <c r="I2620" s="13" t="n">
        <f aca="false">IFERROR(MIN(F2620*Eingaben!$B$19,MAX(0,D2620-H2620)),0)</f>
        <v>1.75959</v>
      </c>
      <c r="J2620" s="13" t="n">
        <f aca="false">IFERROR(MIN(Eingaben!$B$18,MAX(0,F2620-I2620)),0)</f>
        <v>0.75411</v>
      </c>
      <c r="K2620" s="13" t="n">
        <f aca="false">H2620+I2620</f>
        <v>3.468906</v>
      </c>
      <c r="L2620" s="13" t="n">
        <f aca="false">MAX(0,D2620-K2620)</f>
        <v>0.483094</v>
      </c>
      <c r="M2620" s="13" t="n">
        <f aca="false">MAX(0,F2620-I2620-J2620)</f>
        <v>0</v>
      </c>
      <c r="N2620" s="13" t="n">
        <f aca="false">IF(Kalender!A58="",0,J2619-H2620)</f>
        <v>0.0348840000000001</v>
      </c>
    </row>
    <row r="2621" customFormat="false" ht="16.4" hidden="false" customHeight="false" outlineLevel="0" collapsed="false">
      <c r="A2621" s="13" t="str">
        <f aca="false">""</f>
        <v/>
      </c>
      <c r="B2621" s="13" t="n">
        <f aca="false">55</f>
        <v>55</v>
      </c>
      <c r="C2621" s="13" t="n">
        <f aca="false">IF(Szenarien!$H$18="OK",(IFERROR(SUMIF(Nutzungsprofile!$B$6:$B$11,"Schulbetrieb",Nutzungsprofile!$G$6:$G$11)*Kalender!C59/SUM(Kalender!$C$5:$C$370),0)+IFERROR(SUMIF(Nutzungsprofile!$B$6:$B$11,"Halle",Nutzungsprofile!$G$6:$G$11)*Kalender!D59/SUM(Kalender!$D$5:$D$370),0)+IFERROR(SUMIF(Nutzungsprofile!$B$6:$B$11,"Individuell",Nutzungsprofile!$G$6:$G$11)*Kalender!E59/SUM(Kalender!$E$5:$E$370),0))*Szenarien!$E$18,0)</f>
        <v>2.94</v>
      </c>
      <c r="D2621" s="13" t="n">
        <f aca="false">IF(Szenarien!$H$18="OK",(IFERROR(SUMIF(Nutzungsprofile!$B$17:$B$22,"Schulbetrieb",Nutzungsprofile!$G$17:$G$22)*Kalender!C59/SUM(Kalender!$C$5:$C$370),0)+IFERROR(SUMIF(Nutzungsprofile!$B$17:$B$22,"Halle",Nutzungsprofile!$G$17:$G$22)*Kalender!D59/SUM(Kalender!$D$5:$D$370),0)+IFERROR(SUMIF(Nutzungsprofile!$B$17:$B$22,"Individuell",Nutzungsprofile!$G$17:$G$22)*Kalender!E59/SUM(Kalender!$E$5:$E$370),0))*Szenarien!$D$18,0)</f>
        <v>3.952</v>
      </c>
      <c r="E2621" s="13" t="n">
        <f aca="false">IFERROR(MIN(C2621,Eingaben!$B$17)*Eingaben!$B$16,0)</f>
        <v>2.793</v>
      </c>
      <c r="F2621" s="13" t="n">
        <f aca="false">IFERROR(E2621*Eingaben!$B$15,0)</f>
        <v>2.5137</v>
      </c>
      <c r="G2621" s="13" t="n">
        <f aca="false">IFERROR(IF(Kalender!A59="",0,J2620*(1-Eingaben!$B$20)),0)</f>
        <v>0.7390278</v>
      </c>
      <c r="H2621" s="13" t="n">
        <f aca="false">MIN(G2621,D2621)</f>
        <v>0.7390278</v>
      </c>
      <c r="I2621" s="13" t="n">
        <f aca="false">IFERROR(MIN(F2621*Eingaben!$B$19,MAX(0,D2621-H2621)),0)</f>
        <v>1.75959</v>
      </c>
      <c r="J2621" s="13" t="n">
        <f aca="false">IFERROR(MIN(Eingaben!$B$18,MAX(0,F2621-I2621)),0)</f>
        <v>0.75411</v>
      </c>
      <c r="K2621" s="13" t="n">
        <f aca="false">H2621+I2621</f>
        <v>2.4986178</v>
      </c>
      <c r="L2621" s="13" t="n">
        <f aca="false">MAX(0,D2621-K2621)</f>
        <v>1.4533822</v>
      </c>
      <c r="M2621" s="13" t="n">
        <f aca="false">MAX(0,F2621-I2621-J2621)</f>
        <v>0</v>
      </c>
      <c r="N2621" s="13" t="n">
        <f aca="false">IF(Kalender!A59="",0,J2620-H2621)</f>
        <v>0.0150822</v>
      </c>
    </row>
    <row r="2622" customFormat="false" ht="16.4" hidden="false" customHeight="false" outlineLevel="0" collapsed="false">
      <c r="A2622" s="13" t="str">
        <f aca="false">""</f>
        <v/>
      </c>
      <c r="B2622" s="13" t="n">
        <f aca="false">56</f>
        <v>56</v>
      </c>
      <c r="C2622" s="13" t="n">
        <f aca="false">IF(Szenarien!$H$18="OK",(IFERROR(SUMIF(Nutzungsprofile!$B$6:$B$11,"Schulbetrieb",Nutzungsprofile!$G$6:$G$11)*Kalender!C60/SUM(Kalender!$C$5:$C$370),0)+IFERROR(SUMIF(Nutzungsprofile!$B$6:$B$11,"Halle",Nutzungsprofile!$G$6:$G$11)*Kalender!D60/SUM(Kalender!$D$5:$D$370),0)+IFERROR(SUMIF(Nutzungsprofile!$B$6:$B$11,"Individuell",Nutzungsprofile!$G$6:$G$11)*Kalender!E60/SUM(Kalender!$E$5:$E$370),0))*Szenarien!$E$18,0)</f>
        <v>2.94</v>
      </c>
      <c r="D2622" s="13" t="n">
        <f aca="false">IF(Szenarien!$H$18="OK",(IFERROR(SUMIF(Nutzungsprofile!$B$17:$B$22,"Schulbetrieb",Nutzungsprofile!$G$17:$G$22)*Kalender!C60/SUM(Kalender!$C$5:$C$370),0)+IFERROR(SUMIF(Nutzungsprofile!$B$17:$B$22,"Halle",Nutzungsprofile!$G$17:$G$22)*Kalender!D60/SUM(Kalender!$D$5:$D$370),0)+IFERROR(SUMIF(Nutzungsprofile!$B$17:$B$22,"Individuell",Nutzungsprofile!$G$17:$G$22)*Kalender!E60/SUM(Kalender!$E$5:$E$370),0))*Szenarien!$D$18,0)</f>
        <v>3.952</v>
      </c>
      <c r="E2622" s="13" t="n">
        <f aca="false">IFERROR(MIN(C2622,Eingaben!$B$17)*Eingaben!$B$16,0)</f>
        <v>2.793</v>
      </c>
      <c r="F2622" s="13" t="n">
        <f aca="false">IFERROR(E2622*Eingaben!$B$15,0)</f>
        <v>2.5137</v>
      </c>
      <c r="G2622" s="13" t="n">
        <f aca="false">IFERROR(IF(Kalender!A60="",0,J2621*(1-Eingaben!$B$20)),0)</f>
        <v>0.7390278</v>
      </c>
      <c r="H2622" s="13" t="n">
        <f aca="false">MIN(G2622,D2622)</f>
        <v>0.7390278</v>
      </c>
      <c r="I2622" s="13" t="n">
        <f aca="false">IFERROR(MIN(F2622*Eingaben!$B$19,MAX(0,D2622-H2622)),0)</f>
        <v>1.75959</v>
      </c>
      <c r="J2622" s="13" t="n">
        <f aca="false">IFERROR(MIN(Eingaben!$B$18,MAX(0,F2622-I2622)),0)</f>
        <v>0.75411</v>
      </c>
      <c r="K2622" s="13" t="n">
        <f aca="false">H2622+I2622</f>
        <v>2.4986178</v>
      </c>
      <c r="L2622" s="13" t="n">
        <f aca="false">MAX(0,D2622-K2622)</f>
        <v>1.4533822</v>
      </c>
      <c r="M2622" s="13" t="n">
        <f aca="false">MAX(0,F2622-I2622-J2622)</f>
        <v>0</v>
      </c>
      <c r="N2622" s="13" t="n">
        <f aca="false">IF(Kalender!A60="",0,J2621-H2622)</f>
        <v>0.0150822</v>
      </c>
    </row>
    <row r="2623" customFormat="false" ht="16.4" hidden="false" customHeight="false" outlineLevel="0" collapsed="false">
      <c r="A2623" s="13" t="str">
        <f aca="false">""</f>
        <v/>
      </c>
      <c r="B2623" s="13" t="n">
        <f aca="false">57</f>
        <v>57</v>
      </c>
      <c r="C2623" s="13" t="n">
        <f aca="false">IF(Szenarien!$H$18="OK",(IFERROR(SUMIF(Nutzungsprofile!$B$6:$B$11,"Schulbetrieb",Nutzungsprofile!$G$6:$G$11)*Kalender!C61/SUM(Kalender!$C$5:$C$370),0)+IFERROR(SUMIF(Nutzungsprofile!$B$6:$B$11,"Halle",Nutzungsprofile!$G$6:$G$11)*Kalender!D61/SUM(Kalender!$D$5:$D$370),0)+IFERROR(SUMIF(Nutzungsprofile!$B$6:$B$11,"Individuell",Nutzungsprofile!$G$6:$G$11)*Kalender!E61/SUM(Kalender!$E$5:$E$370),0))*Szenarien!$E$18,0)</f>
        <v>2.94</v>
      </c>
      <c r="D2623" s="13" t="n">
        <f aca="false">IF(Szenarien!$H$18="OK",(IFERROR(SUMIF(Nutzungsprofile!$B$17:$B$22,"Schulbetrieb",Nutzungsprofile!$G$17:$G$22)*Kalender!C61/SUM(Kalender!$C$5:$C$370),0)+IFERROR(SUMIF(Nutzungsprofile!$B$17:$B$22,"Halle",Nutzungsprofile!$G$17:$G$22)*Kalender!D61/SUM(Kalender!$D$5:$D$370),0)+IFERROR(SUMIF(Nutzungsprofile!$B$17:$B$22,"Individuell",Nutzungsprofile!$G$17:$G$22)*Kalender!E61/SUM(Kalender!$E$5:$E$370),0))*Szenarien!$D$18,0)</f>
        <v>3.952</v>
      </c>
      <c r="E2623" s="13" t="n">
        <f aca="false">IFERROR(MIN(C2623,Eingaben!$B$17)*Eingaben!$B$16,0)</f>
        <v>2.793</v>
      </c>
      <c r="F2623" s="13" t="n">
        <f aca="false">IFERROR(E2623*Eingaben!$B$15,0)</f>
        <v>2.5137</v>
      </c>
      <c r="G2623" s="13" t="n">
        <f aca="false">IFERROR(IF(Kalender!A61="",0,J2622*(1-Eingaben!$B$20)),0)</f>
        <v>0.7390278</v>
      </c>
      <c r="H2623" s="13" t="n">
        <f aca="false">MIN(G2623,D2623)</f>
        <v>0.7390278</v>
      </c>
      <c r="I2623" s="13" t="n">
        <f aca="false">IFERROR(MIN(F2623*Eingaben!$B$19,MAX(0,D2623-H2623)),0)</f>
        <v>1.75959</v>
      </c>
      <c r="J2623" s="13" t="n">
        <f aca="false">IFERROR(MIN(Eingaben!$B$18,MAX(0,F2623-I2623)),0)</f>
        <v>0.75411</v>
      </c>
      <c r="K2623" s="13" t="n">
        <f aca="false">H2623+I2623</f>
        <v>2.4986178</v>
      </c>
      <c r="L2623" s="13" t="n">
        <f aca="false">MAX(0,D2623-K2623)</f>
        <v>1.4533822</v>
      </c>
      <c r="M2623" s="13" t="n">
        <f aca="false">MAX(0,F2623-I2623-J2623)</f>
        <v>0</v>
      </c>
      <c r="N2623" s="13" t="n">
        <f aca="false">IF(Kalender!A61="",0,J2622-H2623)</f>
        <v>0.0150822</v>
      </c>
    </row>
    <row r="2624" customFormat="false" ht="16.4" hidden="false" customHeight="false" outlineLevel="0" collapsed="false">
      <c r="A2624" s="13" t="str">
        <f aca="false">""</f>
        <v/>
      </c>
      <c r="B2624" s="13" t="n">
        <f aca="false">58</f>
        <v>58</v>
      </c>
      <c r="C2624" s="13" t="n">
        <f aca="false">IF(Szenarien!$H$18="OK",(IFERROR(SUMIF(Nutzungsprofile!$B$6:$B$11,"Schulbetrieb",Nutzungsprofile!$G$6:$G$11)*Kalender!C62/SUM(Kalender!$C$5:$C$370),0)+IFERROR(SUMIF(Nutzungsprofile!$B$6:$B$11,"Halle",Nutzungsprofile!$G$6:$G$11)*Kalender!D62/SUM(Kalender!$D$5:$D$370),0)+IFERROR(SUMIF(Nutzungsprofile!$B$6:$B$11,"Individuell",Nutzungsprofile!$G$6:$G$11)*Kalender!E62/SUM(Kalender!$E$5:$E$370),0))*Szenarien!$E$18,0)</f>
        <v>2.94</v>
      </c>
      <c r="D2624" s="13" t="n">
        <f aca="false">IF(Szenarien!$H$18="OK",(IFERROR(SUMIF(Nutzungsprofile!$B$17:$B$22,"Schulbetrieb",Nutzungsprofile!$G$17:$G$22)*Kalender!C62/SUM(Kalender!$C$5:$C$370),0)+IFERROR(SUMIF(Nutzungsprofile!$B$17:$B$22,"Halle",Nutzungsprofile!$G$17:$G$22)*Kalender!D62/SUM(Kalender!$D$5:$D$370),0)+IFERROR(SUMIF(Nutzungsprofile!$B$17:$B$22,"Individuell",Nutzungsprofile!$G$17:$G$22)*Kalender!E62/SUM(Kalender!$E$5:$E$370),0))*Szenarien!$D$18,0)</f>
        <v>3.952</v>
      </c>
      <c r="E2624" s="13" t="n">
        <f aca="false">IFERROR(MIN(C2624,Eingaben!$B$17)*Eingaben!$B$16,0)</f>
        <v>2.793</v>
      </c>
      <c r="F2624" s="13" t="n">
        <f aca="false">IFERROR(E2624*Eingaben!$B$15,0)</f>
        <v>2.5137</v>
      </c>
      <c r="G2624" s="13" t="n">
        <f aca="false">IFERROR(IF(Kalender!A62="",0,J2623*(1-Eingaben!$B$20)),0)</f>
        <v>0.7390278</v>
      </c>
      <c r="H2624" s="13" t="n">
        <f aca="false">MIN(G2624,D2624)</f>
        <v>0.7390278</v>
      </c>
      <c r="I2624" s="13" t="n">
        <f aca="false">IFERROR(MIN(F2624*Eingaben!$B$19,MAX(0,D2624-H2624)),0)</f>
        <v>1.75959</v>
      </c>
      <c r="J2624" s="13" t="n">
        <f aca="false">IFERROR(MIN(Eingaben!$B$18,MAX(0,F2624-I2624)),0)</f>
        <v>0.75411</v>
      </c>
      <c r="K2624" s="13" t="n">
        <f aca="false">H2624+I2624</f>
        <v>2.4986178</v>
      </c>
      <c r="L2624" s="13" t="n">
        <f aca="false">MAX(0,D2624-K2624)</f>
        <v>1.4533822</v>
      </c>
      <c r="M2624" s="13" t="n">
        <f aca="false">MAX(0,F2624-I2624-J2624)</f>
        <v>0</v>
      </c>
      <c r="N2624" s="13" t="n">
        <f aca="false">IF(Kalender!A62="",0,J2623-H2624)</f>
        <v>0.0150822</v>
      </c>
    </row>
    <row r="2625" customFormat="false" ht="16.4" hidden="false" customHeight="false" outlineLevel="0" collapsed="false">
      <c r="A2625" s="13" t="str">
        <f aca="false">""</f>
        <v/>
      </c>
      <c r="B2625" s="13" t="n">
        <f aca="false">59</f>
        <v>59</v>
      </c>
      <c r="C2625" s="13" t="n">
        <f aca="false">IF(Szenarien!$H$18="OK",(IFERROR(SUMIF(Nutzungsprofile!$B$6:$B$11,"Schulbetrieb",Nutzungsprofile!$G$6:$G$11)*Kalender!C63/SUM(Kalender!$C$5:$C$370),0)+IFERROR(SUMIF(Nutzungsprofile!$B$6:$B$11,"Halle",Nutzungsprofile!$G$6:$G$11)*Kalender!D63/SUM(Kalender!$D$5:$D$370),0)+IFERROR(SUMIF(Nutzungsprofile!$B$6:$B$11,"Individuell",Nutzungsprofile!$G$6:$G$11)*Kalender!E63/SUM(Kalender!$E$5:$E$370),0))*Szenarien!$E$18,0)</f>
        <v>2.04</v>
      </c>
      <c r="D2625" s="13" t="n">
        <f aca="false">IF(Szenarien!$H$18="OK",(IFERROR(SUMIF(Nutzungsprofile!$B$17:$B$22,"Schulbetrieb",Nutzungsprofile!$G$17:$G$22)*Kalender!C63/SUM(Kalender!$C$5:$C$370),0)+IFERROR(SUMIF(Nutzungsprofile!$B$17:$B$22,"Halle",Nutzungsprofile!$G$17:$G$22)*Kalender!D63/SUM(Kalender!$D$5:$D$370),0)+IFERROR(SUMIF(Nutzungsprofile!$B$17:$B$22,"Individuell",Nutzungsprofile!$G$17:$G$22)*Kalender!E63/SUM(Kalender!$E$5:$E$370),0))*Szenarien!$D$18,0)</f>
        <v>0.712</v>
      </c>
      <c r="E2625" s="13" t="n">
        <f aca="false">IFERROR(MIN(C2625,Eingaben!$B$17)*Eingaben!$B$16,0)</f>
        <v>1.938</v>
      </c>
      <c r="F2625" s="13" t="n">
        <f aca="false">IFERROR(E2625*Eingaben!$B$15,0)</f>
        <v>1.7442</v>
      </c>
      <c r="G2625" s="13" t="n">
        <f aca="false">IFERROR(IF(Kalender!A63="",0,J2624*(1-Eingaben!$B$20)),0)</f>
        <v>0.7390278</v>
      </c>
      <c r="H2625" s="13" t="n">
        <f aca="false">MIN(G2625,D2625)</f>
        <v>0.712</v>
      </c>
      <c r="I2625" s="13" t="n">
        <f aca="false">IFERROR(MIN(F2625*Eingaben!$B$19,MAX(0,D2625-H2625)),0)</f>
        <v>0</v>
      </c>
      <c r="J2625" s="13" t="n">
        <f aca="false">IFERROR(MIN(Eingaben!$B$18,MAX(0,F2625-I2625)),0)</f>
        <v>1.7442</v>
      </c>
      <c r="K2625" s="13" t="n">
        <f aca="false">H2625+I2625</f>
        <v>0.712</v>
      </c>
      <c r="L2625" s="13" t="n">
        <f aca="false">MAX(0,D2625-K2625)</f>
        <v>0</v>
      </c>
      <c r="M2625" s="13" t="n">
        <f aca="false">MAX(0,F2625-I2625-J2625)</f>
        <v>0</v>
      </c>
      <c r="N2625" s="13" t="n">
        <f aca="false">IF(Kalender!A63="",0,J2624-H2625)</f>
        <v>0.04211</v>
      </c>
    </row>
    <row r="2626" customFormat="false" ht="16.4" hidden="false" customHeight="false" outlineLevel="0" collapsed="false">
      <c r="A2626" s="13" t="str">
        <f aca="false">""</f>
        <v/>
      </c>
      <c r="B2626" s="13" t="n">
        <f aca="false">60</f>
        <v>60</v>
      </c>
      <c r="C2626" s="13" t="n">
        <f aca="false">IF(Szenarien!$H$18="OK",(IFERROR(SUMIF(Nutzungsprofile!$B$6:$B$11,"Schulbetrieb",Nutzungsprofile!$G$6:$G$11)*Kalender!C64/SUM(Kalender!$C$5:$C$370),0)+IFERROR(SUMIF(Nutzungsprofile!$B$6:$B$11,"Halle",Nutzungsprofile!$G$6:$G$11)*Kalender!D64/SUM(Kalender!$D$5:$D$370),0)+IFERROR(SUMIF(Nutzungsprofile!$B$6:$B$11,"Individuell",Nutzungsprofile!$G$6:$G$11)*Kalender!E64/SUM(Kalender!$E$5:$E$370),0))*Szenarien!$E$18,0)</f>
        <v>2.04</v>
      </c>
      <c r="D2626" s="13" t="n">
        <f aca="false">IF(Szenarien!$H$18="OK",(IFERROR(SUMIF(Nutzungsprofile!$B$17:$B$22,"Schulbetrieb",Nutzungsprofile!$G$17:$G$22)*Kalender!C64/SUM(Kalender!$C$5:$C$370),0)+IFERROR(SUMIF(Nutzungsprofile!$B$17:$B$22,"Halle",Nutzungsprofile!$G$17:$G$22)*Kalender!D64/SUM(Kalender!$D$5:$D$370),0)+IFERROR(SUMIF(Nutzungsprofile!$B$17:$B$22,"Individuell",Nutzungsprofile!$G$17:$G$22)*Kalender!E64/SUM(Kalender!$E$5:$E$370),0))*Szenarien!$D$18,0)</f>
        <v>0.712</v>
      </c>
      <c r="E2626" s="13" t="n">
        <f aca="false">IFERROR(MIN(C2626,Eingaben!$B$17)*Eingaben!$B$16,0)</f>
        <v>1.938</v>
      </c>
      <c r="F2626" s="13" t="n">
        <f aca="false">IFERROR(E2626*Eingaben!$B$15,0)</f>
        <v>1.7442</v>
      </c>
      <c r="G2626" s="13" t="n">
        <f aca="false">IFERROR(IF(Kalender!A64="",0,J2625*(1-Eingaben!$B$20)),0)</f>
        <v>1.709316</v>
      </c>
      <c r="H2626" s="13" t="n">
        <f aca="false">MIN(G2626,D2626)</f>
        <v>0.712</v>
      </c>
      <c r="I2626" s="13" t="n">
        <f aca="false">IFERROR(MIN(F2626*Eingaben!$B$19,MAX(0,D2626-H2626)),0)</f>
        <v>0</v>
      </c>
      <c r="J2626" s="13" t="n">
        <f aca="false">IFERROR(MIN(Eingaben!$B$18,MAX(0,F2626-I2626)),0)</f>
        <v>1.7442</v>
      </c>
      <c r="K2626" s="13" t="n">
        <f aca="false">H2626+I2626</f>
        <v>0.712</v>
      </c>
      <c r="L2626" s="13" t="n">
        <f aca="false">MAX(0,D2626-K2626)</f>
        <v>0</v>
      </c>
      <c r="M2626" s="13" t="n">
        <f aca="false">MAX(0,F2626-I2626-J2626)</f>
        <v>0</v>
      </c>
      <c r="N2626" s="13" t="n">
        <f aca="false">IF(Kalender!A64="",0,J2625-H2626)</f>
        <v>1.0322</v>
      </c>
    </row>
    <row r="2627" customFormat="false" ht="16.4" hidden="false" customHeight="false" outlineLevel="0" collapsed="false">
      <c r="A2627" s="13" t="str">
        <f aca="false">""</f>
        <v/>
      </c>
      <c r="B2627" s="13" t="n">
        <f aca="false">61</f>
        <v>61</v>
      </c>
      <c r="C2627" s="13" t="n">
        <f aca="false">IF(Szenarien!$H$18="OK",(IFERROR(SUMIF(Nutzungsprofile!$B$6:$B$11,"Schulbetrieb",Nutzungsprofile!$G$6:$G$11)*Kalender!C65/SUM(Kalender!$C$5:$C$370),0)+IFERROR(SUMIF(Nutzungsprofile!$B$6:$B$11,"Halle",Nutzungsprofile!$G$6:$G$11)*Kalender!D65/SUM(Kalender!$D$5:$D$370),0)+IFERROR(SUMIF(Nutzungsprofile!$B$6:$B$11,"Individuell",Nutzungsprofile!$G$6:$G$11)*Kalender!E65/SUM(Kalender!$E$5:$E$370),0))*Szenarien!$E$18,0)</f>
        <v>2.94</v>
      </c>
      <c r="D2627" s="13" t="n">
        <f aca="false">IF(Szenarien!$H$18="OK",(IFERROR(SUMIF(Nutzungsprofile!$B$17:$B$22,"Schulbetrieb",Nutzungsprofile!$G$17:$G$22)*Kalender!C65/SUM(Kalender!$C$5:$C$370),0)+IFERROR(SUMIF(Nutzungsprofile!$B$17:$B$22,"Halle",Nutzungsprofile!$G$17:$G$22)*Kalender!D65/SUM(Kalender!$D$5:$D$370),0)+IFERROR(SUMIF(Nutzungsprofile!$B$17:$B$22,"Individuell",Nutzungsprofile!$G$17:$G$22)*Kalender!E65/SUM(Kalender!$E$5:$E$370),0))*Szenarien!$D$18,0)</f>
        <v>3.952</v>
      </c>
      <c r="E2627" s="13" t="n">
        <f aca="false">IFERROR(MIN(C2627,Eingaben!$B$17)*Eingaben!$B$16,0)</f>
        <v>2.793</v>
      </c>
      <c r="F2627" s="13" t="n">
        <f aca="false">IFERROR(E2627*Eingaben!$B$15,0)</f>
        <v>2.5137</v>
      </c>
      <c r="G2627" s="13" t="n">
        <f aca="false">IFERROR(IF(Kalender!A65="",0,J2626*(1-Eingaben!$B$20)),0)</f>
        <v>1.709316</v>
      </c>
      <c r="H2627" s="13" t="n">
        <f aca="false">MIN(G2627,D2627)</f>
        <v>1.709316</v>
      </c>
      <c r="I2627" s="13" t="n">
        <f aca="false">IFERROR(MIN(F2627*Eingaben!$B$19,MAX(0,D2627-H2627)),0)</f>
        <v>1.75959</v>
      </c>
      <c r="J2627" s="13" t="n">
        <f aca="false">IFERROR(MIN(Eingaben!$B$18,MAX(0,F2627-I2627)),0)</f>
        <v>0.75411</v>
      </c>
      <c r="K2627" s="13" t="n">
        <f aca="false">H2627+I2627</f>
        <v>3.468906</v>
      </c>
      <c r="L2627" s="13" t="n">
        <f aca="false">MAX(0,D2627-K2627)</f>
        <v>0.483094</v>
      </c>
      <c r="M2627" s="13" t="n">
        <f aca="false">MAX(0,F2627-I2627-J2627)</f>
        <v>0</v>
      </c>
      <c r="N2627" s="13" t="n">
        <f aca="false">IF(Kalender!A65="",0,J2626-H2627)</f>
        <v>0.0348840000000001</v>
      </c>
    </row>
    <row r="2628" customFormat="false" ht="16.4" hidden="false" customHeight="false" outlineLevel="0" collapsed="false">
      <c r="A2628" s="13" t="str">
        <f aca="false">""</f>
        <v/>
      </c>
      <c r="B2628" s="13" t="n">
        <f aca="false">62</f>
        <v>62</v>
      </c>
      <c r="C2628" s="13" t="n">
        <f aca="false">IF(Szenarien!$H$18="OK",(IFERROR(SUMIF(Nutzungsprofile!$B$6:$B$11,"Schulbetrieb",Nutzungsprofile!$G$6:$G$11)*Kalender!C66/SUM(Kalender!$C$5:$C$370),0)+IFERROR(SUMIF(Nutzungsprofile!$B$6:$B$11,"Halle",Nutzungsprofile!$G$6:$G$11)*Kalender!D66/SUM(Kalender!$D$5:$D$370),0)+IFERROR(SUMIF(Nutzungsprofile!$B$6:$B$11,"Individuell",Nutzungsprofile!$G$6:$G$11)*Kalender!E66/SUM(Kalender!$E$5:$E$370),0))*Szenarien!$E$18,0)</f>
        <v>2.94</v>
      </c>
      <c r="D2628" s="13" t="n">
        <f aca="false">IF(Szenarien!$H$18="OK",(IFERROR(SUMIF(Nutzungsprofile!$B$17:$B$22,"Schulbetrieb",Nutzungsprofile!$G$17:$G$22)*Kalender!C66/SUM(Kalender!$C$5:$C$370),0)+IFERROR(SUMIF(Nutzungsprofile!$B$17:$B$22,"Halle",Nutzungsprofile!$G$17:$G$22)*Kalender!D66/SUM(Kalender!$D$5:$D$370),0)+IFERROR(SUMIF(Nutzungsprofile!$B$17:$B$22,"Individuell",Nutzungsprofile!$G$17:$G$22)*Kalender!E66/SUM(Kalender!$E$5:$E$370),0))*Szenarien!$D$18,0)</f>
        <v>3.952</v>
      </c>
      <c r="E2628" s="13" t="n">
        <f aca="false">IFERROR(MIN(C2628,Eingaben!$B$17)*Eingaben!$B$16,0)</f>
        <v>2.793</v>
      </c>
      <c r="F2628" s="13" t="n">
        <f aca="false">IFERROR(E2628*Eingaben!$B$15,0)</f>
        <v>2.5137</v>
      </c>
      <c r="G2628" s="13" t="n">
        <f aca="false">IFERROR(IF(Kalender!A66="",0,J2627*(1-Eingaben!$B$20)),0)</f>
        <v>0.7390278</v>
      </c>
      <c r="H2628" s="13" t="n">
        <f aca="false">MIN(G2628,D2628)</f>
        <v>0.7390278</v>
      </c>
      <c r="I2628" s="13" t="n">
        <f aca="false">IFERROR(MIN(F2628*Eingaben!$B$19,MAX(0,D2628-H2628)),0)</f>
        <v>1.75959</v>
      </c>
      <c r="J2628" s="13" t="n">
        <f aca="false">IFERROR(MIN(Eingaben!$B$18,MAX(0,F2628-I2628)),0)</f>
        <v>0.75411</v>
      </c>
      <c r="K2628" s="13" t="n">
        <f aca="false">H2628+I2628</f>
        <v>2.4986178</v>
      </c>
      <c r="L2628" s="13" t="n">
        <f aca="false">MAX(0,D2628-K2628)</f>
        <v>1.4533822</v>
      </c>
      <c r="M2628" s="13" t="n">
        <f aca="false">MAX(0,F2628-I2628-J2628)</f>
        <v>0</v>
      </c>
      <c r="N2628" s="13" t="n">
        <f aca="false">IF(Kalender!A66="",0,J2627-H2628)</f>
        <v>0.0150822</v>
      </c>
    </row>
    <row r="2629" customFormat="false" ht="16.4" hidden="false" customHeight="false" outlineLevel="0" collapsed="false">
      <c r="A2629" s="13" t="str">
        <f aca="false">""</f>
        <v/>
      </c>
      <c r="B2629" s="13" t="n">
        <f aca="false">63</f>
        <v>63</v>
      </c>
      <c r="C2629" s="13" t="n">
        <f aca="false">IF(Szenarien!$H$18="OK",(IFERROR(SUMIF(Nutzungsprofile!$B$6:$B$11,"Schulbetrieb",Nutzungsprofile!$G$6:$G$11)*Kalender!C67/SUM(Kalender!$C$5:$C$370),0)+IFERROR(SUMIF(Nutzungsprofile!$B$6:$B$11,"Halle",Nutzungsprofile!$G$6:$G$11)*Kalender!D67/SUM(Kalender!$D$5:$D$370),0)+IFERROR(SUMIF(Nutzungsprofile!$B$6:$B$11,"Individuell",Nutzungsprofile!$G$6:$G$11)*Kalender!E67/SUM(Kalender!$E$5:$E$370),0))*Szenarien!$E$18,0)</f>
        <v>2.94</v>
      </c>
      <c r="D2629" s="13" t="n">
        <f aca="false">IF(Szenarien!$H$18="OK",(IFERROR(SUMIF(Nutzungsprofile!$B$17:$B$22,"Schulbetrieb",Nutzungsprofile!$G$17:$G$22)*Kalender!C67/SUM(Kalender!$C$5:$C$370),0)+IFERROR(SUMIF(Nutzungsprofile!$B$17:$B$22,"Halle",Nutzungsprofile!$G$17:$G$22)*Kalender!D67/SUM(Kalender!$D$5:$D$370),0)+IFERROR(SUMIF(Nutzungsprofile!$B$17:$B$22,"Individuell",Nutzungsprofile!$G$17:$G$22)*Kalender!E67/SUM(Kalender!$E$5:$E$370),0))*Szenarien!$D$18,0)</f>
        <v>3.952</v>
      </c>
      <c r="E2629" s="13" t="n">
        <f aca="false">IFERROR(MIN(C2629,Eingaben!$B$17)*Eingaben!$B$16,0)</f>
        <v>2.793</v>
      </c>
      <c r="F2629" s="13" t="n">
        <f aca="false">IFERROR(E2629*Eingaben!$B$15,0)</f>
        <v>2.5137</v>
      </c>
      <c r="G2629" s="13" t="n">
        <f aca="false">IFERROR(IF(Kalender!A67="",0,J2628*(1-Eingaben!$B$20)),0)</f>
        <v>0.7390278</v>
      </c>
      <c r="H2629" s="13" t="n">
        <f aca="false">MIN(G2629,D2629)</f>
        <v>0.7390278</v>
      </c>
      <c r="I2629" s="13" t="n">
        <f aca="false">IFERROR(MIN(F2629*Eingaben!$B$19,MAX(0,D2629-H2629)),0)</f>
        <v>1.75959</v>
      </c>
      <c r="J2629" s="13" t="n">
        <f aca="false">IFERROR(MIN(Eingaben!$B$18,MAX(0,F2629-I2629)),0)</f>
        <v>0.75411</v>
      </c>
      <c r="K2629" s="13" t="n">
        <f aca="false">H2629+I2629</f>
        <v>2.4986178</v>
      </c>
      <c r="L2629" s="13" t="n">
        <f aca="false">MAX(0,D2629-K2629)</f>
        <v>1.4533822</v>
      </c>
      <c r="M2629" s="13" t="n">
        <f aca="false">MAX(0,F2629-I2629-J2629)</f>
        <v>0</v>
      </c>
      <c r="N2629" s="13" t="n">
        <f aca="false">IF(Kalender!A67="",0,J2628-H2629)</f>
        <v>0.0150822</v>
      </c>
    </row>
    <row r="2630" customFormat="false" ht="16.4" hidden="false" customHeight="false" outlineLevel="0" collapsed="false">
      <c r="A2630" s="13" t="str">
        <f aca="false">""</f>
        <v/>
      </c>
      <c r="B2630" s="13" t="n">
        <f aca="false">64</f>
        <v>64</v>
      </c>
      <c r="C2630" s="13" t="n">
        <f aca="false">IF(Szenarien!$H$18="OK",(IFERROR(SUMIF(Nutzungsprofile!$B$6:$B$11,"Schulbetrieb",Nutzungsprofile!$G$6:$G$11)*Kalender!C68/SUM(Kalender!$C$5:$C$370),0)+IFERROR(SUMIF(Nutzungsprofile!$B$6:$B$11,"Halle",Nutzungsprofile!$G$6:$G$11)*Kalender!D68/SUM(Kalender!$D$5:$D$370),0)+IFERROR(SUMIF(Nutzungsprofile!$B$6:$B$11,"Individuell",Nutzungsprofile!$G$6:$G$11)*Kalender!E68/SUM(Kalender!$E$5:$E$370),0))*Szenarien!$E$18,0)</f>
        <v>2.94</v>
      </c>
      <c r="D2630" s="13" t="n">
        <f aca="false">IF(Szenarien!$H$18="OK",(IFERROR(SUMIF(Nutzungsprofile!$B$17:$B$22,"Schulbetrieb",Nutzungsprofile!$G$17:$G$22)*Kalender!C68/SUM(Kalender!$C$5:$C$370),0)+IFERROR(SUMIF(Nutzungsprofile!$B$17:$B$22,"Halle",Nutzungsprofile!$G$17:$G$22)*Kalender!D68/SUM(Kalender!$D$5:$D$370),0)+IFERROR(SUMIF(Nutzungsprofile!$B$17:$B$22,"Individuell",Nutzungsprofile!$G$17:$G$22)*Kalender!E68/SUM(Kalender!$E$5:$E$370),0))*Szenarien!$D$18,0)</f>
        <v>3.952</v>
      </c>
      <c r="E2630" s="13" t="n">
        <f aca="false">IFERROR(MIN(C2630,Eingaben!$B$17)*Eingaben!$B$16,0)</f>
        <v>2.793</v>
      </c>
      <c r="F2630" s="13" t="n">
        <f aca="false">IFERROR(E2630*Eingaben!$B$15,0)</f>
        <v>2.5137</v>
      </c>
      <c r="G2630" s="13" t="n">
        <f aca="false">IFERROR(IF(Kalender!A68="",0,J2629*(1-Eingaben!$B$20)),0)</f>
        <v>0.7390278</v>
      </c>
      <c r="H2630" s="13" t="n">
        <f aca="false">MIN(G2630,D2630)</f>
        <v>0.7390278</v>
      </c>
      <c r="I2630" s="13" t="n">
        <f aca="false">IFERROR(MIN(F2630*Eingaben!$B$19,MAX(0,D2630-H2630)),0)</f>
        <v>1.75959</v>
      </c>
      <c r="J2630" s="13" t="n">
        <f aca="false">IFERROR(MIN(Eingaben!$B$18,MAX(0,F2630-I2630)),0)</f>
        <v>0.75411</v>
      </c>
      <c r="K2630" s="13" t="n">
        <f aca="false">H2630+I2630</f>
        <v>2.4986178</v>
      </c>
      <c r="L2630" s="13" t="n">
        <f aca="false">MAX(0,D2630-K2630)</f>
        <v>1.4533822</v>
      </c>
      <c r="M2630" s="13" t="n">
        <f aca="false">MAX(0,F2630-I2630-J2630)</f>
        <v>0</v>
      </c>
      <c r="N2630" s="13" t="n">
        <f aca="false">IF(Kalender!A68="",0,J2629-H2630)</f>
        <v>0.0150822</v>
      </c>
    </row>
    <row r="2631" customFormat="false" ht="16.4" hidden="false" customHeight="false" outlineLevel="0" collapsed="false">
      <c r="A2631" s="13" t="str">
        <f aca="false">""</f>
        <v/>
      </c>
      <c r="B2631" s="13" t="n">
        <f aca="false">65</f>
        <v>65</v>
      </c>
      <c r="C2631" s="13" t="n">
        <f aca="false">IF(Szenarien!$H$18="OK",(IFERROR(SUMIF(Nutzungsprofile!$B$6:$B$11,"Schulbetrieb",Nutzungsprofile!$G$6:$G$11)*Kalender!C69/SUM(Kalender!$C$5:$C$370),0)+IFERROR(SUMIF(Nutzungsprofile!$B$6:$B$11,"Halle",Nutzungsprofile!$G$6:$G$11)*Kalender!D69/SUM(Kalender!$D$5:$D$370),0)+IFERROR(SUMIF(Nutzungsprofile!$B$6:$B$11,"Individuell",Nutzungsprofile!$G$6:$G$11)*Kalender!E69/SUM(Kalender!$E$5:$E$370),0))*Szenarien!$E$18,0)</f>
        <v>2.94</v>
      </c>
      <c r="D2631" s="13" t="n">
        <f aca="false">IF(Szenarien!$H$18="OK",(IFERROR(SUMIF(Nutzungsprofile!$B$17:$B$22,"Schulbetrieb",Nutzungsprofile!$G$17:$G$22)*Kalender!C69/SUM(Kalender!$C$5:$C$370),0)+IFERROR(SUMIF(Nutzungsprofile!$B$17:$B$22,"Halle",Nutzungsprofile!$G$17:$G$22)*Kalender!D69/SUM(Kalender!$D$5:$D$370),0)+IFERROR(SUMIF(Nutzungsprofile!$B$17:$B$22,"Individuell",Nutzungsprofile!$G$17:$G$22)*Kalender!E69/SUM(Kalender!$E$5:$E$370),0))*Szenarien!$D$18,0)</f>
        <v>3.952</v>
      </c>
      <c r="E2631" s="13" t="n">
        <f aca="false">IFERROR(MIN(C2631,Eingaben!$B$17)*Eingaben!$B$16,0)</f>
        <v>2.793</v>
      </c>
      <c r="F2631" s="13" t="n">
        <f aca="false">IFERROR(E2631*Eingaben!$B$15,0)</f>
        <v>2.5137</v>
      </c>
      <c r="G2631" s="13" t="n">
        <f aca="false">IFERROR(IF(Kalender!A69="",0,J2630*(1-Eingaben!$B$20)),0)</f>
        <v>0.7390278</v>
      </c>
      <c r="H2631" s="13" t="n">
        <f aca="false">MIN(G2631,D2631)</f>
        <v>0.7390278</v>
      </c>
      <c r="I2631" s="13" t="n">
        <f aca="false">IFERROR(MIN(F2631*Eingaben!$B$19,MAX(0,D2631-H2631)),0)</f>
        <v>1.75959</v>
      </c>
      <c r="J2631" s="13" t="n">
        <f aca="false">IFERROR(MIN(Eingaben!$B$18,MAX(0,F2631-I2631)),0)</f>
        <v>0.75411</v>
      </c>
      <c r="K2631" s="13" t="n">
        <f aca="false">H2631+I2631</f>
        <v>2.4986178</v>
      </c>
      <c r="L2631" s="13" t="n">
        <f aca="false">MAX(0,D2631-K2631)</f>
        <v>1.4533822</v>
      </c>
      <c r="M2631" s="13" t="n">
        <f aca="false">MAX(0,F2631-I2631-J2631)</f>
        <v>0</v>
      </c>
      <c r="N2631" s="13" t="n">
        <f aca="false">IF(Kalender!A69="",0,J2630-H2631)</f>
        <v>0.0150822</v>
      </c>
    </row>
    <row r="2632" customFormat="false" ht="16.4" hidden="false" customHeight="false" outlineLevel="0" collapsed="false">
      <c r="A2632" s="13" t="str">
        <f aca="false">""</f>
        <v/>
      </c>
      <c r="B2632" s="13" t="n">
        <f aca="false">66</f>
        <v>66</v>
      </c>
      <c r="C2632" s="13" t="n">
        <f aca="false">IF(Szenarien!$H$18="OK",(IFERROR(SUMIF(Nutzungsprofile!$B$6:$B$11,"Schulbetrieb",Nutzungsprofile!$G$6:$G$11)*Kalender!C70/SUM(Kalender!$C$5:$C$370),0)+IFERROR(SUMIF(Nutzungsprofile!$B$6:$B$11,"Halle",Nutzungsprofile!$G$6:$G$11)*Kalender!D70/SUM(Kalender!$D$5:$D$370),0)+IFERROR(SUMIF(Nutzungsprofile!$B$6:$B$11,"Individuell",Nutzungsprofile!$G$6:$G$11)*Kalender!E70/SUM(Kalender!$E$5:$E$370),0))*Szenarien!$E$18,0)</f>
        <v>2.04</v>
      </c>
      <c r="D2632" s="13" t="n">
        <f aca="false">IF(Szenarien!$H$18="OK",(IFERROR(SUMIF(Nutzungsprofile!$B$17:$B$22,"Schulbetrieb",Nutzungsprofile!$G$17:$G$22)*Kalender!C70/SUM(Kalender!$C$5:$C$370),0)+IFERROR(SUMIF(Nutzungsprofile!$B$17:$B$22,"Halle",Nutzungsprofile!$G$17:$G$22)*Kalender!D70/SUM(Kalender!$D$5:$D$370),0)+IFERROR(SUMIF(Nutzungsprofile!$B$17:$B$22,"Individuell",Nutzungsprofile!$G$17:$G$22)*Kalender!E70/SUM(Kalender!$E$5:$E$370),0))*Szenarien!$D$18,0)</f>
        <v>0.712</v>
      </c>
      <c r="E2632" s="13" t="n">
        <f aca="false">IFERROR(MIN(C2632,Eingaben!$B$17)*Eingaben!$B$16,0)</f>
        <v>1.938</v>
      </c>
      <c r="F2632" s="13" t="n">
        <f aca="false">IFERROR(E2632*Eingaben!$B$15,0)</f>
        <v>1.7442</v>
      </c>
      <c r="G2632" s="13" t="n">
        <f aca="false">IFERROR(IF(Kalender!A70="",0,J2631*(1-Eingaben!$B$20)),0)</f>
        <v>0.7390278</v>
      </c>
      <c r="H2632" s="13" t="n">
        <f aca="false">MIN(G2632,D2632)</f>
        <v>0.712</v>
      </c>
      <c r="I2632" s="13" t="n">
        <f aca="false">IFERROR(MIN(F2632*Eingaben!$B$19,MAX(0,D2632-H2632)),0)</f>
        <v>0</v>
      </c>
      <c r="J2632" s="13" t="n">
        <f aca="false">IFERROR(MIN(Eingaben!$B$18,MAX(0,F2632-I2632)),0)</f>
        <v>1.7442</v>
      </c>
      <c r="K2632" s="13" t="n">
        <f aca="false">H2632+I2632</f>
        <v>0.712</v>
      </c>
      <c r="L2632" s="13" t="n">
        <f aca="false">MAX(0,D2632-K2632)</f>
        <v>0</v>
      </c>
      <c r="M2632" s="13" t="n">
        <f aca="false">MAX(0,F2632-I2632-J2632)</f>
        <v>0</v>
      </c>
      <c r="N2632" s="13" t="n">
        <f aca="false">IF(Kalender!A70="",0,J2631-H2632)</f>
        <v>0.04211</v>
      </c>
    </row>
    <row r="2633" customFormat="false" ht="16.4" hidden="false" customHeight="false" outlineLevel="0" collapsed="false">
      <c r="A2633" s="13" t="str">
        <f aca="false">""</f>
        <v/>
      </c>
      <c r="B2633" s="13" t="n">
        <f aca="false">67</f>
        <v>67</v>
      </c>
      <c r="C2633" s="13" t="n">
        <f aca="false">IF(Szenarien!$H$18="OK",(IFERROR(SUMIF(Nutzungsprofile!$B$6:$B$11,"Schulbetrieb",Nutzungsprofile!$G$6:$G$11)*Kalender!C71/SUM(Kalender!$C$5:$C$370),0)+IFERROR(SUMIF(Nutzungsprofile!$B$6:$B$11,"Halle",Nutzungsprofile!$G$6:$G$11)*Kalender!D71/SUM(Kalender!$D$5:$D$370),0)+IFERROR(SUMIF(Nutzungsprofile!$B$6:$B$11,"Individuell",Nutzungsprofile!$G$6:$G$11)*Kalender!E71/SUM(Kalender!$E$5:$E$370),0))*Szenarien!$E$18,0)</f>
        <v>2.04</v>
      </c>
      <c r="D2633" s="13" t="n">
        <f aca="false">IF(Szenarien!$H$18="OK",(IFERROR(SUMIF(Nutzungsprofile!$B$17:$B$22,"Schulbetrieb",Nutzungsprofile!$G$17:$G$22)*Kalender!C71/SUM(Kalender!$C$5:$C$370),0)+IFERROR(SUMIF(Nutzungsprofile!$B$17:$B$22,"Halle",Nutzungsprofile!$G$17:$G$22)*Kalender!D71/SUM(Kalender!$D$5:$D$370),0)+IFERROR(SUMIF(Nutzungsprofile!$B$17:$B$22,"Individuell",Nutzungsprofile!$G$17:$G$22)*Kalender!E71/SUM(Kalender!$E$5:$E$370),0))*Szenarien!$D$18,0)</f>
        <v>0.712</v>
      </c>
      <c r="E2633" s="13" t="n">
        <f aca="false">IFERROR(MIN(C2633,Eingaben!$B$17)*Eingaben!$B$16,0)</f>
        <v>1.938</v>
      </c>
      <c r="F2633" s="13" t="n">
        <f aca="false">IFERROR(E2633*Eingaben!$B$15,0)</f>
        <v>1.7442</v>
      </c>
      <c r="G2633" s="13" t="n">
        <f aca="false">IFERROR(IF(Kalender!A71="",0,J2632*(1-Eingaben!$B$20)),0)</f>
        <v>1.709316</v>
      </c>
      <c r="H2633" s="13" t="n">
        <f aca="false">MIN(G2633,D2633)</f>
        <v>0.712</v>
      </c>
      <c r="I2633" s="13" t="n">
        <f aca="false">IFERROR(MIN(F2633*Eingaben!$B$19,MAX(0,D2633-H2633)),0)</f>
        <v>0</v>
      </c>
      <c r="J2633" s="13" t="n">
        <f aca="false">IFERROR(MIN(Eingaben!$B$18,MAX(0,F2633-I2633)),0)</f>
        <v>1.7442</v>
      </c>
      <c r="K2633" s="13" t="n">
        <f aca="false">H2633+I2633</f>
        <v>0.712</v>
      </c>
      <c r="L2633" s="13" t="n">
        <f aca="false">MAX(0,D2633-K2633)</f>
        <v>0</v>
      </c>
      <c r="M2633" s="13" t="n">
        <f aca="false">MAX(0,F2633-I2633-J2633)</f>
        <v>0</v>
      </c>
      <c r="N2633" s="13" t="n">
        <f aca="false">IF(Kalender!A71="",0,J2632-H2633)</f>
        <v>1.0322</v>
      </c>
    </row>
    <row r="2634" customFormat="false" ht="16.4" hidden="false" customHeight="false" outlineLevel="0" collapsed="false">
      <c r="A2634" s="13" t="str">
        <f aca="false">""</f>
        <v/>
      </c>
      <c r="B2634" s="13" t="n">
        <f aca="false">68</f>
        <v>68</v>
      </c>
      <c r="C2634" s="13" t="n">
        <f aca="false">IF(Szenarien!$H$18="OK",(IFERROR(SUMIF(Nutzungsprofile!$B$6:$B$11,"Schulbetrieb",Nutzungsprofile!$G$6:$G$11)*Kalender!C72/SUM(Kalender!$C$5:$C$370),0)+IFERROR(SUMIF(Nutzungsprofile!$B$6:$B$11,"Halle",Nutzungsprofile!$G$6:$G$11)*Kalender!D72/SUM(Kalender!$D$5:$D$370),0)+IFERROR(SUMIF(Nutzungsprofile!$B$6:$B$11,"Individuell",Nutzungsprofile!$G$6:$G$11)*Kalender!E72/SUM(Kalender!$E$5:$E$370),0))*Szenarien!$E$18,0)</f>
        <v>2.94</v>
      </c>
      <c r="D2634" s="13" t="n">
        <f aca="false">IF(Szenarien!$H$18="OK",(IFERROR(SUMIF(Nutzungsprofile!$B$17:$B$22,"Schulbetrieb",Nutzungsprofile!$G$17:$G$22)*Kalender!C72/SUM(Kalender!$C$5:$C$370),0)+IFERROR(SUMIF(Nutzungsprofile!$B$17:$B$22,"Halle",Nutzungsprofile!$G$17:$G$22)*Kalender!D72/SUM(Kalender!$D$5:$D$370),0)+IFERROR(SUMIF(Nutzungsprofile!$B$17:$B$22,"Individuell",Nutzungsprofile!$G$17:$G$22)*Kalender!E72/SUM(Kalender!$E$5:$E$370),0))*Szenarien!$D$18,0)</f>
        <v>3.952</v>
      </c>
      <c r="E2634" s="13" t="n">
        <f aca="false">IFERROR(MIN(C2634,Eingaben!$B$17)*Eingaben!$B$16,0)</f>
        <v>2.793</v>
      </c>
      <c r="F2634" s="13" t="n">
        <f aca="false">IFERROR(E2634*Eingaben!$B$15,0)</f>
        <v>2.5137</v>
      </c>
      <c r="G2634" s="13" t="n">
        <f aca="false">IFERROR(IF(Kalender!A72="",0,J2633*(1-Eingaben!$B$20)),0)</f>
        <v>1.709316</v>
      </c>
      <c r="H2634" s="13" t="n">
        <f aca="false">MIN(G2634,D2634)</f>
        <v>1.709316</v>
      </c>
      <c r="I2634" s="13" t="n">
        <f aca="false">IFERROR(MIN(F2634*Eingaben!$B$19,MAX(0,D2634-H2634)),0)</f>
        <v>1.75959</v>
      </c>
      <c r="J2634" s="13" t="n">
        <f aca="false">IFERROR(MIN(Eingaben!$B$18,MAX(0,F2634-I2634)),0)</f>
        <v>0.75411</v>
      </c>
      <c r="K2634" s="13" t="n">
        <f aca="false">H2634+I2634</f>
        <v>3.468906</v>
      </c>
      <c r="L2634" s="13" t="n">
        <f aca="false">MAX(0,D2634-K2634)</f>
        <v>0.483094</v>
      </c>
      <c r="M2634" s="13" t="n">
        <f aca="false">MAX(0,F2634-I2634-J2634)</f>
        <v>0</v>
      </c>
      <c r="N2634" s="13" t="n">
        <f aca="false">IF(Kalender!A72="",0,J2633-H2634)</f>
        <v>0.0348840000000001</v>
      </c>
    </row>
    <row r="2635" customFormat="false" ht="16.4" hidden="false" customHeight="false" outlineLevel="0" collapsed="false">
      <c r="A2635" s="13" t="str">
        <f aca="false">""</f>
        <v/>
      </c>
      <c r="B2635" s="13" t="n">
        <f aca="false">69</f>
        <v>69</v>
      </c>
      <c r="C2635" s="13" t="n">
        <f aca="false">IF(Szenarien!$H$18="OK",(IFERROR(SUMIF(Nutzungsprofile!$B$6:$B$11,"Schulbetrieb",Nutzungsprofile!$G$6:$G$11)*Kalender!C73/SUM(Kalender!$C$5:$C$370),0)+IFERROR(SUMIF(Nutzungsprofile!$B$6:$B$11,"Halle",Nutzungsprofile!$G$6:$G$11)*Kalender!D73/SUM(Kalender!$D$5:$D$370),0)+IFERROR(SUMIF(Nutzungsprofile!$B$6:$B$11,"Individuell",Nutzungsprofile!$G$6:$G$11)*Kalender!E73/SUM(Kalender!$E$5:$E$370),0))*Szenarien!$E$18,0)</f>
        <v>2.94</v>
      </c>
      <c r="D2635" s="13" t="n">
        <f aca="false">IF(Szenarien!$H$18="OK",(IFERROR(SUMIF(Nutzungsprofile!$B$17:$B$22,"Schulbetrieb",Nutzungsprofile!$G$17:$G$22)*Kalender!C73/SUM(Kalender!$C$5:$C$370),0)+IFERROR(SUMIF(Nutzungsprofile!$B$17:$B$22,"Halle",Nutzungsprofile!$G$17:$G$22)*Kalender!D73/SUM(Kalender!$D$5:$D$370),0)+IFERROR(SUMIF(Nutzungsprofile!$B$17:$B$22,"Individuell",Nutzungsprofile!$G$17:$G$22)*Kalender!E73/SUM(Kalender!$E$5:$E$370),0))*Szenarien!$D$18,0)</f>
        <v>3.952</v>
      </c>
      <c r="E2635" s="13" t="n">
        <f aca="false">IFERROR(MIN(C2635,Eingaben!$B$17)*Eingaben!$B$16,0)</f>
        <v>2.793</v>
      </c>
      <c r="F2635" s="13" t="n">
        <f aca="false">IFERROR(E2635*Eingaben!$B$15,0)</f>
        <v>2.5137</v>
      </c>
      <c r="G2635" s="13" t="n">
        <f aca="false">IFERROR(IF(Kalender!A73="",0,J2634*(1-Eingaben!$B$20)),0)</f>
        <v>0.7390278</v>
      </c>
      <c r="H2635" s="13" t="n">
        <f aca="false">MIN(G2635,D2635)</f>
        <v>0.7390278</v>
      </c>
      <c r="I2635" s="13" t="n">
        <f aca="false">IFERROR(MIN(F2635*Eingaben!$B$19,MAX(0,D2635-H2635)),0)</f>
        <v>1.75959</v>
      </c>
      <c r="J2635" s="13" t="n">
        <f aca="false">IFERROR(MIN(Eingaben!$B$18,MAX(0,F2635-I2635)),0)</f>
        <v>0.75411</v>
      </c>
      <c r="K2635" s="13" t="n">
        <f aca="false">H2635+I2635</f>
        <v>2.4986178</v>
      </c>
      <c r="L2635" s="13" t="n">
        <f aca="false">MAX(0,D2635-K2635)</f>
        <v>1.4533822</v>
      </c>
      <c r="M2635" s="13" t="n">
        <f aca="false">MAX(0,F2635-I2635-J2635)</f>
        <v>0</v>
      </c>
      <c r="N2635" s="13" t="n">
        <f aca="false">IF(Kalender!A73="",0,J2634-H2635)</f>
        <v>0.0150822</v>
      </c>
    </row>
    <row r="2636" customFormat="false" ht="16.4" hidden="false" customHeight="false" outlineLevel="0" collapsed="false">
      <c r="A2636" s="13" t="str">
        <f aca="false">""</f>
        <v/>
      </c>
      <c r="B2636" s="13" t="n">
        <f aca="false">70</f>
        <v>70</v>
      </c>
      <c r="C2636" s="13" t="n">
        <f aca="false">IF(Szenarien!$H$18="OK",(IFERROR(SUMIF(Nutzungsprofile!$B$6:$B$11,"Schulbetrieb",Nutzungsprofile!$G$6:$G$11)*Kalender!C74/SUM(Kalender!$C$5:$C$370),0)+IFERROR(SUMIF(Nutzungsprofile!$B$6:$B$11,"Halle",Nutzungsprofile!$G$6:$G$11)*Kalender!D74/SUM(Kalender!$D$5:$D$370),0)+IFERROR(SUMIF(Nutzungsprofile!$B$6:$B$11,"Individuell",Nutzungsprofile!$G$6:$G$11)*Kalender!E74/SUM(Kalender!$E$5:$E$370),0))*Szenarien!$E$18,0)</f>
        <v>2.94</v>
      </c>
      <c r="D2636" s="13" t="n">
        <f aca="false">IF(Szenarien!$H$18="OK",(IFERROR(SUMIF(Nutzungsprofile!$B$17:$B$22,"Schulbetrieb",Nutzungsprofile!$G$17:$G$22)*Kalender!C74/SUM(Kalender!$C$5:$C$370),0)+IFERROR(SUMIF(Nutzungsprofile!$B$17:$B$22,"Halle",Nutzungsprofile!$G$17:$G$22)*Kalender!D74/SUM(Kalender!$D$5:$D$370),0)+IFERROR(SUMIF(Nutzungsprofile!$B$17:$B$22,"Individuell",Nutzungsprofile!$G$17:$G$22)*Kalender!E74/SUM(Kalender!$E$5:$E$370),0))*Szenarien!$D$18,0)</f>
        <v>3.952</v>
      </c>
      <c r="E2636" s="13" t="n">
        <f aca="false">IFERROR(MIN(C2636,Eingaben!$B$17)*Eingaben!$B$16,0)</f>
        <v>2.793</v>
      </c>
      <c r="F2636" s="13" t="n">
        <f aca="false">IFERROR(E2636*Eingaben!$B$15,0)</f>
        <v>2.5137</v>
      </c>
      <c r="G2636" s="13" t="n">
        <f aca="false">IFERROR(IF(Kalender!A74="",0,J2635*(1-Eingaben!$B$20)),0)</f>
        <v>0.7390278</v>
      </c>
      <c r="H2636" s="13" t="n">
        <f aca="false">MIN(G2636,D2636)</f>
        <v>0.7390278</v>
      </c>
      <c r="I2636" s="13" t="n">
        <f aca="false">IFERROR(MIN(F2636*Eingaben!$B$19,MAX(0,D2636-H2636)),0)</f>
        <v>1.75959</v>
      </c>
      <c r="J2636" s="13" t="n">
        <f aca="false">IFERROR(MIN(Eingaben!$B$18,MAX(0,F2636-I2636)),0)</f>
        <v>0.75411</v>
      </c>
      <c r="K2636" s="13" t="n">
        <f aca="false">H2636+I2636</f>
        <v>2.4986178</v>
      </c>
      <c r="L2636" s="13" t="n">
        <f aca="false">MAX(0,D2636-K2636)</f>
        <v>1.4533822</v>
      </c>
      <c r="M2636" s="13" t="n">
        <f aca="false">MAX(0,F2636-I2636-J2636)</f>
        <v>0</v>
      </c>
      <c r="N2636" s="13" t="n">
        <f aca="false">IF(Kalender!A74="",0,J2635-H2636)</f>
        <v>0.0150822</v>
      </c>
    </row>
    <row r="2637" customFormat="false" ht="16.4" hidden="false" customHeight="false" outlineLevel="0" collapsed="false">
      <c r="A2637" s="13" t="str">
        <f aca="false">""</f>
        <v/>
      </c>
      <c r="B2637" s="13" t="n">
        <f aca="false">71</f>
        <v>71</v>
      </c>
      <c r="C2637" s="13" t="n">
        <f aca="false">IF(Szenarien!$H$18="OK",(IFERROR(SUMIF(Nutzungsprofile!$B$6:$B$11,"Schulbetrieb",Nutzungsprofile!$G$6:$G$11)*Kalender!C75/SUM(Kalender!$C$5:$C$370),0)+IFERROR(SUMIF(Nutzungsprofile!$B$6:$B$11,"Halle",Nutzungsprofile!$G$6:$G$11)*Kalender!D75/SUM(Kalender!$D$5:$D$370),0)+IFERROR(SUMIF(Nutzungsprofile!$B$6:$B$11,"Individuell",Nutzungsprofile!$G$6:$G$11)*Kalender!E75/SUM(Kalender!$E$5:$E$370),0))*Szenarien!$E$18,0)</f>
        <v>2.94</v>
      </c>
      <c r="D2637" s="13" t="n">
        <f aca="false">IF(Szenarien!$H$18="OK",(IFERROR(SUMIF(Nutzungsprofile!$B$17:$B$22,"Schulbetrieb",Nutzungsprofile!$G$17:$G$22)*Kalender!C75/SUM(Kalender!$C$5:$C$370),0)+IFERROR(SUMIF(Nutzungsprofile!$B$17:$B$22,"Halle",Nutzungsprofile!$G$17:$G$22)*Kalender!D75/SUM(Kalender!$D$5:$D$370),0)+IFERROR(SUMIF(Nutzungsprofile!$B$17:$B$22,"Individuell",Nutzungsprofile!$G$17:$G$22)*Kalender!E75/SUM(Kalender!$E$5:$E$370),0))*Szenarien!$D$18,0)</f>
        <v>3.952</v>
      </c>
      <c r="E2637" s="13" t="n">
        <f aca="false">IFERROR(MIN(C2637,Eingaben!$B$17)*Eingaben!$B$16,0)</f>
        <v>2.793</v>
      </c>
      <c r="F2637" s="13" t="n">
        <f aca="false">IFERROR(E2637*Eingaben!$B$15,0)</f>
        <v>2.5137</v>
      </c>
      <c r="G2637" s="13" t="n">
        <f aca="false">IFERROR(IF(Kalender!A75="",0,J2636*(1-Eingaben!$B$20)),0)</f>
        <v>0.7390278</v>
      </c>
      <c r="H2637" s="13" t="n">
        <f aca="false">MIN(G2637,D2637)</f>
        <v>0.7390278</v>
      </c>
      <c r="I2637" s="13" t="n">
        <f aca="false">IFERROR(MIN(F2637*Eingaben!$B$19,MAX(0,D2637-H2637)),0)</f>
        <v>1.75959</v>
      </c>
      <c r="J2637" s="13" t="n">
        <f aca="false">IFERROR(MIN(Eingaben!$B$18,MAX(0,F2637-I2637)),0)</f>
        <v>0.75411</v>
      </c>
      <c r="K2637" s="13" t="n">
        <f aca="false">H2637+I2637</f>
        <v>2.4986178</v>
      </c>
      <c r="L2637" s="13" t="n">
        <f aca="false">MAX(0,D2637-K2637)</f>
        <v>1.4533822</v>
      </c>
      <c r="M2637" s="13" t="n">
        <f aca="false">MAX(0,F2637-I2637-J2637)</f>
        <v>0</v>
      </c>
      <c r="N2637" s="13" t="n">
        <f aca="false">IF(Kalender!A75="",0,J2636-H2637)</f>
        <v>0.0150822</v>
      </c>
    </row>
    <row r="2638" customFormat="false" ht="16.4" hidden="false" customHeight="false" outlineLevel="0" collapsed="false">
      <c r="A2638" s="13" t="str">
        <f aca="false">""</f>
        <v/>
      </c>
      <c r="B2638" s="13" t="n">
        <f aca="false">72</f>
        <v>72</v>
      </c>
      <c r="C2638" s="13" t="n">
        <f aca="false">IF(Szenarien!$H$18="OK",(IFERROR(SUMIF(Nutzungsprofile!$B$6:$B$11,"Schulbetrieb",Nutzungsprofile!$G$6:$G$11)*Kalender!C76/SUM(Kalender!$C$5:$C$370),0)+IFERROR(SUMIF(Nutzungsprofile!$B$6:$B$11,"Halle",Nutzungsprofile!$G$6:$G$11)*Kalender!D76/SUM(Kalender!$D$5:$D$370),0)+IFERROR(SUMIF(Nutzungsprofile!$B$6:$B$11,"Individuell",Nutzungsprofile!$G$6:$G$11)*Kalender!E76/SUM(Kalender!$E$5:$E$370),0))*Szenarien!$E$18,0)</f>
        <v>2.94</v>
      </c>
      <c r="D2638" s="13" t="n">
        <f aca="false">IF(Szenarien!$H$18="OK",(IFERROR(SUMIF(Nutzungsprofile!$B$17:$B$22,"Schulbetrieb",Nutzungsprofile!$G$17:$G$22)*Kalender!C76/SUM(Kalender!$C$5:$C$370),0)+IFERROR(SUMIF(Nutzungsprofile!$B$17:$B$22,"Halle",Nutzungsprofile!$G$17:$G$22)*Kalender!D76/SUM(Kalender!$D$5:$D$370),0)+IFERROR(SUMIF(Nutzungsprofile!$B$17:$B$22,"Individuell",Nutzungsprofile!$G$17:$G$22)*Kalender!E76/SUM(Kalender!$E$5:$E$370),0))*Szenarien!$D$18,0)</f>
        <v>3.952</v>
      </c>
      <c r="E2638" s="13" t="n">
        <f aca="false">IFERROR(MIN(C2638,Eingaben!$B$17)*Eingaben!$B$16,0)</f>
        <v>2.793</v>
      </c>
      <c r="F2638" s="13" t="n">
        <f aca="false">IFERROR(E2638*Eingaben!$B$15,0)</f>
        <v>2.5137</v>
      </c>
      <c r="G2638" s="13" t="n">
        <f aca="false">IFERROR(IF(Kalender!A76="",0,J2637*(1-Eingaben!$B$20)),0)</f>
        <v>0.7390278</v>
      </c>
      <c r="H2638" s="13" t="n">
        <f aca="false">MIN(G2638,D2638)</f>
        <v>0.7390278</v>
      </c>
      <c r="I2638" s="13" t="n">
        <f aca="false">IFERROR(MIN(F2638*Eingaben!$B$19,MAX(0,D2638-H2638)),0)</f>
        <v>1.75959</v>
      </c>
      <c r="J2638" s="13" t="n">
        <f aca="false">IFERROR(MIN(Eingaben!$B$18,MAX(0,F2638-I2638)),0)</f>
        <v>0.75411</v>
      </c>
      <c r="K2638" s="13" t="n">
        <f aca="false">H2638+I2638</f>
        <v>2.4986178</v>
      </c>
      <c r="L2638" s="13" t="n">
        <f aca="false">MAX(0,D2638-K2638)</f>
        <v>1.4533822</v>
      </c>
      <c r="M2638" s="13" t="n">
        <f aca="false">MAX(0,F2638-I2638-J2638)</f>
        <v>0</v>
      </c>
      <c r="N2638" s="13" t="n">
        <f aca="false">IF(Kalender!A76="",0,J2637-H2638)</f>
        <v>0.0150822</v>
      </c>
    </row>
    <row r="2639" customFormat="false" ht="16.4" hidden="false" customHeight="false" outlineLevel="0" collapsed="false">
      <c r="A2639" s="13" t="str">
        <f aca="false">""</f>
        <v/>
      </c>
      <c r="B2639" s="13" t="n">
        <f aca="false">73</f>
        <v>73</v>
      </c>
      <c r="C2639" s="13" t="n">
        <f aca="false">IF(Szenarien!$H$18="OK",(IFERROR(SUMIF(Nutzungsprofile!$B$6:$B$11,"Schulbetrieb",Nutzungsprofile!$G$6:$G$11)*Kalender!C77/SUM(Kalender!$C$5:$C$370),0)+IFERROR(SUMIF(Nutzungsprofile!$B$6:$B$11,"Halle",Nutzungsprofile!$G$6:$G$11)*Kalender!D77/SUM(Kalender!$D$5:$D$370),0)+IFERROR(SUMIF(Nutzungsprofile!$B$6:$B$11,"Individuell",Nutzungsprofile!$G$6:$G$11)*Kalender!E77/SUM(Kalender!$E$5:$E$370),0))*Szenarien!$E$18,0)</f>
        <v>2.04</v>
      </c>
      <c r="D2639" s="13" t="n">
        <f aca="false">IF(Szenarien!$H$18="OK",(IFERROR(SUMIF(Nutzungsprofile!$B$17:$B$22,"Schulbetrieb",Nutzungsprofile!$G$17:$G$22)*Kalender!C77/SUM(Kalender!$C$5:$C$370),0)+IFERROR(SUMIF(Nutzungsprofile!$B$17:$B$22,"Halle",Nutzungsprofile!$G$17:$G$22)*Kalender!D77/SUM(Kalender!$D$5:$D$370),0)+IFERROR(SUMIF(Nutzungsprofile!$B$17:$B$22,"Individuell",Nutzungsprofile!$G$17:$G$22)*Kalender!E77/SUM(Kalender!$E$5:$E$370),0))*Szenarien!$D$18,0)</f>
        <v>0.712</v>
      </c>
      <c r="E2639" s="13" t="n">
        <f aca="false">IFERROR(MIN(C2639,Eingaben!$B$17)*Eingaben!$B$16,0)</f>
        <v>1.938</v>
      </c>
      <c r="F2639" s="13" t="n">
        <f aca="false">IFERROR(E2639*Eingaben!$B$15,0)</f>
        <v>1.7442</v>
      </c>
      <c r="G2639" s="13" t="n">
        <f aca="false">IFERROR(IF(Kalender!A77="",0,J2638*(1-Eingaben!$B$20)),0)</f>
        <v>0.7390278</v>
      </c>
      <c r="H2639" s="13" t="n">
        <f aca="false">MIN(G2639,D2639)</f>
        <v>0.712</v>
      </c>
      <c r="I2639" s="13" t="n">
        <f aca="false">IFERROR(MIN(F2639*Eingaben!$B$19,MAX(0,D2639-H2639)),0)</f>
        <v>0</v>
      </c>
      <c r="J2639" s="13" t="n">
        <f aca="false">IFERROR(MIN(Eingaben!$B$18,MAX(0,F2639-I2639)),0)</f>
        <v>1.7442</v>
      </c>
      <c r="K2639" s="13" t="n">
        <f aca="false">H2639+I2639</f>
        <v>0.712</v>
      </c>
      <c r="L2639" s="13" t="n">
        <f aca="false">MAX(0,D2639-K2639)</f>
        <v>0</v>
      </c>
      <c r="M2639" s="13" t="n">
        <f aca="false">MAX(0,F2639-I2639-J2639)</f>
        <v>0</v>
      </c>
      <c r="N2639" s="13" t="n">
        <f aca="false">IF(Kalender!A77="",0,J2638-H2639)</f>
        <v>0.04211</v>
      </c>
    </row>
    <row r="2640" customFormat="false" ht="16.4" hidden="false" customHeight="false" outlineLevel="0" collapsed="false">
      <c r="A2640" s="13" t="str">
        <f aca="false">""</f>
        <v/>
      </c>
      <c r="B2640" s="13" t="n">
        <f aca="false">74</f>
        <v>74</v>
      </c>
      <c r="C2640" s="13" t="n">
        <f aca="false">IF(Szenarien!$H$18="OK",(IFERROR(SUMIF(Nutzungsprofile!$B$6:$B$11,"Schulbetrieb",Nutzungsprofile!$G$6:$G$11)*Kalender!C78/SUM(Kalender!$C$5:$C$370),0)+IFERROR(SUMIF(Nutzungsprofile!$B$6:$B$11,"Halle",Nutzungsprofile!$G$6:$G$11)*Kalender!D78/SUM(Kalender!$D$5:$D$370),0)+IFERROR(SUMIF(Nutzungsprofile!$B$6:$B$11,"Individuell",Nutzungsprofile!$G$6:$G$11)*Kalender!E78/SUM(Kalender!$E$5:$E$370),0))*Szenarien!$E$18,0)</f>
        <v>2.04</v>
      </c>
      <c r="D2640" s="13" t="n">
        <f aca="false">IF(Szenarien!$H$18="OK",(IFERROR(SUMIF(Nutzungsprofile!$B$17:$B$22,"Schulbetrieb",Nutzungsprofile!$G$17:$G$22)*Kalender!C78/SUM(Kalender!$C$5:$C$370),0)+IFERROR(SUMIF(Nutzungsprofile!$B$17:$B$22,"Halle",Nutzungsprofile!$G$17:$G$22)*Kalender!D78/SUM(Kalender!$D$5:$D$370),0)+IFERROR(SUMIF(Nutzungsprofile!$B$17:$B$22,"Individuell",Nutzungsprofile!$G$17:$G$22)*Kalender!E78/SUM(Kalender!$E$5:$E$370),0))*Szenarien!$D$18,0)</f>
        <v>0.712</v>
      </c>
      <c r="E2640" s="13" t="n">
        <f aca="false">IFERROR(MIN(C2640,Eingaben!$B$17)*Eingaben!$B$16,0)</f>
        <v>1.938</v>
      </c>
      <c r="F2640" s="13" t="n">
        <f aca="false">IFERROR(E2640*Eingaben!$B$15,0)</f>
        <v>1.7442</v>
      </c>
      <c r="G2640" s="13" t="n">
        <f aca="false">IFERROR(IF(Kalender!A78="",0,J2639*(1-Eingaben!$B$20)),0)</f>
        <v>1.709316</v>
      </c>
      <c r="H2640" s="13" t="n">
        <f aca="false">MIN(G2640,D2640)</f>
        <v>0.712</v>
      </c>
      <c r="I2640" s="13" t="n">
        <f aca="false">IFERROR(MIN(F2640*Eingaben!$B$19,MAX(0,D2640-H2640)),0)</f>
        <v>0</v>
      </c>
      <c r="J2640" s="13" t="n">
        <f aca="false">IFERROR(MIN(Eingaben!$B$18,MAX(0,F2640-I2640)),0)</f>
        <v>1.7442</v>
      </c>
      <c r="K2640" s="13" t="n">
        <f aca="false">H2640+I2640</f>
        <v>0.712</v>
      </c>
      <c r="L2640" s="13" t="n">
        <f aca="false">MAX(0,D2640-K2640)</f>
        <v>0</v>
      </c>
      <c r="M2640" s="13" t="n">
        <f aca="false">MAX(0,F2640-I2640-J2640)</f>
        <v>0</v>
      </c>
      <c r="N2640" s="13" t="n">
        <f aca="false">IF(Kalender!A78="",0,J2639-H2640)</f>
        <v>1.0322</v>
      </c>
    </row>
    <row r="2641" customFormat="false" ht="16.4" hidden="false" customHeight="false" outlineLevel="0" collapsed="false">
      <c r="A2641" s="13" t="str">
        <f aca="false">""</f>
        <v/>
      </c>
      <c r="B2641" s="13" t="n">
        <f aca="false">75</f>
        <v>75</v>
      </c>
      <c r="C2641" s="13" t="n">
        <f aca="false">IF(Szenarien!$H$18="OK",(IFERROR(SUMIF(Nutzungsprofile!$B$6:$B$11,"Schulbetrieb",Nutzungsprofile!$G$6:$G$11)*Kalender!C79/SUM(Kalender!$C$5:$C$370),0)+IFERROR(SUMIF(Nutzungsprofile!$B$6:$B$11,"Halle",Nutzungsprofile!$G$6:$G$11)*Kalender!D79/SUM(Kalender!$D$5:$D$370),0)+IFERROR(SUMIF(Nutzungsprofile!$B$6:$B$11,"Individuell",Nutzungsprofile!$G$6:$G$11)*Kalender!E79/SUM(Kalender!$E$5:$E$370),0))*Szenarien!$E$18,0)</f>
        <v>2.94</v>
      </c>
      <c r="D2641" s="13" t="n">
        <f aca="false">IF(Szenarien!$H$18="OK",(IFERROR(SUMIF(Nutzungsprofile!$B$17:$B$22,"Schulbetrieb",Nutzungsprofile!$G$17:$G$22)*Kalender!C79/SUM(Kalender!$C$5:$C$370),0)+IFERROR(SUMIF(Nutzungsprofile!$B$17:$B$22,"Halle",Nutzungsprofile!$G$17:$G$22)*Kalender!D79/SUM(Kalender!$D$5:$D$370),0)+IFERROR(SUMIF(Nutzungsprofile!$B$17:$B$22,"Individuell",Nutzungsprofile!$G$17:$G$22)*Kalender!E79/SUM(Kalender!$E$5:$E$370),0))*Szenarien!$D$18,0)</f>
        <v>3.952</v>
      </c>
      <c r="E2641" s="13" t="n">
        <f aca="false">IFERROR(MIN(C2641,Eingaben!$B$17)*Eingaben!$B$16,0)</f>
        <v>2.793</v>
      </c>
      <c r="F2641" s="13" t="n">
        <f aca="false">IFERROR(E2641*Eingaben!$B$15,0)</f>
        <v>2.5137</v>
      </c>
      <c r="G2641" s="13" t="n">
        <f aca="false">IFERROR(IF(Kalender!A79="",0,J2640*(1-Eingaben!$B$20)),0)</f>
        <v>1.709316</v>
      </c>
      <c r="H2641" s="13" t="n">
        <f aca="false">MIN(G2641,D2641)</f>
        <v>1.709316</v>
      </c>
      <c r="I2641" s="13" t="n">
        <f aca="false">IFERROR(MIN(F2641*Eingaben!$B$19,MAX(0,D2641-H2641)),0)</f>
        <v>1.75959</v>
      </c>
      <c r="J2641" s="13" t="n">
        <f aca="false">IFERROR(MIN(Eingaben!$B$18,MAX(0,F2641-I2641)),0)</f>
        <v>0.75411</v>
      </c>
      <c r="K2641" s="13" t="n">
        <f aca="false">H2641+I2641</f>
        <v>3.468906</v>
      </c>
      <c r="L2641" s="13" t="n">
        <f aca="false">MAX(0,D2641-K2641)</f>
        <v>0.483094</v>
      </c>
      <c r="M2641" s="13" t="n">
        <f aca="false">MAX(0,F2641-I2641-J2641)</f>
        <v>0</v>
      </c>
      <c r="N2641" s="13" t="n">
        <f aca="false">IF(Kalender!A79="",0,J2640-H2641)</f>
        <v>0.0348840000000001</v>
      </c>
    </row>
    <row r="2642" customFormat="false" ht="16.4" hidden="false" customHeight="false" outlineLevel="0" collapsed="false">
      <c r="A2642" s="13" t="str">
        <f aca="false">""</f>
        <v/>
      </c>
      <c r="B2642" s="13" t="n">
        <f aca="false">76</f>
        <v>76</v>
      </c>
      <c r="C2642" s="13" t="n">
        <f aca="false">IF(Szenarien!$H$18="OK",(IFERROR(SUMIF(Nutzungsprofile!$B$6:$B$11,"Schulbetrieb",Nutzungsprofile!$G$6:$G$11)*Kalender!C80/SUM(Kalender!$C$5:$C$370),0)+IFERROR(SUMIF(Nutzungsprofile!$B$6:$B$11,"Halle",Nutzungsprofile!$G$6:$G$11)*Kalender!D80/SUM(Kalender!$D$5:$D$370),0)+IFERROR(SUMIF(Nutzungsprofile!$B$6:$B$11,"Individuell",Nutzungsprofile!$G$6:$G$11)*Kalender!E80/SUM(Kalender!$E$5:$E$370),0))*Szenarien!$E$18,0)</f>
        <v>2.94</v>
      </c>
      <c r="D2642" s="13" t="n">
        <f aca="false">IF(Szenarien!$H$18="OK",(IFERROR(SUMIF(Nutzungsprofile!$B$17:$B$22,"Schulbetrieb",Nutzungsprofile!$G$17:$G$22)*Kalender!C80/SUM(Kalender!$C$5:$C$370),0)+IFERROR(SUMIF(Nutzungsprofile!$B$17:$B$22,"Halle",Nutzungsprofile!$G$17:$G$22)*Kalender!D80/SUM(Kalender!$D$5:$D$370),0)+IFERROR(SUMIF(Nutzungsprofile!$B$17:$B$22,"Individuell",Nutzungsprofile!$G$17:$G$22)*Kalender!E80/SUM(Kalender!$E$5:$E$370),0))*Szenarien!$D$18,0)</f>
        <v>3.952</v>
      </c>
      <c r="E2642" s="13" t="n">
        <f aca="false">IFERROR(MIN(C2642,Eingaben!$B$17)*Eingaben!$B$16,0)</f>
        <v>2.793</v>
      </c>
      <c r="F2642" s="13" t="n">
        <f aca="false">IFERROR(E2642*Eingaben!$B$15,0)</f>
        <v>2.5137</v>
      </c>
      <c r="G2642" s="13" t="n">
        <f aca="false">IFERROR(IF(Kalender!A80="",0,J2641*(1-Eingaben!$B$20)),0)</f>
        <v>0.7390278</v>
      </c>
      <c r="H2642" s="13" t="n">
        <f aca="false">MIN(G2642,D2642)</f>
        <v>0.7390278</v>
      </c>
      <c r="I2642" s="13" t="n">
        <f aca="false">IFERROR(MIN(F2642*Eingaben!$B$19,MAX(0,D2642-H2642)),0)</f>
        <v>1.75959</v>
      </c>
      <c r="J2642" s="13" t="n">
        <f aca="false">IFERROR(MIN(Eingaben!$B$18,MAX(0,F2642-I2642)),0)</f>
        <v>0.75411</v>
      </c>
      <c r="K2642" s="13" t="n">
        <f aca="false">H2642+I2642</f>
        <v>2.4986178</v>
      </c>
      <c r="L2642" s="13" t="n">
        <f aca="false">MAX(0,D2642-K2642)</f>
        <v>1.4533822</v>
      </c>
      <c r="M2642" s="13" t="n">
        <f aca="false">MAX(0,F2642-I2642-J2642)</f>
        <v>0</v>
      </c>
      <c r="N2642" s="13" t="n">
        <f aca="false">IF(Kalender!A80="",0,J2641-H2642)</f>
        <v>0.0150822</v>
      </c>
    </row>
    <row r="2643" customFormat="false" ht="16.4" hidden="false" customHeight="false" outlineLevel="0" collapsed="false">
      <c r="A2643" s="13" t="str">
        <f aca="false">""</f>
        <v/>
      </c>
      <c r="B2643" s="13" t="n">
        <f aca="false">77</f>
        <v>77</v>
      </c>
      <c r="C2643" s="13" t="n">
        <f aca="false">IF(Szenarien!$H$18="OK",(IFERROR(SUMIF(Nutzungsprofile!$B$6:$B$11,"Schulbetrieb",Nutzungsprofile!$G$6:$G$11)*Kalender!C81/SUM(Kalender!$C$5:$C$370),0)+IFERROR(SUMIF(Nutzungsprofile!$B$6:$B$11,"Halle",Nutzungsprofile!$G$6:$G$11)*Kalender!D81/SUM(Kalender!$D$5:$D$370),0)+IFERROR(SUMIF(Nutzungsprofile!$B$6:$B$11,"Individuell",Nutzungsprofile!$G$6:$G$11)*Kalender!E81/SUM(Kalender!$E$5:$E$370),0))*Szenarien!$E$18,0)</f>
        <v>2.94</v>
      </c>
      <c r="D2643" s="13" t="n">
        <f aca="false">IF(Szenarien!$H$18="OK",(IFERROR(SUMIF(Nutzungsprofile!$B$17:$B$22,"Schulbetrieb",Nutzungsprofile!$G$17:$G$22)*Kalender!C81/SUM(Kalender!$C$5:$C$370),0)+IFERROR(SUMIF(Nutzungsprofile!$B$17:$B$22,"Halle",Nutzungsprofile!$G$17:$G$22)*Kalender!D81/SUM(Kalender!$D$5:$D$370),0)+IFERROR(SUMIF(Nutzungsprofile!$B$17:$B$22,"Individuell",Nutzungsprofile!$G$17:$G$22)*Kalender!E81/SUM(Kalender!$E$5:$E$370),0))*Szenarien!$D$18,0)</f>
        <v>3.952</v>
      </c>
      <c r="E2643" s="13" t="n">
        <f aca="false">IFERROR(MIN(C2643,Eingaben!$B$17)*Eingaben!$B$16,0)</f>
        <v>2.793</v>
      </c>
      <c r="F2643" s="13" t="n">
        <f aca="false">IFERROR(E2643*Eingaben!$B$15,0)</f>
        <v>2.5137</v>
      </c>
      <c r="G2643" s="13" t="n">
        <f aca="false">IFERROR(IF(Kalender!A81="",0,J2642*(1-Eingaben!$B$20)),0)</f>
        <v>0.7390278</v>
      </c>
      <c r="H2643" s="13" t="n">
        <f aca="false">MIN(G2643,D2643)</f>
        <v>0.7390278</v>
      </c>
      <c r="I2643" s="13" t="n">
        <f aca="false">IFERROR(MIN(F2643*Eingaben!$B$19,MAX(0,D2643-H2643)),0)</f>
        <v>1.75959</v>
      </c>
      <c r="J2643" s="13" t="n">
        <f aca="false">IFERROR(MIN(Eingaben!$B$18,MAX(0,F2643-I2643)),0)</f>
        <v>0.75411</v>
      </c>
      <c r="K2643" s="13" t="n">
        <f aca="false">H2643+I2643</f>
        <v>2.4986178</v>
      </c>
      <c r="L2643" s="13" t="n">
        <f aca="false">MAX(0,D2643-K2643)</f>
        <v>1.4533822</v>
      </c>
      <c r="M2643" s="13" t="n">
        <f aca="false">MAX(0,F2643-I2643-J2643)</f>
        <v>0</v>
      </c>
      <c r="N2643" s="13" t="n">
        <f aca="false">IF(Kalender!A81="",0,J2642-H2643)</f>
        <v>0.0150822</v>
      </c>
    </row>
    <row r="2644" customFormat="false" ht="16.4" hidden="false" customHeight="false" outlineLevel="0" collapsed="false">
      <c r="A2644" s="13" t="str">
        <f aca="false">""</f>
        <v/>
      </c>
      <c r="B2644" s="13" t="n">
        <f aca="false">78</f>
        <v>78</v>
      </c>
      <c r="C2644" s="13" t="n">
        <f aca="false">IF(Szenarien!$H$18="OK",(IFERROR(SUMIF(Nutzungsprofile!$B$6:$B$11,"Schulbetrieb",Nutzungsprofile!$G$6:$G$11)*Kalender!C82/SUM(Kalender!$C$5:$C$370),0)+IFERROR(SUMIF(Nutzungsprofile!$B$6:$B$11,"Halle",Nutzungsprofile!$G$6:$G$11)*Kalender!D82/SUM(Kalender!$D$5:$D$370),0)+IFERROR(SUMIF(Nutzungsprofile!$B$6:$B$11,"Individuell",Nutzungsprofile!$G$6:$G$11)*Kalender!E82/SUM(Kalender!$E$5:$E$370),0))*Szenarien!$E$18,0)</f>
        <v>2.94</v>
      </c>
      <c r="D2644" s="13" t="n">
        <f aca="false">IF(Szenarien!$H$18="OK",(IFERROR(SUMIF(Nutzungsprofile!$B$17:$B$22,"Schulbetrieb",Nutzungsprofile!$G$17:$G$22)*Kalender!C82/SUM(Kalender!$C$5:$C$370),0)+IFERROR(SUMIF(Nutzungsprofile!$B$17:$B$22,"Halle",Nutzungsprofile!$G$17:$G$22)*Kalender!D82/SUM(Kalender!$D$5:$D$370),0)+IFERROR(SUMIF(Nutzungsprofile!$B$17:$B$22,"Individuell",Nutzungsprofile!$G$17:$G$22)*Kalender!E82/SUM(Kalender!$E$5:$E$370),0))*Szenarien!$D$18,0)</f>
        <v>3.952</v>
      </c>
      <c r="E2644" s="13" t="n">
        <f aca="false">IFERROR(MIN(C2644,Eingaben!$B$17)*Eingaben!$B$16,0)</f>
        <v>2.793</v>
      </c>
      <c r="F2644" s="13" t="n">
        <f aca="false">IFERROR(E2644*Eingaben!$B$15,0)</f>
        <v>2.5137</v>
      </c>
      <c r="G2644" s="13" t="n">
        <f aca="false">IFERROR(IF(Kalender!A82="",0,J2643*(1-Eingaben!$B$20)),0)</f>
        <v>0.7390278</v>
      </c>
      <c r="H2644" s="13" t="n">
        <f aca="false">MIN(G2644,D2644)</f>
        <v>0.7390278</v>
      </c>
      <c r="I2644" s="13" t="n">
        <f aca="false">IFERROR(MIN(F2644*Eingaben!$B$19,MAX(0,D2644-H2644)),0)</f>
        <v>1.75959</v>
      </c>
      <c r="J2644" s="13" t="n">
        <f aca="false">IFERROR(MIN(Eingaben!$B$18,MAX(0,F2644-I2644)),0)</f>
        <v>0.75411</v>
      </c>
      <c r="K2644" s="13" t="n">
        <f aca="false">H2644+I2644</f>
        <v>2.4986178</v>
      </c>
      <c r="L2644" s="13" t="n">
        <f aca="false">MAX(0,D2644-K2644)</f>
        <v>1.4533822</v>
      </c>
      <c r="M2644" s="13" t="n">
        <f aca="false">MAX(0,F2644-I2644-J2644)</f>
        <v>0</v>
      </c>
      <c r="N2644" s="13" t="n">
        <f aca="false">IF(Kalender!A82="",0,J2643-H2644)</f>
        <v>0.0150822</v>
      </c>
    </row>
    <row r="2645" customFormat="false" ht="16.4" hidden="false" customHeight="false" outlineLevel="0" collapsed="false">
      <c r="A2645" s="13" t="str">
        <f aca="false">""</f>
        <v/>
      </c>
      <c r="B2645" s="13" t="n">
        <f aca="false">79</f>
        <v>79</v>
      </c>
      <c r="C2645" s="13" t="n">
        <f aca="false">IF(Szenarien!$H$18="OK",(IFERROR(SUMIF(Nutzungsprofile!$B$6:$B$11,"Schulbetrieb",Nutzungsprofile!$G$6:$G$11)*Kalender!C83/SUM(Kalender!$C$5:$C$370),0)+IFERROR(SUMIF(Nutzungsprofile!$B$6:$B$11,"Halle",Nutzungsprofile!$G$6:$G$11)*Kalender!D83/SUM(Kalender!$D$5:$D$370),0)+IFERROR(SUMIF(Nutzungsprofile!$B$6:$B$11,"Individuell",Nutzungsprofile!$G$6:$G$11)*Kalender!E83/SUM(Kalender!$E$5:$E$370),0))*Szenarien!$E$18,0)</f>
        <v>2.94</v>
      </c>
      <c r="D2645" s="13" t="n">
        <f aca="false">IF(Szenarien!$H$18="OK",(IFERROR(SUMIF(Nutzungsprofile!$B$17:$B$22,"Schulbetrieb",Nutzungsprofile!$G$17:$G$22)*Kalender!C83/SUM(Kalender!$C$5:$C$370),0)+IFERROR(SUMIF(Nutzungsprofile!$B$17:$B$22,"Halle",Nutzungsprofile!$G$17:$G$22)*Kalender!D83/SUM(Kalender!$D$5:$D$370),0)+IFERROR(SUMIF(Nutzungsprofile!$B$17:$B$22,"Individuell",Nutzungsprofile!$G$17:$G$22)*Kalender!E83/SUM(Kalender!$E$5:$E$370),0))*Szenarien!$D$18,0)</f>
        <v>3.952</v>
      </c>
      <c r="E2645" s="13" t="n">
        <f aca="false">IFERROR(MIN(C2645,Eingaben!$B$17)*Eingaben!$B$16,0)</f>
        <v>2.793</v>
      </c>
      <c r="F2645" s="13" t="n">
        <f aca="false">IFERROR(E2645*Eingaben!$B$15,0)</f>
        <v>2.5137</v>
      </c>
      <c r="G2645" s="13" t="n">
        <f aca="false">IFERROR(IF(Kalender!A83="",0,J2644*(1-Eingaben!$B$20)),0)</f>
        <v>0.7390278</v>
      </c>
      <c r="H2645" s="13" t="n">
        <f aca="false">MIN(G2645,D2645)</f>
        <v>0.7390278</v>
      </c>
      <c r="I2645" s="13" t="n">
        <f aca="false">IFERROR(MIN(F2645*Eingaben!$B$19,MAX(0,D2645-H2645)),0)</f>
        <v>1.75959</v>
      </c>
      <c r="J2645" s="13" t="n">
        <f aca="false">IFERROR(MIN(Eingaben!$B$18,MAX(0,F2645-I2645)),0)</f>
        <v>0.75411</v>
      </c>
      <c r="K2645" s="13" t="n">
        <f aca="false">H2645+I2645</f>
        <v>2.4986178</v>
      </c>
      <c r="L2645" s="13" t="n">
        <f aca="false">MAX(0,D2645-K2645)</f>
        <v>1.4533822</v>
      </c>
      <c r="M2645" s="13" t="n">
        <f aca="false">MAX(0,F2645-I2645-J2645)</f>
        <v>0</v>
      </c>
      <c r="N2645" s="13" t="n">
        <f aca="false">IF(Kalender!A83="",0,J2644-H2645)</f>
        <v>0.0150822</v>
      </c>
    </row>
    <row r="2646" customFormat="false" ht="16.4" hidden="false" customHeight="false" outlineLevel="0" collapsed="false">
      <c r="A2646" s="13" t="str">
        <f aca="false">""</f>
        <v/>
      </c>
      <c r="B2646" s="13" t="n">
        <f aca="false">80</f>
        <v>80</v>
      </c>
      <c r="C2646" s="13" t="n">
        <f aca="false">IF(Szenarien!$H$18="OK",(IFERROR(SUMIF(Nutzungsprofile!$B$6:$B$11,"Schulbetrieb",Nutzungsprofile!$G$6:$G$11)*Kalender!C84/SUM(Kalender!$C$5:$C$370),0)+IFERROR(SUMIF(Nutzungsprofile!$B$6:$B$11,"Halle",Nutzungsprofile!$G$6:$G$11)*Kalender!D84/SUM(Kalender!$D$5:$D$370),0)+IFERROR(SUMIF(Nutzungsprofile!$B$6:$B$11,"Individuell",Nutzungsprofile!$G$6:$G$11)*Kalender!E84/SUM(Kalender!$E$5:$E$370),0))*Szenarien!$E$18,0)</f>
        <v>2.04</v>
      </c>
      <c r="D2646" s="13" t="n">
        <f aca="false">IF(Szenarien!$H$18="OK",(IFERROR(SUMIF(Nutzungsprofile!$B$17:$B$22,"Schulbetrieb",Nutzungsprofile!$G$17:$G$22)*Kalender!C84/SUM(Kalender!$C$5:$C$370),0)+IFERROR(SUMIF(Nutzungsprofile!$B$17:$B$22,"Halle",Nutzungsprofile!$G$17:$G$22)*Kalender!D84/SUM(Kalender!$D$5:$D$370),0)+IFERROR(SUMIF(Nutzungsprofile!$B$17:$B$22,"Individuell",Nutzungsprofile!$G$17:$G$22)*Kalender!E84/SUM(Kalender!$E$5:$E$370),0))*Szenarien!$D$18,0)</f>
        <v>0.712</v>
      </c>
      <c r="E2646" s="13" t="n">
        <f aca="false">IFERROR(MIN(C2646,Eingaben!$B$17)*Eingaben!$B$16,0)</f>
        <v>1.938</v>
      </c>
      <c r="F2646" s="13" t="n">
        <f aca="false">IFERROR(E2646*Eingaben!$B$15,0)</f>
        <v>1.7442</v>
      </c>
      <c r="G2646" s="13" t="n">
        <f aca="false">IFERROR(IF(Kalender!A84="",0,J2645*(1-Eingaben!$B$20)),0)</f>
        <v>0.7390278</v>
      </c>
      <c r="H2646" s="13" t="n">
        <f aca="false">MIN(G2646,D2646)</f>
        <v>0.712</v>
      </c>
      <c r="I2646" s="13" t="n">
        <f aca="false">IFERROR(MIN(F2646*Eingaben!$B$19,MAX(0,D2646-H2646)),0)</f>
        <v>0</v>
      </c>
      <c r="J2646" s="13" t="n">
        <f aca="false">IFERROR(MIN(Eingaben!$B$18,MAX(0,F2646-I2646)),0)</f>
        <v>1.7442</v>
      </c>
      <c r="K2646" s="13" t="n">
        <f aca="false">H2646+I2646</f>
        <v>0.712</v>
      </c>
      <c r="L2646" s="13" t="n">
        <f aca="false">MAX(0,D2646-K2646)</f>
        <v>0</v>
      </c>
      <c r="M2646" s="13" t="n">
        <f aca="false">MAX(0,F2646-I2646-J2646)</f>
        <v>0</v>
      </c>
      <c r="N2646" s="13" t="n">
        <f aca="false">IF(Kalender!A84="",0,J2645-H2646)</f>
        <v>0.04211</v>
      </c>
    </row>
    <row r="2647" customFormat="false" ht="16.4" hidden="false" customHeight="false" outlineLevel="0" collapsed="false">
      <c r="A2647" s="13" t="str">
        <f aca="false">""</f>
        <v/>
      </c>
      <c r="B2647" s="13" t="n">
        <f aca="false">81</f>
        <v>81</v>
      </c>
      <c r="C2647" s="13" t="n">
        <f aca="false">IF(Szenarien!$H$18="OK",(IFERROR(SUMIF(Nutzungsprofile!$B$6:$B$11,"Schulbetrieb",Nutzungsprofile!$G$6:$G$11)*Kalender!C85/SUM(Kalender!$C$5:$C$370),0)+IFERROR(SUMIF(Nutzungsprofile!$B$6:$B$11,"Halle",Nutzungsprofile!$G$6:$G$11)*Kalender!D85/SUM(Kalender!$D$5:$D$370),0)+IFERROR(SUMIF(Nutzungsprofile!$B$6:$B$11,"Individuell",Nutzungsprofile!$G$6:$G$11)*Kalender!E85/SUM(Kalender!$E$5:$E$370),0))*Szenarien!$E$18,0)</f>
        <v>2.04</v>
      </c>
      <c r="D2647" s="13" t="n">
        <f aca="false">IF(Szenarien!$H$18="OK",(IFERROR(SUMIF(Nutzungsprofile!$B$17:$B$22,"Schulbetrieb",Nutzungsprofile!$G$17:$G$22)*Kalender!C85/SUM(Kalender!$C$5:$C$370),0)+IFERROR(SUMIF(Nutzungsprofile!$B$17:$B$22,"Halle",Nutzungsprofile!$G$17:$G$22)*Kalender!D85/SUM(Kalender!$D$5:$D$370),0)+IFERROR(SUMIF(Nutzungsprofile!$B$17:$B$22,"Individuell",Nutzungsprofile!$G$17:$G$22)*Kalender!E85/SUM(Kalender!$E$5:$E$370),0))*Szenarien!$D$18,0)</f>
        <v>0.712</v>
      </c>
      <c r="E2647" s="13" t="n">
        <f aca="false">IFERROR(MIN(C2647,Eingaben!$B$17)*Eingaben!$B$16,0)</f>
        <v>1.938</v>
      </c>
      <c r="F2647" s="13" t="n">
        <f aca="false">IFERROR(E2647*Eingaben!$B$15,0)</f>
        <v>1.7442</v>
      </c>
      <c r="G2647" s="13" t="n">
        <f aca="false">IFERROR(IF(Kalender!A85="",0,J2646*(1-Eingaben!$B$20)),0)</f>
        <v>1.709316</v>
      </c>
      <c r="H2647" s="13" t="n">
        <f aca="false">MIN(G2647,D2647)</f>
        <v>0.712</v>
      </c>
      <c r="I2647" s="13" t="n">
        <f aca="false">IFERROR(MIN(F2647*Eingaben!$B$19,MAX(0,D2647-H2647)),0)</f>
        <v>0</v>
      </c>
      <c r="J2647" s="13" t="n">
        <f aca="false">IFERROR(MIN(Eingaben!$B$18,MAX(0,F2647-I2647)),0)</f>
        <v>1.7442</v>
      </c>
      <c r="K2647" s="13" t="n">
        <f aca="false">H2647+I2647</f>
        <v>0.712</v>
      </c>
      <c r="L2647" s="13" t="n">
        <f aca="false">MAX(0,D2647-K2647)</f>
        <v>0</v>
      </c>
      <c r="M2647" s="13" t="n">
        <f aca="false">MAX(0,F2647-I2647-J2647)</f>
        <v>0</v>
      </c>
      <c r="N2647" s="13" t="n">
        <f aca="false">IF(Kalender!A85="",0,J2646-H2647)</f>
        <v>1.0322</v>
      </c>
    </row>
    <row r="2648" customFormat="false" ht="16.4" hidden="false" customHeight="false" outlineLevel="0" collapsed="false">
      <c r="A2648" s="13" t="str">
        <f aca="false">""</f>
        <v/>
      </c>
      <c r="B2648" s="13" t="n">
        <f aca="false">82</f>
        <v>82</v>
      </c>
      <c r="C2648" s="13" t="n">
        <f aca="false">IF(Szenarien!$H$18="OK",(IFERROR(SUMIF(Nutzungsprofile!$B$6:$B$11,"Schulbetrieb",Nutzungsprofile!$G$6:$G$11)*Kalender!C86/SUM(Kalender!$C$5:$C$370),0)+IFERROR(SUMIF(Nutzungsprofile!$B$6:$B$11,"Halle",Nutzungsprofile!$G$6:$G$11)*Kalender!D86/SUM(Kalender!$D$5:$D$370),0)+IFERROR(SUMIF(Nutzungsprofile!$B$6:$B$11,"Individuell",Nutzungsprofile!$G$6:$G$11)*Kalender!E86/SUM(Kalender!$E$5:$E$370),0))*Szenarien!$E$18,0)</f>
        <v>2.94</v>
      </c>
      <c r="D2648" s="13" t="n">
        <f aca="false">IF(Szenarien!$H$18="OK",(IFERROR(SUMIF(Nutzungsprofile!$B$17:$B$22,"Schulbetrieb",Nutzungsprofile!$G$17:$G$22)*Kalender!C86/SUM(Kalender!$C$5:$C$370),0)+IFERROR(SUMIF(Nutzungsprofile!$B$17:$B$22,"Halle",Nutzungsprofile!$G$17:$G$22)*Kalender!D86/SUM(Kalender!$D$5:$D$370),0)+IFERROR(SUMIF(Nutzungsprofile!$B$17:$B$22,"Individuell",Nutzungsprofile!$G$17:$G$22)*Kalender!E86/SUM(Kalender!$E$5:$E$370),0))*Szenarien!$D$18,0)</f>
        <v>3.952</v>
      </c>
      <c r="E2648" s="13" t="n">
        <f aca="false">IFERROR(MIN(C2648,Eingaben!$B$17)*Eingaben!$B$16,0)</f>
        <v>2.793</v>
      </c>
      <c r="F2648" s="13" t="n">
        <f aca="false">IFERROR(E2648*Eingaben!$B$15,0)</f>
        <v>2.5137</v>
      </c>
      <c r="G2648" s="13" t="n">
        <f aca="false">IFERROR(IF(Kalender!A86="",0,J2647*(1-Eingaben!$B$20)),0)</f>
        <v>1.709316</v>
      </c>
      <c r="H2648" s="13" t="n">
        <f aca="false">MIN(G2648,D2648)</f>
        <v>1.709316</v>
      </c>
      <c r="I2648" s="13" t="n">
        <f aca="false">IFERROR(MIN(F2648*Eingaben!$B$19,MAX(0,D2648-H2648)),0)</f>
        <v>1.75959</v>
      </c>
      <c r="J2648" s="13" t="n">
        <f aca="false">IFERROR(MIN(Eingaben!$B$18,MAX(0,F2648-I2648)),0)</f>
        <v>0.75411</v>
      </c>
      <c r="K2648" s="13" t="n">
        <f aca="false">H2648+I2648</f>
        <v>3.468906</v>
      </c>
      <c r="L2648" s="13" t="n">
        <f aca="false">MAX(0,D2648-K2648)</f>
        <v>0.483094</v>
      </c>
      <c r="M2648" s="13" t="n">
        <f aca="false">MAX(0,F2648-I2648-J2648)</f>
        <v>0</v>
      </c>
      <c r="N2648" s="13" t="n">
        <f aca="false">IF(Kalender!A86="",0,J2647-H2648)</f>
        <v>0.0348840000000001</v>
      </c>
    </row>
    <row r="2649" customFormat="false" ht="16.4" hidden="false" customHeight="false" outlineLevel="0" collapsed="false">
      <c r="A2649" s="13" t="str">
        <f aca="false">""</f>
        <v/>
      </c>
      <c r="B2649" s="13" t="n">
        <f aca="false">83</f>
        <v>83</v>
      </c>
      <c r="C2649" s="13" t="n">
        <f aca="false">IF(Szenarien!$H$18="OK",(IFERROR(SUMIF(Nutzungsprofile!$B$6:$B$11,"Schulbetrieb",Nutzungsprofile!$G$6:$G$11)*Kalender!C87/SUM(Kalender!$C$5:$C$370),0)+IFERROR(SUMIF(Nutzungsprofile!$B$6:$B$11,"Halle",Nutzungsprofile!$G$6:$G$11)*Kalender!D87/SUM(Kalender!$D$5:$D$370),0)+IFERROR(SUMIF(Nutzungsprofile!$B$6:$B$11,"Individuell",Nutzungsprofile!$G$6:$G$11)*Kalender!E87/SUM(Kalender!$E$5:$E$370),0))*Szenarien!$E$18,0)</f>
        <v>2.94</v>
      </c>
      <c r="D2649" s="13" t="n">
        <f aca="false">IF(Szenarien!$H$18="OK",(IFERROR(SUMIF(Nutzungsprofile!$B$17:$B$22,"Schulbetrieb",Nutzungsprofile!$G$17:$G$22)*Kalender!C87/SUM(Kalender!$C$5:$C$370),0)+IFERROR(SUMIF(Nutzungsprofile!$B$17:$B$22,"Halle",Nutzungsprofile!$G$17:$G$22)*Kalender!D87/SUM(Kalender!$D$5:$D$370),0)+IFERROR(SUMIF(Nutzungsprofile!$B$17:$B$22,"Individuell",Nutzungsprofile!$G$17:$G$22)*Kalender!E87/SUM(Kalender!$E$5:$E$370),0))*Szenarien!$D$18,0)</f>
        <v>3.952</v>
      </c>
      <c r="E2649" s="13" t="n">
        <f aca="false">IFERROR(MIN(C2649,Eingaben!$B$17)*Eingaben!$B$16,0)</f>
        <v>2.793</v>
      </c>
      <c r="F2649" s="13" t="n">
        <f aca="false">IFERROR(E2649*Eingaben!$B$15,0)</f>
        <v>2.5137</v>
      </c>
      <c r="G2649" s="13" t="n">
        <f aca="false">IFERROR(IF(Kalender!A87="",0,J2648*(1-Eingaben!$B$20)),0)</f>
        <v>0.7390278</v>
      </c>
      <c r="H2649" s="13" t="n">
        <f aca="false">MIN(G2649,D2649)</f>
        <v>0.7390278</v>
      </c>
      <c r="I2649" s="13" t="n">
        <f aca="false">IFERROR(MIN(F2649*Eingaben!$B$19,MAX(0,D2649-H2649)),0)</f>
        <v>1.75959</v>
      </c>
      <c r="J2649" s="13" t="n">
        <f aca="false">IFERROR(MIN(Eingaben!$B$18,MAX(0,F2649-I2649)),0)</f>
        <v>0.75411</v>
      </c>
      <c r="K2649" s="13" t="n">
        <f aca="false">H2649+I2649</f>
        <v>2.4986178</v>
      </c>
      <c r="L2649" s="13" t="n">
        <f aca="false">MAX(0,D2649-K2649)</f>
        <v>1.4533822</v>
      </c>
      <c r="M2649" s="13" t="n">
        <f aca="false">MAX(0,F2649-I2649-J2649)</f>
        <v>0</v>
      </c>
      <c r="N2649" s="13" t="n">
        <f aca="false">IF(Kalender!A87="",0,J2648-H2649)</f>
        <v>0.0150822</v>
      </c>
    </row>
    <row r="2650" customFormat="false" ht="16.4" hidden="false" customHeight="false" outlineLevel="0" collapsed="false">
      <c r="A2650" s="13" t="str">
        <f aca="false">""</f>
        <v/>
      </c>
      <c r="B2650" s="13" t="n">
        <f aca="false">84</f>
        <v>84</v>
      </c>
      <c r="C2650" s="13" t="n">
        <f aca="false">IF(Szenarien!$H$18="OK",(IFERROR(SUMIF(Nutzungsprofile!$B$6:$B$11,"Schulbetrieb",Nutzungsprofile!$G$6:$G$11)*Kalender!C88/SUM(Kalender!$C$5:$C$370),0)+IFERROR(SUMIF(Nutzungsprofile!$B$6:$B$11,"Halle",Nutzungsprofile!$G$6:$G$11)*Kalender!D88/SUM(Kalender!$D$5:$D$370),0)+IFERROR(SUMIF(Nutzungsprofile!$B$6:$B$11,"Individuell",Nutzungsprofile!$G$6:$G$11)*Kalender!E88/SUM(Kalender!$E$5:$E$370),0))*Szenarien!$E$18,0)</f>
        <v>2.94</v>
      </c>
      <c r="D2650" s="13" t="n">
        <f aca="false">IF(Szenarien!$H$18="OK",(IFERROR(SUMIF(Nutzungsprofile!$B$17:$B$22,"Schulbetrieb",Nutzungsprofile!$G$17:$G$22)*Kalender!C88/SUM(Kalender!$C$5:$C$370),0)+IFERROR(SUMIF(Nutzungsprofile!$B$17:$B$22,"Halle",Nutzungsprofile!$G$17:$G$22)*Kalender!D88/SUM(Kalender!$D$5:$D$370),0)+IFERROR(SUMIF(Nutzungsprofile!$B$17:$B$22,"Individuell",Nutzungsprofile!$G$17:$G$22)*Kalender!E88/SUM(Kalender!$E$5:$E$370),0))*Szenarien!$D$18,0)</f>
        <v>3.952</v>
      </c>
      <c r="E2650" s="13" t="n">
        <f aca="false">IFERROR(MIN(C2650,Eingaben!$B$17)*Eingaben!$B$16,0)</f>
        <v>2.793</v>
      </c>
      <c r="F2650" s="13" t="n">
        <f aca="false">IFERROR(E2650*Eingaben!$B$15,0)</f>
        <v>2.5137</v>
      </c>
      <c r="G2650" s="13" t="n">
        <f aca="false">IFERROR(IF(Kalender!A88="",0,J2649*(1-Eingaben!$B$20)),0)</f>
        <v>0.7390278</v>
      </c>
      <c r="H2650" s="13" t="n">
        <f aca="false">MIN(G2650,D2650)</f>
        <v>0.7390278</v>
      </c>
      <c r="I2650" s="13" t="n">
        <f aca="false">IFERROR(MIN(F2650*Eingaben!$B$19,MAX(0,D2650-H2650)),0)</f>
        <v>1.75959</v>
      </c>
      <c r="J2650" s="13" t="n">
        <f aca="false">IFERROR(MIN(Eingaben!$B$18,MAX(0,F2650-I2650)),0)</f>
        <v>0.75411</v>
      </c>
      <c r="K2650" s="13" t="n">
        <f aca="false">H2650+I2650</f>
        <v>2.4986178</v>
      </c>
      <c r="L2650" s="13" t="n">
        <f aca="false">MAX(0,D2650-K2650)</f>
        <v>1.4533822</v>
      </c>
      <c r="M2650" s="13" t="n">
        <f aca="false">MAX(0,F2650-I2650-J2650)</f>
        <v>0</v>
      </c>
      <c r="N2650" s="13" t="n">
        <f aca="false">IF(Kalender!A88="",0,J2649-H2650)</f>
        <v>0.0150822</v>
      </c>
    </row>
    <row r="2651" customFormat="false" ht="16.4" hidden="false" customHeight="false" outlineLevel="0" collapsed="false">
      <c r="A2651" s="13" t="str">
        <f aca="false">""</f>
        <v/>
      </c>
      <c r="B2651" s="13" t="n">
        <f aca="false">85</f>
        <v>85</v>
      </c>
      <c r="C2651" s="13" t="n">
        <f aca="false">IF(Szenarien!$H$18="OK",(IFERROR(SUMIF(Nutzungsprofile!$B$6:$B$11,"Schulbetrieb",Nutzungsprofile!$G$6:$G$11)*Kalender!C89/SUM(Kalender!$C$5:$C$370),0)+IFERROR(SUMIF(Nutzungsprofile!$B$6:$B$11,"Halle",Nutzungsprofile!$G$6:$G$11)*Kalender!D89/SUM(Kalender!$D$5:$D$370),0)+IFERROR(SUMIF(Nutzungsprofile!$B$6:$B$11,"Individuell",Nutzungsprofile!$G$6:$G$11)*Kalender!E89/SUM(Kalender!$E$5:$E$370),0))*Szenarien!$E$18,0)</f>
        <v>2.94</v>
      </c>
      <c r="D2651" s="13" t="n">
        <f aca="false">IF(Szenarien!$H$18="OK",(IFERROR(SUMIF(Nutzungsprofile!$B$17:$B$22,"Schulbetrieb",Nutzungsprofile!$G$17:$G$22)*Kalender!C89/SUM(Kalender!$C$5:$C$370),0)+IFERROR(SUMIF(Nutzungsprofile!$B$17:$B$22,"Halle",Nutzungsprofile!$G$17:$G$22)*Kalender!D89/SUM(Kalender!$D$5:$D$370),0)+IFERROR(SUMIF(Nutzungsprofile!$B$17:$B$22,"Individuell",Nutzungsprofile!$G$17:$G$22)*Kalender!E89/SUM(Kalender!$E$5:$E$370),0))*Szenarien!$D$18,0)</f>
        <v>3.952</v>
      </c>
      <c r="E2651" s="13" t="n">
        <f aca="false">IFERROR(MIN(C2651,Eingaben!$B$17)*Eingaben!$B$16,0)</f>
        <v>2.793</v>
      </c>
      <c r="F2651" s="13" t="n">
        <f aca="false">IFERROR(E2651*Eingaben!$B$15,0)</f>
        <v>2.5137</v>
      </c>
      <c r="G2651" s="13" t="n">
        <f aca="false">IFERROR(IF(Kalender!A89="",0,J2650*(1-Eingaben!$B$20)),0)</f>
        <v>0.7390278</v>
      </c>
      <c r="H2651" s="13" t="n">
        <f aca="false">MIN(G2651,D2651)</f>
        <v>0.7390278</v>
      </c>
      <c r="I2651" s="13" t="n">
        <f aca="false">IFERROR(MIN(F2651*Eingaben!$B$19,MAX(0,D2651-H2651)),0)</f>
        <v>1.75959</v>
      </c>
      <c r="J2651" s="13" t="n">
        <f aca="false">IFERROR(MIN(Eingaben!$B$18,MAX(0,F2651-I2651)),0)</f>
        <v>0.75411</v>
      </c>
      <c r="K2651" s="13" t="n">
        <f aca="false">H2651+I2651</f>
        <v>2.4986178</v>
      </c>
      <c r="L2651" s="13" t="n">
        <f aca="false">MAX(0,D2651-K2651)</f>
        <v>1.4533822</v>
      </c>
      <c r="M2651" s="13" t="n">
        <f aca="false">MAX(0,F2651-I2651-J2651)</f>
        <v>0</v>
      </c>
      <c r="N2651" s="13" t="n">
        <f aca="false">IF(Kalender!A89="",0,J2650-H2651)</f>
        <v>0.0150822</v>
      </c>
    </row>
    <row r="2652" customFormat="false" ht="16.4" hidden="false" customHeight="false" outlineLevel="0" collapsed="false">
      <c r="A2652" s="13" t="str">
        <f aca="false">""</f>
        <v/>
      </c>
      <c r="B2652" s="13" t="n">
        <f aca="false">86</f>
        <v>86</v>
      </c>
      <c r="C2652" s="13" t="n">
        <f aca="false">IF(Szenarien!$H$18="OK",(IFERROR(SUMIF(Nutzungsprofile!$B$6:$B$11,"Schulbetrieb",Nutzungsprofile!$G$6:$G$11)*Kalender!C90/SUM(Kalender!$C$5:$C$370),0)+IFERROR(SUMIF(Nutzungsprofile!$B$6:$B$11,"Halle",Nutzungsprofile!$G$6:$G$11)*Kalender!D90/SUM(Kalender!$D$5:$D$370),0)+IFERROR(SUMIF(Nutzungsprofile!$B$6:$B$11,"Individuell",Nutzungsprofile!$G$6:$G$11)*Kalender!E90/SUM(Kalender!$E$5:$E$370),0))*Szenarien!$E$18,0)</f>
        <v>2.94</v>
      </c>
      <c r="D2652" s="13" t="n">
        <f aca="false">IF(Szenarien!$H$18="OK",(IFERROR(SUMIF(Nutzungsprofile!$B$17:$B$22,"Schulbetrieb",Nutzungsprofile!$G$17:$G$22)*Kalender!C90/SUM(Kalender!$C$5:$C$370),0)+IFERROR(SUMIF(Nutzungsprofile!$B$17:$B$22,"Halle",Nutzungsprofile!$G$17:$G$22)*Kalender!D90/SUM(Kalender!$D$5:$D$370),0)+IFERROR(SUMIF(Nutzungsprofile!$B$17:$B$22,"Individuell",Nutzungsprofile!$G$17:$G$22)*Kalender!E90/SUM(Kalender!$E$5:$E$370),0))*Szenarien!$D$18,0)</f>
        <v>3.952</v>
      </c>
      <c r="E2652" s="13" t="n">
        <f aca="false">IFERROR(MIN(C2652,Eingaben!$B$17)*Eingaben!$B$16,0)</f>
        <v>2.793</v>
      </c>
      <c r="F2652" s="13" t="n">
        <f aca="false">IFERROR(E2652*Eingaben!$B$15,0)</f>
        <v>2.5137</v>
      </c>
      <c r="G2652" s="13" t="n">
        <f aca="false">IFERROR(IF(Kalender!A90="",0,J2651*(1-Eingaben!$B$20)),0)</f>
        <v>0.7390278</v>
      </c>
      <c r="H2652" s="13" t="n">
        <f aca="false">MIN(G2652,D2652)</f>
        <v>0.7390278</v>
      </c>
      <c r="I2652" s="13" t="n">
        <f aca="false">IFERROR(MIN(F2652*Eingaben!$B$19,MAX(0,D2652-H2652)),0)</f>
        <v>1.75959</v>
      </c>
      <c r="J2652" s="13" t="n">
        <f aca="false">IFERROR(MIN(Eingaben!$B$18,MAX(0,F2652-I2652)),0)</f>
        <v>0.75411</v>
      </c>
      <c r="K2652" s="13" t="n">
        <f aca="false">H2652+I2652</f>
        <v>2.4986178</v>
      </c>
      <c r="L2652" s="13" t="n">
        <f aca="false">MAX(0,D2652-K2652)</f>
        <v>1.4533822</v>
      </c>
      <c r="M2652" s="13" t="n">
        <f aca="false">MAX(0,F2652-I2652-J2652)</f>
        <v>0</v>
      </c>
      <c r="N2652" s="13" t="n">
        <f aca="false">IF(Kalender!A90="",0,J2651-H2652)</f>
        <v>0.0150822</v>
      </c>
    </row>
    <row r="2653" customFormat="false" ht="16.4" hidden="false" customHeight="false" outlineLevel="0" collapsed="false">
      <c r="A2653" s="13" t="str">
        <f aca="false">""</f>
        <v/>
      </c>
      <c r="B2653" s="13" t="n">
        <f aca="false">87</f>
        <v>87</v>
      </c>
      <c r="C2653" s="13" t="n">
        <f aca="false">IF(Szenarien!$H$18="OK",(IFERROR(SUMIF(Nutzungsprofile!$B$6:$B$11,"Schulbetrieb",Nutzungsprofile!$G$6:$G$11)*Kalender!C91/SUM(Kalender!$C$5:$C$370),0)+IFERROR(SUMIF(Nutzungsprofile!$B$6:$B$11,"Halle",Nutzungsprofile!$G$6:$G$11)*Kalender!D91/SUM(Kalender!$D$5:$D$370),0)+IFERROR(SUMIF(Nutzungsprofile!$B$6:$B$11,"Individuell",Nutzungsprofile!$G$6:$G$11)*Kalender!E91/SUM(Kalender!$E$5:$E$370),0))*Szenarien!$E$18,0)</f>
        <v>2.04</v>
      </c>
      <c r="D2653" s="13" t="n">
        <f aca="false">IF(Szenarien!$H$18="OK",(IFERROR(SUMIF(Nutzungsprofile!$B$17:$B$22,"Schulbetrieb",Nutzungsprofile!$G$17:$G$22)*Kalender!C91/SUM(Kalender!$C$5:$C$370),0)+IFERROR(SUMIF(Nutzungsprofile!$B$17:$B$22,"Halle",Nutzungsprofile!$G$17:$G$22)*Kalender!D91/SUM(Kalender!$D$5:$D$370),0)+IFERROR(SUMIF(Nutzungsprofile!$B$17:$B$22,"Individuell",Nutzungsprofile!$G$17:$G$22)*Kalender!E91/SUM(Kalender!$E$5:$E$370),0))*Szenarien!$D$18,0)</f>
        <v>0.712</v>
      </c>
      <c r="E2653" s="13" t="n">
        <f aca="false">IFERROR(MIN(C2653,Eingaben!$B$17)*Eingaben!$B$16,0)</f>
        <v>1.938</v>
      </c>
      <c r="F2653" s="13" t="n">
        <f aca="false">IFERROR(E2653*Eingaben!$B$15,0)</f>
        <v>1.7442</v>
      </c>
      <c r="G2653" s="13" t="n">
        <f aca="false">IFERROR(IF(Kalender!A91="",0,J2652*(1-Eingaben!$B$20)),0)</f>
        <v>0.7390278</v>
      </c>
      <c r="H2653" s="13" t="n">
        <f aca="false">MIN(G2653,D2653)</f>
        <v>0.712</v>
      </c>
      <c r="I2653" s="13" t="n">
        <f aca="false">IFERROR(MIN(F2653*Eingaben!$B$19,MAX(0,D2653-H2653)),0)</f>
        <v>0</v>
      </c>
      <c r="J2653" s="13" t="n">
        <f aca="false">IFERROR(MIN(Eingaben!$B$18,MAX(0,F2653-I2653)),0)</f>
        <v>1.7442</v>
      </c>
      <c r="K2653" s="13" t="n">
        <f aca="false">H2653+I2653</f>
        <v>0.712</v>
      </c>
      <c r="L2653" s="13" t="n">
        <f aca="false">MAX(0,D2653-K2653)</f>
        <v>0</v>
      </c>
      <c r="M2653" s="13" t="n">
        <f aca="false">MAX(0,F2653-I2653-J2653)</f>
        <v>0</v>
      </c>
      <c r="N2653" s="13" t="n">
        <f aca="false">IF(Kalender!A91="",0,J2652-H2653)</f>
        <v>0.04211</v>
      </c>
    </row>
    <row r="2654" customFormat="false" ht="16.4" hidden="false" customHeight="false" outlineLevel="0" collapsed="false">
      <c r="A2654" s="13" t="str">
        <f aca="false">""</f>
        <v/>
      </c>
      <c r="B2654" s="13" t="n">
        <f aca="false">88</f>
        <v>88</v>
      </c>
      <c r="C2654" s="13" t="n">
        <f aca="false">IF(Szenarien!$H$18="OK",(IFERROR(SUMIF(Nutzungsprofile!$B$6:$B$11,"Schulbetrieb",Nutzungsprofile!$G$6:$G$11)*Kalender!C92/SUM(Kalender!$C$5:$C$370),0)+IFERROR(SUMIF(Nutzungsprofile!$B$6:$B$11,"Halle",Nutzungsprofile!$G$6:$G$11)*Kalender!D92/SUM(Kalender!$D$5:$D$370),0)+IFERROR(SUMIF(Nutzungsprofile!$B$6:$B$11,"Individuell",Nutzungsprofile!$G$6:$G$11)*Kalender!E92/SUM(Kalender!$E$5:$E$370),0))*Szenarien!$E$18,0)</f>
        <v>2.04</v>
      </c>
      <c r="D2654" s="13" t="n">
        <f aca="false">IF(Szenarien!$H$18="OK",(IFERROR(SUMIF(Nutzungsprofile!$B$17:$B$22,"Schulbetrieb",Nutzungsprofile!$G$17:$G$22)*Kalender!C92/SUM(Kalender!$C$5:$C$370),0)+IFERROR(SUMIF(Nutzungsprofile!$B$17:$B$22,"Halle",Nutzungsprofile!$G$17:$G$22)*Kalender!D92/SUM(Kalender!$D$5:$D$370),0)+IFERROR(SUMIF(Nutzungsprofile!$B$17:$B$22,"Individuell",Nutzungsprofile!$G$17:$G$22)*Kalender!E92/SUM(Kalender!$E$5:$E$370),0))*Szenarien!$D$18,0)</f>
        <v>0.712</v>
      </c>
      <c r="E2654" s="13" t="n">
        <f aca="false">IFERROR(MIN(C2654,Eingaben!$B$17)*Eingaben!$B$16,0)</f>
        <v>1.938</v>
      </c>
      <c r="F2654" s="13" t="n">
        <f aca="false">IFERROR(E2654*Eingaben!$B$15,0)</f>
        <v>1.7442</v>
      </c>
      <c r="G2654" s="13" t="n">
        <f aca="false">IFERROR(IF(Kalender!A92="",0,J2653*(1-Eingaben!$B$20)),0)</f>
        <v>1.709316</v>
      </c>
      <c r="H2654" s="13" t="n">
        <f aca="false">MIN(G2654,D2654)</f>
        <v>0.712</v>
      </c>
      <c r="I2654" s="13" t="n">
        <f aca="false">IFERROR(MIN(F2654*Eingaben!$B$19,MAX(0,D2654-H2654)),0)</f>
        <v>0</v>
      </c>
      <c r="J2654" s="13" t="n">
        <f aca="false">IFERROR(MIN(Eingaben!$B$18,MAX(0,F2654-I2654)),0)</f>
        <v>1.7442</v>
      </c>
      <c r="K2654" s="13" t="n">
        <f aca="false">H2654+I2654</f>
        <v>0.712</v>
      </c>
      <c r="L2654" s="13" t="n">
        <f aca="false">MAX(0,D2654-K2654)</f>
        <v>0</v>
      </c>
      <c r="M2654" s="13" t="n">
        <f aca="false">MAX(0,F2654-I2654-J2654)</f>
        <v>0</v>
      </c>
      <c r="N2654" s="13" t="n">
        <f aca="false">IF(Kalender!A92="",0,J2653-H2654)</f>
        <v>1.0322</v>
      </c>
    </row>
    <row r="2655" customFormat="false" ht="16.4" hidden="false" customHeight="false" outlineLevel="0" collapsed="false">
      <c r="A2655" s="13" t="str">
        <f aca="false">""</f>
        <v/>
      </c>
      <c r="B2655" s="13" t="n">
        <f aca="false">89</f>
        <v>89</v>
      </c>
      <c r="C2655" s="13" t="n">
        <f aca="false">IF(Szenarien!$H$18="OK",(IFERROR(SUMIF(Nutzungsprofile!$B$6:$B$11,"Schulbetrieb",Nutzungsprofile!$G$6:$G$11)*Kalender!C93/SUM(Kalender!$C$5:$C$370),0)+IFERROR(SUMIF(Nutzungsprofile!$B$6:$B$11,"Halle",Nutzungsprofile!$G$6:$G$11)*Kalender!D93/SUM(Kalender!$D$5:$D$370),0)+IFERROR(SUMIF(Nutzungsprofile!$B$6:$B$11,"Individuell",Nutzungsprofile!$G$6:$G$11)*Kalender!E93/SUM(Kalender!$E$5:$E$370),0))*Szenarien!$E$18,0)</f>
        <v>2.94</v>
      </c>
      <c r="D2655" s="13" t="n">
        <f aca="false">IF(Szenarien!$H$18="OK",(IFERROR(SUMIF(Nutzungsprofile!$B$17:$B$22,"Schulbetrieb",Nutzungsprofile!$G$17:$G$22)*Kalender!C93/SUM(Kalender!$C$5:$C$370),0)+IFERROR(SUMIF(Nutzungsprofile!$B$17:$B$22,"Halle",Nutzungsprofile!$G$17:$G$22)*Kalender!D93/SUM(Kalender!$D$5:$D$370),0)+IFERROR(SUMIF(Nutzungsprofile!$B$17:$B$22,"Individuell",Nutzungsprofile!$G$17:$G$22)*Kalender!E93/SUM(Kalender!$E$5:$E$370),0))*Szenarien!$D$18,0)</f>
        <v>3.952</v>
      </c>
      <c r="E2655" s="13" t="n">
        <f aca="false">IFERROR(MIN(C2655,Eingaben!$B$17)*Eingaben!$B$16,0)</f>
        <v>2.793</v>
      </c>
      <c r="F2655" s="13" t="n">
        <f aca="false">IFERROR(E2655*Eingaben!$B$15,0)</f>
        <v>2.5137</v>
      </c>
      <c r="G2655" s="13" t="n">
        <f aca="false">IFERROR(IF(Kalender!A93="",0,J2654*(1-Eingaben!$B$20)),0)</f>
        <v>1.709316</v>
      </c>
      <c r="H2655" s="13" t="n">
        <f aca="false">MIN(G2655,D2655)</f>
        <v>1.709316</v>
      </c>
      <c r="I2655" s="13" t="n">
        <f aca="false">IFERROR(MIN(F2655*Eingaben!$B$19,MAX(0,D2655-H2655)),0)</f>
        <v>1.75959</v>
      </c>
      <c r="J2655" s="13" t="n">
        <f aca="false">IFERROR(MIN(Eingaben!$B$18,MAX(0,F2655-I2655)),0)</f>
        <v>0.75411</v>
      </c>
      <c r="K2655" s="13" t="n">
        <f aca="false">H2655+I2655</f>
        <v>3.468906</v>
      </c>
      <c r="L2655" s="13" t="n">
        <f aca="false">MAX(0,D2655-K2655)</f>
        <v>0.483094</v>
      </c>
      <c r="M2655" s="13" t="n">
        <f aca="false">MAX(0,F2655-I2655-J2655)</f>
        <v>0</v>
      </c>
      <c r="N2655" s="13" t="n">
        <f aca="false">IF(Kalender!A93="",0,J2654-H2655)</f>
        <v>0.0348840000000001</v>
      </c>
    </row>
    <row r="2656" customFormat="false" ht="16.4" hidden="false" customHeight="false" outlineLevel="0" collapsed="false">
      <c r="A2656" s="13" t="str">
        <f aca="false">""</f>
        <v/>
      </c>
      <c r="B2656" s="13" t="n">
        <f aca="false">90</f>
        <v>90</v>
      </c>
      <c r="C2656" s="13" t="n">
        <f aca="false">IF(Szenarien!$H$18="OK",(IFERROR(SUMIF(Nutzungsprofile!$B$6:$B$11,"Schulbetrieb",Nutzungsprofile!$G$6:$G$11)*Kalender!C94/SUM(Kalender!$C$5:$C$370),0)+IFERROR(SUMIF(Nutzungsprofile!$B$6:$B$11,"Halle",Nutzungsprofile!$G$6:$G$11)*Kalender!D94/SUM(Kalender!$D$5:$D$370),0)+IFERROR(SUMIF(Nutzungsprofile!$B$6:$B$11,"Individuell",Nutzungsprofile!$G$6:$G$11)*Kalender!E94/SUM(Kalender!$E$5:$E$370),0))*Szenarien!$E$18,0)</f>
        <v>2.94</v>
      </c>
      <c r="D2656" s="13" t="n">
        <f aca="false">IF(Szenarien!$H$18="OK",(IFERROR(SUMIF(Nutzungsprofile!$B$17:$B$22,"Schulbetrieb",Nutzungsprofile!$G$17:$G$22)*Kalender!C94/SUM(Kalender!$C$5:$C$370),0)+IFERROR(SUMIF(Nutzungsprofile!$B$17:$B$22,"Halle",Nutzungsprofile!$G$17:$G$22)*Kalender!D94/SUM(Kalender!$D$5:$D$370),0)+IFERROR(SUMIF(Nutzungsprofile!$B$17:$B$22,"Individuell",Nutzungsprofile!$G$17:$G$22)*Kalender!E94/SUM(Kalender!$E$5:$E$370),0))*Szenarien!$D$18,0)</f>
        <v>3.952</v>
      </c>
      <c r="E2656" s="13" t="n">
        <f aca="false">IFERROR(MIN(C2656,Eingaben!$B$17)*Eingaben!$B$16,0)</f>
        <v>2.793</v>
      </c>
      <c r="F2656" s="13" t="n">
        <f aca="false">IFERROR(E2656*Eingaben!$B$15,0)</f>
        <v>2.5137</v>
      </c>
      <c r="G2656" s="13" t="n">
        <f aca="false">IFERROR(IF(Kalender!A94="",0,J2655*(1-Eingaben!$B$20)),0)</f>
        <v>0.7390278</v>
      </c>
      <c r="H2656" s="13" t="n">
        <f aca="false">MIN(G2656,D2656)</f>
        <v>0.7390278</v>
      </c>
      <c r="I2656" s="13" t="n">
        <f aca="false">IFERROR(MIN(F2656*Eingaben!$B$19,MAX(0,D2656-H2656)),0)</f>
        <v>1.75959</v>
      </c>
      <c r="J2656" s="13" t="n">
        <f aca="false">IFERROR(MIN(Eingaben!$B$18,MAX(0,F2656-I2656)),0)</f>
        <v>0.75411</v>
      </c>
      <c r="K2656" s="13" t="n">
        <f aca="false">H2656+I2656</f>
        <v>2.4986178</v>
      </c>
      <c r="L2656" s="13" t="n">
        <f aca="false">MAX(0,D2656-K2656)</f>
        <v>1.4533822</v>
      </c>
      <c r="M2656" s="13" t="n">
        <f aca="false">MAX(0,F2656-I2656-J2656)</f>
        <v>0</v>
      </c>
      <c r="N2656" s="13" t="n">
        <f aca="false">IF(Kalender!A94="",0,J2655-H2656)</f>
        <v>0.0150822</v>
      </c>
    </row>
    <row r="2657" customFormat="false" ht="16.4" hidden="false" customHeight="false" outlineLevel="0" collapsed="false">
      <c r="A2657" s="13" t="str">
        <f aca="false">""</f>
        <v/>
      </c>
      <c r="B2657" s="13" t="n">
        <f aca="false">91</f>
        <v>91</v>
      </c>
      <c r="C2657" s="13" t="n">
        <f aca="false">IF(Szenarien!$H$18="OK",(IFERROR(SUMIF(Nutzungsprofile!$B$6:$B$11,"Schulbetrieb",Nutzungsprofile!$G$6:$G$11)*Kalender!C95/SUM(Kalender!$C$5:$C$370),0)+IFERROR(SUMIF(Nutzungsprofile!$B$6:$B$11,"Halle",Nutzungsprofile!$G$6:$G$11)*Kalender!D95/SUM(Kalender!$D$5:$D$370),0)+IFERROR(SUMIF(Nutzungsprofile!$B$6:$B$11,"Individuell",Nutzungsprofile!$G$6:$G$11)*Kalender!E95/SUM(Kalender!$E$5:$E$370),0))*Szenarien!$E$18,0)</f>
        <v>2.94</v>
      </c>
      <c r="D2657" s="13" t="n">
        <f aca="false">IF(Szenarien!$H$18="OK",(IFERROR(SUMIF(Nutzungsprofile!$B$17:$B$22,"Schulbetrieb",Nutzungsprofile!$G$17:$G$22)*Kalender!C95/SUM(Kalender!$C$5:$C$370),0)+IFERROR(SUMIF(Nutzungsprofile!$B$17:$B$22,"Halle",Nutzungsprofile!$G$17:$G$22)*Kalender!D95/SUM(Kalender!$D$5:$D$370),0)+IFERROR(SUMIF(Nutzungsprofile!$B$17:$B$22,"Individuell",Nutzungsprofile!$G$17:$G$22)*Kalender!E95/SUM(Kalender!$E$5:$E$370),0))*Szenarien!$D$18,0)</f>
        <v>3.952</v>
      </c>
      <c r="E2657" s="13" t="n">
        <f aca="false">IFERROR(MIN(C2657,Eingaben!$B$17)*Eingaben!$B$16,0)</f>
        <v>2.793</v>
      </c>
      <c r="F2657" s="13" t="n">
        <f aca="false">IFERROR(E2657*Eingaben!$B$15,0)</f>
        <v>2.5137</v>
      </c>
      <c r="G2657" s="13" t="n">
        <f aca="false">IFERROR(IF(Kalender!A95="",0,J2656*(1-Eingaben!$B$20)),0)</f>
        <v>0.7390278</v>
      </c>
      <c r="H2657" s="13" t="n">
        <f aca="false">MIN(G2657,D2657)</f>
        <v>0.7390278</v>
      </c>
      <c r="I2657" s="13" t="n">
        <f aca="false">IFERROR(MIN(F2657*Eingaben!$B$19,MAX(0,D2657-H2657)),0)</f>
        <v>1.75959</v>
      </c>
      <c r="J2657" s="13" t="n">
        <f aca="false">IFERROR(MIN(Eingaben!$B$18,MAX(0,F2657-I2657)),0)</f>
        <v>0.75411</v>
      </c>
      <c r="K2657" s="13" t="n">
        <f aca="false">H2657+I2657</f>
        <v>2.4986178</v>
      </c>
      <c r="L2657" s="13" t="n">
        <f aca="false">MAX(0,D2657-K2657)</f>
        <v>1.4533822</v>
      </c>
      <c r="M2657" s="13" t="n">
        <f aca="false">MAX(0,F2657-I2657-J2657)</f>
        <v>0</v>
      </c>
      <c r="N2657" s="13" t="n">
        <f aca="false">IF(Kalender!A95="",0,J2656-H2657)</f>
        <v>0.0150822</v>
      </c>
    </row>
    <row r="2658" customFormat="false" ht="16.4" hidden="false" customHeight="false" outlineLevel="0" collapsed="false">
      <c r="A2658" s="13" t="str">
        <f aca="false">""</f>
        <v/>
      </c>
      <c r="B2658" s="13" t="n">
        <f aca="false">92</f>
        <v>92</v>
      </c>
      <c r="C2658" s="13" t="n">
        <f aca="false">IF(Szenarien!$H$18="OK",(IFERROR(SUMIF(Nutzungsprofile!$B$6:$B$11,"Schulbetrieb",Nutzungsprofile!$G$6:$G$11)*Kalender!C96/SUM(Kalender!$C$5:$C$370),0)+IFERROR(SUMIF(Nutzungsprofile!$B$6:$B$11,"Halle",Nutzungsprofile!$G$6:$G$11)*Kalender!D96/SUM(Kalender!$D$5:$D$370),0)+IFERROR(SUMIF(Nutzungsprofile!$B$6:$B$11,"Individuell",Nutzungsprofile!$G$6:$G$11)*Kalender!E96/SUM(Kalender!$E$5:$E$370),0))*Szenarien!$E$18,0)</f>
        <v>2.94</v>
      </c>
      <c r="D2658" s="13" t="n">
        <f aca="false">IF(Szenarien!$H$18="OK",(IFERROR(SUMIF(Nutzungsprofile!$B$17:$B$22,"Schulbetrieb",Nutzungsprofile!$G$17:$G$22)*Kalender!C96/SUM(Kalender!$C$5:$C$370),0)+IFERROR(SUMIF(Nutzungsprofile!$B$17:$B$22,"Halle",Nutzungsprofile!$G$17:$G$22)*Kalender!D96/SUM(Kalender!$D$5:$D$370),0)+IFERROR(SUMIF(Nutzungsprofile!$B$17:$B$22,"Individuell",Nutzungsprofile!$G$17:$G$22)*Kalender!E96/SUM(Kalender!$E$5:$E$370),0))*Szenarien!$D$18,0)</f>
        <v>3.952</v>
      </c>
      <c r="E2658" s="13" t="n">
        <f aca="false">IFERROR(MIN(C2658,Eingaben!$B$17)*Eingaben!$B$16,0)</f>
        <v>2.793</v>
      </c>
      <c r="F2658" s="13" t="n">
        <f aca="false">IFERROR(E2658*Eingaben!$B$15,0)</f>
        <v>2.5137</v>
      </c>
      <c r="G2658" s="13" t="n">
        <f aca="false">IFERROR(IF(Kalender!A96="",0,J2657*(1-Eingaben!$B$20)),0)</f>
        <v>0.7390278</v>
      </c>
      <c r="H2658" s="13" t="n">
        <f aca="false">MIN(G2658,D2658)</f>
        <v>0.7390278</v>
      </c>
      <c r="I2658" s="13" t="n">
        <f aca="false">IFERROR(MIN(F2658*Eingaben!$B$19,MAX(0,D2658-H2658)),0)</f>
        <v>1.75959</v>
      </c>
      <c r="J2658" s="13" t="n">
        <f aca="false">IFERROR(MIN(Eingaben!$B$18,MAX(0,F2658-I2658)),0)</f>
        <v>0.75411</v>
      </c>
      <c r="K2658" s="13" t="n">
        <f aca="false">H2658+I2658</f>
        <v>2.4986178</v>
      </c>
      <c r="L2658" s="13" t="n">
        <f aca="false">MAX(0,D2658-K2658)</f>
        <v>1.4533822</v>
      </c>
      <c r="M2658" s="13" t="n">
        <f aca="false">MAX(0,F2658-I2658-J2658)</f>
        <v>0</v>
      </c>
      <c r="N2658" s="13" t="n">
        <f aca="false">IF(Kalender!A96="",0,J2657-H2658)</f>
        <v>0.0150822</v>
      </c>
    </row>
    <row r="2659" customFormat="false" ht="16.4" hidden="false" customHeight="false" outlineLevel="0" collapsed="false">
      <c r="A2659" s="13" t="str">
        <f aca="false">""</f>
        <v/>
      </c>
      <c r="B2659" s="13" t="n">
        <f aca="false">93</f>
        <v>93</v>
      </c>
      <c r="C2659" s="13" t="n">
        <f aca="false">IF(Szenarien!$H$18="OK",(IFERROR(SUMIF(Nutzungsprofile!$B$6:$B$11,"Schulbetrieb",Nutzungsprofile!$G$6:$G$11)*Kalender!C97/SUM(Kalender!$C$5:$C$370),0)+IFERROR(SUMIF(Nutzungsprofile!$B$6:$B$11,"Halle",Nutzungsprofile!$G$6:$G$11)*Kalender!D97/SUM(Kalender!$D$5:$D$370),0)+IFERROR(SUMIF(Nutzungsprofile!$B$6:$B$11,"Individuell",Nutzungsprofile!$G$6:$G$11)*Kalender!E97/SUM(Kalender!$E$5:$E$370),0))*Szenarien!$E$18,0)</f>
        <v>2.94</v>
      </c>
      <c r="D2659" s="13" t="n">
        <f aca="false">IF(Szenarien!$H$18="OK",(IFERROR(SUMIF(Nutzungsprofile!$B$17:$B$22,"Schulbetrieb",Nutzungsprofile!$G$17:$G$22)*Kalender!C97/SUM(Kalender!$C$5:$C$370),0)+IFERROR(SUMIF(Nutzungsprofile!$B$17:$B$22,"Halle",Nutzungsprofile!$G$17:$G$22)*Kalender!D97/SUM(Kalender!$D$5:$D$370),0)+IFERROR(SUMIF(Nutzungsprofile!$B$17:$B$22,"Individuell",Nutzungsprofile!$G$17:$G$22)*Kalender!E97/SUM(Kalender!$E$5:$E$370),0))*Szenarien!$D$18,0)</f>
        <v>3.952</v>
      </c>
      <c r="E2659" s="13" t="n">
        <f aca="false">IFERROR(MIN(C2659,Eingaben!$B$17)*Eingaben!$B$16,0)</f>
        <v>2.793</v>
      </c>
      <c r="F2659" s="13" t="n">
        <f aca="false">IFERROR(E2659*Eingaben!$B$15,0)</f>
        <v>2.5137</v>
      </c>
      <c r="G2659" s="13" t="n">
        <f aca="false">IFERROR(IF(Kalender!A97="",0,J2658*(1-Eingaben!$B$20)),0)</f>
        <v>0.7390278</v>
      </c>
      <c r="H2659" s="13" t="n">
        <f aca="false">MIN(G2659,D2659)</f>
        <v>0.7390278</v>
      </c>
      <c r="I2659" s="13" t="n">
        <f aca="false">IFERROR(MIN(F2659*Eingaben!$B$19,MAX(0,D2659-H2659)),0)</f>
        <v>1.75959</v>
      </c>
      <c r="J2659" s="13" t="n">
        <f aca="false">IFERROR(MIN(Eingaben!$B$18,MAX(0,F2659-I2659)),0)</f>
        <v>0.75411</v>
      </c>
      <c r="K2659" s="13" t="n">
        <f aca="false">H2659+I2659</f>
        <v>2.4986178</v>
      </c>
      <c r="L2659" s="13" t="n">
        <f aca="false">MAX(0,D2659-K2659)</f>
        <v>1.4533822</v>
      </c>
      <c r="M2659" s="13" t="n">
        <f aca="false">MAX(0,F2659-I2659-J2659)</f>
        <v>0</v>
      </c>
      <c r="N2659" s="13" t="n">
        <f aca="false">IF(Kalender!A97="",0,J2658-H2659)</f>
        <v>0.0150822</v>
      </c>
    </row>
    <row r="2660" customFormat="false" ht="16.4" hidden="false" customHeight="false" outlineLevel="0" collapsed="false">
      <c r="A2660" s="13" t="str">
        <f aca="false">""</f>
        <v/>
      </c>
      <c r="B2660" s="13" t="n">
        <f aca="false">94</f>
        <v>94</v>
      </c>
      <c r="C2660" s="13" t="n">
        <f aca="false">IF(Szenarien!$H$18="OK",(IFERROR(SUMIF(Nutzungsprofile!$B$6:$B$11,"Schulbetrieb",Nutzungsprofile!$G$6:$G$11)*Kalender!C98/SUM(Kalender!$C$5:$C$370),0)+IFERROR(SUMIF(Nutzungsprofile!$B$6:$B$11,"Halle",Nutzungsprofile!$G$6:$G$11)*Kalender!D98/SUM(Kalender!$D$5:$D$370),0)+IFERROR(SUMIF(Nutzungsprofile!$B$6:$B$11,"Individuell",Nutzungsprofile!$G$6:$G$11)*Kalender!E98/SUM(Kalender!$E$5:$E$370),0))*Szenarien!$E$18,0)</f>
        <v>2.04</v>
      </c>
      <c r="D2660" s="13" t="n">
        <f aca="false">IF(Szenarien!$H$18="OK",(IFERROR(SUMIF(Nutzungsprofile!$B$17:$B$22,"Schulbetrieb",Nutzungsprofile!$G$17:$G$22)*Kalender!C98/SUM(Kalender!$C$5:$C$370),0)+IFERROR(SUMIF(Nutzungsprofile!$B$17:$B$22,"Halle",Nutzungsprofile!$G$17:$G$22)*Kalender!D98/SUM(Kalender!$D$5:$D$370),0)+IFERROR(SUMIF(Nutzungsprofile!$B$17:$B$22,"Individuell",Nutzungsprofile!$G$17:$G$22)*Kalender!E98/SUM(Kalender!$E$5:$E$370),0))*Szenarien!$D$18,0)</f>
        <v>0.712</v>
      </c>
      <c r="E2660" s="13" t="n">
        <f aca="false">IFERROR(MIN(C2660,Eingaben!$B$17)*Eingaben!$B$16,0)</f>
        <v>1.938</v>
      </c>
      <c r="F2660" s="13" t="n">
        <f aca="false">IFERROR(E2660*Eingaben!$B$15,0)</f>
        <v>1.7442</v>
      </c>
      <c r="G2660" s="13" t="n">
        <f aca="false">IFERROR(IF(Kalender!A98="",0,J2659*(1-Eingaben!$B$20)),0)</f>
        <v>0.7390278</v>
      </c>
      <c r="H2660" s="13" t="n">
        <f aca="false">MIN(G2660,D2660)</f>
        <v>0.712</v>
      </c>
      <c r="I2660" s="13" t="n">
        <f aca="false">IFERROR(MIN(F2660*Eingaben!$B$19,MAX(0,D2660-H2660)),0)</f>
        <v>0</v>
      </c>
      <c r="J2660" s="13" t="n">
        <f aca="false">IFERROR(MIN(Eingaben!$B$18,MAX(0,F2660-I2660)),0)</f>
        <v>1.7442</v>
      </c>
      <c r="K2660" s="13" t="n">
        <f aca="false">H2660+I2660</f>
        <v>0.712</v>
      </c>
      <c r="L2660" s="13" t="n">
        <f aca="false">MAX(0,D2660-K2660)</f>
        <v>0</v>
      </c>
      <c r="M2660" s="13" t="n">
        <f aca="false">MAX(0,F2660-I2660-J2660)</f>
        <v>0</v>
      </c>
      <c r="N2660" s="13" t="n">
        <f aca="false">IF(Kalender!A98="",0,J2659-H2660)</f>
        <v>0.04211</v>
      </c>
    </row>
    <row r="2661" customFormat="false" ht="16.4" hidden="false" customHeight="false" outlineLevel="0" collapsed="false">
      <c r="A2661" s="13" t="str">
        <f aca="false">""</f>
        <v/>
      </c>
      <c r="B2661" s="13" t="n">
        <f aca="false">95</f>
        <v>95</v>
      </c>
      <c r="C2661" s="13" t="n">
        <f aca="false">IF(Szenarien!$H$18="OK",(IFERROR(SUMIF(Nutzungsprofile!$B$6:$B$11,"Schulbetrieb",Nutzungsprofile!$G$6:$G$11)*Kalender!C99/SUM(Kalender!$C$5:$C$370),0)+IFERROR(SUMIF(Nutzungsprofile!$B$6:$B$11,"Halle",Nutzungsprofile!$G$6:$G$11)*Kalender!D99/SUM(Kalender!$D$5:$D$370),0)+IFERROR(SUMIF(Nutzungsprofile!$B$6:$B$11,"Individuell",Nutzungsprofile!$G$6:$G$11)*Kalender!E99/SUM(Kalender!$E$5:$E$370),0))*Szenarien!$E$18,0)</f>
        <v>2.04</v>
      </c>
      <c r="D2661" s="13" t="n">
        <f aca="false">IF(Szenarien!$H$18="OK",(IFERROR(SUMIF(Nutzungsprofile!$B$17:$B$22,"Schulbetrieb",Nutzungsprofile!$G$17:$G$22)*Kalender!C99/SUM(Kalender!$C$5:$C$370),0)+IFERROR(SUMIF(Nutzungsprofile!$B$17:$B$22,"Halle",Nutzungsprofile!$G$17:$G$22)*Kalender!D99/SUM(Kalender!$D$5:$D$370),0)+IFERROR(SUMIF(Nutzungsprofile!$B$17:$B$22,"Individuell",Nutzungsprofile!$G$17:$G$22)*Kalender!E99/SUM(Kalender!$E$5:$E$370),0))*Szenarien!$D$18,0)</f>
        <v>0.712</v>
      </c>
      <c r="E2661" s="13" t="n">
        <f aca="false">IFERROR(MIN(C2661,Eingaben!$B$17)*Eingaben!$B$16,0)</f>
        <v>1.938</v>
      </c>
      <c r="F2661" s="13" t="n">
        <f aca="false">IFERROR(E2661*Eingaben!$B$15,0)</f>
        <v>1.7442</v>
      </c>
      <c r="G2661" s="13" t="n">
        <f aca="false">IFERROR(IF(Kalender!A99="",0,J2660*(1-Eingaben!$B$20)),0)</f>
        <v>1.709316</v>
      </c>
      <c r="H2661" s="13" t="n">
        <f aca="false">MIN(G2661,D2661)</f>
        <v>0.712</v>
      </c>
      <c r="I2661" s="13" t="n">
        <f aca="false">IFERROR(MIN(F2661*Eingaben!$B$19,MAX(0,D2661-H2661)),0)</f>
        <v>0</v>
      </c>
      <c r="J2661" s="13" t="n">
        <f aca="false">IFERROR(MIN(Eingaben!$B$18,MAX(0,F2661-I2661)),0)</f>
        <v>1.7442</v>
      </c>
      <c r="K2661" s="13" t="n">
        <f aca="false">H2661+I2661</f>
        <v>0.712</v>
      </c>
      <c r="L2661" s="13" t="n">
        <f aca="false">MAX(0,D2661-K2661)</f>
        <v>0</v>
      </c>
      <c r="M2661" s="13" t="n">
        <f aca="false">MAX(0,F2661-I2661-J2661)</f>
        <v>0</v>
      </c>
      <c r="N2661" s="13" t="n">
        <f aca="false">IF(Kalender!A99="",0,J2660-H2661)</f>
        <v>1.0322</v>
      </c>
    </row>
    <row r="2662" customFormat="false" ht="16.4" hidden="false" customHeight="false" outlineLevel="0" collapsed="false">
      <c r="A2662" s="13" t="str">
        <f aca="false">""</f>
        <v/>
      </c>
      <c r="B2662" s="13" t="n">
        <f aca="false">96</f>
        <v>96</v>
      </c>
      <c r="C2662" s="13" t="n">
        <f aca="false">IF(Szenarien!$H$18="OK",(IFERROR(SUMIF(Nutzungsprofile!$B$6:$B$11,"Schulbetrieb",Nutzungsprofile!$G$6:$G$11)*Kalender!C100/SUM(Kalender!$C$5:$C$370),0)+IFERROR(SUMIF(Nutzungsprofile!$B$6:$B$11,"Halle",Nutzungsprofile!$G$6:$G$11)*Kalender!D100/SUM(Kalender!$D$5:$D$370),0)+IFERROR(SUMIF(Nutzungsprofile!$B$6:$B$11,"Individuell",Nutzungsprofile!$G$6:$G$11)*Kalender!E100/SUM(Kalender!$E$5:$E$370),0))*Szenarien!$E$18,0)</f>
        <v>2.94</v>
      </c>
      <c r="D2662" s="13" t="n">
        <f aca="false">IF(Szenarien!$H$18="OK",(IFERROR(SUMIF(Nutzungsprofile!$B$17:$B$22,"Schulbetrieb",Nutzungsprofile!$G$17:$G$22)*Kalender!C100/SUM(Kalender!$C$5:$C$370),0)+IFERROR(SUMIF(Nutzungsprofile!$B$17:$B$22,"Halle",Nutzungsprofile!$G$17:$G$22)*Kalender!D100/SUM(Kalender!$D$5:$D$370),0)+IFERROR(SUMIF(Nutzungsprofile!$B$17:$B$22,"Individuell",Nutzungsprofile!$G$17:$G$22)*Kalender!E100/SUM(Kalender!$E$5:$E$370),0))*Szenarien!$D$18,0)</f>
        <v>3.952</v>
      </c>
      <c r="E2662" s="13" t="n">
        <f aca="false">IFERROR(MIN(C2662,Eingaben!$B$17)*Eingaben!$B$16,0)</f>
        <v>2.793</v>
      </c>
      <c r="F2662" s="13" t="n">
        <f aca="false">IFERROR(E2662*Eingaben!$B$15,0)</f>
        <v>2.5137</v>
      </c>
      <c r="G2662" s="13" t="n">
        <f aca="false">IFERROR(IF(Kalender!A100="",0,J2661*(1-Eingaben!$B$20)),0)</f>
        <v>1.709316</v>
      </c>
      <c r="H2662" s="13" t="n">
        <f aca="false">MIN(G2662,D2662)</f>
        <v>1.709316</v>
      </c>
      <c r="I2662" s="13" t="n">
        <f aca="false">IFERROR(MIN(F2662*Eingaben!$B$19,MAX(0,D2662-H2662)),0)</f>
        <v>1.75959</v>
      </c>
      <c r="J2662" s="13" t="n">
        <f aca="false">IFERROR(MIN(Eingaben!$B$18,MAX(0,F2662-I2662)),0)</f>
        <v>0.75411</v>
      </c>
      <c r="K2662" s="13" t="n">
        <f aca="false">H2662+I2662</f>
        <v>3.468906</v>
      </c>
      <c r="L2662" s="13" t="n">
        <f aca="false">MAX(0,D2662-K2662)</f>
        <v>0.483094</v>
      </c>
      <c r="M2662" s="13" t="n">
        <f aca="false">MAX(0,F2662-I2662-J2662)</f>
        <v>0</v>
      </c>
      <c r="N2662" s="13" t="n">
        <f aca="false">IF(Kalender!A100="",0,J2661-H2662)</f>
        <v>0.0348840000000001</v>
      </c>
    </row>
    <row r="2663" customFormat="false" ht="16.4" hidden="false" customHeight="false" outlineLevel="0" collapsed="false">
      <c r="A2663" s="13" t="str">
        <f aca="false">""</f>
        <v/>
      </c>
      <c r="B2663" s="13" t="n">
        <f aca="false">97</f>
        <v>97</v>
      </c>
      <c r="C2663" s="13" t="n">
        <f aca="false">IF(Szenarien!$H$18="OK",(IFERROR(SUMIF(Nutzungsprofile!$B$6:$B$11,"Schulbetrieb",Nutzungsprofile!$G$6:$G$11)*Kalender!C101/SUM(Kalender!$C$5:$C$370),0)+IFERROR(SUMIF(Nutzungsprofile!$B$6:$B$11,"Halle",Nutzungsprofile!$G$6:$G$11)*Kalender!D101/SUM(Kalender!$D$5:$D$370),0)+IFERROR(SUMIF(Nutzungsprofile!$B$6:$B$11,"Individuell",Nutzungsprofile!$G$6:$G$11)*Kalender!E101/SUM(Kalender!$E$5:$E$370),0))*Szenarien!$E$18,0)</f>
        <v>2.94</v>
      </c>
      <c r="D2663" s="13" t="n">
        <f aca="false">IF(Szenarien!$H$18="OK",(IFERROR(SUMIF(Nutzungsprofile!$B$17:$B$22,"Schulbetrieb",Nutzungsprofile!$G$17:$G$22)*Kalender!C101/SUM(Kalender!$C$5:$C$370),0)+IFERROR(SUMIF(Nutzungsprofile!$B$17:$B$22,"Halle",Nutzungsprofile!$G$17:$G$22)*Kalender!D101/SUM(Kalender!$D$5:$D$370),0)+IFERROR(SUMIF(Nutzungsprofile!$B$17:$B$22,"Individuell",Nutzungsprofile!$G$17:$G$22)*Kalender!E101/SUM(Kalender!$E$5:$E$370),0))*Szenarien!$D$18,0)</f>
        <v>3.952</v>
      </c>
      <c r="E2663" s="13" t="n">
        <f aca="false">IFERROR(MIN(C2663,Eingaben!$B$17)*Eingaben!$B$16,0)</f>
        <v>2.793</v>
      </c>
      <c r="F2663" s="13" t="n">
        <f aca="false">IFERROR(E2663*Eingaben!$B$15,0)</f>
        <v>2.5137</v>
      </c>
      <c r="G2663" s="13" t="n">
        <f aca="false">IFERROR(IF(Kalender!A101="",0,J2662*(1-Eingaben!$B$20)),0)</f>
        <v>0.7390278</v>
      </c>
      <c r="H2663" s="13" t="n">
        <f aca="false">MIN(G2663,D2663)</f>
        <v>0.7390278</v>
      </c>
      <c r="I2663" s="13" t="n">
        <f aca="false">IFERROR(MIN(F2663*Eingaben!$B$19,MAX(0,D2663-H2663)),0)</f>
        <v>1.75959</v>
      </c>
      <c r="J2663" s="13" t="n">
        <f aca="false">IFERROR(MIN(Eingaben!$B$18,MAX(0,F2663-I2663)),0)</f>
        <v>0.75411</v>
      </c>
      <c r="K2663" s="13" t="n">
        <f aca="false">H2663+I2663</f>
        <v>2.4986178</v>
      </c>
      <c r="L2663" s="13" t="n">
        <f aca="false">MAX(0,D2663-K2663)</f>
        <v>1.4533822</v>
      </c>
      <c r="M2663" s="13" t="n">
        <f aca="false">MAX(0,F2663-I2663-J2663)</f>
        <v>0</v>
      </c>
      <c r="N2663" s="13" t="n">
        <f aca="false">IF(Kalender!A101="",0,J2662-H2663)</f>
        <v>0.0150822</v>
      </c>
    </row>
    <row r="2664" customFormat="false" ht="16.4" hidden="false" customHeight="false" outlineLevel="0" collapsed="false">
      <c r="A2664" s="13" t="str">
        <f aca="false">""</f>
        <v/>
      </c>
      <c r="B2664" s="13" t="n">
        <f aca="false">98</f>
        <v>98</v>
      </c>
      <c r="C2664" s="13" t="n">
        <f aca="false">IF(Szenarien!$H$18="OK",(IFERROR(SUMIF(Nutzungsprofile!$B$6:$B$11,"Schulbetrieb",Nutzungsprofile!$G$6:$G$11)*Kalender!C102/SUM(Kalender!$C$5:$C$370),0)+IFERROR(SUMIF(Nutzungsprofile!$B$6:$B$11,"Halle",Nutzungsprofile!$G$6:$G$11)*Kalender!D102/SUM(Kalender!$D$5:$D$370),0)+IFERROR(SUMIF(Nutzungsprofile!$B$6:$B$11,"Individuell",Nutzungsprofile!$G$6:$G$11)*Kalender!E102/SUM(Kalender!$E$5:$E$370),0))*Szenarien!$E$18,0)</f>
        <v>2.94</v>
      </c>
      <c r="D2664" s="13" t="n">
        <f aca="false">IF(Szenarien!$H$18="OK",(IFERROR(SUMIF(Nutzungsprofile!$B$17:$B$22,"Schulbetrieb",Nutzungsprofile!$G$17:$G$22)*Kalender!C102/SUM(Kalender!$C$5:$C$370),0)+IFERROR(SUMIF(Nutzungsprofile!$B$17:$B$22,"Halle",Nutzungsprofile!$G$17:$G$22)*Kalender!D102/SUM(Kalender!$D$5:$D$370),0)+IFERROR(SUMIF(Nutzungsprofile!$B$17:$B$22,"Individuell",Nutzungsprofile!$G$17:$G$22)*Kalender!E102/SUM(Kalender!$E$5:$E$370),0))*Szenarien!$D$18,0)</f>
        <v>3.952</v>
      </c>
      <c r="E2664" s="13" t="n">
        <f aca="false">IFERROR(MIN(C2664,Eingaben!$B$17)*Eingaben!$B$16,0)</f>
        <v>2.793</v>
      </c>
      <c r="F2664" s="13" t="n">
        <f aca="false">IFERROR(E2664*Eingaben!$B$15,0)</f>
        <v>2.5137</v>
      </c>
      <c r="G2664" s="13" t="n">
        <f aca="false">IFERROR(IF(Kalender!A102="",0,J2663*(1-Eingaben!$B$20)),0)</f>
        <v>0.7390278</v>
      </c>
      <c r="H2664" s="13" t="n">
        <f aca="false">MIN(G2664,D2664)</f>
        <v>0.7390278</v>
      </c>
      <c r="I2664" s="13" t="n">
        <f aca="false">IFERROR(MIN(F2664*Eingaben!$B$19,MAX(0,D2664-H2664)),0)</f>
        <v>1.75959</v>
      </c>
      <c r="J2664" s="13" t="n">
        <f aca="false">IFERROR(MIN(Eingaben!$B$18,MAX(0,F2664-I2664)),0)</f>
        <v>0.75411</v>
      </c>
      <c r="K2664" s="13" t="n">
        <f aca="false">H2664+I2664</f>
        <v>2.4986178</v>
      </c>
      <c r="L2664" s="13" t="n">
        <f aca="false">MAX(0,D2664-K2664)</f>
        <v>1.4533822</v>
      </c>
      <c r="M2664" s="13" t="n">
        <f aca="false">MAX(0,F2664-I2664-J2664)</f>
        <v>0</v>
      </c>
      <c r="N2664" s="13" t="n">
        <f aca="false">IF(Kalender!A102="",0,J2663-H2664)</f>
        <v>0.0150822</v>
      </c>
    </row>
    <row r="2665" customFormat="false" ht="16.4" hidden="false" customHeight="false" outlineLevel="0" collapsed="false">
      <c r="A2665" s="13" t="str">
        <f aca="false">""</f>
        <v/>
      </c>
      <c r="B2665" s="13" t="n">
        <f aca="false">99</f>
        <v>99</v>
      </c>
      <c r="C2665" s="13" t="n">
        <f aca="false">IF(Szenarien!$H$18="OK",(IFERROR(SUMIF(Nutzungsprofile!$B$6:$B$11,"Schulbetrieb",Nutzungsprofile!$G$6:$G$11)*Kalender!C103/SUM(Kalender!$C$5:$C$370),0)+IFERROR(SUMIF(Nutzungsprofile!$B$6:$B$11,"Halle",Nutzungsprofile!$G$6:$G$11)*Kalender!D103/SUM(Kalender!$D$5:$D$370),0)+IFERROR(SUMIF(Nutzungsprofile!$B$6:$B$11,"Individuell",Nutzungsprofile!$G$6:$G$11)*Kalender!E103/SUM(Kalender!$E$5:$E$370),0))*Szenarien!$E$18,0)</f>
        <v>2.94</v>
      </c>
      <c r="D2665" s="13" t="n">
        <f aca="false">IF(Szenarien!$H$18="OK",(IFERROR(SUMIF(Nutzungsprofile!$B$17:$B$22,"Schulbetrieb",Nutzungsprofile!$G$17:$G$22)*Kalender!C103/SUM(Kalender!$C$5:$C$370),0)+IFERROR(SUMIF(Nutzungsprofile!$B$17:$B$22,"Halle",Nutzungsprofile!$G$17:$G$22)*Kalender!D103/SUM(Kalender!$D$5:$D$370),0)+IFERROR(SUMIF(Nutzungsprofile!$B$17:$B$22,"Individuell",Nutzungsprofile!$G$17:$G$22)*Kalender!E103/SUM(Kalender!$E$5:$E$370),0))*Szenarien!$D$18,0)</f>
        <v>3.952</v>
      </c>
      <c r="E2665" s="13" t="n">
        <f aca="false">IFERROR(MIN(C2665,Eingaben!$B$17)*Eingaben!$B$16,0)</f>
        <v>2.793</v>
      </c>
      <c r="F2665" s="13" t="n">
        <f aca="false">IFERROR(E2665*Eingaben!$B$15,0)</f>
        <v>2.5137</v>
      </c>
      <c r="G2665" s="13" t="n">
        <f aca="false">IFERROR(IF(Kalender!A103="",0,J2664*(1-Eingaben!$B$20)),0)</f>
        <v>0.7390278</v>
      </c>
      <c r="H2665" s="13" t="n">
        <f aca="false">MIN(G2665,D2665)</f>
        <v>0.7390278</v>
      </c>
      <c r="I2665" s="13" t="n">
        <f aca="false">IFERROR(MIN(F2665*Eingaben!$B$19,MAX(0,D2665-H2665)),0)</f>
        <v>1.75959</v>
      </c>
      <c r="J2665" s="13" t="n">
        <f aca="false">IFERROR(MIN(Eingaben!$B$18,MAX(0,F2665-I2665)),0)</f>
        <v>0.75411</v>
      </c>
      <c r="K2665" s="13" t="n">
        <f aca="false">H2665+I2665</f>
        <v>2.4986178</v>
      </c>
      <c r="L2665" s="13" t="n">
        <f aca="false">MAX(0,D2665-K2665)</f>
        <v>1.4533822</v>
      </c>
      <c r="M2665" s="13" t="n">
        <f aca="false">MAX(0,F2665-I2665-J2665)</f>
        <v>0</v>
      </c>
      <c r="N2665" s="13" t="n">
        <f aca="false">IF(Kalender!A103="",0,J2664-H2665)</f>
        <v>0.0150822</v>
      </c>
    </row>
    <row r="2666" customFormat="false" ht="16.4" hidden="false" customHeight="false" outlineLevel="0" collapsed="false">
      <c r="A2666" s="13" t="str">
        <f aca="false">""</f>
        <v/>
      </c>
      <c r="B2666" s="13" t="n">
        <f aca="false">100</f>
        <v>100</v>
      </c>
      <c r="C2666" s="13" t="n">
        <f aca="false">IF(Szenarien!$H$18="OK",(IFERROR(SUMIF(Nutzungsprofile!$B$6:$B$11,"Schulbetrieb",Nutzungsprofile!$G$6:$G$11)*Kalender!C104/SUM(Kalender!$C$5:$C$370),0)+IFERROR(SUMIF(Nutzungsprofile!$B$6:$B$11,"Halle",Nutzungsprofile!$G$6:$G$11)*Kalender!D104/SUM(Kalender!$D$5:$D$370),0)+IFERROR(SUMIF(Nutzungsprofile!$B$6:$B$11,"Individuell",Nutzungsprofile!$G$6:$G$11)*Kalender!E104/SUM(Kalender!$E$5:$E$370),0))*Szenarien!$E$18,0)</f>
        <v>2.94</v>
      </c>
      <c r="D2666" s="13" t="n">
        <f aca="false">IF(Szenarien!$H$18="OK",(IFERROR(SUMIF(Nutzungsprofile!$B$17:$B$22,"Schulbetrieb",Nutzungsprofile!$G$17:$G$22)*Kalender!C104/SUM(Kalender!$C$5:$C$370),0)+IFERROR(SUMIF(Nutzungsprofile!$B$17:$B$22,"Halle",Nutzungsprofile!$G$17:$G$22)*Kalender!D104/SUM(Kalender!$D$5:$D$370),0)+IFERROR(SUMIF(Nutzungsprofile!$B$17:$B$22,"Individuell",Nutzungsprofile!$G$17:$G$22)*Kalender!E104/SUM(Kalender!$E$5:$E$370),0))*Szenarien!$D$18,0)</f>
        <v>3.952</v>
      </c>
      <c r="E2666" s="13" t="n">
        <f aca="false">IFERROR(MIN(C2666,Eingaben!$B$17)*Eingaben!$B$16,0)</f>
        <v>2.793</v>
      </c>
      <c r="F2666" s="13" t="n">
        <f aca="false">IFERROR(E2666*Eingaben!$B$15,0)</f>
        <v>2.5137</v>
      </c>
      <c r="G2666" s="13" t="n">
        <f aca="false">IFERROR(IF(Kalender!A104="",0,J2665*(1-Eingaben!$B$20)),0)</f>
        <v>0.7390278</v>
      </c>
      <c r="H2666" s="13" t="n">
        <f aca="false">MIN(G2666,D2666)</f>
        <v>0.7390278</v>
      </c>
      <c r="I2666" s="13" t="n">
        <f aca="false">IFERROR(MIN(F2666*Eingaben!$B$19,MAX(0,D2666-H2666)),0)</f>
        <v>1.75959</v>
      </c>
      <c r="J2666" s="13" t="n">
        <f aca="false">IFERROR(MIN(Eingaben!$B$18,MAX(0,F2666-I2666)),0)</f>
        <v>0.75411</v>
      </c>
      <c r="K2666" s="13" t="n">
        <f aca="false">H2666+I2666</f>
        <v>2.4986178</v>
      </c>
      <c r="L2666" s="13" t="n">
        <f aca="false">MAX(0,D2666-K2666)</f>
        <v>1.4533822</v>
      </c>
      <c r="M2666" s="13" t="n">
        <f aca="false">MAX(0,F2666-I2666-J2666)</f>
        <v>0</v>
      </c>
      <c r="N2666" s="13" t="n">
        <f aca="false">IF(Kalender!A104="",0,J2665-H2666)</f>
        <v>0.0150822</v>
      </c>
    </row>
    <row r="2667" customFormat="false" ht="16.4" hidden="false" customHeight="false" outlineLevel="0" collapsed="false">
      <c r="A2667" s="13" t="str">
        <f aca="false">""</f>
        <v/>
      </c>
      <c r="B2667" s="13" t="n">
        <f aca="false">101</f>
        <v>101</v>
      </c>
      <c r="C2667" s="13" t="n">
        <f aca="false">IF(Szenarien!$H$18="OK",(IFERROR(SUMIF(Nutzungsprofile!$B$6:$B$11,"Schulbetrieb",Nutzungsprofile!$G$6:$G$11)*Kalender!C105/SUM(Kalender!$C$5:$C$370),0)+IFERROR(SUMIF(Nutzungsprofile!$B$6:$B$11,"Halle",Nutzungsprofile!$G$6:$G$11)*Kalender!D105/SUM(Kalender!$D$5:$D$370),0)+IFERROR(SUMIF(Nutzungsprofile!$B$6:$B$11,"Individuell",Nutzungsprofile!$G$6:$G$11)*Kalender!E105/SUM(Kalender!$E$5:$E$370),0))*Szenarien!$E$18,0)</f>
        <v>2.04</v>
      </c>
      <c r="D2667" s="13" t="n">
        <f aca="false">IF(Szenarien!$H$18="OK",(IFERROR(SUMIF(Nutzungsprofile!$B$17:$B$22,"Schulbetrieb",Nutzungsprofile!$G$17:$G$22)*Kalender!C105/SUM(Kalender!$C$5:$C$370),0)+IFERROR(SUMIF(Nutzungsprofile!$B$17:$B$22,"Halle",Nutzungsprofile!$G$17:$G$22)*Kalender!D105/SUM(Kalender!$D$5:$D$370),0)+IFERROR(SUMIF(Nutzungsprofile!$B$17:$B$22,"Individuell",Nutzungsprofile!$G$17:$G$22)*Kalender!E105/SUM(Kalender!$E$5:$E$370),0))*Szenarien!$D$18,0)</f>
        <v>0.712</v>
      </c>
      <c r="E2667" s="13" t="n">
        <f aca="false">IFERROR(MIN(C2667,Eingaben!$B$17)*Eingaben!$B$16,0)</f>
        <v>1.938</v>
      </c>
      <c r="F2667" s="13" t="n">
        <f aca="false">IFERROR(E2667*Eingaben!$B$15,0)</f>
        <v>1.7442</v>
      </c>
      <c r="G2667" s="13" t="n">
        <f aca="false">IFERROR(IF(Kalender!A105="",0,J2666*(1-Eingaben!$B$20)),0)</f>
        <v>0.7390278</v>
      </c>
      <c r="H2667" s="13" t="n">
        <f aca="false">MIN(G2667,D2667)</f>
        <v>0.712</v>
      </c>
      <c r="I2667" s="13" t="n">
        <f aca="false">IFERROR(MIN(F2667*Eingaben!$B$19,MAX(0,D2667-H2667)),0)</f>
        <v>0</v>
      </c>
      <c r="J2667" s="13" t="n">
        <f aca="false">IFERROR(MIN(Eingaben!$B$18,MAX(0,F2667-I2667)),0)</f>
        <v>1.7442</v>
      </c>
      <c r="K2667" s="13" t="n">
        <f aca="false">H2667+I2667</f>
        <v>0.712</v>
      </c>
      <c r="L2667" s="13" t="n">
        <f aca="false">MAX(0,D2667-K2667)</f>
        <v>0</v>
      </c>
      <c r="M2667" s="13" t="n">
        <f aca="false">MAX(0,F2667-I2667-J2667)</f>
        <v>0</v>
      </c>
      <c r="N2667" s="13" t="n">
        <f aca="false">IF(Kalender!A105="",0,J2666-H2667)</f>
        <v>0.04211</v>
      </c>
    </row>
    <row r="2668" customFormat="false" ht="16.4" hidden="false" customHeight="false" outlineLevel="0" collapsed="false">
      <c r="A2668" s="13" t="str">
        <f aca="false">""</f>
        <v/>
      </c>
      <c r="B2668" s="13" t="n">
        <f aca="false">102</f>
        <v>102</v>
      </c>
      <c r="C2668" s="13" t="n">
        <f aca="false">IF(Szenarien!$H$18="OK",(IFERROR(SUMIF(Nutzungsprofile!$B$6:$B$11,"Schulbetrieb",Nutzungsprofile!$G$6:$G$11)*Kalender!C106/SUM(Kalender!$C$5:$C$370),0)+IFERROR(SUMIF(Nutzungsprofile!$B$6:$B$11,"Halle",Nutzungsprofile!$G$6:$G$11)*Kalender!D106/SUM(Kalender!$D$5:$D$370),0)+IFERROR(SUMIF(Nutzungsprofile!$B$6:$B$11,"Individuell",Nutzungsprofile!$G$6:$G$11)*Kalender!E106/SUM(Kalender!$E$5:$E$370),0))*Szenarien!$E$18,0)</f>
        <v>2.04</v>
      </c>
      <c r="D2668" s="13" t="n">
        <f aca="false">IF(Szenarien!$H$18="OK",(IFERROR(SUMIF(Nutzungsprofile!$B$17:$B$22,"Schulbetrieb",Nutzungsprofile!$G$17:$G$22)*Kalender!C106/SUM(Kalender!$C$5:$C$370),0)+IFERROR(SUMIF(Nutzungsprofile!$B$17:$B$22,"Halle",Nutzungsprofile!$G$17:$G$22)*Kalender!D106/SUM(Kalender!$D$5:$D$370),0)+IFERROR(SUMIF(Nutzungsprofile!$B$17:$B$22,"Individuell",Nutzungsprofile!$G$17:$G$22)*Kalender!E106/SUM(Kalender!$E$5:$E$370),0))*Szenarien!$D$18,0)</f>
        <v>0.712</v>
      </c>
      <c r="E2668" s="13" t="n">
        <f aca="false">IFERROR(MIN(C2668,Eingaben!$B$17)*Eingaben!$B$16,0)</f>
        <v>1.938</v>
      </c>
      <c r="F2668" s="13" t="n">
        <f aca="false">IFERROR(E2668*Eingaben!$B$15,0)</f>
        <v>1.7442</v>
      </c>
      <c r="G2668" s="13" t="n">
        <f aca="false">IFERROR(IF(Kalender!A106="",0,J2667*(1-Eingaben!$B$20)),0)</f>
        <v>1.709316</v>
      </c>
      <c r="H2668" s="13" t="n">
        <f aca="false">MIN(G2668,D2668)</f>
        <v>0.712</v>
      </c>
      <c r="I2668" s="13" t="n">
        <f aca="false">IFERROR(MIN(F2668*Eingaben!$B$19,MAX(0,D2668-H2668)),0)</f>
        <v>0</v>
      </c>
      <c r="J2668" s="13" t="n">
        <f aca="false">IFERROR(MIN(Eingaben!$B$18,MAX(0,F2668-I2668)),0)</f>
        <v>1.7442</v>
      </c>
      <c r="K2668" s="13" t="n">
        <f aca="false">H2668+I2668</f>
        <v>0.712</v>
      </c>
      <c r="L2668" s="13" t="n">
        <f aca="false">MAX(0,D2668-K2668)</f>
        <v>0</v>
      </c>
      <c r="M2668" s="13" t="n">
        <f aca="false">MAX(0,F2668-I2668-J2668)</f>
        <v>0</v>
      </c>
      <c r="N2668" s="13" t="n">
        <f aca="false">IF(Kalender!A106="",0,J2667-H2668)</f>
        <v>1.0322</v>
      </c>
    </row>
    <row r="2669" customFormat="false" ht="16.4" hidden="false" customHeight="false" outlineLevel="0" collapsed="false">
      <c r="A2669" s="13" t="str">
        <f aca="false">""</f>
        <v/>
      </c>
      <c r="B2669" s="13" t="n">
        <f aca="false">103</f>
        <v>103</v>
      </c>
      <c r="C2669" s="13" t="n">
        <f aca="false">IF(Szenarien!$H$18="OK",(IFERROR(SUMIF(Nutzungsprofile!$B$6:$B$11,"Schulbetrieb",Nutzungsprofile!$G$6:$G$11)*Kalender!C107/SUM(Kalender!$C$5:$C$370),0)+IFERROR(SUMIF(Nutzungsprofile!$B$6:$B$11,"Halle",Nutzungsprofile!$G$6:$G$11)*Kalender!D107/SUM(Kalender!$D$5:$D$370),0)+IFERROR(SUMIF(Nutzungsprofile!$B$6:$B$11,"Individuell",Nutzungsprofile!$G$6:$G$11)*Kalender!E107/SUM(Kalender!$E$5:$E$370),0))*Szenarien!$E$18,0)</f>
        <v>2.94</v>
      </c>
      <c r="D2669" s="13" t="n">
        <f aca="false">IF(Szenarien!$H$18="OK",(IFERROR(SUMIF(Nutzungsprofile!$B$17:$B$22,"Schulbetrieb",Nutzungsprofile!$G$17:$G$22)*Kalender!C107/SUM(Kalender!$C$5:$C$370),0)+IFERROR(SUMIF(Nutzungsprofile!$B$17:$B$22,"Halle",Nutzungsprofile!$G$17:$G$22)*Kalender!D107/SUM(Kalender!$D$5:$D$370),0)+IFERROR(SUMIF(Nutzungsprofile!$B$17:$B$22,"Individuell",Nutzungsprofile!$G$17:$G$22)*Kalender!E107/SUM(Kalender!$E$5:$E$370),0))*Szenarien!$D$18,0)</f>
        <v>3.952</v>
      </c>
      <c r="E2669" s="13" t="n">
        <f aca="false">IFERROR(MIN(C2669,Eingaben!$B$17)*Eingaben!$B$16,0)</f>
        <v>2.793</v>
      </c>
      <c r="F2669" s="13" t="n">
        <f aca="false">IFERROR(E2669*Eingaben!$B$15,0)</f>
        <v>2.5137</v>
      </c>
      <c r="G2669" s="13" t="n">
        <f aca="false">IFERROR(IF(Kalender!A107="",0,J2668*(1-Eingaben!$B$20)),0)</f>
        <v>1.709316</v>
      </c>
      <c r="H2669" s="13" t="n">
        <f aca="false">MIN(G2669,D2669)</f>
        <v>1.709316</v>
      </c>
      <c r="I2669" s="13" t="n">
        <f aca="false">IFERROR(MIN(F2669*Eingaben!$B$19,MAX(0,D2669-H2669)),0)</f>
        <v>1.75959</v>
      </c>
      <c r="J2669" s="13" t="n">
        <f aca="false">IFERROR(MIN(Eingaben!$B$18,MAX(0,F2669-I2669)),0)</f>
        <v>0.75411</v>
      </c>
      <c r="K2669" s="13" t="n">
        <f aca="false">H2669+I2669</f>
        <v>3.468906</v>
      </c>
      <c r="L2669" s="13" t="n">
        <f aca="false">MAX(0,D2669-K2669)</f>
        <v>0.483094</v>
      </c>
      <c r="M2669" s="13" t="n">
        <f aca="false">MAX(0,F2669-I2669-J2669)</f>
        <v>0</v>
      </c>
      <c r="N2669" s="13" t="n">
        <f aca="false">IF(Kalender!A107="",0,J2668-H2669)</f>
        <v>0.0348840000000001</v>
      </c>
    </row>
    <row r="2670" customFormat="false" ht="16.4" hidden="false" customHeight="false" outlineLevel="0" collapsed="false">
      <c r="A2670" s="13" t="str">
        <f aca="false">""</f>
        <v/>
      </c>
      <c r="B2670" s="13" t="n">
        <f aca="false">104</f>
        <v>104</v>
      </c>
      <c r="C2670" s="13" t="n">
        <f aca="false">IF(Szenarien!$H$18="OK",(IFERROR(SUMIF(Nutzungsprofile!$B$6:$B$11,"Schulbetrieb",Nutzungsprofile!$G$6:$G$11)*Kalender!C108/SUM(Kalender!$C$5:$C$370),0)+IFERROR(SUMIF(Nutzungsprofile!$B$6:$B$11,"Halle",Nutzungsprofile!$G$6:$G$11)*Kalender!D108/SUM(Kalender!$D$5:$D$370),0)+IFERROR(SUMIF(Nutzungsprofile!$B$6:$B$11,"Individuell",Nutzungsprofile!$G$6:$G$11)*Kalender!E108/SUM(Kalender!$E$5:$E$370),0))*Szenarien!$E$18,0)</f>
        <v>2.94</v>
      </c>
      <c r="D2670" s="13" t="n">
        <f aca="false">IF(Szenarien!$H$18="OK",(IFERROR(SUMIF(Nutzungsprofile!$B$17:$B$22,"Schulbetrieb",Nutzungsprofile!$G$17:$G$22)*Kalender!C108/SUM(Kalender!$C$5:$C$370),0)+IFERROR(SUMIF(Nutzungsprofile!$B$17:$B$22,"Halle",Nutzungsprofile!$G$17:$G$22)*Kalender!D108/SUM(Kalender!$D$5:$D$370),0)+IFERROR(SUMIF(Nutzungsprofile!$B$17:$B$22,"Individuell",Nutzungsprofile!$G$17:$G$22)*Kalender!E108/SUM(Kalender!$E$5:$E$370),0))*Szenarien!$D$18,0)</f>
        <v>3.952</v>
      </c>
      <c r="E2670" s="13" t="n">
        <f aca="false">IFERROR(MIN(C2670,Eingaben!$B$17)*Eingaben!$B$16,0)</f>
        <v>2.793</v>
      </c>
      <c r="F2670" s="13" t="n">
        <f aca="false">IFERROR(E2670*Eingaben!$B$15,0)</f>
        <v>2.5137</v>
      </c>
      <c r="G2670" s="13" t="n">
        <f aca="false">IFERROR(IF(Kalender!A108="",0,J2669*(1-Eingaben!$B$20)),0)</f>
        <v>0.7390278</v>
      </c>
      <c r="H2670" s="13" t="n">
        <f aca="false">MIN(G2670,D2670)</f>
        <v>0.7390278</v>
      </c>
      <c r="I2670" s="13" t="n">
        <f aca="false">IFERROR(MIN(F2670*Eingaben!$B$19,MAX(0,D2670-H2670)),0)</f>
        <v>1.75959</v>
      </c>
      <c r="J2670" s="13" t="n">
        <f aca="false">IFERROR(MIN(Eingaben!$B$18,MAX(0,F2670-I2670)),0)</f>
        <v>0.75411</v>
      </c>
      <c r="K2670" s="13" t="n">
        <f aca="false">H2670+I2670</f>
        <v>2.4986178</v>
      </c>
      <c r="L2670" s="13" t="n">
        <f aca="false">MAX(0,D2670-K2670)</f>
        <v>1.4533822</v>
      </c>
      <c r="M2670" s="13" t="n">
        <f aca="false">MAX(0,F2670-I2670-J2670)</f>
        <v>0</v>
      </c>
      <c r="N2670" s="13" t="n">
        <f aca="false">IF(Kalender!A108="",0,J2669-H2670)</f>
        <v>0.0150822</v>
      </c>
    </row>
    <row r="2671" customFormat="false" ht="16.4" hidden="false" customHeight="false" outlineLevel="0" collapsed="false">
      <c r="A2671" s="13" t="str">
        <f aca="false">""</f>
        <v/>
      </c>
      <c r="B2671" s="13" t="n">
        <f aca="false">105</f>
        <v>105</v>
      </c>
      <c r="C2671" s="13" t="n">
        <f aca="false">IF(Szenarien!$H$18="OK",(IFERROR(SUMIF(Nutzungsprofile!$B$6:$B$11,"Schulbetrieb",Nutzungsprofile!$G$6:$G$11)*Kalender!C109/SUM(Kalender!$C$5:$C$370),0)+IFERROR(SUMIF(Nutzungsprofile!$B$6:$B$11,"Halle",Nutzungsprofile!$G$6:$G$11)*Kalender!D109/SUM(Kalender!$D$5:$D$370),0)+IFERROR(SUMIF(Nutzungsprofile!$B$6:$B$11,"Individuell",Nutzungsprofile!$G$6:$G$11)*Kalender!E109/SUM(Kalender!$E$5:$E$370),0))*Szenarien!$E$18,0)</f>
        <v>2.94</v>
      </c>
      <c r="D2671" s="13" t="n">
        <f aca="false">IF(Szenarien!$H$18="OK",(IFERROR(SUMIF(Nutzungsprofile!$B$17:$B$22,"Schulbetrieb",Nutzungsprofile!$G$17:$G$22)*Kalender!C109/SUM(Kalender!$C$5:$C$370),0)+IFERROR(SUMIF(Nutzungsprofile!$B$17:$B$22,"Halle",Nutzungsprofile!$G$17:$G$22)*Kalender!D109/SUM(Kalender!$D$5:$D$370),0)+IFERROR(SUMIF(Nutzungsprofile!$B$17:$B$22,"Individuell",Nutzungsprofile!$G$17:$G$22)*Kalender!E109/SUM(Kalender!$E$5:$E$370),0))*Szenarien!$D$18,0)</f>
        <v>3.952</v>
      </c>
      <c r="E2671" s="13" t="n">
        <f aca="false">IFERROR(MIN(C2671,Eingaben!$B$17)*Eingaben!$B$16,0)</f>
        <v>2.793</v>
      </c>
      <c r="F2671" s="13" t="n">
        <f aca="false">IFERROR(E2671*Eingaben!$B$15,0)</f>
        <v>2.5137</v>
      </c>
      <c r="G2671" s="13" t="n">
        <f aca="false">IFERROR(IF(Kalender!A109="",0,J2670*(1-Eingaben!$B$20)),0)</f>
        <v>0.7390278</v>
      </c>
      <c r="H2671" s="13" t="n">
        <f aca="false">MIN(G2671,D2671)</f>
        <v>0.7390278</v>
      </c>
      <c r="I2671" s="13" t="n">
        <f aca="false">IFERROR(MIN(F2671*Eingaben!$B$19,MAX(0,D2671-H2671)),0)</f>
        <v>1.75959</v>
      </c>
      <c r="J2671" s="13" t="n">
        <f aca="false">IFERROR(MIN(Eingaben!$B$18,MAX(0,F2671-I2671)),0)</f>
        <v>0.75411</v>
      </c>
      <c r="K2671" s="13" t="n">
        <f aca="false">H2671+I2671</f>
        <v>2.4986178</v>
      </c>
      <c r="L2671" s="13" t="n">
        <f aca="false">MAX(0,D2671-K2671)</f>
        <v>1.4533822</v>
      </c>
      <c r="M2671" s="13" t="n">
        <f aca="false">MAX(0,F2671-I2671-J2671)</f>
        <v>0</v>
      </c>
      <c r="N2671" s="13" t="n">
        <f aca="false">IF(Kalender!A109="",0,J2670-H2671)</f>
        <v>0.0150822</v>
      </c>
    </row>
    <row r="2672" customFormat="false" ht="16.4" hidden="false" customHeight="false" outlineLevel="0" collapsed="false">
      <c r="A2672" s="13" t="str">
        <f aca="false">""</f>
        <v/>
      </c>
      <c r="B2672" s="13" t="n">
        <f aca="false">106</f>
        <v>106</v>
      </c>
      <c r="C2672" s="13" t="n">
        <f aca="false">IF(Szenarien!$H$18="OK",(IFERROR(SUMIF(Nutzungsprofile!$B$6:$B$11,"Schulbetrieb",Nutzungsprofile!$G$6:$G$11)*Kalender!C110/SUM(Kalender!$C$5:$C$370),0)+IFERROR(SUMIF(Nutzungsprofile!$B$6:$B$11,"Halle",Nutzungsprofile!$G$6:$G$11)*Kalender!D110/SUM(Kalender!$D$5:$D$370),0)+IFERROR(SUMIF(Nutzungsprofile!$B$6:$B$11,"Individuell",Nutzungsprofile!$G$6:$G$11)*Kalender!E110/SUM(Kalender!$E$5:$E$370),0))*Szenarien!$E$18,0)</f>
        <v>2.94</v>
      </c>
      <c r="D2672" s="13" t="n">
        <f aca="false">IF(Szenarien!$H$18="OK",(IFERROR(SUMIF(Nutzungsprofile!$B$17:$B$22,"Schulbetrieb",Nutzungsprofile!$G$17:$G$22)*Kalender!C110/SUM(Kalender!$C$5:$C$370),0)+IFERROR(SUMIF(Nutzungsprofile!$B$17:$B$22,"Halle",Nutzungsprofile!$G$17:$G$22)*Kalender!D110/SUM(Kalender!$D$5:$D$370),0)+IFERROR(SUMIF(Nutzungsprofile!$B$17:$B$22,"Individuell",Nutzungsprofile!$G$17:$G$22)*Kalender!E110/SUM(Kalender!$E$5:$E$370),0))*Szenarien!$D$18,0)</f>
        <v>3.952</v>
      </c>
      <c r="E2672" s="13" t="n">
        <f aca="false">IFERROR(MIN(C2672,Eingaben!$B$17)*Eingaben!$B$16,0)</f>
        <v>2.793</v>
      </c>
      <c r="F2672" s="13" t="n">
        <f aca="false">IFERROR(E2672*Eingaben!$B$15,0)</f>
        <v>2.5137</v>
      </c>
      <c r="G2672" s="13" t="n">
        <f aca="false">IFERROR(IF(Kalender!A110="",0,J2671*(1-Eingaben!$B$20)),0)</f>
        <v>0.7390278</v>
      </c>
      <c r="H2672" s="13" t="n">
        <f aca="false">MIN(G2672,D2672)</f>
        <v>0.7390278</v>
      </c>
      <c r="I2672" s="13" t="n">
        <f aca="false">IFERROR(MIN(F2672*Eingaben!$B$19,MAX(0,D2672-H2672)),0)</f>
        <v>1.75959</v>
      </c>
      <c r="J2672" s="13" t="n">
        <f aca="false">IFERROR(MIN(Eingaben!$B$18,MAX(0,F2672-I2672)),0)</f>
        <v>0.75411</v>
      </c>
      <c r="K2672" s="13" t="n">
        <f aca="false">H2672+I2672</f>
        <v>2.4986178</v>
      </c>
      <c r="L2672" s="13" t="n">
        <f aca="false">MAX(0,D2672-K2672)</f>
        <v>1.4533822</v>
      </c>
      <c r="M2672" s="13" t="n">
        <f aca="false">MAX(0,F2672-I2672-J2672)</f>
        <v>0</v>
      </c>
      <c r="N2672" s="13" t="n">
        <f aca="false">IF(Kalender!A110="",0,J2671-H2672)</f>
        <v>0.0150822</v>
      </c>
    </row>
    <row r="2673" customFormat="false" ht="16.4" hidden="false" customHeight="false" outlineLevel="0" collapsed="false">
      <c r="A2673" s="13" t="str">
        <f aca="false">""</f>
        <v/>
      </c>
      <c r="B2673" s="13" t="n">
        <f aca="false">107</f>
        <v>107</v>
      </c>
      <c r="C2673" s="13" t="n">
        <f aca="false">IF(Szenarien!$H$18="OK",(IFERROR(SUMIF(Nutzungsprofile!$B$6:$B$11,"Schulbetrieb",Nutzungsprofile!$G$6:$G$11)*Kalender!C111/SUM(Kalender!$C$5:$C$370),0)+IFERROR(SUMIF(Nutzungsprofile!$B$6:$B$11,"Halle",Nutzungsprofile!$G$6:$G$11)*Kalender!D111/SUM(Kalender!$D$5:$D$370),0)+IFERROR(SUMIF(Nutzungsprofile!$B$6:$B$11,"Individuell",Nutzungsprofile!$G$6:$G$11)*Kalender!E111/SUM(Kalender!$E$5:$E$370),0))*Szenarien!$E$18,0)</f>
        <v>2.94</v>
      </c>
      <c r="D2673" s="13" t="n">
        <f aca="false">IF(Szenarien!$H$18="OK",(IFERROR(SUMIF(Nutzungsprofile!$B$17:$B$22,"Schulbetrieb",Nutzungsprofile!$G$17:$G$22)*Kalender!C111/SUM(Kalender!$C$5:$C$370),0)+IFERROR(SUMIF(Nutzungsprofile!$B$17:$B$22,"Halle",Nutzungsprofile!$G$17:$G$22)*Kalender!D111/SUM(Kalender!$D$5:$D$370),0)+IFERROR(SUMIF(Nutzungsprofile!$B$17:$B$22,"Individuell",Nutzungsprofile!$G$17:$G$22)*Kalender!E111/SUM(Kalender!$E$5:$E$370),0))*Szenarien!$D$18,0)</f>
        <v>3.952</v>
      </c>
      <c r="E2673" s="13" t="n">
        <f aca="false">IFERROR(MIN(C2673,Eingaben!$B$17)*Eingaben!$B$16,0)</f>
        <v>2.793</v>
      </c>
      <c r="F2673" s="13" t="n">
        <f aca="false">IFERROR(E2673*Eingaben!$B$15,0)</f>
        <v>2.5137</v>
      </c>
      <c r="G2673" s="13" t="n">
        <f aca="false">IFERROR(IF(Kalender!A111="",0,J2672*(1-Eingaben!$B$20)),0)</f>
        <v>0.7390278</v>
      </c>
      <c r="H2673" s="13" t="n">
        <f aca="false">MIN(G2673,D2673)</f>
        <v>0.7390278</v>
      </c>
      <c r="I2673" s="13" t="n">
        <f aca="false">IFERROR(MIN(F2673*Eingaben!$B$19,MAX(0,D2673-H2673)),0)</f>
        <v>1.75959</v>
      </c>
      <c r="J2673" s="13" t="n">
        <f aca="false">IFERROR(MIN(Eingaben!$B$18,MAX(0,F2673-I2673)),0)</f>
        <v>0.75411</v>
      </c>
      <c r="K2673" s="13" t="n">
        <f aca="false">H2673+I2673</f>
        <v>2.4986178</v>
      </c>
      <c r="L2673" s="13" t="n">
        <f aca="false">MAX(0,D2673-K2673)</f>
        <v>1.4533822</v>
      </c>
      <c r="M2673" s="13" t="n">
        <f aca="false">MAX(0,F2673-I2673-J2673)</f>
        <v>0</v>
      </c>
      <c r="N2673" s="13" t="n">
        <f aca="false">IF(Kalender!A111="",0,J2672-H2673)</f>
        <v>0.0150822</v>
      </c>
    </row>
    <row r="2674" customFormat="false" ht="16.4" hidden="false" customHeight="false" outlineLevel="0" collapsed="false">
      <c r="A2674" s="13" t="str">
        <f aca="false">""</f>
        <v/>
      </c>
      <c r="B2674" s="13" t="n">
        <f aca="false">108</f>
        <v>108</v>
      </c>
      <c r="C2674" s="13" t="n">
        <f aca="false">IF(Szenarien!$H$18="OK",(IFERROR(SUMIF(Nutzungsprofile!$B$6:$B$11,"Schulbetrieb",Nutzungsprofile!$G$6:$G$11)*Kalender!C112/SUM(Kalender!$C$5:$C$370),0)+IFERROR(SUMIF(Nutzungsprofile!$B$6:$B$11,"Halle",Nutzungsprofile!$G$6:$G$11)*Kalender!D112/SUM(Kalender!$D$5:$D$370),0)+IFERROR(SUMIF(Nutzungsprofile!$B$6:$B$11,"Individuell",Nutzungsprofile!$G$6:$G$11)*Kalender!E112/SUM(Kalender!$E$5:$E$370),0))*Szenarien!$E$18,0)</f>
        <v>2.04</v>
      </c>
      <c r="D2674" s="13" t="n">
        <f aca="false">IF(Szenarien!$H$18="OK",(IFERROR(SUMIF(Nutzungsprofile!$B$17:$B$22,"Schulbetrieb",Nutzungsprofile!$G$17:$G$22)*Kalender!C112/SUM(Kalender!$C$5:$C$370),0)+IFERROR(SUMIF(Nutzungsprofile!$B$17:$B$22,"Halle",Nutzungsprofile!$G$17:$G$22)*Kalender!D112/SUM(Kalender!$D$5:$D$370),0)+IFERROR(SUMIF(Nutzungsprofile!$B$17:$B$22,"Individuell",Nutzungsprofile!$G$17:$G$22)*Kalender!E112/SUM(Kalender!$E$5:$E$370),0))*Szenarien!$D$18,0)</f>
        <v>0.712</v>
      </c>
      <c r="E2674" s="13" t="n">
        <f aca="false">IFERROR(MIN(C2674,Eingaben!$B$17)*Eingaben!$B$16,0)</f>
        <v>1.938</v>
      </c>
      <c r="F2674" s="13" t="n">
        <f aca="false">IFERROR(E2674*Eingaben!$B$15,0)</f>
        <v>1.7442</v>
      </c>
      <c r="G2674" s="13" t="n">
        <f aca="false">IFERROR(IF(Kalender!A112="",0,J2673*(1-Eingaben!$B$20)),0)</f>
        <v>0.7390278</v>
      </c>
      <c r="H2674" s="13" t="n">
        <f aca="false">MIN(G2674,D2674)</f>
        <v>0.712</v>
      </c>
      <c r="I2674" s="13" t="n">
        <f aca="false">IFERROR(MIN(F2674*Eingaben!$B$19,MAX(0,D2674-H2674)),0)</f>
        <v>0</v>
      </c>
      <c r="J2674" s="13" t="n">
        <f aca="false">IFERROR(MIN(Eingaben!$B$18,MAX(0,F2674-I2674)),0)</f>
        <v>1.7442</v>
      </c>
      <c r="K2674" s="13" t="n">
        <f aca="false">H2674+I2674</f>
        <v>0.712</v>
      </c>
      <c r="L2674" s="13" t="n">
        <f aca="false">MAX(0,D2674-K2674)</f>
        <v>0</v>
      </c>
      <c r="M2674" s="13" t="n">
        <f aca="false">MAX(0,F2674-I2674-J2674)</f>
        <v>0</v>
      </c>
      <c r="N2674" s="13" t="n">
        <f aca="false">IF(Kalender!A112="",0,J2673-H2674)</f>
        <v>0.04211</v>
      </c>
    </row>
    <row r="2675" customFormat="false" ht="16.4" hidden="false" customHeight="false" outlineLevel="0" collapsed="false">
      <c r="A2675" s="13" t="str">
        <f aca="false">""</f>
        <v/>
      </c>
      <c r="B2675" s="13" t="n">
        <f aca="false">109</f>
        <v>109</v>
      </c>
      <c r="C2675" s="13" t="n">
        <f aca="false">IF(Szenarien!$H$18="OK",(IFERROR(SUMIF(Nutzungsprofile!$B$6:$B$11,"Schulbetrieb",Nutzungsprofile!$G$6:$G$11)*Kalender!C113/SUM(Kalender!$C$5:$C$370),0)+IFERROR(SUMIF(Nutzungsprofile!$B$6:$B$11,"Halle",Nutzungsprofile!$G$6:$G$11)*Kalender!D113/SUM(Kalender!$D$5:$D$370),0)+IFERROR(SUMIF(Nutzungsprofile!$B$6:$B$11,"Individuell",Nutzungsprofile!$G$6:$G$11)*Kalender!E113/SUM(Kalender!$E$5:$E$370),0))*Szenarien!$E$18,0)</f>
        <v>2.04</v>
      </c>
      <c r="D2675" s="13" t="n">
        <f aca="false">IF(Szenarien!$H$18="OK",(IFERROR(SUMIF(Nutzungsprofile!$B$17:$B$22,"Schulbetrieb",Nutzungsprofile!$G$17:$G$22)*Kalender!C113/SUM(Kalender!$C$5:$C$370),0)+IFERROR(SUMIF(Nutzungsprofile!$B$17:$B$22,"Halle",Nutzungsprofile!$G$17:$G$22)*Kalender!D113/SUM(Kalender!$D$5:$D$370),0)+IFERROR(SUMIF(Nutzungsprofile!$B$17:$B$22,"Individuell",Nutzungsprofile!$G$17:$G$22)*Kalender!E113/SUM(Kalender!$E$5:$E$370),0))*Szenarien!$D$18,0)</f>
        <v>0.712</v>
      </c>
      <c r="E2675" s="13" t="n">
        <f aca="false">IFERROR(MIN(C2675,Eingaben!$B$17)*Eingaben!$B$16,0)</f>
        <v>1.938</v>
      </c>
      <c r="F2675" s="13" t="n">
        <f aca="false">IFERROR(E2675*Eingaben!$B$15,0)</f>
        <v>1.7442</v>
      </c>
      <c r="G2675" s="13" t="n">
        <f aca="false">IFERROR(IF(Kalender!A113="",0,J2674*(1-Eingaben!$B$20)),0)</f>
        <v>1.709316</v>
      </c>
      <c r="H2675" s="13" t="n">
        <f aca="false">MIN(G2675,D2675)</f>
        <v>0.712</v>
      </c>
      <c r="I2675" s="13" t="n">
        <f aca="false">IFERROR(MIN(F2675*Eingaben!$B$19,MAX(0,D2675-H2675)),0)</f>
        <v>0</v>
      </c>
      <c r="J2675" s="13" t="n">
        <f aca="false">IFERROR(MIN(Eingaben!$B$18,MAX(0,F2675-I2675)),0)</f>
        <v>1.7442</v>
      </c>
      <c r="K2675" s="13" t="n">
        <f aca="false">H2675+I2675</f>
        <v>0.712</v>
      </c>
      <c r="L2675" s="13" t="n">
        <f aca="false">MAX(0,D2675-K2675)</f>
        <v>0</v>
      </c>
      <c r="M2675" s="13" t="n">
        <f aca="false">MAX(0,F2675-I2675-J2675)</f>
        <v>0</v>
      </c>
      <c r="N2675" s="13" t="n">
        <f aca="false">IF(Kalender!A113="",0,J2674-H2675)</f>
        <v>1.0322</v>
      </c>
    </row>
    <row r="2676" customFormat="false" ht="16.4" hidden="false" customHeight="false" outlineLevel="0" collapsed="false">
      <c r="A2676" s="13" t="str">
        <f aca="false">""</f>
        <v/>
      </c>
      <c r="B2676" s="13" t="n">
        <f aca="false">110</f>
        <v>110</v>
      </c>
      <c r="C2676" s="13" t="n">
        <f aca="false">IF(Szenarien!$H$18="OK",(IFERROR(SUMIF(Nutzungsprofile!$B$6:$B$11,"Schulbetrieb",Nutzungsprofile!$G$6:$G$11)*Kalender!C114/SUM(Kalender!$C$5:$C$370),0)+IFERROR(SUMIF(Nutzungsprofile!$B$6:$B$11,"Halle",Nutzungsprofile!$G$6:$G$11)*Kalender!D114/SUM(Kalender!$D$5:$D$370),0)+IFERROR(SUMIF(Nutzungsprofile!$B$6:$B$11,"Individuell",Nutzungsprofile!$G$6:$G$11)*Kalender!E114/SUM(Kalender!$E$5:$E$370),0))*Szenarien!$E$18,0)</f>
        <v>2.94</v>
      </c>
      <c r="D2676" s="13" t="n">
        <f aca="false">IF(Szenarien!$H$18="OK",(IFERROR(SUMIF(Nutzungsprofile!$B$17:$B$22,"Schulbetrieb",Nutzungsprofile!$G$17:$G$22)*Kalender!C114/SUM(Kalender!$C$5:$C$370),0)+IFERROR(SUMIF(Nutzungsprofile!$B$17:$B$22,"Halle",Nutzungsprofile!$G$17:$G$22)*Kalender!D114/SUM(Kalender!$D$5:$D$370),0)+IFERROR(SUMIF(Nutzungsprofile!$B$17:$B$22,"Individuell",Nutzungsprofile!$G$17:$G$22)*Kalender!E114/SUM(Kalender!$E$5:$E$370),0))*Szenarien!$D$18,0)</f>
        <v>3.952</v>
      </c>
      <c r="E2676" s="13" t="n">
        <f aca="false">IFERROR(MIN(C2676,Eingaben!$B$17)*Eingaben!$B$16,0)</f>
        <v>2.793</v>
      </c>
      <c r="F2676" s="13" t="n">
        <f aca="false">IFERROR(E2676*Eingaben!$B$15,0)</f>
        <v>2.5137</v>
      </c>
      <c r="G2676" s="13" t="n">
        <f aca="false">IFERROR(IF(Kalender!A114="",0,J2675*(1-Eingaben!$B$20)),0)</f>
        <v>1.709316</v>
      </c>
      <c r="H2676" s="13" t="n">
        <f aca="false">MIN(G2676,D2676)</f>
        <v>1.709316</v>
      </c>
      <c r="I2676" s="13" t="n">
        <f aca="false">IFERROR(MIN(F2676*Eingaben!$B$19,MAX(0,D2676-H2676)),0)</f>
        <v>1.75959</v>
      </c>
      <c r="J2676" s="13" t="n">
        <f aca="false">IFERROR(MIN(Eingaben!$B$18,MAX(0,F2676-I2676)),0)</f>
        <v>0.75411</v>
      </c>
      <c r="K2676" s="13" t="n">
        <f aca="false">H2676+I2676</f>
        <v>3.468906</v>
      </c>
      <c r="L2676" s="13" t="n">
        <f aca="false">MAX(0,D2676-K2676)</f>
        <v>0.483094</v>
      </c>
      <c r="M2676" s="13" t="n">
        <f aca="false">MAX(0,F2676-I2676-J2676)</f>
        <v>0</v>
      </c>
      <c r="N2676" s="13" t="n">
        <f aca="false">IF(Kalender!A114="",0,J2675-H2676)</f>
        <v>0.0348840000000001</v>
      </c>
    </row>
    <row r="2677" customFormat="false" ht="16.4" hidden="false" customHeight="false" outlineLevel="0" collapsed="false">
      <c r="A2677" s="13" t="str">
        <f aca="false">""</f>
        <v/>
      </c>
      <c r="B2677" s="13" t="n">
        <f aca="false">111</f>
        <v>111</v>
      </c>
      <c r="C2677" s="13" t="n">
        <f aca="false">IF(Szenarien!$H$18="OK",(IFERROR(SUMIF(Nutzungsprofile!$B$6:$B$11,"Schulbetrieb",Nutzungsprofile!$G$6:$G$11)*Kalender!C115/SUM(Kalender!$C$5:$C$370),0)+IFERROR(SUMIF(Nutzungsprofile!$B$6:$B$11,"Halle",Nutzungsprofile!$G$6:$G$11)*Kalender!D115/SUM(Kalender!$D$5:$D$370),0)+IFERROR(SUMIF(Nutzungsprofile!$B$6:$B$11,"Individuell",Nutzungsprofile!$G$6:$G$11)*Kalender!E115/SUM(Kalender!$E$5:$E$370),0))*Szenarien!$E$18,0)</f>
        <v>2.94</v>
      </c>
      <c r="D2677" s="13" t="n">
        <f aca="false">IF(Szenarien!$H$18="OK",(IFERROR(SUMIF(Nutzungsprofile!$B$17:$B$22,"Schulbetrieb",Nutzungsprofile!$G$17:$G$22)*Kalender!C115/SUM(Kalender!$C$5:$C$370),0)+IFERROR(SUMIF(Nutzungsprofile!$B$17:$B$22,"Halle",Nutzungsprofile!$G$17:$G$22)*Kalender!D115/SUM(Kalender!$D$5:$D$370),0)+IFERROR(SUMIF(Nutzungsprofile!$B$17:$B$22,"Individuell",Nutzungsprofile!$G$17:$G$22)*Kalender!E115/SUM(Kalender!$E$5:$E$370),0))*Szenarien!$D$18,0)</f>
        <v>3.952</v>
      </c>
      <c r="E2677" s="13" t="n">
        <f aca="false">IFERROR(MIN(C2677,Eingaben!$B$17)*Eingaben!$B$16,0)</f>
        <v>2.793</v>
      </c>
      <c r="F2677" s="13" t="n">
        <f aca="false">IFERROR(E2677*Eingaben!$B$15,0)</f>
        <v>2.5137</v>
      </c>
      <c r="G2677" s="13" t="n">
        <f aca="false">IFERROR(IF(Kalender!A115="",0,J2676*(1-Eingaben!$B$20)),0)</f>
        <v>0.7390278</v>
      </c>
      <c r="H2677" s="13" t="n">
        <f aca="false">MIN(G2677,D2677)</f>
        <v>0.7390278</v>
      </c>
      <c r="I2677" s="13" t="n">
        <f aca="false">IFERROR(MIN(F2677*Eingaben!$B$19,MAX(0,D2677-H2677)),0)</f>
        <v>1.75959</v>
      </c>
      <c r="J2677" s="13" t="n">
        <f aca="false">IFERROR(MIN(Eingaben!$B$18,MAX(0,F2677-I2677)),0)</f>
        <v>0.75411</v>
      </c>
      <c r="K2677" s="13" t="n">
        <f aca="false">H2677+I2677</f>
        <v>2.4986178</v>
      </c>
      <c r="L2677" s="13" t="n">
        <f aca="false">MAX(0,D2677-K2677)</f>
        <v>1.4533822</v>
      </c>
      <c r="M2677" s="13" t="n">
        <f aca="false">MAX(0,F2677-I2677-J2677)</f>
        <v>0</v>
      </c>
      <c r="N2677" s="13" t="n">
        <f aca="false">IF(Kalender!A115="",0,J2676-H2677)</f>
        <v>0.0150822</v>
      </c>
    </row>
    <row r="2678" customFormat="false" ht="16.4" hidden="false" customHeight="false" outlineLevel="0" collapsed="false">
      <c r="A2678" s="13" t="str">
        <f aca="false">""</f>
        <v/>
      </c>
      <c r="B2678" s="13" t="n">
        <f aca="false">112</f>
        <v>112</v>
      </c>
      <c r="C2678" s="13" t="n">
        <f aca="false">IF(Szenarien!$H$18="OK",(IFERROR(SUMIF(Nutzungsprofile!$B$6:$B$11,"Schulbetrieb",Nutzungsprofile!$G$6:$G$11)*Kalender!C116/SUM(Kalender!$C$5:$C$370),0)+IFERROR(SUMIF(Nutzungsprofile!$B$6:$B$11,"Halle",Nutzungsprofile!$G$6:$G$11)*Kalender!D116/SUM(Kalender!$D$5:$D$370),0)+IFERROR(SUMIF(Nutzungsprofile!$B$6:$B$11,"Individuell",Nutzungsprofile!$G$6:$G$11)*Kalender!E116/SUM(Kalender!$E$5:$E$370),0))*Szenarien!$E$18,0)</f>
        <v>2.94</v>
      </c>
      <c r="D2678" s="13" t="n">
        <f aca="false">IF(Szenarien!$H$18="OK",(IFERROR(SUMIF(Nutzungsprofile!$B$17:$B$22,"Schulbetrieb",Nutzungsprofile!$G$17:$G$22)*Kalender!C116/SUM(Kalender!$C$5:$C$370),0)+IFERROR(SUMIF(Nutzungsprofile!$B$17:$B$22,"Halle",Nutzungsprofile!$G$17:$G$22)*Kalender!D116/SUM(Kalender!$D$5:$D$370),0)+IFERROR(SUMIF(Nutzungsprofile!$B$17:$B$22,"Individuell",Nutzungsprofile!$G$17:$G$22)*Kalender!E116/SUM(Kalender!$E$5:$E$370),0))*Szenarien!$D$18,0)</f>
        <v>3.952</v>
      </c>
      <c r="E2678" s="13" t="n">
        <f aca="false">IFERROR(MIN(C2678,Eingaben!$B$17)*Eingaben!$B$16,0)</f>
        <v>2.793</v>
      </c>
      <c r="F2678" s="13" t="n">
        <f aca="false">IFERROR(E2678*Eingaben!$B$15,0)</f>
        <v>2.5137</v>
      </c>
      <c r="G2678" s="13" t="n">
        <f aca="false">IFERROR(IF(Kalender!A116="",0,J2677*(1-Eingaben!$B$20)),0)</f>
        <v>0.7390278</v>
      </c>
      <c r="H2678" s="13" t="n">
        <f aca="false">MIN(G2678,D2678)</f>
        <v>0.7390278</v>
      </c>
      <c r="I2678" s="13" t="n">
        <f aca="false">IFERROR(MIN(F2678*Eingaben!$B$19,MAX(0,D2678-H2678)),0)</f>
        <v>1.75959</v>
      </c>
      <c r="J2678" s="13" t="n">
        <f aca="false">IFERROR(MIN(Eingaben!$B$18,MAX(0,F2678-I2678)),0)</f>
        <v>0.75411</v>
      </c>
      <c r="K2678" s="13" t="n">
        <f aca="false">H2678+I2678</f>
        <v>2.4986178</v>
      </c>
      <c r="L2678" s="13" t="n">
        <f aca="false">MAX(0,D2678-K2678)</f>
        <v>1.4533822</v>
      </c>
      <c r="M2678" s="13" t="n">
        <f aca="false">MAX(0,F2678-I2678-J2678)</f>
        <v>0</v>
      </c>
      <c r="N2678" s="13" t="n">
        <f aca="false">IF(Kalender!A116="",0,J2677-H2678)</f>
        <v>0.0150822</v>
      </c>
    </row>
    <row r="2679" customFormat="false" ht="16.4" hidden="false" customHeight="false" outlineLevel="0" collapsed="false">
      <c r="A2679" s="13" t="str">
        <f aca="false">""</f>
        <v/>
      </c>
      <c r="B2679" s="13" t="n">
        <f aca="false">113</f>
        <v>113</v>
      </c>
      <c r="C2679" s="13" t="n">
        <f aca="false">IF(Szenarien!$H$18="OK",(IFERROR(SUMIF(Nutzungsprofile!$B$6:$B$11,"Schulbetrieb",Nutzungsprofile!$G$6:$G$11)*Kalender!C117/SUM(Kalender!$C$5:$C$370),0)+IFERROR(SUMIF(Nutzungsprofile!$B$6:$B$11,"Halle",Nutzungsprofile!$G$6:$G$11)*Kalender!D117/SUM(Kalender!$D$5:$D$370),0)+IFERROR(SUMIF(Nutzungsprofile!$B$6:$B$11,"Individuell",Nutzungsprofile!$G$6:$G$11)*Kalender!E117/SUM(Kalender!$E$5:$E$370),0))*Szenarien!$E$18,0)</f>
        <v>2.94</v>
      </c>
      <c r="D2679" s="13" t="n">
        <f aca="false">IF(Szenarien!$H$18="OK",(IFERROR(SUMIF(Nutzungsprofile!$B$17:$B$22,"Schulbetrieb",Nutzungsprofile!$G$17:$G$22)*Kalender!C117/SUM(Kalender!$C$5:$C$370),0)+IFERROR(SUMIF(Nutzungsprofile!$B$17:$B$22,"Halle",Nutzungsprofile!$G$17:$G$22)*Kalender!D117/SUM(Kalender!$D$5:$D$370),0)+IFERROR(SUMIF(Nutzungsprofile!$B$17:$B$22,"Individuell",Nutzungsprofile!$G$17:$G$22)*Kalender!E117/SUM(Kalender!$E$5:$E$370),0))*Szenarien!$D$18,0)</f>
        <v>3.952</v>
      </c>
      <c r="E2679" s="13" t="n">
        <f aca="false">IFERROR(MIN(C2679,Eingaben!$B$17)*Eingaben!$B$16,0)</f>
        <v>2.793</v>
      </c>
      <c r="F2679" s="13" t="n">
        <f aca="false">IFERROR(E2679*Eingaben!$B$15,0)</f>
        <v>2.5137</v>
      </c>
      <c r="G2679" s="13" t="n">
        <f aca="false">IFERROR(IF(Kalender!A117="",0,J2678*(1-Eingaben!$B$20)),0)</f>
        <v>0.7390278</v>
      </c>
      <c r="H2679" s="13" t="n">
        <f aca="false">MIN(G2679,D2679)</f>
        <v>0.7390278</v>
      </c>
      <c r="I2679" s="13" t="n">
        <f aca="false">IFERROR(MIN(F2679*Eingaben!$B$19,MAX(0,D2679-H2679)),0)</f>
        <v>1.75959</v>
      </c>
      <c r="J2679" s="13" t="n">
        <f aca="false">IFERROR(MIN(Eingaben!$B$18,MAX(0,F2679-I2679)),0)</f>
        <v>0.75411</v>
      </c>
      <c r="K2679" s="13" t="n">
        <f aca="false">H2679+I2679</f>
        <v>2.4986178</v>
      </c>
      <c r="L2679" s="13" t="n">
        <f aca="false">MAX(0,D2679-K2679)</f>
        <v>1.4533822</v>
      </c>
      <c r="M2679" s="13" t="n">
        <f aca="false">MAX(0,F2679-I2679-J2679)</f>
        <v>0</v>
      </c>
      <c r="N2679" s="13" t="n">
        <f aca="false">IF(Kalender!A117="",0,J2678-H2679)</f>
        <v>0.0150822</v>
      </c>
    </row>
    <row r="2680" customFormat="false" ht="16.4" hidden="false" customHeight="false" outlineLevel="0" collapsed="false">
      <c r="A2680" s="13" t="str">
        <f aca="false">""</f>
        <v/>
      </c>
      <c r="B2680" s="13" t="n">
        <f aca="false">114</f>
        <v>114</v>
      </c>
      <c r="C2680" s="13" t="n">
        <f aca="false">IF(Szenarien!$H$18="OK",(IFERROR(SUMIF(Nutzungsprofile!$B$6:$B$11,"Schulbetrieb",Nutzungsprofile!$G$6:$G$11)*Kalender!C118/SUM(Kalender!$C$5:$C$370),0)+IFERROR(SUMIF(Nutzungsprofile!$B$6:$B$11,"Halle",Nutzungsprofile!$G$6:$G$11)*Kalender!D118/SUM(Kalender!$D$5:$D$370),0)+IFERROR(SUMIF(Nutzungsprofile!$B$6:$B$11,"Individuell",Nutzungsprofile!$G$6:$G$11)*Kalender!E118/SUM(Kalender!$E$5:$E$370),0))*Szenarien!$E$18,0)</f>
        <v>2.94</v>
      </c>
      <c r="D2680" s="13" t="n">
        <f aca="false">IF(Szenarien!$H$18="OK",(IFERROR(SUMIF(Nutzungsprofile!$B$17:$B$22,"Schulbetrieb",Nutzungsprofile!$G$17:$G$22)*Kalender!C118/SUM(Kalender!$C$5:$C$370),0)+IFERROR(SUMIF(Nutzungsprofile!$B$17:$B$22,"Halle",Nutzungsprofile!$G$17:$G$22)*Kalender!D118/SUM(Kalender!$D$5:$D$370),0)+IFERROR(SUMIF(Nutzungsprofile!$B$17:$B$22,"Individuell",Nutzungsprofile!$G$17:$G$22)*Kalender!E118/SUM(Kalender!$E$5:$E$370),0))*Szenarien!$D$18,0)</f>
        <v>3.952</v>
      </c>
      <c r="E2680" s="13" t="n">
        <f aca="false">IFERROR(MIN(C2680,Eingaben!$B$17)*Eingaben!$B$16,0)</f>
        <v>2.793</v>
      </c>
      <c r="F2680" s="13" t="n">
        <f aca="false">IFERROR(E2680*Eingaben!$B$15,0)</f>
        <v>2.5137</v>
      </c>
      <c r="G2680" s="13" t="n">
        <f aca="false">IFERROR(IF(Kalender!A118="",0,J2679*(1-Eingaben!$B$20)),0)</f>
        <v>0.7390278</v>
      </c>
      <c r="H2680" s="13" t="n">
        <f aca="false">MIN(G2680,D2680)</f>
        <v>0.7390278</v>
      </c>
      <c r="I2680" s="13" t="n">
        <f aca="false">IFERROR(MIN(F2680*Eingaben!$B$19,MAX(0,D2680-H2680)),0)</f>
        <v>1.75959</v>
      </c>
      <c r="J2680" s="13" t="n">
        <f aca="false">IFERROR(MIN(Eingaben!$B$18,MAX(0,F2680-I2680)),0)</f>
        <v>0.75411</v>
      </c>
      <c r="K2680" s="13" t="n">
        <f aca="false">H2680+I2680</f>
        <v>2.4986178</v>
      </c>
      <c r="L2680" s="13" t="n">
        <f aca="false">MAX(0,D2680-K2680)</f>
        <v>1.4533822</v>
      </c>
      <c r="M2680" s="13" t="n">
        <f aca="false">MAX(0,F2680-I2680-J2680)</f>
        <v>0</v>
      </c>
      <c r="N2680" s="13" t="n">
        <f aca="false">IF(Kalender!A118="",0,J2679-H2680)</f>
        <v>0.0150822</v>
      </c>
    </row>
    <row r="2681" customFormat="false" ht="16.4" hidden="false" customHeight="false" outlineLevel="0" collapsed="false">
      <c r="A2681" s="13" t="str">
        <f aca="false">""</f>
        <v/>
      </c>
      <c r="B2681" s="13" t="n">
        <f aca="false">115</f>
        <v>115</v>
      </c>
      <c r="C2681" s="13" t="n">
        <f aca="false">IF(Szenarien!$H$18="OK",(IFERROR(SUMIF(Nutzungsprofile!$B$6:$B$11,"Schulbetrieb",Nutzungsprofile!$G$6:$G$11)*Kalender!C119/SUM(Kalender!$C$5:$C$370),0)+IFERROR(SUMIF(Nutzungsprofile!$B$6:$B$11,"Halle",Nutzungsprofile!$G$6:$G$11)*Kalender!D119/SUM(Kalender!$D$5:$D$370),0)+IFERROR(SUMIF(Nutzungsprofile!$B$6:$B$11,"Individuell",Nutzungsprofile!$G$6:$G$11)*Kalender!E119/SUM(Kalender!$E$5:$E$370),0))*Szenarien!$E$18,0)</f>
        <v>2.04</v>
      </c>
      <c r="D2681" s="13" t="n">
        <f aca="false">IF(Szenarien!$H$18="OK",(IFERROR(SUMIF(Nutzungsprofile!$B$17:$B$22,"Schulbetrieb",Nutzungsprofile!$G$17:$G$22)*Kalender!C119/SUM(Kalender!$C$5:$C$370),0)+IFERROR(SUMIF(Nutzungsprofile!$B$17:$B$22,"Halle",Nutzungsprofile!$G$17:$G$22)*Kalender!D119/SUM(Kalender!$D$5:$D$370),0)+IFERROR(SUMIF(Nutzungsprofile!$B$17:$B$22,"Individuell",Nutzungsprofile!$G$17:$G$22)*Kalender!E119/SUM(Kalender!$E$5:$E$370),0))*Szenarien!$D$18,0)</f>
        <v>0.712</v>
      </c>
      <c r="E2681" s="13" t="n">
        <f aca="false">IFERROR(MIN(C2681,Eingaben!$B$17)*Eingaben!$B$16,0)</f>
        <v>1.938</v>
      </c>
      <c r="F2681" s="13" t="n">
        <f aca="false">IFERROR(E2681*Eingaben!$B$15,0)</f>
        <v>1.7442</v>
      </c>
      <c r="G2681" s="13" t="n">
        <f aca="false">IFERROR(IF(Kalender!A119="",0,J2680*(1-Eingaben!$B$20)),0)</f>
        <v>0.7390278</v>
      </c>
      <c r="H2681" s="13" t="n">
        <f aca="false">MIN(G2681,D2681)</f>
        <v>0.712</v>
      </c>
      <c r="I2681" s="13" t="n">
        <f aca="false">IFERROR(MIN(F2681*Eingaben!$B$19,MAX(0,D2681-H2681)),0)</f>
        <v>0</v>
      </c>
      <c r="J2681" s="13" t="n">
        <f aca="false">IFERROR(MIN(Eingaben!$B$18,MAX(0,F2681-I2681)),0)</f>
        <v>1.7442</v>
      </c>
      <c r="K2681" s="13" t="n">
        <f aca="false">H2681+I2681</f>
        <v>0.712</v>
      </c>
      <c r="L2681" s="13" t="n">
        <f aca="false">MAX(0,D2681-K2681)</f>
        <v>0</v>
      </c>
      <c r="M2681" s="13" t="n">
        <f aca="false">MAX(0,F2681-I2681-J2681)</f>
        <v>0</v>
      </c>
      <c r="N2681" s="13" t="n">
        <f aca="false">IF(Kalender!A119="",0,J2680-H2681)</f>
        <v>0.04211</v>
      </c>
    </row>
    <row r="2682" customFormat="false" ht="16.4" hidden="false" customHeight="false" outlineLevel="0" collapsed="false">
      <c r="A2682" s="13" t="str">
        <f aca="false">""</f>
        <v/>
      </c>
      <c r="B2682" s="13" t="n">
        <f aca="false">116</f>
        <v>116</v>
      </c>
      <c r="C2682" s="13" t="n">
        <f aca="false">IF(Szenarien!$H$18="OK",(IFERROR(SUMIF(Nutzungsprofile!$B$6:$B$11,"Schulbetrieb",Nutzungsprofile!$G$6:$G$11)*Kalender!C120/SUM(Kalender!$C$5:$C$370),0)+IFERROR(SUMIF(Nutzungsprofile!$B$6:$B$11,"Halle",Nutzungsprofile!$G$6:$G$11)*Kalender!D120/SUM(Kalender!$D$5:$D$370),0)+IFERROR(SUMIF(Nutzungsprofile!$B$6:$B$11,"Individuell",Nutzungsprofile!$G$6:$G$11)*Kalender!E120/SUM(Kalender!$E$5:$E$370),0))*Szenarien!$E$18,0)</f>
        <v>2.04</v>
      </c>
      <c r="D2682" s="13" t="n">
        <f aca="false">IF(Szenarien!$H$18="OK",(IFERROR(SUMIF(Nutzungsprofile!$B$17:$B$22,"Schulbetrieb",Nutzungsprofile!$G$17:$G$22)*Kalender!C120/SUM(Kalender!$C$5:$C$370),0)+IFERROR(SUMIF(Nutzungsprofile!$B$17:$B$22,"Halle",Nutzungsprofile!$G$17:$G$22)*Kalender!D120/SUM(Kalender!$D$5:$D$370),0)+IFERROR(SUMIF(Nutzungsprofile!$B$17:$B$22,"Individuell",Nutzungsprofile!$G$17:$G$22)*Kalender!E120/SUM(Kalender!$E$5:$E$370),0))*Szenarien!$D$18,0)</f>
        <v>0.712</v>
      </c>
      <c r="E2682" s="13" t="n">
        <f aca="false">IFERROR(MIN(C2682,Eingaben!$B$17)*Eingaben!$B$16,0)</f>
        <v>1.938</v>
      </c>
      <c r="F2682" s="13" t="n">
        <f aca="false">IFERROR(E2682*Eingaben!$B$15,0)</f>
        <v>1.7442</v>
      </c>
      <c r="G2682" s="13" t="n">
        <f aca="false">IFERROR(IF(Kalender!A120="",0,J2681*(1-Eingaben!$B$20)),0)</f>
        <v>1.709316</v>
      </c>
      <c r="H2682" s="13" t="n">
        <f aca="false">MIN(G2682,D2682)</f>
        <v>0.712</v>
      </c>
      <c r="I2682" s="13" t="n">
        <f aca="false">IFERROR(MIN(F2682*Eingaben!$B$19,MAX(0,D2682-H2682)),0)</f>
        <v>0</v>
      </c>
      <c r="J2682" s="13" t="n">
        <f aca="false">IFERROR(MIN(Eingaben!$B$18,MAX(0,F2682-I2682)),0)</f>
        <v>1.7442</v>
      </c>
      <c r="K2682" s="13" t="n">
        <f aca="false">H2682+I2682</f>
        <v>0.712</v>
      </c>
      <c r="L2682" s="13" t="n">
        <f aca="false">MAX(0,D2682-K2682)</f>
        <v>0</v>
      </c>
      <c r="M2682" s="13" t="n">
        <f aca="false">MAX(0,F2682-I2682-J2682)</f>
        <v>0</v>
      </c>
      <c r="N2682" s="13" t="n">
        <f aca="false">IF(Kalender!A120="",0,J2681-H2682)</f>
        <v>1.0322</v>
      </c>
    </row>
    <row r="2683" customFormat="false" ht="16.4" hidden="false" customHeight="false" outlineLevel="0" collapsed="false">
      <c r="A2683" s="13" t="str">
        <f aca="false">""</f>
        <v/>
      </c>
      <c r="B2683" s="13" t="n">
        <f aca="false">117</f>
        <v>117</v>
      </c>
      <c r="C2683" s="13" t="n">
        <f aca="false">IF(Szenarien!$H$18="OK",(IFERROR(SUMIF(Nutzungsprofile!$B$6:$B$11,"Schulbetrieb",Nutzungsprofile!$G$6:$G$11)*Kalender!C121/SUM(Kalender!$C$5:$C$370),0)+IFERROR(SUMIF(Nutzungsprofile!$B$6:$B$11,"Halle",Nutzungsprofile!$G$6:$G$11)*Kalender!D121/SUM(Kalender!$D$5:$D$370),0)+IFERROR(SUMIF(Nutzungsprofile!$B$6:$B$11,"Individuell",Nutzungsprofile!$G$6:$G$11)*Kalender!E121/SUM(Kalender!$E$5:$E$370),0))*Szenarien!$E$18,0)</f>
        <v>2.94</v>
      </c>
      <c r="D2683" s="13" t="n">
        <f aca="false">IF(Szenarien!$H$18="OK",(IFERROR(SUMIF(Nutzungsprofile!$B$17:$B$22,"Schulbetrieb",Nutzungsprofile!$G$17:$G$22)*Kalender!C121/SUM(Kalender!$C$5:$C$370),0)+IFERROR(SUMIF(Nutzungsprofile!$B$17:$B$22,"Halle",Nutzungsprofile!$G$17:$G$22)*Kalender!D121/SUM(Kalender!$D$5:$D$370),0)+IFERROR(SUMIF(Nutzungsprofile!$B$17:$B$22,"Individuell",Nutzungsprofile!$G$17:$G$22)*Kalender!E121/SUM(Kalender!$E$5:$E$370),0))*Szenarien!$D$18,0)</f>
        <v>3.952</v>
      </c>
      <c r="E2683" s="13" t="n">
        <f aca="false">IFERROR(MIN(C2683,Eingaben!$B$17)*Eingaben!$B$16,0)</f>
        <v>2.793</v>
      </c>
      <c r="F2683" s="13" t="n">
        <f aca="false">IFERROR(E2683*Eingaben!$B$15,0)</f>
        <v>2.5137</v>
      </c>
      <c r="G2683" s="13" t="n">
        <f aca="false">IFERROR(IF(Kalender!A121="",0,J2682*(1-Eingaben!$B$20)),0)</f>
        <v>1.709316</v>
      </c>
      <c r="H2683" s="13" t="n">
        <f aca="false">MIN(G2683,D2683)</f>
        <v>1.709316</v>
      </c>
      <c r="I2683" s="13" t="n">
        <f aca="false">IFERROR(MIN(F2683*Eingaben!$B$19,MAX(0,D2683-H2683)),0)</f>
        <v>1.75959</v>
      </c>
      <c r="J2683" s="13" t="n">
        <f aca="false">IFERROR(MIN(Eingaben!$B$18,MAX(0,F2683-I2683)),0)</f>
        <v>0.75411</v>
      </c>
      <c r="K2683" s="13" t="n">
        <f aca="false">H2683+I2683</f>
        <v>3.468906</v>
      </c>
      <c r="L2683" s="13" t="n">
        <f aca="false">MAX(0,D2683-K2683)</f>
        <v>0.483094</v>
      </c>
      <c r="M2683" s="13" t="n">
        <f aca="false">MAX(0,F2683-I2683-J2683)</f>
        <v>0</v>
      </c>
      <c r="N2683" s="13" t="n">
        <f aca="false">IF(Kalender!A121="",0,J2682-H2683)</f>
        <v>0.0348840000000001</v>
      </c>
    </row>
    <row r="2684" customFormat="false" ht="16.4" hidden="false" customHeight="false" outlineLevel="0" collapsed="false">
      <c r="A2684" s="13" t="str">
        <f aca="false">""</f>
        <v/>
      </c>
      <c r="B2684" s="13" t="n">
        <f aca="false">118</f>
        <v>118</v>
      </c>
      <c r="C2684" s="13" t="n">
        <f aca="false">IF(Szenarien!$H$18="OK",(IFERROR(SUMIF(Nutzungsprofile!$B$6:$B$11,"Schulbetrieb",Nutzungsprofile!$G$6:$G$11)*Kalender!C122/SUM(Kalender!$C$5:$C$370),0)+IFERROR(SUMIF(Nutzungsprofile!$B$6:$B$11,"Halle",Nutzungsprofile!$G$6:$G$11)*Kalender!D122/SUM(Kalender!$D$5:$D$370),0)+IFERROR(SUMIF(Nutzungsprofile!$B$6:$B$11,"Individuell",Nutzungsprofile!$G$6:$G$11)*Kalender!E122/SUM(Kalender!$E$5:$E$370),0))*Szenarien!$E$18,0)</f>
        <v>2.94</v>
      </c>
      <c r="D2684" s="13" t="n">
        <f aca="false">IF(Szenarien!$H$18="OK",(IFERROR(SUMIF(Nutzungsprofile!$B$17:$B$22,"Schulbetrieb",Nutzungsprofile!$G$17:$G$22)*Kalender!C122/SUM(Kalender!$C$5:$C$370),0)+IFERROR(SUMIF(Nutzungsprofile!$B$17:$B$22,"Halle",Nutzungsprofile!$G$17:$G$22)*Kalender!D122/SUM(Kalender!$D$5:$D$370),0)+IFERROR(SUMIF(Nutzungsprofile!$B$17:$B$22,"Individuell",Nutzungsprofile!$G$17:$G$22)*Kalender!E122/SUM(Kalender!$E$5:$E$370),0))*Szenarien!$D$18,0)</f>
        <v>3.952</v>
      </c>
      <c r="E2684" s="13" t="n">
        <f aca="false">IFERROR(MIN(C2684,Eingaben!$B$17)*Eingaben!$B$16,0)</f>
        <v>2.793</v>
      </c>
      <c r="F2684" s="13" t="n">
        <f aca="false">IFERROR(E2684*Eingaben!$B$15,0)</f>
        <v>2.5137</v>
      </c>
      <c r="G2684" s="13" t="n">
        <f aca="false">IFERROR(IF(Kalender!A122="",0,J2683*(1-Eingaben!$B$20)),0)</f>
        <v>0.7390278</v>
      </c>
      <c r="H2684" s="13" t="n">
        <f aca="false">MIN(G2684,D2684)</f>
        <v>0.7390278</v>
      </c>
      <c r="I2684" s="13" t="n">
        <f aca="false">IFERROR(MIN(F2684*Eingaben!$B$19,MAX(0,D2684-H2684)),0)</f>
        <v>1.75959</v>
      </c>
      <c r="J2684" s="13" t="n">
        <f aca="false">IFERROR(MIN(Eingaben!$B$18,MAX(0,F2684-I2684)),0)</f>
        <v>0.75411</v>
      </c>
      <c r="K2684" s="13" t="n">
        <f aca="false">H2684+I2684</f>
        <v>2.4986178</v>
      </c>
      <c r="L2684" s="13" t="n">
        <f aca="false">MAX(0,D2684-K2684)</f>
        <v>1.4533822</v>
      </c>
      <c r="M2684" s="13" t="n">
        <f aca="false">MAX(0,F2684-I2684-J2684)</f>
        <v>0</v>
      </c>
      <c r="N2684" s="13" t="n">
        <f aca="false">IF(Kalender!A122="",0,J2683-H2684)</f>
        <v>0.0150822</v>
      </c>
    </row>
    <row r="2685" customFormat="false" ht="16.4" hidden="false" customHeight="false" outlineLevel="0" collapsed="false">
      <c r="A2685" s="13" t="str">
        <f aca="false">""</f>
        <v/>
      </c>
      <c r="B2685" s="13" t="n">
        <f aca="false">119</f>
        <v>119</v>
      </c>
      <c r="C2685" s="13" t="n">
        <f aca="false">IF(Szenarien!$H$18="OK",(IFERROR(SUMIF(Nutzungsprofile!$B$6:$B$11,"Schulbetrieb",Nutzungsprofile!$G$6:$G$11)*Kalender!C123/SUM(Kalender!$C$5:$C$370),0)+IFERROR(SUMIF(Nutzungsprofile!$B$6:$B$11,"Halle",Nutzungsprofile!$G$6:$G$11)*Kalender!D123/SUM(Kalender!$D$5:$D$370),0)+IFERROR(SUMIF(Nutzungsprofile!$B$6:$B$11,"Individuell",Nutzungsprofile!$G$6:$G$11)*Kalender!E123/SUM(Kalender!$E$5:$E$370),0))*Szenarien!$E$18,0)</f>
        <v>2.94</v>
      </c>
      <c r="D2685" s="13" t="n">
        <f aca="false">IF(Szenarien!$H$18="OK",(IFERROR(SUMIF(Nutzungsprofile!$B$17:$B$22,"Schulbetrieb",Nutzungsprofile!$G$17:$G$22)*Kalender!C123/SUM(Kalender!$C$5:$C$370),0)+IFERROR(SUMIF(Nutzungsprofile!$B$17:$B$22,"Halle",Nutzungsprofile!$G$17:$G$22)*Kalender!D123/SUM(Kalender!$D$5:$D$370),0)+IFERROR(SUMIF(Nutzungsprofile!$B$17:$B$22,"Individuell",Nutzungsprofile!$G$17:$G$22)*Kalender!E123/SUM(Kalender!$E$5:$E$370),0))*Szenarien!$D$18,0)</f>
        <v>3.952</v>
      </c>
      <c r="E2685" s="13" t="n">
        <f aca="false">IFERROR(MIN(C2685,Eingaben!$B$17)*Eingaben!$B$16,0)</f>
        <v>2.793</v>
      </c>
      <c r="F2685" s="13" t="n">
        <f aca="false">IFERROR(E2685*Eingaben!$B$15,0)</f>
        <v>2.5137</v>
      </c>
      <c r="G2685" s="13" t="n">
        <f aca="false">IFERROR(IF(Kalender!A123="",0,J2684*(1-Eingaben!$B$20)),0)</f>
        <v>0.7390278</v>
      </c>
      <c r="H2685" s="13" t="n">
        <f aca="false">MIN(G2685,D2685)</f>
        <v>0.7390278</v>
      </c>
      <c r="I2685" s="13" t="n">
        <f aca="false">IFERROR(MIN(F2685*Eingaben!$B$19,MAX(0,D2685-H2685)),0)</f>
        <v>1.75959</v>
      </c>
      <c r="J2685" s="13" t="n">
        <f aca="false">IFERROR(MIN(Eingaben!$B$18,MAX(0,F2685-I2685)),0)</f>
        <v>0.75411</v>
      </c>
      <c r="K2685" s="13" t="n">
        <f aca="false">H2685+I2685</f>
        <v>2.4986178</v>
      </c>
      <c r="L2685" s="13" t="n">
        <f aca="false">MAX(0,D2685-K2685)</f>
        <v>1.4533822</v>
      </c>
      <c r="M2685" s="13" t="n">
        <f aca="false">MAX(0,F2685-I2685-J2685)</f>
        <v>0</v>
      </c>
      <c r="N2685" s="13" t="n">
        <f aca="false">IF(Kalender!A123="",0,J2684-H2685)</f>
        <v>0.0150822</v>
      </c>
    </row>
    <row r="2686" customFormat="false" ht="16.4" hidden="false" customHeight="false" outlineLevel="0" collapsed="false">
      <c r="A2686" s="13" t="str">
        <f aca="false">""</f>
        <v/>
      </c>
      <c r="B2686" s="13" t="n">
        <f aca="false">120</f>
        <v>120</v>
      </c>
      <c r="C2686" s="13" t="n">
        <f aca="false">IF(Szenarien!$H$18="OK",(IFERROR(SUMIF(Nutzungsprofile!$B$6:$B$11,"Schulbetrieb",Nutzungsprofile!$G$6:$G$11)*Kalender!C124/SUM(Kalender!$C$5:$C$370),0)+IFERROR(SUMIF(Nutzungsprofile!$B$6:$B$11,"Halle",Nutzungsprofile!$G$6:$G$11)*Kalender!D124/SUM(Kalender!$D$5:$D$370),0)+IFERROR(SUMIF(Nutzungsprofile!$B$6:$B$11,"Individuell",Nutzungsprofile!$G$6:$G$11)*Kalender!E124/SUM(Kalender!$E$5:$E$370),0))*Szenarien!$E$18,0)</f>
        <v>2.94</v>
      </c>
      <c r="D2686" s="13" t="n">
        <f aca="false">IF(Szenarien!$H$18="OK",(IFERROR(SUMIF(Nutzungsprofile!$B$17:$B$22,"Schulbetrieb",Nutzungsprofile!$G$17:$G$22)*Kalender!C124/SUM(Kalender!$C$5:$C$370),0)+IFERROR(SUMIF(Nutzungsprofile!$B$17:$B$22,"Halle",Nutzungsprofile!$G$17:$G$22)*Kalender!D124/SUM(Kalender!$D$5:$D$370),0)+IFERROR(SUMIF(Nutzungsprofile!$B$17:$B$22,"Individuell",Nutzungsprofile!$G$17:$G$22)*Kalender!E124/SUM(Kalender!$E$5:$E$370),0))*Szenarien!$D$18,0)</f>
        <v>3.952</v>
      </c>
      <c r="E2686" s="13" t="n">
        <f aca="false">IFERROR(MIN(C2686,Eingaben!$B$17)*Eingaben!$B$16,0)</f>
        <v>2.793</v>
      </c>
      <c r="F2686" s="13" t="n">
        <f aca="false">IFERROR(E2686*Eingaben!$B$15,0)</f>
        <v>2.5137</v>
      </c>
      <c r="G2686" s="13" t="n">
        <f aca="false">IFERROR(IF(Kalender!A124="",0,J2685*(1-Eingaben!$B$20)),0)</f>
        <v>0.7390278</v>
      </c>
      <c r="H2686" s="13" t="n">
        <f aca="false">MIN(G2686,D2686)</f>
        <v>0.7390278</v>
      </c>
      <c r="I2686" s="13" t="n">
        <f aca="false">IFERROR(MIN(F2686*Eingaben!$B$19,MAX(0,D2686-H2686)),0)</f>
        <v>1.75959</v>
      </c>
      <c r="J2686" s="13" t="n">
        <f aca="false">IFERROR(MIN(Eingaben!$B$18,MAX(0,F2686-I2686)),0)</f>
        <v>0.75411</v>
      </c>
      <c r="K2686" s="13" t="n">
        <f aca="false">H2686+I2686</f>
        <v>2.4986178</v>
      </c>
      <c r="L2686" s="13" t="n">
        <f aca="false">MAX(0,D2686-K2686)</f>
        <v>1.4533822</v>
      </c>
      <c r="M2686" s="13" t="n">
        <f aca="false">MAX(0,F2686-I2686-J2686)</f>
        <v>0</v>
      </c>
      <c r="N2686" s="13" t="n">
        <f aca="false">IF(Kalender!A124="",0,J2685-H2686)</f>
        <v>0.0150822</v>
      </c>
    </row>
    <row r="2687" customFormat="false" ht="16.4" hidden="false" customHeight="false" outlineLevel="0" collapsed="false">
      <c r="A2687" s="13" t="str">
        <f aca="false">""</f>
        <v/>
      </c>
      <c r="B2687" s="13" t="n">
        <f aca="false">121</f>
        <v>121</v>
      </c>
      <c r="C2687" s="13" t="n">
        <f aca="false">IF(Szenarien!$H$18="OK",(IFERROR(SUMIF(Nutzungsprofile!$B$6:$B$11,"Schulbetrieb",Nutzungsprofile!$G$6:$G$11)*Kalender!C125/SUM(Kalender!$C$5:$C$370),0)+IFERROR(SUMIF(Nutzungsprofile!$B$6:$B$11,"Halle",Nutzungsprofile!$G$6:$G$11)*Kalender!D125/SUM(Kalender!$D$5:$D$370),0)+IFERROR(SUMIF(Nutzungsprofile!$B$6:$B$11,"Individuell",Nutzungsprofile!$G$6:$G$11)*Kalender!E125/SUM(Kalender!$E$5:$E$370),0))*Szenarien!$E$18,0)</f>
        <v>2.94</v>
      </c>
      <c r="D2687" s="13" t="n">
        <f aca="false">IF(Szenarien!$H$18="OK",(IFERROR(SUMIF(Nutzungsprofile!$B$17:$B$22,"Schulbetrieb",Nutzungsprofile!$G$17:$G$22)*Kalender!C125/SUM(Kalender!$C$5:$C$370),0)+IFERROR(SUMIF(Nutzungsprofile!$B$17:$B$22,"Halle",Nutzungsprofile!$G$17:$G$22)*Kalender!D125/SUM(Kalender!$D$5:$D$370),0)+IFERROR(SUMIF(Nutzungsprofile!$B$17:$B$22,"Individuell",Nutzungsprofile!$G$17:$G$22)*Kalender!E125/SUM(Kalender!$E$5:$E$370),0))*Szenarien!$D$18,0)</f>
        <v>3.952</v>
      </c>
      <c r="E2687" s="13" t="n">
        <f aca="false">IFERROR(MIN(C2687,Eingaben!$B$17)*Eingaben!$B$16,0)</f>
        <v>2.793</v>
      </c>
      <c r="F2687" s="13" t="n">
        <f aca="false">IFERROR(E2687*Eingaben!$B$15,0)</f>
        <v>2.5137</v>
      </c>
      <c r="G2687" s="13" t="n">
        <f aca="false">IFERROR(IF(Kalender!A125="",0,J2686*(1-Eingaben!$B$20)),0)</f>
        <v>0.7390278</v>
      </c>
      <c r="H2687" s="13" t="n">
        <f aca="false">MIN(G2687,D2687)</f>
        <v>0.7390278</v>
      </c>
      <c r="I2687" s="13" t="n">
        <f aca="false">IFERROR(MIN(F2687*Eingaben!$B$19,MAX(0,D2687-H2687)),0)</f>
        <v>1.75959</v>
      </c>
      <c r="J2687" s="13" t="n">
        <f aca="false">IFERROR(MIN(Eingaben!$B$18,MAX(0,F2687-I2687)),0)</f>
        <v>0.75411</v>
      </c>
      <c r="K2687" s="13" t="n">
        <f aca="false">H2687+I2687</f>
        <v>2.4986178</v>
      </c>
      <c r="L2687" s="13" t="n">
        <f aca="false">MAX(0,D2687-K2687)</f>
        <v>1.4533822</v>
      </c>
      <c r="M2687" s="13" t="n">
        <f aca="false">MAX(0,F2687-I2687-J2687)</f>
        <v>0</v>
      </c>
      <c r="N2687" s="13" t="n">
        <f aca="false">IF(Kalender!A125="",0,J2686-H2687)</f>
        <v>0.0150822</v>
      </c>
    </row>
    <row r="2688" customFormat="false" ht="16.4" hidden="false" customHeight="false" outlineLevel="0" collapsed="false">
      <c r="A2688" s="13" t="str">
        <f aca="false">""</f>
        <v/>
      </c>
      <c r="B2688" s="13" t="n">
        <f aca="false">122</f>
        <v>122</v>
      </c>
      <c r="C2688" s="13" t="n">
        <f aca="false">IF(Szenarien!$H$18="OK",(IFERROR(SUMIF(Nutzungsprofile!$B$6:$B$11,"Schulbetrieb",Nutzungsprofile!$G$6:$G$11)*Kalender!C126/SUM(Kalender!$C$5:$C$370),0)+IFERROR(SUMIF(Nutzungsprofile!$B$6:$B$11,"Halle",Nutzungsprofile!$G$6:$G$11)*Kalender!D126/SUM(Kalender!$D$5:$D$370),0)+IFERROR(SUMIF(Nutzungsprofile!$B$6:$B$11,"Individuell",Nutzungsprofile!$G$6:$G$11)*Kalender!E126/SUM(Kalender!$E$5:$E$370),0))*Szenarien!$E$18,0)</f>
        <v>2.04</v>
      </c>
      <c r="D2688" s="13" t="n">
        <f aca="false">IF(Szenarien!$H$18="OK",(IFERROR(SUMIF(Nutzungsprofile!$B$17:$B$22,"Schulbetrieb",Nutzungsprofile!$G$17:$G$22)*Kalender!C126/SUM(Kalender!$C$5:$C$370),0)+IFERROR(SUMIF(Nutzungsprofile!$B$17:$B$22,"Halle",Nutzungsprofile!$G$17:$G$22)*Kalender!D126/SUM(Kalender!$D$5:$D$370),0)+IFERROR(SUMIF(Nutzungsprofile!$B$17:$B$22,"Individuell",Nutzungsprofile!$G$17:$G$22)*Kalender!E126/SUM(Kalender!$E$5:$E$370),0))*Szenarien!$D$18,0)</f>
        <v>0.712</v>
      </c>
      <c r="E2688" s="13" t="n">
        <f aca="false">IFERROR(MIN(C2688,Eingaben!$B$17)*Eingaben!$B$16,0)</f>
        <v>1.938</v>
      </c>
      <c r="F2688" s="13" t="n">
        <f aca="false">IFERROR(E2688*Eingaben!$B$15,0)</f>
        <v>1.7442</v>
      </c>
      <c r="G2688" s="13" t="n">
        <f aca="false">IFERROR(IF(Kalender!A126="",0,J2687*(1-Eingaben!$B$20)),0)</f>
        <v>0.7390278</v>
      </c>
      <c r="H2688" s="13" t="n">
        <f aca="false">MIN(G2688,D2688)</f>
        <v>0.712</v>
      </c>
      <c r="I2688" s="13" t="n">
        <f aca="false">IFERROR(MIN(F2688*Eingaben!$B$19,MAX(0,D2688-H2688)),0)</f>
        <v>0</v>
      </c>
      <c r="J2688" s="13" t="n">
        <f aca="false">IFERROR(MIN(Eingaben!$B$18,MAX(0,F2688-I2688)),0)</f>
        <v>1.7442</v>
      </c>
      <c r="K2688" s="13" t="n">
        <f aca="false">H2688+I2688</f>
        <v>0.712</v>
      </c>
      <c r="L2688" s="13" t="n">
        <f aca="false">MAX(0,D2688-K2688)</f>
        <v>0</v>
      </c>
      <c r="M2688" s="13" t="n">
        <f aca="false">MAX(0,F2688-I2688-J2688)</f>
        <v>0</v>
      </c>
      <c r="N2688" s="13" t="n">
        <f aca="false">IF(Kalender!A126="",0,J2687-H2688)</f>
        <v>0.04211</v>
      </c>
    </row>
    <row r="2689" customFormat="false" ht="16.4" hidden="false" customHeight="false" outlineLevel="0" collapsed="false">
      <c r="A2689" s="13" t="str">
        <f aca="false">""</f>
        <v/>
      </c>
      <c r="B2689" s="13" t="n">
        <f aca="false">123</f>
        <v>123</v>
      </c>
      <c r="C2689" s="13" t="n">
        <f aca="false">IF(Szenarien!$H$18="OK",(IFERROR(SUMIF(Nutzungsprofile!$B$6:$B$11,"Schulbetrieb",Nutzungsprofile!$G$6:$G$11)*Kalender!C127/SUM(Kalender!$C$5:$C$370),0)+IFERROR(SUMIF(Nutzungsprofile!$B$6:$B$11,"Halle",Nutzungsprofile!$G$6:$G$11)*Kalender!D127/SUM(Kalender!$D$5:$D$370),0)+IFERROR(SUMIF(Nutzungsprofile!$B$6:$B$11,"Individuell",Nutzungsprofile!$G$6:$G$11)*Kalender!E127/SUM(Kalender!$E$5:$E$370),0))*Szenarien!$E$18,0)</f>
        <v>2.04</v>
      </c>
      <c r="D2689" s="13" t="n">
        <f aca="false">IF(Szenarien!$H$18="OK",(IFERROR(SUMIF(Nutzungsprofile!$B$17:$B$22,"Schulbetrieb",Nutzungsprofile!$G$17:$G$22)*Kalender!C127/SUM(Kalender!$C$5:$C$370),0)+IFERROR(SUMIF(Nutzungsprofile!$B$17:$B$22,"Halle",Nutzungsprofile!$G$17:$G$22)*Kalender!D127/SUM(Kalender!$D$5:$D$370),0)+IFERROR(SUMIF(Nutzungsprofile!$B$17:$B$22,"Individuell",Nutzungsprofile!$G$17:$G$22)*Kalender!E127/SUM(Kalender!$E$5:$E$370),0))*Szenarien!$D$18,0)</f>
        <v>0.712</v>
      </c>
      <c r="E2689" s="13" t="n">
        <f aca="false">IFERROR(MIN(C2689,Eingaben!$B$17)*Eingaben!$B$16,0)</f>
        <v>1.938</v>
      </c>
      <c r="F2689" s="13" t="n">
        <f aca="false">IFERROR(E2689*Eingaben!$B$15,0)</f>
        <v>1.7442</v>
      </c>
      <c r="G2689" s="13" t="n">
        <f aca="false">IFERROR(IF(Kalender!A127="",0,J2688*(1-Eingaben!$B$20)),0)</f>
        <v>1.709316</v>
      </c>
      <c r="H2689" s="13" t="n">
        <f aca="false">MIN(G2689,D2689)</f>
        <v>0.712</v>
      </c>
      <c r="I2689" s="13" t="n">
        <f aca="false">IFERROR(MIN(F2689*Eingaben!$B$19,MAX(0,D2689-H2689)),0)</f>
        <v>0</v>
      </c>
      <c r="J2689" s="13" t="n">
        <f aca="false">IFERROR(MIN(Eingaben!$B$18,MAX(0,F2689-I2689)),0)</f>
        <v>1.7442</v>
      </c>
      <c r="K2689" s="13" t="n">
        <f aca="false">H2689+I2689</f>
        <v>0.712</v>
      </c>
      <c r="L2689" s="13" t="n">
        <f aca="false">MAX(0,D2689-K2689)</f>
        <v>0</v>
      </c>
      <c r="M2689" s="13" t="n">
        <f aca="false">MAX(0,F2689-I2689-J2689)</f>
        <v>0</v>
      </c>
      <c r="N2689" s="13" t="n">
        <f aca="false">IF(Kalender!A127="",0,J2688-H2689)</f>
        <v>1.0322</v>
      </c>
    </row>
    <row r="2690" customFormat="false" ht="16.4" hidden="false" customHeight="false" outlineLevel="0" collapsed="false">
      <c r="A2690" s="13" t="str">
        <f aca="false">""</f>
        <v/>
      </c>
      <c r="B2690" s="13" t="n">
        <f aca="false">124</f>
        <v>124</v>
      </c>
      <c r="C2690" s="13" t="n">
        <f aca="false">IF(Szenarien!$H$18="OK",(IFERROR(SUMIF(Nutzungsprofile!$B$6:$B$11,"Schulbetrieb",Nutzungsprofile!$G$6:$G$11)*Kalender!C128/SUM(Kalender!$C$5:$C$370),0)+IFERROR(SUMIF(Nutzungsprofile!$B$6:$B$11,"Halle",Nutzungsprofile!$G$6:$G$11)*Kalender!D128/SUM(Kalender!$D$5:$D$370),0)+IFERROR(SUMIF(Nutzungsprofile!$B$6:$B$11,"Individuell",Nutzungsprofile!$G$6:$G$11)*Kalender!E128/SUM(Kalender!$E$5:$E$370),0))*Szenarien!$E$18,0)</f>
        <v>2.94</v>
      </c>
      <c r="D2690" s="13" t="n">
        <f aca="false">IF(Szenarien!$H$18="OK",(IFERROR(SUMIF(Nutzungsprofile!$B$17:$B$22,"Schulbetrieb",Nutzungsprofile!$G$17:$G$22)*Kalender!C128/SUM(Kalender!$C$5:$C$370),0)+IFERROR(SUMIF(Nutzungsprofile!$B$17:$B$22,"Halle",Nutzungsprofile!$G$17:$G$22)*Kalender!D128/SUM(Kalender!$D$5:$D$370),0)+IFERROR(SUMIF(Nutzungsprofile!$B$17:$B$22,"Individuell",Nutzungsprofile!$G$17:$G$22)*Kalender!E128/SUM(Kalender!$E$5:$E$370),0))*Szenarien!$D$18,0)</f>
        <v>3.952</v>
      </c>
      <c r="E2690" s="13" t="n">
        <f aca="false">IFERROR(MIN(C2690,Eingaben!$B$17)*Eingaben!$B$16,0)</f>
        <v>2.793</v>
      </c>
      <c r="F2690" s="13" t="n">
        <f aca="false">IFERROR(E2690*Eingaben!$B$15,0)</f>
        <v>2.5137</v>
      </c>
      <c r="G2690" s="13" t="n">
        <f aca="false">IFERROR(IF(Kalender!A128="",0,J2689*(1-Eingaben!$B$20)),0)</f>
        <v>1.709316</v>
      </c>
      <c r="H2690" s="13" t="n">
        <f aca="false">MIN(G2690,D2690)</f>
        <v>1.709316</v>
      </c>
      <c r="I2690" s="13" t="n">
        <f aca="false">IFERROR(MIN(F2690*Eingaben!$B$19,MAX(0,D2690-H2690)),0)</f>
        <v>1.75959</v>
      </c>
      <c r="J2690" s="13" t="n">
        <f aca="false">IFERROR(MIN(Eingaben!$B$18,MAX(0,F2690-I2690)),0)</f>
        <v>0.75411</v>
      </c>
      <c r="K2690" s="13" t="n">
        <f aca="false">H2690+I2690</f>
        <v>3.468906</v>
      </c>
      <c r="L2690" s="13" t="n">
        <f aca="false">MAX(0,D2690-K2690)</f>
        <v>0.483094</v>
      </c>
      <c r="M2690" s="13" t="n">
        <f aca="false">MAX(0,F2690-I2690-J2690)</f>
        <v>0</v>
      </c>
      <c r="N2690" s="13" t="n">
        <f aca="false">IF(Kalender!A128="",0,J2689-H2690)</f>
        <v>0.0348840000000001</v>
      </c>
    </row>
    <row r="2691" customFormat="false" ht="16.4" hidden="false" customHeight="false" outlineLevel="0" collapsed="false">
      <c r="A2691" s="13" t="str">
        <f aca="false">""</f>
        <v/>
      </c>
      <c r="B2691" s="13" t="n">
        <f aca="false">125</f>
        <v>125</v>
      </c>
      <c r="C2691" s="13" t="n">
        <f aca="false">IF(Szenarien!$H$18="OK",(IFERROR(SUMIF(Nutzungsprofile!$B$6:$B$11,"Schulbetrieb",Nutzungsprofile!$G$6:$G$11)*Kalender!C129/SUM(Kalender!$C$5:$C$370),0)+IFERROR(SUMIF(Nutzungsprofile!$B$6:$B$11,"Halle",Nutzungsprofile!$G$6:$G$11)*Kalender!D129/SUM(Kalender!$D$5:$D$370),0)+IFERROR(SUMIF(Nutzungsprofile!$B$6:$B$11,"Individuell",Nutzungsprofile!$G$6:$G$11)*Kalender!E129/SUM(Kalender!$E$5:$E$370),0))*Szenarien!$E$18,0)</f>
        <v>2.94</v>
      </c>
      <c r="D2691" s="13" t="n">
        <f aca="false">IF(Szenarien!$H$18="OK",(IFERROR(SUMIF(Nutzungsprofile!$B$17:$B$22,"Schulbetrieb",Nutzungsprofile!$G$17:$G$22)*Kalender!C129/SUM(Kalender!$C$5:$C$370),0)+IFERROR(SUMIF(Nutzungsprofile!$B$17:$B$22,"Halle",Nutzungsprofile!$G$17:$G$22)*Kalender!D129/SUM(Kalender!$D$5:$D$370),0)+IFERROR(SUMIF(Nutzungsprofile!$B$17:$B$22,"Individuell",Nutzungsprofile!$G$17:$G$22)*Kalender!E129/SUM(Kalender!$E$5:$E$370),0))*Szenarien!$D$18,0)</f>
        <v>3.952</v>
      </c>
      <c r="E2691" s="13" t="n">
        <f aca="false">IFERROR(MIN(C2691,Eingaben!$B$17)*Eingaben!$B$16,0)</f>
        <v>2.793</v>
      </c>
      <c r="F2691" s="13" t="n">
        <f aca="false">IFERROR(E2691*Eingaben!$B$15,0)</f>
        <v>2.5137</v>
      </c>
      <c r="G2691" s="13" t="n">
        <f aca="false">IFERROR(IF(Kalender!A129="",0,J2690*(1-Eingaben!$B$20)),0)</f>
        <v>0.7390278</v>
      </c>
      <c r="H2691" s="13" t="n">
        <f aca="false">MIN(G2691,D2691)</f>
        <v>0.7390278</v>
      </c>
      <c r="I2691" s="13" t="n">
        <f aca="false">IFERROR(MIN(F2691*Eingaben!$B$19,MAX(0,D2691-H2691)),0)</f>
        <v>1.75959</v>
      </c>
      <c r="J2691" s="13" t="n">
        <f aca="false">IFERROR(MIN(Eingaben!$B$18,MAX(0,F2691-I2691)),0)</f>
        <v>0.75411</v>
      </c>
      <c r="K2691" s="13" t="n">
        <f aca="false">H2691+I2691</f>
        <v>2.4986178</v>
      </c>
      <c r="L2691" s="13" t="n">
        <f aca="false">MAX(0,D2691-K2691)</f>
        <v>1.4533822</v>
      </c>
      <c r="M2691" s="13" t="n">
        <f aca="false">MAX(0,F2691-I2691-J2691)</f>
        <v>0</v>
      </c>
      <c r="N2691" s="13" t="n">
        <f aca="false">IF(Kalender!A129="",0,J2690-H2691)</f>
        <v>0.0150822</v>
      </c>
    </row>
    <row r="2692" customFormat="false" ht="16.4" hidden="false" customHeight="false" outlineLevel="0" collapsed="false">
      <c r="A2692" s="13" t="str">
        <f aca="false">""</f>
        <v/>
      </c>
      <c r="B2692" s="13" t="n">
        <f aca="false">126</f>
        <v>126</v>
      </c>
      <c r="C2692" s="13" t="n">
        <f aca="false">IF(Szenarien!$H$18="OK",(IFERROR(SUMIF(Nutzungsprofile!$B$6:$B$11,"Schulbetrieb",Nutzungsprofile!$G$6:$G$11)*Kalender!C130/SUM(Kalender!$C$5:$C$370),0)+IFERROR(SUMIF(Nutzungsprofile!$B$6:$B$11,"Halle",Nutzungsprofile!$G$6:$G$11)*Kalender!D130/SUM(Kalender!$D$5:$D$370),0)+IFERROR(SUMIF(Nutzungsprofile!$B$6:$B$11,"Individuell",Nutzungsprofile!$G$6:$G$11)*Kalender!E130/SUM(Kalender!$E$5:$E$370),0))*Szenarien!$E$18,0)</f>
        <v>2.94</v>
      </c>
      <c r="D2692" s="13" t="n">
        <f aca="false">IF(Szenarien!$H$18="OK",(IFERROR(SUMIF(Nutzungsprofile!$B$17:$B$22,"Schulbetrieb",Nutzungsprofile!$G$17:$G$22)*Kalender!C130/SUM(Kalender!$C$5:$C$370),0)+IFERROR(SUMIF(Nutzungsprofile!$B$17:$B$22,"Halle",Nutzungsprofile!$G$17:$G$22)*Kalender!D130/SUM(Kalender!$D$5:$D$370),0)+IFERROR(SUMIF(Nutzungsprofile!$B$17:$B$22,"Individuell",Nutzungsprofile!$G$17:$G$22)*Kalender!E130/SUM(Kalender!$E$5:$E$370),0))*Szenarien!$D$18,0)</f>
        <v>3.952</v>
      </c>
      <c r="E2692" s="13" t="n">
        <f aca="false">IFERROR(MIN(C2692,Eingaben!$B$17)*Eingaben!$B$16,0)</f>
        <v>2.793</v>
      </c>
      <c r="F2692" s="13" t="n">
        <f aca="false">IFERROR(E2692*Eingaben!$B$15,0)</f>
        <v>2.5137</v>
      </c>
      <c r="G2692" s="13" t="n">
        <f aca="false">IFERROR(IF(Kalender!A130="",0,J2691*(1-Eingaben!$B$20)),0)</f>
        <v>0.7390278</v>
      </c>
      <c r="H2692" s="13" t="n">
        <f aca="false">MIN(G2692,D2692)</f>
        <v>0.7390278</v>
      </c>
      <c r="I2692" s="13" t="n">
        <f aca="false">IFERROR(MIN(F2692*Eingaben!$B$19,MAX(0,D2692-H2692)),0)</f>
        <v>1.75959</v>
      </c>
      <c r="J2692" s="13" t="n">
        <f aca="false">IFERROR(MIN(Eingaben!$B$18,MAX(0,F2692-I2692)),0)</f>
        <v>0.75411</v>
      </c>
      <c r="K2692" s="13" t="n">
        <f aca="false">H2692+I2692</f>
        <v>2.4986178</v>
      </c>
      <c r="L2692" s="13" t="n">
        <f aca="false">MAX(0,D2692-K2692)</f>
        <v>1.4533822</v>
      </c>
      <c r="M2692" s="13" t="n">
        <f aca="false">MAX(0,F2692-I2692-J2692)</f>
        <v>0</v>
      </c>
      <c r="N2692" s="13" t="n">
        <f aca="false">IF(Kalender!A130="",0,J2691-H2692)</f>
        <v>0.0150822</v>
      </c>
    </row>
    <row r="2693" customFormat="false" ht="16.4" hidden="false" customHeight="false" outlineLevel="0" collapsed="false">
      <c r="A2693" s="13" t="str">
        <f aca="false">""</f>
        <v/>
      </c>
      <c r="B2693" s="13" t="n">
        <f aca="false">127</f>
        <v>127</v>
      </c>
      <c r="C2693" s="13" t="n">
        <f aca="false">IF(Szenarien!$H$18="OK",(IFERROR(SUMIF(Nutzungsprofile!$B$6:$B$11,"Schulbetrieb",Nutzungsprofile!$G$6:$G$11)*Kalender!C131/SUM(Kalender!$C$5:$C$370),0)+IFERROR(SUMIF(Nutzungsprofile!$B$6:$B$11,"Halle",Nutzungsprofile!$G$6:$G$11)*Kalender!D131/SUM(Kalender!$D$5:$D$370),0)+IFERROR(SUMIF(Nutzungsprofile!$B$6:$B$11,"Individuell",Nutzungsprofile!$G$6:$G$11)*Kalender!E131/SUM(Kalender!$E$5:$E$370),0))*Szenarien!$E$18,0)</f>
        <v>2.94</v>
      </c>
      <c r="D2693" s="13" t="n">
        <f aca="false">IF(Szenarien!$H$18="OK",(IFERROR(SUMIF(Nutzungsprofile!$B$17:$B$22,"Schulbetrieb",Nutzungsprofile!$G$17:$G$22)*Kalender!C131/SUM(Kalender!$C$5:$C$370),0)+IFERROR(SUMIF(Nutzungsprofile!$B$17:$B$22,"Halle",Nutzungsprofile!$G$17:$G$22)*Kalender!D131/SUM(Kalender!$D$5:$D$370),0)+IFERROR(SUMIF(Nutzungsprofile!$B$17:$B$22,"Individuell",Nutzungsprofile!$G$17:$G$22)*Kalender!E131/SUM(Kalender!$E$5:$E$370),0))*Szenarien!$D$18,0)</f>
        <v>3.952</v>
      </c>
      <c r="E2693" s="13" t="n">
        <f aca="false">IFERROR(MIN(C2693,Eingaben!$B$17)*Eingaben!$B$16,0)</f>
        <v>2.793</v>
      </c>
      <c r="F2693" s="13" t="n">
        <f aca="false">IFERROR(E2693*Eingaben!$B$15,0)</f>
        <v>2.5137</v>
      </c>
      <c r="G2693" s="13" t="n">
        <f aca="false">IFERROR(IF(Kalender!A131="",0,J2692*(1-Eingaben!$B$20)),0)</f>
        <v>0.7390278</v>
      </c>
      <c r="H2693" s="13" t="n">
        <f aca="false">MIN(G2693,D2693)</f>
        <v>0.7390278</v>
      </c>
      <c r="I2693" s="13" t="n">
        <f aca="false">IFERROR(MIN(F2693*Eingaben!$B$19,MAX(0,D2693-H2693)),0)</f>
        <v>1.75959</v>
      </c>
      <c r="J2693" s="13" t="n">
        <f aca="false">IFERROR(MIN(Eingaben!$B$18,MAX(0,F2693-I2693)),0)</f>
        <v>0.75411</v>
      </c>
      <c r="K2693" s="13" t="n">
        <f aca="false">H2693+I2693</f>
        <v>2.4986178</v>
      </c>
      <c r="L2693" s="13" t="n">
        <f aca="false">MAX(0,D2693-K2693)</f>
        <v>1.4533822</v>
      </c>
      <c r="M2693" s="13" t="n">
        <f aca="false">MAX(0,F2693-I2693-J2693)</f>
        <v>0</v>
      </c>
      <c r="N2693" s="13" t="n">
        <f aca="false">IF(Kalender!A131="",0,J2692-H2693)</f>
        <v>0.0150822</v>
      </c>
    </row>
    <row r="2694" customFormat="false" ht="16.4" hidden="false" customHeight="false" outlineLevel="0" collapsed="false">
      <c r="A2694" s="13" t="str">
        <f aca="false">""</f>
        <v/>
      </c>
      <c r="B2694" s="13" t="n">
        <f aca="false">128</f>
        <v>128</v>
      </c>
      <c r="C2694" s="13" t="n">
        <f aca="false">IF(Szenarien!$H$18="OK",(IFERROR(SUMIF(Nutzungsprofile!$B$6:$B$11,"Schulbetrieb",Nutzungsprofile!$G$6:$G$11)*Kalender!C132/SUM(Kalender!$C$5:$C$370),0)+IFERROR(SUMIF(Nutzungsprofile!$B$6:$B$11,"Halle",Nutzungsprofile!$G$6:$G$11)*Kalender!D132/SUM(Kalender!$D$5:$D$370),0)+IFERROR(SUMIF(Nutzungsprofile!$B$6:$B$11,"Individuell",Nutzungsprofile!$G$6:$G$11)*Kalender!E132/SUM(Kalender!$E$5:$E$370),0))*Szenarien!$E$18,0)</f>
        <v>2.94</v>
      </c>
      <c r="D2694" s="13" t="n">
        <f aca="false">IF(Szenarien!$H$18="OK",(IFERROR(SUMIF(Nutzungsprofile!$B$17:$B$22,"Schulbetrieb",Nutzungsprofile!$G$17:$G$22)*Kalender!C132/SUM(Kalender!$C$5:$C$370),0)+IFERROR(SUMIF(Nutzungsprofile!$B$17:$B$22,"Halle",Nutzungsprofile!$G$17:$G$22)*Kalender!D132/SUM(Kalender!$D$5:$D$370),0)+IFERROR(SUMIF(Nutzungsprofile!$B$17:$B$22,"Individuell",Nutzungsprofile!$G$17:$G$22)*Kalender!E132/SUM(Kalender!$E$5:$E$370),0))*Szenarien!$D$18,0)</f>
        <v>3.952</v>
      </c>
      <c r="E2694" s="13" t="n">
        <f aca="false">IFERROR(MIN(C2694,Eingaben!$B$17)*Eingaben!$B$16,0)</f>
        <v>2.793</v>
      </c>
      <c r="F2694" s="13" t="n">
        <f aca="false">IFERROR(E2694*Eingaben!$B$15,0)</f>
        <v>2.5137</v>
      </c>
      <c r="G2694" s="13" t="n">
        <f aca="false">IFERROR(IF(Kalender!A132="",0,J2693*(1-Eingaben!$B$20)),0)</f>
        <v>0.7390278</v>
      </c>
      <c r="H2694" s="13" t="n">
        <f aca="false">MIN(G2694,D2694)</f>
        <v>0.7390278</v>
      </c>
      <c r="I2694" s="13" t="n">
        <f aca="false">IFERROR(MIN(F2694*Eingaben!$B$19,MAX(0,D2694-H2694)),0)</f>
        <v>1.75959</v>
      </c>
      <c r="J2694" s="13" t="n">
        <f aca="false">IFERROR(MIN(Eingaben!$B$18,MAX(0,F2694-I2694)),0)</f>
        <v>0.75411</v>
      </c>
      <c r="K2694" s="13" t="n">
        <f aca="false">H2694+I2694</f>
        <v>2.4986178</v>
      </c>
      <c r="L2694" s="13" t="n">
        <f aca="false">MAX(0,D2694-K2694)</f>
        <v>1.4533822</v>
      </c>
      <c r="M2694" s="13" t="n">
        <f aca="false">MAX(0,F2694-I2694-J2694)</f>
        <v>0</v>
      </c>
      <c r="N2694" s="13" t="n">
        <f aca="false">IF(Kalender!A132="",0,J2693-H2694)</f>
        <v>0.0150822</v>
      </c>
    </row>
    <row r="2695" customFormat="false" ht="16.4" hidden="false" customHeight="false" outlineLevel="0" collapsed="false">
      <c r="A2695" s="13" t="str">
        <f aca="false">""</f>
        <v/>
      </c>
      <c r="B2695" s="13" t="n">
        <f aca="false">129</f>
        <v>129</v>
      </c>
      <c r="C2695" s="13" t="n">
        <f aca="false">IF(Szenarien!$H$18="OK",(IFERROR(SUMIF(Nutzungsprofile!$B$6:$B$11,"Schulbetrieb",Nutzungsprofile!$G$6:$G$11)*Kalender!C133/SUM(Kalender!$C$5:$C$370),0)+IFERROR(SUMIF(Nutzungsprofile!$B$6:$B$11,"Halle",Nutzungsprofile!$G$6:$G$11)*Kalender!D133/SUM(Kalender!$D$5:$D$370),0)+IFERROR(SUMIF(Nutzungsprofile!$B$6:$B$11,"Individuell",Nutzungsprofile!$G$6:$G$11)*Kalender!E133/SUM(Kalender!$E$5:$E$370),0))*Szenarien!$E$18,0)</f>
        <v>2.04</v>
      </c>
      <c r="D2695" s="13" t="n">
        <f aca="false">IF(Szenarien!$H$18="OK",(IFERROR(SUMIF(Nutzungsprofile!$B$17:$B$22,"Schulbetrieb",Nutzungsprofile!$G$17:$G$22)*Kalender!C133/SUM(Kalender!$C$5:$C$370),0)+IFERROR(SUMIF(Nutzungsprofile!$B$17:$B$22,"Halle",Nutzungsprofile!$G$17:$G$22)*Kalender!D133/SUM(Kalender!$D$5:$D$370),0)+IFERROR(SUMIF(Nutzungsprofile!$B$17:$B$22,"Individuell",Nutzungsprofile!$G$17:$G$22)*Kalender!E133/SUM(Kalender!$E$5:$E$370),0))*Szenarien!$D$18,0)</f>
        <v>0.712</v>
      </c>
      <c r="E2695" s="13" t="n">
        <f aca="false">IFERROR(MIN(C2695,Eingaben!$B$17)*Eingaben!$B$16,0)</f>
        <v>1.938</v>
      </c>
      <c r="F2695" s="13" t="n">
        <f aca="false">IFERROR(E2695*Eingaben!$B$15,0)</f>
        <v>1.7442</v>
      </c>
      <c r="G2695" s="13" t="n">
        <f aca="false">IFERROR(IF(Kalender!A133="",0,J2694*(1-Eingaben!$B$20)),0)</f>
        <v>0.7390278</v>
      </c>
      <c r="H2695" s="13" t="n">
        <f aca="false">MIN(G2695,D2695)</f>
        <v>0.712</v>
      </c>
      <c r="I2695" s="13" t="n">
        <f aca="false">IFERROR(MIN(F2695*Eingaben!$B$19,MAX(0,D2695-H2695)),0)</f>
        <v>0</v>
      </c>
      <c r="J2695" s="13" t="n">
        <f aca="false">IFERROR(MIN(Eingaben!$B$18,MAX(0,F2695-I2695)),0)</f>
        <v>1.7442</v>
      </c>
      <c r="K2695" s="13" t="n">
        <f aca="false">H2695+I2695</f>
        <v>0.712</v>
      </c>
      <c r="L2695" s="13" t="n">
        <f aca="false">MAX(0,D2695-K2695)</f>
        <v>0</v>
      </c>
      <c r="M2695" s="13" t="n">
        <f aca="false">MAX(0,F2695-I2695-J2695)</f>
        <v>0</v>
      </c>
      <c r="N2695" s="13" t="n">
        <f aca="false">IF(Kalender!A133="",0,J2694-H2695)</f>
        <v>0.04211</v>
      </c>
    </row>
    <row r="2696" customFormat="false" ht="16.4" hidden="false" customHeight="false" outlineLevel="0" collapsed="false">
      <c r="A2696" s="13" t="str">
        <f aca="false">""</f>
        <v/>
      </c>
      <c r="B2696" s="13" t="n">
        <f aca="false">130</f>
        <v>130</v>
      </c>
      <c r="C2696" s="13" t="n">
        <f aca="false">IF(Szenarien!$H$18="OK",(IFERROR(SUMIF(Nutzungsprofile!$B$6:$B$11,"Schulbetrieb",Nutzungsprofile!$G$6:$G$11)*Kalender!C134/SUM(Kalender!$C$5:$C$370),0)+IFERROR(SUMIF(Nutzungsprofile!$B$6:$B$11,"Halle",Nutzungsprofile!$G$6:$G$11)*Kalender!D134/SUM(Kalender!$D$5:$D$370),0)+IFERROR(SUMIF(Nutzungsprofile!$B$6:$B$11,"Individuell",Nutzungsprofile!$G$6:$G$11)*Kalender!E134/SUM(Kalender!$E$5:$E$370),0))*Szenarien!$E$18,0)</f>
        <v>2.04</v>
      </c>
      <c r="D2696" s="13" t="n">
        <f aca="false">IF(Szenarien!$H$18="OK",(IFERROR(SUMIF(Nutzungsprofile!$B$17:$B$22,"Schulbetrieb",Nutzungsprofile!$G$17:$G$22)*Kalender!C134/SUM(Kalender!$C$5:$C$370),0)+IFERROR(SUMIF(Nutzungsprofile!$B$17:$B$22,"Halle",Nutzungsprofile!$G$17:$G$22)*Kalender!D134/SUM(Kalender!$D$5:$D$370),0)+IFERROR(SUMIF(Nutzungsprofile!$B$17:$B$22,"Individuell",Nutzungsprofile!$G$17:$G$22)*Kalender!E134/SUM(Kalender!$E$5:$E$370),0))*Szenarien!$D$18,0)</f>
        <v>0.712</v>
      </c>
      <c r="E2696" s="13" t="n">
        <f aca="false">IFERROR(MIN(C2696,Eingaben!$B$17)*Eingaben!$B$16,0)</f>
        <v>1.938</v>
      </c>
      <c r="F2696" s="13" t="n">
        <f aca="false">IFERROR(E2696*Eingaben!$B$15,0)</f>
        <v>1.7442</v>
      </c>
      <c r="G2696" s="13" t="n">
        <f aca="false">IFERROR(IF(Kalender!A134="",0,J2695*(1-Eingaben!$B$20)),0)</f>
        <v>1.709316</v>
      </c>
      <c r="H2696" s="13" t="n">
        <f aca="false">MIN(G2696,D2696)</f>
        <v>0.712</v>
      </c>
      <c r="I2696" s="13" t="n">
        <f aca="false">IFERROR(MIN(F2696*Eingaben!$B$19,MAX(0,D2696-H2696)),0)</f>
        <v>0</v>
      </c>
      <c r="J2696" s="13" t="n">
        <f aca="false">IFERROR(MIN(Eingaben!$B$18,MAX(0,F2696-I2696)),0)</f>
        <v>1.7442</v>
      </c>
      <c r="K2696" s="13" t="n">
        <f aca="false">H2696+I2696</f>
        <v>0.712</v>
      </c>
      <c r="L2696" s="13" t="n">
        <f aca="false">MAX(0,D2696-K2696)</f>
        <v>0</v>
      </c>
      <c r="M2696" s="13" t="n">
        <f aca="false">MAX(0,F2696-I2696-J2696)</f>
        <v>0</v>
      </c>
      <c r="N2696" s="13" t="n">
        <f aca="false">IF(Kalender!A134="",0,J2695-H2696)</f>
        <v>1.0322</v>
      </c>
    </row>
    <row r="2697" customFormat="false" ht="16.4" hidden="false" customHeight="false" outlineLevel="0" collapsed="false">
      <c r="A2697" s="13" t="str">
        <f aca="false">""</f>
        <v/>
      </c>
      <c r="B2697" s="13" t="n">
        <f aca="false">131</f>
        <v>131</v>
      </c>
      <c r="C2697" s="13" t="n">
        <f aca="false">IF(Szenarien!$H$18="OK",(IFERROR(SUMIF(Nutzungsprofile!$B$6:$B$11,"Schulbetrieb",Nutzungsprofile!$G$6:$G$11)*Kalender!C135/SUM(Kalender!$C$5:$C$370),0)+IFERROR(SUMIF(Nutzungsprofile!$B$6:$B$11,"Halle",Nutzungsprofile!$G$6:$G$11)*Kalender!D135/SUM(Kalender!$D$5:$D$370),0)+IFERROR(SUMIF(Nutzungsprofile!$B$6:$B$11,"Individuell",Nutzungsprofile!$G$6:$G$11)*Kalender!E135/SUM(Kalender!$E$5:$E$370),0))*Szenarien!$E$18,0)</f>
        <v>2.94</v>
      </c>
      <c r="D2697" s="13" t="n">
        <f aca="false">IF(Szenarien!$H$18="OK",(IFERROR(SUMIF(Nutzungsprofile!$B$17:$B$22,"Schulbetrieb",Nutzungsprofile!$G$17:$G$22)*Kalender!C135/SUM(Kalender!$C$5:$C$370),0)+IFERROR(SUMIF(Nutzungsprofile!$B$17:$B$22,"Halle",Nutzungsprofile!$G$17:$G$22)*Kalender!D135/SUM(Kalender!$D$5:$D$370),0)+IFERROR(SUMIF(Nutzungsprofile!$B$17:$B$22,"Individuell",Nutzungsprofile!$G$17:$G$22)*Kalender!E135/SUM(Kalender!$E$5:$E$370),0))*Szenarien!$D$18,0)</f>
        <v>3.952</v>
      </c>
      <c r="E2697" s="13" t="n">
        <f aca="false">IFERROR(MIN(C2697,Eingaben!$B$17)*Eingaben!$B$16,0)</f>
        <v>2.793</v>
      </c>
      <c r="F2697" s="13" t="n">
        <f aca="false">IFERROR(E2697*Eingaben!$B$15,0)</f>
        <v>2.5137</v>
      </c>
      <c r="G2697" s="13" t="n">
        <f aca="false">IFERROR(IF(Kalender!A135="",0,J2696*(1-Eingaben!$B$20)),0)</f>
        <v>1.709316</v>
      </c>
      <c r="H2697" s="13" t="n">
        <f aca="false">MIN(G2697,D2697)</f>
        <v>1.709316</v>
      </c>
      <c r="I2697" s="13" t="n">
        <f aca="false">IFERROR(MIN(F2697*Eingaben!$B$19,MAX(0,D2697-H2697)),0)</f>
        <v>1.75959</v>
      </c>
      <c r="J2697" s="13" t="n">
        <f aca="false">IFERROR(MIN(Eingaben!$B$18,MAX(0,F2697-I2697)),0)</f>
        <v>0.75411</v>
      </c>
      <c r="K2697" s="13" t="n">
        <f aca="false">H2697+I2697</f>
        <v>3.468906</v>
      </c>
      <c r="L2697" s="13" t="n">
        <f aca="false">MAX(0,D2697-K2697)</f>
        <v>0.483094</v>
      </c>
      <c r="M2697" s="13" t="n">
        <f aca="false">MAX(0,F2697-I2697-J2697)</f>
        <v>0</v>
      </c>
      <c r="N2697" s="13" t="n">
        <f aca="false">IF(Kalender!A135="",0,J2696-H2697)</f>
        <v>0.0348840000000001</v>
      </c>
    </row>
    <row r="2698" customFormat="false" ht="16.4" hidden="false" customHeight="false" outlineLevel="0" collapsed="false">
      <c r="A2698" s="13" t="str">
        <f aca="false">""</f>
        <v/>
      </c>
      <c r="B2698" s="13" t="n">
        <f aca="false">132</f>
        <v>132</v>
      </c>
      <c r="C2698" s="13" t="n">
        <f aca="false">IF(Szenarien!$H$18="OK",(IFERROR(SUMIF(Nutzungsprofile!$B$6:$B$11,"Schulbetrieb",Nutzungsprofile!$G$6:$G$11)*Kalender!C136/SUM(Kalender!$C$5:$C$370),0)+IFERROR(SUMIF(Nutzungsprofile!$B$6:$B$11,"Halle",Nutzungsprofile!$G$6:$G$11)*Kalender!D136/SUM(Kalender!$D$5:$D$370),0)+IFERROR(SUMIF(Nutzungsprofile!$B$6:$B$11,"Individuell",Nutzungsprofile!$G$6:$G$11)*Kalender!E136/SUM(Kalender!$E$5:$E$370),0))*Szenarien!$E$18,0)</f>
        <v>2.94</v>
      </c>
      <c r="D2698" s="13" t="n">
        <f aca="false">IF(Szenarien!$H$18="OK",(IFERROR(SUMIF(Nutzungsprofile!$B$17:$B$22,"Schulbetrieb",Nutzungsprofile!$G$17:$G$22)*Kalender!C136/SUM(Kalender!$C$5:$C$370),0)+IFERROR(SUMIF(Nutzungsprofile!$B$17:$B$22,"Halle",Nutzungsprofile!$G$17:$G$22)*Kalender!D136/SUM(Kalender!$D$5:$D$370),0)+IFERROR(SUMIF(Nutzungsprofile!$B$17:$B$22,"Individuell",Nutzungsprofile!$G$17:$G$22)*Kalender!E136/SUM(Kalender!$E$5:$E$370),0))*Szenarien!$D$18,0)</f>
        <v>3.952</v>
      </c>
      <c r="E2698" s="13" t="n">
        <f aca="false">IFERROR(MIN(C2698,Eingaben!$B$17)*Eingaben!$B$16,0)</f>
        <v>2.793</v>
      </c>
      <c r="F2698" s="13" t="n">
        <f aca="false">IFERROR(E2698*Eingaben!$B$15,0)</f>
        <v>2.5137</v>
      </c>
      <c r="G2698" s="13" t="n">
        <f aca="false">IFERROR(IF(Kalender!A136="",0,J2697*(1-Eingaben!$B$20)),0)</f>
        <v>0.7390278</v>
      </c>
      <c r="H2698" s="13" t="n">
        <f aca="false">MIN(G2698,D2698)</f>
        <v>0.7390278</v>
      </c>
      <c r="I2698" s="13" t="n">
        <f aca="false">IFERROR(MIN(F2698*Eingaben!$B$19,MAX(0,D2698-H2698)),0)</f>
        <v>1.75959</v>
      </c>
      <c r="J2698" s="13" t="n">
        <f aca="false">IFERROR(MIN(Eingaben!$B$18,MAX(0,F2698-I2698)),0)</f>
        <v>0.75411</v>
      </c>
      <c r="K2698" s="13" t="n">
        <f aca="false">H2698+I2698</f>
        <v>2.4986178</v>
      </c>
      <c r="L2698" s="13" t="n">
        <f aca="false">MAX(0,D2698-K2698)</f>
        <v>1.4533822</v>
      </c>
      <c r="M2698" s="13" t="n">
        <f aca="false">MAX(0,F2698-I2698-J2698)</f>
        <v>0</v>
      </c>
      <c r="N2698" s="13" t="n">
        <f aca="false">IF(Kalender!A136="",0,J2697-H2698)</f>
        <v>0.0150822</v>
      </c>
    </row>
    <row r="2699" customFormat="false" ht="16.4" hidden="false" customHeight="false" outlineLevel="0" collapsed="false">
      <c r="A2699" s="13" t="str">
        <f aca="false">""</f>
        <v/>
      </c>
      <c r="B2699" s="13" t="n">
        <f aca="false">133</f>
        <v>133</v>
      </c>
      <c r="C2699" s="13" t="n">
        <f aca="false">IF(Szenarien!$H$18="OK",(IFERROR(SUMIF(Nutzungsprofile!$B$6:$B$11,"Schulbetrieb",Nutzungsprofile!$G$6:$G$11)*Kalender!C137/SUM(Kalender!$C$5:$C$370),0)+IFERROR(SUMIF(Nutzungsprofile!$B$6:$B$11,"Halle",Nutzungsprofile!$G$6:$G$11)*Kalender!D137/SUM(Kalender!$D$5:$D$370),0)+IFERROR(SUMIF(Nutzungsprofile!$B$6:$B$11,"Individuell",Nutzungsprofile!$G$6:$G$11)*Kalender!E137/SUM(Kalender!$E$5:$E$370),0))*Szenarien!$E$18,0)</f>
        <v>2.94</v>
      </c>
      <c r="D2699" s="13" t="n">
        <f aca="false">IF(Szenarien!$H$18="OK",(IFERROR(SUMIF(Nutzungsprofile!$B$17:$B$22,"Schulbetrieb",Nutzungsprofile!$G$17:$G$22)*Kalender!C137/SUM(Kalender!$C$5:$C$370),0)+IFERROR(SUMIF(Nutzungsprofile!$B$17:$B$22,"Halle",Nutzungsprofile!$G$17:$G$22)*Kalender!D137/SUM(Kalender!$D$5:$D$370),0)+IFERROR(SUMIF(Nutzungsprofile!$B$17:$B$22,"Individuell",Nutzungsprofile!$G$17:$G$22)*Kalender!E137/SUM(Kalender!$E$5:$E$370),0))*Szenarien!$D$18,0)</f>
        <v>3.952</v>
      </c>
      <c r="E2699" s="13" t="n">
        <f aca="false">IFERROR(MIN(C2699,Eingaben!$B$17)*Eingaben!$B$16,0)</f>
        <v>2.793</v>
      </c>
      <c r="F2699" s="13" t="n">
        <f aca="false">IFERROR(E2699*Eingaben!$B$15,0)</f>
        <v>2.5137</v>
      </c>
      <c r="G2699" s="13" t="n">
        <f aca="false">IFERROR(IF(Kalender!A137="",0,J2698*(1-Eingaben!$B$20)),0)</f>
        <v>0.7390278</v>
      </c>
      <c r="H2699" s="13" t="n">
        <f aca="false">MIN(G2699,D2699)</f>
        <v>0.7390278</v>
      </c>
      <c r="I2699" s="13" t="n">
        <f aca="false">IFERROR(MIN(F2699*Eingaben!$B$19,MAX(0,D2699-H2699)),0)</f>
        <v>1.75959</v>
      </c>
      <c r="J2699" s="13" t="n">
        <f aca="false">IFERROR(MIN(Eingaben!$B$18,MAX(0,F2699-I2699)),0)</f>
        <v>0.75411</v>
      </c>
      <c r="K2699" s="13" t="n">
        <f aca="false">H2699+I2699</f>
        <v>2.4986178</v>
      </c>
      <c r="L2699" s="13" t="n">
        <f aca="false">MAX(0,D2699-K2699)</f>
        <v>1.4533822</v>
      </c>
      <c r="M2699" s="13" t="n">
        <f aca="false">MAX(0,F2699-I2699-J2699)</f>
        <v>0</v>
      </c>
      <c r="N2699" s="13" t="n">
        <f aca="false">IF(Kalender!A137="",0,J2698-H2699)</f>
        <v>0.0150822</v>
      </c>
    </row>
    <row r="2700" customFormat="false" ht="16.4" hidden="false" customHeight="false" outlineLevel="0" collapsed="false">
      <c r="A2700" s="13" t="str">
        <f aca="false">""</f>
        <v/>
      </c>
      <c r="B2700" s="13" t="n">
        <f aca="false">134</f>
        <v>134</v>
      </c>
      <c r="C2700" s="13" t="n">
        <f aca="false">IF(Szenarien!$H$18="OK",(IFERROR(SUMIF(Nutzungsprofile!$B$6:$B$11,"Schulbetrieb",Nutzungsprofile!$G$6:$G$11)*Kalender!C138/SUM(Kalender!$C$5:$C$370),0)+IFERROR(SUMIF(Nutzungsprofile!$B$6:$B$11,"Halle",Nutzungsprofile!$G$6:$G$11)*Kalender!D138/SUM(Kalender!$D$5:$D$370),0)+IFERROR(SUMIF(Nutzungsprofile!$B$6:$B$11,"Individuell",Nutzungsprofile!$G$6:$G$11)*Kalender!E138/SUM(Kalender!$E$5:$E$370),0))*Szenarien!$E$18,0)</f>
        <v>2.94</v>
      </c>
      <c r="D2700" s="13" t="n">
        <f aca="false">IF(Szenarien!$H$18="OK",(IFERROR(SUMIF(Nutzungsprofile!$B$17:$B$22,"Schulbetrieb",Nutzungsprofile!$G$17:$G$22)*Kalender!C138/SUM(Kalender!$C$5:$C$370),0)+IFERROR(SUMIF(Nutzungsprofile!$B$17:$B$22,"Halle",Nutzungsprofile!$G$17:$G$22)*Kalender!D138/SUM(Kalender!$D$5:$D$370),0)+IFERROR(SUMIF(Nutzungsprofile!$B$17:$B$22,"Individuell",Nutzungsprofile!$G$17:$G$22)*Kalender!E138/SUM(Kalender!$E$5:$E$370),0))*Szenarien!$D$18,0)</f>
        <v>3.952</v>
      </c>
      <c r="E2700" s="13" t="n">
        <f aca="false">IFERROR(MIN(C2700,Eingaben!$B$17)*Eingaben!$B$16,0)</f>
        <v>2.793</v>
      </c>
      <c r="F2700" s="13" t="n">
        <f aca="false">IFERROR(E2700*Eingaben!$B$15,0)</f>
        <v>2.5137</v>
      </c>
      <c r="G2700" s="13" t="n">
        <f aca="false">IFERROR(IF(Kalender!A138="",0,J2699*(1-Eingaben!$B$20)),0)</f>
        <v>0.7390278</v>
      </c>
      <c r="H2700" s="13" t="n">
        <f aca="false">MIN(G2700,D2700)</f>
        <v>0.7390278</v>
      </c>
      <c r="I2700" s="13" t="n">
        <f aca="false">IFERROR(MIN(F2700*Eingaben!$B$19,MAX(0,D2700-H2700)),0)</f>
        <v>1.75959</v>
      </c>
      <c r="J2700" s="13" t="n">
        <f aca="false">IFERROR(MIN(Eingaben!$B$18,MAX(0,F2700-I2700)),0)</f>
        <v>0.75411</v>
      </c>
      <c r="K2700" s="13" t="n">
        <f aca="false">H2700+I2700</f>
        <v>2.4986178</v>
      </c>
      <c r="L2700" s="13" t="n">
        <f aca="false">MAX(0,D2700-K2700)</f>
        <v>1.4533822</v>
      </c>
      <c r="M2700" s="13" t="n">
        <f aca="false">MAX(0,F2700-I2700-J2700)</f>
        <v>0</v>
      </c>
      <c r="N2700" s="13" t="n">
        <f aca="false">IF(Kalender!A138="",0,J2699-H2700)</f>
        <v>0.0150822</v>
      </c>
    </row>
    <row r="2701" customFormat="false" ht="16.4" hidden="false" customHeight="false" outlineLevel="0" collapsed="false">
      <c r="A2701" s="13" t="str">
        <f aca="false">""</f>
        <v/>
      </c>
      <c r="B2701" s="13" t="n">
        <f aca="false">135</f>
        <v>135</v>
      </c>
      <c r="C2701" s="13" t="n">
        <f aca="false">IF(Szenarien!$H$18="OK",(IFERROR(SUMIF(Nutzungsprofile!$B$6:$B$11,"Schulbetrieb",Nutzungsprofile!$G$6:$G$11)*Kalender!C139/SUM(Kalender!$C$5:$C$370),0)+IFERROR(SUMIF(Nutzungsprofile!$B$6:$B$11,"Halle",Nutzungsprofile!$G$6:$G$11)*Kalender!D139/SUM(Kalender!$D$5:$D$370),0)+IFERROR(SUMIF(Nutzungsprofile!$B$6:$B$11,"Individuell",Nutzungsprofile!$G$6:$G$11)*Kalender!E139/SUM(Kalender!$E$5:$E$370),0))*Szenarien!$E$18,0)</f>
        <v>2.94</v>
      </c>
      <c r="D2701" s="13" t="n">
        <f aca="false">IF(Szenarien!$H$18="OK",(IFERROR(SUMIF(Nutzungsprofile!$B$17:$B$22,"Schulbetrieb",Nutzungsprofile!$G$17:$G$22)*Kalender!C139/SUM(Kalender!$C$5:$C$370),0)+IFERROR(SUMIF(Nutzungsprofile!$B$17:$B$22,"Halle",Nutzungsprofile!$G$17:$G$22)*Kalender!D139/SUM(Kalender!$D$5:$D$370),0)+IFERROR(SUMIF(Nutzungsprofile!$B$17:$B$22,"Individuell",Nutzungsprofile!$G$17:$G$22)*Kalender!E139/SUM(Kalender!$E$5:$E$370),0))*Szenarien!$D$18,0)</f>
        <v>3.952</v>
      </c>
      <c r="E2701" s="13" t="n">
        <f aca="false">IFERROR(MIN(C2701,Eingaben!$B$17)*Eingaben!$B$16,0)</f>
        <v>2.793</v>
      </c>
      <c r="F2701" s="13" t="n">
        <f aca="false">IFERROR(E2701*Eingaben!$B$15,0)</f>
        <v>2.5137</v>
      </c>
      <c r="G2701" s="13" t="n">
        <f aca="false">IFERROR(IF(Kalender!A139="",0,J2700*(1-Eingaben!$B$20)),0)</f>
        <v>0.7390278</v>
      </c>
      <c r="H2701" s="13" t="n">
        <f aca="false">MIN(G2701,D2701)</f>
        <v>0.7390278</v>
      </c>
      <c r="I2701" s="13" t="n">
        <f aca="false">IFERROR(MIN(F2701*Eingaben!$B$19,MAX(0,D2701-H2701)),0)</f>
        <v>1.75959</v>
      </c>
      <c r="J2701" s="13" t="n">
        <f aca="false">IFERROR(MIN(Eingaben!$B$18,MAX(0,F2701-I2701)),0)</f>
        <v>0.75411</v>
      </c>
      <c r="K2701" s="13" t="n">
        <f aca="false">H2701+I2701</f>
        <v>2.4986178</v>
      </c>
      <c r="L2701" s="13" t="n">
        <f aca="false">MAX(0,D2701-K2701)</f>
        <v>1.4533822</v>
      </c>
      <c r="M2701" s="13" t="n">
        <f aca="false">MAX(0,F2701-I2701-J2701)</f>
        <v>0</v>
      </c>
      <c r="N2701" s="13" t="n">
        <f aca="false">IF(Kalender!A139="",0,J2700-H2701)</f>
        <v>0.0150822</v>
      </c>
    </row>
    <row r="2702" customFormat="false" ht="16.4" hidden="false" customHeight="false" outlineLevel="0" collapsed="false">
      <c r="A2702" s="13" t="str">
        <f aca="false">""</f>
        <v/>
      </c>
      <c r="B2702" s="13" t="n">
        <f aca="false">136</f>
        <v>136</v>
      </c>
      <c r="C2702" s="13" t="n">
        <f aca="false">IF(Szenarien!$H$18="OK",(IFERROR(SUMIF(Nutzungsprofile!$B$6:$B$11,"Schulbetrieb",Nutzungsprofile!$G$6:$G$11)*Kalender!C140/SUM(Kalender!$C$5:$C$370),0)+IFERROR(SUMIF(Nutzungsprofile!$B$6:$B$11,"Halle",Nutzungsprofile!$G$6:$G$11)*Kalender!D140/SUM(Kalender!$D$5:$D$370),0)+IFERROR(SUMIF(Nutzungsprofile!$B$6:$B$11,"Individuell",Nutzungsprofile!$G$6:$G$11)*Kalender!E140/SUM(Kalender!$E$5:$E$370),0))*Szenarien!$E$18,0)</f>
        <v>2.04</v>
      </c>
      <c r="D2702" s="13" t="n">
        <f aca="false">IF(Szenarien!$H$18="OK",(IFERROR(SUMIF(Nutzungsprofile!$B$17:$B$22,"Schulbetrieb",Nutzungsprofile!$G$17:$G$22)*Kalender!C140/SUM(Kalender!$C$5:$C$370),0)+IFERROR(SUMIF(Nutzungsprofile!$B$17:$B$22,"Halle",Nutzungsprofile!$G$17:$G$22)*Kalender!D140/SUM(Kalender!$D$5:$D$370),0)+IFERROR(SUMIF(Nutzungsprofile!$B$17:$B$22,"Individuell",Nutzungsprofile!$G$17:$G$22)*Kalender!E140/SUM(Kalender!$E$5:$E$370),0))*Szenarien!$D$18,0)</f>
        <v>0.712</v>
      </c>
      <c r="E2702" s="13" t="n">
        <f aca="false">IFERROR(MIN(C2702,Eingaben!$B$17)*Eingaben!$B$16,0)</f>
        <v>1.938</v>
      </c>
      <c r="F2702" s="13" t="n">
        <f aca="false">IFERROR(E2702*Eingaben!$B$15,0)</f>
        <v>1.7442</v>
      </c>
      <c r="G2702" s="13" t="n">
        <f aca="false">IFERROR(IF(Kalender!A140="",0,J2701*(1-Eingaben!$B$20)),0)</f>
        <v>0.7390278</v>
      </c>
      <c r="H2702" s="13" t="n">
        <f aca="false">MIN(G2702,D2702)</f>
        <v>0.712</v>
      </c>
      <c r="I2702" s="13" t="n">
        <f aca="false">IFERROR(MIN(F2702*Eingaben!$B$19,MAX(0,D2702-H2702)),0)</f>
        <v>0</v>
      </c>
      <c r="J2702" s="13" t="n">
        <f aca="false">IFERROR(MIN(Eingaben!$B$18,MAX(0,F2702-I2702)),0)</f>
        <v>1.7442</v>
      </c>
      <c r="K2702" s="13" t="n">
        <f aca="false">H2702+I2702</f>
        <v>0.712</v>
      </c>
      <c r="L2702" s="13" t="n">
        <f aca="false">MAX(0,D2702-K2702)</f>
        <v>0</v>
      </c>
      <c r="M2702" s="13" t="n">
        <f aca="false">MAX(0,F2702-I2702-J2702)</f>
        <v>0</v>
      </c>
      <c r="N2702" s="13" t="n">
        <f aca="false">IF(Kalender!A140="",0,J2701-H2702)</f>
        <v>0.04211</v>
      </c>
    </row>
    <row r="2703" customFormat="false" ht="16.4" hidden="false" customHeight="false" outlineLevel="0" collapsed="false">
      <c r="A2703" s="13" t="str">
        <f aca="false">""</f>
        <v/>
      </c>
      <c r="B2703" s="13" t="n">
        <f aca="false">137</f>
        <v>137</v>
      </c>
      <c r="C2703" s="13" t="n">
        <f aca="false">IF(Szenarien!$H$18="OK",(IFERROR(SUMIF(Nutzungsprofile!$B$6:$B$11,"Schulbetrieb",Nutzungsprofile!$G$6:$G$11)*Kalender!C141/SUM(Kalender!$C$5:$C$370),0)+IFERROR(SUMIF(Nutzungsprofile!$B$6:$B$11,"Halle",Nutzungsprofile!$G$6:$G$11)*Kalender!D141/SUM(Kalender!$D$5:$D$370),0)+IFERROR(SUMIF(Nutzungsprofile!$B$6:$B$11,"Individuell",Nutzungsprofile!$G$6:$G$11)*Kalender!E141/SUM(Kalender!$E$5:$E$370),0))*Szenarien!$E$18,0)</f>
        <v>2.04</v>
      </c>
      <c r="D2703" s="13" t="n">
        <f aca="false">IF(Szenarien!$H$18="OK",(IFERROR(SUMIF(Nutzungsprofile!$B$17:$B$22,"Schulbetrieb",Nutzungsprofile!$G$17:$G$22)*Kalender!C141/SUM(Kalender!$C$5:$C$370),0)+IFERROR(SUMIF(Nutzungsprofile!$B$17:$B$22,"Halle",Nutzungsprofile!$G$17:$G$22)*Kalender!D141/SUM(Kalender!$D$5:$D$370),0)+IFERROR(SUMIF(Nutzungsprofile!$B$17:$B$22,"Individuell",Nutzungsprofile!$G$17:$G$22)*Kalender!E141/SUM(Kalender!$E$5:$E$370),0))*Szenarien!$D$18,0)</f>
        <v>0.712</v>
      </c>
      <c r="E2703" s="13" t="n">
        <f aca="false">IFERROR(MIN(C2703,Eingaben!$B$17)*Eingaben!$B$16,0)</f>
        <v>1.938</v>
      </c>
      <c r="F2703" s="13" t="n">
        <f aca="false">IFERROR(E2703*Eingaben!$B$15,0)</f>
        <v>1.7442</v>
      </c>
      <c r="G2703" s="13" t="n">
        <f aca="false">IFERROR(IF(Kalender!A141="",0,J2702*(1-Eingaben!$B$20)),0)</f>
        <v>1.709316</v>
      </c>
      <c r="H2703" s="13" t="n">
        <f aca="false">MIN(G2703,D2703)</f>
        <v>0.712</v>
      </c>
      <c r="I2703" s="13" t="n">
        <f aca="false">IFERROR(MIN(F2703*Eingaben!$B$19,MAX(0,D2703-H2703)),0)</f>
        <v>0</v>
      </c>
      <c r="J2703" s="13" t="n">
        <f aca="false">IFERROR(MIN(Eingaben!$B$18,MAX(0,F2703-I2703)),0)</f>
        <v>1.7442</v>
      </c>
      <c r="K2703" s="13" t="n">
        <f aca="false">H2703+I2703</f>
        <v>0.712</v>
      </c>
      <c r="L2703" s="13" t="n">
        <f aca="false">MAX(0,D2703-K2703)</f>
        <v>0</v>
      </c>
      <c r="M2703" s="13" t="n">
        <f aca="false">MAX(0,F2703-I2703-J2703)</f>
        <v>0</v>
      </c>
      <c r="N2703" s="13" t="n">
        <f aca="false">IF(Kalender!A141="",0,J2702-H2703)</f>
        <v>1.0322</v>
      </c>
    </row>
    <row r="2704" customFormat="false" ht="16.4" hidden="false" customHeight="false" outlineLevel="0" collapsed="false">
      <c r="A2704" s="13" t="str">
        <f aca="false">""</f>
        <v/>
      </c>
      <c r="B2704" s="13" t="n">
        <f aca="false">138</f>
        <v>138</v>
      </c>
      <c r="C2704" s="13" t="n">
        <f aca="false">IF(Szenarien!$H$18="OK",(IFERROR(SUMIF(Nutzungsprofile!$B$6:$B$11,"Schulbetrieb",Nutzungsprofile!$G$6:$G$11)*Kalender!C142/SUM(Kalender!$C$5:$C$370),0)+IFERROR(SUMIF(Nutzungsprofile!$B$6:$B$11,"Halle",Nutzungsprofile!$G$6:$G$11)*Kalender!D142/SUM(Kalender!$D$5:$D$370),0)+IFERROR(SUMIF(Nutzungsprofile!$B$6:$B$11,"Individuell",Nutzungsprofile!$G$6:$G$11)*Kalender!E142/SUM(Kalender!$E$5:$E$370),0))*Szenarien!$E$18,0)</f>
        <v>2.94</v>
      </c>
      <c r="D2704" s="13" t="n">
        <f aca="false">IF(Szenarien!$H$18="OK",(IFERROR(SUMIF(Nutzungsprofile!$B$17:$B$22,"Schulbetrieb",Nutzungsprofile!$G$17:$G$22)*Kalender!C142/SUM(Kalender!$C$5:$C$370),0)+IFERROR(SUMIF(Nutzungsprofile!$B$17:$B$22,"Halle",Nutzungsprofile!$G$17:$G$22)*Kalender!D142/SUM(Kalender!$D$5:$D$370),0)+IFERROR(SUMIF(Nutzungsprofile!$B$17:$B$22,"Individuell",Nutzungsprofile!$G$17:$G$22)*Kalender!E142/SUM(Kalender!$E$5:$E$370),0))*Szenarien!$D$18,0)</f>
        <v>3.952</v>
      </c>
      <c r="E2704" s="13" t="n">
        <f aca="false">IFERROR(MIN(C2704,Eingaben!$B$17)*Eingaben!$B$16,0)</f>
        <v>2.793</v>
      </c>
      <c r="F2704" s="13" t="n">
        <f aca="false">IFERROR(E2704*Eingaben!$B$15,0)</f>
        <v>2.5137</v>
      </c>
      <c r="G2704" s="13" t="n">
        <f aca="false">IFERROR(IF(Kalender!A142="",0,J2703*(1-Eingaben!$B$20)),0)</f>
        <v>1.709316</v>
      </c>
      <c r="H2704" s="13" t="n">
        <f aca="false">MIN(G2704,D2704)</f>
        <v>1.709316</v>
      </c>
      <c r="I2704" s="13" t="n">
        <f aca="false">IFERROR(MIN(F2704*Eingaben!$B$19,MAX(0,D2704-H2704)),0)</f>
        <v>1.75959</v>
      </c>
      <c r="J2704" s="13" t="n">
        <f aca="false">IFERROR(MIN(Eingaben!$B$18,MAX(0,F2704-I2704)),0)</f>
        <v>0.75411</v>
      </c>
      <c r="K2704" s="13" t="n">
        <f aca="false">H2704+I2704</f>
        <v>3.468906</v>
      </c>
      <c r="L2704" s="13" t="n">
        <f aca="false">MAX(0,D2704-K2704)</f>
        <v>0.483094</v>
      </c>
      <c r="M2704" s="13" t="n">
        <f aca="false">MAX(0,F2704-I2704-J2704)</f>
        <v>0</v>
      </c>
      <c r="N2704" s="13" t="n">
        <f aca="false">IF(Kalender!A142="",0,J2703-H2704)</f>
        <v>0.0348840000000001</v>
      </c>
    </row>
    <row r="2705" customFormat="false" ht="16.4" hidden="false" customHeight="false" outlineLevel="0" collapsed="false">
      <c r="A2705" s="13" t="str">
        <f aca="false">""</f>
        <v/>
      </c>
      <c r="B2705" s="13" t="n">
        <f aca="false">139</f>
        <v>139</v>
      </c>
      <c r="C2705" s="13" t="n">
        <f aca="false">IF(Szenarien!$H$18="OK",(IFERROR(SUMIF(Nutzungsprofile!$B$6:$B$11,"Schulbetrieb",Nutzungsprofile!$G$6:$G$11)*Kalender!C143/SUM(Kalender!$C$5:$C$370),0)+IFERROR(SUMIF(Nutzungsprofile!$B$6:$B$11,"Halle",Nutzungsprofile!$G$6:$G$11)*Kalender!D143/SUM(Kalender!$D$5:$D$370),0)+IFERROR(SUMIF(Nutzungsprofile!$B$6:$B$11,"Individuell",Nutzungsprofile!$G$6:$G$11)*Kalender!E143/SUM(Kalender!$E$5:$E$370),0))*Szenarien!$E$18,0)</f>
        <v>2.94</v>
      </c>
      <c r="D2705" s="13" t="n">
        <f aca="false">IF(Szenarien!$H$18="OK",(IFERROR(SUMIF(Nutzungsprofile!$B$17:$B$22,"Schulbetrieb",Nutzungsprofile!$G$17:$G$22)*Kalender!C143/SUM(Kalender!$C$5:$C$370),0)+IFERROR(SUMIF(Nutzungsprofile!$B$17:$B$22,"Halle",Nutzungsprofile!$G$17:$G$22)*Kalender!D143/SUM(Kalender!$D$5:$D$370),0)+IFERROR(SUMIF(Nutzungsprofile!$B$17:$B$22,"Individuell",Nutzungsprofile!$G$17:$G$22)*Kalender!E143/SUM(Kalender!$E$5:$E$370),0))*Szenarien!$D$18,0)</f>
        <v>3.952</v>
      </c>
      <c r="E2705" s="13" t="n">
        <f aca="false">IFERROR(MIN(C2705,Eingaben!$B$17)*Eingaben!$B$16,0)</f>
        <v>2.793</v>
      </c>
      <c r="F2705" s="13" t="n">
        <f aca="false">IFERROR(E2705*Eingaben!$B$15,0)</f>
        <v>2.5137</v>
      </c>
      <c r="G2705" s="13" t="n">
        <f aca="false">IFERROR(IF(Kalender!A143="",0,J2704*(1-Eingaben!$B$20)),0)</f>
        <v>0.7390278</v>
      </c>
      <c r="H2705" s="13" t="n">
        <f aca="false">MIN(G2705,D2705)</f>
        <v>0.7390278</v>
      </c>
      <c r="I2705" s="13" t="n">
        <f aca="false">IFERROR(MIN(F2705*Eingaben!$B$19,MAX(0,D2705-H2705)),0)</f>
        <v>1.75959</v>
      </c>
      <c r="J2705" s="13" t="n">
        <f aca="false">IFERROR(MIN(Eingaben!$B$18,MAX(0,F2705-I2705)),0)</f>
        <v>0.75411</v>
      </c>
      <c r="K2705" s="13" t="n">
        <f aca="false">H2705+I2705</f>
        <v>2.4986178</v>
      </c>
      <c r="L2705" s="13" t="n">
        <f aca="false">MAX(0,D2705-K2705)</f>
        <v>1.4533822</v>
      </c>
      <c r="M2705" s="13" t="n">
        <f aca="false">MAX(0,F2705-I2705-J2705)</f>
        <v>0</v>
      </c>
      <c r="N2705" s="13" t="n">
        <f aca="false">IF(Kalender!A143="",0,J2704-H2705)</f>
        <v>0.0150822</v>
      </c>
    </row>
    <row r="2706" customFormat="false" ht="16.4" hidden="false" customHeight="false" outlineLevel="0" collapsed="false">
      <c r="A2706" s="13" t="str">
        <f aca="false">""</f>
        <v/>
      </c>
      <c r="B2706" s="13" t="n">
        <f aca="false">140</f>
        <v>140</v>
      </c>
      <c r="C2706" s="13" t="n">
        <f aca="false">IF(Szenarien!$H$18="OK",(IFERROR(SUMIF(Nutzungsprofile!$B$6:$B$11,"Schulbetrieb",Nutzungsprofile!$G$6:$G$11)*Kalender!C144/SUM(Kalender!$C$5:$C$370),0)+IFERROR(SUMIF(Nutzungsprofile!$B$6:$B$11,"Halle",Nutzungsprofile!$G$6:$G$11)*Kalender!D144/SUM(Kalender!$D$5:$D$370),0)+IFERROR(SUMIF(Nutzungsprofile!$B$6:$B$11,"Individuell",Nutzungsprofile!$G$6:$G$11)*Kalender!E144/SUM(Kalender!$E$5:$E$370),0))*Szenarien!$E$18,0)</f>
        <v>2.94</v>
      </c>
      <c r="D2706" s="13" t="n">
        <f aca="false">IF(Szenarien!$H$18="OK",(IFERROR(SUMIF(Nutzungsprofile!$B$17:$B$22,"Schulbetrieb",Nutzungsprofile!$G$17:$G$22)*Kalender!C144/SUM(Kalender!$C$5:$C$370),0)+IFERROR(SUMIF(Nutzungsprofile!$B$17:$B$22,"Halle",Nutzungsprofile!$G$17:$G$22)*Kalender!D144/SUM(Kalender!$D$5:$D$370),0)+IFERROR(SUMIF(Nutzungsprofile!$B$17:$B$22,"Individuell",Nutzungsprofile!$G$17:$G$22)*Kalender!E144/SUM(Kalender!$E$5:$E$370),0))*Szenarien!$D$18,0)</f>
        <v>3.952</v>
      </c>
      <c r="E2706" s="13" t="n">
        <f aca="false">IFERROR(MIN(C2706,Eingaben!$B$17)*Eingaben!$B$16,0)</f>
        <v>2.793</v>
      </c>
      <c r="F2706" s="13" t="n">
        <f aca="false">IFERROR(E2706*Eingaben!$B$15,0)</f>
        <v>2.5137</v>
      </c>
      <c r="G2706" s="13" t="n">
        <f aca="false">IFERROR(IF(Kalender!A144="",0,J2705*(1-Eingaben!$B$20)),0)</f>
        <v>0.7390278</v>
      </c>
      <c r="H2706" s="13" t="n">
        <f aca="false">MIN(G2706,D2706)</f>
        <v>0.7390278</v>
      </c>
      <c r="I2706" s="13" t="n">
        <f aca="false">IFERROR(MIN(F2706*Eingaben!$B$19,MAX(0,D2706-H2706)),0)</f>
        <v>1.75959</v>
      </c>
      <c r="J2706" s="13" t="n">
        <f aca="false">IFERROR(MIN(Eingaben!$B$18,MAX(0,F2706-I2706)),0)</f>
        <v>0.75411</v>
      </c>
      <c r="K2706" s="13" t="n">
        <f aca="false">H2706+I2706</f>
        <v>2.4986178</v>
      </c>
      <c r="L2706" s="13" t="n">
        <f aca="false">MAX(0,D2706-K2706)</f>
        <v>1.4533822</v>
      </c>
      <c r="M2706" s="13" t="n">
        <f aca="false">MAX(0,F2706-I2706-J2706)</f>
        <v>0</v>
      </c>
      <c r="N2706" s="13" t="n">
        <f aca="false">IF(Kalender!A144="",0,J2705-H2706)</f>
        <v>0.0150822</v>
      </c>
    </row>
    <row r="2707" customFormat="false" ht="16.4" hidden="false" customHeight="false" outlineLevel="0" collapsed="false">
      <c r="A2707" s="13" t="str">
        <f aca="false">""</f>
        <v/>
      </c>
      <c r="B2707" s="13" t="n">
        <f aca="false">141</f>
        <v>141</v>
      </c>
      <c r="C2707" s="13" t="n">
        <f aca="false">IF(Szenarien!$H$18="OK",(IFERROR(SUMIF(Nutzungsprofile!$B$6:$B$11,"Schulbetrieb",Nutzungsprofile!$G$6:$G$11)*Kalender!C145/SUM(Kalender!$C$5:$C$370),0)+IFERROR(SUMIF(Nutzungsprofile!$B$6:$B$11,"Halle",Nutzungsprofile!$G$6:$G$11)*Kalender!D145/SUM(Kalender!$D$5:$D$370),0)+IFERROR(SUMIF(Nutzungsprofile!$B$6:$B$11,"Individuell",Nutzungsprofile!$G$6:$G$11)*Kalender!E145/SUM(Kalender!$E$5:$E$370),0))*Szenarien!$E$18,0)</f>
        <v>2.94</v>
      </c>
      <c r="D2707" s="13" t="n">
        <f aca="false">IF(Szenarien!$H$18="OK",(IFERROR(SUMIF(Nutzungsprofile!$B$17:$B$22,"Schulbetrieb",Nutzungsprofile!$G$17:$G$22)*Kalender!C145/SUM(Kalender!$C$5:$C$370),0)+IFERROR(SUMIF(Nutzungsprofile!$B$17:$B$22,"Halle",Nutzungsprofile!$G$17:$G$22)*Kalender!D145/SUM(Kalender!$D$5:$D$370),0)+IFERROR(SUMIF(Nutzungsprofile!$B$17:$B$22,"Individuell",Nutzungsprofile!$G$17:$G$22)*Kalender!E145/SUM(Kalender!$E$5:$E$370),0))*Szenarien!$D$18,0)</f>
        <v>3.952</v>
      </c>
      <c r="E2707" s="13" t="n">
        <f aca="false">IFERROR(MIN(C2707,Eingaben!$B$17)*Eingaben!$B$16,0)</f>
        <v>2.793</v>
      </c>
      <c r="F2707" s="13" t="n">
        <f aca="false">IFERROR(E2707*Eingaben!$B$15,0)</f>
        <v>2.5137</v>
      </c>
      <c r="G2707" s="13" t="n">
        <f aca="false">IFERROR(IF(Kalender!A145="",0,J2706*(1-Eingaben!$B$20)),0)</f>
        <v>0.7390278</v>
      </c>
      <c r="H2707" s="13" t="n">
        <f aca="false">MIN(G2707,D2707)</f>
        <v>0.7390278</v>
      </c>
      <c r="I2707" s="13" t="n">
        <f aca="false">IFERROR(MIN(F2707*Eingaben!$B$19,MAX(0,D2707-H2707)),0)</f>
        <v>1.75959</v>
      </c>
      <c r="J2707" s="13" t="n">
        <f aca="false">IFERROR(MIN(Eingaben!$B$18,MAX(0,F2707-I2707)),0)</f>
        <v>0.75411</v>
      </c>
      <c r="K2707" s="13" t="n">
        <f aca="false">H2707+I2707</f>
        <v>2.4986178</v>
      </c>
      <c r="L2707" s="13" t="n">
        <f aca="false">MAX(0,D2707-K2707)</f>
        <v>1.4533822</v>
      </c>
      <c r="M2707" s="13" t="n">
        <f aca="false">MAX(0,F2707-I2707-J2707)</f>
        <v>0</v>
      </c>
      <c r="N2707" s="13" t="n">
        <f aca="false">IF(Kalender!A145="",0,J2706-H2707)</f>
        <v>0.0150822</v>
      </c>
    </row>
    <row r="2708" customFormat="false" ht="16.4" hidden="false" customHeight="false" outlineLevel="0" collapsed="false">
      <c r="A2708" s="13" t="str">
        <f aca="false">""</f>
        <v/>
      </c>
      <c r="B2708" s="13" t="n">
        <f aca="false">142</f>
        <v>142</v>
      </c>
      <c r="C2708" s="13" t="n">
        <f aca="false">IF(Szenarien!$H$18="OK",(IFERROR(SUMIF(Nutzungsprofile!$B$6:$B$11,"Schulbetrieb",Nutzungsprofile!$G$6:$G$11)*Kalender!C146/SUM(Kalender!$C$5:$C$370),0)+IFERROR(SUMIF(Nutzungsprofile!$B$6:$B$11,"Halle",Nutzungsprofile!$G$6:$G$11)*Kalender!D146/SUM(Kalender!$D$5:$D$370),0)+IFERROR(SUMIF(Nutzungsprofile!$B$6:$B$11,"Individuell",Nutzungsprofile!$G$6:$G$11)*Kalender!E146/SUM(Kalender!$E$5:$E$370),0))*Szenarien!$E$18,0)</f>
        <v>2.94</v>
      </c>
      <c r="D2708" s="13" t="n">
        <f aca="false">IF(Szenarien!$H$18="OK",(IFERROR(SUMIF(Nutzungsprofile!$B$17:$B$22,"Schulbetrieb",Nutzungsprofile!$G$17:$G$22)*Kalender!C146/SUM(Kalender!$C$5:$C$370),0)+IFERROR(SUMIF(Nutzungsprofile!$B$17:$B$22,"Halle",Nutzungsprofile!$G$17:$G$22)*Kalender!D146/SUM(Kalender!$D$5:$D$370),0)+IFERROR(SUMIF(Nutzungsprofile!$B$17:$B$22,"Individuell",Nutzungsprofile!$G$17:$G$22)*Kalender!E146/SUM(Kalender!$E$5:$E$370),0))*Szenarien!$D$18,0)</f>
        <v>3.952</v>
      </c>
      <c r="E2708" s="13" t="n">
        <f aca="false">IFERROR(MIN(C2708,Eingaben!$B$17)*Eingaben!$B$16,0)</f>
        <v>2.793</v>
      </c>
      <c r="F2708" s="13" t="n">
        <f aca="false">IFERROR(E2708*Eingaben!$B$15,0)</f>
        <v>2.5137</v>
      </c>
      <c r="G2708" s="13" t="n">
        <f aca="false">IFERROR(IF(Kalender!A146="",0,J2707*(1-Eingaben!$B$20)),0)</f>
        <v>0.7390278</v>
      </c>
      <c r="H2708" s="13" t="n">
        <f aca="false">MIN(G2708,D2708)</f>
        <v>0.7390278</v>
      </c>
      <c r="I2708" s="13" t="n">
        <f aca="false">IFERROR(MIN(F2708*Eingaben!$B$19,MAX(0,D2708-H2708)),0)</f>
        <v>1.75959</v>
      </c>
      <c r="J2708" s="13" t="n">
        <f aca="false">IFERROR(MIN(Eingaben!$B$18,MAX(0,F2708-I2708)),0)</f>
        <v>0.75411</v>
      </c>
      <c r="K2708" s="13" t="n">
        <f aca="false">H2708+I2708</f>
        <v>2.4986178</v>
      </c>
      <c r="L2708" s="13" t="n">
        <f aca="false">MAX(0,D2708-K2708)</f>
        <v>1.4533822</v>
      </c>
      <c r="M2708" s="13" t="n">
        <f aca="false">MAX(0,F2708-I2708-J2708)</f>
        <v>0</v>
      </c>
      <c r="N2708" s="13" t="n">
        <f aca="false">IF(Kalender!A146="",0,J2707-H2708)</f>
        <v>0.0150822</v>
      </c>
    </row>
    <row r="2709" customFormat="false" ht="16.4" hidden="false" customHeight="false" outlineLevel="0" collapsed="false">
      <c r="A2709" s="13" t="str">
        <f aca="false">""</f>
        <v/>
      </c>
      <c r="B2709" s="13" t="n">
        <f aca="false">143</f>
        <v>143</v>
      </c>
      <c r="C2709" s="13" t="n">
        <f aca="false">IF(Szenarien!$H$18="OK",(IFERROR(SUMIF(Nutzungsprofile!$B$6:$B$11,"Schulbetrieb",Nutzungsprofile!$G$6:$G$11)*Kalender!C147/SUM(Kalender!$C$5:$C$370),0)+IFERROR(SUMIF(Nutzungsprofile!$B$6:$B$11,"Halle",Nutzungsprofile!$G$6:$G$11)*Kalender!D147/SUM(Kalender!$D$5:$D$370),0)+IFERROR(SUMIF(Nutzungsprofile!$B$6:$B$11,"Individuell",Nutzungsprofile!$G$6:$G$11)*Kalender!E147/SUM(Kalender!$E$5:$E$370),0))*Szenarien!$E$18,0)</f>
        <v>2.04</v>
      </c>
      <c r="D2709" s="13" t="n">
        <f aca="false">IF(Szenarien!$H$18="OK",(IFERROR(SUMIF(Nutzungsprofile!$B$17:$B$22,"Schulbetrieb",Nutzungsprofile!$G$17:$G$22)*Kalender!C147/SUM(Kalender!$C$5:$C$370),0)+IFERROR(SUMIF(Nutzungsprofile!$B$17:$B$22,"Halle",Nutzungsprofile!$G$17:$G$22)*Kalender!D147/SUM(Kalender!$D$5:$D$370),0)+IFERROR(SUMIF(Nutzungsprofile!$B$17:$B$22,"Individuell",Nutzungsprofile!$G$17:$G$22)*Kalender!E147/SUM(Kalender!$E$5:$E$370),0))*Szenarien!$D$18,0)</f>
        <v>0.712</v>
      </c>
      <c r="E2709" s="13" t="n">
        <f aca="false">IFERROR(MIN(C2709,Eingaben!$B$17)*Eingaben!$B$16,0)</f>
        <v>1.938</v>
      </c>
      <c r="F2709" s="13" t="n">
        <f aca="false">IFERROR(E2709*Eingaben!$B$15,0)</f>
        <v>1.7442</v>
      </c>
      <c r="G2709" s="13" t="n">
        <f aca="false">IFERROR(IF(Kalender!A147="",0,J2708*(1-Eingaben!$B$20)),0)</f>
        <v>0.7390278</v>
      </c>
      <c r="H2709" s="13" t="n">
        <f aca="false">MIN(G2709,D2709)</f>
        <v>0.712</v>
      </c>
      <c r="I2709" s="13" t="n">
        <f aca="false">IFERROR(MIN(F2709*Eingaben!$B$19,MAX(0,D2709-H2709)),0)</f>
        <v>0</v>
      </c>
      <c r="J2709" s="13" t="n">
        <f aca="false">IFERROR(MIN(Eingaben!$B$18,MAX(0,F2709-I2709)),0)</f>
        <v>1.7442</v>
      </c>
      <c r="K2709" s="13" t="n">
        <f aca="false">H2709+I2709</f>
        <v>0.712</v>
      </c>
      <c r="L2709" s="13" t="n">
        <f aca="false">MAX(0,D2709-K2709)</f>
        <v>0</v>
      </c>
      <c r="M2709" s="13" t="n">
        <f aca="false">MAX(0,F2709-I2709-J2709)</f>
        <v>0</v>
      </c>
      <c r="N2709" s="13" t="n">
        <f aca="false">IF(Kalender!A147="",0,J2708-H2709)</f>
        <v>0.04211</v>
      </c>
    </row>
    <row r="2710" customFormat="false" ht="16.4" hidden="false" customHeight="false" outlineLevel="0" collapsed="false">
      <c r="A2710" s="13" t="str">
        <f aca="false">""</f>
        <v/>
      </c>
      <c r="B2710" s="13" t="n">
        <f aca="false">144</f>
        <v>144</v>
      </c>
      <c r="C2710" s="13" t="n">
        <f aca="false">IF(Szenarien!$H$18="OK",(IFERROR(SUMIF(Nutzungsprofile!$B$6:$B$11,"Schulbetrieb",Nutzungsprofile!$G$6:$G$11)*Kalender!C148/SUM(Kalender!$C$5:$C$370),0)+IFERROR(SUMIF(Nutzungsprofile!$B$6:$B$11,"Halle",Nutzungsprofile!$G$6:$G$11)*Kalender!D148/SUM(Kalender!$D$5:$D$370),0)+IFERROR(SUMIF(Nutzungsprofile!$B$6:$B$11,"Individuell",Nutzungsprofile!$G$6:$G$11)*Kalender!E148/SUM(Kalender!$E$5:$E$370),0))*Szenarien!$E$18,0)</f>
        <v>2.04</v>
      </c>
      <c r="D2710" s="13" t="n">
        <f aca="false">IF(Szenarien!$H$18="OK",(IFERROR(SUMIF(Nutzungsprofile!$B$17:$B$22,"Schulbetrieb",Nutzungsprofile!$G$17:$G$22)*Kalender!C148/SUM(Kalender!$C$5:$C$370),0)+IFERROR(SUMIF(Nutzungsprofile!$B$17:$B$22,"Halle",Nutzungsprofile!$G$17:$G$22)*Kalender!D148/SUM(Kalender!$D$5:$D$370),0)+IFERROR(SUMIF(Nutzungsprofile!$B$17:$B$22,"Individuell",Nutzungsprofile!$G$17:$G$22)*Kalender!E148/SUM(Kalender!$E$5:$E$370),0))*Szenarien!$D$18,0)</f>
        <v>0.712</v>
      </c>
      <c r="E2710" s="13" t="n">
        <f aca="false">IFERROR(MIN(C2710,Eingaben!$B$17)*Eingaben!$B$16,0)</f>
        <v>1.938</v>
      </c>
      <c r="F2710" s="13" t="n">
        <f aca="false">IFERROR(E2710*Eingaben!$B$15,0)</f>
        <v>1.7442</v>
      </c>
      <c r="G2710" s="13" t="n">
        <f aca="false">IFERROR(IF(Kalender!A148="",0,J2709*(1-Eingaben!$B$20)),0)</f>
        <v>1.709316</v>
      </c>
      <c r="H2710" s="13" t="n">
        <f aca="false">MIN(G2710,D2710)</f>
        <v>0.712</v>
      </c>
      <c r="I2710" s="13" t="n">
        <f aca="false">IFERROR(MIN(F2710*Eingaben!$B$19,MAX(0,D2710-H2710)),0)</f>
        <v>0</v>
      </c>
      <c r="J2710" s="13" t="n">
        <f aca="false">IFERROR(MIN(Eingaben!$B$18,MAX(0,F2710-I2710)),0)</f>
        <v>1.7442</v>
      </c>
      <c r="K2710" s="13" t="n">
        <f aca="false">H2710+I2710</f>
        <v>0.712</v>
      </c>
      <c r="L2710" s="13" t="n">
        <f aca="false">MAX(0,D2710-K2710)</f>
        <v>0</v>
      </c>
      <c r="M2710" s="13" t="n">
        <f aca="false">MAX(0,F2710-I2710-J2710)</f>
        <v>0</v>
      </c>
      <c r="N2710" s="13" t="n">
        <f aca="false">IF(Kalender!A148="",0,J2709-H2710)</f>
        <v>1.0322</v>
      </c>
    </row>
    <row r="2711" customFormat="false" ht="16.4" hidden="false" customHeight="false" outlineLevel="0" collapsed="false">
      <c r="A2711" s="13" t="str">
        <f aca="false">""</f>
        <v/>
      </c>
      <c r="B2711" s="13" t="n">
        <f aca="false">145</f>
        <v>145</v>
      </c>
      <c r="C2711" s="13" t="n">
        <f aca="false">IF(Szenarien!$H$18="OK",(IFERROR(SUMIF(Nutzungsprofile!$B$6:$B$11,"Schulbetrieb",Nutzungsprofile!$G$6:$G$11)*Kalender!C149/SUM(Kalender!$C$5:$C$370),0)+IFERROR(SUMIF(Nutzungsprofile!$B$6:$B$11,"Halle",Nutzungsprofile!$G$6:$G$11)*Kalender!D149/SUM(Kalender!$D$5:$D$370),0)+IFERROR(SUMIF(Nutzungsprofile!$B$6:$B$11,"Individuell",Nutzungsprofile!$G$6:$G$11)*Kalender!E149/SUM(Kalender!$E$5:$E$370),0))*Szenarien!$E$18,0)</f>
        <v>2.94</v>
      </c>
      <c r="D2711" s="13" t="n">
        <f aca="false">IF(Szenarien!$H$18="OK",(IFERROR(SUMIF(Nutzungsprofile!$B$17:$B$22,"Schulbetrieb",Nutzungsprofile!$G$17:$G$22)*Kalender!C149/SUM(Kalender!$C$5:$C$370),0)+IFERROR(SUMIF(Nutzungsprofile!$B$17:$B$22,"Halle",Nutzungsprofile!$G$17:$G$22)*Kalender!D149/SUM(Kalender!$D$5:$D$370),0)+IFERROR(SUMIF(Nutzungsprofile!$B$17:$B$22,"Individuell",Nutzungsprofile!$G$17:$G$22)*Kalender!E149/SUM(Kalender!$E$5:$E$370),0))*Szenarien!$D$18,0)</f>
        <v>3.952</v>
      </c>
      <c r="E2711" s="13" t="n">
        <f aca="false">IFERROR(MIN(C2711,Eingaben!$B$17)*Eingaben!$B$16,0)</f>
        <v>2.793</v>
      </c>
      <c r="F2711" s="13" t="n">
        <f aca="false">IFERROR(E2711*Eingaben!$B$15,0)</f>
        <v>2.5137</v>
      </c>
      <c r="G2711" s="13" t="n">
        <f aca="false">IFERROR(IF(Kalender!A149="",0,J2710*(1-Eingaben!$B$20)),0)</f>
        <v>1.709316</v>
      </c>
      <c r="H2711" s="13" t="n">
        <f aca="false">MIN(G2711,D2711)</f>
        <v>1.709316</v>
      </c>
      <c r="I2711" s="13" t="n">
        <f aca="false">IFERROR(MIN(F2711*Eingaben!$B$19,MAX(0,D2711-H2711)),0)</f>
        <v>1.75959</v>
      </c>
      <c r="J2711" s="13" t="n">
        <f aca="false">IFERROR(MIN(Eingaben!$B$18,MAX(0,F2711-I2711)),0)</f>
        <v>0.75411</v>
      </c>
      <c r="K2711" s="13" t="n">
        <f aca="false">H2711+I2711</f>
        <v>3.468906</v>
      </c>
      <c r="L2711" s="13" t="n">
        <f aca="false">MAX(0,D2711-K2711)</f>
        <v>0.483094</v>
      </c>
      <c r="M2711" s="13" t="n">
        <f aca="false">MAX(0,F2711-I2711-J2711)</f>
        <v>0</v>
      </c>
      <c r="N2711" s="13" t="n">
        <f aca="false">IF(Kalender!A149="",0,J2710-H2711)</f>
        <v>0.0348840000000001</v>
      </c>
    </row>
    <row r="2712" customFormat="false" ht="16.4" hidden="false" customHeight="false" outlineLevel="0" collapsed="false">
      <c r="A2712" s="13" t="str">
        <f aca="false">""</f>
        <v/>
      </c>
      <c r="B2712" s="13" t="n">
        <f aca="false">146</f>
        <v>146</v>
      </c>
      <c r="C2712" s="13" t="n">
        <f aca="false">IF(Szenarien!$H$18="OK",(IFERROR(SUMIF(Nutzungsprofile!$B$6:$B$11,"Schulbetrieb",Nutzungsprofile!$G$6:$G$11)*Kalender!C150/SUM(Kalender!$C$5:$C$370),0)+IFERROR(SUMIF(Nutzungsprofile!$B$6:$B$11,"Halle",Nutzungsprofile!$G$6:$G$11)*Kalender!D150/SUM(Kalender!$D$5:$D$370),0)+IFERROR(SUMIF(Nutzungsprofile!$B$6:$B$11,"Individuell",Nutzungsprofile!$G$6:$G$11)*Kalender!E150/SUM(Kalender!$E$5:$E$370),0))*Szenarien!$E$18,0)</f>
        <v>2.94</v>
      </c>
      <c r="D2712" s="13" t="n">
        <f aca="false">IF(Szenarien!$H$18="OK",(IFERROR(SUMIF(Nutzungsprofile!$B$17:$B$22,"Schulbetrieb",Nutzungsprofile!$G$17:$G$22)*Kalender!C150/SUM(Kalender!$C$5:$C$370),0)+IFERROR(SUMIF(Nutzungsprofile!$B$17:$B$22,"Halle",Nutzungsprofile!$G$17:$G$22)*Kalender!D150/SUM(Kalender!$D$5:$D$370),0)+IFERROR(SUMIF(Nutzungsprofile!$B$17:$B$22,"Individuell",Nutzungsprofile!$G$17:$G$22)*Kalender!E150/SUM(Kalender!$E$5:$E$370),0))*Szenarien!$D$18,0)</f>
        <v>3.952</v>
      </c>
      <c r="E2712" s="13" t="n">
        <f aca="false">IFERROR(MIN(C2712,Eingaben!$B$17)*Eingaben!$B$16,0)</f>
        <v>2.793</v>
      </c>
      <c r="F2712" s="13" t="n">
        <f aca="false">IFERROR(E2712*Eingaben!$B$15,0)</f>
        <v>2.5137</v>
      </c>
      <c r="G2712" s="13" t="n">
        <f aca="false">IFERROR(IF(Kalender!A150="",0,J2711*(1-Eingaben!$B$20)),0)</f>
        <v>0.7390278</v>
      </c>
      <c r="H2712" s="13" t="n">
        <f aca="false">MIN(G2712,D2712)</f>
        <v>0.7390278</v>
      </c>
      <c r="I2712" s="13" t="n">
        <f aca="false">IFERROR(MIN(F2712*Eingaben!$B$19,MAX(0,D2712-H2712)),0)</f>
        <v>1.75959</v>
      </c>
      <c r="J2712" s="13" t="n">
        <f aca="false">IFERROR(MIN(Eingaben!$B$18,MAX(0,F2712-I2712)),0)</f>
        <v>0.75411</v>
      </c>
      <c r="K2712" s="13" t="n">
        <f aca="false">H2712+I2712</f>
        <v>2.4986178</v>
      </c>
      <c r="L2712" s="13" t="n">
        <f aca="false">MAX(0,D2712-K2712)</f>
        <v>1.4533822</v>
      </c>
      <c r="M2712" s="13" t="n">
        <f aca="false">MAX(0,F2712-I2712-J2712)</f>
        <v>0</v>
      </c>
      <c r="N2712" s="13" t="n">
        <f aca="false">IF(Kalender!A150="",0,J2711-H2712)</f>
        <v>0.0150822</v>
      </c>
    </row>
    <row r="2713" customFormat="false" ht="16.4" hidden="false" customHeight="false" outlineLevel="0" collapsed="false">
      <c r="A2713" s="13" t="str">
        <f aca="false">""</f>
        <v/>
      </c>
      <c r="B2713" s="13" t="n">
        <f aca="false">147</f>
        <v>147</v>
      </c>
      <c r="C2713" s="13" t="n">
        <f aca="false">IF(Szenarien!$H$18="OK",(IFERROR(SUMIF(Nutzungsprofile!$B$6:$B$11,"Schulbetrieb",Nutzungsprofile!$G$6:$G$11)*Kalender!C151/SUM(Kalender!$C$5:$C$370),0)+IFERROR(SUMIF(Nutzungsprofile!$B$6:$B$11,"Halle",Nutzungsprofile!$G$6:$G$11)*Kalender!D151/SUM(Kalender!$D$5:$D$370),0)+IFERROR(SUMIF(Nutzungsprofile!$B$6:$B$11,"Individuell",Nutzungsprofile!$G$6:$G$11)*Kalender!E151/SUM(Kalender!$E$5:$E$370),0))*Szenarien!$E$18,0)</f>
        <v>2.94</v>
      </c>
      <c r="D2713" s="13" t="n">
        <f aca="false">IF(Szenarien!$H$18="OK",(IFERROR(SUMIF(Nutzungsprofile!$B$17:$B$22,"Schulbetrieb",Nutzungsprofile!$G$17:$G$22)*Kalender!C151/SUM(Kalender!$C$5:$C$370),0)+IFERROR(SUMIF(Nutzungsprofile!$B$17:$B$22,"Halle",Nutzungsprofile!$G$17:$G$22)*Kalender!D151/SUM(Kalender!$D$5:$D$370),0)+IFERROR(SUMIF(Nutzungsprofile!$B$17:$B$22,"Individuell",Nutzungsprofile!$G$17:$G$22)*Kalender!E151/SUM(Kalender!$E$5:$E$370),0))*Szenarien!$D$18,0)</f>
        <v>3.952</v>
      </c>
      <c r="E2713" s="13" t="n">
        <f aca="false">IFERROR(MIN(C2713,Eingaben!$B$17)*Eingaben!$B$16,0)</f>
        <v>2.793</v>
      </c>
      <c r="F2713" s="13" t="n">
        <f aca="false">IFERROR(E2713*Eingaben!$B$15,0)</f>
        <v>2.5137</v>
      </c>
      <c r="G2713" s="13" t="n">
        <f aca="false">IFERROR(IF(Kalender!A151="",0,J2712*(1-Eingaben!$B$20)),0)</f>
        <v>0.7390278</v>
      </c>
      <c r="H2713" s="13" t="n">
        <f aca="false">MIN(G2713,D2713)</f>
        <v>0.7390278</v>
      </c>
      <c r="I2713" s="13" t="n">
        <f aca="false">IFERROR(MIN(F2713*Eingaben!$B$19,MAX(0,D2713-H2713)),0)</f>
        <v>1.75959</v>
      </c>
      <c r="J2713" s="13" t="n">
        <f aca="false">IFERROR(MIN(Eingaben!$B$18,MAX(0,F2713-I2713)),0)</f>
        <v>0.75411</v>
      </c>
      <c r="K2713" s="13" t="n">
        <f aca="false">H2713+I2713</f>
        <v>2.4986178</v>
      </c>
      <c r="L2713" s="13" t="n">
        <f aca="false">MAX(0,D2713-K2713)</f>
        <v>1.4533822</v>
      </c>
      <c r="M2713" s="13" t="n">
        <f aca="false">MAX(0,F2713-I2713-J2713)</f>
        <v>0</v>
      </c>
      <c r="N2713" s="13" t="n">
        <f aca="false">IF(Kalender!A151="",0,J2712-H2713)</f>
        <v>0.0150822</v>
      </c>
    </row>
    <row r="2714" customFormat="false" ht="16.4" hidden="false" customHeight="false" outlineLevel="0" collapsed="false">
      <c r="A2714" s="13" t="str">
        <f aca="false">""</f>
        <v/>
      </c>
      <c r="B2714" s="13" t="n">
        <f aca="false">148</f>
        <v>148</v>
      </c>
      <c r="C2714" s="13" t="n">
        <f aca="false">IF(Szenarien!$H$18="OK",(IFERROR(SUMIF(Nutzungsprofile!$B$6:$B$11,"Schulbetrieb",Nutzungsprofile!$G$6:$G$11)*Kalender!C152/SUM(Kalender!$C$5:$C$370),0)+IFERROR(SUMIF(Nutzungsprofile!$B$6:$B$11,"Halle",Nutzungsprofile!$G$6:$G$11)*Kalender!D152/SUM(Kalender!$D$5:$D$370),0)+IFERROR(SUMIF(Nutzungsprofile!$B$6:$B$11,"Individuell",Nutzungsprofile!$G$6:$G$11)*Kalender!E152/SUM(Kalender!$E$5:$E$370),0))*Szenarien!$E$18,0)</f>
        <v>2.94</v>
      </c>
      <c r="D2714" s="13" t="n">
        <f aca="false">IF(Szenarien!$H$18="OK",(IFERROR(SUMIF(Nutzungsprofile!$B$17:$B$22,"Schulbetrieb",Nutzungsprofile!$G$17:$G$22)*Kalender!C152/SUM(Kalender!$C$5:$C$370),0)+IFERROR(SUMIF(Nutzungsprofile!$B$17:$B$22,"Halle",Nutzungsprofile!$G$17:$G$22)*Kalender!D152/SUM(Kalender!$D$5:$D$370),0)+IFERROR(SUMIF(Nutzungsprofile!$B$17:$B$22,"Individuell",Nutzungsprofile!$G$17:$G$22)*Kalender!E152/SUM(Kalender!$E$5:$E$370),0))*Szenarien!$D$18,0)</f>
        <v>3.952</v>
      </c>
      <c r="E2714" s="13" t="n">
        <f aca="false">IFERROR(MIN(C2714,Eingaben!$B$17)*Eingaben!$B$16,0)</f>
        <v>2.793</v>
      </c>
      <c r="F2714" s="13" t="n">
        <f aca="false">IFERROR(E2714*Eingaben!$B$15,0)</f>
        <v>2.5137</v>
      </c>
      <c r="G2714" s="13" t="n">
        <f aca="false">IFERROR(IF(Kalender!A152="",0,J2713*(1-Eingaben!$B$20)),0)</f>
        <v>0.7390278</v>
      </c>
      <c r="H2714" s="13" t="n">
        <f aca="false">MIN(G2714,D2714)</f>
        <v>0.7390278</v>
      </c>
      <c r="I2714" s="13" t="n">
        <f aca="false">IFERROR(MIN(F2714*Eingaben!$B$19,MAX(0,D2714-H2714)),0)</f>
        <v>1.75959</v>
      </c>
      <c r="J2714" s="13" t="n">
        <f aca="false">IFERROR(MIN(Eingaben!$B$18,MAX(0,F2714-I2714)),0)</f>
        <v>0.75411</v>
      </c>
      <c r="K2714" s="13" t="n">
        <f aca="false">H2714+I2714</f>
        <v>2.4986178</v>
      </c>
      <c r="L2714" s="13" t="n">
        <f aca="false">MAX(0,D2714-K2714)</f>
        <v>1.4533822</v>
      </c>
      <c r="M2714" s="13" t="n">
        <f aca="false">MAX(0,F2714-I2714-J2714)</f>
        <v>0</v>
      </c>
      <c r="N2714" s="13" t="n">
        <f aca="false">IF(Kalender!A152="",0,J2713-H2714)</f>
        <v>0.0150822</v>
      </c>
    </row>
    <row r="2715" customFormat="false" ht="16.4" hidden="false" customHeight="false" outlineLevel="0" collapsed="false">
      <c r="A2715" s="13" t="str">
        <f aca="false">""</f>
        <v/>
      </c>
      <c r="B2715" s="13" t="n">
        <f aca="false">149</f>
        <v>149</v>
      </c>
      <c r="C2715" s="13" t="n">
        <f aca="false">IF(Szenarien!$H$18="OK",(IFERROR(SUMIF(Nutzungsprofile!$B$6:$B$11,"Schulbetrieb",Nutzungsprofile!$G$6:$G$11)*Kalender!C153/SUM(Kalender!$C$5:$C$370),0)+IFERROR(SUMIF(Nutzungsprofile!$B$6:$B$11,"Halle",Nutzungsprofile!$G$6:$G$11)*Kalender!D153/SUM(Kalender!$D$5:$D$370),0)+IFERROR(SUMIF(Nutzungsprofile!$B$6:$B$11,"Individuell",Nutzungsprofile!$G$6:$G$11)*Kalender!E153/SUM(Kalender!$E$5:$E$370),0))*Szenarien!$E$18,0)</f>
        <v>2.94</v>
      </c>
      <c r="D2715" s="13" t="n">
        <f aca="false">IF(Szenarien!$H$18="OK",(IFERROR(SUMIF(Nutzungsprofile!$B$17:$B$22,"Schulbetrieb",Nutzungsprofile!$G$17:$G$22)*Kalender!C153/SUM(Kalender!$C$5:$C$370),0)+IFERROR(SUMIF(Nutzungsprofile!$B$17:$B$22,"Halle",Nutzungsprofile!$G$17:$G$22)*Kalender!D153/SUM(Kalender!$D$5:$D$370),0)+IFERROR(SUMIF(Nutzungsprofile!$B$17:$B$22,"Individuell",Nutzungsprofile!$G$17:$G$22)*Kalender!E153/SUM(Kalender!$E$5:$E$370),0))*Szenarien!$D$18,0)</f>
        <v>3.952</v>
      </c>
      <c r="E2715" s="13" t="n">
        <f aca="false">IFERROR(MIN(C2715,Eingaben!$B$17)*Eingaben!$B$16,0)</f>
        <v>2.793</v>
      </c>
      <c r="F2715" s="13" t="n">
        <f aca="false">IFERROR(E2715*Eingaben!$B$15,0)</f>
        <v>2.5137</v>
      </c>
      <c r="G2715" s="13" t="n">
        <f aca="false">IFERROR(IF(Kalender!A153="",0,J2714*(1-Eingaben!$B$20)),0)</f>
        <v>0.7390278</v>
      </c>
      <c r="H2715" s="13" t="n">
        <f aca="false">MIN(G2715,D2715)</f>
        <v>0.7390278</v>
      </c>
      <c r="I2715" s="13" t="n">
        <f aca="false">IFERROR(MIN(F2715*Eingaben!$B$19,MAX(0,D2715-H2715)),0)</f>
        <v>1.75959</v>
      </c>
      <c r="J2715" s="13" t="n">
        <f aca="false">IFERROR(MIN(Eingaben!$B$18,MAX(0,F2715-I2715)),0)</f>
        <v>0.75411</v>
      </c>
      <c r="K2715" s="13" t="n">
        <f aca="false">H2715+I2715</f>
        <v>2.4986178</v>
      </c>
      <c r="L2715" s="13" t="n">
        <f aca="false">MAX(0,D2715-K2715)</f>
        <v>1.4533822</v>
      </c>
      <c r="M2715" s="13" t="n">
        <f aca="false">MAX(0,F2715-I2715-J2715)</f>
        <v>0</v>
      </c>
      <c r="N2715" s="13" t="n">
        <f aca="false">IF(Kalender!A153="",0,J2714-H2715)</f>
        <v>0.0150822</v>
      </c>
    </row>
    <row r="2716" customFormat="false" ht="16.4" hidden="false" customHeight="false" outlineLevel="0" collapsed="false">
      <c r="A2716" s="13" t="str">
        <f aca="false">""</f>
        <v/>
      </c>
      <c r="B2716" s="13" t="n">
        <f aca="false">150</f>
        <v>150</v>
      </c>
      <c r="C2716" s="13" t="n">
        <f aca="false">IF(Szenarien!$H$18="OK",(IFERROR(SUMIF(Nutzungsprofile!$B$6:$B$11,"Schulbetrieb",Nutzungsprofile!$G$6:$G$11)*Kalender!C154/SUM(Kalender!$C$5:$C$370),0)+IFERROR(SUMIF(Nutzungsprofile!$B$6:$B$11,"Halle",Nutzungsprofile!$G$6:$G$11)*Kalender!D154/SUM(Kalender!$D$5:$D$370),0)+IFERROR(SUMIF(Nutzungsprofile!$B$6:$B$11,"Individuell",Nutzungsprofile!$G$6:$G$11)*Kalender!E154/SUM(Kalender!$E$5:$E$370),0))*Szenarien!$E$18,0)</f>
        <v>2.04</v>
      </c>
      <c r="D2716" s="13" t="n">
        <f aca="false">IF(Szenarien!$H$18="OK",(IFERROR(SUMIF(Nutzungsprofile!$B$17:$B$22,"Schulbetrieb",Nutzungsprofile!$G$17:$G$22)*Kalender!C154/SUM(Kalender!$C$5:$C$370),0)+IFERROR(SUMIF(Nutzungsprofile!$B$17:$B$22,"Halle",Nutzungsprofile!$G$17:$G$22)*Kalender!D154/SUM(Kalender!$D$5:$D$370),0)+IFERROR(SUMIF(Nutzungsprofile!$B$17:$B$22,"Individuell",Nutzungsprofile!$G$17:$G$22)*Kalender!E154/SUM(Kalender!$E$5:$E$370),0))*Szenarien!$D$18,0)</f>
        <v>0.712</v>
      </c>
      <c r="E2716" s="13" t="n">
        <f aca="false">IFERROR(MIN(C2716,Eingaben!$B$17)*Eingaben!$B$16,0)</f>
        <v>1.938</v>
      </c>
      <c r="F2716" s="13" t="n">
        <f aca="false">IFERROR(E2716*Eingaben!$B$15,0)</f>
        <v>1.7442</v>
      </c>
      <c r="G2716" s="13" t="n">
        <f aca="false">IFERROR(IF(Kalender!A154="",0,J2715*(1-Eingaben!$B$20)),0)</f>
        <v>0.7390278</v>
      </c>
      <c r="H2716" s="13" t="n">
        <f aca="false">MIN(G2716,D2716)</f>
        <v>0.712</v>
      </c>
      <c r="I2716" s="13" t="n">
        <f aca="false">IFERROR(MIN(F2716*Eingaben!$B$19,MAX(0,D2716-H2716)),0)</f>
        <v>0</v>
      </c>
      <c r="J2716" s="13" t="n">
        <f aca="false">IFERROR(MIN(Eingaben!$B$18,MAX(0,F2716-I2716)),0)</f>
        <v>1.7442</v>
      </c>
      <c r="K2716" s="13" t="n">
        <f aca="false">H2716+I2716</f>
        <v>0.712</v>
      </c>
      <c r="L2716" s="13" t="n">
        <f aca="false">MAX(0,D2716-K2716)</f>
        <v>0</v>
      </c>
      <c r="M2716" s="13" t="n">
        <f aca="false">MAX(0,F2716-I2716-J2716)</f>
        <v>0</v>
      </c>
      <c r="N2716" s="13" t="n">
        <f aca="false">IF(Kalender!A154="",0,J2715-H2716)</f>
        <v>0.04211</v>
      </c>
    </row>
    <row r="2717" customFormat="false" ht="16.4" hidden="false" customHeight="false" outlineLevel="0" collapsed="false">
      <c r="A2717" s="13" t="str">
        <f aca="false">""</f>
        <v/>
      </c>
      <c r="B2717" s="13" t="n">
        <f aca="false">151</f>
        <v>151</v>
      </c>
      <c r="C2717" s="13" t="n">
        <f aca="false">IF(Szenarien!$H$18="OK",(IFERROR(SUMIF(Nutzungsprofile!$B$6:$B$11,"Schulbetrieb",Nutzungsprofile!$G$6:$G$11)*Kalender!C155/SUM(Kalender!$C$5:$C$370),0)+IFERROR(SUMIF(Nutzungsprofile!$B$6:$B$11,"Halle",Nutzungsprofile!$G$6:$G$11)*Kalender!D155/SUM(Kalender!$D$5:$D$370),0)+IFERROR(SUMIF(Nutzungsprofile!$B$6:$B$11,"Individuell",Nutzungsprofile!$G$6:$G$11)*Kalender!E155/SUM(Kalender!$E$5:$E$370),0))*Szenarien!$E$18,0)</f>
        <v>2.04</v>
      </c>
      <c r="D2717" s="13" t="n">
        <f aca="false">IF(Szenarien!$H$18="OK",(IFERROR(SUMIF(Nutzungsprofile!$B$17:$B$22,"Schulbetrieb",Nutzungsprofile!$G$17:$G$22)*Kalender!C155/SUM(Kalender!$C$5:$C$370),0)+IFERROR(SUMIF(Nutzungsprofile!$B$17:$B$22,"Halle",Nutzungsprofile!$G$17:$G$22)*Kalender!D155/SUM(Kalender!$D$5:$D$370),0)+IFERROR(SUMIF(Nutzungsprofile!$B$17:$B$22,"Individuell",Nutzungsprofile!$G$17:$G$22)*Kalender!E155/SUM(Kalender!$E$5:$E$370),0))*Szenarien!$D$18,0)</f>
        <v>0.712</v>
      </c>
      <c r="E2717" s="13" t="n">
        <f aca="false">IFERROR(MIN(C2717,Eingaben!$B$17)*Eingaben!$B$16,0)</f>
        <v>1.938</v>
      </c>
      <c r="F2717" s="13" t="n">
        <f aca="false">IFERROR(E2717*Eingaben!$B$15,0)</f>
        <v>1.7442</v>
      </c>
      <c r="G2717" s="13" t="n">
        <f aca="false">IFERROR(IF(Kalender!A155="",0,J2716*(1-Eingaben!$B$20)),0)</f>
        <v>1.709316</v>
      </c>
      <c r="H2717" s="13" t="n">
        <f aca="false">MIN(G2717,D2717)</f>
        <v>0.712</v>
      </c>
      <c r="I2717" s="13" t="n">
        <f aca="false">IFERROR(MIN(F2717*Eingaben!$B$19,MAX(0,D2717-H2717)),0)</f>
        <v>0</v>
      </c>
      <c r="J2717" s="13" t="n">
        <f aca="false">IFERROR(MIN(Eingaben!$B$18,MAX(0,F2717-I2717)),0)</f>
        <v>1.7442</v>
      </c>
      <c r="K2717" s="13" t="n">
        <f aca="false">H2717+I2717</f>
        <v>0.712</v>
      </c>
      <c r="L2717" s="13" t="n">
        <f aca="false">MAX(0,D2717-K2717)</f>
        <v>0</v>
      </c>
      <c r="M2717" s="13" t="n">
        <f aca="false">MAX(0,F2717-I2717-J2717)</f>
        <v>0</v>
      </c>
      <c r="N2717" s="13" t="n">
        <f aca="false">IF(Kalender!A155="",0,J2716-H2717)</f>
        <v>1.0322</v>
      </c>
    </row>
    <row r="2718" customFormat="false" ht="16.4" hidden="false" customHeight="false" outlineLevel="0" collapsed="false">
      <c r="A2718" s="13" t="str">
        <f aca="false">""</f>
        <v/>
      </c>
      <c r="B2718" s="13" t="n">
        <f aca="false">152</f>
        <v>152</v>
      </c>
      <c r="C2718" s="13" t="n">
        <f aca="false">IF(Szenarien!$H$18="OK",(IFERROR(SUMIF(Nutzungsprofile!$B$6:$B$11,"Schulbetrieb",Nutzungsprofile!$G$6:$G$11)*Kalender!C156/SUM(Kalender!$C$5:$C$370),0)+IFERROR(SUMIF(Nutzungsprofile!$B$6:$B$11,"Halle",Nutzungsprofile!$G$6:$G$11)*Kalender!D156/SUM(Kalender!$D$5:$D$370),0)+IFERROR(SUMIF(Nutzungsprofile!$B$6:$B$11,"Individuell",Nutzungsprofile!$G$6:$G$11)*Kalender!E156/SUM(Kalender!$E$5:$E$370),0))*Szenarien!$E$18,0)</f>
        <v>2.94</v>
      </c>
      <c r="D2718" s="13" t="n">
        <f aca="false">IF(Szenarien!$H$18="OK",(IFERROR(SUMIF(Nutzungsprofile!$B$17:$B$22,"Schulbetrieb",Nutzungsprofile!$G$17:$G$22)*Kalender!C156/SUM(Kalender!$C$5:$C$370),0)+IFERROR(SUMIF(Nutzungsprofile!$B$17:$B$22,"Halle",Nutzungsprofile!$G$17:$G$22)*Kalender!D156/SUM(Kalender!$D$5:$D$370),0)+IFERROR(SUMIF(Nutzungsprofile!$B$17:$B$22,"Individuell",Nutzungsprofile!$G$17:$G$22)*Kalender!E156/SUM(Kalender!$E$5:$E$370),0))*Szenarien!$D$18,0)</f>
        <v>3.952</v>
      </c>
      <c r="E2718" s="13" t="n">
        <f aca="false">IFERROR(MIN(C2718,Eingaben!$B$17)*Eingaben!$B$16,0)</f>
        <v>2.793</v>
      </c>
      <c r="F2718" s="13" t="n">
        <f aca="false">IFERROR(E2718*Eingaben!$B$15,0)</f>
        <v>2.5137</v>
      </c>
      <c r="G2718" s="13" t="n">
        <f aca="false">IFERROR(IF(Kalender!A156="",0,J2717*(1-Eingaben!$B$20)),0)</f>
        <v>1.709316</v>
      </c>
      <c r="H2718" s="13" t="n">
        <f aca="false">MIN(G2718,D2718)</f>
        <v>1.709316</v>
      </c>
      <c r="I2718" s="13" t="n">
        <f aca="false">IFERROR(MIN(F2718*Eingaben!$B$19,MAX(0,D2718-H2718)),0)</f>
        <v>1.75959</v>
      </c>
      <c r="J2718" s="13" t="n">
        <f aca="false">IFERROR(MIN(Eingaben!$B$18,MAX(0,F2718-I2718)),0)</f>
        <v>0.75411</v>
      </c>
      <c r="K2718" s="13" t="n">
        <f aca="false">H2718+I2718</f>
        <v>3.468906</v>
      </c>
      <c r="L2718" s="13" t="n">
        <f aca="false">MAX(0,D2718-K2718)</f>
        <v>0.483094</v>
      </c>
      <c r="M2718" s="13" t="n">
        <f aca="false">MAX(0,F2718-I2718-J2718)</f>
        <v>0</v>
      </c>
      <c r="N2718" s="13" t="n">
        <f aca="false">IF(Kalender!A156="",0,J2717-H2718)</f>
        <v>0.0348840000000001</v>
      </c>
    </row>
    <row r="2719" customFormat="false" ht="16.4" hidden="false" customHeight="false" outlineLevel="0" collapsed="false">
      <c r="A2719" s="13" t="str">
        <f aca="false">""</f>
        <v/>
      </c>
      <c r="B2719" s="13" t="n">
        <f aca="false">153</f>
        <v>153</v>
      </c>
      <c r="C2719" s="13" t="n">
        <f aca="false">IF(Szenarien!$H$18="OK",(IFERROR(SUMIF(Nutzungsprofile!$B$6:$B$11,"Schulbetrieb",Nutzungsprofile!$G$6:$G$11)*Kalender!C157/SUM(Kalender!$C$5:$C$370),0)+IFERROR(SUMIF(Nutzungsprofile!$B$6:$B$11,"Halle",Nutzungsprofile!$G$6:$G$11)*Kalender!D157/SUM(Kalender!$D$5:$D$370),0)+IFERROR(SUMIF(Nutzungsprofile!$B$6:$B$11,"Individuell",Nutzungsprofile!$G$6:$G$11)*Kalender!E157/SUM(Kalender!$E$5:$E$370),0))*Szenarien!$E$18,0)</f>
        <v>2.94</v>
      </c>
      <c r="D2719" s="13" t="n">
        <f aca="false">IF(Szenarien!$H$18="OK",(IFERROR(SUMIF(Nutzungsprofile!$B$17:$B$22,"Schulbetrieb",Nutzungsprofile!$G$17:$G$22)*Kalender!C157/SUM(Kalender!$C$5:$C$370),0)+IFERROR(SUMIF(Nutzungsprofile!$B$17:$B$22,"Halle",Nutzungsprofile!$G$17:$G$22)*Kalender!D157/SUM(Kalender!$D$5:$D$370),0)+IFERROR(SUMIF(Nutzungsprofile!$B$17:$B$22,"Individuell",Nutzungsprofile!$G$17:$G$22)*Kalender!E157/SUM(Kalender!$E$5:$E$370),0))*Szenarien!$D$18,0)</f>
        <v>3.952</v>
      </c>
      <c r="E2719" s="13" t="n">
        <f aca="false">IFERROR(MIN(C2719,Eingaben!$B$17)*Eingaben!$B$16,0)</f>
        <v>2.793</v>
      </c>
      <c r="F2719" s="13" t="n">
        <f aca="false">IFERROR(E2719*Eingaben!$B$15,0)</f>
        <v>2.5137</v>
      </c>
      <c r="G2719" s="13" t="n">
        <f aca="false">IFERROR(IF(Kalender!A157="",0,J2718*(1-Eingaben!$B$20)),0)</f>
        <v>0.7390278</v>
      </c>
      <c r="H2719" s="13" t="n">
        <f aca="false">MIN(G2719,D2719)</f>
        <v>0.7390278</v>
      </c>
      <c r="I2719" s="13" t="n">
        <f aca="false">IFERROR(MIN(F2719*Eingaben!$B$19,MAX(0,D2719-H2719)),0)</f>
        <v>1.75959</v>
      </c>
      <c r="J2719" s="13" t="n">
        <f aca="false">IFERROR(MIN(Eingaben!$B$18,MAX(0,F2719-I2719)),0)</f>
        <v>0.75411</v>
      </c>
      <c r="K2719" s="13" t="n">
        <f aca="false">H2719+I2719</f>
        <v>2.4986178</v>
      </c>
      <c r="L2719" s="13" t="n">
        <f aca="false">MAX(0,D2719-K2719)</f>
        <v>1.4533822</v>
      </c>
      <c r="M2719" s="13" t="n">
        <f aca="false">MAX(0,F2719-I2719-J2719)</f>
        <v>0</v>
      </c>
      <c r="N2719" s="13" t="n">
        <f aca="false">IF(Kalender!A157="",0,J2718-H2719)</f>
        <v>0.0150822</v>
      </c>
    </row>
    <row r="2720" customFormat="false" ht="16.4" hidden="false" customHeight="false" outlineLevel="0" collapsed="false">
      <c r="A2720" s="13" t="str">
        <f aca="false">""</f>
        <v/>
      </c>
      <c r="B2720" s="13" t="n">
        <f aca="false">154</f>
        <v>154</v>
      </c>
      <c r="C2720" s="13" t="n">
        <f aca="false">IF(Szenarien!$H$18="OK",(IFERROR(SUMIF(Nutzungsprofile!$B$6:$B$11,"Schulbetrieb",Nutzungsprofile!$G$6:$G$11)*Kalender!C158/SUM(Kalender!$C$5:$C$370),0)+IFERROR(SUMIF(Nutzungsprofile!$B$6:$B$11,"Halle",Nutzungsprofile!$G$6:$G$11)*Kalender!D158/SUM(Kalender!$D$5:$D$370),0)+IFERROR(SUMIF(Nutzungsprofile!$B$6:$B$11,"Individuell",Nutzungsprofile!$G$6:$G$11)*Kalender!E158/SUM(Kalender!$E$5:$E$370),0))*Szenarien!$E$18,0)</f>
        <v>2.94</v>
      </c>
      <c r="D2720" s="13" t="n">
        <f aca="false">IF(Szenarien!$H$18="OK",(IFERROR(SUMIF(Nutzungsprofile!$B$17:$B$22,"Schulbetrieb",Nutzungsprofile!$G$17:$G$22)*Kalender!C158/SUM(Kalender!$C$5:$C$370),0)+IFERROR(SUMIF(Nutzungsprofile!$B$17:$B$22,"Halle",Nutzungsprofile!$G$17:$G$22)*Kalender!D158/SUM(Kalender!$D$5:$D$370),0)+IFERROR(SUMIF(Nutzungsprofile!$B$17:$B$22,"Individuell",Nutzungsprofile!$G$17:$G$22)*Kalender!E158/SUM(Kalender!$E$5:$E$370),0))*Szenarien!$D$18,0)</f>
        <v>3.952</v>
      </c>
      <c r="E2720" s="13" t="n">
        <f aca="false">IFERROR(MIN(C2720,Eingaben!$B$17)*Eingaben!$B$16,0)</f>
        <v>2.793</v>
      </c>
      <c r="F2720" s="13" t="n">
        <f aca="false">IFERROR(E2720*Eingaben!$B$15,0)</f>
        <v>2.5137</v>
      </c>
      <c r="G2720" s="13" t="n">
        <f aca="false">IFERROR(IF(Kalender!A158="",0,J2719*(1-Eingaben!$B$20)),0)</f>
        <v>0.7390278</v>
      </c>
      <c r="H2720" s="13" t="n">
        <f aca="false">MIN(G2720,D2720)</f>
        <v>0.7390278</v>
      </c>
      <c r="I2720" s="13" t="n">
        <f aca="false">IFERROR(MIN(F2720*Eingaben!$B$19,MAX(0,D2720-H2720)),0)</f>
        <v>1.75959</v>
      </c>
      <c r="J2720" s="13" t="n">
        <f aca="false">IFERROR(MIN(Eingaben!$B$18,MAX(0,F2720-I2720)),0)</f>
        <v>0.75411</v>
      </c>
      <c r="K2720" s="13" t="n">
        <f aca="false">H2720+I2720</f>
        <v>2.4986178</v>
      </c>
      <c r="L2720" s="13" t="n">
        <f aca="false">MAX(0,D2720-K2720)</f>
        <v>1.4533822</v>
      </c>
      <c r="M2720" s="13" t="n">
        <f aca="false">MAX(0,F2720-I2720-J2720)</f>
        <v>0</v>
      </c>
      <c r="N2720" s="13" t="n">
        <f aca="false">IF(Kalender!A158="",0,J2719-H2720)</f>
        <v>0.0150822</v>
      </c>
    </row>
    <row r="2721" customFormat="false" ht="16.4" hidden="false" customHeight="false" outlineLevel="0" collapsed="false">
      <c r="A2721" s="13" t="str">
        <f aca="false">""</f>
        <v/>
      </c>
      <c r="B2721" s="13" t="n">
        <f aca="false">155</f>
        <v>155</v>
      </c>
      <c r="C2721" s="13" t="n">
        <f aca="false">IF(Szenarien!$H$18="OK",(IFERROR(SUMIF(Nutzungsprofile!$B$6:$B$11,"Schulbetrieb",Nutzungsprofile!$G$6:$G$11)*Kalender!C159/SUM(Kalender!$C$5:$C$370),0)+IFERROR(SUMIF(Nutzungsprofile!$B$6:$B$11,"Halle",Nutzungsprofile!$G$6:$G$11)*Kalender!D159/SUM(Kalender!$D$5:$D$370),0)+IFERROR(SUMIF(Nutzungsprofile!$B$6:$B$11,"Individuell",Nutzungsprofile!$G$6:$G$11)*Kalender!E159/SUM(Kalender!$E$5:$E$370),0))*Szenarien!$E$18,0)</f>
        <v>2.94</v>
      </c>
      <c r="D2721" s="13" t="n">
        <f aca="false">IF(Szenarien!$H$18="OK",(IFERROR(SUMIF(Nutzungsprofile!$B$17:$B$22,"Schulbetrieb",Nutzungsprofile!$G$17:$G$22)*Kalender!C159/SUM(Kalender!$C$5:$C$370),0)+IFERROR(SUMIF(Nutzungsprofile!$B$17:$B$22,"Halle",Nutzungsprofile!$G$17:$G$22)*Kalender!D159/SUM(Kalender!$D$5:$D$370),0)+IFERROR(SUMIF(Nutzungsprofile!$B$17:$B$22,"Individuell",Nutzungsprofile!$G$17:$G$22)*Kalender!E159/SUM(Kalender!$E$5:$E$370),0))*Szenarien!$D$18,0)</f>
        <v>3.952</v>
      </c>
      <c r="E2721" s="13" t="n">
        <f aca="false">IFERROR(MIN(C2721,Eingaben!$B$17)*Eingaben!$B$16,0)</f>
        <v>2.793</v>
      </c>
      <c r="F2721" s="13" t="n">
        <f aca="false">IFERROR(E2721*Eingaben!$B$15,0)</f>
        <v>2.5137</v>
      </c>
      <c r="G2721" s="13" t="n">
        <f aca="false">IFERROR(IF(Kalender!A159="",0,J2720*(1-Eingaben!$B$20)),0)</f>
        <v>0.7390278</v>
      </c>
      <c r="H2721" s="13" t="n">
        <f aca="false">MIN(G2721,D2721)</f>
        <v>0.7390278</v>
      </c>
      <c r="I2721" s="13" t="n">
        <f aca="false">IFERROR(MIN(F2721*Eingaben!$B$19,MAX(0,D2721-H2721)),0)</f>
        <v>1.75959</v>
      </c>
      <c r="J2721" s="13" t="n">
        <f aca="false">IFERROR(MIN(Eingaben!$B$18,MAX(0,F2721-I2721)),0)</f>
        <v>0.75411</v>
      </c>
      <c r="K2721" s="13" t="n">
        <f aca="false">H2721+I2721</f>
        <v>2.4986178</v>
      </c>
      <c r="L2721" s="13" t="n">
        <f aca="false">MAX(0,D2721-K2721)</f>
        <v>1.4533822</v>
      </c>
      <c r="M2721" s="13" t="n">
        <f aca="false">MAX(0,F2721-I2721-J2721)</f>
        <v>0</v>
      </c>
      <c r="N2721" s="13" t="n">
        <f aca="false">IF(Kalender!A159="",0,J2720-H2721)</f>
        <v>0.0150822</v>
      </c>
    </row>
    <row r="2722" customFormat="false" ht="16.4" hidden="false" customHeight="false" outlineLevel="0" collapsed="false">
      <c r="A2722" s="13" t="str">
        <f aca="false">""</f>
        <v/>
      </c>
      <c r="B2722" s="13" t="n">
        <f aca="false">156</f>
        <v>156</v>
      </c>
      <c r="C2722" s="13" t="n">
        <f aca="false">IF(Szenarien!$H$18="OK",(IFERROR(SUMIF(Nutzungsprofile!$B$6:$B$11,"Schulbetrieb",Nutzungsprofile!$G$6:$G$11)*Kalender!C160/SUM(Kalender!$C$5:$C$370),0)+IFERROR(SUMIF(Nutzungsprofile!$B$6:$B$11,"Halle",Nutzungsprofile!$G$6:$G$11)*Kalender!D160/SUM(Kalender!$D$5:$D$370),0)+IFERROR(SUMIF(Nutzungsprofile!$B$6:$B$11,"Individuell",Nutzungsprofile!$G$6:$G$11)*Kalender!E160/SUM(Kalender!$E$5:$E$370),0))*Szenarien!$E$18,0)</f>
        <v>2.94</v>
      </c>
      <c r="D2722" s="13" t="n">
        <f aca="false">IF(Szenarien!$H$18="OK",(IFERROR(SUMIF(Nutzungsprofile!$B$17:$B$22,"Schulbetrieb",Nutzungsprofile!$G$17:$G$22)*Kalender!C160/SUM(Kalender!$C$5:$C$370),0)+IFERROR(SUMIF(Nutzungsprofile!$B$17:$B$22,"Halle",Nutzungsprofile!$G$17:$G$22)*Kalender!D160/SUM(Kalender!$D$5:$D$370),0)+IFERROR(SUMIF(Nutzungsprofile!$B$17:$B$22,"Individuell",Nutzungsprofile!$G$17:$G$22)*Kalender!E160/SUM(Kalender!$E$5:$E$370),0))*Szenarien!$D$18,0)</f>
        <v>3.952</v>
      </c>
      <c r="E2722" s="13" t="n">
        <f aca="false">IFERROR(MIN(C2722,Eingaben!$B$17)*Eingaben!$B$16,0)</f>
        <v>2.793</v>
      </c>
      <c r="F2722" s="13" t="n">
        <f aca="false">IFERROR(E2722*Eingaben!$B$15,0)</f>
        <v>2.5137</v>
      </c>
      <c r="G2722" s="13" t="n">
        <f aca="false">IFERROR(IF(Kalender!A160="",0,J2721*(1-Eingaben!$B$20)),0)</f>
        <v>0.7390278</v>
      </c>
      <c r="H2722" s="13" t="n">
        <f aca="false">MIN(G2722,D2722)</f>
        <v>0.7390278</v>
      </c>
      <c r="I2722" s="13" t="n">
        <f aca="false">IFERROR(MIN(F2722*Eingaben!$B$19,MAX(0,D2722-H2722)),0)</f>
        <v>1.75959</v>
      </c>
      <c r="J2722" s="13" t="n">
        <f aca="false">IFERROR(MIN(Eingaben!$B$18,MAX(0,F2722-I2722)),0)</f>
        <v>0.75411</v>
      </c>
      <c r="K2722" s="13" t="n">
        <f aca="false">H2722+I2722</f>
        <v>2.4986178</v>
      </c>
      <c r="L2722" s="13" t="n">
        <f aca="false">MAX(0,D2722-K2722)</f>
        <v>1.4533822</v>
      </c>
      <c r="M2722" s="13" t="n">
        <f aca="false">MAX(0,F2722-I2722-J2722)</f>
        <v>0</v>
      </c>
      <c r="N2722" s="13" t="n">
        <f aca="false">IF(Kalender!A160="",0,J2721-H2722)</f>
        <v>0.0150822</v>
      </c>
    </row>
    <row r="2723" customFormat="false" ht="16.4" hidden="false" customHeight="false" outlineLevel="0" collapsed="false">
      <c r="A2723" s="13" t="str">
        <f aca="false">""</f>
        <v/>
      </c>
      <c r="B2723" s="13" t="n">
        <f aca="false">157</f>
        <v>157</v>
      </c>
      <c r="C2723" s="13" t="n">
        <f aca="false">IF(Szenarien!$H$18="OK",(IFERROR(SUMIF(Nutzungsprofile!$B$6:$B$11,"Schulbetrieb",Nutzungsprofile!$G$6:$G$11)*Kalender!C161/SUM(Kalender!$C$5:$C$370),0)+IFERROR(SUMIF(Nutzungsprofile!$B$6:$B$11,"Halle",Nutzungsprofile!$G$6:$G$11)*Kalender!D161/SUM(Kalender!$D$5:$D$370),0)+IFERROR(SUMIF(Nutzungsprofile!$B$6:$B$11,"Individuell",Nutzungsprofile!$G$6:$G$11)*Kalender!E161/SUM(Kalender!$E$5:$E$370),0))*Szenarien!$E$18,0)</f>
        <v>2.04</v>
      </c>
      <c r="D2723" s="13" t="n">
        <f aca="false">IF(Szenarien!$H$18="OK",(IFERROR(SUMIF(Nutzungsprofile!$B$17:$B$22,"Schulbetrieb",Nutzungsprofile!$G$17:$G$22)*Kalender!C161/SUM(Kalender!$C$5:$C$370),0)+IFERROR(SUMIF(Nutzungsprofile!$B$17:$B$22,"Halle",Nutzungsprofile!$G$17:$G$22)*Kalender!D161/SUM(Kalender!$D$5:$D$370),0)+IFERROR(SUMIF(Nutzungsprofile!$B$17:$B$22,"Individuell",Nutzungsprofile!$G$17:$G$22)*Kalender!E161/SUM(Kalender!$E$5:$E$370),0))*Szenarien!$D$18,0)</f>
        <v>0.712</v>
      </c>
      <c r="E2723" s="13" t="n">
        <f aca="false">IFERROR(MIN(C2723,Eingaben!$B$17)*Eingaben!$B$16,0)</f>
        <v>1.938</v>
      </c>
      <c r="F2723" s="13" t="n">
        <f aca="false">IFERROR(E2723*Eingaben!$B$15,0)</f>
        <v>1.7442</v>
      </c>
      <c r="G2723" s="13" t="n">
        <f aca="false">IFERROR(IF(Kalender!A161="",0,J2722*(1-Eingaben!$B$20)),0)</f>
        <v>0.7390278</v>
      </c>
      <c r="H2723" s="13" t="n">
        <f aca="false">MIN(G2723,D2723)</f>
        <v>0.712</v>
      </c>
      <c r="I2723" s="13" t="n">
        <f aca="false">IFERROR(MIN(F2723*Eingaben!$B$19,MAX(0,D2723-H2723)),0)</f>
        <v>0</v>
      </c>
      <c r="J2723" s="13" t="n">
        <f aca="false">IFERROR(MIN(Eingaben!$B$18,MAX(0,F2723-I2723)),0)</f>
        <v>1.7442</v>
      </c>
      <c r="K2723" s="13" t="n">
        <f aca="false">H2723+I2723</f>
        <v>0.712</v>
      </c>
      <c r="L2723" s="13" t="n">
        <f aca="false">MAX(0,D2723-K2723)</f>
        <v>0</v>
      </c>
      <c r="M2723" s="13" t="n">
        <f aca="false">MAX(0,F2723-I2723-J2723)</f>
        <v>0</v>
      </c>
      <c r="N2723" s="13" t="n">
        <f aca="false">IF(Kalender!A161="",0,J2722-H2723)</f>
        <v>0.04211</v>
      </c>
    </row>
    <row r="2724" customFormat="false" ht="16.4" hidden="false" customHeight="false" outlineLevel="0" collapsed="false">
      <c r="A2724" s="13" t="str">
        <f aca="false">""</f>
        <v/>
      </c>
      <c r="B2724" s="13" t="n">
        <f aca="false">158</f>
        <v>158</v>
      </c>
      <c r="C2724" s="13" t="n">
        <f aca="false">IF(Szenarien!$H$18="OK",(IFERROR(SUMIF(Nutzungsprofile!$B$6:$B$11,"Schulbetrieb",Nutzungsprofile!$G$6:$G$11)*Kalender!C162/SUM(Kalender!$C$5:$C$370),0)+IFERROR(SUMIF(Nutzungsprofile!$B$6:$B$11,"Halle",Nutzungsprofile!$G$6:$G$11)*Kalender!D162/SUM(Kalender!$D$5:$D$370),0)+IFERROR(SUMIF(Nutzungsprofile!$B$6:$B$11,"Individuell",Nutzungsprofile!$G$6:$G$11)*Kalender!E162/SUM(Kalender!$E$5:$E$370),0))*Szenarien!$E$18,0)</f>
        <v>2.04</v>
      </c>
      <c r="D2724" s="13" t="n">
        <f aca="false">IF(Szenarien!$H$18="OK",(IFERROR(SUMIF(Nutzungsprofile!$B$17:$B$22,"Schulbetrieb",Nutzungsprofile!$G$17:$G$22)*Kalender!C162/SUM(Kalender!$C$5:$C$370),0)+IFERROR(SUMIF(Nutzungsprofile!$B$17:$B$22,"Halle",Nutzungsprofile!$G$17:$G$22)*Kalender!D162/SUM(Kalender!$D$5:$D$370),0)+IFERROR(SUMIF(Nutzungsprofile!$B$17:$B$22,"Individuell",Nutzungsprofile!$G$17:$G$22)*Kalender!E162/SUM(Kalender!$E$5:$E$370),0))*Szenarien!$D$18,0)</f>
        <v>0.712</v>
      </c>
      <c r="E2724" s="13" t="n">
        <f aca="false">IFERROR(MIN(C2724,Eingaben!$B$17)*Eingaben!$B$16,0)</f>
        <v>1.938</v>
      </c>
      <c r="F2724" s="13" t="n">
        <f aca="false">IFERROR(E2724*Eingaben!$B$15,0)</f>
        <v>1.7442</v>
      </c>
      <c r="G2724" s="13" t="n">
        <f aca="false">IFERROR(IF(Kalender!A162="",0,J2723*(1-Eingaben!$B$20)),0)</f>
        <v>1.709316</v>
      </c>
      <c r="H2724" s="13" t="n">
        <f aca="false">MIN(G2724,D2724)</f>
        <v>0.712</v>
      </c>
      <c r="I2724" s="13" t="n">
        <f aca="false">IFERROR(MIN(F2724*Eingaben!$B$19,MAX(0,D2724-H2724)),0)</f>
        <v>0</v>
      </c>
      <c r="J2724" s="13" t="n">
        <f aca="false">IFERROR(MIN(Eingaben!$B$18,MAX(0,F2724-I2724)),0)</f>
        <v>1.7442</v>
      </c>
      <c r="K2724" s="13" t="n">
        <f aca="false">H2724+I2724</f>
        <v>0.712</v>
      </c>
      <c r="L2724" s="13" t="n">
        <f aca="false">MAX(0,D2724-K2724)</f>
        <v>0</v>
      </c>
      <c r="M2724" s="13" t="n">
        <f aca="false">MAX(0,F2724-I2724-J2724)</f>
        <v>0</v>
      </c>
      <c r="N2724" s="13" t="n">
        <f aca="false">IF(Kalender!A162="",0,J2723-H2724)</f>
        <v>1.0322</v>
      </c>
    </row>
    <row r="2725" customFormat="false" ht="16.4" hidden="false" customHeight="false" outlineLevel="0" collapsed="false">
      <c r="A2725" s="13" t="str">
        <f aca="false">""</f>
        <v/>
      </c>
      <c r="B2725" s="13" t="n">
        <f aca="false">159</f>
        <v>159</v>
      </c>
      <c r="C2725" s="13" t="n">
        <f aca="false">IF(Szenarien!$H$18="OK",(IFERROR(SUMIF(Nutzungsprofile!$B$6:$B$11,"Schulbetrieb",Nutzungsprofile!$G$6:$G$11)*Kalender!C163/SUM(Kalender!$C$5:$C$370),0)+IFERROR(SUMIF(Nutzungsprofile!$B$6:$B$11,"Halle",Nutzungsprofile!$G$6:$G$11)*Kalender!D163/SUM(Kalender!$D$5:$D$370),0)+IFERROR(SUMIF(Nutzungsprofile!$B$6:$B$11,"Individuell",Nutzungsprofile!$G$6:$G$11)*Kalender!E163/SUM(Kalender!$E$5:$E$370),0))*Szenarien!$E$18,0)</f>
        <v>2.94</v>
      </c>
      <c r="D2725" s="13" t="n">
        <f aca="false">IF(Szenarien!$H$18="OK",(IFERROR(SUMIF(Nutzungsprofile!$B$17:$B$22,"Schulbetrieb",Nutzungsprofile!$G$17:$G$22)*Kalender!C163/SUM(Kalender!$C$5:$C$370),0)+IFERROR(SUMIF(Nutzungsprofile!$B$17:$B$22,"Halle",Nutzungsprofile!$G$17:$G$22)*Kalender!D163/SUM(Kalender!$D$5:$D$370),0)+IFERROR(SUMIF(Nutzungsprofile!$B$17:$B$22,"Individuell",Nutzungsprofile!$G$17:$G$22)*Kalender!E163/SUM(Kalender!$E$5:$E$370),0))*Szenarien!$D$18,0)</f>
        <v>3.952</v>
      </c>
      <c r="E2725" s="13" t="n">
        <f aca="false">IFERROR(MIN(C2725,Eingaben!$B$17)*Eingaben!$B$16,0)</f>
        <v>2.793</v>
      </c>
      <c r="F2725" s="13" t="n">
        <f aca="false">IFERROR(E2725*Eingaben!$B$15,0)</f>
        <v>2.5137</v>
      </c>
      <c r="G2725" s="13" t="n">
        <f aca="false">IFERROR(IF(Kalender!A163="",0,J2724*(1-Eingaben!$B$20)),0)</f>
        <v>1.709316</v>
      </c>
      <c r="H2725" s="13" t="n">
        <f aca="false">MIN(G2725,D2725)</f>
        <v>1.709316</v>
      </c>
      <c r="I2725" s="13" t="n">
        <f aca="false">IFERROR(MIN(F2725*Eingaben!$B$19,MAX(0,D2725-H2725)),0)</f>
        <v>1.75959</v>
      </c>
      <c r="J2725" s="13" t="n">
        <f aca="false">IFERROR(MIN(Eingaben!$B$18,MAX(0,F2725-I2725)),0)</f>
        <v>0.75411</v>
      </c>
      <c r="K2725" s="13" t="n">
        <f aca="false">H2725+I2725</f>
        <v>3.468906</v>
      </c>
      <c r="L2725" s="13" t="n">
        <f aca="false">MAX(0,D2725-K2725)</f>
        <v>0.483094</v>
      </c>
      <c r="M2725" s="13" t="n">
        <f aca="false">MAX(0,F2725-I2725-J2725)</f>
        <v>0</v>
      </c>
      <c r="N2725" s="13" t="n">
        <f aca="false">IF(Kalender!A163="",0,J2724-H2725)</f>
        <v>0.0348840000000001</v>
      </c>
    </row>
    <row r="2726" customFormat="false" ht="16.4" hidden="false" customHeight="false" outlineLevel="0" collapsed="false">
      <c r="A2726" s="13" t="str">
        <f aca="false">""</f>
        <v/>
      </c>
      <c r="B2726" s="13" t="n">
        <f aca="false">160</f>
        <v>160</v>
      </c>
      <c r="C2726" s="13" t="n">
        <f aca="false">IF(Szenarien!$H$18="OK",(IFERROR(SUMIF(Nutzungsprofile!$B$6:$B$11,"Schulbetrieb",Nutzungsprofile!$G$6:$G$11)*Kalender!C164/SUM(Kalender!$C$5:$C$370),0)+IFERROR(SUMIF(Nutzungsprofile!$B$6:$B$11,"Halle",Nutzungsprofile!$G$6:$G$11)*Kalender!D164/SUM(Kalender!$D$5:$D$370),0)+IFERROR(SUMIF(Nutzungsprofile!$B$6:$B$11,"Individuell",Nutzungsprofile!$G$6:$G$11)*Kalender!E164/SUM(Kalender!$E$5:$E$370),0))*Szenarien!$E$18,0)</f>
        <v>2.94</v>
      </c>
      <c r="D2726" s="13" t="n">
        <f aca="false">IF(Szenarien!$H$18="OK",(IFERROR(SUMIF(Nutzungsprofile!$B$17:$B$22,"Schulbetrieb",Nutzungsprofile!$G$17:$G$22)*Kalender!C164/SUM(Kalender!$C$5:$C$370),0)+IFERROR(SUMIF(Nutzungsprofile!$B$17:$B$22,"Halle",Nutzungsprofile!$G$17:$G$22)*Kalender!D164/SUM(Kalender!$D$5:$D$370),0)+IFERROR(SUMIF(Nutzungsprofile!$B$17:$B$22,"Individuell",Nutzungsprofile!$G$17:$G$22)*Kalender!E164/SUM(Kalender!$E$5:$E$370),0))*Szenarien!$D$18,0)</f>
        <v>3.952</v>
      </c>
      <c r="E2726" s="13" t="n">
        <f aca="false">IFERROR(MIN(C2726,Eingaben!$B$17)*Eingaben!$B$16,0)</f>
        <v>2.793</v>
      </c>
      <c r="F2726" s="13" t="n">
        <f aca="false">IFERROR(E2726*Eingaben!$B$15,0)</f>
        <v>2.5137</v>
      </c>
      <c r="G2726" s="13" t="n">
        <f aca="false">IFERROR(IF(Kalender!A164="",0,J2725*(1-Eingaben!$B$20)),0)</f>
        <v>0.7390278</v>
      </c>
      <c r="H2726" s="13" t="n">
        <f aca="false">MIN(G2726,D2726)</f>
        <v>0.7390278</v>
      </c>
      <c r="I2726" s="13" t="n">
        <f aca="false">IFERROR(MIN(F2726*Eingaben!$B$19,MAX(0,D2726-H2726)),0)</f>
        <v>1.75959</v>
      </c>
      <c r="J2726" s="13" t="n">
        <f aca="false">IFERROR(MIN(Eingaben!$B$18,MAX(0,F2726-I2726)),0)</f>
        <v>0.75411</v>
      </c>
      <c r="K2726" s="13" t="n">
        <f aca="false">H2726+I2726</f>
        <v>2.4986178</v>
      </c>
      <c r="L2726" s="13" t="n">
        <f aca="false">MAX(0,D2726-K2726)</f>
        <v>1.4533822</v>
      </c>
      <c r="M2726" s="13" t="n">
        <f aca="false">MAX(0,F2726-I2726-J2726)</f>
        <v>0</v>
      </c>
      <c r="N2726" s="13" t="n">
        <f aca="false">IF(Kalender!A164="",0,J2725-H2726)</f>
        <v>0.0150822</v>
      </c>
    </row>
    <row r="2727" customFormat="false" ht="16.4" hidden="false" customHeight="false" outlineLevel="0" collapsed="false">
      <c r="A2727" s="13" t="str">
        <f aca="false">""</f>
        <v/>
      </c>
      <c r="B2727" s="13" t="n">
        <f aca="false">161</f>
        <v>161</v>
      </c>
      <c r="C2727" s="13" t="n">
        <f aca="false">IF(Szenarien!$H$18="OK",(IFERROR(SUMIF(Nutzungsprofile!$B$6:$B$11,"Schulbetrieb",Nutzungsprofile!$G$6:$G$11)*Kalender!C165/SUM(Kalender!$C$5:$C$370),0)+IFERROR(SUMIF(Nutzungsprofile!$B$6:$B$11,"Halle",Nutzungsprofile!$G$6:$G$11)*Kalender!D165/SUM(Kalender!$D$5:$D$370),0)+IFERROR(SUMIF(Nutzungsprofile!$B$6:$B$11,"Individuell",Nutzungsprofile!$G$6:$G$11)*Kalender!E165/SUM(Kalender!$E$5:$E$370),0))*Szenarien!$E$18,0)</f>
        <v>2.94</v>
      </c>
      <c r="D2727" s="13" t="n">
        <f aca="false">IF(Szenarien!$H$18="OK",(IFERROR(SUMIF(Nutzungsprofile!$B$17:$B$22,"Schulbetrieb",Nutzungsprofile!$G$17:$G$22)*Kalender!C165/SUM(Kalender!$C$5:$C$370),0)+IFERROR(SUMIF(Nutzungsprofile!$B$17:$B$22,"Halle",Nutzungsprofile!$G$17:$G$22)*Kalender!D165/SUM(Kalender!$D$5:$D$370),0)+IFERROR(SUMIF(Nutzungsprofile!$B$17:$B$22,"Individuell",Nutzungsprofile!$G$17:$G$22)*Kalender!E165/SUM(Kalender!$E$5:$E$370),0))*Szenarien!$D$18,0)</f>
        <v>3.952</v>
      </c>
      <c r="E2727" s="13" t="n">
        <f aca="false">IFERROR(MIN(C2727,Eingaben!$B$17)*Eingaben!$B$16,0)</f>
        <v>2.793</v>
      </c>
      <c r="F2727" s="13" t="n">
        <f aca="false">IFERROR(E2727*Eingaben!$B$15,0)</f>
        <v>2.5137</v>
      </c>
      <c r="G2727" s="13" t="n">
        <f aca="false">IFERROR(IF(Kalender!A165="",0,J2726*(1-Eingaben!$B$20)),0)</f>
        <v>0.7390278</v>
      </c>
      <c r="H2727" s="13" t="n">
        <f aca="false">MIN(G2727,D2727)</f>
        <v>0.7390278</v>
      </c>
      <c r="I2727" s="13" t="n">
        <f aca="false">IFERROR(MIN(F2727*Eingaben!$B$19,MAX(0,D2727-H2727)),0)</f>
        <v>1.75959</v>
      </c>
      <c r="J2727" s="13" t="n">
        <f aca="false">IFERROR(MIN(Eingaben!$B$18,MAX(0,F2727-I2727)),0)</f>
        <v>0.75411</v>
      </c>
      <c r="K2727" s="13" t="n">
        <f aca="false">H2727+I2727</f>
        <v>2.4986178</v>
      </c>
      <c r="L2727" s="13" t="n">
        <f aca="false">MAX(0,D2727-K2727)</f>
        <v>1.4533822</v>
      </c>
      <c r="M2727" s="13" t="n">
        <f aca="false">MAX(0,F2727-I2727-J2727)</f>
        <v>0</v>
      </c>
      <c r="N2727" s="13" t="n">
        <f aca="false">IF(Kalender!A165="",0,J2726-H2727)</f>
        <v>0.0150822</v>
      </c>
    </row>
    <row r="2728" customFormat="false" ht="16.4" hidden="false" customHeight="false" outlineLevel="0" collapsed="false">
      <c r="A2728" s="13" t="str">
        <f aca="false">""</f>
        <v/>
      </c>
      <c r="B2728" s="13" t="n">
        <f aca="false">162</f>
        <v>162</v>
      </c>
      <c r="C2728" s="13" t="n">
        <f aca="false">IF(Szenarien!$H$18="OK",(IFERROR(SUMIF(Nutzungsprofile!$B$6:$B$11,"Schulbetrieb",Nutzungsprofile!$G$6:$G$11)*Kalender!C166/SUM(Kalender!$C$5:$C$370),0)+IFERROR(SUMIF(Nutzungsprofile!$B$6:$B$11,"Halle",Nutzungsprofile!$G$6:$G$11)*Kalender!D166/SUM(Kalender!$D$5:$D$370),0)+IFERROR(SUMIF(Nutzungsprofile!$B$6:$B$11,"Individuell",Nutzungsprofile!$G$6:$G$11)*Kalender!E166/SUM(Kalender!$E$5:$E$370),0))*Szenarien!$E$18,0)</f>
        <v>2.94</v>
      </c>
      <c r="D2728" s="13" t="n">
        <f aca="false">IF(Szenarien!$H$18="OK",(IFERROR(SUMIF(Nutzungsprofile!$B$17:$B$22,"Schulbetrieb",Nutzungsprofile!$G$17:$G$22)*Kalender!C166/SUM(Kalender!$C$5:$C$370),0)+IFERROR(SUMIF(Nutzungsprofile!$B$17:$B$22,"Halle",Nutzungsprofile!$G$17:$G$22)*Kalender!D166/SUM(Kalender!$D$5:$D$370),0)+IFERROR(SUMIF(Nutzungsprofile!$B$17:$B$22,"Individuell",Nutzungsprofile!$G$17:$G$22)*Kalender!E166/SUM(Kalender!$E$5:$E$370),0))*Szenarien!$D$18,0)</f>
        <v>3.952</v>
      </c>
      <c r="E2728" s="13" t="n">
        <f aca="false">IFERROR(MIN(C2728,Eingaben!$B$17)*Eingaben!$B$16,0)</f>
        <v>2.793</v>
      </c>
      <c r="F2728" s="13" t="n">
        <f aca="false">IFERROR(E2728*Eingaben!$B$15,0)</f>
        <v>2.5137</v>
      </c>
      <c r="G2728" s="13" t="n">
        <f aca="false">IFERROR(IF(Kalender!A166="",0,J2727*(1-Eingaben!$B$20)),0)</f>
        <v>0.7390278</v>
      </c>
      <c r="H2728" s="13" t="n">
        <f aca="false">MIN(G2728,D2728)</f>
        <v>0.7390278</v>
      </c>
      <c r="I2728" s="13" t="n">
        <f aca="false">IFERROR(MIN(F2728*Eingaben!$B$19,MAX(0,D2728-H2728)),0)</f>
        <v>1.75959</v>
      </c>
      <c r="J2728" s="13" t="n">
        <f aca="false">IFERROR(MIN(Eingaben!$B$18,MAX(0,F2728-I2728)),0)</f>
        <v>0.75411</v>
      </c>
      <c r="K2728" s="13" t="n">
        <f aca="false">H2728+I2728</f>
        <v>2.4986178</v>
      </c>
      <c r="L2728" s="13" t="n">
        <f aca="false">MAX(0,D2728-K2728)</f>
        <v>1.4533822</v>
      </c>
      <c r="M2728" s="13" t="n">
        <f aca="false">MAX(0,F2728-I2728-J2728)</f>
        <v>0</v>
      </c>
      <c r="N2728" s="13" t="n">
        <f aca="false">IF(Kalender!A166="",0,J2727-H2728)</f>
        <v>0.0150822</v>
      </c>
    </row>
    <row r="2729" customFormat="false" ht="16.4" hidden="false" customHeight="false" outlineLevel="0" collapsed="false">
      <c r="A2729" s="13" t="str">
        <f aca="false">""</f>
        <v/>
      </c>
      <c r="B2729" s="13" t="n">
        <f aca="false">163</f>
        <v>163</v>
      </c>
      <c r="C2729" s="13" t="n">
        <f aca="false">IF(Szenarien!$H$18="OK",(IFERROR(SUMIF(Nutzungsprofile!$B$6:$B$11,"Schulbetrieb",Nutzungsprofile!$G$6:$G$11)*Kalender!C167/SUM(Kalender!$C$5:$C$370),0)+IFERROR(SUMIF(Nutzungsprofile!$B$6:$B$11,"Halle",Nutzungsprofile!$G$6:$G$11)*Kalender!D167/SUM(Kalender!$D$5:$D$370),0)+IFERROR(SUMIF(Nutzungsprofile!$B$6:$B$11,"Individuell",Nutzungsprofile!$G$6:$G$11)*Kalender!E167/SUM(Kalender!$E$5:$E$370),0))*Szenarien!$E$18,0)</f>
        <v>2.94</v>
      </c>
      <c r="D2729" s="13" t="n">
        <f aca="false">IF(Szenarien!$H$18="OK",(IFERROR(SUMIF(Nutzungsprofile!$B$17:$B$22,"Schulbetrieb",Nutzungsprofile!$G$17:$G$22)*Kalender!C167/SUM(Kalender!$C$5:$C$370),0)+IFERROR(SUMIF(Nutzungsprofile!$B$17:$B$22,"Halle",Nutzungsprofile!$G$17:$G$22)*Kalender!D167/SUM(Kalender!$D$5:$D$370),0)+IFERROR(SUMIF(Nutzungsprofile!$B$17:$B$22,"Individuell",Nutzungsprofile!$G$17:$G$22)*Kalender!E167/SUM(Kalender!$E$5:$E$370),0))*Szenarien!$D$18,0)</f>
        <v>3.952</v>
      </c>
      <c r="E2729" s="13" t="n">
        <f aca="false">IFERROR(MIN(C2729,Eingaben!$B$17)*Eingaben!$B$16,0)</f>
        <v>2.793</v>
      </c>
      <c r="F2729" s="13" t="n">
        <f aca="false">IFERROR(E2729*Eingaben!$B$15,0)</f>
        <v>2.5137</v>
      </c>
      <c r="G2729" s="13" t="n">
        <f aca="false">IFERROR(IF(Kalender!A167="",0,J2728*(1-Eingaben!$B$20)),0)</f>
        <v>0.7390278</v>
      </c>
      <c r="H2729" s="13" t="n">
        <f aca="false">MIN(G2729,D2729)</f>
        <v>0.7390278</v>
      </c>
      <c r="I2729" s="13" t="n">
        <f aca="false">IFERROR(MIN(F2729*Eingaben!$B$19,MAX(0,D2729-H2729)),0)</f>
        <v>1.75959</v>
      </c>
      <c r="J2729" s="13" t="n">
        <f aca="false">IFERROR(MIN(Eingaben!$B$18,MAX(0,F2729-I2729)),0)</f>
        <v>0.75411</v>
      </c>
      <c r="K2729" s="13" t="n">
        <f aca="false">H2729+I2729</f>
        <v>2.4986178</v>
      </c>
      <c r="L2729" s="13" t="n">
        <f aca="false">MAX(0,D2729-K2729)</f>
        <v>1.4533822</v>
      </c>
      <c r="M2729" s="13" t="n">
        <f aca="false">MAX(0,F2729-I2729-J2729)</f>
        <v>0</v>
      </c>
      <c r="N2729" s="13" t="n">
        <f aca="false">IF(Kalender!A167="",0,J2728-H2729)</f>
        <v>0.0150822</v>
      </c>
    </row>
    <row r="2730" customFormat="false" ht="16.4" hidden="false" customHeight="false" outlineLevel="0" collapsed="false">
      <c r="A2730" s="13" t="str">
        <f aca="false">""</f>
        <v/>
      </c>
      <c r="B2730" s="13" t="n">
        <f aca="false">164</f>
        <v>164</v>
      </c>
      <c r="C2730" s="13" t="n">
        <f aca="false">IF(Szenarien!$H$18="OK",(IFERROR(SUMIF(Nutzungsprofile!$B$6:$B$11,"Schulbetrieb",Nutzungsprofile!$G$6:$G$11)*Kalender!C168/SUM(Kalender!$C$5:$C$370),0)+IFERROR(SUMIF(Nutzungsprofile!$B$6:$B$11,"Halle",Nutzungsprofile!$G$6:$G$11)*Kalender!D168/SUM(Kalender!$D$5:$D$370),0)+IFERROR(SUMIF(Nutzungsprofile!$B$6:$B$11,"Individuell",Nutzungsprofile!$G$6:$G$11)*Kalender!E168/SUM(Kalender!$E$5:$E$370),0))*Szenarien!$E$18,0)</f>
        <v>2.04</v>
      </c>
      <c r="D2730" s="13" t="n">
        <f aca="false">IF(Szenarien!$H$18="OK",(IFERROR(SUMIF(Nutzungsprofile!$B$17:$B$22,"Schulbetrieb",Nutzungsprofile!$G$17:$G$22)*Kalender!C168/SUM(Kalender!$C$5:$C$370),0)+IFERROR(SUMIF(Nutzungsprofile!$B$17:$B$22,"Halle",Nutzungsprofile!$G$17:$G$22)*Kalender!D168/SUM(Kalender!$D$5:$D$370),0)+IFERROR(SUMIF(Nutzungsprofile!$B$17:$B$22,"Individuell",Nutzungsprofile!$G$17:$G$22)*Kalender!E168/SUM(Kalender!$E$5:$E$370),0))*Szenarien!$D$18,0)</f>
        <v>0.712</v>
      </c>
      <c r="E2730" s="13" t="n">
        <f aca="false">IFERROR(MIN(C2730,Eingaben!$B$17)*Eingaben!$B$16,0)</f>
        <v>1.938</v>
      </c>
      <c r="F2730" s="13" t="n">
        <f aca="false">IFERROR(E2730*Eingaben!$B$15,0)</f>
        <v>1.7442</v>
      </c>
      <c r="G2730" s="13" t="n">
        <f aca="false">IFERROR(IF(Kalender!A168="",0,J2729*(1-Eingaben!$B$20)),0)</f>
        <v>0.7390278</v>
      </c>
      <c r="H2730" s="13" t="n">
        <f aca="false">MIN(G2730,D2730)</f>
        <v>0.712</v>
      </c>
      <c r="I2730" s="13" t="n">
        <f aca="false">IFERROR(MIN(F2730*Eingaben!$B$19,MAX(0,D2730-H2730)),0)</f>
        <v>0</v>
      </c>
      <c r="J2730" s="13" t="n">
        <f aca="false">IFERROR(MIN(Eingaben!$B$18,MAX(0,F2730-I2730)),0)</f>
        <v>1.7442</v>
      </c>
      <c r="K2730" s="13" t="n">
        <f aca="false">H2730+I2730</f>
        <v>0.712</v>
      </c>
      <c r="L2730" s="13" t="n">
        <f aca="false">MAX(0,D2730-K2730)</f>
        <v>0</v>
      </c>
      <c r="M2730" s="13" t="n">
        <f aca="false">MAX(0,F2730-I2730-J2730)</f>
        <v>0</v>
      </c>
      <c r="N2730" s="13" t="n">
        <f aca="false">IF(Kalender!A168="",0,J2729-H2730)</f>
        <v>0.04211</v>
      </c>
    </row>
    <row r="2731" customFormat="false" ht="16.4" hidden="false" customHeight="false" outlineLevel="0" collapsed="false">
      <c r="A2731" s="13" t="str">
        <f aca="false">""</f>
        <v/>
      </c>
      <c r="B2731" s="13" t="n">
        <f aca="false">165</f>
        <v>165</v>
      </c>
      <c r="C2731" s="13" t="n">
        <f aca="false">IF(Szenarien!$H$18="OK",(IFERROR(SUMIF(Nutzungsprofile!$B$6:$B$11,"Schulbetrieb",Nutzungsprofile!$G$6:$G$11)*Kalender!C169/SUM(Kalender!$C$5:$C$370),0)+IFERROR(SUMIF(Nutzungsprofile!$B$6:$B$11,"Halle",Nutzungsprofile!$G$6:$G$11)*Kalender!D169/SUM(Kalender!$D$5:$D$370),0)+IFERROR(SUMIF(Nutzungsprofile!$B$6:$B$11,"Individuell",Nutzungsprofile!$G$6:$G$11)*Kalender!E169/SUM(Kalender!$E$5:$E$370),0))*Szenarien!$E$18,0)</f>
        <v>2.04</v>
      </c>
      <c r="D2731" s="13" t="n">
        <f aca="false">IF(Szenarien!$H$18="OK",(IFERROR(SUMIF(Nutzungsprofile!$B$17:$B$22,"Schulbetrieb",Nutzungsprofile!$G$17:$G$22)*Kalender!C169/SUM(Kalender!$C$5:$C$370),0)+IFERROR(SUMIF(Nutzungsprofile!$B$17:$B$22,"Halle",Nutzungsprofile!$G$17:$G$22)*Kalender!D169/SUM(Kalender!$D$5:$D$370),0)+IFERROR(SUMIF(Nutzungsprofile!$B$17:$B$22,"Individuell",Nutzungsprofile!$G$17:$G$22)*Kalender!E169/SUM(Kalender!$E$5:$E$370),0))*Szenarien!$D$18,0)</f>
        <v>0.712</v>
      </c>
      <c r="E2731" s="13" t="n">
        <f aca="false">IFERROR(MIN(C2731,Eingaben!$B$17)*Eingaben!$B$16,0)</f>
        <v>1.938</v>
      </c>
      <c r="F2731" s="13" t="n">
        <f aca="false">IFERROR(E2731*Eingaben!$B$15,0)</f>
        <v>1.7442</v>
      </c>
      <c r="G2731" s="13" t="n">
        <f aca="false">IFERROR(IF(Kalender!A169="",0,J2730*(1-Eingaben!$B$20)),0)</f>
        <v>1.709316</v>
      </c>
      <c r="H2731" s="13" t="n">
        <f aca="false">MIN(G2731,D2731)</f>
        <v>0.712</v>
      </c>
      <c r="I2731" s="13" t="n">
        <f aca="false">IFERROR(MIN(F2731*Eingaben!$B$19,MAX(0,D2731-H2731)),0)</f>
        <v>0</v>
      </c>
      <c r="J2731" s="13" t="n">
        <f aca="false">IFERROR(MIN(Eingaben!$B$18,MAX(0,F2731-I2731)),0)</f>
        <v>1.7442</v>
      </c>
      <c r="K2731" s="13" t="n">
        <f aca="false">H2731+I2731</f>
        <v>0.712</v>
      </c>
      <c r="L2731" s="13" t="n">
        <f aca="false">MAX(0,D2731-K2731)</f>
        <v>0</v>
      </c>
      <c r="M2731" s="13" t="n">
        <f aca="false">MAX(0,F2731-I2731-J2731)</f>
        <v>0</v>
      </c>
      <c r="N2731" s="13" t="n">
        <f aca="false">IF(Kalender!A169="",0,J2730-H2731)</f>
        <v>1.0322</v>
      </c>
    </row>
    <row r="2732" customFormat="false" ht="16.4" hidden="false" customHeight="false" outlineLevel="0" collapsed="false">
      <c r="A2732" s="13" t="str">
        <f aca="false">""</f>
        <v/>
      </c>
      <c r="B2732" s="13" t="n">
        <f aca="false">166</f>
        <v>166</v>
      </c>
      <c r="C2732" s="13" t="n">
        <f aca="false">IF(Szenarien!$H$18="OK",(IFERROR(SUMIF(Nutzungsprofile!$B$6:$B$11,"Schulbetrieb",Nutzungsprofile!$G$6:$G$11)*Kalender!C170/SUM(Kalender!$C$5:$C$370),0)+IFERROR(SUMIF(Nutzungsprofile!$B$6:$B$11,"Halle",Nutzungsprofile!$G$6:$G$11)*Kalender!D170/SUM(Kalender!$D$5:$D$370),0)+IFERROR(SUMIF(Nutzungsprofile!$B$6:$B$11,"Individuell",Nutzungsprofile!$G$6:$G$11)*Kalender!E170/SUM(Kalender!$E$5:$E$370),0))*Szenarien!$E$18,0)</f>
        <v>2.94</v>
      </c>
      <c r="D2732" s="13" t="n">
        <f aca="false">IF(Szenarien!$H$18="OK",(IFERROR(SUMIF(Nutzungsprofile!$B$17:$B$22,"Schulbetrieb",Nutzungsprofile!$G$17:$G$22)*Kalender!C170/SUM(Kalender!$C$5:$C$370),0)+IFERROR(SUMIF(Nutzungsprofile!$B$17:$B$22,"Halle",Nutzungsprofile!$G$17:$G$22)*Kalender!D170/SUM(Kalender!$D$5:$D$370),0)+IFERROR(SUMIF(Nutzungsprofile!$B$17:$B$22,"Individuell",Nutzungsprofile!$G$17:$G$22)*Kalender!E170/SUM(Kalender!$E$5:$E$370),0))*Szenarien!$D$18,0)</f>
        <v>3.952</v>
      </c>
      <c r="E2732" s="13" t="n">
        <f aca="false">IFERROR(MIN(C2732,Eingaben!$B$17)*Eingaben!$B$16,0)</f>
        <v>2.793</v>
      </c>
      <c r="F2732" s="13" t="n">
        <f aca="false">IFERROR(E2732*Eingaben!$B$15,0)</f>
        <v>2.5137</v>
      </c>
      <c r="G2732" s="13" t="n">
        <f aca="false">IFERROR(IF(Kalender!A170="",0,J2731*(1-Eingaben!$B$20)),0)</f>
        <v>1.709316</v>
      </c>
      <c r="H2732" s="13" t="n">
        <f aca="false">MIN(G2732,D2732)</f>
        <v>1.709316</v>
      </c>
      <c r="I2732" s="13" t="n">
        <f aca="false">IFERROR(MIN(F2732*Eingaben!$B$19,MAX(0,D2732-H2732)),0)</f>
        <v>1.75959</v>
      </c>
      <c r="J2732" s="13" t="n">
        <f aca="false">IFERROR(MIN(Eingaben!$B$18,MAX(0,F2732-I2732)),0)</f>
        <v>0.75411</v>
      </c>
      <c r="K2732" s="13" t="n">
        <f aca="false">H2732+I2732</f>
        <v>3.468906</v>
      </c>
      <c r="L2732" s="13" t="n">
        <f aca="false">MAX(0,D2732-K2732)</f>
        <v>0.483094</v>
      </c>
      <c r="M2732" s="13" t="n">
        <f aca="false">MAX(0,F2732-I2732-J2732)</f>
        <v>0</v>
      </c>
      <c r="N2732" s="13" t="n">
        <f aca="false">IF(Kalender!A170="",0,J2731-H2732)</f>
        <v>0.0348840000000001</v>
      </c>
    </row>
    <row r="2733" customFormat="false" ht="16.4" hidden="false" customHeight="false" outlineLevel="0" collapsed="false">
      <c r="A2733" s="13" t="str">
        <f aca="false">""</f>
        <v/>
      </c>
      <c r="B2733" s="13" t="n">
        <f aca="false">167</f>
        <v>167</v>
      </c>
      <c r="C2733" s="13" t="n">
        <f aca="false">IF(Szenarien!$H$18="OK",(IFERROR(SUMIF(Nutzungsprofile!$B$6:$B$11,"Schulbetrieb",Nutzungsprofile!$G$6:$G$11)*Kalender!C171/SUM(Kalender!$C$5:$C$370),0)+IFERROR(SUMIF(Nutzungsprofile!$B$6:$B$11,"Halle",Nutzungsprofile!$G$6:$G$11)*Kalender!D171/SUM(Kalender!$D$5:$D$370),0)+IFERROR(SUMIF(Nutzungsprofile!$B$6:$B$11,"Individuell",Nutzungsprofile!$G$6:$G$11)*Kalender!E171/SUM(Kalender!$E$5:$E$370),0))*Szenarien!$E$18,0)</f>
        <v>2.94</v>
      </c>
      <c r="D2733" s="13" t="n">
        <f aca="false">IF(Szenarien!$H$18="OK",(IFERROR(SUMIF(Nutzungsprofile!$B$17:$B$22,"Schulbetrieb",Nutzungsprofile!$G$17:$G$22)*Kalender!C171/SUM(Kalender!$C$5:$C$370),0)+IFERROR(SUMIF(Nutzungsprofile!$B$17:$B$22,"Halle",Nutzungsprofile!$G$17:$G$22)*Kalender!D171/SUM(Kalender!$D$5:$D$370),0)+IFERROR(SUMIF(Nutzungsprofile!$B$17:$B$22,"Individuell",Nutzungsprofile!$G$17:$G$22)*Kalender!E171/SUM(Kalender!$E$5:$E$370),0))*Szenarien!$D$18,0)</f>
        <v>3.952</v>
      </c>
      <c r="E2733" s="13" t="n">
        <f aca="false">IFERROR(MIN(C2733,Eingaben!$B$17)*Eingaben!$B$16,0)</f>
        <v>2.793</v>
      </c>
      <c r="F2733" s="13" t="n">
        <f aca="false">IFERROR(E2733*Eingaben!$B$15,0)</f>
        <v>2.5137</v>
      </c>
      <c r="G2733" s="13" t="n">
        <f aca="false">IFERROR(IF(Kalender!A171="",0,J2732*(1-Eingaben!$B$20)),0)</f>
        <v>0.7390278</v>
      </c>
      <c r="H2733" s="13" t="n">
        <f aca="false">MIN(G2733,D2733)</f>
        <v>0.7390278</v>
      </c>
      <c r="I2733" s="13" t="n">
        <f aca="false">IFERROR(MIN(F2733*Eingaben!$B$19,MAX(0,D2733-H2733)),0)</f>
        <v>1.75959</v>
      </c>
      <c r="J2733" s="13" t="n">
        <f aca="false">IFERROR(MIN(Eingaben!$B$18,MAX(0,F2733-I2733)),0)</f>
        <v>0.75411</v>
      </c>
      <c r="K2733" s="13" t="n">
        <f aca="false">H2733+I2733</f>
        <v>2.4986178</v>
      </c>
      <c r="L2733" s="13" t="n">
        <f aca="false">MAX(0,D2733-K2733)</f>
        <v>1.4533822</v>
      </c>
      <c r="M2733" s="13" t="n">
        <f aca="false">MAX(0,F2733-I2733-J2733)</f>
        <v>0</v>
      </c>
      <c r="N2733" s="13" t="n">
        <f aca="false">IF(Kalender!A171="",0,J2732-H2733)</f>
        <v>0.0150822</v>
      </c>
    </row>
    <row r="2734" customFormat="false" ht="16.4" hidden="false" customHeight="false" outlineLevel="0" collapsed="false">
      <c r="A2734" s="13" t="str">
        <f aca="false">""</f>
        <v/>
      </c>
      <c r="B2734" s="13" t="n">
        <f aca="false">168</f>
        <v>168</v>
      </c>
      <c r="C2734" s="13" t="n">
        <f aca="false">IF(Szenarien!$H$18="OK",(IFERROR(SUMIF(Nutzungsprofile!$B$6:$B$11,"Schulbetrieb",Nutzungsprofile!$G$6:$G$11)*Kalender!C172/SUM(Kalender!$C$5:$C$370),0)+IFERROR(SUMIF(Nutzungsprofile!$B$6:$B$11,"Halle",Nutzungsprofile!$G$6:$G$11)*Kalender!D172/SUM(Kalender!$D$5:$D$370),0)+IFERROR(SUMIF(Nutzungsprofile!$B$6:$B$11,"Individuell",Nutzungsprofile!$G$6:$G$11)*Kalender!E172/SUM(Kalender!$E$5:$E$370),0))*Szenarien!$E$18,0)</f>
        <v>2.94</v>
      </c>
      <c r="D2734" s="13" t="n">
        <f aca="false">IF(Szenarien!$H$18="OK",(IFERROR(SUMIF(Nutzungsprofile!$B$17:$B$22,"Schulbetrieb",Nutzungsprofile!$G$17:$G$22)*Kalender!C172/SUM(Kalender!$C$5:$C$370),0)+IFERROR(SUMIF(Nutzungsprofile!$B$17:$B$22,"Halle",Nutzungsprofile!$G$17:$G$22)*Kalender!D172/SUM(Kalender!$D$5:$D$370),0)+IFERROR(SUMIF(Nutzungsprofile!$B$17:$B$22,"Individuell",Nutzungsprofile!$G$17:$G$22)*Kalender!E172/SUM(Kalender!$E$5:$E$370),0))*Szenarien!$D$18,0)</f>
        <v>3.952</v>
      </c>
      <c r="E2734" s="13" t="n">
        <f aca="false">IFERROR(MIN(C2734,Eingaben!$B$17)*Eingaben!$B$16,0)</f>
        <v>2.793</v>
      </c>
      <c r="F2734" s="13" t="n">
        <f aca="false">IFERROR(E2734*Eingaben!$B$15,0)</f>
        <v>2.5137</v>
      </c>
      <c r="G2734" s="13" t="n">
        <f aca="false">IFERROR(IF(Kalender!A172="",0,J2733*(1-Eingaben!$B$20)),0)</f>
        <v>0.7390278</v>
      </c>
      <c r="H2734" s="13" t="n">
        <f aca="false">MIN(G2734,D2734)</f>
        <v>0.7390278</v>
      </c>
      <c r="I2734" s="13" t="n">
        <f aca="false">IFERROR(MIN(F2734*Eingaben!$B$19,MAX(0,D2734-H2734)),0)</f>
        <v>1.75959</v>
      </c>
      <c r="J2734" s="13" t="n">
        <f aca="false">IFERROR(MIN(Eingaben!$B$18,MAX(0,F2734-I2734)),0)</f>
        <v>0.75411</v>
      </c>
      <c r="K2734" s="13" t="n">
        <f aca="false">H2734+I2734</f>
        <v>2.4986178</v>
      </c>
      <c r="L2734" s="13" t="n">
        <f aca="false">MAX(0,D2734-K2734)</f>
        <v>1.4533822</v>
      </c>
      <c r="M2734" s="13" t="n">
        <f aca="false">MAX(0,F2734-I2734-J2734)</f>
        <v>0</v>
      </c>
      <c r="N2734" s="13" t="n">
        <f aca="false">IF(Kalender!A172="",0,J2733-H2734)</f>
        <v>0.0150822</v>
      </c>
    </row>
    <row r="2735" customFormat="false" ht="16.4" hidden="false" customHeight="false" outlineLevel="0" collapsed="false">
      <c r="A2735" s="13" t="str">
        <f aca="false">""</f>
        <v/>
      </c>
      <c r="B2735" s="13" t="n">
        <f aca="false">169</f>
        <v>169</v>
      </c>
      <c r="C2735" s="13" t="n">
        <f aca="false">IF(Szenarien!$H$18="OK",(IFERROR(SUMIF(Nutzungsprofile!$B$6:$B$11,"Schulbetrieb",Nutzungsprofile!$G$6:$G$11)*Kalender!C173/SUM(Kalender!$C$5:$C$370),0)+IFERROR(SUMIF(Nutzungsprofile!$B$6:$B$11,"Halle",Nutzungsprofile!$G$6:$G$11)*Kalender!D173/SUM(Kalender!$D$5:$D$370),0)+IFERROR(SUMIF(Nutzungsprofile!$B$6:$B$11,"Individuell",Nutzungsprofile!$G$6:$G$11)*Kalender!E173/SUM(Kalender!$E$5:$E$370),0))*Szenarien!$E$18,0)</f>
        <v>2.94</v>
      </c>
      <c r="D2735" s="13" t="n">
        <f aca="false">IF(Szenarien!$H$18="OK",(IFERROR(SUMIF(Nutzungsprofile!$B$17:$B$22,"Schulbetrieb",Nutzungsprofile!$G$17:$G$22)*Kalender!C173/SUM(Kalender!$C$5:$C$370),0)+IFERROR(SUMIF(Nutzungsprofile!$B$17:$B$22,"Halle",Nutzungsprofile!$G$17:$G$22)*Kalender!D173/SUM(Kalender!$D$5:$D$370),0)+IFERROR(SUMIF(Nutzungsprofile!$B$17:$B$22,"Individuell",Nutzungsprofile!$G$17:$G$22)*Kalender!E173/SUM(Kalender!$E$5:$E$370),0))*Szenarien!$D$18,0)</f>
        <v>3.952</v>
      </c>
      <c r="E2735" s="13" t="n">
        <f aca="false">IFERROR(MIN(C2735,Eingaben!$B$17)*Eingaben!$B$16,0)</f>
        <v>2.793</v>
      </c>
      <c r="F2735" s="13" t="n">
        <f aca="false">IFERROR(E2735*Eingaben!$B$15,0)</f>
        <v>2.5137</v>
      </c>
      <c r="G2735" s="13" t="n">
        <f aca="false">IFERROR(IF(Kalender!A173="",0,J2734*(1-Eingaben!$B$20)),0)</f>
        <v>0.7390278</v>
      </c>
      <c r="H2735" s="13" t="n">
        <f aca="false">MIN(G2735,D2735)</f>
        <v>0.7390278</v>
      </c>
      <c r="I2735" s="13" t="n">
        <f aca="false">IFERROR(MIN(F2735*Eingaben!$B$19,MAX(0,D2735-H2735)),0)</f>
        <v>1.75959</v>
      </c>
      <c r="J2735" s="13" t="n">
        <f aca="false">IFERROR(MIN(Eingaben!$B$18,MAX(0,F2735-I2735)),0)</f>
        <v>0.75411</v>
      </c>
      <c r="K2735" s="13" t="n">
        <f aca="false">H2735+I2735</f>
        <v>2.4986178</v>
      </c>
      <c r="L2735" s="13" t="n">
        <f aca="false">MAX(0,D2735-K2735)</f>
        <v>1.4533822</v>
      </c>
      <c r="M2735" s="13" t="n">
        <f aca="false">MAX(0,F2735-I2735-J2735)</f>
        <v>0</v>
      </c>
      <c r="N2735" s="13" t="n">
        <f aca="false">IF(Kalender!A173="",0,J2734-H2735)</f>
        <v>0.0150822</v>
      </c>
    </row>
    <row r="2736" customFormat="false" ht="16.4" hidden="false" customHeight="false" outlineLevel="0" collapsed="false">
      <c r="A2736" s="13" t="str">
        <f aca="false">""</f>
        <v/>
      </c>
      <c r="B2736" s="13" t="n">
        <f aca="false">170</f>
        <v>170</v>
      </c>
      <c r="C2736" s="13" t="n">
        <f aca="false">IF(Szenarien!$H$18="OK",(IFERROR(SUMIF(Nutzungsprofile!$B$6:$B$11,"Schulbetrieb",Nutzungsprofile!$G$6:$G$11)*Kalender!C174/SUM(Kalender!$C$5:$C$370),0)+IFERROR(SUMIF(Nutzungsprofile!$B$6:$B$11,"Halle",Nutzungsprofile!$G$6:$G$11)*Kalender!D174/SUM(Kalender!$D$5:$D$370),0)+IFERROR(SUMIF(Nutzungsprofile!$B$6:$B$11,"Individuell",Nutzungsprofile!$G$6:$G$11)*Kalender!E174/SUM(Kalender!$E$5:$E$370),0))*Szenarien!$E$18,0)</f>
        <v>2.94</v>
      </c>
      <c r="D2736" s="13" t="n">
        <f aca="false">IF(Szenarien!$H$18="OK",(IFERROR(SUMIF(Nutzungsprofile!$B$17:$B$22,"Schulbetrieb",Nutzungsprofile!$G$17:$G$22)*Kalender!C174/SUM(Kalender!$C$5:$C$370),0)+IFERROR(SUMIF(Nutzungsprofile!$B$17:$B$22,"Halle",Nutzungsprofile!$G$17:$G$22)*Kalender!D174/SUM(Kalender!$D$5:$D$370),0)+IFERROR(SUMIF(Nutzungsprofile!$B$17:$B$22,"Individuell",Nutzungsprofile!$G$17:$G$22)*Kalender!E174/SUM(Kalender!$E$5:$E$370),0))*Szenarien!$D$18,0)</f>
        <v>3.952</v>
      </c>
      <c r="E2736" s="13" t="n">
        <f aca="false">IFERROR(MIN(C2736,Eingaben!$B$17)*Eingaben!$B$16,0)</f>
        <v>2.793</v>
      </c>
      <c r="F2736" s="13" t="n">
        <f aca="false">IFERROR(E2736*Eingaben!$B$15,0)</f>
        <v>2.5137</v>
      </c>
      <c r="G2736" s="13" t="n">
        <f aca="false">IFERROR(IF(Kalender!A174="",0,J2735*(1-Eingaben!$B$20)),0)</f>
        <v>0.7390278</v>
      </c>
      <c r="H2736" s="13" t="n">
        <f aca="false">MIN(G2736,D2736)</f>
        <v>0.7390278</v>
      </c>
      <c r="I2736" s="13" t="n">
        <f aca="false">IFERROR(MIN(F2736*Eingaben!$B$19,MAX(0,D2736-H2736)),0)</f>
        <v>1.75959</v>
      </c>
      <c r="J2736" s="13" t="n">
        <f aca="false">IFERROR(MIN(Eingaben!$B$18,MAX(0,F2736-I2736)),0)</f>
        <v>0.75411</v>
      </c>
      <c r="K2736" s="13" t="n">
        <f aca="false">H2736+I2736</f>
        <v>2.4986178</v>
      </c>
      <c r="L2736" s="13" t="n">
        <f aca="false">MAX(0,D2736-K2736)</f>
        <v>1.4533822</v>
      </c>
      <c r="M2736" s="13" t="n">
        <f aca="false">MAX(0,F2736-I2736-J2736)</f>
        <v>0</v>
      </c>
      <c r="N2736" s="13" t="n">
        <f aca="false">IF(Kalender!A174="",0,J2735-H2736)</f>
        <v>0.0150822</v>
      </c>
    </row>
    <row r="2737" customFormat="false" ht="16.4" hidden="false" customHeight="false" outlineLevel="0" collapsed="false">
      <c r="A2737" s="13" t="str">
        <f aca="false">""</f>
        <v/>
      </c>
      <c r="B2737" s="13" t="n">
        <f aca="false">171</f>
        <v>171</v>
      </c>
      <c r="C2737" s="13" t="n">
        <f aca="false">IF(Szenarien!$H$18="OK",(IFERROR(SUMIF(Nutzungsprofile!$B$6:$B$11,"Schulbetrieb",Nutzungsprofile!$G$6:$G$11)*Kalender!C175/SUM(Kalender!$C$5:$C$370),0)+IFERROR(SUMIF(Nutzungsprofile!$B$6:$B$11,"Halle",Nutzungsprofile!$G$6:$G$11)*Kalender!D175/SUM(Kalender!$D$5:$D$370),0)+IFERROR(SUMIF(Nutzungsprofile!$B$6:$B$11,"Individuell",Nutzungsprofile!$G$6:$G$11)*Kalender!E175/SUM(Kalender!$E$5:$E$370),0))*Szenarien!$E$18,0)</f>
        <v>2.04</v>
      </c>
      <c r="D2737" s="13" t="n">
        <f aca="false">IF(Szenarien!$H$18="OK",(IFERROR(SUMIF(Nutzungsprofile!$B$17:$B$22,"Schulbetrieb",Nutzungsprofile!$G$17:$G$22)*Kalender!C175/SUM(Kalender!$C$5:$C$370),0)+IFERROR(SUMIF(Nutzungsprofile!$B$17:$B$22,"Halle",Nutzungsprofile!$G$17:$G$22)*Kalender!D175/SUM(Kalender!$D$5:$D$370),0)+IFERROR(SUMIF(Nutzungsprofile!$B$17:$B$22,"Individuell",Nutzungsprofile!$G$17:$G$22)*Kalender!E175/SUM(Kalender!$E$5:$E$370),0))*Szenarien!$D$18,0)</f>
        <v>0.712</v>
      </c>
      <c r="E2737" s="13" t="n">
        <f aca="false">IFERROR(MIN(C2737,Eingaben!$B$17)*Eingaben!$B$16,0)</f>
        <v>1.938</v>
      </c>
      <c r="F2737" s="13" t="n">
        <f aca="false">IFERROR(E2737*Eingaben!$B$15,0)</f>
        <v>1.7442</v>
      </c>
      <c r="G2737" s="13" t="n">
        <f aca="false">IFERROR(IF(Kalender!A175="",0,J2736*(1-Eingaben!$B$20)),0)</f>
        <v>0.7390278</v>
      </c>
      <c r="H2737" s="13" t="n">
        <f aca="false">MIN(G2737,D2737)</f>
        <v>0.712</v>
      </c>
      <c r="I2737" s="13" t="n">
        <f aca="false">IFERROR(MIN(F2737*Eingaben!$B$19,MAX(0,D2737-H2737)),0)</f>
        <v>0</v>
      </c>
      <c r="J2737" s="13" t="n">
        <f aca="false">IFERROR(MIN(Eingaben!$B$18,MAX(0,F2737-I2737)),0)</f>
        <v>1.7442</v>
      </c>
      <c r="K2737" s="13" t="n">
        <f aca="false">H2737+I2737</f>
        <v>0.712</v>
      </c>
      <c r="L2737" s="13" t="n">
        <f aca="false">MAX(0,D2737-K2737)</f>
        <v>0</v>
      </c>
      <c r="M2737" s="13" t="n">
        <f aca="false">MAX(0,F2737-I2737-J2737)</f>
        <v>0</v>
      </c>
      <c r="N2737" s="13" t="n">
        <f aca="false">IF(Kalender!A175="",0,J2736-H2737)</f>
        <v>0.04211</v>
      </c>
    </row>
    <row r="2738" customFormat="false" ht="16.4" hidden="false" customHeight="false" outlineLevel="0" collapsed="false">
      <c r="A2738" s="13" t="str">
        <f aca="false">""</f>
        <v/>
      </c>
      <c r="B2738" s="13" t="n">
        <f aca="false">172</f>
        <v>172</v>
      </c>
      <c r="C2738" s="13" t="n">
        <f aca="false">IF(Szenarien!$H$18="OK",(IFERROR(SUMIF(Nutzungsprofile!$B$6:$B$11,"Schulbetrieb",Nutzungsprofile!$G$6:$G$11)*Kalender!C176/SUM(Kalender!$C$5:$C$370),0)+IFERROR(SUMIF(Nutzungsprofile!$B$6:$B$11,"Halle",Nutzungsprofile!$G$6:$G$11)*Kalender!D176/SUM(Kalender!$D$5:$D$370),0)+IFERROR(SUMIF(Nutzungsprofile!$B$6:$B$11,"Individuell",Nutzungsprofile!$G$6:$G$11)*Kalender!E176/SUM(Kalender!$E$5:$E$370),0))*Szenarien!$E$18,0)</f>
        <v>2.04</v>
      </c>
      <c r="D2738" s="13" t="n">
        <f aca="false">IF(Szenarien!$H$18="OK",(IFERROR(SUMIF(Nutzungsprofile!$B$17:$B$22,"Schulbetrieb",Nutzungsprofile!$G$17:$G$22)*Kalender!C176/SUM(Kalender!$C$5:$C$370),0)+IFERROR(SUMIF(Nutzungsprofile!$B$17:$B$22,"Halle",Nutzungsprofile!$G$17:$G$22)*Kalender!D176/SUM(Kalender!$D$5:$D$370),0)+IFERROR(SUMIF(Nutzungsprofile!$B$17:$B$22,"Individuell",Nutzungsprofile!$G$17:$G$22)*Kalender!E176/SUM(Kalender!$E$5:$E$370),0))*Szenarien!$D$18,0)</f>
        <v>0.712</v>
      </c>
      <c r="E2738" s="13" t="n">
        <f aca="false">IFERROR(MIN(C2738,Eingaben!$B$17)*Eingaben!$B$16,0)</f>
        <v>1.938</v>
      </c>
      <c r="F2738" s="13" t="n">
        <f aca="false">IFERROR(E2738*Eingaben!$B$15,0)</f>
        <v>1.7442</v>
      </c>
      <c r="G2738" s="13" t="n">
        <f aca="false">IFERROR(IF(Kalender!A176="",0,J2737*(1-Eingaben!$B$20)),0)</f>
        <v>1.709316</v>
      </c>
      <c r="H2738" s="13" t="n">
        <f aca="false">MIN(G2738,D2738)</f>
        <v>0.712</v>
      </c>
      <c r="I2738" s="13" t="n">
        <f aca="false">IFERROR(MIN(F2738*Eingaben!$B$19,MAX(0,D2738-H2738)),0)</f>
        <v>0</v>
      </c>
      <c r="J2738" s="13" t="n">
        <f aca="false">IFERROR(MIN(Eingaben!$B$18,MAX(0,F2738-I2738)),0)</f>
        <v>1.7442</v>
      </c>
      <c r="K2738" s="13" t="n">
        <f aca="false">H2738+I2738</f>
        <v>0.712</v>
      </c>
      <c r="L2738" s="13" t="n">
        <f aca="false">MAX(0,D2738-K2738)</f>
        <v>0</v>
      </c>
      <c r="M2738" s="13" t="n">
        <f aca="false">MAX(0,F2738-I2738-J2738)</f>
        <v>0</v>
      </c>
      <c r="N2738" s="13" t="n">
        <f aca="false">IF(Kalender!A176="",0,J2737-H2738)</f>
        <v>1.0322</v>
      </c>
    </row>
    <row r="2739" customFormat="false" ht="16.4" hidden="false" customHeight="false" outlineLevel="0" collapsed="false">
      <c r="A2739" s="13" t="str">
        <f aca="false">""</f>
        <v/>
      </c>
      <c r="B2739" s="13" t="n">
        <f aca="false">173</f>
        <v>173</v>
      </c>
      <c r="C2739" s="13" t="n">
        <f aca="false">IF(Szenarien!$H$18="OK",(IFERROR(SUMIF(Nutzungsprofile!$B$6:$B$11,"Schulbetrieb",Nutzungsprofile!$G$6:$G$11)*Kalender!C177/SUM(Kalender!$C$5:$C$370),0)+IFERROR(SUMIF(Nutzungsprofile!$B$6:$B$11,"Halle",Nutzungsprofile!$G$6:$G$11)*Kalender!D177/SUM(Kalender!$D$5:$D$370),0)+IFERROR(SUMIF(Nutzungsprofile!$B$6:$B$11,"Individuell",Nutzungsprofile!$G$6:$G$11)*Kalender!E177/SUM(Kalender!$E$5:$E$370),0))*Szenarien!$E$18,0)</f>
        <v>2.94</v>
      </c>
      <c r="D2739" s="13" t="n">
        <f aca="false">IF(Szenarien!$H$18="OK",(IFERROR(SUMIF(Nutzungsprofile!$B$17:$B$22,"Schulbetrieb",Nutzungsprofile!$G$17:$G$22)*Kalender!C177/SUM(Kalender!$C$5:$C$370),0)+IFERROR(SUMIF(Nutzungsprofile!$B$17:$B$22,"Halle",Nutzungsprofile!$G$17:$G$22)*Kalender!D177/SUM(Kalender!$D$5:$D$370),0)+IFERROR(SUMIF(Nutzungsprofile!$B$17:$B$22,"Individuell",Nutzungsprofile!$G$17:$G$22)*Kalender!E177/SUM(Kalender!$E$5:$E$370),0))*Szenarien!$D$18,0)</f>
        <v>3.952</v>
      </c>
      <c r="E2739" s="13" t="n">
        <f aca="false">IFERROR(MIN(C2739,Eingaben!$B$17)*Eingaben!$B$16,0)</f>
        <v>2.793</v>
      </c>
      <c r="F2739" s="13" t="n">
        <f aca="false">IFERROR(E2739*Eingaben!$B$15,0)</f>
        <v>2.5137</v>
      </c>
      <c r="G2739" s="13" t="n">
        <f aca="false">IFERROR(IF(Kalender!A177="",0,J2738*(1-Eingaben!$B$20)),0)</f>
        <v>1.709316</v>
      </c>
      <c r="H2739" s="13" t="n">
        <f aca="false">MIN(G2739,D2739)</f>
        <v>1.709316</v>
      </c>
      <c r="I2739" s="13" t="n">
        <f aca="false">IFERROR(MIN(F2739*Eingaben!$B$19,MAX(0,D2739-H2739)),0)</f>
        <v>1.75959</v>
      </c>
      <c r="J2739" s="13" t="n">
        <f aca="false">IFERROR(MIN(Eingaben!$B$18,MAX(0,F2739-I2739)),0)</f>
        <v>0.75411</v>
      </c>
      <c r="K2739" s="13" t="n">
        <f aca="false">H2739+I2739</f>
        <v>3.468906</v>
      </c>
      <c r="L2739" s="13" t="n">
        <f aca="false">MAX(0,D2739-K2739)</f>
        <v>0.483094</v>
      </c>
      <c r="M2739" s="13" t="n">
        <f aca="false">MAX(0,F2739-I2739-J2739)</f>
        <v>0</v>
      </c>
      <c r="N2739" s="13" t="n">
        <f aca="false">IF(Kalender!A177="",0,J2738-H2739)</f>
        <v>0.0348840000000001</v>
      </c>
    </row>
    <row r="2740" customFormat="false" ht="16.4" hidden="false" customHeight="false" outlineLevel="0" collapsed="false">
      <c r="A2740" s="13" t="str">
        <f aca="false">""</f>
        <v/>
      </c>
      <c r="B2740" s="13" t="n">
        <f aca="false">174</f>
        <v>174</v>
      </c>
      <c r="C2740" s="13" t="n">
        <f aca="false">IF(Szenarien!$H$18="OK",(IFERROR(SUMIF(Nutzungsprofile!$B$6:$B$11,"Schulbetrieb",Nutzungsprofile!$G$6:$G$11)*Kalender!C178/SUM(Kalender!$C$5:$C$370),0)+IFERROR(SUMIF(Nutzungsprofile!$B$6:$B$11,"Halle",Nutzungsprofile!$G$6:$G$11)*Kalender!D178/SUM(Kalender!$D$5:$D$370),0)+IFERROR(SUMIF(Nutzungsprofile!$B$6:$B$11,"Individuell",Nutzungsprofile!$G$6:$G$11)*Kalender!E178/SUM(Kalender!$E$5:$E$370),0))*Szenarien!$E$18,0)</f>
        <v>2.94</v>
      </c>
      <c r="D2740" s="13" t="n">
        <f aca="false">IF(Szenarien!$H$18="OK",(IFERROR(SUMIF(Nutzungsprofile!$B$17:$B$22,"Schulbetrieb",Nutzungsprofile!$G$17:$G$22)*Kalender!C178/SUM(Kalender!$C$5:$C$370),0)+IFERROR(SUMIF(Nutzungsprofile!$B$17:$B$22,"Halle",Nutzungsprofile!$G$17:$G$22)*Kalender!D178/SUM(Kalender!$D$5:$D$370),0)+IFERROR(SUMIF(Nutzungsprofile!$B$17:$B$22,"Individuell",Nutzungsprofile!$G$17:$G$22)*Kalender!E178/SUM(Kalender!$E$5:$E$370),0))*Szenarien!$D$18,0)</f>
        <v>3.952</v>
      </c>
      <c r="E2740" s="13" t="n">
        <f aca="false">IFERROR(MIN(C2740,Eingaben!$B$17)*Eingaben!$B$16,0)</f>
        <v>2.793</v>
      </c>
      <c r="F2740" s="13" t="n">
        <f aca="false">IFERROR(E2740*Eingaben!$B$15,0)</f>
        <v>2.5137</v>
      </c>
      <c r="G2740" s="13" t="n">
        <f aca="false">IFERROR(IF(Kalender!A178="",0,J2739*(1-Eingaben!$B$20)),0)</f>
        <v>0.7390278</v>
      </c>
      <c r="H2740" s="13" t="n">
        <f aca="false">MIN(G2740,D2740)</f>
        <v>0.7390278</v>
      </c>
      <c r="I2740" s="13" t="n">
        <f aca="false">IFERROR(MIN(F2740*Eingaben!$B$19,MAX(0,D2740-H2740)),0)</f>
        <v>1.75959</v>
      </c>
      <c r="J2740" s="13" t="n">
        <f aca="false">IFERROR(MIN(Eingaben!$B$18,MAX(0,F2740-I2740)),0)</f>
        <v>0.75411</v>
      </c>
      <c r="K2740" s="13" t="n">
        <f aca="false">H2740+I2740</f>
        <v>2.4986178</v>
      </c>
      <c r="L2740" s="13" t="n">
        <f aca="false">MAX(0,D2740-K2740)</f>
        <v>1.4533822</v>
      </c>
      <c r="M2740" s="13" t="n">
        <f aca="false">MAX(0,F2740-I2740-J2740)</f>
        <v>0</v>
      </c>
      <c r="N2740" s="13" t="n">
        <f aca="false">IF(Kalender!A178="",0,J2739-H2740)</f>
        <v>0.0150822</v>
      </c>
    </row>
    <row r="2741" customFormat="false" ht="16.4" hidden="false" customHeight="false" outlineLevel="0" collapsed="false">
      <c r="A2741" s="13" t="str">
        <f aca="false">""</f>
        <v/>
      </c>
      <c r="B2741" s="13" t="n">
        <f aca="false">175</f>
        <v>175</v>
      </c>
      <c r="C2741" s="13" t="n">
        <f aca="false">IF(Szenarien!$H$18="OK",(IFERROR(SUMIF(Nutzungsprofile!$B$6:$B$11,"Schulbetrieb",Nutzungsprofile!$G$6:$G$11)*Kalender!C179/SUM(Kalender!$C$5:$C$370),0)+IFERROR(SUMIF(Nutzungsprofile!$B$6:$B$11,"Halle",Nutzungsprofile!$G$6:$G$11)*Kalender!D179/SUM(Kalender!$D$5:$D$370),0)+IFERROR(SUMIF(Nutzungsprofile!$B$6:$B$11,"Individuell",Nutzungsprofile!$G$6:$G$11)*Kalender!E179/SUM(Kalender!$E$5:$E$370),0))*Szenarien!$E$18,0)</f>
        <v>2.94</v>
      </c>
      <c r="D2741" s="13" t="n">
        <f aca="false">IF(Szenarien!$H$18="OK",(IFERROR(SUMIF(Nutzungsprofile!$B$17:$B$22,"Schulbetrieb",Nutzungsprofile!$G$17:$G$22)*Kalender!C179/SUM(Kalender!$C$5:$C$370),0)+IFERROR(SUMIF(Nutzungsprofile!$B$17:$B$22,"Halle",Nutzungsprofile!$G$17:$G$22)*Kalender!D179/SUM(Kalender!$D$5:$D$370),0)+IFERROR(SUMIF(Nutzungsprofile!$B$17:$B$22,"Individuell",Nutzungsprofile!$G$17:$G$22)*Kalender!E179/SUM(Kalender!$E$5:$E$370),0))*Szenarien!$D$18,0)</f>
        <v>3.952</v>
      </c>
      <c r="E2741" s="13" t="n">
        <f aca="false">IFERROR(MIN(C2741,Eingaben!$B$17)*Eingaben!$B$16,0)</f>
        <v>2.793</v>
      </c>
      <c r="F2741" s="13" t="n">
        <f aca="false">IFERROR(E2741*Eingaben!$B$15,0)</f>
        <v>2.5137</v>
      </c>
      <c r="G2741" s="13" t="n">
        <f aca="false">IFERROR(IF(Kalender!A179="",0,J2740*(1-Eingaben!$B$20)),0)</f>
        <v>0.7390278</v>
      </c>
      <c r="H2741" s="13" t="n">
        <f aca="false">MIN(G2741,D2741)</f>
        <v>0.7390278</v>
      </c>
      <c r="I2741" s="13" t="n">
        <f aca="false">IFERROR(MIN(F2741*Eingaben!$B$19,MAX(0,D2741-H2741)),0)</f>
        <v>1.75959</v>
      </c>
      <c r="J2741" s="13" t="n">
        <f aca="false">IFERROR(MIN(Eingaben!$B$18,MAX(0,F2741-I2741)),0)</f>
        <v>0.75411</v>
      </c>
      <c r="K2741" s="13" t="n">
        <f aca="false">H2741+I2741</f>
        <v>2.4986178</v>
      </c>
      <c r="L2741" s="13" t="n">
        <f aca="false">MAX(0,D2741-K2741)</f>
        <v>1.4533822</v>
      </c>
      <c r="M2741" s="13" t="n">
        <f aca="false">MAX(0,F2741-I2741-J2741)</f>
        <v>0</v>
      </c>
      <c r="N2741" s="13" t="n">
        <f aca="false">IF(Kalender!A179="",0,J2740-H2741)</f>
        <v>0.0150822</v>
      </c>
    </row>
    <row r="2742" customFormat="false" ht="16.4" hidden="false" customHeight="false" outlineLevel="0" collapsed="false">
      <c r="A2742" s="13" t="str">
        <f aca="false">""</f>
        <v/>
      </c>
      <c r="B2742" s="13" t="n">
        <f aca="false">176</f>
        <v>176</v>
      </c>
      <c r="C2742" s="13" t="n">
        <f aca="false">IF(Szenarien!$H$18="OK",(IFERROR(SUMIF(Nutzungsprofile!$B$6:$B$11,"Schulbetrieb",Nutzungsprofile!$G$6:$G$11)*Kalender!C180/SUM(Kalender!$C$5:$C$370),0)+IFERROR(SUMIF(Nutzungsprofile!$B$6:$B$11,"Halle",Nutzungsprofile!$G$6:$G$11)*Kalender!D180/SUM(Kalender!$D$5:$D$370),0)+IFERROR(SUMIF(Nutzungsprofile!$B$6:$B$11,"Individuell",Nutzungsprofile!$G$6:$G$11)*Kalender!E180/SUM(Kalender!$E$5:$E$370),0))*Szenarien!$E$18,0)</f>
        <v>2.94</v>
      </c>
      <c r="D2742" s="13" t="n">
        <f aca="false">IF(Szenarien!$H$18="OK",(IFERROR(SUMIF(Nutzungsprofile!$B$17:$B$22,"Schulbetrieb",Nutzungsprofile!$G$17:$G$22)*Kalender!C180/SUM(Kalender!$C$5:$C$370),0)+IFERROR(SUMIF(Nutzungsprofile!$B$17:$B$22,"Halle",Nutzungsprofile!$G$17:$G$22)*Kalender!D180/SUM(Kalender!$D$5:$D$370),0)+IFERROR(SUMIF(Nutzungsprofile!$B$17:$B$22,"Individuell",Nutzungsprofile!$G$17:$G$22)*Kalender!E180/SUM(Kalender!$E$5:$E$370),0))*Szenarien!$D$18,0)</f>
        <v>3.952</v>
      </c>
      <c r="E2742" s="13" t="n">
        <f aca="false">IFERROR(MIN(C2742,Eingaben!$B$17)*Eingaben!$B$16,0)</f>
        <v>2.793</v>
      </c>
      <c r="F2742" s="13" t="n">
        <f aca="false">IFERROR(E2742*Eingaben!$B$15,0)</f>
        <v>2.5137</v>
      </c>
      <c r="G2742" s="13" t="n">
        <f aca="false">IFERROR(IF(Kalender!A180="",0,J2741*(1-Eingaben!$B$20)),0)</f>
        <v>0.7390278</v>
      </c>
      <c r="H2742" s="13" t="n">
        <f aca="false">MIN(G2742,D2742)</f>
        <v>0.7390278</v>
      </c>
      <c r="I2742" s="13" t="n">
        <f aca="false">IFERROR(MIN(F2742*Eingaben!$B$19,MAX(0,D2742-H2742)),0)</f>
        <v>1.75959</v>
      </c>
      <c r="J2742" s="13" t="n">
        <f aca="false">IFERROR(MIN(Eingaben!$B$18,MAX(0,F2742-I2742)),0)</f>
        <v>0.75411</v>
      </c>
      <c r="K2742" s="13" t="n">
        <f aca="false">H2742+I2742</f>
        <v>2.4986178</v>
      </c>
      <c r="L2742" s="13" t="n">
        <f aca="false">MAX(0,D2742-K2742)</f>
        <v>1.4533822</v>
      </c>
      <c r="M2742" s="13" t="n">
        <f aca="false">MAX(0,F2742-I2742-J2742)</f>
        <v>0</v>
      </c>
      <c r="N2742" s="13" t="n">
        <f aca="false">IF(Kalender!A180="",0,J2741-H2742)</f>
        <v>0.0150822</v>
      </c>
    </row>
    <row r="2743" customFormat="false" ht="16.4" hidden="false" customHeight="false" outlineLevel="0" collapsed="false">
      <c r="A2743" s="13" t="str">
        <f aca="false">""</f>
        <v/>
      </c>
      <c r="B2743" s="13" t="n">
        <f aca="false">177</f>
        <v>177</v>
      </c>
      <c r="C2743" s="13" t="n">
        <f aca="false">IF(Szenarien!$H$18="OK",(IFERROR(SUMIF(Nutzungsprofile!$B$6:$B$11,"Schulbetrieb",Nutzungsprofile!$G$6:$G$11)*Kalender!C181/SUM(Kalender!$C$5:$C$370),0)+IFERROR(SUMIF(Nutzungsprofile!$B$6:$B$11,"Halle",Nutzungsprofile!$G$6:$G$11)*Kalender!D181/SUM(Kalender!$D$5:$D$370),0)+IFERROR(SUMIF(Nutzungsprofile!$B$6:$B$11,"Individuell",Nutzungsprofile!$G$6:$G$11)*Kalender!E181/SUM(Kalender!$E$5:$E$370),0))*Szenarien!$E$18,0)</f>
        <v>2.94</v>
      </c>
      <c r="D2743" s="13" t="n">
        <f aca="false">IF(Szenarien!$H$18="OK",(IFERROR(SUMIF(Nutzungsprofile!$B$17:$B$22,"Schulbetrieb",Nutzungsprofile!$G$17:$G$22)*Kalender!C181/SUM(Kalender!$C$5:$C$370),0)+IFERROR(SUMIF(Nutzungsprofile!$B$17:$B$22,"Halle",Nutzungsprofile!$G$17:$G$22)*Kalender!D181/SUM(Kalender!$D$5:$D$370),0)+IFERROR(SUMIF(Nutzungsprofile!$B$17:$B$22,"Individuell",Nutzungsprofile!$G$17:$G$22)*Kalender!E181/SUM(Kalender!$E$5:$E$370),0))*Szenarien!$D$18,0)</f>
        <v>3.952</v>
      </c>
      <c r="E2743" s="13" t="n">
        <f aca="false">IFERROR(MIN(C2743,Eingaben!$B$17)*Eingaben!$B$16,0)</f>
        <v>2.793</v>
      </c>
      <c r="F2743" s="13" t="n">
        <f aca="false">IFERROR(E2743*Eingaben!$B$15,0)</f>
        <v>2.5137</v>
      </c>
      <c r="G2743" s="13" t="n">
        <f aca="false">IFERROR(IF(Kalender!A181="",0,J2742*(1-Eingaben!$B$20)),0)</f>
        <v>0.7390278</v>
      </c>
      <c r="H2743" s="13" t="n">
        <f aca="false">MIN(G2743,D2743)</f>
        <v>0.7390278</v>
      </c>
      <c r="I2743" s="13" t="n">
        <f aca="false">IFERROR(MIN(F2743*Eingaben!$B$19,MAX(0,D2743-H2743)),0)</f>
        <v>1.75959</v>
      </c>
      <c r="J2743" s="13" t="n">
        <f aca="false">IFERROR(MIN(Eingaben!$B$18,MAX(0,F2743-I2743)),0)</f>
        <v>0.75411</v>
      </c>
      <c r="K2743" s="13" t="n">
        <f aca="false">H2743+I2743</f>
        <v>2.4986178</v>
      </c>
      <c r="L2743" s="13" t="n">
        <f aca="false">MAX(0,D2743-K2743)</f>
        <v>1.4533822</v>
      </c>
      <c r="M2743" s="13" t="n">
        <f aca="false">MAX(0,F2743-I2743-J2743)</f>
        <v>0</v>
      </c>
      <c r="N2743" s="13" t="n">
        <f aca="false">IF(Kalender!A181="",0,J2742-H2743)</f>
        <v>0.0150822</v>
      </c>
    </row>
    <row r="2744" customFormat="false" ht="16.4" hidden="false" customHeight="false" outlineLevel="0" collapsed="false">
      <c r="A2744" s="13" t="str">
        <f aca="false">""</f>
        <v/>
      </c>
      <c r="B2744" s="13" t="n">
        <f aca="false">178</f>
        <v>178</v>
      </c>
      <c r="C2744" s="13" t="n">
        <f aca="false">IF(Szenarien!$H$18="OK",(IFERROR(SUMIF(Nutzungsprofile!$B$6:$B$11,"Schulbetrieb",Nutzungsprofile!$G$6:$G$11)*Kalender!C182/SUM(Kalender!$C$5:$C$370),0)+IFERROR(SUMIF(Nutzungsprofile!$B$6:$B$11,"Halle",Nutzungsprofile!$G$6:$G$11)*Kalender!D182/SUM(Kalender!$D$5:$D$370),0)+IFERROR(SUMIF(Nutzungsprofile!$B$6:$B$11,"Individuell",Nutzungsprofile!$G$6:$G$11)*Kalender!E182/SUM(Kalender!$E$5:$E$370),0))*Szenarien!$E$18,0)</f>
        <v>2.04</v>
      </c>
      <c r="D2744" s="13" t="n">
        <f aca="false">IF(Szenarien!$H$18="OK",(IFERROR(SUMIF(Nutzungsprofile!$B$17:$B$22,"Schulbetrieb",Nutzungsprofile!$G$17:$G$22)*Kalender!C182/SUM(Kalender!$C$5:$C$370),0)+IFERROR(SUMIF(Nutzungsprofile!$B$17:$B$22,"Halle",Nutzungsprofile!$G$17:$G$22)*Kalender!D182/SUM(Kalender!$D$5:$D$370),0)+IFERROR(SUMIF(Nutzungsprofile!$B$17:$B$22,"Individuell",Nutzungsprofile!$G$17:$G$22)*Kalender!E182/SUM(Kalender!$E$5:$E$370),0))*Szenarien!$D$18,0)</f>
        <v>0.712</v>
      </c>
      <c r="E2744" s="13" t="n">
        <f aca="false">IFERROR(MIN(C2744,Eingaben!$B$17)*Eingaben!$B$16,0)</f>
        <v>1.938</v>
      </c>
      <c r="F2744" s="13" t="n">
        <f aca="false">IFERROR(E2744*Eingaben!$B$15,0)</f>
        <v>1.7442</v>
      </c>
      <c r="G2744" s="13" t="n">
        <f aca="false">IFERROR(IF(Kalender!A182="",0,J2743*(1-Eingaben!$B$20)),0)</f>
        <v>0.7390278</v>
      </c>
      <c r="H2744" s="13" t="n">
        <f aca="false">MIN(G2744,D2744)</f>
        <v>0.712</v>
      </c>
      <c r="I2744" s="13" t="n">
        <f aca="false">IFERROR(MIN(F2744*Eingaben!$B$19,MAX(0,D2744-H2744)),0)</f>
        <v>0</v>
      </c>
      <c r="J2744" s="13" t="n">
        <f aca="false">IFERROR(MIN(Eingaben!$B$18,MAX(0,F2744-I2744)),0)</f>
        <v>1.7442</v>
      </c>
      <c r="K2744" s="13" t="n">
        <f aca="false">H2744+I2744</f>
        <v>0.712</v>
      </c>
      <c r="L2744" s="13" t="n">
        <f aca="false">MAX(0,D2744-K2744)</f>
        <v>0</v>
      </c>
      <c r="M2744" s="13" t="n">
        <f aca="false">MAX(0,F2744-I2744-J2744)</f>
        <v>0</v>
      </c>
      <c r="N2744" s="13" t="n">
        <f aca="false">IF(Kalender!A182="",0,J2743-H2744)</f>
        <v>0.04211</v>
      </c>
    </row>
    <row r="2745" customFormat="false" ht="16.4" hidden="false" customHeight="false" outlineLevel="0" collapsed="false">
      <c r="A2745" s="13" t="str">
        <f aca="false">""</f>
        <v/>
      </c>
      <c r="B2745" s="13" t="n">
        <f aca="false">179</f>
        <v>179</v>
      </c>
      <c r="C2745" s="13" t="n">
        <f aca="false">IF(Szenarien!$H$18="OK",(IFERROR(SUMIF(Nutzungsprofile!$B$6:$B$11,"Schulbetrieb",Nutzungsprofile!$G$6:$G$11)*Kalender!C183/SUM(Kalender!$C$5:$C$370),0)+IFERROR(SUMIF(Nutzungsprofile!$B$6:$B$11,"Halle",Nutzungsprofile!$G$6:$G$11)*Kalender!D183/SUM(Kalender!$D$5:$D$370),0)+IFERROR(SUMIF(Nutzungsprofile!$B$6:$B$11,"Individuell",Nutzungsprofile!$G$6:$G$11)*Kalender!E183/SUM(Kalender!$E$5:$E$370),0))*Szenarien!$E$18,0)</f>
        <v>2.04</v>
      </c>
      <c r="D2745" s="13" t="n">
        <f aca="false">IF(Szenarien!$H$18="OK",(IFERROR(SUMIF(Nutzungsprofile!$B$17:$B$22,"Schulbetrieb",Nutzungsprofile!$G$17:$G$22)*Kalender!C183/SUM(Kalender!$C$5:$C$370),0)+IFERROR(SUMIF(Nutzungsprofile!$B$17:$B$22,"Halle",Nutzungsprofile!$G$17:$G$22)*Kalender!D183/SUM(Kalender!$D$5:$D$370),0)+IFERROR(SUMIF(Nutzungsprofile!$B$17:$B$22,"Individuell",Nutzungsprofile!$G$17:$G$22)*Kalender!E183/SUM(Kalender!$E$5:$E$370),0))*Szenarien!$D$18,0)</f>
        <v>0.712</v>
      </c>
      <c r="E2745" s="13" t="n">
        <f aca="false">IFERROR(MIN(C2745,Eingaben!$B$17)*Eingaben!$B$16,0)</f>
        <v>1.938</v>
      </c>
      <c r="F2745" s="13" t="n">
        <f aca="false">IFERROR(E2745*Eingaben!$B$15,0)</f>
        <v>1.7442</v>
      </c>
      <c r="G2745" s="13" t="n">
        <f aca="false">IFERROR(IF(Kalender!A183="",0,J2744*(1-Eingaben!$B$20)),0)</f>
        <v>1.709316</v>
      </c>
      <c r="H2745" s="13" t="n">
        <f aca="false">MIN(G2745,D2745)</f>
        <v>0.712</v>
      </c>
      <c r="I2745" s="13" t="n">
        <f aca="false">IFERROR(MIN(F2745*Eingaben!$B$19,MAX(0,D2745-H2745)),0)</f>
        <v>0</v>
      </c>
      <c r="J2745" s="13" t="n">
        <f aca="false">IFERROR(MIN(Eingaben!$B$18,MAX(0,F2745-I2745)),0)</f>
        <v>1.7442</v>
      </c>
      <c r="K2745" s="13" t="n">
        <f aca="false">H2745+I2745</f>
        <v>0.712</v>
      </c>
      <c r="L2745" s="13" t="n">
        <f aca="false">MAX(0,D2745-K2745)</f>
        <v>0</v>
      </c>
      <c r="M2745" s="13" t="n">
        <f aca="false">MAX(0,F2745-I2745-J2745)</f>
        <v>0</v>
      </c>
      <c r="N2745" s="13" t="n">
        <f aca="false">IF(Kalender!A183="",0,J2744-H2745)</f>
        <v>1.0322</v>
      </c>
    </row>
    <row r="2746" customFormat="false" ht="16.4" hidden="false" customHeight="false" outlineLevel="0" collapsed="false">
      <c r="A2746" s="13" t="str">
        <f aca="false">""</f>
        <v/>
      </c>
      <c r="B2746" s="13" t="n">
        <f aca="false">180</f>
        <v>180</v>
      </c>
      <c r="C2746" s="13" t="n">
        <f aca="false">IF(Szenarien!$H$18="OK",(IFERROR(SUMIF(Nutzungsprofile!$B$6:$B$11,"Schulbetrieb",Nutzungsprofile!$G$6:$G$11)*Kalender!C184/SUM(Kalender!$C$5:$C$370),0)+IFERROR(SUMIF(Nutzungsprofile!$B$6:$B$11,"Halle",Nutzungsprofile!$G$6:$G$11)*Kalender!D184/SUM(Kalender!$D$5:$D$370),0)+IFERROR(SUMIF(Nutzungsprofile!$B$6:$B$11,"Individuell",Nutzungsprofile!$G$6:$G$11)*Kalender!E184/SUM(Kalender!$E$5:$E$370),0))*Szenarien!$E$18,0)</f>
        <v>2.94</v>
      </c>
      <c r="D2746" s="13" t="n">
        <f aca="false">IF(Szenarien!$H$18="OK",(IFERROR(SUMIF(Nutzungsprofile!$B$17:$B$22,"Schulbetrieb",Nutzungsprofile!$G$17:$G$22)*Kalender!C184/SUM(Kalender!$C$5:$C$370),0)+IFERROR(SUMIF(Nutzungsprofile!$B$17:$B$22,"Halle",Nutzungsprofile!$G$17:$G$22)*Kalender!D184/SUM(Kalender!$D$5:$D$370),0)+IFERROR(SUMIF(Nutzungsprofile!$B$17:$B$22,"Individuell",Nutzungsprofile!$G$17:$G$22)*Kalender!E184/SUM(Kalender!$E$5:$E$370),0))*Szenarien!$D$18,0)</f>
        <v>3.952</v>
      </c>
      <c r="E2746" s="13" t="n">
        <f aca="false">IFERROR(MIN(C2746,Eingaben!$B$17)*Eingaben!$B$16,0)</f>
        <v>2.793</v>
      </c>
      <c r="F2746" s="13" t="n">
        <f aca="false">IFERROR(E2746*Eingaben!$B$15,0)</f>
        <v>2.5137</v>
      </c>
      <c r="G2746" s="13" t="n">
        <f aca="false">IFERROR(IF(Kalender!A184="",0,J2745*(1-Eingaben!$B$20)),0)</f>
        <v>1.709316</v>
      </c>
      <c r="H2746" s="13" t="n">
        <f aca="false">MIN(G2746,D2746)</f>
        <v>1.709316</v>
      </c>
      <c r="I2746" s="13" t="n">
        <f aca="false">IFERROR(MIN(F2746*Eingaben!$B$19,MAX(0,D2746-H2746)),0)</f>
        <v>1.75959</v>
      </c>
      <c r="J2746" s="13" t="n">
        <f aca="false">IFERROR(MIN(Eingaben!$B$18,MAX(0,F2746-I2746)),0)</f>
        <v>0.75411</v>
      </c>
      <c r="K2746" s="13" t="n">
        <f aca="false">H2746+I2746</f>
        <v>3.468906</v>
      </c>
      <c r="L2746" s="13" t="n">
        <f aca="false">MAX(0,D2746-K2746)</f>
        <v>0.483094</v>
      </c>
      <c r="M2746" s="13" t="n">
        <f aca="false">MAX(0,F2746-I2746-J2746)</f>
        <v>0</v>
      </c>
      <c r="N2746" s="13" t="n">
        <f aca="false">IF(Kalender!A184="",0,J2745-H2746)</f>
        <v>0.0348840000000001</v>
      </c>
    </row>
    <row r="2747" customFormat="false" ht="16.4" hidden="false" customHeight="false" outlineLevel="0" collapsed="false">
      <c r="A2747" s="13" t="str">
        <f aca="false">""</f>
        <v/>
      </c>
      <c r="B2747" s="13" t="n">
        <f aca="false">181</f>
        <v>181</v>
      </c>
      <c r="C2747" s="13" t="n">
        <f aca="false">IF(Szenarien!$H$18="OK",(IFERROR(SUMIF(Nutzungsprofile!$B$6:$B$11,"Schulbetrieb",Nutzungsprofile!$G$6:$G$11)*Kalender!C185/SUM(Kalender!$C$5:$C$370),0)+IFERROR(SUMIF(Nutzungsprofile!$B$6:$B$11,"Halle",Nutzungsprofile!$G$6:$G$11)*Kalender!D185/SUM(Kalender!$D$5:$D$370),0)+IFERROR(SUMIF(Nutzungsprofile!$B$6:$B$11,"Individuell",Nutzungsprofile!$G$6:$G$11)*Kalender!E185/SUM(Kalender!$E$5:$E$370),0))*Szenarien!$E$18,0)</f>
        <v>2.94</v>
      </c>
      <c r="D2747" s="13" t="n">
        <f aca="false">IF(Szenarien!$H$18="OK",(IFERROR(SUMIF(Nutzungsprofile!$B$17:$B$22,"Schulbetrieb",Nutzungsprofile!$G$17:$G$22)*Kalender!C185/SUM(Kalender!$C$5:$C$370),0)+IFERROR(SUMIF(Nutzungsprofile!$B$17:$B$22,"Halle",Nutzungsprofile!$G$17:$G$22)*Kalender!D185/SUM(Kalender!$D$5:$D$370),0)+IFERROR(SUMIF(Nutzungsprofile!$B$17:$B$22,"Individuell",Nutzungsprofile!$G$17:$G$22)*Kalender!E185/SUM(Kalender!$E$5:$E$370),0))*Szenarien!$D$18,0)</f>
        <v>3.952</v>
      </c>
      <c r="E2747" s="13" t="n">
        <f aca="false">IFERROR(MIN(C2747,Eingaben!$B$17)*Eingaben!$B$16,0)</f>
        <v>2.793</v>
      </c>
      <c r="F2747" s="13" t="n">
        <f aca="false">IFERROR(E2747*Eingaben!$B$15,0)</f>
        <v>2.5137</v>
      </c>
      <c r="G2747" s="13" t="n">
        <f aca="false">IFERROR(IF(Kalender!A185="",0,J2746*(1-Eingaben!$B$20)),0)</f>
        <v>0.7390278</v>
      </c>
      <c r="H2747" s="13" t="n">
        <f aca="false">MIN(G2747,D2747)</f>
        <v>0.7390278</v>
      </c>
      <c r="I2747" s="13" t="n">
        <f aca="false">IFERROR(MIN(F2747*Eingaben!$B$19,MAX(0,D2747-H2747)),0)</f>
        <v>1.75959</v>
      </c>
      <c r="J2747" s="13" t="n">
        <f aca="false">IFERROR(MIN(Eingaben!$B$18,MAX(0,F2747-I2747)),0)</f>
        <v>0.75411</v>
      </c>
      <c r="K2747" s="13" t="n">
        <f aca="false">H2747+I2747</f>
        <v>2.4986178</v>
      </c>
      <c r="L2747" s="13" t="n">
        <f aca="false">MAX(0,D2747-K2747)</f>
        <v>1.4533822</v>
      </c>
      <c r="M2747" s="13" t="n">
        <f aca="false">MAX(0,F2747-I2747-J2747)</f>
        <v>0</v>
      </c>
      <c r="N2747" s="13" t="n">
        <f aca="false">IF(Kalender!A185="",0,J2746-H2747)</f>
        <v>0.0150822</v>
      </c>
    </row>
    <row r="2748" customFormat="false" ht="16.4" hidden="false" customHeight="false" outlineLevel="0" collapsed="false">
      <c r="A2748" s="13" t="str">
        <f aca="false">""</f>
        <v/>
      </c>
      <c r="B2748" s="13" t="n">
        <f aca="false">182</f>
        <v>182</v>
      </c>
      <c r="C2748" s="13" t="n">
        <f aca="false">IF(Szenarien!$H$18="OK",(IFERROR(SUMIF(Nutzungsprofile!$B$6:$B$11,"Schulbetrieb",Nutzungsprofile!$G$6:$G$11)*Kalender!C186/SUM(Kalender!$C$5:$C$370),0)+IFERROR(SUMIF(Nutzungsprofile!$B$6:$B$11,"Halle",Nutzungsprofile!$G$6:$G$11)*Kalender!D186/SUM(Kalender!$D$5:$D$370),0)+IFERROR(SUMIF(Nutzungsprofile!$B$6:$B$11,"Individuell",Nutzungsprofile!$G$6:$G$11)*Kalender!E186/SUM(Kalender!$E$5:$E$370),0))*Szenarien!$E$18,0)</f>
        <v>2.04</v>
      </c>
      <c r="D2748" s="13" t="n">
        <f aca="false">IF(Szenarien!$H$18="OK",(IFERROR(SUMIF(Nutzungsprofile!$B$17:$B$22,"Schulbetrieb",Nutzungsprofile!$G$17:$G$22)*Kalender!C186/SUM(Kalender!$C$5:$C$370),0)+IFERROR(SUMIF(Nutzungsprofile!$B$17:$B$22,"Halle",Nutzungsprofile!$G$17:$G$22)*Kalender!D186/SUM(Kalender!$D$5:$D$370),0)+IFERROR(SUMIF(Nutzungsprofile!$B$17:$B$22,"Individuell",Nutzungsprofile!$G$17:$G$22)*Kalender!E186/SUM(Kalender!$E$5:$E$370),0))*Szenarien!$D$18,0)</f>
        <v>0.712</v>
      </c>
      <c r="E2748" s="13" t="n">
        <f aca="false">IFERROR(MIN(C2748,Eingaben!$B$17)*Eingaben!$B$16,0)</f>
        <v>1.938</v>
      </c>
      <c r="F2748" s="13" t="n">
        <f aca="false">IFERROR(E2748*Eingaben!$B$15,0)</f>
        <v>1.7442</v>
      </c>
      <c r="G2748" s="13" t="n">
        <f aca="false">IFERROR(IF(Kalender!A186="",0,J2747*(1-Eingaben!$B$20)),0)</f>
        <v>0.7390278</v>
      </c>
      <c r="H2748" s="13" t="n">
        <f aca="false">MIN(G2748,D2748)</f>
        <v>0.712</v>
      </c>
      <c r="I2748" s="13" t="n">
        <f aca="false">IFERROR(MIN(F2748*Eingaben!$B$19,MAX(0,D2748-H2748)),0)</f>
        <v>0</v>
      </c>
      <c r="J2748" s="13" t="n">
        <f aca="false">IFERROR(MIN(Eingaben!$B$18,MAX(0,F2748-I2748)),0)</f>
        <v>1.7442</v>
      </c>
      <c r="K2748" s="13" t="n">
        <f aca="false">H2748+I2748</f>
        <v>0.712</v>
      </c>
      <c r="L2748" s="13" t="n">
        <f aca="false">MAX(0,D2748-K2748)</f>
        <v>0</v>
      </c>
      <c r="M2748" s="13" t="n">
        <f aca="false">MAX(0,F2748-I2748-J2748)</f>
        <v>0</v>
      </c>
      <c r="N2748" s="13" t="n">
        <f aca="false">IF(Kalender!A186="",0,J2747-H2748)</f>
        <v>0.04211</v>
      </c>
    </row>
    <row r="2749" customFormat="false" ht="16.4" hidden="false" customHeight="false" outlineLevel="0" collapsed="false">
      <c r="A2749" s="13" t="str">
        <f aca="false">""</f>
        <v/>
      </c>
      <c r="B2749" s="13" t="n">
        <f aca="false">183</f>
        <v>183</v>
      </c>
      <c r="C2749" s="13" t="n">
        <f aca="false">IF(Szenarien!$H$18="OK",(IFERROR(SUMIF(Nutzungsprofile!$B$6:$B$11,"Schulbetrieb",Nutzungsprofile!$G$6:$G$11)*Kalender!C187/SUM(Kalender!$C$5:$C$370),0)+IFERROR(SUMIF(Nutzungsprofile!$B$6:$B$11,"Halle",Nutzungsprofile!$G$6:$G$11)*Kalender!D187/SUM(Kalender!$D$5:$D$370),0)+IFERROR(SUMIF(Nutzungsprofile!$B$6:$B$11,"Individuell",Nutzungsprofile!$G$6:$G$11)*Kalender!E187/SUM(Kalender!$E$5:$E$370),0))*Szenarien!$E$18,0)</f>
        <v>2.04</v>
      </c>
      <c r="D2749" s="13" t="n">
        <f aca="false">IF(Szenarien!$H$18="OK",(IFERROR(SUMIF(Nutzungsprofile!$B$17:$B$22,"Schulbetrieb",Nutzungsprofile!$G$17:$G$22)*Kalender!C187/SUM(Kalender!$C$5:$C$370),0)+IFERROR(SUMIF(Nutzungsprofile!$B$17:$B$22,"Halle",Nutzungsprofile!$G$17:$G$22)*Kalender!D187/SUM(Kalender!$D$5:$D$370),0)+IFERROR(SUMIF(Nutzungsprofile!$B$17:$B$22,"Individuell",Nutzungsprofile!$G$17:$G$22)*Kalender!E187/SUM(Kalender!$E$5:$E$370),0))*Szenarien!$D$18,0)</f>
        <v>0.712</v>
      </c>
      <c r="E2749" s="13" t="n">
        <f aca="false">IFERROR(MIN(C2749,Eingaben!$B$17)*Eingaben!$B$16,0)</f>
        <v>1.938</v>
      </c>
      <c r="F2749" s="13" t="n">
        <f aca="false">IFERROR(E2749*Eingaben!$B$15,0)</f>
        <v>1.7442</v>
      </c>
      <c r="G2749" s="13" t="n">
        <f aca="false">IFERROR(IF(Kalender!A187="",0,J2748*(1-Eingaben!$B$20)),0)</f>
        <v>1.709316</v>
      </c>
      <c r="H2749" s="13" t="n">
        <f aca="false">MIN(G2749,D2749)</f>
        <v>0.712</v>
      </c>
      <c r="I2749" s="13" t="n">
        <f aca="false">IFERROR(MIN(F2749*Eingaben!$B$19,MAX(0,D2749-H2749)),0)</f>
        <v>0</v>
      </c>
      <c r="J2749" s="13" t="n">
        <f aca="false">IFERROR(MIN(Eingaben!$B$18,MAX(0,F2749-I2749)),0)</f>
        <v>1.7442</v>
      </c>
      <c r="K2749" s="13" t="n">
        <f aca="false">H2749+I2749</f>
        <v>0.712</v>
      </c>
      <c r="L2749" s="13" t="n">
        <f aca="false">MAX(0,D2749-K2749)</f>
        <v>0</v>
      </c>
      <c r="M2749" s="13" t="n">
        <f aca="false">MAX(0,F2749-I2749-J2749)</f>
        <v>0</v>
      </c>
      <c r="N2749" s="13" t="n">
        <f aca="false">IF(Kalender!A187="",0,J2748-H2749)</f>
        <v>1.0322</v>
      </c>
    </row>
    <row r="2750" customFormat="false" ht="16.4" hidden="false" customHeight="false" outlineLevel="0" collapsed="false">
      <c r="A2750" s="13" t="str">
        <f aca="false">""</f>
        <v/>
      </c>
      <c r="B2750" s="13" t="n">
        <f aca="false">184</f>
        <v>184</v>
      </c>
      <c r="C2750" s="13" t="n">
        <f aca="false">IF(Szenarien!$H$18="OK",(IFERROR(SUMIF(Nutzungsprofile!$B$6:$B$11,"Schulbetrieb",Nutzungsprofile!$G$6:$G$11)*Kalender!C188/SUM(Kalender!$C$5:$C$370),0)+IFERROR(SUMIF(Nutzungsprofile!$B$6:$B$11,"Halle",Nutzungsprofile!$G$6:$G$11)*Kalender!D188/SUM(Kalender!$D$5:$D$370),0)+IFERROR(SUMIF(Nutzungsprofile!$B$6:$B$11,"Individuell",Nutzungsprofile!$G$6:$G$11)*Kalender!E188/SUM(Kalender!$E$5:$E$370),0))*Szenarien!$E$18,0)</f>
        <v>2.04</v>
      </c>
      <c r="D2750" s="13" t="n">
        <f aca="false">IF(Szenarien!$H$18="OK",(IFERROR(SUMIF(Nutzungsprofile!$B$17:$B$22,"Schulbetrieb",Nutzungsprofile!$G$17:$G$22)*Kalender!C188/SUM(Kalender!$C$5:$C$370),0)+IFERROR(SUMIF(Nutzungsprofile!$B$17:$B$22,"Halle",Nutzungsprofile!$G$17:$G$22)*Kalender!D188/SUM(Kalender!$D$5:$D$370),0)+IFERROR(SUMIF(Nutzungsprofile!$B$17:$B$22,"Individuell",Nutzungsprofile!$G$17:$G$22)*Kalender!E188/SUM(Kalender!$E$5:$E$370),0))*Szenarien!$D$18,0)</f>
        <v>0.712</v>
      </c>
      <c r="E2750" s="13" t="n">
        <f aca="false">IFERROR(MIN(C2750,Eingaben!$B$17)*Eingaben!$B$16,0)</f>
        <v>1.938</v>
      </c>
      <c r="F2750" s="13" t="n">
        <f aca="false">IFERROR(E2750*Eingaben!$B$15,0)</f>
        <v>1.7442</v>
      </c>
      <c r="G2750" s="13" t="n">
        <f aca="false">IFERROR(IF(Kalender!A188="",0,J2749*(1-Eingaben!$B$20)),0)</f>
        <v>1.709316</v>
      </c>
      <c r="H2750" s="13" t="n">
        <f aca="false">MIN(G2750,D2750)</f>
        <v>0.712</v>
      </c>
      <c r="I2750" s="13" t="n">
        <f aca="false">IFERROR(MIN(F2750*Eingaben!$B$19,MAX(0,D2750-H2750)),0)</f>
        <v>0</v>
      </c>
      <c r="J2750" s="13" t="n">
        <f aca="false">IFERROR(MIN(Eingaben!$B$18,MAX(0,F2750-I2750)),0)</f>
        <v>1.7442</v>
      </c>
      <c r="K2750" s="13" t="n">
        <f aca="false">H2750+I2750</f>
        <v>0.712</v>
      </c>
      <c r="L2750" s="13" t="n">
        <f aca="false">MAX(0,D2750-K2750)</f>
        <v>0</v>
      </c>
      <c r="M2750" s="13" t="n">
        <f aca="false">MAX(0,F2750-I2750-J2750)</f>
        <v>0</v>
      </c>
      <c r="N2750" s="13" t="n">
        <f aca="false">IF(Kalender!A188="",0,J2749-H2750)</f>
        <v>1.0322</v>
      </c>
    </row>
    <row r="2751" customFormat="false" ht="16.4" hidden="false" customHeight="false" outlineLevel="0" collapsed="false">
      <c r="A2751" s="13" t="str">
        <f aca="false">""</f>
        <v/>
      </c>
      <c r="B2751" s="13" t="n">
        <f aca="false">185</f>
        <v>185</v>
      </c>
      <c r="C2751" s="13" t="n">
        <f aca="false">IF(Szenarien!$H$18="OK",(IFERROR(SUMIF(Nutzungsprofile!$B$6:$B$11,"Schulbetrieb",Nutzungsprofile!$G$6:$G$11)*Kalender!C189/SUM(Kalender!$C$5:$C$370),0)+IFERROR(SUMIF(Nutzungsprofile!$B$6:$B$11,"Halle",Nutzungsprofile!$G$6:$G$11)*Kalender!D189/SUM(Kalender!$D$5:$D$370),0)+IFERROR(SUMIF(Nutzungsprofile!$B$6:$B$11,"Individuell",Nutzungsprofile!$G$6:$G$11)*Kalender!E189/SUM(Kalender!$E$5:$E$370),0))*Szenarien!$E$18,0)</f>
        <v>2.04</v>
      </c>
      <c r="D2751" s="13" t="n">
        <f aca="false">IF(Szenarien!$H$18="OK",(IFERROR(SUMIF(Nutzungsprofile!$B$17:$B$22,"Schulbetrieb",Nutzungsprofile!$G$17:$G$22)*Kalender!C189/SUM(Kalender!$C$5:$C$370),0)+IFERROR(SUMIF(Nutzungsprofile!$B$17:$B$22,"Halle",Nutzungsprofile!$G$17:$G$22)*Kalender!D189/SUM(Kalender!$D$5:$D$370),0)+IFERROR(SUMIF(Nutzungsprofile!$B$17:$B$22,"Individuell",Nutzungsprofile!$G$17:$G$22)*Kalender!E189/SUM(Kalender!$E$5:$E$370),0))*Szenarien!$D$18,0)</f>
        <v>0.712</v>
      </c>
      <c r="E2751" s="13" t="n">
        <f aca="false">IFERROR(MIN(C2751,Eingaben!$B$17)*Eingaben!$B$16,0)</f>
        <v>1.938</v>
      </c>
      <c r="F2751" s="13" t="n">
        <f aca="false">IFERROR(E2751*Eingaben!$B$15,0)</f>
        <v>1.7442</v>
      </c>
      <c r="G2751" s="13" t="n">
        <f aca="false">IFERROR(IF(Kalender!A189="",0,J2750*(1-Eingaben!$B$20)),0)</f>
        <v>1.709316</v>
      </c>
      <c r="H2751" s="13" t="n">
        <f aca="false">MIN(G2751,D2751)</f>
        <v>0.712</v>
      </c>
      <c r="I2751" s="13" t="n">
        <f aca="false">IFERROR(MIN(F2751*Eingaben!$B$19,MAX(0,D2751-H2751)),0)</f>
        <v>0</v>
      </c>
      <c r="J2751" s="13" t="n">
        <f aca="false">IFERROR(MIN(Eingaben!$B$18,MAX(0,F2751-I2751)),0)</f>
        <v>1.7442</v>
      </c>
      <c r="K2751" s="13" t="n">
        <f aca="false">H2751+I2751</f>
        <v>0.712</v>
      </c>
      <c r="L2751" s="13" t="n">
        <f aca="false">MAX(0,D2751-K2751)</f>
        <v>0</v>
      </c>
      <c r="M2751" s="13" t="n">
        <f aca="false">MAX(0,F2751-I2751-J2751)</f>
        <v>0</v>
      </c>
      <c r="N2751" s="13" t="n">
        <f aca="false">IF(Kalender!A189="",0,J2750-H2751)</f>
        <v>1.0322</v>
      </c>
    </row>
    <row r="2752" customFormat="false" ht="16.4" hidden="false" customHeight="false" outlineLevel="0" collapsed="false">
      <c r="A2752" s="13" t="str">
        <f aca="false">""</f>
        <v/>
      </c>
      <c r="B2752" s="13" t="n">
        <f aca="false">186</f>
        <v>186</v>
      </c>
      <c r="C2752" s="13" t="n">
        <f aca="false">IF(Szenarien!$H$18="OK",(IFERROR(SUMIF(Nutzungsprofile!$B$6:$B$11,"Schulbetrieb",Nutzungsprofile!$G$6:$G$11)*Kalender!C190/SUM(Kalender!$C$5:$C$370),0)+IFERROR(SUMIF(Nutzungsprofile!$B$6:$B$11,"Halle",Nutzungsprofile!$G$6:$G$11)*Kalender!D190/SUM(Kalender!$D$5:$D$370),0)+IFERROR(SUMIF(Nutzungsprofile!$B$6:$B$11,"Individuell",Nutzungsprofile!$G$6:$G$11)*Kalender!E190/SUM(Kalender!$E$5:$E$370),0))*Szenarien!$E$18,0)</f>
        <v>2.04</v>
      </c>
      <c r="D2752" s="13" t="n">
        <f aca="false">IF(Szenarien!$H$18="OK",(IFERROR(SUMIF(Nutzungsprofile!$B$17:$B$22,"Schulbetrieb",Nutzungsprofile!$G$17:$G$22)*Kalender!C190/SUM(Kalender!$C$5:$C$370),0)+IFERROR(SUMIF(Nutzungsprofile!$B$17:$B$22,"Halle",Nutzungsprofile!$G$17:$G$22)*Kalender!D190/SUM(Kalender!$D$5:$D$370),0)+IFERROR(SUMIF(Nutzungsprofile!$B$17:$B$22,"Individuell",Nutzungsprofile!$G$17:$G$22)*Kalender!E190/SUM(Kalender!$E$5:$E$370),0))*Szenarien!$D$18,0)</f>
        <v>0.712</v>
      </c>
      <c r="E2752" s="13" t="n">
        <f aca="false">IFERROR(MIN(C2752,Eingaben!$B$17)*Eingaben!$B$16,0)</f>
        <v>1.938</v>
      </c>
      <c r="F2752" s="13" t="n">
        <f aca="false">IFERROR(E2752*Eingaben!$B$15,0)</f>
        <v>1.7442</v>
      </c>
      <c r="G2752" s="13" t="n">
        <f aca="false">IFERROR(IF(Kalender!A190="",0,J2751*(1-Eingaben!$B$20)),0)</f>
        <v>1.709316</v>
      </c>
      <c r="H2752" s="13" t="n">
        <f aca="false">MIN(G2752,D2752)</f>
        <v>0.712</v>
      </c>
      <c r="I2752" s="13" t="n">
        <f aca="false">IFERROR(MIN(F2752*Eingaben!$B$19,MAX(0,D2752-H2752)),0)</f>
        <v>0</v>
      </c>
      <c r="J2752" s="13" t="n">
        <f aca="false">IFERROR(MIN(Eingaben!$B$18,MAX(0,F2752-I2752)),0)</f>
        <v>1.7442</v>
      </c>
      <c r="K2752" s="13" t="n">
        <f aca="false">H2752+I2752</f>
        <v>0.712</v>
      </c>
      <c r="L2752" s="13" t="n">
        <f aca="false">MAX(0,D2752-K2752)</f>
        <v>0</v>
      </c>
      <c r="M2752" s="13" t="n">
        <f aca="false">MAX(0,F2752-I2752-J2752)</f>
        <v>0</v>
      </c>
      <c r="N2752" s="13" t="n">
        <f aca="false">IF(Kalender!A190="",0,J2751-H2752)</f>
        <v>1.0322</v>
      </c>
    </row>
    <row r="2753" customFormat="false" ht="16.4" hidden="false" customHeight="false" outlineLevel="0" collapsed="false">
      <c r="A2753" s="13" t="str">
        <f aca="false">""</f>
        <v/>
      </c>
      <c r="B2753" s="13" t="n">
        <f aca="false">187</f>
        <v>187</v>
      </c>
      <c r="C2753" s="13" t="n">
        <f aca="false">IF(Szenarien!$H$18="OK",(IFERROR(SUMIF(Nutzungsprofile!$B$6:$B$11,"Schulbetrieb",Nutzungsprofile!$G$6:$G$11)*Kalender!C191/SUM(Kalender!$C$5:$C$370),0)+IFERROR(SUMIF(Nutzungsprofile!$B$6:$B$11,"Halle",Nutzungsprofile!$G$6:$G$11)*Kalender!D191/SUM(Kalender!$D$5:$D$370),0)+IFERROR(SUMIF(Nutzungsprofile!$B$6:$B$11,"Individuell",Nutzungsprofile!$G$6:$G$11)*Kalender!E191/SUM(Kalender!$E$5:$E$370),0))*Szenarien!$E$18,0)</f>
        <v>2.04</v>
      </c>
      <c r="D2753" s="13" t="n">
        <f aca="false">IF(Szenarien!$H$18="OK",(IFERROR(SUMIF(Nutzungsprofile!$B$17:$B$22,"Schulbetrieb",Nutzungsprofile!$G$17:$G$22)*Kalender!C191/SUM(Kalender!$C$5:$C$370),0)+IFERROR(SUMIF(Nutzungsprofile!$B$17:$B$22,"Halle",Nutzungsprofile!$G$17:$G$22)*Kalender!D191/SUM(Kalender!$D$5:$D$370),0)+IFERROR(SUMIF(Nutzungsprofile!$B$17:$B$22,"Individuell",Nutzungsprofile!$G$17:$G$22)*Kalender!E191/SUM(Kalender!$E$5:$E$370),0))*Szenarien!$D$18,0)</f>
        <v>0.712</v>
      </c>
      <c r="E2753" s="13" t="n">
        <f aca="false">IFERROR(MIN(C2753,Eingaben!$B$17)*Eingaben!$B$16,0)</f>
        <v>1.938</v>
      </c>
      <c r="F2753" s="13" t="n">
        <f aca="false">IFERROR(E2753*Eingaben!$B$15,0)</f>
        <v>1.7442</v>
      </c>
      <c r="G2753" s="13" t="n">
        <f aca="false">IFERROR(IF(Kalender!A191="",0,J2752*(1-Eingaben!$B$20)),0)</f>
        <v>1.709316</v>
      </c>
      <c r="H2753" s="13" t="n">
        <f aca="false">MIN(G2753,D2753)</f>
        <v>0.712</v>
      </c>
      <c r="I2753" s="13" t="n">
        <f aca="false">IFERROR(MIN(F2753*Eingaben!$B$19,MAX(0,D2753-H2753)),0)</f>
        <v>0</v>
      </c>
      <c r="J2753" s="13" t="n">
        <f aca="false">IFERROR(MIN(Eingaben!$B$18,MAX(0,F2753-I2753)),0)</f>
        <v>1.7442</v>
      </c>
      <c r="K2753" s="13" t="n">
        <f aca="false">H2753+I2753</f>
        <v>0.712</v>
      </c>
      <c r="L2753" s="13" t="n">
        <f aca="false">MAX(0,D2753-K2753)</f>
        <v>0</v>
      </c>
      <c r="M2753" s="13" t="n">
        <f aca="false">MAX(0,F2753-I2753-J2753)</f>
        <v>0</v>
      </c>
      <c r="N2753" s="13" t="n">
        <f aca="false">IF(Kalender!A191="",0,J2752-H2753)</f>
        <v>1.0322</v>
      </c>
    </row>
    <row r="2754" customFormat="false" ht="16.4" hidden="false" customHeight="false" outlineLevel="0" collapsed="false">
      <c r="A2754" s="13" t="str">
        <f aca="false">""</f>
        <v/>
      </c>
      <c r="B2754" s="13" t="n">
        <f aca="false">188</f>
        <v>188</v>
      </c>
      <c r="C2754" s="13" t="n">
        <f aca="false">IF(Szenarien!$H$18="OK",(IFERROR(SUMIF(Nutzungsprofile!$B$6:$B$11,"Schulbetrieb",Nutzungsprofile!$G$6:$G$11)*Kalender!C192/SUM(Kalender!$C$5:$C$370),0)+IFERROR(SUMIF(Nutzungsprofile!$B$6:$B$11,"Halle",Nutzungsprofile!$G$6:$G$11)*Kalender!D192/SUM(Kalender!$D$5:$D$370),0)+IFERROR(SUMIF(Nutzungsprofile!$B$6:$B$11,"Individuell",Nutzungsprofile!$G$6:$G$11)*Kalender!E192/SUM(Kalender!$E$5:$E$370),0))*Szenarien!$E$18,0)</f>
        <v>2.04</v>
      </c>
      <c r="D2754" s="13" t="n">
        <f aca="false">IF(Szenarien!$H$18="OK",(IFERROR(SUMIF(Nutzungsprofile!$B$17:$B$22,"Schulbetrieb",Nutzungsprofile!$G$17:$G$22)*Kalender!C192/SUM(Kalender!$C$5:$C$370),0)+IFERROR(SUMIF(Nutzungsprofile!$B$17:$B$22,"Halle",Nutzungsprofile!$G$17:$G$22)*Kalender!D192/SUM(Kalender!$D$5:$D$370),0)+IFERROR(SUMIF(Nutzungsprofile!$B$17:$B$22,"Individuell",Nutzungsprofile!$G$17:$G$22)*Kalender!E192/SUM(Kalender!$E$5:$E$370),0))*Szenarien!$D$18,0)</f>
        <v>0.712</v>
      </c>
      <c r="E2754" s="13" t="n">
        <f aca="false">IFERROR(MIN(C2754,Eingaben!$B$17)*Eingaben!$B$16,0)</f>
        <v>1.938</v>
      </c>
      <c r="F2754" s="13" t="n">
        <f aca="false">IFERROR(E2754*Eingaben!$B$15,0)</f>
        <v>1.7442</v>
      </c>
      <c r="G2754" s="13" t="n">
        <f aca="false">IFERROR(IF(Kalender!A192="",0,J2753*(1-Eingaben!$B$20)),0)</f>
        <v>1.709316</v>
      </c>
      <c r="H2754" s="13" t="n">
        <f aca="false">MIN(G2754,D2754)</f>
        <v>0.712</v>
      </c>
      <c r="I2754" s="13" t="n">
        <f aca="false">IFERROR(MIN(F2754*Eingaben!$B$19,MAX(0,D2754-H2754)),0)</f>
        <v>0</v>
      </c>
      <c r="J2754" s="13" t="n">
        <f aca="false">IFERROR(MIN(Eingaben!$B$18,MAX(0,F2754-I2754)),0)</f>
        <v>1.7442</v>
      </c>
      <c r="K2754" s="13" t="n">
        <f aca="false">H2754+I2754</f>
        <v>0.712</v>
      </c>
      <c r="L2754" s="13" t="n">
        <f aca="false">MAX(0,D2754-K2754)</f>
        <v>0</v>
      </c>
      <c r="M2754" s="13" t="n">
        <f aca="false">MAX(0,F2754-I2754-J2754)</f>
        <v>0</v>
      </c>
      <c r="N2754" s="13" t="n">
        <f aca="false">IF(Kalender!A192="",0,J2753-H2754)</f>
        <v>1.0322</v>
      </c>
    </row>
    <row r="2755" customFormat="false" ht="16.4" hidden="false" customHeight="false" outlineLevel="0" collapsed="false">
      <c r="A2755" s="13" t="str">
        <f aca="false">""</f>
        <v/>
      </c>
      <c r="B2755" s="13" t="n">
        <f aca="false">189</f>
        <v>189</v>
      </c>
      <c r="C2755" s="13" t="n">
        <f aca="false">IF(Szenarien!$H$18="OK",(IFERROR(SUMIF(Nutzungsprofile!$B$6:$B$11,"Schulbetrieb",Nutzungsprofile!$G$6:$G$11)*Kalender!C193/SUM(Kalender!$C$5:$C$370),0)+IFERROR(SUMIF(Nutzungsprofile!$B$6:$B$11,"Halle",Nutzungsprofile!$G$6:$G$11)*Kalender!D193/SUM(Kalender!$D$5:$D$370),0)+IFERROR(SUMIF(Nutzungsprofile!$B$6:$B$11,"Individuell",Nutzungsprofile!$G$6:$G$11)*Kalender!E193/SUM(Kalender!$E$5:$E$370),0))*Szenarien!$E$18,0)</f>
        <v>2.04</v>
      </c>
      <c r="D2755" s="13" t="n">
        <f aca="false">IF(Szenarien!$H$18="OK",(IFERROR(SUMIF(Nutzungsprofile!$B$17:$B$22,"Schulbetrieb",Nutzungsprofile!$G$17:$G$22)*Kalender!C193/SUM(Kalender!$C$5:$C$370),0)+IFERROR(SUMIF(Nutzungsprofile!$B$17:$B$22,"Halle",Nutzungsprofile!$G$17:$G$22)*Kalender!D193/SUM(Kalender!$D$5:$D$370),0)+IFERROR(SUMIF(Nutzungsprofile!$B$17:$B$22,"Individuell",Nutzungsprofile!$G$17:$G$22)*Kalender!E193/SUM(Kalender!$E$5:$E$370),0))*Szenarien!$D$18,0)</f>
        <v>0.712</v>
      </c>
      <c r="E2755" s="13" t="n">
        <f aca="false">IFERROR(MIN(C2755,Eingaben!$B$17)*Eingaben!$B$16,0)</f>
        <v>1.938</v>
      </c>
      <c r="F2755" s="13" t="n">
        <f aca="false">IFERROR(E2755*Eingaben!$B$15,0)</f>
        <v>1.7442</v>
      </c>
      <c r="G2755" s="13" t="n">
        <f aca="false">IFERROR(IF(Kalender!A193="",0,J2754*(1-Eingaben!$B$20)),0)</f>
        <v>1.709316</v>
      </c>
      <c r="H2755" s="13" t="n">
        <f aca="false">MIN(G2755,D2755)</f>
        <v>0.712</v>
      </c>
      <c r="I2755" s="13" t="n">
        <f aca="false">IFERROR(MIN(F2755*Eingaben!$B$19,MAX(0,D2755-H2755)),0)</f>
        <v>0</v>
      </c>
      <c r="J2755" s="13" t="n">
        <f aca="false">IFERROR(MIN(Eingaben!$B$18,MAX(0,F2755-I2755)),0)</f>
        <v>1.7442</v>
      </c>
      <c r="K2755" s="13" t="n">
        <f aca="false">H2755+I2755</f>
        <v>0.712</v>
      </c>
      <c r="L2755" s="13" t="n">
        <f aca="false">MAX(0,D2755-K2755)</f>
        <v>0</v>
      </c>
      <c r="M2755" s="13" t="n">
        <f aca="false">MAX(0,F2755-I2755-J2755)</f>
        <v>0</v>
      </c>
      <c r="N2755" s="13" t="n">
        <f aca="false">IF(Kalender!A193="",0,J2754-H2755)</f>
        <v>1.0322</v>
      </c>
    </row>
    <row r="2756" customFormat="false" ht="16.4" hidden="false" customHeight="false" outlineLevel="0" collapsed="false">
      <c r="A2756" s="13" t="str">
        <f aca="false">""</f>
        <v/>
      </c>
      <c r="B2756" s="13" t="n">
        <f aca="false">190</f>
        <v>190</v>
      </c>
      <c r="C2756" s="13" t="n">
        <f aca="false">IF(Szenarien!$H$18="OK",(IFERROR(SUMIF(Nutzungsprofile!$B$6:$B$11,"Schulbetrieb",Nutzungsprofile!$G$6:$G$11)*Kalender!C194/SUM(Kalender!$C$5:$C$370),0)+IFERROR(SUMIF(Nutzungsprofile!$B$6:$B$11,"Halle",Nutzungsprofile!$G$6:$G$11)*Kalender!D194/SUM(Kalender!$D$5:$D$370),0)+IFERROR(SUMIF(Nutzungsprofile!$B$6:$B$11,"Individuell",Nutzungsprofile!$G$6:$G$11)*Kalender!E194/SUM(Kalender!$E$5:$E$370),0))*Szenarien!$E$18,0)</f>
        <v>2.04</v>
      </c>
      <c r="D2756" s="13" t="n">
        <f aca="false">IF(Szenarien!$H$18="OK",(IFERROR(SUMIF(Nutzungsprofile!$B$17:$B$22,"Schulbetrieb",Nutzungsprofile!$G$17:$G$22)*Kalender!C194/SUM(Kalender!$C$5:$C$370),0)+IFERROR(SUMIF(Nutzungsprofile!$B$17:$B$22,"Halle",Nutzungsprofile!$G$17:$G$22)*Kalender!D194/SUM(Kalender!$D$5:$D$370),0)+IFERROR(SUMIF(Nutzungsprofile!$B$17:$B$22,"Individuell",Nutzungsprofile!$G$17:$G$22)*Kalender!E194/SUM(Kalender!$E$5:$E$370),0))*Szenarien!$D$18,0)</f>
        <v>0.712</v>
      </c>
      <c r="E2756" s="13" t="n">
        <f aca="false">IFERROR(MIN(C2756,Eingaben!$B$17)*Eingaben!$B$16,0)</f>
        <v>1.938</v>
      </c>
      <c r="F2756" s="13" t="n">
        <f aca="false">IFERROR(E2756*Eingaben!$B$15,0)</f>
        <v>1.7442</v>
      </c>
      <c r="G2756" s="13" t="n">
        <f aca="false">IFERROR(IF(Kalender!A194="",0,J2755*(1-Eingaben!$B$20)),0)</f>
        <v>1.709316</v>
      </c>
      <c r="H2756" s="13" t="n">
        <f aca="false">MIN(G2756,D2756)</f>
        <v>0.712</v>
      </c>
      <c r="I2756" s="13" t="n">
        <f aca="false">IFERROR(MIN(F2756*Eingaben!$B$19,MAX(0,D2756-H2756)),0)</f>
        <v>0</v>
      </c>
      <c r="J2756" s="13" t="n">
        <f aca="false">IFERROR(MIN(Eingaben!$B$18,MAX(0,F2756-I2756)),0)</f>
        <v>1.7442</v>
      </c>
      <c r="K2756" s="13" t="n">
        <f aca="false">H2756+I2756</f>
        <v>0.712</v>
      </c>
      <c r="L2756" s="13" t="n">
        <f aca="false">MAX(0,D2756-K2756)</f>
        <v>0</v>
      </c>
      <c r="M2756" s="13" t="n">
        <f aca="false">MAX(0,F2756-I2756-J2756)</f>
        <v>0</v>
      </c>
      <c r="N2756" s="13" t="n">
        <f aca="false">IF(Kalender!A194="",0,J2755-H2756)</f>
        <v>1.0322</v>
      </c>
    </row>
    <row r="2757" customFormat="false" ht="16.4" hidden="false" customHeight="false" outlineLevel="0" collapsed="false">
      <c r="A2757" s="13" t="str">
        <f aca="false">""</f>
        <v/>
      </c>
      <c r="B2757" s="13" t="n">
        <f aca="false">191</f>
        <v>191</v>
      </c>
      <c r="C2757" s="13" t="n">
        <f aca="false">IF(Szenarien!$H$18="OK",(IFERROR(SUMIF(Nutzungsprofile!$B$6:$B$11,"Schulbetrieb",Nutzungsprofile!$G$6:$G$11)*Kalender!C195/SUM(Kalender!$C$5:$C$370),0)+IFERROR(SUMIF(Nutzungsprofile!$B$6:$B$11,"Halle",Nutzungsprofile!$G$6:$G$11)*Kalender!D195/SUM(Kalender!$D$5:$D$370),0)+IFERROR(SUMIF(Nutzungsprofile!$B$6:$B$11,"Individuell",Nutzungsprofile!$G$6:$G$11)*Kalender!E195/SUM(Kalender!$E$5:$E$370),0))*Szenarien!$E$18,0)</f>
        <v>2.04</v>
      </c>
      <c r="D2757" s="13" t="n">
        <f aca="false">IF(Szenarien!$H$18="OK",(IFERROR(SUMIF(Nutzungsprofile!$B$17:$B$22,"Schulbetrieb",Nutzungsprofile!$G$17:$G$22)*Kalender!C195/SUM(Kalender!$C$5:$C$370),0)+IFERROR(SUMIF(Nutzungsprofile!$B$17:$B$22,"Halle",Nutzungsprofile!$G$17:$G$22)*Kalender!D195/SUM(Kalender!$D$5:$D$370),0)+IFERROR(SUMIF(Nutzungsprofile!$B$17:$B$22,"Individuell",Nutzungsprofile!$G$17:$G$22)*Kalender!E195/SUM(Kalender!$E$5:$E$370),0))*Szenarien!$D$18,0)</f>
        <v>0.712</v>
      </c>
      <c r="E2757" s="13" t="n">
        <f aca="false">IFERROR(MIN(C2757,Eingaben!$B$17)*Eingaben!$B$16,0)</f>
        <v>1.938</v>
      </c>
      <c r="F2757" s="13" t="n">
        <f aca="false">IFERROR(E2757*Eingaben!$B$15,0)</f>
        <v>1.7442</v>
      </c>
      <c r="G2757" s="13" t="n">
        <f aca="false">IFERROR(IF(Kalender!A195="",0,J2756*(1-Eingaben!$B$20)),0)</f>
        <v>1.709316</v>
      </c>
      <c r="H2757" s="13" t="n">
        <f aca="false">MIN(G2757,D2757)</f>
        <v>0.712</v>
      </c>
      <c r="I2757" s="13" t="n">
        <f aca="false">IFERROR(MIN(F2757*Eingaben!$B$19,MAX(0,D2757-H2757)),0)</f>
        <v>0</v>
      </c>
      <c r="J2757" s="13" t="n">
        <f aca="false">IFERROR(MIN(Eingaben!$B$18,MAX(0,F2757-I2757)),0)</f>
        <v>1.7442</v>
      </c>
      <c r="K2757" s="13" t="n">
        <f aca="false">H2757+I2757</f>
        <v>0.712</v>
      </c>
      <c r="L2757" s="13" t="n">
        <f aca="false">MAX(0,D2757-K2757)</f>
        <v>0</v>
      </c>
      <c r="M2757" s="13" t="n">
        <f aca="false">MAX(0,F2757-I2757-J2757)</f>
        <v>0</v>
      </c>
      <c r="N2757" s="13" t="n">
        <f aca="false">IF(Kalender!A195="",0,J2756-H2757)</f>
        <v>1.0322</v>
      </c>
    </row>
    <row r="2758" customFormat="false" ht="16.4" hidden="false" customHeight="false" outlineLevel="0" collapsed="false">
      <c r="A2758" s="13" t="str">
        <f aca="false">""</f>
        <v/>
      </c>
      <c r="B2758" s="13" t="n">
        <f aca="false">192</f>
        <v>192</v>
      </c>
      <c r="C2758" s="13" t="n">
        <f aca="false">IF(Szenarien!$H$18="OK",(IFERROR(SUMIF(Nutzungsprofile!$B$6:$B$11,"Schulbetrieb",Nutzungsprofile!$G$6:$G$11)*Kalender!C196/SUM(Kalender!$C$5:$C$370),0)+IFERROR(SUMIF(Nutzungsprofile!$B$6:$B$11,"Halle",Nutzungsprofile!$G$6:$G$11)*Kalender!D196/SUM(Kalender!$D$5:$D$370),0)+IFERROR(SUMIF(Nutzungsprofile!$B$6:$B$11,"Individuell",Nutzungsprofile!$G$6:$G$11)*Kalender!E196/SUM(Kalender!$E$5:$E$370),0))*Szenarien!$E$18,0)</f>
        <v>2.04</v>
      </c>
      <c r="D2758" s="13" t="n">
        <f aca="false">IF(Szenarien!$H$18="OK",(IFERROR(SUMIF(Nutzungsprofile!$B$17:$B$22,"Schulbetrieb",Nutzungsprofile!$G$17:$G$22)*Kalender!C196/SUM(Kalender!$C$5:$C$370),0)+IFERROR(SUMIF(Nutzungsprofile!$B$17:$B$22,"Halle",Nutzungsprofile!$G$17:$G$22)*Kalender!D196/SUM(Kalender!$D$5:$D$370),0)+IFERROR(SUMIF(Nutzungsprofile!$B$17:$B$22,"Individuell",Nutzungsprofile!$G$17:$G$22)*Kalender!E196/SUM(Kalender!$E$5:$E$370),0))*Szenarien!$D$18,0)</f>
        <v>0.712</v>
      </c>
      <c r="E2758" s="13" t="n">
        <f aca="false">IFERROR(MIN(C2758,Eingaben!$B$17)*Eingaben!$B$16,0)</f>
        <v>1.938</v>
      </c>
      <c r="F2758" s="13" t="n">
        <f aca="false">IFERROR(E2758*Eingaben!$B$15,0)</f>
        <v>1.7442</v>
      </c>
      <c r="G2758" s="13" t="n">
        <f aca="false">IFERROR(IF(Kalender!A196="",0,J2757*(1-Eingaben!$B$20)),0)</f>
        <v>1.709316</v>
      </c>
      <c r="H2758" s="13" t="n">
        <f aca="false">MIN(G2758,D2758)</f>
        <v>0.712</v>
      </c>
      <c r="I2758" s="13" t="n">
        <f aca="false">IFERROR(MIN(F2758*Eingaben!$B$19,MAX(0,D2758-H2758)),0)</f>
        <v>0</v>
      </c>
      <c r="J2758" s="13" t="n">
        <f aca="false">IFERROR(MIN(Eingaben!$B$18,MAX(0,F2758-I2758)),0)</f>
        <v>1.7442</v>
      </c>
      <c r="K2758" s="13" t="n">
        <f aca="false">H2758+I2758</f>
        <v>0.712</v>
      </c>
      <c r="L2758" s="13" t="n">
        <f aca="false">MAX(0,D2758-K2758)</f>
        <v>0</v>
      </c>
      <c r="M2758" s="13" t="n">
        <f aca="false">MAX(0,F2758-I2758-J2758)</f>
        <v>0</v>
      </c>
      <c r="N2758" s="13" t="n">
        <f aca="false">IF(Kalender!A196="",0,J2757-H2758)</f>
        <v>1.0322</v>
      </c>
    </row>
    <row r="2759" customFormat="false" ht="16.4" hidden="false" customHeight="false" outlineLevel="0" collapsed="false">
      <c r="A2759" s="13" t="str">
        <f aca="false">""</f>
        <v/>
      </c>
      <c r="B2759" s="13" t="n">
        <f aca="false">193</f>
        <v>193</v>
      </c>
      <c r="C2759" s="13" t="n">
        <f aca="false">IF(Szenarien!$H$18="OK",(IFERROR(SUMIF(Nutzungsprofile!$B$6:$B$11,"Schulbetrieb",Nutzungsprofile!$G$6:$G$11)*Kalender!C197/SUM(Kalender!$C$5:$C$370),0)+IFERROR(SUMIF(Nutzungsprofile!$B$6:$B$11,"Halle",Nutzungsprofile!$G$6:$G$11)*Kalender!D197/SUM(Kalender!$D$5:$D$370),0)+IFERROR(SUMIF(Nutzungsprofile!$B$6:$B$11,"Individuell",Nutzungsprofile!$G$6:$G$11)*Kalender!E197/SUM(Kalender!$E$5:$E$370),0))*Szenarien!$E$18,0)</f>
        <v>2.04</v>
      </c>
      <c r="D2759" s="13" t="n">
        <f aca="false">IF(Szenarien!$H$18="OK",(IFERROR(SUMIF(Nutzungsprofile!$B$17:$B$22,"Schulbetrieb",Nutzungsprofile!$G$17:$G$22)*Kalender!C197/SUM(Kalender!$C$5:$C$370),0)+IFERROR(SUMIF(Nutzungsprofile!$B$17:$B$22,"Halle",Nutzungsprofile!$G$17:$G$22)*Kalender!D197/SUM(Kalender!$D$5:$D$370),0)+IFERROR(SUMIF(Nutzungsprofile!$B$17:$B$22,"Individuell",Nutzungsprofile!$G$17:$G$22)*Kalender!E197/SUM(Kalender!$E$5:$E$370),0))*Szenarien!$D$18,0)</f>
        <v>0.712</v>
      </c>
      <c r="E2759" s="13" t="n">
        <f aca="false">IFERROR(MIN(C2759,Eingaben!$B$17)*Eingaben!$B$16,0)</f>
        <v>1.938</v>
      </c>
      <c r="F2759" s="13" t="n">
        <f aca="false">IFERROR(E2759*Eingaben!$B$15,0)</f>
        <v>1.7442</v>
      </c>
      <c r="G2759" s="13" t="n">
        <f aca="false">IFERROR(IF(Kalender!A197="",0,J2758*(1-Eingaben!$B$20)),0)</f>
        <v>1.709316</v>
      </c>
      <c r="H2759" s="13" t="n">
        <f aca="false">MIN(G2759,D2759)</f>
        <v>0.712</v>
      </c>
      <c r="I2759" s="13" t="n">
        <f aca="false">IFERROR(MIN(F2759*Eingaben!$B$19,MAX(0,D2759-H2759)),0)</f>
        <v>0</v>
      </c>
      <c r="J2759" s="13" t="n">
        <f aca="false">IFERROR(MIN(Eingaben!$B$18,MAX(0,F2759-I2759)),0)</f>
        <v>1.7442</v>
      </c>
      <c r="K2759" s="13" t="n">
        <f aca="false">H2759+I2759</f>
        <v>0.712</v>
      </c>
      <c r="L2759" s="13" t="n">
        <f aca="false">MAX(0,D2759-K2759)</f>
        <v>0</v>
      </c>
      <c r="M2759" s="13" t="n">
        <f aca="false">MAX(0,F2759-I2759-J2759)</f>
        <v>0</v>
      </c>
      <c r="N2759" s="13" t="n">
        <f aca="false">IF(Kalender!A197="",0,J2758-H2759)</f>
        <v>1.0322</v>
      </c>
    </row>
    <row r="2760" customFormat="false" ht="16.4" hidden="false" customHeight="false" outlineLevel="0" collapsed="false">
      <c r="A2760" s="13" t="str">
        <f aca="false">""</f>
        <v/>
      </c>
      <c r="B2760" s="13" t="n">
        <f aca="false">194</f>
        <v>194</v>
      </c>
      <c r="C2760" s="13" t="n">
        <f aca="false">IF(Szenarien!$H$18="OK",(IFERROR(SUMIF(Nutzungsprofile!$B$6:$B$11,"Schulbetrieb",Nutzungsprofile!$G$6:$G$11)*Kalender!C198/SUM(Kalender!$C$5:$C$370),0)+IFERROR(SUMIF(Nutzungsprofile!$B$6:$B$11,"Halle",Nutzungsprofile!$G$6:$G$11)*Kalender!D198/SUM(Kalender!$D$5:$D$370),0)+IFERROR(SUMIF(Nutzungsprofile!$B$6:$B$11,"Individuell",Nutzungsprofile!$G$6:$G$11)*Kalender!E198/SUM(Kalender!$E$5:$E$370),0))*Szenarien!$E$18,0)</f>
        <v>2.04</v>
      </c>
      <c r="D2760" s="13" t="n">
        <f aca="false">IF(Szenarien!$H$18="OK",(IFERROR(SUMIF(Nutzungsprofile!$B$17:$B$22,"Schulbetrieb",Nutzungsprofile!$G$17:$G$22)*Kalender!C198/SUM(Kalender!$C$5:$C$370),0)+IFERROR(SUMIF(Nutzungsprofile!$B$17:$B$22,"Halle",Nutzungsprofile!$G$17:$G$22)*Kalender!D198/SUM(Kalender!$D$5:$D$370),0)+IFERROR(SUMIF(Nutzungsprofile!$B$17:$B$22,"Individuell",Nutzungsprofile!$G$17:$G$22)*Kalender!E198/SUM(Kalender!$E$5:$E$370),0))*Szenarien!$D$18,0)</f>
        <v>0.712</v>
      </c>
      <c r="E2760" s="13" t="n">
        <f aca="false">IFERROR(MIN(C2760,Eingaben!$B$17)*Eingaben!$B$16,0)</f>
        <v>1.938</v>
      </c>
      <c r="F2760" s="13" t="n">
        <f aca="false">IFERROR(E2760*Eingaben!$B$15,0)</f>
        <v>1.7442</v>
      </c>
      <c r="G2760" s="13" t="n">
        <f aca="false">IFERROR(IF(Kalender!A198="",0,J2759*(1-Eingaben!$B$20)),0)</f>
        <v>1.709316</v>
      </c>
      <c r="H2760" s="13" t="n">
        <f aca="false">MIN(G2760,D2760)</f>
        <v>0.712</v>
      </c>
      <c r="I2760" s="13" t="n">
        <f aca="false">IFERROR(MIN(F2760*Eingaben!$B$19,MAX(0,D2760-H2760)),0)</f>
        <v>0</v>
      </c>
      <c r="J2760" s="13" t="n">
        <f aca="false">IFERROR(MIN(Eingaben!$B$18,MAX(0,F2760-I2760)),0)</f>
        <v>1.7442</v>
      </c>
      <c r="K2760" s="13" t="n">
        <f aca="false">H2760+I2760</f>
        <v>0.712</v>
      </c>
      <c r="L2760" s="13" t="n">
        <f aca="false">MAX(0,D2760-K2760)</f>
        <v>0</v>
      </c>
      <c r="M2760" s="13" t="n">
        <f aca="false">MAX(0,F2760-I2760-J2760)</f>
        <v>0</v>
      </c>
      <c r="N2760" s="13" t="n">
        <f aca="false">IF(Kalender!A198="",0,J2759-H2760)</f>
        <v>1.0322</v>
      </c>
    </row>
    <row r="2761" customFormat="false" ht="16.4" hidden="false" customHeight="false" outlineLevel="0" collapsed="false">
      <c r="A2761" s="13" t="str">
        <f aca="false">""</f>
        <v/>
      </c>
      <c r="B2761" s="13" t="n">
        <f aca="false">195</f>
        <v>195</v>
      </c>
      <c r="C2761" s="13" t="n">
        <f aca="false">IF(Szenarien!$H$18="OK",(IFERROR(SUMIF(Nutzungsprofile!$B$6:$B$11,"Schulbetrieb",Nutzungsprofile!$G$6:$G$11)*Kalender!C199/SUM(Kalender!$C$5:$C$370),0)+IFERROR(SUMIF(Nutzungsprofile!$B$6:$B$11,"Halle",Nutzungsprofile!$G$6:$G$11)*Kalender!D199/SUM(Kalender!$D$5:$D$370),0)+IFERROR(SUMIF(Nutzungsprofile!$B$6:$B$11,"Individuell",Nutzungsprofile!$G$6:$G$11)*Kalender!E199/SUM(Kalender!$E$5:$E$370),0))*Szenarien!$E$18,0)</f>
        <v>2.04</v>
      </c>
      <c r="D2761" s="13" t="n">
        <f aca="false">IF(Szenarien!$H$18="OK",(IFERROR(SUMIF(Nutzungsprofile!$B$17:$B$22,"Schulbetrieb",Nutzungsprofile!$G$17:$G$22)*Kalender!C199/SUM(Kalender!$C$5:$C$370),0)+IFERROR(SUMIF(Nutzungsprofile!$B$17:$B$22,"Halle",Nutzungsprofile!$G$17:$G$22)*Kalender!D199/SUM(Kalender!$D$5:$D$370),0)+IFERROR(SUMIF(Nutzungsprofile!$B$17:$B$22,"Individuell",Nutzungsprofile!$G$17:$G$22)*Kalender!E199/SUM(Kalender!$E$5:$E$370),0))*Szenarien!$D$18,0)</f>
        <v>0.712</v>
      </c>
      <c r="E2761" s="13" t="n">
        <f aca="false">IFERROR(MIN(C2761,Eingaben!$B$17)*Eingaben!$B$16,0)</f>
        <v>1.938</v>
      </c>
      <c r="F2761" s="13" t="n">
        <f aca="false">IFERROR(E2761*Eingaben!$B$15,0)</f>
        <v>1.7442</v>
      </c>
      <c r="G2761" s="13" t="n">
        <f aca="false">IFERROR(IF(Kalender!A199="",0,J2760*(1-Eingaben!$B$20)),0)</f>
        <v>1.709316</v>
      </c>
      <c r="H2761" s="13" t="n">
        <f aca="false">MIN(G2761,D2761)</f>
        <v>0.712</v>
      </c>
      <c r="I2761" s="13" t="n">
        <f aca="false">IFERROR(MIN(F2761*Eingaben!$B$19,MAX(0,D2761-H2761)),0)</f>
        <v>0</v>
      </c>
      <c r="J2761" s="13" t="n">
        <f aca="false">IFERROR(MIN(Eingaben!$B$18,MAX(0,F2761-I2761)),0)</f>
        <v>1.7442</v>
      </c>
      <c r="K2761" s="13" t="n">
        <f aca="false">H2761+I2761</f>
        <v>0.712</v>
      </c>
      <c r="L2761" s="13" t="n">
        <f aca="false">MAX(0,D2761-K2761)</f>
        <v>0</v>
      </c>
      <c r="M2761" s="13" t="n">
        <f aca="false">MAX(0,F2761-I2761-J2761)</f>
        <v>0</v>
      </c>
      <c r="N2761" s="13" t="n">
        <f aca="false">IF(Kalender!A199="",0,J2760-H2761)</f>
        <v>1.0322</v>
      </c>
    </row>
    <row r="2762" customFormat="false" ht="16.4" hidden="false" customHeight="false" outlineLevel="0" collapsed="false">
      <c r="A2762" s="13" t="str">
        <f aca="false">""</f>
        <v/>
      </c>
      <c r="B2762" s="13" t="n">
        <f aca="false">196</f>
        <v>196</v>
      </c>
      <c r="C2762" s="13" t="n">
        <f aca="false">IF(Szenarien!$H$18="OK",(IFERROR(SUMIF(Nutzungsprofile!$B$6:$B$11,"Schulbetrieb",Nutzungsprofile!$G$6:$G$11)*Kalender!C200/SUM(Kalender!$C$5:$C$370),0)+IFERROR(SUMIF(Nutzungsprofile!$B$6:$B$11,"Halle",Nutzungsprofile!$G$6:$G$11)*Kalender!D200/SUM(Kalender!$D$5:$D$370),0)+IFERROR(SUMIF(Nutzungsprofile!$B$6:$B$11,"Individuell",Nutzungsprofile!$G$6:$G$11)*Kalender!E200/SUM(Kalender!$E$5:$E$370),0))*Szenarien!$E$18,0)</f>
        <v>2.04</v>
      </c>
      <c r="D2762" s="13" t="n">
        <f aca="false">IF(Szenarien!$H$18="OK",(IFERROR(SUMIF(Nutzungsprofile!$B$17:$B$22,"Schulbetrieb",Nutzungsprofile!$G$17:$G$22)*Kalender!C200/SUM(Kalender!$C$5:$C$370),0)+IFERROR(SUMIF(Nutzungsprofile!$B$17:$B$22,"Halle",Nutzungsprofile!$G$17:$G$22)*Kalender!D200/SUM(Kalender!$D$5:$D$370),0)+IFERROR(SUMIF(Nutzungsprofile!$B$17:$B$22,"Individuell",Nutzungsprofile!$G$17:$G$22)*Kalender!E200/SUM(Kalender!$E$5:$E$370),0))*Szenarien!$D$18,0)</f>
        <v>0.712</v>
      </c>
      <c r="E2762" s="13" t="n">
        <f aca="false">IFERROR(MIN(C2762,Eingaben!$B$17)*Eingaben!$B$16,0)</f>
        <v>1.938</v>
      </c>
      <c r="F2762" s="13" t="n">
        <f aca="false">IFERROR(E2762*Eingaben!$B$15,0)</f>
        <v>1.7442</v>
      </c>
      <c r="G2762" s="13" t="n">
        <f aca="false">IFERROR(IF(Kalender!A200="",0,J2761*(1-Eingaben!$B$20)),0)</f>
        <v>1.709316</v>
      </c>
      <c r="H2762" s="13" t="n">
        <f aca="false">MIN(G2762,D2762)</f>
        <v>0.712</v>
      </c>
      <c r="I2762" s="13" t="n">
        <f aca="false">IFERROR(MIN(F2762*Eingaben!$B$19,MAX(0,D2762-H2762)),0)</f>
        <v>0</v>
      </c>
      <c r="J2762" s="13" t="n">
        <f aca="false">IFERROR(MIN(Eingaben!$B$18,MAX(0,F2762-I2762)),0)</f>
        <v>1.7442</v>
      </c>
      <c r="K2762" s="13" t="n">
        <f aca="false">H2762+I2762</f>
        <v>0.712</v>
      </c>
      <c r="L2762" s="13" t="n">
        <f aca="false">MAX(0,D2762-K2762)</f>
        <v>0</v>
      </c>
      <c r="M2762" s="13" t="n">
        <f aca="false">MAX(0,F2762-I2762-J2762)</f>
        <v>0</v>
      </c>
      <c r="N2762" s="13" t="n">
        <f aca="false">IF(Kalender!A200="",0,J2761-H2762)</f>
        <v>1.0322</v>
      </c>
    </row>
    <row r="2763" customFormat="false" ht="16.4" hidden="false" customHeight="false" outlineLevel="0" collapsed="false">
      <c r="A2763" s="13" t="str">
        <f aca="false">""</f>
        <v/>
      </c>
      <c r="B2763" s="13" t="n">
        <f aca="false">197</f>
        <v>197</v>
      </c>
      <c r="C2763" s="13" t="n">
        <f aca="false">IF(Szenarien!$H$18="OK",(IFERROR(SUMIF(Nutzungsprofile!$B$6:$B$11,"Schulbetrieb",Nutzungsprofile!$G$6:$G$11)*Kalender!C201/SUM(Kalender!$C$5:$C$370),0)+IFERROR(SUMIF(Nutzungsprofile!$B$6:$B$11,"Halle",Nutzungsprofile!$G$6:$G$11)*Kalender!D201/SUM(Kalender!$D$5:$D$370),0)+IFERROR(SUMIF(Nutzungsprofile!$B$6:$B$11,"Individuell",Nutzungsprofile!$G$6:$G$11)*Kalender!E201/SUM(Kalender!$E$5:$E$370),0))*Szenarien!$E$18,0)</f>
        <v>2.04</v>
      </c>
      <c r="D2763" s="13" t="n">
        <f aca="false">IF(Szenarien!$H$18="OK",(IFERROR(SUMIF(Nutzungsprofile!$B$17:$B$22,"Schulbetrieb",Nutzungsprofile!$G$17:$G$22)*Kalender!C201/SUM(Kalender!$C$5:$C$370),0)+IFERROR(SUMIF(Nutzungsprofile!$B$17:$B$22,"Halle",Nutzungsprofile!$G$17:$G$22)*Kalender!D201/SUM(Kalender!$D$5:$D$370),0)+IFERROR(SUMIF(Nutzungsprofile!$B$17:$B$22,"Individuell",Nutzungsprofile!$G$17:$G$22)*Kalender!E201/SUM(Kalender!$E$5:$E$370),0))*Szenarien!$D$18,0)</f>
        <v>0.712</v>
      </c>
      <c r="E2763" s="13" t="n">
        <f aca="false">IFERROR(MIN(C2763,Eingaben!$B$17)*Eingaben!$B$16,0)</f>
        <v>1.938</v>
      </c>
      <c r="F2763" s="13" t="n">
        <f aca="false">IFERROR(E2763*Eingaben!$B$15,0)</f>
        <v>1.7442</v>
      </c>
      <c r="G2763" s="13" t="n">
        <f aca="false">IFERROR(IF(Kalender!A201="",0,J2762*(1-Eingaben!$B$20)),0)</f>
        <v>1.709316</v>
      </c>
      <c r="H2763" s="13" t="n">
        <f aca="false">MIN(G2763,D2763)</f>
        <v>0.712</v>
      </c>
      <c r="I2763" s="13" t="n">
        <f aca="false">IFERROR(MIN(F2763*Eingaben!$B$19,MAX(0,D2763-H2763)),0)</f>
        <v>0</v>
      </c>
      <c r="J2763" s="13" t="n">
        <f aca="false">IFERROR(MIN(Eingaben!$B$18,MAX(0,F2763-I2763)),0)</f>
        <v>1.7442</v>
      </c>
      <c r="K2763" s="13" t="n">
        <f aca="false">H2763+I2763</f>
        <v>0.712</v>
      </c>
      <c r="L2763" s="13" t="n">
        <f aca="false">MAX(0,D2763-K2763)</f>
        <v>0</v>
      </c>
      <c r="M2763" s="13" t="n">
        <f aca="false">MAX(0,F2763-I2763-J2763)</f>
        <v>0</v>
      </c>
      <c r="N2763" s="13" t="n">
        <f aca="false">IF(Kalender!A201="",0,J2762-H2763)</f>
        <v>1.0322</v>
      </c>
    </row>
    <row r="2764" customFormat="false" ht="16.4" hidden="false" customHeight="false" outlineLevel="0" collapsed="false">
      <c r="A2764" s="13" t="str">
        <f aca="false">""</f>
        <v/>
      </c>
      <c r="B2764" s="13" t="n">
        <f aca="false">198</f>
        <v>198</v>
      </c>
      <c r="C2764" s="13" t="n">
        <f aca="false">IF(Szenarien!$H$18="OK",(IFERROR(SUMIF(Nutzungsprofile!$B$6:$B$11,"Schulbetrieb",Nutzungsprofile!$G$6:$G$11)*Kalender!C202/SUM(Kalender!$C$5:$C$370),0)+IFERROR(SUMIF(Nutzungsprofile!$B$6:$B$11,"Halle",Nutzungsprofile!$G$6:$G$11)*Kalender!D202/SUM(Kalender!$D$5:$D$370),0)+IFERROR(SUMIF(Nutzungsprofile!$B$6:$B$11,"Individuell",Nutzungsprofile!$G$6:$G$11)*Kalender!E202/SUM(Kalender!$E$5:$E$370),0))*Szenarien!$E$18,0)</f>
        <v>2.04</v>
      </c>
      <c r="D2764" s="13" t="n">
        <f aca="false">IF(Szenarien!$H$18="OK",(IFERROR(SUMIF(Nutzungsprofile!$B$17:$B$22,"Schulbetrieb",Nutzungsprofile!$G$17:$G$22)*Kalender!C202/SUM(Kalender!$C$5:$C$370),0)+IFERROR(SUMIF(Nutzungsprofile!$B$17:$B$22,"Halle",Nutzungsprofile!$G$17:$G$22)*Kalender!D202/SUM(Kalender!$D$5:$D$370),0)+IFERROR(SUMIF(Nutzungsprofile!$B$17:$B$22,"Individuell",Nutzungsprofile!$G$17:$G$22)*Kalender!E202/SUM(Kalender!$E$5:$E$370),0))*Szenarien!$D$18,0)</f>
        <v>0.712</v>
      </c>
      <c r="E2764" s="13" t="n">
        <f aca="false">IFERROR(MIN(C2764,Eingaben!$B$17)*Eingaben!$B$16,0)</f>
        <v>1.938</v>
      </c>
      <c r="F2764" s="13" t="n">
        <f aca="false">IFERROR(E2764*Eingaben!$B$15,0)</f>
        <v>1.7442</v>
      </c>
      <c r="G2764" s="13" t="n">
        <f aca="false">IFERROR(IF(Kalender!A202="",0,J2763*(1-Eingaben!$B$20)),0)</f>
        <v>1.709316</v>
      </c>
      <c r="H2764" s="13" t="n">
        <f aca="false">MIN(G2764,D2764)</f>
        <v>0.712</v>
      </c>
      <c r="I2764" s="13" t="n">
        <f aca="false">IFERROR(MIN(F2764*Eingaben!$B$19,MAX(0,D2764-H2764)),0)</f>
        <v>0</v>
      </c>
      <c r="J2764" s="13" t="n">
        <f aca="false">IFERROR(MIN(Eingaben!$B$18,MAX(0,F2764-I2764)),0)</f>
        <v>1.7442</v>
      </c>
      <c r="K2764" s="13" t="n">
        <f aca="false">H2764+I2764</f>
        <v>0.712</v>
      </c>
      <c r="L2764" s="13" t="n">
        <f aca="false">MAX(0,D2764-K2764)</f>
        <v>0</v>
      </c>
      <c r="M2764" s="13" t="n">
        <f aca="false">MAX(0,F2764-I2764-J2764)</f>
        <v>0</v>
      </c>
      <c r="N2764" s="13" t="n">
        <f aca="false">IF(Kalender!A202="",0,J2763-H2764)</f>
        <v>1.0322</v>
      </c>
    </row>
    <row r="2765" customFormat="false" ht="16.4" hidden="false" customHeight="false" outlineLevel="0" collapsed="false">
      <c r="A2765" s="13" t="str">
        <f aca="false">""</f>
        <v/>
      </c>
      <c r="B2765" s="13" t="n">
        <f aca="false">199</f>
        <v>199</v>
      </c>
      <c r="C2765" s="13" t="n">
        <f aca="false">IF(Szenarien!$H$18="OK",(IFERROR(SUMIF(Nutzungsprofile!$B$6:$B$11,"Schulbetrieb",Nutzungsprofile!$G$6:$G$11)*Kalender!C203/SUM(Kalender!$C$5:$C$370),0)+IFERROR(SUMIF(Nutzungsprofile!$B$6:$B$11,"Halle",Nutzungsprofile!$G$6:$G$11)*Kalender!D203/SUM(Kalender!$D$5:$D$370),0)+IFERROR(SUMIF(Nutzungsprofile!$B$6:$B$11,"Individuell",Nutzungsprofile!$G$6:$G$11)*Kalender!E203/SUM(Kalender!$E$5:$E$370),0))*Szenarien!$E$18,0)</f>
        <v>2.04</v>
      </c>
      <c r="D2765" s="13" t="n">
        <f aca="false">IF(Szenarien!$H$18="OK",(IFERROR(SUMIF(Nutzungsprofile!$B$17:$B$22,"Schulbetrieb",Nutzungsprofile!$G$17:$G$22)*Kalender!C203/SUM(Kalender!$C$5:$C$370),0)+IFERROR(SUMIF(Nutzungsprofile!$B$17:$B$22,"Halle",Nutzungsprofile!$G$17:$G$22)*Kalender!D203/SUM(Kalender!$D$5:$D$370),0)+IFERROR(SUMIF(Nutzungsprofile!$B$17:$B$22,"Individuell",Nutzungsprofile!$G$17:$G$22)*Kalender!E203/SUM(Kalender!$E$5:$E$370),0))*Szenarien!$D$18,0)</f>
        <v>0.712</v>
      </c>
      <c r="E2765" s="13" t="n">
        <f aca="false">IFERROR(MIN(C2765,Eingaben!$B$17)*Eingaben!$B$16,0)</f>
        <v>1.938</v>
      </c>
      <c r="F2765" s="13" t="n">
        <f aca="false">IFERROR(E2765*Eingaben!$B$15,0)</f>
        <v>1.7442</v>
      </c>
      <c r="G2765" s="13" t="n">
        <f aca="false">IFERROR(IF(Kalender!A203="",0,J2764*(1-Eingaben!$B$20)),0)</f>
        <v>1.709316</v>
      </c>
      <c r="H2765" s="13" t="n">
        <f aca="false">MIN(G2765,D2765)</f>
        <v>0.712</v>
      </c>
      <c r="I2765" s="13" t="n">
        <f aca="false">IFERROR(MIN(F2765*Eingaben!$B$19,MAX(0,D2765-H2765)),0)</f>
        <v>0</v>
      </c>
      <c r="J2765" s="13" t="n">
        <f aca="false">IFERROR(MIN(Eingaben!$B$18,MAX(0,F2765-I2765)),0)</f>
        <v>1.7442</v>
      </c>
      <c r="K2765" s="13" t="n">
        <f aca="false">H2765+I2765</f>
        <v>0.712</v>
      </c>
      <c r="L2765" s="13" t="n">
        <f aca="false">MAX(0,D2765-K2765)</f>
        <v>0</v>
      </c>
      <c r="M2765" s="13" t="n">
        <f aca="false">MAX(0,F2765-I2765-J2765)</f>
        <v>0</v>
      </c>
      <c r="N2765" s="13" t="n">
        <f aca="false">IF(Kalender!A203="",0,J2764-H2765)</f>
        <v>1.0322</v>
      </c>
    </row>
    <row r="2766" customFormat="false" ht="16.4" hidden="false" customHeight="false" outlineLevel="0" collapsed="false">
      <c r="A2766" s="13" t="str">
        <f aca="false">""</f>
        <v/>
      </c>
      <c r="B2766" s="13" t="n">
        <f aca="false">200</f>
        <v>200</v>
      </c>
      <c r="C2766" s="13" t="n">
        <f aca="false">IF(Szenarien!$H$18="OK",(IFERROR(SUMIF(Nutzungsprofile!$B$6:$B$11,"Schulbetrieb",Nutzungsprofile!$G$6:$G$11)*Kalender!C204/SUM(Kalender!$C$5:$C$370),0)+IFERROR(SUMIF(Nutzungsprofile!$B$6:$B$11,"Halle",Nutzungsprofile!$G$6:$G$11)*Kalender!D204/SUM(Kalender!$D$5:$D$370),0)+IFERROR(SUMIF(Nutzungsprofile!$B$6:$B$11,"Individuell",Nutzungsprofile!$G$6:$G$11)*Kalender!E204/SUM(Kalender!$E$5:$E$370),0))*Szenarien!$E$18,0)</f>
        <v>2.04</v>
      </c>
      <c r="D2766" s="13" t="n">
        <f aca="false">IF(Szenarien!$H$18="OK",(IFERROR(SUMIF(Nutzungsprofile!$B$17:$B$22,"Schulbetrieb",Nutzungsprofile!$G$17:$G$22)*Kalender!C204/SUM(Kalender!$C$5:$C$370),0)+IFERROR(SUMIF(Nutzungsprofile!$B$17:$B$22,"Halle",Nutzungsprofile!$G$17:$G$22)*Kalender!D204/SUM(Kalender!$D$5:$D$370),0)+IFERROR(SUMIF(Nutzungsprofile!$B$17:$B$22,"Individuell",Nutzungsprofile!$G$17:$G$22)*Kalender!E204/SUM(Kalender!$E$5:$E$370),0))*Szenarien!$D$18,0)</f>
        <v>0.712</v>
      </c>
      <c r="E2766" s="13" t="n">
        <f aca="false">IFERROR(MIN(C2766,Eingaben!$B$17)*Eingaben!$B$16,0)</f>
        <v>1.938</v>
      </c>
      <c r="F2766" s="13" t="n">
        <f aca="false">IFERROR(E2766*Eingaben!$B$15,0)</f>
        <v>1.7442</v>
      </c>
      <c r="G2766" s="13" t="n">
        <f aca="false">IFERROR(IF(Kalender!A204="",0,J2765*(1-Eingaben!$B$20)),0)</f>
        <v>1.709316</v>
      </c>
      <c r="H2766" s="13" t="n">
        <f aca="false">MIN(G2766,D2766)</f>
        <v>0.712</v>
      </c>
      <c r="I2766" s="13" t="n">
        <f aca="false">IFERROR(MIN(F2766*Eingaben!$B$19,MAX(0,D2766-H2766)),0)</f>
        <v>0</v>
      </c>
      <c r="J2766" s="13" t="n">
        <f aca="false">IFERROR(MIN(Eingaben!$B$18,MAX(0,F2766-I2766)),0)</f>
        <v>1.7442</v>
      </c>
      <c r="K2766" s="13" t="n">
        <f aca="false">H2766+I2766</f>
        <v>0.712</v>
      </c>
      <c r="L2766" s="13" t="n">
        <f aca="false">MAX(0,D2766-K2766)</f>
        <v>0</v>
      </c>
      <c r="M2766" s="13" t="n">
        <f aca="false">MAX(0,F2766-I2766-J2766)</f>
        <v>0</v>
      </c>
      <c r="N2766" s="13" t="n">
        <f aca="false">IF(Kalender!A204="",0,J2765-H2766)</f>
        <v>1.0322</v>
      </c>
    </row>
    <row r="2767" customFormat="false" ht="16.4" hidden="false" customHeight="false" outlineLevel="0" collapsed="false">
      <c r="A2767" s="13" t="str">
        <f aca="false">""</f>
        <v/>
      </c>
      <c r="B2767" s="13" t="n">
        <f aca="false">201</f>
        <v>201</v>
      </c>
      <c r="C2767" s="13" t="n">
        <f aca="false">IF(Szenarien!$H$18="OK",(IFERROR(SUMIF(Nutzungsprofile!$B$6:$B$11,"Schulbetrieb",Nutzungsprofile!$G$6:$G$11)*Kalender!C205/SUM(Kalender!$C$5:$C$370),0)+IFERROR(SUMIF(Nutzungsprofile!$B$6:$B$11,"Halle",Nutzungsprofile!$G$6:$G$11)*Kalender!D205/SUM(Kalender!$D$5:$D$370),0)+IFERROR(SUMIF(Nutzungsprofile!$B$6:$B$11,"Individuell",Nutzungsprofile!$G$6:$G$11)*Kalender!E205/SUM(Kalender!$E$5:$E$370),0))*Szenarien!$E$18,0)</f>
        <v>2.04</v>
      </c>
      <c r="D2767" s="13" t="n">
        <f aca="false">IF(Szenarien!$H$18="OK",(IFERROR(SUMIF(Nutzungsprofile!$B$17:$B$22,"Schulbetrieb",Nutzungsprofile!$G$17:$G$22)*Kalender!C205/SUM(Kalender!$C$5:$C$370),0)+IFERROR(SUMIF(Nutzungsprofile!$B$17:$B$22,"Halle",Nutzungsprofile!$G$17:$G$22)*Kalender!D205/SUM(Kalender!$D$5:$D$370),0)+IFERROR(SUMIF(Nutzungsprofile!$B$17:$B$22,"Individuell",Nutzungsprofile!$G$17:$G$22)*Kalender!E205/SUM(Kalender!$E$5:$E$370),0))*Szenarien!$D$18,0)</f>
        <v>0.712</v>
      </c>
      <c r="E2767" s="13" t="n">
        <f aca="false">IFERROR(MIN(C2767,Eingaben!$B$17)*Eingaben!$B$16,0)</f>
        <v>1.938</v>
      </c>
      <c r="F2767" s="13" t="n">
        <f aca="false">IFERROR(E2767*Eingaben!$B$15,0)</f>
        <v>1.7442</v>
      </c>
      <c r="G2767" s="13" t="n">
        <f aca="false">IFERROR(IF(Kalender!A205="",0,J2766*(1-Eingaben!$B$20)),0)</f>
        <v>1.709316</v>
      </c>
      <c r="H2767" s="13" t="n">
        <f aca="false">MIN(G2767,D2767)</f>
        <v>0.712</v>
      </c>
      <c r="I2767" s="13" t="n">
        <f aca="false">IFERROR(MIN(F2767*Eingaben!$B$19,MAX(0,D2767-H2767)),0)</f>
        <v>0</v>
      </c>
      <c r="J2767" s="13" t="n">
        <f aca="false">IFERROR(MIN(Eingaben!$B$18,MAX(0,F2767-I2767)),0)</f>
        <v>1.7442</v>
      </c>
      <c r="K2767" s="13" t="n">
        <f aca="false">H2767+I2767</f>
        <v>0.712</v>
      </c>
      <c r="L2767" s="13" t="n">
        <f aca="false">MAX(0,D2767-K2767)</f>
        <v>0</v>
      </c>
      <c r="M2767" s="13" t="n">
        <f aca="false">MAX(0,F2767-I2767-J2767)</f>
        <v>0</v>
      </c>
      <c r="N2767" s="13" t="n">
        <f aca="false">IF(Kalender!A205="",0,J2766-H2767)</f>
        <v>1.0322</v>
      </c>
    </row>
    <row r="2768" customFormat="false" ht="16.4" hidden="false" customHeight="false" outlineLevel="0" collapsed="false">
      <c r="A2768" s="13" t="str">
        <f aca="false">""</f>
        <v/>
      </c>
      <c r="B2768" s="13" t="n">
        <f aca="false">202</f>
        <v>202</v>
      </c>
      <c r="C2768" s="13" t="n">
        <f aca="false">IF(Szenarien!$H$18="OK",(IFERROR(SUMIF(Nutzungsprofile!$B$6:$B$11,"Schulbetrieb",Nutzungsprofile!$G$6:$G$11)*Kalender!C206/SUM(Kalender!$C$5:$C$370),0)+IFERROR(SUMIF(Nutzungsprofile!$B$6:$B$11,"Halle",Nutzungsprofile!$G$6:$G$11)*Kalender!D206/SUM(Kalender!$D$5:$D$370),0)+IFERROR(SUMIF(Nutzungsprofile!$B$6:$B$11,"Individuell",Nutzungsprofile!$G$6:$G$11)*Kalender!E206/SUM(Kalender!$E$5:$E$370),0))*Szenarien!$E$18,0)</f>
        <v>2.04</v>
      </c>
      <c r="D2768" s="13" t="n">
        <f aca="false">IF(Szenarien!$H$18="OK",(IFERROR(SUMIF(Nutzungsprofile!$B$17:$B$22,"Schulbetrieb",Nutzungsprofile!$G$17:$G$22)*Kalender!C206/SUM(Kalender!$C$5:$C$370),0)+IFERROR(SUMIF(Nutzungsprofile!$B$17:$B$22,"Halle",Nutzungsprofile!$G$17:$G$22)*Kalender!D206/SUM(Kalender!$D$5:$D$370),0)+IFERROR(SUMIF(Nutzungsprofile!$B$17:$B$22,"Individuell",Nutzungsprofile!$G$17:$G$22)*Kalender!E206/SUM(Kalender!$E$5:$E$370),0))*Szenarien!$D$18,0)</f>
        <v>0.712</v>
      </c>
      <c r="E2768" s="13" t="n">
        <f aca="false">IFERROR(MIN(C2768,Eingaben!$B$17)*Eingaben!$B$16,0)</f>
        <v>1.938</v>
      </c>
      <c r="F2768" s="13" t="n">
        <f aca="false">IFERROR(E2768*Eingaben!$B$15,0)</f>
        <v>1.7442</v>
      </c>
      <c r="G2768" s="13" t="n">
        <f aca="false">IFERROR(IF(Kalender!A206="",0,J2767*(1-Eingaben!$B$20)),0)</f>
        <v>1.709316</v>
      </c>
      <c r="H2768" s="13" t="n">
        <f aca="false">MIN(G2768,D2768)</f>
        <v>0.712</v>
      </c>
      <c r="I2768" s="13" t="n">
        <f aca="false">IFERROR(MIN(F2768*Eingaben!$B$19,MAX(0,D2768-H2768)),0)</f>
        <v>0</v>
      </c>
      <c r="J2768" s="13" t="n">
        <f aca="false">IFERROR(MIN(Eingaben!$B$18,MAX(0,F2768-I2768)),0)</f>
        <v>1.7442</v>
      </c>
      <c r="K2768" s="13" t="n">
        <f aca="false">H2768+I2768</f>
        <v>0.712</v>
      </c>
      <c r="L2768" s="13" t="n">
        <f aca="false">MAX(0,D2768-K2768)</f>
        <v>0</v>
      </c>
      <c r="M2768" s="13" t="n">
        <f aca="false">MAX(0,F2768-I2768-J2768)</f>
        <v>0</v>
      </c>
      <c r="N2768" s="13" t="n">
        <f aca="false">IF(Kalender!A206="",0,J2767-H2768)</f>
        <v>1.0322</v>
      </c>
    </row>
    <row r="2769" customFormat="false" ht="16.4" hidden="false" customHeight="false" outlineLevel="0" collapsed="false">
      <c r="A2769" s="13" t="str">
        <f aca="false">""</f>
        <v/>
      </c>
      <c r="B2769" s="13" t="n">
        <f aca="false">203</f>
        <v>203</v>
      </c>
      <c r="C2769" s="13" t="n">
        <f aca="false">IF(Szenarien!$H$18="OK",(IFERROR(SUMIF(Nutzungsprofile!$B$6:$B$11,"Schulbetrieb",Nutzungsprofile!$G$6:$G$11)*Kalender!C207/SUM(Kalender!$C$5:$C$370),0)+IFERROR(SUMIF(Nutzungsprofile!$B$6:$B$11,"Halle",Nutzungsprofile!$G$6:$G$11)*Kalender!D207/SUM(Kalender!$D$5:$D$370),0)+IFERROR(SUMIF(Nutzungsprofile!$B$6:$B$11,"Individuell",Nutzungsprofile!$G$6:$G$11)*Kalender!E207/SUM(Kalender!$E$5:$E$370),0))*Szenarien!$E$18,0)</f>
        <v>2.04</v>
      </c>
      <c r="D2769" s="13" t="n">
        <f aca="false">IF(Szenarien!$H$18="OK",(IFERROR(SUMIF(Nutzungsprofile!$B$17:$B$22,"Schulbetrieb",Nutzungsprofile!$G$17:$G$22)*Kalender!C207/SUM(Kalender!$C$5:$C$370),0)+IFERROR(SUMIF(Nutzungsprofile!$B$17:$B$22,"Halle",Nutzungsprofile!$G$17:$G$22)*Kalender!D207/SUM(Kalender!$D$5:$D$370),0)+IFERROR(SUMIF(Nutzungsprofile!$B$17:$B$22,"Individuell",Nutzungsprofile!$G$17:$G$22)*Kalender!E207/SUM(Kalender!$E$5:$E$370),0))*Szenarien!$D$18,0)</f>
        <v>0.712</v>
      </c>
      <c r="E2769" s="13" t="n">
        <f aca="false">IFERROR(MIN(C2769,Eingaben!$B$17)*Eingaben!$B$16,0)</f>
        <v>1.938</v>
      </c>
      <c r="F2769" s="13" t="n">
        <f aca="false">IFERROR(E2769*Eingaben!$B$15,0)</f>
        <v>1.7442</v>
      </c>
      <c r="G2769" s="13" t="n">
        <f aca="false">IFERROR(IF(Kalender!A207="",0,J2768*(1-Eingaben!$B$20)),0)</f>
        <v>1.709316</v>
      </c>
      <c r="H2769" s="13" t="n">
        <f aca="false">MIN(G2769,D2769)</f>
        <v>0.712</v>
      </c>
      <c r="I2769" s="13" t="n">
        <f aca="false">IFERROR(MIN(F2769*Eingaben!$B$19,MAX(0,D2769-H2769)),0)</f>
        <v>0</v>
      </c>
      <c r="J2769" s="13" t="n">
        <f aca="false">IFERROR(MIN(Eingaben!$B$18,MAX(0,F2769-I2769)),0)</f>
        <v>1.7442</v>
      </c>
      <c r="K2769" s="13" t="n">
        <f aca="false">H2769+I2769</f>
        <v>0.712</v>
      </c>
      <c r="L2769" s="13" t="n">
        <f aca="false">MAX(0,D2769-K2769)</f>
        <v>0</v>
      </c>
      <c r="M2769" s="13" t="n">
        <f aca="false">MAX(0,F2769-I2769-J2769)</f>
        <v>0</v>
      </c>
      <c r="N2769" s="13" t="n">
        <f aca="false">IF(Kalender!A207="",0,J2768-H2769)</f>
        <v>1.0322</v>
      </c>
    </row>
    <row r="2770" customFormat="false" ht="16.4" hidden="false" customHeight="false" outlineLevel="0" collapsed="false">
      <c r="A2770" s="13" t="str">
        <f aca="false">""</f>
        <v/>
      </c>
      <c r="B2770" s="13" t="n">
        <f aca="false">204</f>
        <v>204</v>
      </c>
      <c r="C2770" s="13" t="n">
        <f aca="false">IF(Szenarien!$H$18="OK",(IFERROR(SUMIF(Nutzungsprofile!$B$6:$B$11,"Schulbetrieb",Nutzungsprofile!$G$6:$G$11)*Kalender!C208/SUM(Kalender!$C$5:$C$370),0)+IFERROR(SUMIF(Nutzungsprofile!$B$6:$B$11,"Halle",Nutzungsprofile!$G$6:$G$11)*Kalender!D208/SUM(Kalender!$D$5:$D$370),0)+IFERROR(SUMIF(Nutzungsprofile!$B$6:$B$11,"Individuell",Nutzungsprofile!$G$6:$G$11)*Kalender!E208/SUM(Kalender!$E$5:$E$370),0))*Szenarien!$E$18,0)</f>
        <v>2.04</v>
      </c>
      <c r="D2770" s="13" t="n">
        <f aca="false">IF(Szenarien!$H$18="OK",(IFERROR(SUMIF(Nutzungsprofile!$B$17:$B$22,"Schulbetrieb",Nutzungsprofile!$G$17:$G$22)*Kalender!C208/SUM(Kalender!$C$5:$C$370),0)+IFERROR(SUMIF(Nutzungsprofile!$B$17:$B$22,"Halle",Nutzungsprofile!$G$17:$G$22)*Kalender!D208/SUM(Kalender!$D$5:$D$370),0)+IFERROR(SUMIF(Nutzungsprofile!$B$17:$B$22,"Individuell",Nutzungsprofile!$G$17:$G$22)*Kalender!E208/SUM(Kalender!$E$5:$E$370),0))*Szenarien!$D$18,0)</f>
        <v>0.712</v>
      </c>
      <c r="E2770" s="13" t="n">
        <f aca="false">IFERROR(MIN(C2770,Eingaben!$B$17)*Eingaben!$B$16,0)</f>
        <v>1.938</v>
      </c>
      <c r="F2770" s="13" t="n">
        <f aca="false">IFERROR(E2770*Eingaben!$B$15,0)</f>
        <v>1.7442</v>
      </c>
      <c r="G2770" s="13" t="n">
        <f aca="false">IFERROR(IF(Kalender!A208="",0,J2769*(1-Eingaben!$B$20)),0)</f>
        <v>1.709316</v>
      </c>
      <c r="H2770" s="13" t="n">
        <f aca="false">MIN(G2770,D2770)</f>
        <v>0.712</v>
      </c>
      <c r="I2770" s="13" t="n">
        <f aca="false">IFERROR(MIN(F2770*Eingaben!$B$19,MAX(0,D2770-H2770)),0)</f>
        <v>0</v>
      </c>
      <c r="J2770" s="13" t="n">
        <f aca="false">IFERROR(MIN(Eingaben!$B$18,MAX(0,F2770-I2770)),0)</f>
        <v>1.7442</v>
      </c>
      <c r="K2770" s="13" t="n">
        <f aca="false">H2770+I2770</f>
        <v>0.712</v>
      </c>
      <c r="L2770" s="13" t="n">
        <f aca="false">MAX(0,D2770-K2770)</f>
        <v>0</v>
      </c>
      <c r="M2770" s="13" t="n">
        <f aca="false">MAX(0,F2770-I2770-J2770)</f>
        <v>0</v>
      </c>
      <c r="N2770" s="13" t="n">
        <f aca="false">IF(Kalender!A208="",0,J2769-H2770)</f>
        <v>1.0322</v>
      </c>
    </row>
    <row r="2771" customFormat="false" ht="16.4" hidden="false" customHeight="false" outlineLevel="0" collapsed="false">
      <c r="A2771" s="13" t="str">
        <f aca="false">""</f>
        <v/>
      </c>
      <c r="B2771" s="13" t="n">
        <f aca="false">205</f>
        <v>205</v>
      </c>
      <c r="C2771" s="13" t="n">
        <f aca="false">IF(Szenarien!$H$18="OK",(IFERROR(SUMIF(Nutzungsprofile!$B$6:$B$11,"Schulbetrieb",Nutzungsprofile!$G$6:$G$11)*Kalender!C209/SUM(Kalender!$C$5:$C$370),0)+IFERROR(SUMIF(Nutzungsprofile!$B$6:$B$11,"Halle",Nutzungsprofile!$G$6:$G$11)*Kalender!D209/SUM(Kalender!$D$5:$D$370),0)+IFERROR(SUMIF(Nutzungsprofile!$B$6:$B$11,"Individuell",Nutzungsprofile!$G$6:$G$11)*Kalender!E209/SUM(Kalender!$E$5:$E$370),0))*Szenarien!$E$18,0)</f>
        <v>2.04</v>
      </c>
      <c r="D2771" s="13" t="n">
        <f aca="false">IF(Szenarien!$H$18="OK",(IFERROR(SUMIF(Nutzungsprofile!$B$17:$B$22,"Schulbetrieb",Nutzungsprofile!$G$17:$G$22)*Kalender!C209/SUM(Kalender!$C$5:$C$370),0)+IFERROR(SUMIF(Nutzungsprofile!$B$17:$B$22,"Halle",Nutzungsprofile!$G$17:$G$22)*Kalender!D209/SUM(Kalender!$D$5:$D$370),0)+IFERROR(SUMIF(Nutzungsprofile!$B$17:$B$22,"Individuell",Nutzungsprofile!$G$17:$G$22)*Kalender!E209/SUM(Kalender!$E$5:$E$370),0))*Szenarien!$D$18,0)</f>
        <v>0.712</v>
      </c>
      <c r="E2771" s="13" t="n">
        <f aca="false">IFERROR(MIN(C2771,Eingaben!$B$17)*Eingaben!$B$16,0)</f>
        <v>1.938</v>
      </c>
      <c r="F2771" s="13" t="n">
        <f aca="false">IFERROR(E2771*Eingaben!$B$15,0)</f>
        <v>1.7442</v>
      </c>
      <c r="G2771" s="13" t="n">
        <f aca="false">IFERROR(IF(Kalender!A209="",0,J2770*(1-Eingaben!$B$20)),0)</f>
        <v>1.709316</v>
      </c>
      <c r="H2771" s="13" t="n">
        <f aca="false">MIN(G2771,D2771)</f>
        <v>0.712</v>
      </c>
      <c r="I2771" s="13" t="n">
        <f aca="false">IFERROR(MIN(F2771*Eingaben!$B$19,MAX(0,D2771-H2771)),0)</f>
        <v>0</v>
      </c>
      <c r="J2771" s="13" t="n">
        <f aca="false">IFERROR(MIN(Eingaben!$B$18,MAX(0,F2771-I2771)),0)</f>
        <v>1.7442</v>
      </c>
      <c r="K2771" s="13" t="n">
        <f aca="false">H2771+I2771</f>
        <v>0.712</v>
      </c>
      <c r="L2771" s="13" t="n">
        <f aca="false">MAX(0,D2771-K2771)</f>
        <v>0</v>
      </c>
      <c r="M2771" s="13" t="n">
        <f aca="false">MAX(0,F2771-I2771-J2771)</f>
        <v>0</v>
      </c>
      <c r="N2771" s="13" t="n">
        <f aca="false">IF(Kalender!A209="",0,J2770-H2771)</f>
        <v>1.0322</v>
      </c>
    </row>
    <row r="2772" customFormat="false" ht="16.4" hidden="false" customHeight="false" outlineLevel="0" collapsed="false">
      <c r="A2772" s="13" t="str">
        <f aca="false">""</f>
        <v/>
      </c>
      <c r="B2772" s="13" t="n">
        <f aca="false">206</f>
        <v>206</v>
      </c>
      <c r="C2772" s="13" t="n">
        <f aca="false">IF(Szenarien!$H$18="OK",(IFERROR(SUMIF(Nutzungsprofile!$B$6:$B$11,"Schulbetrieb",Nutzungsprofile!$G$6:$G$11)*Kalender!C210/SUM(Kalender!$C$5:$C$370),0)+IFERROR(SUMIF(Nutzungsprofile!$B$6:$B$11,"Halle",Nutzungsprofile!$G$6:$G$11)*Kalender!D210/SUM(Kalender!$D$5:$D$370),0)+IFERROR(SUMIF(Nutzungsprofile!$B$6:$B$11,"Individuell",Nutzungsprofile!$G$6:$G$11)*Kalender!E210/SUM(Kalender!$E$5:$E$370),0))*Szenarien!$E$18,0)</f>
        <v>2.04</v>
      </c>
      <c r="D2772" s="13" t="n">
        <f aca="false">IF(Szenarien!$H$18="OK",(IFERROR(SUMIF(Nutzungsprofile!$B$17:$B$22,"Schulbetrieb",Nutzungsprofile!$G$17:$G$22)*Kalender!C210/SUM(Kalender!$C$5:$C$370),0)+IFERROR(SUMIF(Nutzungsprofile!$B$17:$B$22,"Halle",Nutzungsprofile!$G$17:$G$22)*Kalender!D210/SUM(Kalender!$D$5:$D$370),0)+IFERROR(SUMIF(Nutzungsprofile!$B$17:$B$22,"Individuell",Nutzungsprofile!$G$17:$G$22)*Kalender!E210/SUM(Kalender!$E$5:$E$370),0))*Szenarien!$D$18,0)</f>
        <v>0.712</v>
      </c>
      <c r="E2772" s="13" t="n">
        <f aca="false">IFERROR(MIN(C2772,Eingaben!$B$17)*Eingaben!$B$16,0)</f>
        <v>1.938</v>
      </c>
      <c r="F2772" s="13" t="n">
        <f aca="false">IFERROR(E2772*Eingaben!$B$15,0)</f>
        <v>1.7442</v>
      </c>
      <c r="G2772" s="13" t="n">
        <f aca="false">IFERROR(IF(Kalender!A210="",0,J2771*(1-Eingaben!$B$20)),0)</f>
        <v>1.709316</v>
      </c>
      <c r="H2772" s="13" t="n">
        <f aca="false">MIN(G2772,D2772)</f>
        <v>0.712</v>
      </c>
      <c r="I2772" s="13" t="n">
        <f aca="false">IFERROR(MIN(F2772*Eingaben!$B$19,MAX(0,D2772-H2772)),0)</f>
        <v>0</v>
      </c>
      <c r="J2772" s="13" t="n">
        <f aca="false">IFERROR(MIN(Eingaben!$B$18,MAX(0,F2772-I2772)),0)</f>
        <v>1.7442</v>
      </c>
      <c r="K2772" s="13" t="n">
        <f aca="false">H2772+I2772</f>
        <v>0.712</v>
      </c>
      <c r="L2772" s="13" t="n">
        <f aca="false">MAX(0,D2772-K2772)</f>
        <v>0</v>
      </c>
      <c r="M2772" s="13" t="n">
        <f aca="false">MAX(0,F2772-I2772-J2772)</f>
        <v>0</v>
      </c>
      <c r="N2772" s="13" t="n">
        <f aca="false">IF(Kalender!A210="",0,J2771-H2772)</f>
        <v>1.0322</v>
      </c>
    </row>
    <row r="2773" customFormat="false" ht="16.4" hidden="false" customHeight="false" outlineLevel="0" collapsed="false">
      <c r="A2773" s="13" t="str">
        <f aca="false">""</f>
        <v/>
      </c>
      <c r="B2773" s="13" t="n">
        <f aca="false">207</f>
        <v>207</v>
      </c>
      <c r="C2773" s="13" t="n">
        <f aca="false">IF(Szenarien!$H$18="OK",(IFERROR(SUMIF(Nutzungsprofile!$B$6:$B$11,"Schulbetrieb",Nutzungsprofile!$G$6:$G$11)*Kalender!C211/SUM(Kalender!$C$5:$C$370),0)+IFERROR(SUMIF(Nutzungsprofile!$B$6:$B$11,"Halle",Nutzungsprofile!$G$6:$G$11)*Kalender!D211/SUM(Kalender!$D$5:$D$370),0)+IFERROR(SUMIF(Nutzungsprofile!$B$6:$B$11,"Individuell",Nutzungsprofile!$G$6:$G$11)*Kalender!E211/SUM(Kalender!$E$5:$E$370),0))*Szenarien!$E$18,0)</f>
        <v>2.04</v>
      </c>
      <c r="D2773" s="13" t="n">
        <f aca="false">IF(Szenarien!$H$18="OK",(IFERROR(SUMIF(Nutzungsprofile!$B$17:$B$22,"Schulbetrieb",Nutzungsprofile!$G$17:$G$22)*Kalender!C211/SUM(Kalender!$C$5:$C$370),0)+IFERROR(SUMIF(Nutzungsprofile!$B$17:$B$22,"Halle",Nutzungsprofile!$G$17:$G$22)*Kalender!D211/SUM(Kalender!$D$5:$D$370),0)+IFERROR(SUMIF(Nutzungsprofile!$B$17:$B$22,"Individuell",Nutzungsprofile!$G$17:$G$22)*Kalender!E211/SUM(Kalender!$E$5:$E$370),0))*Szenarien!$D$18,0)</f>
        <v>0.712</v>
      </c>
      <c r="E2773" s="13" t="n">
        <f aca="false">IFERROR(MIN(C2773,Eingaben!$B$17)*Eingaben!$B$16,0)</f>
        <v>1.938</v>
      </c>
      <c r="F2773" s="13" t="n">
        <f aca="false">IFERROR(E2773*Eingaben!$B$15,0)</f>
        <v>1.7442</v>
      </c>
      <c r="G2773" s="13" t="n">
        <f aca="false">IFERROR(IF(Kalender!A211="",0,J2772*(1-Eingaben!$B$20)),0)</f>
        <v>1.709316</v>
      </c>
      <c r="H2773" s="13" t="n">
        <f aca="false">MIN(G2773,D2773)</f>
        <v>0.712</v>
      </c>
      <c r="I2773" s="13" t="n">
        <f aca="false">IFERROR(MIN(F2773*Eingaben!$B$19,MAX(0,D2773-H2773)),0)</f>
        <v>0</v>
      </c>
      <c r="J2773" s="13" t="n">
        <f aca="false">IFERROR(MIN(Eingaben!$B$18,MAX(0,F2773-I2773)),0)</f>
        <v>1.7442</v>
      </c>
      <c r="K2773" s="13" t="n">
        <f aca="false">H2773+I2773</f>
        <v>0.712</v>
      </c>
      <c r="L2773" s="13" t="n">
        <f aca="false">MAX(0,D2773-K2773)</f>
        <v>0</v>
      </c>
      <c r="M2773" s="13" t="n">
        <f aca="false">MAX(0,F2773-I2773-J2773)</f>
        <v>0</v>
      </c>
      <c r="N2773" s="13" t="n">
        <f aca="false">IF(Kalender!A211="",0,J2772-H2773)</f>
        <v>1.0322</v>
      </c>
    </row>
    <row r="2774" customFormat="false" ht="16.4" hidden="false" customHeight="false" outlineLevel="0" collapsed="false">
      <c r="A2774" s="13" t="str">
        <f aca="false">""</f>
        <v/>
      </c>
      <c r="B2774" s="13" t="n">
        <f aca="false">208</f>
        <v>208</v>
      </c>
      <c r="C2774" s="13" t="n">
        <f aca="false">IF(Szenarien!$H$18="OK",(IFERROR(SUMIF(Nutzungsprofile!$B$6:$B$11,"Schulbetrieb",Nutzungsprofile!$G$6:$G$11)*Kalender!C212/SUM(Kalender!$C$5:$C$370),0)+IFERROR(SUMIF(Nutzungsprofile!$B$6:$B$11,"Halle",Nutzungsprofile!$G$6:$G$11)*Kalender!D212/SUM(Kalender!$D$5:$D$370),0)+IFERROR(SUMIF(Nutzungsprofile!$B$6:$B$11,"Individuell",Nutzungsprofile!$G$6:$G$11)*Kalender!E212/SUM(Kalender!$E$5:$E$370),0))*Szenarien!$E$18,0)</f>
        <v>2.04</v>
      </c>
      <c r="D2774" s="13" t="n">
        <f aca="false">IF(Szenarien!$H$18="OK",(IFERROR(SUMIF(Nutzungsprofile!$B$17:$B$22,"Schulbetrieb",Nutzungsprofile!$G$17:$G$22)*Kalender!C212/SUM(Kalender!$C$5:$C$370),0)+IFERROR(SUMIF(Nutzungsprofile!$B$17:$B$22,"Halle",Nutzungsprofile!$G$17:$G$22)*Kalender!D212/SUM(Kalender!$D$5:$D$370),0)+IFERROR(SUMIF(Nutzungsprofile!$B$17:$B$22,"Individuell",Nutzungsprofile!$G$17:$G$22)*Kalender!E212/SUM(Kalender!$E$5:$E$370),0))*Szenarien!$D$18,0)</f>
        <v>0.712</v>
      </c>
      <c r="E2774" s="13" t="n">
        <f aca="false">IFERROR(MIN(C2774,Eingaben!$B$17)*Eingaben!$B$16,0)</f>
        <v>1.938</v>
      </c>
      <c r="F2774" s="13" t="n">
        <f aca="false">IFERROR(E2774*Eingaben!$B$15,0)</f>
        <v>1.7442</v>
      </c>
      <c r="G2774" s="13" t="n">
        <f aca="false">IFERROR(IF(Kalender!A212="",0,J2773*(1-Eingaben!$B$20)),0)</f>
        <v>1.709316</v>
      </c>
      <c r="H2774" s="13" t="n">
        <f aca="false">MIN(G2774,D2774)</f>
        <v>0.712</v>
      </c>
      <c r="I2774" s="13" t="n">
        <f aca="false">IFERROR(MIN(F2774*Eingaben!$B$19,MAX(0,D2774-H2774)),0)</f>
        <v>0</v>
      </c>
      <c r="J2774" s="13" t="n">
        <f aca="false">IFERROR(MIN(Eingaben!$B$18,MAX(0,F2774-I2774)),0)</f>
        <v>1.7442</v>
      </c>
      <c r="K2774" s="13" t="n">
        <f aca="false">H2774+I2774</f>
        <v>0.712</v>
      </c>
      <c r="L2774" s="13" t="n">
        <f aca="false">MAX(0,D2774-K2774)</f>
        <v>0</v>
      </c>
      <c r="M2774" s="13" t="n">
        <f aca="false">MAX(0,F2774-I2774-J2774)</f>
        <v>0</v>
      </c>
      <c r="N2774" s="13" t="n">
        <f aca="false">IF(Kalender!A212="",0,J2773-H2774)</f>
        <v>1.0322</v>
      </c>
    </row>
    <row r="2775" customFormat="false" ht="16.4" hidden="false" customHeight="false" outlineLevel="0" collapsed="false">
      <c r="A2775" s="13" t="str">
        <f aca="false">""</f>
        <v/>
      </c>
      <c r="B2775" s="13" t="n">
        <f aca="false">209</f>
        <v>209</v>
      </c>
      <c r="C2775" s="13" t="n">
        <f aca="false">IF(Szenarien!$H$18="OK",(IFERROR(SUMIF(Nutzungsprofile!$B$6:$B$11,"Schulbetrieb",Nutzungsprofile!$G$6:$G$11)*Kalender!C213/SUM(Kalender!$C$5:$C$370),0)+IFERROR(SUMIF(Nutzungsprofile!$B$6:$B$11,"Halle",Nutzungsprofile!$G$6:$G$11)*Kalender!D213/SUM(Kalender!$D$5:$D$370),0)+IFERROR(SUMIF(Nutzungsprofile!$B$6:$B$11,"Individuell",Nutzungsprofile!$G$6:$G$11)*Kalender!E213/SUM(Kalender!$E$5:$E$370),0))*Szenarien!$E$18,0)</f>
        <v>2.04</v>
      </c>
      <c r="D2775" s="13" t="n">
        <f aca="false">IF(Szenarien!$H$18="OK",(IFERROR(SUMIF(Nutzungsprofile!$B$17:$B$22,"Schulbetrieb",Nutzungsprofile!$G$17:$G$22)*Kalender!C213/SUM(Kalender!$C$5:$C$370),0)+IFERROR(SUMIF(Nutzungsprofile!$B$17:$B$22,"Halle",Nutzungsprofile!$G$17:$G$22)*Kalender!D213/SUM(Kalender!$D$5:$D$370),0)+IFERROR(SUMIF(Nutzungsprofile!$B$17:$B$22,"Individuell",Nutzungsprofile!$G$17:$G$22)*Kalender!E213/SUM(Kalender!$E$5:$E$370),0))*Szenarien!$D$18,0)</f>
        <v>0.712</v>
      </c>
      <c r="E2775" s="13" t="n">
        <f aca="false">IFERROR(MIN(C2775,Eingaben!$B$17)*Eingaben!$B$16,0)</f>
        <v>1.938</v>
      </c>
      <c r="F2775" s="13" t="n">
        <f aca="false">IFERROR(E2775*Eingaben!$B$15,0)</f>
        <v>1.7442</v>
      </c>
      <c r="G2775" s="13" t="n">
        <f aca="false">IFERROR(IF(Kalender!A213="",0,J2774*(1-Eingaben!$B$20)),0)</f>
        <v>1.709316</v>
      </c>
      <c r="H2775" s="13" t="n">
        <f aca="false">MIN(G2775,D2775)</f>
        <v>0.712</v>
      </c>
      <c r="I2775" s="13" t="n">
        <f aca="false">IFERROR(MIN(F2775*Eingaben!$B$19,MAX(0,D2775-H2775)),0)</f>
        <v>0</v>
      </c>
      <c r="J2775" s="13" t="n">
        <f aca="false">IFERROR(MIN(Eingaben!$B$18,MAX(0,F2775-I2775)),0)</f>
        <v>1.7442</v>
      </c>
      <c r="K2775" s="13" t="n">
        <f aca="false">H2775+I2775</f>
        <v>0.712</v>
      </c>
      <c r="L2775" s="13" t="n">
        <f aca="false">MAX(0,D2775-K2775)</f>
        <v>0</v>
      </c>
      <c r="M2775" s="13" t="n">
        <f aca="false">MAX(0,F2775-I2775-J2775)</f>
        <v>0</v>
      </c>
      <c r="N2775" s="13" t="n">
        <f aca="false">IF(Kalender!A213="",0,J2774-H2775)</f>
        <v>1.0322</v>
      </c>
    </row>
    <row r="2776" customFormat="false" ht="16.4" hidden="false" customHeight="false" outlineLevel="0" collapsed="false">
      <c r="A2776" s="13" t="str">
        <f aca="false">""</f>
        <v/>
      </c>
      <c r="B2776" s="13" t="n">
        <f aca="false">210</f>
        <v>210</v>
      </c>
      <c r="C2776" s="13" t="n">
        <f aca="false">IF(Szenarien!$H$18="OK",(IFERROR(SUMIF(Nutzungsprofile!$B$6:$B$11,"Schulbetrieb",Nutzungsprofile!$G$6:$G$11)*Kalender!C214/SUM(Kalender!$C$5:$C$370),0)+IFERROR(SUMIF(Nutzungsprofile!$B$6:$B$11,"Halle",Nutzungsprofile!$G$6:$G$11)*Kalender!D214/SUM(Kalender!$D$5:$D$370),0)+IFERROR(SUMIF(Nutzungsprofile!$B$6:$B$11,"Individuell",Nutzungsprofile!$G$6:$G$11)*Kalender!E214/SUM(Kalender!$E$5:$E$370),0))*Szenarien!$E$18,0)</f>
        <v>2.04</v>
      </c>
      <c r="D2776" s="13" t="n">
        <f aca="false">IF(Szenarien!$H$18="OK",(IFERROR(SUMIF(Nutzungsprofile!$B$17:$B$22,"Schulbetrieb",Nutzungsprofile!$G$17:$G$22)*Kalender!C214/SUM(Kalender!$C$5:$C$370),0)+IFERROR(SUMIF(Nutzungsprofile!$B$17:$B$22,"Halle",Nutzungsprofile!$G$17:$G$22)*Kalender!D214/SUM(Kalender!$D$5:$D$370),0)+IFERROR(SUMIF(Nutzungsprofile!$B$17:$B$22,"Individuell",Nutzungsprofile!$G$17:$G$22)*Kalender!E214/SUM(Kalender!$E$5:$E$370),0))*Szenarien!$D$18,0)</f>
        <v>0.712</v>
      </c>
      <c r="E2776" s="13" t="n">
        <f aca="false">IFERROR(MIN(C2776,Eingaben!$B$17)*Eingaben!$B$16,0)</f>
        <v>1.938</v>
      </c>
      <c r="F2776" s="13" t="n">
        <f aca="false">IFERROR(E2776*Eingaben!$B$15,0)</f>
        <v>1.7442</v>
      </c>
      <c r="G2776" s="13" t="n">
        <f aca="false">IFERROR(IF(Kalender!A214="",0,J2775*(1-Eingaben!$B$20)),0)</f>
        <v>1.709316</v>
      </c>
      <c r="H2776" s="13" t="n">
        <f aca="false">MIN(G2776,D2776)</f>
        <v>0.712</v>
      </c>
      <c r="I2776" s="13" t="n">
        <f aca="false">IFERROR(MIN(F2776*Eingaben!$B$19,MAX(0,D2776-H2776)),0)</f>
        <v>0</v>
      </c>
      <c r="J2776" s="13" t="n">
        <f aca="false">IFERROR(MIN(Eingaben!$B$18,MAX(0,F2776-I2776)),0)</f>
        <v>1.7442</v>
      </c>
      <c r="K2776" s="13" t="n">
        <f aca="false">H2776+I2776</f>
        <v>0.712</v>
      </c>
      <c r="L2776" s="13" t="n">
        <f aca="false">MAX(0,D2776-K2776)</f>
        <v>0</v>
      </c>
      <c r="M2776" s="13" t="n">
        <f aca="false">MAX(0,F2776-I2776-J2776)</f>
        <v>0</v>
      </c>
      <c r="N2776" s="13" t="n">
        <f aca="false">IF(Kalender!A214="",0,J2775-H2776)</f>
        <v>1.0322</v>
      </c>
    </row>
    <row r="2777" customFormat="false" ht="16.4" hidden="false" customHeight="false" outlineLevel="0" collapsed="false">
      <c r="A2777" s="13" t="str">
        <f aca="false">""</f>
        <v/>
      </c>
      <c r="B2777" s="13" t="n">
        <f aca="false">211</f>
        <v>211</v>
      </c>
      <c r="C2777" s="13" t="n">
        <f aca="false">IF(Szenarien!$H$18="OK",(IFERROR(SUMIF(Nutzungsprofile!$B$6:$B$11,"Schulbetrieb",Nutzungsprofile!$G$6:$G$11)*Kalender!C215/SUM(Kalender!$C$5:$C$370),0)+IFERROR(SUMIF(Nutzungsprofile!$B$6:$B$11,"Halle",Nutzungsprofile!$G$6:$G$11)*Kalender!D215/SUM(Kalender!$D$5:$D$370),0)+IFERROR(SUMIF(Nutzungsprofile!$B$6:$B$11,"Individuell",Nutzungsprofile!$G$6:$G$11)*Kalender!E215/SUM(Kalender!$E$5:$E$370),0))*Szenarien!$E$18,0)</f>
        <v>2.04</v>
      </c>
      <c r="D2777" s="13" t="n">
        <f aca="false">IF(Szenarien!$H$18="OK",(IFERROR(SUMIF(Nutzungsprofile!$B$17:$B$22,"Schulbetrieb",Nutzungsprofile!$G$17:$G$22)*Kalender!C215/SUM(Kalender!$C$5:$C$370),0)+IFERROR(SUMIF(Nutzungsprofile!$B$17:$B$22,"Halle",Nutzungsprofile!$G$17:$G$22)*Kalender!D215/SUM(Kalender!$D$5:$D$370),0)+IFERROR(SUMIF(Nutzungsprofile!$B$17:$B$22,"Individuell",Nutzungsprofile!$G$17:$G$22)*Kalender!E215/SUM(Kalender!$E$5:$E$370),0))*Szenarien!$D$18,0)</f>
        <v>0.712</v>
      </c>
      <c r="E2777" s="13" t="n">
        <f aca="false">IFERROR(MIN(C2777,Eingaben!$B$17)*Eingaben!$B$16,0)</f>
        <v>1.938</v>
      </c>
      <c r="F2777" s="13" t="n">
        <f aca="false">IFERROR(E2777*Eingaben!$B$15,0)</f>
        <v>1.7442</v>
      </c>
      <c r="G2777" s="13" t="n">
        <f aca="false">IFERROR(IF(Kalender!A215="",0,J2776*(1-Eingaben!$B$20)),0)</f>
        <v>1.709316</v>
      </c>
      <c r="H2777" s="13" t="n">
        <f aca="false">MIN(G2777,D2777)</f>
        <v>0.712</v>
      </c>
      <c r="I2777" s="13" t="n">
        <f aca="false">IFERROR(MIN(F2777*Eingaben!$B$19,MAX(0,D2777-H2777)),0)</f>
        <v>0</v>
      </c>
      <c r="J2777" s="13" t="n">
        <f aca="false">IFERROR(MIN(Eingaben!$B$18,MAX(0,F2777-I2777)),0)</f>
        <v>1.7442</v>
      </c>
      <c r="K2777" s="13" t="n">
        <f aca="false">H2777+I2777</f>
        <v>0.712</v>
      </c>
      <c r="L2777" s="13" t="n">
        <f aca="false">MAX(0,D2777-K2777)</f>
        <v>0</v>
      </c>
      <c r="M2777" s="13" t="n">
        <f aca="false">MAX(0,F2777-I2777-J2777)</f>
        <v>0</v>
      </c>
      <c r="N2777" s="13" t="n">
        <f aca="false">IF(Kalender!A215="",0,J2776-H2777)</f>
        <v>1.0322</v>
      </c>
    </row>
    <row r="2778" customFormat="false" ht="16.4" hidden="false" customHeight="false" outlineLevel="0" collapsed="false">
      <c r="A2778" s="13" t="str">
        <f aca="false">""</f>
        <v/>
      </c>
      <c r="B2778" s="13" t="n">
        <f aca="false">212</f>
        <v>212</v>
      </c>
      <c r="C2778" s="13" t="n">
        <f aca="false">IF(Szenarien!$H$18="OK",(IFERROR(SUMIF(Nutzungsprofile!$B$6:$B$11,"Schulbetrieb",Nutzungsprofile!$G$6:$G$11)*Kalender!C216/SUM(Kalender!$C$5:$C$370),0)+IFERROR(SUMIF(Nutzungsprofile!$B$6:$B$11,"Halle",Nutzungsprofile!$G$6:$G$11)*Kalender!D216/SUM(Kalender!$D$5:$D$370),0)+IFERROR(SUMIF(Nutzungsprofile!$B$6:$B$11,"Individuell",Nutzungsprofile!$G$6:$G$11)*Kalender!E216/SUM(Kalender!$E$5:$E$370),0))*Szenarien!$E$18,0)</f>
        <v>2.04</v>
      </c>
      <c r="D2778" s="13" t="n">
        <f aca="false">IF(Szenarien!$H$18="OK",(IFERROR(SUMIF(Nutzungsprofile!$B$17:$B$22,"Schulbetrieb",Nutzungsprofile!$G$17:$G$22)*Kalender!C216/SUM(Kalender!$C$5:$C$370),0)+IFERROR(SUMIF(Nutzungsprofile!$B$17:$B$22,"Halle",Nutzungsprofile!$G$17:$G$22)*Kalender!D216/SUM(Kalender!$D$5:$D$370),0)+IFERROR(SUMIF(Nutzungsprofile!$B$17:$B$22,"Individuell",Nutzungsprofile!$G$17:$G$22)*Kalender!E216/SUM(Kalender!$E$5:$E$370),0))*Szenarien!$D$18,0)</f>
        <v>0.712</v>
      </c>
      <c r="E2778" s="13" t="n">
        <f aca="false">IFERROR(MIN(C2778,Eingaben!$B$17)*Eingaben!$B$16,0)</f>
        <v>1.938</v>
      </c>
      <c r="F2778" s="13" t="n">
        <f aca="false">IFERROR(E2778*Eingaben!$B$15,0)</f>
        <v>1.7442</v>
      </c>
      <c r="G2778" s="13" t="n">
        <f aca="false">IFERROR(IF(Kalender!A216="",0,J2777*(1-Eingaben!$B$20)),0)</f>
        <v>1.709316</v>
      </c>
      <c r="H2778" s="13" t="n">
        <f aca="false">MIN(G2778,D2778)</f>
        <v>0.712</v>
      </c>
      <c r="I2778" s="13" t="n">
        <f aca="false">IFERROR(MIN(F2778*Eingaben!$B$19,MAX(0,D2778-H2778)),0)</f>
        <v>0</v>
      </c>
      <c r="J2778" s="13" t="n">
        <f aca="false">IFERROR(MIN(Eingaben!$B$18,MAX(0,F2778-I2778)),0)</f>
        <v>1.7442</v>
      </c>
      <c r="K2778" s="13" t="n">
        <f aca="false">H2778+I2778</f>
        <v>0.712</v>
      </c>
      <c r="L2778" s="13" t="n">
        <f aca="false">MAX(0,D2778-K2778)</f>
        <v>0</v>
      </c>
      <c r="M2778" s="13" t="n">
        <f aca="false">MAX(0,F2778-I2778-J2778)</f>
        <v>0</v>
      </c>
      <c r="N2778" s="13" t="n">
        <f aca="false">IF(Kalender!A216="",0,J2777-H2778)</f>
        <v>1.0322</v>
      </c>
    </row>
    <row r="2779" customFormat="false" ht="16.4" hidden="false" customHeight="false" outlineLevel="0" collapsed="false">
      <c r="A2779" s="13" t="str">
        <f aca="false">""</f>
        <v/>
      </c>
      <c r="B2779" s="13" t="n">
        <f aca="false">213</f>
        <v>213</v>
      </c>
      <c r="C2779" s="13" t="n">
        <f aca="false">IF(Szenarien!$H$18="OK",(IFERROR(SUMIF(Nutzungsprofile!$B$6:$B$11,"Schulbetrieb",Nutzungsprofile!$G$6:$G$11)*Kalender!C217/SUM(Kalender!$C$5:$C$370),0)+IFERROR(SUMIF(Nutzungsprofile!$B$6:$B$11,"Halle",Nutzungsprofile!$G$6:$G$11)*Kalender!D217/SUM(Kalender!$D$5:$D$370),0)+IFERROR(SUMIF(Nutzungsprofile!$B$6:$B$11,"Individuell",Nutzungsprofile!$G$6:$G$11)*Kalender!E217/SUM(Kalender!$E$5:$E$370),0))*Szenarien!$E$18,0)</f>
        <v>2.04</v>
      </c>
      <c r="D2779" s="13" t="n">
        <f aca="false">IF(Szenarien!$H$18="OK",(IFERROR(SUMIF(Nutzungsprofile!$B$17:$B$22,"Schulbetrieb",Nutzungsprofile!$G$17:$G$22)*Kalender!C217/SUM(Kalender!$C$5:$C$370),0)+IFERROR(SUMIF(Nutzungsprofile!$B$17:$B$22,"Halle",Nutzungsprofile!$G$17:$G$22)*Kalender!D217/SUM(Kalender!$D$5:$D$370),0)+IFERROR(SUMIF(Nutzungsprofile!$B$17:$B$22,"Individuell",Nutzungsprofile!$G$17:$G$22)*Kalender!E217/SUM(Kalender!$E$5:$E$370),0))*Szenarien!$D$18,0)</f>
        <v>0.712</v>
      </c>
      <c r="E2779" s="13" t="n">
        <f aca="false">IFERROR(MIN(C2779,Eingaben!$B$17)*Eingaben!$B$16,0)</f>
        <v>1.938</v>
      </c>
      <c r="F2779" s="13" t="n">
        <f aca="false">IFERROR(E2779*Eingaben!$B$15,0)</f>
        <v>1.7442</v>
      </c>
      <c r="G2779" s="13" t="n">
        <f aca="false">IFERROR(IF(Kalender!A217="",0,J2778*(1-Eingaben!$B$20)),0)</f>
        <v>1.709316</v>
      </c>
      <c r="H2779" s="13" t="n">
        <f aca="false">MIN(G2779,D2779)</f>
        <v>0.712</v>
      </c>
      <c r="I2779" s="13" t="n">
        <f aca="false">IFERROR(MIN(F2779*Eingaben!$B$19,MAX(0,D2779-H2779)),0)</f>
        <v>0</v>
      </c>
      <c r="J2779" s="13" t="n">
        <f aca="false">IFERROR(MIN(Eingaben!$B$18,MAX(0,F2779-I2779)),0)</f>
        <v>1.7442</v>
      </c>
      <c r="K2779" s="13" t="n">
        <f aca="false">H2779+I2779</f>
        <v>0.712</v>
      </c>
      <c r="L2779" s="13" t="n">
        <f aca="false">MAX(0,D2779-K2779)</f>
        <v>0</v>
      </c>
      <c r="M2779" s="13" t="n">
        <f aca="false">MAX(0,F2779-I2779-J2779)</f>
        <v>0</v>
      </c>
      <c r="N2779" s="13" t="n">
        <f aca="false">IF(Kalender!A217="",0,J2778-H2779)</f>
        <v>1.0322</v>
      </c>
    </row>
    <row r="2780" customFormat="false" ht="16.4" hidden="false" customHeight="false" outlineLevel="0" collapsed="false">
      <c r="A2780" s="13" t="str">
        <f aca="false">""</f>
        <v/>
      </c>
      <c r="B2780" s="13" t="n">
        <f aca="false">214</f>
        <v>214</v>
      </c>
      <c r="C2780" s="13" t="n">
        <f aca="false">IF(Szenarien!$H$18="OK",(IFERROR(SUMIF(Nutzungsprofile!$B$6:$B$11,"Schulbetrieb",Nutzungsprofile!$G$6:$G$11)*Kalender!C218/SUM(Kalender!$C$5:$C$370),0)+IFERROR(SUMIF(Nutzungsprofile!$B$6:$B$11,"Halle",Nutzungsprofile!$G$6:$G$11)*Kalender!D218/SUM(Kalender!$D$5:$D$370),0)+IFERROR(SUMIF(Nutzungsprofile!$B$6:$B$11,"Individuell",Nutzungsprofile!$G$6:$G$11)*Kalender!E218/SUM(Kalender!$E$5:$E$370),0))*Szenarien!$E$18,0)</f>
        <v>2.04</v>
      </c>
      <c r="D2780" s="13" t="n">
        <f aca="false">IF(Szenarien!$H$18="OK",(IFERROR(SUMIF(Nutzungsprofile!$B$17:$B$22,"Schulbetrieb",Nutzungsprofile!$G$17:$G$22)*Kalender!C218/SUM(Kalender!$C$5:$C$370),0)+IFERROR(SUMIF(Nutzungsprofile!$B$17:$B$22,"Halle",Nutzungsprofile!$G$17:$G$22)*Kalender!D218/SUM(Kalender!$D$5:$D$370),0)+IFERROR(SUMIF(Nutzungsprofile!$B$17:$B$22,"Individuell",Nutzungsprofile!$G$17:$G$22)*Kalender!E218/SUM(Kalender!$E$5:$E$370),0))*Szenarien!$D$18,0)</f>
        <v>0.712</v>
      </c>
      <c r="E2780" s="13" t="n">
        <f aca="false">IFERROR(MIN(C2780,Eingaben!$B$17)*Eingaben!$B$16,0)</f>
        <v>1.938</v>
      </c>
      <c r="F2780" s="13" t="n">
        <f aca="false">IFERROR(E2780*Eingaben!$B$15,0)</f>
        <v>1.7442</v>
      </c>
      <c r="G2780" s="13" t="n">
        <f aca="false">IFERROR(IF(Kalender!A218="",0,J2779*(1-Eingaben!$B$20)),0)</f>
        <v>1.709316</v>
      </c>
      <c r="H2780" s="13" t="n">
        <f aca="false">MIN(G2780,D2780)</f>
        <v>0.712</v>
      </c>
      <c r="I2780" s="13" t="n">
        <f aca="false">IFERROR(MIN(F2780*Eingaben!$B$19,MAX(0,D2780-H2780)),0)</f>
        <v>0</v>
      </c>
      <c r="J2780" s="13" t="n">
        <f aca="false">IFERROR(MIN(Eingaben!$B$18,MAX(0,F2780-I2780)),0)</f>
        <v>1.7442</v>
      </c>
      <c r="K2780" s="13" t="n">
        <f aca="false">H2780+I2780</f>
        <v>0.712</v>
      </c>
      <c r="L2780" s="13" t="n">
        <f aca="false">MAX(0,D2780-K2780)</f>
        <v>0</v>
      </c>
      <c r="M2780" s="13" t="n">
        <f aca="false">MAX(0,F2780-I2780-J2780)</f>
        <v>0</v>
      </c>
      <c r="N2780" s="13" t="n">
        <f aca="false">IF(Kalender!A218="",0,J2779-H2780)</f>
        <v>1.0322</v>
      </c>
    </row>
    <row r="2781" customFormat="false" ht="16.4" hidden="false" customHeight="false" outlineLevel="0" collapsed="false">
      <c r="A2781" s="13" t="str">
        <f aca="false">""</f>
        <v/>
      </c>
      <c r="B2781" s="13" t="n">
        <f aca="false">215</f>
        <v>215</v>
      </c>
      <c r="C2781" s="13" t="n">
        <f aca="false">IF(Szenarien!$H$18="OK",(IFERROR(SUMIF(Nutzungsprofile!$B$6:$B$11,"Schulbetrieb",Nutzungsprofile!$G$6:$G$11)*Kalender!C219/SUM(Kalender!$C$5:$C$370),0)+IFERROR(SUMIF(Nutzungsprofile!$B$6:$B$11,"Halle",Nutzungsprofile!$G$6:$G$11)*Kalender!D219/SUM(Kalender!$D$5:$D$370),0)+IFERROR(SUMIF(Nutzungsprofile!$B$6:$B$11,"Individuell",Nutzungsprofile!$G$6:$G$11)*Kalender!E219/SUM(Kalender!$E$5:$E$370),0))*Szenarien!$E$18,0)</f>
        <v>2.04</v>
      </c>
      <c r="D2781" s="13" t="n">
        <f aca="false">IF(Szenarien!$H$18="OK",(IFERROR(SUMIF(Nutzungsprofile!$B$17:$B$22,"Schulbetrieb",Nutzungsprofile!$G$17:$G$22)*Kalender!C219/SUM(Kalender!$C$5:$C$370),0)+IFERROR(SUMIF(Nutzungsprofile!$B$17:$B$22,"Halle",Nutzungsprofile!$G$17:$G$22)*Kalender!D219/SUM(Kalender!$D$5:$D$370),0)+IFERROR(SUMIF(Nutzungsprofile!$B$17:$B$22,"Individuell",Nutzungsprofile!$G$17:$G$22)*Kalender!E219/SUM(Kalender!$E$5:$E$370),0))*Szenarien!$D$18,0)</f>
        <v>0.712</v>
      </c>
      <c r="E2781" s="13" t="n">
        <f aca="false">IFERROR(MIN(C2781,Eingaben!$B$17)*Eingaben!$B$16,0)</f>
        <v>1.938</v>
      </c>
      <c r="F2781" s="13" t="n">
        <f aca="false">IFERROR(E2781*Eingaben!$B$15,0)</f>
        <v>1.7442</v>
      </c>
      <c r="G2781" s="13" t="n">
        <f aca="false">IFERROR(IF(Kalender!A219="",0,J2780*(1-Eingaben!$B$20)),0)</f>
        <v>1.709316</v>
      </c>
      <c r="H2781" s="13" t="n">
        <f aca="false">MIN(G2781,D2781)</f>
        <v>0.712</v>
      </c>
      <c r="I2781" s="13" t="n">
        <f aca="false">IFERROR(MIN(F2781*Eingaben!$B$19,MAX(0,D2781-H2781)),0)</f>
        <v>0</v>
      </c>
      <c r="J2781" s="13" t="n">
        <f aca="false">IFERROR(MIN(Eingaben!$B$18,MAX(0,F2781-I2781)),0)</f>
        <v>1.7442</v>
      </c>
      <c r="K2781" s="13" t="n">
        <f aca="false">H2781+I2781</f>
        <v>0.712</v>
      </c>
      <c r="L2781" s="13" t="n">
        <f aca="false">MAX(0,D2781-K2781)</f>
        <v>0</v>
      </c>
      <c r="M2781" s="13" t="n">
        <f aca="false">MAX(0,F2781-I2781-J2781)</f>
        <v>0</v>
      </c>
      <c r="N2781" s="13" t="n">
        <f aca="false">IF(Kalender!A219="",0,J2780-H2781)</f>
        <v>1.0322</v>
      </c>
    </row>
    <row r="2782" customFormat="false" ht="16.4" hidden="false" customHeight="false" outlineLevel="0" collapsed="false">
      <c r="A2782" s="13" t="str">
        <f aca="false">""</f>
        <v/>
      </c>
      <c r="B2782" s="13" t="n">
        <f aca="false">216</f>
        <v>216</v>
      </c>
      <c r="C2782" s="13" t="n">
        <f aca="false">IF(Szenarien!$H$18="OK",(IFERROR(SUMIF(Nutzungsprofile!$B$6:$B$11,"Schulbetrieb",Nutzungsprofile!$G$6:$G$11)*Kalender!C220/SUM(Kalender!$C$5:$C$370),0)+IFERROR(SUMIF(Nutzungsprofile!$B$6:$B$11,"Halle",Nutzungsprofile!$G$6:$G$11)*Kalender!D220/SUM(Kalender!$D$5:$D$370),0)+IFERROR(SUMIF(Nutzungsprofile!$B$6:$B$11,"Individuell",Nutzungsprofile!$G$6:$G$11)*Kalender!E220/SUM(Kalender!$E$5:$E$370),0))*Szenarien!$E$18,0)</f>
        <v>2.04</v>
      </c>
      <c r="D2782" s="13" t="n">
        <f aca="false">IF(Szenarien!$H$18="OK",(IFERROR(SUMIF(Nutzungsprofile!$B$17:$B$22,"Schulbetrieb",Nutzungsprofile!$G$17:$G$22)*Kalender!C220/SUM(Kalender!$C$5:$C$370),0)+IFERROR(SUMIF(Nutzungsprofile!$B$17:$B$22,"Halle",Nutzungsprofile!$G$17:$G$22)*Kalender!D220/SUM(Kalender!$D$5:$D$370),0)+IFERROR(SUMIF(Nutzungsprofile!$B$17:$B$22,"Individuell",Nutzungsprofile!$G$17:$G$22)*Kalender!E220/SUM(Kalender!$E$5:$E$370),0))*Szenarien!$D$18,0)</f>
        <v>0.712</v>
      </c>
      <c r="E2782" s="13" t="n">
        <f aca="false">IFERROR(MIN(C2782,Eingaben!$B$17)*Eingaben!$B$16,0)</f>
        <v>1.938</v>
      </c>
      <c r="F2782" s="13" t="n">
        <f aca="false">IFERROR(E2782*Eingaben!$B$15,0)</f>
        <v>1.7442</v>
      </c>
      <c r="G2782" s="13" t="n">
        <f aca="false">IFERROR(IF(Kalender!A220="",0,J2781*(1-Eingaben!$B$20)),0)</f>
        <v>1.709316</v>
      </c>
      <c r="H2782" s="13" t="n">
        <f aca="false">MIN(G2782,D2782)</f>
        <v>0.712</v>
      </c>
      <c r="I2782" s="13" t="n">
        <f aca="false">IFERROR(MIN(F2782*Eingaben!$B$19,MAX(0,D2782-H2782)),0)</f>
        <v>0</v>
      </c>
      <c r="J2782" s="13" t="n">
        <f aca="false">IFERROR(MIN(Eingaben!$B$18,MAX(0,F2782-I2782)),0)</f>
        <v>1.7442</v>
      </c>
      <c r="K2782" s="13" t="n">
        <f aca="false">H2782+I2782</f>
        <v>0.712</v>
      </c>
      <c r="L2782" s="13" t="n">
        <f aca="false">MAX(0,D2782-K2782)</f>
        <v>0</v>
      </c>
      <c r="M2782" s="13" t="n">
        <f aca="false">MAX(0,F2782-I2782-J2782)</f>
        <v>0</v>
      </c>
      <c r="N2782" s="13" t="n">
        <f aca="false">IF(Kalender!A220="",0,J2781-H2782)</f>
        <v>1.0322</v>
      </c>
    </row>
    <row r="2783" customFormat="false" ht="16.4" hidden="false" customHeight="false" outlineLevel="0" collapsed="false">
      <c r="A2783" s="13" t="str">
        <f aca="false">""</f>
        <v/>
      </c>
      <c r="B2783" s="13" t="n">
        <f aca="false">217</f>
        <v>217</v>
      </c>
      <c r="C2783" s="13" t="n">
        <f aca="false">IF(Szenarien!$H$18="OK",(IFERROR(SUMIF(Nutzungsprofile!$B$6:$B$11,"Schulbetrieb",Nutzungsprofile!$G$6:$G$11)*Kalender!C221/SUM(Kalender!$C$5:$C$370),0)+IFERROR(SUMIF(Nutzungsprofile!$B$6:$B$11,"Halle",Nutzungsprofile!$G$6:$G$11)*Kalender!D221/SUM(Kalender!$D$5:$D$370),0)+IFERROR(SUMIF(Nutzungsprofile!$B$6:$B$11,"Individuell",Nutzungsprofile!$G$6:$G$11)*Kalender!E221/SUM(Kalender!$E$5:$E$370),0))*Szenarien!$E$18,0)</f>
        <v>2.04</v>
      </c>
      <c r="D2783" s="13" t="n">
        <f aca="false">IF(Szenarien!$H$18="OK",(IFERROR(SUMIF(Nutzungsprofile!$B$17:$B$22,"Schulbetrieb",Nutzungsprofile!$G$17:$G$22)*Kalender!C221/SUM(Kalender!$C$5:$C$370),0)+IFERROR(SUMIF(Nutzungsprofile!$B$17:$B$22,"Halle",Nutzungsprofile!$G$17:$G$22)*Kalender!D221/SUM(Kalender!$D$5:$D$370),0)+IFERROR(SUMIF(Nutzungsprofile!$B$17:$B$22,"Individuell",Nutzungsprofile!$G$17:$G$22)*Kalender!E221/SUM(Kalender!$E$5:$E$370),0))*Szenarien!$D$18,0)</f>
        <v>0.712</v>
      </c>
      <c r="E2783" s="13" t="n">
        <f aca="false">IFERROR(MIN(C2783,Eingaben!$B$17)*Eingaben!$B$16,0)</f>
        <v>1.938</v>
      </c>
      <c r="F2783" s="13" t="n">
        <f aca="false">IFERROR(E2783*Eingaben!$B$15,0)</f>
        <v>1.7442</v>
      </c>
      <c r="G2783" s="13" t="n">
        <f aca="false">IFERROR(IF(Kalender!A221="",0,J2782*(1-Eingaben!$B$20)),0)</f>
        <v>1.709316</v>
      </c>
      <c r="H2783" s="13" t="n">
        <f aca="false">MIN(G2783,D2783)</f>
        <v>0.712</v>
      </c>
      <c r="I2783" s="13" t="n">
        <f aca="false">IFERROR(MIN(F2783*Eingaben!$B$19,MAX(0,D2783-H2783)),0)</f>
        <v>0</v>
      </c>
      <c r="J2783" s="13" t="n">
        <f aca="false">IFERROR(MIN(Eingaben!$B$18,MAX(0,F2783-I2783)),0)</f>
        <v>1.7442</v>
      </c>
      <c r="K2783" s="13" t="n">
        <f aca="false">H2783+I2783</f>
        <v>0.712</v>
      </c>
      <c r="L2783" s="13" t="n">
        <f aca="false">MAX(0,D2783-K2783)</f>
        <v>0</v>
      </c>
      <c r="M2783" s="13" t="n">
        <f aca="false">MAX(0,F2783-I2783-J2783)</f>
        <v>0</v>
      </c>
      <c r="N2783" s="13" t="n">
        <f aca="false">IF(Kalender!A221="",0,J2782-H2783)</f>
        <v>1.0322</v>
      </c>
    </row>
    <row r="2784" customFormat="false" ht="16.4" hidden="false" customHeight="false" outlineLevel="0" collapsed="false">
      <c r="A2784" s="13" t="str">
        <f aca="false">""</f>
        <v/>
      </c>
      <c r="B2784" s="13" t="n">
        <f aca="false">218</f>
        <v>218</v>
      </c>
      <c r="C2784" s="13" t="n">
        <f aca="false">IF(Szenarien!$H$18="OK",(IFERROR(SUMIF(Nutzungsprofile!$B$6:$B$11,"Schulbetrieb",Nutzungsprofile!$G$6:$G$11)*Kalender!C222/SUM(Kalender!$C$5:$C$370),0)+IFERROR(SUMIF(Nutzungsprofile!$B$6:$B$11,"Halle",Nutzungsprofile!$G$6:$G$11)*Kalender!D222/SUM(Kalender!$D$5:$D$370),0)+IFERROR(SUMIF(Nutzungsprofile!$B$6:$B$11,"Individuell",Nutzungsprofile!$G$6:$G$11)*Kalender!E222/SUM(Kalender!$E$5:$E$370),0))*Szenarien!$E$18,0)</f>
        <v>2.04</v>
      </c>
      <c r="D2784" s="13" t="n">
        <f aca="false">IF(Szenarien!$H$18="OK",(IFERROR(SUMIF(Nutzungsprofile!$B$17:$B$22,"Schulbetrieb",Nutzungsprofile!$G$17:$G$22)*Kalender!C222/SUM(Kalender!$C$5:$C$370),0)+IFERROR(SUMIF(Nutzungsprofile!$B$17:$B$22,"Halle",Nutzungsprofile!$G$17:$G$22)*Kalender!D222/SUM(Kalender!$D$5:$D$370),0)+IFERROR(SUMIF(Nutzungsprofile!$B$17:$B$22,"Individuell",Nutzungsprofile!$G$17:$G$22)*Kalender!E222/SUM(Kalender!$E$5:$E$370),0))*Szenarien!$D$18,0)</f>
        <v>0.712</v>
      </c>
      <c r="E2784" s="13" t="n">
        <f aca="false">IFERROR(MIN(C2784,Eingaben!$B$17)*Eingaben!$B$16,0)</f>
        <v>1.938</v>
      </c>
      <c r="F2784" s="13" t="n">
        <f aca="false">IFERROR(E2784*Eingaben!$B$15,0)</f>
        <v>1.7442</v>
      </c>
      <c r="G2784" s="13" t="n">
        <f aca="false">IFERROR(IF(Kalender!A222="",0,J2783*(1-Eingaben!$B$20)),0)</f>
        <v>1.709316</v>
      </c>
      <c r="H2784" s="13" t="n">
        <f aca="false">MIN(G2784,D2784)</f>
        <v>0.712</v>
      </c>
      <c r="I2784" s="13" t="n">
        <f aca="false">IFERROR(MIN(F2784*Eingaben!$B$19,MAX(0,D2784-H2784)),0)</f>
        <v>0</v>
      </c>
      <c r="J2784" s="13" t="n">
        <f aca="false">IFERROR(MIN(Eingaben!$B$18,MAX(0,F2784-I2784)),0)</f>
        <v>1.7442</v>
      </c>
      <c r="K2784" s="13" t="n">
        <f aca="false">H2784+I2784</f>
        <v>0.712</v>
      </c>
      <c r="L2784" s="13" t="n">
        <f aca="false">MAX(0,D2784-K2784)</f>
        <v>0</v>
      </c>
      <c r="M2784" s="13" t="n">
        <f aca="false">MAX(0,F2784-I2784-J2784)</f>
        <v>0</v>
      </c>
      <c r="N2784" s="13" t="n">
        <f aca="false">IF(Kalender!A222="",0,J2783-H2784)</f>
        <v>1.0322</v>
      </c>
    </row>
    <row r="2785" customFormat="false" ht="16.4" hidden="false" customHeight="false" outlineLevel="0" collapsed="false">
      <c r="A2785" s="13" t="str">
        <f aca="false">""</f>
        <v/>
      </c>
      <c r="B2785" s="13" t="n">
        <f aca="false">219</f>
        <v>219</v>
      </c>
      <c r="C2785" s="13" t="n">
        <f aca="false">IF(Szenarien!$H$18="OK",(IFERROR(SUMIF(Nutzungsprofile!$B$6:$B$11,"Schulbetrieb",Nutzungsprofile!$G$6:$G$11)*Kalender!C223/SUM(Kalender!$C$5:$C$370),0)+IFERROR(SUMIF(Nutzungsprofile!$B$6:$B$11,"Halle",Nutzungsprofile!$G$6:$G$11)*Kalender!D223/SUM(Kalender!$D$5:$D$370),0)+IFERROR(SUMIF(Nutzungsprofile!$B$6:$B$11,"Individuell",Nutzungsprofile!$G$6:$G$11)*Kalender!E223/SUM(Kalender!$E$5:$E$370),0))*Szenarien!$E$18,0)</f>
        <v>2.04</v>
      </c>
      <c r="D2785" s="13" t="n">
        <f aca="false">IF(Szenarien!$H$18="OK",(IFERROR(SUMIF(Nutzungsprofile!$B$17:$B$22,"Schulbetrieb",Nutzungsprofile!$G$17:$G$22)*Kalender!C223/SUM(Kalender!$C$5:$C$370),0)+IFERROR(SUMIF(Nutzungsprofile!$B$17:$B$22,"Halle",Nutzungsprofile!$G$17:$G$22)*Kalender!D223/SUM(Kalender!$D$5:$D$370),0)+IFERROR(SUMIF(Nutzungsprofile!$B$17:$B$22,"Individuell",Nutzungsprofile!$G$17:$G$22)*Kalender!E223/SUM(Kalender!$E$5:$E$370),0))*Szenarien!$D$18,0)</f>
        <v>0.712</v>
      </c>
      <c r="E2785" s="13" t="n">
        <f aca="false">IFERROR(MIN(C2785,Eingaben!$B$17)*Eingaben!$B$16,0)</f>
        <v>1.938</v>
      </c>
      <c r="F2785" s="13" t="n">
        <f aca="false">IFERROR(E2785*Eingaben!$B$15,0)</f>
        <v>1.7442</v>
      </c>
      <c r="G2785" s="13" t="n">
        <f aca="false">IFERROR(IF(Kalender!A223="",0,J2784*(1-Eingaben!$B$20)),0)</f>
        <v>1.709316</v>
      </c>
      <c r="H2785" s="13" t="n">
        <f aca="false">MIN(G2785,D2785)</f>
        <v>0.712</v>
      </c>
      <c r="I2785" s="13" t="n">
        <f aca="false">IFERROR(MIN(F2785*Eingaben!$B$19,MAX(0,D2785-H2785)),0)</f>
        <v>0</v>
      </c>
      <c r="J2785" s="13" t="n">
        <f aca="false">IFERROR(MIN(Eingaben!$B$18,MAX(0,F2785-I2785)),0)</f>
        <v>1.7442</v>
      </c>
      <c r="K2785" s="13" t="n">
        <f aca="false">H2785+I2785</f>
        <v>0.712</v>
      </c>
      <c r="L2785" s="13" t="n">
        <f aca="false">MAX(0,D2785-K2785)</f>
        <v>0</v>
      </c>
      <c r="M2785" s="13" t="n">
        <f aca="false">MAX(0,F2785-I2785-J2785)</f>
        <v>0</v>
      </c>
      <c r="N2785" s="13" t="n">
        <f aca="false">IF(Kalender!A223="",0,J2784-H2785)</f>
        <v>1.0322</v>
      </c>
    </row>
    <row r="2786" customFormat="false" ht="16.4" hidden="false" customHeight="false" outlineLevel="0" collapsed="false">
      <c r="A2786" s="13" t="str">
        <f aca="false">""</f>
        <v/>
      </c>
      <c r="B2786" s="13" t="n">
        <f aca="false">220</f>
        <v>220</v>
      </c>
      <c r="C2786" s="13" t="n">
        <f aca="false">IF(Szenarien!$H$18="OK",(IFERROR(SUMIF(Nutzungsprofile!$B$6:$B$11,"Schulbetrieb",Nutzungsprofile!$G$6:$G$11)*Kalender!C224/SUM(Kalender!$C$5:$C$370),0)+IFERROR(SUMIF(Nutzungsprofile!$B$6:$B$11,"Halle",Nutzungsprofile!$G$6:$G$11)*Kalender!D224/SUM(Kalender!$D$5:$D$370),0)+IFERROR(SUMIF(Nutzungsprofile!$B$6:$B$11,"Individuell",Nutzungsprofile!$G$6:$G$11)*Kalender!E224/SUM(Kalender!$E$5:$E$370),0))*Szenarien!$E$18,0)</f>
        <v>2.04</v>
      </c>
      <c r="D2786" s="13" t="n">
        <f aca="false">IF(Szenarien!$H$18="OK",(IFERROR(SUMIF(Nutzungsprofile!$B$17:$B$22,"Schulbetrieb",Nutzungsprofile!$G$17:$G$22)*Kalender!C224/SUM(Kalender!$C$5:$C$370),0)+IFERROR(SUMIF(Nutzungsprofile!$B$17:$B$22,"Halle",Nutzungsprofile!$G$17:$G$22)*Kalender!D224/SUM(Kalender!$D$5:$D$370),0)+IFERROR(SUMIF(Nutzungsprofile!$B$17:$B$22,"Individuell",Nutzungsprofile!$G$17:$G$22)*Kalender!E224/SUM(Kalender!$E$5:$E$370),0))*Szenarien!$D$18,0)</f>
        <v>0.712</v>
      </c>
      <c r="E2786" s="13" t="n">
        <f aca="false">IFERROR(MIN(C2786,Eingaben!$B$17)*Eingaben!$B$16,0)</f>
        <v>1.938</v>
      </c>
      <c r="F2786" s="13" t="n">
        <f aca="false">IFERROR(E2786*Eingaben!$B$15,0)</f>
        <v>1.7442</v>
      </c>
      <c r="G2786" s="13" t="n">
        <f aca="false">IFERROR(IF(Kalender!A224="",0,J2785*(1-Eingaben!$B$20)),0)</f>
        <v>1.709316</v>
      </c>
      <c r="H2786" s="13" t="n">
        <f aca="false">MIN(G2786,D2786)</f>
        <v>0.712</v>
      </c>
      <c r="I2786" s="13" t="n">
        <f aca="false">IFERROR(MIN(F2786*Eingaben!$B$19,MAX(0,D2786-H2786)),0)</f>
        <v>0</v>
      </c>
      <c r="J2786" s="13" t="n">
        <f aca="false">IFERROR(MIN(Eingaben!$B$18,MAX(0,F2786-I2786)),0)</f>
        <v>1.7442</v>
      </c>
      <c r="K2786" s="13" t="n">
        <f aca="false">H2786+I2786</f>
        <v>0.712</v>
      </c>
      <c r="L2786" s="13" t="n">
        <f aca="false">MAX(0,D2786-K2786)</f>
        <v>0</v>
      </c>
      <c r="M2786" s="13" t="n">
        <f aca="false">MAX(0,F2786-I2786-J2786)</f>
        <v>0</v>
      </c>
      <c r="N2786" s="13" t="n">
        <f aca="false">IF(Kalender!A224="",0,J2785-H2786)</f>
        <v>1.0322</v>
      </c>
    </row>
    <row r="2787" customFormat="false" ht="16.4" hidden="false" customHeight="false" outlineLevel="0" collapsed="false">
      <c r="A2787" s="13" t="str">
        <f aca="false">""</f>
        <v/>
      </c>
      <c r="B2787" s="13" t="n">
        <f aca="false">221</f>
        <v>221</v>
      </c>
      <c r="C2787" s="13" t="n">
        <f aca="false">IF(Szenarien!$H$18="OK",(IFERROR(SUMIF(Nutzungsprofile!$B$6:$B$11,"Schulbetrieb",Nutzungsprofile!$G$6:$G$11)*Kalender!C225/SUM(Kalender!$C$5:$C$370),0)+IFERROR(SUMIF(Nutzungsprofile!$B$6:$B$11,"Halle",Nutzungsprofile!$G$6:$G$11)*Kalender!D225/SUM(Kalender!$D$5:$D$370),0)+IFERROR(SUMIF(Nutzungsprofile!$B$6:$B$11,"Individuell",Nutzungsprofile!$G$6:$G$11)*Kalender!E225/SUM(Kalender!$E$5:$E$370),0))*Szenarien!$E$18,0)</f>
        <v>2.04</v>
      </c>
      <c r="D2787" s="13" t="n">
        <f aca="false">IF(Szenarien!$H$18="OK",(IFERROR(SUMIF(Nutzungsprofile!$B$17:$B$22,"Schulbetrieb",Nutzungsprofile!$G$17:$G$22)*Kalender!C225/SUM(Kalender!$C$5:$C$370),0)+IFERROR(SUMIF(Nutzungsprofile!$B$17:$B$22,"Halle",Nutzungsprofile!$G$17:$G$22)*Kalender!D225/SUM(Kalender!$D$5:$D$370),0)+IFERROR(SUMIF(Nutzungsprofile!$B$17:$B$22,"Individuell",Nutzungsprofile!$G$17:$G$22)*Kalender!E225/SUM(Kalender!$E$5:$E$370),0))*Szenarien!$D$18,0)</f>
        <v>0.712</v>
      </c>
      <c r="E2787" s="13" t="n">
        <f aca="false">IFERROR(MIN(C2787,Eingaben!$B$17)*Eingaben!$B$16,0)</f>
        <v>1.938</v>
      </c>
      <c r="F2787" s="13" t="n">
        <f aca="false">IFERROR(E2787*Eingaben!$B$15,0)</f>
        <v>1.7442</v>
      </c>
      <c r="G2787" s="13" t="n">
        <f aca="false">IFERROR(IF(Kalender!A225="",0,J2786*(1-Eingaben!$B$20)),0)</f>
        <v>1.709316</v>
      </c>
      <c r="H2787" s="13" t="n">
        <f aca="false">MIN(G2787,D2787)</f>
        <v>0.712</v>
      </c>
      <c r="I2787" s="13" t="n">
        <f aca="false">IFERROR(MIN(F2787*Eingaben!$B$19,MAX(0,D2787-H2787)),0)</f>
        <v>0</v>
      </c>
      <c r="J2787" s="13" t="n">
        <f aca="false">IFERROR(MIN(Eingaben!$B$18,MAX(0,F2787-I2787)),0)</f>
        <v>1.7442</v>
      </c>
      <c r="K2787" s="13" t="n">
        <f aca="false">H2787+I2787</f>
        <v>0.712</v>
      </c>
      <c r="L2787" s="13" t="n">
        <f aca="false">MAX(0,D2787-K2787)</f>
        <v>0</v>
      </c>
      <c r="M2787" s="13" t="n">
        <f aca="false">MAX(0,F2787-I2787-J2787)</f>
        <v>0</v>
      </c>
      <c r="N2787" s="13" t="n">
        <f aca="false">IF(Kalender!A225="",0,J2786-H2787)</f>
        <v>1.0322</v>
      </c>
    </row>
    <row r="2788" customFormat="false" ht="16.4" hidden="false" customHeight="false" outlineLevel="0" collapsed="false">
      <c r="A2788" s="13" t="str">
        <f aca="false">""</f>
        <v/>
      </c>
      <c r="B2788" s="13" t="n">
        <f aca="false">222</f>
        <v>222</v>
      </c>
      <c r="C2788" s="13" t="n">
        <f aca="false">IF(Szenarien!$H$18="OK",(IFERROR(SUMIF(Nutzungsprofile!$B$6:$B$11,"Schulbetrieb",Nutzungsprofile!$G$6:$G$11)*Kalender!C226/SUM(Kalender!$C$5:$C$370),0)+IFERROR(SUMIF(Nutzungsprofile!$B$6:$B$11,"Halle",Nutzungsprofile!$G$6:$G$11)*Kalender!D226/SUM(Kalender!$D$5:$D$370),0)+IFERROR(SUMIF(Nutzungsprofile!$B$6:$B$11,"Individuell",Nutzungsprofile!$G$6:$G$11)*Kalender!E226/SUM(Kalender!$E$5:$E$370),0))*Szenarien!$E$18,0)</f>
        <v>2.04</v>
      </c>
      <c r="D2788" s="13" t="n">
        <f aca="false">IF(Szenarien!$H$18="OK",(IFERROR(SUMIF(Nutzungsprofile!$B$17:$B$22,"Schulbetrieb",Nutzungsprofile!$G$17:$G$22)*Kalender!C226/SUM(Kalender!$C$5:$C$370),0)+IFERROR(SUMIF(Nutzungsprofile!$B$17:$B$22,"Halle",Nutzungsprofile!$G$17:$G$22)*Kalender!D226/SUM(Kalender!$D$5:$D$370),0)+IFERROR(SUMIF(Nutzungsprofile!$B$17:$B$22,"Individuell",Nutzungsprofile!$G$17:$G$22)*Kalender!E226/SUM(Kalender!$E$5:$E$370),0))*Szenarien!$D$18,0)</f>
        <v>0.712</v>
      </c>
      <c r="E2788" s="13" t="n">
        <f aca="false">IFERROR(MIN(C2788,Eingaben!$B$17)*Eingaben!$B$16,0)</f>
        <v>1.938</v>
      </c>
      <c r="F2788" s="13" t="n">
        <f aca="false">IFERROR(E2788*Eingaben!$B$15,0)</f>
        <v>1.7442</v>
      </c>
      <c r="G2788" s="13" t="n">
        <f aca="false">IFERROR(IF(Kalender!A226="",0,J2787*(1-Eingaben!$B$20)),0)</f>
        <v>1.709316</v>
      </c>
      <c r="H2788" s="13" t="n">
        <f aca="false">MIN(G2788,D2788)</f>
        <v>0.712</v>
      </c>
      <c r="I2788" s="13" t="n">
        <f aca="false">IFERROR(MIN(F2788*Eingaben!$B$19,MAX(0,D2788-H2788)),0)</f>
        <v>0</v>
      </c>
      <c r="J2788" s="13" t="n">
        <f aca="false">IFERROR(MIN(Eingaben!$B$18,MAX(0,F2788-I2788)),0)</f>
        <v>1.7442</v>
      </c>
      <c r="K2788" s="13" t="n">
        <f aca="false">H2788+I2788</f>
        <v>0.712</v>
      </c>
      <c r="L2788" s="13" t="n">
        <f aca="false">MAX(0,D2788-K2788)</f>
        <v>0</v>
      </c>
      <c r="M2788" s="13" t="n">
        <f aca="false">MAX(0,F2788-I2788-J2788)</f>
        <v>0</v>
      </c>
      <c r="N2788" s="13" t="n">
        <f aca="false">IF(Kalender!A226="",0,J2787-H2788)</f>
        <v>1.0322</v>
      </c>
    </row>
    <row r="2789" customFormat="false" ht="16.4" hidden="false" customHeight="false" outlineLevel="0" collapsed="false">
      <c r="A2789" s="13" t="str">
        <f aca="false">""</f>
        <v/>
      </c>
      <c r="B2789" s="13" t="n">
        <f aca="false">223</f>
        <v>223</v>
      </c>
      <c r="C2789" s="13" t="n">
        <f aca="false">IF(Szenarien!$H$18="OK",(IFERROR(SUMIF(Nutzungsprofile!$B$6:$B$11,"Schulbetrieb",Nutzungsprofile!$G$6:$G$11)*Kalender!C227/SUM(Kalender!$C$5:$C$370),0)+IFERROR(SUMIF(Nutzungsprofile!$B$6:$B$11,"Halle",Nutzungsprofile!$G$6:$G$11)*Kalender!D227/SUM(Kalender!$D$5:$D$370),0)+IFERROR(SUMIF(Nutzungsprofile!$B$6:$B$11,"Individuell",Nutzungsprofile!$G$6:$G$11)*Kalender!E227/SUM(Kalender!$E$5:$E$370),0))*Szenarien!$E$18,0)</f>
        <v>2.04</v>
      </c>
      <c r="D2789" s="13" t="n">
        <f aca="false">IF(Szenarien!$H$18="OK",(IFERROR(SUMIF(Nutzungsprofile!$B$17:$B$22,"Schulbetrieb",Nutzungsprofile!$G$17:$G$22)*Kalender!C227/SUM(Kalender!$C$5:$C$370),0)+IFERROR(SUMIF(Nutzungsprofile!$B$17:$B$22,"Halle",Nutzungsprofile!$G$17:$G$22)*Kalender!D227/SUM(Kalender!$D$5:$D$370),0)+IFERROR(SUMIF(Nutzungsprofile!$B$17:$B$22,"Individuell",Nutzungsprofile!$G$17:$G$22)*Kalender!E227/SUM(Kalender!$E$5:$E$370),0))*Szenarien!$D$18,0)</f>
        <v>0.712</v>
      </c>
      <c r="E2789" s="13" t="n">
        <f aca="false">IFERROR(MIN(C2789,Eingaben!$B$17)*Eingaben!$B$16,0)</f>
        <v>1.938</v>
      </c>
      <c r="F2789" s="13" t="n">
        <f aca="false">IFERROR(E2789*Eingaben!$B$15,0)</f>
        <v>1.7442</v>
      </c>
      <c r="G2789" s="13" t="n">
        <f aca="false">IFERROR(IF(Kalender!A227="",0,J2788*(1-Eingaben!$B$20)),0)</f>
        <v>1.709316</v>
      </c>
      <c r="H2789" s="13" t="n">
        <f aca="false">MIN(G2789,D2789)</f>
        <v>0.712</v>
      </c>
      <c r="I2789" s="13" t="n">
        <f aca="false">IFERROR(MIN(F2789*Eingaben!$B$19,MAX(0,D2789-H2789)),0)</f>
        <v>0</v>
      </c>
      <c r="J2789" s="13" t="n">
        <f aca="false">IFERROR(MIN(Eingaben!$B$18,MAX(0,F2789-I2789)),0)</f>
        <v>1.7442</v>
      </c>
      <c r="K2789" s="13" t="n">
        <f aca="false">H2789+I2789</f>
        <v>0.712</v>
      </c>
      <c r="L2789" s="13" t="n">
        <f aca="false">MAX(0,D2789-K2789)</f>
        <v>0</v>
      </c>
      <c r="M2789" s="13" t="n">
        <f aca="false">MAX(0,F2789-I2789-J2789)</f>
        <v>0</v>
      </c>
      <c r="N2789" s="13" t="n">
        <f aca="false">IF(Kalender!A227="",0,J2788-H2789)</f>
        <v>1.0322</v>
      </c>
    </row>
    <row r="2790" customFormat="false" ht="16.4" hidden="false" customHeight="false" outlineLevel="0" collapsed="false">
      <c r="A2790" s="13" t="str">
        <f aca="false">""</f>
        <v/>
      </c>
      <c r="B2790" s="13" t="n">
        <f aca="false">224</f>
        <v>224</v>
      </c>
      <c r="C2790" s="13" t="n">
        <f aca="false">IF(Szenarien!$H$18="OK",(IFERROR(SUMIF(Nutzungsprofile!$B$6:$B$11,"Schulbetrieb",Nutzungsprofile!$G$6:$G$11)*Kalender!C228/SUM(Kalender!$C$5:$C$370),0)+IFERROR(SUMIF(Nutzungsprofile!$B$6:$B$11,"Halle",Nutzungsprofile!$G$6:$G$11)*Kalender!D228/SUM(Kalender!$D$5:$D$370),0)+IFERROR(SUMIF(Nutzungsprofile!$B$6:$B$11,"Individuell",Nutzungsprofile!$G$6:$G$11)*Kalender!E228/SUM(Kalender!$E$5:$E$370),0))*Szenarien!$E$18,0)</f>
        <v>2.04</v>
      </c>
      <c r="D2790" s="13" t="n">
        <f aca="false">IF(Szenarien!$H$18="OK",(IFERROR(SUMIF(Nutzungsprofile!$B$17:$B$22,"Schulbetrieb",Nutzungsprofile!$G$17:$G$22)*Kalender!C228/SUM(Kalender!$C$5:$C$370),0)+IFERROR(SUMIF(Nutzungsprofile!$B$17:$B$22,"Halle",Nutzungsprofile!$G$17:$G$22)*Kalender!D228/SUM(Kalender!$D$5:$D$370),0)+IFERROR(SUMIF(Nutzungsprofile!$B$17:$B$22,"Individuell",Nutzungsprofile!$G$17:$G$22)*Kalender!E228/SUM(Kalender!$E$5:$E$370),0))*Szenarien!$D$18,0)</f>
        <v>0.712</v>
      </c>
      <c r="E2790" s="13" t="n">
        <f aca="false">IFERROR(MIN(C2790,Eingaben!$B$17)*Eingaben!$B$16,0)</f>
        <v>1.938</v>
      </c>
      <c r="F2790" s="13" t="n">
        <f aca="false">IFERROR(E2790*Eingaben!$B$15,0)</f>
        <v>1.7442</v>
      </c>
      <c r="G2790" s="13" t="n">
        <f aca="false">IFERROR(IF(Kalender!A228="",0,J2789*(1-Eingaben!$B$20)),0)</f>
        <v>1.709316</v>
      </c>
      <c r="H2790" s="13" t="n">
        <f aca="false">MIN(G2790,D2790)</f>
        <v>0.712</v>
      </c>
      <c r="I2790" s="13" t="n">
        <f aca="false">IFERROR(MIN(F2790*Eingaben!$B$19,MAX(0,D2790-H2790)),0)</f>
        <v>0</v>
      </c>
      <c r="J2790" s="13" t="n">
        <f aca="false">IFERROR(MIN(Eingaben!$B$18,MAX(0,F2790-I2790)),0)</f>
        <v>1.7442</v>
      </c>
      <c r="K2790" s="13" t="n">
        <f aca="false">H2790+I2790</f>
        <v>0.712</v>
      </c>
      <c r="L2790" s="13" t="n">
        <f aca="false">MAX(0,D2790-K2790)</f>
        <v>0</v>
      </c>
      <c r="M2790" s="13" t="n">
        <f aca="false">MAX(0,F2790-I2790-J2790)</f>
        <v>0</v>
      </c>
      <c r="N2790" s="13" t="n">
        <f aca="false">IF(Kalender!A228="",0,J2789-H2790)</f>
        <v>1.0322</v>
      </c>
    </row>
    <row r="2791" customFormat="false" ht="16.4" hidden="false" customHeight="false" outlineLevel="0" collapsed="false">
      <c r="A2791" s="13" t="str">
        <f aca="false">""</f>
        <v/>
      </c>
      <c r="B2791" s="13" t="n">
        <f aca="false">225</f>
        <v>225</v>
      </c>
      <c r="C2791" s="13" t="n">
        <f aca="false">IF(Szenarien!$H$18="OK",(IFERROR(SUMIF(Nutzungsprofile!$B$6:$B$11,"Schulbetrieb",Nutzungsprofile!$G$6:$G$11)*Kalender!C229/SUM(Kalender!$C$5:$C$370),0)+IFERROR(SUMIF(Nutzungsprofile!$B$6:$B$11,"Halle",Nutzungsprofile!$G$6:$G$11)*Kalender!D229/SUM(Kalender!$D$5:$D$370),0)+IFERROR(SUMIF(Nutzungsprofile!$B$6:$B$11,"Individuell",Nutzungsprofile!$G$6:$G$11)*Kalender!E229/SUM(Kalender!$E$5:$E$370),0))*Szenarien!$E$18,0)</f>
        <v>2.04</v>
      </c>
      <c r="D2791" s="13" t="n">
        <f aca="false">IF(Szenarien!$H$18="OK",(IFERROR(SUMIF(Nutzungsprofile!$B$17:$B$22,"Schulbetrieb",Nutzungsprofile!$G$17:$G$22)*Kalender!C229/SUM(Kalender!$C$5:$C$370),0)+IFERROR(SUMIF(Nutzungsprofile!$B$17:$B$22,"Halle",Nutzungsprofile!$G$17:$G$22)*Kalender!D229/SUM(Kalender!$D$5:$D$370),0)+IFERROR(SUMIF(Nutzungsprofile!$B$17:$B$22,"Individuell",Nutzungsprofile!$G$17:$G$22)*Kalender!E229/SUM(Kalender!$E$5:$E$370),0))*Szenarien!$D$18,0)</f>
        <v>0.712</v>
      </c>
      <c r="E2791" s="13" t="n">
        <f aca="false">IFERROR(MIN(C2791,Eingaben!$B$17)*Eingaben!$B$16,0)</f>
        <v>1.938</v>
      </c>
      <c r="F2791" s="13" t="n">
        <f aca="false">IFERROR(E2791*Eingaben!$B$15,0)</f>
        <v>1.7442</v>
      </c>
      <c r="G2791" s="13" t="n">
        <f aca="false">IFERROR(IF(Kalender!A229="",0,J2790*(1-Eingaben!$B$20)),0)</f>
        <v>1.709316</v>
      </c>
      <c r="H2791" s="13" t="n">
        <f aca="false">MIN(G2791,D2791)</f>
        <v>0.712</v>
      </c>
      <c r="I2791" s="13" t="n">
        <f aca="false">IFERROR(MIN(F2791*Eingaben!$B$19,MAX(0,D2791-H2791)),0)</f>
        <v>0</v>
      </c>
      <c r="J2791" s="13" t="n">
        <f aca="false">IFERROR(MIN(Eingaben!$B$18,MAX(0,F2791-I2791)),0)</f>
        <v>1.7442</v>
      </c>
      <c r="K2791" s="13" t="n">
        <f aca="false">H2791+I2791</f>
        <v>0.712</v>
      </c>
      <c r="L2791" s="13" t="n">
        <f aca="false">MAX(0,D2791-K2791)</f>
        <v>0</v>
      </c>
      <c r="M2791" s="13" t="n">
        <f aca="false">MAX(0,F2791-I2791-J2791)</f>
        <v>0</v>
      </c>
      <c r="N2791" s="13" t="n">
        <f aca="false">IF(Kalender!A229="",0,J2790-H2791)</f>
        <v>1.0322</v>
      </c>
    </row>
    <row r="2792" customFormat="false" ht="16.4" hidden="false" customHeight="false" outlineLevel="0" collapsed="false">
      <c r="A2792" s="13" t="str">
        <f aca="false">""</f>
        <v/>
      </c>
      <c r="B2792" s="13" t="n">
        <f aca="false">226</f>
        <v>226</v>
      </c>
      <c r="C2792" s="13" t="n">
        <f aca="false">IF(Szenarien!$H$18="OK",(IFERROR(SUMIF(Nutzungsprofile!$B$6:$B$11,"Schulbetrieb",Nutzungsprofile!$G$6:$G$11)*Kalender!C230/SUM(Kalender!$C$5:$C$370),0)+IFERROR(SUMIF(Nutzungsprofile!$B$6:$B$11,"Halle",Nutzungsprofile!$G$6:$G$11)*Kalender!D230/SUM(Kalender!$D$5:$D$370),0)+IFERROR(SUMIF(Nutzungsprofile!$B$6:$B$11,"Individuell",Nutzungsprofile!$G$6:$G$11)*Kalender!E230/SUM(Kalender!$E$5:$E$370),0))*Szenarien!$E$18,0)</f>
        <v>2.04</v>
      </c>
      <c r="D2792" s="13" t="n">
        <f aca="false">IF(Szenarien!$H$18="OK",(IFERROR(SUMIF(Nutzungsprofile!$B$17:$B$22,"Schulbetrieb",Nutzungsprofile!$G$17:$G$22)*Kalender!C230/SUM(Kalender!$C$5:$C$370),0)+IFERROR(SUMIF(Nutzungsprofile!$B$17:$B$22,"Halle",Nutzungsprofile!$G$17:$G$22)*Kalender!D230/SUM(Kalender!$D$5:$D$370),0)+IFERROR(SUMIF(Nutzungsprofile!$B$17:$B$22,"Individuell",Nutzungsprofile!$G$17:$G$22)*Kalender!E230/SUM(Kalender!$E$5:$E$370),0))*Szenarien!$D$18,0)</f>
        <v>0.712</v>
      </c>
      <c r="E2792" s="13" t="n">
        <f aca="false">IFERROR(MIN(C2792,Eingaben!$B$17)*Eingaben!$B$16,0)</f>
        <v>1.938</v>
      </c>
      <c r="F2792" s="13" t="n">
        <f aca="false">IFERROR(E2792*Eingaben!$B$15,0)</f>
        <v>1.7442</v>
      </c>
      <c r="G2792" s="13" t="n">
        <f aca="false">IFERROR(IF(Kalender!A230="",0,J2791*(1-Eingaben!$B$20)),0)</f>
        <v>1.709316</v>
      </c>
      <c r="H2792" s="13" t="n">
        <f aca="false">MIN(G2792,D2792)</f>
        <v>0.712</v>
      </c>
      <c r="I2792" s="13" t="n">
        <f aca="false">IFERROR(MIN(F2792*Eingaben!$B$19,MAX(0,D2792-H2792)),0)</f>
        <v>0</v>
      </c>
      <c r="J2792" s="13" t="n">
        <f aca="false">IFERROR(MIN(Eingaben!$B$18,MAX(0,F2792-I2792)),0)</f>
        <v>1.7442</v>
      </c>
      <c r="K2792" s="13" t="n">
        <f aca="false">H2792+I2792</f>
        <v>0.712</v>
      </c>
      <c r="L2792" s="13" t="n">
        <f aca="false">MAX(0,D2792-K2792)</f>
        <v>0</v>
      </c>
      <c r="M2792" s="13" t="n">
        <f aca="false">MAX(0,F2792-I2792-J2792)</f>
        <v>0</v>
      </c>
      <c r="N2792" s="13" t="n">
        <f aca="false">IF(Kalender!A230="",0,J2791-H2792)</f>
        <v>1.0322</v>
      </c>
    </row>
    <row r="2793" customFormat="false" ht="16.4" hidden="false" customHeight="false" outlineLevel="0" collapsed="false">
      <c r="A2793" s="13" t="str">
        <f aca="false">""</f>
        <v/>
      </c>
      <c r="B2793" s="13" t="n">
        <f aca="false">227</f>
        <v>227</v>
      </c>
      <c r="C2793" s="13" t="n">
        <f aca="false">IF(Szenarien!$H$18="OK",(IFERROR(SUMIF(Nutzungsprofile!$B$6:$B$11,"Schulbetrieb",Nutzungsprofile!$G$6:$G$11)*Kalender!C231/SUM(Kalender!$C$5:$C$370),0)+IFERROR(SUMIF(Nutzungsprofile!$B$6:$B$11,"Halle",Nutzungsprofile!$G$6:$G$11)*Kalender!D231/SUM(Kalender!$D$5:$D$370),0)+IFERROR(SUMIF(Nutzungsprofile!$B$6:$B$11,"Individuell",Nutzungsprofile!$G$6:$G$11)*Kalender!E231/SUM(Kalender!$E$5:$E$370),0))*Szenarien!$E$18,0)</f>
        <v>2.04</v>
      </c>
      <c r="D2793" s="13" t="n">
        <f aca="false">IF(Szenarien!$H$18="OK",(IFERROR(SUMIF(Nutzungsprofile!$B$17:$B$22,"Schulbetrieb",Nutzungsprofile!$G$17:$G$22)*Kalender!C231/SUM(Kalender!$C$5:$C$370),0)+IFERROR(SUMIF(Nutzungsprofile!$B$17:$B$22,"Halle",Nutzungsprofile!$G$17:$G$22)*Kalender!D231/SUM(Kalender!$D$5:$D$370),0)+IFERROR(SUMIF(Nutzungsprofile!$B$17:$B$22,"Individuell",Nutzungsprofile!$G$17:$G$22)*Kalender!E231/SUM(Kalender!$E$5:$E$370),0))*Szenarien!$D$18,0)</f>
        <v>0.712</v>
      </c>
      <c r="E2793" s="13" t="n">
        <f aca="false">IFERROR(MIN(C2793,Eingaben!$B$17)*Eingaben!$B$16,0)</f>
        <v>1.938</v>
      </c>
      <c r="F2793" s="13" t="n">
        <f aca="false">IFERROR(E2793*Eingaben!$B$15,0)</f>
        <v>1.7442</v>
      </c>
      <c r="G2793" s="13" t="n">
        <f aca="false">IFERROR(IF(Kalender!A231="",0,J2792*(1-Eingaben!$B$20)),0)</f>
        <v>1.709316</v>
      </c>
      <c r="H2793" s="13" t="n">
        <f aca="false">MIN(G2793,D2793)</f>
        <v>0.712</v>
      </c>
      <c r="I2793" s="13" t="n">
        <f aca="false">IFERROR(MIN(F2793*Eingaben!$B$19,MAX(0,D2793-H2793)),0)</f>
        <v>0</v>
      </c>
      <c r="J2793" s="13" t="n">
        <f aca="false">IFERROR(MIN(Eingaben!$B$18,MAX(0,F2793-I2793)),0)</f>
        <v>1.7442</v>
      </c>
      <c r="K2793" s="13" t="n">
        <f aca="false">H2793+I2793</f>
        <v>0.712</v>
      </c>
      <c r="L2793" s="13" t="n">
        <f aca="false">MAX(0,D2793-K2793)</f>
        <v>0</v>
      </c>
      <c r="M2793" s="13" t="n">
        <f aca="false">MAX(0,F2793-I2793-J2793)</f>
        <v>0</v>
      </c>
      <c r="N2793" s="13" t="n">
        <f aca="false">IF(Kalender!A231="",0,J2792-H2793)</f>
        <v>1.0322</v>
      </c>
    </row>
    <row r="2794" customFormat="false" ht="16.4" hidden="false" customHeight="false" outlineLevel="0" collapsed="false">
      <c r="A2794" s="13" t="str">
        <f aca="false">""</f>
        <v/>
      </c>
      <c r="B2794" s="13" t="n">
        <f aca="false">228</f>
        <v>228</v>
      </c>
      <c r="C2794" s="13" t="n">
        <f aca="false">IF(Szenarien!$H$18="OK",(IFERROR(SUMIF(Nutzungsprofile!$B$6:$B$11,"Schulbetrieb",Nutzungsprofile!$G$6:$G$11)*Kalender!C232/SUM(Kalender!$C$5:$C$370),0)+IFERROR(SUMIF(Nutzungsprofile!$B$6:$B$11,"Halle",Nutzungsprofile!$G$6:$G$11)*Kalender!D232/SUM(Kalender!$D$5:$D$370),0)+IFERROR(SUMIF(Nutzungsprofile!$B$6:$B$11,"Individuell",Nutzungsprofile!$G$6:$G$11)*Kalender!E232/SUM(Kalender!$E$5:$E$370),0))*Szenarien!$E$18,0)</f>
        <v>2.04</v>
      </c>
      <c r="D2794" s="13" t="n">
        <f aca="false">IF(Szenarien!$H$18="OK",(IFERROR(SUMIF(Nutzungsprofile!$B$17:$B$22,"Schulbetrieb",Nutzungsprofile!$G$17:$G$22)*Kalender!C232/SUM(Kalender!$C$5:$C$370),0)+IFERROR(SUMIF(Nutzungsprofile!$B$17:$B$22,"Halle",Nutzungsprofile!$G$17:$G$22)*Kalender!D232/SUM(Kalender!$D$5:$D$370),0)+IFERROR(SUMIF(Nutzungsprofile!$B$17:$B$22,"Individuell",Nutzungsprofile!$G$17:$G$22)*Kalender!E232/SUM(Kalender!$E$5:$E$370),0))*Szenarien!$D$18,0)</f>
        <v>0.712</v>
      </c>
      <c r="E2794" s="13" t="n">
        <f aca="false">IFERROR(MIN(C2794,Eingaben!$B$17)*Eingaben!$B$16,0)</f>
        <v>1.938</v>
      </c>
      <c r="F2794" s="13" t="n">
        <f aca="false">IFERROR(E2794*Eingaben!$B$15,0)</f>
        <v>1.7442</v>
      </c>
      <c r="G2794" s="13" t="n">
        <f aca="false">IFERROR(IF(Kalender!A232="",0,J2793*(1-Eingaben!$B$20)),0)</f>
        <v>1.709316</v>
      </c>
      <c r="H2794" s="13" t="n">
        <f aca="false">MIN(G2794,D2794)</f>
        <v>0.712</v>
      </c>
      <c r="I2794" s="13" t="n">
        <f aca="false">IFERROR(MIN(F2794*Eingaben!$B$19,MAX(0,D2794-H2794)),0)</f>
        <v>0</v>
      </c>
      <c r="J2794" s="13" t="n">
        <f aca="false">IFERROR(MIN(Eingaben!$B$18,MAX(0,F2794-I2794)),0)</f>
        <v>1.7442</v>
      </c>
      <c r="K2794" s="13" t="n">
        <f aca="false">H2794+I2794</f>
        <v>0.712</v>
      </c>
      <c r="L2794" s="13" t="n">
        <f aca="false">MAX(0,D2794-K2794)</f>
        <v>0</v>
      </c>
      <c r="M2794" s="13" t="n">
        <f aca="false">MAX(0,F2794-I2794-J2794)</f>
        <v>0</v>
      </c>
      <c r="N2794" s="13" t="n">
        <f aca="false">IF(Kalender!A232="",0,J2793-H2794)</f>
        <v>1.0322</v>
      </c>
    </row>
    <row r="2795" customFormat="false" ht="16.4" hidden="false" customHeight="false" outlineLevel="0" collapsed="false">
      <c r="A2795" s="13" t="str">
        <f aca="false">""</f>
        <v/>
      </c>
      <c r="B2795" s="13" t="n">
        <f aca="false">229</f>
        <v>229</v>
      </c>
      <c r="C2795" s="13" t="n">
        <f aca="false">IF(Szenarien!$H$18="OK",(IFERROR(SUMIF(Nutzungsprofile!$B$6:$B$11,"Schulbetrieb",Nutzungsprofile!$G$6:$G$11)*Kalender!C233/SUM(Kalender!$C$5:$C$370),0)+IFERROR(SUMIF(Nutzungsprofile!$B$6:$B$11,"Halle",Nutzungsprofile!$G$6:$G$11)*Kalender!D233/SUM(Kalender!$D$5:$D$370),0)+IFERROR(SUMIF(Nutzungsprofile!$B$6:$B$11,"Individuell",Nutzungsprofile!$G$6:$G$11)*Kalender!E233/SUM(Kalender!$E$5:$E$370),0))*Szenarien!$E$18,0)</f>
        <v>2.04</v>
      </c>
      <c r="D2795" s="13" t="n">
        <f aca="false">IF(Szenarien!$H$18="OK",(IFERROR(SUMIF(Nutzungsprofile!$B$17:$B$22,"Schulbetrieb",Nutzungsprofile!$G$17:$G$22)*Kalender!C233/SUM(Kalender!$C$5:$C$370),0)+IFERROR(SUMIF(Nutzungsprofile!$B$17:$B$22,"Halle",Nutzungsprofile!$G$17:$G$22)*Kalender!D233/SUM(Kalender!$D$5:$D$370),0)+IFERROR(SUMIF(Nutzungsprofile!$B$17:$B$22,"Individuell",Nutzungsprofile!$G$17:$G$22)*Kalender!E233/SUM(Kalender!$E$5:$E$370),0))*Szenarien!$D$18,0)</f>
        <v>0.712</v>
      </c>
      <c r="E2795" s="13" t="n">
        <f aca="false">IFERROR(MIN(C2795,Eingaben!$B$17)*Eingaben!$B$16,0)</f>
        <v>1.938</v>
      </c>
      <c r="F2795" s="13" t="n">
        <f aca="false">IFERROR(E2795*Eingaben!$B$15,0)</f>
        <v>1.7442</v>
      </c>
      <c r="G2795" s="13" t="n">
        <f aca="false">IFERROR(IF(Kalender!A233="",0,J2794*(1-Eingaben!$B$20)),0)</f>
        <v>1.709316</v>
      </c>
      <c r="H2795" s="13" t="n">
        <f aca="false">MIN(G2795,D2795)</f>
        <v>0.712</v>
      </c>
      <c r="I2795" s="13" t="n">
        <f aca="false">IFERROR(MIN(F2795*Eingaben!$B$19,MAX(0,D2795-H2795)),0)</f>
        <v>0</v>
      </c>
      <c r="J2795" s="13" t="n">
        <f aca="false">IFERROR(MIN(Eingaben!$B$18,MAX(0,F2795-I2795)),0)</f>
        <v>1.7442</v>
      </c>
      <c r="K2795" s="13" t="n">
        <f aca="false">H2795+I2795</f>
        <v>0.712</v>
      </c>
      <c r="L2795" s="13" t="n">
        <f aca="false">MAX(0,D2795-K2795)</f>
        <v>0</v>
      </c>
      <c r="M2795" s="13" t="n">
        <f aca="false">MAX(0,F2795-I2795-J2795)</f>
        <v>0</v>
      </c>
      <c r="N2795" s="13" t="n">
        <f aca="false">IF(Kalender!A233="",0,J2794-H2795)</f>
        <v>1.0322</v>
      </c>
    </row>
    <row r="2796" customFormat="false" ht="16.4" hidden="false" customHeight="false" outlineLevel="0" collapsed="false">
      <c r="A2796" s="13" t="str">
        <f aca="false">""</f>
        <v/>
      </c>
      <c r="B2796" s="13" t="n">
        <f aca="false">230</f>
        <v>230</v>
      </c>
      <c r="C2796" s="13" t="n">
        <f aca="false">IF(Szenarien!$H$18="OK",(IFERROR(SUMIF(Nutzungsprofile!$B$6:$B$11,"Schulbetrieb",Nutzungsprofile!$G$6:$G$11)*Kalender!C234/SUM(Kalender!$C$5:$C$370),0)+IFERROR(SUMIF(Nutzungsprofile!$B$6:$B$11,"Halle",Nutzungsprofile!$G$6:$G$11)*Kalender!D234/SUM(Kalender!$D$5:$D$370),0)+IFERROR(SUMIF(Nutzungsprofile!$B$6:$B$11,"Individuell",Nutzungsprofile!$G$6:$G$11)*Kalender!E234/SUM(Kalender!$E$5:$E$370),0))*Szenarien!$E$18,0)</f>
        <v>2.04</v>
      </c>
      <c r="D2796" s="13" t="n">
        <f aca="false">IF(Szenarien!$H$18="OK",(IFERROR(SUMIF(Nutzungsprofile!$B$17:$B$22,"Schulbetrieb",Nutzungsprofile!$G$17:$G$22)*Kalender!C234/SUM(Kalender!$C$5:$C$370),0)+IFERROR(SUMIF(Nutzungsprofile!$B$17:$B$22,"Halle",Nutzungsprofile!$G$17:$G$22)*Kalender!D234/SUM(Kalender!$D$5:$D$370),0)+IFERROR(SUMIF(Nutzungsprofile!$B$17:$B$22,"Individuell",Nutzungsprofile!$G$17:$G$22)*Kalender!E234/SUM(Kalender!$E$5:$E$370),0))*Szenarien!$D$18,0)</f>
        <v>0.712</v>
      </c>
      <c r="E2796" s="13" t="n">
        <f aca="false">IFERROR(MIN(C2796,Eingaben!$B$17)*Eingaben!$B$16,0)</f>
        <v>1.938</v>
      </c>
      <c r="F2796" s="13" t="n">
        <f aca="false">IFERROR(E2796*Eingaben!$B$15,0)</f>
        <v>1.7442</v>
      </c>
      <c r="G2796" s="13" t="n">
        <f aca="false">IFERROR(IF(Kalender!A234="",0,J2795*(1-Eingaben!$B$20)),0)</f>
        <v>1.709316</v>
      </c>
      <c r="H2796" s="13" t="n">
        <f aca="false">MIN(G2796,D2796)</f>
        <v>0.712</v>
      </c>
      <c r="I2796" s="13" t="n">
        <f aca="false">IFERROR(MIN(F2796*Eingaben!$B$19,MAX(0,D2796-H2796)),0)</f>
        <v>0</v>
      </c>
      <c r="J2796" s="13" t="n">
        <f aca="false">IFERROR(MIN(Eingaben!$B$18,MAX(0,F2796-I2796)),0)</f>
        <v>1.7442</v>
      </c>
      <c r="K2796" s="13" t="n">
        <f aca="false">H2796+I2796</f>
        <v>0.712</v>
      </c>
      <c r="L2796" s="13" t="n">
        <f aca="false">MAX(0,D2796-K2796)</f>
        <v>0</v>
      </c>
      <c r="M2796" s="13" t="n">
        <f aca="false">MAX(0,F2796-I2796-J2796)</f>
        <v>0</v>
      </c>
      <c r="N2796" s="13" t="n">
        <f aca="false">IF(Kalender!A234="",0,J2795-H2796)</f>
        <v>1.0322</v>
      </c>
    </row>
    <row r="2797" customFormat="false" ht="16.4" hidden="false" customHeight="false" outlineLevel="0" collapsed="false">
      <c r="A2797" s="13" t="str">
        <f aca="false">""</f>
        <v/>
      </c>
      <c r="B2797" s="13" t="n">
        <f aca="false">231</f>
        <v>231</v>
      </c>
      <c r="C2797" s="13" t="n">
        <f aca="false">IF(Szenarien!$H$18="OK",(IFERROR(SUMIF(Nutzungsprofile!$B$6:$B$11,"Schulbetrieb",Nutzungsprofile!$G$6:$G$11)*Kalender!C235/SUM(Kalender!$C$5:$C$370),0)+IFERROR(SUMIF(Nutzungsprofile!$B$6:$B$11,"Halle",Nutzungsprofile!$G$6:$G$11)*Kalender!D235/SUM(Kalender!$D$5:$D$370),0)+IFERROR(SUMIF(Nutzungsprofile!$B$6:$B$11,"Individuell",Nutzungsprofile!$G$6:$G$11)*Kalender!E235/SUM(Kalender!$E$5:$E$370),0))*Szenarien!$E$18,0)</f>
        <v>2.04</v>
      </c>
      <c r="D2797" s="13" t="n">
        <f aca="false">IF(Szenarien!$H$18="OK",(IFERROR(SUMIF(Nutzungsprofile!$B$17:$B$22,"Schulbetrieb",Nutzungsprofile!$G$17:$G$22)*Kalender!C235/SUM(Kalender!$C$5:$C$370),0)+IFERROR(SUMIF(Nutzungsprofile!$B$17:$B$22,"Halle",Nutzungsprofile!$G$17:$G$22)*Kalender!D235/SUM(Kalender!$D$5:$D$370),0)+IFERROR(SUMIF(Nutzungsprofile!$B$17:$B$22,"Individuell",Nutzungsprofile!$G$17:$G$22)*Kalender!E235/SUM(Kalender!$E$5:$E$370),0))*Szenarien!$D$18,0)</f>
        <v>0.712</v>
      </c>
      <c r="E2797" s="13" t="n">
        <f aca="false">IFERROR(MIN(C2797,Eingaben!$B$17)*Eingaben!$B$16,0)</f>
        <v>1.938</v>
      </c>
      <c r="F2797" s="13" t="n">
        <f aca="false">IFERROR(E2797*Eingaben!$B$15,0)</f>
        <v>1.7442</v>
      </c>
      <c r="G2797" s="13" t="n">
        <f aca="false">IFERROR(IF(Kalender!A235="",0,J2796*(1-Eingaben!$B$20)),0)</f>
        <v>1.709316</v>
      </c>
      <c r="H2797" s="13" t="n">
        <f aca="false">MIN(G2797,D2797)</f>
        <v>0.712</v>
      </c>
      <c r="I2797" s="13" t="n">
        <f aca="false">IFERROR(MIN(F2797*Eingaben!$B$19,MAX(0,D2797-H2797)),0)</f>
        <v>0</v>
      </c>
      <c r="J2797" s="13" t="n">
        <f aca="false">IFERROR(MIN(Eingaben!$B$18,MAX(0,F2797-I2797)),0)</f>
        <v>1.7442</v>
      </c>
      <c r="K2797" s="13" t="n">
        <f aca="false">H2797+I2797</f>
        <v>0.712</v>
      </c>
      <c r="L2797" s="13" t="n">
        <f aca="false">MAX(0,D2797-K2797)</f>
        <v>0</v>
      </c>
      <c r="M2797" s="13" t="n">
        <f aca="false">MAX(0,F2797-I2797-J2797)</f>
        <v>0</v>
      </c>
      <c r="N2797" s="13" t="n">
        <f aca="false">IF(Kalender!A235="",0,J2796-H2797)</f>
        <v>1.0322</v>
      </c>
    </row>
    <row r="2798" customFormat="false" ht="16.4" hidden="false" customHeight="false" outlineLevel="0" collapsed="false">
      <c r="A2798" s="13" t="str">
        <f aca="false">""</f>
        <v/>
      </c>
      <c r="B2798" s="13" t="n">
        <f aca="false">232</f>
        <v>232</v>
      </c>
      <c r="C2798" s="13" t="n">
        <f aca="false">IF(Szenarien!$H$18="OK",(IFERROR(SUMIF(Nutzungsprofile!$B$6:$B$11,"Schulbetrieb",Nutzungsprofile!$G$6:$G$11)*Kalender!C236/SUM(Kalender!$C$5:$C$370),0)+IFERROR(SUMIF(Nutzungsprofile!$B$6:$B$11,"Halle",Nutzungsprofile!$G$6:$G$11)*Kalender!D236/SUM(Kalender!$D$5:$D$370),0)+IFERROR(SUMIF(Nutzungsprofile!$B$6:$B$11,"Individuell",Nutzungsprofile!$G$6:$G$11)*Kalender!E236/SUM(Kalender!$E$5:$E$370),0))*Szenarien!$E$18,0)</f>
        <v>2.04</v>
      </c>
      <c r="D2798" s="13" t="n">
        <f aca="false">IF(Szenarien!$H$18="OK",(IFERROR(SUMIF(Nutzungsprofile!$B$17:$B$22,"Schulbetrieb",Nutzungsprofile!$G$17:$G$22)*Kalender!C236/SUM(Kalender!$C$5:$C$370),0)+IFERROR(SUMIF(Nutzungsprofile!$B$17:$B$22,"Halle",Nutzungsprofile!$G$17:$G$22)*Kalender!D236/SUM(Kalender!$D$5:$D$370),0)+IFERROR(SUMIF(Nutzungsprofile!$B$17:$B$22,"Individuell",Nutzungsprofile!$G$17:$G$22)*Kalender!E236/SUM(Kalender!$E$5:$E$370),0))*Szenarien!$D$18,0)</f>
        <v>0.712</v>
      </c>
      <c r="E2798" s="13" t="n">
        <f aca="false">IFERROR(MIN(C2798,Eingaben!$B$17)*Eingaben!$B$16,0)</f>
        <v>1.938</v>
      </c>
      <c r="F2798" s="13" t="n">
        <f aca="false">IFERROR(E2798*Eingaben!$B$15,0)</f>
        <v>1.7442</v>
      </c>
      <c r="G2798" s="13" t="n">
        <f aca="false">IFERROR(IF(Kalender!A236="",0,J2797*(1-Eingaben!$B$20)),0)</f>
        <v>1.709316</v>
      </c>
      <c r="H2798" s="13" t="n">
        <f aca="false">MIN(G2798,D2798)</f>
        <v>0.712</v>
      </c>
      <c r="I2798" s="13" t="n">
        <f aca="false">IFERROR(MIN(F2798*Eingaben!$B$19,MAX(0,D2798-H2798)),0)</f>
        <v>0</v>
      </c>
      <c r="J2798" s="13" t="n">
        <f aca="false">IFERROR(MIN(Eingaben!$B$18,MAX(0,F2798-I2798)),0)</f>
        <v>1.7442</v>
      </c>
      <c r="K2798" s="13" t="n">
        <f aca="false">H2798+I2798</f>
        <v>0.712</v>
      </c>
      <c r="L2798" s="13" t="n">
        <f aca="false">MAX(0,D2798-K2798)</f>
        <v>0</v>
      </c>
      <c r="M2798" s="13" t="n">
        <f aca="false">MAX(0,F2798-I2798-J2798)</f>
        <v>0</v>
      </c>
      <c r="N2798" s="13" t="n">
        <f aca="false">IF(Kalender!A236="",0,J2797-H2798)</f>
        <v>1.0322</v>
      </c>
    </row>
    <row r="2799" customFormat="false" ht="16.4" hidden="false" customHeight="false" outlineLevel="0" collapsed="false">
      <c r="A2799" s="13" t="str">
        <f aca="false">""</f>
        <v/>
      </c>
      <c r="B2799" s="13" t="n">
        <f aca="false">233</f>
        <v>233</v>
      </c>
      <c r="C2799" s="13" t="n">
        <f aca="false">IF(Szenarien!$H$18="OK",(IFERROR(SUMIF(Nutzungsprofile!$B$6:$B$11,"Schulbetrieb",Nutzungsprofile!$G$6:$G$11)*Kalender!C237/SUM(Kalender!$C$5:$C$370),0)+IFERROR(SUMIF(Nutzungsprofile!$B$6:$B$11,"Halle",Nutzungsprofile!$G$6:$G$11)*Kalender!D237/SUM(Kalender!$D$5:$D$370),0)+IFERROR(SUMIF(Nutzungsprofile!$B$6:$B$11,"Individuell",Nutzungsprofile!$G$6:$G$11)*Kalender!E237/SUM(Kalender!$E$5:$E$370),0))*Szenarien!$E$18,0)</f>
        <v>2.04</v>
      </c>
      <c r="D2799" s="13" t="n">
        <f aca="false">IF(Szenarien!$H$18="OK",(IFERROR(SUMIF(Nutzungsprofile!$B$17:$B$22,"Schulbetrieb",Nutzungsprofile!$G$17:$G$22)*Kalender!C237/SUM(Kalender!$C$5:$C$370),0)+IFERROR(SUMIF(Nutzungsprofile!$B$17:$B$22,"Halle",Nutzungsprofile!$G$17:$G$22)*Kalender!D237/SUM(Kalender!$D$5:$D$370),0)+IFERROR(SUMIF(Nutzungsprofile!$B$17:$B$22,"Individuell",Nutzungsprofile!$G$17:$G$22)*Kalender!E237/SUM(Kalender!$E$5:$E$370),0))*Szenarien!$D$18,0)</f>
        <v>0.712</v>
      </c>
      <c r="E2799" s="13" t="n">
        <f aca="false">IFERROR(MIN(C2799,Eingaben!$B$17)*Eingaben!$B$16,0)</f>
        <v>1.938</v>
      </c>
      <c r="F2799" s="13" t="n">
        <f aca="false">IFERROR(E2799*Eingaben!$B$15,0)</f>
        <v>1.7442</v>
      </c>
      <c r="G2799" s="13" t="n">
        <f aca="false">IFERROR(IF(Kalender!A237="",0,J2798*(1-Eingaben!$B$20)),0)</f>
        <v>1.709316</v>
      </c>
      <c r="H2799" s="13" t="n">
        <f aca="false">MIN(G2799,D2799)</f>
        <v>0.712</v>
      </c>
      <c r="I2799" s="13" t="n">
        <f aca="false">IFERROR(MIN(F2799*Eingaben!$B$19,MAX(0,D2799-H2799)),0)</f>
        <v>0</v>
      </c>
      <c r="J2799" s="13" t="n">
        <f aca="false">IFERROR(MIN(Eingaben!$B$18,MAX(0,F2799-I2799)),0)</f>
        <v>1.7442</v>
      </c>
      <c r="K2799" s="13" t="n">
        <f aca="false">H2799+I2799</f>
        <v>0.712</v>
      </c>
      <c r="L2799" s="13" t="n">
        <f aca="false">MAX(0,D2799-K2799)</f>
        <v>0</v>
      </c>
      <c r="M2799" s="13" t="n">
        <f aca="false">MAX(0,F2799-I2799-J2799)</f>
        <v>0</v>
      </c>
      <c r="N2799" s="13" t="n">
        <f aca="false">IF(Kalender!A237="",0,J2798-H2799)</f>
        <v>1.0322</v>
      </c>
    </row>
    <row r="2800" customFormat="false" ht="16.4" hidden="false" customHeight="false" outlineLevel="0" collapsed="false">
      <c r="A2800" s="13" t="str">
        <f aca="false">""</f>
        <v/>
      </c>
      <c r="B2800" s="13" t="n">
        <f aca="false">234</f>
        <v>234</v>
      </c>
      <c r="C2800" s="13" t="n">
        <f aca="false">IF(Szenarien!$H$18="OK",(IFERROR(SUMIF(Nutzungsprofile!$B$6:$B$11,"Schulbetrieb",Nutzungsprofile!$G$6:$G$11)*Kalender!C238/SUM(Kalender!$C$5:$C$370),0)+IFERROR(SUMIF(Nutzungsprofile!$B$6:$B$11,"Halle",Nutzungsprofile!$G$6:$G$11)*Kalender!D238/SUM(Kalender!$D$5:$D$370),0)+IFERROR(SUMIF(Nutzungsprofile!$B$6:$B$11,"Individuell",Nutzungsprofile!$G$6:$G$11)*Kalender!E238/SUM(Kalender!$E$5:$E$370),0))*Szenarien!$E$18,0)</f>
        <v>2.04</v>
      </c>
      <c r="D2800" s="13" t="n">
        <f aca="false">IF(Szenarien!$H$18="OK",(IFERROR(SUMIF(Nutzungsprofile!$B$17:$B$22,"Schulbetrieb",Nutzungsprofile!$G$17:$G$22)*Kalender!C238/SUM(Kalender!$C$5:$C$370),0)+IFERROR(SUMIF(Nutzungsprofile!$B$17:$B$22,"Halle",Nutzungsprofile!$G$17:$G$22)*Kalender!D238/SUM(Kalender!$D$5:$D$370),0)+IFERROR(SUMIF(Nutzungsprofile!$B$17:$B$22,"Individuell",Nutzungsprofile!$G$17:$G$22)*Kalender!E238/SUM(Kalender!$E$5:$E$370),0))*Szenarien!$D$18,0)</f>
        <v>0.712</v>
      </c>
      <c r="E2800" s="13" t="n">
        <f aca="false">IFERROR(MIN(C2800,Eingaben!$B$17)*Eingaben!$B$16,0)</f>
        <v>1.938</v>
      </c>
      <c r="F2800" s="13" t="n">
        <f aca="false">IFERROR(E2800*Eingaben!$B$15,0)</f>
        <v>1.7442</v>
      </c>
      <c r="G2800" s="13" t="n">
        <f aca="false">IFERROR(IF(Kalender!A238="",0,J2799*(1-Eingaben!$B$20)),0)</f>
        <v>1.709316</v>
      </c>
      <c r="H2800" s="13" t="n">
        <f aca="false">MIN(G2800,D2800)</f>
        <v>0.712</v>
      </c>
      <c r="I2800" s="13" t="n">
        <f aca="false">IFERROR(MIN(F2800*Eingaben!$B$19,MAX(0,D2800-H2800)),0)</f>
        <v>0</v>
      </c>
      <c r="J2800" s="13" t="n">
        <f aca="false">IFERROR(MIN(Eingaben!$B$18,MAX(0,F2800-I2800)),0)</f>
        <v>1.7442</v>
      </c>
      <c r="K2800" s="13" t="n">
        <f aca="false">H2800+I2800</f>
        <v>0.712</v>
      </c>
      <c r="L2800" s="13" t="n">
        <f aca="false">MAX(0,D2800-K2800)</f>
        <v>0</v>
      </c>
      <c r="M2800" s="13" t="n">
        <f aca="false">MAX(0,F2800-I2800-J2800)</f>
        <v>0</v>
      </c>
      <c r="N2800" s="13" t="n">
        <f aca="false">IF(Kalender!A238="",0,J2799-H2800)</f>
        <v>1.0322</v>
      </c>
    </row>
    <row r="2801" customFormat="false" ht="16.4" hidden="false" customHeight="false" outlineLevel="0" collapsed="false">
      <c r="A2801" s="13" t="str">
        <f aca="false">""</f>
        <v/>
      </c>
      <c r="B2801" s="13" t="n">
        <f aca="false">235</f>
        <v>235</v>
      </c>
      <c r="C2801" s="13" t="n">
        <f aca="false">IF(Szenarien!$H$18="OK",(IFERROR(SUMIF(Nutzungsprofile!$B$6:$B$11,"Schulbetrieb",Nutzungsprofile!$G$6:$G$11)*Kalender!C239/SUM(Kalender!$C$5:$C$370),0)+IFERROR(SUMIF(Nutzungsprofile!$B$6:$B$11,"Halle",Nutzungsprofile!$G$6:$G$11)*Kalender!D239/SUM(Kalender!$D$5:$D$370),0)+IFERROR(SUMIF(Nutzungsprofile!$B$6:$B$11,"Individuell",Nutzungsprofile!$G$6:$G$11)*Kalender!E239/SUM(Kalender!$E$5:$E$370),0))*Szenarien!$E$18,0)</f>
        <v>2.04</v>
      </c>
      <c r="D2801" s="13" t="n">
        <f aca="false">IF(Szenarien!$H$18="OK",(IFERROR(SUMIF(Nutzungsprofile!$B$17:$B$22,"Schulbetrieb",Nutzungsprofile!$G$17:$G$22)*Kalender!C239/SUM(Kalender!$C$5:$C$370),0)+IFERROR(SUMIF(Nutzungsprofile!$B$17:$B$22,"Halle",Nutzungsprofile!$G$17:$G$22)*Kalender!D239/SUM(Kalender!$D$5:$D$370),0)+IFERROR(SUMIF(Nutzungsprofile!$B$17:$B$22,"Individuell",Nutzungsprofile!$G$17:$G$22)*Kalender!E239/SUM(Kalender!$E$5:$E$370),0))*Szenarien!$D$18,0)</f>
        <v>0.712</v>
      </c>
      <c r="E2801" s="13" t="n">
        <f aca="false">IFERROR(MIN(C2801,Eingaben!$B$17)*Eingaben!$B$16,0)</f>
        <v>1.938</v>
      </c>
      <c r="F2801" s="13" t="n">
        <f aca="false">IFERROR(E2801*Eingaben!$B$15,0)</f>
        <v>1.7442</v>
      </c>
      <c r="G2801" s="13" t="n">
        <f aca="false">IFERROR(IF(Kalender!A239="",0,J2800*(1-Eingaben!$B$20)),0)</f>
        <v>1.709316</v>
      </c>
      <c r="H2801" s="13" t="n">
        <f aca="false">MIN(G2801,D2801)</f>
        <v>0.712</v>
      </c>
      <c r="I2801" s="13" t="n">
        <f aca="false">IFERROR(MIN(F2801*Eingaben!$B$19,MAX(0,D2801-H2801)),0)</f>
        <v>0</v>
      </c>
      <c r="J2801" s="13" t="n">
        <f aca="false">IFERROR(MIN(Eingaben!$B$18,MAX(0,F2801-I2801)),0)</f>
        <v>1.7442</v>
      </c>
      <c r="K2801" s="13" t="n">
        <f aca="false">H2801+I2801</f>
        <v>0.712</v>
      </c>
      <c r="L2801" s="13" t="n">
        <f aca="false">MAX(0,D2801-K2801)</f>
        <v>0</v>
      </c>
      <c r="M2801" s="13" t="n">
        <f aca="false">MAX(0,F2801-I2801-J2801)</f>
        <v>0</v>
      </c>
      <c r="N2801" s="13" t="n">
        <f aca="false">IF(Kalender!A239="",0,J2800-H2801)</f>
        <v>1.0322</v>
      </c>
    </row>
    <row r="2802" customFormat="false" ht="16.4" hidden="false" customHeight="false" outlineLevel="0" collapsed="false">
      <c r="A2802" s="13" t="str">
        <f aca="false">""</f>
        <v/>
      </c>
      <c r="B2802" s="13" t="n">
        <f aca="false">236</f>
        <v>236</v>
      </c>
      <c r="C2802" s="13" t="n">
        <f aca="false">IF(Szenarien!$H$18="OK",(IFERROR(SUMIF(Nutzungsprofile!$B$6:$B$11,"Schulbetrieb",Nutzungsprofile!$G$6:$G$11)*Kalender!C240/SUM(Kalender!$C$5:$C$370),0)+IFERROR(SUMIF(Nutzungsprofile!$B$6:$B$11,"Halle",Nutzungsprofile!$G$6:$G$11)*Kalender!D240/SUM(Kalender!$D$5:$D$370),0)+IFERROR(SUMIF(Nutzungsprofile!$B$6:$B$11,"Individuell",Nutzungsprofile!$G$6:$G$11)*Kalender!E240/SUM(Kalender!$E$5:$E$370),0))*Szenarien!$E$18,0)</f>
        <v>2.04</v>
      </c>
      <c r="D2802" s="13" t="n">
        <f aca="false">IF(Szenarien!$H$18="OK",(IFERROR(SUMIF(Nutzungsprofile!$B$17:$B$22,"Schulbetrieb",Nutzungsprofile!$G$17:$G$22)*Kalender!C240/SUM(Kalender!$C$5:$C$370),0)+IFERROR(SUMIF(Nutzungsprofile!$B$17:$B$22,"Halle",Nutzungsprofile!$G$17:$G$22)*Kalender!D240/SUM(Kalender!$D$5:$D$370),0)+IFERROR(SUMIF(Nutzungsprofile!$B$17:$B$22,"Individuell",Nutzungsprofile!$G$17:$G$22)*Kalender!E240/SUM(Kalender!$E$5:$E$370),0))*Szenarien!$D$18,0)</f>
        <v>0.712</v>
      </c>
      <c r="E2802" s="13" t="n">
        <f aca="false">IFERROR(MIN(C2802,Eingaben!$B$17)*Eingaben!$B$16,0)</f>
        <v>1.938</v>
      </c>
      <c r="F2802" s="13" t="n">
        <f aca="false">IFERROR(E2802*Eingaben!$B$15,0)</f>
        <v>1.7442</v>
      </c>
      <c r="G2802" s="13" t="n">
        <f aca="false">IFERROR(IF(Kalender!A240="",0,J2801*(1-Eingaben!$B$20)),0)</f>
        <v>1.709316</v>
      </c>
      <c r="H2802" s="13" t="n">
        <f aca="false">MIN(G2802,D2802)</f>
        <v>0.712</v>
      </c>
      <c r="I2802" s="13" t="n">
        <f aca="false">IFERROR(MIN(F2802*Eingaben!$B$19,MAX(0,D2802-H2802)),0)</f>
        <v>0</v>
      </c>
      <c r="J2802" s="13" t="n">
        <f aca="false">IFERROR(MIN(Eingaben!$B$18,MAX(0,F2802-I2802)),0)</f>
        <v>1.7442</v>
      </c>
      <c r="K2802" s="13" t="n">
        <f aca="false">H2802+I2802</f>
        <v>0.712</v>
      </c>
      <c r="L2802" s="13" t="n">
        <f aca="false">MAX(0,D2802-K2802)</f>
        <v>0</v>
      </c>
      <c r="M2802" s="13" t="n">
        <f aca="false">MAX(0,F2802-I2802-J2802)</f>
        <v>0</v>
      </c>
      <c r="N2802" s="13" t="n">
        <f aca="false">IF(Kalender!A240="",0,J2801-H2802)</f>
        <v>1.0322</v>
      </c>
    </row>
    <row r="2803" customFormat="false" ht="16.4" hidden="false" customHeight="false" outlineLevel="0" collapsed="false">
      <c r="A2803" s="13" t="str">
        <f aca="false">""</f>
        <v/>
      </c>
      <c r="B2803" s="13" t="n">
        <f aca="false">237</f>
        <v>237</v>
      </c>
      <c r="C2803" s="13" t="n">
        <f aca="false">IF(Szenarien!$H$18="OK",(IFERROR(SUMIF(Nutzungsprofile!$B$6:$B$11,"Schulbetrieb",Nutzungsprofile!$G$6:$G$11)*Kalender!C241/SUM(Kalender!$C$5:$C$370),0)+IFERROR(SUMIF(Nutzungsprofile!$B$6:$B$11,"Halle",Nutzungsprofile!$G$6:$G$11)*Kalender!D241/SUM(Kalender!$D$5:$D$370),0)+IFERROR(SUMIF(Nutzungsprofile!$B$6:$B$11,"Individuell",Nutzungsprofile!$G$6:$G$11)*Kalender!E241/SUM(Kalender!$E$5:$E$370),0))*Szenarien!$E$18,0)</f>
        <v>2.04</v>
      </c>
      <c r="D2803" s="13" t="n">
        <f aca="false">IF(Szenarien!$H$18="OK",(IFERROR(SUMIF(Nutzungsprofile!$B$17:$B$22,"Schulbetrieb",Nutzungsprofile!$G$17:$G$22)*Kalender!C241/SUM(Kalender!$C$5:$C$370),0)+IFERROR(SUMIF(Nutzungsprofile!$B$17:$B$22,"Halle",Nutzungsprofile!$G$17:$G$22)*Kalender!D241/SUM(Kalender!$D$5:$D$370),0)+IFERROR(SUMIF(Nutzungsprofile!$B$17:$B$22,"Individuell",Nutzungsprofile!$G$17:$G$22)*Kalender!E241/SUM(Kalender!$E$5:$E$370),0))*Szenarien!$D$18,0)</f>
        <v>0.712</v>
      </c>
      <c r="E2803" s="13" t="n">
        <f aca="false">IFERROR(MIN(C2803,Eingaben!$B$17)*Eingaben!$B$16,0)</f>
        <v>1.938</v>
      </c>
      <c r="F2803" s="13" t="n">
        <f aca="false">IFERROR(E2803*Eingaben!$B$15,0)</f>
        <v>1.7442</v>
      </c>
      <c r="G2803" s="13" t="n">
        <f aca="false">IFERROR(IF(Kalender!A241="",0,J2802*(1-Eingaben!$B$20)),0)</f>
        <v>1.709316</v>
      </c>
      <c r="H2803" s="13" t="n">
        <f aca="false">MIN(G2803,D2803)</f>
        <v>0.712</v>
      </c>
      <c r="I2803" s="13" t="n">
        <f aca="false">IFERROR(MIN(F2803*Eingaben!$B$19,MAX(0,D2803-H2803)),0)</f>
        <v>0</v>
      </c>
      <c r="J2803" s="13" t="n">
        <f aca="false">IFERROR(MIN(Eingaben!$B$18,MAX(0,F2803-I2803)),0)</f>
        <v>1.7442</v>
      </c>
      <c r="K2803" s="13" t="n">
        <f aca="false">H2803+I2803</f>
        <v>0.712</v>
      </c>
      <c r="L2803" s="13" t="n">
        <f aca="false">MAX(0,D2803-K2803)</f>
        <v>0</v>
      </c>
      <c r="M2803" s="13" t="n">
        <f aca="false">MAX(0,F2803-I2803-J2803)</f>
        <v>0</v>
      </c>
      <c r="N2803" s="13" t="n">
        <f aca="false">IF(Kalender!A241="",0,J2802-H2803)</f>
        <v>1.0322</v>
      </c>
    </row>
    <row r="2804" customFormat="false" ht="16.4" hidden="false" customHeight="false" outlineLevel="0" collapsed="false">
      <c r="A2804" s="13" t="str">
        <f aca="false">""</f>
        <v/>
      </c>
      <c r="B2804" s="13" t="n">
        <f aca="false">238</f>
        <v>238</v>
      </c>
      <c r="C2804" s="13" t="n">
        <f aca="false">IF(Szenarien!$H$18="OK",(IFERROR(SUMIF(Nutzungsprofile!$B$6:$B$11,"Schulbetrieb",Nutzungsprofile!$G$6:$G$11)*Kalender!C242/SUM(Kalender!$C$5:$C$370),0)+IFERROR(SUMIF(Nutzungsprofile!$B$6:$B$11,"Halle",Nutzungsprofile!$G$6:$G$11)*Kalender!D242/SUM(Kalender!$D$5:$D$370),0)+IFERROR(SUMIF(Nutzungsprofile!$B$6:$B$11,"Individuell",Nutzungsprofile!$G$6:$G$11)*Kalender!E242/SUM(Kalender!$E$5:$E$370),0))*Szenarien!$E$18,0)</f>
        <v>2.04</v>
      </c>
      <c r="D2804" s="13" t="n">
        <f aca="false">IF(Szenarien!$H$18="OK",(IFERROR(SUMIF(Nutzungsprofile!$B$17:$B$22,"Schulbetrieb",Nutzungsprofile!$G$17:$G$22)*Kalender!C242/SUM(Kalender!$C$5:$C$370),0)+IFERROR(SUMIF(Nutzungsprofile!$B$17:$B$22,"Halle",Nutzungsprofile!$G$17:$G$22)*Kalender!D242/SUM(Kalender!$D$5:$D$370),0)+IFERROR(SUMIF(Nutzungsprofile!$B$17:$B$22,"Individuell",Nutzungsprofile!$G$17:$G$22)*Kalender!E242/SUM(Kalender!$E$5:$E$370),0))*Szenarien!$D$18,0)</f>
        <v>0.712</v>
      </c>
      <c r="E2804" s="13" t="n">
        <f aca="false">IFERROR(MIN(C2804,Eingaben!$B$17)*Eingaben!$B$16,0)</f>
        <v>1.938</v>
      </c>
      <c r="F2804" s="13" t="n">
        <f aca="false">IFERROR(E2804*Eingaben!$B$15,0)</f>
        <v>1.7442</v>
      </c>
      <c r="G2804" s="13" t="n">
        <f aca="false">IFERROR(IF(Kalender!A242="",0,J2803*(1-Eingaben!$B$20)),0)</f>
        <v>1.709316</v>
      </c>
      <c r="H2804" s="13" t="n">
        <f aca="false">MIN(G2804,D2804)</f>
        <v>0.712</v>
      </c>
      <c r="I2804" s="13" t="n">
        <f aca="false">IFERROR(MIN(F2804*Eingaben!$B$19,MAX(0,D2804-H2804)),0)</f>
        <v>0</v>
      </c>
      <c r="J2804" s="13" t="n">
        <f aca="false">IFERROR(MIN(Eingaben!$B$18,MAX(0,F2804-I2804)),0)</f>
        <v>1.7442</v>
      </c>
      <c r="K2804" s="13" t="n">
        <f aca="false">H2804+I2804</f>
        <v>0.712</v>
      </c>
      <c r="L2804" s="13" t="n">
        <f aca="false">MAX(0,D2804-K2804)</f>
        <v>0</v>
      </c>
      <c r="M2804" s="13" t="n">
        <f aca="false">MAX(0,F2804-I2804-J2804)</f>
        <v>0</v>
      </c>
      <c r="N2804" s="13" t="n">
        <f aca="false">IF(Kalender!A242="",0,J2803-H2804)</f>
        <v>1.0322</v>
      </c>
    </row>
    <row r="2805" customFormat="false" ht="16.4" hidden="false" customHeight="false" outlineLevel="0" collapsed="false">
      <c r="A2805" s="13" t="str">
        <f aca="false">""</f>
        <v/>
      </c>
      <c r="B2805" s="13" t="n">
        <f aca="false">239</f>
        <v>239</v>
      </c>
      <c r="C2805" s="13" t="n">
        <f aca="false">IF(Szenarien!$H$18="OK",(IFERROR(SUMIF(Nutzungsprofile!$B$6:$B$11,"Schulbetrieb",Nutzungsprofile!$G$6:$G$11)*Kalender!C243/SUM(Kalender!$C$5:$C$370),0)+IFERROR(SUMIF(Nutzungsprofile!$B$6:$B$11,"Halle",Nutzungsprofile!$G$6:$G$11)*Kalender!D243/SUM(Kalender!$D$5:$D$370),0)+IFERROR(SUMIF(Nutzungsprofile!$B$6:$B$11,"Individuell",Nutzungsprofile!$G$6:$G$11)*Kalender!E243/SUM(Kalender!$E$5:$E$370),0))*Szenarien!$E$18,0)</f>
        <v>2.04</v>
      </c>
      <c r="D2805" s="13" t="n">
        <f aca="false">IF(Szenarien!$H$18="OK",(IFERROR(SUMIF(Nutzungsprofile!$B$17:$B$22,"Schulbetrieb",Nutzungsprofile!$G$17:$G$22)*Kalender!C243/SUM(Kalender!$C$5:$C$370),0)+IFERROR(SUMIF(Nutzungsprofile!$B$17:$B$22,"Halle",Nutzungsprofile!$G$17:$G$22)*Kalender!D243/SUM(Kalender!$D$5:$D$370),0)+IFERROR(SUMIF(Nutzungsprofile!$B$17:$B$22,"Individuell",Nutzungsprofile!$G$17:$G$22)*Kalender!E243/SUM(Kalender!$E$5:$E$370),0))*Szenarien!$D$18,0)</f>
        <v>0.712</v>
      </c>
      <c r="E2805" s="13" t="n">
        <f aca="false">IFERROR(MIN(C2805,Eingaben!$B$17)*Eingaben!$B$16,0)</f>
        <v>1.938</v>
      </c>
      <c r="F2805" s="13" t="n">
        <f aca="false">IFERROR(E2805*Eingaben!$B$15,0)</f>
        <v>1.7442</v>
      </c>
      <c r="G2805" s="13" t="n">
        <f aca="false">IFERROR(IF(Kalender!A243="",0,J2804*(1-Eingaben!$B$20)),0)</f>
        <v>1.709316</v>
      </c>
      <c r="H2805" s="13" t="n">
        <f aca="false">MIN(G2805,D2805)</f>
        <v>0.712</v>
      </c>
      <c r="I2805" s="13" t="n">
        <f aca="false">IFERROR(MIN(F2805*Eingaben!$B$19,MAX(0,D2805-H2805)),0)</f>
        <v>0</v>
      </c>
      <c r="J2805" s="13" t="n">
        <f aca="false">IFERROR(MIN(Eingaben!$B$18,MAX(0,F2805-I2805)),0)</f>
        <v>1.7442</v>
      </c>
      <c r="K2805" s="13" t="n">
        <f aca="false">H2805+I2805</f>
        <v>0.712</v>
      </c>
      <c r="L2805" s="13" t="n">
        <f aca="false">MAX(0,D2805-K2805)</f>
        <v>0</v>
      </c>
      <c r="M2805" s="13" t="n">
        <f aca="false">MAX(0,F2805-I2805-J2805)</f>
        <v>0</v>
      </c>
      <c r="N2805" s="13" t="n">
        <f aca="false">IF(Kalender!A243="",0,J2804-H2805)</f>
        <v>1.0322</v>
      </c>
    </row>
    <row r="2806" customFormat="false" ht="16.4" hidden="false" customHeight="false" outlineLevel="0" collapsed="false">
      <c r="A2806" s="13" t="str">
        <f aca="false">""</f>
        <v/>
      </c>
      <c r="B2806" s="13" t="n">
        <f aca="false">240</f>
        <v>240</v>
      </c>
      <c r="C2806" s="13" t="n">
        <f aca="false">IF(Szenarien!$H$18="OK",(IFERROR(SUMIF(Nutzungsprofile!$B$6:$B$11,"Schulbetrieb",Nutzungsprofile!$G$6:$G$11)*Kalender!C244/SUM(Kalender!$C$5:$C$370),0)+IFERROR(SUMIF(Nutzungsprofile!$B$6:$B$11,"Halle",Nutzungsprofile!$G$6:$G$11)*Kalender!D244/SUM(Kalender!$D$5:$D$370),0)+IFERROR(SUMIF(Nutzungsprofile!$B$6:$B$11,"Individuell",Nutzungsprofile!$G$6:$G$11)*Kalender!E244/SUM(Kalender!$E$5:$E$370),0))*Szenarien!$E$18,0)</f>
        <v>2.04</v>
      </c>
      <c r="D2806" s="13" t="n">
        <f aca="false">IF(Szenarien!$H$18="OK",(IFERROR(SUMIF(Nutzungsprofile!$B$17:$B$22,"Schulbetrieb",Nutzungsprofile!$G$17:$G$22)*Kalender!C244/SUM(Kalender!$C$5:$C$370),0)+IFERROR(SUMIF(Nutzungsprofile!$B$17:$B$22,"Halle",Nutzungsprofile!$G$17:$G$22)*Kalender!D244/SUM(Kalender!$D$5:$D$370),0)+IFERROR(SUMIF(Nutzungsprofile!$B$17:$B$22,"Individuell",Nutzungsprofile!$G$17:$G$22)*Kalender!E244/SUM(Kalender!$E$5:$E$370),0))*Szenarien!$D$18,0)</f>
        <v>0.712</v>
      </c>
      <c r="E2806" s="13" t="n">
        <f aca="false">IFERROR(MIN(C2806,Eingaben!$B$17)*Eingaben!$B$16,0)</f>
        <v>1.938</v>
      </c>
      <c r="F2806" s="13" t="n">
        <f aca="false">IFERROR(E2806*Eingaben!$B$15,0)</f>
        <v>1.7442</v>
      </c>
      <c r="G2806" s="13" t="n">
        <f aca="false">IFERROR(IF(Kalender!A244="",0,J2805*(1-Eingaben!$B$20)),0)</f>
        <v>1.709316</v>
      </c>
      <c r="H2806" s="13" t="n">
        <f aca="false">MIN(G2806,D2806)</f>
        <v>0.712</v>
      </c>
      <c r="I2806" s="13" t="n">
        <f aca="false">IFERROR(MIN(F2806*Eingaben!$B$19,MAX(0,D2806-H2806)),0)</f>
        <v>0</v>
      </c>
      <c r="J2806" s="13" t="n">
        <f aca="false">IFERROR(MIN(Eingaben!$B$18,MAX(0,F2806-I2806)),0)</f>
        <v>1.7442</v>
      </c>
      <c r="K2806" s="13" t="n">
        <f aca="false">H2806+I2806</f>
        <v>0.712</v>
      </c>
      <c r="L2806" s="13" t="n">
        <f aca="false">MAX(0,D2806-K2806)</f>
        <v>0</v>
      </c>
      <c r="M2806" s="13" t="n">
        <f aca="false">MAX(0,F2806-I2806-J2806)</f>
        <v>0</v>
      </c>
      <c r="N2806" s="13" t="n">
        <f aca="false">IF(Kalender!A244="",0,J2805-H2806)</f>
        <v>1.0322</v>
      </c>
    </row>
    <row r="2807" customFormat="false" ht="16.4" hidden="false" customHeight="false" outlineLevel="0" collapsed="false">
      <c r="A2807" s="13" t="str">
        <f aca="false">""</f>
        <v/>
      </c>
      <c r="B2807" s="13" t="n">
        <f aca="false">241</f>
        <v>241</v>
      </c>
      <c r="C2807" s="13" t="n">
        <f aca="false">IF(Szenarien!$H$18="OK",(IFERROR(SUMIF(Nutzungsprofile!$B$6:$B$11,"Schulbetrieb",Nutzungsprofile!$G$6:$G$11)*Kalender!C245/SUM(Kalender!$C$5:$C$370),0)+IFERROR(SUMIF(Nutzungsprofile!$B$6:$B$11,"Halle",Nutzungsprofile!$G$6:$G$11)*Kalender!D245/SUM(Kalender!$D$5:$D$370),0)+IFERROR(SUMIF(Nutzungsprofile!$B$6:$B$11,"Individuell",Nutzungsprofile!$G$6:$G$11)*Kalender!E245/SUM(Kalender!$E$5:$E$370),0))*Szenarien!$E$18,0)</f>
        <v>2.04</v>
      </c>
      <c r="D2807" s="13" t="n">
        <f aca="false">IF(Szenarien!$H$18="OK",(IFERROR(SUMIF(Nutzungsprofile!$B$17:$B$22,"Schulbetrieb",Nutzungsprofile!$G$17:$G$22)*Kalender!C245/SUM(Kalender!$C$5:$C$370),0)+IFERROR(SUMIF(Nutzungsprofile!$B$17:$B$22,"Halle",Nutzungsprofile!$G$17:$G$22)*Kalender!D245/SUM(Kalender!$D$5:$D$370),0)+IFERROR(SUMIF(Nutzungsprofile!$B$17:$B$22,"Individuell",Nutzungsprofile!$G$17:$G$22)*Kalender!E245/SUM(Kalender!$E$5:$E$370),0))*Szenarien!$D$18,0)</f>
        <v>0.712</v>
      </c>
      <c r="E2807" s="13" t="n">
        <f aca="false">IFERROR(MIN(C2807,Eingaben!$B$17)*Eingaben!$B$16,0)</f>
        <v>1.938</v>
      </c>
      <c r="F2807" s="13" t="n">
        <f aca="false">IFERROR(E2807*Eingaben!$B$15,0)</f>
        <v>1.7442</v>
      </c>
      <c r="G2807" s="13" t="n">
        <f aca="false">IFERROR(IF(Kalender!A245="",0,J2806*(1-Eingaben!$B$20)),0)</f>
        <v>1.709316</v>
      </c>
      <c r="H2807" s="13" t="n">
        <f aca="false">MIN(G2807,D2807)</f>
        <v>0.712</v>
      </c>
      <c r="I2807" s="13" t="n">
        <f aca="false">IFERROR(MIN(F2807*Eingaben!$B$19,MAX(0,D2807-H2807)),0)</f>
        <v>0</v>
      </c>
      <c r="J2807" s="13" t="n">
        <f aca="false">IFERROR(MIN(Eingaben!$B$18,MAX(0,F2807-I2807)),0)</f>
        <v>1.7442</v>
      </c>
      <c r="K2807" s="13" t="n">
        <f aca="false">H2807+I2807</f>
        <v>0.712</v>
      </c>
      <c r="L2807" s="13" t="n">
        <f aca="false">MAX(0,D2807-K2807)</f>
        <v>0</v>
      </c>
      <c r="M2807" s="13" t="n">
        <f aca="false">MAX(0,F2807-I2807-J2807)</f>
        <v>0</v>
      </c>
      <c r="N2807" s="13" t="n">
        <f aca="false">IF(Kalender!A245="",0,J2806-H2807)</f>
        <v>1.0322</v>
      </c>
    </row>
    <row r="2808" customFormat="false" ht="16.4" hidden="false" customHeight="false" outlineLevel="0" collapsed="false">
      <c r="A2808" s="13" t="str">
        <f aca="false">""</f>
        <v/>
      </c>
      <c r="B2808" s="13" t="n">
        <f aca="false">242</f>
        <v>242</v>
      </c>
      <c r="C2808" s="13" t="n">
        <f aca="false">IF(Szenarien!$H$18="OK",(IFERROR(SUMIF(Nutzungsprofile!$B$6:$B$11,"Schulbetrieb",Nutzungsprofile!$G$6:$G$11)*Kalender!C246/SUM(Kalender!$C$5:$C$370),0)+IFERROR(SUMIF(Nutzungsprofile!$B$6:$B$11,"Halle",Nutzungsprofile!$G$6:$G$11)*Kalender!D246/SUM(Kalender!$D$5:$D$370),0)+IFERROR(SUMIF(Nutzungsprofile!$B$6:$B$11,"Individuell",Nutzungsprofile!$G$6:$G$11)*Kalender!E246/SUM(Kalender!$E$5:$E$370),0))*Szenarien!$E$18,0)</f>
        <v>2.04</v>
      </c>
      <c r="D2808" s="13" t="n">
        <f aca="false">IF(Szenarien!$H$18="OK",(IFERROR(SUMIF(Nutzungsprofile!$B$17:$B$22,"Schulbetrieb",Nutzungsprofile!$G$17:$G$22)*Kalender!C246/SUM(Kalender!$C$5:$C$370),0)+IFERROR(SUMIF(Nutzungsprofile!$B$17:$B$22,"Halle",Nutzungsprofile!$G$17:$G$22)*Kalender!D246/SUM(Kalender!$D$5:$D$370),0)+IFERROR(SUMIF(Nutzungsprofile!$B$17:$B$22,"Individuell",Nutzungsprofile!$G$17:$G$22)*Kalender!E246/SUM(Kalender!$E$5:$E$370),0))*Szenarien!$D$18,0)</f>
        <v>0.712</v>
      </c>
      <c r="E2808" s="13" t="n">
        <f aca="false">IFERROR(MIN(C2808,Eingaben!$B$17)*Eingaben!$B$16,0)</f>
        <v>1.938</v>
      </c>
      <c r="F2808" s="13" t="n">
        <f aca="false">IFERROR(E2808*Eingaben!$B$15,0)</f>
        <v>1.7442</v>
      </c>
      <c r="G2808" s="13" t="n">
        <f aca="false">IFERROR(IF(Kalender!A246="",0,J2807*(1-Eingaben!$B$20)),0)</f>
        <v>1.709316</v>
      </c>
      <c r="H2808" s="13" t="n">
        <f aca="false">MIN(G2808,D2808)</f>
        <v>0.712</v>
      </c>
      <c r="I2808" s="13" t="n">
        <f aca="false">IFERROR(MIN(F2808*Eingaben!$B$19,MAX(0,D2808-H2808)),0)</f>
        <v>0</v>
      </c>
      <c r="J2808" s="13" t="n">
        <f aca="false">IFERROR(MIN(Eingaben!$B$18,MAX(0,F2808-I2808)),0)</f>
        <v>1.7442</v>
      </c>
      <c r="K2808" s="13" t="n">
        <f aca="false">H2808+I2808</f>
        <v>0.712</v>
      </c>
      <c r="L2808" s="13" t="n">
        <f aca="false">MAX(0,D2808-K2808)</f>
        <v>0</v>
      </c>
      <c r="M2808" s="13" t="n">
        <f aca="false">MAX(0,F2808-I2808-J2808)</f>
        <v>0</v>
      </c>
      <c r="N2808" s="13" t="n">
        <f aca="false">IF(Kalender!A246="",0,J2807-H2808)</f>
        <v>1.0322</v>
      </c>
    </row>
    <row r="2809" customFormat="false" ht="16.4" hidden="false" customHeight="false" outlineLevel="0" collapsed="false">
      <c r="A2809" s="13" t="str">
        <f aca="false">""</f>
        <v/>
      </c>
      <c r="B2809" s="13" t="n">
        <f aca="false">243</f>
        <v>243</v>
      </c>
      <c r="C2809" s="13" t="n">
        <f aca="false">IF(Szenarien!$H$18="OK",(IFERROR(SUMIF(Nutzungsprofile!$B$6:$B$11,"Schulbetrieb",Nutzungsprofile!$G$6:$G$11)*Kalender!C247/SUM(Kalender!$C$5:$C$370),0)+IFERROR(SUMIF(Nutzungsprofile!$B$6:$B$11,"Halle",Nutzungsprofile!$G$6:$G$11)*Kalender!D247/SUM(Kalender!$D$5:$D$370),0)+IFERROR(SUMIF(Nutzungsprofile!$B$6:$B$11,"Individuell",Nutzungsprofile!$G$6:$G$11)*Kalender!E247/SUM(Kalender!$E$5:$E$370),0))*Szenarien!$E$18,0)</f>
        <v>2.04</v>
      </c>
      <c r="D2809" s="13" t="n">
        <f aca="false">IF(Szenarien!$H$18="OK",(IFERROR(SUMIF(Nutzungsprofile!$B$17:$B$22,"Schulbetrieb",Nutzungsprofile!$G$17:$G$22)*Kalender!C247/SUM(Kalender!$C$5:$C$370),0)+IFERROR(SUMIF(Nutzungsprofile!$B$17:$B$22,"Halle",Nutzungsprofile!$G$17:$G$22)*Kalender!D247/SUM(Kalender!$D$5:$D$370),0)+IFERROR(SUMIF(Nutzungsprofile!$B$17:$B$22,"Individuell",Nutzungsprofile!$G$17:$G$22)*Kalender!E247/SUM(Kalender!$E$5:$E$370),0))*Szenarien!$D$18,0)</f>
        <v>0.712</v>
      </c>
      <c r="E2809" s="13" t="n">
        <f aca="false">IFERROR(MIN(C2809,Eingaben!$B$17)*Eingaben!$B$16,0)</f>
        <v>1.938</v>
      </c>
      <c r="F2809" s="13" t="n">
        <f aca="false">IFERROR(E2809*Eingaben!$B$15,0)</f>
        <v>1.7442</v>
      </c>
      <c r="G2809" s="13" t="n">
        <f aca="false">IFERROR(IF(Kalender!A247="",0,J2808*(1-Eingaben!$B$20)),0)</f>
        <v>1.709316</v>
      </c>
      <c r="H2809" s="13" t="n">
        <f aca="false">MIN(G2809,D2809)</f>
        <v>0.712</v>
      </c>
      <c r="I2809" s="13" t="n">
        <f aca="false">IFERROR(MIN(F2809*Eingaben!$B$19,MAX(0,D2809-H2809)),0)</f>
        <v>0</v>
      </c>
      <c r="J2809" s="13" t="n">
        <f aca="false">IFERROR(MIN(Eingaben!$B$18,MAX(0,F2809-I2809)),0)</f>
        <v>1.7442</v>
      </c>
      <c r="K2809" s="13" t="n">
        <f aca="false">H2809+I2809</f>
        <v>0.712</v>
      </c>
      <c r="L2809" s="13" t="n">
        <f aca="false">MAX(0,D2809-K2809)</f>
        <v>0</v>
      </c>
      <c r="M2809" s="13" t="n">
        <f aca="false">MAX(0,F2809-I2809-J2809)</f>
        <v>0</v>
      </c>
      <c r="N2809" s="13" t="n">
        <f aca="false">IF(Kalender!A247="",0,J2808-H2809)</f>
        <v>1.0322</v>
      </c>
    </row>
    <row r="2810" customFormat="false" ht="16.4" hidden="false" customHeight="false" outlineLevel="0" collapsed="false">
      <c r="A2810" s="13" t="str">
        <f aca="false">""</f>
        <v/>
      </c>
      <c r="B2810" s="13" t="n">
        <f aca="false">244</f>
        <v>244</v>
      </c>
      <c r="C2810" s="13" t="n">
        <f aca="false">IF(Szenarien!$H$18="OK",(IFERROR(SUMIF(Nutzungsprofile!$B$6:$B$11,"Schulbetrieb",Nutzungsprofile!$G$6:$G$11)*Kalender!C248/SUM(Kalender!$C$5:$C$370),0)+IFERROR(SUMIF(Nutzungsprofile!$B$6:$B$11,"Halle",Nutzungsprofile!$G$6:$G$11)*Kalender!D248/SUM(Kalender!$D$5:$D$370),0)+IFERROR(SUMIF(Nutzungsprofile!$B$6:$B$11,"Individuell",Nutzungsprofile!$G$6:$G$11)*Kalender!E248/SUM(Kalender!$E$5:$E$370),0))*Szenarien!$E$18,0)</f>
        <v>2.94</v>
      </c>
      <c r="D2810" s="13" t="n">
        <f aca="false">IF(Szenarien!$H$18="OK",(IFERROR(SUMIF(Nutzungsprofile!$B$17:$B$22,"Schulbetrieb",Nutzungsprofile!$G$17:$G$22)*Kalender!C248/SUM(Kalender!$C$5:$C$370),0)+IFERROR(SUMIF(Nutzungsprofile!$B$17:$B$22,"Halle",Nutzungsprofile!$G$17:$G$22)*Kalender!D248/SUM(Kalender!$D$5:$D$370),0)+IFERROR(SUMIF(Nutzungsprofile!$B$17:$B$22,"Individuell",Nutzungsprofile!$G$17:$G$22)*Kalender!E248/SUM(Kalender!$E$5:$E$370),0))*Szenarien!$D$18,0)</f>
        <v>3.952</v>
      </c>
      <c r="E2810" s="13" t="n">
        <f aca="false">IFERROR(MIN(C2810,Eingaben!$B$17)*Eingaben!$B$16,0)</f>
        <v>2.793</v>
      </c>
      <c r="F2810" s="13" t="n">
        <f aca="false">IFERROR(E2810*Eingaben!$B$15,0)</f>
        <v>2.5137</v>
      </c>
      <c r="G2810" s="13" t="n">
        <f aca="false">IFERROR(IF(Kalender!A248="",0,J2809*(1-Eingaben!$B$20)),0)</f>
        <v>1.709316</v>
      </c>
      <c r="H2810" s="13" t="n">
        <f aca="false">MIN(G2810,D2810)</f>
        <v>1.709316</v>
      </c>
      <c r="I2810" s="13" t="n">
        <f aca="false">IFERROR(MIN(F2810*Eingaben!$B$19,MAX(0,D2810-H2810)),0)</f>
        <v>1.75959</v>
      </c>
      <c r="J2810" s="13" t="n">
        <f aca="false">IFERROR(MIN(Eingaben!$B$18,MAX(0,F2810-I2810)),0)</f>
        <v>0.75411</v>
      </c>
      <c r="K2810" s="13" t="n">
        <f aca="false">H2810+I2810</f>
        <v>3.468906</v>
      </c>
      <c r="L2810" s="13" t="n">
        <f aca="false">MAX(0,D2810-K2810)</f>
        <v>0.483094</v>
      </c>
      <c r="M2810" s="13" t="n">
        <f aca="false">MAX(0,F2810-I2810-J2810)</f>
        <v>0</v>
      </c>
      <c r="N2810" s="13" t="n">
        <f aca="false">IF(Kalender!A248="",0,J2809-H2810)</f>
        <v>0.0348840000000001</v>
      </c>
    </row>
    <row r="2811" customFormat="false" ht="16.4" hidden="false" customHeight="false" outlineLevel="0" collapsed="false">
      <c r="A2811" s="13" t="str">
        <f aca="false">""</f>
        <v/>
      </c>
      <c r="B2811" s="13" t="n">
        <f aca="false">245</f>
        <v>245</v>
      </c>
      <c r="C2811" s="13" t="n">
        <f aca="false">IF(Szenarien!$H$18="OK",(IFERROR(SUMIF(Nutzungsprofile!$B$6:$B$11,"Schulbetrieb",Nutzungsprofile!$G$6:$G$11)*Kalender!C249/SUM(Kalender!$C$5:$C$370),0)+IFERROR(SUMIF(Nutzungsprofile!$B$6:$B$11,"Halle",Nutzungsprofile!$G$6:$G$11)*Kalender!D249/SUM(Kalender!$D$5:$D$370),0)+IFERROR(SUMIF(Nutzungsprofile!$B$6:$B$11,"Individuell",Nutzungsprofile!$G$6:$G$11)*Kalender!E249/SUM(Kalender!$E$5:$E$370),0))*Szenarien!$E$18,0)</f>
        <v>2.94</v>
      </c>
      <c r="D2811" s="13" t="n">
        <f aca="false">IF(Szenarien!$H$18="OK",(IFERROR(SUMIF(Nutzungsprofile!$B$17:$B$22,"Schulbetrieb",Nutzungsprofile!$G$17:$G$22)*Kalender!C249/SUM(Kalender!$C$5:$C$370),0)+IFERROR(SUMIF(Nutzungsprofile!$B$17:$B$22,"Halle",Nutzungsprofile!$G$17:$G$22)*Kalender!D249/SUM(Kalender!$D$5:$D$370),0)+IFERROR(SUMIF(Nutzungsprofile!$B$17:$B$22,"Individuell",Nutzungsprofile!$G$17:$G$22)*Kalender!E249/SUM(Kalender!$E$5:$E$370),0))*Szenarien!$D$18,0)</f>
        <v>3.952</v>
      </c>
      <c r="E2811" s="13" t="n">
        <f aca="false">IFERROR(MIN(C2811,Eingaben!$B$17)*Eingaben!$B$16,0)</f>
        <v>2.793</v>
      </c>
      <c r="F2811" s="13" t="n">
        <f aca="false">IFERROR(E2811*Eingaben!$B$15,0)</f>
        <v>2.5137</v>
      </c>
      <c r="G2811" s="13" t="n">
        <f aca="false">IFERROR(IF(Kalender!A249="",0,J2810*(1-Eingaben!$B$20)),0)</f>
        <v>0.7390278</v>
      </c>
      <c r="H2811" s="13" t="n">
        <f aca="false">MIN(G2811,D2811)</f>
        <v>0.7390278</v>
      </c>
      <c r="I2811" s="13" t="n">
        <f aca="false">IFERROR(MIN(F2811*Eingaben!$B$19,MAX(0,D2811-H2811)),0)</f>
        <v>1.75959</v>
      </c>
      <c r="J2811" s="13" t="n">
        <f aca="false">IFERROR(MIN(Eingaben!$B$18,MAX(0,F2811-I2811)),0)</f>
        <v>0.75411</v>
      </c>
      <c r="K2811" s="13" t="n">
        <f aca="false">H2811+I2811</f>
        <v>2.4986178</v>
      </c>
      <c r="L2811" s="13" t="n">
        <f aca="false">MAX(0,D2811-K2811)</f>
        <v>1.4533822</v>
      </c>
      <c r="M2811" s="13" t="n">
        <f aca="false">MAX(0,F2811-I2811-J2811)</f>
        <v>0</v>
      </c>
      <c r="N2811" s="13" t="n">
        <f aca="false">IF(Kalender!A249="",0,J2810-H2811)</f>
        <v>0.0150822</v>
      </c>
    </row>
    <row r="2812" customFormat="false" ht="16.4" hidden="false" customHeight="false" outlineLevel="0" collapsed="false">
      <c r="A2812" s="13" t="str">
        <f aca="false">""</f>
        <v/>
      </c>
      <c r="B2812" s="13" t="n">
        <f aca="false">246</f>
        <v>246</v>
      </c>
      <c r="C2812" s="13" t="n">
        <f aca="false">IF(Szenarien!$H$18="OK",(IFERROR(SUMIF(Nutzungsprofile!$B$6:$B$11,"Schulbetrieb",Nutzungsprofile!$G$6:$G$11)*Kalender!C250/SUM(Kalender!$C$5:$C$370),0)+IFERROR(SUMIF(Nutzungsprofile!$B$6:$B$11,"Halle",Nutzungsprofile!$G$6:$G$11)*Kalender!D250/SUM(Kalender!$D$5:$D$370),0)+IFERROR(SUMIF(Nutzungsprofile!$B$6:$B$11,"Individuell",Nutzungsprofile!$G$6:$G$11)*Kalender!E250/SUM(Kalender!$E$5:$E$370),0))*Szenarien!$E$18,0)</f>
        <v>2.94</v>
      </c>
      <c r="D2812" s="13" t="n">
        <f aca="false">IF(Szenarien!$H$18="OK",(IFERROR(SUMIF(Nutzungsprofile!$B$17:$B$22,"Schulbetrieb",Nutzungsprofile!$G$17:$G$22)*Kalender!C250/SUM(Kalender!$C$5:$C$370),0)+IFERROR(SUMIF(Nutzungsprofile!$B$17:$B$22,"Halle",Nutzungsprofile!$G$17:$G$22)*Kalender!D250/SUM(Kalender!$D$5:$D$370),0)+IFERROR(SUMIF(Nutzungsprofile!$B$17:$B$22,"Individuell",Nutzungsprofile!$G$17:$G$22)*Kalender!E250/SUM(Kalender!$E$5:$E$370),0))*Szenarien!$D$18,0)</f>
        <v>3.952</v>
      </c>
      <c r="E2812" s="13" t="n">
        <f aca="false">IFERROR(MIN(C2812,Eingaben!$B$17)*Eingaben!$B$16,0)</f>
        <v>2.793</v>
      </c>
      <c r="F2812" s="13" t="n">
        <f aca="false">IFERROR(E2812*Eingaben!$B$15,0)</f>
        <v>2.5137</v>
      </c>
      <c r="G2812" s="13" t="n">
        <f aca="false">IFERROR(IF(Kalender!A250="",0,J2811*(1-Eingaben!$B$20)),0)</f>
        <v>0.7390278</v>
      </c>
      <c r="H2812" s="13" t="n">
        <f aca="false">MIN(G2812,D2812)</f>
        <v>0.7390278</v>
      </c>
      <c r="I2812" s="13" t="n">
        <f aca="false">IFERROR(MIN(F2812*Eingaben!$B$19,MAX(0,D2812-H2812)),0)</f>
        <v>1.75959</v>
      </c>
      <c r="J2812" s="13" t="n">
        <f aca="false">IFERROR(MIN(Eingaben!$B$18,MAX(0,F2812-I2812)),0)</f>
        <v>0.75411</v>
      </c>
      <c r="K2812" s="13" t="n">
        <f aca="false">H2812+I2812</f>
        <v>2.4986178</v>
      </c>
      <c r="L2812" s="13" t="n">
        <f aca="false">MAX(0,D2812-K2812)</f>
        <v>1.4533822</v>
      </c>
      <c r="M2812" s="13" t="n">
        <f aca="false">MAX(0,F2812-I2812-J2812)</f>
        <v>0</v>
      </c>
      <c r="N2812" s="13" t="n">
        <f aca="false">IF(Kalender!A250="",0,J2811-H2812)</f>
        <v>0.0150822</v>
      </c>
    </row>
    <row r="2813" customFormat="false" ht="16.4" hidden="false" customHeight="false" outlineLevel="0" collapsed="false">
      <c r="A2813" s="13" t="str">
        <f aca="false">""</f>
        <v/>
      </c>
      <c r="B2813" s="13" t="n">
        <f aca="false">247</f>
        <v>247</v>
      </c>
      <c r="C2813" s="13" t="n">
        <f aca="false">IF(Szenarien!$H$18="OK",(IFERROR(SUMIF(Nutzungsprofile!$B$6:$B$11,"Schulbetrieb",Nutzungsprofile!$G$6:$G$11)*Kalender!C251/SUM(Kalender!$C$5:$C$370),0)+IFERROR(SUMIF(Nutzungsprofile!$B$6:$B$11,"Halle",Nutzungsprofile!$G$6:$G$11)*Kalender!D251/SUM(Kalender!$D$5:$D$370),0)+IFERROR(SUMIF(Nutzungsprofile!$B$6:$B$11,"Individuell",Nutzungsprofile!$G$6:$G$11)*Kalender!E251/SUM(Kalender!$E$5:$E$370),0))*Szenarien!$E$18,0)</f>
        <v>2.94</v>
      </c>
      <c r="D2813" s="13" t="n">
        <f aca="false">IF(Szenarien!$H$18="OK",(IFERROR(SUMIF(Nutzungsprofile!$B$17:$B$22,"Schulbetrieb",Nutzungsprofile!$G$17:$G$22)*Kalender!C251/SUM(Kalender!$C$5:$C$370),0)+IFERROR(SUMIF(Nutzungsprofile!$B$17:$B$22,"Halle",Nutzungsprofile!$G$17:$G$22)*Kalender!D251/SUM(Kalender!$D$5:$D$370),0)+IFERROR(SUMIF(Nutzungsprofile!$B$17:$B$22,"Individuell",Nutzungsprofile!$G$17:$G$22)*Kalender!E251/SUM(Kalender!$E$5:$E$370),0))*Szenarien!$D$18,0)</f>
        <v>3.952</v>
      </c>
      <c r="E2813" s="13" t="n">
        <f aca="false">IFERROR(MIN(C2813,Eingaben!$B$17)*Eingaben!$B$16,0)</f>
        <v>2.793</v>
      </c>
      <c r="F2813" s="13" t="n">
        <f aca="false">IFERROR(E2813*Eingaben!$B$15,0)</f>
        <v>2.5137</v>
      </c>
      <c r="G2813" s="13" t="n">
        <f aca="false">IFERROR(IF(Kalender!A251="",0,J2812*(1-Eingaben!$B$20)),0)</f>
        <v>0.7390278</v>
      </c>
      <c r="H2813" s="13" t="n">
        <f aca="false">MIN(G2813,D2813)</f>
        <v>0.7390278</v>
      </c>
      <c r="I2813" s="13" t="n">
        <f aca="false">IFERROR(MIN(F2813*Eingaben!$B$19,MAX(0,D2813-H2813)),0)</f>
        <v>1.75959</v>
      </c>
      <c r="J2813" s="13" t="n">
        <f aca="false">IFERROR(MIN(Eingaben!$B$18,MAX(0,F2813-I2813)),0)</f>
        <v>0.75411</v>
      </c>
      <c r="K2813" s="13" t="n">
        <f aca="false">H2813+I2813</f>
        <v>2.4986178</v>
      </c>
      <c r="L2813" s="13" t="n">
        <f aca="false">MAX(0,D2813-K2813)</f>
        <v>1.4533822</v>
      </c>
      <c r="M2813" s="13" t="n">
        <f aca="false">MAX(0,F2813-I2813-J2813)</f>
        <v>0</v>
      </c>
      <c r="N2813" s="13" t="n">
        <f aca="false">IF(Kalender!A251="",0,J2812-H2813)</f>
        <v>0.0150822</v>
      </c>
    </row>
    <row r="2814" customFormat="false" ht="16.4" hidden="false" customHeight="false" outlineLevel="0" collapsed="false">
      <c r="A2814" s="13" t="str">
        <f aca="false">""</f>
        <v/>
      </c>
      <c r="B2814" s="13" t="n">
        <f aca="false">248</f>
        <v>248</v>
      </c>
      <c r="C2814" s="13" t="n">
        <f aca="false">IF(Szenarien!$H$18="OK",(IFERROR(SUMIF(Nutzungsprofile!$B$6:$B$11,"Schulbetrieb",Nutzungsprofile!$G$6:$G$11)*Kalender!C252/SUM(Kalender!$C$5:$C$370),0)+IFERROR(SUMIF(Nutzungsprofile!$B$6:$B$11,"Halle",Nutzungsprofile!$G$6:$G$11)*Kalender!D252/SUM(Kalender!$D$5:$D$370),0)+IFERROR(SUMIF(Nutzungsprofile!$B$6:$B$11,"Individuell",Nutzungsprofile!$G$6:$G$11)*Kalender!E252/SUM(Kalender!$E$5:$E$370),0))*Szenarien!$E$18,0)</f>
        <v>2.04</v>
      </c>
      <c r="D2814" s="13" t="n">
        <f aca="false">IF(Szenarien!$H$18="OK",(IFERROR(SUMIF(Nutzungsprofile!$B$17:$B$22,"Schulbetrieb",Nutzungsprofile!$G$17:$G$22)*Kalender!C252/SUM(Kalender!$C$5:$C$370),0)+IFERROR(SUMIF(Nutzungsprofile!$B$17:$B$22,"Halle",Nutzungsprofile!$G$17:$G$22)*Kalender!D252/SUM(Kalender!$D$5:$D$370),0)+IFERROR(SUMIF(Nutzungsprofile!$B$17:$B$22,"Individuell",Nutzungsprofile!$G$17:$G$22)*Kalender!E252/SUM(Kalender!$E$5:$E$370),0))*Szenarien!$D$18,0)</f>
        <v>0.712</v>
      </c>
      <c r="E2814" s="13" t="n">
        <f aca="false">IFERROR(MIN(C2814,Eingaben!$B$17)*Eingaben!$B$16,0)</f>
        <v>1.938</v>
      </c>
      <c r="F2814" s="13" t="n">
        <f aca="false">IFERROR(E2814*Eingaben!$B$15,0)</f>
        <v>1.7442</v>
      </c>
      <c r="G2814" s="13" t="n">
        <f aca="false">IFERROR(IF(Kalender!A252="",0,J2813*(1-Eingaben!$B$20)),0)</f>
        <v>0.7390278</v>
      </c>
      <c r="H2814" s="13" t="n">
        <f aca="false">MIN(G2814,D2814)</f>
        <v>0.712</v>
      </c>
      <c r="I2814" s="13" t="n">
        <f aca="false">IFERROR(MIN(F2814*Eingaben!$B$19,MAX(0,D2814-H2814)),0)</f>
        <v>0</v>
      </c>
      <c r="J2814" s="13" t="n">
        <f aca="false">IFERROR(MIN(Eingaben!$B$18,MAX(0,F2814-I2814)),0)</f>
        <v>1.7442</v>
      </c>
      <c r="K2814" s="13" t="n">
        <f aca="false">H2814+I2814</f>
        <v>0.712</v>
      </c>
      <c r="L2814" s="13" t="n">
        <f aca="false">MAX(0,D2814-K2814)</f>
        <v>0</v>
      </c>
      <c r="M2814" s="13" t="n">
        <f aca="false">MAX(0,F2814-I2814-J2814)</f>
        <v>0</v>
      </c>
      <c r="N2814" s="13" t="n">
        <f aca="false">IF(Kalender!A252="",0,J2813-H2814)</f>
        <v>0.04211</v>
      </c>
    </row>
    <row r="2815" customFormat="false" ht="16.4" hidden="false" customHeight="false" outlineLevel="0" collapsed="false">
      <c r="A2815" s="13" t="str">
        <f aca="false">""</f>
        <v/>
      </c>
      <c r="B2815" s="13" t="n">
        <f aca="false">249</f>
        <v>249</v>
      </c>
      <c r="C2815" s="13" t="n">
        <f aca="false">IF(Szenarien!$H$18="OK",(IFERROR(SUMIF(Nutzungsprofile!$B$6:$B$11,"Schulbetrieb",Nutzungsprofile!$G$6:$G$11)*Kalender!C253/SUM(Kalender!$C$5:$C$370),0)+IFERROR(SUMIF(Nutzungsprofile!$B$6:$B$11,"Halle",Nutzungsprofile!$G$6:$G$11)*Kalender!D253/SUM(Kalender!$D$5:$D$370),0)+IFERROR(SUMIF(Nutzungsprofile!$B$6:$B$11,"Individuell",Nutzungsprofile!$G$6:$G$11)*Kalender!E253/SUM(Kalender!$E$5:$E$370),0))*Szenarien!$E$18,0)</f>
        <v>2.04</v>
      </c>
      <c r="D2815" s="13" t="n">
        <f aca="false">IF(Szenarien!$H$18="OK",(IFERROR(SUMIF(Nutzungsprofile!$B$17:$B$22,"Schulbetrieb",Nutzungsprofile!$G$17:$G$22)*Kalender!C253/SUM(Kalender!$C$5:$C$370),0)+IFERROR(SUMIF(Nutzungsprofile!$B$17:$B$22,"Halle",Nutzungsprofile!$G$17:$G$22)*Kalender!D253/SUM(Kalender!$D$5:$D$370),0)+IFERROR(SUMIF(Nutzungsprofile!$B$17:$B$22,"Individuell",Nutzungsprofile!$G$17:$G$22)*Kalender!E253/SUM(Kalender!$E$5:$E$370),0))*Szenarien!$D$18,0)</f>
        <v>0.712</v>
      </c>
      <c r="E2815" s="13" t="n">
        <f aca="false">IFERROR(MIN(C2815,Eingaben!$B$17)*Eingaben!$B$16,0)</f>
        <v>1.938</v>
      </c>
      <c r="F2815" s="13" t="n">
        <f aca="false">IFERROR(E2815*Eingaben!$B$15,0)</f>
        <v>1.7442</v>
      </c>
      <c r="G2815" s="13" t="n">
        <f aca="false">IFERROR(IF(Kalender!A253="",0,J2814*(1-Eingaben!$B$20)),0)</f>
        <v>1.709316</v>
      </c>
      <c r="H2815" s="13" t="n">
        <f aca="false">MIN(G2815,D2815)</f>
        <v>0.712</v>
      </c>
      <c r="I2815" s="13" t="n">
        <f aca="false">IFERROR(MIN(F2815*Eingaben!$B$19,MAX(0,D2815-H2815)),0)</f>
        <v>0</v>
      </c>
      <c r="J2815" s="13" t="n">
        <f aca="false">IFERROR(MIN(Eingaben!$B$18,MAX(0,F2815-I2815)),0)</f>
        <v>1.7442</v>
      </c>
      <c r="K2815" s="13" t="n">
        <f aca="false">H2815+I2815</f>
        <v>0.712</v>
      </c>
      <c r="L2815" s="13" t="n">
        <f aca="false">MAX(0,D2815-K2815)</f>
        <v>0</v>
      </c>
      <c r="M2815" s="13" t="n">
        <f aca="false">MAX(0,F2815-I2815-J2815)</f>
        <v>0</v>
      </c>
      <c r="N2815" s="13" t="n">
        <f aca="false">IF(Kalender!A253="",0,J2814-H2815)</f>
        <v>1.0322</v>
      </c>
    </row>
    <row r="2816" customFormat="false" ht="16.4" hidden="false" customHeight="false" outlineLevel="0" collapsed="false">
      <c r="A2816" s="13" t="str">
        <f aca="false">""</f>
        <v/>
      </c>
      <c r="B2816" s="13" t="n">
        <f aca="false">250</f>
        <v>250</v>
      </c>
      <c r="C2816" s="13" t="n">
        <f aca="false">IF(Szenarien!$H$18="OK",(IFERROR(SUMIF(Nutzungsprofile!$B$6:$B$11,"Schulbetrieb",Nutzungsprofile!$G$6:$G$11)*Kalender!C254/SUM(Kalender!$C$5:$C$370),0)+IFERROR(SUMIF(Nutzungsprofile!$B$6:$B$11,"Halle",Nutzungsprofile!$G$6:$G$11)*Kalender!D254/SUM(Kalender!$D$5:$D$370),0)+IFERROR(SUMIF(Nutzungsprofile!$B$6:$B$11,"Individuell",Nutzungsprofile!$G$6:$G$11)*Kalender!E254/SUM(Kalender!$E$5:$E$370),0))*Szenarien!$E$18,0)</f>
        <v>2.94</v>
      </c>
      <c r="D2816" s="13" t="n">
        <f aca="false">IF(Szenarien!$H$18="OK",(IFERROR(SUMIF(Nutzungsprofile!$B$17:$B$22,"Schulbetrieb",Nutzungsprofile!$G$17:$G$22)*Kalender!C254/SUM(Kalender!$C$5:$C$370),0)+IFERROR(SUMIF(Nutzungsprofile!$B$17:$B$22,"Halle",Nutzungsprofile!$G$17:$G$22)*Kalender!D254/SUM(Kalender!$D$5:$D$370),0)+IFERROR(SUMIF(Nutzungsprofile!$B$17:$B$22,"Individuell",Nutzungsprofile!$G$17:$G$22)*Kalender!E254/SUM(Kalender!$E$5:$E$370),0))*Szenarien!$D$18,0)</f>
        <v>3.952</v>
      </c>
      <c r="E2816" s="13" t="n">
        <f aca="false">IFERROR(MIN(C2816,Eingaben!$B$17)*Eingaben!$B$16,0)</f>
        <v>2.793</v>
      </c>
      <c r="F2816" s="13" t="n">
        <f aca="false">IFERROR(E2816*Eingaben!$B$15,0)</f>
        <v>2.5137</v>
      </c>
      <c r="G2816" s="13" t="n">
        <f aca="false">IFERROR(IF(Kalender!A254="",0,J2815*(1-Eingaben!$B$20)),0)</f>
        <v>1.709316</v>
      </c>
      <c r="H2816" s="13" t="n">
        <f aca="false">MIN(G2816,D2816)</f>
        <v>1.709316</v>
      </c>
      <c r="I2816" s="13" t="n">
        <f aca="false">IFERROR(MIN(F2816*Eingaben!$B$19,MAX(0,D2816-H2816)),0)</f>
        <v>1.75959</v>
      </c>
      <c r="J2816" s="13" t="n">
        <f aca="false">IFERROR(MIN(Eingaben!$B$18,MAX(0,F2816-I2816)),0)</f>
        <v>0.75411</v>
      </c>
      <c r="K2816" s="13" t="n">
        <f aca="false">H2816+I2816</f>
        <v>3.468906</v>
      </c>
      <c r="L2816" s="13" t="n">
        <f aca="false">MAX(0,D2816-K2816)</f>
        <v>0.483094</v>
      </c>
      <c r="M2816" s="13" t="n">
        <f aca="false">MAX(0,F2816-I2816-J2816)</f>
        <v>0</v>
      </c>
      <c r="N2816" s="13" t="n">
        <f aca="false">IF(Kalender!A254="",0,J2815-H2816)</f>
        <v>0.0348840000000001</v>
      </c>
    </row>
    <row r="2817" customFormat="false" ht="16.4" hidden="false" customHeight="false" outlineLevel="0" collapsed="false">
      <c r="A2817" s="13" t="str">
        <f aca="false">""</f>
        <v/>
      </c>
      <c r="B2817" s="13" t="n">
        <f aca="false">251</f>
        <v>251</v>
      </c>
      <c r="C2817" s="13" t="n">
        <f aca="false">IF(Szenarien!$H$18="OK",(IFERROR(SUMIF(Nutzungsprofile!$B$6:$B$11,"Schulbetrieb",Nutzungsprofile!$G$6:$G$11)*Kalender!C255/SUM(Kalender!$C$5:$C$370),0)+IFERROR(SUMIF(Nutzungsprofile!$B$6:$B$11,"Halle",Nutzungsprofile!$G$6:$G$11)*Kalender!D255/SUM(Kalender!$D$5:$D$370),0)+IFERROR(SUMIF(Nutzungsprofile!$B$6:$B$11,"Individuell",Nutzungsprofile!$G$6:$G$11)*Kalender!E255/SUM(Kalender!$E$5:$E$370),0))*Szenarien!$E$18,0)</f>
        <v>2.94</v>
      </c>
      <c r="D2817" s="13" t="n">
        <f aca="false">IF(Szenarien!$H$18="OK",(IFERROR(SUMIF(Nutzungsprofile!$B$17:$B$22,"Schulbetrieb",Nutzungsprofile!$G$17:$G$22)*Kalender!C255/SUM(Kalender!$C$5:$C$370),0)+IFERROR(SUMIF(Nutzungsprofile!$B$17:$B$22,"Halle",Nutzungsprofile!$G$17:$G$22)*Kalender!D255/SUM(Kalender!$D$5:$D$370),0)+IFERROR(SUMIF(Nutzungsprofile!$B$17:$B$22,"Individuell",Nutzungsprofile!$G$17:$G$22)*Kalender!E255/SUM(Kalender!$E$5:$E$370),0))*Szenarien!$D$18,0)</f>
        <v>3.952</v>
      </c>
      <c r="E2817" s="13" t="n">
        <f aca="false">IFERROR(MIN(C2817,Eingaben!$B$17)*Eingaben!$B$16,0)</f>
        <v>2.793</v>
      </c>
      <c r="F2817" s="13" t="n">
        <f aca="false">IFERROR(E2817*Eingaben!$B$15,0)</f>
        <v>2.5137</v>
      </c>
      <c r="G2817" s="13" t="n">
        <f aca="false">IFERROR(IF(Kalender!A255="",0,J2816*(1-Eingaben!$B$20)),0)</f>
        <v>0.7390278</v>
      </c>
      <c r="H2817" s="13" t="n">
        <f aca="false">MIN(G2817,D2817)</f>
        <v>0.7390278</v>
      </c>
      <c r="I2817" s="13" t="n">
        <f aca="false">IFERROR(MIN(F2817*Eingaben!$B$19,MAX(0,D2817-H2817)),0)</f>
        <v>1.75959</v>
      </c>
      <c r="J2817" s="13" t="n">
        <f aca="false">IFERROR(MIN(Eingaben!$B$18,MAX(0,F2817-I2817)),0)</f>
        <v>0.75411</v>
      </c>
      <c r="K2817" s="13" t="n">
        <f aca="false">H2817+I2817</f>
        <v>2.4986178</v>
      </c>
      <c r="L2817" s="13" t="n">
        <f aca="false">MAX(0,D2817-K2817)</f>
        <v>1.4533822</v>
      </c>
      <c r="M2817" s="13" t="n">
        <f aca="false">MAX(0,F2817-I2817-J2817)</f>
        <v>0</v>
      </c>
      <c r="N2817" s="13" t="n">
        <f aca="false">IF(Kalender!A255="",0,J2816-H2817)</f>
        <v>0.0150822</v>
      </c>
    </row>
    <row r="2818" customFormat="false" ht="16.4" hidden="false" customHeight="false" outlineLevel="0" collapsed="false">
      <c r="A2818" s="13" t="str">
        <f aca="false">""</f>
        <v/>
      </c>
      <c r="B2818" s="13" t="n">
        <f aca="false">252</f>
        <v>252</v>
      </c>
      <c r="C2818" s="13" t="n">
        <f aca="false">IF(Szenarien!$H$18="OK",(IFERROR(SUMIF(Nutzungsprofile!$B$6:$B$11,"Schulbetrieb",Nutzungsprofile!$G$6:$G$11)*Kalender!C256/SUM(Kalender!$C$5:$C$370),0)+IFERROR(SUMIF(Nutzungsprofile!$B$6:$B$11,"Halle",Nutzungsprofile!$G$6:$G$11)*Kalender!D256/SUM(Kalender!$D$5:$D$370),0)+IFERROR(SUMIF(Nutzungsprofile!$B$6:$B$11,"Individuell",Nutzungsprofile!$G$6:$G$11)*Kalender!E256/SUM(Kalender!$E$5:$E$370),0))*Szenarien!$E$18,0)</f>
        <v>2.94</v>
      </c>
      <c r="D2818" s="13" t="n">
        <f aca="false">IF(Szenarien!$H$18="OK",(IFERROR(SUMIF(Nutzungsprofile!$B$17:$B$22,"Schulbetrieb",Nutzungsprofile!$G$17:$G$22)*Kalender!C256/SUM(Kalender!$C$5:$C$370),0)+IFERROR(SUMIF(Nutzungsprofile!$B$17:$B$22,"Halle",Nutzungsprofile!$G$17:$G$22)*Kalender!D256/SUM(Kalender!$D$5:$D$370),0)+IFERROR(SUMIF(Nutzungsprofile!$B$17:$B$22,"Individuell",Nutzungsprofile!$G$17:$G$22)*Kalender!E256/SUM(Kalender!$E$5:$E$370),0))*Szenarien!$D$18,0)</f>
        <v>3.952</v>
      </c>
      <c r="E2818" s="13" t="n">
        <f aca="false">IFERROR(MIN(C2818,Eingaben!$B$17)*Eingaben!$B$16,0)</f>
        <v>2.793</v>
      </c>
      <c r="F2818" s="13" t="n">
        <f aca="false">IFERROR(E2818*Eingaben!$B$15,0)</f>
        <v>2.5137</v>
      </c>
      <c r="G2818" s="13" t="n">
        <f aca="false">IFERROR(IF(Kalender!A256="",0,J2817*(1-Eingaben!$B$20)),0)</f>
        <v>0.7390278</v>
      </c>
      <c r="H2818" s="13" t="n">
        <f aca="false">MIN(G2818,D2818)</f>
        <v>0.7390278</v>
      </c>
      <c r="I2818" s="13" t="n">
        <f aca="false">IFERROR(MIN(F2818*Eingaben!$B$19,MAX(0,D2818-H2818)),0)</f>
        <v>1.75959</v>
      </c>
      <c r="J2818" s="13" t="n">
        <f aca="false">IFERROR(MIN(Eingaben!$B$18,MAX(0,F2818-I2818)),0)</f>
        <v>0.75411</v>
      </c>
      <c r="K2818" s="13" t="n">
        <f aca="false">H2818+I2818</f>
        <v>2.4986178</v>
      </c>
      <c r="L2818" s="13" t="n">
        <f aca="false">MAX(0,D2818-K2818)</f>
        <v>1.4533822</v>
      </c>
      <c r="M2818" s="13" t="n">
        <f aca="false">MAX(0,F2818-I2818-J2818)</f>
        <v>0</v>
      </c>
      <c r="N2818" s="13" t="n">
        <f aca="false">IF(Kalender!A256="",0,J2817-H2818)</f>
        <v>0.0150822</v>
      </c>
    </row>
    <row r="2819" customFormat="false" ht="16.4" hidden="false" customHeight="false" outlineLevel="0" collapsed="false">
      <c r="A2819" s="13" t="str">
        <f aca="false">""</f>
        <v/>
      </c>
      <c r="B2819" s="13" t="n">
        <f aca="false">253</f>
        <v>253</v>
      </c>
      <c r="C2819" s="13" t="n">
        <f aca="false">IF(Szenarien!$H$18="OK",(IFERROR(SUMIF(Nutzungsprofile!$B$6:$B$11,"Schulbetrieb",Nutzungsprofile!$G$6:$G$11)*Kalender!C257/SUM(Kalender!$C$5:$C$370),0)+IFERROR(SUMIF(Nutzungsprofile!$B$6:$B$11,"Halle",Nutzungsprofile!$G$6:$G$11)*Kalender!D257/SUM(Kalender!$D$5:$D$370),0)+IFERROR(SUMIF(Nutzungsprofile!$B$6:$B$11,"Individuell",Nutzungsprofile!$G$6:$G$11)*Kalender!E257/SUM(Kalender!$E$5:$E$370),0))*Szenarien!$E$18,0)</f>
        <v>2.94</v>
      </c>
      <c r="D2819" s="13" t="n">
        <f aca="false">IF(Szenarien!$H$18="OK",(IFERROR(SUMIF(Nutzungsprofile!$B$17:$B$22,"Schulbetrieb",Nutzungsprofile!$G$17:$G$22)*Kalender!C257/SUM(Kalender!$C$5:$C$370),0)+IFERROR(SUMIF(Nutzungsprofile!$B$17:$B$22,"Halle",Nutzungsprofile!$G$17:$G$22)*Kalender!D257/SUM(Kalender!$D$5:$D$370),0)+IFERROR(SUMIF(Nutzungsprofile!$B$17:$B$22,"Individuell",Nutzungsprofile!$G$17:$G$22)*Kalender!E257/SUM(Kalender!$E$5:$E$370),0))*Szenarien!$D$18,0)</f>
        <v>3.952</v>
      </c>
      <c r="E2819" s="13" t="n">
        <f aca="false">IFERROR(MIN(C2819,Eingaben!$B$17)*Eingaben!$B$16,0)</f>
        <v>2.793</v>
      </c>
      <c r="F2819" s="13" t="n">
        <f aca="false">IFERROR(E2819*Eingaben!$B$15,0)</f>
        <v>2.5137</v>
      </c>
      <c r="G2819" s="13" t="n">
        <f aca="false">IFERROR(IF(Kalender!A257="",0,J2818*(1-Eingaben!$B$20)),0)</f>
        <v>0.7390278</v>
      </c>
      <c r="H2819" s="13" t="n">
        <f aca="false">MIN(G2819,D2819)</f>
        <v>0.7390278</v>
      </c>
      <c r="I2819" s="13" t="n">
        <f aca="false">IFERROR(MIN(F2819*Eingaben!$B$19,MAX(0,D2819-H2819)),0)</f>
        <v>1.75959</v>
      </c>
      <c r="J2819" s="13" t="n">
        <f aca="false">IFERROR(MIN(Eingaben!$B$18,MAX(0,F2819-I2819)),0)</f>
        <v>0.75411</v>
      </c>
      <c r="K2819" s="13" t="n">
        <f aca="false">H2819+I2819</f>
        <v>2.4986178</v>
      </c>
      <c r="L2819" s="13" t="n">
        <f aca="false">MAX(0,D2819-K2819)</f>
        <v>1.4533822</v>
      </c>
      <c r="M2819" s="13" t="n">
        <f aca="false">MAX(0,F2819-I2819-J2819)</f>
        <v>0</v>
      </c>
      <c r="N2819" s="13" t="n">
        <f aca="false">IF(Kalender!A257="",0,J2818-H2819)</f>
        <v>0.0150822</v>
      </c>
    </row>
    <row r="2820" customFormat="false" ht="16.4" hidden="false" customHeight="false" outlineLevel="0" collapsed="false">
      <c r="A2820" s="13" t="str">
        <f aca="false">""</f>
        <v/>
      </c>
      <c r="B2820" s="13" t="n">
        <f aca="false">254</f>
        <v>254</v>
      </c>
      <c r="C2820" s="13" t="n">
        <f aca="false">IF(Szenarien!$H$18="OK",(IFERROR(SUMIF(Nutzungsprofile!$B$6:$B$11,"Schulbetrieb",Nutzungsprofile!$G$6:$G$11)*Kalender!C258/SUM(Kalender!$C$5:$C$370),0)+IFERROR(SUMIF(Nutzungsprofile!$B$6:$B$11,"Halle",Nutzungsprofile!$G$6:$G$11)*Kalender!D258/SUM(Kalender!$D$5:$D$370),0)+IFERROR(SUMIF(Nutzungsprofile!$B$6:$B$11,"Individuell",Nutzungsprofile!$G$6:$G$11)*Kalender!E258/SUM(Kalender!$E$5:$E$370),0))*Szenarien!$E$18,0)</f>
        <v>2.94</v>
      </c>
      <c r="D2820" s="13" t="n">
        <f aca="false">IF(Szenarien!$H$18="OK",(IFERROR(SUMIF(Nutzungsprofile!$B$17:$B$22,"Schulbetrieb",Nutzungsprofile!$G$17:$G$22)*Kalender!C258/SUM(Kalender!$C$5:$C$370),0)+IFERROR(SUMIF(Nutzungsprofile!$B$17:$B$22,"Halle",Nutzungsprofile!$G$17:$G$22)*Kalender!D258/SUM(Kalender!$D$5:$D$370),0)+IFERROR(SUMIF(Nutzungsprofile!$B$17:$B$22,"Individuell",Nutzungsprofile!$G$17:$G$22)*Kalender!E258/SUM(Kalender!$E$5:$E$370),0))*Szenarien!$D$18,0)</f>
        <v>3.952</v>
      </c>
      <c r="E2820" s="13" t="n">
        <f aca="false">IFERROR(MIN(C2820,Eingaben!$B$17)*Eingaben!$B$16,0)</f>
        <v>2.793</v>
      </c>
      <c r="F2820" s="13" t="n">
        <f aca="false">IFERROR(E2820*Eingaben!$B$15,0)</f>
        <v>2.5137</v>
      </c>
      <c r="G2820" s="13" t="n">
        <f aca="false">IFERROR(IF(Kalender!A258="",0,J2819*(1-Eingaben!$B$20)),0)</f>
        <v>0.7390278</v>
      </c>
      <c r="H2820" s="13" t="n">
        <f aca="false">MIN(G2820,D2820)</f>
        <v>0.7390278</v>
      </c>
      <c r="I2820" s="13" t="n">
        <f aca="false">IFERROR(MIN(F2820*Eingaben!$B$19,MAX(0,D2820-H2820)),0)</f>
        <v>1.75959</v>
      </c>
      <c r="J2820" s="13" t="n">
        <f aca="false">IFERROR(MIN(Eingaben!$B$18,MAX(0,F2820-I2820)),0)</f>
        <v>0.75411</v>
      </c>
      <c r="K2820" s="13" t="n">
        <f aca="false">H2820+I2820</f>
        <v>2.4986178</v>
      </c>
      <c r="L2820" s="13" t="n">
        <f aca="false">MAX(0,D2820-K2820)</f>
        <v>1.4533822</v>
      </c>
      <c r="M2820" s="13" t="n">
        <f aca="false">MAX(0,F2820-I2820-J2820)</f>
        <v>0</v>
      </c>
      <c r="N2820" s="13" t="n">
        <f aca="false">IF(Kalender!A258="",0,J2819-H2820)</f>
        <v>0.0150822</v>
      </c>
    </row>
    <row r="2821" customFormat="false" ht="16.4" hidden="false" customHeight="false" outlineLevel="0" collapsed="false">
      <c r="A2821" s="13" t="str">
        <f aca="false">""</f>
        <v/>
      </c>
      <c r="B2821" s="13" t="n">
        <f aca="false">255</f>
        <v>255</v>
      </c>
      <c r="C2821" s="13" t="n">
        <f aca="false">IF(Szenarien!$H$18="OK",(IFERROR(SUMIF(Nutzungsprofile!$B$6:$B$11,"Schulbetrieb",Nutzungsprofile!$G$6:$G$11)*Kalender!C259/SUM(Kalender!$C$5:$C$370),0)+IFERROR(SUMIF(Nutzungsprofile!$B$6:$B$11,"Halle",Nutzungsprofile!$G$6:$G$11)*Kalender!D259/SUM(Kalender!$D$5:$D$370),0)+IFERROR(SUMIF(Nutzungsprofile!$B$6:$B$11,"Individuell",Nutzungsprofile!$G$6:$G$11)*Kalender!E259/SUM(Kalender!$E$5:$E$370),0))*Szenarien!$E$18,0)</f>
        <v>2.04</v>
      </c>
      <c r="D2821" s="13" t="n">
        <f aca="false">IF(Szenarien!$H$18="OK",(IFERROR(SUMIF(Nutzungsprofile!$B$17:$B$22,"Schulbetrieb",Nutzungsprofile!$G$17:$G$22)*Kalender!C259/SUM(Kalender!$C$5:$C$370),0)+IFERROR(SUMIF(Nutzungsprofile!$B$17:$B$22,"Halle",Nutzungsprofile!$G$17:$G$22)*Kalender!D259/SUM(Kalender!$D$5:$D$370),0)+IFERROR(SUMIF(Nutzungsprofile!$B$17:$B$22,"Individuell",Nutzungsprofile!$G$17:$G$22)*Kalender!E259/SUM(Kalender!$E$5:$E$370),0))*Szenarien!$D$18,0)</f>
        <v>0.712</v>
      </c>
      <c r="E2821" s="13" t="n">
        <f aca="false">IFERROR(MIN(C2821,Eingaben!$B$17)*Eingaben!$B$16,0)</f>
        <v>1.938</v>
      </c>
      <c r="F2821" s="13" t="n">
        <f aca="false">IFERROR(E2821*Eingaben!$B$15,0)</f>
        <v>1.7442</v>
      </c>
      <c r="G2821" s="13" t="n">
        <f aca="false">IFERROR(IF(Kalender!A259="",0,J2820*(1-Eingaben!$B$20)),0)</f>
        <v>0.7390278</v>
      </c>
      <c r="H2821" s="13" t="n">
        <f aca="false">MIN(G2821,D2821)</f>
        <v>0.712</v>
      </c>
      <c r="I2821" s="13" t="n">
        <f aca="false">IFERROR(MIN(F2821*Eingaben!$B$19,MAX(0,D2821-H2821)),0)</f>
        <v>0</v>
      </c>
      <c r="J2821" s="13" t="n">
        <f aca="false">IFERROR(MIN(Eingaben!$B$18,MAX(0,F2821-I2821)),0)</f>
        <v>1.7442</v>
      </c>
      <c r="K2821" s="13" t="n">
        <f aca="false">H2821+I2821</f>
        <v>0.712</v>
      </c>
      <c r="L2821" s="13" t="n">
        <f aca="false">MAX(0,D2821-K2821)</f>
        <v>0</v>
      </c>
      <c r="M2821" s="13" t="n">
        <f aca="false">MAX(0,F2821-I2821-J2821)</f>
        <v>0</v>
      </c>
      <c r="N2821" s="13" t="n">
        <f aca="false">IF(Kalender!A259="",0,J2820-H2821)</f>
        <v>0.04211</v>
      </c>
    </row>
    <row r="2822" customFormat="false" ht="16.4" hidden="false" customHeight="false" outlineLevel="0" collapsed="false">
      <c r="A2822" s="13" t="str">
        <f aca="false">""</f>
        <v/>
      </c>
      <c r="B2822" s="13" t="n">
        <f aca="false">256</f>
        <v>256</v>
      </c>
      <c r="C2822" s="13" t="n">
        <f aca="false">IF(Szenarien!$H$18="OK",(IFERROR(SUMIF(Nutzungsprofile!$B$6:$B$11,"Schulbetrieb",Nutzungsprofile!$G$6:$G$11)*Kalender!C260/SUM(Kalender!$C$5:$C$370),0)+IFERROR(SUMIF(Nutzungsprofile!$B$6:$B$11,"Halle",Nutzungsprofile!$G$6:$G$11)*Kalender!D260/SUM(Kalender!$D$5:$D$370),0)+IFERROR(SUMIF(Nutzungsprofile!$B$6:$B$11,"Individuell",Nutzungsprofile!$G$6:$G$11)*Kalender!E260/SUM(Kalender!$E$5:$E$370),0))*Szenarien!$E$18,0)</f>
        <v>2.04</v>
      </c>
      <c r="D2822" s="13" t="n">
        <f aca="false">IF(Szenarien!$H$18="OK",(IFERROR(SUMIF(Nutzungsprofile!$B$17:$B$22,"Schulbetrieb",Nutzungsprofile!$G$17:$G$22)*Kalender!C260/SUM(Kalender!$C$5:$C$370),0)+IFERROR(SUMIF(Nutzungsprofile!$B$17:$B$22,"Halle",Nutzungsprofile!$G$17:$G$22)*Kalender!D260/SUM(Kalender!$D$5:$D$370),0)+IFERROR(SUMIF(Nutzungsprofile!$B$17:$B$22,"Individuell",Nutzungsprofile!$G$17:$G$22)*Kalender!E260/SUM(Kalender!$E$5:$E$370),0))*Szenarien!$D$18,0)</f>
        <v>0.712</v>
      </c>
      <c r="E2822" s="13" t="n">
        <f aca="false">IFERROR(MIN(C2822,Eingaben!$B$17)*Eingaben!$B$16,0)</f>
        <v>1.938</v>
      </c>
      <c r="F2822" s="13" t="n">
        <f aca="false">IFERROR(E2822*Eingaben!$B$15,0)</f>
        <v>1.7442</v>
      </c>
      <c r="G2822" s="13" t="n">
        <f aca="false">IFERROR(IF(Kalender!A260="",0,J2821*(1-Eingaben!$B$20)),0)</f>
        <v>1.709316</v>
      </c>
      <c r="H2822" s="13" t="n">
        <f aca="false">MIN(G2822,D2822)</f>
        <v>0.712</v>
      </c>
      <c r="I2822" s="13" t="n">
        <f aca="false">IFERROR(MIN(F2822*Eingaben!$B$19,MAX(0,D2822-H2822)),0)</f>
        <v>0</v>
      </c>
      <c r="J2822" s="13" t="n">
        <f aca="false">IFERROR(MIN(Eingaben!$B$18,MAX(0,F2822-I2822)),0)</f>
        <v>1.7442</v>
      </c>
      <c r="K2822" s="13" t="n">
        <f aca="false">H2822+I2822</f>
        <v>0.712</v>
      </c>
      <c r="L2822" s="13" t="n">
        <f aca="false">MAX(0,D2822-K2822)</f>
        <v>0</v>
      </c>
      <c r="M2822" s="13" t="n">
        <f aca="false">MAX(0,F2822-I2822-J2822)</f>
        <v>0</v>
      </c>
      <c r="N2822" s="13" t="n">
        <f aca="false">IF(Kalender!A260="",0,J2821-H2822)</f>
        <v>1.0322</v>
      </c>
    </row>
    <row r="2823" customFormat="false" ht="16.4" hidden="false" customHeight="false" outlineLevel="0" collapsed="false">
      <c r="A2823" s="13" t="str">
        <f aca="false">""</f>
        <v/>
      </c>
      <c r="B2823" s="13" t="n">
        <f aca="false">257</f>
        <v>257</v>
      </c>
      <c r="C2823" s="13" t="n">
        <f aca="false">IF(Szenarien!$H$18="OK",(IFERROR(SUMIF(Nutzungsprofile!$B$6:$B$11,"Schulbetrieb",Nutzungsprofile!$G$6:$G$11)*Kalender!C261/SUM(Kalender!$C$5:$C$370),0)+IFERROR(SUMIF(Nutzungsprofile!$B$6:$B$11,"Halle",Nutzungsprofile!$G$6:$G$11)*Kalender!D261/SUM(Kalender!$D$5:$D$370),0)+IFERROR(SUMIF(Nutzungsprofile!$B$6:$B$11,"Individuell",Nutzungsprofile!$G$6:$G$11)*Kalender!E261/SUM(Kalender!$E$5:$E$370),0))*Szenarien!$E$18,0)</f>
        <v>2.94</v>
      </c>
      <c r="D2823" s="13" t="n">
        <f aca="false">IF(Szenarien!$H$18="OK",(IFERROR(SUMIF(Nutzungsprofile!$B$17:$B$22,"Schulbetrieb",Nutzungsprofile!$G$17:$G$22)*Kalender!C261/SUM(Kalender!$C$5:$C$370),0)+IFERROR(SUMIF(Nutzungsprofile!$B$17:$B$22,"Halle",Nutzungsprofile!$G$17:$G$22)*Kalender!D261/SUM(Kalender!$D$5:$D$370),0)+IFERROR(SUMIF(Nutzungsprofile!$B$17:$B$22,"Individuell",Nutzungsprofile!$G$17:$G$22)*Kalender!E261/SUM(Kalender!$E$5:$E$370),0))*Szenarien!$D$18,0)</f>
        <v>3.952</v>
      </c>
      <c r="E2823" s="13" t="n">
        <f aca="false">IFERROR(MIN(C2823,Eingaben!$B$17)*Eingaben!$B$16,0)</f>
        <v>2.793</v>
      </c>
      <c r="F2823" s="13" t="n">
        <f aca="false">IFERROR(E2823*Eingaben!$B$15,0)</f>
        <v>2.5137</v>
      </c>
      <c r="G2823" s="13" t="n">
        <f aca="false">IFERROR(IF(Kalender!A261="",0,J2822*(1-Eingaben!$B$20)),0)</f>
        <v>1.709316</v>
      </c>
      <c r="H2823" s="13" t="n">
        <f aca="false">MIN(G2823,D2823)</f>
        <v>1.709316</v>
      </c>
      <c r="I2823" s="13" t="n">
        <f aca="false">IFERROR(MIN(F2823*Eingaben!$B$19,MAX(0,D2823-H2823)),0)</f>
        <v>1.75959</v>
      </c>
      <c r="J2823" s="13" t="n">
        <f aca="false">IFERROR(MIN(Eingaben!$B$18,MAX(0,F2823-I2823)),0)</f>
        <v>0.75411</v>
      </c>
      <c r="K2823" s="13" t="n">
        <f aca="false">H2823+I2823</f>
        <v>3.468906</v>
      </c>
      <c r="L2823" s="13" t="n">
        <f aca="false">MAX(0,D2823-K2823)</f>
        <v>0.483094</v>
      </c>
      <c r="M2823" s="13" t="n">
        <f aca="false">MAX(0,F2823-I2823-J2823)</f>
        <v>0</v>
      </c>
      <c r="N2823" s="13" t="n">
        <f aca="false">IF(Kalender!A261="",0,J2822-H2823)</f>
        <v>0.0348840000000001</v>
      </c>
    </row>
    <row r="2824" customFormat="false" ht="16.4" hidden="false" customHeight="false" outlineLevel="0" collapsed="false">
      <c r="A2824" s="13" t="str">
        <f aca="false">""</f>
        <v/>
      </c>
      <c r="B2824" s="13" t="n">
        <f aca="false">258</f>
        <v>258</v>
      </c>
      <c r="C2824" s="13" t="n">
        <f aca="false">IF(Szenarien!$H$18="OK",(IFERROR(SUMIF(Nutzungsprofile!$B$6:$B$11,"Schulbetrieb",Nutzungsprofile!$G$6:$G$11)*Kalender!C262/SUM(Kalender!$C$5:$C$370),0)+IFERROR(SUMIF(Nutzungsprofile!$B$6:$B$11,"Halle",Nutzungsprofile!$G$6:$G$11)*Kalender!D262/SUM(Kalender!$D$5:$D$370),0)+IFERROR(SUMIF(Nutzungsprofile!$B$6:$B$11,"Individuell",Nutzungsprofile!$G$6:$G$11)*Kalender!E262/SUM(Kalender!$E$5:$E$370),0))*Szenarien!$E$18,0)</f>
        <v>2.94</v>
      </c>
      <c r="D2824" s="13" t="n">
        <f aca="false">IF(Szenarien!$H$18="OK",(IFERROR(SUMIF(Nutzungsprofile!$B$17:$B$22,"Schulbetrieb",Nutzungsprofile!$G$17:$G$22)*Kalender!C262/SUM(Kalender!$C$5:$C$370),0)+IFERROR(SUMIF(Nutzungsprofile!$B$17:$B$22,"Halle",Nutzungsprofile!$G$17:$G$22)*Kalender!D262/SUM(Kalender!$D$5:$D$370),0)+IFERROR(SUMIF(Nutzungsprofile!$B$17:$B$22,"Individuell",Nutzungsprofile!$G$17:$G$22)*Kalender!E262/SUM(Kalender!$E$5:$E$370),0))*Szenarien!$D$18,0)</f>
        <v>3.952</v>
      </c>
      <c r="E2824" s="13" t="n">
        <f aca="false">IFERROR(MIN(C2824,Eingaben!$B$17)*Eingaben!$B$16,0)</f>
        <v>2.793</v>
      </c>
      <c r="F2824" s="13" t="n">
        <f aca="false">IFERROR(E2824*Eingaben!$B$15,0)</f>
        <v>2.5137</v>
      </c>
      <c r="G2824" s="13" t="n">
        <f aca="false">IFERROR(IF(Kalender!A262="",0,J2823*(1-Eingaben!$B$20)),0)</f>
        <v>0.7390278</v>
      </c>
      <c r="H2824" s="13" t="n">
        <f aca="false">MIN(G2824,D2824)</f>
        <v>0.7390278</v>
      </c>
      <c r="I2824" s="13" t="n">
        <f aca="false">IFERROR(MIN(F2824*Eingaben!$B$19,MAX(0,D2824-H2824)),0)</f>
        <v>1.75959</v>
      </c>
      <c r="J2824" s="13" t="n">
        <f aca="false">IFERROR(MIN(Eingaben!$B$18,MAX(0,F2824-I2824)),0)</f>
        <v>0.75411</v>
      </c>
      <c r="K2824" s="13" t="n">
        <f aca="false">H2824+I2824</f>
        <v>2.4986178</v>
      </c>
      <c r="L2824" s="13" t="n">
        <f aca="false">MAX(0,D2824-K2824)</f>
        <v>1.4533822</v>
      </c>
      <c r="M2824" s="13" t="n">
        <f aca="false">MAX(0,F2824-I2824-J2824)</f>
        <v>0</v>
      </c>
      <c r="N2824" s="13" t="n">
        <f aca="false">IF(Kalender!A262="",0,J2823-H2824)</f>
        <v>0.0150822</v>
      </c>
    </row>
    <row r="2825" customFormat="false" ht="16.4" hidden="false" customHeight="false" outlineLevel="0" collapsed="false">
      <c r="A2825" s="13" t="str">
        <f aca="false">""</f>
        <v/>
      </c>
      <c r="B2825" s="13" t="n">
        <f aca="false">259</f>
        <v>259</v>
      </c>
      <c r="C2825" s="13" t="n">
        <f aca="false">IF(Szenarien!$H$18="OK",(IFERROR(SUMIF(Nutzungsprofile!$B$6:$B$11,"Schulbetrieb",Nutzungsprofile!$G$6:$G$11)*Kalender!C263/SUM(Kalender!$C$5:$C$370),0)+IFERROR(SUMIF(Nutzungsprofile!$B$6:$B$11,"Halle",Nutzungsprofile!$G$6:$G$11)*Kalender!D263/SUM(Kalender!$D$5:$D$370),0)+IFERROR(SUMIF(Nutzungsprofile!$B$6:$B$11,"Individuell",Nutzungsprofile!$G$6:$G$11)*Kalender!E263/SUM(Kalender!$E$5:$E$370),0))*Szenarien!$E$18,0)</f>
        <v>2.94</v>
      </c>
      <c r="D2825" s="13" t="n">
        <f aca="false">IF(Szenarien!$H$18="OK",(IFERROR(SUMIF(Nutzungsprofile!$B$17:$B$22,"Schulbetrieb",Nutzungsprofile!$G$17:$G$22)*Kalender!C263/SUM(Kalender!$C$5:$C$370),0)+IFERROR(SUMIF(Nutzungsprofile!$B$17:$B$22,"Halle",Nutzungsprofile!$G$17:$G$22)*Kalender!D263/SUM(Kalender!$D$5:$D$370),0)+IFERROR(SUMIF(Nutzungsprofile!$B$17:$B$22,"Individuell",Nutzungsprofile!$G$17:$G$22)*Kalender!E263/SUM(Kalender!$E$5:$E$370),0))*Szenarien!$D$18,0)</f>
        <v>3.952</v>
      </c>
      <c r="E2825" s="13" t="n">
        <f aca="false">IFERROR(MIN(C2825,Eingaben!$B$17)*Eingaben!$B$16,0)</f>
        <v>2.793</v>
      </c>
      <c r="F2825" s="13" t="n">
        <f aca="false">IFERROR(E2825*Eingaben!$B$15,0)</f>
        <v>2.5137</v>
      </c>
      <c r="G2825" s="13" t="n">
        <f aca="false">IFERROR(IF(Kalender!A263="",0,J2824*(1-Eingaben!$B$20)),0)</f>
        <v>0.7390278</v>
      </c>
      <c r="H2825" s="13" t="n">
        <f aca="false">MIN(G2825,D2825)</f>
        <v>0.7390278</v>
      </c>
      <c r="I2825" s="13" t="n">
        <f aca="false">IFERROR(MIN(F2825*Eingaben!$B$19,MAX(0,D2825-H2825)),0)</f>
        <v>1.75959</v>
      </c>
      <c r="J2825" s="13" t="n">
        <f aca="false">IFERROR(MIN(Eingaben!$B$18,MAX(0,F2825-I2825)),0)</f>
        <v>0.75411</v>
      </c>
      <c r="K2825" s="13" t="n">
        <f aca="false">H2825+I2825</f>
        <v>2.4986178</v>
      </c>
      <c r="L2825" s="13" t="n">
        <f aca="false">MAX(0,D2825-K2825)</f>
        <v>1.4533822</v>
      </c>
      <c r="M2825" s="13" t="n">
        <f aca="false">MAX(0,F2825-I2825-J2825)</f>
        <v>0</v>
      </c>
      <c r="N2825" s="13" t="n">
        <f aca="false">IF(Kalender!A263="",0,J2824-H2825)</f>
        <v>0.0150822</v>
      </c>
    </row>
    <row r="2826" customFormat="false" ht="16.4" hidden="false" customHeight="false" outlineLevel="0" collapsed="false">
      <c r="A2826" s="13" t="str">
        <f aca="false">""</f>
        <v/>
      </c>
      <c r="B2826" s="13" t="n">
        <f aca="false">260</f>
        <v>260</v>
      </c>
      <c r="C2826" s="13" t="n">
        <f aca="false">IF(Szenarien!$H$18="OK",(IFERROR(SUMIF(Nutzungsprofile!$B$6:$B$11,"Schulbetrieb",Nutzungsprofile!$G$6:$G$11)*Kalender!C264/SUM(Kalender!$C$5:$C$370),0)+IFERROR(SUMIF(Nutzungsprofile!$B$6:$B$11,"Halle",Nutzungsprofile!$G$6:$G$11)*Kalender!D264/SUM(Kalender!$D$5:$D$370),0)+IFERROR(SUMIF(Nutzungsprofile!$B$6:$B$11,"Individuell",Nutzungsprofile!$G$6:$G$11)*Kalender!E264/SUM(Kalender!$E$5:$E$370),0))*Szenarien!$E$18,0)</f>
        <v>2.94</v>
      </c>
      <c r="D2826" s="13" t="n">
        <f aca="false">IF(Szenarien!$H$18="OK",(IFERROR(SUMIF(Nutzungsprofile!$B$17:$B$22,"Schulbetrieb",Nutzungsprofile!$G$17:$G$22)*Kalender!C264/SUM(Kalender!$C$5:$C$370),0)+IFERROR(SUMIF(Nutzungsprofile!$B$17:$B$22,"Halle",Nutzungsprofile!$G$17:$G$22)*Kalender!D264/SUM(Kalender!$D$5:$D$370),0)+IFERROR(SUMIF(Nutzungsprofile!$B$17:$B$22,"Individuell",Nutzungsprofile!$G$17:$G$22)*Kalender!E264/SUM(Kalender!$E$5:$E$370),0))*Szenarien!$D$18,0)</f>
        <v>3.952</v>
      </c>
      <c r="E2826" s="13" t="n">
        <f aca="false">IFERROR(MIN(C2826,Eingaben!$B$17)*Eingaben!$B$16,0)</f>
        <v>2.793</v>
      </c>
      <c r="F2826" s="13" t="n">
        <f aca="false">IFERROR(E2826*Eingaben!$B$15,0)</f>
        <v>2.5137</v>
      </c>
      <c r="G2826" s="13" t="n">
        <f aca="false">IFERROR(IF(Kalender!A264="",0,J2825*(1-Eingaben!$B$20)),0)</f>
        <v>0.7390278</v>
      </c>
      <c r="H2826" s="13" t="n">
        <f aca="false">MIN(G2826,D2826)</f>
        <v>0.7390278</v>
      </c>
      <c r="I2826" s="13" t="n">
        <f aca="false">IFERROR(MIN(F2826*Eingaben!$B$19,MAX(0,D2826-H2826)),0)</f>
        <v>1.75959</v>
      </c>
      <c r="J2826" s="13" t="n">
        <f aca="false">IFERROR(MIN(Eingaben!$B$18,MAX(0,F2826-I2826)),0)</f>
        <v>0.75411</v>
      </c>
      <c r="K2826" s="13" t="n">
        <f aca="false">H2826+I2826</f>
        <v>2.4986178</v>
      </c>
      <c r="L2826" s="13" t="n">
        <f aca="false">MAX(0,D2826-K2826)</f>
        <v>1.4533822</v>
      </c>
      <c r="M2826" s="13" t="n">
        <f aca="false">MAX(0,F2826-I2826-J2826)</f>
        <v>0</v>
      </c>
      <c r="N2826" s="13" t="n">
        <f aca="false">IF(Kalender!A264="",0,J2825-H2826)</f>
        <v>0.0150822</v>
      </c>
    </row>
    <row r="2827" customFormat="false" ht="16.4" hidden="false" customHeight="false" outlineLevel="0" collapsed="false">
      <c r="A2827" s="13" t="str">
        <f aca="false">""</f>
        <v/>
      </c>
      <c r="B2827" s="13" t="n">
        <f aca="false">261</f>
        <v>261</v>
      </c>
      <c r="C2827" s="13" t="n">
        <f aca="false">IF(Szenarien!$H$18="OK",(IFERROR(SUMIF(Nutzungsprofile!$B$6:$B$11,"Schulbetrieb",Nutzungsprofile!$G$6:$G$11)*Kalender!C265/SUM(Kalender!$C$5:$C$370),0)+IFERROR(SUMIF(Nutzungsprofile!$B$6:$B$11,"Halle",Nutzungsprofile!$G$6:$G$11)*Kalender!D265/SUM(Kalender!$D$5:$D$370),0)+IFERROR(SUMIF(Nutzungsprofile!$B$6:$B$11,"Individuell",Nutzungsprofile!$G$6:$G$11)*Kalender!E265/SUM(Kalender!$E$5:$E$370),0))*Szenarien!$E$18,0)</f>
        <v>2.94</v>
      </c>
      <c r="D2827" s="13" t="n">
        <f aca="false">IF(Szenarien!$H$18="OK",(IFERROR(SUMIF(Nutzungsprofile!$B$17:$B$22,"Schulbetrieb",Nutzungsprofile!$G$17:$G$22)*Kalender!C265/SUM(Kalender!$C$5:$C$370),0)+IFERROR(SUMIF(Nutzungsprofile!$B$17:$B$22,"Halle",Nutzungsprofile!$G$17:$G$22)*Kalender!D265/SUM(Kalender!$D$5:$D$370),0)+IFERROR(SUMIF(Nutzungsprofile!$B$17:$B$22,"Individuell",Nutzungsprofile!$G$17:$G$22)*Kalender!E265/SUM(Kalender!$E$5:$E$370),0))*Szenarien!$D$18,0)</f>
        <v>3.952</v>
      </c>
      <c r="E2827" s="13" t="n">
        <f aca="false">IFERROR(MIN(C2827,Eingaben!$B$17)*Eingaben!$B$16,0)</f>
        <v>2.793</v>
      </c>
      <c r="F2827" s="13" t="n">
        <f aca="false">IFERROR(E2827*Eingaben!$B$15,0)</f>
        <v>2.5137</v>
      </c>
      <c r="G2827" s="13" t="n">
        <f aca="false">IFERROR(IF(Kalender!A265="",0,J2826*(1-Eingaben!$B$20)),0)</f>
        <v>0.7390278</v>
      </c>
      <c r="H2827" s="13" t="n">
        <f aca="false">MIN(G2827,D2827)</f>
        <v>0.7390278</v>
      </c>
      <c r="I2827" s="13" t="n">
        <f aca="false">IFERROR(MIN(F2827*Eingaben!$B$19,MAX(0,D2827-H2827)),0)</f>
        <v>1.75959</v>
      </c>
      <c r="J2827" s="13" t="n">
        <f aca="false">IFERROR(MIN(Eingaben!$B$18,MAX(0,F2827-I2827)),0)</f>
        <v>0.75411</v>
      </c>
      <c r="K2827" s="13" t="n">
        <f aca="false">H2827+I2827</f>
        <v>2.4986178</v>
      </c>
      <c r="L2827" s="13" t="n">
        <f aca="false">MAX(0,D2827-K2827)</f>
        <v>1.4533822</v>
      </c>
      <c r="M2827" s="13" t="n">
        <f aca="false">MAX(0,F2827-I2827-J2827)</f>
        <v>0</v>
      </c>
      <c r="N2827" s="13" t="n">
        <f aca="false">IF(Kalender!A265="",0,J2826-H2827)</f>
        <v>0.0150822</v>
      </c>
    </row>
    <row r="2828" customFormat="false" ht="16.4" hidden="false" customHeight="false" outlineLevel="0" collapsed="false">
      <c r="A2828" s="13" t="str">
        <f aca="false">""</f>
        <v/>
      </c>
      <c r="B2828" s="13" t="n">
        <f aca="false">262</f>
        <v>262</v>
      </c>
      <c r="C2828" s="13" t="n">
        <f aca="false">IF(Szenarien!$H$18="OK",(IFERROR(SUMIF(Nutzungsprofile!$B$6:$B$11,"Schulbetrieb",Nutzungsprofile!$G$6:$G$11)*Kalender!C266/SUM(Kalender!$C$5:$C$370),0)+IFERROR(SUMIF(Nutzungsprofile!$B$6:$B$11,"Halle",Nutzungsprofile!$G$6:$G$11)*Kalender!D266/SUM(Kalender!$D$5:$D$370),0)+IFERROR(SUMIF(Nutzungsprofile!$B$6:$B$11,"Individuell",Nutzungsprofile!$G$6:$G$11)*Kalender!E266/SUM(Kalender!$E$5:$E$370),0))*Szenarien!$E$18,0)</f>
        <v>2.04</v>
      </c>
      <c r="D2828" s="13" t="n">
        <f aca="false">IF(Szenarien!$H$18="OK",(IFERROR(SUMIF(Nutzungsprofile!$B$17:$B$22,"Schulbetrieb",Nutzungsprofile!$G$17:$G$22)*Kalender!C266/SUM(Kalender!$C$5:$C$370),0)+IFERROR(SUMIF(Nutzungsprofile!$B$17:$B$22,"Halle",Nutzungsprofile!$G$17:$G$22)*Kalender!D266/SUM(Kalender!$D$5:$D$370),0)+IFERROR(SUMIF(Nutzungsprofile!$B$17:$B$22,"Individuell",Nutzungsprofile!$G$17:$G$22)*Kalender!E266/SUM(Kalender!$E$5:$E$370),0))*Szenarien!$D$18,0)</f>
        <v>0.712</v>
      </c>
      <c r="E2828" s="13" t="n">
        <f aca="false">IFERROR(MIN(C2828,Eingaben!$B$17)*Eingaben!$B$16,0)</f>
        <v>1.938</v>
      </c>
      <c r="F2828" s="13" t="n">
        <f aca="false">IFERROR(E2828*Eingaben!$B$15,0)</f>
        <v>1.7442</v>
      </c>
      <c r="G2828" s="13" t="n">
        <f aca="false">IFERROR(IF(Kalender!A266="",0,J2827*(1-Eingaben!$B$20)),0)</f>
        <v>0.7390278</v>
      </c>
      <c r="H2828" s="13" t="n">
        <f aca="false">MIN(G2828,D2828)</f>
        <v>0.712</v>
      </c>
      <c r="I2828" s="13" t="n">
        <f aca="false">IFERROR(MIN(F2828*Eingaben!$B$19,MAX(0,D2828-H2828)),0)</f>
        <v>0</v>
      </c>
      <c r="J2828" s="13" t="n">
        <f aca="false">IFERROR(MIN(Eingaben!$B$18,MAX(0,F2828-I2828)),0)</f>
        <v>1.7442</v>
      </c>
      <c r="K2828" s="13" t="n">
        <f aca="false">H2828+I2828</f>
        <v>0.712</v>
      </c>
      <c r="L2828" s="13" t="n">
        <f aca="false">MAX(0,D2828-K2828)</f>
        <v>0</v>
      </c>
      <c r="M2828" s="13" t="n">
        <f aca="false">MAX(0,F2828-I2828-J2828)</f>
        <v>0</v>
      </c>
      <c r="N2828" s="13" t="n">
        <f aca="false">IF(Kalender!A266="",0,J2827-H2828)</f>
        <v>0.04211</v>
      </c>
    </row>
    <row r="2829" customFormat="false" ht="16.4" hidden="false" customHeight="false" outlineLevel="0" collapsed="false">
      <c r="A2829" s="13" t="str">
        <f aca="false">""</f>
        <v/>
      </c>
      <c r="B2829" s="13" t="n">
        <f aca="false">263</f>
        <v>263</v>
      </c>
      <c r="C2829" s="13" t="n">
        <f aca="false">IF(Szenarien!$H$18="OK",(IFERROR(SUMIF(Nutzungsprofile!$B$6:$B$11,"Schulbetrieb",Nutzungsprofile!$G$6:$G$11)*Kalender!C267/SUM(Kalender!$C$5:$C$370),0)+IFERROR(SUMIF(Nutzungsprofile!$B$6:$B$11,"Halle",Nutzungsprofile!$G$6:$G$11)*Kalender!D267/SUM(Kalender!$D$5:$D$370),0)+IFERROR(SUMIF(Nutzungsprofile!$B$6:$B$11,"Individuell",Nutzungsprofile!$G$6:$G$11)*Kalender!E267/SUM(Kalender!$E$5:$E$370),0))*Szenarien!$E$18,0)</f>
        <v>2.04</v>
      </c>
      <c r="D2829" s="13" t="n">
        <f aca="false">IF(Szenarien!$H$18="OK",(IFERROR(SUMIF(Nutzungsprofile!$B$17:$B$22,"Schulbetrieb",Nutzungsprofile!$G$17:$G$22)*Kalender!C267/SUM(Kalender!$C$5:$C$370),0)+IFERROR(SUMIF(Nutzungsprofile!$B$17:$B$22,"Halle",Nutzungsprofile!$G$17:$G$22)*Kalender!D267/SUM(Kalender!$D$5:$D$370),0)+IFERROR(SUMIF(Nutzungsprofile!$B$17:$B$22,"Individuell",Nutzungsprofile!$G$17:$G$22)*Kalender!E267/SUM(Kalender!$E$5:$E$370),0))*Szenarien!$D$18,0)</f>
        <v>0.712</v>
      </c>
      <c r="E2829" s="13" t="n">
        <f aca="false">IFERROR(MIN(C2829,Eingaben!$B$17)*Eingaben!$B$16,0)</f>
        <v>1.938</v>
      </c>
      <c r="F2829" s="13" t="n">
        <f aca="false">IFERROR(E2829*Eingaben!$B$15,0)</f>
        <v>1.7442</v>
      </c>
      <c r="G2829" s="13" t="n">
        <f aca="false">IFERROR(IF(Kalender!A267="",0,J2828*(1-Eingaben!$B$20)),0)</f>
        <v>1.709316</v>
      </c>
      <c r="H2829" s="13" t="n">
        <f aca="false">MIN(G2829,D2829)</f>
        <v>0.712</v>
      </c>
      <c r="I2829" s="13" t="n">
        <f aca="false">IFERROR(MIN(F2829*Eingaben!$B$19,MAX(0,D2829-H2829)),0)</f>
        <v>0</v>
      </c>
      <c r="J2829" s="13" t="n">
        <f aca="false">IFERROR(MIN(Eingaben!$B$18,MAX(0,F2829-I2829)),0)</f>
        <v>1.7442</v>
      </c>
      <c r="K2829" s="13" t="n">
        <f aca="false">H2829+I2829</f>
        <v>0.712</v>
      </c>
      <c r="L2829" s="13" t="n">
        <f aca="false">MAX(0,D2829-K2829)</f>
        <v>0</v>
      </c>
      <c r="M2829" s="13" t="n">
        <f aca="false">MAX(0,F2829-I2829-J2829)</f>
        <v>0</v>
      </c>
      <c r="N2829" s="13" t="n">
        <f aca="false">IF(Kalender!A267="",0,J2828-H2829)</f>
        <v>1.0322</v>
      </c>
    </row>
    <row r="2830" customFormat="false" ht="16.4" hidden="false" customHeight="false" outlineLevel="0" collapsed="false">
      <c r="A2830" s="13" t="str">
        <f aca="false">""</f>
        <v/>
      </c>
      <c r="B2830" s="13" t="n">
        <f aca="false">264</f>
        <v>264</v>
      </c>
      <c r="C2830" s="13" t="n">
        <f aca="false">IF(Szenarien!$H$18="OK",(IFERROR(SUMIF(Nutzungsprofile!$B$6:$B$11,"Schulbetrieb",Nutzungsprofile!$G$6:$G$11)*Kalender!C268/SUM(Kalender!$C$5:$C$370),0)+IFERROR(SUMIF(Nutzungsprofile!$B$6:$B$11,"Halle",Nutzungsprofile!$G$6:$G$11)*Kalender!D268/SUM(Kalender!$D$5:$D$370),0)+IFERROR(SUMIF(Nutzungsprofile!$B$6:$B$11,"Individuell",Nutzungsprofile!$G$6:$G$11)*Kalender!E268/SUM(Kalender!$E$5:$E$370),0))*Szenarien!$E$18,0)</f>
        <v>2.94</v>
      </c>
      <c r="D2830" s="13" t="n">
        <f aca="false">IF(Szenarien!$H$18="OK",(IFERROR(SUMIF(Nutzungsprofile!$B$17:$B$22,"Schulbetrieb",Nutzungsprofile!$G$17:$G$22)*Kalender!C268/SUM(Kalender!$C$5:$C$370),0)+IFERROR(SUMIF(Nutzungsprofile!$B$17:$B$22,"Halle",Nutzungsprofile!$G$17:$G$22)*Kalender!D268/SUM(Kalender!$D$5:$D$370),0)+IFERROR(SUMIF(Nutzungsprofile!$B$17:$B$22,"Individuell",Nutzungsprofile!$G$17:$G$22)*Kalender!E268/SUM(Kalender!$E$5:$E$370),0))*Szenarien!$D$18,0)</f>
        <v>3.952</v>
      </c>
      <c r="E2830" s="13" t="n">
        <f aca="false">IFERROR(MIN(C2830,Eingaben!$B$17)*Eingaben!$B$16,0)</f>
        <v>2.793</v>
      </c>
      <c r="F2830" s="13" t="n">
        <f aca="false">IFERROR(E2830*Eingaben!$B$15,0)</f>
        <v>2.5137</v>
      </c>
      <c r="G2830" s="13" t="n">
        <f aca="false">IFERROR(IF(Kalender!A268="",0,J2829*(1-Eingaben!$B$20)),0)</f>
        <v>1.709316</v>
      </c>
      <c r="H2830" s="13" t="n">
        <f aca="false">MIN(G2830,D2830)</f>
        <v>1.709316</v>
      </c>
      <c r="I2830" s="13" t="n">
        <f aca="false">IFERROR(MIN(F2830*Eingaben!$B$19,MAX(0,D2830-H2830)),0)</f>
        <v>1.75959</v>
      </c>
      <c r="J2830" s="13" t="n">
        <f aca="false">IFERROR(MIN(Eingaben!$B$18,MAX(0,F2830-I2830)),0)</f>
        <v>0.75411</v>
      </c>
      <c r="K2830" s="13" t="n">
        <f aca="false">H2830+I2830</f>
        <v>3.468906</v>
      </c>
      <c r="L2830" s="13" t="n">
        <f aca="false">MAX(0,D2830-K2830)</f>
        <v>0.483094</v>
      </c>
      <c r="M2830" s="13" t="n">
        <f aca="false">MAX(0,F2830-I2830-J2830)</f>
        <v>0</v>
      </c>
      <c r="N2830" s="13" t="n">
        <f aca="false">IF(Kalender!A268="",0,J2829-H2830)</f>
        <v>0.0348840000000001</v>
      </c>
    </row>
    <row r="2831" customFormat="false" ht="16.4" hidden="false" customHeight="false" outlineLevel="0" collapsed="false">
      <c r="A2831" s="13" t="str">
        <f aca="false">""</f>
        <v/>
      </c>
      <c r="B2831" s="13" t="n">
        <f aca="false">265</f>
        <v>265</v>
      </c>
      <c r="C2831" s="13" t="n">
        <f aca="false">IF(Szenarien!$H$18="OK",(IFERROR(SUMIF(Nutzungsprofile!$B$6:$B$11,"Schulbetrieb",Nutzungsprofile!$G$6:$G$11)*Kalender!C269/SUM(Kalender!$C$5:$C$370),0)+IFERROR(SUMIF(Nutzungsprofile!$B$6:$B$11,"Halle",Nutzungsprofile!$G$6:$G$11)*Kalender!D269/SUM(Kalender!$D$5:$D$370),0)+IFERROR(SUMIF(Nutzungsprofile!$B$6:$B$11,"Individuell",Nutzungsprofile!$G$6:$G$11)*Kalender!E269/SUM(Kalender!$E$5:$E$370),0))*Szenarien!$E$18,0)</f>
        <v>2.94</v>
      </c>
      <c r="D2831" s="13" t="n">
        <f aca="false">IF(Szenarien!$H$18="OK",(IFERROR(SUMIF(Nutzungsprofile!$B$17:$B$22,"Schulbetrieb",Nutzungsprofile!$G$17:$G$22)*Kalender!C269/SUM(Kalender!$C$5:$C$370),0)+IFERROR(SUMIF(Nutzungsprofile!$B$17:$B$22,"Halle",Nutzungsprofile!$G$17:$G$22)*Kalender!D269/SUM(Kalender!$D$5:$D$370),0)+IFERROR(SUMIF(Nutzungsprofile!$B$17:$B$22,"Individuell",Nutzungsprofile!$G$17:$G$22)*Kalender!E269/SUM(Kalender!$E$5:$E$370),0))*Szenarien!$D$18,0)</f>
        <v>3.952</v>
      </c>
      <c r="E2831" s="13" t="n">
        <f aca="false">IFERROR(MIN(C2831,Eingaben!$B$17)*Eingaben!$B$16,0)</f>
        <v>2.793</v>
      </c>
      <c r="F2831" s="13" t="n">
        <f aca="false">IFERROR(E2831*Eingaben!$B$15,0)</f>
        <v>2.5137</v>
      </c>
      <c r="G2831" s="13" t="n">
        <f aca="false">IFERROR(IF(Kalender!A269="",0,J2830*(1-Eingaben!$B$20)),0)</f>
        <v>0.7390278</v>
      </c>
      <c r="H2831" s="13" t="n">
        <f aca="false">MIN(G2831,D2831)</f>
        <v>0.7390278</v>
      </c>
      <c r="I2831" s="13" t="n">
        <f aca="false">IFERROR(MIN(F2831*Eingaben!$B$19,MAX(0,D2831-H2831)),0)</f>
        <v>1.75959</v>
      </c>
      <c r="J2831" s="13" t="n">
        <f aca="false">IFERROR(MIN(Eingaben!$B$18,MAX(0,F2831-I2831)),0)</f>
        <v>0.75411</v>
      </c>
      <c r="K2831" s="13" t="n">
        <f aca="false">H2831+I2831</f>
        <v>2.4986178</v>
      </c>
      <c r="L2831" s="13" t="n">
        <f aca="false">MAX(0,D2831-K2831)</f>
        <v>1.4533822</v>
      </c>
      <c r="M2831" s="13" t="n">
        <f aca="false">MAX(0,F2831-I2831-J2831)</f>
        <v>0</v>
      </c>
      <c r="N2831" s="13" t="n">
        <f aca="false">IF(Kalender!A269="",0,J2830-H2831)</f>
        <v>0.0150822</v>
      </c>
    </row>
    <row r="2832" customFormat="false" ht="16.4" hidden="false" customHeight="false" outlineLevel="0" collapsed="false">
      <c r="A2832" s="13" t="str">
        <f aca="false">""</f>
        <v/>
      </c>
      <c r="B2832" s="13" t="n">
        <f aca="false">266</f>
        <v>266</v>
      </c>
      <c r="C2832" s="13" t="n">
        <f aca="false">IF(Szenarien!$H$18="OK",(IFERROR(SUMIF(Nutzungsprofile!$B$6:$B$11,"Schulbetrieb",Nutzungsprofile!$G$6:$G$11)*Kalender!C270/SUM(Kalender!$C$5:$C$370),0)+IFERROR(SUMIF(Nutzungsprofile!$B$6:$B$11,"Halle",Nutzungsprofile!$G$6:$G$11)*Kalender!D270/SUM(Kalender!$D$5:$D$370),0)+IFERROR(SUMIF(Nutzungsprofile!$B$6:$B$11,"Individuell",Nutzungsprofile!$G$6:$G$11)*Kalender!E270/SUM(Kalender!$E$5:$E$370),0))*Szenarien!$E$18,0)</f>
        <v>2.94</v>
      </c>
      <c r="D2832" s="13" t="n">
        <f aca="false">IF(Szenarien!$H$18="OK",(IFERROR(SUMIF(Nutzungsprofile!$B$17:$B$22,"Schulbetrieb",Nutzungsprofile!$G$17:$G$22)*Kalender!C270/SUM(Kalender!$C$5:$C$370),0)+IFERROR(SUMIF(Nutzungsprofile!$B$17:$B$22,"Halle",Nutzungsprofile!$G$17:$G$22)*Kalender!D270/SUM(Kalender!$D$5:$D$370),0)+IFERROR(SUMIF(Nutzungsprofile!$B$17:$B$22,"Individuell",Nutzungsprofile!$G$17:$G$22)*Kalender!E270/SUM(Kalender!$E$5:$E$370),0))*Szenarien!$D$18,0)</f>
        <v>3.952</v>
      </c>
      <c r="E2832" s="13" t="n">
        <f aca="false">IFERROR(MIN(C2832,Eingaben!$B$17)*Eingaben!$B$16,0)</f>
        <v>2.793</v>
      </c>
      <c r="F2832" s="13" t="n">
        <f aca="false">IFERROR(E2832*Eingaben!$B$15,0)</f>
        <v>2.5137</v>
      </c>
      <c r="G2832" s="13" t="n">
        <f aca="false">IFERROR(IF(Kalender!A270="",0,J2831*(1-Eingaben!$B$20)),0)</f>
        <v>0.7390278</v>
      </c>
      <c r="H2832" s="13" t="n">
        <f aca="false">MIN(G2832,D2832)</f>
        <v>0.7390278</v>
      </c>
      <c r="I2832" s="13" t="n">
        <f aca="false">IFERROR(MIN(F2832*Eingaben!$B$19,MAX(0,D2832-H2832)),0)</f>
        <v>1.75959</v>
      </c>
      <c r="J2832" s="13" t="n">
        <f aca="false">IFERROR(MIN(Eingaben!$B$18,MAX(0,F2832-I2832)),0)</f>
        <v>0.75411</v>
      </c>
      <c r="K2832" s="13" t="n">
        <f aca="false">H2832+I2832</f>
        <v>2.4986178</v>
      </c>
      <c r="L2832" s="13" t="n">
        <f aca="false">MAX(0,D2832-K2832)</f>
        <v>1.4533822</v>
      </c>
      <c r="M2832" s="13" t="n">
        <f aca="false">MAX(0,F2832-I2832-J2832)</f>
        <v>0</v>
      </c>
      <c r="N2832" s="13" t="n">
        <f aca="false">IF(Kalender!A270="",0,J2831-H2832)</f>
        <v>0.0150822</v>
      </c>
    </row>
    <row r="2833" customFormat="false" ht="16.4" hidden="false" customHeight="false" outlineLevel="0" collapsed="false">
      <c r="A2833" s="13" t="str">
        <f aca="false">""</f>
        <v/>
      </c>
      <c r="B2833" s="13" t="n">
        <f aca="false">267</f>
        <v>267</v>
      </c>
      <c r="C2833" s="13" t="n">
        <f aca="false">IF(Szenarien!$H$18="OK",(IFERROR(SUMIF(Nutzungsprofile!$B$6:$B$11,"Schulbetrieb",Nutzungsprofile!$G$6:$G$11)*Kalender!C271/SUM(Kalender!$C$5:$C$370),0)+IFERROR(SUMIF(Nutzungsprofile!$B$6:$B$11,"Halle",Nutzungsprofile!$G$6:$G$11)*Kalender!D271/SUM(Kalender!$D$5:$D$370),0)+IFERROR(SUMIF(Nutzungsprofile!$B$6:$B$11,"Individuell",Nutzungsprofile!$G$6:$G$11)*Kalender!E271/SUM(Kalender!$E$5:$E$370),0))*Szenarien!$E$18,0)</f>
        <v>2.94</v>
      </c>
      <c r="D2833" s="13" t="n">
        <f aca="false">IF(Szenarien!$H$18="OK",(IFERROR(SUMIF(Nutzungsprofile!$B$17:$B$22,"Schulbetrieb",Nutzungsprofile!$G$17:$G$22)*Kalender!C271/SUM(Kalender!$C$5:$C$370),0)+IFERROR(SUMIF(Nutzungsprofile!$B$17:$B$22,"Halle",Nutzungsprofile!$G$17:$G$22)*Kalender!D271/SUM(Kalender!$D$5:$D$370),0)+IFERROR(SUMIF(Nutzungsprofile!$B$17:$B$22,"Individuell",Nutzungsprofile!$G$17:$G$22)*Kalender!E271/SUM(Kalender!$E$5:$E$370),0))*Szenarien!$D$18,0)</f>
        <v>3.952</v>
      </c>
      <c r="E2833" s="13" t="n">
        <f aca="false">IFERROR(MIN(C2833,Eingaben!$B$17)*Eingaben!$B$16,0)</f>
        <v>2.793</v>
      </c>
      <c r="F2833" s="13" t="n">
        <f aca="false">IFERROR(E2833*Eingaben!$B$15,0)</f>
        <v>2.5137</v>
      </c>
      <c r="G2833" s="13" t="n">
        <f aca="false">IFERROR(IF(Kalender!A271="",0,J2832*(1-Eingaben!$B$20)),0)</f>
        <v>0.7390278</v>
      </c>
      <c r="H2833" s="13" t="n">
        <f aca="false">MIN(G2833,D2833)</f>
        <v>0.7390278</v>
      </c>
      <c r="I2833" s="13" t="n">
        <f aca="false">IFERROR(MIN(F2833*Eingaben!$B$19,MAX(0,D2833-H2833)),0)</f>
        <v>1.75959</v>
      </c>
      <c r="J2833" s="13" t="n">
        <f aca="false">IFERROR(MIN(Eingaben!$B$18,MAX(0,F2833-I2833)),0)</f>
        <v>0.75411</v>
      </c>
      <c r="K2833" s="13" t="n">
        <f aca="false">H2833+I2833</f>
        <v>2.4986178</v>
      </c>
      <c r="L2833" s="13" t="n">
        <f aca="false">MAX(0,D2833-K2833)</f>
        <v>1.4533822</v>
      </c>
      <c r="M2833" s="13" t="n">
        <f aca="false">MAX(0,F2833-I2833-J2833)</f>
        <v>0</v>
      </c>
      <c r="N2833" s="13" t="n">
        <f aca="false">IF(Kalender!A271="",0,J2832-H2833)</f>
        <v>0.0150822</v>
      </c>
    </row>
    <row r="2834" customFormat="false" ht="16.4" hidden="false" customHeight="false" outlineLevel="0" collapsed="false">
      <c r="A2834" s="13" t="str">
        <f aca="false">""</f>
        <v/>
      </c>
      <c r="B2834" s="13" t="n">
        <f aca="false">268</f>
        <v>268</v>
      </c>
      <c r="C2834" s="13" t="n">
        <f aca="false">IF(Szenarien!$H$18="OK",(IFERROR(SUMIF(Nutzungsprofile!$B$6:$B$11,"Schulbetrieb",Nutzungsprofile!$G$6:$G$11)*Kalender!C272/SUM(Kalender!$C$5:$C$370),0)+IFERROR(SUMIF(Nutzungsprofile!$B$6:$B$11,"Halle",Nutzungsprofile!$G$6:$G$11)*Kalender!D272/SUM(Kalender!$D$5:$D$370),0)+IFERROR(SUMIF(Nutzungsprofile!$B$6:$B$11,"Individuell",Nutzungsprofile!$G$6:$G$11)*Kalender!E272/SUM(Kalender!$E$5:$E$370),0))*Szenarien!$E$18,0)</f>
        <v>2.94</v>
      </c>
      <c r="D2834" s="13" t="n">
        <f aca="false">IF(Szenarien!$H$18="OK",(IFERROR(SUMIF(Nutzungsprofile!$B$17:$B$22,"Schulbetrieb",Nutzungsprofile!$G$17:$G$22)*Kalender!C272/SUM(Kalender!$C$5:$C$370),0)+IFERROR(SUMIF(Nutzungsprofile!$B$17:$B$22,"Halle",Nutzungsprofile!$G$17:$G$22)*Kalender!D272/SUM(Kalender!$D$5:$D$370),0)+IFERROR(SUMIF(Nutzungsprofile!$B$17:$B$22,"Individuell",Nutzungsprofile!$G$17:$G$22)*Kalender!E272/SUM(Kalender!$E$5:$E$370),0))*Szenarien!$D$18,0)</f>
        <v>3.952</v>
      </c>
      <c r="E2834" s="13" t="n">
        <f aca="false">IFERROR(MIN(C2834,Eingaben!$B$17)*Eingaben!$B$16,0)</f>
        <v>2.793</v>
      </c>
      <c r="F2834" s="13" t="n">
        <f aca="false">IFERROR(E2834*Eingaben!$B$15,0)</f>
        <v>2.5137</v>
      </c>
      <c r="G2834" s="13" t="n">
        <f aca="false">IFERROR(IF(Kalender!A272="",0,J2833*(1-Eingaben!$B$20)),0)</f>
        <v>0.7390278</v>
      </c>
      <c r="H2834" s="13" t="n">
        <f aca="false">MIN(G2834,D2834)</f>
        <v>0.7390278</v>
      </c>
      <c r="I2834" s="13" t="n">
        <f aca="false">IFERROR(MIN(F2834*Eingaben!$B$19,MAX(0,D2834-H2834)),0)</f>
        <v>1.75959</v>
      </c>
      <c r="J2834" s="13" t="n">
        <f aca="false">IFERROR(MIN(Eingaben!$B$18,MAX(0,F2834-I2834)),0)</f>
        <v>0.75411</v>
      </c>
      <c r="K2834" s="13" t="n">
        <f aca="false">H2834+I2834</f>
        <v>2.4986178</v>
      </c>
      <c r="L2834" s="13" t="n">
        <f aca="false">MAX(0,D2834-K2834)</f>
        <v>1.4533822</v>
      </c>
      <c r="M2834" s="13" t="n">
        <f aca="false">MAX(0,F2834-I2834-J2834)</f>
        <v>0</v>
      </c>
      <c r="N2834" s="13" t="n">
        <f aca="false">IF(Kalender!A272="",0,J2833-H2834)</f>
        <v>0.0150822</v>
      </c>
    </row>
    <row r="2835" customFormat="false" ht="16.4" hidden="false" customHeight="false" outlineLevel="0" collapsed="false">
      <c r="A2835" s="13" t="str">
        <f aca="false">""</f>
        <v/>
      </c>
      <c r="B2835" s="13" t="n">
        <f aca="false">269</f>
        <v>269</v>
      </c>
      <c r="C2835" s="13" t="n">
        <f aca="false">IF(Szenarien!$H$18="OK",(IFERROR(SUMIF(Nutzungsprofile!$B$6:$B$11,"Schulbetrieb",Nutzungsprofile!$G$6:$G$11)*Kalender!C273/SUM(Kalender!$C$5:$C$370),0)+IFERROR(SUMIF(Nutzungsprofile!$B$6:$B$11,"Halle",Nutzungsprofile!$G$6:$G$11)*Kalender!D273/SUM(Kalender!$D$5:$D$370),0)+IFERROR(SUMIF(Nutzungsprofile!$B$6:$B$11,"Individuell",Nutzungsprofile!$G$6:$G$11)*Kalender!E273/SUM(Kalender!$E$5:$E$370),0))*Szenarien!$E$18,0)</f>
        <v>2.04</v>
      </c>
      <c r="D2835" s="13" t="n">
        <f aca="false">IF(Szenarien!$H$18="OK",(IFERROR(SUMIF(Nutzungsprofile!$B$17:$B$22,"Schulbetrieb",Nutzungsprofile!$G$17:$G$22)*Kalender!C273/SUM(Kalender!$C$5:$C$370),0)+IFERROR(SUMIF(Nutzungsprofile!$B$17:$B$22,"Halle",Nutzungsprofile!$G$17:$G$22)*Kalender!D273/SUM(Kalender!$D$5:$D$370),0)+IFERROR(SUMIF(Nutzungsprofile!$B$17:$B$22,"Individuell",Nutzungsprofile!$G$17:$G$22)*Kalender!E273/SUM(Kalender!$E$5:$E$370),0))*Szenarien!$D$18,0)</f>
        <v>0.712</v>
      </c>
      <c r="E2835" s="13" t="n">
        <f aca="false">IFERROR(MIN(C2835,Eingaben!$B$17)*Eingaben!$B$16,0)</f>
        <v>1.938</v>
      </c>
      <c r="F2835" s="13" t="n">
        <f aca="false">IFERROR(E2835*Eingaben!$B$15,0)</f>
        <v>1.7442</v>
      </c>
      <c r="G2835" s="13" t="n">
        <f aca="false">IFERROR(IF(Kalender!A273="",0,J2834*(1-Eingaben!$B$20)),0)</f>
        <v>0.7390278</v>
      </c>
      <c r="H2835" s="13" t="n">
        <f aca="false">MIN(G2835,D2835)</f>
        <v>0.712</v>
      </c>
      <c r="I2835" s="13" t="n">
        <f aca="false">IFERROR(MIN(F2835*Eingaben!$B$19,MAX(0,D2835-H2835)),0)</f>
        <v>0</v>
      </c>
      <c r="J2835" s="13" t="n">
        <f aca="false">IFERROR(MIN(Eingaben!$B$18,MAX(0,F2835-I2835)),0)</f>
        <v>1.7442</v>
      </c>
      <c r="K2835" s="13" t="n">
        <f aca="false">H2835+I2835</f>
        <v>0.712</v>
      </c>
      <c r="L2835" s="13" t="n">
        <f aca="false">MAX(0,D2835-K2835)</f>
        <v>0</v>
      </c>
      <c r="M2835" s="13" t="n">
        <f aca="false">MAX(0,F2835-I2835-J2835)</f>
        <v>0</v>
      </c>
      <c r="N2835" s="13" t="n">
        <f aca="false">IF(Kalender!A273="",0,J2834-H2835)</f>
        <v>0.04211</v>
      </c>
    </row>
    <row r="2836" customFormat="false" ht="16.4" hidden="false" customHeight="false" outlineLevel="0" collapsed="false">
      <c r="A2836" s="13" t="str">
        <f aca="false">""</f>
        <v/>
      </c>
      <c r="B2836" s="13" t="n">
        <f aca="false">270</f>
        <v>270</v>
      </c>
      <c r="C2836" s="13" t="n">
        <f aca="false">IF(Szenarien!$H$18="OK",(IFERROR(SUMIF(Nutzungsprofile!$B$6:$B$11,"Schulbetrieb",Nutzungsprofile!$G$6:$G$11)*Kalender!C274/SUM(Kalender!$C$5:$C$370),0)+IFERROR(SUMIF(Nutzungsprofile!$B$6:$B$11,"Halle",Nutzungsprofile!$G$6:$G$11)*Kalender!D274/SUM(Kalender!$D$5:$D$370),0)+IFERROR(SUMIF(Nutzungsprofile!$B$6:$B$11,"Individuell",Nutzungsprofile!$G$6:$G$11)*Kalender!E274/SUM(Kalender!$E$5:$E$370),0))*Szenarien!$E$18,0)</f>
        <v>2.04</v>
      </c>
      <c r="D2836" s="13" t="n">
        <f aca="false">IF(Szenarien!$H$18="OK",(IFERROR(SUMIF(Nutzungsprofile!$B$17:$B$22,"Schulbetrieb",Nutzungsprofile!$G$17:$G$22)*Kalender!C274/SUM(Kalender!$C$5:$C$370),0)+IFERROR(SUMIF(Nutzungsprofile!$B$17:$B$22,"Halle",Nutzungsprofile!$G$17:$G$22)*Kalender!D274/SUM(Kalender!$D$5:$D$370),0)+IFERROR(SUMIF(Nutzungsprofile!$B$17:$B$22,"Individuell",Nutzungsprofile!$G$17:$G$22)*Kalender!E274/SUM(Kalender!$E$5:$E$370),0))*Szenarien!$D$18,0)</f>
        <v>0.712</v>
      </c>
      <c r="E2836" s="13" t="n">
        <f aca="false">IFERROR(MIN(C2836,Eingaben!$B$17)*Eingaben!$B$16,0)</f>
        <v>1.938</v>
      </c>
      <c r="F2836" s="13" t="n">
        <f aca="false">IFERROR(E2836*Eingaben!$B$15,0)</f>
        <v>1.7442</v>
      </c>
      <c r="G2836" s="13" t="n">
        <f aca="false">IFERROR(IF(Kalender!A274="",0,J2835*(1-Eingaben!$B$20)),0)</f>
        <v>1.709316</v>
      </c>
      <c r="H2836" s="13" t="n">
        <f aca="false">MIN(G2836,D2836)</f>
        <v>0.712</v>
      </c>
      <c r="I2836" s="13" t="n">
        <f aca="false">IFERROR(MIN(F2836*Eingaben!$B$19,MAX(0,D2836-H2836)),0)</f>
        <v>0</v>
      </c>
      <c r="J2836" s="13" t="n">
        <f aca="false">IFERROR(MIN(Eingaben!$B$18,MAX(0,F2836-I2836)),0)</f>
        <v>1.7442</v>
      </c>
      <c r="K2836" s="13" t="n">
        <f aca="false">H2836+I2836</f>
        <v>0.712</v>
      </c>
      <c r="L2836" s="13" t="n">
        <f aca="false">MAX(0,D2836-K2836)</f>
        <v>0</v>
      </c>
      <c r="M2836" s="13" t="n">
        <f aca="false">MAX(0,F2836-I2836-J2836)</f>
        <v>0</v>
      </c>
      <c r="N2836" s="13" t="n">
        <f aca="false">IF(Kalender!A274="",0,J2835-H2836)</f>
        <v>1.0322</v>
      </c>
    </row>
    <row r="2837" customFormat="false" ht="16.4" hidden="false" customHeight="false" outlineLevel="0" collapsed="false">
      <c r="A2837" s="13" t="str">
        <f aca="false">""</f>
        <v/>
      </c>
      <c r="B2837" s="13" t="n">
        <f aca="false">271</f>
        <v>271</v>
      </c>
      <c r="C2837" s="13" t="n">
        <f aca="false">IF(Szenarien!$H$18="OK",(IFERROR(SUMIF(Nutzungsprofile!$B$6:$B$11,"Schulbetrieb",Nutzungsprofile!$G$6:$G$11)*Kalender!C275/SUM(Kalender!$C$5:$C$370),0)+IFERROR(SUMIF(Nutzungsprofile!$B$6:$B$11,"Halle",Nutzungsprofile!$G$6:$G$11)*Kalender!D275/SUM(Kalender!$D$5:$D$370),0)+IFERROR(SUMIF(Nutzungsprofile!$B$6:$B$11,"Individuell",Nutzungsprofile!$G$6:$G$11)*Kalender!E275/SUM(Kalender!$E$5:$E$370),0))*Szenarien!$E$18,0)</f>
        <v>2.94</v>
      </c>
      <c r="D2837" s="13" t="n">
        <f aca="false">IF(Szenarien!$H$18="OK",(IFERROR(SUMIF(Nutzungsprofile!$B$17:$B$22,"Schulbetrieb",Nutzungsprofile!$G$17:$G$22)*Kalender!C275/SUM(Kalender!$C$5:$C$370),0)+IFERROR(SUMIF(Nutzungsprofile!$B$17:$B$22,"Halle",Nutzungsprofile!$G$17:$G$22)*Kalender!D275/SUM(Kalender!$D$5:$D$370),0)+IFERROR(SUMIF(Nutzungsprofile!$B$17:$B$22,"Individuell",Nutzungsprofile!$G$17:$G$22)*Kalender!E275/SUM(Kalender!$E$5:$E$370),0))*Szenarien!$D$18,0)</f>
        <v>3.952</v>
      </c>
      <c r="E2837" s="13" t="n">
        <f aca="false">IFERROR(MIN(C2837,Eingaben!$B$17)*Eingaben!$B$16,0)</f>
        <v>2.793</v>
      </c>
      <c r="F2837" s="13" t="n">
        <f aca="false">IFERROR(E2837*Eingaben!$B$15,0)</f>
        <v>2.5137</v>
      </c>
      <c r="G2837" s="13" t="n">
        <f aca="false">IFERROR(IF(Kalender!A275="",0,J2836*(1-Eingaben!$B$20)),0)</f>
        <v>1.709316</v>
      </c>
      <c r="H2837" s="13" t="n">
        <f aca="false">MIN(G2837,D2837)</f>
        <v>1.709316</v>
      </c>
      <c r="I2837" s="13" t="n">
        <f aca="false">IFERROR(MIN(F2837*Eingaben!$B$19,MAX(0,D2837-H2837)),0)</f>
        <v>1.75959</v>
      </c>
      <c r="J2837" s="13" t="n">
        <f aca="false">IFERROR(MIN(Eingaben!$B$18,MAX(0,F2837-I2837)),0)</f>
        <v>0.75411</v>
      </c>
      <c r="K2837" s="13" t="n">
        <f aca="false">H2837+I2837</f>
        <v>3.468906</v>
      </c>
      <c r="L2837" s="13" t="n">
        <f aca="false">MAX(0,D2837-K2837)</f>
        <v>0.483094</v>
      </c>
      <c r="M2837" s="13" t="n">
        <f aca="false">MAX(0,F2837-I2837-J2837)</f>
        <v>0</v>
      </c>
      <c r="N2837" s="13" t="n">
        <f aca="false">IF(Kalender!A275="",0,J2836-H2837)</f>
        <v>0.0348840000000001</v>
      </c>
    </row>
    <row r="2838" customFormat="false" ht="16.4" hidden="false" customHeight="false" outlineLevel="0" collapsed="false">
      <c r="A2838" s="13" t="str">
        <f aca="false">""</f>
        <v/>
      </c>
      <c r="B2838" s="13" t="n">
        <f aca="false">272</f>
        <v>272</v>
      </c>
      <c r="C2838" s="13" t="n">
        <f aca="false">IF(Szenarien!$H$18="OK",(IFERROR(SUMIF(Nutzungsprofile!$B$6:$B$11,"Schulbetrieb",Nutzungsprofile!$G$6:$G$11)*Kalender!C276/SUM(Kalender!$C$5:$C$370),0)+IFERROR(SUMIF(Nutzungsprofile!$B$6:$B$11,"Halle",Nutzungsprofile!$G$6:$G$11)*Kalender!D276/SUM(Kalender!$D$5:$D$370),0)+IFERROR(SUMIF(Nutzungsprofile!$B$6:$B$11,"Individuell",Nutzungsprofile!$G$6:$G$11)*Kalender!E276/SUM(Kalender!$E$5:$E$370),0))*Szenarien!$E$18,0)</f>
        <v>2.94</v>
      </c>
      <c r="D2838" s="13" t="n">
        <f aca="false">IF(Szenarien!$H$18="OK",(IFERROR(SUMIF(Nutzungsprofile!$B$17:$B$22,"Schulbetrieb",Nutzungsprofile!$G$17:$G$22)*Kalender!C276/SUM(Kalender!$C$5:$C$370),0)+IFERROR(SUMIF(Nutzungsprofile!$B$17:$B$22,"Halle",Nutzungsprofile!$G$17:$G$22)*Kalender!D276/SUM(Kalender!$D$5:$D$370),0)+IFERROR(SUMIF(Nutzungsprofile!$B$17:$B$22,"Individuell",Nutzungsprofile!$G$17:$G$22)*Kalender!E276/SUM(Kalender!$E$5:$E$370),0))*Szenarien!$D$18,0)</f>
        <v>3.952</v>
      </c>
      <c r="E2838" s="13" t="n">
        <f aca="false">IFERROR(MIN(C2838,Eingaben!$B$17)*Eingaben!$B$16,0)</f>
        <v>2.793</v>
      </c>
      <c r="F2838" s="13" t="n">
        <f aca="false">IFERROR(E2838*Eingaben!$B$15,0)</f>
        <v>2.5137</v>
      </c>
      <c r="G2838" s="13" t="n">
        <f aca="false">IFERROR(IF(Kalender!A276="",0,J2837*(1-Eingaben!$B$20)),0)</f>
        <v>0.7390278</v>
      </c>
      <c r="H2838" s="13" t="n">
        <f aca="false">MIN(G2838,D2838)</f>
        <v>0.7390278</v>
      </c>
      <c r="I2838" s="13" t="n">
        <f aca="false">IFERROR(MIN(F2838*Eingaben!$B$19,MAX(0,D2838-H2838)),0)</f>
        <v>1.75959</v>
      </c>
      <c r="J2838" s="13" t="n">
        <f aca="false">IFERROR(MIN(Eingaben!$B$18,MAX(0,F2838-I2838)),0)</f>
        <v>0.75411</v>
      </c>
      <c r="K2838" s="13" t="n">
        <f aca="false">H2838+I2838</f>
        <v>2.4986178</v>
      </c>
      <c r="L2838" s="13" t="n">
        <f aca="false">MAX(0,D2838-K2838)</f>
        <v>1.4533822</v>
      </c>
      <c r="M2838" s="13" t="n">
        <f aca="false">MAX(0,F2838-I2838-J2838)</f>
        <v>0</v>
      </c>
      <c r="N2838" s="13" t="n">
        <f aca="false">IF(Kalender!A276="",0,J2837-H2838)</f>
        <v>0.0150822</v>
      </c>
    </row>
    <row r="2839" customFormat="false" ht="16.4" hidden="false" customHeight="false" outlineLevel="0" collapsed="false">
      <c r="A2839" s="13" t="str">
        <f aca="false">""</f>
        <v/>
      </c>
      <c r="B2839" s="13" t="n">
        <f aca="false">273</f>
        <v>273</v>
      </c>
      <c r="C2839" s="13" t="n">
        <f aca="false">IF(Szenarien!$H$18="OK",(IFERROR(SUMIF(Nutzungsprofile!$B$6:$B$11,"Schulbetrieb",Nutzungsprofile!$G$6:$G$11)*Kalender!C277/SUM(Kalender!$C$5:$C$370),0)+IFERROR(SUMIF(Nutzungsprofile!$B$6:$B$11,"Halle",Nutzungsprofile!$G$6:$G$11)*Kalender!D277/SUM(Kalender!$D$5:$D$370),0)+IFERROR(SUMIF(Nutzungsprofile!$B$6:$B$11,"Individuell",Nutzungsprofile!$G$6:$G$11)*Kalender!E277/SUM(Kalender!$E$5:$E$370),0))*Szenarien!$E$18,0)</f>
        <v>2.94</v>
      </c>
      <c r="D2839" s="13" t="n">
        <f aca="false">IF(Szenarien!$H$18="OK",(IFERROR(SUMIF(Nutzungsprofile!$B$17:$B$22,"Schulbetrieb",Nutzungsprofile!$G$17:$G$22)*Kalender!C277/SUM(Kalender!$C$5:$C$370),0)+IFERROR(SUMIF(Nutzungsprofile!$B$17:$B$22,"Halle",Nutzungsprofile!$G$17:$G$22)*Kalender!D277/SUM(Kalender!$D$5:$D$370),0)+IFERROR(SUMIF(Nutzungsprofile!$B$17:$B$22,"Individuell",Nutzungsprofile!$G$17:$G$22)*Kalender!E277/SUM(Kalender!$E$5:$E$370),0))*Szenarien!$D$18,0)</f>
        <v>3.952</v>
      </c>
      <c r="E2839" s="13" t="n">
        <f aca="false">IFERROR(MIN(C2839,Eingaben!$B$17)*Eingaben!$B$16,0)</f>
        <v>2.793</v>
      </c>
      <c r="F2839" s="13" t="n">
        <f aca="false">IFERROR(E2839*Eingaben!$B$15,0)</f>
        <v>2.5137</v>
      </c>
      <c r="G2839" s="13" t="n">
        <f aca="false">IFERROR(IF(Kalender!A277="",0,J2838*(1-Eingaben!$B$20)),0)</f>
        <v>0.7390278</v>
      </c>
      <c r="H2839" s="13" t="n">
        <f aca="false">MIN(G2839,D2839)</f>
        <v>0.7390278</v>
      </c>
      <c r="I2839" s="13" t="n">
        <f aca="false">IFERROR(MIN(F2839*Eingaben!$B$19,MAX(0,D2839-H2839)),0)</f>
        <v>1.75959</v>
      </c>
      <c r="J2839" s="13" t="n">
        <f aca="false">IFERROR(MIN(Eingaben!$B$18,MAX(0,F2839-I2839)),0)</f>
        <v>0.75411</v>
      </c>
      <c r="K2839" s="13" t="n">
        <f aca="false">H2839+I2839</f>
        <v>2.4986178</v>
      </c>
      <c r="L2839" s="13" t="n">
        <f aca="false">MAX(0,D2839-K2839)</f>
        <v>1.4533822</v>
      </c>
      <c r="M2839" s="13" t="n">
        <f aca="false">MAX(0,F2839-I2839-J2839)</f>
        <v>0</v>
      </c>
      <c r="N2839" s="13" t="n">
        <f aca="false">IF(Kalender!A277="",0,J2838-H2839)</f>
        <v>0.0150822</v>
      </c>
    </row>
    <row r="2840" customFormat="false" ht="16.4" hidden="false" customHeight="false" outlineLevel="0" collapsed="false">
      <c r="A2840" s="13" t="str">
        <f aca="false">""</f>
        <v/>
      </c>
      <c r="B2840" s="13" t="n">
        <f aca="false">274</f>
        <v>274</v>
      </c>
      <c r="C2840" s="13" t="n">
        <f aca="false">IF(Szenarien!$H$18="OK",(IFERROR(SUMIF(Nutzungsprofile!$B$6:$B$11,"Schulbetrieb",Nutzungsprofile!$G$6:$G$11)*Kalender!C278/SUM(Kalender!$C$5:$C$370),0)+IFERROR(SUMIF(Nutzungsprofile!$B$6:$B$11,"Halle",Nutzungsprofile!$G$6:$G$11)*Kalender!D278/SUM(Kalender!$D$5:$D$370),0)+IFERROR(SUMIF(Nutzungsprofile!$B$6:$B$11,"Individuell",Nutzungsprofile!$G$6:$G$11)*Kalender!E278/SUM(Kalender!$E$5:$E$370),0))*Szenarien!$E$18,0)</f>
        <v>2.94</v>
      </c>
      <c r="D2840" s="13" t="n">
        <f aca="false">IF(Szenarien!$H$18="OK",(IFERROR(SUMIF(Nutzungsprofile!$B$17:$B$22,"Schulbetrieb",Nutzungsprofile!$G$17:$G$22)*Kalender!C278/SUM(Kalender!$C$5:$C$370),0)+IFERROR(SUMIF(Nutzungsprofile!$B$17:$B$22,"Halle",Nutzungsprofile!$G$17:$G$22)*Kalender!D278/SUM(Kalender!$D$5:$D$370),0)+IFERROR(SUMIF(Nutzungsprofile!$B$17:$B$22,"Individuell",Nutzungsprofile!$G$17:$G$22)*Kalender!E278/SUM(Kalender!$E$5:$E$370),0))*Szenarien!$D$18,0)</f>
        <v>3.952</v>
      </c>
      <c r="E2840" s="13" t="n">
        <f aca="false">IFERROR(MIN(C2840,Eingaben!$B$17)*Eingaben!$B$16,0)</f>
        <v>2.793</v>
      </c>
      <c r="F2840" s="13" t="n">
        <f aca="false">IFERROR(E2840*Eingaben!$B$15,0)</f>
        <v>2.5137</v>
      </c>
      <c r="G2840" s="13" t="n">
        <f aca="false">IFERROR(IF(Kalender!A278="",0,J2839*(1-Eingaben!$B$20)),0)</f>
        <v>0.7390278</v>
      </c>
      <c r="H2840" s="13" t="n">
        <f aca="false">MIN(G2840,D2840)</f>
        <v>0.7390278</v>
      </c>
      <c r="I2840" s="13" t="n">
        <f aca="false">IFERROR(MIN(F2840*Eingaben!$B$19,MAX(0,D2840-H2840)),0)</f>
        <v>1.75959</v>
      </c>
      <c r="J2840" s="13" t="n">
        <f aca="false">IFERROR(MIN(Eingaben!$B$18,MAX(0,F2840-I2840)),0)</f>
        <v>0.75411</v>
      </c>
      <c r="K2840" s="13" t="n">
        <f aca="false">H2840+I2840</f>
        <v>2.4986178</v>
      </c>
      <c r="L2840" s="13" t="n">
        <f aca="false">MAX(0,D2840-K2840)</f>
        <v>1.4533822</v>
      </c>
      <c r="M2840" s="13" t="n">
        <f aca="false">MAX(0,F2840-I2840-J2840)</f>
        <v>0</v>
      </c>
      <c r="N2840" s="13" t="n">
        <f aca="false">IF(Kalender!A278="",0,J2839-H2840)</f>
        <v>0.0150822</v>
      </c>
    </row>
    <row r="2841" customFormat="false" ht="16.4" hidden="false" customHeight="false" outlineLevel="0" collapsed="false">
      <c r="A2841" s="13" t="str">
        <f aca="false">""</f>
        <v/>
      </c>
      <c r="B2841" s="13" t="n">
        <f aca="false">275</f>
        <v>275</v>
      </c>
      <c r="C2841" s="13" t="n">
        <f aca="false">IF(Szenarien!$H$18="OK",(IFERROR(SUMIF(Nutzungsprofile!$B$6:$B$11,"Schulbetrieb",Nutzungsprofile!$G$6:$G$11)*Kalender!C279/SUM(Kalender!$C$5:$C$370),0)+IFERROR(SUMIF(Nutzungsprofile!$B$6:$B$11,"Halle",Nutzungsprofile!$G$6:$G$11)*Kalender!D279/SUM(Kalender!$D$5:$D$370),0)+IFERROR(SUMIF(Nutzungsprofile!$B$6:$B$11,"Individuell",Nutzungsprofile!$G$6:$G$11)*Kalender!E279/SUM(Kalender!$E$5:$E$370),0))*Szenarien!$E$18,0)</f>
        <v>2.94</v>
      </c>
      <c r="D2841" s="13" t="n">
        <f aca="false">IF(Szenarien!$H$18="OK",(IFERROR(SUMIF(Nutzungsprofile!$B$17:$B$22,"Schulbetrieb",Nutzungsprofile!$G$17:$G$22)*Kalender!C279/SUM(Kalender!$C$5:$C$370),0)+IFERROR(SUMIF(Nutzungsprofile!$B$17:$B$22,"Halle",Nutzungsprofile!$G$17:$G$22)*Kalender!D279/SUM(Kalender!$D$5:$D$370),0)+IFERROR(SUMIF(Nutzungsprofile!$B$17:$B$22,"Individuell",Nutzungsprofile!$G$17:$G$22)*Kalender!E279/SUM(Kalender!$E$5:$E$370),0))*Szenarien!$D$18,0)</f>
        <v>3.952</v>
      </c>
      <c r="E2841" s="13" t="n">
        <f aca="false">IFERROR(MIN(C2841,Eingaben!$B$17)*Eingaben!$B$16,0)</f>
        <v>2.793</v>
      </c>
      <c r="F2841" s="13" t="n">
        <f aca="false">IFERROR(E2841*Eingaben!$B$15,0)</f>
        <v>2.5137</v>
      </c>
      <c r="G2841" s="13" t="n">
        <f aca="false">IFERROR(IF(Kalender!A279="",0,J2840*(1-Eingaben!$B$20)),0)</f>
        <v>0.7390278</v>
      </c>
      <c r="H2841" s="13" t="n">
        <f aca="false">MIN(G2841,D2841)</f>
        <v>0.7390278</v>
      </c>
      <c r="I2841" s="13" t="n">
        <f aca="false">IFERROR(MIN(F2841*Eingaben!$B$19,MAX(0,D2841-H2841)),0)</f>
        <v>1.75959</v>
      </c>
      <c r="J2841" s="13" t="n">
        <f aca="false">IFERROR(MIN(Eingaben!$B$18,MAX(0,F2841-I2841)),0)</f>
        <v>0.75411</v>
      </c>
      <c r="K2841" s="13" t="n">
        <f aca="false">H2841+I2841</f>
        <v>2.4986178</v>
      </c>
      <c r="L2841" s="13" t="n">
        <f aca="false">MAX(0,D2841-K2841)</f>
        <v>1.4533822</v>
      </c>
      <c r="M2841" s="13" t="n">
        <f aca="false">MAX(0,F2841-I2841-J2841)</f>
        <v>0</v>
      </c>
      <c r="N2841" s="13" t="n">
        <f aca="false">IF(Kalender!A279="",0,J2840-H2841)</f>
        <v>0.0150822</v>
      </c>
    </row>
    <row r="2842" customFormat="false" ht="16.4" hidden="false" customHeight="false" outlineLevel="0" collapsed="false">
      <c r="A2842" s="13" t="str">
        <f aca="false">""</f>
        <v/>
      </c>
      <c r="B2842" s="13" t="n">
        <f aca="false">276</f>
        <v>276</v>
      </c>
      <c r="C2842" s="13" t="n">
        <f aca="false">IF(Szenarien!$H$18="OK",(IFERROR(SUMIF(Nutzungsprofile!$B$6:$B$11,"Schulbetrieb",Nutzungsprofile!$G$6:$G$11)*Kalender!C280/SUM(Kalender!$C$5:$C$370),0)+IFERROR(SUMIF(Nutzungsprofile!$B$6:$B$11,"Halle",Nutzungsprofile!$G$6:$G$11)*Kalender!D280/SUM(Kalender!$D$5:$D$370),0)+IFERROR(SUMIF(Nutzungsprofile!$B$6:$B$11,"Individuell",Nutzungsprofile!$G$6:$G$11)*Kalender!E280/SUM(Kalender!$E$5:$E$370),0))*Szenarien!$E$18,0)</f>
        <v>2.04</v>
      </c>
      <c r="D2842" s="13" t="n">
        <f aca="false">IF(Szenarien!$H$18="OK",(IFERROR(SUMIF(Nutzungsprofile!$B$17:$B$22,"Schulbetrieb",Nutzungsprofile!$G$17:$G$22)*Kalender!C280/SUM(Kalender!$C$5:$C$370),0)+IFERROR(SUMIF(Nutzungsprofile!$B$17:$B$22,"Halle",Nutzungsprofile!$G$17:$G$22)*Kalender!D280/SUM(Kalender!$D$5:$D$370),0)+IFERROR(SUMIF(Nutzungsprofile!$B$17:$B$22,"Individuell",Nutzungsprofile!$G$17:$G$22)*Kalender!E280/SUM(Kalender!$E$5:$E$370),0))*Szenarien!$D$18,0)</f>
        <v>0.712</v>
      </c>
      <c r="E2842" s="13" t="n">
        <f aca="false">IFERROR(MIN(C2842,Eingaben!$B$17)*Eingaben!$B$16,0)</f>
        <v>1.938</v>
      </c>
      <c r="F2842" s="13" t="n">
        <f aca="false">IFERROR(E2842*Eingaben!$B$15,0)</f>
        <v>1.7442</v>
      </c>
      <c r="G2842" s="13" t="n">
        <f aca="false">IFERROR(IF(Kalender!A280="",0,J2841*(1-Eingaben!$B$20)),0)</f>
        <v>0.7390278</v>
      </c>
      <c r="H2842" s="13" t="n">
        <f aca="false">MIN(G2842,D2842)</f>
        <v>0.712</v>
      </c>
      <c r="I2842" s="13" t="n">
        <f aca="false">IFERROR(MIN(F2842*Eingaben!$B$19,MAX(0,D2842-H2842)),0)</f>
        <v>0</v>
      </c>
      <c r="J2842" s="13" t="n">
        <f aca="false">IFERROR(MIN(Eingaben!$B$18,MAX(0,F2842-I2842)),0)</f>
        <v>1.7442</v>
      </c>
      <c r="K2842" s="13" t="n">
        <f aca="false">H2842+I2842</f>
        <v>0.712</v>
      </c>
      <c r="L2842" s="13" t="n">
        <f aca="false">MAX(0,D2842-K2842)</f>
        <v>0</v>
      </c>
      <c r="M2842" s="13" t="n">
        <f aca="false">MAX(0,F2842-I2842-J2842)</f>
        <v>0</v>
      </c>
      <c r="N2842" s="13" t="n">
        <f aca="false">IF(Kalender!A280="",0,J2841-H2842)</f>
        <v>0.04211</v>
      </c>
    </row>
    <row r="2843" customFormat="false" ht="16.4" hidden="false" customHeight="false" outlineLevel="0" collapsed="false">
      <c r="A2843" s="13" t="str">
        <f aca="false">""</f>
        <v/>
      </c>
      <c r="B2843" s="13" t="n">
        <f aca="false">277</f>
        <v>277</v>
      </c>
      <c r="C2843" s="13" t="n">
        <f aca="false">IF(Szenarien!$H$18="OK",(IFERROR(SUMIF(Nutzungsprofile!$B$6:$B$11,"Schulbetrieb",Nutzungsprofile!$G$6:$G$11)*Kalender!C281/SUM(Kalender!$C$5:$C$370),0)+IFERROR(SUMIF(Nutzungsprofile!$B$6:$B$11,"Halle",Nutzungsprofile!$G$6:$G$11)*Kalender!D281/SUM(Kalender!$D$5:$D$370),0)+IFERROR(SUMIF(Nutzungsprofile!$B$6:$B$11,"Individuell",Nutzungsprofile!$G$6:$G$11)*Kalender!E281/SUM(Kalender!$E$5:$E$370),0))*Szenarien!$E$18,0)</f>
        <v>2.04</v>
      </c>
      <c r="D2843" s="13" t="n">
        <f aca="false">IF(Szenarien!$H$18="OK",(IFERROR(SUMIF(Nutzungsprofile!$B$17:$B$22,"Schulbetrieb",Nutzungsprofile!$G$17:$G$22)*Kalender!C281/SUM(Kalender!$C$5:$C$370),0)+IFERROR(SUMIF(Nutzungsprofile!$B$17:$B$22,"Halle",Nutzungsprofile!$G$17:$G$22)*Kalender!D281/SUM(Kalender!$D$5:$D$370),0)+IFERROR(SUMIF(Nutzungsprofile!$B$17:$B$22,"Individuell",Nutzungsprofile!$G$17:$G$22)*Kalender!E281/SUM(Kalender!$E$5:$E$370),0))*Szenarien!$D$18,0)</f>
        <v>0.712</v>
      </c>
      <c r="E2843" s="13" t="n">
        <f aca="false">IFERROR(MIN(C2843,Eingaben!$B$17)*Eingaben!$B$16,0)</f>
        <v>1.938</v>
      </c>
      <c r="F2843" s="13" t="n">
        <f aca="false">IFERROR(E2843*Eingaben!$B$15,0)</f>
        <v>1.7442</v>
      </c>
      <c r="G2843" s="13" t="n">
        <f aca="false">IFERROR(IF(Kalender!A281="",0,J2842*(1-Eingaben!$B$20)),0)</f>
        <v>1.709316</v>
      </c>
      <c r="H2843" s="13" t="n">
        <f aca="false">MIN(G2843,D2843)</f>
        <v>0.712</v>
      </c>
      <c r="I2843" s="13" t="n">
        <f aca="false">IFERROR(MIN(F2843*Eingaben!$B$19,MAX(0,D2843-H2843)),0)</f>
        <v>0</v>
      </c>
      <c r="J2843" s="13" t="n">
        <f aca="false">IFERROR(MIN(Eingaben!$B$18,MAX(0,F2843-I2843)),0)</f>
        <v>1.7442</v>
      </c>
      <c r="K2843" s="13" t="n">
        <f aca="false">H2843+I2843</f>
        <v>0.712</v>
      </c>
      <c r="L2843" s="13" t="n">
        <f aca="false">MAX(0,D2843-K2843)</f>
        <v>0</v>
      </c>
      <c r="M2843" s="13" t="n">
        <f aca="false">MAX(0,F2843-I2843-J2843)</f>
        <v>0</v>
      </c>
      <c r="N2843" s="13" t="n">
        <f aca="false">IF(Kalender!A281="",0,J2842-H2843)</f>
        <v>1.0322</v>
      </c>
    </row>
    <row r="2844" customFormat="false" ht="16.4" hidden="false" customHeight="false" outlineLevel="0" collapsed="false">
      <c r="A2844" s="13" t="str">
        <f aca="false">""</f>
        <v/>
      </c>
      <c r="B2844" s="13" t="n">
        <f aca="false">278</f>
        <v>278</v>
      </c>
      <c r="C2844" s="13" t="n">
        <f aca="false">IF(Szenarien!$H$18="OK",(IFERROR(SUMIF(Nutzungsprofile!$B$6:$B$11,"Schulbetrieb",Nutzungsprofile!$G$6:$G$11)*Kalender!C282/SUM(Kalender!$C$5:$C$370),0)+IFERROR(SUMIF(Nutzungsprofile!$B$6:$B$11,"Halle",Nutzungsprofile!$G$6:$G$11)*Kalender!D282/SUM(Kalender!$D$5:$D$370),0)+IFERROR(SUMIF(Nutzungsprofile!$B$6:$B$11,"Individuell",Nutzungsprofile!$G$6:$G$11)*Kalender!E282/SUM(Kalender!$E$5:$E$370),0))*Szenarien!$E$18,0)</f>
        <v>2.94</v>
      </c>
      <c r="D2844" s="13" t="n">
        <f aca="false">IF(Szenarien!$H$18="OK",(IFERROR(SUMIF(Nutzungsprofile!$B$17:$B$22,"Schulbetrieb",Nutzungsprofile!$G$17:$G$22)*Kalender!C282/SUM(Kalender!$C$5:$C$370),0)+IFERROR(SUMIF(Nutzungsprofile!$B$17:$B$22,"Halle",Nutzungsprofile!$G$17:$G$22)*Kalender!D282/SUM(Kalender!$D$5:$D$370),0)+IFERROR(SUMIF(Nutzungsprofile!$B$17:$B$22,"Individuell",Nutzungsprofile!$G$17:$G$22)*Kalender!E282/SUM(Kalender!$E$5:$E$370),0))*Szenarien!$D$18,0)</f>
        <v>3.952</v>
      </c>
      <c r="E2844" s="13" t="n">
        <f aca="false">IFERROR(MIN(C2844,Eingaben!$B$17)*Eingaben!$B$16,0)</f>
        <v>2.793</v>
      </c>
      <c r="F2844" s="13" t="n">
        <f aca="false">IFERROR(E2844*Eingaben!$B$15,0)</f>
        <v>2.5137</v>
      </c>
      <c r="G2844" s="13" t="n">
        <f aca="false">IFERROR(IF(Kalender!A282="",0,J2843*(1-Eingaben!$B$20)),0)</f>
        <v>1.709316</v>
      </c>
      <c r="H2844" s="13" t="n">
        <f aca="false">MIN(G2844,D2844)</f>
        <v>1.709316</v>
      </c>
      <c r="I2844" s="13" t="n">
        <f aca="false">IFERROR(MIN(F2844*Eingaben!$B$19,MAX(0,D2844-H2844)),0)</f>
        <v>1.75959</v>
      </c>
      <c r="J2844" s="13" t="n">
        <f aca="false">IFERROR(MIN(Eingaben!$B$18,MAX(0,F2844-I2844)),0)</f>
        <v>0.75411</v>
      </c>
      <c r="K2844" s="13" t="n">
        <f aca="false">H2844+I2844</f>
        <v>3.468906</v>
      </c>
      <c r="L2844" s="13" t="n">
        <f aca="false">MAX(0,D2844-K2844)</f>
        <v>0.483094</v>
      </c>
      <c r="M2844" s="13" t="n">
        <f aca="false">MAX(0,F2844-I2844-J2844)</f>
        <v>0</v>
      </c>
      <c r="N2844" s="13" t="n">
        <f aca="false">IF(Kalender!A282="",0,J2843-H2844)</f>
        <v>0.0348840000000001</v>
      </c>
    </row>
    <row r="2845" customFormat="false" ht="16.4" hidden="false" customHeight="false" outlineLevel="0" collapsed="false">
      <c r="A2845" s="13" t="str">
        <f aca="false">""</f>
        <v/>
      </c>
      <c r="B2845" s="13" t="n">
        <f aca="false">279</f>
        <v>279</v>
      </c>
      <c r="C2845" s="13" t="n">
        <f aca="false">IF(Szenarien!$H$18="OK",(IFERROR(SUMIF(Nutzungsprofile!$B$6:$B$11,"Schulbetrieb",Nutzungsprofile!$G$6:$G$11)*Kalender!C283/SUM(Kalender!$C$5:$C$370),0)+IFERROR(SUMIF(Nutzungsprofile!$B$6:$B$11,"Halle",Nutzungsprofile!$G$6:$G$11)*Kalender!D283/SUM(Kalender!$D$5:$D$370),0)+IFERROR(SUMIF(Nutzungsprofile!$B$6:$B$11,"Individuell",Nutzungsprofile!$G$6:$G$11)*Kalender!E283/SUM(Kalender!$E$5:$E$370),0))*Szenarien!$E$18,0)</f>
        <v>2.94</v>
      </c>
      <c r="D2845" s="13" t="n">
        <f aca="false">IF(Szenarien!$H$18="OK",(IFERROR(SUMIF(Nutzungsprofile!$B$17:$B$22,"Schulbetrieb",Nutzungsprofile!$G$17:$G$22)*Kalender!C283/SUM(Kalender!$C$5:$C$370),0)+IFERROR(SUMIF(Nutzungsprofile!$B$17:$B$22,"Halle",Nutzungsprofile!$G$17:$G$22)*Kalender!D283/SUM(Kalender!$D$5:$D$370),0)+IFERROR(SUMIF(Nutzungsprofile!$B$17:$B$22,"Individuell",Nutzungsprofile!$G$17:$G$22)*Kalender!E283/SUM(Kalender!$E$5:$E$370),0))*Szenarien!$D$18,0)</f>
        <v>3.952</v>
      </c>
      <c r="E2845" s="13" t="n">
        <f aca="false">IFERROR(MIN(C2845,Eingaben!$B$17)*Eingaben!$B$16,0)</f>
        <v>2.793</v>
      </c>
      <c r="F2845" s="13" t="n">
        <f aca="false">IFERROR(E2845*Eingaben!$B$15,0)</f>
        <v>2.5137</v>
      </c>
      <c r="G2845" s="13" t="n">
        <f aca="false">IFERROR(IF(Kalender!A283="",0,J2844*(1-Eingaben!$B$20)),0)</f>
        <v>0.7390278</v>
      </c>
      <c r="H2845" s="13" t="n">
        <f aca="false">MIN(G2845,D2845)</f>
        <v>0.7390278</v>
      </c>
      <c r="I2845" s="13" t="n">
        <f aca="false">IFERROR(MIN(F2845*Eingaben!$B$19,MAX(0,D2845-H2845)),0)</f>
        <v>1.75959</v>
      </c>
      <c r="J2845" s="13" t="n">
        <f aca="false">IFERROR(MIN(Eingaben!$B$18,MAX(0,F2845-I2845)),0)</f>
        <v>0.75411</v>
      </c>
      <c r="K2845" s="13" t="n">
        <f aca="false">H2845+I2845</f>
        <v>2.4986178</v>
      </c>
      <c r="L2845" s="13" t="n">
        <f aca="false">MAX(0,D2845-K2845)</f>
        <v>1.4533822</v>
      </c>
      <c r="M2845" s="13" t="n">
        <f aca="false">MAX(0,F2845-I2845-J2845)</f>
        <v>0</v>
      </c>
      <c r="N2845" s="13" t="n">
        <f aca="false">IF(Kalender!A283="",0,J2844-H2845)</f>
        <v>0.0150822</v>
      </c>
    </row>
    <row r="2846" customFormat="false" ht="16.4" hidden="false" customHeight="false" outlineLevel="0" collapsed="false">
      <c r="A2846" s="13" t="str">
        <f aca="false">""</f>
        <v/>
      </c>
      <c r="B2846" s="13" t="n">
        <f aca="false">280</f>
        <v>280</v>
      </c>
      <c r="C2846" s="13" t="n">
        <f aca="false">IF(Szenarien!$H$18="OK",(IFERROR(SUMIF(Nutzungsprofile!$B$6:$B$11,"Schulbetrieb",Nutzungsprofile!$G$6:$G$11)*Kalender!C284/SUM(Kalender!$C$5:$C$370),0)+IFERROR(SUMIF(Nutzungsprofile!$B$6:$B$11,"Halle",Nutzungsprofile!$G$6:$G$11)*Kalender!D284/SUM(Kalender!$D$5:$D$370),0)+IFERROR(SUMIF(Nutzungsprofile!$B$6:$B$11,"Individuell",Nutzungsprofile!$G$6:$G$11)*Kalender!E284/SUM(Kalender!$E$5:$E$370),0))*Szenarien!$E$18,0)</f>
        <v>2.94</v>
      </c>
      <c r="D2846" s="13" t="n">
        <f aca="false">IF(Szenarien!$H$18="OK",(IFERROR(SUMIF(Nutzungsprofile!$B$17:$B$22,"Schulbetrieb",Nutzungsprofile!$G$17:$G$22)*Kalender!C284/SUM(Kalender!$C$5:$C$370),0)+IFERROR(SUMIF(Nutzungsprofile!$B$17:$B$22,"Halle",Nutzungsprofile!$G$17:$G$22)*Kalender!D284/SUM(Kalender!$D$5:$D$370),0)+IFERROR(SUMIF(Nutzungsprofile!$B$17:$B$22,"Individuell",Nutzungsprofile!$G$17:$G$22)*Kalender!E284/SUM(Kalender!$E$5:$E$370),0))*Szenarien!$D$18,0)</f>
        <v>3.952</v>
      </c>
      <c r="E2846" s="13" t="n">
        <f aca="false">IFERROR(MIN(C2846,Eingaben!$B$17)*Eingaben!$B$16,0)</f>
        <v>2.793</v>
      </c>
      <c r="F2846" s="13" t="n">
        <f aca="false">IFERROR(E2846*Eingaben!$B$15,0)</f>
        <v>2.5137</v>
      </c>
      <c r="G2846" s="13" t="n">
        <f aca="false">IFERROR(IF(Kalender!A284="",0,J2845*(1-Eingaben!$B$20)),0)</f>
        <v>0.7390278</v>
      </c>
      <c r="H2846" s="13" t="n">
        <f aca="false">MIN(G2846,D2846)</f>
        <v>0.7390278</v>
      </c>
      <c r="I2846" s="13" t="n">
        <f aca="false">IFERROR(MIN(F2846*Eingaben!$B$19,MAX(0,D2846-H2846)),0)</f>
        <v>1.75959</v>
      </c>
      <c r="J2846" s="13" t="n">
        <f aca="false">IFERROR(MIN(Eingaben!$B$18,MAX(0,F2846-I2846)),0)</f>
        <v>0.75411</v>
      </c>
      <c r="K2846" s="13" t="n">
        <f aca="false">H2846+I2846</f>
        <v>2.4986178</v>
      </c>
      <c r="L2846" s="13" t="n">
        <f aca="false">MAX(0,D2846-K2846)</f>
        <v>1.4533822</v>
      </c>
      <c r="M2846" s="13" t="n">
        <f aca="false">MAX(0,F2846-I2846-J2846)</f>
        <v>0</v>
      </c>
      <c r="N2846" s="13" t="n">
        <f aca="false">IF(Kalender!A284="",0,J2845-H2846)</f>
        <v>0.0150822</v>
      </c>
    </row>
    <row r="2847" customFormat="false" ht="16.4" hidden="false" customHeight="false" outlineLevel="0" collapsed="false">
      <c r="A2847" s="13" t="str">
        <f aca="false">""</f>
        <v/>
      </c>
      <c r="B2847" s="13" t="n">
        <f aca="false">281</f>
        <v>281</v>
      </c>
      <c r="C2847" s="13" t="n">
        <f aca="false">IF(Szenarien!$H$18="OK",(IFERROR(SUMIF(Nutzungsprofile!$B$6:$B$11,"Schulbetrieb",Nutzungsprofile!$G$6:$G$11)*Kalender!C285/SUM(Kalender!$C$5:$C$370),0)+IFERROR(SUMIF(Nutzungsprofile!$B$6:$B$11,"Halle",Nutzungsprofile!$G$6:$G$11)*Kalender!D285/SUM(Kalender!$D$5:$D$370),0)+IFERROR(SUMIF(Nutzungsprofile!$B$6:$B$11,"Individuell",Nutzungsprofile!$G$6:$G$11)*Kalender!E285/SUM(Kalender!$E$5:$E$370),0))*Szenarien!$E$18,0)</f>
        <v>0.9</v>
      </c>
      <c r="D2847" s="13" t="n">
        <f aca="false">IF(Szenarien!$H$18="OK",(IFERROR(SUMIF(Nutzungsprofile!$B$17:$B$22,"Schulbetrieb",Nutzungsprofile!$G$17:$G$22)*Kalender!C285/SUM(Kalender!$C$5:$C$370),0)+IFERROR(SUMIF(Nutzungsprofile!$B$17:$B$22,"Halle",Nutzungsprofile!$G$17:$G$22)*Kalender!D285/SUM(Kalender!$D$5:$D$370),0)+IFERROR(SUMIF(Nutzungsprofile!$B$17:$B$22,"Individuell",Nutzungsprofile!$G$17:$G$22)*Kalender!E285/SUM(Kalender!$E$5:$E$370),0))*Szenarien!$D$18,0)</f>
        <v>3.24</v>
      </c>
      <c r="E2847" s="13" t="n">
        <f aca="false">IFERROR(MIN(C2847,Eingaben!$B$17)*Eingaben!$B$16,0)</f>
        <v>0.855</v>
      </c>
      <c r="F2847" s="13" t="n">
        <f aca="false">IFERROR(E2847*Eingaben!$B$15,0)</f>
        <v>0.7695</v>
      </c>
      <c r="G2847" s="13" t="n">
        <f aca="false">IFERROR(IF(Kalender!A285="",0,J2846*(1-Eingaben!$B$20)),0)</f>
        <v>0.7390278</v>
      </c>
      <c r="H2847" s="13" t="n">
        <f aca="false">MIN(G2847,D2847)</f>
        <v>0.7390278</v>
      </c>
      <c r="I2847" s="13" t="n">
        <f aca="false">IFERROR(MIN(F2847*Eingaben!$B$19,MAX(0,D2847-H2847)),0)</f>
        <v>0.53865</v>
      </c>
      <c r="J2847" s="13" t="n">
        <f aca="false">IFERROR(MIN(Eingaben!$B$18,MAX(0,F2847-I2847)),0)</f>
        <v>0.23085</v>
      </c>
      <c r="K2847" s="13" t="n">
        <f aca="false">H2847+I2847</f>
        <v>1.2776778</v>
      </c>
      <c r="L2847" s="13" t="n">
        <f aca="false">MAX(0,D2847-K2847)</f>
        <v>1.9623222</v>
      </c>
      <c r="M2847" s="13" t="n">
        <f aca="false">MAX(0,F2847-I2847-J2847)</f>
        <v>0</v>
      </c>
      <c r="N2847" s="13" t="n">
        <f aca="false">IF(Kalender!A285="",0,J2846-H2847)</f>
        <v>0.0150822</v>
      </c>
    </row>
    <row r="2848" customFormat="false" ht="16.4" hidden="false" customHeight="false" outlineLevel="0" collapsed="false">
      <c r="A2848" s="13" t="str">
        <f aca="false">""</f>
        <v/>
      </c>
      <c r="B2848" s="13" t="n">
        <f aca="false">282</f>
        <v>282</v>
      </c>
      <c r="C2848" s="13" t="n">
        <f aca="false">IF(Szenarien!$H$18="OK",(IFERROR(SUMIF(Nutzungsprofile!$B$6:$B$11,"Schulbetrieb",Nutzungsprofile!$G$6:$G$11)*Kalender!C286/SUM(Kalender!$C$5:$C$370),0)+IFERROR(SUMIF(Nutzungsprofile!$B$6:$B$11,"Halle",Nutzungsprofile!$G$6:$G$11)*Kalender!D286/SUM(Kalender!$D$5:$D$370),0)+IFERROR(SUMIF(Nutzungsprofile!$B$6:$B$11,"Individuell",Nutzungsprofile!$G$6:$G$11)*Kalender!E286/SUM(Kalender!$E$5:$E$370),0))*Szenarien!$E$18,0)</f>
        <v>0.9</v>
      </c>
      <c r="D2848" s="13" t="n">
        <f aca="false">IF(Szenarien!$H$18="OK",(IFERROR(SUMIF(Nutzungsprofile!$B$17:$B$22,"Schulbetrieb",Nutzungsprofile!$G$17:$G$22)*Kalender!C286/SUM(Kalender!$C$5:$C$370),0)+IFERROR(SUMIF(Nutzungsprofile!$B$17:$B$22,"Halle",Nutzungsprofile!$G$17:$G$22)*Kalender!D286/SUM(Kalender!$D$5:$D$370),0)+IFERROR(SUMIF(Nutzungsprofile!$B$17:$B$22,"Individuell",Nutzungsprofile!$G$17:$G$22)*Kalender!E286/SUM(Kalender!$E$5:$E$370),0))*Szenarien!$D$18,0)</f>
        <v>3.24</v>
      </c>
      <c r="E2848" s="13" t="n">
        <f aca="false">IFERROR(MIN(C2848,Eingaben!$B$17)*Eingaben!$B$16,0)</f>
        <v>0.855</v>
      </c>
      <c r="F2848" s="13" t="n">
        <f aca="false">IFERROR(E2848*Eingaben!$B$15,0)</f>
        <v>0.7695</v>
      </c>
      <c r="G2848" s="13" t="n">
        <f aca="false">IFERROR(IF(Kalender!A286="",0,J2847*(1-Eingaben!$B$20)),0)</f>
        <v>0.226233</v>
      </c>
      <c r="H2848" s="13" t="n">
        <f aca="false">MIN(G2848,D2848)</f>
        <v>0.226233</v>
      </c>
      <c r="I2848" s="13" t="n">
        <f aca="false">IFERROR(MIN(F2848*Eingaben!$B$19,MAX(0,D2848-H2848)),0)</f>
        <v>0.53865</v>
      </c>
      <c r="J2848" s="13" t="n">
        <f aca="false">IFERROR(MIN(Eingaben!$B$18,MAX(0,F2848-I2848)),0)</f>
        <v>0.23085</v>
      </c>
      <c r="K2848" s="13" t="n">
        <f aca="false">H2848+I2848</f>
        <v>0.764883</v>
      </c>
      <c r="L2848" s="13" t="n">
        <f aca="false">MAX(0,D2848-K2848)</f>
        <v>2.475117</v>
      </c>
      <c r="M2848" s="13" t="n">
        <f aca="false">MAX(0,F2848-I2848-J2848)</f>
        <v>0</v>
      </c>
      <c r="N2848" s="13" t="n">
        <f aca="false">IF(Kalender!A286="",0,J2847-H2848)</f>
        <v>0.00461700000000001</v>
      </c>
    </row>
    <row r="2849" customFormat="false" ht="16.4" hidden="false" customHeight="false" outlineLevel="0" collapsed="false">
      <c r="A2849" s="13" t="str">
        <f aca="false">""</f>
        <v/>
      </c>
      <c r="B2849" s="13" t="n">
        <f aca="false">283</f>
        <v>283</v>
      </c>
      <c r="C2849" s="13" t="n">
        <f aca="false">IF(Szenarien!$H$18="OK",(IFERROR(SUMIF(Nutzungsprofile!$B$6:$B$11,"Schulbetrieb",Nutzungsprofile!$G$6:$G$11)*Kalender!C287/SUM(Kalender!$C$5:$C$370),0)+IFERROR(SUMIF(Nutzungsprofile!$B$6:$B$11,"Halle",Nutzungsprofile!$G$6:$G$11)*Kalender!D287/SUM(Kalender!$D$5:$D$370),0)+IFERROR(SUMIF(Nutzungsprofile!$B$6:$B$11,"Individuell",Nutzungsprofile!$G$6:$G$11)*Kalender!E287/SUM(Kalender!$E$5:$E$370),0))*Szenarien!$E$18,0)</f>
        <v>0</v>
      </c>
      <c r="D2849" s="13" t="n">
        <f aca="false">IF(Szenarien!$H$18="OK",(IFERROR(SUMIF(Nutzungsprofile!$B$17:$B$22,"Schulbetrieb",Nutzungsprofile!$G$17:$G$22)*Kalender!C287/SUM(Kalender!$C$5:$C$370),0)+IFERROR(SUMIF(Nutzungsprofile!$B$17:$B$22,"Halle",Nutzungsprofile!$G$17:$G$22)*Kalender!D287/SUM(Kalender!$D$5:$D$370),0)+IFERROR(SUMIF(Nutzungsprofile!$B$17:$B$22,"Individuell",Nutzungsprofile!$G$17:$G$22)*Kalender!E287/SUM(Kalender!$E$5:$E$370),0))*Szenarien!$D$18,0)</f>
        <v>0</v>
      </c>
      <c r="E2849" s="13" t="n">
        <f aca="false">IFERROR(MIN(C2849,Eingaben!$B$17)*Eingaben!$B$16,0)</f>
        <v>0</v>
      </c>
      <c r="F2849" s="13" t="n">
        <f aca="false">IFERROR(E2849*Eingaben!$B$15,0)</f>
        <v>0</v>
      </c>
      <c r="G2849" s="13" t="n">
        <f aca="false">IFERROR(IF(Kalender!A287="",0,J2848*(1-Eingaben!$B$20)),0)</f>
        <v>0.226233</v>
      </c>
      <c r="H2849" s="13" t="n">
        <f aca="false">MIN(G2849,D2849)</f>
        <v>0</v>
      </c>
      <c r="I2849" s="13" t="n">
        <f aca="false">IFERROR(MIN(F2849*Eingaben!$B$19,MAX(0,D2849-H2849)),0)</f>
        <v>0</v>
      </c>
      <c r="J2849" s="13" t="n">
        <f aca="false">IFERROR(MIN(Eingaben!$B$18,MAX(0,F2849-I2849)),0)</f>
        <v>0</v>
      </c>
      <c r="K2849" s="13" t="n">
        <f aca="false">H2849+I2849</f>
        <v>0</v>
      </c>
      <c r="L2849" s="13" t="n">
        <f aca="false">MAX(0,D2849-K2849)</f>
        <v>0</v>
      </c>
      <c r="M2849" s="13" t="n">
        <f aca="false">MAX(0,F2849-I2849-J2849)</f>
        <v>0</v>
      </c>
      <c r="N2849" s="13" t="n">
        <f aca="false">IF(Kalender!A287="",0,J2848-H2849)</f>
        <v>0.23085</v>
      </c>
    </row>
    <row r="2850" customFormat="false" ht="16.4" hidden="false" customHeight="false" outlineLevel="0" collapsed="false">
      <c r="A2850" s="13" t="str">
        <f aca="false">""</f>
        <v/>
      </c>
      <c r="B2850" s="13" t="n">
        <f aca="false">284</f>
        <v>284</v>
      </c>
      <c r="C2850" s="13" t="n">
        <f aca="false">IF(Szenarien!$H$18="OK",(IFERROR(SUMIF(Nutzungsprofile!$B$6:$B$11,"Schulbetrieb",Nutzungsprofile!$G$6:$G$11)*Kalender!C288/SUM(Kalender!$C$5:$C$370),0)+IFERROR(SUMIF(Nutzungsprofile!$B$6:$B$11,"Halle",Nutzungsprofile!$G$6:$G$11)*Kalender!D288/SUM(Kalender!$D$5:$D$370),0)+IFERROR(SUMIF(Nutzungsprofile!$B$6:$B$11,"Individuell",Nutzungsprofile!$G$6:$G$11)*Kalender!E288/SUM(Kalender!$E$5:$E$370),0))*Szenarien!$E$18,0)</f>
        <v>0</v>
      </c>
      <c r="D2850" s="13" t="n">
        <f aca="false">IF(Szenarien!$H$18="OK",(IFERROR(SUMIF(Nutzungsprofile!$B$17:$B$22,"Schulbetrieb",Nutzungsprofile!$G$17:$G$22)*Kalender!C288/SUM(Kalender!$C$5:$C$370),0)+IFERROR(SUMIF(Nutzungsprofile!$B$17:$B$22,"Halle",Nutzungsprofile!$G$17:$G$22)*Kalender!D288/SUM(Kalender!$D$5:$D$370),0)+IFERROR(SUMIF(Nutzungsprofile!$B$17:$B$22,"Individuell",Nutzungsprofile!$G$17:$G$22)*Kalender!E288/SUM(Kalender!$E$5:$E$370),0))*Szenarien!$D$18,0)</f>
        <v>0</v>
      </c>
      <c r="E2850" s="13" t="n">
        <f aca="false">IFERROR(MIN(C2850,Eingaben!$B$17)*Eingaben!$B$16,0)</f>
        <v>0</v>
      </c>
      <c r="F2850" s="13" t="n">
        <f aca="false">IFERROR(E2850*Eingaben!$B$15,0)</f>
        <v>0</v>
      </c>
      <c r="G2850" s="13" t="n">
        <f aca="false">IFERROR(IF(Kalender!A288="",0,J2849*(1-Eingaben!$B$20)),0)</f>
        <v>0</v>
      </c>
      <c r="H2850" s="13" t="n">
        <f aca="false">MIN(G2850,D2850)</f>
        <v>0</v>
      </c>
      <c r="I2850" s="13" t="n">
        <f aca="false">IFERROR(MIN(F2850*Eingaben!$B$19,MAX(0,D2850-H2850)),0)</f>
        <v>0</v>
      </c>
      <c r="J2850" s="13" t="n">
        <f aca="false">IFERROR(MIN(Eingaben!$B$18,MAX(0,F2850-I2850)),0)</f>
        <v>0</v>
      </c>
      <c r="K2850" s="13" t="n">
        <f aca="false">H2850+I2850</f>
        <v>0</v>
      </c>
      <c r="L2850" s="13" t="n">
        <f aca="false">MAX(0,D2850-K2850)</f>
        <v>0</v>
      </c>
      <c r="M2850" s="13" t="n">
        <f aca="false">MAX(0,F2850-I2850-J2850)</f>
        <v>0</v>
      </c>
      <c r="N2850" s="13" t="n">
        <f aca="false">IF(Kalender!A288="",0,J2849-H2850)</f>
        <v>0</v>
      </c>
    </row>
    <row r="2851" customFormat="false" ht="16.4" hidden="false" customHeight="false" outlineLevel="0" collapsed="false">
      <c r="A2851" s="13" t="str">
        <f aca="false">""</f>
        <v/>
      </c>
      <c r="B2851" s="13" t="n">
        <f aca="false">285</f>
        <v>285</v>
      </c>
      <c r="C2851" s="13" t="n">
        <f aca="false">IF(Szenarien!$H$18="OK",(IFERROR(SUMIF(Nutzungsprofile!$B$6:$B$11,"Schulbetrieb",Nutzungsprofile!$G$6:$G$11)*Kalender!C289/SUM(Kalender!$C$5:$C$370),0)+IFERROR(SUMIF(Nutzungsprofile!$B$6:$B$11,"Halle",Nutzungsprofile!$G$6:$G$11)*Kalender!D289/SUM(Kalender!$D$5:$D$370),0)+IFERROR(SUMIF(Nutzungsprofile!$B$6:$B$11,"Individuell",Nutzungsprofile!$G$6:$G$11)*Kalender!E289/SUM(Kalender!$E$5:$E$370),0))*Szenarien!$E$18,0)</f>
        <v>0.9</v>
      </c>
      <c r="D2851" s="13" t="n">
        <f aca="false">IF(Szenarien!$H$18="OK",(IFERROR(SUMIF(Nutzungsprofile!$B$17:$B$22,"Schulbetrieb",Nutzungsprofile!$G$17:$G$22)*Kalender!C289/SUM(Kalender!$C$5:$C$370),0)+IFERROR(SUMIF(Nutzungsprofile!$B$17:$B$22,"Halle",Nutzungsprofile!$G$17:$G$22)*Kalender!D289/SUM(Kalender!$D$5:$D$370),0)+IFERROR(SUMIF(Nutzungsprofile!$B$17:$B$22,"Individuell",Nutzungsprofile!$G$17:$G$22)*Kalender!E289/SUM(Kalender!$E$5:$E$370),0))*Szenarien!$D$18,0)</f>
        <v>3.24</v>
      </c>
      <c r="E2851" s="13" t="n">
        <f aca="false">IFERROR(MIN(C2851,Eingaben!$B$17)*Eingaben!$B$16,0)</f>
        <v>0.855</v>
      </c>
      <c r="F2851" s="13" t="n">
        <f aca="false">IFERROR(E2851*Eingaben!$B$15,0)</f>
        <v>0.7695</v>
      </c>
      <c r="G2851" s="13" t="n">
        <f aca="false">IFERROR(IF(Kalender!A289="",0,J2850*(1-Eingaben!$B$20)),0)</f>
        <v>0</v>
      </c>
      <c r="H2851" s="13" t="n">
        <f aca="false">MIN(G2851,D2851)</f>
        <v>0</v>
      </c>
      <c r="I2851" s="13" t="n">
        <f aca="false">IFERROR(MIN(F2851*Eingaben!$B$19,MAX(0,D2851-H2851)),0)</f>
        <v>0.53865</v>
      </c>
      <c r="J2851" s="13" t="n">
        <f aca="false">IFERROR(MIN(Eingaben!$B$18,MAX(0,F2851-I2851)),0)</f>
        <v>0.23085</v>
      </c>
      <c r="K2851" s="13" t="n">
        <f aca="false">H2851+I2851</f>
        <v>0.53865</v>
      </c>
      <c r="L2851" s="13" t="n">
        <f aca="false">MAX(0,D2851-K2851)</f>
        <v>2.70135</v>
      </c>
      <c r="M2851" s="13" t="n">
        <f aca="false">MAX(0,F2851-I2851-J2851)</f>
        <v>0</v>
      </c>
      <c r="N2851" s="13" t="n">
        <f aca="false">IF(Kalender!A289="",0,J2850-H2851)</f>
        <v>0</v>
      </c>
    </row>
    <row r="2852" customFormat="false" ht="16.4" hidden="false" customHeight="false" outlineLevel="0" collapsed="false">
      <c r="A2852" s="13" t="str">
        <f aca="false">""</f>
        <v/>
      </c>
      <c r="B2852" s="13" t="n">
        <f aca="false">286</f>
        <v>286</v>
      </c>
      <c r="C2852" s="13" t="n">
        <f aca="false">IF(Szenarien!$H$18="OK",(IFERROR(SUMIF(Nutzungsprofile!$B$6:$B$11,"Schulbetrieb",Nutzungsprofile!$G$6:$G$11)*Kalender!C290/SUM(Kalender!$C$5:$C$370),0)+IFERROR(SUMIF(Nutzungsprofile!$B$6:$B$11,"Halle",Nutzungsprofile!$G$6:$G$11)*Kalender!D290/SUM(Kalender!$D$5:$D$370),0)+IFERROR(SUMIF(Nutzungsprofile!$B$6:$B$11,"Individuell",Nutzungsprofile!$G$6:$G$11)*Kalender!E290/SUM(Kalender!$E$5:$E$370),0))*Szenarien!$E$18,0)</f>
        <v>0.9</v>
      </c>
      <c r="D2852" s="13" t="n">
        <f aca="false">IF(Szenarien!$H$18="OK",(IFERROR(SUMIF(Nutzungsprofile!$B$17:$B$22,"Schulbetrieb",Nutzungsprofile!$G$17:$G$22)*Kalender!C290/SUM(Kalender!$C$5:$C$370),0)+IFERROR(SUMIF(Nutzungsprofile!$B$17:$B$22,"Halle",Nutzungsprofile!$G$17:$G$22)*Kalender!D290/SUM(Kalender!$D$5:$D$370),0)+IFERROR(SUMIF(Nutzungsprofile!$B$17:$B$22,"Individuell",Nutzungsprofile!$G$17:$G$22)*Kalender!E290/SUM(Kalender!$E$5:$E$370),0))*Szenarien!$D$18,0)</f>
        <v>3.24</v>
      </c>
      <c r="E2852" s="13" t="n">
        <f aca="false">IFERROR(MIN(C2852,Eingaben!$B$17)*Eingaben!$B$16,0)</f>
        <v>0.855</v>
      </c>
      <c r="F2852" s="13" t="n">
        <f aca="false">IFERROR(E2852*Eingaben!$B$15,0)</f>
        <v>0.7695</v>
      </c>
      <c r="G2852" s="13" t="n">
        <f aca="false">IFERROR(IF(Kalender!A290="",0,J2851*(1-Eingaben!$B$20)),0)</f>
        <v>0.226233</v>
      </c>
      <c r="H2852" s="13" t="n">
        <f aca="false">MIN(G2852,D2852)</f>
        <v>0.226233</v>
      </c>
      <c r="I2852" s="13" t="n">
        <f aca="false">IFERROR(MIN(F2852*Eingaben!$B$19,MAX(0,D2852-H2852)),0)</f>
        <v>0.53865</v>
      </c>
      <c r="J2852" s="13" t="n">
        <f aca="false">IFERROR(MIN(Eingaben!$B$18,MAX(0,F2852-I2852)),0)</f>
        <v>0.23085</v>
      </c>
      <c r="K2852" s="13" t="n">
        <f aca="false">H2852+I2852</f>
        <v>0.764883</v>
      </c>
      <c r="L2852" s="13" t="n">
        <f aca="false">MAX(0,D2852-K2852)</f>
        <v>2.475117</v>
      </c>
      <c r="M2852" s="13" t="n">
        <f aca="false">MAX(0,F2852-I2852-J2852)</f>
        <v>0</v>
      </c>
      <c r="N2852" s="13" t="n">
        <f aca="false">IF(Kalender!A290="",0,J2851-H2852)</f>
        <v>0.00461700000000001</v>
      </c>
    </row>
    <row r="2853" customFormat="false" ht="16.4" hidden="false" customHeight="false" outlineLevel="0" collapsed="false">
      <c r="A2853" s="13" t="str">
        <f aca="false">""</f>
        <v/>
      </c>
      <c r="B2853" s="13" t="n">
        <f aca="false">287</f>
        <v>287</v>
      </c>
      <c r="C2853" s="13" t="n">
        <f aca="false">IF(Szenarien!$H$18="OK",(IFERROR(SUMIF(Nutzungsprofile!$B$6:$B$11,"Schulbetrieb",Nutzungsprofile!$G$6:$G$11)*Kalender!C291/SUM(Kalender!$C$5:$C$370),0)+IFERROR(SUMIF(Nutzungsprofile!$B$6:$B$11,"Halle",Nutzungsprofile!$G$6:$G$11)*Kalender!D291/SUM(Kalender!$D$5:$D$370),0)+IFERROR(SUMIF(Nutzungsprofile!$B$6:$B$11,"Individuell",Nutzungsprofile!$G$6:$G$11)*Kalender!E291/SUM(Kalender!$E$5:$E$370),0))*Szenarien!$E$18,0)</f>
        <v>0.9</v>
      </c>
      <c r="D2853" s="13" t="n">
        <f aca="false">IF(Szenarien!$H$18="OK",(IFERROR(SUMIF(Nutzungsprofile!$B$17:$B$22,"Schulbetrieb",Nutzungsprofile!$G$17:$G$22)*Kalender!C291/SUM(Kalender!$C$5:$C$370),0)+IFERROR(SUMIF(Nutzungsprofile!$B$17:$B$22,"Halle",Nutzungsprofile!$G$17:$G$22)*Kalender!D291/SUM(Kalender!$D$5:$D$370),0)+IFERROR(SUMIF(Nutzungsprofile!$B$17:$B$22,"Individuell",Nutzungsprofile!$G$17:$G$22)*Kalender!E291/SUM(Kalender!$E$5:$E$370),0))*Szenarien!$D$18,0)</f>
        <v>3.24</v>
      </c>
      <c r="E2853" s="13" t="n">
        <f aca="false">IFERROR(MIN(C2853,Eingaben!$B$17)*Eingaben!$B$16,0)</f>
        <v>0.855</v>
      </c>
      <c r="F2853" s="13" t="n">
        <f aca="false">IFERROR(E2853*Eingaben!$B$15,0)</f>
        <v>0.7695</v>
      </c>
      <c r="G2853" s="13" t="n">
        <f aca="false">IFERROR(IF(Kalender!A291="",0,J2852*(1-Eingaben!$B$20)),0)</f>
        <v>0.226233</v>
      </c>
      <c r="H2853" s="13" t="n">
        <f aca="false">MIN(G2853,D2853)</f>
        <v>0.226233</v>
      </c>
      <c r="I2853" s="13" t="n">
        <f aca="false">IFERROR(MIN(F2853*Eingaben!$B$19,MAX(0,D2853-H2853)),0)</f>
        <v>0.53865</v>
      </c>
      <c r="J2853" s="13" t="n">
        <f aca="false">IFERROR(MIN(Eingaben!$B$18,MAX(0,F2853-I2853)),0)</f>
        <v>0.23085</v>
      </c>
      <c r="K2853" s="13" t="n">
        <f aca="false">H2853+I2853</f>
        <v>0.764883</v>
      </c>
      <c r="L2853" s="13" t="n">
        <f aca="false">MAX(0,D2853-K2853)</f>
        <v>2.475117</v>
      </c>
      <c r="M2853" s="13" t="n">
        <f aca="false">MAX(0,F2853-I2853-J2853)</f>
        <v>0</v>
      </c>
      <c r="N2853" s="13" t="n">
        <f aca="false">IF(Kalender!A291="",0,J2852-H2853)</f>
        <v>0.00461700000000001</v>
      </c>
    </row>
    <row r="2854" customFormat="false" ht="16.4" hidden="false" customHeight="false" outlineLevel="0" collapsed="false">
      <c r="A2854" s="13" t="str">
        <f aca="false">""</f>
        <v/>
      </c>
      <c r="B2854" s="13" t="n">
        <f aca="false">288</f>
        <v>288</v>
      </c>
      <c r="C2854" s="13" t="n">
        <f aca="false">IF(Szenarien!$H$18="OK",(IFERROR(SUMIF(Nutzungsprofile!$B$6:$B$11,"Schulbetrieb",Nutzungsprofile!$G$6:$G$11)*Kalender!C292/SUM(Kalender!$C$5:$C$370),0)+IFERROR(SUMIF(Nutzungsprofile!$B$6:$B$11,"Halle",Nutzungsprofile!$G$6:$G$11)*Kalender!D292/SUM(Kalender!$D$5:$D$370),0)+IFERROR(SUMIF(Nutzungsprofile!$B$6:$B$11,"Individuell",Nutzungsprofile!$G$6:$G$11)*Kalender!E292/SUM(Kalender!$E$5:$E$370),0))*Szenarien!$E$18,0)</f>
        <v>0.9</v>
      </c>
      <c r="D2854" s="13" t="n">
        <f aca="false">IF(Szenarien!$H$18="OK",(IFERROR(SUMIF(Nutzungsprofile!$B$17:$B$22,"Schulbetrieb",Nutzungsprofile!$G$17:$G$22)*Kalender!C292/SUM(Kalender!$C$5:$C$370),0)+IFERROR(SUMIF(Nutzungsprofile!$B$17:$B$22,"Halle",Nutzungsprofile!$G$17:$G$22)*Kalender!D292/SUM(Kalender!$D$5:$D$370),0)+IFERROR(SUMIF(Nutzungsprofile!$B$17:$B$22,"Individuell",Nutzungsprofile!$G$17:$G$22)*Kalender!E292/SUM(Kalender!$E$5:$E$370),0))*Szenarien!$D$18,0)</f>
        <v>3.24</v>
      </c>
      <c r="E2854" s="13" t="n">
        <f aca="false">IFERROR(MIN(C2854,Eingaben!$B$17)*Eingaben!$B$16,0)</f>
        <v>0.855</v>
      </c>
      <c r="F2854" s="13" t="n">
        <f aca="false">IFERROR(E2854*Eingaben!$B$15,0)</f>
        <v>0.7695</v>
      </c>
      <c r="G2854" s="13" t="n">
        <f aca="false">IFERROR(IF(Kalender!A292="",0,J2853*(1-Eingaben!$B$20)),0)</f>
        <v>0.226233</v>
      </c>
      <c r="H2854" s="13" t="n">
        <f aca="false">MIN(G2854,D2854)</f>
        <v>0.226233</v>
      </c>
      <c r="I2854" s="13" t="n">
        <f aca="false">IFERROR(MIN(F2854*Eingaben!$B$19,MAX(0,D2854-H2854)),0)</f>
        <v>0.53865</v>
      </c>
      <c r="J2854" s="13" t="n">
        <f aca="false">IFERROR(MIN(Eingaben!$B$18,MAX(0,F2854-I2854)),0)</f>
        <v>0.23085</v>
      </c>
      <c r="K2854" s="13" t="n">
        <f aca="false">H2854+I2854</f>
        <v>0.764883</v>
      </c>
      <c r="L2854" s="13" t="n">
        <f aca="false">MAX(0,D2854-K2854)</f>
        <v>2.475117</v>
      </c>
      <c r="M2854" s="13" t="n">
        <f aca="false">MAX(0,F2854-I2854-J2854)</f>
        <v>0</v>
      </c>
      <c r="N2854" s="13" t="n">
        <f aca="false">IF(Kalender!A292="",0,J2853-H2854)</f>
        <v>0.00461700000000001</v>
      </c>
    </row>
    <row r="2855" customFormat="false" ht="16.4" hidden="false" customHeight="false" outlineLevel="0" collapsed="false">
      <c r="A2855" s="13" t="str">
        <f aca="false">""</f>
        <v/>
      </c>
      <c r="B2855" s="13" t="n">
        <f aca="false">289</f>
        <v>289</v>
      </c>
      <c r="C2855" s="13" t="n">
        <f aca="false">IF(Szenarien!$H$18="OK",(IFERROR(SUMIF(Nutzungsprofile!$B$6:$B$11,"Schulbetrieb",Nutzungsprofile!$G$6:$G$11)*Kalender!C293/SUM(Kalender!$C$5:$C$370),0)+IFERROR(SUMIF(Nutzungsprofile!$B$6:$B$11,"Halle",Nutzungsprofile!$G$6:$G$11)*Kalender!D293/SUM(Kalender!$D$5:$D$370),0)+IFERROR(SUMIF(Nutzungsprofile!$B$6:$B$11,"Individuell",Nutzungsprofile!$G$6:$G$11)*Kalender!E293/SUM(Kalender!$E$5:$E$370),0))*Szenarien!$E$18,0)</f>
        <v>0.9</v>
      </c>
      <c r="D2855" s="13" t="n">
        <f aca="false">IF(Szenarien!$H$18="OK",(IFERROR(SUMIF(Nutzungsprofile!$B$17:$B$22,"Schulbetrieb",Nutzungsprofile!$G$17:$G$22)*Kalender!C293/SUM(Kalender!$C$5:$C$370),0)+IFERROR(SUMIF(Nutzungsprofile!$B$17:$B$22,"Halle",Nutzungsprofile!$G$17:$G$22)*Kalender!D293/SUM(Kalender!$D$5:$D$370),0)+IFERROR(SUMIF(Nutzungsprofile!$B$17:$B$22,"Individuell",Nutzungsprofile!$G$17:$G$22)*Kalender!E293/SUM(Kalender!$E$5:$E$370),0))*Szenarien!$D$18,0)</f>
        <v>3.24</v>
      </c>
      <c r="E2855" s="13" t="n">
        <f aca="false">IFERROR(MIN(C2855,Eingaben!$B$17)*Eingaben!$B$16,0)</f>
        <v>0.855</v>
      </c>
      <c r="F2855" s="13" t="n">
        <f aca="false">IFERROR(E2855*Eingaben!$B$15,0)</f>
        <v>0.7695</v>
      </c>
      <c r="G2855" s="13" t="n">
        <f aca="false">IFERROR(IF(Kalender!A293="",0,J2854*(1-Eingaben!$B$20)),0)</f>
        <v>0.226233</v>
      </c>
      <c r="H2855" s="13" t="n">
        <f aca="false">MIN(G2855,D2855)</f>
        <v>0.226233</v>
      </c>
      <c r="I2855" s="13" t="n">
        <f aca="false">IFERROR(MIN(F2855*Eingaben!$B$19,MAX(0,D2855-H2855)),0)</f>
        <v>0.53865</v>
      </c>
      <c r="J2855" s="13" t="n">
        <f aca="false">IFERROR(MIN(Eingaben!$B$18,MAX(0,F2855-I2855)),0)</f>
        <v>0.23085</v>
      </c>
      <c r="K2855" s="13" t="n">
        <f aca="false">H2855+I2855</f>
        <v>0.764883</v>
      </c>
      <c r="L2855" s="13" t="n">
        <f aca="false">MAX(0,D2855-K2855)</f>
        <v>2.475117</v>
      </c>
      <c r="M2855" s="13" t="n">
        <f aca="false">MAX(0,F2855-I2855-J2855)</f>
        <v>0</v>
      </c>
      <c r="N2855" s="13" t="n">
        <f aca="false">IF(Kalender!A293="",0,J2854-H2855)</f>
        <v>0.00461700000000001</v>
      </c>
    </row>
    <row r="2856" customFormat="false" ht="16.4" hidden="false" customHeight="false" outlineLevel="0" collapsed="false">
      <c r="A2856" s="13" t="str">
        <f aca="false">""</f>
        <v/>
      </c>
      <c r="B2856" s="13" t="n">
        <f aca="false">290</f>
        <v>290</v>
      </c>
      <c r="C2856" s="13" t="n">
        <f aca="false">IF(Szenarien!$H$18="OK",(IFERROR(SUMIF(Nutzungsprofile!$B$6:$B$11,"Schulbetrieb",Nutzungsprofile!$G$6:$G$11)*Kalender!C294/SUM(Kalender!$C$5:$C$370),0)+IFERROR(SUMIF(Nutzungsprofile!$B$6:$B$11,"Halle",Nutzungsprofile!$G$6:$G$11)*Kalender!D294/SUM(Kalender!$D$5:$D$370),0)+IFERROR(SUMIF(Nutzungsprofile!$B$6:$B$11,"Individuell",Nutzungsprofile!$G$6:$G$11)*Kalender!E294/SUM(Kalender!$E$5:$E$370),0))*Szenarien!$E$18,0)</f>
        <v>0</v>
      </c>
      <c r="D2856" s="13" t="n">
        <f aca="false">IF(Szenarien!$H$18="OK",(IFERROR(SUMIF(Nutzungsprofile!$B$17:$B$22,"Schulbetrieb",Nutzungsprofile!$G$17:$G$22)*Kalender!C294/SUM(Kalender!$C$5:$C$370),0)+IFERROR(SUMIF(Nutzungsprofile!$B$17:$B$22,"Halle",Nutzungsprofile!$G$17:$G$22)*Kalender!D294/SUM(Kalender!$D$5:$D$370),0)+IFERROR(SUMIF(Nutzungsprofile!$B$17:$B$22,"Individuell",Nutzungsprofile!$G$17:$G$22)*Kalender!E294/SUM(Kalender!$E$5:$E$370),0))*Szenarien!$D$18,0)</f>
        <v>0</v>
      </c>
      <c r="E2856" s="13" t="n">
        <f aca="false">IFERROR(MIN(C2856,Eingaben!$B$17)*Eingaben!$B$16,0)</f>
        <v>0</v>
      </c>
      <c r="F2856" s="13" t="n">
        <f aca="false">IFERROR(E2856*Eingaben!$B$15,0)</f>
        <v>0</v>
      </c>
      <c r="G2856" s="13" t="n">
        <f aca="false">IFERROR(IF(Kalender!A294="",0,J2855*(1-Eingaben!$B$20)),0)</f>
        <v>0.226233</v>
      </c>
      <c r="H2856" s="13" t="n">
        <f aca="false">MIN(G2856,D2856)</f>
        <v>0</v>
      </c>
      <c r="I2856" s="13" t="n">
        <f aca="false">IFERROR(MIN(F2856*Eingaben!$B$19,MAX(0,D2856-H2856)),0)</f>
        <v>0</v>
      </c>
      <c r="J2856" s="13" t="n">
        <f aca="false">IFERROR(MIN(Eingaben!$B$18,MAX(0,F2856-I2856)),0)</f>
        <v>0</v>
      </c>
      <c r="K2856" s="13" t="n">
        <f aca="false">H2856+I2856</f>
        <v>0</v>
      </c>
      <c r="L2856" s="13" t="n">
        <f aca="false">MAX(0,D2856-K2856)</f>
        <v>0</v>
      </c>
      <c r="M2856" s="13" t="n">
        <f aca="false">MAX(0,F2856-I2856-J2856)</f>
        <v>0</v>
      </c>
      <c r="N2856" s="13" t="n">
        <f aca="false">IF(Kalender!A294="",0,J2855-H2856)</f>
        <v>0.23085</v>
      </c>
    </row>
    <row r="2857" customFormat="false" ht="16.4" hidden="false" customHeight="false" outlineLevel="0" collapsed="false">
      <c r="A2857" s="13" t="str">
        <f aca="false">""</f>
        <v/>
      </c>
      <c r="B2857" s="13" t="n">
        <f aca="false">291</f>
        <v>291</v>
      </c>
      <c r="C2857" s="13" t="n">
        <f aca="false">IF(Szenarien!$H$18="OK",(IFERROR(SUMIF(Nutzungsprofile!$B$6:$B$11,"Schulbetrieb",Nutzungsprofile!$G$6:$G$11)*Kalender!C295/SUM(Kalender!$C$5:$C$370),0)+IFERROR(SUMIF(Nutzungsprofile!$B$6:$B$11,"Halle",Nutzungsprofile!$G$6:$G$11)*Kalender!D295/SUM(Kalender!$D$5:$D$370),0)+IFERROR(SUMIF(Nutzungsprofile!$B$6:$B$11,"Individuell",Nutzungsprofile!$G$6:$G$11)*Kalender!E295/SUM(Kalender!$E$5:$E$370),0))*Szenarien!$E$18,0)</f>
        <v>0</v>
      </c>
      <c r="D2857" s="13" t="n">
        <f aca="false">IF(Szenarien!$H$18="OK",(IFERROR(SUMIF(Nutzungsprofile!$B$17:$B$22,"Schulbetrieb",Nutzungsprofile!$G$17:$G$22)*Kalender!C295/SUM(Kalender!$C$5:$C$370),0)+IFERROR(SUMIF(Nutzungsprofile!$B$17:$B$22,"Halle",Nutzungsprofile!$G$17:$G$22)*Kalender!D295/SUM(Kalender!$D$5:$D$370),0)+IFERROR(SUMIF(Nutzungsprofile!$B$17:$B$22,"Individuell",Nutzungsprofile!$G$17:$G$22)*Kalender!E295/SUM(Kalender!$E$5:$E$370),0))*Szenarien!$D$18,0)</f>
        <v>0</v>
      </c>
      <c r="E2857" s="13" t="n">
        <f aca="false">IFERROR(MIN(C2857,Eingaben!$B$17)*Eingaben!$B$16,0)</f>
        <v>0</v>
      </c>
      <c r="F2857" s="13" t="n">
        <f aca="false">IFERROR(E2857*Eingaben!$B$15,0)</f>
        <v>0</v>
      </c>
      <c r="G2857" s="13" t="n">
        <f aca="false">IFERROR(IF(Kalender!A295="",0,J2856*(1-Eingaben!$B$20)),0)</f>
        <v>0</v>
      </c>
      <c r="H2857" s="13" t="n">
        <f aca="false">MIN(G2857,D2857)</f>
        <v>0</v>
      </c>
      <c r="I2857" s="13" t="n">
        <f aca="false">IFERROR(MIN(F2857*Eingaben!$B$19,MAX(0,D2857-H2857)),0)</f>
        <v>0</v>
      </c>
      <c r="J2857" s="13" t="n">
        <f aca="false">IFERROR(MIN(Eingaben!$B$18,MAX(0,F2857-I2857)),0)</f>
        <v>0</v>
      </c>
      <c r="K2857" s="13" t="n">
        <f aca="false">H2857+I2857</f>
        <v>0</v>
      </c>
      <c r="L2857" s="13" t="n">
        <f aca="false">MAX(0,D2857-K2857)</f>
        <v>0</v>
      </c>
      <c r="M2857" s="13" t="n">
        <f aca="false">MAX(0,F2857-I2857-J2857)</f>
        <v>0</v>
      </c>
      <c r="N2857" s="13" t="n">
        <f aca="false">IF(Kalender!A295="",0,J2856-H2857)</f>
        <v>0</v>
      </c>
    </row>
    <row r="2858" customFormat="false" ht="16.4" hidden="false" customHeight="false" outlineLevel="0" collapsed="false">
      <c r="A2858" s="13" t="str">
        <f aca="false">""</f>
        <v/>
      </c>
      <c r="B2858" s="13" t="n">
        <f aca="false">292</f>
        <v>292</v>
      </c>
      <c r="C2858" s="13" t="n">
        <f aca="false">IF(Szenarien!$H$18="OK",(IFERROR(SUMIF(Nutzungsprofile!$B$6:$B$11,"Schulbetrieb",Nutzungsprofile!$G$6:$G$11)*Kalender!C296/SUM(Kalender!$C$5:$C$370),0)+IFERROR(SUMIF(Nutzungsprofile!$B$6:$B$11,"Halle",Nutzungsprofile!$G$6:$G$11)*Kalender!D296/SUM(Kalender!$D$5:$D$370),0)+IFERROR(SUMIF(Nutzungsprofile!$B$6:$B$11,"Individuell",Nutzungsprofile!$G$6:$G$11)*Kalender!E296/SUM(Kalender!$E$5:$E$370),0))*Szenarien!$E$18,0)</f>
        <v>0.9</v>
      </c>
      <c r="D2858" s="13" t="n">
        <f aca="false">IF(Szenarien!$H$18="OK",(IFERROR(SUMIF(Nutzungsprofile!$B$17:$B$22,"Schulbetrieb",Nutzungsprofile!$G$17:$G$22)*Kalender!C296/SUM(Kalender!$C$5:$C$370),0)+IFERROR(SUMIF(Nutzungsprofile!$B$17:$B$22,"Halle",Nutzungsprofile!$G$17:$G$22)*Kalender!D296/SUM(Kalender!$D$5:$D$370),0)+IFERROR(SUMIF(Nutzungsprofile!$B$17:$B$22,"Individuell",Nutzungsprofile!$G$17:$G$22)*Kalender!E296/SUM(Kalender!$E$5:$E$370),0))*Szenarien!$D$18,0)</f>
        <v>3.24</v>
      </c>
      <c r="E2858" s="13" t="n">
        <f aca="false">IFERROR(MIN(C2858,Eingaben!$B$17)*Eingaben!$B$16,0)</f>
        <v>0.855</v>
      </c>
      <c r="F2858" s="13" t="n">
        <f aca="false">IFERROR(E2858*Eingaben!$B$15,0)</f>
        <v>0.7695</v>
      </c>
      <c r="G2858" s="13" t="n">
        <f aca="false">IFERROR(IF(Kalender!A296="",0,J2857*(1-Eingaben!$B$20)),0)</f>
        <v>0</v>
      </c>
      <c r="H2858" s="13" t="n">
        <f aca="false">MIN(G2858,D2858)</f>
        <v>0</v>
      </c>
      <c r="I2858" s="13" t="n">
        <f aca="false">IFERROR(MIN(F2858*Eingaben!$B$19,MAX(0,D2858-H2858)),0)</f>
        <v>0.53865</v>
      </c>
      <c r="J2858" s="13" t="n">
        <f aca="false">IFERROR(MIN(Eingaben!$B$18,MAX(0,F2858-I2858)),0)</f>
        <v>0.23085</v>
      </c>
      <c r="K2858" s="13" t="n">
        <f aca="false">H2858+I2858</f>
        <v>0.53865</v>
      </c>
      <c r="L2858" s="13" t="n">
        <f aca="false">MAX(0,D2858-K2858)</f>
        <v>2.70135</v>
      </c>
      <c r="M2858" s="13" t="n">
        <f aca="false">MAX(0,F2858-I2858-J2858)</f>
        <v>0</v>
      </c>
      <c r="N2858" s="13" t="n">
        <f aca="false">IF(Kalender!A296="",0,J2857-H2858)</f>
        <v>0</v>
      </c>
    </row>
    <row r="2859" customFormat="false" ht="16.4" hidden="false" customHeight="false" outlineLevel="0" collapsed="false">
      <c r="A2859" s="13" t="str">
        <f aca="false">""</f>
        <v/>
      </c>
      <c r="B2859" s="13" t="n">
        <f aca="false">293</f>
        <v>293</v>
      </c>
      <c r="C2859" s="13" t="n">
        <f aca="false">IF(Szenarien!$H$18="OK",(IFERROR(SUMIF(Nutzungsprofile!$B$6:$B$11,"Schulbetrieb",Nutzungsprofile!$G$6:$G$11)*Kalender!C297/SUM(Kalender!$C$5:$C$370),0)+IFERROR(SUMIF(Nutzungsprofile!$B$6:$B$11,"Halle",Nutzungsprofile!$G$6:$G$11)*Kalender!D297/SUM(Kalender!$D$5:$D$370),0)+IFERROR(SUMIF(Nutzungsprofile!$B$6:$B$11,"Individuell",Nutzungsprofile!$G$6:$G$11)*Kalender!E297/SUM(Kalender!$E$5:$E$370),0))*Szenarien!$E$18,0)</f>
        <v>0.9</v>
      </c>
      <c r="D2859" s="13" t="n">
        <f aca="false">IF(Szenarien!$H$18="OK",(IFERROR(SUMIF(Nutzungsprofile!$B$17:$B$22,"Schulbetrieb",Nutzungsprofile!$G$17:$G$22)*Kalender!C297/SUM(Kalender!$C$5:$C$370),0)+IFERROR(SUMIF(Nutzungsprofile!$B$17:$B$22,"Halle",Nutzungsprofile!$G$17:$G$22)*Kalender!D297/SUM(Kalender!$D$5:$D$370),0)+IFERROR(SUMIF(Nutzungsprofile!$B$17:$B$22,"Individuell",Nutzungsprofile!$G$17:$G$22)*Kalender!E297/SUM(Kalender!$E$5:$E$370),0))*Szenarien!$D$18,0)</f>
        <v>3.24</v>
      </c>
      <c r="E2859" s="13" t="n">
        <f aca="false">IFERROR(MIN(C2859,Eingaben!$B$17)*Eingaben!$B$16,0)</f>
        <v>0.855</v>
      </c>
      <c r="F2859" s="13" t="n">
        <f aca="false">IFERROR(E2859*Eingaben!$B$15,0)</f>
        <v>0.7695</v>
      </c>
      <c r="G2859" s="13" t="n">
        <f aca="false">IFERROR(IF(Kalender!A297="",0,J2858*(1-Eingaben!$B$20)),0)</f>
        <v>0.226233</v>
      </c>
      <c r="H2859" s="13" t="n">
        <f aca="false">MIN(G2859,D2859)</f>
        <v>0.226233</v>
      </c>
      <c r="I2859" s="13" t="n">
        <f aca="false">IFERROR(MIN(F2859*Eingaben!$B$19,MAX(0,D2859-H2859)),0)</f>
        <v>0.53865</v>
      </c>
      <c r="J2859" s="13" t="n">
        <f aca="false">IFERROR(MIN(Eingaben!$B$18,MAX(0,F2859-I2859)),0)</f>
        <v>0.23085</v>
      </c>
      <c r="K2859" s="13" t="n">
        <f aca="false">H2859+I2859</f>
        <v>0.764883</v>
      </c>
      <c r="L2859" s="13" t="n">
        <f aca="false">MAX(0,D2859-K2859)</f>
        <v>2.475117</v>
      </c>
      <c r="M2859" s="13" t="n">
        <f aca="false">MAX(0,F2859-I2859-J2859)</f>
        <v>0</v>
      </c>
      <c r="N2859" s="13" t="n">
        <f aca="false">IF(Kalender!A297="",0,J2858-H2859)</f>
        <v>0.00461700000000001</v>
      </c>
    </row>
    <row r="2860" customFormat="false" ht="16.4" hidden="false" customHeight="false" outlineLevel="0" collapsed="false">
      <c r="A2860" s="13" t="str">
        <f aca="false">""</f>
        <v/>
      </c>
      <c r="B2860" s="13" t="n">
        <f aca="false">294</f>
        <v>294</v>
      </c>
      <c r="C2860" s="13" t="n">
        <f aca="false">IF(Szenarien!$H$18="OK",(IFERROR(SUMIF(Nutzungsprofile!$B$6:$B$11,"Schulbetrieb",Nutzungsprofile!$G$6:$G$11)*Kalender!C298/SUM(Kalender!$C$5:$C$370),0)+IFERROR(SUMIF(Nutzungsprofile!$B$6:$B$11,"Halle",Nutzungsprofile!$G$6:$G$11)*Kalender!D298/SUM(Kalender!$D$5:$D$370),0)+IFERROR(SUMIF(Nutzungsprofile!$B$6:$B$11,"Individuell",Nutzungsprofile!$G$6:$G$11)*Kalender!E298/SUM(Kalender!$E$5:$E$370),0))*Szenarien!$E$18,0)</f>
        <v>0.9</v>
      </c>
      <c r="D2860" s="13" t="n">
        <f aca="false">IF(Szenarien!$H$18="OK",(IFERROR(SUMIF(Nutzungsprofile!$B$17:$B$22,"Schulbetrieb",Nutzungsprofile!$G$17:$G$22)*Kalender!C298/SUM(Kalender!$C$5:$C$370),0)+IFERROR(SUMIF(Nutzungsprofile!$B$17:$B$22,"Halle",Nutzungsprofile!$G$17:$G$22)*Kalender!D298/SUM(Kalender!$D$5:$D$370),0)+IFERROR(SUMIF(Nutzungsprofile!$B$17:$B$22,"Individuell",Nutzungsprofile!$G$17:$G$22)*Kalender!E298/SUM(Kalender!$E$5:$E$370),0))*Szenarien!$D$18,0)</f>
        <v>3.24</v>
      </c>
      <c r="E2860" s="13" t="n">
        <f aca="false">IFERROR(MIN(C2860,Eingaben!$B$17)*Eingaben!$B$16,0)</f>
        <v>0.855</v>
      </c>
      <c r="F2860" s="13" t="n">
        <f aca="false">IFERROR(E2860*Eingaben!$B$15,0)</f>
        <v>0.7695</v>
      </c>
      <c r="G2860" s="13" t="n">
        <f aca="false">IFERROR(IF(Kalender!A298="",0,J2859*(1-Eingaben!$B$20)),0)</f>
        <v>0.226233</v>
      </c>
      <c r="H2860" s="13" t="n">
        <f aca="false">MIN(G2860,D2860)</f>
        <v>0.226233</v>
      </c>
      <c r="I2860" s="13" t="n">
        <f aca="false">IFERROR(MIN(F2860*Eingaben!$B$19,MAX(0,D2860-H2860)),0)</f>
        <v>0.53865</v>
      </c>
      <c r="J2860" s="13" t="n">
        <f aca="false">IFERROR(MIN(Eingaben!$B$18,MAX(0,F2860-I2860)),0)</f>
        <v>0.23085</v>
      </c>
      <c r="K2860" s="13" t="n">
        <f aca="false">H2860+I2860</f>
        <v>0.764883</v>
      </c>
      <c r="L2860" s="13" t="n">
        <f aca="false">MAX(0,D2860-K2860)</f>
        <v>2.475117</v>
      </c>
      <c r="M2860" s="13" t="n">
        <f aca="false">MAX(0,F2860-I2860-J2860)</f>
        <v>0</v>
      </c>
      <c r="N2860" s="13" t="n">
        <f aca="false">IF(Kalender!A298="",0,J2859-H2860)</f>
        <v>0.00461700000000001</v>
      </c>
    </row>
    <row r="2861" customFormat="false" ht="16.4" hidden="false" customHeight="false" outlineLevel="0" collapsed="false">
      <c r="A2861" s="13" t="str">
        <f aca="false">""</f>
        <v/>
      </c>
      <c r="B2861" s="13" t="n">
        <f aca="false">295</f>
        <v>295</v>
      </c>
      <c r="C2861" s="13" t="n">
        <f aca="false">IF(Szenarien!$H$18="OK",(IFERROR(SUMIF(Nutzungsprofile!$B$6:$B$11,"Schulbetrieb",Nutzungsprofile!$G$6:$G$11)*Kalender!C299/SUM(Kalender!$C$5:$C$370),0)+IFERROR(SUMIF(Nutzungsprofile!$B$6:$B$11,"Halle",Nutzungsprofile!$G$6:$G$11)*Kalender!D299/SUM(Kalender!$D$5:$D$370),0)+IFERROR(SUMIF(Nutzungsprofile!$B$6:$B$11,"Individuell",Nutzungsprofile!$G$6:$G$11)*Kalender!E299/SUM(Kalender!$E$5:$E$370),0))*Szenarien!$E$18,0)</f>
        <v>0.9</v>
      </c>
      <c r="D2861" s="13" t="n">
        <f aca="false">IF(Szenarien!$H$18="OK",(IFERROR(SUMIF(Nutzungsprofile!$B$17:$B$22,"Schulbetrieb",Nutzungsprofile!$G$17:$G$22)*Kalender!C299/SUM(Kalender!$C$5:$C$370),0)+IFERROR(SUMIF(Nutzungsprofile!$B$17:$B$22,"Halle",Nutzungsprofile!$G$17:$G$22)*Kalender!D299/SUM(Kalender!$D$5:$D$370),0)+IFERROR(SUMIF(Nutzungsprofile!$B$17:$B$22,"Individuell",Nutzungsprofile!$G$17:$G$22)*Kalender!E299/SUM(Kalender!$E$5:$E$370),0))*Szenarien!$D$18,0)</f>
        <v>3.24</v>
      </c>
      <c r="E2861" s="13" t="n">
        <f aca="false">IFERROR(MIN(C2861,Eingaben!$B$17)*Eingaben!$B$16,0)</f>
        <v>0.855</v>
      </c>
      <c r="F2861" s="13" t="n">
        <f aca="false">IFERROR(E2861*Eingaben!$B$15,0)</f>
        <v>0.7695</v>
      </c>
      <c r="G2861" s="13" t="n">
        <f aca="false">IFERROR(IF(Kalender!A299="",0,J2860*(1-Eingaben!$B$20)),0)</f>
        <v>0.226233</v>
      </c>
      <c r="H2861" s="13" t="n">
        <f aca="false">MIN(G2861,D2861)</f>
        <v>0.226233</v>
      </c>
      <c r="I2861" s="13" t="n">
        <f aca="false">IFERROR(MIN(F2861*Eingaben!$B$19,MAX(0,D2861-H2861)),0)</f>
        <v>0.53865</v>
      </c>
      <c r="J2861" s="13" t="n">
        <f aca="false">IFERROR(MIN(Eingaben!$B$18,MAX(0,F2861-I2861)),0)</f>
        <v>0.23085</v>
      </c>
      <c r="K2861" s="13" t="n">
        <f aca="false">H2861+I2861</f>
        <v>0.764883</v>
      </c>
      <c r="L2861" s="13" t="n">
        <f aca="false">MAX(0,D2861-K2861)</f>
        <v>2.475117</v>
      </c>
      <c r="M2861" s="13" t="n">
        <f aca="false">MAX(0,F2861-I2861-J2861)</f>
        <v>0</v>
      </c>
      <c r="N2861" s="13" t="n">
        <f aca="false">IF(Kalender!A299="",0,J2860-H2861)</f>
        <v>0.00461700000000001</v>
      </c>
    </row>
    <row r="2862" customFormat="false" ht="16.4" hidden="false" customHeight="false" outlineLevel="0" collapsed="false">
      <c r="A2862" s="13" t="str">
        <f aca="false">""</f>
        <v/>
      </c>
      <c r="B2862" s="13" t="n">
        <f aca="false">296</f>
        <v>296</v>
      </c>
      <c r="C2862" s="13" t="n">
        <f aca="false">IF(Szenarien!$H$18="OK",(IFERROR(SUMIF(Nutzungsprofile!$B$6:$B$11,"Schulbetrieb",Nutzungsprofile!$G$6:$G$11)*Kalender!C300/SUM(Kalender!$C$5:$C$370),0)+IFERROR(SUMIF(Nutzungsprofile!$B$6:$B$11,"Halle",Nutzungsprofile!$G$6:$G$11)*Kalender!D300/SUM(Kalender!$D$5:$D$370),0)+IFERROR(SUMIF(Nutzungsprofile!$B$6:$B$11,"Individuell",Nutzungsprofile!$G$6:$G$11)*Kalender!E300/SUM(Kalender!$E$5:$E$370),0))*Szenarien!$E$18,0)</f>
        <v>0.9</v>
      </c>
      <c r="D2862" s="13" t="n">
        <f aca="false">IF(Szenarien!$H$18="OK",(IFERROR(SUMIF(Nutzungsprofile!$B$17:$B$22,"Schulbetrieb",Nutzungsprofile!$G$17:$G$22)*Kalender!C300/SUM(Kalender!$C$5:$C$370),0)+IFERROR(SUMIF(Nutzungsprofile!$B$17:$B$22,"Halle",Nutzungsprofile!$G$17:$G$22)*Kalender!D300/SUM(Kalender!$D$5:$D$370),0)+IFERROR(SUMIF(Nutzungsprofile!$B$17:$B$22,"Individuell",Nutzungsprofile!$G$17:$G$22)*Kalender!E300/SUM(Kalender!$E$5:$E$370),0))*Szenarien!$D$18,0)</f>
        <v>3.24</v>
      </c>
      <c r="E2862" s="13" t="n">
        <f aca="false">IFERROR(MIN(C2862,Eingaben!$B$17)*Eingaben!$B$16,0)</f>
        <v>0.855</v>
      </c>
      <c r="F2862" s="13" t="n">
        <f aca="false">IFERROR(E2862*Eingaben!$B$15,0)</f>
        <v>0.7695</v>
      </c>
      <c r="G2862" s="13" t="n">
        <f aca="false">IFERROR(IF(Kalender!A300="",0,J2861*(1-Eingaben!$B$20)),0)</f>
        <v>0.226233</v>
      </c>
      <c r="H2862" s="13" t="n">
        <f aca="false">MIN(G2862,D2862)</f>
        <v>0.226233</v>
      </c>
      <c r="I2862" s="13" t="n">
        <f aca="false">IFERROR(MIN(F2862*Eingaben!$B$19,MAX(0,D2862-H2862)),0)</f>
        <v>0.53865</v>
      </c>
      <c r="J2862" s="13" t="n">
        <f aca="false">IFERROR(MIN(Eingaben!$B$18,MAX(0,F2862-I2862)),0)</f>
        <v>0.23085</v>
      </c>
      <c r="K2862" s="13" t="n">
        <f aca="false">H2862+I2862</f>
        <v>0.764883</v>
      </c>
      <c r="L2862" s="13" t="n">
        <f aca="false">MAX(0,D2862-K2862)</f>
        <v>2.475117</v>
      </c>
      <c r="M2862" s="13" t="n">
        <f aca="false">MAX(0,F2862-I2862-J2862)</f>
        <v>0</v>
      </c>
      <c r="N2862" s="13" t="n">
        <f aca="false">IF(Kalender!A300="",0,J2861-H2862)</f>
        <v>0.00461700000000001</v>
      </c>
    </row>
    <row r="2863" customFormat="false" ht="16.4" hidden="false" customHeight="false" outlineLevel="0" collapsed="false">
      <c r="A2863" s="13" t="str">
        <f aca="false">""</f>
        <v/>
      </c>
      <c r="B2863" s="13" t="n">
        <f aca="false">297</f>
        <v>297</v>
      </c>
      <c r="C2863" s="13" t="n">
        <f aca="false">IF(Szenarien!$H$18="OK",(IFERROR(SUMIF(Nutzungsprofile!$B$6:$B$11,"Schulbetrieb",Nutzungsprofile!$G$6:$G$11)*Kalender!C301/SUM(Kalender!$C$5:$C$370),0)+IFERROR(SUMIF(Nutzungsprofile!$B$6:$B$11,"Halle",Nutzungsprofile!$G$6:$G$11)*Kalender!D301/SUM(Kalender!$D$5:$D$370),0)+IFERROR(SUMIF(Nutzungsprofile!$B$6:$B$11,"Individuell",Nutzungsprofile!$G$6:$G$11)*Kalender!E301/SUM(Kalender!$E$5:$E$370),0))*Szenarien!$E$18,0)</f>
        <v>0</v>
      </c>
      <c r="D2863" s="13" t="n">
        <f aca="false">IF(Szenarien!$H$18="OK",(IFERROR(SUMIF(Nutzungsprofile!$B$17:$B$22,"Schulbetrieb",Nutzungsprofile!$G$17:$G$22)*Kalender!C301/SUM(Kalender!$C$5:$C$370),0)+IFERROR(SUMIF(Nutzungsprofile!$B$17:$B$22,"Halle",Nutzungsprofile!$G$17:$G$22)*Kalender!D301/SUM(Kalender!$D$5:$D$370),0)+IFERROR(SUMIF(Nutzungsprofile!$B$17:$B$22,"Individuell",Nutzungsprofile!$G$17:$G$22)*Kalender!E301/SUM(Kalender!$E$5:$E$370),0))*Szenarien!$D$18,0)</f>
        <v>0</v>
      </c>
      <c r="E2863" s="13" t="n">
        <f aca="false">IFERROR(MIN(C2863,Eingaben!$B$17)*Eingaben!$B$16,0)</f>
        <v>0</v>
      </c>
      <c r="F2863" s="13" t="n">
        <f aca="false">IFERROR(E2863*Eingaben!$B$15,0)</f>
        <v>0</v>
      </c>
      <c r="G2863" s="13" t="n">
        <f aca="false">IFERROR(IF(Kalender!A301="",0,J2862*(1-Eingaben!$B$20)),0)</f>
        <v>0.226233</v>
      </c>
      <c r="H2863" s="13" t="n">
        <f aca="false">MIN(G2863,D2863)</f>
        <v>0</v>
      </c>
      <c r="I2863" s="13" t="n">
        <f aca="false">IFERROR(MIN(F2863*Eingaben!$B$19,MAX(0,D2863-H2863)),0)</f>
        <v>0</v>
      </c>
      <c r="J2863" s="13" t="n">
        <f aca="false">IFERROR(MIN(Eingaben!$B$18,MAX(0,F2863-I2863)),0)</f>
        <v>0</v>
      </c>
      <c r="K2863" s="13" t="n">
        <f aca="false">H2863+I2863</f>
        <v>0</v>
      </c>
      <c r="L2863" s="13" t="n">
        <f aca="false">MAX(0,D2863-K2863)</f>
        <v>0</v>
      </c>
      <c r="M2863" s="13" t="n">
        <f aca="false">MAX(0,F2863-I2863-J2863)</f>
        <v>0</v>
      </c>
      <c r="N2863" s="13" t="n">
        <f aca="false">IF(Kalender!A301="",0,J2862-H2863)</f>
        <v>0.23085</v>
      </c>
    </row>
    <row r="2864" customFormat="false" ht="16.4" hidden="false" customHeight="false" outlineLevel="0" collapsed="false">
      <c r="A2864" s="13" t="str">
        <f aca="false">""</f>
        <v/>
      </c>
      <c r="B2864" s="13" t="n">
        <f aca="false">298</f>
        <v>298</v>
      </c>
      <c r="C2864" s="13" t="n">
        <f aca="false">IF(Szenarien!$H$18="OK",(IFERROR(SUMIF(Nutzungsprofile!$B$6:$B$11,"Schulbetrieb",Nutzungsprofile!$G$6:$G$11)*Kalender!C302/SUM(Kalender!$C$5:$C$370),0)+IFERROR(SUMIF(Nutzungsprofile!$B$6:$B$11,"Halle",Nutzungsprofile!$G$6:$G$11)*Kalender!D302/SUM(Kalender!$D$5:$D$370),0)+IFERROR(SUMIF(Nutzungsprofile!$B$6:$B$11,"Individuell",Nutzungsprofile!$G$6:$G$11)*Kalender!E302/SUM(Kalender!$E$5:$E$370),0))*Szenarien!$E$18,0)</f>
        <v>0</v>
      </c>
      <c r="D2864" s="13" t="n">
        <f aca="false">IF(Szenarien!$H$18="OK",(IFERROR(SUMIF(Nutzungsprofile!$B$17:$B$22,"Schulbetrieb",Nutzungsprofile!$G$17:$G$22)*Kalender!C302/SUM(Kalender!$C$5:$C$370),0)+IFERROR(SUMIF(Nutzungsprofile!$B$17:$B$22,"Halle",Nutzungsprofile!$G$17:$G$22)*Kalender!D302/SUM(Kalender!$D$5:$D$370),0)+IFERROR(SUMIF(Nutzungsprofile!$B$17:$B$22,"Individuell",Nutzungsprofile!$G$17:$G$22)*Kalender!E302/SUM(Kalender!$E$5:$E$370),0))*Szenarien!$D$18,0)</f>
        <v>0</v>
      </c>
      <c r="E2864" s="13" t="n">
        <f aca="false">IFERROR(MIN(C2864,Eingaben!$B$17)*Eingaben!$B$16,0)</f>
        <v>0</v>
      </c>
      <c r="F2864" s="13" t="n">
        <f aca="false">IFERROR(E2864*Eingaben!$B$15,0)</f>
        <v>0</v>
      </c>
      <c r="G2864" s="13" t="n">
        <f aca="false">IFERROR(IF(Kalender!A302="",0,J2863*(1-Eingaben!$B$20)),0)</f>
        <v>0</v>
      </c>
      <c r="H2864" s="13" t="n">
        <f aca="false">MIN(G2864,D2864)</f>
        <v>0</v>
      </c>
      <c r="I2864" s="13" t="n">
        <f aca="false">IFERROR(MIN(F2864*Eingaben!$B$19,MAX(0,D2864-H2864)),0)</f>
        <v>0</v>
      </c>
      <c r="J2864" s="13" t="n">
        <f aca="false">IFERROR(MIN(Eingaben!$B$18,MAX(0,F2864-I2864)),0)</f>
        <v>0</v>
      </c>
      <c r="K2864" s="13" t="n">
        <f aca="false">H2864+I2864</f>
        <v>0</v>
      </c>
      <c r="L2864" s="13" t="n">
        <f aca="false">MAX(0,D2864-K2864)</f>
        <v>0</v>
      </c>
      <c r="M2864" s="13" t="n">
        <f aca="false">MAX(0,F2864-I2864-J2864)</f>
        <v>0</v>
      </c>
      <c r="N2864" s="13" t="n">
        <f aca="false">IF(Kalender!A302="",0,J2863-H2864)</f>
        <v>0</v>
      </c>
    </row>
    <row r="2865" customFormat="false" ht="16.4" hidden="false" customHeight="false" outlineLevel="0" collapsed="false">
      <c r="A2865" s="13" t="str">
        <f aca="false">""</f>
        <v/>
      </c>
      <c r="B2865" s="13" t="n">
        <f aca="false">299</f>
        <v>299</v>
      </c>
      <c r="C2865" s="13" t="n">
        <f aca="false">IF(Szenarien!$H$18="OK",(IFERROR(SUMIF(Nutzungsprofile!$B$6:$B$11,"Schulbetrieb",Nutzungsprofile!$G$6:$G$11)*Kalender!C303/SUM(Kalender!$C$5:$C$370),0)+IFERROR(SUMIF(Nutzungsprofile!$B$6:$B$11,"Halle",Nutzungsprofile!$G$6:$G$11)*Kalender!D303/SUM(Kalender!$D$5:$D$370),0)+IFERROR(SUMIF(Nutzungsprofile!$B$6:$B$11,"Individuell",Nutzungsprofile!$G$6:$G$11)*Kalender!E303/SUM(Kalender!$E$5:$E$370),0))*Szenarien!$E$18,0)</f>
        <v>0.9</v>
      </c>
      <c r="D2865" s="13" t="n">
        <f aca="false">IF(Szenarien!$H$18="OK",(IFERROR(SUMIF(Nutzungsprofile!$B$17:$B$22,"Schulbetrieb",Nutzungsprofile!$G$17:$G$22)*Kalender!C303/SUM(Kalender!$C$5:$C$370),0)+IFERROR(SUMIF(Nutzungsprofile!$B$17:$B$22,"Halle",Nutzungsprofile!$G$17:$G$22)*Kalender!D303/SUM(Kalender!$D$5:$D$370),0)+IFERROR(SUMIF(Nutzungsprofile!$B$17:$B$22,"Individuell",Nutzungsprofile!$G$17:$G$22)*Kalender!E303/SUM(Kalender!$E$5:$E$370),0))*Szenarien!$D$18,0)</f>
        <v>3.24</v>
      </c>
      <c r="E2865" s="13" t="n">
        <f aca="false">IFERROR(MIN(C2865,Eingaben!$B$17)*Eingaben!$B$16,0)</f>
        <v>0.855</v>
      </c>
      <c r="F2865" s="13" t="n">
        <f aca="false">IFERROR(E2865*Eingaben!$B$15,0)</f>
        <v>0.7695</v>
      </c>
      <c r="G2865" s="13" t="n">
        <f aca="false">IFERROR(IF(Kalender!A303="",0,J2864*(1-Eingaben!$B$20)),0)</f>
        <v>0</v>
      </c>
      <c r="H2865" s="13" t="n">
        <f aca="false">MIN(G2865,D2865)</f>
        <v>0</v>
      </c>
      <c r="I2865" s="13" t="n">
        <f aca="false">IFERROR(MIN(F2865*Eingaben!$B$19,MAX(0,D2865-H2865)),0)</f>
        <v>0.53865</v>
      </c>
      <c r="J2865" s="13" t="n">
        <f aca="false">IFERROR(MIN(Eingaben!$B$18,MAX(0,F2865-I2865)),0)</f>
        <v>0.23085</v>
      </c>
      <c r="K2865" s="13" t="n">
        <f aca="false">H2865+I2865</f>
        <v>0.53865</v>
      </c>
      <c r="L2865" s="13" t="n">
        <f aca="false">MAX(0,D2865-K2865)</f>
        <v>2.70135</v>
      </c>
      <c r="M2865" s="13" t="n">
        <f aca="false">MAX(0,F2865-I2865-J2865)</f>
        <v>0</v>
      </c>
      <c r="N2865" s="13" t="n">
        <f aca="false">IF(Kalender!A303="",0,J2864-H2865)</f>
        <v>0</v>
      </c>
    </row>
    <row r="2866" customFormat="false" ht="16.4" hidden="false" customHeight="false" outlineLevel="0" collapsed="false">
      <c r="A2866" s="13" t="str">
        <f aca="false">""</f>
        <v/>
      </c>
      <c r="B2866" s="13" t="n">
        <f aca="false">300</f>
        <v>300</v>
      </c>
      <c r="C2866" s="13" t="n">
        <f aca="false">IF(Szenarien!$H$18="OK",(IFERROR(SUMIF(Nutzungsprofile!$B$6:$B$11,"Schulbetrieb",Nutzungsprofile!$G$6:$G$11)*Kalender!C304/SUM(Kalender!$C$5:$C$370),0)+IFERROR(SUMIF(Nutzungsprofile!$B$6:$B$11,"Halle",Nutzungsprofile!$G$6:$G$11)*Kalender!D304/SUM(Kalender!$D$5:$D$370),0)+IFERROR(SUMIF(Nutzungsprofile!$B$6:$B$11,"Individuell",Nutzungsprofile!$G$6:$G$11)*Kalender!E304/SUM(Kalender!$E$5:$E$370),0))*Szenarien!$E$18,0)</f>
        <v>0.9</v>
      </c>
      <c r="D2866" s="13" t="n">
        <f aca="false">IF(Szenarien!$H$18="OK",(IFERROR(SUMIF(Nutzungsprofile!$B$17:$B$22,"Schulbetrieb",Nutzungsprofile!$G$17:$G$22)*Kalender!C304/SUM(Kalender!$C$5:$C$370),0)+IFERROR(SUMIF(Nutzungsprofile!$B$17:$B$22,"Halle",Nutzungsprofile!$G$17:$G$22)*Kalender!D304/SUM(Kalender!$D$5:$D$370),0)+IFERROR(SUMIF(Nutzungsprofile!$B$17:$B$22,"Individuell",Nutzungsprofile!$G$17:$G$22)*Kalender!E304/SUM(Kalender!$E$5:$E$370),0))*Szenarien!$D$18,0)</f>
        <v>3.24</v>
      </c>
      <c r="E2866" s="13" t="n">
        <f aca="false">IFERROR(MIN(C2866,Eingaben!$B$17)*Eingaben!$B$16,0)</f>
        <v>0.855</v>
      </c>
      <c r="F2866" s="13" t="n">
        <f aca="false">IFERROR(E2866*Eingaben!$B$15,0)</f>
        <v>0.7695</v>
      </c>
      <c r="G2866" s="13" t="n">
        <f aca="false">IFERROR(IF(Kalender!A304="",0,J2865*(1-Eingaben!$B$20)),0)</f>
        <v>0.226233</v>
      </c>
      <c r="H2866" s="13" t="n">
        <f aca="false">MIN(G2866,D2866)</f>
        <v>0.226233</v>
      </c>
      <c r="I2866" s="13" t="n">
        <f aca="false">IFERROR(MIN(F2866*Eingaben!$B$19,MAX(0,D2866-H2866)),0)</f>
        <v>0.53865</v>
      </c>
      <c r="J2866" s="13" t="n">
        <f aca="false">IFERROR(MIN(Eingaben!$B$18,MAX(0,F2866-I2866)),0)</f>
        <v>0.23085</v>
      </c>
      <c r="K2866" s="13" t="n">
        <f aca="false">H2866+I2866</f>
        <v>0.764883</v>
      </c>
      <c r="L2866" s="13" t="n">
        <f aca="false">MAX(0,D2866-K2866)</f>
        <v>2.475117</v>
      </c>
      <c r="M2866" s="13" t="n">
        <f aca="false">MAX(0,F2866-I2866-J2866)</f>
        <v>0</v>
      </c>
      <c r="N2866" s="13" t="n">
        <f aca="false">IF(Kalender!A304="",0,J2865-H2866)</f>
        <v>0.00461700000000001</v>
      </c>
    </row>
    <row r="2867" customFormat="false" ht="16.4" hidden="false" customHeight="false" outlineLevel="0" collapsed="false">
      <c r="A2867" s="13" t="str">
        <f aca="false">""</f>
        <v/>
      </c>
      <c r="B2867" s="13" t="n">
        <f aca="false">301</f>
        <v>301</v>
      </c>
      <c r="C2867" s="13" t="n">
        <f aca="false">IF(Szenarien!$H$18="OK",(IFERROR(SUMIF(Nutzungsprofile!$B$6:$B$11,"Schulbetrieb",Nutzungsprofile!$G$6:$G$11)*Kalender!C305/SUM(Kalender!$C$5:$C$370),0)+IFERROR(SUMIF(Nutzungsprofile!$B$6:$B$11,"Halle",Nutzungsprofile!$G$6:$G$11)*Kalender!D305/SUM(Kalender!$D$5:$D$370),0)+IFERROR(SUMIF(Nutzungsprofile!$B$6:$B$11,"Individuell",Nutzungsprofile!$G$6:$G$11)*Kalender!E305/SUM(Kalender!$E$5:$E$370),0))*Szenarien!$E$18,0)</f>
        <v>0.9</v>
      </c>
      <c r="D2867" s="13" t="n">
        <f aca="false">IF(Szenarien!$H$18="OK",(IFERROR(SUMIF(Nutzungsprofile!$B$17:$B$22,"Schulbetrieb",Nutzungsprofile!$G$17:$G$22)*Kalender!C305/SUM(Kalender!$C$5:$C$370),0)+IFERROR(SUMIF(Nutzungsprofile!$B$17:$B$22,"Halle",Nutzungsprofile!$G$17:$G$22)*Kalender!D305/SUM(Kalender!$D$5:$D$370),0)+IFERROR(SUMIF(Nutzungsprofile!$B$17:$B$22,"Individuell",Nutzungsprofile!$G$17:$G$22)*Kalender!E305/SUM(Kalender!$E$5:$E$370),0))*Szenarien!$D$18,0)</f>
        <v>3.24</v>
      </c>
      <c r="E2867" s="13" t="n">
        <f aca="false">IFERROR(MIN(C2867,Eingaben!$B$17)*Eingaben!$B$16,0)</f>
        <v>0.855</v>
      </c>
      <c r="F2867" s="13" t="n">
        <f aca="false">IFERROR(E2867*Eingaben!$B$15,0)</f>
        <v>0.7695</v>
      </c>
      <c r="G2867" s="13" t="n">
        <f aca="false">IFERROR(IF(Kalender!A305="",0,J2866*(1-Eingaben!$B$20)),0)</f>
        <v>0.226233</v>
      </c>
      <c r="H2867" s="13" t="n">
        <f aca="false">MIN(G2867,D2867)</f>
        <v>0.226233</v>
      </c>
      <c r="I2867" s="13" t="n">
        <f aca="false">IFERROR(MIN(F2867*Eingaben!$B$19,MAX(0,D2867-H2867)),0)</f>
        <v>0.53865</v>
      </c>
      <c r="J2867" s="13" t="n">
        <f aca="false">IFERROR(MIN(Eingaben!$B$18,MAX(0,F2867-I2867)),0)</f>
        <v>0.23085</v>
      </c>
      <c r="K2867" s="13" t="n">
        <f aca="false">H2867+I2867</f>
        <v>0.764883</v>
      </c>
      <c r="L2867" s="13" t="n">
        <f aca="false">MAX(0,D2867-K2867)</f>
        <v>2.475117</v>
      </c>
      <c r="M2867" s="13" t="n">
        <f aca="false">MAX(0,F2867-I2867-J2867)</f>
        <v>0</v>
      </c>
      <c r="N2867" s="13" t="n">
        <f aca="false">IF(Kalender!A305="",0,J2866-H2867)</f>
        <v>0.00461700000000001</v>
      </c>
    </row>
    <row r="2868" customFormat="false" ht="16.4" hidden="false" customHeight="false" outlineLevel="0" collapsed="false">
      <c r="A2868" s="13" t="str">
        <f aca="false">""</f>
        <v/>
      </c>
      <c r="B2868" s="13" t="n">
        <f aca="false">302</f>
        <v>302</v>
      </c>
      <c r="C2868" s="13" t="n">
        <f aca="false">IF(Szenarien!$H$18="OK",(IFERROR(SUMIF(Nutzungsprofile!$B$6:$B$11,"Schulbetrieb",Nutzungsprofile!$G$6:$G$11)*Kalender!C306/SUM(Kalender!$C$5:$C$370),0)+IFERROR(SUMIF(Nutzungsprofile!$B$6:$B$11,"Halle",Nutzungsprofile!$G$6:$G$11)*Kalender!D306/SUM(Kalender!$D$5:$D$370),0)+IFERROR(SUMIF(Nutzungsprofile!$B$6:$B$11,"Individuell",Nutzungsprofile!$G$6:$G$11)*Kalender!E306/SUM(Kalender!$E$5:$E$370),0))*Szenarien!$E$18,0)</f>
        <v>0.9</v>
      </c>
      <c r="D2868" s="13" t="n">
        <f aca="false">IF(Szenarien!$H$18="OK",(IFERROR(SUMIF(Nutzungsprofile!$B$17:$B$22,"Schulbetrieb",Nutzungsprofile!$G$17:$G$22)*Kalender!C306/SUM(Kalender!$C$5:$C$370),0)+IFERROR(SUMIF(Nutzungsprofile!$B$17:$B$22,"Halle",Nutzungsprofile!$G$17:$G$22)*Kalender!D306/SUM(Kalender!$D$5:$D$370),0)+IFERROR(SUMIF(Nutzungsprofile!$B$17:$B$22,"Individuell",Nutzungsprofile!$G$17:$G$22)*Kalender!E306/SUM(Kalender!$E$5:$E$370),0))*Szenarien!$D$18,0)</f>
        <v>3.24</v>
      </c>
      <c r="E2868" s="13" t="n">
        <f aca="false">IFERROR(MIN(C2868,Eingaben!$B$17)*Eingaben!$B$16,0)</f>
        <v>0.855</v>
      </c>
      <c r="F2868" s="13" t="n">
        <f aca="false">IFERROR(E2868*Eingaben!$B$15,0)</f>
        <v>0.7695</v>
      </c>
      <c r="G2868" s="13" t="n">
        <f aca="false">IFERROR(IF(Kalender!A306="",0,J2867*(1-Eingaben!$B$20)),0)</f>
        <v>0.226233</v>
      </c>
      <c r="H2868" s="13" t="n">
        <f aca="false">MIN(G2868,D2868)</f>
        <v>0.226233</v>
      </c>
      <c r="I2868" s="13" t="n">
        <f aca="false">IFERROR(MIN(F2868*Eingaben!$B$19,MAX(0,D2868-H2868)),0)</f>
        <v>0.53865</v>
      </c>
      <c r="J2868" s="13" t="n">
        <f aca="false">IFERROR(MIN(Eingaben!$B$18,MAX(0,F2868-I2868)),0)</f>
        <v>0.23085</v>
      </c>
      <c r="K2868" s="13" t="n">
        <f aca="false">H2868+I2868</f>
        <v>0.764883</v>
      </c>
      <c r="L2868" s="13" t="n">
        <f aca="false">MAX(0,D2868-K2868)</f>
        <v>2.475117</v>
      </c>
      <c r="M2868" s="13" t="n">
        <f aca="false">MAX(0,F2868-I2868-J2868)</f>
        <v>0</v>
      </c>
      <c r="N2868" s="13" t="n">
        <f aca="false">IF(Kalender!A306="",0,J2867-H2868)</f>
        <v>0.00461700000000001</v>
      </c>
    </row>
    <row r="2869" customFormat="false" ht="16.4" hidden="false" customHeight="false" outlineLevel="0" collapsed="false">
      <c r="A2869" s="13" t="str">
        <f aca="false">""</f>
        <v/>
      </c>
      <c r="B2869" s="13" t="n">
        <f aca="false">303</f>
        <v>303</v>
      </c>
      <c r="C2869" s="13" t="n">
        <f aca="false">IF(Szenarien!$H$18="OK",(IFERROR(SUMIF(Nutzungsprofile!$B$6:$B$11,"Schulbetrieb",Nutzungsprofile!$G$6:$G$11)*Kalender!C307/SUM(Kalender!$C$5:$C$370),0)+IFERROR(SUMIF(Nutzungsprofile!$B$6:$B$11,"Halle",Nutzungsprofile!$G$6:$G$11)*Kalender!D307/SUM(Kalender!$D$5:$D$370),0)+IFERROR(SUMIF(Nutzungsprofile!$B$6:$B$11,"Individuell",Nutzungsprofile!$G$6:$G$11)*Kalender!E307/SUM(Kalender!$E$5:$E$370),0))*Szenarien!$E$18,0)</f>
        <v>0.9</v>
      </c>
      <c r="D2869" s="13" t="n">
        <f aca="false">IF(Szenarien!$H$18="OK",(IFERROR(SUMIF(Nutzungsprofile!$B$17:$B$22,"Schulbetrieb",Nutzungsprofile!$G$17:$G$22)*Kalender!C307/SUM(Kalender!$C$5:$C$370),0)+IFERROR(SUMIF(Nutzungsprofile!$B$17:$B$22,"Halle",Nutzungsprofile!$G$17:$G$22)*Kalender!D307/SUM(Kalender!$D$5:$D$370),0)+IFERROR(SUMIF(Nutzungsprofile!$B$17:$B$22,"Individuell",Nutzungsprofile!$G$17:$G$22)*Kalender!E307/SUM(Kalender!$E$5:$E$370),0))*Szenarien!$D$18,0)</f>
        <v>3.24</v>
      </c>
      <c r="E2869" s="13" t="n">
        <f aca="false">IFERROR(MIN(C2869,Eingaben!$B$17)*Eingaben!$B$16,0)</f>
        <v>0.855</v>
      </c>
      <c r="F2869" s="13" t="n">
        <f aca="false">IFERROR(E2869*Eingaben!$B$15,0)</f>
        <v>0.7695</v>
      </c>
      <c r="G2869" s="13" t="n">
        <f aca="false">IFERROR(IF(Kalender!A307="",0,J2868*(1-Eingaben!$B$20)),0)</f>
        <v>0.226233</v>
      </c>
      <c r="H2869" s="13" t="n">
        <f aca="false">MIN(G2869,D2869)</f>
        <v>0.226233</v>
      </c>
      <c r="I2869" s="13" t="n">
        <f aca="false">IFERROR(MIN(F2869*Eingaben!$B$19,MAX(0,D2869-H2869)),0)</f>
        <v>0.53865</v>
      </c>
      <c r="J2869" s="13" t="n">
        <f aca="false">IFERROR(MIN(Eingaben!$B$18,MAX(0,F2869-I2869)),0)</f>
        <v>0.23085</v>
      </c>
      <c r="K2869" s="13" t="n">
        <f aca="false">H2869+I2869</f>
        <v>0.764883</v>
      </c>
      <c r="L2869" s="13" t="n">
        <f aca="false">MAX(0,D2869-K2869)</f>
        <v>2.475117</v>
      </c>
      <c r="M2869" s="13" t="n">
        <f aca="false">MAX(0,F2869-I2869-J2869)</f>
        <v>0</v>
      </c>
      <c r="N2869" s="13" t="n">
        <f aca="false">IF(Kalender!A307="",0,J2868-H2869)</f>
        <v>0.00461700000000001</v>
      </c>
    </row>
    <row r="2870" customFormat="false" ht="16.4" hidden="false" customHeight="false" outlineLevel="0" collapsed="false">
      <c r="A2870" s="13" t="str">
        <f aca="false">""</f>
        <v/>
      </c>
      <c r="B2870" s="13" t="n">
        <f aca="false">304</f>
        <v>304</v>
      </c>
      <c r="C2870" s="13" t="n">
        <f aca="false">IF(Szenarien!$H$18="OK",(IFERROR(SUMIF(Nutzungsprofile!$B$6:$B$11,"Schulbetrieb",Nutzungsprofile!$G$6:$G$11)*Kalender!C308/SUM(Kalender!$C$5:$C$370),0)+IFERROR(SUMIF(Nutzungsprofile!$B$6:$B$11,"Halle",Nutzungsprofile!$G$6:$G$11)*Kalender!D308/SUM(Kalender!$D$5:$D$370),0)+IFERROR(SUMIF(Nutzungsprofile!$B$6:$B$11,"Individuell",Nutzungsprofile!$G$6:$G$11)*Kalender!E308/SUM(Kalender!$E$5:$E$370),0))*Szenarien!$E$18,0)</f>
        <v>0</v>
      </c>
      <c r="D2870" s="13" t="n">
        <f aca="false">IF(Szenarien!$H$18="OK",(IFERROR(SUMIF(Nutzungsprofile!$B$17:$B$22,"Schulbetrieb",Nutzungsprofile!$G$17:$G$22)*Kalender!C308/SUM(Kalender!$C$5:$C$370),0)+IFERROR(SUMIF(Nutzungsprofile!$B$17:$B$22,"Halle",Nutzungsprofile!$G$17:$G$22)*Kalender!D308/SUM(Kalender!$D$5:$D$370),0)+IFERROR(SUMIF(Nutzungsprofile!$B$17:$B$22,"Individuell",Nutzungsprofile!$G$17:$G$22)*Kalender!E308/SUM(Kalender!$E$5:$E$370),0))*Szenarien!$D$18,0)</f>
        <v>0</v>
      </c>
      <c r="E2870" s="13" t="n">
        <f aca="false">IFERROR(MIN(C2870,Eingaben!$B$17)*Eingaben!$B$16,0)</f>
        <v>0</v>
      </c>
      <c r="F2870" s="13" t="n">
        <f aca="false">IFERROR(E2870*Eingaben!$B$15,0)</f>
        <v>0</v>
      </c>
      <c r="G2870" s="13" t="n">
        <f aca="false">IFERROR(IF(Kalender!A308="",0,J2869*(1-Eingaben!$B$20)),0)</f>
        <v>0.226233</v>
      </c>
      <c r="H2870" s="13" t="n">
        <f aca="false">MIN(G2870,D2870)</f>
        <v>0</v>
      </c>
      <c r="I2870" s="13" t="n">
        <f aca="false">IFERROR(MIN(F2870*Eingaben!$B$19,MAX(0,D2870-H2870)),0)</f>
        <v>0</v>
      </c>
      <c r="J2870" s="13" t="n">
        <f aca="false">IFERROR(MIN(Eingaben!$B$18,MAX(0,F2870-I2870)),0)</f>
        <v>0</v>
      </c>
      <c r="K2870" s="13" t="n">
        <f aca="false">H2870+I2870</f>
        <v>0</v>
      </c>
      <c r="L2870" s="13" t="n">
        <f aca="false">MAX(0,D2870-K2870)</f>
        <v>0</v>
      </c>
      <c r="M2870" s="13" t="n">
        <f aca="false">MAX(0,F2870-I2870-J2870)</f>
        <v>0</v>
      </c>
      <c r="N2870" s="13" t="n">
        <f aca="false">IF(Kalender!A308="",0,J2869-H2870)</f>
        <v>0.23085</v>
      </c>
    </row>
    <row r="2871" customFormat="false" ht="16.4" hidden="false" customHeight="false" outlineLevel="0" collapsed="false">
      <c r="A2871" s="13" t="str">
        <f aca="false">""</f>
        <v/>
      </c>
      <c r="B2871" s="13" t="n">
        <f aca="false">305</f>
        <v>305</v>
      </c>
      <c r="C2871" s="13" t="n">
        <f aca="false">IF(Szenarien!$H$18="OK",(IFERROR(SUMIF(Nutzungsprofile!$B$6:$B$11,"Schulbetrieb",Nutzungsprofile!$G$6:$G$11)*Kalender!C309/SUM(Kalender!$C$5:$C$370),0)+IFERROR(SUMIF(Nutzungsprofile!$B$6:$B$11,"Halle",Nutzungsprofile!$G$6:$G$11)*Kalender!D309/SUM(Kalender!$D$5:$D$370),0)+IFERROR(SUMIF(Nutzungsprofile!$B$6:$B$11,"Individuell",Nutzungsprofile!$G$6:$G$11)*Kalender!E309/SUM(Kalender!$E$5:$E$370),0))*Szenarien!$E$18,0)</f>
        <v>0</v>
      </c>
      <c r="D2871" s="13" t="n">
        <f aca="false">IF(Szenarien!$H$18="OK",(IFERROR(SUMIF(Nutzungsprofile!$B$17:$B$22,"Schulbetrieb",Nutzungsprofile!$G$17:$G$22)*Kalender!C309/SUM(Kalender!$C$5:$C$370),0)+IFERROR(SUMIF(Nutzungsprofile!$B$17:$B$22,"Halle",Nutzungsprofile!$G$17:$G$22)*Kalender!D309/SUM(Kalender!$D$5:$D$370),0)+IFERROR(SUMIF(Nutzungsprofile!$B$17:$B$22,"Individuell",Nutzungsprofile!$G$17:$G$22)*Kalender!E309/SUM(Kalender!$E$5:$E$370),0))*Szenarien!$D$18,0)</f>
        <v>0</v>
      </c>
      <c r="E2871" s="13" t="n">
        <f aca="false">IFERROR(MIN(C2871,Eingaben!$B$17)*Eingaben!$B$16,0)</f>
        <v>0</v>
      </c>
      <c r="F2871" s="13" t="n">
        <f aca="false">IFERROR(E2871*Eingaben!$B$15,0)</f>
        <v>0</v>
      </c>
      <c r="G2871" s="13" t="n">
        <f aca="false">IFERROR(IF(Kalender!A309="",0,J2870*(1-Eingaben!$B$20)),0)</f>
        <v>0</v>
      </c>
      <c r="H2871" s="13" t="n">
        <f aca="false">MIN(G2871,D2871)</f>
        <v>0</v>
      </c>
      <c r="I2871" s="13" t="n">
        <f aca="false">IFERROR(MIN(F2871*Eingaben!$B$19,MAX(0,D2871-H2871)),0)</f>
        <v>0</v>
      </c>
      <c r="J2871" s="13" t="n">
        <f aca="false">IFERROR(MIN(Eingaben!$B$18,MAX(0,F2871-I2871)),0)</f>
        <v>0</v>
      </c>
      <c r="K2871" s="13" t="n">
        <f aca="false">H2871+I2871</f>
        <v>0</v>
      </c>
      <c r="L2871" s="13" t="n">
        <f aca="false">MAX(0,D2871-K2871)</f>
        <v>0</v>
      </c>
      <c r="M2871" s="13" t="n">
        <f aca="false">MAX(0,F2871-I2871-J2871)</f>
        <v>0</v>
      </c>
      <c r="N2871" s="13" t="n">
        <f aca="false">IF(Kalender!A309="",0,J2870-H2871)</f>
        <v>0</v>
      </c>
    </row>
    <row r="2872" customFormat="false" ht="16.4" hidden="false" customHeight="false" outlineLevel="0" collapsed="false">
      <c r="A2872" s="13" t="str">
        <f aca="false">""</f>
        <v/>
      </c>
      <c r="B2872" s="13" t="n">
        <f aca="false">306</f>
        <v>306</v>
      </c>
      <c r="C2872" s="13" t="n">
        <f aca="false">IF(Szenarien!$H$18="OK",(IFERROR(SUMIF(Nutzungsprofile!$B$6:$B$11,"Schulbetrieb",Nutzungsprofile!$G$6:$G$11)*Kalender!C310/SUM(Kalender!$C$5:$C$370),0)+IFERROR(SUMIF(Nutzungsprofile!$B$6:$B$11,"Halle",Nutzungsprofile!$G$6:$G$11)*Kalender!D310/SUM(Kalender!$D$5:$D$370),0)+IFERROR(SUMIF(Nutzungsprofile!$B$6:$B$11,"Individuell",Nutzungsprofile!$G$6:$G$11)*Kalender!E310/SUM(Kalender!$E$5:$E$370),0))*Szenarien!$E$18,0)</f>
        <v>0.9</v>
      </c>
      <c r="D2872" s="13" t="n">
        <f aca="false">IF(Szenarien!$H$18="OK",(IFERROR(SUMIF(Nutzungsprofile!$B$17:$B$22,"Schulbetrieb",Nutzungsprofile!$G$17:$G$22)*Kalender!C310/SUM(Kalender!$C$5:$C$370),0)+IFERROR(SUMIF(Nutzungsprofile!$B$17:$B$22,"Halle",Nutzungsprofile!$G$17:$G$22)*Kalender!D310/SUM(Kalender!$D$5:$D$370),0)+IFERROR(SUMIF(Nutzungsprofile!$B$17:$B$22,"Individuell",Nutzungsprofile!$G$17:$G$22)*Kalender!E310/SUM(Kalender!$E$5:$E$370),0))*Szenarien!$D$18,0)</f>
        <v>3.24</v>
      </c>
      <c r="E2872" s="13" t="n">
        <f aca="false">IFERROR(MIN(C2872,Eingaben!$B$17)*Eingaben!$B$16,0)</f>
        <v>0.855</v>
      </c>
      <c r="F2872" s="13" t="n">
        <f aca="false">IFERROR(E2872*Eingaben!$B$15,0)</f>
        <v>0.7695</v>
      </c>
      <c r="G2872" s="13" t="n">
        <f aca="false">IFERROR(IF(Kalender!A310="",0,J2871*(1-Eingaben!$B$20)),0)</f>
        <v>0</v>
      </c>
      <c r="H2872" s="13" t="n">
        <f aca="false">MIN(G2872,D2872)</f>
        <v>0</v>
      </c>
      <c r="I2872" s="13" t="n">
        <f aca="false">IFERROR(MIN(F2872*Eingaben!$B$19,MAX(0,D2872-H2872)),0)</f>
        <v>0.53865</v>
      </c>
      <c r="J2872" s="13" t="n">
        <f aca="false">IFERROR(MIN(Eingaben!$B$18,MAX(0,F2872-I2872)),0)</f>
        <v>0.23085</v>
      </c>
      <c r="K2872" s="13" t="n">
        <f aca="false">H2872+I2872</f>
        <v>0.53865</v>
      </c>
      <c r="L2872" s="13" t="n">
        <f aca="false">MAX(0,D2872-K2872)</f>
        <v>2.70135</v>
      </c>
      <c r="M2872" s="13" t="n">
        <f aca="false">MAX(0,F2872-I2872-J2872)</f>
        <v>0</v>
      </c>
      <c r="N2872" s="13" t="n">
        <f aca="false">IF(Kalender!A310="",0,J2871-H2872)</f>
        <v>0</v>
      </c>
    </row>
    <row r="2873" customFormat="false" ht="16.4" hidden="false" customHeight="false" outlineLevel="0" collapsed="false">
      <c r="A2873" s="13" t="str">
        <f aca="false">""</f>
        <v/>
      </c>
      <c r="B2873" s="13" t="n">
        <f aca="false">307</f>
        <v>307</v>
      </c>
      <c r="C2873" s="13" t="n">
        <f aca="false">IF(Szenarien!$H$18="OK",(IFERROR(SUMIF(Nutzungsprofile!$B$6:$B$11,"Schulbetrieb",Nutzungsprofile!$G$6:$G$11)*Kalender!C311/SUM(Kalender!$C$5:$C$370),0)+IFERROR(SUMIF(Nutzungsprofile!$B$6:$B$11,"Halle",Nutzungsprofile!$G$6:$G$11)*Kalender!D311/SUM(Kalender!$D$5:$D$370),0)+IFERROR(SUMIF(Nutzungsprofile!$B$6:$B$11,"Individuell",Nutzungsprofile!$G$6:$G$11)*Kalender!E311/SUM(Kalender!$E$5:$E$370),0))*Szenarien!$E$18,0)</f>
        <v>0.9</v>
      </c>
      <c r="D2873" s="13" t="n">
        <f aca="false">IF(Szenarien!$H$18="OK",(IFERROR(SUMIF(Nutzungsprofile!$B$17:$B$22,"Schulbetrieb",Nutzungsprofile!$G$17:$G$22)*Kalender!C311/SUM(Kalender!$C$5:$C$370),0)+IFERROR(SUMIF(Nutzungsprofile!$B$17:$B$22,"Halle",Nutzungsprofile!$G$17:$G$22)*Kalender!D311/SUM(Kalender!$D$5:$D$370),0)+IFERROR(SUMIF(Nutzungsprofile!$B$17:$B$22,"Individuell",Nutzungsprofile!$G$17:$G$22)*Kalender!E311/SUM(Kalender!$E$5:$E$370),0))*Szenarien!$D$18,0)</f>
        <v>3.24</v>
      </c>
      <c r="E2873" s="13" t="n">
        <f aca="false">IFERROR(MIN(C2873,Eingaben!$B$17)*Eingaben!$B$16,0)</f>
        <v>0.855</v>
      </c>
      <c r="F2873" s="13" t="n">
        <f aca="false">IFERROR(E2873*Eingaben!$B$15,0)</f>
        <v>0.7695</v>
      </c>
      <c r="G2873" s="13" t="n">
        <f aca="false">IFERROR(IF(Kalender!A311="",0,J2872*(1-Eingaben!$B$20)),0)</f>
        <v>0.226233</v>
      </c>
      <c r="H2873" s="13" t="n">
        <f aca="false">MIN(G2873,D2873)</f>
        <v>0.226233</v>
      </c>
      <c r="I2873" s="13" t="n">
        <f aca="false">IFERROR(MIN(F2873*Eingaben!$B$19,MAX(0,D2873-H2873)),0)</f>
        <v>0.53865</v>
      </c>
      <c r="J2873" s="13" t="n">
        <f aca="false">IFERROR(MIN(Eingaben!$B$18,MAX(0,F2873-I2873)),0)</f>
        <v>0.23085</v>
      </c>
      <c r="K2873" s="13" t="n">
        <f aca="false">H2873+I2873</f>
        <v>0.764883</v>
      </c>
      <c r="L2873" s="13" t="n">
        <f aca="false">MAX(0,D2873-K2873)</f>
        <v>2.475117</v>
      </c>
      <c r="M2873" s="13" t="n">
        <f aca="false">MAX(0,F2873-I2873-J2873)</f>
        <v>0</v>
      </c>
      <c r="N2873" s="13" t="n">
        <f aca="false">IF(Kalender!A311="",0,J2872-H2873)</f>
        <v>0.00461700000000001</v>
      </c>
    </row>
    <row r="2874" customFormat="false" ht="16.4" hidden="false" customHeight="false" outlineLevel="0" collapsed="false">
      <c r="A2874" s="13" t="str">
        <f aca="false">""</f>
        <v/>
      </c>
      <c r="B2874" s="13" t="n">
        <f aca="false">308</f>
        <v>308</v>
      </c>
      <c r="C2874" s="13" t="n">
        <f aca="false">IF(Szenarien!$H$18="OK",(IFERROR(SUMIF(Nutzungsprofile!$B$6:$B$11,"Schulbetrieb",Nutzungsprofile!$G$6:$G$11)*Kalender!C312/SUM(Kalender!$C$5:$C$370),0)+IFERROR(SUMIF(Nutzungsprofile!$B$6:$B$11,"Halle",Nutzungsprofile!$G$6:$G$11)*Kalender!D312/SUM(Kalender!$D$5:$D$370),0)+IFERROR(SUMIF(Nutzungsprofile!$B$6:$B$11,"Individuell",Nutzungsprofile!$G$6:$G$11)*Kalender!E312/SUM(Kalender!$E$5:$E$370),0))*Szenarien!$E$18,0)</f>
        <v>0.9</v>
      </c>
      <c r="D2874" s="13" t="n">
        <f aca="false">IF(Szenarien!$H$18="OK",(IFERROR(SUMIF(Nutzungsprofile!$B$17:$B$22,"Schulbetrieb",Nutzungsprofile!$G$17:$G$22)*Kalender!C312/SUM(Kalender!$C$5:$C$370),0)+IFERROR(SUMIF(Nutzungsprofile!$B$17:$B$22,"Halle",Nutzungsprofile!$G$17:$G$22)*Kalender!D312/SUM(Kalender!$D$5:$D$370),0)+IFERROR(SUMIF(Nutzungsprofile!$B$17:$B$22,"Individuell",Nutzungsprofile!$G$17:$G$22)*Kalender!E312/SUM(Kalender!$E$5:$E$370),0))*Szenarien!$D$18,0)</f>
        <v>3.24</v>
      </c>
      <c r="E2874" s="13" t="n">
        <f aca="false">IFERROR(MIN(C2874,Eingaben!$B$17)*Eingaben!$B$16,0)</f>
        <v>0.855</v>
      </c>
      <c r="F2874" s="13" t="n">
        <f aca="false">IFERROR(E2874*Eingaben!$B$15,0)</f>
        <v>0.7695</v>
      </c>
      <c r="G2874" s="13" t="n">
        <f aca="false">IFERROR(IF(Kalender!A312="",0,J2873*(1-Eingaben!$B$20)),0)</f>
        <v>0.226233</v>
      </c>
      <c r="H2874" s="13" t="n">
        <f aca="false">MIN(G2874,D2874)</f>
        <v>0.226233</v>
      </c>
      <c r="I2874" s="13" t="n">
        <f aca="false">IFERROR(MIN(F2874*Eingaben!$B$19,MAX(0,D2874-H2874)),0)</f>
        <v>0.53865</v>
      </c>
      <c r="J2874" s="13" t="n">
        <f aca="false">IFERROR(MIN(Eingaben!$B$18,MAX(0,F2874-I2874)),0)</f>
        <v>0.23085</v>
      </c>
      <c r="K2874" s="13" t="n">
        <f aca="false">H2874+I2874</f>
        <v>0.764883</v>
      </c>
      <c r="L2874" s="13" t="n">
        <f aca="false">MAX(0,D2874-K2874)</f>
        <v>2.475117</v>
      </c>
      <c r="M2874" s="13" t="n">
        <f aca="false">MAX(0,F2874-I2874-J2874)</f>
        <v>0</v>
      </c>
      <c r="N2874" s="13" t="n">
        <f aca="false">IF(Kalender!A312="",0,J2873-H2874)</f>
        <v>0.00461700000000001</v>
      </c>
    </row>
    <row r="2875" customFormat="false" ht="16.4" hidden="false" customHeight="false" outlineLevel="0" collapsed="false">
      <c r="A2875" s="13" t="str">
        <f aca="false">""</f>
        <v/>
      </c>
      <c r="B2875" s="13" t="n">
        <f aca="false">309</f>
        <v>309</v>
      </c>
      <c r="C2875" s="13" t="n">
        <f aca="false">IF(Szenarien!$H$18="OK",(IFERROR(SUMIF(Nutzungsprofile!$B$6:$B$11,"Schulbetrieb",Nutzungsprofile!$G$6:$G$11)*Kalender!C313/SUM(Kalender!$C$5:$C$370),0)+IFERROR(SUMIF(Nutzungsprofile!$B$6:$B$11,"Halle",Nutzungsprofile!$G$6:$G$11)*Kalender!D313/SUM(Kalender!$D$5:$D$370),0)+IFERROR(SUMIF(Nutzungsprofile!$B$6:$B$11,"Individuell",Nutzungsprofile!$G$6:$G$11)*Kalender!E313/SUM(Kalender!$E$5:$E$370),0))*Szenarien!$E$18,0)</f>
        <v>0.9</v>
      </c>
      <c r="D2875" s="13" t="n">
        <f aca="false">IF(Szenarien!$H$18="OK",(IFERROR(SUMIF(Nutzungsprofile!$B$17:$B$22,"Schulbetrieb",Nutzungsprofile!$G$17:$G$22)*Kalender!C313/SUM(Kalender!$C$5:$C$370),0)+IFERROR(SUMIF(Nutzungsprofile!$B$17:$B$22,"Halle",Nutzungsprofile!$G$17:$G$22)*Kalender!D313/SUM(Kalender!$D$5:$D$370),0)+IFERROR(SUMIF(Nutzungsprofile!$B$17:$B$22,"Individuell",Nutzungsprofile!$G$17:$G$22)*Kalender!E313/SUM(Kalender!$E$5:$E$370),0))*Szenarien!$D$18,0)</f>
        <v>3.24</v>
      </c>
      <c r="E2875" s="13" t="n">
        <f aca="false">IFERROR(MIN(C2875,Eingaben!$B$17)*Eingaben!$B$16,0)</f>
        <v>0.855</v>
      </c>
      <c r="F2875" s="13" t="n">
        <f aca="false">IFERROR(E2875*Eingaben!$B$15,0)</f>
        <v>0.7695</v>
      </c>
      <c r="G2875" s="13" t="n">
        <f aca="false">IFERROR(IF(Kalender!A313="",0,J2874*(1-Eingaben!$B$20)),0)</f>
        <v>0.226233</v>
      </c>
      <c r="H2875" s="13" t="n">
        <f aca="false">MIN(G2875,D2875)</f>
        <v>0.226233</v>
      </c>
      <c r="I2875" s="13" t="n">
        <f aca="false">IFERROR(MIN(F2875*Eingaben!$B$19,MAX(0,D2875-H2875)),0)</f>
        <v>0.53865</v>
      </c>
      <c r="J2875" s="13" t="n">
        <f aca="false">IFERROR(MIN(Eingaben!$B$18,MAX(0,F2875-I2875)),0)</f>
        <v>0.23085</v>
      </c>
      <c r="K2875" s="13" t="n">
        <f aca="false">H2875+I2875</f>
        <v>0.764883</v>
      </c>
      <c r="L2875" s="13" t="n">
        <f aca="false">MAX(0,D2875-K2875)</f>
        <v>2.475117</v>
      </c>
      <c r="M2875" s="13" t="n">
        <f aca="false">MAX(0,F2875-I2875-J2875)</f>
        <v>0</v>
      </c>
      <c r="N2875" s="13" t="n">
        <f aca="false">IF(Kalender!A313="",0,J2874-H2875)</f>
        <v>0.00461700000000001</v>
      </c>
    </row>
    <row r="2876" customFormat="false" ht="16.4" hidden="false" customHeight="false" outlineLevel="0" collapsed="false">
      <c r="A2876" s="13" t="str">
        <f aca="false">""</f>
        <v/>
      </c>
      <c r="B2876" s="13" t="n">
        <f aca="false">310</f>
        <v>310</v>
      </c>
      <c r="C2876" s="13" t="n">
        <f aca="false">IF(Szenarien!$H$18="OK",(IFERROR(SUMIF(Nutzungsprofile!$B$6:$B$11,"Schulbetrieb",Nutzungsprofile!$G$6:$G$11)*Kalender!C314/SUM(Kalender!$C$5:$C$370),0)+IFERROR(SUMIF(Nutzungsprofile!$B$6:$B$11,"Halle",Nutzungsprofile!$G$6:$G$11)*Kalender!D314/SUM(Kalender!$D$5:$D$370),0)+IFERROR(SUMIF(Nutzungsprofile!$B$6:$B$11,"Individuell",Nutzungsprofile!$G$6:$G$11)*Kalender!E314/SUM(Kalender!$E$5:$E$370),0))*Szenarien!$E$18,0)</f>
        <v>0.9</v>
      </c>
      <c r="D2876" s="13" t="n">
        <f aca="false">IF(Szenarien!$H$18="OK",(IFERROR(SUMIF(Nutzungsprofile!$B$17:$B$22,"Schulbetrieb",Nutzungsprofile!$G$17:$G$22)*Kalender!C314/SUM(Kalender!$C$5:$C$370),0)+IFERROR(SUMIF(Nutzungsprofile!$B$17:$B$22,"Halle",Nutzungsprofile!$G$17:$G$22)*Kalender!D314/SUM(Kalender!$D$5:$D$370),0)+IFERROR(SUMIF(Nutzungsprofile!$B$17:$B$22,"Individuell",Nutzungsprofile!$G$17:$G$22)*Kalender!E314/SUM(Kalender!$E$5:$E$370),0))*Szenarien!$D$18,0)</f>
        <v>3.24</v>
      </c>
      <c r="E2876" s="13" t="n">
        <f aca="false">IFERROR(MIN(C2876,Eingaben!$B$17)*Eingaben!$B$16,0)</f>
        <v>0.855</v>
      </c>
      <c r="F2876" s="13" t="n">
        <f aca="false">IFERROR(E2876*Eingaben!$B$15,0)</f>
        <v>0.7695</v>
      </c>
      <c r="G2876" s="13" t="n">
        <f aca="false">IFERROR(IF(Kalender!A314="",0,J2875*(1-Eingaben!$B$20)),0)</f>
        <v>0.226233</v>
      </c>
      <c r="H2876" s="13" t="n">
        <f aca="false">MIN(G2876,D2876)</f>
        <v>0.226233</v>
      </c>
      <c r="I2876" s="13" t="n">
        <f aca="false">IFERROR(MIN(F2876*Eingaben!$B$19,MAX(0,D2876-H2876)),0)</f>
        <v>0.53865</v>
      </c>
      <c r="J2876" s="13" t="n">
        <f aca="false">IFERROR(MIN(Eingaben!$B$18,MAX(0,F2876-I2876)),0)</f>
        <v>0.23085</v>
      </c>
      <c r="K2876" s="13" t="n">
        <f aca="false">H2876+I2876</f>
        <v>0.764883</v>
      </c>
      <c r="L2876" s="13" t="n">
        <f aca="false">MAX(0,D2876-K2876)</f>
        <v>2.475117</v>
      </c>
      <c r="M2876" s="13" t="n">
        <f aca="false">MAX(0,F2876-I2876-J2876)</f>
        <v>0</v>
      </c>
      <c r="N2876" s="13" t="n">
        <f aca="false">IF(Kalender!A314="",0,J2875-H2876)</f>
        <v>0.00461700000000001</v>
      </c>
    </row>
    <row r="2877" customFormat="false" ht="16.4" hidden="false" customHeight="false" outlineLevel="0" collapsed="false">
      <c r="A2877" s="13" t="str">
        <f aca="false">""</f>
        <v/>
      </c>
      <c r="B2877" s="13" t="n">
        <f aca="false">311</f>
        <v>311</v>
      </c>
      <c r="C2877" s="13" t="n">
        <f aca="false">IF(Szenarien!$H$18="OK",(IFERROR(SUMIF(Nutzungsprofile!$B$6:$B$11,"Schulbetrieb",Nutzungsprofile!$G$6:$G$11)*Kalender!C315/SUM(Kalender!$C$5:$C$370),0)+IFERROR(SUMIF(Nutzungsprofile!$B$6:$B$11,"Halle",Nutzungsprofile!$G$6:$G$11)*Kalender!D315/SUM(Kalender!$D$5:$D$370),0)+IFERROR(SUMIF(Nutzungsprofile!$B$6:$B$11,"Individuell",Nutzungsprofile!$G$6:$G$11)*Kalender!E315/SUM(Kalender!$E$5:$E$370),0))*Szenarien!$E$18,0)</f>
        <v>0</v>
      </c>
      <c r="D2877" s="13" t="n">
        <f aca="false">IF(Szenarien!$H$18="OK",(IFERROR(SUMIF(Nutzungsprofile!$B$17:$B$22,"Schulbetrieb",Nutzungsprofile!$G$17:$G$22)*Kalender!C315/SUM(Kalender!$C$5:$C$370),0)+IFERROR(SUMIF(Nutzungsprofile!$B$17:$B$22,"Halle",Nutzungsprofile!$G$17:$G$22)*Kalender!D315/SUM(Kalender!$D$5:$D$370),0)+IFERROR(SUMIF(Nutzungsprofile!$B$17:$B$22,"Individuell",Nutzungsprofile!$G$17:$G$22)*Kalender!E315/SUM(Kalender!$E$5:$E$370),0))*Szenarien!$D$18,0)</f>
        <v>0</v>
      </c>
      <c r="E2877" s="13" t="n">
        <f aca="false">IFERROR(MIN(C2877,Eingaben!$B$17)*Eingaben!$B$16,0)</f>
        <v>0</v>
      </c>
      <c r="F2877" s="13" t="n">
        <f aca="false">IFERROR(E2877*Eingaben!$B$15,0)</f>
        <v>0</v>
      </c>
      <c r="G2877" s="13" t="n">
        <f aca="false">IFERROR(IF(Kalender!A315="",0,J2876*(1-Eingaben!$B$20)),0)</f>
        <v>0.226233</v>
      </c>
      <c r="H2877" s="13" t="n">
        <f aca="false">MIN(G2877,D2877)</f>
        <v>0</v>
      </c>
      <c r="I2877" s="13" t="n">
        <f aca="false">IFERROR(MIN(F2877*Eingaben!$B$19,MAX(0,D2877-H2877)),0)</f>
        <v>0</v>
      </c>
      <c r="J2877" s="13" t="n">
        <f aca="false">IFERROR(MIN(Eingaben!$B$18,MAX(0,F2877-I2877)),0)</f>
        <v>0</v>
      </c>
      <c r="K2877" s="13" t="n">
        <f aca="false">H2877+I2877</f>
        <v>0</v>
      </c>
      <c r="L2877" s="13" t="n">
        <f aca="false">MAX(0,D2877-K2877)</f>
        <v>0</v>
      </c>
      <c r="M2877" s="13" t="n">
        <f aca="false">MAX(0,F2877-I2877-J2877)</f>
        <v>0</v>
      </c>
      <c r="N2877" s="13" t="n">
        <f aca="false">IF(Kalender!A315="",0,J2876-H2877)</f>
        <v>0.23085</v>
      </c>
    </row>
    <row r="2878" customFormat="false" ht="16.4" hidden="false" customHeight="false" outlineLevel="0" collapsed="false">
      <c r="A2878" s="13" t="str">
        <f aca="false">""</f>
        <v/>
      </c>
      <c r="B2878" s="13" t="n">
        <f aca="false">312</f>
        <v>312</v>
      </c>
      <c r="C2878" s="13" t="n">
        <f aca="false">IF(Szenarien!$H$18="OK",(IFERROR(SUMIF(Nutzungsprofile!$B$6:$B$11,"Schulbetrieb",Nutzungsprofile!$G$6:$G$11)*Kalender!C316/SUM(Kalender!$C$5:$C$370),0)+IFERROR(SUMIF(Nutzungsprofile!$B$6:$B$11,"Halle",Nutzungsprofile!$G$6:$G$11)*Kalender!D316/SUM(Kalender!$D$5:$D$370),0)+IFERROR(SUMIF(Nutzungsprofile!$B$6:$B$11,"Individuell",Nutzungsprofile!$G$6:$G$11)*Kalender!E316/SUM(Kalender!$E$5:$E$370),0))*Szenarien!$E$18,0)</f>
        <v>0</v>
      </c>
      <c r="D2878" s="13" t="n">
        <f aca="false">IF(Szenarien!$H$18="OK",(IFERROR(SUMIF(Nutzungsprofile!$B$17:$B$22,"Schulbetrieb",Nutzungsprofile!$G$17:$G$22)*Kalender!C316/SUM(Kalender!$C$5:$C$370),0)+IFERROR(SUMIF(Nutzungsprofile!$B$17:$B$22,"Halle",Nutzungsprofile!$G$17:$G$22)*Kalender!D316/SUM(Kalender!$D$5:$D$370),0)+IFERROR(SUMIF(Nutzungsprofile!$B$17:$B$22,"Individuell",Nutzungsprofile!$G$17:$G$22)*Kalender!E316/SUM(Kalender!$E$5:$E$370),0))*Szenarien!$D$18,0)</f>
        <v>0</v>
      </c>
      <c r="E2878" s="13" t="n">
        <f aca="false">IFERROR(MIN(C2878,Eingaben!$B$17)*Eingaben!$B$16,0)</f>
        <v>0</v>
      </c>
      <c r="F2878" s="13" t="n">
        <f aca="false">IFERROR(E2878*Eingaben!$B$15,0)</f>
        <v>0</v>
      </c>
      <c r="G2878" s="13" t="n">
        <f aca="false">IFERROR(IF(Kalender!A316="",0,J2877*(1-Eingaben!$B$20)),0)</f>
        <v>0</v>
      </c>
      <c r="H2878" s="13" t="n">
        <f aca="false">MIN(G2878,D2878)</f>
        <v>0</v>
      </c>
      <c r="I2878" s="13" t="n">
        <f aca="false">IFERROR(MIN(F2878*Eingaben!$B$19,MAX(0,D2878-H2878)),0)</f>
        <v>0</v>
      </c>
      <c r="J2878" s="13" t="n">
        <f aca="false">IFERROR(MIN(Eingaben!$B$18,MAX(0,F2878-I2878)),0)</f>
        <v>0</v>
      </c>
      <c r="K2878" s="13" t="n">
        <f aca="false">H2878+I2878</f>
        <v>0</v>
      </c>
      <c r="L2878" s="13" t="n">
        <f aca="false">MAX(0,D2878-K2878)</f>
        <v>0</v>
      </c>
      <c r="M2878" s="13" t="n">
        <f aca="false">MAX(0,F2878-I2878-J2878)</f>
        <v>0</v>
      </c>
      <c r="N2878" s="13" t="n">
        <f aca="false">IF(Kalender!A316="",0,J2877-H2878)</f>
        <v>0</v>
      </c>
    </row>
    <row r="2879" customFormat="false" ht="16.4" hidden="false" customHeight="false" outlineLevel="0" collapsed="false">
      <c r="A2879" s="13" t="str">
        <f aca="false">""</f>
        <v/>
      </c>
      <c r="B2879" s="13" t="n">
        <f aca="false">313</f>
        <v>313</v>
      </c>
      <c r="C2879" s="13" t="n">
        <f aca="false">IF(Szenarien!$H$18="OK",(IFERROR(SUMIF(Nutzungsprofile!$B$6:$B$11,"Schulbetrieb",Nutzungsprofile!$G$6:$G$11)*Kalender!C317/SUM(Kalender!$C$5:$C$370),0)+IFERROR(SUMIF(Nutzungsprofile!$B$6:$B$11,"Halle",Nutzungsprofile!$G$6:$G$11)*Kalender!D317/SUM(Kalender!$D$5:$D$370),0)+IFERROR(SUMIF(Nutzungsprofile!$B$6:$B$11,"Individuell",Nutzungsprofile!$G$6:$G$11)*Kalender!E317/SUM(Kalender!$E$5:$E$370),0))*Szenarien!$E$18,0)</f>
        <v>0.9</v>
      </c>
      <c r="D2879" s="13" t="n">
        <f aca="false">IF(Szenarien!$H$18="OK",(IFERROR(SUMIF(Nutzungsprofile!$B$17:$B$22,"Schulbetrieb",Nutzungsprofile!$G$17:$G$22)*Kalender!C317/SUM(Kalender!$C$5:$C$370),0)+IFERROR(SUMIF(Nutzungsprofile!$B$17:$B$22,"Halle",Nutzungsprofile!$G$17:$G$22)*Kalender!D317/SUM(Kalender!$D$5:$D$370),0)+IFERROR(SUMIF(Nutzungsprofile!$B$17:$B$22,"Individuell",Nutzungsprofile!$G$17:$G$22)*Kalender!E317/SUM(Kalender!$E$5:$E$370),0))*Szenarien!$D$18,0)</f>
        <v>3.24</v>
      </c>
      <c r="E2879" s="13" t="n">
        <f aca="false">IFERROR(MIN(C2879,Eingaben!$B$17)*Eingaben!$B$16,0)</f>
        <v>0.855</v>
      </c>
      <c r="F2879" s="13" t="n">
        <f aca="false">IFERROR(E2879*Eingaben!$B$15,0)</f>
        <v>0.7695</v>
      </c>
      <c r="G2879" s="13" t="n">
        <f aca="false">IFERROR(IF(Kalender!A317="",0,J2878*(1-Eingaben!$B$20)),0)</f>
        <v>0</v>
      </c>
      <c r="H2879" s="13" t="n">
        <f aca="false">MIN(G2879,D2879)</f>
        <v>0</v>
      </c>
      <c r="I2879" s="13" t="n">
        <f aca="false">IFERROR(MIN(F2879*Eingaben!$B$19,MAX(0,D2879-H2879)),0)</f>
        <v>0.53865</v>
      </c>
      <c r="J2879" s="13" t="n">
        <f aca="false">IFERROR(MIN(Eingaben!$B$18,MAX(0,F2879-I2879)),0)</f>
        <v>0.23085</v>
      </c>
      <c r="K2879" s="13" t="n">
        <f aca="false">H2879+I2879</f>
        <v>0.53865</v>
      </c>
      <c r="L2879" s="13" t="n">
        <f aca="false">MAX(0,D2879-K2879)</f>
        <v>2.70135</v>
      </c>
      <c r="M2879" s="13" t="n">
        <f aca="false">MAX(0,F2879-I2879-J2879)</f>
        <v>0</v>
      </c>
      <c r="N2879" s="13" t="n">
        <f aca="false">IF(Kalender!A317="",0,J2878-H2879)</f>
        <v>0</v>
      </c>
    </row>
    <row r="2880" customFormat="false" ht="16.4" hidden="false" customHeight="false" outlineLevel="0" collapsed="false">
      <c r="A2880" s="13" t="str">
        <f aca="false">""</f>
        <v/>
      </c>
      <c r="B2880" s="13" t="n">
        <f aca="false">314</f>
        <v>314</v>
      </c>
      <c r="C2880" s="13" t="n">
        <f aca="false">IF(Szenarien!$H$18="OK",(IFERROR(SUMIF(Nutzungsprofile!$B$6:$B$11,"Schulbetrieb",Nutzungsprofile!$G$6:$G$11)*Kalender!C318/SUM(Kalender!$C$5:$C$370),0)+IFERROR(SUMIF(Nutzungsprofile!$B$6:$B$11,"Halle",Nutzungsprofile!$G$6:$G$11)*Kalender!D318/SUM(Kalender!$D$5:$D$370),0)+IFERROR(SUMIF(Nutzungsprofile!$B$6:$B$11,"Individuell",Nutzungsprofile!$G$6:$G$11)*Kalender!E318/SUM(Kalender!$E$5:$E$370),0))*Szenarien!$E$18,0)</f>
        <v>0.9</v>
      </c>
      <c r="D2880" s="13" t="n">
        <f aca="false">IF(Szenarien!$H$18="OK",(IFERROR(SUMIF(Nutzungsprofile!$B$17:$B$22,"Schulbetrieb",Nutzungsprofile!$G$17:$G$22)*Kalender!C318/SUM(Kalender!$C$5:$C$370),0)+IFERROR(SUMIF(Nutzungsprofile!$B$17:$B$22,"Halle",Nutzungsprofile!$G$17:$G$22)*Kalender!D318/SUM(Kalender!$D$5:$D$370),0)+IFERROR(SUMIF(Nutzungsprofile!$B$17:$B$22,"Individuell",Nutzungsprofile!$G$17:$G$22)*Kalender!E318/SUM(Kalender!$E$5:$E$370),0))*Szenarien!$D$18,0)</f>
        <v>3.24</v>
      </c>
      <c r="E2880" s="13" t="n">
        <f aca="false">IFERROR(MIN(C2880,Eingaben!$B$17)*Eingaben!$B$16,0)</f>
        <v>0.855</v>
      </c>
      <c r="F2880" s="13" t="n">
        <f aca="false">IFERROR(E2880*Eingaben!$B$15,0)</f>
        <v>0.7695</v>
      </c>
      <c r="G2880" s="13" t="n">
        <f aca="false">IFERROR(IF(Kalender!A318="",0,J2879*(1-Eingaben!$B$20)),0)</f>
        <v>0.226233</v>
      </c>
      <c r="H2880" s="13" t="n">
        <f aca="false">MIN(G2880,D2880)</f>
        <v>0.226233</v>
      </c>
      <c r="I2880" s="13" t="n">
        <f aca="false">IFERROR(MIN(F2880*Eingaben!$B$19,MAX(0,D2880-H2880)),0)</f>
        <v>0.53865</v>
      </c>
      <c r="J2880" s="13" t="n">
        <f aca="false">IFERROR(MIN(Eingaben!$B$18,MAX(0,F2880-I2880)),0)</f>
        <v>0.23085</v>
      </c>
      <c r="K2880" s="13" t="n">
        <f aca="false">H2880+I2880</f>
        <v>0.764883</v>
      </c>
      <c r="L2880" s="13" t="n">
        <f aca="false">MAX(0,D2880-K2880)</f>
        <v>2.475117</v>
      </c>
      <c r="M2880" s="13" t="n">
        <f aca="false">MAX(0,F2880-I2880-J2880)</f>
        <v>0</v>
      </c>
      <c r="N2880" s="13" t="n">
        <f aca="false">IF(Kalender!A318="",0,J2879-H2880)</f>
        <v>0.00461700000000001</v>
      </c>
    </row>
    <row r="2881" customFormat="false" ht="16.4" hidden="false" customHeight="false" outlineLevel="0" collapsed="false">
      <c r="A2881" s="13" t="str">
        <f aca="false">""</f>
        <v/>
      </c>
      <c r="B2881" s="13" t="n">
        <f aca="false">315</f>
        <v>315</v>
      </c>
      <c r="C2881" s="13" t="n">
        <f aca="false">IF(Szenarien!$H$18="OK",(IFERROR(SUMIF(Nutzungsprofile!$B$6:$B$11,"Schulbetrieb",Nutzungsprofile!$G$6:$G$11)*Kalender!C319/SUM(Kalender!$C$5:$C$370),0)+IFERROR(SUMIF(Nutzungsprofile!$B$6:$B$11,"Halle",Nutzungsprofile!$G$6:$G$11)*Kalender!D319/SUM(Kalender!$D$5:$D$370),0)+IFERROR(SUMIF(Nutzungsprofile!$B$6:$B$11,"Individuell",Nutzungsprofile!$G$6:$G$11)*Kalender!E319/SUM(Kalender!$E$5:$E$370),0))*Szenarien!$E$18,0)</f>
        <v>0.9</v>
      </c>
      <c r="D2881" s="13" t="n">
        <f aca="false">IF(Szenarien!$H$18="OK",(IFERROR(SUMIF(Nutzungsprofile!$B$17:$B$22,"Schulbetrieb",Nutzungsprofile!$G$17:$G$22)*Kalender!C319/SUM(Kalender!$C$5:$C$370),0)+IFERROR(SUMIF(Nutzungsprofile!$B$17:$B$22,"Halle",Nutzungsprofile!$G$17:$G$22)*Kalender!D319/SUM(Kalender!$D$5:$D$370),0)+IFERROR(SUMIF(Nutzungsprofile!$B$17:$B$22,"Individuell",Nutzungsprofile!$G$17:$G$22)*Kalender!E319/SUM(Kalender!$E$5:$E$370),0))*Szenarien!$D$18,0)</f>
        <v>3.24</v>
      </c>
      <c r="E2881" s="13" t="n">
        <f aca="false">IFERROR(MIN(C2881,Eingaben!$B$17)*Eingaben!$B$16,0)</f>
        <v>0.855</v>
      </c>
      <c r="F2881" s="13" t="n">
        <f aca="false">IFERROR(E2881*Eingaben!$B$15,0)</f>
        <v>0.7695</v>
      </c>
      <c r="G2881" s="13" t="n">
        <f aca="false">IFERROR(IF(Kalender!A319="",0,J2880*(1-Eingaben!$B$20)),0)</f>
        <v>0.226233</v>
      </c>
      <c r="H2881" s="13" t="n">
        <f aca="false">MIN(G2881,D2881)</f>
        <v>0.226233</v>
      </c>
      <c r="I2881" s="13" t="n">
        <f aca="false">IFERROR(MIN(F2881*Eingaben!$B$19,MAX(0,D2881-H2881)),0)</f>
        <v>0.53865</v>
      </c>
      <c r="J2881" s="13" t="n">
        <f aca="false">IFERROR(MIN(Eingaben!$B$18,MAX(0,F2881-I2881)),0)</f>
        <v>0.23085</v>
      </c>
      <c r="K2881" s="13" t="n">
        <f aca="false">H2881+I2881</f>
        <v>0.764883</v>
      </c>
      <c r="L2881" s="13" t="n">
        <f aca="false">MAX(0,D2881-K2881)</f>
        <v>2.475117</v>
      </c>
      <c r="M2881" s="13" t="n">
        <f aca="false">MAX(0,F2881-I2881-J2881)</f>
        <v>0</v>
      </c>
      <c r="N2881" s="13" t="n">
        <f aca="false">IF(Kalender!A319="",0,J2880-H2881)</f>
        <v>0.00461700000000001</v>
      </c>
    </row>
    <row r="2882" customFormat="false" ht="16.4" hidden="false" customHeight="false" outlineLevel="0" collapsed="false">
      <c r="A2882" s="13" t="str">
        <f aca="false">""</f>
        <v/>
      </c>
      <c r="B2882" s="13" t="n">
        <f aca="false">316</f>
        <v>316</v>
      </c>
      <c r="C2882" s="13" t="n">
        <f aca="false">IF(Szenarien!$H$18="OK",(IFERROR(SUMIF(Nutzungsprofile!$B$6:$B$11,"Schulbetrieb",Nutzungsprofile!$G$6:$G$11)*Kalender!C320/SUM(Kalender!$C$5:$C$370),0)+IFERROR(SUMIF(Nutzungsprofile!$B$6:$B$11,"Halle",Nutzungsprofile!$G$6:$G$11)*Kalender!D320/SUM(Kalender!$D$5:$D$370),0)+IFERROR(SUMIF(Nutzungsprofile!$B$6:$B$11,"Individuell",Nutzungsprofile!$G$6:$G$11)*Kalender!E320/SUM(Kalender!$E$5:$E$370),0))*Szenarien!$E$18,0)</f>
        <v>0.9</v>
      </c>
      <c r="D2882" s="13" t="n">
        <f aca="false">IF(Szenarien!$H$18="OK",(IFERROR(SUMIF(Nutzungsprofile!$B$17:$B$22,"Schulbetrieb",Nutzungsprofile!$G$17:$G$22)*Kalender!C320/SUM(Kalender!$C$5:$C$370),0)+IFERROR(SUMIF(Nutzungsprofile!$B$17:$B$22,"Halle",Nutzungsprofile!$G$17:$G$22)*Kalender!D320/SUM(Kalender!$D$5:$D$370),0)+IFERROR(SUMIF(Nutzungsprofile!$B$17:$B$22,"Individuell",Nutzungsprofile!$G$17:$G$22)*Kalender!E320/SUM(Kalender!$E$5:$E$370),0))*Szenarien!$D$18,0)</f>
        <v>3.24</v>
      </c>
      <c r="E2882" s="13" t="n">
        <f aca="false">IFERROR(MIN(C2882,Eingaben!$B$17)*Eingaben!$B$16,0)</f>
        <v>0.855</v>
      </c>
      <c r="F2882" s="13" t="n">
        <f aca="false">IFERROR(E2882*Eingaben!$B$15,0)</f>
        <v>0.7695</v>
      </c>
      <c r="G2882" s="13" t="n">
        <f aca="false">IFERROR(IF(Kalender!A320="",0,J2881*(1-Eingaben!$B$20)),0)</f>
        <v>0.226233</v>
      </c>
      <c r="H2882" s="13" t="n">
        <f aca="false">MIN(G2882,D2882)</f>
        <v>0.226233</v>
      </c>
      <c r="I2882" s="13" t="n">
        <f aca="false">IFERROR(MIN(F2882*Eingaben!$B$19,MAX(0,D2882-H2882)),0)</f>
        <v>0.53865</v>
      </c>
      <c r="J2882" s="13" t="n">
        <f aca="false">IFERROR(MIN(Eingaben!$B$18,MAX(0,F2882-I2882)),0)</f>
        <v>0.23085</v>
      </c>
      <c r="K2882" s="13" t="n">
        <f aca="false">H2882+I2882</f>
        <v>0.764883</v>
      </c>
      <c r="L2882" s="13" t="n">
        <f aca="false">MAX(0,D2882-K2882)</f>
        <v>2.475117</v>
      </c>
      <c r="M2882" s="13" t="n">
        <f aca="false">MAX(0,F2882-I2882-J2882)</f>
        <v>0</v>
      </c>
      <c r="N2882" s="13" t="n">
        <f aca="false">IF(Kalender!A320="",0,J2881-H2882)</f>
        <v>0.00461700000000001</v>
      </c>
    </row>
    <row r="2883" customFormat="false" ht="16.4" hidden="false" customHeight="false" outlineLevel="0" collapsed="false">
      <c r="A2883" s="13" t="str">
        <f aca="false">""</f>
        <v/>
      </c>
      <c r="B2883" s="13" t="n">
        <f aca="false">317</f>
        <v>317</v>
      </c>
      <c r="C2883" s="13" t="n">
        <f aca="false">IF(Szenarien!$H$18="OK",(IFERROR(SUMIF(Nutzungsprofile!$B$6:$B$11,"Schulbetrieb",Nutzungsprofile!$G$6:$G$11)*Kalender!C321/SUM(Kalender!$C$5:$C$370),0)+IFERROR(SUMIF(Nutzungsprofile!$B$6:$B$11,"Halle",Nutzungsprofile!$G$6:$G$11)*Kalender!D321/SUM(Kalender!$D$5:$D$370),0)+IFERROR(SUMIF(Nutzungsprofile!$B$6:$B$11,"Individuell",Nutzungsprofile!$G$6:$G$11)*Kalender!E321/SUM(Kalender!$E$5:$E$370),0))*Szenarien!$E$18,0)</f>
        <v>0.9</v>
      </c>
      <c r="D2883" s="13" t="n">
        <f aca="false">IF(Szenarien!$H$18="OK",(IFERROR(SUMIF(Nutzungsprofile!$B$17:$B$22,"Schulbetrieb",Nutzungsprofile!$G$17:$G$22)*Kalender!C321/SUM(Kalender!$C$5:$C$370),0)+IFERROR(SUMIF(Nutzungsprofile!$B$17:$B$22,"Halle",Nutzungsprofile!$G$17:$G$22)*Kalender!D321/SUM(Kalender!$D$5:$D$370),0)+IFERROR(SUMIF(Nutzungsprofile!$B$17:$B$22,"Individuell",Nutzungsprofile!$G$17:$G$22)*Kalender!E321/SUM(Kalender!$E$5:$E$370),0))*Szenarien!$D$18,0)</f>
        <v>3.24</v>
      </c>
      <c r="E2883" s="13" t="n">
        <f aca="false">IFERROR(MIN(C2883,Eingaben!$B$17)*Eingaben!$B$16,0)</f>
        <v>0.855</v>
      </c>
      <c r="F2883" s="13" t="n">
        <f aca="false">IFERROR(E2883*Eingaben!$B$15,0)</f>
        <v>0.7695</v>
      </c>
      <c r="G2883" s="13" t="n">
        <f aca="false">IFERROR(IF(Kalender!A321="",0,J2882*(1-Eingaben!$B$20)),0)</f>
        <v>0.226233</v>
      </c>
      <c r="H2883" s="13" t="n">
        <f aca="false">MIN(G2883,D2883)</f>
        <v>0.226233</v>
      </c>
      <c r="I2883" s="13" t="n">
        <f aca="false">IFERROR(MIN(F2883*Eingaben!$B$19,MAX(0,D2883-H2883)),0)</f>
        <v>0.53865</v>
      </c>
      <c r="J2883" s="13" t="n">
        <f aca="false">IFERROR(MIN(Eingaben!$B$18,MAX(0,F2883-I2883)),0)</f>
        <v>0.23085</v>
      </c>
      <c r="K2883" s="13" t="n">
        <f aca="false">H2883+I2883</f>
        <v>0.764883</v>
      </c>
      <c r="L2883" s="13" t="n">
        <f aca="false">MAX(0,D2883-K2883)</f>
        <v>2.475117</v>
      </c>
      <c r="M2883" s="13" t="n">
        <f aca="false">MAX(0,F2883-I2883-J2883)</f>
        <v>0</v>
      </c>
      <c r="N2883" s="13" t="n">
        <f aca="false">IF(Kalender!A321="",0,J2882-H2883)</f>
        <v>0.00461700000000001</v>
      </c>
    </row>
    <row r="2884" customFormat="false" ht="16.4" hidden="false" customHeight="false" outlineLevel="0" collapsed="false">
      <c r="A2884" s="13" t="str">
        <f aca="false">""</f>
        <v/>
      </c>
      <c r="B2884" s="13" t="n">
        <f aca="false">318</f>
        <v>318</v>
      </c>
      <c r="C2884" s="13" t="n">
        <f aca="false">IF(Szenarien!$H$18="OK",(IFERROR(SUMIF(Nutzungsprofile!$B$6:$B$11,"Schulbetrieb",Nutzungsprofile!$G$6:$G$11)*Kalender!C322/SUM(Kalender!$C$5:$C$370),0)+IFERROR(SUMIF(Nutzungsprofile!$B$6:$B$11,"Halle",Nutzungsprofile!$G$6:$G$11)*Kalender!D322/SUM(Kalender!$D$5:$D$370),0)+IFERROR(SUMIF(Nutzungsprofile!$B$6:$B$11,"Individuell",Nutzungsprofile!$G$6:$G$11)*Kalender!E322/SUM(Kalender!$E$5:$E$370),0))*Szenarien!$E$18,0)</f>
        <v>0</v>
      </c>
      <c r="D2884" s="13" t="n">
        <f aca="false">IF(Szenarien!$H$18="OK",(IFERROR(SUMIF(Nutzungsprofile!$B$17:$B$22,"Schulbetrieb",Nutzungsprofile!$G$17:$G$22)*Kalender!C322/SUM(Kalender!$C$5:$C$370),0)+IFERROR(SUMIF(Nutzungsprofile!$B$17:$B$22,"Halle",Nutzungsprofile!$G$17:$G$22)*Kalender!D322/SUM(Kalender!$D$5:$D$370),0)+IFERROR(SUMIF(Nutzungsprofile!$B$17:$B$22,"Individuell",Nutzungsprofile!$G$17:$G$22)*Kalender!E322/SUM(Kalender!$E$5:$E$370),0))*Szenarien!$D$18,0)</f>
        <v>0</v>
      </c>
      <c r="E2884" s="13" t="n">
        <f aca="false">IFERROR(MIN(C2884,Eingaben!$B$17)*Eingaben!$B$16,0)</f>
        <v>0</v>
      </c>
      <c r="F2884" s="13" t="n">
        <f aca="false">IFERROR(E2884*Eingaben!$B$15,0)</f>
        <v>0</v>
      </c>
      <c r="G2884" s="13" t="n">
        <f aca="false">IFERROR(IF(Kalender!A322="",0,J2883*(1-Eingaben!$B$20)),0)</f>
        <v>0.226233</v>
      </c>
      <c r="H2884" s="13" t="n">
        <f aca="false">MIN(G2884,D2884)</f>
        <v>0</v>
      </c>
      <c r="I2884" s="13" t="n">
        <f aca="false">IFERROR(MIN(F2884*Eingaben!$B$19,MAX(0,D2884-H2884)),0)</f>
        <v>0</v>
      </c>
      <c r="J2884" s="13" t="n">
        <f aca="false">IFERROR(MIN(Eingaben!$B$18,MAX(0,F2884-I2884)),0)</f>
        <v>0</v>
      </c>
      <c r="K2884" s="13" t="n">
        <f aca="false">H2884+I2884</f>
        <v>0</v>
      </c>
      <c r="L2884" s="13" t="n">
        <f aca="false">MAX(0,D2884-K2884)</f>
        <v>0</v>
      </c>
      <c r="M2884" s="13" t="n">
        <f aca="false">MAX(0,F2884-I2884-J2884)</f>
        <v>0</v>
      </c>
      <c r="N2884" s="13" t="n">
        <f aca="false">IF(Kalender!A322="",0,J2883-H2884)</f>
        <v>0.23085</v>
      </c>
    </row>
    <row r="2885" customFormat="false" ht="16.4" hidden="false" customHeight="false" outlineLevel="0" collapsed="false">
      <c r="A2885" s="13" t="str">
        <f aca="false">""</f>
        <v/>
      </c>
      <c r="B2885" s="13" t="n">
        <f aca="false">319</f>
        <v>319</v>
      </c>
      <c r="C2885" s="13" t="n">
        <f aca="false">IF(Szenarien!$H$18="OK",(IFERROR(SUMIF(Nutzungsprofile!$B$6:$B$11,"Schulbetrieb",Nutzungsprofile!$G$6:$G$11)*Kalender!C323/SUM(Kalender!$C$5:$C$370),0)+IFERROR(SUMIF(Nutzungsprofile!$B$6:$B$11,"Halle",Nutzungsprofile!$G$6:$G$11)*Kalender!D323/SUM(Kalender!$D$5:$D$370),0)+IFERROR(SUMIF(Nutzungsprofile!$B$6:$B$11,"Individuell",Nutzungsprofile!$G$6:$G$11)*Kalender!E323/SUM(Kalender!$E$5:$E$370),0))*Szenarien!$E$18,0)</f>
        <v>0</v>
      </c>
      <c r="D2885" s="13" t="n">
        <f aca="false">IF(Szenarien!$H$18="OK",(IFERROR(SUMIF(Nutzungsprofile!$B$17:$B$22,"Schulbetrieb",Nutzungsprofile!$G$17:$G$22)*Kalender!C323/SUM(Kalender!$C$5:$C$370),0)+IFERROR(SUMIF(Nutzungsprofile!$B$17:$B$22,"Halle",Nutzungsprofile!$G$17:$G$22)*Kalender!D323/SUM(Kalender!$D$5:$D$370),0)+IFERROR(SUMIF(Nutzungsprofile!$B$17:$B$22,"Individuell",Nutzungsprofile!$G$17:$G$22)*Kalender!E323/SUM(Kalender!$E$5:$E$370),0))*Szenarien!$D$18,0)</f>
        <v>0</v>
      </c>
      <c r="E2885" s="13" t="n">
        <f aca="false">IFERROR(MIN(C2885,Eingaben!$B$17)*Eingaben!$B$16,0)</f>
        <v>0</v>
      </c>
      <c r="F2885" s="13" t="n">
        <f aca="false">IFERROR(E2885*Eingaben!$B$15,0)</f>
        <v>0</v>
      </c>
      <c r="G2885" s="13" t="n">
        <f aca="false">IFERROR(IF(Kalender!A323="",0,J2884*(1-Eingaben!$B$20)),0)</f>
        <v>0</v>
      </c>
      <c r="H2885" s="13" t="n">
        <f aca="false">MIN(G2885,D2885)</f>
        <v>0</v>
      </c>
      <c r="I2885" s="13" t="n">
        <f aca="false">IFERROR(MIN(F2885*Eingaben!$B$19,MAX(0,D2885-H2885)),0)</f>
        <v>0</v>
      </c>
      <c r="J2885" s="13" t="n">
        <f aca="false">IFERROR(MIN(Eingaben!$B$18,MAX(0,F2885-I2885)),0)</f>
        <v>0</v>
      </c>
      <c r="K2885" s="13" t="n">
        <f aca="false">H2885+I2885</f>
        <v>0</v>
      </c>
      <c r="L2885" s="13" t="n">
        <f aca="false">MAX(0,D2885-K2885)</f>
        <v>0</v>
      </c>
      <c r="M2885" s="13" t="n">
        <f aca="false">MAX(0,F2885-I2885-J2885)</f>
        <v>0</v>
      </c>
      <c r="N2885" s="13" t="n">
        <f aca="false">IF(Kalender!A323="",0,J2884-H2885)</f>
        <v>0</v>
      </c>
    </row>
    <row r="2886" customFormat="false" ht="16.4" hidden="false" customHeight="false" outlineLevel="0" collapsed="false">
      <c r="A2886" s="13" t="str">
        <f aca="false">""</f>
        <v/>
      </c>
      <c r="B2886" s="13" t="n">
        <f aca="false">320</f>
        <v>320</v>
      </c>
      <c r="C2886" s="13" t="n">
        <f aca="false">IF(Szenarien!$H$18="OK",(IFERROR(SUMIF(Nutzungsprofile!$B$6:$B$11,"Schulbetrieb",Nutzungsprofile!$G$6:$G$11)*Kalender!C324/SUM(Kalender!$C$5:$C$370),0)+IFERROR(SUMIF(Nutzungsprofile!$B$6:$B$11,"Halle",Nutzungsprofile!$G$6:$G$11)*Kalender!D324/SUM(Kalender!$D$5:$D$370),0)+IFERROR(SUMIF(Nutzungsprofile!$B$6:$B$11,"Individuell",Nutzungsprofile!$G$6:$G$11)*Kalender!E324/SUM(Kalender!$E$5:$E$370),0))*Szenarien!$E$18,0)</f>
        <v>0.9</v>
      </c>
      <c r="D2886" s="13" t="n">
        <f aca="false">IF(Szenarien!$H$18="OK",(IFERROR(SUMIF(Nutzungsprofile!$B$17:$B$22,"Schulbetrieb",Nutzungsprofile!$G$17:$G$22)*Kalender!C324/SUM(Kalender!$C$5:$C$370),0)+IFERROR(SUMIF(Nutzungsprofile!$B$17:$B$22,"Halle",Nutzungsprofile!$G$17:$G$22)*Kalender!D324/SUM(Kalender!$D$5:$D$370),0)+IFERROR(SUMIF(Nutzungsprofile!$B$17:$B$22,"Individuell",Nutzungsprofile!$G$17:$G$22)*Kalender!E324/SUM(Kalender!$E$5:$E$370),0))*Szenarien!$D$18,0)</f>
        <v>3.24</v>
      </c>
      <c r="E2886" s="13" t="n">
        <f aca="false">IFERROR(MIN(C2886,Eingaben!$B$17)*Eingaben!$B$16,0)</f>
        <v>0.855</v>
      </c>
      <c r="F2886" s="13" t="n">
        <f aca="false">IFERROR(E2886*Eingaben!$B$15,0)</f>
        <v>0.7695</v>
      </c>
      <c r="G2886" s="13" t="n">
        <f aca="false">IFERROR(IF(Kalender!A324="",0,J2885*(1-Eingaben!$B$20)),0)</f>
        <v>0</v>
      </c>
      <c r="H2886" s="13" t="n">
        <f aca="false">MIN(G2886,D2886)</f>
        <v>0</v>
      </c>
      <c r="I2886" s="13" t="n">
        <f aca="false">IFERROR(MIN(F2886*Eingaben!$B$19,MAX(0,D2886-H2886)),0)</f>
        <v>0.53865</v>
      </c>
      <c r="J2886" s="13" t="n">
        <f aca="false">IFERROR(MIN(Eingaben!$B$18,MAX(0,F2886-I2886)),0)</f>
        <v>0.23085</v>
      </c>
      <c r="K2886" s="13" t="n">
        <f aca="false">H2886+I2886</f>
        <v>0.53865</v>
      </c>
      <c r="L2886" s="13" t="n">
        <f aca="false">MAX(0,D2886-K2886)</f>
        <v>2.70135</v>
      </c>
      <c r="M2886" s="13" t="n">
        <f aca="false">MAX(0,F2886-I2886-J2886)</f>
        <v>0</v>
      </c>
      <c r="N2886" s="13" t="n">
        <f aca="false">IF(Kalender!A324="",0,J2885-H2886)</f>
        <v>0</v>
      </c>
    </row>
    <row r="2887" customFormat="false" ht="16.4" hidden="false" customHeight="false" outlineLevel="0" collapsed="false">
      <c r="A2887" s="13" t="str">
        <f aca="false">""</f>
        <v/>
      </c>
      <c r="B2887" s="13" t="n">
        <f aca="false">321</f>
        <v>321</v>
      </c>
      <c r="C2887" s="13" t="n">
        <f aca="false">IF(Szenarien!$H$18="OK",(IFERROR(SUMIF(Nutzungsprofile!$B$6:$B$11,"Schulbetrieb",Nutzungsprofile!$G$6:$G$11)*Kalender!C325/SUM(Kalender!$C$5:$C$370),0)+IFERROR(SUMIF(Nutzungsprofile!$B$6:$B$11,"Halle",Nutzungsprofile!$G$6:$G$11)*Kalender!D325/SUM(Kalender!$D$5:$D$370),0)+IFERROR(SUMIF(Nutzungsprofile!$B$6:$B$11,"Individuell",Nutzungsprofile!$G$6:$G$11)*Kalender!E325/SUM(Kalender!$E$5:$E$370),0))*Szenarien!$E$18,0)</f>
        <v>0.9</v>
      </c>
      <c r="D2887" s="13" t="n">
        <f aca="false">IF(Szenarien!$H$18="OK",(IFERROR(SUMIF(Nutzungsprofile!$B$17:$B$22,"Schulbetrieb",Nutzungsprofile!$G$17:$G$22)*Kalender!C325/SUM(Kalender!$C$5:$C$370),0)+IFERROR(SUMIF(Nutzungsprofile!$B$17:$B$22,"Halle",Nutzungsprofile!$G$17:$G$22)*Kalender!D325/SUM(Kalender!$D$5:$D$370),0)+IFERROR(SUMIF(Nutzungsprofile!$B$17:$B$22,"Individuell",Nutzungsprofile!$G$17:$G$22)*Kalender!E325/SUM(Kalender!$E$5:$E$370),0))*Szenarien!$D$18,0)</f>
        <v>3.24</v>
      </c>
      <c r="E2887" s="13" t="n">
        <f aca="false">IFERROR(MIN(C2887,Eingaben!$B$17)*Eingaben!$B$16,0)</f>
        <v>0.855</v>
      </c>
      <c r="F2887" s="13" t="n">
        <f aca="false">IFERROR(E2887*Eingaben!$B$15,0)</f>
        <v>0.7695</v>
      </c>
      <c r="G2887" s="13" t="n">
        <f aca="false">IFERROR(IF(Kalender!A325="",0,J2886*(1-Eingaben!$B$20)),0)</f>
        <v>0.226233</v>
      </c>
      <c r="H2887" s="13" t="n">
        <f aca="false">MIN(G2887,D2887)</f>
        <v>0.226233</v>
      </c>
      <c r="I2887" s="13" t="n">
        <f aca="false">IFERROR(MIN(F2887*Eingaben!$B$19,MAX(0,D2887-H2887)),0)</f>
        <v>0.53865</v>
      </c>
      <c r="J2887" s="13" t="n">
        <f aca="false">IFERROR(MIN(Eingaben!$B$18,MAX(0,F2887-I2887)),0)</f>
        <v>0.23085</v>
      </c>
      <c r="K2887" s="13" t="n">
        <f aca="false">H2887+I2887</f>
        <v>0.764883</v>
      </c>
      <c r="L2887" s="13" t="n">
        <f aca="false">MAX(0,D2887-K2887)</f>
        <v>2.475117</v>
      </c>
      <c r="M2887" s="13" t="n">
        <f aca="false">MAX(0,F2887-I2887-J2887)</f>
        <v>0</v>
      </c>
      <c r="N2887" s="13" t="n">
        <f aca="false">IF(Kalender!A325="",0,J2886-H2887)</f>
        <v>0.00461700000000001</v>
      </c>
    </row>
    <row r="2888" customFormat="false" ht="16.4" hidden="false" customHeight="false" outlineLevel="0" collapsed="false">
      <c r="A2888" s="13" t="str">
        <f aca="false">""</f>
        <v/>
      </c>
      <c r="B2888" s="13" t="n">
        <f aca="false">322</f>
        <v>322</v>
      </c>
      <c r="C2888" s="13" t="n">
        <f aca="false">IF(Szenarien!$H$18="OK",(IFERROR(SUMIF(Nutzungsprofile!$B$6:$B$11,"Schulbetrieb",Nutzungsprofile!$G$6:$G$11)*Kalender!C326/SUM(Kalender!$C$5:$C$370),0)+IFERROR(SUMIF(Nutzungsprofile!$B$6:$B$11,"Halle",Nutzungsprofile!$G$6:$G$11)*Kalender!D326/SUM(Kalender!$D$5:$D$370),0)+IFERROR(SUMIF(Nutzungsprofile!$B$6:$B$11,"Individuell",Nutzungsprofile!$G$6:$G$11)*Kalender!E326/SUM(Kalender!$E$5:$E$370),0))*Szenarien!$E$18,0)</f>
        <v>0.9</v>
      </c>
      <c r="D2888" s="13" t="n">
        <f aca="false">IF(Szenarien!$H$18="OK",(IFERROR(SUMIF(Nutzungsprofile!$B$17:$B$22,"Schulbetrieb",Nutzungsprofile!$G$17:$G$22)*Kalender!C326/SUM(Kalender!$C$5:$C$370),0)+IFERROR(SUMIF(Nutzungsprofile!$B$17:$B$22,"Halle",Nutzungsprofile!$G$17:$G$22)*Kalender!D326/SUM(Kalender!$D$5:$D$370),0)+IFERROR(SUMIF(Nutzungsprofile!$B$17:$B$22,"Individuell",Nutzungsprofile!$G$17:$G$22)*Kalender!E326/SUM(Kalender!$E$5:$E$370),0))*Szenarien!$D$18,0)</f>
        <v>3.24</v>
      </c>
      <c r="E2888" s="13" t="n">
        <f aca="false">IFERROR(MIN(C2888,Eingaben!$B$17)*Eingaben!$B$16,0)</f>
        <v>0.855</v>
      </c>
      <c r="F2888" s="13" t="n">
        <f aca="false">IFERROR(E2888*Eingaben!$B$15,0)</f>
        <v>0.7695</v>
      </c>
      <c r="G2888" s="13" t="n">
        <f aca="false">IFERROR(IF(Kalender!A326="",0,J2887*(1-Eingaben!$B$20)),0)</f>
        <v>0.226233</v>
      </c>
      <c r="H2888" s="13" t="n">
        <f aca="false">MIN(G2888,D2888)</f>
        <v>0.226233</v>
      </c>
      <c r="I2888" s="13" t="n">
        <f aca="false">IFERROR(MIN(F2888*Eingaben!$B$19,MAX(0,D2888-H2888)),0)</f>
        <v>0.53865</v>
      </c>
      <c r="J2888" s="13" t="n">
        <f aca="false">IFERROR(MIN(Eingaben!$B$18,MAX(0,F2888-I2888)),0)</f>
        <v>0.23085</v>
      </c>
      <c r="K2888" s="13" t="n">
        <f aca="false">H2888+I2888</f>
        <v>0.764883</v>
      </c>
      <c r="L2888" s="13" t="n">
        <f aca="false">MAX(0,D2888-K2888)</f>
        <v>2.475117</v>
      </c>
      <c r="M2888" s="13" t="n">
        <f aca="false">MAX(0,F2888-I2888-J2888)</f>
        <v>0</v>
      </c>
      <c r="N2888" s="13" t="n">
        <f aca="false">IF(Kalender!A326="",0,J2887-H2888)</f>
        <v>0.00461700000000001</v>
      </c>
    </row>
    <row r="2889" customFormat="false" ht="16.4" hidden="false" customHeight="false" outlineLevel="0" collapsed="false">
      <c r="A2889" s="13" t="str">
        <f aca="false">""</f>
        <v/>
      </c>
      <c r="B2889" s="13" t="n">
        <f aca="false">323</f>
        <v>323</v>
      </c>
      <c r="C2889" s="13" t="n">
        <f aca="false">IF(Szenarien!$H$18="OK",(IFERROR(SUMIF(Nutzungsprofile!$B$6:$B$11,"Schulbetrieb",Nutzungsprofile!$G$6:$G$11)*Kalender!C327/SUM(Kalender!$C$5:$C$370),0)+IFERROR(SUMIF(Nutzungsprofile!$B$6:$B$11,"Halle",Nutzungsprofile!$G$6:$G$11)*Kalender!D327/SUM(Kalender!$D$5:$D$370),0)+IFERROR(SUMIF(Nutzungsprofile!$B$6:$B$11,"Individuell",Nutzungsprofile!$G$6:$G$11)*Kalender!E327/SUM(Kalender!$E$5:$E$370),0))*Szenarien!$E$18,0)</f>
        <v>0.9</v>
      </c>
      <c r="D2889" s="13" t="n">
        <f aca="false">IF(Szenarien!$H$18="OK",(IFERROR(SUMIF(Nutzungsprofile!$B$17:$B$22,"Schulbetrieb",Nutzungsprofile!$G$17:$G$22)*Kalender!C327/SUM(Kalender!$C$5:$C$370),0)+IFERROR(SUMIF(Nutzungsprofile!$B$17:$B$22,"Halle",Nutzungsprofile!$G$17:$G$22)*Kalender!D327/SUM(Kalender!$D$5:$D$370),0)+IFERROR(SUMIF(Nutzungsprofile!$B$17:$B$22,"Individuell",Nutzungsprofile!$G$17:$G$22)*Kalender!E327/SUM(Kalender!$E$5:$E$370),0))*Szenarien!$D$18,0)</f>
        <v>3.24</v>
      </c>
      <c r="E2889" s="13" t="n">
        <f aca="false">IFERROR(MIN(C2889,Eingaben!$B$17)*Eingaben!$B$16,0)</f>
        <v>0.855</v>
      </c>
      <c r="F2889" s="13" t="n">
        <f aca="false">IFERROR(E2889*Eingaben!$B$15,0)</f>
        <v>0.7695</v>
      </c>
      <c r="G2889" s="13" t="n">
        <f aca="false">IFERROR(IF(Kalender!A327="",0,J2888*(1-Eingaben!$B$20)),0)</f>
        <v>0.226233</v>
      </c>
      <c r="H2889" s="13" t="n">
        <f aca="false">MIN(G2889,D2889)</f>
        <v>0.226233</v>
      </c>
      <c r="I2889" s="13" t="n">
        <f aca="false">IFERROR(MIN(F2889*Eingaben!$B$19,MAX(0,D2889-H2889)),0)</f>
        <v>0.53865</v>
      </c>
      <c r="J2889" s="13" t="n">
        <f aca="false">IFERROR(MIN(Eingaben!$B$18,MAX(0,F2889-I2889)),0)</f>
        <v>0.23085</v>
      </c>
      <c r="K2889" s="13" t="n">
        <f aca="false">H2889+I2889</f>
        <v>0.764883</v>
      </c>
      <c r="L2889" s="13" t="n">
        <f aca="false">MAX(0,D2889-K2889)</f>
        <v>2.475117</v>
      </c>
      <c r="M2889" s="13" t="n">
        <f aca="false">MAX(0,F2889-I2889-J2889)</f>
        <v>0</v>
      </c>
      <c r="N2889" s="13" t="n">
        <f aca="false">IF(Kalender!A327="",0,J2888-H2889)</f>
        <v>0.00461700000000001</v>
      </c>
    </row>
    <row r="2890" customFormat="false" ht="16.4" hidden="false" customHeight="false" outlineLevel="0" collapsed="false">
      <c r="A2890" s="13" t="str">
        <f aca="false">""</f>
        <v/>
      </c>
      <c r="B2890" s="13" t="n">
        <f aca="false">324</f>
        <v>324</v>
      </c>
      <c r="C2890" s="13" t="n">
        <f aca="false">IF(Szenarien!$H$18="OK",(IFERROR(SUMIF(Nutzungsprofile!$B$6:$B$11,"Schulbetrieb",Nutzungsprofile!$G$6:$G$11)*Kalender!C328/SUM(Kalender!$C$5:$C$370),0)+IFERROR(SUMIF(Nutzungsprofile!$B$6:$B$11,"Halle",Nutzungsprofile!$G$6:$G$11)*Kalender!D328/SUM(Kalender!$D$5:$D$370),0)+IFERROR(SUMIF(Nutzungsprofile!$B$6:$B$11,"Individuell",Nutzungsprofile!$G$6:$G$11)*Kalender!E328/SUM(Kalender!$E$5:$E$370),0))*Szenarien!$E$18,0)</f>
        <v>0.9</v>
      </c>
      <c r="D2890" s="13" t="n">
        <f aca="false">IF(Szenarien!$H$18="OK",(IFERROR(SUMIF(Nutzungsprofile!$B$17:$B$22,"Schulbetrieb",Nutzungsprofile!$G$17:$G$22)*Kalender!C328/SUM(Kalender!$C$5:$C$370),0)+IFERROR(SUMIF(Nutzungsprofile!$B$17:$B$22,"Halle",Nutzungsprofile!$G$17:$G$22)*Kalender!D328/SUM(Kalender!$D$5:$D$370),0)+IFERROR(SUMIF(Nutzungsprofile!$B$17:$B$22,"Individuell",Nutzungsprofile!$G$17:$G$22)*Kalender!E328/SUM(Kalender!$E$5:$E$370),0))*Szenarien!$D$18,0)</f>
        <v>3.24</v>
      </c>
      <c r="E2890" s="13" t="n">
        <f aca="false">IFERROR(MIN(C2890,Eingaben!$B$17)*Eingaben!$B$16,0)</f>
        <v>0.855</v>
      </c>
      <c r="F2890" s="13" t="n">
        <f aca="false">IFERROR(E2890*Eingaben!$B$15,0)</f>
        <v>0.7695</v>
      </c>
      <c r="G2890" s="13" t="n">
        <f aca="false">IFERROR(IF(Kalender!A328="",0,J2889*(1-Eingaben!$B$20)),0)</f>
        <v>0.226233</v>
      </c>
      <c r="H2890" s="13" t="n">
        <f aca="false">MIN(G2890,D2890)</f>
        <v>0.226233</v>
      </c>
      <c r="I2890" s="13" t="n">
        <f aca="false">IFERROR(MIN(F2890*Eingaben!$B$19,MAX(0,D2890-H2890)),0)</f>
        <v>0.53865</v>
      </c>
      <c r="J2890" s="13" t="n">
        <f aca="false">IFERROR(MIN(Eingaben!$B$18,MAX(0,F2890-I2890)),0)</f>
        <v>0.23085</v>
      </c>
      <c r="K2890" s="13" t="n">
        <f aca="false">H2890+I2890</f>
        <v>0.764883</v>
      </c>
      <c r="L2890" s="13" t="n">
        <f aca="false">MAX(0,D2890-K2890)</f>
        <v>2.475117</v>
      </c>
      <c r="M2890" s="13" t="n">
        <f aca="false">MAX(0,F2890-I2890-J2890)</f>
        <v>0</v>
      </c>
      <c r="N2890" s="13" t="n">
        <f aca="false">IF(Kalender!A328="",0,J2889-H2890)</f>
        <v>0.00461700000000001</v>
      </c>
    </row>
    <row r="2891" customFormat="false" ht="16.4" hidden="false" customHeight="false" outlineLevel="0" collapsed="false">
      <c r="A2891" s="13" t="str">
        <f aca="false">""</f>
        <v/>
      </c>
      <c r="B2891" s="13" t="n">
        <f aca="false">325</f>
        <v>325</v>
      </c>
      <c r="C2891" s="13" t="n">
        <f aca="false">IF(Szenarien!$H$18="OK",(IFERROR(SUMIF(Nutzungsprofile!$B$6:$B$11,"Schulbetrieb",Nutzungsprofile!$G$6:$G$11)*Kalender!C329/SUM(Kalender!$C$5:$C$370),0)+IFERROR(SUMIF(Nutzungsprofile!$B$6:$B$11,"Halle",Nutzungsprofile!$G$6:$G$11)*Kalender!D329/SUM(Kalender!$D$5:$D$370),0)+IFERROR(SUMIF(Nutzungsprofile!$B$6:$B$11,"Individuell",Nutzungsprofile!$G$6:$G$11)*Kalender!E329/SUM(Kalender!$E$5:$E$370),0))*Szenarien!$E$18,0)</f>
        <v>0</v>
      </c>
      <c r="D2891" s="13" t="n">
        <f aca="false">IF(Szenarien!$H$18="OK",(IFERROR(SUMIF(Nutzungsprofile!$B$17:$B$22,"Schulbetrieb",Nutzungsprofile!$G$17:$G$22)*Kalender!C329/SUM(Kalender!$C$5:$C$370),0)+IFERROR(SUMIF(Nutzungsprofile!$B$17:$B$22,"Halle",Nutzungsprofile!$G$17:$G$22)*Kalender!D329/SUM(Kalender!$D$5:$D$370),0)+IFERROR(SUMIF(Nutzungsprofile!$B$17:$B$22,"Individuell",Nutzungsprofile!$G$17:$G$22)*Kalender!E329/SUM(Kalender!$E$5:$E$370),0))*Szenarien!$D$18,0)</f>
        <v>0</v>
      </c>
      <c r="E2891" s="13" t="n">
        <f aca="false">IFERROR(MIN(C2891,Eingaben!$B$17)*Eingaben!$B$16,0)</f>
        <v>0</v>
      </c>
      <c r="F2891" s="13" t="n">
        <f aca="false">IFERROR(E2891*Eingaben!$B$15,0)</f>
        <v>0</v>
      </c>
      <c r="G2891" s="13" t="n">
        <f aca="false">IFERROR(IF(Kalender!A329="",0,J2890*(1-Eingaben!$B$20)),0)</f>
        <v>0.226233</v>
      </c>
      <c r="H2891" s="13" t="n">
        <f aca="false">MIN(G2891,D2891)</f>
        <v>0</v>
      </c>
      <c r="I2891" s="13" t="n">
        <f aca="false">IFERROR(MIN(F2891*Eingaben!$B$19,MAX(0,D2891-H2891)),0)</f>
        <v>0</v>
      </c>
      <c r="J2891" s="13" t="n">
        <f aca="false">IFERROR(MIN(Eingaben!$B$18,MAX(0,F2891-I2891)),0)</f>
        <v>0</v>
      </c>
      <c r="K2891" s="13" t="n">
        <f aca="false">H2891+I2891</f>
        <v>0</v>
      </c>
      <c r="L2891" s="13" t="n">
        <f aca="false">MAX(0,D2891-K2891)</f>
        <v>0</v>
      </c>
      <c r="M2891" s="13" t="n">
        <f aca="false">MAX(0,F2891-I2891-J2891)</f>
        <v>0</v>
      </c>
      <c r="N2891" s="13" t="n">
        <f aca="false">IF(Kalender!A329="",0,J2890-H2891)</f>
        <v>0.23085</v>
      </c>
    </row>
    <row r="2892" customFormat="false" ht="16.4" hidden="false" customHeight="false" outlineLevel="0" collapsed="false">
      <c r="A2892" s="13" t="str">
        <f aca="false">""</f>
        <v/>
      </c>
      <c r="B2892" s="13" t="n">
        <f aca="false">326</f>
        <v>326</v>
      </c>
      <c r="C2892" s="13" t="n">
        <f aca="false">IF(Szenarien!$H$18="OK",(IFERROR(SUMIF(Nutzungsprofile!$B$6:$B$11,"Schulbetrieb",Nutzungsprofile!$G$6:$G$11)*Kalender!C330/SUM(Kalender!$C$5:$C$370),0)+IFERROR(SUMIF(Nutzungsprofile!$B$6:$B$11,"Halle",Nutzungsprofile!$G$6:$G$11)*Kalender!D330/SUM(Kalender!$D$5:$D$370),0)+IFERROR(SUMIF(Nutzungsprofile!$B$6:$B$11,"Individuell",Nutzungsprofile!$G$6:$G$11)*Kalender!E330/SUM(Kalender!$E$5:$E$370),0))*Szenarien!$E$18,0)</f>
        <v>0</v>
      </c>
      <c r="D2892" s="13" t="n">
        <f aca="false">IF(Szenarien!$H$18="OK",(IFERROR(SUMIF(Nutzungsprofile!$B$17:$B$22,"Schulbetrieb",Nutzungsprofile!$G$17:$G$22)*Kalender!C330/SUM(Kalender!$C$5:$C$370),0)+IFERROR(SUMIF(Nutzungsprofile!$B$17:$B$22,"Halle",Nutzungsprofile!$G$17:$G$22)*Kalender!D330/SUM(Kalender!$D$5:$D$370),0)+IFERROR(SUMIF(Nutzungsprofile!$B$17:$B$22,"Individuell",Nutzungsprofile!$G$17:$G$22)*Kalender!E330/SUM(Kalender!$E$5:$E$370),0))*Szenarien!$D$18,0)</f>
        <v>0</v>
      </c>
      <c r="E2892" s="13" t="n">
        <f aca="false">IFERROR(MIN(C2892,Eingaben!$B$17)*Eingaben!$B$16,0)</f>
        <v>0</v>
      </c>
      <c r="F2892" s="13" t="n">
        <f aca="false">IFERROR(E2892*Eingaben!$B$15,0)</f>
        <v>0</v>
      </c>
      <c r="G2892" s="13" t="n">
        <f aca="false">IFERROR(IF(Kalender!A330="",0,J2891*(1-Eingaben!$B$20)),0)</f>
        <v>0</v>
      </c>
      <c r="H2892" s="13" t="n">
        <f aca="false">MIN(G2892,D2892)</f>
        <v>0</v>
      </c>
      <c r="I2892" s="13" t="n">
        <f aca="false">IFERROR(MIN(F2892*Eingaben!$B$19,MAX(0,D2892-H2892)),0)</f>
        <v>0</v>
      </c>
      <c r="J2892" s="13" t="n">
        <f aca="false">IFERROR(MIN(Eingaben!$B$18,MAX(0,F2892-I2892)),0)</f>
        <v>0</v>
      </c>
      <c r="K2892" s="13" t="n">
        <f aca="false">H2892+I2892</f>
        <v>0</v>
      </c>
      <c r="L2892" s="13" t="n">
        <f aca="false">MAX(0,D2892-K2892)</f>
        <v>0</v>
      </c>
      <c r="M2892" s="13" t="n">
        <f aca="false">MAX(0,F2892-I2892-J2892)</f>
        <v>0</v>
      </c>
      <c r="N2892" s="13" t="n">
        <f aca="false">IF(Kalender!A330="",0,J2891-H2892)</f>
        <v>0</v>
      </c>
    </row>
    <row r="2893" customFormat="false" ht="16.4" hidden="false" customHeight="false" outlineLevel="0" collapsed="false">
      <c r="A2893" s="13" t="str">
        <f aca="false">""</f>
        <v/>
      </c>
      <c r="B2893" s="13" t="n">
        <f aca="false">327</f>
        <v>327</v>
      </c>
      <c r="C2893" s="13" t="n">
        <f aca="false">IF(Szenarien!$H$18="OK",(IFERROR(SUMIF(Nutzungsprofile!$B$6:$B$11,"Schulbetrieb",Nutzungsprofile!$G$6:$G$11)*Kalender!C331/SUM(Kalender!$C$5:$C$370),0)+IFERROR(SUMIF(Nutzungsprofile!$B$6:$B$11,"Halle",Nutzungsprofile!$G$6:$G$11)*Kalender!D331/SUM(Kalender!$D$5:$D$370),0)+IFERROR(SUMIF(Nutzungsprofile!$B$6:$B$11,"Individuell",Nutzungsprofile!$G$6:$G$11)*Kalender!E331/SUM(Kalender!$E$5:$E$370),0))*Szenarien!$E$18,0)</f>
        <v>0.9</v>
      </c>
      <c r="D2893" s="13" t="n">
        <f aca="false">IF(Szenarien!$H$18="OK",(IFERROR(SUMIF(Nutzungsprofile!$B$17:$B$22,"Schulbetrieb",Nutzungsprofile!$G$17:$G$22)*Kalender!C331/SUM(Kalender!$C$5:$C$370),0)+IFERROR(SUMIF(Nutzungsprofile!$B$17:$B$22,"Halle",Nutzungsprofile!$G$17:$G$22)*Kalender!D331/SUM(Kalender!$D$5:$D$370),0)+IFERROR(SUMIF(Nutzungsprofile!$B$17:$B$22,"Individuell",Nutzungsprofile!$G$17:$G$22)*Kalender!E331/SUM(Kalender!$E$5:$E$370),0))*Szenarien!$D$18,0)</f>
        <v>3.24</v>
      </c>
      <c r="E2893" s="13" t="n">
        <f aca="false">IFERROR(MIN(C2893,Eingaben!$B$17)*Eingaben!$B$16,0)</f>
        <v>0.855</v>
      </c>
      <c r="F2893" s="13" t="n">
        <f aca="false">IFERROR(E2893*Eingaben!$B$15,0)</f>
        <v>0.7695</v>
      </c>
      <c r="G2893" s="13" t="n">
        <f aca="false">IFERROR(IF(Kalender!A331="",0,J2892*(1-Eingaben!$B$20)),0)</f>
        <v>0</v>
      </c>
      <c r="H2893" s="13" t="n">
        <f aca="false">MIN(G2893,D2893)</f>
        <v>0</v>
      </c>
      <c r="I2893" s="13" t="n">
        <f aca="false">IFERROR(MIN(F2893*Eingaben!$B$19,MAX(0,D2893-H2893)),0)</f>
        <v>0.53865</v>
      </c>
      <c r="J2893" s="13" t="n">
        <f aca="false">IFERROR(MIN(Eingaben!$B$18,MAX(0,F2893-I2893)),0)</f>
        <v>0.23085</v>
      </c>
      <c r="K2893" s="13" t="n">
        <f aca="false">H2893+I2893</f>
        <v>0.53865</v>
      </c>
      <c r="L2893" s="13" t="n">
        <f aca="false">MAX(0,D2893-K2893)</f>
        <v>2.70135</v>
      </c>
      <c r="M2893" s="13" t="n">
        <f aca="false">MAX(0,F2893-I2893-J2893)</f>
        <v>0</v>
      </c>
      <c r="N2893" s="13" t="n">
        <f aca="false">IF(Kalender!A331="",0,J2892-H2893)</f>
        <v>0</v>
      </c>
    </row>
    <row r="2894" customFormat="false" ht="16.4" hidden="false" customHeight="false" outlineLevel="0" collapsed="false">
      <c r="A2894" s="13" t="str">
        <f aca="false">""</f>
        <v/>
      </c>
      <c r="B2894" s="13" t="n">
        <f aca="false">328</f>
        <v>328</v>
      </c>
      <c r="C2894" s="13" t="n">
        <f aca="false">IF(Szenarien!$H$18="OK",(IFERROR(SUMIF(Nutzungsprofile!$B$6:$B$11,"Schulbetrieb",Nutzungsprofile!$G$6:$G$11)*Kalender!C332/SUM(Kalender!$C$5:$C$370),0)+IFERROR(SUMIF(Nutzungsprofile!$B$6:$B$11,"Halle",Nutzungsprofile!$G$6:$G$11)*Kalender!D332/SUM(Kalender!$D$5:$D$370),0)+IFERROR(SUMIF(Nutzungsprofile!$B$6:$B$11,"Individuell",Nutzungsprofile!$G$6:$G$11)*Kalender!E332/SUM(Kalender!$E$5:$E$370),0))*Szenarien!$E$18,0)</f>
        <v>0.9</v>
      </c>
      <c r="D2894" s="13" t="n">
        <f aca="false">IF(Szenarien!$H$18="OK",(IFERROR(SUMIF(Nutzungsprofile!$B$17:$B$22,"Schulbetrieb",Nutzungsprofile!$G$17:$G$22)*Kalender!C332/SUM(Kalender!$C$5:$C$370),0)+IFERROR(SUMIF(Nutzungsprofile!$B$17:$B$22,"Halle",Nutzungsprofile!$G$17:$G$22)*Kalender!D332/SUM(Kalender!$D$5:$D$370),0)+IFERROR(SUMIF(Nutzungsprofile!$B$17:$B$22,"Individuell",Nutzungsprofile!$G$17:$G$22)*Kalender!E332/SUM(Kalender!$E$5:$E$370),0))*Szenarien!$D$18,0)</f>
        <v>3.24</v>
      </c>
      <c r="E2894" s="13" t="n">
        <f aca="false">IFERROR(MIN(C2894,Eingaben!$B$17)*Eingaben!$B$16,0)</f>
        <v>0.855</v>
      </c>
      <c r="F2894" s="13" t="n">
        <f aca="false">IFERROR(E2894*Eingaben!$B$15,0)</f>
        <v>0.7695</v>
      </c>
      <c r="G2894" s="13" t="n">
        <f aca="false">IFERROR(IF(Kalender!A332="",0,J2893*(1-Eingaben!$B$20)),0)</f>
        <v>0.226233</v>
      </c>
      <c r="H2894" s="13" t="n">
        <f aca="false">MIN(G2894,D2894)</f>
        <v>0.226233</v>
      </c>
      <c r="I2894" s="13" t="n">
        <f aca="false">IFERROR(MIN(F2894*Eingaben!$B$19,MAX(0,D2894-H2894)),0)</f>
        <v>0.53865</v>
      </c>
      <c r="J2894" s="13" t="n">
        <f aca="false">IFERROR(MIN(Eingaben!$B$18,MAX(0,F2894-I2894)),0)</f>
        <v>0.23085</v>
      </c>
      <c r="K2894" s="13" t="n">
        <f aca="false">H2894+I2894</f>
        <v>0.764883</v>
      </c>
      <c r="L2894" s="13" t="n">
        <f aca="false">MAX(0,D2894-K2894)</f>
        <v>2.475117</v>
      </c>
      <c r="M2894" s="13" t="n">
        <f aca="false">MAX(0,F2894-I2894-J2894)</f>
        <v>0</v>
      </c>
      <c r="N2894" s="13" t="n">
        <f aca="false">IF(Kalender!A332="",0,J2893-H2894)</f>
        <v>0.00461700000000001</v>
      </c>
    </row>
    <row r="2895" customFormat="false" ht="16.4" hidden="false" customHeight="false" outlineLevel="0" collapsed="false">
      <c r="A2895" s="13" t="str">
        <f aca="false">""</f>
        <v/>
      </c>
      <c r="B2895" s="13" t="n">
        <f aca="false">329</f>
        <v>329</v>
      </c>
      <c r="C2895" s="13" t="n">
        <f aca="false">IF(Szenarien!$H$18="OK",(IFERROR(SUMIF(Nutzungsprofile!$B$6:$B$11,"Schulbetrieb",Nutzungsprofile!$G$6:$G$11)*Kalender!C333/SUM(Kalender!$C$5:$C$370),0)+IFERROR(SUMIF(Nutzungsprofile!$B$6:$B$11,"Halle",Nutzungsprofile!$G$6:$G$11)*Kalender!D333/SUM(Kalender!$D$5:$D$370),0)+IFERROR(SUMIF(Nutzungsprofile!$B$6:$B$11,"Individuell",Nutzungsprofile!$G$6:$G$11)*Kalender!E333/SUM(Kalender!$E$5:$E$370),0))*Szenarien!$E$18,0)</f>
        <v>0</v>
      </c>
      <c r="D2895" s="13" t="n">
        <f aca="false">IF(Szenarien!$H$18="OK",(IFERROR(SUMIF(Nutzungsprofile!$B$17:$B$22,"Schulbetrieb",Nutzungsprofile!$G$17:$G$22)*Kalender!C333/SUM(Kalender!$C$5:$C$370),0)+IFERROR(SUMIF(Nutzungsprofile!$B$17:$B$22,"Halle",Nutzungsprofile!$G$17:$G$22)*Kalender!D333/SUM(Kalender!$D$5:$D$370),0)+IFERROR(SUMIF(Nutzungsprofile!$B$17:$B$22,"Individuell",Nutzungsprofile!$G$17:$G$22)*Kalender!E333/SUM(Kalender!$E$5:$E$370),0))*Szenarien!$D$18,0)</f>
        <v>0</v>
      </c>
      <c r="E2895" s="13" t="n">
        <f aca="false">IFERROR(MIN(C2895,Eingaben!$B$17)*Eingaben!$B$16,0)</f>
        <v>0</v>
      </c>
      <c r="F2895" s="13" t="n">
        <f aca="false">IFERROR(E2895*Eingaben!$B$15,0)</f>
        <v>0</v>
      </c>
      <c r="G2895" s="13" t="n">
        <f aca="false">IFERROR(IF(Kalender!A333="",0,J2894*(1-Eingaben!$B$20)),0)</f>
        <v>0.226233</v>
      </c>
      <c r="H2895" s="13" t="n">
        <f aca="false">MIN(G2895,D2895)</f>
        <v>0</v>
      </c>
      <c r="I2895" s="13" t="n">
        <f aca="false">IFERROR(MIN(F2895*Eingaben!$B$19,MAX(0,D2895-H2895)),0)</f>
        <v>0</v>
      </c>
      <c r="J2895" s="13" t="n">
        <f aca="false">IFERROR(MIN(Eingaben!$B$18,MAX(0,F2895-I2895)),0)</f>
        <v>0</v>
      </c>
      <c r="K2895" s="13" t="n">
        <f aca="false">H2895+I2895</f>
        <v>0</v>
      </c>
      <c r="L2895" s="13" t="n">
        <f aca="false">MAX(0,D2895-K2895)</f>
        <v>0</v>
      </c>
      <c r="M2895" s="13" t="n">
        <f aca="false">MAX(0,F2895-I2895-J2895)</f>
        <v>0</v>
      </c>
      <c r="N2895" s="13" t="n">
        <f aca="false">IF(Kalender!A333="",0,J2894-H2895)</f>
        <v>0.23085</v>
      </c>
    </row>
    <row r="2896" customFormat="false" ht="16.4" hidden="false" customHeight="false" outlineLevel="0" collapsed="false">
      <c r="A2896" s="13" t="str">
        <f aca="false">""</f>
        <v/>
      </c>
      <c r="B2896" s="13" t="n">
        <f aca="false">330</f>
        <v>330</v>
      </c>
      <c r="C2896" s="13" t="n">
        <f aca="false">IF(Szenarien!$H$18="OK",(IFERROR(SUMIF(Nutzungsprofile!$B$6:$B$11,"Schulbetrieb",Nutzungsprofile!$G$6:$G$11)*Kalender!C334/SUM(Kalender!$C$5:$C$370),0)+IFERROR(SUMIF(Nutzungsprofile!$B$6:$B$11,"Halle",Nutzungsprofile!$G$6:$G$11)*Kalender!D334/SUM(Kalender!$D$5:$D$370),0)+IFERROR(SUMIF(Nutzungsprofile!$B$6:$B$11,"Individuell",Nutzungsprofile!$G$6:$G$11)*Kalender!E334/SUM(Kalender!$E$5:$E$370),0))*Szenarien!$E$18,0)</f>
        <v>0</v>
      </c>
      <c r="D2896" s="13" t="n">
        <f aca="false">IF(Szenarien!$H$18="OK",(IFERROR(SUMIF(Nutzungsprofile!$B$17:$B$22,"Schulbetrieb",Nutzungsprofile!$G$17:$G$22)*Kalender!C334/SUM(Kalender!$C$5:$C$370),0)+IFERROR(SUMIF(Nutzungsprofile!$B$17:$B$22,"Halle",Nutzungsprofile!$G$17:$G$22)*Kalender!D334/SUM(Kalender!$D$5:$D$370),0)+IFERROR(SUMIF(Nutzungsprofile!$B$17:$B$22,"Individuell",Nutzungsprofile!$G$17:$G$22)*Kalender!E334/SUM(Kalender!$E$5:$E$370),0))*Szenarien!$D$18,0)</f>
        <v>0</v>
      </c>
      <c r="E2896" s="13" t="n">
        <f aca="false">IFERROR(MIN(C2896,Eingaben!$B$17)*Eingaben!$B$16,0)</f>
        <v>0</v>
      </c>
      <c r="F2896" s="13" t="n">
        <f aca="false">IFERROR(E2896*Eingaben!$B$15,0)</f>
        <v>0</v>
      </c>
      <c r="G2896" s="13" t="n">
        <f aca="false">IFERROR(IF(Kalender!A334="",0,J2895*(1-Eingaben!$B$20)),0)</f>
        <v>0</v>
      </c>
      <c r="H2896" s="13" t="n">
        <f aca="false">MIN(G2896,D2896)</f>
        <v>0</v>
      </c>
      <c r="I2896" s="13" t="n">
        <f aca="false">IFERROR(MIN(F2896*Eingaben!$B$19,MAX(0,D2896-H2896)),0)</f>
        <v>0</v>
      </c>
      <c r="J2896" s="13" t="n">
        <f aca="false">IFERROR(MIN(Eingaben!$B$18,MAX(0,F2896-I2896)),0)</f>
        <v>0</v>
      </c>
      <c r="K2896" s="13" t="n">
        <f aca="false">H2896+I2896</f>
        <v>0</v>
      </c>
      <c r="L2896" s="13" t="n">
        <f aca="false">MAX(0,D2896-K2896)</f>
        <v>0</v>
      </c>
      <c r="M2896" s="13" t="n">
        <f aca="false">MAX(0,F2896-I2896-J2896)</f>
        <v>0</v>
      </c>
      <c r="N2896" s="13" t="n">
        <f aca="false">IF(Kalender!A334="",0,J2895-H2896)</f>
        <v>0</v>
      </c>
    </row>
    <row r="2897" customFormat="false" ht="16.4" hidden="false" customHeight="false" outlineLevel="0" collapsed="false">
      <c r="A2897" s="13" t="str">
        <f aca="false">""</f>
        <v/>
      </c>
      <c r="B2897" s="13" t="n">
        <f aca="false">331</f>
        <v>331</v>
      </c>
      <c r="C2897" s="13" t="n">
        <f aca="false">IF(Szenarien!$H$18="OK",(IFERROR(SUMIF(Nutzungsprofile!$B$6:$B$11,"Schulbetrieb",Nutzungsprofile!$G$6:$G$11)*Kalender!C335/SUM(Kalender!$C$5:$C$370),0)+IFERROR(SUMIF(Nutzungsprofile!$B$6:$B$11,"Halle",Nutzungsprofile!$G$6:$G$11)*Kalender!D335/SUM(Kalender!$D$5:$D$370),0)+IFERROR(SUMIF(Nutzungsprofile!$B$6:$B$11,"Individuell",Nutzungsprofile!$G$6:$G$11)*Kalender!E335/SUM(Kalender!$E$5:$E$370),0))*Szenarien!$E$18,0)</f>
        <v>0</v>
      </c>
      <c r="D2897" s="13" t="n">
        <f aca="false">IF(Szenarien!$H$18="OK",(IFERROR(SUMIF(Nutzungsprofile!$B$17:$B$22,"Schulbetrieb",Nutzungsprofile!$G$17:$G$22)*Kalender!C335/SUM(Kalender!$C$5:$C$370),0)+IFERROR(SUMIF(Nutzungsprofile!$B$17:$B$22,"Halle",Nutzungsprofile!$G$17:$G$22)*Kalender!D335/SUM(Kalender!$D$5:$D$370),0)+IFERROR(SUMIF(Nutzungsprofile!$B$17:$B$22,"Individuell",Nutzungsprofile!$G$17:$G$22)*Kalender!E335/SUM(Kalender!$E$5:$E$370),0))*Szenarien!$D$18,0)</f>
        <v>0</v>
      </c>
      <c r="E2897" s="13" t="n">
        <f aca="false">IFERROR(MIN(C2897,Eingaben!$B$17)*Eingaben!$B$16,0)</f>
        <v>0</v>
      </c>
      <c r="F2897" s="13" t="n">
        <f aca="false">IFERROR(E2897*Eingaben!$B$15,0)</f>
        <v>0</v>
      </c>
      <c r="G2897" s="13" t="n">
        <f aca="false">IFERROR(IF(Kalender!A335="",0,J2896*(1-Eingaben!$B$20)),0)</f>
        <v>0</v>
      </c>
      <c r="H2897" s="13" t="n">
        <f aca="false">MIN(G2897,D2897)</f>
        <v>0</v>
      </c>
      <c r="I2897" s="13" t="n">
        <f aca="false">IFERROR(MIN(F2897*Eingaben!$B$19,MAX(0,D2897-H2897)),0)</f>
        <v>0</v>
      </c>
      <c r="J2897" s="13" t="n">
        <f aca="false">IFERROR(MIN(Eingaben!$B$18,MAX(0,F2897-I2897)),0)</f>
        <v>0</v>
      </c>
      <c r="K2897" s="13" t="n">
        <f aca="false">H2897+I2897</f>
        <v>0</v>
      </c>
      <c r="L2897" s="13" t="n">
        <f aca="false">MAX(0,D2897-K2897)</f>
        <v>0</v>
      </c>
      <c r="M2897" s="13" t="n">
        <f aca="false">MAX(0,F2897-I2897-J2897)</f>
        <v>0</v>
      </c>
      <c r="N2897" s="13" t="n">
        <f aca="false">IF(Kalender!A335="",0,J2896-H2897)</f>
        <v>0</v>
      </c>
    </row>
    <row r="2898" customFormat="false" ht="16.4" hidden="false" customHeight="false" outlineLevel="0" collapsed="false">
      <c r="A2898" s="13" t="str">
        <f aca="false">""</f>
        <v/>
      </c>
      <c r="B2898" s="13" t="n">
        <f aca="false">332</f>
        <v>332</v>
      </c>
      <c r="C2898" s="13" t="n">
        <f aca="false">IF(Szenarien!$H$18="OK",(IFERROR(SUMIF(Nutzungsprofile!$B$6:$B$11,"Schulbetrieb",Nutzungsprofile!$G$6:$G$11)*Kalender!C336/SUM(Kalender!$C$5:$C$370),0)+IFERROR(SUMIF(Nutzungsprofile!$B$6:$B$11,"Halle",Nutzungsprofile!$G$6:$G$11)*Kalender!D336/SUM(Kalender!$D$5:$D$370),0)+IFERROR(SUMIF(Nutzungsprofile!$B$6:$B$11,"Individuell",Nutzungsprofile!$G$6:$G$11)*Kalender!E336/SUM(Kalender!$E$5:$E$370),0))*Szenarien!$E$18,0)</f>
        <v>0</v>
      </c>
      <c r="D2898" s="13" t="n">
        <f aca="false">IF(Szenarien!$H$18="OK",(IFERROR(SUMIF(Nutzungsprofile!$B$17:$B$22,"Schulbetrieb",Nutzungsprofile!$G$17:$G$22)*Kalender!C336/SUM(Kalender!$C$5:$C$370),0)+IFERROR(SUMIF(Nutzungsprofile!$B$17:$B$22,"Halle",Nutzungsprofile!$G$17:$G$22)*Kalender!D336/SUM(Kalender!$D$5:$D$370),0)+IFERROR(SUMIF(Nutzungsprofile!$B$17:$B$22,"Individuell",Nutzungsprofile!$G$17:$G$22)*Kalender!E336/SUM(Kalender!$E$5:$E$370),0))*Szenarien!$D$18,0)</f>
        <v>0</v>
      </c>
      <c r="E2898" s="13" t="n">
        <f aca="false">IFERROR(MIN(C2898,Eingaben!$B$17)*Eingaben!$B$16,0)</f>
        <v>0</v>
      </c>
      <c r="F2898" s="13" t="n">
        <f aca="false">IFERROR(E2898*Eingaben!$B$15,0)</f>
        <v>0</v>
      </c>
      <c r="G2898" s="13" t="n">
        <f aca="false">IFERROR(IF(Kalender!A336="",0,J2897*(1-Eingaben!$B$20)),0)</f>
        <v>0</v>
      </c>
      <c r="H2898" s="13" t="n">
        <f aca="false">MIN(G2898,D2898)</f>
        <v>0</v>
      </c>
      <c r="I2898" s="13" t="n">
        <f aca="false">IFERROR(MIN(F2898*Eingaben!$B$19,MAX(0,D2898-H2898)),0)</f>
        <v>0</v>
      </c>
      <c r="J2898" s="13" t="n">
        <f aca="false">IFERROR(MIN(Eingaben!$B$18,MAX(0,F2898-I2898)),0)</f>
        <v>0</v>
      </c>
      <c r="K2898" s="13" t="n">
        <f aca="false">H2898+I2898</f>
        <v>0</v>
      </c>
      <c r="L2898" s="13" t="n">
        <f aca="false">MAX(0,D2898-K2898)</f>
        <v>0</v>
      </c>
      <c r="M2898" s="13" t="n">
        <f aca="false">MAX(0,F2898-I2898-J2898)</f>
        <v>0</v>
      </c>
      <c r="N2898" s="13" t="n">
        <f aca="false">IF(Kalender!A336="",0,J2897-H2898)</f>
        <v>0</v>
      </c>
    </row>
    <row r="2899" customFormat="false" ht="16.4" hidden="false" customHeight="false" outlineLevel="0" collapsed="false">
      <c r="A2899" s="13" t="str">
        <f aca="false">""</f>
        <v/>
      </c>
      <c r="B2899" s="13" t="n">
        <f aca="false">333</f>
        <v>333</v>
      </c>
      <c r="C2899" s="13" t="n">
        <f aca="false">IF(Szenarien!$H$18="OK",(IFERROR(SUMIF(Nutzungsprofile!$B$6:$B$11,"Schulbetrieb",Nutzungsprofile!$G$6:$G$11)*Kalender!C337/SUM(Kalender!$C$5:$C$370),0)+IFERROR(SUMIF(Nutzungsprofile!$B$6:$B$11,"Halle",Nutzungsprofile!$G$6:$G$11)*Kalender!D337/SUM(Kalender!$D$5:$D$370),0)+IFERROR(SUMIF(Nutzungsprofile!$B$6:$B$11,"Individuell",Nutzungsprofile!$G$6:$G$11)*Kalender!E337/SUM(Kalender!$E$5:$E$370),0))*Szenarien!$E$18,0)</f>
        <v>0</v>
      </c>
      <c r="D2899" s="13" t="n">
        <f aca="false">IF(Szenarien!$H$18="OK",(IFERROR(SUMIF(Nutzungsprofile!$B$17:$B$22,"Schulbetrieb",Nutzungsprofile!$G$17:$G$22)*Kalender!C337/SUM(Kalender!$C$5:$C$370),0)+IFERROR(SUMIF(Nutzungsprofile!$B$17:$B$22,"Halle",Nutzungsprofile!$G$17:$G$22)*Kalender!D337/SUM(Kalender!$D$5:$D$370),0)+IFERROR(SUMIF(Nutzungsprofile!$B$17:$B$22,"Individuell",Nutzungsprofile!$G$17:$G$22)*Kalender!E337/SUM(Kalender!$E$5:$E$370),0))*Szenarien!$D$18,0)</f>
        <v>0</v>
      </c>
      <c r="E2899" s="13" t="n">
        <f aca="false">IFERROR(MIN(C2899,Eingaben!$B$17)*Eingaben!$B$16,0)</f>
        <v>0</v>
      </c>
      <c r="F2899" s="13" t="n">
        <f aca="false">IFERROR(E2899*Eingaben!$B$15,0)</f>
        <v>0</v>
      </c>
      <c r="G2899" s="13" t="n">
        <f aca="false">IFERROR(IF(Kalender!A337="",0,J2898*(1-Eingaben!$B$20)),0)</f>
        <v>0</v>
      </c>
      <c r="H2899" s="13" t="n">
        <f aca="false">MIN(G2899,D2899)</f>
        <v>0</v>
      </c>
      <c r="I2899" s="13" t="n">
        <f aca="false">IFERROR(MIN(F2899*Eingaben!$B$19,MAX(0,D2899-H2899)),0)</f>
        <v>0</v>
      </c>
      <c r="J2899" s="13" t="n">
        <f aca="false">IFERROR(MIN(Eingaben!$B$18,MAX(0,F2899-I2899)),0)</f>
        <v>0</v>
      </c>
      <c r="K2899" s="13" t="n">
        <f aca="false">H2899+I2899</f>
        <v>0</v>
      </c>
      <c r="L2899" s="13" t="n">
        <f aca="false">MAX(0,D2899-K2899)</f>
        <v>0</v>
      </c>
      <c r="M2899" s="13" t="n">
        <f aca="false">MAX(0,F2899-I2899-J2899)</f>
        <v>0</v>
      </c>
      <c r="N2899" s="13" t="n">
        <f aca="false">IF(Kalender!A337="",0,J2898-H2899)</f>
        <v>0</v>
      </c>
    </row>
    <row r="2900" customFormat="false" ht="16.4" hidden="false" customHeight="false" outlineLevel="0" collapsed="false">
      <c r="A2900" s="13" t="str">
        <f aca="false">""</f>
        <v/>
      </c>
      <c r="B2900" s="13" t="n">
        <f aca="false">334</f>
        <v>334</v>
      </c>
      <c r="C2900" s="13" t="n">
        <f aca="false">IF(Szenarien!$H$18="OK",(IFERROR(SUMIF(Nutzungsprofile!$B$6:$B$11,"Schulbetrieb",Nutzungsprofile!$G$6:$G$11)*Kalender!C338/SUM(Kalender!$C$5:$C$370),0)+IFERROR(SUMIF(Nutzungsprofile!$B$6:$B$11,"Halle",Nutzungsprofile!$G$6:$G$11)*Kalender!D338/SUM(Kalender!$D$5:$D$370),0)+IFERROR(SUMIF(Nutzungsprofile!$B$6:$B$11,"Individuell",Nutzungsprofile!$G$6:$G$11)*Kalender!E338/SUM(Kalender!$E$5:$E$370),0))*Szenarien!$E$18,0)</f>
        <v>0</v>
      </c>
      <c r="D2900" s="13" t="n">
        <f aca="false">IF(Szenarien!$H$18="OK",(IFERROR(SUMIF(Nutzungsprofile!$B$17:$B$22,"Schulbetrieb",Nutzungsprofile!$G$17:$G$22)*Kalender!C338/SUM(Kalender!$C$5:$C$370),0)+IFERROR(SUMIF(Nutzungsprofile!$B$17:$B$22,"Halle",Nutzungsprofile!$G$17:$G$22)*Kalender!D338/SUM(Kalender!$D$5:$D$370),0)+IFERROR(SUMIF(Nutzungsprofile!$B$17:$B$22,"Individuell",Nutzungsprofile!$G$17:$G$22)*Kalender!E338/SUM(Kalender!$E$5:$E$370),0))*Szenarien!$D$18,0)</f>
        <v>0</v>
      </c>
      <c r="E2900" s="13" t="n">
        <f aca="false">IFERROR(MIN(C2900,Eingaben!$B$17)*Eingaben!$B$16,0)</f>
        <v>0</v>
      </c>
      <c r="F2900" s="13" t="n">
        <f aca="false">IFERROR(E2900*Eingaben!$B$15,0)</f>
        <v>0</v>
      </c>
      <c r="G2900" s="13" t="n">
        <f aca="false">IFERROR(IF(Kalender!A338="",0,J2899*(1-Eingaben!$B$20)),0)</f>
        <v>0</v>
      </c>
      <c r="H2900" s="13" t="n">
        <f aca="false">MIN(G2900,D2900)</f>
        <v>0</v>
      </c>
      <c r="I2900" s="13" t="n">
        <f aca="false">IFERROR(MIN(F2900*Eingaben!$B$19,MAX(0,D2900-H2900)),0)</f>
        <v>0</v>
      </c>
      <c r="J2900" s="13" t="n">
        <f aca="false">IFERROR(MIN(Eingaben!$B$18,MAX(0,F2900-I2900)),0)</f>
        <v>0</v>
      </c>
      <c r="K2900" s="13" t="n">
        <f aca="false">H2900+I2900</f>
        <v>0</v>
      </c>
      <c r="L2900" s="13" t="n">
        <f aca="false">MAX(0,D2900-K2900)</f>
        <v>0</v>
      </c>
      <c r="M2900" s="13" t="n">
        <f aca="false">MAX(0,F2900-I2900-J2900)</f>
        <v>0</v>
      </c>
      <c r="N2900" s="13" t="n">
        <f aca="false">IF(Kalender!A338="",0,J2899-H2900)</f>
        <v>0</v>
      </c>
    </row>
    <row r="2901" customFormat="false" ht="16.4" hidden="false" customHeight="false" outlineLevel="0" collapsed="false">
      <c r="A2901" s="13" t="str">
        <f aca="false">""</f>
        <v/>
      </c>
      <c r="B2901" s="13" t="n">
        <f aca="false">335</f>
        <v>335</v>
      </c>
      <c r="C2901" s="13" t="n">
        <f aca="false">IF(Szenarien!$H$18="OK",(IFERROR(SUMIF(Nutzungsprofile!$B$6:$B$11,"Schulbetrieb",Nutzungsprofile!$G$6:$G$11)*Kalender!C339/SUM(Kalender!$C$5:$C$370),0)+IFERROR(SUMIF(Nutzungsprofile!$B$6:$B$11,"Halle",Nutzungsprofile!$G$6:$G$11)*Kalender!D339/SUM(Kalender!$D$5:$D$370),0)+IFERROR(SUMIF(Nutzungsprofile!$B$6:$B$11,"Individuell",Nutzungsprofile!$G$6:$G$11)*Kalender!E339/SUM(Kalender!$E$5:$E$370),0))*Szenarien!$E$18,0)</f>
        <v>0</v>
      </c>
      <c r="D2901" s="13" t="n">
        <f aca="false">IF(Szenarien!$H$18="OK",(IFERROR(SUMIF(Nutzungsprofile!$B$17:$B$22,"Schulbetrieb",Nutzungsprofile!$G$17:$G$22)*Kalender!C339/SUM(Kalender!$C$5:$C$370),0)+IFERROR(SUMIF(Nutzungsprofile!$B$17:$B$22,"Halle",Nutzungsprofile!$G$17:$G$22)*Kalender!D339/SUM(Kalender!$D$5:$D$370),0)+IFERROR(SUMIF(Nutzungsprofile!$B$17:$B$22,"Individuell",Nutzungsprofile!$G$17:$G$22)*Kalender!E339/SUM(Kalender!$E$5:$E$370),0))*Szenarien!$D$18,0)</f>
        <v>0</v>
      </c>
      <c r="E2901" s="13" t="n">
        <f aca="false">IFERROR(MIN(C2901,Eingaben!$B$17)*Eingaben!$B$16,0)</f>
        <v>0</v>
      </c>
      <c r="F2901" s="13" t="n">
        <f aca="false">IFERROR(E2901*Eingaben!$B$15,0)</f>
        <v>0</v>
      </c>
      <c r="G2901" s="13" t="n">
        <f aca="false">IFERROR(IF(Kalender!A339="",0,J2900*(1-Eingaben!$B$20)),0)</f>
        <v>0</v>
      </c>
      <c r="H2901" s="13" t="n">
        <f aca="false">MIN(G2901,D2901)</f>
        <v>0</v>
      </c>
      <c r="I2901" s="13" t="n">
        <f aca="false">IFERROR(MIN(F2901*Eingaben!$B$19,MAX(0,D2901-H2901)),0)</f>
        <v>0</v>
      </c>
      <c r="J2901" s="13" t="n">
        <f aca="false">IFERROR(MIN(Eingaben!$B$18,MAX(0,F2901-I2901)),0)</f>
        <v>0</v>
      </c>
      <c r="K2901" s="13" t="n">
        <f aca="false">H2901+I2901</f>
        <v>0</v>
      </c>
      <c r="L2901" s="13" t="n">
        <f aca="false">MAX(0,D2901-K2901)</f>
        <v>0</v>
      </c>
      <c r="M2901" s="13" t="n">
        <f aca="false">MAX(0,F2901-I2901-J2901)</f>
        <v>0</v>
      </c>
      <c r="N2901" s="13" t="n">
        <f aca="false">IF(Kalender!A339="",0,J2900-H2901)</f>
        <v>0</v>
      </c>
    </row>
    <row r="2902" customFormat="false" ht="16.4" hidden="false" customHeight="false" outlineLevel="0" collapsed="false">
      <c r="A2902" s="13" t="str">
        <f aca="false">""</f>
        <v/>
      </c>
      <c r="B2902" s="13" t="n">
        <f aca="false">336</f>
        <v>336</v>
      </c>
      <c r="C2902" s="13" t="n">
        <f aca="false">IF(Szenarien!$H$18="OK",(IFERROR(SUMIF(Nutzungsprofile!$B$6:$B$11,"Schulbetrieb",Nutzungsprofile!$G$6:$G$11)*Kalender!C340/SUM(Kalender!$C$5:$C$370),0)+IFERROR(SUMIF(Nutzungsprofile!$B$6:$B$11,"Halle",Nutzungsprofile!$G$6:$G$11)*Kalender!D340/SUM(Kalender!$D$5:$D$370),0)+IFERROR(SUMIF(Nutzungsprofile!$B$6:$B$11,"Individuell",Nutzungsprofile!$G$6:$G$11)*Kalender!E340/SUM(Kalender!$E$5:$E$370),0))*Szenarien!$E$18,0)</f>
        <v>0</v>
      </c>
      <c r="D2902" s="13" t="n">
        <f aca="false">IF(Szenarien!$H$18="OK",(IFERROR(SUMIF(Nutzungsprofile!$B$17:$B$22,"Schulbetrieb",Nutzungsprofile!$G$17:$G$22)*Kalender!C340/SUM(Kalender!$C$5:$C$370),0)+IFERROR(SUMIF(Nutzungsprofile!$B$17:$B$22,"Halle",Nutzungsprofile!$G$17:$G$22)*Kalender!D340/SUM(Kalender!$D$5:$D$370),0)+IFERROR(SUMIF(Nutzungsprofile!$B$17:$B$22,"Individuell",Nutzungsprofile!$G$17:$G$22)*Kalender!E340/SUM(Kalender!$E$5:$E$370),0))*Szenarien!$D$18,0)</f>
        <v>0</v>
      </c>
      <c r="E2902" s="13" t="n">
        <f aca="false">IFERROR(MIN(C2902,Eingaben!$B$17)*Eingaben!$B$16,0)</f>
        <v>0</v>
      </c>
      <c r="F2902" s="13" t="n">
        <f aca="false">IFERROR(E2902*Eingaben!$B$15,0)</f>
        <v>0</v>
      </c>
      <c r="G2902" s="13" t="n">
        <f aca="false">IFERROR(IF(Kalender!A340="",0,J2901*(1-Eingaben!$B$20)),0)</f>
        <v>0</v>
      </c>
      <c r="H2902" s="13" t="n">
        <f aca="false">MIN(G2902,D2902)</f>
        <v>0</v>
      </c>
      <c r="I2902" s="13" t="n">
        <f aca="false">IFERROR(MIN(F2902*Eingaben!$B$19,MAX(0,D2902-H2902)),0)</f>
        <v>0</v>
      </c>
      <c r="J2902" s="13" t="n">
        <f aca="false">IFERROR(MIN(Eingaben!$B$18,MAX(0,F2902-I2902)),0)</f>
        <v>0</v>
      </c>
      <c r="K2902" s="13" t="n">
        <f aca="false">H2902+I2902</f>
        <v>0</v>
      </c>
      <c r="L2902" s="13" t="n">
        <f aca="false">MAX(0,D2902-K2902)</f>
        <v>0</v>
      </c>
      <c r="M2902" s="13" t="n">
        <f aca="false">MAX(0,F2902-I2902-J2902)</f>
        <v>0</v>
      </c>
      <c r="N2902" s="13" t="n">
        <f aca="false">IF(Kalender!A340="",0,J2901-H2902)</f>
        <v>0</v>
      </c>
    </row>
    <row r="2903" customFormat="false" ht="16.4" hidden="false" customHeight="false" outlineLevel="0" collapsed="false">
      <c r="A2903" s="13" t="str">
        <f aca="false">""</f>
        <v/>
      </c>
      <c r="B2903" s="13" t="n">
        <f aca="false">337</f>
        <v>337</v>
      </c>
      <c r="C2903" s="13" t="n">
        <f aca="false">IF(Szenarien!$H$18="OK",(IFERROR(SUMIF(Nutzungsprofile!$B$6:$B$11,"Schulbetrieb",Nutzungsprofile!$G$6:$G$11)*Kalender!C341/SUM(Kalender!$C$5:$C$370),0)+IFERROR(SUMIF(Nutzungsprofile!$B$6:$B$11,"Halle",Nutzungsprofile!$G$6:$G$11)*Kalender!D341/SUM(Kalender!$D$5:$D$370),0)+IFERROR(SUMIF(Nutzungsprofile!$B$6:$B$11,"Individuell",Nutzungsprofile!$G$6:$G$11)*Kalender!E341/SUM(Kalender!$E$5:$E$370),0))*Szenarien!$E$18,0)</f>
        <v>0</v>
      </c>
      <c r="D2903" s="13" t="n">
        <f aca="false">IF(Szenarien!$H$18="OK",(IFERROR(SUMIF(Nutzungsprofile!$B$17:$B$22,"Schulbetrieb",Nutzungsprofile!$G$17:$G$22)*Kalender!C341/SUM(Kalender!$C$5:$C$370),0)+IFERROR(SUMIF(Nutzungsprofile!$B$17:$B$22,"Halle",Nutzungsprofile!$G$17:$G$22)*Kalender!D341/SUM(Kalender!$D$5:$D$370),0)+IFERROR(SUMIF(Nutzungsprofile!$B$17:$B$22,"Individuell",Nutzungsprofile!$G$17:$G$22)*Kalender!E341/SUM(Kalender!$E$5:$E$370),0))*Szenarien!$D$18,0)</f>
        <v>0</v>
      </c>
      <c r="E2903" s="13" t="n">
        <f aca="false">IFERROR(MIN(C2903,Eingaben!$B$17)*Eingaben!$B$16,0)</f>
        <v>0</v>
      </c>
      <c r="F2903" s="13" t="n">
        <f aca="false">IFERROR(E2903*Eingaben!$B$15,0)</f>
        <v>0</v>
      </c>
      <c r="G2903" s="13" t="n">
        <f aca="false">IFERROR(IF(Kalender!A341="",0,J2902*(1-Eingaben!$B$20)),0)</f>
        <v>0</v>
      </c>
      <c r="H2903" s="13" t="n">
        <f aca="false">MIN(G2903,D2903)</f>
        <v>0</v>
      </c>
      <c r="I2903" s="13" t="n">
        <f aca="false">IFERROR(MIN(F2903*Eingaben!$B$19,MAX(0,D2903-H2903)),0)</f>
        <v>0</v>
      </c>
      <c r="J2903" s="13" t="n">
        <f aca="false">IFERROR(MIN(Eingaben!$B$18,MAX(0,F2903-I2903)),0)</f>
        <v>0</v>
      </c>
      <c r="K2903" s="13" t="n">
        <f aca="false">H2903+I2903</f>
        <v>0</v>
      </c>
      <c r="L2903" s="13" t="n">
        <f aca="false">MAX(0,D2903-K2903)</f>
        <v>0</v>
      </c>
      <c r="M2903" s="13" t="n">
        <f aca="false">MAX(0,F2903-I2903-J2903)</f>
        <v>0</v>
      </c>
      <c r="N2903" s="13" t="n">
        <f aca="false">IF(Kalender!A341="",0,J2902-H2903)</f>
        <v>0</v>
      </c>
    </row>
    <row r="2904" customFormat="false" ht="16.4" hidden="false" customHeight="false" outlineLevel="0" collapsed="false">
      <c r="A2904" s="13" t="str">
        <f aca="false">""</f>
        <v/>
      </c>
      <c r="B2904" s="13" t="n">
        <f aca="false">338</f>
        <v>338</v>
      </c>
      <c r="C2904" s="13" t="n">
        <f aca="false">IF(Szenarien!$H$18="OK",(IFERROR(SUMIF(Nutzungsprofile!$B$6:$B$11,"Schulbetrieb",Nutzungsprofile!$G$6:$G$11)*Kalender!C342/SUM(Kalender!$C$5:$C$370),0)+IFERROR(SUMIF(Nutzungsprofile!$B$6:$B$11,"Halle",Nutzungsprofile!$G$6:$G$11)*Kalender!D342/SUM(Kalender!$D$5:$D$370),0)+IFERROR(SUMIF(Nutzungsprofile!$B$6:$B$11,"Individuell",Nutzungsprofile!$G$6:$G$11)*Kalender!E342/SUM(Kalender!$E$5:$E$370),0))*Szenarien!$E$18,0)</f>
        <v>0</v>
      </c>
      <c r="D2904" s="13" t="n">
        <f aca="false">IF(Szenarien!$H$18="OK",(IFERROR(SUMIF(Nutzungsprofile!$B$17:$B$22,"Schulbetrieb",Nutzungsprofile!$G$17:$G$22)*Kalender!C342/SUM(Kalender!$C$5:$C$370),0)+IFERROR(SUMIF(Nutzungsprofile!$B$17:$B$22,"Halle",Nutzungsprofile!$G$17:$G$22)*Kalender!D342/SUM(Kalender!$D$5:$D$370),0)+IFERROR(SUMIF(Nutzungsprofile!$B$17:$B$22,"Individuell",Nutzungsprofile!$G$17:$G$22)*Kalender!E342/SUM(Kalender!$E$5:$E$370),0))*Szenarien!$D$18,0)</f>
        <v>0</v>
      </c>
      <c r="E2904" s="13" t="n">
        <f aca="false">IFERROR(MIN(C2904,Eingaben!$B$17)*Eingaben!$B$16,0)</f>
        <v>0</v>
      </c>
      <c r="F2904" s="13" t="n">
        <f aca="false">IFERROR(E2904*Eingaben!$B$15,0)</f>
        <v>0</v>
      </c>
      <c r="G2904" s="13" t="n">
        <f aca="false">IFERROR(IF(Kalender!A342="",0,J2903*(1-Eingaben!$B$20)),0)</f>
        <v>0</v>
      </c>
      <c r="H2904" s="13" t="n">
        <f aca="false">MIN(G2904,D2904)</f>
        <v>0</v>
      </c>
      <c r="I2904" s="13" t="n">
        <f aca="false">IFERROR(MIN(F2904*Eingaben!$B$19,MAX(0,D2904-H2904)),0)</f>
        <v>0</v>
      </c>
      <c r="J2904" s="13" t="n">
        <f aca="false">IFERROR(MIN(Eingaben!$B$18,MAX(0,F2904-I2904)),0)</f>
        <v>0</v>
      </c>
      <c r="K2904" s="13" t="n">
        <f aca="false">H2904+I2904</f>
        <v>0</v>
      </c>
      <c r="L2904" s="13" t="n">
        <f aca="false">MAX(0,D2904-K2904)</f>
        <v>0</v>
      </c>
      <c r="M2904" s="13" t="n">
        <f aca="false">MAX(0,F2904-I2904-J2904)</f>
        <v>0</v>
      </c>
      <c r="N2904" s="13" t="n">
        <f aca="false">IF(Kalender!A342="",0,J2903-H2904)</f>
        <v>0</v>
      </c>
    </row>
    <row r="2905" customFormat="false" ht="16.4" hidden="false" customHeight="false" outlineLevel="0" collapsed="false">
      <c r="A2905" s="13" t="str">
        <f aca="false">""</f>
        <v/>
      </c>
      <c r="B2905" s="13" t="n">
        <f aca="false">339</f>
        <v>339</v>
      </c>
      <c r="C2905" s="13" t="n">
        <f aca="false">IF(Szenarien!$H$18="OK",(IFERROR(SUMIF(Nutzungsprofile!$B$6:$B$11,"Schulbetrieb",Nutzungsprofile!$G$6:$G$11)*Kalender!C343/SUM(Kalender!$C$5:$C$370),0)+IFERROR(SUMIF(Nutzungsprofile!$B$6:$B$11,"Halle",Nutzungsprofile!$G$6:$G$11)*Kalender!D343/SUM(Kalender!$D$5:$D$370),0)+IFERROR(SUMIF(Nutzungsprofile!$B$6:$B$11,"Individuell",Nutzungsprofile!$G$6:$G$11)*Kalender!E343/SUM(Kalender!$E$5:$E$370),0))*Szenarien!$E$18,0)</f>
        <v>0</v>
      </c>
      <c r="D2905" s="13" t="n">
        <f aca="false">IF(Szenarien!$H$18="OK",(IFERROR(SUMIF(Nutzungsprofile!$B$17:$B$22,"Schulbetrieb",Nutzungsprofile!$G$17:$G$22)*Kalender!C343/SUM(Kalender!$C$5:$C$370),0)+IFERROR(SUMIF(Nutzungsprofile!$B$17:$B$22,"Halle",Nutzungsprofile!$G$17:$G$22)*Kalender!D343/SUM(Kalender!$D$5:$D$370),0)+IFERROR(SUMIF(Nutzungsprofile!$B$17:$B$22,"Individuell",Nutzungsprofile!$G$17:$G$22)*Kalender!E343/SUM(Kalender!$E$5:$E$370),0))*Szenarien!$D$18,0)</f>
        <v>0</v>
      </c>
      <c r="E2905" s="13" t="n">
        <f aca="false">IFERROR(MIN(C2905,Eingaben!$B$17)*Eingaben!$B$16,0)</f>
        <v>0</v>
      </c>
      <c r="F2905" s="13" t="n">
        <f aca="false">IFERROR(E2905*Eingaben!$B$15,0)</f>
        <v>0</v>
      </c>
      <c r="G2905" s="13" t="n">
        <f aca="false">IFERROR(IF(Kalender!A343="",0,J2904*(1-Eingaben!$B$20)),0)</f>
        <v>0</v>
      </c>
      <c r="H2905" s="13" t="n">
        <f aca="false">MIN(G2905,D2905)</f>
        <v>0</v>
      </c>
      <c r="I2905" s="13" t="n">
        <f aca="false">IFERROR(MIN(F2905*Eingaben!$B$19,MAX(0,D2905-H2905)),0)</f>
        <v>0</v>
      </c>
      <c r="J2905" s="13" t="n">
        <f aca="false">IFERROR(MIN(Eingaben!$B$18,MAX(0,F2905-I2905)),0)</f>
        <v>0</v>
      </c>
      <c r="K2905" s="13" t="n">
        <f aca="false">H2905+I2905</f>
        <v>0</v>
      </c>
      <c r="L2905" s="13" t="n">
        <f aca="false">MAX(0,D2905-K2905)</f>
        <v>0</v>
      </c>
      <c r="M2905" s="13" t="n">
        <f aca="false">MAX(0,F2905-I2905-J2905)</f>
        <v>0</v>
      </c>
      <c r="N2905" s="13" t="n">
        <f aca="false">IF(Kalender!A343="",0,J2904-H2905)</f>
        <v>0</v>
      </c>
    </row>
    <row r="2906" customFormat="false" ht="16.4" hidden="false" customHeight="false" outlineLevel="0" collapsed="false">
      <c r="A2906" s="13" t="str">
        <f aca="false">""</f>
        <v/>
      </c>
      <c r="B2906" s="13" t="n">
        <f aca="false">340</f>
        <v>340</v>
      </c>
      <c r="C2906" s="13" t="n">
        <f aca="false">IF(Szenarien!$H$18="OK",(IFERROR(SUMIF(Nutzungsprofile!$B$6:$B$11,"Schulbetrieb",Nutzungsprofile!$G$6:$G$11)*Kalender!C344/SUM(Kalender!$C$5:$C$370),0)+IFERROR(SUMIF(Nutzungsprofile!$B$6:$B$11,"Halle",Nutzungsprofile!$G$6:$G$11)*Kalender!D344/SUM(Kalender!$D$5:$D$370),0)+IFERROR(SUMIF(Nutzungsprofile!$B$6:$B$11,"Individuell",Nutzungsprofile!$G$6:$G$11)*Kalender!E344/SUM(Kalender!$E$5:$E$370),0))*Szenarien!$E$18,0)</f>
        <v>0</v>
      </c>
      <c r="D2906" s="13" t="n">
        <f aca="false">IF(Szenarien!$H$18="OK",(IFERROR(SUMIF(Nutzungsprofile!$B$17:$B$22,"Schulbetrieb",Nutzungsprofile!$G$17:$G$22)*Kalender!C344/SUM(Kalender!$C$5:$C$370),0)+IFERROR(SUMIF(Nutzungsprofile!$B$17:$B$22,"Halle",Nutzungsprofile!$G$17:$G$22)*Kalender!D344/SUM(Kalender!$D$5:$D$370),0)+IFERROR(SUMIF(Nutzungsprofile!$B$17:$B$22,"Individuell",Nutzungsprofile!$G$17:$G$22)*Kalender!E344/SUM(Kalender!$E$5:$E$370),0))*Szenarien!$D$18,0)</f>
        <v>0</v>
      </c>
      <c r="E2906" s="13" t="n">
        <f aca="false">IFERROR(MIN(C2906,Eingaben!$B$17)*Eingaben!$B$16,0)</f>
        <v>0</v>
      </c>
      <c r="F2906" s="13" t="n">
        <f aca="false">IFERROR(E2906*Eingaben!$B$15,0)</f>
        <v>0</v>
      </c>
      <c r="G2906" s="13" t="n">
        <f aca="false">IFERROR(IF(Kalender!A344="",0,J2905*(1-Eingaben!$B$20)),0)</f>
        <v>0</v>
      </c>
      <c r="H2906" s="13" t="n">
        <f aca="false">MIN(G2906,D2906)</f>
        <v>0</v>
      </c>
      <c r="I2906" s="13" t="n">
        <f aca="false">IFERROR(MIN(F2906*Eingaben!$B$19,MAX(0,D2906-H2906)),0)</f>
        <v>0</v>
      </c>
      <c r="J2906" s="13" t="n">
        <f aca="false">IFERROR(MIN(Eingaben!$B$18,MAX(0,F2906-I2906)),0)</f>
        <v>0</v>
      </c>
      <c r="K2906" s="13" t="n">
        <f aca="false">H2906+I2906</f>
        <v>0</v>
      </c>
      <c r="L2906" s="13" t="n">
        <f aca="false">MAX(0,D2906-K2906)</f>
        <v>0</v>
      </c>
      <c r="M2906" s="13" t="n">
        <f aca="false">MAX(0,F2906-I2906-J2906)</f>
        <v>0</v>
      </c>
      <c r="N2906" s="13" t="n">
        <f aca="false">IF(Kalender!A344="",0,J2905-H2906)</f>
        <v>0</v>
      </c>
    </row>
    <row r="2907" customFormat="false" ht="16.4" hidden="false" customHeight="false" outlineLevel="0" collapsed="false">
      <c r="A2907" s="13" t="str">
        <f aca="false">""</f>
        <v/>
      </c>
      <c r="B2907" s="13" t="n">
        <f aca="false">341</f>
        <v>341</v>
      </c>
      <c r="C2907" s="13" t="n">
        <f aca="false">IF(Szenarien!$H$18="OK",(IFERROR(SUMIF(Nutzungsprofile!$B$6:$B$11,"Schulbetrieb",Nutzungsprofile!$G$6:$G$11)*Kalender!C345/SUM(Kalender!$C$5:$C$370),0)+IFERROR(SUMIF(Nutzungsprofile!$B$6:$B$11,"Halle",Nutzungsprofile!$G$6:$G$11)*Kalender!D345/SUM(Kalender!$D$5:$D$370),0)+IFERROR(SUMIF(Nutzungsprofile!$B$6:$B$11,"Individuell",Nutzungsprofile!$G$6:$G$11)*Kalender!E345/SUM(Kalender!$E$5:$E$370),0))*Szenarien!$E$18,0)</f>
        <v>0</v>
      </c>
      <c r="D2907" s="13" t="n">
        <f aca="false">IF(Szenarien!$H$18="OK",(IFERROR(SUMIF(Nutzungsprofile!$B$17:$B$22,"Schulbetrieb",Nutzungsprofile!$G$17:$G$22)*Kalender!C345/SUM(Kalender!$C$5:$C$370),0)+IFERROR(SUMIF(Nutzungsprofile!$B$17:$B$22,"Halle",Nutzungsprofile!$G$17:$G$22)*Kalender!D345/SUM(Kalender!$D$5:$D$370),0)+IFERROR(SUMIF(Nutzungsprofile!$B$17:$B$22,"Individuell",Nutzungsprofile!$G$17:$G$22)*Kalender!E345/SUM(Kalender!$E$5:$E$370),0))*Szenarien!$D$18,0)</f>
        <v>0</v>
      </c>
      <c r="E2907" s="13" t="n">
        <f aca="false">IFERROR(MIN(C2907,Eingaben!$B$17)*Eingaben!$B$16,0)</f>
        <v>0</v>
      </c>
      <c r="F2907" s="13" t="n">
        <f aca="false">IFERROR(E2907*Eingaben!$B$15,0)</f>
        <v>0</v>
      </c>
      <c r="G2907" s="13" t="n">
        <f aca="false">IFERROR(IF(Kalender!A345="",0,J2906*(1-Eingaben!$B$20)),0)</f>
        <v>0</v>
      </c>
      <c r="H2907" s="13" t="n">
        <f aca="false">MIN(G2907,D2907)</f>
        <v>0</v>
      </c>
      <c r="I2907" s="13" t="n">
        <f aca="false">IFERROR(MIN(F2907*Eingaben!$B$19,MAX(0,D2907-H2907)),0)</f>
        <v>0</v>
      </c>
      <c r="J2907" s="13" t="n">
        <f aca="false">IFERROR(MIN(Eingaben!$B$18,MAX(0,F2907-I2907)),0)</f>
        <v>0</v>
      </c>
      <c r="K2907" s="13" t="n">
        <f aca="false">H2907+I2907</f>
        <v>0</v>
      </c>
      <c r="L2907" s="13" t="n">
        <f aca="false">MAX(0,D2907-K2907)</f>
        <v>0</v>
      </c>
      <c r="M2907" s="13" t="n">
        <f aca="false">MAX(0,F2907-I2907-J2907)</f>
        <v>0</v>
      </c>
      <c r="N2907" s="13" t="n">
        <f aca="false">IF(Kalender!A345="",0,J2906-H2907)</f>
        <v>0</v>
      </c>
    </row>
    <row r="2908" customFormat="false" ht="16.4" hidden="false" customHeight="false" outlineLevel="0" collapsed="false">
      <c r="A2908" s="13" t="str">
        <f aca="false">""</f>
        <v/>
      </c>
      <c r="B2908" s="13" t="n">
        <f aca="false">342</f>
        <v>342</v>
      </c>
      <c r="C2908" s="13" t="n">
        <f aca="false">IF(Szenarien!$H$18="OK",(IFERROR(SUMIF(Nutzungsprofile!$B$6:$B$11,"Schulbetrieb",Nutzungsprofile!$G$6:$G$11)*Kalender!C346/SUM(Kalender!$C$5:$C$370),0)+IFERROR(SUMIF(Nutzungsprofile!$B$6:$B$11,"Halle",Nutzungsprofile!$G$6:$G$11)*Kalender!D346/SUM(Kalender!$D$5:$D$370),0)+IFERROR(SUMIF(Nutzungsprofile!$B$6:$B$11,"Individuell",Nutzungsprofile!$G$6:$G$11)*Kalender!E346/SUM(Kalender!$E$5:$E$370),0))*Szenarien!$E$18,0)</f>
        <v>0</v>
      </c>
      <c r="D2908" s="13" t="n">
        <f aca="false">IF(Szenarien!$H$18="OK",(IFERROR(SUMIF(Nutzungsprofile!$B$17:$B$22,"Schulbetrieb",Nutzungsprofile!$G$17:$G$22)*Kalender!C346/SUM(Kalender!$C$5:$C$370),0)+IFERROR(SUMIF(Nutzungsprofile!$B$17:$B$22,"Halle",Nutzungsprofile!$G$17:$G$22)*Kalender!D346/SUM(Kalender!$D$5:$D$370),0)+IFERROR(SUMIF(Nutzungsprofile!$B$17:$B$22,"Individuell",Nutzungsprofile!$G$17:$G$22)*Kalender!E346/SUM(Kalender!$E$5:$E$370),0))*Szenarien!$D$18,0)</f>
        <v>0</v>
      </c>
      <c r="E2908" s="13" t="n">
        <f aca="false">IFERROR(MIN(C2908,Eingaben!$B$17)*Eingaben!$B$16,0)</f>
        <v>0</v>
      </c>
      <c r="F2908" s="13" t="n">
        <f aca="false">IFERROR(E2908*Eingaben!$B$15,0)</f>
        <v>0</v>
      </c>
      <c r="G2908" s="13" t="n">
        <f aca="false">IFERROR(IF(Kalender!A346="",0,J2907*(1-Eingaben!$B$20)),0)</f>
        <v>0</v>
      </c>
      <c r="H2908" s="13" t="n">
        <f aca="false">MIN(G2908,D2908)</f>
        <v>0</v>
      </c>
      <c r="I2908" s="13" t="n">
        <f aca="false">IFERROR(MIN(F2908*Eingaben!$B$19,MAX(0,D2908-H2908)),0)</f>
        <v>0</v>
      </c>
      <c r="J2908" s="13" t="n">
        <f aca="false">IFERROR(MIN(Eingaben!$B$18,MAX(0,F2908-I2908)),0)</f>
        <v>0</v>
      </c>
      <c r="K2908" s="13" t="n">
        <f aca="false">H2908+I2908</f>
        <v>0</v>
      </c>
      <c r="L2908" s="13" t="n">
        <f aca="false">MAX(0,D2908-K2908)</f>
        <v>0</v>
      </c>
      <c r="M2908" s="13" t="n">
        <f aca="false">MAX(0,F2908-I2908-J2908)</f>
        <v>0</v>
      </c>
      <c r="N2908" s="13" t="n">
        <f aca="false">IF(Kalender!A346="",0,J2907-H2908)</f>
        <v>0</v>
      </c>
    </row>
    <row r="2909" customFormat="false" ht="16.4" hidden="false" customHeight="false" outlineLevel="0" collapsed="false">
      <c r="A2909" s="13" t="str">
        <f aca="false">""</f>
        <v/>
      </c>
      <c r="B2909" s="13" t="n">
        <f aca="false">343</f>
        <v>343</v>
      </c>
      <c r="C2909" s="13" t="n">
        <f aca="false">IF(Szenarien!$H$18="OK",(IFERROR(SUMIF(Nutzungsprofile!$B$6:$B$11,"Schulbetrieb",Nutzungsprofile!$G$6:$G$11)*Kalender!C347/SUM(Kalender!$C$5:$C$370),0)+IFERROR(SUMIF(Nutzungsprofile!$B$6:$B$11,"Halle",Nutzungsprofile!$G$6:$G$11)*Kalender!D347/SUM(Kalender!$D$5:$D$370),0)+IFERROR(SUMIF(Nutzungsprofile!$B$6:$B$11,"Individuell",Nutzungsprofile!$G$6:$G$11)*Kalender!E347/SUM(Kalender!$E$5:$E$370),0))*Szenarien!$E$18,0)</f>
        <v>0</v>
      </c>
      <c r="D2909" s="13" t="n">
        <f aca="false">IF(Szenarien!$H$18="OK",(IFERROR(SUMIF(Nutzungsprofile!$B$17:$B$22,"Schulbetrieb",Nutzungsprofile!$G$17:$G$22)*Kalender!C347/SUM(Kalender!$C$5:$C$370),0)+IFERROR(SUMIF(Nutzungsprofile!$B$17:$B$22,"Halle",Nutzungsprofile!$G$17:$G$22)*Kalender!D347/SUM(Kalender!$D$5:$D$370),0)+IFERROR(SUMIF(Nutzungsprofile!$B$17:$B$22,"Individuell",Nutzungsprofile!$G$17:$G$22)*Kalender!E347/SUM(Kalender!$E$5:$E$370),0))*Szenarien!$D$18,0)</f>
        <v>0</v>
      </c>
      <c r="E2909" s="13" t="n">
        <f aca="false">IFERROR(MIN(C2909,Eingaben!$B$17)*Eingaben!$B$16,0)</f>
        <v>0</v>
      </c>
      <c r="F2909" s="13" t="n">
        <f aca="false">IFERROR(E2909*Eingaben!$B$15,0)</f>
        <v>0</v>
      </c>
      <c r="G2909" s="13" t="n">
        <f aca="false">IFERROR(IF(Kalender!A347="",0,J2908*(1-Eingaben!$B$20)),0)</f>
        <v>0</v>
      </c>
      <c r="H2909" s="13" t="n">
        <f aca="false">MIN(G2909,D2909)</f>
        <v>0</v>
      </c>
      <c r="I2909" s="13" t="n">
        <f aca="false">IFERROR(MIN(F2909*Eingaben!$B$19,MAX(0,D2909-H2909)),0)</f>
        <v>0</v>
      </c>
      <c r="J2909" s="13" t="n">
        <f aca="false">IFERROR(MIN(Eingaben!$B$18,MAX(0,F2909-I2909)),0)</f>
        <v>0</v>
      </c>
      <c r="K2909" s="13" t="n">
        <f aca="false">H2909+I2909</f>
        <v>0</v>
      </c>
      <c r="L2909" s="13" t="n">
        <f aca="false">MAX(0,D2909-K2909)</f>
        <v>0</v>
      </c>
      <c r="M2909" s="13" t="n">
        <f aca="false">MAX(0,F2909-I2909-J2909)</f>
        <v>0</v>
      </c>
      <c r="N2909" s="13" t="n">
        <f aca="false">IF(Kalender!A347="",0,J2908-H2909)</f>
        <v>0</v>
      </c>
    </row>
    <row r="2910" customFormat="false" ht="16.4" hidden="false" customHeight="false" outlineLevel="0" collapsed="false">
      <c r="A2910" s="13" t="str">
        <f aca="false">""</f>
        <v/>
      </c>
      <c r="B2910" s="13" t="n">
        <f aca="false">344</f>
        <v>344</v>
      </c>
      <c r="C2910" s="13" t="n">
        <f aca="false">IF(Szenarien!$H$18="OK",(IFERROR(SUMIF(Nutzungsprofile!$B$6:$B$11,"Schulbetrieb",Nutzungsprofile!$G$6:$G$11)*Kalender!C348/SUM(Kalender!$C$5:$C$370),0)+IFERROR(SUMIF(Nutzungsprofile!$B$6:$B$11,"Halle",Nutzungsprofile!$G$6:$G$11)*Kalender!D348/SUM(Kalender!$D$5:$D$370),0)+IFERROR(SUMIF(Nutzungsprofile!$B$6:$B$11,"Individuell",Nutzungsprofile!$G$6:$G$11)*Kalender!E348/SUM(Kalender!$E$5:$E$370),0))*Szenarien!$E$18,0)</f>
        <v>0</v>
      </c>
      <c r="D2910" s="13" t="n">
        <f aca="false">IF(Szenarien!$H$18="OK",(IFERROR(SUMIF(Nutzungsprofile!$B$17:$B$22,"Schulbetrieb",Nutzungsprofile!$G$17:$G$22)*Kalender!C348/SUM(Kalender!$C$5:$C$370),0)+IFERROR(SUMIF(Nutzungsprofile!$B$17:$B$22,"Halle",Nutzungsprofile!$G$17:$G$22)*Kalender!D348/SUM(Kalender!$D$5:$D$370),0)+IFERROR(SUMIF(Nutzungsprofile!$B$17:$B$22,"Individuell",Nutzungsprofile!$G$17:$G$22)*Kalender!E348/SUM(Kalender!$E$5:$E$370),0))*Szenarien!$D$18,0)</f>
        <v>0</v>
      </c>
      <c r="E2910" s="13" t="n">
        <f aca="false">IFERROR(MIN(C2910,Eingaben!$B$17)*Eingaben!$B$16,0)</f>
        <v>0</v>
      </c>
      <c r="F2910" s="13" t="n">
        <f aca="false">IFERROR(E2910*Eingaben!$B$15,0)</f>
        <v>0</v>
      </c>
      <c r="G2910" s="13" t="n">
        <f aca="false">IFERROR(IF(Kalender!A348="",0,J2909*(1-Eingaben!$B$20)),0)</f>
        <v>0</v>
      </c>
      <c r="H2910" s="13" t="n">
        <f aca="false">MIN(G2910,D2910)</f>
        <v>0</v>
      </c>
      <c r="I2910" s="13" t="n">
        <f aca="false">IFERROR(MIN(F2910*Eingaben!$B$19,MAX(0,D2910-H2910)),0)</f>
        <v>0</v>
      </c>
      <c r="J2910" s="13" t="n">
        <f aca="false">IFERROR(MIN(Eingaben!$B$18,MAX(0,F2910-I2910)),0)</f>
        <v>0</v>
      </c>
      <c r="K2910" s="13" t="n">
        <f aca="false">H2910+I2910</f>
        <v>0</v>
      </c>
      <c r="L2910" s="13" t="n">
        <f aca="false">MAX(0,D2910-K2910)</f>
        <v>0</v>
      </c>
      <c r="M2910" s="13" t="n">
        <f aca="false">MAX(0,F2910-I2910-J2910)</f>
        <v>0</v>
      </c>
      <c r="N2910" s="13" t="n">
        <f aca="false">IF(Kalender!A348="",0,J2909-H2910)</f>
        <v>0</v>
      </c>
    </row>
    <row r="2911" customFormat="false" ht="16.4" hidden="false" customHeight="false" outlineLevel="0" collapsed="false">
      <c r="A2911" s="13" t="str">
        <f aca="false">""</f>
        <v/>
      </c>
      <c r="B2911" s="13" t="n">
        <f aca="false">345</f>
        <v>345</v>
      </c>
      <c r="C2911" s="13" t="n">
        <f aca="false">IF(Szenarien!$H$18="OK",(IFERROR(SUMIF(Nutzungsprofile!$B$6:$B$11,"Schulbetrieb",Nutzungsprofile!$G$6:$G$11)*Kalender!C349/SUM(Kalender!$C$5:$C$370),0)+IFERROR(SUMIF(Nutzungsprofile!$B$6:$B$11,"Halle",Nutzungsprofile!$G$6:$G$11)*Kalender!D349/SUM(Kalender!$D$5:$D$370),0)+IFERROR(SUMIF(Nutzungsprofile!$B$6:$B$11,"Individuell",Nutzungsprofile!$G$6:$G$11)*Kalender!E349/SUM(Kalender!$E$5:$E$370),0))*Szenarien!$E$18,0)</f>
        <v>0</v>
      </c>
      <c r="D2911" s="13" t="n">
        <f aca="false">IF(Szenarien!$H$18="OK",(IFERROR(SUMIF(Nutzungsprofile!$B$17:$B$22,"Schulbetrieb",Nutzungsprofile!$G$17:$G$22)*Kalender!C349/SUM(Kalender!$C$5:$C$370),0)+IFERROR(SUMIF(Nutzungsprofile!$B$17:$B$22,"Halle",Nutzungsprofile!$G$17:$G$22)*Kalender!D349/SUM(Kalender!$D$5:$D$370),0)+IFERROR(SUMIF(Nutzungsprofile!$B$17:$B$22,"Individuell",Nutzungsprofile!$G$17:$G$22)*Kalender!E349/SUM(Kalender!$E$5:$E$370),0))*Szenarien!$D$18,0)</f>
        <v>0</v>
      </c>
      <c r="E2911" s="13" t="n">
        <f aca="false">IFERROR(MIN(C2911,Eingaben!$B$17)*Eingaben!$B$16,0)</f>
        <v>0</v>
      </c>
      <c r="F2911" s="13" t="n">
        <f aca="false">IFERROR(E2911*Eingaben!$B$15,0)</f>
        <v>0</v>
      </c>
      <c r="G2911" s="13" t="n">
        <f aca="false">IFERROR(IF(Kalender!A349="",0,J2910*(1-Eingaben!$B$20)),0)</f>
        <v>0</v>
      </c>
      <c r="H2911" s="13" t="n">
        <f aca="false">MIN(G2911,D2911)</f>
        <v>0</v>
      </c>
      <c r="I2911" s="13" t="n">
        <f aca="false">IFERROR(MIN(F2911*Eingaben!$B$19,MAX(0,D2911-H2911)),0)</f>
        <v>0</v>
      </c>
      <c r="J2911" s="13" t="n">
        <f aca="false">IFERROR(MIN(Eingaben!$B$18,MAX(0,F2911-I2911)),0)</f>
        <v>0</v>
      </c>
      <c r="K2911" s="13" t="n">
        <f aca="false">H2911+I2911</f>
        <v>0</v>
      </c>
      <c r="L2911" s="13" t="n">
        <f aca="false">MAX(0,D2911-K2911)</f>
        <v>0</v>
      </c>
      <c r="M2911" s="13" t="n">
        <f aca="false">MAX(0,F2911-I2911-J2911)</f>
        <v>0</v>
      </c>
      <c r="N2911" s="13" t="n">
        <f aca="false">IF(Kalender!A349="",0,J2910-H2911)</f>
        <v>0</v>
      </c>
    </row>
    <row r="2912" customFormat="false" ht="16.4" hidden="false" customHeight="false" outlineLevel="0" collapsed="false">
      <c r="A2912" s="13" t="str">
        <f aca="false">""</f>
        <v/>
      </c>
      <c r="B2912" s="13" t="n">
        <f aca="false">346</f>
        <v>346</v>
      </c>
      <c r="C2912" s="13" t="n">
        <f aca="false">IF(Szenarien!$H$18="OK",(IFERROR(SUMIF(Nutzungsprofile!$B$6:$B$11,"Schulbetrieb",Nutzungsprofile!$G$6:$G$11)*Kalender!C350/SUM(Kalender!$C$5:$C$370),0)+IFERROR(SUMIF(Nutzungsprofile!$B$6:$B$11,"Halle",Nutzungsprofile!$G$6:$G$11)*Kalender!D350/SUM(Kalender!$D$5:$D$370),0)+IFERROR(SUMIF(Nutzungsprofile!$B$6:$B$11,"Individuell",Nutzungsprofile!$G$6:$G$11)*Kalender!E350/SUM(Kalender!$E$5:$E$370),0))*Szenarien!$E$18,0)</f>
        <v>0</v>
      </c>
      <c r="D2912" s="13" t="n">
        <f aca="false">IF(Szenarien!$H$18="OK",(IFERROR(SUMIF(Nutzungsprofile!$B$17:$B$22,"Schulbetrieb",Nutzungsprofile!$G$17:$G$22)*Kalender!C350/SUM(Kalender!$C$5:$C$370),0)+IFERROR(SUMIF(Nutzungsprofile!$B$17:$B$22,"Halle",Nutzungsprofile!$G$17:$G$22)*Kalender!D350/SUM(Kalender!$D$5:$D$370),0)+IFERROR(SUMIF(Nutzungsprofile!$B$17:$B$22,"Individuell",Nutzungsprofile!$G$17:$G$22)*Kalender!E350/SUM(Kalender!$E$5:$E$370),0))*Szenarien!$D$18,0)</f>
        <v>0</v>
      </c>
      <c r="E2912" s="13" t="n">
        <f aca="false">IFERROR(MIN(C2912,Eingaben!$B$17)*Eingaben!$B$16,0)</f>
        <v>0</v>
      </c>
      <c r="F2912" s="13" t="n">
        <f aca="false">IFERROR(E2912*Eingaben!$B$15,0)</f>
        <v>0</v>
      </c>
      <c r="G2912" s="13" t="n">
        <f aca="false">IFERROR(IF(Kalender!A350="",0,J2911*(1-Eingaben!$B$20)),0)</f>
        <v>0</v>
      </c>
      <c r="H2912" s="13" t="n">
        <f aca="false">MIN(G2912,D2912)</f>
        <v>0</v>
      </c>
      <c r="I2912" s="13" t="n">
        <f aca="false">IFERROR(MIN(F2912*Eingaben!$B$19,MAX(0,D2912-H2912)),0)</f>
        <v>0</v>
      </c>
      <c r="J2912" s="13" t="n">
        <f aca="false">IFERROR(MIN(Eingaben!$B$18,MAX(0,F2912-I2912)),0)</f>
        <v>0</v>
      </c>
      <c r="K2912" s="13" t="n">
        <f aca="false">H2912+I2912</f>
        <v>0</v>
      </c>
      <c r="L2912" s="13" t="n">
        <f aca="false">MAX(0,D2912-K2912)</f>
        <v>0</v>
      </c>
      <c r="M2912" s="13" t="n">
        <f aca="false">MAX(0,F2912-I2912-J2912)</f>
        <v>0</v>
      </c>
      <c r="N2912" s="13" t="n">
        <f aca="false">IF(Kalender!A350="",0,J2911-H2912)</f>
        <v>0</v>
      </c>
    </row>
    <row r="2913" customFormat="false" ht="16.4" hidden="false" customHeight="false" outlineLevel="0" collapsed="false">
      <c r="A2913" s="13" t="str">
        <f aca="false">""</f>
        <v/>
      </c>
      <c r="B2913" s="13" t="n">
        <f aca="false">347</f>
        <v>347</v>
      </c>
      <c r="C2913" s="13" t="n">
        <f aca="false">IF(Szenarien!$H$18="OK",(IFERROR(SUMIF(Nutzungsprofile!$B$6:$B$11,"Schulbetrieb",Nutzungsprofile!$G$6:$G$11)*Kalender!C351/SUM(Kalender!$C$5:$C$370),0)+IFERROR(SUMIF(Nutzungsprofile!$B$6:$B$11,"Halle",Nutzungsprofile!$G$6:$G$11)*Kalender!D351/SUM(Kalender!$D$5:$D$370),0)+IFERROR(SUMIF(Nutzungsprofile!$B$6:$B$11,"Individuell",Nutzungsprofile!$G$6:$G$11)*Kalender!E351/SUM(Kalender!$E$5:$E$370),0))*Szenarien!$E$18,0)</f>
        <v>0</v>
      </c>
      <c r="D2913" s="13" t="n">
        <f aca="false">IF(Szenarien!$H$18="OK",(IFERROR(SUMIF(Nutzungsprofile!$B$17:$B$22,"Schulbetrieb",Nutzungsprofile!$G$17:$G$22)*Kalender!C351/SUM(Kalender!$C$5:$C$370),0)+IFERROR(SUMIF(Nutzungsprofile!$B$17:$B$22,"Halle",Nutzungsprofile!$G$17:$G$22)*Kalender!D351/SUM(Kalender!$D$5:$D$370),0)+IFERROR(SUMIF(Nutzungsprofile!$B$17:$B$22,"Individuell",Nutzungsprofile!$G$17:$G$22)*Kalender!E351/SUM(Kalender!$E$5:$E$370),0))*Szenarien!$D$18,0)</f>
        <v>0</v>
      </c>
      <c r="E2913" s="13" t="n">
        <f aca="false">IFERROR(MIN(C2913,Eingaben!$B$17)*Eingaben!$B$16,0)</f>
        <v>0</v>
      </c>
      <c r="F2913" s="13" t="n">
        <f aca="false">IFERROR(E2913*Eingaben!$B$15,0)</f>
        <v>0</v>
      </c>
      <c r="G2913" s="13" t="n">
        <f aca="false">IFERROR(IF(Kalender!A351="",0,J2912*(1-Eingaben!$B$20)),0)</f>
        <v>0</v>
      </c>
      <c r="H2913" s="13" t="n">
        <f aca="false">MIN(G2913,D2913)</f>
        <v>0</v>
      </c>
      <c r="I2913" s="13" t="n">
        <f aca="false">IFERROR(MIN(F2913*Eingaben!$B$19,MAX(0,D2913-H2913)),0)</f>
        <v>0</v>
      </c>
      <c r="J2913" s="13" t="n">
        <f aca="false">IFERROR(MIN(Eingaben!$B$18,MAX(0,F2913-I2913)),0)</f>
        <v>0</v>
      </c>
      <c r="K2913" s="13" t="n">
        <f aca="false">H2913+I2913</f>
        <v>0</v>
      </c>
      <c r="L2913" s="13" t="n">
        <f aca="false">MAX(0,D2913-K2913)</f>
        <v>0</v>
      </c>
      <c r="M2913" s="13" t="n">
        <f aca="false">MAX(0,F2913-I2913-J2913)</f>
        <v>0</v>
      </c>
      <c r="N2913" s="13" t="n">
        <f aca="false">IF(Kalender!A351="",0,J2912-H2913)</f>
        <v>0</v>
      </c>
    </row>
    <row r="2914" customFormat="false" ht="16.4" hidden="false" customHeight="false" outlineLevel="0" collapsed="false">
      <c r="A2914" s="13" t="str">
        <f aca="false">""</f>
        <v/>
      </c>
      <c r="B2914" s="13" t="n">
        <f aca="false">348</f>
        <v>348</v>
      </c>
      <c r="C2914" s="13" t="n">
        <f aca="false">IF(Szenarien!$H$18="OK",(IFERROR(SUMIF(Nutzungsprofile!$B$6:$B$11,"Schulbetrieb",Nutzungsprofile!$G$6:$G$11)*Kalender!C352/SUM(Kalender!$C$5:$C$370),0)+IFERROR(SUMIF(Nutzungsprofile!$B$6:$B$11,"Halle",Nutzungsprofile!$G$6:$G$11)*Kalender!D352/SUM(Kalender!$D$5:$D$370),0)+IFERROR(SUMIF(Nutzungsprofile!$B$6:$B$11,"Individuell",Nutzungsprofile!$G$6:$G$11)*Kalender!E352/SUM(Kalender!$E$5:$E$370),0))*Szenarien!$E$18,0)</f>
        <v>0</v>
      </c>
      <c r="D2914" s="13" t="n">
        <f aca="false">IF(Szenarien!$H$18="OK",(IFERROR(SUMIF(Nutzungsprofile!$B$17:$B$22,"Schulbetrieb",Nutzungsprofile!$G$17:$G$22)*Kalender!C352/SUM(Kalender!$C$5:$C$370),0)+IFERROR(SUMIF(Nutzungsprofile!$B$17:$B$22,"Halle",Nutzungsprofile!$G$17:$G$22)*Kalender!D352/SUM(Kalender!$D$5:$D$370),0)+IFERROR(SUMIF(Nutzungsprofile!$B$17:$B$22,"Individuell",Nutzungsprofile!$G$17:$G$22)*Kalender!E352/SUM(Kalender!$E$5:$E$370),0))*Szenarien!$D$18,0)</f>
        <v>0</v>
      </c>
      <c r="E2914" s="13" t="n">
        <f aca="false">IFERROR(MIN(C2914,Eingaben!$B$17)*Eingaben!$B$16,0)</f>
        <v>0</v>
      </c>
      <c r="F2914" s="13" t="n">
        <f aca="false">IFERROR(E2914*Eingaben!$B$15,0)</f>
        <v>0</v>
      </c>
      <c r="G2914" s="13" t="n">
        <f aca="false">IFERROR(IF(Kalender!A352="",0,J2913*(1-Eingaben!$B$20)),0)</f>
        <v>0</v>
      </c>
      <c r="H2914" s="13" t="n">
        <f aca="false">MIN(G2914,D2914)</f>
        <v>0</v>
      </c>
      <c r="I2914" s="13" t="n">
        <f aca="false">IFERROR(MIN(F2914*Eingaben!$B$19,MAX(0,D2914-H2914)),0)</f>
        <v>0</v>
      </c>
      <c r="J2914" s="13" t="n">
        <f aca="false">IFERROR(MIN(Eingaben!$B$18,MAX(0,F2914-I2914)),0)</f>
        <v>0</v>
      </c>
      <c r="K2914" s="13" t="n">
        <f aca="false">H2914+I2914</f>
        <v>0</v>
      </c>
      <c r="L2914" s="13" t="n">
        <f aca="false">MAX(0,D2914-K2914)</f>
        <v>0</v>
      </c>
      <c r="M2914" s="13" t="n">
        <f aca="false">MAX(0,F2914-I2914-J2914)</f>
        <v>0</v>
      </c>
      <c r="N2914" s="13" t="n">
        <f aca="false">IF(Kalender!A352="",0,J2913-H2914)</f>
        <v>0</v>
      </c>
    </row>
    <row r="2915" customFormat="false" ht="16.4" hidden="false" customHeight="false" outlineLevel="0" collapsed="false">
      <c r="A2915" s="13" t="str">
        <f aca="false">""</f>
        <v/>
      </c>
      <c r="B2915" s="13" t="n">
        <f aca="false">349</f>
        <v>349</v>
      </c>
      <c r="C2915" s="13" t="n">
        <f aca="false">IF(Szenarien!$H$18="OK",(IFERROR(SUMIF(Nutzungsprofile!$B$6:$B$11,"Schulbetrieb",Nutzungsprofile!$G$6:$G$11)*Kalender!C353/SUM(Kalender!$C$5:$C$370),0)+IFERROR(SUMIF(Nutzungsprofile!$B$6:$B$11,"Halle",Nutzungsprofile!$G$6:$G$11)*Kalender!D353/SUM(Kalender!$D$5:$D$370),0)+IFERROR(SUMIF(Nutzungsprofile!$B$6:$B$11,"Individuell",Nutzungsprofile!$G$6:$G$11)*Kalender!E353/SUM(Kalender!$E$5:$E$370),0))*Szenarien!$E$18,0)</f>
        <v>0</v>
      </c>
      <c r="D2915" s="13" t="n">
        <f aca="false">IF(Szenarien!$H$18="OK",(IFERROR(SUMIF(Nutzungsprofile!$B$17:$B$22,"Schulbetrieb",Nutzungsprofile!$G$17:$G$22)*Kalender!C353/SUM(Kalender!$C$5:$C$370),0)+IFERROR(SUMIF(Nutzungsprofile!$B$17:$B$22,"Halle",Nutzungsprofile!$G$17:$G$22)*Kalender!D353/SUM(Kalender!$D$5:$D$370),0)+IFERROR(SUMIF(Nutzungsprofile!$B$17:$B$22,"Individuell",Nutzungsprofile!$G$17:$G$22)*Kalender!E353/SUM(Kalender!$E$5:$E$370),0))*Szenarien!$D$18,0)</f>
        <v>0</v>
      </c>
      <c r="E2915" s="13" t="n">
        <f aca="false">IFERROR(MIN(C2915,Eingaben!$B$17)*Eingaben!$B$16,0)</f>
        <v>0</v>
      </c>
      <c r="F2915" s="13" t="n">
        <f aca="false">IFERROR(E2915*Eingaben!$B$15,0)</f>
        <v>0</v>
      </c>
      <c r="G2915" s="13" t="n">
        <f aca="false">IFERROR(IF(Kalender!A353="",0,J2914*(1-Eingaben!$B$20)),0)</f>
        <v>0</v>
      </c>
      <c r="H2915" s="13" t="n">
        <f aca="false">MIN(G2915,D2915)</f>
        <v>0</v>
      </c>
      <c r="I2915" s="13" t="n">
        <f aca="false">IFERROR(MIN(F2915*Eingaben!$B$19,MAX(0,D2915-H2915)),0)</f>
        <v>0</v>
      </c>
      <c r="J2915" s="13" t="n">
        <f aca="false">IFERROR(MIN(Eingaben!$B$18,MAX(0,F2915-I2915)),0)</f>
        <v>0</v>
      </c>
      <c r="K2915" s="13" t="n">
        <f aca="false">H2915+I2915</f>
        <v>0</v>
      </c>
      <c r="L2915" s="13" t="n">
        <f aca="false">MAX(0,D2915-K2915)</f>
        <v>0</v>
      </c>
      <c r="M2915" s="13" t="n">
        <f aca="false">MAX(0,F2915-I2915-J2915)</f>
        <v>0</v>
      </c>
      <c r="N2915" s="13" t="n">
        <f aca="false">IF(Kalender!A353="",0,J2914-H2915)</f>
        <v>0</v>
      </c>
    </row>
    <row r="2916" customFormat="false" ht="16.4" hidden="false" customHeight="false" outlineLevel="0" collapsed="false">
      <c r="A2916" s="13" t="str">
        <f aca="false">""</f>
        <v/>
      </c>
      <c r="B2916" s="13" t="n">
        <f aca="false">350</f>
        <v>350</v>
      </c>
      <c r="C2916" s="13" t="n">
        <f aca="false">IF(Szenarien!$H$18="OK",(IFERROR(SUMIF(Nutzungsprofile!$B$6:$B$11,"Schulbetrieb",Nutzungsprofile!$G$6:$G$11)*Kalender!C354/SUM(Kalender!$C$5:$C$370),0)+IFERROR(SUMIF(Nutzungsprofile!$B$6:$B$11,"Halle",Nutzungsprofile!$G$6:$G$11)*Kalender!D354/SUM(Kalender!$D$5:$D$370),0)+IFERROR(SUMIF(Nutzungsprofile!$B$6:$B$11,"Individuell",Nutzungsprofile!$G$6:$G$11)*Kalender!E354/SUM(Kalender!$E$5:$E$370),0))*Szenarien!$E$18,0)</f>
        <v>0</v>
      </c>
      <c r="D2916" s="13" t="n">
        <f aca="false">IF(Szenarien!$H$18="OK",(IFERROR(SUMIF(Nutzungsprofile!$B$17:$B$22,"Schulbetrieb",Nutzungsprofile!$G$17:$G$22)*Kalender!C354/SUM(Kalender!$C$5:$C$370),0)+IFERROR(SUMIF(Nutzungsprofile!$B$17:$B$22,"Halle",Nutzungsprofile!$G$17:$G$22)*Kalender!D354/SUM(Kalender!$D$5:$D$370),0)+IFERROR(SUMIF(Nutzungsprofile!$B$17:$B$22,"Individuell",Nutzungsprofile!$G$17:$G$22)*Kalender!E354/SUM(Kalender!$E$5:$E$370),0))*Szenarien!$D$18,0)</f>
        <v>0</v>
      </c>
      <c r="E2916" s="13" t="n">
        <f aca="false">IFERROR(MIN(C2916,Eingaben!$B$17)*Eingaben!$B$16,0)</f>
        <v>0</v>
      </c>
      <c r="F2916" s="13" t="n">
        <f aca="false">IFERROR(E2916*Eingaben!$B$15,0)</f>
        <v>0</v>
      </c>
      <c r="G2916" s="13" t="n">
        <f aca="false">IFERROR(IF(Kalender!A354="",0,J2915*(1-Eingaben!$B$20)),0)</f>
        <v>0</v>
      </c>
      <c r="H2916" s="13" t="n">
        <f aca="false">MIN(G2916,D2916)</f>
        <v>0</v>
      </c>
      <c r="I2916" s="13" t="n">
        <f aca="false">IFERROR(MIN(F2916*Eingaben!$B$19,MAX(0,D2916-H2916)),0)</f>
        <v>0</v>
      </c>
      <c r="J2916" s="13" t="n">
        <f aca="false">IFERROR(MIN(Eingaben!$B$18,MAX(0,F2916-I2916)),0)</f>
        <v>0</v>
      </c>
      <c r="K2916" s="13" t="n">
        <f aca="false">H2916+I2916</f>
        <v>0</v>
      </c>
      <c r="L2916" s="13" t="n">
        <f aca="false">MAX(0,D2916-K2916)</f>
        <v>0</v>
      </c>
      <c r="M2916" s="13" t="n">
        <f aca="false">MAX(0,F2916-I2916-J2916)</f>
        <v>0</v>
      </c>
      <c r="N2916" s="13" t="n">
        <f aca="false">IF(Kalender!A354="",0,J2915-H2916)</f>
        <v>0</v>
      </c>
    </row>
    <row r="2917" customFormat="false" ht="16.4" hidden="false" customHeight="false" outlineLevel="0" collapsed="false">
      <c r="A2917" s="13" t="str">
        <f aca="false">""</f>
        <v/>
      </c>
      <c r="B2917" s="13" t="n">
        <f aca="false">351</f>
        <v>351</v>
      </c>
      <c r="C2917" s="13" t="n">
        <f aca="false">IF(Szenarien!$H$18="OK",(IFERROR(SUMIF(Nutzungsprofile!$B$6:$B$11,"Schulbetrieb",Nutzungsprofile!$G$6:$G$11)*Kalender!C355/SUM(Kalender!$C$5:$C$370),0)+IFERROR(SUMIF(Nutzungsprofile!$B$6:$B$11,"Halle",Nutzungsprofile!$G$6:$G$11)*Kalender!D355/SUM(Kalender!$D$5:$D$370),0)+IFERROR(SUMIF(Nutzungsprofile!$B$6:$B$11,"Individuell",Nutzungsprofile!$G$6:$G$11)*Kalender!E355/SUM(Kalender!$E$5:$E$370),0))*Szenarien!$E$18,0)</f>
        <v>0</v>
      </c>
      <c r="D2917" s="13" t="n">
        <f aca="false">IF(Szenarien!$H$18="OK",(IFERROR(SUMIF(Nutzungsprofile!$B$17:$B$22,"Schulbetrieb",Nutzungsprofile!$G$17:$G$22)*Kalender!C355/SUM(Kalender!$C$5:$C$370),0)+IFERROR(SUMIF(Nutzungsprofile!$B$17:$B$22,"Halle",Nutzungsprofile!$G$17:$G$22)*Kalender!D355/SUM(Kalender!$D$5:$D$370),0)+IFERROR(SUMIF(Nutzungsprofile!$B$17:$B$22,"Individuell",Nutzungsprofile!$G$17:$G$22)*Kalender!E355/SUM(Kalender!$E$5:$E$370),0))*Szenarien!$D$18,0)</f>
        <v>0</v>
      </c>
      <c r="E2917" s="13" t="n">
        <f aca="false">IFERROR(MIN(C2917,Eingaben!$B$17)*Eingaben!$B$16,0)</f>
        <v>0</v>
      </c>
      <c r="F2917" s="13" t="n">
        <f aca="false">IFERROR(E2917*Eingaben!$B$15,0)</f>
        <v>0</v>
      </c>
      <c r="G2917" s="13" t="n">
        <f aca="false">IFERROR(IF(Kalender!A355="",0,J2916*(1-Eingaben!$B$20)),0)</f>
        <v>0</v>
      </c>
      <c r="H2917" s="13" t="n">
        <f aca="false">MIN(G2917,D2917)</f>
        <v>0</v>
      </c>
      <c r="I2917" s="13" t="n">
        <f aca="false">IFERROR(MIN(F2917*Eingaben!$B$19,MAX(0,D2917-H2917)),0)</f>
        <v>0</v>
      </c>
      <c r="J2917" s="13" t="n">
        <f aca="false">IFERROR(MIN(Eingaben!$B$18,MAX(0,F2917-I2917)),0)</f>
        <v>0</v>
      </c>
      <c r="K2917" s="13" t="n">
        <f aca="false">H2917+I2917</f>
        <v>0</v>
      </c>
      <c r="L2917" s="13" t="n">
        <f aca="false">MAX(0,D2917-K2917)</f>
        <v>0</v>
      </c>
      <c r="M2917" s="13" t="n">
        <f aca="false">MAX(0,F2917-I2917-J2917)</f>
        <v>0</v>
      </c>
      <c r="N2917" s="13" t="n">
        <f aca="false">IF(Kalender!A355="",0,J2916-H2917)</f>
        <v>0</v>
      </c>
    </row>
    <row r="2918" customFormat="false" ht="16.4" hidden="false" customHeight="false" outlineLevel="0" collapsed="false">
      <c r="A2918" s="13" t="str">
        <f aca="false">""</f>
        <v/>
      </c>
      <c r="B2918" s="13" t="n">
        <f aca="false">352</f>
        <v>352</v>
      </c>
      <c r="C2918" s="13" t="n">
        <f aca="false">IF(Szenarien!$H$18="OK",(IFERROR(SUMIF(Nutzungsprofile!$B$6:$B$11,"Schulbetrieb",Nutzungsprofile!$G$6:$G$11)*Kalender!C356/SUM(Kalender!$C$5:$C$370),0)+IFERROR(SUMIF(Nutzungsprofile!$B$6:$B$11,"Halle",Nutzungsprofile!$G$6:$G$11)*Kalender!D356/SUM(Kalender!$D$5:$D$370),0)+IFERROR(SUMIF(Nutzungsprofile!$B$6:$B$11,"Individuell",Nutzungsprofile!$G$6:$G$11)*Kalender!E356/SUM(Kalender!$E$5:$E$370),0))*Szenarien!$E$18,0)</f>
        <v>0</v>
      </c>
      <c r="D2918" s="13" t="n">
        <f aca="false">IF(Szenarien!$H$18="OK",(IFERROR(SUMIF(Nutzungsprofile!$B$17:$B$22,"Schulbetrieb",Nutzungsprofile!$G$17:$G$22)*Kalender!C356/SUM(Kalender!$C$5:$C$370),0)+IFERROR(SUMIF(Nutzungsprofile!$B$17:$B$22,"Halle",Nutzungsprofile!$G$17:$G$22)*Kalender!D356/SUM(Kalender!$D$5:$D$370),0)+IFERROR(SUMIF(Nutzungsprofile!$B$17:$B$22,"Individuell",Nutzungsprofile!$G$17:$G$22)*Kalender!E356/SUM(Kalender!$E$5:$E$370),0))*Szenarien!$D$18,0)</f>
        <v>0</v>
      </c>
      <c r="E2918" s="13" t="n">
        <f aca="false">IFERROR(MIN(C2918,Eingaben!$B$17)*Eingaben!$B$16,0)</f>
        <v>0</v>
      </c>
      <c r="F2918" s="13" t="n">
        <f aca="false">IFERROR(E2918*Eingaben!$B$15,0)</f>
        <v>0</v>
      </c>
      <c r="G2918" s="13" t="n">
        <f aca="false">IFERROR(IF(Kalender!A356="",0,J2917*(1-Eingaben!$B$20)),0)</f>
        <v>0</v>
      </c>
      <c r="H2918" s="13" t="n">
        <f aca="false">MIN(G2918,D2918)</f>
        <v>0</v>
      </c>
      <c r="I2918" s="13" t="n">
        <f aca="false">IFERROR(MIN(F2918*Eingaben!$B$19,MAX(0,D2918-H2918)),0)</f>
        <v>0</v>
      </c>
      <c r="J2918" s="13" t="n">
        <f aca="false">IFERROR(MIN(Eingaben!$B$18,MAX(0,F2918-I2918)),0)</f>
        <v>0</v>
      </c>
      <c r="K2918" s="13" t="n">
        <f aca="false">H2918+I2918</f>
        <v>0</v>
      </c>
      <c r="L2918" s="13" t="n">
        <f aca="false">MAX(0,D2918-K2918)</f>
        <v>0</v>
      </c>
      <c r="M2918" s="13" t="n">
        <f aca="false">MAX(0,F2918-I2918-J2918)</f>
        <v>0</v>
      </c>
      <c r="N2918" s="13" t="n">
        <f aca="false">IF(Kalender!A356="",0,J2917-H2918)</f>
        <v>0</v>
      </c>
    </row>
    <row r="2919" customFormat="false" ht="16.4" hidden="false" customHeight="false" outlineLevel="0" collapsed="false">
      <c r="A2919" s="13" t="str">
        <f aca="false">""</f>
        <v/>
      </c>
      <c r="B2919" s="13" t="n">
        <f aca="false">353</f>
        <v>353</v>
      </c>
      <c r="C2919" s="13" t="n">
        <f aca="false">IF(Szenarien!$H$18="OK",(IFERROR(SUMIF(Nutzungsprofile!$B$6:$B$11,"Schulbetrieb",Nutzungsprofile!$G$6:$G$11)*Kalender!C357/SUM(Kalender!$C$5:$C$370),0)+IFERROR(SUMIF(Nutzungsprofile!$B$6:$B$11,"Halle",Nutzungsprofile!$G$6:$G$11)*Kalender!D357/SUM(Kalender!$D$5:$D$370),0)+IFERROR(SUMIF(Nutzungsprofile!$B$6:$B$11,"Individuell",Nutzungsprofile!$G$6:$G$11)*Kalender!E357/SUM(Kalender!$E$5:$E$370),0))*Szenarien!$E$18,0)</f>
        <v>0</v>
      </c>
      <c r="D2919" s="13" t="n">
        <f aca="false">IF(Szenarien!$H$18="OK",(IFERROR(SUMIF(Nutzungsprofile!$B$17:$B$22,"Schulbetrieb",Nutzungsprofile!$G$17:$G$22)*Kalender!C357/SUM(Kalender!$C$5:$C$370),0)+IFERROR(SUMIF(Nutzungsprofile!$B$17:$B$22,"Halle",Nutzungsprofile!$G$17:$G$22)*Kalender!D357/SUM(Kalender!$D$5:$D$370),0)+IFERROR(SUMIF(Nutzungsprofile!$B$17:$B$22,"Individuell",Nutzungsprofile!$G$17:$G$22)*Kalender!E357/SUM(Kalender!$E$5:$E$370),0))*Szenarien!$D$18,0)</f>
        <v>0</v>
      </c>
      <c r="E2919" s="13" t="n">
        <f aca="false">IFERROR(MIN(C2919,Eingaben!$B$17)*Eingaben!$B$16,0)</f>
        <v>0</v>
      </c>
      <c r="F2919" s="13" t="n">
        <f aca="false">IFERROR(E2919*Eingaben!$B$15,0)</f>
        <v>0</v>
      </c>
      <c r="G2919" s="13" t="n">
        <f aca="false">IFERROR(IF(Kalender!A357="",0,J2918*(1-Eingaben!$B$20)),0)</f>
        <v>0</v>
      </c>
      <c r="H2919" s="13" t="n">
        <f aca="false">MIN(G2919,D2919)</f>
        <v>0</v>
      </c>
      <c r="I2919" s="13" t="n">
        <f aca="false">IFERROR(MIN(F2919*Eingaben!$B$19,MAX(0,D2919-H2919)),0)</f>
        <v>0</v>
      </c>
      <c r="J2919" s="13" t="n">
        <f aca="false">IFERROR(MIN(Eingaben!$B$18,MAX(0,F2919-I2919)),0)</f>
        <v>0</v>
      </c>
      <c r="K2919" s="13" t="n">
        <f aca="false">H2919+I2919</f>
        <v>0</v>
      </c>
      <c r="L2919" s="13" t="n">
        <f aca="false">MAX(0,D2919-K2919)</f>
        <v>0</v>
      </c>
      <c r="M2919" s="13" t="n">
        <f aca="false">MAX(0,F2919-I2919-J2919)</f>
        <v>0</v>
      </c>
      <c r="N2919" s="13" t="n">
        <f aca="false">IF(Kalender!A357="",0,J2918-H2919)</f>
        <v>0</v>
      </c>
    </row>
    <row r="2920" customFormat="false" ht="16.4" hidden="false" customHeight="false" outlineLevel="0" collapsed="false">
      <c r="A2920" s="13" t="str">
        <f aca="false">""</f>
        <v/>
      </c>
      <c r="B2920" s="13" t="n">
        <f aca="false">354</f>
        <v>354</v>
      </c>
      <c r="C2920" s="13" t="n">
        <f aca="false">IF(Szenarien!$H$18="OK",(IFERROR(SUMIF(Nutzungsprofile!$B$6:$B$11,"Schulbetrieb",Nutzungsprofile!$G$6:$G$11)*Kalender!C358/SUM(Kalender!$C$5:$C$370),0)+IFERROR(SUMIF(Nutzungsprofile!$B$6:$B$11,"Halle",Nutzungsprofile!$G$6:$G$11)*Kalender!D358/SUM(Kalender!$D$5:$D$370),0)+IFERROR(SUMIF(Nutzungsprofile!$B$6:$B$11,"Individuell",Nutzungsprofile!$G$6:$G$11)*Kalender!E358/SUM(Kalender!$E$5:$E$370),0))*Szenarien!$E$18,0)</f>
        <v>0</v>
      </c>
      <c r="D2920" s="13" t="n">
        <f aca="false">IF(Szenarien!$H$18="OK",(IFERROR(SUMIF(Nutzungsprofile!$B$17:$B$22,"Schulbetrieb",Nutzungsprofile!$G$17:$G$22)*Kalender!C358/SUM(Kalender!$C$5:$C$370),0)+IFERROR(SUMIF(Nutzungsprofile!$B$17:$B$22,"Halle",Nutzungsprofile!$G$17:$G$22)*Kalender!D358/SUM(Kalender!$D$5:$D$370),0)+IFERROR(SUMIF(Nutzungsprofile!$B$17:$B$22,"Individuell",Nutzungsprofile!$G$17:$G$22)*Kalender!E358/SUM(Kalender!$E$5:$E$370),0))*Szenarien!$D$18,0)</f>
        <v>0</v>
      </c>
      <c r="E2920" s="13" t="n">
        <f aca="false">IFERROR(MIN(C2920,Eingaben!$B$17)*Eingaben!$B$16,0)</f>
        <v>0</v>
      </c>
      <c r="F2920" s="13" t="n">
        <f aca="false">IFERROR(E2920*Eingaben!$B$15,0)</f>
        <v>0</v>
      </c>
      <c r="G2920" s="13" t="n">
        <f aca="false">IFERROR(IF(Kalender!A358="",0,J2919*(1-Eingaben!$B$20)),0)</f>
        <v>0</v>
      </c>
      <c r="H2920" s="13" t="n">
        <f aca="false">MIN(G2920,D2920)</f>
        <v>0</v>
      </c>
      <c r="I2920" s="13" t="n">
        <f aca="false">IFERROR(MIN(F2920*Eingaben!$B$19,MAX(0,D2920-H2920)),0)</f>
        <v>0</v>
      </c>
      <c r="J2920" s="13" t="n">
        <f aca="false">IFERROR(MIN(Eingaben!$B$18,MAX(0,F2920-I2920)),0)</f>
        <v>0</v>
      </c>
      <c r="K2920" s="13" t="n">
        <f aca="false">H2920+I2920</f>
        <v>0</v>
      </c>
      <c r="L2920" s="13" t="n">
        <f aca="false">MAX(0,D2920-K2920)</f>
        <v>0</v>
      </c>
      <c r="M2920" s="13" t="n">
        <f aca="false">MAX(0,F2920-I2920-J2920)</f>
        <v>0</v>
      </c>
      <c r="N2920" s="13" t="n">
        <f aca="false">IF(Kalender!A358="",0,J2919-H2920)</f>
        <v>0</v>
      </c>
    </row>
    <row r="2921" customFormat="false" ht="16.4" hidden="false" customHeight="false" outlineLevel="0" collapsed="false">
      <c r="A2921" s="13" t="str">
        <f aca="false">""</f>
        <v/>
      </c>
      <c r="B2921" s="13" t="n">
        <f aca="false">355</f>
        <v>355</v>
      </c>
      <c r="C2921" s="13" t="n">
        <f aca="false">IF(Szenarien!$H$18="OK",(IFERROR(SUMIF(Nutzungsprofile!$B$6:$B$11,"Schulbetrieb",Nutzungsprofile!$G$6:$G$11)*Kalender!C359/SUM(Kalender!$C$5:$C$370),0)+IFERROR(SUMIF(Nutzungsprofile!$B$6:$B$11,"Halle",Nutzungsprofile!$G$6:$G$11)*Kalender!D359/SUM(Kalender!$D$5:$D$370),0)+IFERROR(SUMIF(Nutzungsprofile!$B$6:$B$11,"Individuell",Nutzungsprofile!$G$6:$G$11)*Kalender!E359/SUM(Kalender!$E$5:$E$370),0))*Szenarien!$E$18,0)</f>
        <v>0</v>
      </c>
      <c r="D2921" s="13" t="n">
        <f aca="false">IF(Szenarien!$H$18="OK",(IFERROR(SUMIF(Nutzungsprofile!$B$17:$B$22,"Schulbetrieb",Nutzungsprofile!$G$17:$G$22)*Kalender!C359/SUM(Kalender!$C$5:$C$370),0)+IFERROR(SUMIF(Nutzungsprofile!$B$17:$B$22,"Halle",Nutzungsprofile!$G$17:$G$22)*Kalender!D359/SUM(Kalender!$D$5:$D$370),0)+IFERROR(SUMIF(Nutzungsprofile!$B$17:$B$22,"Individuell",Nutzungsprofile!$G$17:$G$22)*Kalender!E359/SUM(Kalender!$E$5:$E$370),0))*Szenarien!$D$18,0)</f>
        <v>0</v>
      </c>
      <c r="E2921" s="13" t="n">
        <f aca="false">IFERROR(MIN(C2921,Eingaben!$B$17)*Eingaben!$B$16,0)</f>
        <v>0</v>
      </c>
      <c r="F2921" s="13" t="n">
        <f aca="false">IFERROR(E2921*Eingaben!$B$15,0)</f>
        <v>0</v>
      </c>
      <c r="G2921" s="13" t="n">
        <f aca="false">IFERROR(IF(Kalender!A359="",0,J2920*(1-Eingaben!$B$20)),0)</f>
        <v>0</v>
      </c>
      <c r="H2921" s="13" t="n">
        <f aca="false">MIN(G2921,D2921)</f>
        <v>0</v>
      </c>
      <c r="I2921" s="13" t="n">
        <f aca="false">IFERROR(MIN(F2921*Eingaben!$B$19,MAX(0,D2921-H2921)),0)</f>
        <v>0</v>
      </c>
      <c r="J2921" s="13" t="n">
        <f aca="false">IFERROR(MIN(Eingaben!$B$18,MAX(0,F2921-I2921)),0)</f>
        <v>0</v>
      </c>
      <c r="K2921" s="13" t="n">
        <f aca="false">H2921+I2921</f>
        <v>0</v>
      </c>
      <c r="L2921" s="13" t="n">
        <f aca="false">MAX(0,D2921-K2921)</f>
        <v>0</v>
      </c>
      <c r="M2921" s="13" t="n">
        <f aca="false">MAX(0,F2921-I2921-J2921)</f>
        <v>0</v>
      </c>
      <c r="N2921" s="13" t="n">
        <f aca="false">IF(Kalender!A359="",0,J2920-H2921)</f>
        <v>0</v>
      </c>
    </row>
    <row r="2922" customFormat="false" ht="16.4" hidden="false" customHeight="false" outlineLevel="0" collapsed="false">
      <c r="A2922" s="13" t="str">
        <f aca="false">""</f>
        <v/>
      </c>
      <c r="B2922" s="13" t="n">
        <f aca="false">356</f>
        <v>356</v>
      </c>
      <c r="C2922" s="13" t="n">
        <f aca="false">IF(Szenarien!$H$18="OK",(IFERROR(SUMIF(Nutzungsprofile!$B$6:$B$11,"Schulbetrieb",Nutzungsprofile!$G$6:$G$11)*Kalender!C360/SUM(Kalender!$C$5:$C$370),0)+IFERROR(SUMIF(Nutzungsprofile!$B$6:$B$11,"Halle",Nutzungsprofile!$G$6:$G$11)*Kalender!D360/SUM(Kalender!$D$5:$D$370),0)+IFERROR(SUMIF(Nutzungsprofile!$B$6:$B$11,"Individuell",Nutzungsprofile!$G$6:$G$11)*Kalender!E360/SUM(Kalender!$E$5:$E$370),0))*Szenarien!$E$18,0)</f>
        <v>0</v>
      </c>
      <c r="D2922" s="13" t="n">
        <f aca="false">IF(Szenarien!$H$18="OK",(IFERROR(SUMIF(Nutzungsprofile!$B$17:$B$22,"Schulbetrieb",Nutzungsprofile!$G$17:$G$22)*Kalender!C360/SUM(Kalender!$C$5:$C$370),0)+IFERROR(SUMIF(Nutzungsprofile!$B$17:$B$22,"Halle",Nutzungsprofile!$G$17:$G$22)*Kalender!D360/SUM(Kalender!$D$5:$D$370),0)+IFERROR(SUMIF(Nutzungsprofile!$B$17:$B$22,"Individuell",Nutzungsprofile!$G$17:$G$22)*Kalender!E360/SUM(Kalender!$E$5:$E$370),0))*Szenarien!$D$18,0)</f>
        <v>0</v>
      </c>
      <c r="E2922" s="13" t="n">
        <f aca="false">IFERROR(MIN(C2922,Eingaben!$B$17)*Eingaben!$B$16,0)</f>
        <v>0</v>
      </c>
      <c r="F2922" s="13" t="n">
        <f aca="false">IFERROR(E2922*Eingaben!$B$15,0)</f>
        <v>0</v>
      </c>
      <c r="G2922" s="13" t="n">
        <f aca="false">IFERROR(IF(Kalender!A360="",0,J2921*(1-Eingaben!$B$20)),0)</f>
        <v>0</v>
      </c>
      <c r="H2922" s="13" t="n">
        <f aca="false">MIN(G2922,D2922)</f>
        <v>0</v>
      </c>
      <c r="I2922" s="13" t="n">
        <f aca="false">IFERROR(MIN(F2922*Eingaben!$B$19,MAX(0,D2922-H2922)),0)</f>
        <v>0</v>
      </c>
      <c r="J2922" s="13" t="n">
        <f aca="false">IFERROR(MIN(Eingaben!$B$18,MAX(0,F2922-I2922)),0)</f>
        <v>0</v>
      </c>
      <c r="K2922" s="13" t="n">
        <f aca="false">H2922+I2922</f>
        <v>0</v>
      </c>
      <c r="L2922" s="13" t="n">
        <f aca="false">MAX(0,D2922-K2922)</f>
        <v>0</v>
      </c>
      <c r="M2922" s="13" t="n">
        <f aca="false">MAX(0,F2922-I2922-J2922)</f>
        <v>0</v>
      </c>
      <c r="N2922" s="13" t="n">
        <f aca="false">IF(Kalender!A360="",0,J2921-H2922)</f>
        <v>0</v>
      </c>
    </row>
    <row r="2923" customFormat="false" ht="16.4" hidden="false" customHeight="false" outlineLevel="0" collapsed="false">
      <c r="A2923" s="13" t="str">
        <f aca="false">""</f>
        <v/>
      </c>
      <c r="B2923" s="13" t="n">
        <f aca="false">357</f>
        <v>357</v>
      </c>
      <c r="C2923" s="13" t="n">
        <f aca="false">IF(Szenarien!$H$18="OK",(IFERROR(SUMIF(Nutzungsprofile!$B$6:$B$11,"Schulbetrieb",Nutzungsprofile!$G$6:$G$11)*Kalender!C361/SUM(Kalender!$C$5:$C$370),0)+IFERROR(SUMIF(Nutzungsprofile!$B$6:$B$11,"Halle",Nutzungsprofile!$G$6:$G$11)*Kalender!D361/SUM(Kalender!$D$5:$D$370),0)+IFERROR(SUMIF(Nutzungsprofile!$B$6:$B$11,"Individuell",Nutzungsprofile!$G$6:$G$11)*Kalender!E361/SUM(Kalender!$E$5:$E$370),0))*Szenarien!$E$18,0)</f>
        <v>0</v>
      </c>
      <c r="D2923" s="13" t="n">
        <f aca="false">IF(Szenarien!$H$18="OK",(IFERROR(SUMIF(Nutzungsprofile!$B$17:$B$22,"Schulbetrieb",Nutzungsprofile!$G$17:$G$22)*Kalender!C361/SUM(Kalender!$C$5:$C$370),0)+IFERROR(SUMIF(Nutzungsprofile!$B$17:$B$22,"Halle",Nutzungsprofile!$G$17:$G$22)*Kalender!D361/SUM(Kalender!$D$5:$D$370),0)+IFERROR(SUMIF(Nutzungsprofile!$B$17:$B$22,"Individuell",Nutzungsprofile!$G$17:$G$22)*Kalender!E361/SUM(Kalender!$E$5:$E$370),0))*Szenarien!$D$18,0)</f>
        <v>0</v>
      </c>
      <c r="E2923" s="13" t="n">
        <f aca="false">IFERROR(MIN(C2923,Eingaben!$B$17)*Eingaben!$B$16,0)</f>
        <v>0</v>
      </c>
      <c r="F2923" s="13" t="n">
        <f aca="false">IFERROR(E2923*Eingaben!$B$15,0)</f>
        <v>0</v>
      </c>
      <c r="G2923" s="13" t="n">
        <f aca="false">IFERROR(IF(Kalender!A361="",0,J2922*(1-Eingaben!$B$20)),0)</f>
        <v>0</v>
      </c>
      <c r="H2923" s="13" t="n">
        <f aca="false">MIN(G2923,D2923)</f>
        <v>0</v>
      </c>
      <c r="I2923" s="13" t="n">
        <f aca="false">IFERROR(MIN(F2923*Eingaben!$B$19,MAX(0,D2923-H2923)),0)</f>
        <v>0</v>
      </c>
      <c r="J2923" s="13" t="n">
        <f aca="false">IFERROR(MIN(Eingaben!$B$18,MAX(0,F2923-I2923)),0)</f>
        <v>0</v>
      </c>
      <c r="K2923" s="13" t="n">
        <f aca="false">H2923+I2923</f>
        <v>0</v>
      </c>
      <c r="L2923" s="13" t="n">
        <f aca="false">MAX(0,D2923-K2923)</f>
        <v>0</v>
      </c>
      <c r="M2923" s="13" t="n">
        <f aca="false">MAX(0,F2923-I2923-J2923)</f>
        <v>0</v>
      </c>
      <c r="N2923" s="13" t="n">
        <f aca="false">IF(Kalender!A361="",0,J2922-H2923)</f>
        <v>0</v>
      </c>
    </row>
    <row r="2924" customFormat="false" ht="16.4" hidden="false" customHeight="false" outlineLevel="0" collapsed="false">
      <c r="A2924" s="13" t="str">
        <f aca="false">""</f>
        <v/>
      </c>
      <c r="B2924" s="13" t="n">
        <f aca="false">358</f>
        <v>358</v>
      </c>
      <c r="C2924" s="13" t="n">
        <f aca="false">IF(Szenarien!$H$18="OK",(IFERROR(SUMIF(Nutzungsprofile!$B$6:$B$11,"Schulbetrieb",Nutzungsprofile!$G$6:$G$11)*Kalender!C362/SUM(Kalender!$C$5:$C$370),0)+IFERROR(SUMIF(Nutzungsprofile!$B$6:$B$11,"Halle",Nutzungsprofile!$G$6:$G$11)*Kalender!D362/SUM(Kalender!$D$5:$D$370),0)+IFERROR(SUMIF(Nutzungsprofile!$B$6:$B$11,"Individuell",Nutzungsprofile!$G$6:$G$11)*Kalender!E362/SUM(Kalender!$E$5:$E$370),0))*Szenarien!$E$18,0)</f>
        <v>0</v>
      </c>
      <c r="D2924" s="13" t="n">
        <f aca="false">IF(Szenarien!$H$18="OK",(IFERROR(SUMIF(Nutzungsprofile!$B$17:$B$22,"Schulbetrieb",Nutzungsprofile!$G$17:$G$22)*Kalender!C362/SUM(Kalender!$C$5:$C$370),0)+IFERROR(SUMIF(Nutzungsprofile!$B$17:$B$22,"Halle",Nutzungsprofile!$G$17:$G$22)*Kalender!D362/SUM(Kalender!$D$5:$D$370),0)+IFERROR(SUMIF(Nutzungsprofile!$B$17:$B$22,"Individuell",Nutzungsprofile!$G$17:$G$22)*Kalender!E362/SUM(Kalender!$E$5:$E$370),0))*Szenarien!$D$18,0)</f>
        <v>0</v>
      </c>
      <c r="E2924" s="13" t="n">
        <f aca="false">IFERROR(MIN(C2924,Eingaben!$B$17)*Eingaben!$B$16,0)</f>
        <v>0</v>
      </c>
      <c r="F2924" s="13" t="n">
        <f aca="false">IFERROR(E2924*Eingaben!$B$15,0)</f>
        <v>0</v>
      </c>
      <c r="G2924" s="13" t="n">
        <f aca="false">IFERROR(IF(Kalender!A362="",0,J2923*(1-Eingaben!$B$20)),0)</f>
        <v>0</v>
      </c>
      <c r="H2924" s="13" t="n">
        <f aca="false">MIN(G2924,D2924)</f>
        <v>0</v>
      </c>
      <c r="I2924" s="13" t="n">
        <f aca="false">IFERROR(MIN(F2924*Eingaben!$B$19,MAX(0,D2924-H2924)),0)</f>
        <v>0</v>
      </c>
      <c r="J2924" s="13" t="n">
        <f aca="false">IFERROR(MIN(Eingaben!$B$18,MAX(0,F2924-I2924)),0)</f>
        <v>0</v>
      </c>
      <c r="K2924" s="13" t="n">
        <f aca="false">H2924+I2924</f>
        <v>0</v>
      </c>
      <c r="L2924" s="13" t="n">
        <f aca="false">MAX(0,D2924-K2924)</f>
        <v>0</v>
      </c>
      <c r="M2924" s="13" t="n">
        <f aca="false">MAX(0,F2924-I2924-J2924)</f>
        <v>0</v>
      </c>
      <c r="N2924" s="13" t="n">
        <f aca="false">IF(Kalender!A362="",0,J2923-H2924)</f>
        <v>0</v>
      </c>
    </row>
    <row r="2925" customFormat="false" ht="16.4" hidden="false" customHeight="false" outlineLevel="0" collapsed="false">
      <c r="A2925" s="13" t="str">
        <f aca="false">""</f>
        <v/>
      </c>
      <c r="B2925" s="13" t="n">
        <f aca="false">359</f>
        <v>359</v>
      </c>
      <c r="C2925" s="13" t="n">
        <f aca="false">IF(Szenarien!$H$18="OK",(IFERROR(SUMIF(Nutzungsprofile!$B$6:$B$11,"Schulbetrieb",Nutzungsprofile!$G$6:$G$11)*Kalender!C363/SUM(Kalender!$C$5:$C$370),0)+IFERROR(SUMIF(Nutzungsprofile!$B$6:$B$11,"Halle",Nutzungsprofile!$G$6:$G$11)*Kalender!D363/SUM(Kalender!$D$5:$D$370),0)+IFERROR(SUMIF(Nutzungsprofile!$B$6:$B$11,"Individuell",Nutzungsprofile!$G$6:$G$11)*Kalender!E363/SUM(Kalender!$E$5:$E$370),0))*Szenarien!$E$18,0)</f>
        <v>0</v>
      </c>
      <c r="D2925" s="13" t="n">
        <f aca="false">IF(Szenarien!$H$18="OK",(IFERROR(SUMIF(Nutzungsprofile!$B$17:$B$22,"Schulbetrieb",Nutzungsprofile!$G$17:$G$22)*Kalender!C363/SUM(Kalender!$C$5:$C$370),0)+IFERROR(SUMIF(Nutzungsprofile!$B$17:$B$22,"Halle",Nutzungsprofile!$G$17:$G$22)*Kalender!D363/SUM(Kalender!$D$5:$D$370),0)+IFERROR(SUMIF(Nutzungsprofile!$B$17:$B$22,"Individuell",Nutzungsprofile!$G$17:$G$22)*Kalender!E363/SUM(Kalender!$E$5:$E$370),0))*Szenarien!$D$18,0)</f>
        <v>0</v>
      </c>
      <c r="E2925" s="13" t="n">
        <f aca="false">IFERROR(MIN(C2925,Eingaben!$B$17)*Eingaben!$B$16,0)</f>
        <v>0</v>
      </c>
      <c r="F2925" s="13" t="n">
        <f aca="false">IFERROR(E2925*Eingaben!$B$15,0)</f>
        <v>0</v>
      </c>
      <c r="G2925" s="13" t="n">
        <f aca="false">IFERROR(IF(Kalender!A363="",0,J2924*(1-Eingaben!$B$20)),0)</f>
        <v>0</v>
      </c>
      <c r="H2925" s="13" t="n">
        <f aca="false">MIN(G2925,D2925)</f>
        <v>0</v>
      </c>
      <c r="I2925" s="13" t="n">
        <f aca="false">IFERROR(MIN(F2925*Eingaben!$B$19,MAX(0,D2925-H2925)),0)</f>
        <v>0</v>
      </c>
      <c r="J2925" s="13" t="n">
        <f aca="false">IFERROR(MIN(Eingaben!$B$18,MAX(0,F2925-I2925)),0)</f>
        <v>0</v>
      </c>
      <c r="K2925" s="13" t="n">
        <f aca="false">H2925+I2925</f>
        <v>0</v>
      </c>
      <c r="L2925" s="13" t="n">
        <f aca="false">MAX(0,D2925-K2925)</f>
        <v>0</v>
      </c>
      <c r="M2925" s="13" t="n">
        <f aca="false">MAX(0,F2925-I2925-J2925)</f>
        <v>0</v>
      </c>
      <c r="N2925" s="13" t="n">
        <f aca="false">IF(Kalender!A363="",0,J2924-H2925)</f>
        <v>0</v>
      </c>
    </row>
    <row r="2926" customFormat="false" ht="16.4" hidden="false" customHeight="false" outlineLevel="0" collapsed="false">
      <c r="A2926" s="13" t="str">
        <f aca="false">""</f>
        <v/>
      </c>
      <c r="B2926" s="13" t="n">
        <f aca="false">360</f>
        <v>360</v>
      </c>
      <c r="C2926" s="13" t="n">
        <f aca="false">IF(Szenarien!$H$18="OK",(IFERROR(SUMIF(Nutzungsprofile!$B$6:$B$11,"Schulbetrieb",Nutzungsprofile!$G$6:$G$11)*Kalender!C364/SUM(Kalender!$C$5:$C$370),0)+IFERROR(SUMIF(Nutzungsprofile!$B$6:$B$11,"Halle",Nutzungsprofile!$G$6:$G$11)*Kalender!D364/SUM(Kalender!$D$5:$D$370),0)+IFERROR(SUMIF(Nutzungsprofile!$B$6:$B$11,"Individuell",Nutzungsprofile!$G$6:$G$11)*Kalender!E364/SUM(Kalender!$E$5:$E$370),0))*Szenarien!$E$18,0)</f>
        <v>0</v>
      </c>
      <c r="D2926" s="13" t="n">
        <f aca="false">IF(Szenarien!$H$18="OK",(IFERROR(SUMIF(Nutzungsprofile!$B$17:$B$22,"Schulbetrieb",Nutzungsprofile!$G$17:$G$22)*Kalender!C364/SUM(Kalender!$C$5:$C$370),0)+IFERROR(SUMIF(Nutzungsprofile!$B$17:$B$22,"Halle",Nutzungsprofile!$G$17:$G$22)*Kalender!D364/SUM(Kalender!$D$5:$D$370),0)+IFERROR(SUMIF(Nutzungsprofile!$B$17:$B$22,"Individuell",Nutzungsprofile!$G$17:$G$22)*Kalender!E364/SUM(Kalender!$E$5:$E$370),0))*Szenarien!$D$18,0)</f>
        <v>0</v>
      </c>
      <c r="E2926" s="13" t="n">
        <f aca="false">IFERROR(MIN(C2926,Eingaben!$B$17)*Eingaben!$B$16,0)</f>
        <v>0</v>
      </c>
      <c r="F2926" s="13" t="n">
        <f aca="false">IFERROR(E2926*Eingaben!$B$15,0)</f>
        <v>0</v>
      </c>
      <c r="G2926" s="13" t="n">
        <f aca="false">IFERROR(IF(Kalender!A364="",0,J2925*(1-Eingaben!$B$20)),0)</f>
        <v>0</v>
      </c>
      <c r="H2926" s="13" t="n">
        <f aca="false">MIN(G2926,D2926)</f>
        <v>0</v>
      </c>
      <c r="I2926" s="13" t="n">
        <f aca="false">IFERROR(MIN(F2926*Eingaben!$B$19,MAX(0,D2926-H2926)),0)</f>
        <v>0</v>
      </c>
      <c r="J2926" s="13" t="n">
        <f aca="false">IFERROR(MIN(Eingaben!$B$18,MAX(0,F2926-I2926)),0)</f>
        <v>0</v>
      </c>
      <c r="K2926" s="13" t="n">
        <f aca="false">H2926+I2926</f>
        <v>0</v>
      </c>
      <c r="L2926" s="13" t="n">
        <f aca="false">MAX(0,D2926-K2926)</f>
        <v>0</v>
      </c>
      <c r="M2926" s="13" t="n">
        <f aca="false">MAX(0,F2926-I2926-J2926)</f>
        <v>0</v>
      </c>
      <c r="N2926" s="13" t="n">
        <f aca="false">IF(Kalender!A364="",0,J2925-H2926)</f>
        <v>0</v>
      </c>
    </row>
    <row r="2927" customFormat="false" ht="16.4" hidden="false" customHeight="false" outlineLevel="0" collapsed="false">
      <c r="A2927" s="13" t="str">
        <f aca="false">""</f>
        <v/>
      </c>
      <c r="B2927" s="13" t="n">
        <f aca="false">361</f>
        <v>361</v>
      </c>
      <c r="C2927" s="13" t="n">
        <f aca="false">IF(Szenarien!$H$18="OK",(IFERROR(SUMIF(Nutzungsprofile!$B$6:$B$11,"Schulbetrieb",Nutzungsprofile!$G$6:$G$11)*Kalender!C365/SUM(Kalender!$C$5:$C$370),0)+IFERROR(SUMIF(Nutzungsprofile!$B$6:$B$11,"Halle",Nutzungsprofile!$G$6:$G$11)*Kalender!D365/SUM(Kalender!$D$5:$D$370),0)+IFERROR(SUMIF(Nutzungsprofile!$B$6:$B$11,"Individuell",Nutzungsprofile!$G$6:$G$11)*Kalender!E365/SUM(Kalender!$E$5:$E$370),0))*Szenarien!$E$18,0)</f>
        <v>0</v>
      </c>
      <c r="D2927" s="13" t="n">
        <f aca="false">IF(Szenarien!$H$18="OK",(IFERROR(SUMIF(Nutzungsprofile!$B$17:$B$22,"Schulbetrieb",Nutzungsprofile!$G$17:$G$22)*Kalender!C365/SUM(Kalender!$C$5:$C$370),0)+IFERROR(SUMIF(Nutzungsprofile!$B$17:$B$22,"Halle",Nutzungsprofile!$G$17:$G$22)*Kalender!D365/SUM(Kalender!$D$5:$D$370),0)+IFERROR(SUMIF(Nutzungsprofile!$B$17:$B$22,"Individuell",Nutzungsprofile!$G$17:$G$22)*Kalender!E365/SUM(Kalender!$E$5:$E$370),0))*Szenarien!$D$18,0)</f>
        <v>0</v>
      </c>
      <c r="E2927" s="13" t="n">
        <f aca="false">IFERROR(MIN(C2927,Eingaben!$B$17)*Eingaben!$B$16,0)</f>
        <v>0</v>
      </c>
      <c r="F2927" s="13" t="n">
        <f aca="false">IFERROR(E2927*Eingaben!$B$15,0)</f>
        <v>0</v>
      </c>
      <c r="G2927" s="13" t="n">
        <f aca="false">IFERROR(IF(Kalender!A365="",0,J2926*(1-Eingaben!$B$20)),0)</f>
        <v>0</v>
      </c>
      <c r="H2927" s="13" t="n">
        <f aca="false">MIN(G2927,D2927)</f>
        <v>0</v>
      </c>
      <c r="I2927" s="13" t="n">
        <f aca="false">IFERROR(MIN(F2927*Eingaben!$B$19,MAX(0,D2927-H2927)),0)</f>
        <v>0</v>
      </c>
      <c r="J2927" s="13" t="n">
        <f aca="false">IFERROR(MIN(Eingaben!$B$18,MAX(0,F2927-I2927)),0)</f>
        <v>0</v>
      </c>
      <c r="K2927" s="13" t="n">
        <f aca="false">H2927+I2927</f>
        <v>0</v>
      </c>
      <c r="L2927" s="13" t="n">
        <f aca="false">MAX(0,D2927-K2927)</f>
        <v>0</v>
      </c>
      <c r="M2927" s="13" t="n">
        <f aca="false">MAX(0,F2927-I2927-J2927)</f>
        <v>0</v>
      </c>
      <c r="N2927" s="13" t="n">
        <f aca="false">IF(Kalender!A365="",0,J2926-H2927)</f>
        <v>0</v>
      </c>
    </row>
    <row r="2928" customFormat="false" ht="16.4" hidden="false" customHeight="false" outlineLevel="0" collapsed="false">
      <c r="A2928" s="13" t="str">
        <f aca="false">""</f>
        <v/>
      </c>
      <c r="B2928" s="13" t="n">
        <f aca="false">362</f>
        <v>362</v>
      </c>
      <c r="C2928" s="13" t="n">
        <f aca="false">IF(Szenarien!$H$18="OK",(IFERROR(SUMIF(Nutzungsprofile!$B$6:$B$11,"Schulbetrieb",Nutzungsprofile!$G$6:$G$11)*Kalender!C366/SUM(Kalender!$C$5:$C$370),0)+IFERROR(SUMIF(Nutzungsprofile!$B$6:$B$11,"Halle",Nutzungsprofile!$G$6:$G$11)*Kalender!D366/SUM(Kalender!$D$5:$D$370),0)+IFERROR(SUMIF(Nutzungsprofile!$B$6:$B$11,"Individuell",Nutzungsprofile!$G$6:$G$11)*Kalender!E366/SUM(Kalender!$E$5:$E$370),0))*Szenarien!$E$18,0)</f>
        <v>0</v>
      </c>
      <c r="D2928" s="13" t="n">
        <f aca="false">IF(Szenarien!$H$18="OK",(IFERROR(SUMIF(Nutzungsprofile!$B$17:$B$22,"Schulbetrieb",Nutzungsprofile!$G$17:$G$22)*Kalender!C366/SUM(Kalender!$C$5:$C$370),0)+IFERROR(SUMIF(Nutzungsprofile!$B$17:$B$22,"Halle",Nutzungsprofile!$G$17:$G$22)*Kalender!D366/SUM(Kalender!$D$5:$D$370),0)+IFERROR(SUMIF(Nutzungsprofile!$B$17:$B$22,"Individuell",Nutzungsprofile!$G$17:$G$22)*Kalender!E366/SUM(Kalender!$E$5:$E$370),0))*Szenarien!$D$18,0)</f>
        <v>0</v>
      </c>
      <c r="E2928" s="13" t="n">
        <f aca="false">IFERROR(MIN(C2928,Eingaben!$B$17)*Eingaben!$B$16,0)</f>
        <v>0</v>
      </c>
      <c r="F2928" s="13" t="n">
        <f aca="false">IFERROR(E2928*Eingaben!$B$15,0)</f>
        <v>0</v>
      </c>
      <c r="G2928" s="13" t="n">
        <f aca="false">IFERROR(IF(Kalender!A366="",0,J2927*(1-Eingaben!$B$20)),0)</f>
        <v>0</v>
      </c>
      <c r="H2928" s="13" t="n">
        <f aca="false">MIN(G2928,D2928)</f>
        <v>0</v>
      </c>
      <c r="I2928" s="13" t="n">
        <f aca="false">IFERROR(MIN(F2928*Eingaben!$B$19,MAX(0,D2928-H2928)),0)</f>
        <v>0</v>
      </c>
      <c r="J2928" s="13" t="n">
        <f aca="false">IFERROR(MIN(Eingaben!$B$18,MAX(0,F2928-I2928)),0)</f>
        <v>0</v>
      </c>
      <c r="K2928" s="13" t="n">
        <f aca="false">H2928+I2928</f>
        <v>0</v>
      </c>
      <c r="L2928" s="13" t="n">
        <f aca="false">MAX(0,D2928-K2928)</f>
        <v>0</v>
      </c>
      <c r="M2928" s="13" t="n">
        <f aca="false">MAX(0,F2928-I2928-J2928)</f>
        <v>0</v>
      </c>
      <c r="N2928" s="13" t="n">
        <f aca="false">IF(Kalender!A366="",0,J2927-H2928)</f>
        <v>0</v>
      </c>
    </row>
    <row r="2929" customFormat="false" ht="16.4" hidden="false" customHeight="false" outlineLevel="0" collapsed="false">
      <c r="A2929" s="13" t="str">
        <f aca="false">""</f>
        <v/>
      </c>
      <c r="B2929" s="13" t="n">
        <f aca="false">363</f>
        <v>363</v>
      </c>
      <c r="C2929" s="13" t="n">
        <f aca="false">IF(Szenarien!$H$18="OK",(IFERROR(SUMIF(Nutzungsprofile!$B$6:$B$11,"Schulbetrieb",Nutzungsprofile!$G$6:$G$11)*Kalender!C367/SUM(Kalender!$C$5:$C$370),0)+IFERROR(SUMIF(Nutzungsprofile!$B$6:$B$11,"Halle",Nutzungsprofile!$G$6:$G$11)*Kalender!D367/SUM(Kalender!$D$5:$D$370),0)+IFERROR(SUMIF(Nutzungsprofile!$B$6:$B$11,"Individuell",Nutzungsprofile!$G$6:$G$11)*Kalender!E367/SUM(Kalender!$E$5:$E$370),0))*Szenarien!$E$18,0)</f>
        <v>0</v>
      </c>
      <c r="D2929" s="13" t="n">
        <f aca="false">IF(Szenarien!$H$18="OK",(IFERROR(SUMIF(Nutzungsprofile!$B$17:$B$22,"Schulbetrieb",Nutzungsprofile!$G$17:$G$22)*Kalender!C367/SUM(Kalender!$C$5:$C$370),0)+IFERROR(SUMIF(Nutzungsprofile!$B$17:$B$22,"Halle",Nutzungsprofile!$G$17:$G$22)*Kalender!D367/SUM(Kalender!$D$5:$D$370),0)+IFERROR(SUMIF(Nutzungsprofile!$B$17:$B$22,"Individuell",Nutzungsprofile!$G$17:$G$22)*Kalender!E367/SUM(Kalender!$E$5:$E$370),0))*Szenarien!$D$18,0)</f>
        <v>0</v>
      </c>
      <c r="E2929" s="13" t="n">
        <f aca="false">IFERROR(MIN(C2929,Eingaben!$B$17)*Eingaben!$B$16,0)</f>
        <v>0</v>
      </c>
      <c r="F2929" s="13" t="n">
        <f aca="false">IFERROR(E2929*Eingaben!$B$15,0)</f>
        <v>0</v>
      </c>
      <c r="G2929" s="13" t="n">
        <f aca="false">IFERROR(IF(Kalender!A367="",0,J2928*(1-Eingaben!$B$20)),0)</f>
        <v>0</v>
      </c>
      <c r="H2929" s="13" t="n">
        <f aca="false">MIN(G2929,D2929)</f>
        <v>0</v>
      </c>
      <c r="I2929" s="13" t="n">
        <f aca="false">IFERROR(MIN(F2929*Eingaben!$B$19,MAX(0,D2929-H2929)),0)</f>
        <v>0</v>
      </c>
      <c r="J2929" s="13" t="n">
        <f aca="false">IFERROR(MIN(Eingaben!$B$18,MAX(0,F2929-I2929)),0)</f>
        <v>0</v>
      </c>
      <c r="K2929" s="13" t="n">
        <f aca="false">H2929+I2929</f>
        <v>0</v>
      </c>
      <c r="L2929" s="13" t="n">
        <f aca="false">MAX(0,D2929-K2929)</f>
        <v>0</v>
      </c>
      <c r="M2929" s="13" t="n">
        <f aca="false">MAX(0,F2929-I2929-J2929)</f>
        <v>0</v>
      </c>
      <c r="N2929" s="13" t="n">
        <f aca="false">IF(Kalender!A367="",0,J2928-H2929)</f>
        <v>0</v>
      </c>
    </row>
    <row r="2930" customFormat="false" ht="16.4" hidden="false" customHeight="false" outlineLevel="0" collapsed="false">
      <c r="A2930" s="13" t="str">
        <f aca="false">""</f>
        <v/>
      </c>
      <c r="B2930" s="13" t="n">
        <f aca="false">364</f>
        <v>364</v>
      </c>
      <c r="C2930" s="13" t="n">
        <f aca="false">IF(Szenarien!$H$18="OK",(IFERROR(SUMIF(Nutzungsprofile!$B$6:$B$11,"Schulbetrieb",Nutzungsprofile!$G$6:$G$11)*Kalender!C368/SUM(Kalender!$C$5:$C$370),0)+IFERROR(SUMIF(Nutzungsprofile!$B$6:$B$11,"Halle",Nutzungsprofile!$G$6:$G$11)*Kalender!D368/SUM(Kalender!$D$5:$D$370),0)+IFERROR(SUMIF(Nutzungsprofile!$B$6:$B$11,"Individuell",Nutzungsprofile!$G$6:$G$11)*Kalender!E368/SUM(Kalender!$E$5:$E$370),0))*Szenarien!$E$18,0)</f>
        <v>0</v>
      </c>
      <c r="D2930" s="13" t="n">
        <f aca="false">IF(Szenarien!$H$18="OK",(IFERROR(SUMIF(Nutzungsprofile!$B$17:$B$22,"Schulbetrieb",Nutzungsprofile!$G$17:$G$22)*Kalender!C368/SUM(Kalender!$C$5:$C$370),0)+IFERROR(SUMIF(Nutzungsprofile!$B$17:$B$22,"Halle",Nutzungsprofile!$G$17:$G$22)*Kalender!D368/SUM(Kalender!$D$5:$D$370),0)+IFERROR(SUMIF(Nutzungsprofile!$B$17:$B$22,"Individuell",Nutzungsprofile!$G$17:$G$22)*Kalender!E368/SUM(Kalender!$E$5:$E$370),0))*Szenarien!$D$18,0)</f>
        <v>0</v>
      </c>
      <c r="E2930" s="13" t="n">
        <f aca="false">IFERROR(MIN(C2930,Eingaben!$B$17)*Eingaben!$B$16,0)</f>
        <v>0</v>
      </c>
      <c r="F2930" s="13" t="n">
        <f aca="false">IFERROR(E2930*Eingaben!$B$15,0)</f>
        <v>0</v>
      </c>
      <c r="G2930" s="13" t="n">
        <f aca="false">IFERROR(IF(Kalender!A368="",0,J2929*(1-Eingaben!$B$20)),0)</f>
        <v>0</v>
      </c>
      <c r="H2930" s="13" t="n">
        <f aca="false">MIN(G2930,D2930)</f>
        <v>0</v>
      </c>
      <c r="I2930" s="13" t="n">
        <f aca="false">IFERROR(MIN(F2930*Eingaben!$B$19,MAX(0,D2930-H2930)),0)</f>
        <v>0</v>
      </c>
      <c r="J2930" s="13" t="n">
        <f aca="false">IFERROR(MIN(Eingaben!$B$18,MAX(0,F2930-I2930)),0)</f>
        <v>0</v>
      </c>
      <c r="K2930" s="13" t="n">
        <f aca="false">H2930+I2930</f>
        <v>0</v>
      </c>
      <c r="L2930" s="13" t="n">
        <f aca="false">MAX(0,D2930-K2930)</f>
        <v>0</v>
      </c>
      <c r="M2930" s="13" t="n">
        <f aca="false">MAX(0,F2930-I2930-J2930)</f>
        <v>0</v>
      </c>
      <c r="N2930" s="13" t="n">
        <f aca="false">IF(Kalender!A368="",0,J2929-H2930)</f>
        <v>0</v>
      </c>
    </row>
    <row r="2931" customFormat="false" ht="16.4" hidden="false" customHeight="false" outlineLevel="0" collapsed="false">
      <c r="A2931" s="13" t="str">
        <f aca="false">""</f>
        <v/>
      </c>
      <c r="B2931" s="13" t="n">
        <f aca="false">365</f>
        <v>365</v>
      </c>
      <c r="C2931" s="13" t="n">
        <f aca="false">IF(Szenarien!$H$18="OK",(IFERROR(SUMIF(Nutzungsprofile!$B$6:$B$11,"Schulbetrieb",Nutzungsprofile!$G$6:$G$11)*Kalender!C369/SUM(Kalender!$C$5:$C$370),0)+IFERROR(SUMIF(Nutzungsprofile!$B$6:$B$11,"Halle",Nutzungsprofile!$G$6:$G$11)*Kalender!D369/SUM(Kalender!$D$5:$D$370),0)+IFERROR(SUMIF(Nutzungsprofile!$B$6:$B$11,"Individuell",Nutzungsprofile!$G$6:$G$11)*Kalender!E369/SUM(Kalender!$E$5:$E$370),0))*Szenarien!$E$18,0)</f>
        <v>0</v>
      </c>
      <c r="D2931" s="13" t="n">
        <f aca="false">IF(Szenarien!$H$18="OK",(IFERROR(SUMIF(Nutzungsprofile!$B$17:$B$22,"Schulbetrieb",Nutzungsprofile!$G$17:$G$22)*Kalender!C369/SUM(Kalender!$C$5:$C$370),0)+IFERROR(SUMIF(Nutzungsprofile!$B$17:$B$22,"Halle",Nutzungsprofile!$G$17:$G$22)*Kalender!D369/SUM(Kalender!$D$5:$D$370),0)+IFERROR(SUMIF(Nutzungsprofile!$B$17:$B$22,"Individuell",Nutzungsprofile!$G$17:$G$22)*Kalender!E369/SUM(Kalender!$E$5:$E$370),0))*Szenarien!$D$18,0)</f>
        <v>0</v>
      </c>
      <c r="E2931" s="13" t="n">
        <f aca="false">IFERROR(MIN(C2931,Eingaben!$B$17)*Eingaben!$B$16,0)</f>
        <v>0</v>
      </c>
      <c r="F2931" s="13" t="n">
        <f aca="false">IFERROR(E2931*Eingaben!$B$15,0)</f>
        <v>0</v>
      </c>
      <c r="G2931" s="13" t="n">
        <f aca="false">IFERROR(IF(Kalender!A369="",0,J2930*(1-Eingaben!$B$20)),0)</f>
        <v>0</v>
      </c>
      <c r="H2931" s="13" t="n">
        <f aca="false">MIN(G2931,D2931)</f>
        <v>0</v>
      </c>
      <c r="I2931" s="13" t="n">
        <f aca="false">IFERROR(MIN(F2931*Eingaben!$B$19,MAX(0,D2931-H2931)),0)</f>
        <v>0</v>
      </c>
      <c r="J2931" s="13" t="n">
        <f aca="false">IFERROR(MIN(Eingaben!$B$18,MAX(0,F2931-I2931)),0)</f>
        <v>0</v>
      </c>
      <c r="K2931" s="13" t="n">
        <f aca="false">H2931+I2931</f>
        <v>0</v>
      </c>
      <c r="L2931" s="13" t="n">
        <f aca="false">MAX(0,D2931-K2931)</f>
        <v>0</v>
      </c>
      <c r="M2931" s="13" t="n">
        <f aca="false">MAX(0,F2931-I2931-J2931)</f>
        <v>0</v>
      </c>
      <c r="N2931" s="13" t="n">
        <f aca="false">IF(Kalender!A369="",0,J2930-H2931)</f>
        <v>0</v>
      </c>
    </row>
    <row r="2932" customFormat="false" ht="16.4" hidden="false" customHeight="false" outlineLevel="0" collapsed="false">
      <c r="A2932" s="13" t="str">
        <f aca="false">""</f>
        <v/>
      </c>
      <c r="B2932" s="13" t="n">
        <f aca="false">366</f>
        <v>366</v>
      </c>
      <c r="C2932" s="13" t="n">
        <f aca="false">IF(Szenarien!$H$18="OK",(IFERROR(SUMIF(Nutzungsprofile!$B$6:$B$11,"Schulbetrieb",Nutzungsprofile!$G$6:$G$11)*Kalender!C370/SUM(Kalender!$C$5:$C$370),0)+IFERROR(SUMIF(Nutzungsprofile!$B$6:$B$11,"Halle",Nutzungsprofile!$G$6:$G$11)*Kalender!D370/SUM(Kalender!$D$5:$D$370),0)+IFERROR(SUMIF(Nutzungsprofile!$B$6:$B$11,"Individuell",Nutzungsprofile!$G$6:$G$11)*Kalender!E370/SUM(Kalender!$E$5:$E$370),0))*Szenarien!$E$18,0)</f>
        <v>0</v>
      </c>
      <c r="D2932" s="13" t="n">
        <f aca="false">IF(Szenarien!$H$18="OK",(IFERROR(SUMIF(Nutzungsprofile!$B$17:$B$22,"Schulbetrieb",Nutzungsprofile!$G$17:$G$22)*Kalender!C370/SUM(Kalender!$C$5:$C$370),0)+IFERROR(SUMIF(Nutzungsprofile!$B$17:$B$22,"Halle",Nutzungsprofile!$G$17:$G$22)*Kalender!D370/SUM(Kalender!$D$5:$D$370),0)+IFERROR(SUMIF(Nutzungsprofile!$B$17:$B$22,"Individuell",Nutzungsprofile!$G$17:$G$22)*Kalender!E370/SUM(Kalender!$E$5:$E$370),0))*Szenarien!$D$18,0)</f>
        <v>0</v>
      </c>
      <c r="E2932" s="13" t="n">
        <f aca="false">IFERROR(MIN(C2932,Eingaben!$B$17)*Eingaben!$B$16,0)</f>
        <v>0</v>
      </c>
      <c r="F2932" s="13" t="n">
        <f aca="false">IFERROR(E2932*Eingaben!$B$15,0)</f>
        <v>0</v>
      </c>
      <c r="G2932" s="13" t="n">
        <f aca="false">IFERROR(IF(Kalender!A370="",0,J2931*(1-Eingaben!$B$20)),0)</f>
        <v>0</v>
      </c>
      <c r="H2932" s="13" t="n">
        <f aca="false">MIN(G2932,D2932)</f>
        <v>0</v>
      </c>
      <c r="I2932" s="13" t="n">
        <f aca="false">IFERROR(MIN(F2932*Eingaben!$B$19,MAX(0,D2932-H2932)),0)</f>
        <v>0</v>
      </c>
      <c r="J2932" s="13" t="n">
        <f aca="false">IFERROR(MIN(Eingaben!$B$18,MAX(0,F2932-I2932)),0)</f>
        <v>0</v>
      </c>
      <c r="K2932" s="13" t="n">
        <f aca="false">H2932+I2932</f>
        <v>0</v>
      </c>
      <c r="L2932" s="13" t="n">
        <f aca="false">MAX(0,D2932-K2932)</f>
        <v>0</v>
      </c>
      <c r="M2932" s="13" t="n">
        <f aca="false">MAX(0,F2932-I2932-J2932)</f>
        <v>0</v>
      </c>
      <c r="N2932" s="13" t="n">
        <f aca="false">IF(Kalender!A370="",0,J2931-H2932)</f>
        <v>0</v>
      </c>
    </row>
    <row r="2933" customFormat="false" ht="31.3" hidden="false" customHeight="false" outlineLevel="0" collapsed="false">
      <c r="A2933" s="13" t="str">
        <f aca="false">"Betriebswasserbedarf +20 %"</f>
        <v>Betriebswasserbedarf +20 %</v>
      </c>
      <c r="B2933" s="13" t="n">
        <f aca="false">1</f>
        <v>1</v>
      </c>
      <c r="C2933" s="13" t="n">
        <f aca="false">IF(Szenarien!$H$19="OK",(IFERROR(SUMIF(Nutzungsprofile!$B$6:$B$11,"Schulbetrieb",Nutzungsprofile!$G$6:$G$11)*Kalender!C5/SUM(Kalender!$C$5:$C$370),0)+IFERROR(SUMIF(Nutzungsprofile!$B$6:$B$11,"Halle",Nutzungsprofile!$G$6:$G$11)*Kalender!D5/SUM(Kalender!$D$5:$D$370),0)+IFERROR(SUMIF(Nutzungsprofile!$B$6:$B$11,"Individuell",Nutzungsprofile!$G$6:$G$11)*Kalender!E5/SUM(Kalender!$E$5:$E$370),0))*Szenarien!$E$19,0)</f>
        <v>2.94</v>
      </c>
      <c r="D2933" s="13" t="n">
        <f aca="false">IF(Szenarien!$H$19="OK",(IFERROR(SUMIF(Nutzungsprofile!$B$17:$B$22,"Schulbetrieb",Nutzungsprofile!$G$17:$G$22)*Kalender!C5/SUM(Kalender!$C$5:$C$370),0)+IFERROR(SUMIF(Nutzungsprofile!$B$17:$B$22,"Halle",Nutzungsprofile!$G$17:$G$22)*Kalender!D5/SUM(Kalender!$D$5:$D$370),0)+IFERROR(SUMIF(Nutzungsprofile!$B$17:$B$22,"Individuell",Nutzungsprofile!$G$17:$G$22)*Kalender!E5/SUM(Kalender!$E$5:$E$370),0))*Szenarien!$D$19,0)</f>
        <v>5.928</v>
      </c>
      <c r="E2933" s="13" t="n">
        <f aca="false">IFERROR(MIN(C2933,Eingaben!$B$17)*Eingaben!$B$16,0)</f>
        <v>2.793</v>
      </c>
      <c r="F2933" s="13" t="n">
        <f aca="false">IFERROR(E2933*Eingaben!$B$15,0)</f>
        <v>2.5137</v>
      </c>
      <c r="G2933" s="13" t="n">
        <f aca="false">0</f>
        <v>0</v>
      </c>
      <c r="H2933" s="13" t="n">
        <f aca="false">MIN(G2933,D2933)</f>
        <v>0</v>
      </c>
      <c r="I2933" s="13" t="n">
        <f aca="false">IFERROR(MIN(F2933*Eingaben!$B$19,MAX(0,D2933-H2933)),0)</f>
        <v>1.75959</v>
      </c>
      <c r="J2933" s="13" t="n">
        <f aca="false">IFERROR(MIN(Eingaben!$B$18,MAX(0,F2933-I2933)),0)</f>
        <v>0.75411</v>
      </c>
      <c r="K2933" s="13" t="n">
        <f aca="false">H2933+I2933</f>
        <v>1.75959</v>
      </c>
      <c r="L2933" s="13" t="n">
        <f aca="false">MAX(0,D2933-K2933)</f>
        <v>4.16841</v>
      </c>
      <c r="M2933" s="13" t="n">
        <f aca="false">MAX(0,F2933-I2933-J2933)</f>
        <v>0</v>
      </c>
      <c r="N2933" s="13" t="n">
        <f aca="false">0</f>
        <v>0</v>
      </c>
    </row>
    <row r="2934" customFormat="false" ht="16.4" hidden="false" customHeight="false" outlineLevel="0" collapsed="false">
      <c r="A2934" s="13" t="str">
        <f aca="false">""</f>
        <v/>
      </c>
      <c r="B2934" s="13" t="n">
        <f aca="false">2</f>
        <v>2</v>
      </c>
      <c r="C2934" s="13" t="n">
        <f aca="false">IF(Szenarien!$H$19="OK",(IFERROR(SUMIF(Nutzungsprofile!$B$6:$B$11,"Schulbetrieb",Nutzungsprofile!$G$6:$G$11)*Kalender!C6/SUM(Kalender!$C$5:$C$370),0)+IFERROR(SUMIF(Nutzungsprofile!$B$6:$B$11,"Halle",Nutzungsprofile!$G$6:$G$11)*Kalender!D6/SUM(Kalender!$D$5:$D$370),0)+IFERROR(SUMIF(Nutzungsprofile!$B$6:$B$11,"Individuell",Nutzungsprofile!$G$6:$G$11)*Kalender!E6/SUM(Kalender!$E$5:$E$370),0))*Szenarien!$E$19,0)</f>
        <v>2.94</v>
      </c>
      <c r="D2934" s="13" t="n">
        <f aca="false">IF(Szenarien!$H$19="OK",(IFERROR(SUMIF(Nutzungsprofile!$B$17:$B$22,"Schulbetrieb",Nutzungsprofile!$G$17:$G$22)*Kalender!C6/SUM(Kalender!$C$5:$C$370),0)+IFERROR(SUMIF(Nutzungsprofile!$B$17:$B$22,"Halle",Nutzungsprofile!$G$17:$G$22)*Kalender!D6/SUM(Kalender!$D$5:$D$370),0)+IFERROR(SUMIF(Nutzungsprofile!$B$17:$B$22,"Individuell",Nutzungsprofile!$G$17:$G$22)*Kalender!E6/SUM(Kalender!$E$5:$E$370),0))*Szenarien!$D$19,0)</f>
        <v>5.928</v>
      </c>
      <c r="E2934" s="13" t="n">
        <f aca="false">IFERROR(MIN(C2934,Eingaben!$B$17)*Eingaben!$B$16,0)</f>
        <v>2.793</v>
      </c>
      <c r="F2934" s="13" t="n">
        <f aca="false">IFERROR(E2934*Eingaben!$B$15,0)</f>
        <v>2.5137</v>
      </c>
      <c r="G2934" s="13" t="n">
        <f aca="false">IFERROR(IF(Kalender!A6="",0,J2933*(1-Eingaben!$B$20)),0)</f>
        <v>0.7390278</v>
      </c>
      <c r="H2934" s="13" t="n">
        <f aca="false">MIN(G2934,D2934)</f>
        <v>0.7390278</v>
      </c>
      <c r="I2934" s="13" t="n">
        <f aca="false">IFERROR(MIN(F2934*Eingaben!$B$19,MAX(0,D2934-H2934)),0)</f>
        <v>1.75959</v>
      </c>
      <c r="J2934" s="13" t="n">
        <f aca="false">IFERROR(MIN(Eingaben!$B$18,MAX(0,F2934-I2934)),0)</f>
        <v>0.75411</v>
      </c>
      <c r="K2934" s="13" t="n">
        <f aca="false">H2934+I2934</f>
        <v>2.4986178</v>
      </c>
      <c r="L2934" s="13" t="n">
        <f aca="false">MAX(0,D2934-K2934)</f>
        <v>3.4293822</v>
      </c>
      <c r="M2934" s="13" t="n">
        <f aca="false">MAX(0,F2934-I2934-J2934)</f>
        <v>0</v>
      </c>
      <c r="N2934" s="13" t="n">
        <f aca="false">IF(Kalender!A6="",0,J2933-H2934)</f>
        <v>0.0150822</v>
      </c>
    </row>
    <row r="2935" customFormat="false" ht="16.4" hidden="false" customHeight="false" outlineLevel="0" collapsed="false">
      <c r="A2935" s="13" t="str">
        <f aca="false">""</f>
        <v/>
      </c>
      <c r="B2935" s="13" t="n">
        <f aca="false">3</f>
        <v>3</v>
      </c>
      <c r="C2935" s="13" t="n">
        <f aca="false">IF(Szenarien!$H$19="OK",(IFERROR(SUMIF(Nutzungsprofile!$B$6:$B$11,"Schulbetrieb",Nutzungsprofile!$G$6:$G$11)*Kalender!C7/SUM(Kalender!$C$5:$C$370),0)+IFERROR(SUMIF(Nutzungsprofile!$B$6:$B$11,"Halle",Nutzungsprofile!$G$6:$G$11)*Kalender!D7/SUM(Kalender!$D$5:$D$370),0)+IFERROR(SUMIF(Nutzungsprofile!$B$6:$B$11,"Individuell",Nutzungsprofile!$G$6:$G$11)*Kalender!E7/SUM(Kalender!$E$5:$E$370),0))*Szenarien!$E$19,0)</f>
        <v>2.04</v>
      </c>
      <c r="D2935" s="13" t="n">
        <f aca="false">IF(Szenarien!$H$19="OK",(IFERROR(SUMIF(Nutzungsprofile!$B$17:$B$22,"Schulbetrieb",Nutzungsprofile!$G$17:$G$22)*Kalender!C7/SUM(Kalender!$C$5:$C$370),0)+IFERROR(SUMIF(Nutzungsprofile!$B$17:$B$22,"Halle",Nutzungsprofile!$G$17:$G$22)*Kalender!D7/SUM(Kalender!$D$5:$D$370),0)+IFERROR(SUMIF(Nutzungsprofile!$B$17:$B$22,"Individuell",Nutzungsprofile!$G$17:$G$22)*Kalender!E7/SUM(Kalender!$E$5:$E$370),0))*Szenarien!$D$19,0)</f>
        <v>1.068</v>
      </c>
      <c r="E2935" s="13" t="n">
        <f aca="false">IFERROR(MIN(C2935,Eingaben!$B$17)*Eingaben!$B$16,0)</f>
        <v>1.938</v>
      </c>
      <c r="F2935" s="13" t="n">
        <f aca="false">IFERROR(E2935*Eingaben!$B$15,0)</f>
        <v>1.7442</v>
      </c>
      <c r="G2935" s="13" t="n">
        <f aca="false">IFERROR(IF(Kalender!A7="",0,J2934*(1-Eingaben!$B$20)),0)</f>
        <v>0.7390278</v>
      </c>
      <c r="H2935" s="13" t="n">
        <f aca="false">MIN(G2935,D2935)</f>
        <v>0.7390278</v>
      </c>
      <c r="I2935" s="13" t="n">
        <f aca="false">IFERROR(MIN(F2935*Eingaben!$B$19,MAX(0,D2935-H2935)),0)</f>
        <v>0.3289722</v>
      </c>
      <c r="J2935" s="13" t="n">
        <f aca="false">IFERROR(MIN(Eingaben!$B$18,MAX(0,F2935-I2935)),0)</f>
        <v>1.4152278</v>
      </c>
      <c r="K2935" s="13" t="n">
        <f aca="false">H2935+I2935</f>
        <v>1.068</v>
      </c>
      <c r="L2935" s="13" t="n">
        <f aca="false">MAX(0,D2935-K2935)</f>
        <v>0</v>
      </c>
      <c r="M2935" s="13" t="n">
        <f aca="false">MAX(0,F2935-I2935-J2935)</f>
        <v>0</v>
      </c>
      <c r="N2935" s="13" t="n">
        <f aca="false">IF(Kalender!A7="",0,J2934-H2935)</f>
        <v>0.0150822</v>
      </c>
    </row>
    <row r="2936" customFormat="false" ht="16.4" hidden="false" customHeight="false" outlineLevel="0" collapsed="false">
      <c r="A2936" s="13" t="str">
        <f aca="false">""</f>
        <v/>
      </c>
      <c r="B2936" s="13" t="n">
        <f aca="false">4</f>
        <v>4</v>
      </c>
      <c r="C2936" s="13" t="n">
        <f aca="false">IF(Szenarien!$H$19="OK",(IFERROR(SUMIF(Nutzungsprofile!$B$6:$B$11,"Schulbetrieb",Nutzungsprofile!$G$6:$G$11)*Kalender!C8/SUM(Kalender!$C$5:$C$370),0)+IFERROR(SUMIF(Nutzungsprofile!$B$6:$B$11,"Halle",Nutzungsprofile!$G$6:$G$11)*Kalender!D8/SUM(Kalender!$D$5:$D$370),0)+IFERROR(SUMIF(Nutzungsprofile!$B$6:$B$11,"Individuell",Nutzungsprofile!$G$6:$G$11)*Kalender!E8/SUM(Kalender!$E$5:$E$370),0))*Szenarien!$E$19,0)</f>
        <v>2.04</v>
      </c>
      <c r="D2936" s="13" t="n">
        <f aca="false">IF(Szenarien!$H$19="OK",(IFERROR(SUMIF(Nutzungsprofile!$B$17:$B$22,"Schulbetrieb",Nutzungsprofile!$G$17:$G$22)*Kalender!C8/SUM(Kalender!$C$5:$C$370),0)+IFERROR(SUMIF(Nutzungsprofile!$B$17:$B$22,"Halle",Nutzungsprofile!$G$17:$G$22)*Kalender!D8/SUM(Kalender!$D$5:$D$370),0)+IFERROR(SUMIF(Nutzungsprofile!$B$17:$B$22,"Individuell",Nutzungsprofile!$G$17:$G$22)*Kalender!E8/SUM(Kalender!$E$5:$E$370),0))*Szenarien!$D$19,0)</f>
        <v>1.068</v>
      </c>
      <c r="E2936" s="13" t="n">
        <f aca="false">IFERROR(MIN(C2936,Eingaben!$B$17)*Eingaben!$B$16,0)</f>
        <v>1.938</v>
      </c>
      <c r="F2936" s="13" t="n">
        <f aca="false">IFERROR(E2936*Eingaben!$B$15,0)</f>
        <v>1.7442</v>
      </c>
      <c r="G2936" s="13" t="n">
        <f aca="false">IFERROR(IF(Kalender!A8="",0,J2935*(1-Eingaben!$B$20)),0)</f>
        <v>1.386923244</v>
      </c>
      <c r="H2936" s="13" t="n">
        <f aca="false">MIN(G2936,D2936)</f>
        <v>1.068</v>
      </c>
      <c r="I2936" s="13" t="n">
        <f aca="false">IFERROR(MIN(F2936*Eingaben!$B$19,MAX(0,D2936-H2936)),0)</f>
        <v>0</v>
      </c>
      <c r="J2936" s="13" t="n">
        <f aca="false">IFERROR(MIN(Eingaben!$B$18,MAX(0,F2936-I2936)),0)</f>
        <v>1.7442</v>
      </c>
      <c r="K2936" s="13" t="n">
        <f aca="false">H2936+I2936</f>
        <v>1.068</v>
      </c>
      <c r="L2936" s="13" t="n">
        <f aca="false">MAX(0,D2936-K2936)</f>
        <v>0</v>
      </c>
      <c r="M2936" s="13" t="n">
        <f aca="false">MAX(0,F2936-I2936-J2936)</f>
        <v>0</v>
      </c>
      <c r="N2936" s="13" t="n">
        <f aca="false">IF(Kalender!A8="",0,J2935-H2936)</f>
        <v>0.3472278</v>
      </c>
    </row>
    <row r="2937" customFormat="false" ht="16.4" hidden="false" customHeight="false" outlineLevel="0" collapsed="false">
      <c r="A2937" s="13" t="str">
        <f aca="false">""</f>
        <v/>
      </c>
      <c r="B2937" s="13" t="n">
        <f aca="false">5</f>
        <v>5</v>
      </c>
      <c r="C2937" s="13" t="n">
        <f aca="false">IF(Szenarien!$H$19="OK",(IFERROR(SUMIF(Nutzungsprofile!$B$6:$B$11,"Schulbetrieb",Nutzungsprofile!$G$6:$G$11)*Kalender!C9/SUM(Kalender!$C$5:$C$370),0)+IFERROR(SUMIF(Nutzungsprofile!$B$6:$B$11,"Halle",Nutzungsprofile!$G$6:$G$11)*Kalender!D9/SUM(Kalender!$D$5:$D$370),0)+IFERROR(SUMIF(Nutzungsprofile!$B$6:$B$11,"Individuell",Nutzungsprofile!$G$6:$G$11)*Kalender!E9/SUM(Kalender!$E$5:$E$370),0))*Szenarien!$E$19,0)</f>
        <v>2.94</v>
      </c>
      <c r="D2937" s="13" t="n">
        <f aca="false">IF(Szenarien!$H$19="OK",(IFERROR(SUMIF(Nutzungsprofile!$B$17:$B$22,"Schulbetrieb",Nutzungsprofile!$G$17:$G$22)*Kalender!C9/SUM(Kalender!$C$5:$C$370),0)+IFERROR(SUMIF(Nutzungsprofile!$B$17:$B$22,"Halle",Nutzungsprofile!$G$17:$G$22)*Kalender!D9/SUM(Kalender!$D$5:$D$370),0)+IFERROR(SUMIF(Nutzungsprofile!$B$17:$B$22,"Individuell",Nutzungsprofile!$G$17:$G$22)*Kalender!E9/SUM(Kalender!$E$5:$E$370),0))*Szenarien!$D$19,0)</f>
        <v>5.928</v>
      </c>
      <c r="E2937" s="13" t="n">
        <f aca="false">IFERROR(MIN(C2937,Eingaben!$B$17)*Eingaben!$B$16,0)</f>
        <v>2.793</v>
      </c>
      <c r="F2937" s="13" t="n">
        <f aca="false">IFERROR(E2937*Eingaben!$B$15,0)</f>
        <v>2.5137</v>
      </c>
      <c r="G2937" s="13" t="n">
        <f aca="false">IFERROR(IF(Kalender!A9="",0,J2936*(1-Eingaben!$B$20)),0)</f>
        <v>1.709316</v>
      </c>
      <c r="H2937" s="13" t="n">
        <f aca="false">MIN(G2937,D2937)</f>
        <v>1.709316</v>
      </c>
      <c r="I2937" s="13" t="n">
        <f aca="false">IFERROR(MIN(F2937*Eingaben!$B$19,MAX(0,D2937-H2937)),0)</f>
        <v>1.75959</v>
      </c>
      <c r="J2937" s="13" t="n">
        <f aca="false">IFERROR(MIN(Eingaben!$B$18,MAX(0,F2937-I2937)),0)</f>
        <v>0.75411</v>
      </c>
      <c r="K2937" s="13" t="n">
        <f aca="false">H2937+I2937</f>
        <v>3.468906</v>
      </c>
      <c r="L2937" s="13" t="n">
        <f aca="false">MAX(0,D2937-K2937)</f>
        <v>2.459094</v>
      </c>
      <c r="M2937" s="13" t="n">
        <f aca="false">MAX(0,F2937-I2937-J2937)</f>
        <v>0</v>
      </c>
      <c r="N2937" s="13" t="n">
        <f aca="false">IF(Kalender!A9="",0,J2936-H2937)</f>
        <v>0.0348840000000001</v>
      </c>
    </row>
    <row r="2938" customFormat="false" ht="16.4" hidden="false" customHeight="false" outlineLevel="0" collapsed="false">
      <c r="A2938" s="13" t="str">
        <f aca="false">""</f>
        <v/>
      </c>
      <c r="B2938" s="13" t="n">
        <f aca="false">6</f>
        <v>6</v>
      </c>
      <c r="C2938" s="13" t="n">
        <f aca="false">IF(Szenarien!$H$19="OK",(IFERROR(SUMIF(Nutzungsprofile!$B$6:$B$11,"Schulbetrieb",Nutzungsprofile!$G$6:$G$11)*Kalender!C10/SUM(Kalender!$C$5:$C$370),0)+IFERROR(SUMIF(Nutzungsprofile!$B$6:$B$11,"Halle",Nutzungsprofile!$G$6:$G$11)*Kalender!D10/SUM(Kalender!$D$5:$D$370),0)+IFERROR(SUMIF(Nutzungsprofile!$B$6:$B$11,"Individuell",Nutzungsprofile!$G$6:$G$11)*Kalender!E10/SUM(Kalender!$E$5:$E$370),0))*Szenarien!$E$19,0)</f>
        <v>2.94</v>
      </c>
      <c r="D2938" s="13" t="n">
        <f aca="false">IF(Szenarien!$H$19="OK",(IFERROR(SUMIF(Nutzungsprofile!$B$17:$B$22,"Schulbetrieb",Nutzungsprofile!$G$17:$G$22)*Kalender!C10/SUM(Kalender!$C$5:$C$370),0)+IFERROR(SUMIF(Nutzungsprofile!$B$17:$B$22,"Halle",Nutzungsprofile!$G$17:$G$22)*Kalender!D10/SUM(Kalender!$D$5:$D$370),0)+IFERROR(SUMIF(Nutzungsprofile!$B$17:$B$22,"Individuell",Nutzungsprofile!$G$17:$G$22)*Kalender!E10/SUM(Kalender!$E$5:$E$370),0))*Szenarien!$D$19,0)</f>
        <v>5.928</v>
      </c>
      <c r="E2938" s="13" t="n">
        <f aca="false">IFERROR(MIN(C2938,Eingaben!$B$17)*Eingaben!$B$16,0)</f>
        <v>2.793</v>
      </c>
      <c r="F2938" s="13" t="n">
        <f aca="false">IFERROR(E2938*Eingaben!$B$15,0)</f>
        <v>2.5137</v>
      </c>
      <c r="G2938" s="13" t="n">
        <f aca="false">IFERROR(IF(Kalender!A10="",0,J2937*(1-Eingaben!$B$20)),0)</f>
        <v>0.7390278</v>
      </c>
      <c r="H2938" s="13" t="n">
        <f aca="false">MIN(G2938,D2938)</f>
        <v>0.7390278</v>
      </c>
      <c r="I2938" s="13" t="n">
        <f aca="false">IFERROR(MIN(F2938*Eingaben!$B$19,MAX(0,D2938-H2938)),0)</f>
        <v>1.75959</v>
      </c>
      <c r="J2938" s="13" t="n">
        <f aca="false">IFERROR(MIN(Eingaben!$B$18,MAX(0,F2938-I2938)),0)</f>
        <v>0.75411</v>
      </c>
      <c r="K2938" s="13" t="n">
        <f aca="false">H2938+I2938</f>
        <v>2.4986178</v>
      </c>
      <c r="L2938" s="13" t="n">
        <f aca="false">MAX(0,D2938-K2938)</f>
        <v>3.4293822</v>
      </c>
      <c r="M2938" s="13" t="n">
        <f aca="false">MAX(0,F2938-I2938-J2938)</f>
        <v>0</v>
      </c>
      <c r="N2938" s="13" t="n">
        <f aca="false">IF(Kalender!A10="",0,J2937-H2938)</f>
        <v>0.0150822</v>
      </c>
    </row>
    <row r="2939" customFormat="false" ht="16.4" hidden="false" customHeight="false" outlineLevel="0" collapsed="false">
      <c r="A2939" s="13" t="str">
        <f aca="false">""</f>
        <v/>
      </c>
      <c r="B2939" s="13" t="n">
        <f aca="false">7</f>
        <v>7</v>
      </c>
      <c r="C2939" s="13" t="n">
        <f aca="false">IF(Szenarien!$H$19="OK",(IFERROR(SUMIF(Nutzungsprofile!$B$6:$B$11,"Schulbetrieb",Nutzungsprofile!$G$6:$G$11)*Kalender!C11/SUM(Kalender!$C$5:$C$370),0)+IFERROR(SUMIF(Nutzungsprofile!$B$6:$B$11,"Halle",Nutzungsprofile!$G$6:$G$11)*Kalender!D11/SUM(Kalender!$D$5:$D$370),0)+IFERROR(SUMIF(Nutzungsprofile!$B$6:$B$11,"Individuell",Nutzungsprofile!$G$6:$G$11)*Kalender!E11/SUM(Kalender!$E$5:$E$370),0))*Szenarien!$E$19,0)</f>
        <v>2.94</v>
      </c>
      <c r="D2939" s="13" t="n">
        <f aca="false">IF(Szenarien!$H$19="OK",(IFERROR(SUMIF(Nutzungsprofile!$B$17:$B$22,"Schulbetrieb",Nutzungsprofile!$G$17:$G$22)*Kalender!C11/SUM(Kalender!$C$5:$C$370),0)+IFERROR(SUMIF(Nutzungsprofile!$B$17:$B$22,"Halle",Nutzungsprofile!$G$17:$G$22)*Kalender!D11/SUM(Kalender!$D$5:$D$370),0)+IFERROR(SUMIF(Nutzungsprofile!$B$17:$B$22,"Individuell",Nutzungsprofile!$G$17:$G$22)*Kalender!E11/SUM(Kalender!$E$5:$E$370),0))*Szenarien!$D$19,0)</f>
        <v>5.928</v>
      </c>
      <c r="E2939" s="13" t="n">
        <f aca="false">IFERROR(MIN(C2939,Eingaben!$B$17)*Eingaben!$B$16,0)</f>
        <v>2.793</v>
      </c>
      <c r="F2939" s="13" t="n">
        <f aca="false">IFERROR(E2939*Eingaben!$B$15,0)</f>
        <v>2.5137</v>
      </c>
      <c r="G2939" s="13" t="n">
        <f aca="false">IFERROR(IF(Kalender!A11="",0,J2938*(1-Eingaben!$B$20)),0)</f>
        <v>0.7390278</v>
      </c>
      <c r="H2939" s="13" t="n">
        <f aca="false">MIN(G2939,D2939)</f>
        <v>0.7390278</v>
      </c>
      <c r="I2939" s="13" t="n">
        <f aca="false">IFERROR(MIN(F2939*Eingaben!$B$19,MAX(0,D2939-H2939)),0)</f>
        <v>1.75959</v>
      </c>
      <c r="J2939" s="13" t="n">
        <f aca="false">IFERROR(MIN(Eingaben!$B$18,MAX(0,F2939-I2939)),0)</f>
        <v>0.75411</v>
      </c>
      <c r="K2939" s="13" t="n">
        <f aca="false">H2939+I2939</f>
        <v>2.4986178</v>
      </c>
      <c r="L2939" s="13" t="n">
        <f aca="false">MAX(0,D2939-K2939)</f>
        <v>3.4293822</v>
      </c>
      <c r="M2939" s="13" t="n">
        <f aca="false">MAX(0,F2939-I2939-J2939)</f>
        <v>0</v>
      </c>
      <c r="N2939" s="13" t="n">
        <f aca="false">IF(Kalender!A11="",0,J2938-H2939)</f>
        <v>0.0150822</v>
      </c>
    </row>
    <row r="2940" customFormat="false" ht="16.4" hidden="false" customHeight="false" outlineLevel="0" collapsed="false">
      <c r="A2940" s="13" t="str">
        <f aca="false">""</f>
        <v/>
      </c>
      <c r="B2940" s="13" t="n">
        <f aca="false">8</f>
        <v>8</v>
      </c>
      <c r="C2940" s="13" t="n">
        <f aca="false">IF(Szenarien!$H$19="OK",(IFERROR(SUMIF(Nutzungsprofile!$B$6:$B$11,"Schulbetrieb",Nutzungsprofile!$G$6:$G$11)*Kalender!C12/SUM(Kalender!$C$5:$C$370),0)+IFERROR(SUMIF(Nutzungsprofile!$B$6:$B$11,"Halle",Nutzungsprofile!$G$6:$G$11)*Kalender!D12/SUM(Kalender!$D$5:$D$370),0)+IFERROR(SUMIF(Nutzungsprofile!$B$6:$B$11,"Individuell",Nutzungsprofile!$G$6:$G$11)*Kalender!E12/SUM(Kalender!$E$5:$E$370),0))*Szenarien!$E$19,0)</f>
        <v>2.94</v>
      </c>
      <c r="D2940" s="13" t="n">
        <f aca="false">IF(Szenarien!$H$19="OK",(IFERROR(SUMIF(Nutzungsprofile!$B$17:$B$22,"Schulbetrieb",Nutzungsprofile!$G$17:$G$22)*Kalender!C12/SUM(Kalender!$C$5:$C$370),0)+IFERROR(SUMIF(Nutzungsprofile!$B$17:$B$22,"Halle",Nutzungsprofile!$G$17:$G$22)*Kalender!D12/SUM(Kalender!$D$5:$D$370),0)+IFERROR(SUMIF(Nutzungsprofile!$B$17:$B$22,"Individuell",Nutzungsprofile!$G$17:$G$22)*Kalender!E12/SUM(Kalender!$E$5:$E$370),0))*Szenarien!$D$19,0)</f>
        <v>5.928</v>
      </c>
      <c r="E2940" s="13" t="n">
        <f aca="false">IFERROR(MIN(C2940,Eingaben!$B$17)*Eingaben!$B$16,0)</f>
        <v>2.793</v>
      </c>
      <c r="F2940" s="13" t="n">
        <f aca="false">IFERROR(E2940*Eingaben!$B$15,0)</f>
        <v>2.5137</v>
      </c>
      <c r="G2940" s="13" t="n">
        <f aca="false">IFERROR(IF(Kalender!A12="",0,J2939*(1-Eingaben!$B$20)),0)</f>
        <v>0.7390278</v>
      </c>
      <c r="H2940" s="13" t="n">
        <f aca="false">MIN(G2940,D2940)</f>
        <v>0.7390278</v>
      </c>
      <c r="I2940" s="13" t="n">
        <f aca="false">IFERROR(MIN(F2940*Eingaben!$B$19,MAX(0,D2940-H2940)),0)</f>
        <v>1.75959</v>
      </c>
      <c r="J2940" s="13" t="n">
        <f aca="false">IFERROR(MIN(Eingaben!$B$18,MAX(0,F2940-I2940)),0)</f>
        <v>0.75411</v>
      </c>
      <c r="K2940" s="13" t="n">
        <f aca="false">H2940+I2940</f>
        <v>2.4986178</v>
      </c>
      <c r="L2940" s="13" t="n">
        <f aca="false">MAX(0,D2940-K2940)</f>
        <v>3.4293822</v>
      </c>
      <c r="M2940" s="13" t="n">
        <f aca="false">MAX(0,F2940-I2940-J2940)</f>
        <v>0</v>
      </c>
      <c r="N2940" s="13" t="n">
        <f aca="false">IF(Kalender!A12="",0,J2939-H2940)</f>
        <v>0.0150822</v>
      </c>
    </row>
    <row r="2941" customFormat="false" ht="16.4" hidden="false" customHeight="false" outlineLevel="0" collapsed="false">
      <c r="A2941" s="13" t="str">
        <f aca="false">""</f>
        <v/>
      </c>
      <c r="B2941" s="13" t="n">
        <f aca="false">9</f>
        <v>9</v>
      </c>
      <c r="C2941" s="13" t="n">
        <f aca="false">IF(Szenarien!$H$19="OK",(IFERROR(SUMIF(Nutzungsprofile!$B$6:$B$11,"Schulbetrieb",Nutzungsprofile!$G$6:$G$11)*Kalender!C13/SUM(Kalender!$C$5:$C$370),0)+IFERROR(SUMIF(Nutzungsprofile!$B$6:$B$11,"Halle",Nutzungsprofile!$G$6:$G$11)*Kalender!D13/SUM(Kalender!$D$5:$D$370),0)+IFERROR(SUMIF(Nutzungsprofile!$B$6:$B$11,"Individuell",Nutzungsprofile!$G$6:$G$11)*Kalender!E13/SUM(Kalender!$E$5:$E$370),0))*Szenarien!$E$19,0)</f>
        <v>2.94</v>
      </c>
      <c r="D2941" s="13" t="n">
        <f aca="false">IF(Szenarien!$H$19="OK",(IFERROR(SUMIF(Nutzungsprofile!$B$17:$B$22,"Schulbetrieb",Nutzungsprofile!$G$17:$G$22)*Kalender!C13/SUM(Kalender!$C$5:$C$370),0)+IFERROR(SUMIF(Nutzungsprofile!$B$17:$B$22,"Halle",Nutzungsprofile!$G$17:$G$22)*Kalender!D13/SUM(Kalender!$D$5:$D$370),0)+IFERROR(SUMIF(Nutzungsprofile!$B$17:$B$22,"Individuell",Nutzungsprofile!$G$17:$G$22)*Kalender!E13/SUM(Kalender!$E$5:$E$370),0))*Szenarien!$D$19,0)</f>
        <v>5.928</v>
      </c>
      <c r="E2941" s="13" t="n">
        <f aca="false">IFERROR(MIN(C2941,Eingaben!$B$17)*Eingaben!$B$16,0)</f>
        <v>2.793</v>
      </c>
      <c r="F2941" s="13" t="n">
        <f aca="false">IFERROR(E2941*Eingaben!$B$15,0)</f>
        <v>2.5137</v>
      </c>
      <c r="G2941" s="13" t="n">
        <f aca="false">IFERROR(IF(Kalender!A13="",0,J2940*(1-Eingaben!$B$20)),0)</f>
        <v>0.7390278</v>
      </c>
      <c r="H2941" s="13" t="n">
        <f aca="false">MIN(G2941,D2941)</f>
        <v>0.7390278</v>
      </c>
      <c r="I2941" s="13" t="n">
        <f aca="false">IFERROR(MIN(F2941*Eingaben!$B$19,MAX(0,D2941-H2941)),0)</f>
        <v>1.75959</v>
      </c>
      <c r="J2941" s="13" t="n">
        <f aca="false">IFERROR(MIN(Eingaben!$B$18,MAX(0,F2941-I2941)),0)</f>
        <v>0.75411</v>
      </c>
      <c r="K2941" s="13" t="n">
        <f aca="false">H2941+I2941</f>
        <v>2.4986178</v>
      </c>
      <c r="L2941" s="13" t="n">
        <f aca="false">MAX(0,D2941-K2941)</f>
        <v>3.4293822</v>
      </c>
      <c r="M2941" s="13" t="n">
        <f aca="false">MAX(0,F2941-I2941-J2941)</f>
        <v>0</v>
      </c>
      <c r="N2941" s="13" t="n">
        <f aca="false">IF(Kalender!A13="",0,J2940-H2941)</f>
        <v>0.0150822</v>
      </c>
    </row>
    <row r="2942" customFormat="false" ht="16.4" hidden="false" customHeight="false" outlineLevel="0" collapsed="false">
      <c r="A2942" s="13" t="str">
        <f aca="false">""</f>
        <v/>
      </c>
      <c r="B2942" s="13" t="n">
        <f aca="false">10</f>
        <v>10</v>
      </c>
      <c r="C2942" s="13" t="n">
        <f aca="false">IF(Szenarien!$H$19="OK",(IFERROR(SUMIF(Nutzungsprofile!$B$6:$B$11,"Schulbetrieb",Nutzungsprofile!$G$6:$G$11)*Kalender!C14/SUM(Kalender!$C$5:$C$370),0)+IFERROR(SUMIF(Nutzungsprofile!$B$6:$B$11,"Halle",Nutzungsprofile!$G$6:$G$11)*Kalender!D14/SUM(Kalender!$D$5:$D$370),0)+IFERROR(SUMIF(Nutzungsprofile!$B$6:$B$11,"Individuell",Nutzungsprofile!$G$6:$G$11)*Kalender!E14/SUM(Kalender!$E$5:$E$370),0))*Szenarien!$E$19,0)</f>
        <v>2.04</v>
      </c>
      <c r="D2942" s="13" t="n">
        <f aca="false">IF(Szenarien!$H$19="OK",(IFERROR(SUMIF(Nutzungsprofile!$B$17:$B$22,"Schulbetrieb",Nutzungsprofile!$G$17:$G$22)*Kalender!C14/SUM(Kalender!$C$5:$C$370),0)+IFERROR(SUMIF(Nutzungsprofile!$B$17:$B$22,"Halle",Nutzungsprofile!$G$17:$G$22)*Kalender!D14/SUM(Kalender!$D$5:$D$370),0)+IFERROR(SUMIF(Nutzungsprofile!$B$17:$B$22,"Individuell",Nutzungsprofile!$G$17:$G$22)*Kalender!E14/SUM(Kalender!$E$5:$E$370),0))*Szenarien!$D$19,0)</f>
        <v>1.068</v>
      </c>
      <c r="E2942" s="13" t="n">
        <f aca="false">IFERROR(MIN(C2942,Eingaben!$B$17)*Eingaben!$B$16,0)</f>
        <v>1.938</v>
      </c>
      <c r="F2942" s="13" t="n">
        <f aca="false">IFERROR(E2942*Eingaben!$B$15,0)</f>
        <v>1.7442</v>
      </c>
      <c r="G2942" s="13" t="n">
        <f aca="false">IFERROR(IF(Kalender!A14="",0,J2941*(1-Eingaben!$B$20)),0)</f>
        <v>0.7390278</v>
      </c>
      <c r="H2942" s="13" t="n">
        <f aca="false">MIN(G2942,D2942)</f>
        <v>0.7390278</v>
      </c>
      <c r="I2942" s="13" t="n">
        <f aca="false">IFERROR(MIN(F2942*Eingaben!$B$19,MAX(0,D2942-H2942)),0)</f>
        <v>0.3289722</v>
      </c>
      <c r="J2942" s="13" t="n">
        <f aca="false">IFERROR(MIN(Eingaben!$B$18,MAX(0,F2942-I2942)),0)</f>
        <v>1.4152278</v>
      </c>
      <c r="K2942" s="13" t="n">
        <f aca="false">H2942+I2942</f>
        <v>1.068</v>
      </c>
      <c r="L2942" s="13" t="n">
        <f aca="false">MAX(0,D2942-K2942)</f>
        <v>0</v>
      </c>
      <c r="M2942" s="13" t="n">
        <f aca="false">MAX(0,F2942-I2942-J2942)</f>
        <v>0</v>
      </c>
      <c r="N2942" s="13" t="n">
        <f aca="false">IF(Kalender!A14="",0,J2941-H2942)</f>
        <v>0.0150822</v>
      </c>
    </row>
    <row r="2943" customFormat="false" ht="16.4" hidden="false" customHeight="false" outlineLevel="0" collapsed="false">
      <c r="A2943" s="13" t="str">
        <f aca="false">""</f>
        <v/>
      </c>
      <c r="B2943" s="13" t="n">
        <f aca="false">11</f>
        <v>11</v>
      </c>
      <c r="C2943" s="13" t="n">
        <f aca="false">IF(Szenarien!$H$19="OK",(IFERROR(SUMIF(Nutzungsprofile!$B$6:$B$11,"Schulbetrieb",Nutzungsprofile!$G$6:$G$11)*Kalender!C15/SUM(Kalender!$C$5:$C$370),0)+IFERROR(SUMIF(Nutzungsprofile!$B$6:$B$11,"Halle",Nutzungsprofile!$G$6:$G$11)*Kalender!D15/SUM(Kalender!$D$5:$D$370),0)+IFERROR(SUMIF(Nutzungsprofile!$B$6:$B$11,"Individuell",Nutzungsprofile!$G$6:$G$11)*Kalender!E15/SUM(Kalender!$E$5:$E$370),0))*Szenarien!$E$19,0)</f>
        <v>2.04</v>
      </c>
      <c r="D2943" s="13" t="n">
        <f aca="false">IF(Szenarien!$H$19="OK",(IFERROR(SUMIF(Nutzungsprofile!$B$17:$B$22,"Schulbetrieb",Nutzungsprofile!$G$17:$G$22)*Kalender!C15/SUM(Kalender!$C$5:$C$370),0)+IFERROR(SUMIF(Nutzungsprofile!$B$17:$B$22,"Halle",Nutzungsprofile!$G$17:$G$22)*Kalender!D15/SUM(Kalender!$D$5:$D$370),0)+IFERROR(SUMIF(Nutzungsprofile!$B$17:$B$22,"Individuell",Nutzungsprofile!$G$17:$G$22)*Kalender!E15/SUM(Kalender!$E$5:$E$370),0))*Szenarien!$D$19,0)</f>
        <v>1.068</v>
      </c>
      <c r="E2943" s="13" t="n">
        <f aca="false">IFERROR(MIN(C2943,Eingaben!$B$17)*Eingaben!$B$16,0)</f>
        <v>1.938</v>
      </c>
      <c r="F2943" s="13" t="n">
        <f aca="false">IFERROR(E2943*Eingaben!$B$15,0)</f>
        <v>1.7442</v>
      </c>
      <c r="G2943" s="13" t="n">
        <f aca="false">IFERROR(IF(Kalender!A15="",0,J2942*(1-Eingaben!$B$20)),0)</f>
        <v>1.386923244</v>
      </c>
      <c r="H2943" s="13" t="n">
        <f aca="false">MIN(G2943,D2943)</f>
        <v>1.068</v>
      </c>
      <c r="I2943" s="13" t="n">
        <f aca="false">IFERROR(MIN(F2943*Eingaben!$B$19,MAX(0,D2943-H2943)),0)</f>
        <v>0</v>
      </c>
      <c r="J2943" s="13" t="n">
        <f aca="false">IFERROR(MIN(Eingaben!$B$18,MAX(0,F2943-I2943)),0)</f>
        <v>1.7442</v>
      </c>
      <c r="K2943" s="13" t="n">
        <f aca="false">H2943+I2943</f>
        <v>1.068</v>
      </c>
      <c r="L2943" s="13" t="n">
        <f aca="false">MAX(0,D2943-K2943)</f>
        <v>0</v>
      </c>
      <c r="M2943" s="13" t="n">
        <f aca="false">MAX(0,F2943-I2943-J2943)</f>
        <v>0</v>
      </c>
      <c r="N2943" s="13" t="n">
        <f aca="false">IF(Kalender!A15="",0,J2942-H2943)</f>
        <v>0.3472278</v>
      </c>
    </row>
    <row r="2944" customFormat="false" ht="16.4" hidden="false" customHeight="false" outlineLevel="0" collapsed="false">
      <c r="A2944" s="13" t="str">
        <f aca="false">""</f>
        <v/>
      </c>
      <c r="B2944" s="13" t="n">
        <f aca="false">12</f>
        <v>12</v>
      </c>
      <c r="C2944" s="13" t="n">
        <f aca="false">IF(Szenarien!$H$19="OK",(IFERROR(SUMIF(Nutzungsprofile!$B$6:$B$11,"Schulbetrieb",Nutzungsprofile!$G$6:$G$11)*Kalender!C16/SUM(Kalender!$C$5:$C$370),0)+IFERROR(SUMIF(Nutzungsprofile!$B$6:$B$11,"Halle",Nutzungsprofile!$G$6:$G$11)*Kalender!D16/SUM(Kalender!$D$5:$D$370),0)+IFERROR(SUMIF(Nutzungsprofile!$B$6:$B$11,"Individuell",Nutzungsprofile!$G$6:$G$11)*Kalender!E16/SUM(Kalender!$E$5:$E$370),0))*Szenarien!$E$19,0)</f>
        <v>2.94</v>
      </c>
      <c r="D2944" s="13" t="n">
        <f aca="false">IF(Szenarien!$H$19="OK",(IFERROR(SUMIF(Nutzungsprofile!$B$17:$B$22,"Schulbetrieb",Nutzungsprofile!$G$17:$G$22)*Kalender!C16/SUM(Kalender!$C$5:$C$370),0)+IFERROR(SUMIF(Nutzungsprofile!$B$17:$B$22,"Halle",Nutzungsprofile!$G$17:$G$22)*Kalender!D16/SUM(Kalender!$D$5:$D$370),0)+IFERROR(SUMIF(Nutzungsprofile!$B$17:$B$22,"Individuell",Nutzungsprofile!$G$17:$G$22)*Kalender!E16/SUM(Kalender!$E$5:$E$370),0))*Szenarien!$D$19,0)</f>
        <v>5.928</v>
      </c>
      <c r="E2944" s="13" t="n">
        <f aca="false">IFERROR(MIN(C2944,Eingaben!$B$17)*Eingaben!$B$16,0)</f>
        <v>2.793</v>
      </c>
      <c r="F2944" s="13" t="n">
        <f aca="false">IFERROR(E2944*Eingaben!$B$15,0)</f>
        <v>2.5137</v>
      </c>
      <c r="G2944" s="13" t="n">
        <f aca="false">IFERROR(IF(Kalender!A16="",0,J2943*(1-Eingaben!$B$20)),0)</f>
        <v>1.709316</v>
      </c>
      <c r="H2944" s="13" t="n">
        <f aca="false">MIN(G2944,D2944)</f>
        <v>1.709316</v>
      </c>
      <c r="I2944" s="13" t="n">
        <f aca="false">IFERROR(MIN(F2944*Eingaben!$B$19,MAX(0,D2944-H2944)),0)</f>
        <v>1.75959</v>
      </c>
      <c r="J2944" s="13" t="n">
        <f aca="false">IFERROR(MIN(Eingaben!$B$18,MAX(0,F2944-I2944)),0)</f>
        <v>0.75411</v>
      </c>
      <c r="K2944" s="13" t="n">
        <f aca="false">H2944+I2944</f>
        <v>3.468906</v>
      </c>
      <c r="L2944" s="13" t="n">
        <f aca="false">MAX(0,D2944-K2944)</f>
        <v>2.459094</v>
      </c>
      <c r="M2944" s="13" t="n">
        <f aca="false">MAX(0,F2944-I2944-J2944)</f>
        <v>0</v>
      </c>
      <c r="N2944" s="13" t="n">
        <f aca="false">IF(Kalender!A16="",0,J2943-H2944)</f>
        <v>0.0348840000000001</v>
      </c>
    </row>
    <row r="2945" customFormat="false" ht="16.4" hidden="false" customHeight="false" outlineLevel="0" collapsed="false">
      <c r="A2945" s="13" t="str">
        <f aca="false">""</f>
        <v/>
      </c>
      <c r="B2945" s="13" t="n">
        <f aca="false">13</f>
        <v>13</v>
      </c>
      <c r="C2945" s="13" t="n">
        <f aca="false">IF(Szenarien!$H$19="OK",(IFERROR(SUMIF(Nutzungsprofile!$B$6:$B$11,"Schulbetrieb",Nutzungsprofile!$G$6:$G$11)*Kalender!C17/SUM(Kalender!$C$5:$C$370),0)+IFERROR(SUMIF(Nutzungsprofile!$B$6:$B$11,"Halle",Nutzungsprofile!$G$6:$G$11)*Kalender!D17/SUM(Kalender!$D$5:$D$370),0)+IFERROR(SUMIF(Nutzungsprofile!$B$6:$B$11,"Individuell",Nutzungsprofile!$G$6:$G$11)*Kalender!E17/SUM(Kalender!$E$5:$E$370),0))*Szenarien!$E$19,0)</f>
        <v>2.94</v>
      </c>
      <c r="D2945" s="13" t="n">
        <f aca="false">IF(Szenarien!$H$19="OK",(IFERROR(SUMIF(Nutzungsprofile!$B$17:$B$22,"Schulbetrieb",Nutzungsprofile!$G$17:$G$22)*Kalender!C17/SUM(Kalender!$C$5:$C$370),0)+IFERROR(SUMIF(Nutzungsprofile!$B$17:$B$22,"Halle",Nutzungsprofile!$G$17:$G$22)*Kalender!D17/SUM(Kalender!$D$5:$D$370),0)+IFERROR(SUMIF(Nutzungsprofile!$B$17:$B$22,"Individuell",Nutzungsprofile!$G$17:$G$22)*Kalender!E17/SUM(Kalender!$E$5:$E$370),0))*Szenarien!$D$19,0)</f>
        <v>5.928</v>
      </c>
      <c r="E2945" s="13" t="n">
        <f aca="false">IFERROR(MIN(C2945,Eingaben!$B$17)*Eingaben!$B$16,0)</f>
        <v>2.793</v>
      </c>
      <c r="F2945" s="13" t="n">
        <f aca="false">IFERROR(E2945*Eingaben!$B$15,0)</f>
        <v>2.5137</v>
      </c>
      <c r="G2945" s="13" t="n">
        <f aca="false">IFERROR(IF(Kalender!A17="",0,J2944*(1-Eingaben!$B$20)),0)</f>
        <v>0.7390278</v>
      </c>
      <c r="H2945" s="13" t="n">
        <f aca="false">MIN(G2945,D2945)</f>
        <v>0.7390278</v>
      </c>
      <c r="I2945" s="13" t="n">
        <f aca="false">IFERROR(MIN(F2945*Eingaben!$B$19,MAX(0,D2945-H2945)),0)</f>
        <v>1.75959</v>
      </c>
      <c r="J2945" s="13" t="n">
        <f aca="false">IFERROR(MIN(Eingaben!$B$18,MAX(0,F2945-I2945)),0)</f>
        <v>0.75411</v>
      </c>
      <c r="K2945" s="13" t="n">
        <f aca="false">H2945+I2945</f>
        <v>2.4986178</v>
      </c>
      <c r="L2945" s="13" t="n">
        <f aca="false">MAX(0,D2945-K2945)</f>
        <v>3.4293822</v>
      </c>
      <c r="M2945" s="13" t="n">
        <f aca="false">MAX(0,F2945-I2945-J2945)</f>
        <v>0</v>
      </c>
      <c r="N2945" s="13" t="n">
        <f aca="false">IF(Kalender!A17="",0,J2944-H2945)</f>
        <v>0.0150822</v>
      </c>
    </row>
    <row r="2946" customFormat="false" ht="16.4" hidden="false" customHeight="false" outlineLevel="0" collapsed="false">
      <c r="A2946" s="13" t="str">
        <f aca="false">""</f>
        <v/>
      </c>
      <c r="B2946" s="13" t="n">
        <f aca="false">14</f>
        <v>14</v>
      </c>
      <c r="C2946" s="13" t="n">
        <f aca="false">IF(Szenarien!$H$19="OK",(IFERROR(SUMIF(Nutzungsprofile!$B$6:$B$11,"Schulbetrieb",Nutzungsprofile!$G$6:$G$11)*Kalender!C18/SUM(Kalender!$C$5:$C$370),0)+IFERROR(SUMIF(Nutzungsprofile!$B$6:$B$11,"Halle",Nutzungsprofile!$G$6:$G$11)*Kalender!D18/SUM(Kalender!$D$5:$D$370),0)+IFERROR(SUMIF(Nutzungsprofile!$B$6:$B$11,"Individuell",Nutzungsprofile!$G$6:$G$11)*Kalender!E18/SUM(Kalender!$E$5:$E$370),0))*Szenarien!$E$19,0)</f>
        <v>2.94</v>
      </c>
      <c r="D2946" s="13" t="n">
        <f aca="false">IF(Szenarien!$H$19="OK",(IFERROR(SUMIF(Nutzungsprofile!$B$17:$B$22,"Schulbetrieb",Nutzungsprofile!$G$17:$G$22)*Kalender!C18/SUM(Kalender!$C$5:$C$370),0)+IFERROR(SUMIF(Nutzungsprofile!$B$17:$B$22,"Halle",Nutzungsprofile!$G$17:$G$22)*Kalender!D18/SUM(Kalender!$D$5:$D$370),0)+IFERROR(SUMIF(Nutzungsprofile!$B$17:$B$22,"Individuell",Nutzungsprofile!$G$17:$G$22)*Kalender!E18/SUM(Kalender!$E$5:$E$370),0))*Szenarien!$D$19,0)</f>
        <v>5.928</v>
      </c>
      <c r="E2946" s="13" t="n">
        <f aca="false">IFERROR(MIN(C2946,Eingaben!$B$17)*Eingaben!$B$16,0)</f>
        <v>2.793</v>
      </c>
      <c r="F2946" s="13" t="n">
        <f aca="false">IFERROR(E2946*Eingaben!$B$15,0)</f>
        <v>2.5137</v>
      </c>
      <c r="G2946" s="13" t="n">
        <f aca="false">IFERROR(IF(Kalender!A18="",0,J2945*(1-Eingaben!$B$20)),0)</f>
        <v>0.7390278</v>
      </c>
      <c r="H2946" s="13" t="n">
        <f aca="false">MIN(G2946,D2946)</f>
        <v>0.7390278</v>
      </c>
      <c r="I2946" s="13" t="n">
        <f aca="false">IFERROR(MIN(F2946*Eingaben!$B$19,MAX(0,D2946-H2946)),0)</f>
        <v>1.75959</v>
      </c>
      <c r="J2946" s="13" t="n">
        <f aca="false">IFERROR(MIN(Eingaben!$B$18,MAX(0,F2946-I2946)),0)</f>
        <v>0.75411</v>
      </c>
      <c r="K2946" s="13" t="n">
        <f aca="false">H2946+I2946</f>
        <v>2.4986178</v>
      </c>
      <c r="L2946" s="13" t="n">
        <f aca="false">MAX(0,D2946-K2946)</f>
        <v>3.4293822</v>
      </c>
      <c r="M2946" s="13" t="n">
        <f aca="false">MAX(0,F2946-I2946-J2946)</f>
        <v>0</v>
      </c>
      <c r="N2946" s="13" t="n">
        <f aca="false">IF(Kalender!A18="",0,J2945-H2946)</f>
        <v>0.0150822</v>
      </c>
    </row>
    <row r="2947" customFormat="false" ht="16.4" hidden="false" customHeight="false" outlineLevel="0" collapsed="false">
      <c r="A2947" s="13" t="str">
        <f aca="false">""</f>
        <v/>
      </c>
      <c r="B2947" s="13" t="n">
        <f aca="false">15</f>
        <v>15</v>
      </c>
      <c r="C2947" s="13" t="n">
        <f aca="false">IF(Szenarien!$H$19="OK",(IFERROR(SUMIF(Nutzungsprofile!$B$6:$B$11,"Schulbetrieb",Nutzungsprofile!$G$6:$G$11)*Kalender!C19/SUM(Kalender!$C$5:$C$370),0)+IFERROR(SUMIF(Nutzungsprofile!$B$6:$B$11,"Halle",Nutzungsprofile!$G$6:$G$11)*Kalender!D19/SUM(Kalender!$D$5:$D$370),0)+IFERROR(SUMIF(Nutzungsprofile!$B$6:$B$11,"Individuell",Nutzungsprofile!$G$6:$G$11)*Kalender!E19/SUM(Kalender!$E$5:$E$370),0))*Szenarien!$E$19,0)</f>
        <v>2.94</v>
      </c>
      <c r="D2947" s="13" t="n">
        <f aca="false">IF(Szenarien!$H$19="OK",(IFERROR(SUMIF(Nutzungsprofile!$B$17:$B$22,"Schulbetrieb",Nutzungsprofile!$G$17:$G$22)*Kalender!C19/SUM(Kalender!$C$5:$C$370),0)+IFERROR(SUMIF(Nutzungsprofile!$B$17:$B$22,"Halle",Nutzungsprofile!$G$17:$G$22)*Kalender!D19/SUM(Kalender!$D$5:$D$370),0)+IFERROR(SUMIF(Nutzungsprofile!$B$17:$B$22,"Individuell",Nutzungsprofile!$G$17:$G$22)*Kalender!E19/SUM(Kalender!$E$5:$E$370),0))*Szenarien!$D$19,0)</f>
        <v>5.928</v>
      </c>
      <c r="E2947" s="13" t="n">
        <f aca="false">IFERROR(MIN(C2947,Eingaben!$B$17)*Eingaben!$B$16,0)</f>
        <v>2.793</v>
      </c>
      <c r="F2947" s="13" t="n">
        <f aca="false">IFERROR(E2947*Eingaben!$B$15,0)</f>
        <v>2.5137</v>
      </c>
      <c r="G2947" s="13" t="n">
        <f aca="false">IFERROR(IF(Kalender!A19="",0,J2946*(1-Eingaben!$B$20)),0)</f>
        <v>0.7390278</v>
      </c>
      <c r="H2947" s="13" t="n">
        <f aca="false">MIN(G2947,D2947)</f>
        <v>0.7390278</v>
      </c>
      <c r="I2947" s="13" t="n">
        <f aca="false">IFERROR(MIN(F2947*Eingaben!$B$19,MAX(0,D2947-H2947)),0)</f>
        <v>1.75959</v>
      </c>
      <c r="J2947" s="13" t="n">
        <f aca="false">IFERROR(MIN(Eingaben!$B$18,MAX(0,F2947-I2947)),0)</f>
        <v>0.75411</v>
      </c>
      <c r="K2947" s="13" t="n">
        <f aca="false">H2947+I2947</f>
        <v>2.4986178</v>
      </c>
      <c r="L2947" s="13" t="n">
        <f aca="false">MAX(0,D2947-K2947)</f>
        <v>3.4293822</v>
      </c>
      <c r="M2947" s="13" t="n">
        <f aca="false">MAX(0,F2947-I2947-J2947)</f>
        <v>0</v>
      </c>
      <c r="N2947" s="13" t="n">
        <f aca="false">IF(Kalender!A19="",0,J2946-H2947)</f>
        <v>0.0150822</v>
      </c>
    </row>
    <row r="2948" customFormat="false" ht="16.4" hidden="false" customHeight="false" outlineLevel="0" collapsed="false">
      <c r="A2948" s="13" t="str">
        <f aca="false">""</f>
        <v/>
      </c>
      <c r="B2948" s="13" t="n">
        <f aca="false">16</f>
        <v>16</v>
      </c>
      <c r="C2948" s="13" t="n">
        <f aca="false">IF(Szenarien!$H$19="OK",(IFERROR(SUMIF(Nutzungsprofile!$B$6:$B$11,"Schulbetrieb",Nutzungsprofile!$G$6:$G$11)*Kalender!C20/SUM(Kalender!$C$5:$C$370),0)+IFERROR(SUMIF(Nutzungsprofile!$B$6:$B$11,"Halle",Nutzungsprofile!$G$6:$G$11)*Kalender!D20/SUM(Kalender!$D$5:$D$370),0)+IFERROR(SUMIF(Nutzungsprofile!$B$6:$B$11,"Individuell",Nutzungsprofile!$G$6:$G$11)*Kalender!E20/SUM(Kalender!$E$5:$E$370),0))*Szenarien!$E$19,0)</f>
        <v>2.94</v>
      </c>
      <c r="D2948" s="13" t="n">
        <f aca="false">IF(Szenarien!$H$19="OK",(IFERROR(SUMIF(Nutzungsprofile!$B$17:$B$22,"Schulbetrieb",Nutzungsprofile!$G$17:$G$22)*Kalender!C20/SUM(Kalender!$C$5:$C$370),0)+IFERROR(SUMIF(Nutzungsprofile!$B$17:$B$22,"Halle",Nutzungsprofile!$G$17:$G$22)*Kalender!D20/SUM(Kalender!$D$5:$D$370),0)+IFERROR(SUMIF(Nutzungsprofile!$B$17:$B$22,"Individuell",Nutzungsprofile!$G$17:$G$22)*Kalender!E20/SUM(Kalender!$E$5:$E$370),0))*Szenarien!$D$19,0)</f>
        <v>5.928</v>
      </c>
      <c r="E2948" s="13" t="n">
        <f aca="false">IFERROR(MIN(C2948,Eingaben!$B$17)*Eingaben!$B$16,0)</f>
        <v>2.793</v>
      </c>
      <c r="F2948" s="13" t="n">
        <f aca="false">IFERROR(E2948*Eingaben!$B$15,0)</f>
        <v>2.5137</v>
      </c>
      <c r="G2948" s="13" t="n">
        <f aca="false">IFERROR(IF(Kalender!A20="",0,J2947*(1-Eingaben!$B$20)),0)</f>
        <v>0.7390278</v>
      </c>
      <c r="H2948" s="13" t="n">
        <f aca="false">MIN(G2948,D2948)</f>
        <v>0.7390278</v>
      </c>
      <c r="I2948" s="13" t="n">
        <f aca="false">IFERROR(MIN(F2948*Eingaben!$B$19,MAX(0,D2948-H2948)),0)</f>
        <v>1.75959</v>
      </c>
      <c r="J2948" s="13" t="n">
        <f aca="false">IFERROR(MIN(Eingaben!$B$18,MAX(0,F2948-I2948)),0)</f>
        <v>0.75411</v>
      </c>
      <c r="K2948" s="13" t="n">
        <f aca="false">H2948+I2948</f>
        <v>2.4986178</v>
      </c>
      <c r="L2948" s="13" t="n">
        <f aca="false">MAX(0,D2948-K2948)</f>
        <v>3.4293822</v>
      </c>
      <c r="M2948" s="13" t="n">
        <f aca="false">MAX(0,F2948-I2948-J2948)</f>
        <v>0</v>
      </c>
      <c r="N2948" s="13" t="n">
        <f aca="false">IF(Kalender!A20="",0,J2947-H2948)</f>
        <v>0.0150822</v>
      </c>
    </row>
    <row r="2949" customFormat="false" ht="16.4" hidden="false" customHeight="false" outlineLevel="0" collapsed="false">
      <c r="A2949" s="13" t="str">
        <f aca="false">""</f>
        <v/>
      </c>
      <c r="B2949" s="13" t="n">
        <f aca="false">17</f>
        <v>17</v>
      </c>
      <c r="C2949" s="13" t="n">
        <f aca="false">IF(Szenarien!$H$19="OK",(IFERROR(SUMIF(Nutzungsprofile!$B$6:$B$11,"Schulbetrieb",Nutzungsprofile!$G$6:$G$11)*Kalender!C21/SUM(Kalender!$C$5:$C$370),0)+IFERROR(SUMIF(Nutzungsprofile!$B$6:$B$11,"Halle",Nutzungsprofile!$G$6:$G$11)*Kalender!D21/SUM(Kalender!$D$5:$D$370),0)+IFERROR(SUMIF(Nutzungsprofile!$B$6:$B$11,"Individuell",Nutzungsprofile!$G$6:$G$11)*Kalender!E21/SUM(Kalender!$E$5:$E$370),0))*Szenarien!$E$19,0)</f>
        <v>2.04</v>
      </c>
      <c r="D2949" s="13" t="n">
        <f aca="false">IF(Szenarien!$H$19="OK",(IFERROR(SUMIF(Nutzungsprofile!$B$17:$B$22,"Schulbetrieb",Nutzungsprofile!$G$17:$G$22)*Kalender!C21/SUM(Kalender!$C$5:$C$370),0)+IFERROR(SUMIF(Nutzungsprofile!$B$17:$B$22,"Halle",Nutzungsprofile!$G$17:$G$22)*Kalender!D21/SUM(Kalender!$D$5:$D$370),0)+IFERROR(SUMIF(Nutzungsprofile!$B$17:$B$22,"Individuell",Nutzungsprofile!$G$17:$G$22)*Kalender!E21/SUM(Kalender!$E$5:$E$370),0))*Szenarien!$D$19,0)</f>
        <v>1.068</v>
      </c>
      <c r="E2949" s="13" t="n">
        <f aca="false">IFERROR(MIN(C2949,Eingaben!$B$17)*Eingaben!$B$16,0)</f>
        <v>1.938</v>
      </c>
      <c r="F2949" s="13" t="n">
        <f aca="false">IFERROR(E2949*Eingaben!$B$15,0)</f>
        <v>1.7442</v>
      </c>
      <c r="G2949" s="13" t="n">
        <f aca="false">IFERROR(IF(Kalender!A21="",0,J2948*(1-Eingaben!$B$20)),0)</f>
        <v>0.7390278</v>
      </c>
      <c r="H2949" s="13" t="n">
        <f aca="false">MIN(G2949,D2949)</f>
        <v>0.7390278</v>
      </c>
      <c r="I2949" s="13" t="n">
        <f aca="false">IFERROR(MIN(F2949*Eingaben!$B$19,MAX(0,D2949-H2949)),0)</f>
        <v>0.3289722</v>
      </c>
      <c r="J2949" s="13" t="n">
        <f aca="false">IFERROR(MIN(Eingaben!$B$18,MAX(0,F2949-I2949)),0)</f>
        <v>1.4152278</v>
      </c>
      <c r="K2949" s="13" t="n">
        <f aca="false">H2949+I2949</f>
        <v>1.068</v>
      </c>
      <c r="L2949" s="13" t="n">
        <f aca="false">MAX(0,D2949-K2949)</f>
        <v>0</v>
      </c>
      <c r="M2949" s="13" t="n">
        <f aca="false">MAX(0,F2949-I2949-J2949)</f>
        <v>0</v>
      </c>
      <c r="N2949" s="13" t="n">
        <f aca="false">IF(Kalender!A21="",0,J2948-H2949)</f>
        <v>0.0150822</v>
      </c>
    </row>
    <row r="2950" customFormat="false" ht="16.4" hidden="false" customHeight="false" outlineLevel="0" collapsed="false">
      <c r="A2950" s="13" t="str">
        <f aca="false">""</f>
        <v/>
      </c>
      <c r="B2950" s="13" t="n">
        <f aca="false">18</f>
        <v>18</v>
      </c>
      <c r="C2950" s="13" t="n">
        <f aca="false">IF(Szenarien!$H$19="OK",(IFERROR(SUMIF(Nutzungsprofile!$B$6:$B$11,"Schulbetrieb",Nutzungsprofile!$G$6:$G$11)*Kalender!C22/SUM(Kalender!$C$5:$C$370),0)+IFERROR(SUMIF(Nutzungsprofile!$B$6:$B$11,"Halle",Nutzungsprofile!$G$6:$G$11)*Kalender!D22/SUM(Kalender!$D$5:$D$370),0)+IFERROR(SUMIF(Nutzungsprofile!$B$6:$B$11,"Individuell",Nutzungsprofile!$G$6:$G$11)*Kalender!E22/SUM(Kalender!$E$5:$E$370),0))*Szenarien!$E$19,0)</f>
        <v>2.04</v>
      </c>
      <c r="D2950" s="13" t="n">
        <f aca="false">IF(Szenarien!$H$19="OK",(IFERROR(SUMIF(Nutzungsprofile!$B$17:$B$22,"Schulbetrieb",Nutzungsprofile!$G$17:$G$22)*Kalender!C22/SUM(Kalender!$C$5:$C$370),0)+IFERROR(SUMIF(Nutzungsprofile!$B$17:$B$22,"Halle",Nutzungsprofile!$G$17:$G$22)*Kalender!D22/SUM(Kalender!$D$5:$D$370),0)+IFERROR(SUMIF(Nutzungsprofile!$B$17:$B$22,"Individuell",Nutzungsprofile!$G$17:$G$22)*Kalender!E22/SUM(Kalender!$E$5:$E$370),0))*Szenarien!$D$19,0)</f>
        <v>1.068</v>
      </c>
      <c r="E2950" s="13" t="n">
        <f aca="false">IFERROR(MIN(C2950,Eingaben!$B$17)*Eingaben!$B$16,0)</f>
        <v>1.938</v>
      </c>
      <c r="F2950" s="13" t="n">
        <f aca="false">IFERROR(E2950*Eingaben!$B$15,0)</f>
        <v>1.7442</v>
      </c>
      <c r="G2950" s="13" t="n">
        <f aca="false">IFERROR(IF(Kalender!A22="",0,J2949*(1-Eingaben!$B$20)),0)</f>
        <v>1.386923244</v>
      </c>
      <c r="H2950" s="13" t="n">
        <f aca="false">MIN(G2950,D2950)</f>
        <v>1.068</v>
      </c>
      <c r="I2950" s="13" t="n">
        <f aca="false">IFERROR(MIN(F2950*Eingaben!$B$19,MAX(0,D2950-H2950)),0)</f>
        <v>0</v>
      </c>
      <c r="J2950" s="13" t="n">
        <f aca="false">IFERROR(MIN(Eingaben!$B$18,MAX(0,F2950-I2950)),0)</f>
        <v>1.7442</v>
      </c>
      <c r="K2950" s="13" t="n">
        <f aca="false">H2950+I2950</f>
        <v>1.068</v>
      </c>
      <c r="L2950" s="13" t="n">
        <f aca="false">MAX(0,D2950-K2950)</f>
        <v>0</v>
      </c>
      <c r="M2950" s="13" t="n">
        <f aca="false">MAX(0,F2950-I2950-J2950)</f>
        <v>0</v>
      </c>
      <c r="N2950" s="13" t="n">
        <f aca="false">IF(Kalender!A22="",0,J2949-H2950)</f>
        <v>0.3472278</v>
      </c>
    </row>
    <row r="2951" customFormat="false" ht="16.4" hidden="false" customHeight="false" outlineLevel="0" collapsed="false">
      <c r="A2951" s="13" t="str">
        <f aca="false">""</f>
        <v/>
      </c>
      <c r="B2951" s="13" t="n">
        <f aca="false">19</f>
        <v>19</v>
      </c>
      <c r="C2951" s="13" t="n">
        <f aca="false">IF(Szenarien!$H$19="OK",(IFERROR(SUMIF(Nutzungsprofile!$B$6:$B$11,"Schulbetrieb",Nutzungsprofile!$G$6:$G$11)*Kalender!C23/SUM(Kalender!$C$5:$C$370),0)+IFERROR(SUMIF(Nutzungsprofile!$B$6:$B$11,"Halle",Nutzungsprofile!$G$6:$G$11)*Kalender!D23/SUM(Kalender!$D$5:$D$370),0)+IFERROR(SUMIF(Nutzungsprofile!$B$6:$B$11,"Individuell",Nutzungsprofile!$G$6:$G$11)*Kalender!E23/SUM(Kalender!$E$5:$E$370),0))*Szenarien!$E$19,0)</f>
        <v>2.94</v>
      </c>
      <c r="D2951" s="13" t="n">
        <f aca="false">IF(Szenarien!$H$19="OK",(IFERROR(SUMIF(Nutzungsprofile!$B$17:$B$22,"Schulbetrieb",Nutzungsprofile!$G$17:$G$22)*Kalender!C23/SUM(Kalender!$C$5:$C$370),0)+IFERROR(SUMIF(Nutzungsprofile!$B$17:$B$22,"Halle",Nutzungsprofile!$G$17:$G$22)*Kalender!D23/SUM(Kalender!$D$5:$D$370),0)+IFERROR(SUMIF(Nutzungsprofile!$B$17:$B$22,"Individuell",Nutzungsprofile!$G$17:$G$22)*Kalender!E23/SUM(Kalender!$E$5:$E$370),0))*Szenarien!$D$19,0)</f>
        <v>5.928</v>
      </c>
      <c r="E2951" s="13" t="n">
        <f aca="false">IFERROR(MIN(C2951,Eingaben!$B$17)*Eingaben!$B$16,0)</f>
        <v>2.793</v>
      </c>
      <c r="F2951" s="13" t="n">
        <f aca="false">IFERROR(E2951*Eingaben!$B$15,0)</f>
        <v>2.5137</v>
      </c>
      <c r="G2951" s="13" t="n">
        <f aca="false">IFERROR(IF(Kalender!A23="",0,J2950*(1-Eingaben!$B$20)),0)</f>
        <v>1.709316</v>
      </c>
      <c r="H2951" s="13" t="n">
        <f aca="false">MIN(G2951,D2951)</f>
        <v>1.709316</v>
      </c>
      <c r="I2951" s="13" t="n">
        <f aca="false">IFERROR(MIN(F2951*Eingaben!$B$19,MAX(0,D2951-H2951)),0)</f>
        <v>1.75959</v>
      </c>
      <c r="J2951" s="13" t="n">
        <f aca="false">IFERROR(MIN(Eingaben!$B$18,MAX(0,F2951-I2951)),0)</f>
        <v>0.75411</v>
      </c>
      <c r="K2951" s="13" t="n">
        <f aca="false">H2951+I2951</f>
        <v>3.468906</v>
      </c>
      <c r="L2951" s="13" t="n">
        <f aca="false">MAX(0,D2951-K2951)</f>
        <v>2.459094</v>
      </c>
      <c r="M2951" s="13" t="n">
        <f aca="false">MAX(0,F2951-I2951-J2951)</f>
        <v>0</v>
      </c>
      <c r="N2951" s="13" t="n">
        <f aca="false">IF(Kalender!A23="",0,J2950-H2951)</f>
        <v>0.0348840000000001</v>
      </c>
    </row>
    <row r="2952" customFormat="false" ht="16.4" hidden="false" customHeight="false" outlineLevel="0" collapsed="false">
      <c r="A2952" s="13" t="str">
        <f aca="false">""</f>
        <v/>
      </c>
      <c r="B2952" s="13" t="n">
        <f aca="false">20</f>
        <v>20</v>
      </c>
      <c r="C2952" s="13" t="n">
        <f aca="false">IF(Szenarien!$H$19="OK",(IFERROR(SUMIF(Nutzungsprofile!$B$6:$B$11,"Schulbetrieb",Nutzungsprofile!$G$6:$G$11)*Kalender!C24/SUM(Kalender!$C$5:$C$370),0)+IFERROR(SUMIF(Nutzungsprofile!$B$6:$B$11,"Halle",Nutzungsprofile!$G$6:$G$11)*Kalender!D24/SUM(Kalender!$D$5:$D$370),0)+IFERROR(SUMIF(Nutzungsprofile!$B$6:$B$11,"Individuell",Nutzungsprofile!$G$6:$G$11)*Kalender!E24/SUM(Kalender!$E$5:$E$370),0))*Szenarien!$E$19,0)</f>
        <v>2.94</v>
      </c>
      <c r="D2952" s="13" t="n">
        <f aca="false">IF(Szenarien!$H$19="OK",(IFERROR(SUMIF(Nutzungsprofile!$B$17:$B$22,"Schulbetrieb",Nutzungsprofile!$G$17:$G$22)*Kalender!C24/SUM(Kalender!$C$5:$C$370),0)+IFERROR(SUMIF(Nutzungsprofile!$B$17:$B$22,"Halle",Nutzungsprofile!$G$17:$G$22)*Kalender!D24/SUM(Kalender!$D$5:$D$370),0)+IFERROR(SUMIF(Nutzungsprofile!$B$17:$B$22,"Individuell",Nutzungsprofile!$G$17:$G$22)*Kalender!E24/SUM(Kalender!$E$5:$E$370),0))*Szenarien!$D$19,0)</f>
        <v>5.928</v>
      </c>
      <c r="E2952" s="13" t="n">
        <f aca="false">IFERROR(MIN(C2952,Eingaben!$B$17)*Eingaben!$B$16,0)</f>
        <v>2.793</v>
      </c>
      <c r="F2952" s="13" t="n">
        <f aca="false">IFERROR(E2952*Eingaben!$B$15,0)</f>
        <v>2.5137</v>
      </c>
      <c r="G2952" s="13" t="n">
        <f aca="false">IFERROR(IF(Kalender!A24="",0,J2951*(1-Eingaben!$B$20)),0)</f>
        <v>0.7390278</v>
      </c>
      <c r="H2952" s="13" t="n">
        <f aca="false">MIN(G2952,D2952)</f>
        <v>0.7390278</v>
      </c>
      <c r="I2952" s="13" t="n">
        <f aca="false">IFERROR(MIN(F2952*Eingaben!$B$19,MAX(0,D2952-H2952)),0)</f>
        <v>1.75959</v>
      </c>
      <c r="J2952" s="13" t="n">
        <f aca="false">IFERROR(MIN(Eingaben!$B$18,MAX(0,F2952-I2952)),0)</f>
        <v>0.75411</v>
      </c>
      <c r="K2952" s="13" t="n">
        <f aca="false">H2952+I2952</f>
        <v>2.4986178</v>
      </c>
      <c r="L2952" s="13" t="n">
        <f aca="false">MAX(0,D2952-K2952)</f>
        <v>3.4293822</v>
      </c>
      <c r="M2952" s="13" t="n">
        <f aca="false">MAX(0,F2952-I2952-J2952)</f>
        <v>0</v>
      </c>
      <c r="N2952" s="13" t="n">
        <f aca="false">IF(Kalender!A24="",0,J2951-H2952)</f>
        <v>0.0150822</v>
      </c>
    </row>
    <row r="2953" customFormat="false" ht="16.4" hidden="false" customHeight="false" outlineLevel="0" collapsed="false">
      <c r="A2953" s="13" t="str">
        <f aca="false">""</f>
        <v/>
      </c>
      <c r="B2953" s="13" t="n">
        <f aca="false">21</f>
        <v>21</v>
      </c>
      <c r="C2953" s="13" t="n">
        <f aca="false">IF(Szenarien!$H$19="OK",(IFERROR(SUMIF(Nutzungsprofile!$B$6:$B$11,"Schulbetrieb",Nutzungsprofile!$G$6:$G$11)*Kalender!C25/SUM(Kalender!$C$5:$C$370),0)+IFERROR(SUMIF(Nutzungsprofile!$B$6:$B$11,"Halle",Nutzungsprofile!$G$6:$G$11)*Kalender!D25/SUM(Kalender!$D$5:$D$370),0)+IFERROR(SUMIF(Nutzungsprofile!$B$6:$B$11,"Individuell",Nutzungsprofile!$G$6:$G$11)*Kalender!E25/SUM(Kalender!$E$5:$E$370),0))*Szenarien!$E$19,0)</f>
        <v>2.94</v>
      </c>
      <c r="D2953" s="13" t="n">
        <f aca="false">IF(Szenarien!$H$19="OK",(IFERROR(SUMIF(Nutzungsprofile!$B$17:$B$22,"Schulbetrieb",Nutzungsprofile!$G$17:$G$22)*Kalender!C25/SUM(Kalender!$C$5:$C$370),0)+IFERROR(SUMIF(Nutzungsprofile!$B$17:$B$22,"Halle",Nutzungsprofile!$G$17:$G$22)*Kalender!D25/SUM(Kalender!$D$5:$D$370),0)+IFERROR(SUMIF(Nutzungsprofile!$B$17:$B$22,"Individuell",Nutzungsprofile!$G$17:$G$22)*Kalender!E25/SUM(Kalender!$E$5:$E$370),0))*Szenarien!$D$19,0)</f>
        <v>5.928</v>
      </c>
      <c r="E2953" s="13" t="n">
        <f aca="false">IFERROR(MIN(C2953,Eingaben!$B$17)*Eingaben!$B$16,0)</f>
        <v>2.793</v>
      </c>
      <c r="F2953" s="13" t="n">
        <f aca="false">IFERROR(E2953*Eingaben!$B$15,0)</f>
        <v>2.5137</v>
      </c>
      <c r="G2953" s="13" t="n">
        <f aca="false">IFERROR(IF(Kalender!A25="",0,J2952*(1-Eingaben!$B$20)),0)</f>
        <v>0.7390278</v>
      </c>
      <c r="H2953" s="13" t="n">
        <f aca="false">MIN(G2953,D2953)</f>
        <v>0.7390278</v>
      </c>
      <c r="I2953" s="13" t="n">
        <f aca="false">IFERROR(MIN(F2953*Eingaben!$B$19,MAX(0,D2953-H2953)),0)</f>
        <v>1.75959</v>
      </c>
      <c r="J2953" s="13" t="n">
        <f aca="false">IFERROR(MIN(Eingaben!$B$18,MAX(0,F2953-I2953)),0)</f>
        <v>0.75411</v>
      </c>
      <c r="K2953" s="13" t="n">
        <f aca="false">H2953+I2953</f>
        <v>2.4986178</v>
      </c>
      <c r="L2953" s="13" t="n">
        <f aca="false">MAX(0,D2953-K2953)</f>
        <v>3.4293822</v>
      </c>
      <c r="M2953" s="13" t="n">
        <f aca="false">MAX(0,F2953-I2953-J2953)</f>
        <v>0</v>
      </c>
      <c r="N2953" s="13" t="n">
        <f aca="false">IF(Kalender!A25="",0,J2952-H2953)</f>
        <v>0.0150822</v>
      </c>
    </row>
    <row r="2954" customFormat="false" ht="16.4" hidden="false" customHeight="false" outlineLevel="0" collapsed="false">
      <c r="A2954" s="13" t="str">
        <f aca="false">""</f>
        <v/>
      </c>
      <c r="B2954" s="13" t="n">
        <f aca="false">22</f>
        <v>22</v>
      </c>
      <c r="C2954" s="13" t="n">
        <f aca="false">IF(Szenarien!$H$19="OK",(IFERROR(SUMIF(Nutzungsprofile!$B$6:$B$11,"Schulbetrieb",Nutzungsprofile!$G$6:$G$11)*Kalender!C26/SUM(Kalender!$C$5:$C$370),0)+IFERROR(SUMIF(Nutzungsprofile!$B$6:$B$11,"Halle",Nutzungsprofile!$G$6:$G$11)*Kalender!D26/SUM(Kalender!$D$5:$D$370),0)+IFERROR(SUMIF(Nutzungsprofile!$B$6:$B$11,"Individuell",Nutzungsprofile!$G$6:$G$11)*Kalender!E26/SUM(Kalender!$E$5:$E$370),0))*Szenarien!$E$19,0)</f>
        <v>2.94</v>
      </c>
      <c r="D2954" s="13" t="n">
        <f aca="false">IF(Szenarien!$H$19="OK",(IFERROR(SUMIF(Nutzungsprofile!$B$17:$B$22,"Schulbetrieb",Nutzungsprofile!$G$17:$G$22)*Kalender!C26/SUM(Kalender!$C$5:$C$370),0)+IFERROR(SUMIF(Nutzungsprofile!$B$17:$B$22,"Halle",Nutzungsprofile!$G$17:$G$22)*Kalender!D26/SUM(Kalender!$D$5:$D$370),0)+IFERROR(SUMIF(Nutzungsprofile!$B$17:$B$22,"Individuell",Nutzungsprofile!$G$17:$G$22)*Kalender!E26/SUM(Kalender!$E$5:$E$370),0))*Szenarien!$D$19,0)</f>
        <v>5.928</v>
      </c>
      <c r="E2954" s="13" t="n">
        <f aca="false">IFERROR(MIN(C2954,Eingaben!$B$17)*Eingaben!$B$16,0)</f>
        <v>2.793</v>
      </c>
      <c r="F2954" s="13" t="n">
        <f aca="false">IFERROR(E2954*Eingaben!$B$15,0)</f>
        <v>2.5137</v>
      </c>
      <c r="G2954" s="13" t="n">
        <f aca="false">IFERROR(IF(Kalender!A26="",0,J2953*(1-Eingaben!$B$20)),0)</f>
        <v>0.7390278</v>
      </c>
      <c r="H2954" s="13" t="n">
        <f aca="false">MIN(G2954,D2954)</f>
        <v>0.7390278</v>
      </c>
      <c r="I2954" s="13" t="n">
        <f aca="false">IFERROR(MIN(F2954*Eingaben!$B$19,MAX(0,D2954-H2954)),0)</f>
        <v>1.75959</v>
      </c>
      <c r="J2954" s="13" t="n">
        <f aca="false">IFERROR(MIN(Eingaben!$B$18,MAX(0,F2954-I2954)),0)</f>
        <v>0.75411</v>
      </c>
      <c r="K2954" s="13" t="n">
        <f aca="false">H2954+I2954</f>
        <v>2.4986178</v>
      </c>
      <c r="L2954" s="13" t="n">
        <f aca="false">MAX(0,D2954-K2954)</f>
        <v>3.4293822</v>
      </c>
      <c r="M2954" s="13" t="n">
        <f aca="false">MAX(0,F2954-I2954-J2954)</f>
        <v>0</v>
      </c>
      <c r="N2954" s="13" t="n">
        <f aca="false">IF(Kalender!A26="",0,J2953-H2954)</f>
        <v>0.0150822</v>
      </c>
    </row>
    <row r="2955" customFormat="false" ht="16.4" hidden="false" customHeight="false" outlineLevel="0" collapsed="false">
      <c r="A2955" s="13" t="str">
        <f aca="false">""</f>
        <v/>
      </c>
      <c r="B2955" s="13" t="n">
        <f aca="false">23</f>
        <v>23</v>
      </c>
      <c r="C2955" s="13" t="n">
        <f aca="false">IF(Szenarien!$H$19="OK",(IFERROR(SUMIF(Nutzungsprofile!$B$6:$B$11,"Schulbetrieb",Nutzungsprofile!$G$6:$G$11)*Kalender!C27/SUM(Kalender!$C$5:$C$370),0)+IFERROR(SUMIF(Nutzungsprofile!$B$6:$B$11,"Halle",Nutzungsprofile!$G$6:$G$11)*Kalender!D27/SUM(Kalender!$D$5:$D$370),0)+IFERROR(SUMIF(Nutzungsprofile!$B$6:$B$11,"Individuell",Nutzungsprofile!$G$6:$G$11)*Kalender!E27/SUM(Kalender!$E$5:$E$370),0))*Szenarien!$E$19,0)</f>
        <v>2.94</v>
      </c>
      <c r="D2955" s="13" t="n">
        <f aca="false">IF(Szenarien!$H$19="OK",(IFERROR(SUMIF(Nutzungsprofile!$B$17:$B$22,"Schulbetrieb",Nutzungsprofile!$G$17:$G$22)*Kalender!C27/SUM(Kalender!$C$5:$C$370),0)+IFERROR(SUMIF(Nutzungsprofile!$B$17:$B$22,"Halle",Nutzungsprofile!$G$17:$G$22)*Kalender!D27/SUM(Kalender!$D$5:$D$370),0)+IFERROR(SUMIF(Nutzungsprofile!$B$17:$B$22,"Individuell",Nutzungsprofile!$G$17:$G$22)*Kalender!E27/SUM(Kalender!$E$5:$E$370),0))*Szenarien!$D$19,0)</f>
        <v>5.928</v>
      </c>
      <c r="E2955" s="13" t="n">
        <f aca="false">IFERROR(MIN(C2955,Eingaben!$B$17)*Eingaben!$B$16,0)</f>
        <v>2.793</v>
      </c>
      <c r="F2955" s="13" t="n">
        <f aca="false">IFERROR(E2955*Eingaben!$B$15,0)</f>
        <v>2.5137</v>
      </c>
      <c r="G2955" s="13" t="n">
        <f aca="false">IFERROR(IF(Kalender!A27="",0,J2954*(1-Eingaben!$B$20)),0)</f>
        <v>0.7390278</v>
      </c>
      <c r="H2955" s="13" t="n">
        <f aca="false">MIN(G2955,D2955)</f>
        <v>0.7390278</v>
      </c>
      <c r="I2955" s="13" t="n">
        <f aca="false">IFERROR(MIN(F2955*Eingaben!$B$19,MAX(0,D2955-H2955)),0)</f>
        <v>1.75959</v>
      </c>
      <c r="J2955" s="13" t="n">
        <f aca="false">IFERROR(MIN(Eingaben!$B$18,MAX(0,F2955-I2955)),0)</f>
        <v>0.75411</v>
      </c>
      <c r="K2955" s="13" t="n">
        <f aca="false">H2955+I2955</f>
        <v>2.4986178</v>
      </c>
      <c r="L2955" s="13" t="n">
        <f aca="false">MAX(0,D2955-K2955)</f>
        <v>3.4293822</v>
      </c>
      <c r="M2955" s="13" t="n">
        <f aca="false">MAX(0,F2955-I2955-J2955)</f>
        <v>0</v>
      </c>
      <c r="N2955" s="13" t="n">
        <f aca="false">IF(Kalender!A27="",0,J2954-H2955)</f>
        <v>0.0150822</v>
      </c>
    </row>
    <row r="2956" customFormat="false" ht="16.4" hidden="false" customHeight="false" outlineLevel="0" collapsed="false">
      <c r="A2956" s="13" t="str">
        <f aca="false">""</f>
        <v/>
      </c>
      <c r="B2956" s="13" t="n">
        <f aca="false">24</f>
        <v>24</v>
      </c>
      <c r="C2956" s="13" t="n">
        <f aca="false">IF(Szenarien!$H$19="OK",(IFERROR(SUMIF(Nutzungsprofile!$B$6:$B$11,"Schulbetrieb",Nutzungsprofile!$G$6:$G$11)*Kalender!C28/SUM(Kalender!$C$5:$C$370),0)+IFERROR(SUMIF(Nutzungsprofile!$B$6:$B$11,"Halle",Nutzungsprofile!$G$6:$G$11)*Kalender!D28/SUM(Kalender!$D$5:$D$370),0)+IFERROR(SUMIF(Nutzungsprofile!$B$6:$B$11,"Individuell",Nutzungsprofile!$G$6:$G$11)*Kalender!E28/SUM(Kalender!$E$5:$E$370),0))*Szenarien!$E$19,0)</f>
        <v>2.04</v>
      </c>
      <c r="D2956" s="13" t="n">
        <f aca="false">IF(Szenarien!$H$19="OK",(IFERROR(SUMIF(Nutzungsprofile!$B$17:$B$22,"Schulbetrieb",Nutzungsprofile!$G$17:$G$22)*Kalender!C28/SUM(Kalender!$C$5:$C$370),0)+IFERROR(SUMIF(Nutzungsprofile!$B$17:$B$22,"Halle",Nutzungsprofile!$G$17:$G$22)*Kalender!D28/SUM(Kalender!$D$5:$D$370),0)+IFERROR(SUMIF(Nutzungsprofile!$B$17:$B$22,"Individuell",Nutzungsprofile!$G$17:$G$22)*Kalender!E28/SUM(Kalender!$E$5:$E$370),0))*Szenarien!$D$19,0)</f>
        <v>1.068</v>
      </c>
      <c r="E2956" s="13" t="n">
        <f aca="false">IFERROR(MIN(C2956,Eingaben!$B$17)*Eingaben!$B$16,0)</f>
        <v>1.938</v>
      </c>
      <c r="F2956" s="13" t="n">
        <f aca="false">IFERROR(E2956*Eingaben!$B$15,0)</f>
        <v>1.7442</v>
      </c>
      <c r="G2956" s="13" t="n">
        <f aca="false">IFERROR(IF(Kalender!A28="",0,J2955*(1-Eingaben!$B$20)),0)</f>
        <v>0.7390278</v>
      </c>
      <c r="H2956" s="13" t="n">
        <f aca="false">MIN(G2956,D2956)</f>
        <v>0.7390278</v>
      </c>
      <c r="I2956" s="13" t="n">
        <f aca="false">IFERROR(MIN(F2956*Eingaben!$B$19,MAX(0,D2956-H2956)),0)</f>
        <v>0.3289722</v>
      </c>
      <c r="J2956" s="13" t="n">
        <f aca="false">IFERROR(MIN(Eingaben!$B$18,MAX(0,F2956-I2956)),0)</f>
        <v>1.4152278</v>
      </c>
      <c r="K2956" s="13" t="n">
        <f aca="false">H2956+I2956</f>
        <v>1.068</v>
      </c>
      <c r="L2956" s="13" t="n">
        <f aca="false">MAX(0,D2956-K2956)</f>
        <v>0</v>
      </c>
      <c r="M2956" s="13" t="n">
        <f aca="false">MAX(0,F2956-I2956-J2956)</f>
        <v>0</v>
      </c>
      <c r="N2956" s="13" t="n">
        <f aca="false">IF(Kalender!A28="",0,J2955-H2956)</f>
        <v>0.0150822</v>
      </c>
    </row>
    <row r="2957" customFormat="false" ht="16.4" hidden="false" customHeight="false" outlineLevel="0" collapsed="false">
      <c r="A2957" s="13" t="str">
        <f aca="false">""</f>
        <v/>
      </c>
      <c r="B2957" s="13" t="n">
        <f aca="false">25</f>
        <v>25</v>
      </c>
      <c r="C2957" s="13" t="n">
        <f aca="false">IF(Szenarien!$H$19="OK",(IFERROR(SUMIF(Nutzungsprofile!$B$6:$B$11,"Schulbetrieb",Nutzungsprofile!$G$6:$G$11)*Kalender!C29/SUM(Kalender!$C$5:$C$370),0)+IFERROR(SUMIF(Nutzungsprofile!$B$6:$B$11,"Halle",Nutzungsprofile!$G$6:$G$11)*Kalender!D29/SUM(Kalender!$D$5:$D$370),0)+IFERROR(SUMIF(Nutzungsprofile!$B$6:$B$11,"Individuell",Nutzungsprofile!$G$6:$G$11)*Kalender!E29/SUM(Kalender!$E$5:$E$370),0))*Szenarien!$E$19,0)</f>
        <v>2.04</v>
      </c>
      <c r="D2957" s="13" t="n">
        <f aca="false">IF(Szenarien!$H$19="OK",(IFERROR(SUMIF(Nutzungsprofile!$B$17:$B$22,"Schulbetrieb",Nutzungsprofile!$G$17:$G$22)*Kalender!C29/SUM(Kalender!$C$5:$C$370),0)+IFERROR(SUMIF(Nutzungsprofile!$B$17:$B$22,"Halle",Nutzungsprofile!$G$17:$G$22)*Kalender!D29/SUM(Kalender!$D$5:$D$370),0)+IFERROR(SUMIF(Nutzungsprofile!$B$17:$B$22,"Individuell",Nutzungsprofile!$G$17:$G$22)*Kalender!E29/SUM(Kalender!$E$5:$E$370),0))*Szenarien!$D$19,0)</f>
        <v>1.068</v>
      </c>
      <c r="E2957" s="13" t="n">
        <f aca="false">IFERROR(MIN(C2957,Eingaben!$B$17)*Eingaben!$B$16,0)</f>
        <v>1.938</v>
      </c>
      <c r="F2957" s="13" t="n">
        <f aca="false">IFERROR(E2957*Eingaben!$B$15,0)</f>
        <v>1.7442</v>
      </c>
      <c r="G2957" s="13" t="n">
        <f aca="false">IFERROR(IF(Kalender!A29="",0,J2956*(1-Eingaben!$B$20)),0)</f>
        <v>1.386923244</v>
      </c>
      <c r="H2957" s="13" t="n">
        <f aca="false">MIN(G2957,D2957)</f>
        <v>1.068</v>
      </c>
      <c r="I2957" s="13" t="n">
        <f aca="false">IFERROR(MIN(F2957*Eingaben!$B$19,MAX(0,D2957-H2957)),0)</f>
        <v>0</v>
      </c>
      <c r="J2957" s="13" t="n">
        <f aca="false">IFERROR(MIN(Eingaben!$B$18,MAX(0,F2957-I2957)),0)</f>
        <v>1.7442</v>
      </c>
      <c r="K2957" s="13" t="n">
        <f aca="false">H2957+I2957</f>
        <v>1.068</v>
      </c>
      <c r="L2957" s="13" t="n">
        <f aca="false">MAX(0,D2957-K2957)</f>
        <v>0</v>
      </c>
      <c r="M2957" s="13" t="n">
        <f aca="false">MAX(0,F2957-I2957-J2957)</f>
        <v>0</v>
      </c>
      <c r="N2957" s="13" t="n">
        <f aca="false">IF(Kalender!A29="",0,J2956-H2957)</f>
        <v>0.3472278</v>
      </c>
    </row>
    <row r="2958" customFormat="false" ht="16.4" hidden="false" customHeight="false" outlineLevel="0" collapsed="false">
      <c r="A2958" s="13" t="str">
        <f aca="false">""</f>
        <v/>
      </c>
      <c r="B2958" s="13" t="n">
        <f aca="false">26</f>
        <v>26</v>
      </c>
      <c r="C2958" s="13" t="n">
        <f aca="false">IF(Szenarien!$H$19="OK",(IFERROR(SUMIF(Nutzungsprofile!$B$6:$B$11,"Schulbetrieb",Nutzungsprofile!$G$6:$G$11)*Kalender!C30/SUM(Kalender!$C$5:$C$370),0)+IFERROR(SUMIF(Nutzungsprofile!$B$6:$B$11,"Halle",Nutzungsprofile!$G$6:$G$11)*Kalender!D30/SUM(Kalender!$D$5:$D$370),0)+IFERROR(SUMIF(Nutzungsprofile!$B$6:$B$11,"Individuell",Nutzungsprofile!$G$6:$G$11)*Kalender!E30/SUM(Kalender!$E$5:$E$370),0))*Szenarien!$E$19,0)</f>
        <v>2.94</v>
      </c>
      <c r="D2958" s="13" t="n">
        <f aca="false">IF(Szenarien!$H$19="OK",(IFERROR(SUMIF(Nutzungsprofile!$B$17:$B$22,"Schulbetrieb",Nutzungsprofile!$G$17:$G$22)*Kalender!C30/SUM(Kalender!$C$5:$C$370),0)+IFERROR(SUMIF(Nutzungsprofile!$B$17:$B$22,"Halle",Nutzungsprofile!$G$17:$G$22)*Kalender!D30/SUM(Kalender!$D$5:$D$370),0)+IFERROR(SUMIF(Nutzungsprofile!$B$17:$B$22,"Individuell",Nutzungsprofile!$G$17:$G$22)*Kalender!E30/SUM(Kalender!$E$5:$E$370),0))*Szenarien!$D$19,0)</f>
        <v>5.928</v>
      </c>
      <c r="E2958" s="13" t="n">
        <f aca="false">IFERROR(MIN(C2958,Eingaben!$B$17)*Eingaben!$B$16,0)</f>
        <v>2.793</v>
      </c>
      <c r="F2958" s="13" t="n">
        <f aca="false">IFERROR(E2958*Eingaben!$B$15,0)</f>
        <v>2.5137</v>
      </c>
      <c r="G2958" s="13" t="n">
        <f aca="false">IFERROR(IF(Kalender!A30="",0,J2957*(1-Eingaben!$B$20)),0)</f>
        <v>1.709316</v>
      </c>
      <c r="H2958" s="13" t="n">
        <f aca="false">MIN(G2958,D2958)</f>
        <v>1.709316</v>
      </c>
      <c r="I2958" s="13" t="n">
        <f aca="false">IFERROR(MIN(F2958*Eingaben!$B$19,MAX(0,D2958-H2958)),0)</f>
        <v>1.75959</v>
      </c>
      <c r="J2958" s="13" t="n">
        <f aca="false">IFERROR(MIN(Eingaben!$B$18,MAX(0,F2958-I2958)),0)</f>
        <v>0.75411</v>
      </c>
      <c r="K2958" s="13" t="n">
        <f aca="false">H2958+I2958</f>
        <v>3.468906</v>
      </c>
      <c r="L2958" s="13" t="n">
        <f aca="false">MAX(0,D2958-K2958)</f>
        <v>2.459094</v>
      </c>
      <c r="M2958" s="13" t="n">
        <f aca="false">MAX(0,F2958-I2958-J2958)</f>
        <v>0</v>
      </c>
      <c r="N2958" s="13" t="n">
        <f aca="false">IF(Kalender!A30="",0,J2957-H2958)</f>
        <v>0.0348840000000001</v>
      </c>
    </row>
    <row r="2959" customFormat="false" ht="16.4" hidden="false" customHeight="false" outlineLevel="0" collapsed="false">
      <c r="A2959" s="13" t="str">
        <f aca="false">""</f>
        <v/>
      </c>
      <c r="B2959" s="13" t="n">
        <f aca="false">27</f>
        <v>27</v>
      </c>
      <c r="C2959" s="13" t="n">
        <f aca="false">IF(Szenarien!$H$19="OK",(IFERROR(SUMIF(Nutzungsprofile!$B$6:$B$11,"Schulbetrieb",Nutzungsprofile!$G$6:$G$11)*Kalender!C31/SUM(Kalender!$C$5:$C$370),0)+IFERROR(SUMIF(Nutzungsprofile!$B$6:$B$11,"Halle",Nutzungsprofile!$G$6:$G$11)*Kalender!D31/SUM(Kalender!$D$5:$D$370),0)+IFERROR(SUMIF(Nutzungsprofile!$B$6:$B$11,"Individuell",Nutzungsprofile!$G$6:$G$11)*Kalender!E31/SUM(Kalender!$E$5:$E$370),0))*Szenarien!$E$19,0)</f>
        <v>2.94</v>
      </c>
      <c r="D2959" s="13" t="n">
        <f aca="false">IF(Szenarien!$H$19="OK",(IFERROR(SUMIF(Nutzungsprofile!$B$17:$B$22,"Schulbetrieb",Nutzungsprofile!$G$17:$G$22)*Kalender!C31/SUM(Kalender!$C$5:$C$370),0)+IFERROR(SUMIF(Nutzungsprofile!$B$17:$B$22,"Halle",Nutzungsprofile!$G$17:$G$22)*Kalender!D31/SUM(Kalender!$D$5:$D$370),0)+IFERROR(SUMIF(Nutzungsprofile!$B$17:$B$22,"Individuell",Nutzungsprofile!$G$17:$G$22)*Kalender!E31/SUM(Kalender!$E$5:$E$370),0))*Szenarien!$D$19,0)</f>
        <v>5.928</v>
      </c>
      <c r="E2959" s="13" t="n">
        <f aca="false">IFERROR(MIN(C2959,Eingaben!$B$17)*Eingaben!$B$16,0)</f>
        <v>2.793</v>
      </c>
      <c r="F2959" s="13" t="n">
        <f aca="false">IFERROR(E2959*Eingaben!$B$15,0)</f>
        <v>2.5137</v>
      </c>
      <c r="G2959" s="13" t="n">
        <f aca="false">IFERROR(IF(Kalender!A31="",0,J2958*(1-Eingaben!$B$20)),0)</f>
        <v>0.7390278</v>
      </c>
      <c r="H2959" s="13" t="n">
        <f aca="false">MIN(G2959,D2959)</f>
        <v>0.7390278</v>
      </c>
      <c r="I2959" s="13" t="n">
        <f aca="false">IFERROR(MIN(F2959*Eingaben!$B$19,MAX(0,D2959-H2959)),0)</f>
        <v>1.75959</v>
      </c>
      <c r="J2959" s="13" t="n">
        <f aca="false">IFERROR(MIN(Eingaben!$B$18,MAX(0,F2959-I2959)),0)</f>
        <v>0.75411</v>
      </c>
      <c r="K2959" s="13" t="n">
        <f aca="false">H2959+I2959</f>
        <v>2.4986178</v>
      </c>
      <c r="L2959" s="13" t="n">
        <f aca="false">MAX(0,D2959-K2959)</f>
        <v>3.4293822</v>
      </c>
      <c r="M2959" s="13" t="n">
        <f aca="false">MAX(0,F2959-I2959-J2959)</f>
        <v>0</v>
      </c>
      <c r="N2959" s="13" t="n">
        <f aca="false">IF(Kalender!A31="",0,J2958-H2959)</f>
        <v>0.0150822</v>
      </c>
    </row>
    <row r="2960" customFormat="false" ht="16.4" hidden="false" customHeight="false" outlineLevel="0" collapsed="false">
      <c r="A2960" s="13" t="str">
        <f aca="false">""</f>
        <v/>
      </c>
      <c r="B2960" s="13" t="n">
        <f aca="false">28</f>
        <v>28</v>
      </c>
      <c r="C2960" s="13" t="n">
        <f aca="false">IF(Szenarien!$H$19="OK",(IFERROR(SUMIF(Nutzungsprofile!$B$6:$B$11,"Schulbetrieb",Nutzungsprofile!$G$6:$G$11)*Kalender!C32/SUM(Kalender!$C$5:$C$370),0)+IFERROR(SUMIF(Nutzungsprofile!$B$6:$B$11,"Halle",Nutzungsprofile!$G$6:$G$11)*Kalender!D32/SUM(Kalender!$D$5:$D$370),0)+IFERROR(SUMIF(Nutzungsprofile!$B$6:$B$11,"Individuell",Nutzungsprofile!$G$6:$G$11)*Kalender!E32/SUM(Kalender!$E$5:$E$370),0))*Szenarien!$E$19,0)</f>
        <v>2.94</v>
      </c>
      <c r="D2960" s="13" t="n">
        <f aca="false">IF(Szenarien!$H$19="OK",(IFERROR(SUMIF(Nutzungsprofile!$B$17:$B$22,"Schulbetrieb",Nutzungsprofile!$G$17:$G$22)*Kalender!C32/SUM(Kalender!$C$5:$C$370),0)+IFERROR(SUMIF(Nutzungsprofile!$B$17:$B$22,"Halle",Nutzungsprofile!$G$17:$G$22)*Kalender!D32/SUM(Kalender!$D$5:$D$370),0)+IFERROR(SUMIF(Nutzungsprofile!$B$17:$B$22,"Individuell",Nutzungsprofile!$G$17:$G$22)*Kalender!E32/SUM(Kalender!$E$5:$E$370),0))*Szenarien!$D$19,0)</f>
        <v>5.928</v>
      </c>
      <c r="E2960" s="13" t="n">
        <f aca="false">IFERROR(MIN(C2960,Eingaben!$B$17)*Eingaben!$B$16,0)</f>
        <v>2.793</v>
      </c>
      <c r="F2960" s="13" t="n">
        <f aca="false">IFERROR(E2960*Eingaben!$B$15,0)</f>
        <v>2.5137</v>
      </c>
      <c r="G2960" s="13" t="n">
        <f aca="false">IFERROR(IF(Kalender!A32="",0,J2959*(1-Eingaben!$B$20)),0)</f>
        <v>0.7390278</v>
      </c>
      <c r="H2960" s="13" t="n">
        <f aca="false">MIN(G2960,D2960)</f>
        <v>0.7390278</v>
      </c>
      <c r="I2960" s="13" t="n">
        <f aca="false">IFERROR(MIN(F2960*Eingaben!$B$19,MAX(0,D2960-H2960)),0)</f>
        <v>1.75959</v>
      </c>
      <c r="J2960" s="13" t="n">
        <f aca="false">IFERROR(MIN(Eingaben!$B$18,MAX(0,F2960-I2960)),0)</f>
        <v>0.75411</v>
      </c>
      <c r="K2960" s="13" t="n">
        <f aca="false">H2960+I2960</f>
        <v>2.4986178</v>
      </c>
      <c r="L2960" s="13" t="n">
        <f aca="false">MAX(0,D2960-K2960)</f>
        <v>3.4293822</v>
      </c>
      <c r="M2960" s="13" t="n">
        <f aca="false">MAX(0,F2960-I2960-J2960)</f>
        <v>0</v>
      </c>
      <c r="N2960" s="13" t="n">
        <f aca="false">IF(Kalender!A32="",0,J2959-H2960)</f>
        <v>0.0150822</v>
      </c>
    </row>
    <row r="2961" customFormat="false" ht="16.4" hidden="false" customHeight="false" outlineLevel="0" collapsed="false">
      <c r="A2961" s="13" t="str">
        <f aca="false">""</f>
        <v/>
      </c>
      <c r="B2961" s="13" t="n">
        <f aca="false">29</f>
        <v>29</v>
      </c>
      <c r="C2961" s="13" t="n">
        <f aca="false">IF(Szenarien!$H$19="OK",(IFERROR(SUMIF(Nutzungsprofile!$B$6:$B$11,"Schulbetrieb",Nutzungsprofile!$G$6:$G$11)*Kalender!C33/SUM(Kalender!$C$5:$C$370),0)+IFERROR(SUMIF(Nutzungsprofile!$B$6:$B$11,"Halle",Nutzungsprofile!$G$6:$G$11)*Kalender!D33/SUM(Kalender!$D$5:$D$370),0)+IFERROR(SUMIF(Nutzungsprofile!$B$6:$B$11,"Individuell",Nutzungsprofile!$G$6:$G$11)*Kalender!E33/SUM(Kalender!$E$5:$E$370),0))*Szenarien!$E$19,0)</f>
        <v>2.94</v>
      </c>
      <c r="D2961" s="13" t="n">
        <f aca="false">IF(Szenarien!$H$19="OK",(IFERROR(SUMIF(Nutzungsprofile!$B$17:$B$22,"Schulbetrieb",Nutzungsprofile!$G$17:$G$22)*Kalender!C33/SUM(Kalender!$C$5:$C$370),0)+IFERROR(SUMIF(Nutzungsprofile!$B$17:$B$22,"Halle",Nutzungsprofile!$G$17:$G$22)*Kalender!D33/SUM(Kalender!$D$5:$D$370),0)+IFERROR(SUMIF(Nutzungsprofile!$B$17:$B$22,"Individuell",Nutzungsprofile!$G$17:$G$22)*Kalender!E33/SUM(Kalender!$E$5:$E$370),0))*Szenarien!$D$19,0)</f>
        <v>5.928</v>
      </c>
      <c r="E2961" s="13" t="n">
        <f aca="false">IFERROR(MIN(C2961,Eingaben!$B$17)*Eingaben!$B$16,0)</f>
        <v>2.793</v>
      </c>
      <c r="F2961" s="13" t="n">
        <f aca="false">IFERROR(E2961*Eingaben!$B$15,0)</f>
        <v>2.5137</v>
      </c>
      <c r="G2961" s="13" t="n">
        <f aca="false">IFERROR(IF(Kalender!A33="",0,J2960*(1-Eingaben!$B$20)),0)</f>
        <v>0.7390278</v>
      </c>
      <c r="H2961" s="13" t="n">
        <f aca="false">MIN(G2961,D2961)</f>
        <v>0.7390278</v>
      </c>
      <c r="I2961" s="13" t="n">
        <f aca="false">IFERROR(MIN(F2961*Eingaben!$B$19,MAX(0,D2961-H2961)),0)</f>
        <v>1.75959</v>
      </c>
      <c r="J2961" s="13" t="n">
        <f aca="false">IFERROR(MIN(Eingaben!$B$18,MAX(0,F2961-I2961)),0)</f>
        <v>0.75411</v>
      </c>
      <c r="K2961" s="13" t="n">
        <f aca="false">H2961+I2961</f>
        <v>2.4986178</v>
      </c>
      <c r="L2961" s="13" t="n">
        <f aca="false">MAX(0,D2961-K2961)</f>
        <v>3.4293822</v>
      </c>
      <c r="M2961" s="13" t="n">
        <f aca="false">MAX(0,F2961-I2961-J2961)</f>
        <v>0</v>
      </c>
      <c r="N2961" s="13" t="n">
        <f aca="false">IF(Kalender!A33="",0,J2960-H2961)</f>
        <v>0.0150822</v>
      </c>
    </row>
    <row r="2962" customFormat="false" ht="16.4" hidden="false" customHeight="false" outlineLevel="0" collapsed="false">
      <c r="A2962" s="13" t="str">
        <f aca="false">""</f>
        <v/>
      </c>
      <c r="B2962" s="13" t="n">
        <f aca="false">30</f>
        <v>30</v>
      </c>
      <c r="C2962" s="13" t="n">
        <f aca="false">IF(Szenarien!$H$19="OK",(IFERROR(SUMIF(Nutzungsprofile!$B$6:$B$11,"Schulbetrieb",Nutzungsprofile!$G$6:$G$11)*Kalender!C34/SUM(Kalender!$C$5:$C$370),0)+IFERROR(SUMIF(Nutzungsprofile!$B$6:$B$11,"Halle",Nutzungsprofile!$G$6:$G$11)*Kalender!D34/SUM(Kalender!$D$5:$D$370),0)+IFERROR(SUMIF(Nutzungsprofile!$B$6:$B$11,"Individuell",Nutzungsprofile!$G$6:$G$11)*Kalender!E34/SUM(Kalender!$E$5:$E$370),0))*Szenarien!$E$19,0)</f>
        <v>2.94</v>
      </c>
      <c r="D2962" s="13" t="n">
        <f aca="false">IF(Szenarien!$H$19="OK",(IFERROR(SUMIF(Nutzungsprofile!$B$17:$B$22,"Schulbetrieb",Nutzungsprofile!$G$17:$G$22)*Kalender!C34/SUM(Kalender!$C$5:$C$370),0)+IFERROR(SUMIF(Nutzungsprofile!$B$17:$B$22,"Halle",Nutzungsprofile!$G$17:$G$22)*Kalender!D34/SUM(Kalender!$D$5:$D$370),0)+IFERROR(SUMIF(Nutzungsprofile!$B$17:$B$22,"Individuell",Nutzungsprofile!$G$17:$G$22)*Kalender!E34/SUM(Kalender!$E$5:$E$370),0))*Szenarien!$D$19,0)</f>
        <v>5.928</v>
      </c>
      <c r="E2962" s="13" t="n">
        <f aca="false">IFERROR(MIN(C2962,Eingaben!$B$17)*Eingaben!$B$16,0)</f>
        <v>2.793</v>
      </c>
      <c r="F2962" s="13" t="n">
        <f aca="false">IFERROR(E2962*Eingaben!$B$15,0)</f>
        <v>2.5137</v>
      </c>
      <c r="G2962" s="13" t="n">
        <f aca="false">IFERROR(IF(Kalender!A34="",0,J2961*(1-Eingaben!$B$20)),0)</f>
        <v>0.7390278</v>
      </c>
      <c r="H2962" s="13" t="n">
        <f aca="false">MIN(G2962,D2962)</f>
        <v>0.7390278</v>
      </c>
      <c r="I2962" s="13" t="n">
        <f aca="false">IFERROR(MIN(F2962*Eingaben!$B$19,MAX(0,D2962-H2962)),0)</f>
        <v>1.75959</v>
      </c>
      <c r="J2962" s="13" t="n">
        <f aca="false">IFERROR(MIN(Eingaben!$B$18,MAX(0,F2962-I2962)),0)</f>
        <v>0.75411</v>
      </c>
      <c r="K2962" s="13" t="n">
        <f aca="false">H2962+I2962</f>
        <v>2.4986178</v>
      </c>
      <c r="L2962" s="13" t="n">
        <f aca="false">MAX(0,D2962-K2962)</f>
        <v>3.4293822</v>
      </c>
      <c r="M2962" s="13" t="n">
        <f aca="false">MAX(0,F2962-I2962-J2962)</f>
        <v>0</v>
      </c>
      <c r="N2962" s="13" t="n">
        <f aca="false">IF(Kalender!A34="",0,J2961-H2962)</f>
        <v>0.0150822</v>
      </c>
    </row>
    <row r="2963" customFormat="false" ht="16.4" hidden="false" customHeight="false" outlineLevel="0" collapsed="false">
      <c r="A2963" s="13" t="str">
        <f aca="false">""</f>
        <v/>
      </c>
      <c r="B2963" s="13" t="n">
        <f aca="false">31</f>
        <v>31</v>
      </c>
      <c r="C2963" s="13" t="n">
        <f aca="false">IF(Szenarien!$H$19="OK",(IFERROR(SUMIF(Nutzungsprofile!$B$6:$B$11,"Schulbetrieb",Nutzungsprofile!$G$6:$G$11)*Kalender!C35/SUM(Kalender!$C$5:$C$370),0)+IFERROR(SUMIF(Nutzungsprofile!$B$6:$B$11,"Halle",Nutzungsprofile!$G$6:$G$11)*Kalender!D35/SUM(Kalender!$D$5:$D$370),0)+IFERROR(SUMIF(Nutzungsprofile!$B$6:$B$11,"Individuell",Nutzungsprofile!$G$6:$G$11)*Kalender!E35/SUM(Kalender!$E$5:$E$370),0))*Szenarien!$E$19,0)</f>
        <v>2.04</v>
      </c>
      <c r="D2963" s="13" t="n">
        <f aca="false">IF(Szenarien!$H$19="OK",(IFERROR(SUMIF(Nutzungsprofile!$B$17:$B$22,"Schulbetrieb",Nutzungsprofile!$G$17:$G$22)*Kalender!C35/SUM(Kalender!$C$5:$C$370),0)+IFERROR(SUMIF(Nutzungsprofile!$B$17:$B$22,"Halle",Nutzungsprofile!$G$17:$G$22)*Kalender!D35/SUM(Kalender!$D$5:$D$370),0)+IFERROR(SUMIF(Nutzungsprofile!$B$17:$B$22,"Individuell",Nutzungsprofile!$G$17:$G$22)*Kalender!E35/SUM(Kalender!$E$5:$E$370),0))*Szenarien!$D$19,0)</f>
        <v>1.068</v>
      </c>
      <c r="E2963" s="13" t="n">
        <f aca="false">IFERROR(MIN(C2963,Eingaben!$B$17)*Eingaben!$B$16,0)</f>
        <v>1.938</v>
      </c>
      <c r="F2963" s="13" t="n">
        <f aca="false">IFERROR(E2963*Eingaben!$B$15,0)</f>
        <v>1.7442</v>
      </c>
      <c r="G2963" s="13" t="n">
        <f aca="false">IFERROR(IF(Kalender!A35="",0,J2962*(1-Eingaben!$B$20)),0)</f>
        <v>0.7390278</v>
      </c>
      <c r="H2963" s="13" t="n">
        <f aca="false">MIN(G2963,D2963)</f>
        <v>0.7390278</v>
      </c>
      <c r="I2963" s="13" t="n">
        <f aca="false">IFERROR(MIN(F2963*Eingaben!$B$19,MAX(0,D2963-H2963)),0)</f>
        <v>0.3289722</v>
      </c>
      <c r="J2963" s="13" t="n">
        <f aca="false">IFERROR(MIN(Eingaben!$B$18,MAX(0,F2963-I2963)),0)</f>
        <v>1.4152278</v>
      </c>
      <c r="K2963" s="13" t="n">
        <f aca="false">H2963+I2963</f>
        <v>1.068</v>
      </c>
      <c r="L2963" s="13" t="n">
        <f aca="false">MAX(0,D2963-K2963)</f>
        <v>0</v>
      </c>
      <c r="M2963" s="13" t="n">
        <f aca="false">MAX(0,F2963-I2963-J2963)</f>
        <v>0</v>
      </c>
      <c r="N2963" s="13" t="n">
        <f aca="false">IF(Kalender!A35="",0,J2962-H2963)</f>
        <v>0.0150822</v>
      </c>
    </row>
    <row r="2964" customFormat="false" ht="16.4" hidden="false" customHeight="false" outlineLevel="0" collapsed="false">
      <c r="A2964" s="13" t="str">
        <f aca="false">""</f>
        <v/>
      </c>
      <c r="B2964" s="13" t="n">
        <f aca="false">32</f>
        <v>32</v>
      </c>
      <c r="C2964" s="13" t="n">
        <f aca="false">IF(Szenarien!$H$19="OK",(IFERROR(SUMIF(Nutzungsprofile!$B$6:$B$11,"Schulbetrieb",Nutzungsprofile!$G$6:$G$11)*Kalender!C36/SUM(Kalender!$C$5:$C$370),0)+IFERROR(SUMIF(Nutzungsprofile!$B$6:$B$11,"Halle",Nutzungsprofile!$G$6:$G$11)*Kalender!D36/SUM(Kalender!$D$5:$D$370),0)+IFERROR(SUMIF(Nutzungsprofile!$B$6:$B$11,"Individuell",Nutzungsprofile!$G$6:$G$11)*Kalender!E36/SUM(Kalender!$E$5:$E$370),0))*Szenarien!$E$19,0)</f>
        <v>2.04</v>
      </c>
      <c r="D2964" s="13" t="n">
        <f aca="false">IF(Szenarien!$H$19="OK",(IFERROR(SUMIF(Nutzungsprofile!$B$17:$B$22,"Schulbetrieb",Nutzungsprofile!$G$17:$G$22)*Kalender!C36/SUM(Kalender!$C$5:$C$370),0)+IFERROR(SUMIF(Nutzungsprofile!$B$17:$B$22,"Halle",Nutzungsprofile!$G$17:$G$22)*Kalender!D36/SUM(Kalender!$D$5:$D$370),0)+IFERROR(SUMIF(Nutzungsprofile!$B$17:$B$22,"Individuell",Nutzungsprofile!$G$17:$G$22)*Kalender!E36/SUM(Kalender!$E$5:$E$370),0))*Szenarien!$D$19,0)</f>
        <v>1.068</v>
      </c>
      <c r="E2964" s="13" t="n">
        <f aca="false">IFERROR(MIN(C2964,Eingaben!$B$17)*Eingaben!$B$16,0)</f>
        <v>1.938</v>
      </c>
      <c r="F2964" s="13" t="n">
        <f aca="false">IFERROR(E2964*Eingaben!$B$15,0)</f>
        <v>1.7442</v>
      </c>
      <c r="G2964" s="13" t="n">
        <f aca="false">IFERROR(IF(Kalender!A36="",0,J2963*(1-Eingaben!$B$20)),0)</f>
        <v>1.386923244</v>
      </c>
      <c r="H2964" s="13" t="n">
        <f aca="false">MIN(G2964,D2964)</f>
        <v>1.068</v>
      </c>
      <c r="I2964" s="13" t="n">
        <f aca="false">IFERROR(MIN(F2964*Eingaben!$B$19,MAX(0,D2964-H2964)),0)</f>
        <v>0</v>
      </c>
      <c r="J2964" s="13" t="n">
        <f aca="false">IFERROR(MIN(Eingaben!$B$18,MAX(0,F2964-I2964)),0)</f>
        <v>1.7442</v>
      </c>
      <c r="K2964" s="13" t="n">
        <f aca="false">H2964+I2964</f>
        <v>1.068</v>
      </c>
      <c r="L2964" s="13" t="n">
        <f aca="false">MAX(0,D2964-K2964)</f>
        <v>0</v>
      </c>
      <c r="M2964" s="13" t="n">
        <f aca="false">MAX(0,F2964-I2964-J2964)</f>
        <v>0</v>
      </c>
      <c r="N2964" s="13" t="n">
        <f aca="false">IF(Kalender!A36="",0,J2963-H2964)</f>
        <v>0.3472278</v>
      </c>
    </row>
    <row r="2965" customFormat="false" ht="16.4" hidden="false" customHeight="false" outlineLevel="0" collapsed="false">
      <c r="A2965" s="13" t="str">
        <f aca="false">""</f>
        <v/>
      </c>
      <c r="B2965" s="13" t="n">
        <f aca="false">33</f>
        <v>33</v>
      </c>
      <c r="C2965" s="13" t="n">
        <f aca="false">IF(Szenarien!$H$19="OK",(IFERROR(SUMIF(Nutzungsprofile!$B$6:$B$11,"Schulbetrieb",Nutzungsprofile!$G$6:$G$11)*Kalender!C37/SUM(Kalender!$C$5:$C$370),0)+IFERROR(SUMIF(Nutzungsprofile!$B$6:$B$11,"Halle",Nutzungsprofile!$G$6:$G$11)*Kalender!D37/SUM(Kalender!$D$5:$D$370),0)+IFERROR(SUMIF(Nutzungsprofile!$B$6:$B$11,"Individuell",Nutzungsprofile!$G$6:$G$11)*Kalender!E37/SUM(Kalender!$E$5:$E$370),0))*Szenarien!$E$19,0)</f>
        <v>2.94</v>
      </c>
      <c r="D2965" s="13" t="n">
        <f aca="false">IF(Szenarien!$H$19="OK",(IFERROR(SUMIF(Nutzungsprofile!$B$17:$B$22,"Schulbetrieb",Nutzungsprofile!$G$17:$G$22)*Kalender!C37/SUM(Kalender!$C$5:$C$370),0)+IFERROR(SUMIF(Nutzungsprofile!$B$17:$B$22,"Halle",Nutzungsprofile!$G$17:$G$22)*Kalender!D37/SUM(Kalender!$D$5:$D$370),0)+IFERROR(SUMIF(Nutzungsprofile!$B$17:$B$22,"Individuell",Nutzungsprofile!$G$17:$G$22)*Kalender!E37/SUM(Kalender!$E$5:$E$370),0))*Szenarien!$D$19,0)</f>
        <v>5.928</v>
      </c>
      <c r="E2965" s="13" t="n">
        <f aca="false">IFERROR(MIN(C2965,Eingaben!$B$17)*Eingaben!$B$16,0)</f>
        <v>2.793</v>
      </c>
      <c r="F2965" s="13" t="n">
        <f aca="false">IFERROR(E2965*Eingaben!$B$15,0)</f>
        <v>2.5137</v>
      </c>
      <c r="G2965" s="13" t="n">
        <f aca="false">IFERROR(IF(Kalender!A37="",0,J2964*(1-Eingaben!$B$20)),0)</f>
        <v>1.709316</v>
      </c>
      <c r="H2965" s="13" t="n">
        <f aca="false">MIN(G2965,D2965)</f>
        <v>1.709316</v>
      </c>
      <c r="I2965" s="13" t="n">
        <f aca="false">IFERROR(MIN(F2965*Eingaben!$B$19,MAX(0,D2965-H2965)),0)</f>
        <v>1.75959</v>
      </c>
      <c r="J2965" s="13" t="n">
        <f aca="false">IFERROR(MIN(Eingaben!$B$18,MAX(0,F2965-I2965)),0)</f>
        <v>0.75411</v>
      </c>
      <c r="K2965" s="13" t="n">
        <f aca="false">H2965+I2965</f>
        <v>3.468906</v>
      </c>
      <c r="L2965" s="13" t="n">
        <f aca="false">MAX(0,D2965-K2965)</f>
        <v>2.459094</v>
      </c>
      <c r="M2965" s="13" t="n">
        <f aca="false">MAX(0,F2965-I2965-J2965)</f>
        <v>0</v>
      </c>
      <c r="N2965" s="13" t="n">
        <f aca="false">IF(Kalender!A37="",0,J2964-H2965)</f>
        <v>0.0348840000000001</v>
      </c>
    </row>
    <row r="2966" customFormat="false" ht="16.4" hidden="false" customHeight="false" outlineLevel="0" collapsed="false">
      <c r="A2966" s="13" t="str">
        <f aca="false">""</f>
        <v/>
      </c>
      <c r="B2966" s="13" t="n">
        <f aca="false">34</f>
        <v>34</v>
      </c>
      <c r="C2966" s="13" t="n">
        <f aca="false">IF(Szenarien!$H$19="OK",(IFERROR(SUMIF(Nutzungsprofile!$B$6:$B$11,"Schulbetrieb",Nutzungsprofile!$G$6:$G$11)*Kalender!C38/SUM(Kalender!$C$5:$C$370),0)+IFERROR(SUMIF(Nutzungsprofile!$B$6:$B$11,"Halle",Nutzungsprofile!$G$6:$G$11)*Kalender!D38/SUM(Kalender!$D$5:$D$370),0)+IFERROR(SUMIF(Nutzungsprofile!$B$6:$B$11,"Individuell",Nutzungsprofile!$G$6:$G$11)*Kalender!E38/SUM(Kalender!$E$5:$E$370),0))*Szenarien!$E$19,0)</f>
        <v>2.94</v>
      </c>
      <c r="D2966" s="13" t="n">
        <f aca="false">IF(Szenarien!$H$19="OK",(IFERROR(SUMIF(Nutzungsprofile!$B$17:$B$22,"Schulbetrieb",Nutzungsprofile!$G$17:$G$22)*Kalender!C38/SUM(Kalender!$C$5:$C$370),0)+IFERROR(SUMIF(Nutzungsprofile!$B$17:$B$22,"Halle",Nutzungsprofile!$G$17:$G$22)*Kalender!D38/SUM(Kalender!$D$5:$D$370),0)+IFERROR(SUMIF(Nutzungsprofile!$B$17:$B$22,"Individuell",Nutzungsprofile!$G$17:$G$22)*Kalender!E38/SUM(Kalender!$E$5:$E$370),0))*Szenarien!$D$19,0)</f>
        <v>5.928</v>
      </c>
      <c r="E2966" s="13" t="n">
        <f aca="false">IFERROR(MIN(C2966,Eingaben!$B$17)*Eingaben!$B$16,0)</f>
        <v>2.793</v>
      </c>
      <c r="F2966" s="13" t="n">
        <f aca="false">IFERROR(E2966*Eingaben!$B$15,0)</f>
        <v>2.5137</v>
      </c>
      <c r="G2966" s="13" t="n">
        <f aca="false">IFERROR(IF(Kalender!A38="",0,J2965*(1-Eingaben!$B$20)),0)</f>
        <v>0.7390278</v>
      </c>
      <c r="H2966" s="13" t="n">
        <f aca="false">MIN(G2966,D2966)</f>
        <v>0.7390278</v>
      </c>
      <c r="I2966" s="13" t="n">
        <f aca="false">IFERROR(MIN(F2966*Eingaben!$B$19,MAX(0,D2966-H2966)),0)</f>
        <v>1.75959</v>
      </c>
      <c r="J2966" s="13" t="n">
        <f aca="false">IFERROR(MIN(Eingaben!$B$18,MAX(0,F2966-I2966)),0)</f>
        <v>0.75411</v>
      </c>
      <c r="K2966" s="13" t="n">
        <f aca="false">H2966+I2966</f>
        <v>2.4986178</v>
      </c>
      <c r="L2966" s="13" t="n">
        <f aca="false">MAX(0,D2966-K2966)</f>
        <v>3.4293822</v>
      </c>
      <c r="M2966" s="13" t="n">
        <f aca="false">MAX(0,F2966-I2966-J2966)</f>
        <v>0</v>
      </c>
      <c r="N2966" s="13" t="n">
        <f aca="false">IF(Kalender!A38="",0,J2965-H2966)</f>
        <v>0.0150822</v>
      </c>
    </row>
    <row r="2967" customFormat="false" ht="16.4" hidden="false" customHeight="false" outlineLevel="0" collapsed="false">
      <c r="A2967" s="13" t="str">
        <f aca="false">""</f>
        <v/>
      </c>
      <c r="B2967" s="13" t="n">
        <f aca="false">35</f>
        <v>35</v>
      </c>
      <c r="C2967" s="13" t="n">
        <f aca="false">IF(Szenarien!$H$19="OK",(IFERROR(SUMIF(Nutzungsprofile!$B$6:$B$11,"Schulbetrieb",Nutzungsprofile!$G$6:$G$11)*Kalender!C39/SUM(Kalender!$C$5:$C$370),0)+IFERROR(SUMIF(Nutzungsprofile!$B$6:$B$11,"Halle",Nutzungsprofile!$G$6:$G$11)*Kalender!D39/SUM(Kalender!$D$5:$D$370),0)+IFERROR(SUMIF(Nutzungsprofile!$B$6:$B$11,"Individuell",Nutzungsprofile!$G$6:$G$11)*Kalender!E39/SUM(Kalender!$E$5:$E$370),0))*Szenarien!$E$19,0)</f>
        <v>2.94</v>
      </c>
      <c r="D2967" s="13" t="n">
        <f aca="false">IF(Szenarien!$H$19="OK",(IFERROR(SUMIF(Nutzungsprofile!$B$17:$B$22,"Schulbetrieb",Nutzungsprofile!$G$17:$G$22)*Kalender!C39/SUM(Kalender!$C$5:$C$370),0)+IFERROR(SUMIF(Nutzungsprofile!$B$17:$B$22,"Halle",Nutzungsprofile!$G$17:$G$22)*Kalender!D39/SUM(Kalender!$D$5:$D$370),0)+IFERROR(SUMIF(Nutzungsprofile!$B$17:$B$22,"Individuell",Nutzungsprofile!$G$17:$G$22)*Kalender!E39/SUM(Kalender!$E$5:$E$370),0))*Szenarien!$D$19,0)</f>
        <v>5.928</v>
      </c>
      <c r="E2967" s="13" t="n">
        <f aca="false">IFERROR(MIN(C2967,Eingaben!$B$17)*Eingaben!$B$16,0)</f>
        <v>2.793</v>
      </c>
      <c r="F2967" s="13" t="n">
        <f aca="false">IFERROR(E2967*Eingaben!$B$15,0)</f>
        <v>2.5137</v>
      </c>
      <c r="G2967" s="13" t="n">
        <f aca="false">IFERROR(IF(Kalender!A39="",0,J2966*(1-Eingaben!$B$20)),0)</f>
        <v>0.7390278</v>
      </c>
      <c r="H2967" s="13" t="n">
        <f aca="false">MIN(G2967,D2967)</f>
        <v>0.7390278</v>
      </c>
      <c r="I2967" s="13" t="n">
        <f aca="false">IFERROR(MIN(F2967*Eingaben!$B$19,MAX(0,D2967-H2967)),0)</f>
        <v>1.75959</v>
      </c>
      <c r="J2967" s="13" t="n">
        <f aca="false">IFERROR(MIN(Eingaben!$B$18,MAX(0,F2967-I2967)),0)</f>
        <v>0.75411</v>
      </c>
      <c r="K2967" s="13" t="n">
        <f aca="false">H2967+I2967</f>
        <v>2.4986178</v>
      </c>
      <c r="L2967" s="13" t="n">
        <f aca="false">MAX(0,D2967-K2967)</f>
        <v>3.4293822</v>
      </c>
      <c r="M2967" s="13" t="n">
        <f aca="false">MAX(0,F2967-I2967-J2967)</f>
        <v>0</v>
      </c>
      <c r="N2967" s="13" t="n">
        <f aca="false">IF(Kalender!A39="",0,J2966-H2967)</f>
        <v>0.0150822</v>
      </c>
    </row>
    <row r="2968" customFormat="false" ht="16.4" hidden="false" customHeight="false" outlineLevel="0" collapsed="false">
      <c r="A2968" s="13" t="str">
        <f aca="false">""</f>
        <v/>
      </c>
      <c r="B2968" s="13" t="n">
        <f aca="false">36</f>
        <v>36</v>
      </c>
      <c r="C2968" s="13" t="n">
        <f aca="false">IF(Szenarien!$H$19="OK",(IFERROR(SUMIF(Nutzungsprofile!$B$6:$B$11,"Schulbetrieb",Nutzungsprofile!$G$6:$G$11)*Kalender!C40/SUM(Kalender!$C$5:$C$370),0)+IFERROR(SUMIF(Nutzungsprofile!$B$6:$B$11,"Halle",Nutzungsprofile!$G$6:$G$11)*Kalender!D40/SUM(Kalender!$D$5:$D$370),0)+IFERROR(SUMIF(Nutzungsprofile!$B$6:$B$11,"Individuell",Nutzungsprofile!$G$6:$G$11)*Kalender!E40/SUM(Kalender!$E$5:$E$370),0))*Szenarien!$E$19,0)</f>
        <v>2.94</v>
      </c>
      <c r="D2968" s="13" t="n">
        <f aca="false">IF(Szenarien!$H$19="OK",(IFERROR(SUMIF(Nutzungsprofile!$B$17:$B$22,"Schulbetrieb",Nutzungsprofile!$G$17:$G$22)*Kalender!C40/SUM(Kalender!$C$5:$C$370),0)+IFERROR(SUMIF(Nutzungsprofile!$B$17:$B$22,"Halle",Nutzungsprofile!$G$17:$G$22)*Kalender!D40/SUM(Kalender!$D$5:$D$370),0)+IFERROR(SUMIF(Nutzungsprofile!$B$17:$B$22,"Individuell",Nutzungsprofile!$G$17:$G$22)*Kalender!E40/SUM(Kalender!$E$5:$E$370),0))*Szenarien!$D$19,0)</f>
        <v>5.928</v>
      </c>
      <c r="E2968" s="13" t="n">
        <f aca="false">IFERROR(MIN(C2968,Eingaben!$B$17)*Eingaben!$B$16,0)</f>
        <v>2.793</v>
      </c>
      <c r="F2968" s="13" t="n">
        <f aca="false">IFERROR(E2968*Eingaben!$B$15,0)</f>
        <v>2.5137</v>
      </c>
      <c r="G2968" s="13" t="n">
        <f aca="false">IFERROR(IF(Kalender!A40="",0,J2967*(1-Eingaben!$B$20)),0)</f>
        <v>0.7390278</v>
      </c>
      <c r="H2968" s="13" t="n">
        <f aca="false">MIN(G2968,D2968)</f>
        <v>0.7390278</v>
      </c>
      <c r="I2968" s="13" t="n">
        <f aca="false">IFERROR(MIN(F2968*Eingaben!$B$19,MAX(0,D2968-H2968)),0)</f>
        <v>1.75959</v>
      </c>
      <c r="J2968" s="13" t="n">
        <f aca="false">IFERROR(MIN(Eingaben!$B$18,MAX(0,F2968-I2968)),0)</f>
        <v>0.75411</v>
      </c>
      <c r="K2968" s="13" t="n">
        <f aca="false">H2968+I2968</f>
        <v>2.4986178</v>
      </c>
      <c r="L2968" s="13" t="n">
        <f aca="false">MAX(0,D2968-K2968)</f>
        <v>3.4293822</v>
      </c>
      <c r="M2968" s="13" t="n">
        <f aca="false">MAX(0,F2968-I2968-J2968)</f>
        <v>0</v>
      </c>
      <c r="N2968" s="13" t="n">
        <f aca="false">IF(Kalender!A40="",0,J2967-H2968)</f>
        <v>0.0150822</v>
      </c>
    </row>
    <row r="2969" customFormat="false" ht="16.4" hidden="false" customHeight="false" outlineLevel="0" collapsed="false">
      <c r="A2969" s="13" t="str">
        <f aca="false">""</f>
        <v/>
      </c>
      <c r="B2969" s="13" t="n">
        <f aca="false">37</f>
        <v>37</v>
      </c>
      <c r="C2969" s="13" t="n">
        <f aca="false">IF(Szenarien!$H$19="OK",(IFERROR(SUMIF(Nutzungsprofile!$B$6:$B$11,"Schulbetrieb",Nutzungsprofile!$G$6:$G$11)*Kalender!C41/SUM(Kalender!$C$5:$C$370),0)+IFERROR(SUMIF(Nutzungsprofile!$B$6:$B$11,"Halle",Nutzungsprofile!$G$6:$G$11)*Kalender!D41/SUM(Kalender!$D$5:$D$370),0)+IFERROR(SUMIF(Nutzungsprofile!$B$6:$B$11,"Individuell",Nutzungsprofile!$G$6:$G$11)*Kalender!E41/SUM(Kalender!$E$5:$E$370),0))*Szenarien!$E$19,0)</f>
        <v>2.94</v>
      </c>
      <c r="D2969" s="13" t="n">
        <f aca="false">IF(Szenarien!$H$19="OK",(IFERROR(SUMIF(Nutzungsprofile!$B$17:$B$22,"Schulbetrieb",Nutzungsprofile!$G$17:$G$22)*Kalender!C41/SUM(Kalender!$C$5:$C$370),0)+IFERROR(SUMIF(Nutzungsprofile!$B$17:$B$22,"Halle",Nutzungsprofile!$G$17:$G$22)*Kalender!D41/SUM(Kalender!$D$5:$D$370),0)+IFERROR(SUMIF(Nutzungsprofile!$B$17:$B$22,"Individuell",Nutzungsprofile!$G$17:$G$22)*Kalender!E41/SUM(Kalender!$E$5:$E$370),0))*Szenarien!$D$19,0)</f>
        <v>5.928</v>
      </c>
      <c r="E2969" s="13" t="n">
        <f aca="false">IFERROR(MIN(C2969,Eingaben!$B$17)*Eingaben!$B$16,0)</f>
        <v>2.793</v>
      </c>
      <c r="F2969" s="13" t="n">
        <f aca="false">IFERROR(E2969*Eingaben!$B$15,0)</f>
        <v>2.5137</v>
      </c>
      <c r="G2969" s="13" t="n">
        <f aca="false">IFERROR(IF(Kalender!A41="",0,J2968*(1-Eingaben!$B$20)),0)</f>
        <v>0.7390278</v>
      </c>
      <c r="H2969" s="13" t="n">
        <f aca="false">MIN(G2969,D2969)</f>
        <v>0.7390278</v>
      </c>
      <c r="I2969" s="13" t="n">
        <f aca="false">IFERROR(MIN(F2969*Eingaben!$B$19,MAX(0,D2969-H2969)),0)</f>
        <v>1.75959</v>
      </c>
      <c r="J2969" s="13" t="n">
        <f aca="false">IFERROR(MIN(Eingaben!$B$18,MAX(0,F2969-I2969)),0)</f>
        <v>0.75411</v>
      </c>
      <c r="K2969" s="13" t="n">
        <f aca="false">H2969+I2969</f>
        <v>2.4986178</v>
      </c>
      <c r="L2969" s="13" t="n">
        <f aca="false">MAX(0,D2969-K2969)</f>
        <v>3.4293822</v>
      </c>
      <c r="M2969" s="13" t="n">
        <f aca="false">MAX(0,F2969-I2969-J2969)</f>
        <v>0</v>
      </c>
      <c r="N2969" s="13" t="n">
        <f aca="false">IF(Kalender!A41="",0,J2968-H2969)</f>
        <v>0.0150822</v>
      </c>
    </row>
    <row r="2970" customFormat="false" ht="16.4" hidden="false" customHeight="false" outlineLevel="0" collapsed="false">
      <c r="A2970" s="13" t="str">
        <f aca="false">""</f>
        <v/>
      </c>
      <c r="B2970" s="13" t="n">
        <f aca="false">38</f>
        <v>38</v>
      </c>
      <c r="C2970" s="13" t="n">
        <f aca="false">IF(Szenarien!$H$19="OK",(IFERROR(SUMIF(Nutzungsprofile!$B$6:$B$11,"Schulbetrieb",Nutzungsprofile!$G$6:$G$11)*Kalender!C42/SUM(Kalender!$C$5:$C$370),0)+IFERROR(SUMIF(Nutzungsprofile!$B$6:$B$11,"Halle",Nutzungsprofile!$G$6:$G$11)*Kalender!D42/SUM(Kalender!$D$5:$D$370),0)+IFERROR(SUMIF(Nutzungsprofile!$B$6:$B$11,"Individuell",Nutzungsprofile!$G$6:$G$11)*Kalender!E42/SUM(Kalender!$E$5:$E$370),0))*Szenarien!$E$19,0)</f>
        <v>2.04</v>
      </c>
      <c r="D2970" s="13" t="n">
        <f aca="false">IF(Szenarien!$H$19="OK",(IFERROR(SUMIF(Nutzungsprofile!$B$17:$B$22,"Schulbetrieb",Nutzungsprofile!$G$17:$G$22)*Kalender!C42/SUM(Kalender!$C$5:$C$370),0)+IFERROR(SUMIF(Nutzungsprofile!$B$17:$B$22,"Halle",Nutzungsprofile!$G$17:$G$22)*Kalender!D42/SUM(Kalender!$D$5:$D$370),0)+IFERROR(SUMIF(Nutzungsprofile!$B$17:$B$22,"Individuell",Nutzungsprofile!$G$17:$G$22)*Kalender!E42/SUM(Kalender!$E$5:$E$370),0))*Szenarien!$D$19,0)</f>
        <v>1.068</v>
      </c>
      <c r="E2970" s="13" t="n">
        <f aca="false">IFERROR(MIN(C2970,Eingaben!$B$17)*Eingaben!$B$16,0)</f>
        <v>1.938</v>
      </c>
      <c r="F2970" s="13" t="n">
        <f aca="false">IFERROR(E2970*Eingaben!$B$15,0)</f>
        <v>1.7442</v>
      </c>
      <c r="G2970" s="13" t="n">
        <f aca="false">IFERROR(IF(Kalender!A42="",0,J2969*(1-Eingaben!$B$20)),0)</f>
        <v>0.7390278</v>
      </c>
      <c r="H2970" s="13" t="n">
        <f aca="false">MIN(G2970,D2970)</f>
        <v>0.7390278</v>
      </c>
      <c r="I2970" s="13" t="n">
        <f aca="false">IFERROR(MIN(F2970*Eingaben!$B$19,MAX(0,D2970-H2970)),0)</f>
        <v>0.3289722</v>
      </c>
      <c r="J2970" s="13" t="n">
        <f aca="false">IFERROR(MIN(Eingaben!$B$18,MAX(0,F2970-I2970)),0)</f>
        <v>1.4152278</v>
      </c>
      <c r="K2970" s="13" t="n">
        <f aca="false">H2970+I2970</f>
        <v>1.068</v>
      </c>
      <c r="L2970" s="13" t="n">
        <f aca="false">MAX(0,D2970-K2970)</f>
        <v>0</v>
      </c>
      <c r="M2970" s="13" t="n">
        <f aca="false">MAX(0,F2970-I2970-J2970)</f>
        <v>0</v>
      </c>
      <c r="N2970" s="13" t="n">
        <f aca="false">IF(Kalender!A42="",0,J2969-H2970)</f>
        <v>0.0150822</v>
      </c>
    </row>
    <row r="2971" customFormat="false" ht="16.4" hidden="false" customHeight="false" outlineLevel="0" collapsed="false">
      <c r="A2971" s="13" t="str">
        <f aca="false">""</f>
        <v/>
      </c>
      <c r="B2971" s="13" t="n">
        <f aca="false">39</f>
        <v>39</v>
      </c>
      <c r="C2971" s="13" t="n">
        <f aca="false">IF(Szenarien!$H$19="OK",(IFERROR(SUMIF(Nutzungsprofile!$B$6:$B$11,"Schulbetrieb",Nutzungsprofile!$G$6:$G$11)*Kalender!C43/SUM(Kalender!$C$5:$C$370),0)+IFERROR(SUMIF(Nutzungsprofile!$B$6:$B$11,"Halle",Nutzungsprofile!$G$6:$G$11)*Kalender!D43/SUM(Kalender!$D$5:$D$370),0)+IFERROR(SUMIF(Nutzungsprofile!$B$6:$B$11,"Individuell",Nutzungsprofile!$G$6:$G$11)*Kalender!E43/SUM(Kalender!$E$5:$E$370),0))*Szenarien!$E$19,0)</f>
        <v>2.04</v>
      </c>
      <c r="D2971" s="13" t="n">
        <f aca="false">IF(Szenarien!$H$19="OK",(IFERROR(SUMIF(Nutzungsprofile!$B$17:$B$22,"Schulbetrieb",Nutzungsprofile!$G$17:$G$22)*Kalender!C43/SUM(Kalender!$C$5:$C$370),0)+IFERROR(SUMIF(Nutzungsprofile!$B$17:$B$22,"Halle",Nutzungsprofile!$G$17:$G$22)*Kalender!D43/SUM(Kalender!$D$5:$D$370),0)+IFERROR(SUMIF(Nutzungsprofile!$B$17:$B$22,"Individuell",Nutzungsprofile!$G$17:$G$22)*Kalender!E43/SUM(Kalender!$E$5:$E$370),0))*Szenarien!$D$19,0)</f>
        <v>1.068</v>
      </c>
      <c r="E2971" s="13" t="n">
        <f aca="false">IFERROR(MIN(C2971,Eingaben!$B$17)*Eingaben!$B$16,0)</f>
        <v>1.938</v>
      </c>
      <c r="F2971" s="13" t="n">
        <f aca="false">IFERROR(E2971*Eingaben!$B$15,0)</f>
        <v>1.7442</v>
      </c>
      <c r="G2971" s="13" t="n">
        <f aca="false">IFERROR(IF(Kalender!A43="",0,J2970*(1-Eingaben!$B$20)),0)</f>
        <v>1.386923244</v>
      </c>
      <c r="H2971" s="13" t="n">
        <f aca="false">MIN(G2971,D2971)</f>
        <v>1.068</v>
      </c>
      <c r="I2971" s="13" t="n">
        <f aca="false">IFERROR(MIN(F2971*Eingaben!$B$19,MAX(0,D2971-H2971)),0)</f>
        <v>0</v>
      </c>
      <c r="J2971" s="13" t="n">
        <f aca="false">IFERROR(MIN(Eingaben!$B$18,MAX(0,F2971-I2971)),0)</f>
        <v>1.7442</v>
      </c>
      <c r="K2971" s="13" t="n">
        <f aca="false">H2971+I2971</f>
        <v>1.068</v>
      </c>
      <c r="L2971" s="13" t="n">
        <f aca="false">MAX(0,D2971-K2971)</f>
        <v>0</v>
      </c>
      <c r="M2971" s="13" t="n">
        <f aca="false">MAX(0,F2971-I2971-J2971)</f>
        <v>0</v>
      </c>
      <c r="N2971" s="13" t="n">
        <f aca="false">IF(Kalender!A43="",0,J2970-H2971)</f>
        <v>0.3472278</v>
      </c>
    </row>
    <row r="2972" customFormat="false" ht="16.4" hidden="false" customHeight="false" outlineLevel="0" collapsed="false">
      <c r="A2972" s="13" t="str">
        <f aca="false">""</f>
        <v/>
      </c>
      <c r="B2972" s="13" t="n">
        <f aca="false">40</f>
        <v>40</v>
      </c>
      <c r="C2972" s="13" t="n">
        <f aca="false">IF(Szenarien!$H$19="OK",(IFERROR(SUMIF(Nutzungsprofile!$B$6:$B$11,"Schulbetrieb",Nutzungsprofile!$G$6:$G$11)*Kalender!C44/SUM(Kalender!$C$5:$C$370),0)+IFERROR(SUMIF(Nutzungsprofile!$B$6:$B$11,"Halle",Nutzungsprofile!$G$6:$G$11)*Kalender!D44/SUM(Kalender!$D$5:$D$370),0)+IFERROR(SUMIF(Nutzungsprofile!$B$6:$B$11,"Individuell",Nutzungsprofile!$G$6:$G$11)*Kalender!E44/SUM(Kalender!$E$5:$E$370),0))*Szenarien!$E$19,0)</f>
        <v>2.94</v>
      </c>
      <c r="D2972" s="13" t="n">
        <f aca="false">IF(Szenarien!$H$19="OK",(IFERROR(SUMIF(Nutzungsprofile!$B$17:$B$22,"Schulbetrieb",Nutzungsprofile!$G$17:$G$22)*Kalender!C44/SUM(Kalender!$C$5:$C$370),0)+IFERROR(SUMIF(Nutzungsprofile!$B$17:$B$22,"Halle",Nutzungsprofile!$G$17:$G$22)*Kalender!D44/SUM(Kalender!$D$5:$D$370),0)+IFERROR(SUMIF(Nutzungsprofile!$B$17:$B$22,"Individuell",Nutzungsprofile!$G$17:$G$22)*Kalender!E44/SUM(Kalender!$E$5:$E$370),0))*Szenarien!$D$19,0)</f>
        <v>5.928</v>
      </c>
      <c r="E2972" s="13" t="n">
        <f aca="false">IFERROR(MIN(C2972,Eingaben!$B$17)*Eingaben!$B$16,0)</f>
        <v>2.793</v>
      </c>
      <c r="F2972" s="13" t="n">
        <f aca="false">IFERROR(E2972*Eingaben!$B$15,0)</f>
        <v>2.5137</v>
      </c>
      <c r="G2972" s="13" t="n">
        <f aca="false">IFERROR(IF(Kalender!A44="",0,J2971*(1-Eingaben!$B$20)),0)</f>
        <v>1.709316</v>
      </c>
      <c r="H2972" s="13" t="n">
        <f aca="false">MIN(G2972,D2972)</f>
        <v>1.709316</v>
      </c>
      <c r="I2972" s="13" t="n">
        <f aca="false">IFERROR(MIN(F2972*Eingaben!$B$19,MAX(0,D2972-H2972)),0)</f>
        <v>1.75959</v>
      </c>
      <c r="J2972" s="13" t="n">
        <f aca="false">IFERROR(MIN(Eingaben!$B$18,MAX(0,F2972-I2972)),0)</f>
        <v>0.75411</v>
      </c>
      <c r="K2972" s="13" t="n">
        <f aca="false">H2972+I2972</f>
        <v>3.468906</v>
      </c>
      <c r="L2972" s="13" t="n">
        <f aca="false">MAX(0,D2972-K2972)</f>
        <v>2.459094</v>
      </c>
      <c r="M2972" s="13" t="n">
        <f aca="false">MAX(0,F2972-I2972-J2972)</f>
        <v>0</v>
      </c>
      <c r="N2972" s="13" t="n">
        <f aca="false">IF(Kalender!A44="",0,J2971-H2972)</f>
        <v>0.0348840000000001</v>
      </c>
    </row>
    <row r="2973" customFormat="false" ht="16.4" hidden="false" customHeight="false" outlineLevel="0" collapsed="false">
      <c r="A2973" s="13" t="str">
        <f aca="false">""</f>
        <v/>
      </c>
      <c r="B2973" s="13" t="n">
        <f aca="false">41</f>
        <v>41</v>
      </c>
      <c r="C2973" s="13" t="n">
        <f aca="false">IF(Szenarien!$H$19="OK",(IFERROR(SUMIF(Nutzungsprofile!$B$6:$B$11,"Schulbetrieb",Nutzungsprofile!$G$6:$G$11)*Kalender!C45/SUM(Kalender!$C$5:$C$370),0)+IFERROR(SUMIF(Nutzungsprofile!$B$6:$B$11,"Halle",Nutzungsprofile!$G$6:$G$11)*Kalender!D45/SUM(Kalender!$D$5:$D$370),0)+IFERROR(SUMIF(Nutzungsprofile!$B$6:$B$11,"Individuell",Nutzungsprofile!$G$6:$G$11)*Kalender!E45/SUM(Kalender!$E$5:$E$370),0))*Szenarien!$E$19,0)</f>
        <v>2.94</v>
      </c>
      <c r="D2973" s="13" t="n">
        <f aca="false">IF(Szenarien!$H$19="OK",(IFERROR(SUMIF(Nutzungsprofile!$B$17:$B$22,"Schulbetrieb",Nutzungsprofile!$G$17:$G$22)*Kalender!C45/SUM(Kalender!$C$5:$C$370),0)+IFERROR(SUMIF(Nutzungsprofile!$B$17:$B$22,"Halle",Nutzungsprofile!$G$17:$G$22)*Kalender!D45/SUM(Kalender!$D$5:$D$370),0)+IFERROR(SUMIF(Nutzungsprofile!$B$17:$B$22,"Individuell",Nutzungsprofile!$G$17:$G$22)*Kalender!E45/SUM(Kalender!$E$5:$E$370),0))*Szenarien!$D$19,0)</f>
        <v>5.928</v>
      </c>
      <c r="E2973" s="13" t="n">
        <f aca="false">IFERROR(MIN(C2973,Eingaben!$B$17)*Eingaben!$B$16,0)</f>
        <v>2.793</v>
      </c>
      <c r="F2973" s="13" t="n">
        <f aca="false">IFERROR(E2973*Eingaben!$B$15,0)</f>
        <v>2.5137</v>
      </c>
      <c r="G2973" s="13" t="n">
        <f aca="false">IFERROR(IF(Kalender!A45="",0,J2972*(1-Eingaben!$B$20)),0)</f>
        <v>0.7390278</v>
      </c>
      <c r="H2973" s="13" t="n">
        <f aca="false">MIN(G2973,D2973)</f>
        <v>0.7390278</v>
      </c>
      <c r="I2973" s="13" t="n">
        <f aca="false">IFERROR(MIN(F2973*Eingaben!$B$19,MAX(0,D2973-H2973)),0)</f>
        <v>1.75959</v>
      </c>
      <c r="J2973" s="13" t="n">
        <f aca="false">IFERROR(MIN(Eingaben!$B$18,MAX(0,F2973-I2973)),0)</f>
        <v>0.75411</v>
      </c>
      <c r="K2973" s="13" t="n">
        <f aca="false">H2973+I2973</f>
        <v>2.4986178</v>
      </c>
      <c r="L2973" s="13" t="n">
        <f aca="false">MAX(0,D2973-K2973)</f>
        <v>3.4293822</v>
      </c>
      <c r="M2973" s="13" t="n">
        <f aca="false">MAX(0,F2973-I2973-J2973)</f>
        <v>0</v>
      </c>
      <c r="N2973" s="13" t="n">
        <f aca="false">IF(Kalender!A45="",0,J2972-H2973)</f>
        <v>0.0150822</v>
      </c>
    </row>
    <row r="2974" customFormat="false" ht="16.4" hidden="false" customHeight="false" outlineLevel="0" collapsed="false">
      <c r="A2974" s="13" t="str">
        <f aca="false">""</f>
        <v/>
      </c>
      <c r="B2974" s="13" t="n">
        <f aca="false">42</f>
        <v>42</v>
      </c>
      <c r="C2974" s="13" t="n">
        <f aca="false">IF(Szenarien!$H$19="OK",(IFERROR(SUMIF(Nutzungsprofile!$B$6:$B$11,"Schulbetrieb",Nutzungsprofile!$G$6:$G$11)*Kalender!C46/SUM(Kalender!$C$5:$C$370),0)+IFERROR(SUMIF(Nutzungsprofile!$B$6:$B$11,"Halle",Nutzungsprofile!$G$6:$G$11)*Kalender!D46/SUM(Kalender!$D$5:$D$370),0)+IFERROR(SUMIF(Nutzungsprofile!$B$6:$B$11,"Individuell",Nutzungsprofile!$G$6:$G$11)*Kalender!E46/SUM(Kalender!$E$5:$E$370),0))*Szenarien!$E$19,0)</f>
        <v>2.94</v>
      </c>
      <c r="D2974" s="13" t="n">
        <f aca="false">IF(Szenarien!$H$19="OK",(IFERROR(SUMIF(Nutzungsprofile!$B$17:$B$22,"Schulbetrieb",Nutzungsprofile!$G$17:$G$22)*Kalender!C46/SUM(Kalender!$C$5:$C$370),0)+IFERROR(SUMIF(Nutzungsprofile!$B$17:$B$22,"Halle",Nutzungsprofile!$G$17:$G$22)*Kalender!D46/SUM(Kalender!$D$5:$D$370),0)+IFERROR(SUMIF(Nutzungsprofile!$B$17:$B$22,"Individuell",Nutzungsprofile!$G$17:$G$22)*Kalender!E46/SUM(Kalender!$E$5:$E$370),0))*Szenarien!$D$19,0)</f>
        <v>5.928</v>
      </c>
      <c r="E2974" s="13" t="n">
        <f aca="false">IFERROR(MIN(C2974,Eingaben!$B$17)*Eingaben!$B$16,0)</f>
        <v>2.793</v>
      </c>
      <c r="F2974" s="13" t="n">
        <f aca="false">IFERROR(E2974*Eingaben!$B$15,0)</f>
        <v>2.5137</v>
      </c>
      <c r="G2974" s="13" t="n">
        <f aca="false">IFERROR(IF(Kalender!A46="",0,J2973*(1-Eingaben!$B$20)),0)</f>
        <v>0.7390278</v>
      </c>
      <c r="H2974" s="13" t="n">
        <f aca="false">MIN(G2974,D2974)</f>
        <v>0.7390278</v>
      </c>
      <c r="I2974" s="13" t="n">
        <f aca="false">IFERROR(MIN(F2974*Eingaben!$B$19,MAX(0,D2974-H2974)),0)</f>
        <v>1.75959</v>
      </c>
      <c r="J2974" s="13" t="n">
        <f aca="false">IFERROR(MIN(Eingaben!$B$18,MAX(0,F2974-I2974)),0)</f>
        <v>0.75411</v>
      </c>
      <c r="K2974" s="13" t="n">
        <f aca="false">H2974+I2974</f>
        <v>2.4986178</v>
      </c>
      <c r="L2974" s="13" t="n">
        <f aca="false">MAX(0,D2974-K2974)</f>
        <v>3.4293822</v>
      </c>
      <c r="M2974" s="13" t="n">
        <f aca="false">MAX(0,F2974-I2974-J2974)</f>
        <v>0</v>
      </c>
      <c r="N2974" s="13" t="n">
        <f aca="false">IF(Kalender!A46="",0,J2973-H2974)</f>
        <v>0.0150822</v>
      </c>
    </row>
    <row r="2975" customFormat="false" ht="16.4" hidden="false" customHeight="false" outlineLevel="0" collapsed="false">
      <c r="A2975" s="13" t="str">
        <f aca="false">""</f>
        <v/>
      </c>
      <c r="B2975" s="13" t="n">
        <f aca="false">43</f>
        <v>43</v>
      </c>
      <c r="C2975" s="13" t="n">
        <f aca="false">IF(Szenarien!$H$19="OK",(IFERROR(SUMIF(Nutzungsprofile!$B$6:$B$11,"Schulbetrieb",Nutzungsprofile!$G$6:$G$11)*Kalender!C47/SUM(Kalender!$C$5:$C$370),0)+IFERROR(SUMIF(Nutzungsprofile!$B$6:$B$11,"Halle",Nutzungsprofile!$G$6:$G$11)*Kalender!D47/SUM(Kalender!$D$5:$D$370),0)+IFERROR(SUMIF(Nutzungsprofile!$B$6:$B$11,"Individuell",Nutzungsprofile!$G$6:$G$11)*Kalender!E47/SUM(Kalender!$E$5:$E$370),0))*Szenarien!$E$19,0)</f>
        <v>2.94</v>
      </c>
      <c r="D2975" s="13" t="n">
        <f aca="false">IF(Szenarien!$H$19="OK",(IFERROR(SUMIF(Nutzungsprofile!$B$17:$B$22,"Schulbetrieb",Nutzungsprofile!$G$17:$G$22)*Kalender!C47/SUM(Kalender!$C$5:$C$370),0)+IFERROR(SUMIF(Nutzungsprofile!$B$17:$B$22,"Halle",Nutzungsprofile!$G$17:$G$22)*Kalender!D47/SUM(Kalender!$D$5:$D$370),0)+IFERROR(SUMIF(Nutzungsprofile!$B$17:$B$22,"Individuell",Nutzungsprofile!$G$17:$G$22)*Kalender!E47/SUM(Kalender!$E$5:$E$370),0))*Szenarien!$D$19,0)</f>
        <v>5.928</v>
      </c>
      <c r="E2975" s="13" t="n">
        <f aca="false">IFERROR(MIN(C2975,Eingaben!$B$17)*Eingaben!$B$16,0)</f>
        <v>2.793</v>
      </c>
      <c r="F2975" s="13" t="n">
        <f aca="false">IFERROR(E2975*Eingaben!$B$15,0)</f>
        <v>2.5137</v>
      </c>
      <c r="G2975" s="13" t="n">
        <f aca="false">IFERROR(IF(Kalender!A47="",0,J2974*(1-Eingaben!$B$20)),0)</f>
        <v>0.7390278</v>
      </c>
      <c r="H2975" s="13" t="n">
        <f aca="false">MIN(G2975,D2975)</f>
        <v>0.7390278</v>
      </c>
      <c r="I2975" s="13" t="n">
        <f aca="false">IFERROR(MIN(F2975*Eingaben!$B$19,MAX(0,D2975-H2975)),0)</f>
        <v>1.75959</v>
      </c>
      <c r="J2975" s="13" t="n">
        <f aca="false">IFERROR(MIN(Eingaben!$B$18,MAX(0,F2975-I2975)),0)</f>
        <v>0.75411</v>
      </c>
      <c r="K2975" s="13" t="n">
        <f aca="false">H2975+I2975</f>
        <v>2.4986178</v>
      </c>
      <c r="L2975" s="13" t="n">
        <f aca="false">MAX(0,D2975-K2975)</f>
        <v>3.4293822</v>
      </c>
      <c r="M2975" s="13" t="n">
        <f aca="false">MAX(0,F2975-I2975-J2975)</f>
        <v>0</v>
      </c>
      <c r="N2975" s="13" t="n">
        <f aca="false">IF(Kalender!A47="",0,J2974-H2975)</f>
        <v>0.0150822</v>
      </c>
    </row>
    <row r="2976" customFormat="false" ht="16.4" hidden="false" customHeight="false" outlineLevel="0" collapsed="false">
      <c r="A2976" s="13" t="str">
        <f aca="false">""</f>
        <v/>
      </c>
      <c r="B2976" s="13" t="n">
        <f aca="false">44</f>
        <v>44</v>
      </c>
      <c r="C2976" s="13" t="n">
        <f aca="false">IF(Szenarien!$H$19="OK",(IFERROR(SUMIF(Nutzungsprofile!$B$6:$B$11,"Schulbetrieb",Nutzungsprofile!$G$6:$G$11)*Kalender!C48/SUM(Kalender!$C$5:$C$370),0)+IFERROR(SUMIF(Nutzungsprofile!$B$6:$B$11,"Halle",Nutzungsprofile!$G$6:$G$11)*Kalender!D48/SUM(Kalender!$D$5:$D$370),0)+IFERROR(SUMIF(Nutzungsprofile!$B$6:$B$11,"Individuell",Nutzungsprofile!$G$6:$G$11)*Kalender!E48/SUM(Kalender!$E$5:$E$370),0))*Szenarien!$E$19,0)</f>
        <v>2.94</v>
      </c>
      <c r="D2976" s="13" t="n">
        <f aca="false">IF(Szenarien!$H$19="OK",(IFERROR(SUMIF(Nutzungsprofile!$B$17:$B$22,"Schulbetrieb",Nutzungsprofile!$G$17:$G$22)*Kalender!C48/SUM(Kalender!$C$5:$C$370),0)+IFERROR(SUMIF(Nutzungsprofile!$B$17:$B$22,"Halle",Nutzungsprofile!$G$17:$G$22)*Kalender!D48/SUM(Kalender!$D$5:$D$370),0)+IFERROR(SUMIF(Nutzungsprofile!$B$17:$B$22,"Individuell",Nutzungsprofile!$G$17:$G$22)*Kalender!E48/SUM(Kalender!$E$5:$E$370),0))*Szenarien!$D$19,0)</f>
        <v>5.928</v>
      </c>
      <c r="E2976" s="13" t="n">
        <f aca="false">IFERROR(MIN(C2976,Eingaben!$B$17)*Eingaben!$B$16,0)</f>
        <v>2.793</v>
      </c>
      <c r="F2976" s="13" t="n">
        <f aca="false">IFERROR(E2976*Eingaben!$B$15,0)</f>
        <v>2.5137</v>
      </c>
      <c r="G2976" s="13" t="n">
        <f aca="false">IFERROR(IF(Kalender!A48="",0,J2975*(1-Eingaben!$B$20)),0)</f>
        <v>0.7390278</v>
      </c>
      <c r="H2976" s="13" t="n">
        <f aca="false">MIN(G2976,D2976)</f>
        <v>0.7390278</v>
      </c>
      <c r="I2976" s="13" t="n">
        <f aca="false">IFERROR(MIN(F2976*Eingaben!$B$19,MAX(0,D2976-H2976)),0)</f>
        <v>1.75959</v>
      </c>
      <c r="J2976" s="13" t="n">
        <f aca="false">IFERROR(MIN(Eingaben!$B$18,MAX(0,F2976-I2976)),0)</f>
        <v>0.75411</v>
      </c>
      <c r="K2976" s="13" t="n">
        <f aca="false">H2976+I2976</f>
        <v>2.4986178</v>
      </c>
      <c r="L2976" s="13" t="n">
        <f aca="false">MAX(0,D2976-K2976)</f>
        <v>3.4293822</v>
      </c>
      <c r="M2976" s="13" t="n">
        <f aca="false">MAX(0,F2976-I2976-J2976)</f>
        <v>0</v>
      </c>
      <c r="N2976" s="13" t="n">
        <f aca="false">IF(Kalender!A48="",0,J2975-H2976)</f>
        <v>0.0150822</v>
      </c>
    </row>
    <row r="2977" customFormat="false" ht="16.4" hidden="false" customHeight="false" outlineLevel="0" collapsed="false">
      <c r="A2977" s="13" t="str">
        <f aca="false">""</f>
        <v/>
      </c>
      <c r="B2977" s="13" t="n">
        <f aca="false">45</f>
        <v>45</v>
      </c>
      <c r="C2977" s="13" t="n">
        <f aca="false">IF(Szenarien!$H$19="OK",(IFERROR(SUMIF(Nutzungsprofile!$B$6:$B$11,"Schulbetrieb",Nutzungsprofile!$G$6:$G$11)*Kalender!C49/SUM(Kalender!$C$5:$C$370),0)+IFERROR(SUMIF(Nutzungsprofile!$B$6:$B$11,"Halle",Nutzungsprofile!$G$6:$G$11)*Kalender!D49/SUM(Kalender!$D$5:$D$370),0)+IFERROR(SUMIF(Nutzungsprofile!$B$6:$B$11,"Individuell",Nutzungsprofile!$G$6:$G$11)*Kalender!E49/SUM(Kalender!$E$5:$E$370),0))*Szenarien!$E$19,0)</f>
        <v>2.04</v>
      </c>
      <c r="D2977" s="13" t="n">
        <f aca="false">IF(Szenarien!$H$19="OK",(IFERROR(SUMIF(Nutzungsprofile!$B$17:$B$22,"Schulbetrieb",Nutzungsprofile!$G$17:$G$22)*Kalender!C49/SUM(Kalender!$C$5:$C$370),0)+IFERROR(SUMIF(Nutzungsprofile!$B$17:$B$22,"Halle",Nutzungsprofile!$G$17:$G$22)*Kalender!D49/SUM(Kalender!$D$5:$D$370),0)+IFERROR(SUMIF(Nutzungsprofile!$B$17:$B$22,"Individuell",Nutzungsprofile!$G$17:$G$22)*Kalender!E49/SUM(Kalender!$E$5:$E$370),0))*Szenarien!$D$19,0)</f>
        <v>1.068</v>
      </c>
      <c r="E2977" s="13" t="n">
        <f aca="false">IFERROR(MIN(C2977,Eingaben!$B$17)*Eingaben!$B$16,0)</f>
        <v>1.938</v>
      </c>
      <c r="F2977" s="13" t="n">
        <f aca="false">IFERROR(E2977*Eingaben!$B$15,0)</f>
        <v>1.7442</v>
      </c>
      <c r="G2977" s="13" t="n">
        <f aca="false">IFERROR(IF(Kalender!A49="",0,J2976*(1-Eingaben!$B$20)),0)</f>
        <v>0.7390278</v>
      </c>
      <c r="H2977" s="13" t="n">
        <f aca="false">MIN(G2977,D2977)</f>
        <v>0.7390278</v>
      </c>
      <c r="I2977" s="13" t="n">
        <f aca="false">IFERROR(MIN(F2977*Eingaben!$B$19,MAX(0,D2977-H2977)),0)</f>
        <v>0.3289722</v>
      </c>
      <c r="J2977" s="13" t="n">
        <f aca="false">IFERROR(MIN(Eingaben!$B$18,MAX(0,F2977-I2977)),0)</f>
        <v>1.4152278</v>
      </c>
      <c r="K2977" s="13" t="n">
        <f aca="false">H2977+I2977</f>
        <v>1.068</v>
      </c>
      <c r="L2977" s="13" t="n">
        <f aca="false">MAX(0,D2977-K2977)</f>
        <v>0</v>
      </c>
      <c r="M2977" s="13" t="n">
        <f aca="false">MAX(0,F2977-I2977-J2977)</f>
        <v>0</v>
      </c>
      <c r="N2977" s="13" t="n">
        <f aca="false">IF(Kalender!A49="",0,J2976-H2977)</f>
        <v>0.0150822</v>
      </c>
    </row>
    <row r="2978" customFormat="false" ht="16.4" hidden="false" customHeight="false" outlineLevel="0" collapsed="false">
      <c r="A2978" s="13" t="str">
        <f aca="false">""</f>
        <v/>
      </c>
      <c r="B2978" s="13" t="n">
        <f aca="false">46</f>
        <v>46</v>
      </c>
      <c r="C2978" s="13" t="n">
        <f aca="false">IF(Szenarien!$H$19="OK",(IFERROR(SUMIF(Nutzungsprofile!$B$6:$B$11,"Schulbetrieb",Nutzungsprofile!$G$6:$G$11)*Kalender!C50/SUM(Kalender!$C$5:$C$370),0)+IFERROR(SUMIF(Nutzungsprofile!$B$6:$B$11,"Halle",Nutzungsprofile!$G$6:$G$11)*Kalender!D50/SUM(Kalender!$D$5:$D$370),0)+IFERROR(SUMIF(Nutzungsprofile!$B$6:$B$11,"Individuell",Nutzungsprofile!$G$6:$G$11)*Kalender!E50/SUM(Kalender!$E$5:$E$370),0))*Szenarien!$E$19,0)</f>
        <v>2.04</v>
      </c>
      <c r="D2978" s="13" t="n">
        <f aca="false">IF(Szenarien!$H$19="OK",(IFERROR(SUMIF(Nutzungsprofile!$B$17:$B$22,"Schulbetrieb",Nutzungsprofile!$G$17:$G$22)*Kalender!C50/SUM(Kalender!$C$5:$C$370),0)+IFERROR(SUMIF(Nutzungsprofile!$B$17:$B$22,"Halle",Nutzungsprofile!$G$17:$G$22)*Kalender!D50/SUM(Kalender!$D$5:$D$370),0)+IFERROR(SUMIF(Nutzungsprofile!$B$17:$B$22,"Individuell",Nutzungsprofile!$G$17:$G$22)*Kalender!E50/SUM(Kalender!$E$5:$E$370),0))*Szenarien!$D$19,0)</f>
        <v>1.068</v>
      </c>
      <c r="E2978" s="13" t="n">
        <f aca="false">IFERROR(MIN(C2978,Eingaben!$B$17)*Eingaben!$B$16,0)</f>
        <v>1.938</v>
      </c>
      <c r="F2978" s="13" t="n">
        <f aca="false">IFERROR(E2978*Eingaben!$B$15,0)</f>
        <v>1.7442</v>
      </c>
      <c r="G2978" s="13" t="n">
        <f aca="false">IFERROR(IF(Kalender!A50="",0,J2977*(1-Eingaben!$B$20)),0)</f>
        <v>1.386923244</v>
      </c>
      <c r="H2978" s="13" t="n">
        <f aca="false">MIN(G2978,D2978)</f>
        <v>1.068</v>
      </c>
      <c r="I2978" s="13" t="n">
        <f aca="false">IFERROR(MIN(F2978*Eingaben!$B$19,MAX(0,D2978-H2978)),0)</f>
        <v>0</v>
      </c>
      <c r="J2978" s="13" t="n">
        <f aca="false">IFERROR(MIN(Eingaben!$B$18,MAX(0,F2978-I2978)),0)</f>
        <v>1.7442</v>
      </c>
      <c r="K2978" s="13" t="n">
        <f aca="false">H2978+I2978</f>
        <v>1.068</v>
      </c>
      <c r="L2978" s="13" t="n">
        <f aca="false">MAX(0,D2978-K2978)</f>
        <v>0</v>
      </c>
      <c r="M2978" s="13" t="n">
        <f aca="false">MAX(0,F2978-I2978-J2978)</f>
        <v>0</v>
      </c>
      <c r="N2978" s="13" t="n">
        <f aca="false">IF(Kalender!A50="",0,J2977-H2978)</f>
        <v>0.3472278</v>
      </c>
    </row>
    <row r="2979" customFormat="false" ht="16.4" hidden="false" customHeight="false" outlineLevel="0" collapsed="false">
      <c r="A2979" s="13" t="str">
        <f aca="false">""</f>
        <v/>
      </c>
      <c r="B2979" s="13" t="n">
        <f aca="false">47</f>
        <v>47</v>
      </c>
      <c r="C2979" s="13" t="n">
        <f aca="false">IF(Szenarien!$H$19="OK",(IFERROR(SUMIF(Nutzungsprofile!$B$6:$B$11,"Schulbetrieb",Nutzungsprofile!$G$6:$G$11)*Kalender!C51/SUM(Kalender!$C$5:$C$370),0)+IFERROR(SUMIF(Nutzungsprofile!$B$6:$B$11,"Halle",Nutzungsprofile!$G$6:$G$11)*Kalender!D51/SUM(Kalender!$D$5:$D$370),0)+IFERROR(SUMIF(Nutzungsprofile!$B$6:$B$11,"Individuell",Nutzungsprofile!$G$6:$G$11)*Kalender!E51/SUM(Kalender!$E$5:$E$370),0))*Szenarien!$E$19,0)</f>
        <v>2.94</v>
      </c>
      <c r="D2979" s="13" t="n">
        <f aca="false">IF(Szenarien!$H$19="OK",(IFERROR(SUMIF(Nutzungsprofile!$B$17:$B$22,"Schulbetrieb",Nutzungsprofile!$G$17:$G$22)*Kalender!C51/SUM(Kalender!$C$5:$C$370),0)+IFERROR(SUMIF(Nutzungsprofile!$B$17:$B$22,"Halle",Nutzungsprofile!$G$17:$G$22)*Kalender!D51/SUM(Kalender!$D$5:$D$370),0)+IFERROR(SUMIF(Nutzungsprofile!$B$17:$B$22,"Individuell",Nutzungsprofile!$G$17:$G$22)*Kalender!E51/SUM(Kalender!$E$5:$E$370),0))*Szenarien!$D$19,0)</f>
        <v>5.928</v>
      </c>
      <c r="E2979" s="13" t="n">
        <f aca="false">IFERROR(MIN(C2979,Eingaben!$B$17)*Eingaben!$B$16,0)</f>
        <v>2.793</v>
      </c>
      <c r="F2979" s="13" t="n">
        <f aca="false">IFERROR(E2979*Eingaben!$B$15,0)</f>
        <v>2.5137</v>
      </c>
      <c r="G2979" s="13" t="n">
        <f aca="false">IFERROR(IF(Kalender!A51="",0,J2978*(1-Eingaben!$B$20)),0)</f>
        <v>1.709316</v>
      </c>
      <c r="H2979" s="13" t="n">
        <f aca="false">MIN(G2979,D2979)</f>
        <v>1.709316</v>
      </c>
      <c r="I2979" s="13" t="n">
        <f aca="false">IFERROR(MIN(F2979*Eingaben!$B$19,MAX(0,D2979-H2979)),0)</f>
        <v>1.75959</v>
      </c>
      <c r="J2979" s="13" t="n">
        <f aca="false">IFERROR(MIN(Eingaben!$B$18,MAX(0,F2979-I2979)),0)</f>
        <v>0.75411</v>
      </c>
      <c r="K2979" s="13" t="n">
        <f aca="false">H2979+I2979</f>
        <v>3.468906</v>
      </c>
      <c r="L2979" s="13" t="n">
        <f aca="false">MAX(0,D2979-K2979)</f>
        <v>2.459094</v>
      </c>
      <c r="M2979" s="13" t="n">
        <f aca="false">MAX(0,F2979-I2979-J2979)</f>
        <v>0</v>
      </c>
      <c r="N2979" s="13" t="n">
        <f aca="false">IF(Kalender!A51="",0,J2978-H2979)</f>
        <v>0.0348840000000001</v>
      </c>
    </row>
    <row r="2980" customFormat="false" ht="16.4" hidden="false" customHeight="false" outlineLevel="0" collapsed="false">
      <c r="A2980" s="13" t="str">
        <f aca="false">""</f>
        <v/>
      </c>
      <c r="B2980" s="13" t="n">
        <f aca="false">48</f>
        <v>48</v>
      </c>
      <c r="C2980" s="13" t="n">
        <f aca="false">IF(Szenarien!$H$19="OK",(IFERROR(SUMIF(Nutzungsprofile!$B$6:$B$11,"Schulbetrieb",Nutzungsprofile!$G$6:$G$11)*Kalender!C52/SUM(Kalender!$C$5:$C$370),0)+IFERROR(SUMIF(Nutzungsprofile!$B$6:$B$11,"Halle",Nutzungsprofile!$G$6:$G$11)*Kalender!D52/SUM(Kalender!$D$5:$D$370),0)+IFERROR(SUMIF(Nutzungsprofile!$B$6:$B$11,"Individuell",Nutzungsprofile!$G$6:$G$11)*Kalender!E52/SUM(Kalender!$E$5:$E$370),0))*Szenarien!$E$19,0)</f>
        <v>2.94</v>
      </c>
      <c r="D2980" s="13" t="n">
        <f aca="false">IF(Szenarien!$H$19="OK",(IFERROR(SUMIF(Nutzungsprofile!$B$17:$B$22,"Schulbetrieb",Nutzungsprofile!$G$17:$G$22)*Kalender!C52/SUM(Kalender!$C$5:$C$370),0)+IFERROR(SUMIF(Nutzungsprofile!$B$17:$B$22,"Halle",Nutzungsprofile!$G$17:$G$22)*Kalender!D52/SUM(Kalender!$D$5:$D$370),0)+IFERROR(SUMIF(Nutzungsprofile!$B$17:$B$22,"Individuell",Nutzungsprofile!$G$17:$G$22)*Kalender!E52/SUM(Kalender!$E$5:$E$370),0))*Szenarien!$D$19,0)</f>
        <v>5.928</v>
      </c>
      <c r="E2980" s="13" t="n">
        <f aca="false">IFERROR(MIN(C2980,Eingaben!$B$17)*Eingaben!$B$16,0)</f>
        <v>2.793</v>
      </c>
      <c r="F2980" s="13" t="n">
        <f aca="false">IFERROR(E2980*Eingaben!$B$15,0)</f>
        <v>2.5137</v>
      </c>
      <c r="G2980" s="13" t="n">
        <f aca="false">IFERROR(IF(Kalender!A52="",0,J2979*(1-Eingaben!$B$20)),0)</f>
        <v>0.7390278</v>
      </c>
      <c r="H2980" s="13" t="n">
        <f aca="false">MIN(G2980,D2980)</f>
        <v>0.7390278</v>
      </c>
      <c r="I2980" s="13" t="n">
        <f aca="false">IFERROR(MIN(F2980*Eingaben!$B$19,MAX(0,D2980-H2980)),0)</f>
        <v>1.75959</v>
      </c>
      <c r="J2980" s="13" t="n">
        <f aca="false">IFERROR(MIN(Eingaben!$B$18,MAX(0,F2980-I2980)),0)</f>
        <v>0.75411</v>
      </c>
      <c r="K2980" s="13" t="n">
        <f aca="false">H2980+I2980</f>
        <v>2.4986178</v>
      </c>
      <c r="L2980" s="13" t="n">
        <f aca="false">MAX(0,D2980-K2980)</f>
        <v>3.4293822</v>
      </c>
      <c r="M2980" s="13" t="n">
        <f aca="false">MAX(0,F2980-I2980-J2980)</f>
        <v>0</v>
      </c>
      <c r="N2980" s="13" t="n">
        <f aca="false">IF(Kalender!A52="",0,J2979-H2980)</f>
        <v>0.0150822</v>
      </c>
    </row>
    <row r="2981" customFormat="false" ht="16.4" hidden="false" customHeight="false" outlineLevel="0" collapsed="false">
      <c r="A2981" s="13" t="str">
        <f aca="false">""</f>
        <v/>
      </c>
      <c r="B2981" s="13" t="n">
        <f aca="false">49</f>
        <v>49</v>
      </c>
      <c r="C2981" s="13" t="n">
        <f aca="false">IF(Szenarien!$H$19="OK",(IFERROR(SUMIF(Nutzungsprofile!$B$6:$B$11,"Schulbetrieb",Nutzungsprofile!$G$6:$G$11)*Kalender!C53/SUM(Kalender!$C$5:$C$370),0)+IFERROR(SUMIF(Nutzungsprofile!$B$6:$B$11,"Halle",Nutzungsprofile!$G$6:$G$11)*Kalender!D53/SUM(Kalender!$D$5:$D$370),0)+IFERROR(SUMIF(Nutzungsprofile!$B$6:$B$11,"Individuell",Nutzungsprofile!$G$6:$G$11)*Kalender!E53/SUM(Kalender!$E$5:$E$370),0))*Szenarien!$E$19,0)</f>
        <v>2.94</v>
      </c>
      <c r="D2981" s="13" t="n">
        <f aca="false">IF(Szenarien!$H$19="OK",(IFERROR(SUMIF(Nutzungsprofile!$B$17:$B$22,"Schulbetrieb",Nutzungsprofile!$G$17:$G$22)*Kalender!C53/SUM(Kalender!$C$5:$C$370),0)+IFERROR(SUMIF(Nutzungsprofile!$B$17:$B$22,"Halle",Nutzungsprofile!$G$17:$G$22)*Kalender!D53/SUM(Kalender!$D$5:$D$370),0)+IFERROR(SUMIF(Nutzungsprofile!$B$17:$B$22,"Individuell",Nutzungsprofile!$G$17:$G$22)*Kalender!E53/SUM(Kalender!$E$5:$E$370),0))*Szenarien!$D$19,0)</f>
        <v>5.928</v>
      </c>
      <c r="E2981" s="13" t="n">
        <f aca="false">IFERROR(MIN(C2981,Eingaben!$B$17)*Eingaben!$B$16,0)</f>
        <v>2.793</v>
      </c>
      <c r="F2981" s="13" t="n">
        <f aca="false">IFERROR(E2981*Eingaben!$B$15,0)</f>
        <v>2.5137</v>
      </c>
      <c r="G2981" s="13" t="n">
        <f aca="false">IFERROR(IF(Kalender!A53="",0,J2980*(1-Eingaben!$B$20)),0)</f>
        <v>0.7390278</v>
      </c>
      <c r="H2981" s="13" t="n">
        <f aca="false">MIN(G2981,D2981)</f>
        <v>0.7390278</v>
      </c>
      <c r="I2981" s="13" t="n">
        <f aca="false">IFERROR(MIN(F2981*Eingaben!$B$19,MAX(0,D2981-H2981)),0)</f>
        <v>1.75959</v>
      </c>
      <c r="J2981" s="13" t="n">
        <f aca="false">IFERROR(MIN(Eingaben!$B$18,MAX(0,F2981-I2981)),0)</f>
        <v>0.75411</v>
      </c>
      <c r="K2981" s="13" t="n">
        <f aca="false">H2981+I2981</f>
        <v>2.4986178</v>
      </c>
      <c r="L2981" s="13" t="n">
        <f aca="false">MAX(0,D2981-K2981)</f>
        <v>3.4293822</v>
      </c>
      <c r="M2981" s="13" t="n">
        <f aca="false">MAX(0,F2981-I2981-J2981)</f>
        <v>0</v>
      </c>
      <c r="N2981" s="13" t="n">
        <f aca="false">IF(Kalender!A53="",0,J2980-H2981)</f>
        <v>0.0150822</v>
      </c>
    </row>
    <row r="2982" customFormat="false" ht="16.4" hidden="false" customHeight="false" outlineLevel="0" collapsed="false">
      <c r="A2982" s="13" t="str">
        <f aca="false">""</f>
        <v/>
      </c>
      <c r="B2982" s="13" t="n">
        <f aca="false">50</f>
        <v>50</v>
      </c>
      <c r="C2982" s="13" t="n">
        <f aca="false">IF(Szenarien!$H$19="OK",(IFERROR(SUMIF(Nutzungsprofile!$B$6:$B$11,"Schulbetrieb",Nutzungsprofile!$G$6:$G$11)*Kalender!C54/SUM(Kalender!$C$5:$C$370),0)+IFERROR(SUMIF(Nutzungsprofile!$B$6:$B$11,"Halle",Nutzungsprofile!$G$6:$G$11)*Kalender!D54/SUM(Kalender!$D$5:$D$370),0)+IFERROR(SUMIF(Nutzungsprofile!$B$6:$B$11,"Individuell",Nutzungsprofile!$G$6:$G$11)*Kalender!E54/SUM(Kalender!$E$5:$E$370),0))*Szenarien!$E$19,0)</f>
        <v>2.94</v>
      </c>
      <c r="D2982" s="13" t="n">
        <f aca="false">IF(Szenarien!$H$19="OK",(IFERROR(SUMIF(Nutzungsprofile!$B$17:$B$22,"Schulbetrieb",Nutzungsprofile!$G$17:$G$22)*Kalender!C54/SUM(Kalender!$C$5:$C$370),0)+IFERROR(SUMIF(Nutzungsprofile!$B$17:$B$22,"Halle",Nutzungsprofile!$G$17:$G$22)*Kalender!D54/SUM(Kalender!$D$5:$D$370),0)+IFERROR(SUMIF(Nutzungsprofile!$B$17:$B$22,"Individuell",Nutzungsprofile!$G$17:$G$22)*Kalender!E54/SUM(Kalender!$E$5:$E$370),0))*Szenarien!$D$19,0)</f>
        <v>5.928</v>
      </c>
      <c r="E2982" s="13" t="n">
        <f aca="false">IFERROR(MIN(C2982,Eingaben!$B$17)*Eingaben!$B$16,0)</f>
        <v>2.793</v>
      </c>
      <c r="F2982" s="13" t="n">
        <f aca="false">IFERROR(E2982*Eingaben!$B$15,0)</f>
        <v>2.5137</v>
      </c>
      <c r="G2982" s="13" t="n">
        <f aca="false">IFERROR(IF(Kalender!A54="",0,J2981*(1-Eingaben!$B$20)),0)</f>
        <v>0.7390278</v>
      </c>
      <c r="H2982" s="13" t="n">
        <f aca="false">MIN(G2982,D2982)</f>
        <v>0.7390278</v>
      </c>
      <c r="I2982" s="13" t="n">
        <f aca="false">IFERROR(MIN(F2982*Eingaben!$B$19,MAX(0,D2982-H2982)),0)</f>
        <v>1.75959</v>
      </c>
      <c r="J2982" s="13" t="n">
        <f aca="false">IFERROR(MIN(Eingaben!$B$18,MAX(0,F2982-I2982)),0)</f>
        <v>0.75411</v>
      </c>
      <c r="K2982" s="13" t="n">
        <f aca="false">H2982+I2982</f>
        <v>2.4986178</v>
      </c>
      <c r="L2982" s="13" t="n">
        <f aca="false">MAX(0,D2982-K2982)</f>
        <v>3.4293822</v>
      </c>
      <c r="M2982" s="13" t="n">
        <f aca="false">MAX(0,F2982-I2982-J2982)</f>
        <v>0</v>
      </c>
      <c r="N2982" s="13" t="n">
        <f aca="false">IF(Kalender!A54="",0,J2981-H2982)</f>
        <v>0.0150822</v>
      </c>
    </row>
    <row r="2983" customFormat="false" ht="16.4" hidden="false" customHeight="false" outlineLevel="0" collapsed="false">
      <c r="A2983" s="13" t="str">
        <f aca="false">""</f>
        <v/>
      </c>
      <c r="B2983" s="13" t="n">
        <f aca="false">51</f>
        <v>51</v>
      </c>
      <c r="C2983" s="13" t="n">
        <f aca="false">IF(Szenarien!$H$19="OK",(IFERROR(SUMIF(Nutzungsprofile!$B$6:$B$11,"Schulbetrieb",Nutzungsprofile!$G$6:$G$11)*Kalender!C55/SUM(Kalender!$C$5:$C$370),0)+IFERROR(SUMIF(Nutzungsprofile!$B$6:$B$11,"Halle",Nutzungsprofile!$G$6:$G$11)*Kalender!D55/SUM(Kalender!$D$5:$D$370),0)+IFERROR(SUMIF(Nutzungsprofile!$B$6:$B$11,"Individuell",Nutzungsprofile!$G$6:$G$11)*Kalender!E55/SUM(Kalender!$E$5:$E$370),0))*Szenarien!$E$19,0)</f>
        <v>2.94</v>
      </c>
      <c r="D2983" s="13" t="n">
        <f aca="false">IF(Szenarien!$H$19="OK",(IFERROR(SUMIF(Nutzungsprofile!$B$17:$B$22,"Schulbetrieb",Nutzungsprofile!$G$17:$G$22)*Kalender!C55/SUM(Kalender!$C$5:$C$370),0)+IFERROR(SUMIF(Nutzungsprofile!$B$17:$B$22,"Halle",Nutzungsprofile!$G$17:$G$22)*Kalender!D55/SUM(Kalender!$D$5:$D$370),0)+IFERROR(SUMIF(Nutzungsprofile!$B$17:$B$22,"Individuell",Nutzungsprofile!$G$17:$G$22)*Kalender!E55/SUM(Kalender!$E$5:$E$370),0))*Szenarien!$D$19,0)</f>
        <v>5.928</v>
      </c>
      <c r="E2983" s="13" t="n">
        <f aca="false">IFERROR(MIN(C2983,Eingaben!$B$17)*Eingaben!$B$16,0)</f>
        <v>2.793</v>
      </c>
      <c r="F2983" s="13" t="n">
        <f aca="false">IFERROR(E2983*Eingaben!$B$15,0)</f>
        <v>2.5137</v>
      </c>
      <c r="G2983" s="13" t="n">
        <f aca="false">IFERROR(IF(Kalender!A55="",0,J2982*(1-Eingaben!$B$20)),0)</f>
        <v>0.7390278</v>
      </c>
      <c r="H2983" s="13" t="n">
        <f aca="false">MIN(G2983,D2983)</f>
        <v>0.7390278</v>
      </c>
      <c r="I2983" s="13" t="n">
        <f aca="false">IFERROR(MIN(F2983*Eingaben!$B$19,MAX(0,D2983-H2983)),0)</f>
        <v>1.75959</v>
      </c>
      <c r="J2983" s="13" t="n">
        <f aca="false">IFERROR(MIN(Eingaben!$B$18,MAX(0,F2983-I2983)),0)</f>
        <v>0.75411</v>
      </c>
      <c r="K2983" s="13" t="n">
        <f aca="false">H2983+I2983</f>
        <v>2.4986178</v>
      </c>
      <c r="L2983" s="13" t="n">
        <f aca="false">MAX(0,D2983-K2983)</f>
        <v>3.4293822</v>
      </c>
      <c r="M2983" s="13" t="n">
        <f aca="false">MAX(0,F2983-I2983-J2983)</f>
        <v>0</v>
      </c>
      <c r="N2983" s="13" t="n">
        <f aca="false">IF(Kalender!A55="",0,J2982-H2983)</f>
        <v>0.0150822</v>
      </c>
    </row>
    <row r="2984" customFormat="false" ht="16.4" hidden="false" customHeight="false" outlineLevel="0" collapsed="false">
      <c r="A2984" s="13" t="str">
        <f aca="false">""</f>
        <v/>
      </c>
      <c r="B2984" s="13" t="n">
        <f aca="false">52</f>
        <v>52</v>
      </c>
      <c r="C2984" s="13" t="n">
        <f aca="false">IF(Szenarien!$H$19="OK",(IFERROR(SUMIF(Nutzungsprofile!$B$6:$B$11,"Schulbetrieb",Nutzungsprofile!$G$6:$G$11)*Kalender!C56/SUM(Kalender!$C$5:$C$370),0)+IFERROR(SUMIF(Nutzungsprofile!$B$6:$B$11,"Halle",Nutzungsprofile!$G$6:$G$11)*Kalender!D56/SUM(Kalender!$D$5:$D$370),0)+IFERROR(SUMIF(Nutzungsprofile!$B$6:$B$11,"Individuell",Nutzungsprofile!$G$6:$G$11)*Kalender!E56/SUM(Kalender!$E$5:$E$370),0))*Szenarien!$E$19,0)</f>
        <v>2.04</v>
      </c>
      <c r="D2984" s="13" t="n">
        <f aca="false">IF(Szenarien!$H$19="OK",(IFERROR(SUMIF(Nutzungsprofile!$B$17:$B$22,"Schulbetrieb",Nutzungsprofile!$G$17:$G$22)*Kalender!C56/SUM(Kalender!$C$5:$C$370),0)+IFERROR(SUMIF(Nutzungsprofile!$B$17:$B$22,"Halle",Nutzungsprofile!$G$17:$G$22)*Kalender!D56/SUM(Kalender!$D$5:$D$370),0)+IFERROR(SUMIF(Nutzungsprofile!$B$17:$B$22,"Individuell",Nutzungsprofile!$G$17:$G$22)*Kalender!E56/SUM(Kalender!$E$5:$E$370),0))*Szenarien!$D$19,0)</f>
        <v>1.068</v>
      </c>
      <c r="E2984" s="13" t="n">
        <f aca="false">IFERROR(MIN(C2984,Eingaben!$B$17)*Eingaben!$B$16,0)</f>
        <v>1.938</v>
      </c>
      <c r="F2984" s="13" t="n">
        <f aca="false">IFERROR(E2984*Eingaben!$B$15,0)</f>
        <v>1.7442</v>
      </c>
      <c r="G2984" s="13" t="n">
        <f aca="false">IFERROR(IF(Kalender!A56="",0,J2983*(1-Eingaben!$B$20)),0)</f>
        <v>0.7390278</v>
      </c>
      <c r="H2984" s="13" t="n">
        <f aca="false">MIN(G2984,D2984)</f>
        <v>0.7390278</v>
      </c>
      <c r="I2984" s="13" t="n">
        <f aca="false">IFERROR(MIN(F2984*Eingaben!$B$19,MAX(0,D2984-H2984)),0)</f>
        <v>0.3289722</v>
      </c>
      <c r="J2984" s="13" t="n">
        <f aca="false">IFERROR(MIN(Eingaben!$B$18,MAX(0,F2984-I2984)),0)</f>
        <v>1.4152278</v>
      </c>
      <c r="K2984" s="13" t="n">
        <f aca="false">H2984+I2984</f>
        <v>1.068</v>
      </c>
      <c r="L2984" s="13" t="n">
        <f aca="false">MAX(0,D2984-K2984)</f>
        <v>0</v>
      </c>
      <c r="M2984" s="13" t="n">
        <f aca="false">MAX(0,F2984-I2984-J2984)</f>
        <v>0</v>
      </c>
      <c r="N2984" s="13" t="n">
        <f aca="false">IF(Kalender!A56="",0,J2983-H2984)</f>
        <v>0.0150822</v>
      </c>
    </row>
    <row r="2985" customFormat="false" ht="16.4" hidden="false" customHeight="false" outlineLevel="0" collapsed="false">
      <c r="A2985" s="13" t="str">
        <f aca="false">""</f>
        <v/>
      </c>
      <c r="B2985" s="13" t="n">
        <f aca="false">53</f>
        <v>53</v>
      </c>
      <c r="C2985" s="13" t="n">
        <f aca="false">IF(Szenarien!$H$19="OK",(IFERROR(SUMIF(Nutzungsprofile!$B$6:$B$11,"Schulbetrieb",Nutzungsprofile!$G$6:$G$11)*Kalender!C57/SUM(Kalender!$C$5:$C$370),0)+IFERROR(SUMIF(Nutzungsprofile!$B$6:$B$11,"Halle",Nutzungsprofile!$G$6:$G$11)*Kalender!D57/SUM(Kalender!$D$5:$D$370),0)+IFERROR(SUMIF(Nutzungsprofile!$B$6:$B$11,"Individuell",Nutzungsprofile!$G$6:$G$11)*Kalender!E57/SUM(Kalender!$E$5:$E$370),0))*Szenarien!$E$19,0)</f>
        <v>2.04</v>
      </c>
      <c r="D2985" s="13" t="n">
        <f aca="false">IF(Szenarien!$H$19="OK",(IFERROR(SUMIF(Nutzungsprofile!$B$17:$B$22,"Schulbetrieb",Nutzungsprofile!$G$17:$G$22)*Kalender!C57/SUM(Kalender!$C$5:$C$370),0)+IFERROR(SUMIF(Nutzungsprofile!$B$17:$B$22,"Halle",Nutzungsprofile!$G$17:$G$22)*Kalender!D57/SUM(Kalender!$D$5:$D$370),0)+IFERROR(SUMIF(Nutzungsprofile!$B$17:$B$22,"Individuell",Nutzungsprofile!$G$17:$G$22)*Kalender!E57/SUM(Kalender!$E$5:$E$370),0))*Szenarien!$D$19,0)</f>
        <v>1.068</v>
      </c>
      <c r="E2985" s="13" t="n">
        <f aca="false">IFERROR(MIN(C2985,Eingaben!$B$17)*Eingaben!$B$16,0)</f>
        <v>1.938</v>
      </c>
      <c r="F2985" s="13" t="n">
        <f aca="false">IFERROR(E2985*Eingaben!$B$15,0)</f>
        <v>1.7442</v>
      </c>
      <c r="G2985" s="13" t="n">
        <f aca="false">IFERROR(IF(Kalender!A57="",0,J2984*(1-Eingaben!$B$20)),0)</f>
        <v>1.386923244</v>
      </c>
      <c r="H2985" s="13" t="n">
        <f aca="false">MIN(G2985,D2985)</f>
        <v>1.068</v>
      </c>
      <c r="I2985" s="13" t="n">
        <f aca="false">IFERROR(MIN(F2985*Eingaben!$B$19,MAX(0,D2985-H2985)),0)</f>
        <v>0</v>
      </c>
      <c r="J2985" s="13" t="n">
        <f aca="false">IFERROR(MIN(Eingaben!$B$18,MAX(0,F2985-I2985)),0)</f>
        <v>1.7442</v>
      </c>
      <c r="K2985" s="13" t="n">
        <f aca="false">H2985+I2985</f>
        <v>1.068</v>
      </c>
      <c r="L2985" s="13" t="n">
        <f aca="false">MAX(0,D2985-K2985)</f>
        <v>0</v>
      </c>
      <c r="M2985" s="13" t="n">
        <f aca="false">MAX(0,F2985-I2985-J2985)</f>
        <v>0</v>
      </c>
      <c r="N2985" s="13" t="n">
        <f aca="false">IF(Kalender!A57="",0,J2984-H2985)</f>
        <v>0.3472278</v>
      </c>
    </row>
    <row r="2986" customFormat="false" ht="16.4" hidden="false" customHeight="false" outlineLevel="0" collapsed="false">
      <c r="A2986" s="13" t="str">
        <f aca="false">""</f>
        <v/>
      </c>
      <c r="B2986" s="13" t="n">
        <f aca="false">54</f>
        <v>54</v>
      </c>
      <c r="C2986" s="13" t="n">
        <f aca="false">IF(Szenarien!$H$19="OK",(IFERROR(SUMIF(Nutzungsprofile!$B$6:$B$11,"Schulbetrieb",Nutzungsprofile!$G$6:$G$11)*Kalender!C58/SUM(Kalender!$C$5:$C$370),0)+IFERROR(SUMIF(Nutzungsprofile!$B$6:$B$11,"Halle",Nutzungsprofile!$G$6:$G$11)*Kalender!D58/SUM(Kalender!$D$5:$D$370),0)+IFERROR(SUMIF(Nutzungsprofile!$B$6:$B$11,"Individuell",Nutzungsprofile!$G$6:$G$11)*Kalender!E58/SUM(Kalender!$E$5:$E$370),0))*Szenarien!$E$19,0)</f>
        <v>2.94</v>
      </c>
      <c r="D2986" s="13" t="n">
        <f aca="false">IF(Szenarien!$H$19="OK",(IFERROR(SUMIF(Nutzungsprofile!$B$17:$B$22,"Schulbetrieb",Nutzungsprofile!$G$17:$G$22)*Kalender!C58/SUM(Kalender!$C$5:$C$370),0)+IFERROR(SUMIF(Nutzungsprofile!$B$17:$B$22,"Halle",Nutzungsprofile!$G$17:$G$22)*Kalender!D58/SUM(Kalender!$D$5:$D$370),0)+IFERROR(SUMIF(Nutzungsprofile!$B$17:$B$22,"Individuell",Nutzungsprofile!$G$17:$G$22)*Kalender!E58/SUM(Kalender!$E$5:$E$370),0))*Szenarien!$D$19,0)</f>
        <v>5.928</v>
      </c>
      <c r="E2986" s="13" t="n">
        <f aca="false">IFERROR(MIN(C2986,Eingaben!$B$17)*Eingaben!$B$16,0)</f>
        <v>2.793</v>
      </c>
      <c r="F2986" s="13" t="n">
        <f aca="false">IFERROR(E2986*Eingaben!$B$15,0)</f>
        <v>2.5137</v>
      </c>
      <c r="G2986" s="13" t="n">
        <f aca="false">IFERROR(IF(Kalender!A58="",0,J2985*(1-Eingaben!$B$20)),0)</f>
        <v>1.709316</v>
      </c>
      <c r="H2986" s="13" t="n">
        <f aca="false">MIN(G2986,D2986)</f>
        <v>1.709316</v>
      </c>
      <c r="I2986" s="13" t="n">
        <f aca="false">IFERROR(MIN(F2986*Eingaben!$B$19,MAX(0,D2986-H2986)),0)</f>
        <v>1.75959</v>
      </c>
      <c r="J2986" s="13" t="n">
        <f aca="false">IFERROR(MIN(Eingaben!$B$18,MAX(0,F2986-I2986)),0)</f>
        <v>0.75411</v>
      </c>
      <c r="K2986" s="13" t="n">
        <f aca="false">H2986+I2986</f>
        <v>3.468906</v>
      </c>
      <c r="L2986" s="13" t="n">
        <f aca="false">MAX(0,D2986-K2986)</f>
        <v>2.459094</v>
      </c>
      <c r="M2986" s="13" t="n">
        <f aca="false">MAX(0,F2986-I2986-J2986)</f>
        <v>0</v>
      </c>
      <c r="N2986" s="13" t="n">
        <f aca="false">IF(Kalender!A58="",0,J2985-H2986)</f>
        <v>0.0348840000000001</v>
      </c>
    </row>
    <row r="2987" customFormat="false" ht="16.4" hidden="false" customHeight="false" outlineLevel="0" collapsed="false">
      <c r="A2987" s="13" t="str">
        <f aca="false">""</f>
        <v/>
      </c>
      <c r="B2987" s="13" t="n">
        <f aca="false">55</f>
        <v>55</v>
      </c>
      <c r="C2987" s="13" t="n">
        <f aca="false">IF(Szenarien!$H$19="OK",(IFERROR(SUMIF(Nutzungsprofile!$B$6:$B$11,"Schulbetrieb",Nutzungsprofile!$G$6:$G$11)*Kalender!C59/SUM(Kalender!$C$5:$C$370),0)+IFERROR(SUMIF(Nutzungsprofile!$B$6:$B$11,"Halle",Nutzungsprofile!$G$6:$G$11)*Kalender!D59/SUM(Kalender!$D$5:$D$370),0)+IFERROR(SUMIF(Nutzungsprofile!$B$6:$B$11,"Individuell",Nutzungsprofile!$G$6:$G$11)*Kalender!E59/SUM(Kalender!$E$5:$E$370),0))*Szenarien!$E$19,0)</f>
        <v>2.94</v>
      </c>
      <c r="D2987" s="13" t="n">
        <f aca="false">IF(Szenarien!$H$19="OK",(IFERROR(SUMIF(Nutzungsprofile!$B$17:$B$22,"Schulbetrieb",Nutzungsprofile!$G$17:$G$22)*Kalender!C59/SUM(Kalender!$C$5:$C$370),0)+IFERROR(SUMIF(Nutzungsprofile!$B$17:$B$22,"Halle",Nutzungsprofile!$G$17:$G$22)*Kalender!D59/SUM(Kalender!$D$5:$D$370),0)+IFERROR(SUMIF(Nutzungsprofile!$B$17:$B$22,"Individuell",Nutzungsprofile!$G$17:$G$22)*Kalender!E59/SUM(Kalender!$E$5:$E$370),0))*Szenarien!$D$19,0)</f>
        <v>5.928</v>
      </c>
      <c r="E2987" s="13" t="n">
        <f aca="false">IFERROR(MIN(C2987,Eingaben!$B$17)*Eingaben!$B$16,0)</f>
        <v>2.793</v>
      </c>
      <c r="F2987" s="13" t="n">
        <f aca="false">IFERROR(E2987*Eingaben!$B$15,0)</f>
        <v>2.5137</v>
      </c>
      <c r="G2987" s="13" t="n">
        <f aca="false">IFERROR(IF(Kalender!A59="",0,J2986*(1-Eingaben!$B$20)),0)</f>
        <v>0.7390278</v>
      </c>
      <c r="H2987" s="13" t="n">
        <f aca="false">MIN(G2987,D2987)</f>
        <v>0.7390278</v>
      </c>
      <c r="I2987" s="13" t="n">
        <f aca="false">IFERROR(MIN(F2987*Eingaben!$B$19,MAX(0,D2987-H2987)),0)</f>
        <v>1.75959</v>
      </c>
      <c r="J2987" s="13" t="n">
        <f aca="false">IFERROR(MIN(Eingaben!$B$18,MAX(0,F2987-I2987)),0)</f>
        <v>0.75411</v>
      </c>
      <c r="K2987" s="13" t="n">
        <f aca="false">H2987+I2987</f>
        <v>2.4986178</v>
      </c>
      <c r="L2987" s="13" t="n">
        <f aca="false">MAX(0,D2987-K2987)</f>
        <v>3.4293822</v>
      </c>
      <c r="M2987" s="13" t="n">
        <f aca="false">MAX(0,F2987-I2987-J2987)</f>
        <v>0</v>
      </c>
      <c r="N2987" s="13" t="n">
        <f aca="false">IF(Kalender!A59="",0,J2986-H2987)</f>
        <v>0.0150822</v>
      </c>
    </row>
    <row r="2988" customFormat="false" ht="16.4" hidden="false" customHeight="false" outlineLevel="0" collapsed="false">
      <c r="A2988" s="13" t="str">
        <f aca="false">""</f>
        <v/>
      </c>
      <c r="B2988" s="13" t="n">
        <f aca="false">56</f>
        <v>56</v>
      </c>
      <c r="C2988" s="13" t="n">
        <f aca="false">IF(Szenarien!$H$19="OK",(IFERROR(SUMIF(Nutzungsprofile!$B$6:$B$11,"Schulbetrieb",Nutzungsprofile!$G$6:$G$11)*Kalender!C60/SUM(Kalender!$C$5:$C$370),0)+IFERROR(SUMIF(Nutzungsprofile!$B$6:$B$11,"Halle",Nutzungsprofile!$G$6:$G$11)*Kalender!D60/SUM(Kalender!$D$5:$D$370),0)+IFERROR(SUMIF(Nutzungsprofile!$B$6:$B$11,"Individuell",Nutzungsprofile!$G$6:$G$11)*Kalender!E60/SUM(Kalender!$E$5:$E$370),0))*Szenarien!$E$19,0)</f>
        <v>2.94</v>
      </c>
      <c r="D2988" s="13" t="n">
        <f aca="false">IF(Szenarien!$H$19="OK",(IFERROR(SUMIF(Nutzungsprofile!$B$17:$B$22,"Schulbetrieb",Nutzungsprofile!$G$17:$G$22)*Kalender!C60/SUM(Kalender!$C$5:$C$370),0)+IFERROR(SUMIF(Nutzungsprofile!$B$17:$B$22,"Halle",Nutzungsprofile!$G$17:$G$22)*Kalender!D60/SUM(Kalender!$D$5:$D$370),0)+IFERROR(SUMIF(Nutzungsprofile!$B$17:$B$22,"Individuell",Nutzungsprofile!$G$17:$G$22)*Kalender!E60/SUM(Kalender!$E$5:$E$370),0))*Szenarien!$D$19,0)</f>
        <v>5.928</v>
      </c>
      <c r="E2988" s="13" t="n">
        <f aca="false">IFERROR(MIN(C2988,Eingaben!$B$17)*Eingaben!$B$16,0)</f>
        <v>2.793</v>
      </c>
      <c r="F2988" s="13" t="n">
        <f aca="false">IFERROR(E2988*Eingaben!$B$15,0)</f>
        <v>2.5137</v>
      </c>
      <c r="G2988" s="13" t="n">
        <f aca="false">IFERROR(IF(Kalender!A60="",0,J2987*(1-Eingaben!$B$20)),0)</f>
        <v>0.7390278</v>
      </c>
      <c r="H2988" s="13" t="n">
        <f aca="false">MIN(G2988,D2988)</f>
        <v>0.7390278</v>
      </c>
      <c r="I2988" s="13" t="n">
        <f aca="false">IFERROR(MIN(F2988*Eingaben!$B$19,MAX(0,D2988-H2988)),0)</f>
        <v>1.75959</v>
      </c>
      <c r="J2988" s="13" t="n">
        <f aca="false">IFERROR(MIN(Eingaben!$B$18,MAX(0,F2988-I2988)),0)</f>
        <v>0.75411</v>
      </c>
      <c r="K2988" s="13" t="n">
        <f aca="false">H2988+I2988</f>
        <v>2.4986178</v>
      </c>
      <c r="L2988" s="13" t="n">
        <f aca="false">MAX(0,D2988-K2988)</f>
        <v>3.4293822</v>
      </c>
      <c r="M2988" s="13" t="n">
        <f aca="false">MAX(0,F2988-I2988-J2988)</f>
        <v>0</v>
      </c>
      <c r="N2988" s="13" t="n">
        <f aca="false">IF(Kalender!A60="",0,J2987-H2988)</f>
        <v>0.0150822</v>
      </c>
    </row>
    <row r="2989" customFormat="false" ht="16.4" hidden="false" customHeight="false" outlineLevel="0" collapsed="false">
      <c r="A2989" s="13" t="str">
        <f aca="false">""</f>
        <v/>
      </c>
      <c r="B2989" s="13" t="n">
        <f aca="false">57</f>
        <v>57</v>
      </c>
      <c r="C2989" s="13" t="n">
        <f aca="false">IF(Szenarien!$H$19="OK",(IFERROR(SUMIF(Nutzungsprofile!$B$6:$B$11,"Schulbetrieb",Nutzungsprofile!$G$6:$G$11)*Kalender!C61/SUM(Kalender!$C$5:$C$370),0)+IFERROR(SUMIF(Nutzungsprofile!$B$6:$B$11,"Halle",Nutzungsprofile!$G$6:$G$11)*Kalender!D61/SUM(Kalender!$D$5:$D$370),0)+IFERROR(SUMIF(Nutzungsprofile!$B$6:$B$11,"Individuell",Nutzungsprofile!$G$6:$G$11)*Kalender!E61/SUM(Kalender!$E$5:$E$370),0))*Szenarien!$E$19,0)</f>
        <v>2.94</v>
      </c>
      <c r="D2989" s="13" t="n">
        <f aca="false">IF(Szenarien!$H$19="OK",(IFERROR(SUMIF(Nutzungsprofile!$B$17:$B$22,"Schulbetrieb",Nutzungsprofile!$G$17:$G$22)*Kalender!C61/SUM(Kalender!$C$5:$C$370),0)+IFERROR(SUMIF(Nutzungsprofile!$B$17:$B$22,"Halle",Nutzungsprofile!$G$17:$G$22)*Kalender!D61/SUM(Kalender!$D$5:$D$370),0)+IFERROR(SUMIF(Nutzungsprofile!$B$17:$B$22,"Individuell",Nutzungsprofile!$G$17:$G$22)*Kalender!E61/SUM(Kalender!$E$5:$E$370),0))*Szenarien!$D$19,0)</f>
        <v>5.928</v>
      </c>
      <c r="E2989" s="13" t="n">
        <f aca="false">IFERROR(MIN(C2989,Eingaben!$B$17)*Eingaben!$B$16,0)</f>
        <v>2.793</v>
      </c>
      <c r="F2989" s="13" t="n">
        <f aca="false">IFERROR(E2989*Eingaben!$B$15,0)</f>
        <v>2.5137</v>
      </c>
      <c r="G2989" s="13" t="n">
        <f aca="false">IFERROR(IF(Kalender!A61="",0,J2988*(1-Eingaben!$B$20)),0)</f>
        <v>0.7390278</v>
      </c>
      <c r="H2989" s="13" t="n">
        <f aca="false">MIN(G2989,D2989)</f>
        <v>0.7390278</v>
      </c>
      <c r="I2989" s="13" t="n">
        <f aca="false">IFERROR(MIN(F2989*Eingaben!$B$19,MAX(0,D2989-H2989)),0)</f>
        <v>1.75959</v>
      </c>
      <c r="J2989" s="13" t="n">
        <f aca="false">IFERROR(MIN(Eingaben!$B$18,MAX(0,F2989-I2989)),0)</f>
        <v>0.75411</v>
      </c>
      <c r="K2989" s="13" t="n">
        <f aca="false">H2989+I2989</f>
        <v>2.4986178</v>
      </c>
      <c r="L2989" s="13" t="n">
        <f aca="false">MAX(0,D2989-K2989)</f>
        <v>3.4293822</v>
      </c>
      <c r="M2989" s="13" t="n">
        <f aca="false">MAX(0,F2989-I2989-J2989)</f>
        <v>0</v>
      </c>
      <c r="N2989" s="13" t="n">
        <f aca="false">IF(Kalender!A61="",0,J2988-H2989)</f>
        <v>0.0150822</v>
      </c>
    </row>
    <row r="2990" customFormat="false" ht="16.4" hidden="false" customHeight="false" outlineLevel="0" collapsed="false">
      <c r="A2990" s="13" t="str">
        <f aca="false">""</f>
        <v/>
      </c>
      <c r="B2990" s="13" t="n">
        <f aca="false">58</f>
        <v>58</v>
      </c>
      <c r="C2990" s="13" t="n">
        <f aca="false">IF(Szenarien!$H$19="OK",(IFERROR(SUMIF(Nutzungsprofile!$B$6:$B$11,"Schulbetrieb",Nutzungsprofile!$G$6:$G$11)*Kalender!C62/SUM(Kalender!$C$5:$C$370),0)+IFERROR(SUMIF(Nutzungsprofile!$B$6:$B$11,"Halle",Nutzungsprofile!$G$6:$G$11)*Kalender!D62/SUM(Kalender!$D$5:$D$370),0)+IFERROR(SUMIF(Nutzungsprofile!$B$6:$B$11,"Individuell",Nutzungsprofile!$G$6:$G$11)*Kalender!E62/SUM(Kalender!$E$5:$E$370),0))*Szenarien!$E$19,0)</f>
        <v>2.94</v>
      </c>
      <c r="D2990" s="13" t="n">
        <f aca="false">IF(Szenarien!$H$19="OK",(IFERROR(SUMIF(Nutzungsprofile!$B$17:$B$22,"Schulbetrieb",Nutzungsprofile!$G$17:$G$22)*Kalender!C62/SUM(Kalender!$C$5:$C$370),0)+IFERROR(SUMIF(Nutzungsprofile!$B$17:$B$22,"Halle",Nutzungsprofile!$G$17:$G$22)*Kalender!D62/SUM(Kalender!$D$5:$D$370),0)+IFERROR(SUMIF(Nutzungsprofile!$B$17:$B$22,"Individuell",Nutzungsprofile!$G$17:$G$22)*Kalender!E62/SUM(Kalender!$E$5:$E$370),0))*Szenarien!$D$19,0)</f>
        <v>5.928</v>
      </c>
      <c r="E2990" s="13" t="n">
        <f aca="false">IFERROR(MIN(C2990,Eingaben!$B$17)*Eingaben!$B$16,0)</f>
        <v>2.793</v>
      </c>
      <c r="F2990" s="13" t="n">
        <f aca="false">IFERROR(E2990*Eingaben!$B$15,0)</f>
        <v>2.5137</v>
      </c>
      <c r="G2990" s="13" t="n">
        <f aca="false">IFERROR(IF(Kalender!A62="",0,J2989*(1-Eingaben!$B$20)),0)</f>
        <v>0.7390278</v>
      </c>
      <c r="H2990" s="13" t="n">
        <f aca="false">MIN(G2990,D2990)</f>
        <v>0.7390278</v>
      </c>
      <c r="I2990" s="13" t="n">
        <f aca="false">IFERROR(MIN(F2990*Eingaben!$B$19,MAX(0,D2990-H2990)),0)</f>
        <v>1.75959</v>
      </c>
      <c r="J2990" s="13" t="n">
        <f aca="false">IFERROR(MIN(Eingaben!$B$18,MAX(0,F2990-I2990)),0)</f>
        <v>0.75411</v>
      </c>
      <c r="K2990" s="13" t="n">
        <f aca="false">H2990+I2990</f>
        <v>2.4986178</v>
      </c>
      <c r="L2990" s="13" t="n">
        <f aca="false">MAX(0,D2990-K2990)</f>
        <v>3.4293822</v>
      </c>
      <c r="M2990" s="13" t="n">
        <f aca="false">MAX(0,F2990-I2990-J2990)</f>
        <v>0</v>
      </c>
      <c r="N2990" s="13" t="n">
        <f aca="false">IF(Kalender!A62="",0,J2989-H2990)</f>
        <v>0.0150822</v>
      </c>
    </row>
    <row r="2991" customFormat="false" ht="16.4" hidden="false" customHeight="false" outlineLevel="0" collapsed="false">
      <c r="A2991" s="13" t="str">
        <f aca="false">""</f>
        <v/>
      </c>
      <c r="B2991" s="13" t="n">
        <f aca="false">59</f>
        <v>59</v>
      </c>
      <c r="C2991" s="13" t="n">
        <f aca="false">IF(Szenarien!$H$19="OK",(IFERROR(SUMIF(Nutzungsprofile!$B$6:$B$11,"Schulbetrieb",Nutzungsprofile!$G$6:$G$11)*Kalender!C63/SUM(Kalender!$C$5:$C$370),0)+IFERROR(SUMIF(Nutzungsprofile!$B$6:$B$11,"Halle",Nutzungsprofile!$G$6:$G$11)*Kalender!D63/SUM(Kalender!$D$5:$D$370),0)+IFERROR(SUMIF(Nutzungsprofile!$B$6:$B$11,"Individuell",Nutzungsprofile!$G$6:$G$11)*Kalender!E63/SUM(Kalender!$E$5:$E$370),0))*Szenarien!$E$19,0)</f>
        <v>2.04</v>
      </c>
      <c r="D2991" s="13" t="n">
        <f aca="false">IF(Szenarien!$H$19="OK",(IFERROR(SUMIF(Nutzungsprofile!$B$17:$B$22,"Schulbetrieb",Nutzungsprofile!$G$17:$G$22)*Kalender!C63/SUM(Kalender!$C$5:$C$370),0)+IFERROR(SUMIF(Nutzungsprofile!$B$17:$B$22,"Halle",Nutzungsprofile!$G$17:$G$22)*Kalender!D63/SUM(Kalender!$D$5:$D$370),0)+IFERROR(SUMIF(Nutzungsprofile!$B$17:$B$22,"Individuell",Nutzungsprofile!$G$17:$G$22)*Kalender!E63/SUM(Kalender!$E$5:$E$370),0))*Szenarien!$D$19,0)</f>
        <v>1.068</v>
      </c>
      <c r="E2991" s="13" t="n">
        <f aca="false">IFERROR(MIN(C2991,Eingaben!$B$17)*Eingaben!$B$16,0)</f>
        <v>1.938</v>
      </c>
      <c r="F2991" s="13" t="n">
        <f aca="false">IFERROR(E2991*Eingaben!$B$15,0)</f>
        <v>1.7442</v>
      </c>
      <c r="G2991" s="13" t="n">
        <f aca="false">IFERROR(IF(Kalender!A63="",0,J2990*(1-Eingaben!$B$20)),0)</f>
        <v>0.7390278</v>
      </c>
      <c r="H2991" s="13" t="n">
        <f aca="false">MIN(G2991,D2991)</f>
        <v>0.7390278</v>
      </c>
      <c r="I2991" s="13" t="n">
        <f aca="false">IFERROR(MIN(F2991*Eingaben!$B$19,MAX(0,D2991-H2991)),0)</f>
        <v>0.3289722</v>
      </c>
      <c r="J2991" s="13" t="n">
        <f aca="false">IFERROR(MIN(Eingaben!$B$18,MAX(0,F2991-I2991)),0)</f>
        <v>1.4152278</v>
      </c>
      <c r="K2991" s="13" t="n">
        <f aca="false">H2991+I2991</f>
        <v>1.068</v>
      </c>
      <c r="L2991" s="13" t="n">
        <f aca="false">MAX(0,D2991-K2991)</f>
        <v>0</v>
      </c>
      <c r="M2991" s="13" t="n">
        <f aca="false">MAX(0,F2991-I2991-J2991)</f>
        <v>0</v>
      </c>
      <c r="N2991" s="13" t="n">
        <f aca="false">IF(Kalender!A63="",0,J2990-H2991)</f>
        <v>0.0150822</v>
      </c>
    </row>
    <row r="2992" customFormat="false" ht="16.4" hidden="false" customHeight="false" outlineLevel="0" collapsed="false">
      <c r="A2992" s="13" t="str">
        <f aca="false">""</f>
        <v/>
      </c>
      <c r="B2992" s="13" t="n">
        <f aca="false">60</f>
        <v>60</v>
      </c>
      <c r="C2992" s="13" t="n">
        <f aca="false">IF(Szenarien!$H$19="OK",(IFERROR(SUMIF(Nutzungsprofile!$B$6:$B$11,"Schulbetrieb",Nutzungsprofile!$G$6:$G$11)*Kalender!C64/SUM(Kalender!$C$5:$C$370),0)+IFERROR(SUMIF(Nutzungsprofile!$B$6:$B$11,"Halle",Nutzungsprofile!$G$6:$G$11)*Kalender!D64/SUM(Kalender!$D$5:$D$370),0)+IFERROR(SUMIF(Nutzungsprofile!$B$6:$B$11,"Individuell",Nutzungsprofile!$G$6:$G$11)*Kalender!E64/SUM(Kalender!$E$5:$E$370),0))*Szenarien!$E$19,0)</f>
        <v>2.04</v>
      </c>
      <c r="D2992" s="13" t="n">
        <f aca="false">IF(Szenarien!$H$19="OK",(IFERROR(SUMIF(Nutzungsprofile!$B$17:$B$22,"Schulbetrieb",Nutzungsprofile!$G$17:$G$22)*Kalender!C64/SUM(Kalender!$C$5:$C$370),0)+IFERROR(SUMIF(Nutzungsprofile!$B$17:$B$22,"Halle",Nutzungsprofile!$G$17:$G$22)*Kalender!D64/SUM(Kalender!$D$5:$D$370),0)+IFERROR(SUMIF(Nutzungsprofile!$B$17:$B$22,"Individuell",Nutzungsprofile!$G$17:$G$22)*Kalender!E64/SUM(Kalender!$E$5:$E$370),0))*Szenarien!$D$19,0)</f>
        <v>1.068</v>
      </c>
      <c r="E2992" s="13" t="n">
        <f aca="false">IFERROR(MIN(C2992,Eingaben!$B$17)*Eingaben!$B$16,0)</f>
        <v>1.938</v>
      </c>
      <c r="F2992" s="13" t="n">
        <f aca="false">IFERROR(E2992*Eingaben!$B$15,0)</f>
        <v>1.7442</v>
      </c>
      <c r="G2992" s="13" t="n">
        <f aca="false">IFERROR(IF(Kalender!A64="",0,J2991*(1-Eingaben!$B$20)),0)</f>
        <v>1.386923244</v>
      </c>
      <c r="H2992" s="13" t="n">
        <f aca="false">MIN(G2992,D2992)</f>
        <v>1.068</v>
      </c>
      <c r="I2992" s="13" t="n">
        <f aca="false">IFERROR(MIN(F2992*Eingaben!$B$19,MAX(0,D2992-H2992)),0)</f>
        <v>0</v>
      </c>
      <c r="J2992" s="13" t="n">
        <f aca="false">IFERROR(MIN(Eingaben!$B$18,MAX(0,F2992-I2992)),0)</f>
        <v>1.7442</v>
      </c>
      <c r="K2992" s="13" t="n">
        <f aca="false">H2992+I2992</f>
        <v>1.068</v>
      </c>
      <c r="L2992" s="13" t="n">
        <f aca="false">MAX(0,D2992-K2992)</f>
        <v>0</v>
      </c>
      <c r="M2992" s="13" t="n">
        <f aca="false">MAX(0,F2992-I2992-J2992)</f>
        <v>0</v>
      </c>
      <c r="N2992" s="13" t="n">
        <f aca="false">IF(Kalender!A64="",0,J2991-H2992)</f>
        <v>0.3472278</v>
      </c>
    </row>
    <row r="2993" customFormat="false" ht="16.4" hidden="false" customHeight="false" outlineLevel="0" collapsed="false">
      <c r="A2993" s="13" t="str">
        <f aca="false">""</f>
        <v/>
      </c>
      <c r="B2993" s="13" t="n">
        <f aca="false">61</f>
        <v>61</v>
      </c>
      <c r="C2993" s="13" t="n">
        <f aca="false">IF(Szenarien!$H$19="OK",(IFERROR(SUMIF(Nutzungsprofile!$B$6:$B$11,"Schulbetrieb",Nutzungsprofile!$G$6:$G$11)*Kalender!C65/SUM(Kalender!$C$5:$C$370),0)+IFERROR(SUMIF(Nutzungsprofile!$B$6:$B$11,"Halle",Nutzungsprofile!$G$6:$G$11)*Kalender!D65/SUM(Kalender!$D$5:$D$370),0)+IFERROR(SUMIF(Nutzungsprofile!$B$6:$B$11,"Individuell",Nutzungsprofile!$G$6:$G$11)*Kalender!E65/SUM(Kalender!$E$5:$E$370),0))*Szenarien!$E$19,0)</f>
        <v>2.94</v>
      </c>
      <c r="D2993" s="13" t="n">
        <f aca="false">IF(Szenarien!$H$19="OK",(IFERROR(SUMIF(Nutzungsprofile!$B$17:$B$22,"Schulbetrieb",Nutzungsprofile!$G$17:$G$22)*Kalender!C65/SUM(Kalender!$C$5:$C$370),0)+IFERROR(SUMIF(Nutzungsprofile!$B$17:$B$22,"Halle",Nutzungsprofile!$G$17:$G$22)*Kalender!D65/SUM(Kalender!$D$5:$D$370),0)+IFERROR(SUMIF(Nutzungsprofile!$B$17:$B$22,"Individuell",Nutzungsprofile!$G$17:$G$22)*Kalender!E65/SUM(Kalender!$E$5:$E$370),0))*Szenarien!$D$19,0)</f>
        <v>5.928</v>
      </c>
      <c r="E2993" s="13" t="n">
        <f aca="false">IFERROR(MIN(C2993,Eingaben!$B$17)*Eingaben!$B$16,0)</f>
        <v>2.793</v>
      </c>
      <c r="F2993" s="13" t="n">
        <f aca="false">IFERROR(E2993*Eingaben!$B$15,0)</f>
        <v>2.5137</v>
      </c>
      <c r="G2993" s="13" t="n">
        <f aca="false">IFERROR(IF(Kalender!A65="",0,J2992*(1-Eingaben!$B$20)),0)</f>
        <v>1.709316</v>
      </c>
      <c r="H2993" s="13" t="n">
        <f aca="false">MIN(G2993,D2993)</f>
        <v>1.709316</v>
      </c>
      <c r="I2993" s="13" t="n">
        <f aca="false">IFERROR(MIN(F2993*Eingaben!$B$19,MAX(0,D2993-H2993)),0)</f>
        <v>1.75959</v>
      </c>
      <c r="J2993" s="13" t="n">
        <f aca="false">IFERROR(MIN(Eingaben!$B$18,MAX(0,F2993-I2993)),0)</f>
        <v>0.75411</v>
      </c>
      <c r="K2993" s="13" t="n">
        <f aca="false">H2993+I2993</f>
        <v>3.468906</v>
      </c>
      <c r="L2993" s="13" t="n">
        <f aca="false">MAX(0,D2993-K2993)</f>
        <v>2.459094</v>
      </c>
      <c r="M2993" s="13" t="n">
        <f aca="false">MAX(0,F2993-I2993-J2993)</f>
        <v>0</v>
      </c>
      <c r="N2993" s="13" t="n">
        <f aca="false">IF(Kalender!A65="",0,J2992-H2993)</f>
        <v>0.0348840000000001</v>
      </c>
    </row>
    <row r="2994" customFormat="false" ht="16.4" hidden="false" customHeight="false" outlineLevel="0" collapsed="false">
      <c r="A2994" s="13" t="str">
        <f aca="false">""</f>
        <v/>
      </c>
      <c r="B2994" s="13" t="n">
        <f aca="false">62</f>
        <v>62</v>
      </c>
      <c r="C2994" s="13" t="n">
        <f aca="false">IF(Szenarien!$H$19="OK",(IFERROR(SUMIF(Nutzungsprofile!$B$6:$B$11,"Schulbetrieb",Nutzungsprofile!$G$6:$G$11)*Kalender!C66/SUM(Kalender!$C$5:$C$370),0)+IFERROR(SUMIF(Nutzungsprofile!$B$6:$B$11,"Halle",Nutzungsprofile!$G$6:$G$11)*Kalender!D66/SUM(Kalender!$D$5:$D$370),0)+IFERROR(SUMIF(Nutzungsprofile!$B$6:$B$11,"Individuell",Nutzungsprofile!$G$6:$G$11)*Kalender!E66/SUM(Kalender!$E$5:$E$370),0))*Szenarien!$E$19,0)</f>
        <v>2.94</v>
      </c>
      <c r="D2994" s="13" t="n">
        <f aca="false">IF(Szenarien!$H$19="OK",(IFERROR(SUMIF(Nutzungsprofile!$B$17:$B$22,"Schulbetrieb",Nutzungsprofile!$G$17:$G$22)*Kalender!C66/SUM(Kalender!$C$5:$C$370),0)+IFERROR(SUMIF(Nutzungsprofile!$B$17:$B$22,"Halle",Nutzungsprofile!$G$17:$G$22)*Kalender!D66/SUM(Kalender!$D$5:$D$370),0)+IFERROR(SUMIF(Nutzungsprofile!$B$17:$B$22,"Individuell",Nutzungsprofile!$G$17:$G$22)*Kalender!E66/SUM(Kalender!$E$5:$E$370),0))*Szenarien!$D$19,0)</f>
        <v>5.928</v>
      </c>
      <c r="E2994" s="13" t="n">
        <f aca="false">IFERROR(MIN(C2994,Eingaben!$B$17)*Eingaben!$B$16,0)</f>
        <v>2.793</v>
      </c>
      <c r="F2994" s="13" t="n">
        <f aca="false">IFERROR(E2994*Eingaben!$B$15,0)</f>
        <v>2.5137</v>
      </c>
      <c r="G2994" s="13" t="n">
        <f aca="false">IFERROR(IF(Kalender!A66="",0,J2993*(1-Eingaben!$B$20)),0)</f>
        <v>0.7390278</v>
      </c>
      <c r="H2994" s="13" t="n">
        <f aca="false">MIN(G2994,D2994)</f>
        <v>0.7390278</v>
      </c>
      <c r="I2994" s="13" t="n">
        <f aca="false">IFERROR(MIN(F2994*Eingaben!$B$19,MAX(0,D2994-H2994)),0)</f>
        <v>1.75959</v>
      </c>
      <c r="J2994" s="13" t="n">
        <f aca="false">IFERROR(MIN(Eingaben!$B$18,MAX(0,F2994-I2994)),0)</f>
        <v>0.75411</v>
      </c>
      <c r="K2994" s="13" t="n">
        <f aca="false">H2994+I2994</f>
        <v>2.4986178</v>
      </c>
      <c r="L2994" s="13" t="n">
        <f aca="false">MAX(0,D2994-K2994)</f>
        <v>3.4293822</v>
      </c>
      <c r="M2994" s="13" t="n">
        <f aca="false">MAX(0,F2994-I2994-J2994)</f>
        <v>0</v>
      </c>
      <c r="N2994" s="13" t="n">
        <f aca="false">IF(Kalender!A66="",0,J2993-H2994)</f>
        <v>0.0150822</v>
      </c>
    </row>
    <row r="2995" customFormat="false" ht="16.4" hidden="false" customHeight="false" outlineLevel="0" collapsed="false">
      <c r="A2995" s="13" t="str">
        <f aca="false">""</f>
        <v/>
      </c>
      <c r="B2995" s="13" t="n">
        <f aca="false">63</f>
        <v>63</v>
      </c>
      <c r="C2995" s="13" t="n">
        <f aca="false">IF(Szenarien!$H$19="OK",(IFERROR(SUMIF(Nutzungsprofile!$B$6:$B$11,"Schulbetrieb",Nutzungsprofile!$G$6:$G$11)*Kalender!C67/SUM(Kalender!$C$5:$C$370),0)+IFERROR(SUMIF(Nutzungsprofile!$B$6:$B$11,"Halle",Nutzungsprofile!$G$6:$G$11)*Kalender!D67/SUM(Kalender!$D$5:$D$370),0)+IFERROR(SUMIF(Nutzungsprofile!$B$6:$B$11,"Individuell",Nutzungsprofile!$G$6:$G$11)*Kalender!E67/SUM(Kalender!$E$5:$E$370),0))*Szenarien!$E$19,0)</f>
        <v>2.94</v>
      </c>
      <c r="D2995" s="13" t="n">
        <f aca="false">IF(Szenarien!$H$19="OK",(IFERROR(SUMIF(Nutzungsprofile!$B$17:$B$22,"Schulbetrieb",Nutzungsprofile!$G$17:$G$22)*Kalender!C67/SUM(Kalender!$C$5:$C$370),0)+IFERROR(SUMIF(Nutzungsprofile!$B$17:$B$22,"Halle",Nutzungsprofile!$G$17:$G$22)*Kalender!D67/SUM(Kalender!$D$5:$D$370),0)+IFERROR(SUMIF(Nutzungsprofile!$B$17:$B$22,"Individuell",Nutzungsprofile!$G$17:$G$22)*Kalender!E67/SUM(Kalender!$E$5:$E$370),0))*Szenarien!$D$19,0)</f>
        <v>5.928</v>
      </c>
      <c r="E2995" s="13" t="n">
        <f aca="false">IFERROR(MIN(C2995,Eingaben!$B$17)*Eingaben!$B$16,0)</f>
        <v>2.793</v>
      </c>
      <c r="F2995" s="13" t="n">
        <f aca="false">IFERROR(E2995*Eingaben!$B$15,0)</f>
        <v>2.5137</v>
      </c>
      <c r="G2995" s="13" t="n">
        <f aca="false">IFERROR(IF(Kalender!A67="",0,J2994*(1-Eingaben!$B$20)),0)</f>
        <v>0.7390278</v>
      </c>
      <c r="H2995" s="13" t="n">
        <f aca="false">MIN(G2995,D2995)</f>
        <v>0.7390278</v>
      </c>
      <c r="I2995" s="13" t="n">
        <f aca="false">IFERROR(MIN(F2995*Eingaben!$B$19,MAX(0,D2995-H2995)),0)</f>
        <v>1.75959</v>
      </c>
      <c r="J2995" s="13" t="n">
        <f aca="false">IFERROR(MIN(Eingaben!$B$18,MAX(0,F2995-I2995)),0)</f>
        <v>0.75411</v>
      </c>
      <c r="K2995" s="13" t="n">
        <f aca="false">H2995+I2995</f>
        <v>2.4986178</v>
      </c>
      <c r="L2995" s="13" t="n">
        <f aca="false">MAX(0,D2995-K2995)</f>
        <v>3.4293822</v>
      </c>
      <c r="M2995" s="13" t="n">
        <f aca="false">MAX(0,F2995-I2995-J2995)</f>
        <v>0</v>
      </c>
      <c r="N2995" s="13" t="n">
        <f aca="false">IF(Kalender!A67="",0,J2994-H2995)</f>
        <v>0.0150822</v>
      </c>
    </row>
    <row r="2996" customFormat="false" ht="16.4" hidden="false" customHeight="false" outlineLevel="0" collapsed="false">
      <c r="A2996" s="13" t="str">
        <f aca="false">""</f>
        <v/>
      </c>
      <c r="B2996" s="13" t="n">
        <f aca="false">64</f>
        <v>64</v>
      </c>
      <c r="C2996" s="13" t="n">
        <f aca="false">IF(Szenarien!$H$19="OK",(IFERROR(SUMIF(Nutzungsprofile!$B$6:$B$11,"Schulbetrieb",Nutzungsprofile!$G$6:$G$11)*Kalender!C68/SUM(Kalender!$C$5:$C$370),0)+IFERROR(SUMIF(Nutzungsprofile!$B$6:$B$11,"Halle",Nutzungsprofile!$G$6:$G$11)*Kalender!D68/SUM(Kalender!$D$5:$D$370),0)+IFERROR(SUMIF(Nutzungsprofile!$B$6:$B$11,"Individuell",Nutzungsprofile!$G$6:$G$11)*Kalender!E68/SUM(Kalender!$E$5:$E$370),0))*Szenarien!$E$19,0)</f>
        <v>2.94</v>
      </c>
      <c r="D2996" s="13" t="n">
        <f aca="false">IF(Szenarien!$H$19="OK",(IFERROR(SUMIF(Nutzungsprofile!$B$17:$B$22,"Schulbetrieb",Nutzungsprofile!$G$17:$G$22)*Kalender!C68/SUM(Kalender!$C$5:$C$370),0)+IFERROR(SUMIF(Nutzungsprofile!$B$17:$B$22,"Halle",Nutzungsprofile!$G$17:$G$22)*Kalender!D68/SUM(Kalender!$D$5:$D$370),0)+IFERROR(SUMIF(Nutzungsprofile!$B$17:$B$22,"Individuell",Nutzungsprofile!$G$17:$G$22)*Kalender!E68/SUM(Kalender!$E$5:$E$370),0))*Szenarien!$D$19,0)</f>
        <v>5.928</v>
      </c>
      <c r="E2996" s="13" t="n">
        <f aca="false">IFERROR(MIN(C2996,Eingaben!$B$17)*Eingaben!$B$16,0)</f>
        <v>2.793</v>
      </c>
      <c r="F2996" s="13" t="n">
        <f aca="false">IFERROR(E2996*Eingaben!$B$15,0)</f>
        <v>2.5137</v>
      </c>
      <c r="G2996" s="13" t="n">
        <f aca="false">IFERROR(IF(Kalender!A68="",0,J2995*(1-Eingaben!$B$20)),0)</f>
        <v>0.7390278</v>
      </c>
      <c r="H2996" s="13" t="n">
        <f aca="false">MIN(G2996,D2996)</f>
        <v>0.7390278</v>
      </c>
      <c r="I2996" s="13" t="n">
        <f aca="false">IFERROR(MIN(F2996*Eingaben!$B$19,MAX(0,D2996-H2996)),0)</f>
        <v>1.75959</v>
      </c>
      <c r="J2996" s="13" t="n">
        <f aca="false">IFERROR(MIN(Eingaben!$B$18,MAX(0,F2996-I2996)),0)</f>
        <v>0.75411</v>
      </c>
      <c r="K2996" s="13" t="n">
        <f aca="false">H2996+I2996</f>
        <v>2.4986178</v>
      </c>
      <c r="L2996" s="13" t="n">
        <f aca="false">MAX(0,D2996-K2996)</f>
        <v>3.4293822</v>
      </c>
      <c r="M2996" s="13" t="n">
        <f aca="false">MAX(0,F2996-I2996-J2996)</f>
        <v>0</v>
      </c>
      <c r="N2996" s="13" t="n">
        <f aca="false">IF(Kalender!A68="",0,J2995-H2996)</f>
        <v>0.0150822</v>
      </c>
    </row>
    <row r="2997" customFormat="false" ht="16.4" hidden="false" customHeight="false" outlineLevel="0" collapsed="false">
      <c r="A2997" s="13" t="str">
        <f aca="false">""</f>
        <v/>
      </c>
      <c r="B2997" s="13" t="n">
        <f aca="false">65</f>
        <v>65</v>
      </c>
      <c r="C2997" s="13" t="n">
        <f aca="false">IF(Szenarien!$H$19="OK",(IFERROR(SUMIF(Nutzungsprofile!$B$6:$B$11,"Schulbetrieb",Nutzungsprofile!$G$6:$G$11)*Kalender!C69/SUM(Kalender!$C$5:$C$370),0)+IFERROR(SUMIF(Nutzungsprofile!$B$6:$B$11,"Halle",Nutzungsprofile!$G$6:$G$11)*Kalender!D69/SUM(Kalender!$D$5:$D$370),0)+IFERROR(SUMIF(Nutzungsprofile!$B$6:$B$11,"Individuell",Nutzungsprofile!$G$6:$G$11)*Kalender!E69/SUM(Kalender!$E$5:$E$370),0))*Szenarien!$E$19,0)</f>
        <v>2.94</v>
      </c>
      <c r="D2997" s="13" t="n">
        <f aca="false">IF(Szenarien!$H$19="OK",(IFERROR(SUMIF(Nutzungsprofile!$B$17:$B$22,"Schulbetrieb",Nutzungsprofile!$G$17:$G$22)*Kalender!C69/SUM(Kalender!$C$5:$C$370),0)+IFERROR(SUMIF(Nutzungsprofile!$B$17:$B$22,"Halle",Nutzungsprofile!$G$17:$G$22)*Kalender!D69/SUM(Kalender!$D$5:$D$370),0)+IFERROR(SUMIF(Nutzungsprofile!$B$17:$B$22,"Individuell",Nutzungsprofile!$G$17:$G$22)*Kalender!E69/SUM(Kalender!$E$5:$E$370),0))*Szenarien!$D$19,0)</f>
        <v>5.928</v>
      </c>
      <c r="E2997" s="13" t="n">
        <f aca="false">IFERROR(MIN(C2997,Eingaben!$B$17)*Eingaben!$B$16,0)</f>
        <v>2.793</v>
      </c>
      <c r="F2997" s="13" t="n">
        <f aca="false">IFERROR(E2997*Eingaben!$B$15,0)</f>
        <v>2.5137</v>
      </c>
      <c r="G2997" s="13" t="n">
        <f aca="false">IFERROR(IF(Kalender!A69="",0,J2996*(1-Eingaben!$B$20)),0)</f>
        <v>0.7390278</v>
      </c>
      <c r="H2997" s="13" t="n">
        <f aca="false">MIN(G2997,D2997)</f>
        <v>0.7390278</v>
      </c>
      <c r="I2997" s="13" t="n">
        <f aca="false">IFERROR(MIN(F2997*Eingaben!$B$19,MAX(0,D2997-H2997)),0)</f>
        <v>1.75959</v>
      </c>
      <c r="J2997" s="13" t="n">
        <f aca="false">IFERROR(MIN(Eingaben!$B$18,MAX(0,F2997-I2997)),0)</f>
        <v>0.75411</v>
      </c>
      <c r="K2997" s="13" t="n">
        <f aca="false">H2997+I2997</f>
        <v>2.4986178</v>
      </c>
      <c r="L2997" s="13" t="n">
        <f aca="false">MAX(0,D2997-K2997)</f>
        <v>3.4293822</v>
      </c>
      <c r="M2997" s="13" t="n">
        <f aca="false">MAX(0,F2997-I2997-J2997)</f>
        <v>0</v>
      </c>
      <c r="N2997" s="13" t="n">
        <f aca="false">IF(Kalender!A69="",0,J2996-H2997)</f>
        <v>0.0150822</v>
      </c>
    </row>
    <row r="2998" customFormat="false" ht="16.4" hidden="false" customHeight="false" outlineLevel="0" collapsed="false">
      <c r="A2998" s="13" t="str">
        <f aca="false">""</f>
        <v/>
      </c>
      <c r="B2998" s="13" t="n">
        <f aca="false">66</f>
        <v>66</v>
      </c>
      <c r="C2998" s="13" t="n">
        <f aca="false">IF(Szenarien!$H$19="OK",(IFERROR(SUMIF(Nutzungsprofile!$B$6:$B$11,"Schulbetrieb",Nutzungsprofile!$G$6:$G$11)*Kalender!C70/SUM(Kalender!$C$5:$C$370),0)+IFERROR(SUMIF(Nutzungsprofile!$B$6:$B$11,"Halle",Nutzungsprofile!$G$6:$G$11)*Kalender!D70/SUM(Kalender!$D$5:$D$370),0)+IFERROR(SUMIF(Nutzungsprofile!$B$6:$B$11,"Individuell",Nutzungsprofile!$G$6:$G$11)*Kalender!E70/SUM(Kalender!$E$5:$E$370),0))*Szenarien!$E$19,0)</f>
        <v>2.04</v>
      </c>
      <c r="D2998" s="13" t="n">
        <f aca="false">IF(Szenarien!$H$19="OK",(IFERROR(SUMIF(Nutzungsprofile!$B$17:$B$22,"Schulbetrieb",Nutzungsprofile!$G$17:$G$22)*Kalender!C70/SUM(Kalender!$C$5:$C$370),0)+IFERROR(SUMIF(Nutzungsprofile!$B$17:$B$22,"Halle",Nutzungsprofile!$G$17:$G$22)*Kalender!D70/SUM(Kalender!$D$5:$D$370),0)+IFERROR(SUMIF(Nutzungsprofile!$B$17:$B$22,"Individuell",Nutzungsprofile!$G$17:$G$22)*Kalender!E70/SUM(Kalender!$E$5:$E$370),0))*Szenarien!$D$19,0)</f>
        <v>1.068</v>
      </c>
      <c r="E2998" s="13" t="n">
        <f aca="false">IFERROR(MIN(C2998,Eingaben!$B$17)*Eingaben!$B$16,0)</f>
        <v>1.938</v>
      </c>
      <c r="F2998" s="13" t="n">
        <f aca="false">IFERROR(E2998*Eingaben!$B$15,0)</f>
        <v>1.7442</v>
      </c>
      <c r="G2998" s="13" t="n">
        <f aca="false">IFERROR(IF(Kalender!A70="",0,J2997*(1-Eingaben!$B$20)),0)</f>
        <v>0.7390278</v>
      </c>
      <c r="H2998" s="13" t="n">
        <f aca="false">MIN(G2998,D2998)</f>
        <v>0.7390278</v>
      </c>
      <c r="I2998" s="13" t="n">
        <f aca="false">IFERROR(MIN(F2998*Eingaben!$B$19,MAX(0,D2998-H2998)),0)</f>
        <v>0.3289722</v>
      </c>
      <c r="J2998" s="13" t="n">
        <f aca="false">IFERROR(MIN(Eingaben!$B$18,MAX(0,F2998-I2998)),0)</f>
        <v>1.4152278</v>
      </c>
      <c r="K2998" s="13" t="n">
        <f aca="false">H2998+I2998</f>
        <v>1.068</v>
      </c>
      <c r="L2998" s="13" t="n">
        <f aca="false">MAX(0,D2998-K2998)</f>
        <v>0</v>
      </c>
      <c r="M2998" s="13" t="n">
        <f aca="false">MAX(0,F2998-I2998-J2998)</f>
        <v>0</v>
      </c>
      <c r="N2998" s="13" t="n">
        <f aca="false">IF(Kalender!A70="",0,J2997-H2998)</f>
        <v>0.0150822</v>
      </c>
    </row>
    <row r="2999" customFormat="false" ht="16.4" hidden="false" customHeight="false" outlineLevel="0" collapsed="false">
      <c r="A2999" s="13" t="str">
        <f aca="false">""</f>
        <v/>
      </c>
      <c r="B2999" s="13" t="n">
        <f aca="false">67</f>
        <v>67</v>
      </c>
      <c r="C2999" s="13" t="n">
        <f aca="false">IF(Szenarien!$H$19="OK",(IFERROR(SUMIF(Nutzungsprofile!$B$6:$B$11,"Schulbetrieb",Nutzungsprofile!$G$6:$G$11)*Kalender!C71/SUM(Kalender!$C$5:$C$370),0)+IFERROR(SUMIF(Nutzungsprofile!$B$6:$B$11,"Halle",Nutzungsprofile!$G$6:$G$11)*Kalender!D71/SUM(Kalender!$D$5:$D$370),0)+IFERROR(SUMIF(Nutzungsprofile!$B$6:$B$11,"Individuell",Nutzungsprofile!$G$6:$G$11)*Kalender!E71/SUM(Kalender!$E$5:$E$370),0))*Szenarien!$E$19,0)</f>
        <v>2.04</v>
      </c>
      <c r="D2999" s="13" t="n">
        <f aca="false">IF(Szenarien!$H$19="OK",(IFERROR(SUMIF(Nutzungsprofile!$B$17:$B$22,"Schulbetrieb",Nutzungsprofile!$G$17:$G$22)*Kalender!C71/SUM(Kalender!$C$5:$C$370),0)+IFERROR(SUMIF(Nutzungsprofile!$B$17:$B$22,"Halle",Nutzungsprofile!$G$17:$G$22)*Kalender!D71/SUM(Kalender!$D$5:$D$370),0)+IFERROR(SUMIF(Nutzungsprofile!$B$17:$B$22,"Individuell",Nutzungsprofile!$G$17:$G$22)*Kalender!E71/SUM(Kalender!$E$5:$E$370),0))*Szenarien!$D$19,0)</f>
        <v>1.068</v>
      </c>
      <c r="E2999" s="13" t="n">
        <f aca="false">IFERROR(MIN(C2999,Eingaben!$B$17)*Eingaben!$B$16,0)</f>
        <v>1.938</v>
      </c>
      <c r="F2999" s="13" t="n">
        <f aca="false">IFERROR(E2999*Eingaben!$B$15,0)</f>
        <v>1.7442</v>
      </c>
      <c r="G2999" s="13" t="n">
        <f aca="false">IFERROR(IF(Kalender!A71="",0,J2998*(1-Eingaben!$B$20)),0)</f>
        <v>1.386923244</v>
      </c>
      <c r="H2999" s="13" t="n">
        <f aca="false">MIN(G2999,D2999)</f>
        <v>1.068</v>
      </c>
      <c r="I2999" s="13" t="n">
        <f aca="false">IFERROR(MIN(F2999*Eingaben!$B$19,MAX(0,D2999-H2999)),0)</f>
        <v>0</v>
      </c>
      <c r="J2999" s="13" t="n">
        <f aca="false">IFERROR(MIN(Eingaben!$B$18,MAX(0,F2999-I2999)),0)</f>
        <v>1.7442</v>
      </c>
      <c r="K2999" s="13" t="n">
        <f aca="false">H2999+I2999</f>
        <v>1.068</v>
      </c>
      <c r="L2999" s="13" t="n">
        <f aca="false">MAX(0,D2999-K2999)</f>
        <v>0</v>
      </c>
      <c r="M2999" s="13" t="n">
        <f aca="false">MAX(0,F2999-I2999-J2999)</f>
        <v>0</v>
      </c>
      <c r="N2999" s="13" t="n">
        <f aca="false">IF(Kalender!A71="",0,J2998-H2999)</f>
        <v>0.3472278</v>
      </c>
    </row>
    <row r="3000" customFormat="false" ht="16.4" hidden="false" customHeight="false" outlineLevel="0" collapsed="false">
      <c r="A3000" s="13" t="str">
        <f aca="false">""</f>
        <v/>
      </c>
      <c r="B3000" s="13" t="n">
        <f aca="false">68</f>
        <v>68</v>
      </c>
      <c r="C3000" s="13" t="n">
        <f aca="false">IF(Szenarien!$H$19="OK",(IFERROR(SUMIF(Nutzungsprofile!$B$6:$B$11,"Schulbetrieb",Nutzungsprofile!$G$6:$G$11)*Kalender!C72/SUM(Kalender!$C$5:$C$370),0)+IFERROR(SUMIF(Nutzungsprofile!$B$6:$B$11,"Halle",Nutzungsprofile!$G$6:$G$11)*Kalender!D72/SUM(Kalender!$D$5:$D$370),0)+IFERROR(SUMIF(Nutzungsprofile!$B$6:$B$11,"Individuell",Nutzungsprofile!$G$6:$G$11)*Kalender!E72/SUM(Kalender!$E$5:$E$370),0))*Szenarien!$E$19,0)</f>
        <v>2.94</v>
      </c>
      <c r="D3000" s="13" t="n">
        <f aca="false">IF(Szenarien!$H$19="OK",(IFERROR(SUMIF(Nutzungsprofile!$B$17:$B$22,"Schulbetrieb",Nutzungsprofile!$G$17:$G$22)*Kalender!C72/SUM(Kalender!$C$5:$C$370),0)+IFERROR(SUMIF(Nutzungsprofile!$B$17:$B$22,"Halle",Nutzungsprofile!$G$17:$G$22)*Kalender!D72/SUM(Kalender!$D$5:$D$370),0)+IFERROR(SUMIF(Nutzungsprofile!$B$17:$B$22,"Individuell",Nutzungsprofile!$G$17:$G$22)*Kalender!E72/SUM(Kalender!$E$5:$E$370),0))*Szenarien!$D$19,0)</f>
        <v>5.928</v>
      </c>
      <c r="E3000" s="13" t="n">
        <f aca="false">IFERROR(MIN(C3000,Eingaben!$B$17)*Eingaben!$B$16,0)</f>
        <v>2.793</v>
      </c>
      <c r="F3000" s="13" t="n">
        <f aca="false">IFERROR(E3000*Eingaben!$B$15,0)</f>
        <v>2.5137</v>
      </c>
      <c r="G3000" s="13" t="n">
        <f aca="false">IFERROR(IF(Kalender!A72="",0,J2999*(1-Eingaben!$B$20)),0)</f>
        <v>1.709316</v>
      </c>
      <c r="H3000" s="13" t="n">
        <f aca="false">MIN(G3000,D3000)</f>
        <v>1.709316</v>
      </c>
      <c r="I3000" s="13" t="n">
        <f aca="false">IFERROR(MIN(F3000*Eingaben!$B$19,MAX(0,D3000-H3000)),0)</f>
        <v>1.75959</v>
      </c>
      <c r="J3000" s="13" t="n">
        <f aca="false">IFERROR(MIN(Eingaben!$B$18,MAX(0,F3000-I3000)),0)</f>
        <v>0.75411</v>
      </c>
      <c r="K3000" s="13" t="n">
        <f aca="false">H3000+I3000</f>
        <v>3.468906</v>
      </c>
      <c r="L3000" s="13" t="n">
        <f aca="false">MAX(0,D3000-K3000)</f>
        <v>2.459094</v>
      </c>
      <c r="M3000" s="13" t="n">
        <f aca="false">MAX(0,F3000-I3000-J3000)</f>
        <v>0</v>
      </c>
      <c r="N3000" s="13" t="n">
        <f aca="false">IF(Kalender!A72="",0,J2999-H3000)</f>
        <v>0.0348840000000001</v>
      </c>
    </row>
    <row r="3001" customFormat="false" ht="16.4" hidden="false" customHeight="false" outlineLevel="0" collapsed="false">
      <c r="A3001" s="13" t="str">
        <f aca="false">""</f>
        <v/>
      </c>
      <c r="B3001" s="13" t="n">
        <f aca="false">69</f>
        <v>69</v>
      </c>
      <c r="C3001" s="13" t="n">
        <f aca="false">IF(Szenarien!$H$19="OK",(IFERROR(SUMIF(Nutzungsprofile!$B$6:$B$11,"Schulbetrieb",Nutzungsprofile!$G$6:$G$11)*Kalender!C73/SUM(Kalender!$C$5:$C$370),0)+IFERROR(SUMIF(Nutzungsprofile!$B$6:$B$11,"Halle",Nutzungsprofile!$G$6:$G$11)*Kalender!D73/SUM(Kalender!$D$5:$D$370),0)+IFERROR(SUMIF(Nutzungsprofile!$B$6:$B$11,"Individuell",Nutzungsprofile!$G$6:$G$11)*Kalender!E73/SUM(Kalender!$E$5:$E$370),0))*Szenarien!$E$19,0)</f>
        <v>2.94</v>
      </c>
      <c r="D3001" s="13" t="n">
        <f aca="false">IF(Szenarien!$H$19="OK",(IFERROR(SUMIF(Nutzungsprofile!$B$17:$B$22,"Schulbetrieb",Nutzungsprofile!$G$17:$G$22)*Kalender!C73/SUM(Kalender!$C$5:$C$370),0)+IFERROR(SUMIF(Nutzungsprofile!$B$17:$B$22,"Halle",Nutzungsprofile!$G$17:$G$22)*Kalender!D73/SUM(Kalender!$D$5:$D$370),0)+IFERROR(SUMIF(Nutzungsprofile!$B$17:$B$22,"Individuell",Nutzungsprofile!$G$17:$G$22)*Kalender!E73/SUM(Kalender!$E$5:$E$370),0))*Szenarien!$D$19,0)</f>
        <v>5.928</v>
      </c>
      <c r="E3001" s="13" t="n">
        <f aca="false">IFERROR(MIN(C3001,Eingaben!$B$17)*Eingaben!$B$16,0)</f>
        <v>2.793</v>
      </c>
      <c r="F3001" s="13" t="n">
        <f aca="false">IFERROR(E3001*Eingaben!$B$15,0)</f>
        <v>2.5137</v>
      </c>
      <c r="G3001" s="13" t="n">
        <f aca="false">IFERROR(IF(Kalender!A73="",0,J3000*(1-Eingaben!$B$20)),0)</f>
        <v>0.7390278</v>
      </c>
      <c r="H3001" s="13" t="n">
        <f aca="false">MIN(G3001,D3001)</f>
        <v>0.7390278</v>
      </c>
      <c r="I3001" s="13" t="n">
        <f aca="false">IFERROR(MIN(F3001*Eingaben!$B$19,MAX(0,D3001-H3001)),0)</f>
        <v>1.75959</v>
      </c>
      <c r="J3001" s="13" t="n">
        <f aca="false">IFERROR(MIN(Eingaben!$B$18,MAX(0,F3001-I3001)),0)</f>
        <v>0.75411</v>
      </c>
      <c r="K3001" s="13" t="n">
        <f aca="false">H3001+I3001</f>
        <v>2.4986178</v>
      </c>
      <c r="L3001" s="13" t="n">
        <f aca="false">MAX(0,D3001-K3001)</f>
        <v>3.4293822</v>
      </c>
      <c r="M3001" s="13" t="n">
        <f aca="false">MAX(0,F3001-I3001-J3001)</f>
        <v>0</v>
      </c>
      <c r="N3001" s="13" t="n">
        <f aca="false">IF(Kalender!A73="",0,J3000-H3001)</f>
        <v>0.0150822</v>
      </c>
    </row>
    <row r="3002" customFormat="false" ht="16.4" hidden="false" customHeight="false" outlineLevel="0" collapsed="false">
      <c r="A3002" s="13" t="str">
        <f aca="false">""</f>
        <v/>
      </c>
      <c r="B3002" s="13" t="n">
        <f aca="false">70</f>
        <v>70</v>
      </c>
      <c r="C3002" s="13" t="n">
        <f aca="false">IF(Szenarien!$H$19="OK",(IFERROR(SUMIF(Nutzungsprofile!$B$6:$B$11,"Schulbetrieb",Nutzungsprofile!$G$6:$G$11)*Kalender!C74/SUM(Kalender!$C$5:$C$370),0)+IFERROR(SUMIF(Nutzungsprofile!$B$6:$B$11,"Halle",Nutzungsprofile!$G$6:$G$11)*Kalender!D74/SUM(Kalender!$D$5:$D$370),0)+IFERROR(SUMIF(Nutzungsprofile!$B$6:$B$11,"Individuell",Nutzungsprofile!$G$6:$G$11)*Kalender!E74/SUM(Kalender!$E$5:$E$370),0))*Szenarien!$E$19,0)</f>
        <v>2.94</v>
      </c>
      <c r="D3002" s="13" t="n">
        <f aca="false">IF(Szenarien!$H$19="OK",(IFERROR(SUMIF(Nutzungsprofile!$B$17:$B$22,"Schulbetrieb",Nutzungsprofile!$G$17:$G$22)*Kalender!C74/SUM(Kalender!$C$5:$C$370),0)+IFERROR(SUMIF(Nutzungsprofile!$B$17:$B$22,"Halle",Nutzungsprofile!$G$17:$G$22)*Kalender!D74/SUM(Kalender!$D$5:$D$370),0)+IFERROR(SUMIF(Nutzungsprofile!$B$17:$B$22,"Individuell",Nutzungsprofile!$G$17:$G$22)*Kalender!E74/SUM(Kalender!$E$5:$E$370),0))*Szenarien!$D$19,0)</f>
        <v>5.928</v>
      </c>
      <c r="E3002" s="13" t="n">
        <f aca="false">IFERROR(MIN(C3002,Eingaben!$B$17)*Eingaben!$B$16,0)</f>
        <v>2.793</v>
      </c>
      <c r="F3002" s="13" t="n">
        <f aca="false">IFERROR(E3002*Eingaben!$B$15,0)</f>
        <v>2.5137</v>
      </c>
      <c r="G3002" s="13" t="n">
        <f aca="false">IFERROR(IF(Kalender!A74="",0,J3001*(1-Eingaben!$B$20)),0)</f>
        <v>0.7390278</v>
      </c>
      <c r="H3002" s="13" t="n">
        <f aca="false">MIN(G3002,D3002)</f>
        <v>0.7390278</v>
      </c>
      <c r="I3002" s="13" t="n">
        <f aca="false">IFERROR(MIN(F3002*Eingaben!$B$19,MAX(0,D3002-H3002)),0)</f>
        <v>1.75959</v>
      </c>
      <c r="J3002" s="13" t="n">
        <f aca="false">IFERROR(MIN(Eingaben!$B$18,MAX(0,F3002-I3002)),0)</f>
        <v>0.75411</v>
      </c>
      <c r="K3002" s="13" t="n">
        <f aca="false">H3002+I3002</f>
        <v>2.4986178</v>
      </c>
      <c r="L3002" s="13" t="n">
        <f aca="false">MAX(0,D3002-K3002)</f>
        <v>3.4293822</v>
      </c>
      <c r="M3002" s="13" t="n">
        <f aca="false">MAX(0,F3002-I3002-J3002)</f>
        <v>0</v>
      </c>
      <c r="N3002" s="13" t="n">
        <f aca="false">IF(Kalender!A74="",0,J3001-H3002)</f>
        <v>0.0150822</v>
      </c>
    </row>
    <row r="3003" customFormat="false" ht="16.4" hidden="false" customHeight="false" outlineLevel="0" collapsed="false">
      <c r="A3003" s="13" t="str">
        <f aca="false">""</f>
        <v/>
      </c>
      <c r="B3003" s="13" t="n">
        <f aca="false">71</f>
        <v>71</v>
      </c>
      <c r="C3003" s="13" t="n">
        <f aca="false">IF(Szenarien!$H$19="OK",(IFERROR(SUMIF(Nutzungsprofile!$B$6:$B$11,"Schulbetrieb",Nutzungsprofile!$G$6:$G$11)*Kalender!C75/SUM(Kalender!$C$5:$C$370),0)+IFERROR(SUMIF(Nutzungsprofile!$B$6:$B$11,"Halle",Nutzungsprofile!$G$6:$G$11)*Kalender!D75/SUM(Kalender!$D$5:$D$370),0)+IFERROR(SUMIF(Nutzungsprofile!$B$6:$B$11,"Individuell",Nutzungsprofile!$G$6:$G$11)*Kalender!E75/SUM(Kalender!$E$5:$E$370),0))*Szenarien!$E$19,0)</f>
        <v>2.94</v>
      </c>
      <c r="D3003" s="13" t="n">
        <f aca="false">IF(Szenarien!$H$19="OK",(IFERROR(SUMIF(Nutzungsprofile!$B$17:$B$22,"Schulbetrieb",Nutzungsprofile!$G$17:$G$22)*Kalender!C75/SUM(Kalender!$C$5:$C$370),0)+IFERROR(SUMIF(Nutzungsprofile!$B$17:$B$22,"Halle",Nutzungsprofile!$G$17:$G$22)*Kalender!D75/SUM(Kalender!$D$5:$D$370),0)+IFERROR(SUMIF(Nutzungsprofile!$B$17:$B$22,"Individuell",Nutzungsprofile!$G$17:$G$22)*Kalender!E75/SUM(Kalender!$E$5:$E$370),0))*Szenarien!$D$19,0)</f>
        <v>5.928</v>
      </c>
      <c r="E3003" s="13" t="n">
        <f aca="false">IFERROR(MIN(C3003,Eingaben!$B$17)*Eingaben!$B$16,0)</f>
        <v>2.793</v>
      </c>
      <c r="F3003" s="13" t="n">
        <f aca="false">IFERROR(E3003*Eingaben!$B$15,0)</f>
        <v>2.5137</v>
      </c>
      <c r="G3003" s="13" t="n">
        <f aca="false">IFERROR(IF(Kalender!A75="",0,J3002*(1-Eingaben!$B$20)),0)</f>
        <v>0.7390278</v>
      </c>
      <c r="H3003" s="13" t="n">
        <f aca="false">MIN(G3003,D3003)</f>
        <v>0.7390278</v>
      </c>
      <c r="I3003" s="13" t="n">
        <f aca="false">IFERROR(MIN(F3003*Eingaben!$B$19,MAX(0,D3003-H3003)),0)</f>
        <v>1.75959</v>
      </c>
      <c r="J3003" s="13" t="n">
        <f aca="false">IFERROR(MIN(Eingaben!$B$18,MAX(0,F3003-I3003)),0)</f>
        <v>0.75411</v>
      </c>
      <c r="K3003" s="13" t="n">
        <f aca="false">H3003+I3003</f>
        <v>2.4986178</v>
      </c>
      <c r="L3003" s="13" t="n">
        <f aca="false">MAX(0,D3003-K3003)</f>
        <v>3.4293822</v>
      </c>
      <c r="M3003" s="13" t="n">
        <f aca="false">MAX(0,F3003-I3003-J3003)</f>
        <v>0</v>
      </c>
      <c r="N3003" s="13" t="n">
        <f aca="false">IF(Kalender!A75="",0,J3002-H3003)</f>
        <v>0.0150822</v>
      </c>
    </row>
    <row r="3004" customFormat="false" ht="16.4" hidden="false" customHeight="false" outlineLevel="0" collapsed="false">
      <c r="A3004" s="13" t="str">
        <f aca="false">""</f>
        <v/>
      </c>
      <c r="B3004" s="13" t="n">
        <f aca="false">72</f>
        <v>72</v>
      </c>
      <c r="C3004" s="13" t="n">
        <f aca="false">IF(Szenarien!$H$19="OK",(IFERROR(SUMIF(Nutzungsprofile!$B$6:$B$11,"Schulbetrieb",Nutzungsprofile!$G$6:$G$11)*Kalender!C76/SUM(Kalender!$C$5:$C$370),0)+IFERROR(SUMIF(Nutzungsprofile!$B$6:$B$11,"Halle",Nutzungsprofile!$G$6:$G$11)*Kalender!D76/SUM(Kalender!$D$5:$D$370),0)+IFERROR(SUMIF(Nutzungsprofile!$B$6:$B$11,"Individuell",Nutzungsprofile!$G$6:$G$11)*Kalender!E76/SUM(Kalender!$E$5:$E$370),0))*Szenarien!$E$19,0)</f>
        <v>2.94</v>
      </c>
      <c r="D3004" s="13" t="n">
        <f aca="false">IF(Szenarien!$H$19="OK",(IFERROR(SUMIF(Nutzungsprofile!$B$17:$B$22,"Schulbetrieb",Nutzungsprofile!$G$17:$G$22)*Kalender!C76/SUM(Kalender!$C$5:$C$370),0)+IFERROR(SUMIF(Nutzungsprofile!$B$17:$B$22,"Halle",Nutzungsprofile!$G$17:$G$22)*Kalender!D76/SUM(Kalender!$D$5:$D$370),0)+IFERROR(SUMIF(Nutzungsprofile!$B$17:$B$22,"Individuell",Nutzungsprofile!$G$17:$G$22)*Kalender!E76/SUM(Kalender!$E$5:$E$370),0))*Szenarien!$D$19,0)</f>
        <v>5.928</v>
      </c>
      <c r="E3004" s="13" t="n">
        <f aca="false">IFERROR(MIN(C3004,Eingaben!$B$17)*Eingaben!$B$16,0)</f>
        <v>2.793</v>
      </c>
      <c r="F3004" s="13" t="n">
        <f aca="false">IFERROR(E3004*Eingaben!$B$15,0)</f>
        <v>2.5137</v>
      </c>
      <c r="G3004" s="13" t="n">
        <f aca="false">IFERROR(IF(Kalender!A76="",0,J3003*(1-Eingaben!$B$20)),0)</f>
        <v>0.7390278</v>
      </c>
      <c r="H3004" s="13" t="n">
        <f aca="false">MIN(G3004,D3004)</f>
        <v>0.7390278</v>
      </c>
      <c r="I3004" s="13" t="n">
        <f aca="false">IFERROR(MIN(F3004*Eingaben!$B$19,MAX(0,D3004-H3004)),0)</f>
        <v>1.75959</v>
      </c>
      <c r="J3004" s="13" t="n">
        <f aca="false">IFERROR(MIN(Eingaben!$B$18,MAX(0,F3004-I3004)),0)</f>
        <v>0.75411</v>
      </c>
      <c r="K3004" s="13" t="n">
        <f aca="false">H3004+I3004</f>
        <v>2.4986178</v>
      </c>
      <c r="L3004" s="13" t="n">
        <f aca="false">MAX(0,D3004-K3004)</f>
        <v>3.4293822</v>
      </c>
      <c r="M3004" s="13" t="n">
        <f aca="false">MAX(0,F3004-I3004-J3004)</f>
        <v>0</v>
      </c>
      <c r="N3004" s="13" t="n">
        <f aca="false">IF(Kalender!A76="",0,J3003-H3004)</f>
        <v>0.0150822</v>
      </c>
    </row>
    <row r="3005" customFormat="false" ht="16.4" hidden="false" customHeight="false" outlineLevel="0" collapsed="false">
      <c r="A3005" s="13" t="str">
        <f aca="false">""</f>
        <v/>
      </c>
      <c r="B3005" s="13" t="n">
        <f aca="false">73</f>
        <v>73</v>
      </c>
      <c r="C3005" s="13" t="n">
        <f aca="false">IF(Szenarien!$H$19="OK",(IFERROR(SUMIF(Nutzungsprofile!$B$6:$B$11,"Schulbetrieb",Nutzungsprofile!$G$6:$G$11)*Kalender!C77/SUM(Kalender!$C$5:$C$370),0)+IFERROR(SUMIF(Nutzungsprofile!$B$6:$B$11,"Halle",Nutzungsprofile!$G$6:$G$11)*Kalender!D77/SUM(Kalender!$D$5:$D$370),0)+IFERROR(SUMIF(Nutzungsprofile!$B$6:$B$11,"Individuell",Nutzungsprofile!$G$6:$G$11)*Kalender!E77/SUM(Kalender!$E$5:$E$370),0))*Szenarien!$E$19,0)</f>
        <v>2.04</v>
      </c>
      <c r="D3005" s="13" t="n">
        <f aca="false">IF(Szenarien!$H$19="OK",(IFERROR(SUMIF(Nutzungsprofile!$B$17:$B$22,"Schulbetrieb",Nutzungsprofile!$G$17:$G$22)*Kalender!C77/SUM(Kalender!$C$5:$C$370),0)+IFERROR(SUMIF(Nutzungsprofile!$B$17:$B$22,"Halle",Nutzungsprofile!$G$17:$G$22)*Kalender!D77/SUM(Kalender!$D$5:$D$370),0)+IFERROR(SUMIF(Nutzungsprofile!$B$17:$B$22,"Individuell",Nutzungsprofile!$G$17:$G$22)*Kalender!E77/SUM(Kalender!$E$5:$E$370),0))*Szenarien!$D$19,0)</f>
        <v>1.068</v>
      </c>
      <c r="E3005" s="13" t="n">
        <f aca="false">IFERROR(MIN(C3005,Eingaben!$B$17)*Eingaben!$B$16,0)</f>
        <v>1.938</v>
      </c>
      <c r="F3005" s="13" t="n">
        <f aca="false">IFERROR(E3005*Eingaben!$B$15,0)</f>
        <v>1.7442</v>
      </c>
      <c r="G3005" s="13" t="n">
        <f aca="false">IFERROR(IF(Kalender!A77="",0,J3004*(1-Eingaben!$B$20)),0)</f>
        <v>0.7390278</v>
      </c>
      <c r="H3005" s="13" t="n">
        <f aca="false">MIN(G3005,D3005)</f>
        <v>0.7390278</v>
      </c>
      <c r="I3005" s="13" t="n">
        <f aca="false">IFERROR(MIN(F3005*Eingaben!$B$19,MAX(0,D3005-H3005)),0)</f>
        <v>0.3289722</v>
      </c>
      <c r="J3005" s="13" t="n">
        <f aca="false">IFERROR(MIN(Eingaben!$B$18,MAX(0,F3005-I3005)),0)</f>
        <v>1.4152278</v>
      </c>
      <c r="K3005" s="13" t="n">
        <f aca="false">H3005+I3005</f>
        <v>1.068</v>
      </c>
      <c r="L3005" s="13" t="n">
        <f aca="false">MAX(0,D3005-K3005)</f>
        <v>0</v>
      </c>
      <c r="M3005" s="13" t="n">
        <f aca="false">MAX(0,F3005-I3005-J3005)</f>
        <v>0</v>
      </c>
      <c r="N3005" s="13" t="n">
        <f aca="false">IF(Kalender!A77="",0,J3004-H3005)</f>
        <v>0.0150822</v>
      </c>
    </row>
    <row r="3006" customFormat="false" ht="16.4" hidden="false" customHeight="false" outlineLevel="0" collapsed="false">
      <c r="A3006" s="13" t="str">
        <f aca="false">""</f>
        <v/>
      </c>
      <c r="B3006" s="13" t="n">
        <f aca="false">74</f>
        <v>74</v>
      </c>
      <c r="C3006" s="13" t="n">
        <f aca="false">IF(Szenarien!$H$19="OK",(IFERROR(SUMIF(Nutzungsprofile!$B$6:$B$11,"Schulbetrieb",Nutzungsprofile!$G$6:$G$11)*Kalender!C78/SUM(Kalender!$C$5:$C$370),0)+IFERROR(SUMIF(Nutzungsprofile!$B$6:$B$11,"Halle",Nutzungsprofile!$G$6:$G$11)*Kalender!D78/SUM(Kalender!$D$5:$D$370),0)+IFERROR(SUMIF(Nutzungsprofile!$B$6:$B$11,"Individuell",Nutzungsprofile!$G$6:$G$11)*Kalender!E78/SUM(Kalender!$E$5:$E$370),0))*Szenarien!$E$19,0)</f>
        <v>2.04</v>
      </c>
      <c r="D3006" s="13" t="n">
        <f aca="false">IF(Szenarien!$H$19="OK",(IFERROR(SUMIF(Nutzungsprofile!$B$17:$B$22,"Schulbetrieb",Nutzungsprofile!$G$17:$G$22)*Kalender!C78/SUM(Kalender!$C$5:$C$370),0)+IFERROR(SUMIF(Nutzungsprofile!$B$17:$B$22,"Halle",Nutzungsprofile!$G$17:$G$22)*Kalender!D78/SUM(Kalender!$D$5:$D$370),0)+IFERROR(SUMIF(Nutzungsprofile!$B$17:$B$22,"Individuell",Nutzungsprofile!$G$17:$G$22)*Kalender!E78/SUM(Kalender!$E$5:$E$370),0))*Szenarien!$D$19,0)</f>
        <v>1.068</v>
      </c>
      <c r="E3006" s="13" t="n">
        <f aca="false">IFERROR(MIN(C3006,Eingaben!$B$17)*Eingaben!$B$16,0)</f>
        <v>1.938</v>
      </c>
      <c r="F3006" s="13" t="n">
        <f aca="false">IFERROR(E3006*Eingaben!$B$15,0)</f>
        <v>1.7442</v>
      </c>
      <c r="G3006" s="13" t="n">
        <f aca="false">IFERROR(IF(Kalender!A78="",0,J3005*(1-Eingaben!$B$20)),0)</f>
        <v>1.386923244</v>
      </c>
      <c r="H3006" s="13" t="n">
        <f aca="false">MIN(G3006,D3006)</f>
        <v>1.068</v>
      </c>
      <c r="I3006" s="13" t="n">
        <f aca="false">IFERROR(MIN(F3006*Eingaben!$B$19,MAX(0,D3006-H3006)),0)</f>
        <v>0</v>
      </c>
      <c r="J3006" s="13" t="n">
        <f aca="false">IFERROR(MIN(Eingaben!$B$18,MAX(0,F3006-I3006)),0)</f>
        <v>1.7442</v>
      </c>
      <c r="K3006" s="13" t="n">
        <f aca="false">H3006+I3006</f>
        <v>1.068</v>
      </c>
      <c r="L3006" s="13" t="n">
        <f aca="false">MAX(0,D3006-K3006)</f>
        <v>0</v>
      </c>
      <c r="M3006" s="13" t="n">
        <f aca="false">MAX(0,F3006-I3006-J3006)</f>
        <v>0</v>
      </c>
      <c r="N3006" s="13" t="n">
        <f aca="false">IF(Kalender!A78="",0,J3005-H3006)</f>
        <v>0.3472278</v>
      </c>
    </row>
    <row r="3007" customFormat="false" ht="16.4" hidden="false" customHeight="false" outlineLevel="0" collapsed="false">
      <c r="A3007" s="13" t="str">
        <f aca="false">""</f>
        <v/>
      </c>
      <c r="B3007" s="13" t="n">
        <f aca="false">75</f>
        <v>75</v>
      </c>
      <c r="C3007" s="13" t="n">
        <f aca="false">IF(Szenarien!$H$19="OK",(IFERROR(SUMIF(Nutzungsprofile!$B$6:$B$11,"Schulbetrieb",Nutzungsprofile!$G$6:$G$11)*Kalender!C79/SUM(Kalender!$C$5:$C$370),0)+IFERROR(SUMIF(Nutzungsprofile!$B$6:$B$11,"Halle",Nutzungsprofile!$G$6:$G$11)*Kalender!D79/SUM(Kalender!$D$5:$D$370),0)+IFERROR(SUMIF(Nutzungsprofile!$B$6:$B$11,"Individuell",Nutzungsprofile!$G$6:$G$11)*Kalender!E79/SUM(Kalender!$E$5:$E$370),0))*Szenarien!$E$19,0)</f>
        <v>2.94</v>
      </c>
      <c r="D3007" s="13" t="n">
        <f aca="false">IF(Szenarien!$H$19="OK",(IFERROR(SUMIF(Nutzungsprofile!$B$17:$B$22,"Schulbetrieb",Nutzungsprofile!$G$17:$G$22)*Kalender!C79/SUM(Kalender!$C$5:$C$370),0)+IFERROR(SUMIF(Nutzungsprofile!$B$17:$B$22,"Halle",Nutzungsprofile!$G$17:$G$22)*Kalender!D79/SUM(Kalender!$D$5:$D$370),0)+IFERROR(SUMIF(Nutzungsprofile!$B$17:$B$22,"Individuell",Nutzungsprofile!$G$17:$G$22)*Kalender!E79/SUM(Kalender!$E$5:$E$370),0))*Szenarien!$D$19,0)</f>
        <v>5.928</v>
      </c>
      <c r="E3007" s="13" t="n">
        <f aca="false">IFERROR(MIN(C3007,Eingaben!$B$17)*Eingaben!$B$16,0)</f>
        <v>2.793</v>
      </c>
      <c r="F3007" s="13" t="n">
        <f aca="false">IFERROR(E3007*Eingaben!$B$15,0)</f>
        <v>2.5137</v>
      </c>
      <c r="G3007" s="13" t="n">
        <f aca="false">IFERROR(IF(Kalender!A79="",0,J3006*(1-Eingaben!$B$20)),0)</f>
        <v>1.709316</v>
      </c>
      <c r="H3007" s="13" t="n">
        <f aca="false">MIN(G3007,D3007)</f>
        <v>1.709316</v>
      </c>
      <c r="I3007" s="13" t="n">
        <f aca="false">IFERROR(MIN(F3007*Eingaben!$B$19,MAX(0,D3007-H3007)),0)</f>
        <v>1.75959</v>
      </c>
      <c r="J3007" s="13" t="n">
        <f aca="false">IFERROR(MIN(Eingaben!$B$18,MAX(0,F3007-I3007)),0)</f>
        <v>0.75411</v>
      </c>
      <c r="K3007" s="13" t="n">
        <f aca="false">H3007+I3007</f>
        <v>3.468906</v>
      </c>
      <c r="L3007" s="13" t="n">
        <f aca="false">MAX(0,D3007-K3007)</f>
        <v>2.459094</v>
      </c>
      <c r="M3007" s="13" t="n">
        <f aca="false">MAX(0,F3007-I3007-J3007)</f>
        <v>0</v>
      </c>
      <c r="N3007" s="13" t="n">
        <f aca="false">IF(Kalender!A79="",0,J3006-H3007)</f>
        <v>0.0348840000000001</v>
      </c>
    </row>
    <row r="3008" customFormat="false" ht="16.4" hidden="false" customHeight="false" outlineLevel="0" collapsed="false">
      <c r="A3008" s="13" t="str">
        <f aca="false">""</f>
        <v/>
      </c>
      <c r="B3008" s="13" t="n">
        <f aca="false">76</f>
        <v>76</v>
      </c>
      <c r="C3008" s="13" t="n">
        <f aca="false">IF(Szenarien!$H$19="OK",(IFERROR(SUMIF(Nutzungsprofile!$B$6:$B$11,"Schulbetrieb",Nutzungsprofile!$G$6:$G$11)*Kalender!C80/SUM(Kalender!$C$5:$C$370),0)+IFERROR(SUMIF(Nutzungsprofile!$B$6:$B$11,"Halle",Nutzungsprofile!$G$6:$G$11)*Kalender!D80/SUM(Kalender!$D$5:$D$370),0)+IFERROR(SUMIF(Nutzungsprofile!$B$6:$B$11,"Individuell",Nutzungsprofile!$G$6:$G$11)*Kalender!E80/SUM(Kalender!$E$5:$E$370),0))*Szenarien!$E$19,0)</f>
        <v>2.94</v>
      </c>
      <c r="D3008" s="13" t="n">
        <f aca="false">IF(Szenarien!$H$19="OK",(IFERROR(SUMIF(Nutzungsprofile!$B$17:$B$22,"Schulbetrieb",Nutzungsprofile!$G$17:$G$22)*Kalender!C80/SUM(Kalender!$C$5:$C$370),0)+IFERROR(SUMIF(Nutzungsprofile!$B$17:$B$22,"Halle",Nutzungsprofile!$G$17:$G$22)*Kalender!D80/SUM(Kalender!$D$5:$D$370),0)+IFERROR(SUMIF(Nutzungsprofile!$B$17:$B$22,"Individuell",Nutzungsprofile!$G$17:$G$22)*Kalender!E80/SUM(Kalender!$E$5:$E$370),0))*Szenarien!$D$19,0)</f>
        <v>5.928</v>
      </c>
      <c r="E3008" s="13" t="n">
        <f aca="false">IFERROR(MIN(C3008,Eingaben!$B$17)*Eingaben!$B$16,0)</f>
        <v>2.793</v>
      </c>
      <c r="F3008" s="13" t="n">
        <f aca="false">IFERROR(E3008*Eingaben!$B$15,0)</f>
        <v>2.5137</v>
      </c>
      <c r="G3008" s="13" t="n">
        <f aca="false">IFERROR(IF(Kalender!A80="",0,J3007*(1-Eingaben!$B$20)),0)</f>
        <v>0.7390278</v>
      </c>
      <c r="H3008" s="13" t="n">
        <f aca="false">MIN(G3008,D3008)</f>
        <v>0.7390278</v>
      </c>
      <c r="I3008" s="13" t="n">
        <f aca="false">IFERROR(MIN(F3008*Eingaben!$B$19,MAX(0,D3008-H3008)),0)</f>
        <v>1.75959</v>
      </c>
      <c r="J3008" s="13" t="n">
        <f aca="false">IFERROR(MIN(Eingaben!$B$18,MAX(0,F3008-I3008)),0)</f>
        <v>0.75411</v>
      </c>
      <c r="K3008" s="13" t="n">
        <f aca="false">H3008+I3008</f>
        <v>2.4986178</v>
      </c>
      <c r="L3008" s="13" t="n">
        <f aca="false">MAX(0,D3008-K3008)</f>
        <v>3.4293822</v>
      </c>
      <c r="M3008" s="13" t="n">
        <f aca="false">MAX(0,F3008-I3008-J3008)</f>
        <v>0</v>
      </c>
      <c r="N3008" s="13" t="n">
        <f aca="false">IF(Kalender!A80="",0,J3007-H3008)</f>
        <v>0.0150822</v>
      </c>
    </row>
    <row r="3009" customFormat="false" ht="16.4" hidden="false" customHeight="false" outlineLevel="0" collapsed="false">
      <c r="A3009" s="13" t="str">
        <f aca="false">""</f>
        <v/>
      </c>
      <c r="B3009" s="13" t="n">
        <f aca="false">77</f>
        <v>77</v>
      </c>
      <c r="C3009" s="13" t="n">
        <f aca="false">IF(Szenarien!$H$19="OK",(IFERROR(SUMIF(Nutzungsprofile!$B$6:$B$11,"Schulbetrieb",Nutzungsprofile!$G$6:$G$11)*Kalender!C81/SUM(Kalender!$C$5:$C$370),0)+IFERROR(SUMIF(Nutzungsprofile!$B$6:$B$11,"Halle",Nutzungsprofile!$G$6:$G$11)*Kalender!D81/SUM(Kalender!$D$5:$D$370),0)+IFERROR(SUMIF(Nutzungsprofile!$B$6:$B$11,"Individuell",Nutzungsprofile!$G$6:$G$11)*Kalender!E81/SUM(Kalender!$E$5:$E$370),0))*Szenarien!$E$19,0)</f>
        <v>2.94</v>
      </c>
      <c r="D3009" s="13" t="n">
        <f aca="false">IF(Szenarien!$H$19="OK",(IFERROR(SUMIF(Nutzungsprofile!$B$17:$B$22,"Schulbetrieb",Nutzungsprofile!$G$17:$G$22)*Kalender!C81/SUM(Kalender!$C$5:$C$370),0)+IFERROR(SUMIF(Nutzungsprofile!$B$17:$B$22,"Halle",Nutzungsprofile!$G$17:$G$22)*Kalender!D81/SUM(Kalender!$D$5:$D$370),0)+IFERROR(SUMIF(Nutzungsprofile!$B$17:$B$22,"Individuell",Nutzungsprofile!$G$17:$G$22)*Kalender!E81/SUM(Kalender!$E$5:$E$370),0))*Szenarien!$D$19,0)</f>
        <v>5.928</v>
      </c>
      <c r="E3009" s="13" t="n">
        <f aca="false">IFERROR(MIN(C3009,Eingaben!$B$17)*Eingaben!$B$16,0)</f>
        <v>2.793</v>
      </c>
      <c r="F3009" s="13" t="n">
        <f aca="false">IFERROR(E3009*Eingaben!$B$15,0)</f>
        <v>2.5137</v>
      </c>
      <c r="G3009" s="13" t="n">
        <f aca="false">IFERROR(IF(Kalender!A81="",0,J3008*(1-Eingaben!$B$20)),0)</f>
        <v>0.7390278</v>
      </c>
      <c r="H3009" s="13" t="n">
        <f aca="false">MIN(G3009,D3009)</f>
        <v>0.7390278</v>
      </c>
      <c r="I3009" s="13" t="n">
        <f aca="false">IFERROR(MIN(F3009*Eingaben!$B$19,MAX(0,D3009-H3009)),0)</f>
        <v>1.75959</v>
      </c>
      <c r="J3009" s="13" t="n">
        <f aca="false">IFERROR(MIN(Eingaben!$B$18,MAX(0,F3009-I3009)),0)</f>
        <v>0.75411</v>
      </c>
      <c r="K3009" s="13" t="n">
        <f aca="false">H3009+I3009</f>
        <v>2.4986178</v>
      </c>
      <c r="L3009" s="13" t="n">
        <f aca="false">MAX(0,D3009-K3009)</f>
        <v>3.4293822</v>
      </c>
      <c r="M3009" s="13" t="n">
        <f aca="false">MAX(0,F3009-I3009-J3009)</f>
        <v>0</v>
      </c>
      <c r="N3009" s="13" t="n">
        <f aca="false">IF(Kalender!A81="",0,J3008-H3009)</f>
        <v>0.0150822</v>
      </c>
    </row>
    <row r="3010" customFormat="false" ht="16.4" hidden="false" customHeight="false" outlineLevel="0" collapsed="false">
      <c r="A3010" s="13" t="str">
        <f aca="false">""</f>
        <v/>
      </c>
      <c r="B3010" s="13" t="n">
        <f aca="false">78</f>
        <v>78</v>
      </c>
      <c r="C3010" s="13" t="n">
        <f aca="false">IF(Szenarien!$H$19="OK",(IFERROR(SUMIF(Nutzungsprofile!$B$6:$B$11,"Schulbetrieb",Nutzungsprofile!$G$6:$G$11)*Kalender!C82/SUM(Kalender!$C$5:$C$370),0)+IFERROR(SUMIF(Nutzungsprofile!$B$6:$B$11,"Halle",Nutzungsprofile!$G$6:$G$11)*Kalender!D82/SUM(Kalender!$D$5:$D$370),0)+IFERROR(SUMIF(Nutzungsprofile!$B$6:$B$11,"Individuell",Nutzungsprofile!$G$6:$G$11)*Kalender!E82/SUM(Kalender!$E$5:$E$370),0))*Szenarien!$E$19,0)</f>
        <v>2.94</v>
      </c>
      <c r="D3010" s="13" t="n">
        <f aca="false">IF(Szenarien!$H$19="OK",(IFERROR(SUMIF(Nutzungsprofile!$B$17:$B$22,"Schulbetrieb",Nutzungsprofile!$G$17:$G$22)*Kalender!C82/SUM(Kalender!$C$5:$C$370),0)+IFERROR(SUMIF(Nutzungsprofile!$B$17:$B$22,"Halle",Nutzungsprofile!$G$17:$G$22)*Kalender!D82/SUM(Kalender!$D$5:$D$370),0)+IFERROR(SUMIF(Nutzungsprofile!$B$17:$B$22,"Individuell",Nutzungsprofile!$G$17:$G$22)*Kalender!E82/SUM(Kalender!$E$5:$E$370),0))*Szenarien!$D$19,0)</f>
        <v>5.928</v>
      </c>
      <c r="E3010" s="13" t="n">
        <f aca="false">IFERROR(MIN(C3010,Eingaben!$B$17)*Eingaben!$B$16,0)</f>
        <v>2.793</v>
      </c>
      <c r="F3010" s="13" t="n">
        <f aca="false">IFERROR(E3010*Eingaben!$B$15,0)</f>
        <v>2.5137</v>
      </c>
      <c r="G3010" s="13" t="n">
        <f aca="false">IFERROR(IF(Kalender!A82="",0,J3009*(1-Eingaben!$B$20)),0)</f>
        <v>0.7390278</v>
      </c>
      <c r="H3010" s="13" t="n">
        <f aca="false">MIN(G3010,D3010)</f>
        <v>0.7390278</v>
      </c>
      <c r="I3010" s="13" t="n">
        <f aca="false">IFERROR(MIN(F3010*Eingaben!$B$19,MAX(0,D3010-H3010)),0)</f>
        <v>1.75959</v>
      </c>
      <c r="J3010" s="13" t="n">
        <f aca="false">IFERROR(MIN(Eingaben!$B$18,MAX(0,F3010-I3010)),0)</f>
        <v>0.75411</v>
      </c>
      <c r="K3010" s="13" t="n">
        <f aca="false">H3010+I3010</f>
        <v>2.4986178</v>
      </c>
      <c r="L3010" s="13" t="n">
        <f aca="false">MAX(0,D3010-K3010)</f>
        <v>3.4293822</v>
      </c>
      <c r="M3010" s="13" t="n">
        <f aca="false">MAX(0,F3010-I3010-J3010)</f>
        <v>0</v>
      </c>
      <c r="N3010" s="13" t="n">
        <f aca="false">IF(Kalender!A82="",0,J3009-H3010)</f>
        <v>0.0150822</v>
      </c>
    </row>
    <row r="3011" customFormat="false" ht="16.4" hidden="false" customHeight="false" outlineLevel="0" collapsed="false">
      <c r="A3011" s="13" t="str">
        <f aca="false">""</f>
        <v/>
      </c>
      <c r="B3011" s="13" t="n">
        <f aca="false">79</f>
        <v>79</v>
      </c>
      <c r="C3011" s="13" t="n">
        <f aca="false">IF(Szenarien!$H$19="OK",(IFERROR(SUMIF(Nutzungsprofile!$B$6:$B$11,"Schulbetrieb",Nutzungsprofile!$G$6:$G$11)*Kalender!C83/SUM(Kalender!$C$5:$C$370),0)+IFERROR(SUMIF(Nutzungsprofile!$B$6:$B$11,"Halle",Nutzungsprofile!$G$6:$G$11)*Kalender!D83/SUM(Kalender!$D$5:$D$370),0)+IFERROR(SUMIF(Nutzungsprofile!$B$6:$B$11,"Individuell",Nutzungsprofile!$G$6:$G$11)*Kalender!E83/SUM(Kalender!$E$5:$E$370),0))*Szenarien!$E$19,0)</f>
        <v>2.94</v>
      </c>
      <c r="D3011" s="13" t="n">
        <f aca="false">IF(Szenarien!$H$19="OK",(IFERROR(SUMIF(Nutzungsprofile!$B$17:$B$22,"Schulbetrieb",Nutzungsprofile!$G$17:$G$22)*Kalender!C83/SUM(Kalender!$C$5:$C$370),0)+IFERROR(SUMIF(Nutzungsprofile!$B$17:$B$22,"Halle",Nutzungsprofile!$G$17:$G$22)*Kalender!D83/SUM(Kalender!$D$5:$D$370),0)+IFERROR(SUMIF(Nutzungsprofile!$B$17:$B$22,"Individuell",Nutzungsprofile!$G$17:$G$22)*Kalender!E83/SUM(Kalender!$E$5:$E$370),0))*Szenarien!$D$19,0)</f>
        <v>5.928</v>
      </c>
      <c r="E3011" s="13" t="n">
        <f aca="false">IFERROR(MIN(C3011,Eingaben!$B$17)*Eingaben!$B$16,0)</f>
        <v>2.793</v>
      </c>
      <c r="F3011" s="13" t="n">
        <f aca="false">IFERROR(E3011*Eingaben!$B$15,0)</f>
        <v>2.5137</v>
      </c>
      <c r="G3011" s="13" t="n">
        <f aca="false">IFERROR(IF(Kalender!A83="",0,J3010*(1-Eingaben!$B$20)),0)</f>
        <v>0.7390278</v>
      </c>
      <c r="H3011" s="13" t="n">
        <f aca="false">MIN(G3011,D3011)</f>
        <v>0.7390278</v>
      </c>
      <c r="I3011" s="13" t="n">
        <f aca="false">IFERROR(MIN(F3011*Eingaben!$B$19,MAX(0,D3011-H3011)),0)</f>
        <v>1.75959</v>
      </c>
      <c r="J3011" s="13" t="n">
        <f aca="false">IFERROR(MIN(Eingaben!$B$18,MAX(0,F3011-I3011)),0)</f>
        <v>0.75411</v>
      </c>
      <c r="K3011" s="13" t="n">
        <f aca="false">H3011+I3011</f>
        <v>2.4986178</v>
      </c>
      <c r="L3011" s="13" t="n">
        <f aca="false">MAX(0,D3011-K3011)</f>
        <v>3.4293822</v>
      </c>
      <c r="M3011" s="13" t="n">
        <f aca="false">MAX(0,F3011-I3011-J3011)</f>
        <v>0</v>
      </c>
      <c r="N3011" s="13" t="n">
        <f aca="false">IF(Kalender!A83="",0,J3010-H3011)</f>
        <v>0.0150822</v>
      </c>
    </row>
    <row r="3012" customFormat="false" ht="16.4" hidden="false" customHeight="false" outlineLevel="0" collapsed="false">
      <c r="A3012" s="13" t="str">
        <f aca="false">""</f>
        <v/>
      </c>
      <c r="B3012" s="13" t="n">
        <f aca="false">80</f>
        <v>80</v>
      </c>
      <c r="C3012" s="13" t="n">
        <f aca="false">IF(Szenarien!$H$19="OK",(IFERROR(SUMIF(Nutzungsprofile!$B$6:$B$11,"Schulbetrieb",Nutzungsprofile!$G$6:$G$11)*Kalender!C84/SUM(Kalender!$C$5:$C$370),0)+IFERROR(SUMIF(Nutzungsprofile!$B$6:$B$11,"Halle",Nutzungsprofile!$G$6:$G$11)*Kalender!D84/SUM(Kalender!$D$5:$D$370),0)+IFERROR(SUMIF(Nutzungsprofile!$B$6:$B$11,"Individuell",Nutzungsprofile!$G$6:$G$11)*Kalender!E84/SUM(Kalender!$E$5:$E$370),0))*Szenarien!$E$19,0)</f>
        <v>2.04</v>
      </c>
      <c r="D3012" s="13" t="n">
        <f aca="false">IF(Szenarien!$H$19="OK",(IFERROR(SUMIF(Nutzungsprofile!$B$17:$B$22,"Schulbetrieb",Nutzungsprofile!$G$17:$G$22)*Kalender!C84/SUM(Kalender!$C$5:$C$370),0)+IFERROR(SUMIF(Nutzungsprofile!$B$17:$B$22,"Halle",Nutzungsprofile!$G$17:$G$22)*Kalender!D84/SUM(Kalender!$D$5:$D$370),0)+IFERROR(SUMIF(Nutzungsprofile!$B$17:$B$22,"Individuell",Nutzungsprofile!$G$17:$G$22)*Kalender!E84/SUM(Kalender!$E$5:$E$370),0))*Szenarien!$D$19,0)</f>
        <v>1.068</v>
      </c>
      <c r="E3012" s="13" t="n">
        <f aca="false">IFERROR(MIN(C3012,Eingaben!$B$17)*Eingaben!$B$16,0)</f>
        <v>1.938</v>
      </c>
      <c r="F3012" s="13" t="n">
        <f aca="false">IFERROR(E3012*Eingaben!$B$15,0)</f>
        <v>1.7442</v>
      </c>
      <c r="G3012" s="13" t="n">
        <f aca="false">IFERROR(IF(Kalender!A84="",0,J3011*(1-Eingaben!$B$20)),0)</f>
        <v>0.7390278</v>
      </c>
      <c r="H3012" s="13" t="n">
        <f aca="false">MIN(G3012,D3012)</f>
        <v>0.7390278</v>
      </c>
      <c r="I3012" s="13" t="n">
        <f aca="false">IFERROR(MIN(F3012*Eingaben!$B$19,MAX(0,D3012-H3012)),0)</f>
        <v>0.3289722</v>
      </c>
      <c r="J3012" s="13" t="n">
        <f aca="false">IFERROR(MIN(Eingaben!$B$18,MAX(0,F3012-I3012)),0)</f>
        <v>1.4152278</v>
      </c>
      <c r="K3012" s="13" t="n">
        <f aca="false">H3012+I3012</f>
        <v>1.068</v>
      </c>
      <c r="L3012" s="13" t="n">
        <f aca="false">MAX(0,D3012-K3012)</f>
        <v>0</v>
      </c>
      <c r="M3012" s="13" t="n">
        <f aca="false">MAX(0,F3012-I3012-J3012)</f>
        <v>0</v>
      </c>
      <c r="N3012" s="13" t="n">
        <f aca="false">IF(Kalender!A84="",0,J3011-H3012)</f>
        <v>0.0150822</v>
      </c>
    </row>
    <row r="3013" customFormat="false" ht="16.4" hidden="false" customHeight="false" outlineLevel="0" collapsed="false">
      <c r="A3013" s="13" t="str">
        <f aca="false">""</f>
        <v/>
      </c>
      <c r="B3013" s="13" t="n">
        <f aca="false">81</f>
        <v>81</v>
      </c>
      <c r="C3013" s="13" t="n">
        <f aca="false">IF(Szenarien!$H$19="OK",(IFERROR(SUMIF(Nutzungsprofile!$B$6:$B$11,"Schulbetrieb",Nutzungsprofile!$G$6:$G$11)*Kalender!C85/SUM(Kalender!$C$5:$C$370),0)+IFERROR(SUMIF(Nutzungsprofile!$B$6:$B$11,"Halle",Nutzungsprofile!$G$6:$G$11)*Kalender!D85/SUM(Kalender!$D$5:$D$370),0)+IFERROR(SUMIF(Nutzungsprofile!$B$6:$B$11,"Individuell",Nutzungsprofile!$G$6:$G$11)*Kalender!E85/SUM(Kalender!$E$5:$E$370),0))*Szenarien!$E$19,0)</f>
        <v>2.04</v>
      </c>
      <c r="D3013" s="13" t="n">
        <f aca="false">IF(Szenarien!$H$19="OK",(IFERROR(SUMIF(Nutzungsprofile!$B$17:$B$22,"Schulbetrieb",Nutzungsprofile!$G$17:$G$22)*Kalender!C85/SUM(Kalender!$C$5:$C$370),0)+IFERROR(SUMIF(Nutzungsprofile!$B$17:$B$22,"Halle",Nutzungsprofile!$G$17:$G$22)*Kalender!D85/SUM(Kalender!$D$5:$D$370),0)+IFERROR(SUMIF(Nutzungsprofile!$B$17:$B$22,"Individuell",Nutzungsprofile!$G$17:$G$22)*Kalender!E85/SUM(Kalender!$E$5:$E$370),0))*Szenarien!$D$19,0)</f>
        <v>1.068</v>
      </c>
      <c r="E3013" s="13" t="n">
        <f aca="false">IFERROR(MIN(C3013,Eingaben!$B$17)*Eingaben!$B$16,0)</f>
        <v>1.938</v>
      </c>
      <c r="F3013" s="13" t="n">
        <f aca="false">IFERROR(E3013*Eingaben!$B$15,0)</f>
        <v>1.7442</v>
      </c>
      <c r="G3013" s="13" t="n">
        <f aca="false">IFERROR(IF(Kalender!A85="",0,J3012*(1-Eingaben!$B$20)),0)</f>
        <v>1.386923244</v>
      </c>
      <c r="H3013" s="13" t="n">
        <f aca="false">MIN(G3013,D3013)</f>
        <v>1.068</v>
      </c>
      <c r="I3013" s="13" t="n">
        <f aca="false">IFERROR(MIN(F3013*Eingaben!$B$19,MAX(0,D3013-H3013)),0)</f>
        <v>0</v>
      </c>
      <c r="J3013" s="13" t="n">
        <f aca="false">IFERROR(MIN(Eingaben!$B$18,MAX(0,F3013-I3013)),0)</f>
        <v>1.7442</v>
      </c>
      <c r="K3013" s="13" t="n">
        <f aca="false">H3013+I3013</f>
        <v>1.068</v>
      </c>
      <c r="L3013" s="13" t="n">
        <f aca="false">MAX(0,D3013-K3013)</f>
        <v>0</v>
      </c>
      <c r="M3013" s="13" t="n">
        <f aca="false">MAX(0,F3013-I3013-J3013)</f>
        <v>0</v>
      </c>
      <c r="N3013" s="13" t="n">
        <f aca="false">IF(Kalender!A85="",0,J3012-H3013)</f>
        <v>0.3472278</v>
      </c>
    </row>
    <row r="3014" customFormat="false" ht="16.4" hidden="false" customHeight="false" outlineLevel="0" collapsed="false">
      <c r="A3014" s="13" t="str">
        <f aca="false">""</f>
        <v/>
      </c>
      <c r="B3014" s="13" t="n">
        <f aca="false">82</f>
        <v>82</v>
      </c>
      <c r="C3014" s="13" t="n">
        <f aca="false">IF(Szenarien!$H$19="OK",(IFERROR(SUMIF(Nutzungsprofile!$B$6:$B$11,"Schulbetrieb",Nutzungsprofile!$G$6:$G$11)*Kalender!C86/SUM(Kalender!$C$5:$C$370),0)+IFERROR(SUMIF(Nutzungsprofile!$B$6:$B$11,"Halle",Nutzungsprofile!$G$6:$G$11)*Kalender!D86/SUM(Kalender!$D$5:$D$370),0)+IFERROR(SUMIF(Nutzungsprofile!$B$6:$B$11,"Individuell",Nutzungsprofile!$G$6:$G$11)*Kalender!E86/SUM(Kalender!$E$5:$E$370),0))*Szenarien!$E$19,0)</f>
        <v>2.94</v>
      </c>
      <c r="D3014" s="13" t="n">
        <f aca="false">IF(Szenarien!$H$19="OK",(IFERROR(SUMIF(Nutzungsprofile!$B$17:$B$22,"Schulbetrieb",Nutzungsprofile!$G$17:$G$22)*Kalender!C86/SUM(Kalender!$C$5:$C$370),0)+IFERROR(SUMIF(Nutzungsprofile!$B$17:$B$22,"Halle",Nutzungsprofile!$G$17:$G$22)*Kalender!D86/SUM(Kalender!$D$5:$D$370),0)+IFERROR(SUMIF(Nutzungsprofile!$B$17:$B$22,"Individuell",Nutzungsprofile!$G$17:$G$22)*Kalender!E86/SUM(Kalender!$E$5:$E$370),0))*Szenarien!$D$19,0)</f>
        <v>5.928</v>
      </c>
      <c r="E3014" s="13" t="n">
        <f aca="false">IFERROR(MIN(C3014,Eingaben!$B$17)*Eingaben!$B$16,0)</f>
        <v>2.793</v>
      </c>
      <c r="F3014" s="13" t="n">
        <f aca="false">IFERROR(E3014*Eingaben!$B$15,0)</f>
        <v>2.5137</v>
      </c>
      <c r="G3014" s="13" t="n">
        <f aca="false">IFERROR(IF(Kalender!A86="",0,J3013*(1-Eingaben!$B$20)),0)</f>
        <v>1.709316</v>
      </c>
      <c r="H3014" s="13" t="n">
        <f aca="false">MIN(G3014,D3014)</f>
        <v>1.709316</v>
      </c>
      <c r="I3014" s="13" t="n">
        <f aca="false">IFERROR(MIN(F3014*Eingaben!$B$19,MAX(0,D3014-H3014)),0)</f>
        <v>1.75959</v>
      </c>
      <c r="J3014" s="13" t="n">
        <f aca="false">IFERROR(MIN(Eingaben!$B$18,MAX(0,F3014-I3014)),0)</f>
        <v>0.75411</v>
      </c>
      <c r="K3014" s="13" t="n">
        <f aca="false">H3014+I3014</f>
        <v>3.468906</v>
      </c>
      <c r="L3014" s="13" t="n">
        <f aca="false">MAX(0,D3014-K3014)</f>
        <v>2.459094</v>
      </c>
      <c r="M3014" s="13" t="n">
        <f aca="false">MAX(0,F3014-I3014-J3014)</f>
        <v>0</v>
      </c>
      <c r="N3014" s="13" t="n">
        <f aca="false">IF(Kalender!A86="",0,J3013-H3014)</f>
        <v>0.0348840000000001</v>
      </c>
    </row>
    <row r="3015" customFormat="false" ht="16.4" hidden="false" customHeight="false" outlineLevel="0" collapsed="false">
      <c r="A3015" s="13" t="str">
        <f aca="false">""</f>
        <v/>
      </c>
      <c r="B3015" s="13" t="n">
        <f aca="false">83</f>
        <v>83</v>
      </c>
      <c r="C3015" s="13" t="n">
        <f aca="false">IF(Szenarien!$H$19="OK",(IFERROR(SUMIF(Nutzungsprofile!$B$6:$B$11,"Schulbetrieb",Nutzungsprofile!$G$6:$G$11)*Kalender!C87/SUM(Kalender!$C$5:$C$370),0)+IFERROR(SUMIF(Nutzungsprofile!$B$6:$B$11,"Halle",Nutzungsprofile!$G$6:$G$11)*Kalender!D87/SUM(Kalender!$D$5:$D$370),0)+IFERROR(SUMIF(Nutzungsprofile!$B$6:$B$11,"Individuell",Nutzungsprofile!$G$6:$G$11)*Kalender!E87/SUM(Kalender!$E$5:$E$370),0))*Szenarien!$E$19,0)</f>
        <v>2.94</v>
      </c>
      <c r="D3015" s="13" t="n">
        <f aca="false">IF(Szenarien!$H$19="OK",(IFERROR(SUMIF(Nutzungsprofile!$B$17:$B$22,"Schulbetrieb",Nutzungsprofile!$G$17:$G$22)*Kalender!C87/SUM(Kalender!$C$5:$C$370),0)+IFERROR(SUMIF(Nutzungsprofile!$B$17:$B$22,"Halle",Nutzungsprofile!$G$17:$G$22)*Kalender!D87/SUM(Kalender!$D$5:$D$370),0)+IFERROR(SUMIF(Nutzungsprofile!$B$17:$B$22,"Individuell",Nutzungsprofile!$G$17:$G$22)*Kalender!E87/SUM(Kalender!$E$5:$E$370),0))*Szenarien!$D$19,0)</f>
        <v>5.928</v>
      </c>
      <c r="E3015" s="13" t="n">
        <f aca="false">IFERROR(MIN(C3015,Eingaben!$B$17)*Eingaben!$B$16,0)</f>
        <v>2.793</v>
      </c>
      <c r="F3015" s="13" t="n">
        <f aca="false">IFERROR(E3015*Eingaben!$B$15,0)</f>
        <v>2.5137</v>
      </c>
      <c r="G3015" s="13" t="n">
        <f aca="false">IFERROR(IF(Kalender!A87="",0,J3014*(1-Eingaben!$B$20)),0)</f>
        <v>0.7390278</v>
      </c>
      <c r="H3015" s="13" t="n">
        <f aca="false">MIN(G3015,D3015)</f>
        <v>0.7390278</v>
      </c>
      <c r="I3015" s="13" t="n">
        <f aca="false">IFERROR(MIN(F3015*Eingaben!$B$19,MAX(0,D3015-H3015)),0)</f>
        <v>1.75959</v>
      </c>
      <c r="J3015" s="13" t="n">
        <f aca="false">IFERROR(MIN(Eingaben!$B$18,MAX(0,F3015-I3015)),0)</f>
        <v>0.75411</v>
      </c>
      <c r="K3015" s="13" t="n">
        <f aca="false">H3015+I3015</f>
        <v>2.4986178</v>
      </c>
      <c r="L3015" s="13" t="n">
        <f aca="false">MAX(0,D3015-K3015)</f>
        <v>3.4293822</v>
      </c>
      <c r="M3015" s="13" t="n">
        <f aca="false">MAX(0,F3015-I3015-J3015)</f>
        <v>0</v>
      </c>
      <c r="N3015" s="13" t="n">
        <f aca="false">IF(Kalender!A87="",0,J3014-H3015)</f>
        <v>0.0150822</v>
      </c>
    </row>
    <row r="3016" customFormat="false" ht="16.4" hidden="false" customHeight="false" outlineLevel="0" collapsed="false">
      <c r="A3016" s="13" t="str">
        <f aca="false">""</f>
        <v/>
      </c>
      <c r="B3016" s="13" t="n">
        <f aca="false">84</f>
        <v>84</v>
      </c>
      <c r="C3016" s="13" t="n">
        <f aca="false">IF(Szenarien!$H$19="OK",(IFERROR(SUMIF(Nutzungsprofile!$B$6:$B$11,"Schulbetrieb",Nutzungsprofile!$G$6:$G$11)*Kalender!C88/SUM(Kalender!$C$5:$C$370),0)+IFERROR(SUMIF(Nutzungsprofile!$B$6:$B$11,"Halle",Nutzungsprofile!$G$6:$G$11)*Kalender!D88/SUM(Kalender!$D$5:$D$370),0)+IFERROR(SUMIF(Nutzungsprofile!$B$6:$B$11,"Individuell",Nutzungsprofile!$G$6:$G$11)*Kalender!E88/SUM(Kalender!$E$5:$E$370),0))*Szenarien!$E$19,0)</f>
        <v>2.94</v>
      </c>
      <c r="D3016" s="13" t="n">
        <f aca="false">IF(Szenarien!$H$19="OK",(IFERROR(SUMIF(Nutzungsprofile!$B$17:$B$22,"Schulbetrieb",Nutzungsprofile!$G$17:$G$22)*Kalender!C88/SUM(Kalender!$C$5:$C$370),0)+IFERROR(SUMIF(Nutzungsprofile!$B$17:$B$22,"Halle",Nutzungsprofile!$G$17:$G$22)*Kalender!D88/SUM(Kalender!$D$5:$D$370),0)+IFERROR(SUMIF(Nutzungsprofile!$B$17:$B$22,"Individuell",Nutzungsprofile!$G$17:$G$22)*Kalender!E88/SUM(Kalender!$E$5:$E$370),0))*Szenarien!$D$19,0)</f>
        <v>5.928</v>
      </c>
      <c r="E3016" s="13" t="n">
        <f aca="false">IFERROR(MIN(C3016,Eingaben!$B$17)*Eingaben!$B$16,0)</f>
        <v>2.793</v>
      </c>
      <c r="F3016" s="13" t="n">
        <f aca="false">IFERROR(E3016*Eingaben!$B$15,0)</f>
        <v>2.5137</v>
      </c>
      <c r="G3016" s="13" t="n">
        <f aca="false">IFERROR(IF(Kalender!A88="",0,J3015*(1-Eingaben!$B$20)),0)</f>
        <v>0.7390278</v>
      </c>
      <c r="H3016" s="13" t="n">
        <f aca="false">MIN(G3016,D3016)</f>
        <v>0.7390278</v>
      </c>
      <c r="I3016" s="13" t="n">
        <f aca="false">IFERROR(MIN(F3016*Eingaben!$B$19,MAX(0,D3016-H3016)),0)</f>
        <v>1.75959</v>
      </c>
      <c r="J3016" s="13" t="n">
        <f aca="false">IFERROR(MIN(Eingaben!$B$18,MAX(0,F3016-I3016)),0)</f>
        <v>0.75411</v>
      </c>
      <c r="K3016" s="13" t="n">
        <f aca="false">H3016+I3016</f>
        <v>2.4986178</v>
      </c>
      <c r="L3016" s="13" t="n">
        <f aca="false">MAX(0,D3016-K3016)</f>
        <v>3.4293822</v>
      </c>
      <c r="M3016" s="13" t="n">
        <f aca="false">MAX(0,F3016-I3016-J3016)</f>
        <v>0</v>
      </c>
      <c r="N3016" s="13" t="n">
        <f aca="false">IF(Kalender!A88="",0,J3015-H3016)</f>
        <v>0.0150822</v>
      </c>
    </row>
    <row r="3017" customFormat="false" ht="16.4" hidden="false" customHeight="false" outlineLevel="0" collapsed="false">
      <c r="A3017" s="13" t="str">
        <f aca="false">""</f>
        <v/>
      </c>
      <c r="B3017" s="13" t="n">
        <f aca="false">85</f>
        <v>85</v>
      </c>
      <c r="C3017" s="13" t="n">
        <f aca="false">IF(Szenarien!$H$19="OK",(IFERROR(SUMIF(Nutzungsprofile!$B$6:$B$11,"Schulbetrieb",Nutzungsprofile!$G$6:$G$11)*Kalender!C89/SUM(Kalender!$C$5:$C$370),0)+IFERROR(SUMIF(Nutzungsprofile!$B$6:$B$11,"Halle",Nutzungsprofile!$G$6:$G$11)*Kalender!D89/SUM(Kalender!$D$5:$D$370),0)+IFERROR(SUMIF(Nutzungsprofile!$B$6:$B$11,"Individuell",Nutzungsprofile!$G$6:$G$11)*Kalender!E89/SUM(Kalender!$E$5:$E$370),0))*Szenarien!$E$19,0)</f>
        <v>2.94</v>
      </c>
      <c r="D3017" s="13" t="n">
        <f aca="false">IF(Szenarien!$H$19="OK",(IFERROR(SUMIF(Nutzungsprofile!$B$17:$B$22,"Schulbetrieb",Nutzungsprofile!$G$17:$G$22)*Kalender!C89/SUM(Kalender!$C$5:$C$370),0)+IFERROR(SUMIF(Nutzungsprofile!$B$17:$B$22,"Halle",Nutzungsprofile!$G$17:$G$22)*Kalender!D89/SUM(Kalender!$D$5:$D$370),0)+IFERROR(SUMIF(Nutzungsprofile!$B$17:$B$22,"Individuell",Nutzungsprofile!$G$17:$G$22)*Kalender!E89/SUM(Kalender!$E$5:$E$370),0))*Szenarien!$D$19,0)</f>
        <v>5.928</v>
      </c>
      <c r="E3017" s="13" t="n">
        <f aca="false">IFERROR(MIN(C3017,Eingaben!$B$17)*Eingaben!$B$16,0)</f>
        <v>2.793</v>
      </c>
      <c r="F3017" s="13" t="n">
        <f aca="false">IFERROR(E3017*Eingaben!$B$15,0)</f>
        <v>2.5137</v>
      </c>
      <c r="G3017" s="13" t="n">
        <f aca="false">IFERROR(IF(Kalender!A89="",0,J3016*(1-Eingaben!$B$20)),0)</f>
        <v>0.7390278</v>
      </c>
      <c r="H3017" s="13" t="n">
        <f aca="false">MIN(G3017,D3017)</f>
        <v>0.7390278</v>
      </c>
      <c r="I3017" s="13" t="n">
        <f aca="false">IFERROR(MIN(F3017*Eingaben!$B$19,MAX(0,D3017-H3017)),0)</f>
        <v>1.75959</v>
      </c>
      <c r="J3017" s="13" t="n">
        <f aca="false">IFERROR(MIN(Eingaben!$B$18,MAX(0,F3017-I3017)),0)</f>
        <v>0.75411</v>
      </c>
      <c r="K3017" s="13" t="n">
        <f aca="false">H3017+I3017</f>
        <v>2.4986178</v>
      </c>
      <c r="L3017" s="13" t="n">
        <f aca="false">MAX(0,D3017-K3017)</f>
        <v>3.4293822</v>
      </c>
      <c r="M3017" s="13" t="n">
        <f aca="false">MAX(0,F3017-I3017-J3017)</f>
        <v>0</v>
      </c>
      <c r="N3017" s="13" t="n">
        <f aca="false">IF(Kalender!A89="",0,J3016-H3017)</f>
        <v>0.0150822</v>
      </c>
    </row>
    <row r="3018" customFormat="false" ht="16.4" hidden="false" customHeight="false" outlineLevel="0" collapsed="false">
      <c r="A3018" s="13" t="str">
        <f aca="false">""</f>
        <v/>
      </c>
      <c r="B3018" s="13" t="n">
        <f aca="false">86</f>
        <v>86</v>
      </c>
      <c r="C3018" s="13" t="n">
        <f aca="false">IF(Szenarien!$H$19="OK",(IFERROR(SUMIF(Nutzungsprofile!$B$6:$B$11,"Schulbetrieb",Nutzungsprofile!$G$6:$G$11)*Kalender!C90/SUM(Kalender!$C$5:$C$370),0)+IFERROR(SUMIF(Nutzungsprofile!$B$6:$B$11,"Halle",Nutzungsprofile!$G$6:$G$11)*Kalender!D90/SUM(Kalender!$D$5:$D$370),0)+IFERROR(SUMIF(Nutzungsprofile!$B$6:$B$11,"Individuell",Nutzungsprofile!$G$6:$G$11)*Kalender!E90/SUM(Kalender!$E$5:$E$370),0))*Szenarien!$E$19,0)</f>
        <v>2.94</v>
      </c>
      <c r="D3018" s="13" t="n">
        <f aca="false">IF(Szenarien!$H$19="OK",(IFERROR(SUMIF(Nutzungsprofile!$B$17:$B$22,"Schulbetrieb",Nutzungsprofile!$G$17:$G$22)*Kalender!C90/SUM(Kalender!$C$5:$C$370),0)+IFERROR(SUMIF(Nutzungsprofile!$B$17:$B$22,"Halle",Nutzungsprofile!$G$17:$G$22)*Kalender!D90/SUM(Kalender!$D$5:$D$370),0)+IFERROR(SUMIF(Nutzungsprofile!$B$17:$B$22,"Individuell",Nutzungsprofile!$G$17:$G$22)*Kalender!E90/SUM(Kalender!$E$5:$E$370),0))*Szenarien!$D$19,0)</f>
        <v>5.928</v>
      </c>
      <c r="E3018" s="13" t="n">
        <f aca="false">IFERROR(MIN(C3018,Eingaben!$B$17)*Eingaben!$B$16,0)</f>
        <v>2.793</v>
      </c>
      <c r="F3018" s="13" t="n">
        <f aca="false">IFERROR(E3018*Eingaben!$B$15,0)</f>
        <v>2.5137</v>
      </c>
      <c r="G3018" s="13" t="n">
        <f aca="false">IFERROR(IF(Kalender!A90="",0,J3017*(1-Eingaben!$B$20)),0)</f>
        <v>0.7390278</v>
      </c>
      <c r="H3018" s="13" t="n">
        <f aca="false">MIN(G3018,D3018)</f>
        <v>0.7390278</v>
      </c>
      <c r="I3018" s="13" t="n">
        <f aca="false">IFERROR(MIN(F3018*Eingaben!$B$19,MAX(0,D3018-H3018)),0)</f>
        <v>1.75959</v>
      </c>
      <c r="J3018" s="13" t="n">
        <f aca="false">IFERROR(MIN(Eingaben!$B$18,MAX(0,F3018-I3018)),0)</f>
        <v>0.75411</v>
      </c>
      <c r="K3018" s="13" t="n">
        <f aca="false">H3018+I3018</f>
        <v>2.4986178</v>
      </c>
      <c r="L3018" s="13" t="n">
        <f aca="false">MAX(0,D3018-K3018)</f>
        <v>3.4293822</v>
      </c>
      <c r="M3018" s="13" t="n">
        <f aca="false">MAX(0,F3018-I3018-J3018)</f>
        <v>0</v>
      </c>
      <c r="N3018" s="13" t="n">
        <f aca="false">IF(Kalender!A90="",0,J3017-H3018)</f>
        <v>0.0150822</v>
      </c>
    </row>
    <row r="3019" customFormat="false" ht="16.4" hidden="false" customHeight="false" outlineLevel="0" collapsed="false">
      <c r="A3019" s="13" t="str">
        <f aca="false">""</f>
        <v/>
      </c>
      <c r="B3019" s="13" t="n">
        <f aca="false">87</f>
        <v>87</v>
      </c>
      <c r="C3019" s="13" t="n">
        <f aca="false">IF(Szenarien!$H$19="OK",(IFERROR(SUMIF(Nutzungsprofile!$B$6:$B$11,"Schulbetrieb",Nutzungsprofile!$G$6:$G$11)*Kalender!C91/SUM(Kalender!$C$5:$C$370),0)+IFERROR(SUMIF(Nutzungsprofile!$B$6:$B$11,"Halle",Nutzungsprofile!$G$6:$G$11)*Kalender!D91/SUM(Kalender!$D$5:$D$370),0)+IFERROR(SUMIF(Nutzungsprofile!$B$6:$B$11,"Individuell",Nutzungsprofile!$G$6:$G$11)*Kalender!E91/SUM(Kalender!$E$5:$E$370),0))*Szenarien!$E$19,0)</f>
        <v>2.04</v>
      </c>
      <c r="D3019" s="13" t="n">
        <f aca="false">IF(Szenarien!$H$19="OK",(IFERROR(SUMIF(Nutzungsprofile!$B$17:$B$22,"Schulbetrieb",Nutzungsprofile!$G$17:$G$22)*Kalender!C91/SUM(Kalender!$C$5:$C$370),0)+IFERROR(SUMIF(Nutzungsprofile!$B$17:$B$22,"Halle",Nutzungsprofile!$G$17:$G$22)*Kalender!D91/SUM(Kalender!$D$5:$D$370),0)+IFERROR(SUMIF(Nutzungsprofile!$B$17:$B$22,"Individuell",Nutzungsprofile!$G$17:$G$22)*Kalender!E91/SUM(Kalender!$E$5:$E$370),0))*Szenarien!$D$19,0)</f>
        <v>1.068</v>
      </c>
      <c r="E3019" s="13" t="n">
        <f aca="false">IFERROR(MIN(C3019,Eingaben!$B$17)*Eingaben!$B$16,0)</f>
        <v>1.938</v>
      </c>
      <c r="F3019" s="13" t="n">
        <f aca="false">IFERROR(E3019*Eingaben!$B$15,0)</f>
        <v>1.7442</v>
      </c>
      <c r="G3019" s="13" t="n">
        <f aca="false">IFERROR(IF(Kalender!A91="",0,J3018*(1-Eingaben!$B$20)),0)</f>
        <v>0.7390278</v>
      </c>
      <c r="H3019" s="13" t="n">
        <f aca="false">MIN(G3019,D3019)</f>
        <v>0.7390278</v>
      </c>
      <c r="I3019" s="13" t="n">
        <f aca="false">IFERROR(MIN(F3019*Eingaben!$B$19,MAX(0,D3019-H3019)),0)</f>
        <v>0.3289722</v>
      </c>
      <c r="J3019" s="13" t="n">
        <f aca="false">IFERROR(MIN(Eingaben!$B$18,MAX(0,F3019-I3019)),0)</f>
        <v>1.4152278</v>
      </c>
      <c r="K3019" s="13" t="n">
        <f aca="false">H3019+I3019</f>
        <v>1.068</v>
      </c>
      <c r="L3019" s="13" t="n">
        <f aca="false">MAX(0,D3019-K3019)</f>
        <v>0</v>
      </c>
      <c r="M3019" s="13" t="n">
        <f aca="false">MAX(0,F3019-I3019-J3019)</f>
        <v>0</v>
      </c>
      <c r="N3019" s="13" t="n">
        <f aca="false">IF(Kalender!A91="",0,J3018-H3019)</f>
        <v>0.0150822</v>
      </c>
    </row>
    <row r="3020" customFormat="false" ht="16.4" hidden="false" customHeight="false" outlineLevel="0" collapsed="false">
      <c r="A3020" s="13" t="str">
        <f aca="false">""</f>
        <v/>
      </c>
      <c r="B3020" s="13" t="n">
        <f aca="false">88</f>
        <v>88</v>
      </c>
      <c r="C3020" s="13" t="n">
        <f aca="false">IF(Szenarien!$H$19="OK",(IFERROR(SUMIF(Nutzungsprofile!$B$6:$B$11,"Schulbetrieb",Nutzungsprofile!$G$6:$G$11)*Kalender!C92/SUM(Kalender!$C$5:$C$370),0)+IFERROR(SUMIF(Nutzungsprofile!$B$6:$B$11,"Halle",Nutzungsprofile!$G$6:$G$11)*Kalender!D92/SUM(Kalender!$D$5:$D$370),0)+IFERROR(SUMIF(Nutzungsprofile!$B$6:$B$11,"Individuell",Nutzungsprofile!$G$6:$G$11)*Kalender!E92/SUM(Kalender!$E$5:$E$370),0))*Szenarien!$E$19,0)</f>
        <v>2.04</v>
      </c>
      <c r="D3020" s="13" t="n">
        <f aca="false">IF(Szenarien!$H$19="OK",(IFERROR(SUMIF(Nutzungsprofile!$B$17:$B$22,"Schulbetrieb",Nutzungsprofile!$G$17:$G$22)*Kalender!C92/SUM(Kalender!$C$5:$C$370),0)+IFERROR(SUMIF(Nutzungsprofile!$B$17:$B$22,"Halle",Nutzungsprofile!$G$17:$G$22)*Kalender!D92/SUM(Kalender!$D$5:$D$370),0)+IFERROR(SUMIF(Nutzungsprofile!$B$17:$B$22,"Individuell",Nutzungsprofile!$G$17:$G$22)*Kalender!E92/SUM(Kalender!$E$5:$E$370),0))*Szenarien!$D$19,0)</f>
        <v>1.068</v>
      </c>
      <c r="E3020" s="13" t="n">
        <f aca="false">IFERROR(MIN(C3020,Eingaben!$B$17)*Eingaben!$B$16,0)</f>
        <v>1.938</v>
      </c>
      <c r="F3020" s="13" t="n">
        <f aca="false">IFERROR(E3020*Eingaben!$B$15,0)</f>
        <v>1.7442</v>
      </c>
      <c r="G3020" s="13" t="n">
        <f aca="false">IFERROR(IF(Kalender!A92="",0,J3019*(1-Eingaben!$B$20)),0)</f>
        <v>1.386923244</v>
      </c>
      <c r="H3020" s="13" t="n">
        <f aca="false">MIN(G3020,D3020)</f>
        <v>1.068</v>
      </c>
      <c r="I3020" s="13" t="n">
        <f aca="false">IFERROR(MIN(F3020*Eingaben!$B$19,MAX(0,D3020-H3020)),0)</f>
        <v>0</v>
      </c>
      <c r="J3020" s="13" t="n">
        <f aca="false">IFERROR(MIN(Eingaben!$B$18,MAX(0,F3020-I3020)),0)</f>
        <v>1.7442</v>
      </c>
      <c r="K3020" s="13" t="n">
        <f aca="false">H3020+I3020</f>
        <v>1.068</v>
      </c>
      <c r="L3020" s="13" t="n">
        <f aca="false">MAX(0,D3020-K3020)</f>
        <v>0</v>
      </c>
      <c r="M3020" s="13" t="n">
        <f aca="false">MAX(0,F3020-I3020-J3020)</f>
        <v>0</v>
      </c>
      <c r="N3020" s="13" t="n">
        <f aca="false">IF(Kalender!A92="",0,J3019-H3020)</f>
        <v>0.3472278</v>
      </c>
    </row>
    <row r="3021" customFormat="false" ht="16.4" hidden="false" customHeight="false" outlineLevel="0" collapsed="false">
      <c r="A3021" s="13" t="str">
        <f aca="false">""</f>
        <v/>
      </c>
      <c r="B3021" s="13" t="n">
        <f aca="false">89</f>
        <v>89</v>
      </c>
      <c r="C3021" s="13" t="n">
        <f aca="false">IF(Szenarien!$H$19="OK",(IFERROR(SUMIF(Nutzungsprofile!$B$6:$B$11,"Schulbetrieb",Nutzungsprofile!$G$6:$G$11)*Kalender!C93/SUM(Kalender!$C$5:$C$370),0)+IFERROR(SUMIF(Nutzungsprofile!$B$6:$B$11,"Halle",Nutzungsprofile!$G$6:$G$11)*Kalender!D93/SUM(Kalender!$D$5:$D$370),0)+IFERROR(SUMIF(Nutzungsprofile!$B$6:$B$11,"Individuell",Nutzungsprofile!$G$6:$G$11)*Kalender!E93/SUM(Kalender!$E$5:$E$370),0))*Szenarien!$E$19,0)</f>
        <v>2.94</v>
      </c>
      <c r="D3021" s="13" t="n">
        <f aca="false">IF(Szenarien!$H$19="OK",(IFERROR(SUMIF(Nutzungsprofile!$B$17:$B$22,"Schulbetrieb",Nutzungsprofile!$G$17:$G$22)*Kalender!C93/SUM(Kalender!$C$5:$C$370),0)+IFERROR(SUMIF(Nutzungsprofile!$B$17:$B$22,"Halle",Nutzungsprofile!$G$17:$G$22)*Kalender!D93/SUM(Kalender!$D$5:$D$370),0)+IFERROR(SUMIF(Nutzungsprofile!$B$17:$B$22,"Individuell",Nutzungsprofile!$G$17:$G$22)*Kalender!E93/SUM(Kalender!$E$5:$E$370),0))*Szenarien!$D$19,0)</f>
        <v>5.928</v>
      </c>
      <c r="E3021" s="13" t="n">
        <f aca="false">IFERROR(MIN(C3021,Eingaben!$B$17)*Eingaben!$B$16,0)</f>
        <v>2.793</v>
      </c>
      <c r="F3021" s="13" t="n">
        <f aca="false">IFERROR(E3021*Eingaben!$B$15,0)</f>
        <v>2.5137</v>
      </c>
      <c r="G3021" s="13" t="n">
        <f aca="false">IFERROR(IF(Kalender!A93="",0,J3020*(1-Eingaben!$B$20)),0)</f>
        <v>1.709316</v>
      </c>
      <c r="H3021" s="13" t="n">
        <f aca="false">MIN(G3021,D3021)</f>
        <v>1.709316</v>
      </c>
      <c r="I3021" s="13" t="n">
        <f aca="false">IFERROR(MIN(F3021*Eingaben!$B$19,MAX(0,D3021-H3021)),0)</f>
        <v>1.75959</v>
      </c>
      <c r="J3021" s="13" t="n">
        <f aca="false">IFERROR(MIN(Eingaben!$B$18,MAX(0,F3021-I3021)),0)</f>
        <v>0.75411</v>
      </c>
      <c r="K3021" s="13" t="n">
        <f aca="false">H3021+I3021</f>
        <v>3.468906</v>
      </c>
      <c r="L3021" s="13" t="n">
        <f aca="false">MAX(0,D3021-K3021)</f>
        <v>2.459094</v>
      </c>
      <c r="M3021" s="13" t="n">
        <f aca="false">MAX(0,F3021-I3021-J3021)</f>
        <v>0</v>
      </c>
      <c r="N3021" s="13" t="n">
        <f aca="false">IF(Kalender!A93="",0,J3020-H3021)</f>
        <v>0.0348840000000001</v>
      </c>
    </row>
    <row r="3022" customFormat="false" ht="16.4" hidden="false" customHeight="false" outlineLevel="0" collapsed="false">
      <c r="A3022" s="13" t="str">
        <f aca="false">""</f>
        <v/>
      </c>
      <c r="B3022" s="13" t="n">
        <f aca="false">90</f>
        <v>90</v>
      </c>
      <c r="C3022" s="13" t="n">
        <f aca="false">IF(Szenarien!$H$19="OK",(IFERROR(SUMIF(Nutzungsprofile!$B$6:$B$11,"Schulbetrieb",Nutzungsprofile!$G$6:$G$11)*Kalender!C94/SUM(Kalender!$C$5:$C$370),0)+IFERROR(SUMIF(Nutzungsprofile!$B$6:$B$11,"Halle",Nutzungsprofile!$G$6:$G$11)*Kalender!D94/SUM(Kalender!$D$5:$D$370),0)+IFERROR(SUMIF(Nutzungsprofile!$B$6:$B$11,"Individuell",Nutzungsprofile!$G$6:$G$11)*Kalender!E94/SUM(Kalender!$E$5:$E$370),0))*Szenarien!$E$19,0)</f>
        <v>2.94</v>
      </c>
      <c r="D3022" s="13" t="n">
        <f aca="false">IF(Szenarien!$H$19="OK",(IFERROR(SUMIF(Nutzungsprofile!$B$17:$B$22,"Schulbetrieb",Nutzungsprofile!$G$17:$G$22)*Kalender!C94/SUM(Kalender!$C$5:$C$370),0)+IFERROR(SUMIF(Nutzungsprofile!$B$17:$B$22,"Halle",Nutzungsprofile!$G$17:$G$22)*Kalender!D94/SUM(Kalender!$D$5:$D$370),0)+IFERROR(SUMIF(Nutzungsprofile!$B$17:$B$22,"Individuell",Nutzungsprofile!$G$17:$G$22)*Kalender!E94/SUM(Kalender!$E$5:$E$370),0))*Szenarien!$D$19,0)</f>
        <v>5.928</v>
      </c>
      <c r="E3022" s="13" t="n">
        <f aca="false">IFERROR(MIN(C3022,Eingaben!$B$17)*Eingaben!$B$16,0)</f>
        <v>2.793</v>
      </c>
      <c r="F3022" s="13" t="n">
        <f aca="false">IFERROR(E3022*Eingaben!$B$15,0)</f>
        <v>2.5137</v>
      </c>
      <c r="G3022" s="13" t="n">
        <f aca="false">IFERROR(IF(Kalender!A94="",0,J3021*(1-Eingaben!$B$20)),0)</f>
        <v>0.7390278</v>
      </c>
      <c r="H3022" s="13" t="n">
        <f aca="false">MIN(G3022,D3022)</f>
        <v>0.7390278</v>
      </c>
      <c r="I3022" s="13" t="n">
        <f aca="false">IFERROR(MIN(F3022*Eingaben!$B$19,MAX(0,D3022-H3022)),0)</f>
        <v>1.75959</v>
      </c>
      <c r="J3022" s="13" t="n">
        <f aca="false">IFERROR(MIN(Eingaben!$B$18,MAX(0,F3022-I3022)),0)</f>
        <v>0.75411</v>
      </c>
      <c r="K3022" s="13" t="n">
        <f aca="false">H3022+I3022</f>
        <v>2.4986178</v>
      </c>
      <c r="L3022" s="13" t="n">
        <f aca="false">MAX(0,D3022-K3022)</f>
        <v>3.4293822</v>
      </c>
      <c r="M3022" s="13" t="n">
        <f aca="false">MAX(0,F3022-I3022-J3022)</f>
        <v>0</v>
      </c>
      <c r="N3022" s="13" t="n">
        <f aca="false">IF(Kalender!A94="",0,J3021-H3022)</f>
        <v>0.0150822</v>
      </c>
    </row>
    <row r="3023" customFormat="false" ht="16.4" hidden="false" customHeight="false" outlineLevel="0" collapsed="false">
      <c r="A3023" s="13" t="str">
        <f aca="false">""</f>
        <v/>
      </c>
      <c r="B3023" s="13" t="n">
        <f aca="false">91</f>
        <v>91</v>
      </c>
      <c r="C3023" s="13" t="n">
        <f aca="false">IF(Szenarien!$H$19="OK",(IFERROR(SUMIF(Nutzungsprofile!$B$6:$B$11,"Schulbetrieb",Nutzungsprofile!$G$6:$G$11)*Kalender!C95/SUM(Kalender!$C$5:$C$370),0)+IFERROR(SUMIF(Nutzungsprofile!$B$6:$B$11,"Halle",Nutzungsprofile!$G$6:$G$11)*Kalender!D95/SUM(Kalender!$D$5:$D$370),0)+IFERROR(SUMIF(Nutzungsprofile!$B$6:$B$11,"Individuell",Nutzungsprofile!$G$6:$G$11)*Kalender!E95/SUM(Kalender!$E$5:$E$370),0))*Szenarien!$E$19,0)</f>
        <v>2.94</v>
      </c>
      <c r="D3023" s="13" t="n">
        <f aca="false">IF(Szenarien!$H$19="OK",(IFERROR(SUMIF(Nutzungsprofile!$B$17:$B$22,"Schulbetrieb",Nutzungsprofile!$G$17:$G$22)*Kalender!C95/SUM(Kalender!$C$5:$C$370),0)+IFERROR(SUMIF(Nutzungsprofile!$B$17:$B$22,"Halle",Nutzungsprofile!$G$17:$G$22)*Kalender!D95/SUM(Kalender!$D$5:$D$370),0)+IFERROR(SUMIF(Nutzungsprofile!$B$17:$B$22,"Individuell",Nutzungsprofile!$G$17:$G$22)*Kalender!E95/SUM(Kalender!$E$5:$E$370),0))*Szenarien!$D$19,0)</f>
        <v>5.928</v>
      </c>
      <c r="E3023" s="13" t="n">
        <f aca="false">IFERROR(MIN(C3023,Eingaben!$B$17)*Eingaben!$B$16,0)</f>
        <v>2.793</v>
      </c>
      <c r="F3023" s="13" t="n">
        <f aca="false">IFERROR(E3023*Eingaben!$B$15,0)</f>
        <v>2.5137</v>
      </c>
      <c r="G3023" s="13" t="n">
        <f aca="false">IFERROR(IF(Kalender!A95="",0,J3022*(1-Eingaben!$B$20)),0)</f>
        <v>0.7390278</v>
      </c>
      <c r="H3023" s="13" t="n">
        <f aca="false">MIN(G3023,D3023)</f>
        <v>0.7390278</v>
      </c>
      <c r="I3023" s="13" t="n">
        <f aca="false">IFERROR(MIN(F3023*Eingaben!$B$19,MAX(0,D3023-H3023)),0)</f>
        <v>1.75959</v>
      </c>
      <c r="J3023" s="13" t="n">
        <f aca="false">IFERROR(MIN(Eingaben!$B$18,MAX(0,F3023-I3023)),0)</f>
        <v>0.75411</v>
      </c>
      <c r="K3023" s="13" t="n">
        <f aca="false">H3023+I3023</f>
        <v>2.4986178</v>
      </c>
      <c r="L3023" s="13" t="n">
        <f aca="false">MAX(0,D3023-K3023)</f>
        <v>3.4293822</v>
      </c>
      <c r="M3023" s="13" t="n">
        <f aca="false">MAX(0,F3023-I3023-J3023)</f>
        <v>0</v>
      </c>
      <c r="N3023" s="13" t="n">
        <f aca="false">IF(Kalender!A95="",0,J3022-H3023)</f>
        <v>0.0150822</v>
      </c>
    </row>
    <row r="3024" customFormat="false" ht="16.4" hidden="false" customHeight="false" outlineLevel="0" collapsed="false">
      <c r="A3024" s="13" t="str">
        <f aca="false">""</f>
        <v/>
      </c>
      <c r="B3024" s="13" t="n">
        <f aca="false">92</f>
        <v>92</v>
      </c>
      <c r="C3024" s="13" t="n">
        <f aca="false">IF(Szenarien!$H$19="OK",(IFERROR(SUMIF(Nutzungsprofile!$B$6:$B$11,"Schulbetrieb",Nutzungsprofile!$G$6:$G$11)*Kalender!C96/SUM(Kalender!$C$5:$C$370),0)+IFERROR(SUMIF(Nutzungsprofile!$B$6:$B$11,"Halle",Nutzungsprofile!$G$6:$G$11)*Kalender!D96/SUM(Kalender!$D$5:$D$370),0)+IFERROR(SUMIF(Nutzungsprofile!$B$6:$B$11,"Individuell",Nutzungsprofile!$G$6:$G$11)*Kalender!E96/SUM(Kalender!$E$5:$E$370),0))*Szenarien!$E$19,0)</f>
        <v>2.94</v>
      </c>
      <c r="D3024" s="13" t="n">
        <f aca="false">IF(Szenarien!$H$19="OK",(IFERROR(SUMIF(Nutzungsprofile!$B$17:$B$22,"Schulbetrieb",Nutzungsprofile!$G$17:$G$22)*Kalender!C96/SUM(Kalender!$C$5:$C$370),0)+IFERROR(SUMIF(Nutzungsprofile!$B$17:$B$22,"Halle",Nutzungsprofile!$G$17:$G$22)*Kalender!D96/SUM(Kalender!$D$5:$D$370),0)+IFERROR(SUMIF(Nutzungsprofile!$B$17:$B$22,"Individuell",Nutzungsprofile!$G$17:$G$22)*Kalender!E96/SUM(Kalender!$E$5:$E$370),0))*Szenarien!$D$19,0)</f>
        <v>5.928</v>
      </c>
      <c r="E3024" s="13" t="n">
        <f aca="false">IFERROR(MIN(C3024,Eingaben!$B$17)*Eingaben!$B$16,0)</f>
        <v>2.793</v>
      </c>
      <c r="F3024" s="13" t="n">
        <f aca="false">IFERROR(E3024*Eingaben!$B$15,0)</f>
        <v>2.5137</v>
      </c>
      <c r="G3024" s="13" t="n">
        <f aca="false">IFERROR(IF(Kalender!A96="",0,J3023*(1-Eingaben!$B$20)),0)</f>
        <v>0.7390278</v>
      </c>
      <c r="H3024" s="13" t="n">
        <f aca="false">MIN(G3024,D3024)</f>
        <v>0.7390278</v>
      </c>
      <c r="I3024" s="13" t="n">
        <f aca="false">IFERROR(MIN(F3024*Eingaben!$B$19,MAX(0,D3024-H3024)),0)</f>
        <v>1.75959</v>
      </c>
      <c r="J3024" s="13" t="n">
        <f aca="false">IFERROR(MIN(Eingaben!$B$18,MAX(0,F3024-I3024)),0)</f>
        <v>0.75411</v>
      </c>
      <c r="K3024" s="13" t="n">
        <f aca="false">H3024+I3024</f>
        <v>2.4986178</v>
      </c>
      <c r="L3024" s="13" t="n">
        <f aca="false">MAX(0,D3024-K3024)</f>
        <v>3.4293822</v>
      </c>
      <c r="M3024" s="13" t="n">
        <f aca="false">MAX(0,F3024-I3024-J3024)</f>
        <v>0</v>
      </c>
      <c r="N3024" s="13" t="n">
        <f aca="false">IF(Kalender!A96="",0,J3023-H3024)</f>
        <v>0.0150822</v>
      </c>
    </row>
    <row r="3025" customFormat="false" ht="16.4" hidden="false" customHeight="false" outlineLevel="0" collapsed="false">
      <c r="A3025" s="13" t="str">
        <f aca="false">""</f>
        <v/>
      </c>
      <c r="B3025" s="13" t="n">
        <f aca="false">93</f>
        <v>93</v>
      </c>
      <c r="C3025" s="13" t="n">
        <f aca="false">IF(Szenarien!$H$19="OK",(IFERROR(SUMIF(Nutzungsprofile!$B$6:$B$11,"Schulbetrieb",Nutzungsprofile!$G$6:$G$11)*Kalender!C97/SUM(Kalender!$C$5:$C$370),0)+IFERROR(SUMIF(Nutzungsprofile!$B$6:$B$11,"Halle",Nutzungsprofile!$G$6:$G$11)*Kalender!D97/SUM(Kalender!$D$5:$D$370),0)+IFERROR(SUMIF(Nutzungsprofile!$B$6:$B$11,"Individuell",Nutzungsprofile!$G$6:$G$11)*Kalender!E97/SUM(Kalender!$E$5:$E$370),0))*Szenarien!$E$19,0)</f>
        <v>2.94</v>
      </c>
      <c r="D3025" s="13" t="n">
        <f aca="false">IF(Szenarien!$H$19="OK",(IFERROR(SUMIF(Nutzungsprofile!$B$17:$B$22,"Schulbetrieb",Nutzungsprofile!$G$17:$G$22)*Kalender!C97/SUM(Kalender!$C$5:$C$370),0)+IFERROR(SUMIF(Nutzungsprofile!$B$17:$B$22,"Halle",Nutzungsprofile!$G$17:$G$22)*Kalender!D97/SUM(Kalender!$D$5:$D$370),0)+IFERROR(SUMIF(Nutzungsprofile!$B$17:$B$22,"Individuell",Nutzungsprofile!$G$17:$G$22)*Kalender!E97/SUM(Kalender!$E$5:$E$370),0))*Szenarien!$D$19,0)</f>
        <v>5.928</v>
      </c>
      <c r="E3025" s="13" t="n">
        <f aca="false">IFERROR(MIN(C3025,Eingaben!$B$17)*Eingaben!$B$16,0)</f>
        <v>2.793</v>
      </c>
      <c r="F3025" s="13" t="n">
        <f aca="false">IFERROR(E3025*Eingaben!$B$15,0)</f>
        <v>2.5137</v>
      </c>
      <c r="G3025" s="13" t="n">
        <f aca="false">IFERROR(IF(Kalender!A97="",0,J3024*(1-Eingaben!$B$20)),0)</f>
        <v>0.7390278</v>
      </c>
      <c r="H3025" s="13" t="n">
        <f aca="false">MIN(G3025,D3025)</f>
        <v>0.7390278</v>
      </c>
      <c r="I3025" s="13" t="n">
        <f aca="false">IFERROR(MIN(F3025*Eingaben!$B$19,MAX(0,D3025-H3025)),0)</f>
        <v>1.75959</v>
      </c>
      <c r="J3025" s="13" t="n">
        <f aca="false">IFERROR(MIN(Eingaben!$B$18,MAX(0,F3025-I3025)),0)</f>
        <v>0.75411</v>
      </c>
      <c r="K3025" s="13" t="n">
        <f aca="false">H3025+I3025</f>
        <v>2.4986178</v>
      </c>
      <c r="L3025" s="13" t="n">
        <f aca="false">MAX(0,D3025-K3025)</f>
        <v>3.4293822</v>
      </c>
      <c r="M3025" s="13" t="n">
        <f aca="false">MAX(0,F3025-I3025-J3025)</f>
        <v>0</v>
      </c>
      <c r="N3025" s="13" t="n">
        <f aca="false">IF(Kalender!A97="",0,J3024-H3025)</f>
        <v>0.0150822</v>
      </c>
    </row>
    <row r="3026" customFormat="false" ht="16.4" hidden="false" customHeight="false" outlineLevel="0" collapsed="false">
      <c r="A3026" s="13" t="str">
        <f aca="false">""</f>
        <v/>
      </c>
      <c r="B3026" s="13" t="n">
        <f aca="false">94</f>
        <v>94</v>
      </c>
      <c r="C3026" s="13" t="n">
        <f aca="false">IF(Szenarien!$H$19="OK",(IFERROR(SUMIF(Nutzungsprofile!$B$6:$B$11,"Schulbetrieb",Nutzungsprofile!$G$6:$G$11)*Kalender!C98/SUM(Kalender!$C$5:$C$370),0)+IFERROR(SUMIF(Nutzungsprofile!$B$6:$B$11,"Halle",Nutzungsprofile!$G$6:$G$11)*Kalender!D98/SUM(Kalender!$D$5:$D$370),0)+IFERROR(SUMIF(Nutzungsprofile!$B$6:$B$11,"Individuell",Nutzungsprofile!$G$6:$G$11)*Kalender!E98/SUM(Kalender!$E$5:$E$370),0))*Szenarien!$E$19,0)</f>
        <v>2.04</v>
      </c>
      <c r="D3026" s="13" t="n">
        <f aca="false">IF(Szenarien!$H$19="OK",(IFERROR(SUMIF(Nutzungsprofile!$B$17:$B$22,"Schulbetrieb",Nutzungsprofile!$G$17:$G$22)*Kalender!C98/SUM(Kalender!$C$5:$C$370),0)+IFERROR(SUMIF(Nutzungsprofile!$B$17:$B$22,"Halle",Nutzungsprofile!$G$17:$G$22)*Kalender!D98/SUM(Kalender!$D$5:$D$370),0)+IFERROR(SUMIF(Nutzungsprofile!$B$17:$B$22,"Individuell",Nutzungsprofile!$G$17:$G$22)*Kalender!E98/SUM(Kalender!$E$5:$E$370),0))*Szenarien!$D$19,0)</f>
        <v>1.068</v>
      </c>
      <c r="E3026" s="13" t="n">
        <f aca="false">IFERROR(MIN(C3026,Eingaben!$B$17)*Eingaben!$B$16,0)</f>
        <v>1.938</v>
      </c>
      <c r="F3026" s="13" t="n">
        <f aca="false">IFERROR(E3026*Eingaben!$B$15,0)</f>
        <v>1.7442</v>
      </c>
      <c r="G3026" s="13" t="n">
        <f aca="false">IFERROR(IF(Kalender!A98="",0,J3025*(1-Eingaben!$B$20)),0)</f>
        <v>0.7390278</v>
      </c>
      <c r="H3026" s="13" t="n">
        <f aca="false">MIN(G3026,D3026)</f>
        <v>0.7390278</v>
      </c>
      <c r="I3026" s="13" t="n">
        <f aca="false">IFERROR(MIN(F3026*Eingaben!$B$19,MAX(0,D3026-H3026)),0)</f>
        <v>0.3289722</v>
      </c>
      <c r="J3026" s="13" t="n">
        <f aca="false">IFERROR(MIN(Eingaben!$B$18,MAX(0,F3026-I3026)),0)</f>
        <v>1.4152278</v>
      </c>
      <c r="K3026" s="13" t="n">
        <f aca="false">H3026+I3026</f>
        <v>1.068</v>
      </c>
      <c r="L3026" s="13" t="n">
        <f aca="false">MAX(0,D3026-K3026)</f>
        <v>0</v>
      </c>
      <c r="M3026" s="13" t="n">
        <f aca="false">MAX(0,F3026-I3026-J3026)</f>
        <v>0</v>
      </c>
      <c r="N3026" s="13" t="n">
        <f aca="false">IF(Kalender!A98="",0,J3025-H3026)</f>
        <v>0.0150822</v>
      </c>
    </row>
    <row r="3027" customFormat="false" ht="16.4" hidden="false" customHeight="false" outlineLevel="0" collapsed="false">
      <c r="A3027" s="13" t="str">
        <f aca="false">""</f>
        <v/>
      </c>
      <c r="B3027" s="13" t="n">
        <f aca="false">95</f>
        <v>95</v>
      </c>
      <c r="C3027" s="13" t="n">
        <f aca="false">IF(Szenarien!$H$19="OK",(IFERROR(SUMIF(Nutzungsprofile!$B$6:$B$11,"Schulbetrieb",Nutzungsprofile!$G$6:$G$11)*Kalender!C99/SUM(Kalender!$C$5:$C$370),0)+IFERROR(SUMIF(Nutzungsprofile!$B$6:$B$11,"Halle",Nutzungsprofile!$G$6:$G$11)*Kalender!D99/SUM(Kalender!$D$5:$D$370),0)+IFERROR(SUMIF(Nutzungsprofile!$B$6:$B$11,"Individuell",Nutzungsprofile!$G$6:$G$11)*Kalender!E99/SUM(Kalender!$E$5:$E$370),0))*Szenarien!$E$19,0)</f>
        <v>2.04</v>
      </c>
      <c r="D3027" s="13" t="n">
        <f aca="false">IF(Szenarien!$H$19="OK",(IFERROR(SUMIF(Nutzungsprofile!$B$17:$B$22,"Schulbetrieb",Nutzungsprofile!$G$17:$G$22)*Kalender!C99/SUM(Kalender!$C$5:$C$370),0)+IFERROR(SUMIF(Nutzungsprofile!$B$17:$B$22,"Halle",Nutzungsprofile!$G$17:$G$22)*Kalender!D99/SUM(Kalender!$D$5:$D$370),0)+IFERROR(SUMIF(Nutzungsprofile!$B$17:$B$22,"Individuell",Nutzungsprofile!$G$17:$G$22)*Kalender!E99/SUM(Kalender!$E$5:$E$370),0))*Szenarien!$D$19,0)</f>
        <v>1.068</v>
      </c>
      <c r="E3027" s="13" t="n">
        <f aca="false">IFERROR(MIN(C3027,Eingaben!$B$17)*Eingaben!$B$16,0)</f>
        <v>1.938</v>
      </c>
      <c r="F3027" s="13" t="n">
        <f aca="false">IFERROR(E3027*Eingaben!$B$15,0)</f>
        <v>1.7442</v>
      </c>
      <c r="G3027" s="13" t="n">
        <f aca="false">IFERROR(IF(Kalender!A99="",0,J3026*(1-Eingaben!$B$20)),0)</f>
        <v>1.386923244</v>
      </c>
      <c r="H3027" s="13" t="n">
        <f aca="false">MIN(G3027,D3027)</f>
        <v>1.068</v>
      </c>
      <c r="I3027" s="13" t="n">
        <f aca="false">IFERROR(MIN(F3027*Eingaben!$B$19,MAX(0,D3027-H3027)),0)</f>
        <v>0</v>
      </c>
      <c r="J3027" s="13" t="n">
        <f aca="false">IFERROR(MIN(Eingaben!$B$18,MAX(0,F3027-I3027)),0)</f>
        <v>1.7442</v>
      </c>
      <c r="K3027" s="13" t="n">
        <f aca="false">H3027+I3027</f>
        <v>1.068</v>
      </c>
      <c r="L3027" s="13" t="n">
        <f aca="false">MAX(0,D3027-K3027)</f>
        <v>0</v>
      </c>
      <c r="M3027" s="13" t="n">
        <f aca="false">MAX(0,F3027-I3027-J3027)</f>
        <v>0</v>
      </c>
      <c r="N3027" s="13" t="n">
        <f aca="false">IF(Kalender!A99="",0,J3026-H3027)</f>
        <v>0.3472278</v>
      </c>
    </row>
    <row r="3028" customFormat="false" ht="16.4" hidden="false" customHeight="false" outlineLevel="0" collapsed="false">
      <c r="A3028" s="13" t="str">
        <f aca="false">""</f>
        <v/>
      </c>
      <c r="B3028" s="13" t="n">
        <f aca="false">96</f>
        <v>96</v>
      </c>
      <c r="C3028" s="13" t="n">
        <f aca="false">IF(Szenarien!$H$19="OK",(IFERROR(SUMIF(Nutzungsprofile!$B$6:$B$11,"Schulbetrieb",Nutzungsprofile!$G$6:$G$11)*Kalender!C100/SUM(Kalender!$C$5:$C$370),0)+IFERROR(SUMIF(Nutzungsprofile!$B$6:$B$11,"Halle",Nutzungsprofile!$G$6:$G$11)*Kalender!D100/SUM(Kalender!$D$5:$D$370),0)+IFERROR(SUMIF(Nutzungsprofile!$B$6:$B$11,"Individuell",Nutzungsprofile!$G$6:$G$11)*Kalender!E100/SUM(Kalender!$E$5:$E$370),0))*Szenarien!$E$19,0)</f>
        <v>2.94</v>
      </c>
      <c r="D3028" s="13" t="n">
        <f aca="false">IF(Szenarien!$H$19="OK",(IFERROR(SUMIF(Nutzungsprofile!$B$17:$B$22,"Schulbetrieb",Nutzungsprofile!$G$17:$G$22)*Kalender!C100/SUM(Kalender!$C$5:$C$370),0)+IFERROR(SUMIF(Nutzungsprofile!$B$17:$B$22,"Halle",Nutzungsprofile!$G$17:$G$22)*Kalender!D100/SUM(Kalender!$D$5:$D$370),0)+IFERROR(SUMIF(Nutzungsprofile!$B$17:$B$22,"Individuell",Nutzungsprofile!$G$17:$G$22)*Kalender!E100/SUM(Kalender!$E$5:$E$370),0))*Szenarien!$D$19,0)</f>
        <v>5.928</v>
      </c>
      <c r="E3028" s="13" t="n">
        <f aca="false">IFERROR(MIN(C3028,Eingaben!$B$17)*Eingaben!$B$16,0)</f>
        <v>2.793</v>
      </c>
      <c r="F3028" s="13" t="n">
        <f aca="false">IFERROR(E3028*Eingaben!$B$15,0)</f>
        <v>2.5137</v>
      </c>
      <c r="G3028" s="13" t="n">
        <f aca="false">IFERROR(IF(Kalender!A100="",0,J3027*(1-Eingaben!$B$20)),0)</f>
        <v>1.709316</v>
      </c>
      <c r="H3028" s="13" t="n">
        <f aca="false">MIN(G3028,D3028)</f>
        <v>1.709316</v>
      </c>
      <c r="I3028" s="13" t="n">
        <f aca="false">IFERROR(MIN(F3028*Eingaben!$B$19,MAX(0,D3028-H3028)),0)</f>
        <v>1.75959</v>
      </c>
      <c r="J3028" s="13" t="n">
        <f aca="false">IFERROR(MIN(Eingaben!$B$18,MAX(0,F3028-I3028)),0)</f>
        <v>0.75411</v>
      </c>
      <c r="K3028" s="13" t="n">
        <f aca="false">H3028+I3028</f>
        <v>3.468906</v>
      </c>
      <c r="L3028" s="13" t="n">
        <f aca="false">MAX(0,D3028-K3028)</f>
        <v>2.459094</v>
      </c>
      <c r="M3028" s="13" t="n">
        <f aca="false">MAX(0,F3028-I3028-J3028)</f>
        <v>0</v>
      </c>
      <c r="N3028" s="13" t="n">
        <f aca="false">IF(Kalender!A100="",0,J3027-H3028)</f>
        <v>0.0348840000000001</v>
      </c>
    </row>
    <row r="3029" customFormat="false" ht="16.4" hidden="false" customHeight="false" outlineLevel="0" collapsed="false">
      <c r="A3029" s="13" t="str">
        <f aca="false">""</f>
        <v/>
      </c>
      <c r="B3029" s="13" t="n">
        <f aca="false">97</f>
        <v>97</v>
      </c>
      <c r="C3029" s="13" t="n">
        <f aca="false">IF(Szenarien!$H$19="OK",(IFERROR(SUMIF(Nutzungsprofile!$B$6:$B$11,"Schulbetrieb",Nutzungsprofile!$G$6:$G$11)*Kalender!C101/SUM(Kalender!$C$5:$C$370),0)+IFERROR(SUMIF(Nutzungsprofile!$B$6:$B$11,"Halle",Nutzungsprofile!$G$6:$G$11)*Kalender!D101/SUM(Kalender!$D$5:$D$370),0)+IFERROR(SUMIF(Nutzungsprofile!$B$6:$B$11,"Individuell",Nutzungsprofile!$G$6:$G$11)*Kalender!E101/SUM(Kalender!$E$5:$E$370),0))*Szenarien!$E$19,0)</f>
        <v>2.94</v>
      </c>
      <c r="D3029" s="13" t="n">
        <f aca="false">IF(Szenarien!$H$19="OK",(IFERROR(SUMIF(Nutzungsprofile!$B$17:$B$22,"Schulbetrieb",Nutzungsprofile!$G$17:$G$22)*Kalender!C101/SUM(Kalender!$C$5:$C$370),0)+IFERROR(SUMIF(Nutzungsprofile!$B$17:$B$22,"Halle",Nutzungsprofile!$G$17:$G$22)*Kalender!D101/SUM(Kalender!$D$5:$D$370),0)+IFERROR(SUMIF(Nutzungsprofile!$B$17:$B$22,"Individuell",Nutzungsprofile!$G$17:$G$22)*Kalender!E101/SUM(Kalender!$E$5:$E$370),0))*Szenarien!$D$19,0)</f>
        <v>5.928</v>
      </c>
      <c r="E3029" s="13" t="n">
        <f aca="false">IFERROR(MIN(C3029,Eingaben!$B$17)*Eingaben!$B$16,0)</f>
        <v>2.793</v>
      </c>
      <c r="F3029" s="13" t="n">
        <f aca="false">IFERROR(E3029*Eingaben!$B$15,0)</f>
        <v>2.5137</v>
      </c>
      <c r="G3029" s="13" t="n">
        <f aca="false">IFERROR(IF(Kalender!A101="",0,J3028*(1-Eingaben!$B$20)),0)</f>
        <v>0.7390278</v>
      </c>
      <c r="H3029" s="13" t="n">
        <f aca="false">MIN(G3029,D3029)</f>
        <v>0.7390278</v>
      </c>
      <c r="I3029" s="13" t="n">
        <f aca="false">IFERROR(MIN(F3029*Eingaben!$B$19,MAX(0,D3029-H3029)),0)</f>
        <v>1.75959</v>
      </c>
      <c r="J3029" s="13" t="n">
        <f aca="false">IFERROR(MIN(Eingaben!$B$18,MAX(0,F3029-I3029)),0)</f>
        <v>0.75411</v>
      </c>
      <c r="K3029" s="13" t="n">
        <f aca="false">H3029+I3029</f>
        <v>2.4986178</v>
      </c>
      <c r="L3029" s="13" t="n">
        <f aca="false">MAX(0,D3029-K3029)</f>
        <v>3.4293822</v>
      </c>
      <c r="M3029" s="13" t="n">
        <f aca="false">MAX(0,F3029-I3029-J3029)</f>
        <v>0</v>
      </c>
      <c r="N3029" s="13" t="n">
        <f aca="false">IF(Kalender!A101="",0,J3028-H3029)</f>
        <v>0.0150822</v>
      </c>
    </row>
    <row r="3030" customFormat="false" ht="16.4" hidden="false" customHeight="false" outlineLevel="0" collapsed="false">
      <c r="A3030" s="13" t="str">
        <f aca="false">""</f>
        <v/>
      </c>
      <c r="B3030" s="13" t="n">
        <f aca="false">98</f>
        <v>98</v>
      </c>
      <c r="C3030" s="13" t="n">
        <f aca="false">IF(Szenarien!$H$19="OK",(IFERROR(SUMIF(Nutzungsprofile!$B$6:$B$11,"Schulbetrieb",Nutzungsprofile!$G$6:$G$11)*Kalender!C102/SUM(Kalender!$C$5:$C$370),0)+IFERROR(SUMIF(Nutzungsprofile!$B$6:$B$11,"Halle",Nutzungsprofile!$G$6:$G$11)*Kalender!D102/SUM(Kalender!$D$5:$D$370),0)+IFERROR(SUMIF(Nutzungsprofile!$B$6:$B$11,"Individuell",Nutzungsprofile!$G$6:$G$11)*Kalender!E102/SUM(Kalender!$E$5:$E$370),0))*Szenarien!$E$19,0)</f>
        <v>2.94</v>
      </c>
      <c r="D3030" s="13" t="n">
        <f aca="false">IF(Szenarien!$H$19="OK",(IFERROR(SUMIF(Nutzungsprofile!$B$17:$B$22,"Schulbetrieb",Nutzungsprofile!$G$17:$G$22)*Kalender!C102/SUM(Kalender!$C$5:$C$370),0)+IFERROR(SUMIF(Nutzungsprofile!$B$17:$B$22,"Halle",Nutzungsprofile!$G$17:$G$22)*Kalender!D102/SUM(Kalender!$D$5:$D$370),0)+IFERROR(SUMIF(Nutzungsprofile!$B$17:$B$22,"Individuell",Nutzungsprofile!$G$17:$G$22)*Kalender!E102/SUM(Kalender!$E$5:$E$370),0))*Szenarien!$D$19,0)</f>
        <v>5.928</v>
      </c>
      <c r="E3030" s="13" t="n">
        <f aca="false">IFERROR(MIN(C3030,Eingaben!$B$17)*Eingaben!$B$16,0)</f>
        <v>2.793</v>
      </c>
      <c r="F3030" s="13" t="n">
        <f aca="false">IFERROR(E3030*Eingaben!$B$15,0)</f>
        <v>2.5137</v>
      </c>
      <c r="G3030" s="13" t="n">
        <f aca="false">IFERROR(IF(Kalender!A102="",0,J3029*(1-Eingaben!$B$20)),0)</f>
        <v>0.7390278</v>
      </c>
      <c r="H3030" s="13" t="n">
        <f aca="false">MIN(G3030,D3030)</f>
        <v>0.7390278</v>
      </c>
      <c r="I3030" s="13" t="n">
        <f aca="false">IFERROR(MIN(F3030*Eingaben!$B$19,MAX(0,D3030-H3030)),0)</f>
        <v>1.75959</v>
      </c>
      <c r="J3030" s="13" t="n">
        <f aca="false">IFERROR(MIN(Eingaben!$B$18,MAX(0,F3030-I3030)),0)</f>
        <v>0.75411</v>
      </c>
      <c r="K3030" s="13" t="n">
        <f aca="false">H3030+I3030</f>
        <v>2.4986178</v>
      </c>
      <c r="L3030" s="13" t="n">
        <f aca="false">MAX(0,D3030-K3030)</f>
        <v>3.4293822</v>
      </c>
      <c r="M3030" s="13" t="n">
        <f aca="false">MAX(0,F3030-I3030-J3030)</f>
        <v>0</v>
      </c>
      <c r="N3030" s="13" t="n">
        <f aca="false">IF(Kalender!A102="",0,J3029-H3030)</f>
        <v>0.0150822</v>
      </c>
    </row>
    <row r="3031" customFormat="false" ht="16.4" hidden="false" customHeight="false" outlineLevel="0" collapsed="false">
      <c r="A3031" s="13" t="str">
        <f aca="false">""</f>
        <v/>
      </c>
      <c r="B3031" s="13" t="n">
        <f aca="false">99</f>
        <v>99</v>
      </c>
      <c r="C3031" s="13" t="n">
        <f aca="false">IF(Szenarien!$H$19="OK",(IFERROR(SUMIF(Nutzungsprofile!$B$6:$B$11,"Schulbetrieb",Nutzungsprofile!$G$6:$G$11)*Kalender!C103/SUM(Kalender!$C$5:$C$370),0)+IFERROR(SUMIF(Nutzungsprofile!$B$6:$B$11,"Halle",Nutzungsprofile!$G$6:$G$11)*Kalender!D103/SUM(Kalender!$D$5:$D$370),0)+IFERROR(SUMIF(Nutzungsprofile!$B$6:$B$11,"Individuell",Nutzungsprofile!$G$6:$G$11)*Kalender!E103/SUM(Kalender!$E$5:$E$370),0))*Szenarien!$E$19,0)</f>
        <v>2.94</v>
      </c>
      <c r="D3031" s="13" t="n">
        <f aca="false">IF(Szenarien!$H$19="OK",(IFERROR(SUMIF(Nutzungsprofile!$B$17:$B$22,"Schulbetrieb",Nutzungsprofile!$G$17:$G$22)*Kalender!C103/SUM(Kalender!$C$5:$C$370),0)+IFERROR(SUMIF(Nutzungsprofile!$B$17:$B$22,"Halle",Nutzungsprofile!$G$17:$G$22)*Kalender!D103/SUM(Kalender!$D$5:$D$370),0)+IFERROR(SUMIF(Nutzungsprofile!$B$17:$B$22,"Individuell",Nutzungsprofile!$G$17:$G$22)*Kalender!E103/SUM(Kalender!$E$5:$E$370),0))*Szenarien!$D$19,0)</f>
        <v>5.928</v>
      </c>
      <c r="E3031" s="13" t="n">
        <f aca="false">IFERROR(MIN(C3031,Eingaben!$B$17)*Eingaben!$B$16,0)</f>
        <v>2.793</v>
      </c>
      <c r="F3031" s="13" t="n">
        <f aca="false">IFERROR(E3031*Eingaben!$B$15,0)</f>
        <v>2.5137</v>
      </c>
      <c r="G3031" s="13" t="n">
        <f aca="false">IFERROR(IF(Kalender!A103="",0,J3030*(1-Eingaben!$B$20)),0)</f>
        <v>0.7390278</v>
      </c>
      <c r="H3031" s="13" t="n">
        <f aca="false">MIN(G3031,D3031)</f>
        <v>0.7390278</v>
      </c>
      <c r="I3031" s="13" t="n">
        <f aca="false">IFERROR(MIN(F3031*Eingaben!$B$19,MAX(0,D3031-H3031)),0)</f>
        <v>1.75959</v>
      </c>
      <c r="J3031" s="13" t="n">
        <f aca="false">IFERROR(MIN(Eingaben!$B$18,MAX(0,F3031-I3031)),0)</f>
        <v>0.75411</v>
      </c>
      <c r="K3031" s="13" t="n">
        <f aca="false">H3031+I3031</f>
        <v>2.4986178</v>
      </c>
      <c r="L3031" s="13" t="n">
        <f aca="false">MAX(0,D3031-K3031)</f>
        <v>3.4293822</v>
      </c>
      <c r="M3031" s="13" t="n">
        <f aca="false">MAX(0,F3031-I3031-J3031)</f>
        <v>0</v>
      </c>
      <c r="N3031" s="13" t="n">
        <f aca="false">IF(Kalender!A103="",0,J3030-H3031)</f>
        <v>0.0150822</v>
      </c>
    </row>
    <row r="3032" customFormat="false" ht="16.4" hidden="false" customHeight="false" outlineLevel="0" collapsed="false">
      <c r="A3032" s="13" t="str">
        <f aca="false">""</f>
        <v/>
      </c>
      <c r="B3032" s="13" t="n">
        <f aca="false">100</f>
        <v>100</v>
      </c>
      <c r="C3032" s="13" t="n">
        <f aca="false">IF(Szenarien!$H$19="OK",(IFERROR(SUMIF(Nutzungsprofile!$B$6:$B$11,"Schulbetrieb",Nutzungsprofile!$G$6:$G$11)*Kalender!C104/SUM(Kalender!$C$5:$C$370),0)+IFERROR(SUMIF(Nutzungsprofile!$B$6:$B$11,"Halle",Nutzungsprofile!$G$6:$G$11)*Kalender!D104/SUM(Kalender!$D$5:$D$370),0)+IFERROR(SUMIF(Nutzungsprofile!$B$6:$B$11,"Individuell",Nutzungsprofile!$G$6:$G$11)*Kalender!E104/SUM(Kalender!$E$5:$E$370),0))*Szenarien!$E$19,0)</f>
        <v>2.94</v>
      </c>
      <c r="D3032" s="13" t="n">
        <f aca="false">IF(Szenarien!$H$19="OK",(IFERROR(SUMIF(Nutzungsprofile!$B$17:$B$22,"Schulbetrieb",Nutzungsprofile!$G$17:$G$22)*Kalender!C104/SUM(Kalender!$C$5:$C$370),0)+IFERROR(SUMIF(Nutzungsprofile!$B$17:$B$22,"Halle",Nutzungsprofile!$G$17:$G$22)*Kalender!D104/SUM(Kalender!$D$5:$D$370),0)+IFERROR(SUMIF(Nutzungsprofile!$B$17:$B$22,"Individuell",Nutzungsprofile!$G$17:$G$22)*Kalender!E104/SUM(Kalender!$E$5:$E$370),0))*Szenarien!$D$19,0)</f>
        <v>5.928</v>
      </c>
      <c r="E3032" s="13" t="n">
        <f aca="false">IFERROR(MIN(C3032,Eingaben!$B$17)*Eingaben!$B$16,0)</f>
        <v>2.793</v>
      </c>
      <c r="F3032" s="13" t="n">
        <f aca="false">IFERROR(E3032*Eingaben!$B$15,0)</f>
        <v>2.5137</v>
      </c>
      <c r="G3032" s="13" t="n">
        <f aca="false">IFERROR(IF(Kalender!A104="",0,J3031*(1-Eingaben!$B$20)),0)</f>
        <v>0.7390278</v>
      </c>
      <c r="H3032" s="13" t="n">
        <f aca="false">MIN(G3032,D3032)</f>
        <v>0.7390278</v>
      </c>
      <c r="I3032" s="13" t="n">
        <f aca="false">IFERROR(MIN(F3032*Eingaben!$B$19,MAX(0,D3032-H3032)),0)</f>
        <v>1.75959</v>
      </c>
      <c r="J3032" s="13" t="n">
        <f aca="false">IFERROR(MIN(Eingaben!$B$18,MAX(0,F3032-I3032)),0)</f>
        <v>0.75411</v>
      </c>
      <c r="K3032" s="13" t="n">
        <f aca="false">H3032+I3032</f>
        <v>2.4986178</v>
      </c>
      <c r="L3032" s="13" t="n">
        <f aca="false">MAX(0,D3032-K3032)</f>
        <v>3.4293822</v>
      </c>
      <c r="M3032" s="13" t="n">
        <f aca="false">MAX(0,F3032-I3032-J3032)</f>
        <v>0</v>
      </c>
      <c r="N3032" s="13" t="n">
        <f aca="false">IF(Kalender!A104="",0,J3031-H3032)</f>
        <v>0.0150822</v>
      </c>
    </row>
    <row r="3033" customFormat="false" ht="16.4" hidden="false" customHeight="false" outlineLevel="0" collapsed="false">
      <c r="A3033" s="13" t="str">
        <f aca="false">""</f>
        <v/>
      </c>
      <c r="B3033" s="13" t="n">
        <f aca="false">101</f>
        <v>101</v>
      </c>
      <c r="C3033" s="13" t="n">
        <f aca="false">IF(Szenarien!$H$19="OK",(IFERROR(SUMIF(Nutzungsprofile!$B$6:$B$11,"Schulbetrieb",Nutzungsprofile!$G$6:$G$11)*Kalender!C105/SUM(Kalender!$C$5:$C$370),0)+IFERROR(SUMIF(Nutzungsprofile!$B$6:$B$11,"Halle",Nutzungsprofile!$G$6:$G$11)*Kalender!D105/SUM(Kalender!$D$5:$D$370),0)+IFERROR(SUMIF(Nutzungsprofile!$B$6:$B$11,"Individuell",Nutzungsprofile!$G$6:$G$11)*Kalender!E105/SUM(Kalender!$E$5:$E$370),0))*Szenarien!$E$19,0)</f>
        <v>2.04</v>
      </c>
      <c r="D3033" s="13" t="n">
        <f aca="false">IF(Szenarien!$H$19="OK",(IFERROR(SUMIF(Nutzungsprofile!$B$17:$B$22,"Schulbetrieb",Nutzungsprofile!$G$17:$G$22)*Kalender!C105/SUM(Kalender!$C$5:$C$370),0)+IFERROR(SUMIF(Nutzungsprofile!$B$17:$B$22,"Halle",Nutzungsprofile!$G$17:$G$22)*Kalender!D105/SUM(Kalender!$D$5:$D$370),0)+IFERROR(SUMIF(Nutzungsprofile!$B$17:$B$22,"Individuell",Nutzungsprofile!$G$17:$G$22)*Kalender!E105/SUM(Kalender!$E$5:$E$370),0))*Szenarien!$D$19,0)</f>
        <v>1.068</v>
      </c>
      <c r="E3033" s="13" t="n">
        <f aca="false">IFERROR(MIN(C3033,Eingaben!$B$17)*Eingaben!$B$16,0)</f>
        <v>1.938</v>
      </c>
      <c r="F3033" s="13" t="n">
        <f aca="false">IFERROR(E3033*Eingaben!$B$15,0)</f>
        <v>1.7442</v>
      </c>
      <c r="G3033" s="13" t="n">
        <f aca="false">IFERROR(IF(Kalender!A105="",0,J3032*(1-Eingaben!$B$20)),0)</f>
        <v>0.7390278</v>
      </c>
      <c r="H3033" s="13" t="n">
        <f aca="false">MIN(G3033,D3033)</f>
        <v>0.7390278</v>
      </c>
      <c r="I3033" s="13" t="n">
        <f aca="false">IFERROR(MIN(F3033*Eingaben!$B$19,MAX(0,D3033-H3033)),0)</f>
        <v>0.3289722</v>
      </c>
      <c r="J3033" s="13" t="n">
        <f aca="false">IFERROR(MIN(Eingaben!$B$18,MAX(0,F3033-I3033)),0)</f>
        <v>1.4152278</v>
      </c>
      <c r="K3033" s="13" t="n">
        <f aca="false">H3033+I3033</f>
        <v>1.068</v>
      </c>
      <c r="L3033" s="13" t="n">
        <f aca="false">MAX(0,D3033-K3033)</f>
        <v>0</v>
      </c>
      <c r="M3033" s="13" t="n">
        <f aca="false">MAX(0,F3033-I3033-J3033)</f>
        <v>0</v>
      </c>
      <c r="N3033" s="13" t="n">
        <f aca="false">IF(Kalender!A105="",0,J3032-H3033)</f>
        <v>0.0150822</v>
      </c>
    </row>
    <row r="3034" customFormat="false" ht="16.4" hidden="false" customHeight="false" outlineLevel="0" collapsed="false">
      <c r="A3034" s="13" t="str">
        <f aca="false">""</f>
        <v/>
      </c>
      <c r="B3034" s="13" t="n">
        <f aca="false">102</f>
        <v>102</v>
      </c>
      <c r="C3034" s="13" t="n">
        <f aca="false">IF(Szenarien!$H$19="OK",(IFERROR(SUMIF(Nutzungsprofile!$B$6:$B$11,"Schulbetrieb",Nutzungsprofile!$G$6:$G$11)*Kalender!C106/SUM(Kalender!$C$5:$C$370),0)+IFERROR(SUMIF(Nutzungsprofile!$B$6:$B$11,"Halle",Nutzungsprofile!$G$6:$G$11)*Kalender!D106/SUM(Kalender!$D$5:$D$370),0)+IFERROR(SUMIF(Nutzungsprofile!$B$6:$B$11,"Individuell",Nutzungsprofile!$G$6:$G$11)*Kalender!E106/SUM(Kalender!$E$5:$E$370),0))*Szenarien!$E$19,0)</f>
        <v>2.04</v>
      </c>
      <c r="D3034" s="13" t="n">
        <f aca="false">IF(Szenarien!$H$19="OK",(IFERROR(SUMIF(Nutzungsprofile!$B$17:$B$22,"Schulbetrieb",Nutzungsprofile!$G$17:$G$22)*Kalender!C106/SUM(Kalender!$C$5:$C$370),0)+IFERROR(SUMIF(Nutzungsprofile!$B$17:$B$22,"Halle",Nutzungsprofile!$G$17:$G$22)*Kalender!D106/SUM(Kalender!$D$5:$D$370),0)+IFERROR(SUMIF(Nutzungsprofile!$B$17:$B$22,"Individuell",Nutzungsprofile!$G$17:$G$22)*Kalender!E106/SUM(Kalender!$E$5:$E$370),0))*Szenarien!$D$19,0)</f>
        <v>1.068</v>
      </c>
      <c r="E3034" s="13" t="n">
        <f aca="false">IFERROR(MIN(C3034,Eingaben!$B$17)*Eingaben!$B$16,0)</f>
        <v>1.938</v>
      </c>
      <c r="F3034" s="13" t="n">
        <f aca="false">IFERROR(E3034*Eingaben!$B$15,0)</f>
        <v>1.7442</v>
      </c>
      <c r="G3034" s="13" t="n">
        <f aca="false">IFERROR(IF(Kalender!A106="",0,J3033*(1-Eingaben!$B$20)),0)</f>
        <v>1.386923244</v>
      </c>
      <c r="H3034" s="13" t="n">
        <f aca="false">MIN(G3034,D3034)</f>
        <v>1.068</v>
      </c>
      <c r="I3034" s="13" t="n">
        <f aca="false">IFERROR(MIN(F3034*Eingaben!$B$19,MAX(0,D3034-H3034)),0)</f>
        <v>0</v>
      </c>
      <c r="J3034" s="13" t="n">
        <f aca="false">IFERROR(MIN(Eingaben!$B$18,MAX(0,F3034-I3034)),0)</f>
        <v>1.7442</v>
      </c>
      <c r="K3034" s="13" t="n">
        <f aca="false">H3034+I3034</f>
        <v>1.068</v>
      </c>
      <c r="L3034" s="13" t="n">
        <f aca="false">MAX(0,D3034-K3034)</f>
        <v>0</v>
      </c>
      <c r="M3034" s="13" t="n">
        <f aca="false">MAX(0,F3034-I3034-J3034)</f>
        <v>0</v>
      </c>
      <c r="N3034" s="13" t="n">
        <f aca="false">IF(Kalender!A106="",0,J3033-H3034)</f>
        <v>0.3472278</v>
      </c>
    </row>
    <row r="3035" customFormat="false" ht="16.4" hidden="false" customHeight="false" outlineLevel="0" collapsed="false">
      <c r="A3035" s="13" t="str">
        <f aca="false">""</f>
        <v/>
      </c>
      <c r="B3035" s="13" t="n">
        <f aca="false">103</f>
        <v>103</v>
      </c>
      <c r="C3035" s="13" t="n">
        <f aca="false">IF(Szenarien!$H$19="OK",(IFERROR(SUMIF(Nutzungsprofile!$B$6:$B$11,"Schulbetrieb",Nutzungsprofile!$G$6:$G$11)*Kalender!C107/SUM(Kalender!$C$5:$C$370),0)+IFERROR(SUMIF(Nutzungsprofile!$B$6:$B$11,"Halle",Nutzungsprofile!$G$6:$G$11)*Kalender!D107/SUM(Kalender!$D$5:$D$370),0)+IFERROR(SUMIF(Nutzungsprofile!$B$6:$B$11,"Individuell",Nutzungsprofile!$G$6:$G$11)*Kalender!E107/SUM(Kalender!$E$5:$E$370),0))*Szenarien!$E$19,0)</f>
        <v>2.94</v>
      </c>
      <c r="D3035" s="13" t="n">
        <f aca="false">IF(Szenarien!$H$19="OK",(IFERROR(SUMIF(Nutzungsprofile!$B$17:$B$22,"Schulbetrieb",Nutzungsprofile!$G$17:$G$22)*Kalender!C107/SUM(Kalender!$C$5:$C$370),0)+IFERROR(SUMIF(Nutzungsprofile!$B$17:$B$22,"Halle",Nutzungsprofile!$G$17:$G$22)*Kalender!D107/SUM(Kalender!$D$5:$D$370),0)+IFERROR(SUMIF(Nutzungsprofile!$B$17:$B$22,"Individuell",Nutzungsprofile!$G$17:$G$22)*Kalender!E107/SUM(Kalender!$E$5:$E$370),0))*Szenarien!$D$19,0)</f>
        <v>5.928</v>
      </c>
      <c r="E3035" s="13" t="n">
        <f aca="false">IFERROR(MIN(C3035,Eingaben!$B$17)*Eingaben!$B$16,0)</f>
        <v>2.793</v>
      </c>
      <c r="F3035" s="13" t="n">
        <f aca="false">IFERROR(E3035*Eingaben!$B$15,0)</f>
        <v>2.5137</v>
      </c>
      <c r="G3035" s="13" t="n">
        <f aca="false">IFERROR(IF(Kalender!A107="",0,J3034*(1-Eingaben!$B$20)),0)</f>
        <v>1.709316</v>
      </c>
      <c r="H3035" s="13" t="n">
        <f aca="false">MIN(G3035,D3035)</f>
        <v>1.709316</v>
      </c>
      <c r="I3035" s="13" t="n">
        <f aca="false">IFERROR(MIN(F3035*Eingaben!$B$19,MAX(0,D3035-H3035)),0)</f>
        <v>1.75959</v>
      </c>
      <c r="J3035" s="13" t="n">
        <f aca="false">IFERROR(MIN(Eingaben!$B$18,MAX(0,F3035-I3035)),0)</f>
        <v>0.75411</v>
      </c>
      <c r="K3035" s="13" t="n">
        <f aca="false">H3035+I3035</f>
        <v>3.468906</v>
      </c>
      <c r="L3035" s="13" t="n">
        <f aca="false">MAX(0,D3035-K3035)</f>
        <v>2.459094</v>
      </c>
      <c r="M3035" s="13" t="n">
        <f aca="false">MAX(0,F3035-I3035-J3035)</f>
        <v>0</v>
      </c>
      <c r="N3035" s="13" t="n">
        <f aca="false">IF(Kalender!A107="",0,J3034-H3035)</f>
        <v>0.0348840000000001</v>
      </c>
    </row>
    <row r="3036" customFormat="false" ht="16.4" hidden="false" customHeight="false" outlineLevel="0" collapsed="false">
      <c r="A3036" s="13" t="str">
        <f aca="false">""</f>
        <v/>
      </c>
      <c r="B3036" s="13" t="n">
        <f aca="false">104</f>
        <v>104</v>
      </c>
      <c r="C3036" s="13" t="n">
        <f aca="false">IF(Szenarien!$H$19="OK",(IFERROR(SUMIF(Nutzungsprofile!$B$6:$B$11,"Schulbetrieb",Nutzungsprofile!$G$6:$G$11)*Kalender!C108/SUM(Kalender!$C$5:$C$370),0)+IFERROR(SUMIF(Nutzungsprofile!$B$6:$B$11,"Halle",Nutzungsprofile!$G$6:$G$11)*Kalender!D108/SUM(Kalender!$D$5:$D$370),0)+IFERROR(SUMIF(Nutzungsprofile!$B$6:$B$11,"Individuell",Nutzungsprofile!$G$6:$G$11)*Kalender!E108/SUM(Kalender!$E$5:$E$370),0))*Szenarien!$E$19,0)</f>
        <v>2.94</v>
      </c>
      <c r="D3036" s="13" t="n">
        <f aca="false">IF(Szenarien!$H$19="OK",(IFERROR(SUMIF(Nutzungsprofile!$B$17:$B$22,"Schulbetrieb",Nutzungsprofile!$G$17:$G$22)*Kalender!C108/SUM(Kalender!$C$5:$C$370),0)+IFERROR(SUMIF(Nutzungsprofile!$B$17:$B$22,"Halle",Nutzungsprofile!$G$17:$G$22)*Kalender!D108/SUM(Kalender!$D$5:$D$370),0)+IFERROR(SUMIF(Nutzungsprofile!$B$17:$B$22,"Individuell",Nutzungsprofile!$G$17:$G$22)*Kalender!E108/SUM(Kalender!$E$5:$E$370),0))*Szenarien!$D$19,0)</f>
        <v>5.928</v>
      </c>
      <c r="E3036" s="13" t="n">
        <f aca="false">IFERROR(MIN(C3036,Eingaben!$B$17)*Eingaben!$B$16,0)</f>
        <v>2.793</v>
      </c>
      <c r="F3036" s="13" t="n">
        <f aca="false">IFERROR(E3036*Eingaben!$B$15,0)</f>
        <v>2.5137</v>
      </c>
      <c r="G3036" s="13" t="n">
        <f aca="false">IFERROR(IF(Kalender!A108="",0,J3035*(1-Eingaben!$B$20)),0)</f>
        <v>0.7390278</v>
      </c>
      <c r="H3036" s="13" t="n">
        <f aca="false">MIN(G3036,D3036)</f>
        <v>0.7390278</v>
      </c>
      <c r="I3036" s="13" t="n">
        <f aca="false">IFERROR(MIN(F3036*Eingaben!$B$19,MAX(0,D3036-H3036)),0)</f>
        <v>1.75959</v>
      </c>
      <c r="J3036" s="13" t="n">
        <f aca="false">IFERROR(MIN(Eingaben!$B$18,MAX(0,F3036-I3036)),0)</f>
        <v>0.75411</v>
      </c>
      <c r="K3036" s="13" t="n">
        <f aca="false">H3036+I3036</f>
        <v>2.4986178</v>
      </c>
      <c r="L3036" s="13" t="n">
        <f aca="false">MAX(0,D3036-K3036)</f>
        <v>3.4293822</v>
      </c>
      <c r="M3036" s="13" t="n">
        <f aca="false">MAX(0,F3036-I3036-J3036)</f>
        <v>0</v>
      </c>
      <c r="N3036" s="13" t="n">
        <f aca="false">IF(Kalender!A108="",0,J3035-H3036)</f>
        <v>0.0150822</v>
      </c>
    </row>
    <row r="3037" customFormat="false" ht="16.4" hidden="false" customHeight="false" outlineLevel="0" collapsed="false">
      <c r="A3037" s="13" t="str">
        <f aca="false">""</f>
        <v/>
      </c>
      <c r="B3037" s="13" t="n">
        <f aca="false">105</f>
        <v>105</v>
      </c>
      <c r="C3037" s="13" t="n">
        <f aca="false">IF(Szenarien!$H$19="OK",(IFERROR(SUMIF(Nutzungsprofile!$B$6:$B$11,"Schulbetrieb",Nutzungsprofile!$G$6:$G$11)*Kalender!C109/SUM(Kalender!$C$5:$C$370),0)+IFERROR(SUMIF(Nutzungsprofile!$B$6:$B$11,"Halle",Nutzungsprofile!$G$6:$G$11)*Kalender!D109/SUM(Kalender!$D$5:$D$370),0)+IFERROR(SUMIF(Nutzungsprofile!$B$6:$B$11,"Individuell",Nutzungsprofile!$G$6:$G$11)*Kalender!E109/SUM(Kalender!$E$5:$E$370),0))*Szenarien!$E$19,0)</f>
        <v>2.94</v>
      </c>
      <c r="D3037" s="13" t="n">
        <f aca="false">IF(Szenarien!$H$19="OK",(IFERROR(SUMIF(Nutzungsprofile!$B$17:$B$22,"Schulbetrieb",Nutzungsprofile!$G$17:$G$22)*Kalender!C109/SUM(Kalender!$C$5:$C$370),0)+IFERROR(SUMIF(Nutzungsprofile!$B$17:$B$22,"Halle",Nutzungsprofile!$G$17:$G$22)*Kalender!D109/SUM(Kalender!$D$5:$D$370),0)+IFERROR(SUMIF(Nutzungsprofile!$B$17:$B$22,"Individuell",Nutzungsprofile!$G$17:$G$22)*Kalender!E109/SUM(Kalender!$E$5:$E$370),0))*Szenarien!$D$19,0)</f>
        <v>5.928</v>
      </c>
      <c r="E3037" s="13" t="n">
        <f aca="false">IFERROR(MIN(C3037,Eingaben!$B$17)*Eingaben!$B$16,0)</f>
        <v>2.793</v>
      </c>
      <c r="F3037" s="13" t="n">
        <f aca="false">IFERROR(E3037*Eingaben!$B$15,0)</f>
        <v>2.5137</v>
      </c>
      <c r="G3037" s="13" t="n">
        <f aca="false">IFERROR(IF(Kalender!A109="",0,J3036*(1-Eingaben!$B$20)),0)</f>
        <v>0.7390278</v>
      </c>
      <c r="H3037" s="13" t="n">
        <f aca="false">MIN(G3037,D3037)</f>
        <v>0.7390278</v>
      </c>
      <c r="I3037" s="13" t="n">
        <f aca="false">IFERROR(MIN(F3037*Eingaben!$B$19,MAX(0,D3037-H3037)),0)</f>
        <v>1.75959</v>
      </c>
      <c r="J3037" s="13" t="n">
        <f aca="false">IFERROR(MIN(Eingaben!$B$18,MAX(0,F3037-I3037)),0)</f>
        <v>0.75411</v>
      </c>
      <c r="K3037" s="13" t="n">
        <f aca="false">H3037+I3037</f>
        <v>2.4986178</v>
      </c>
      <c r="L3037" s="13" t="n">
        <f aca="false">MAX(0,D3037-K3037)</f>
        <v>3.4293822</v>
      </c>
      <c r="M3037" s="13" t="n">
        <f aca="false">MAX(0,F3037-I3037-J3037)</f>
        <v>0</v>
      </c>
      <c r="N3037" s="13" t="n">
        <f aca="false">IF(Kalender!A109="",0,J3036-H3037)</f>
        <v>0.0150822</v>
      </c>
    </row>
    <row r="3038" customFormat="false" ht="16.4" hidden="false" customHeight="false" outlineLevel="0" collapsed="false">
      <c r="A3038" s="13" t="str">
        <f aca="false">""</f>
        <v/>
      </c>
      <c r="B3038" s="13" t="n">
        <f aca="false">106</f>
        <v>106</v>
      </c>
      <c r="C3038" s="13" t="n">
        <f aca="false">IF(Szenarien!$H$19="OK",(IFERROR(SUMIF(Nutzungsprofile!$B$6:$B$11,"Schulbetrieb",Nutzungsprofile!$G$6:$G$11)*Kalender!C110/SUM(Kalender!$C$5:$C$370),0)+IFERROR(SUMIF(Nutzungsprofile!$B$6:$B$11,"Halle",Nutzungsprofile!$G$6:$G$11)*Kalender!D110/SUM(Kalender!$D$5:$D$370),0)+IFERROR(SUMIF(Nutzungsprofile!$B$6:$B$11,"Individuell",Nutzungsprofile!$G$6:$G$11)*Kalender!E110/SUM(Kalender!$E$5:$E$370),0))*Szenarien!$E$19,0)</f>
        <v>2.94</v>
      </c>
      <c r="D3038" s="13" t="n">
        <f aca="false">IF(Szenarien!$H$19="OK",(IFERROR(SUMIF(Nutzungsprofile!$B$17:$B$22,"Schulbetrieb",Nutzungsprofile!$G$17:$G$22)*Kalender!C110/SUM(Kalender!$C$5:$C$370),0)+IFERROR(SUMIF(Nutzungsprofile!$B$17:$B$22,"Halle",Nutzungsprofile!$G$17:$G$22)*Kalender!D110/SUM(Kalender!$D$5:$D$370),0)+IFERROR(SUMIF(Nutzungsprofile!$B$17:$B$22,"Individuell",Nutzungsprofile!$G$17:$G$22)*Kalender!E110/SUM(Kalender!$E$5:$E$370),0))*Szenarien!$D$19,0)</f>
        <v>5.928</v>
      </c>
      <c r="E3038" s="13" t="n">
        <f aca="false">IFERROR(MIN(C3038,Eingaben!$B$17)*Eingaben!$B$16,0)</f>
        <v>2.793</v>
      </c>
      <c r="F3038" s="13" t="n">
        <f aca="false">IFERROR(E3038*Eingaben!$B$15,0)</f>
        <v>2.5137</v>
      </c>
      <c r="G3038" s="13" t="n">
        <f aca="false">IFERROR(IF(Kalender!A110="",0,J3037*(1-Eingaben!$B$20)),0)</f>
        <v>0.7390278</v>
      </c>
      <c r="H3038" s="13" t="n">
        <f aca="false">MIN(G3038,D3038)</f>
        <v>0.7390278</v>
      </c>
      <c r="I3038" s="13" t="n">
        <f aca="false">IFERROR(MIN(F3038*Eingaben!$B$19,MAX(0,D3038-H3038)),0)</f>
        <v>1.75959</v>
      </c>
      <c r="J3038" s="13" t="n">
        <f aca="false">IFERROR(MIN(Eingaben!$B$18,MAX(0,F3038-I3038)),0)</f>
        <v>0.75411</v>
      </c>
      <c r="K3038" s="13" t="n">
        <f aca="false">H3038+I3038</f>
        <v>2.4986178</v>
      </c>
      <c r="L3038" s="13" t="n">
        <f aca="false">MAX(0,D3038-K3038)</f>
        <v>3.4293822</v>
      </c>
      <c r="M3038" s="13" t="n">
        <f aca="false">MAX(0,F3038-I3038-J3038)</f>
        <v>0</v>
      </c>
      <c r="N3038" s="13" t="n">
        <f aca="false">IF(Kalender!A110="",0,J3037-H3038)</f>
        <v>0.0150822</v>
      </c>
    </row>
    <row r="3039" customFormat="false" ht="16.4" hidden="false" customHeight="false" outlineLevel="0" collapsed="false">
      <c r="A3039" s="13" t="str">
        <f aca="false">""</f>
        <v/>
      </c>
      <c r="B3039" s="13" t="n">
        <f aca="false">107</f>
        <v>107</v>
      </c>
      <c r="C3039" s="13" t="n">
        <f aca="false">IF(Szenarien!$H$19="OK",(IFERROR(SUMIF(Nutzungsprofile!$B$6:$B$11,"Schulbetrieb",Nutzungsprofile!$G$6:$G$11)*Kalender!C111/SUM(Kalender!$C$5:$C$370),0)+IFERROR(SUMIF(Nutzungsprofile!$B$6:$B$11,"Halle",Nutzungsprofile!$G$6:$G$11)*Kalender!D111/SUM(Kalender!$D$5:$D$370),0)+IFERROR(SUMIF(Nutzungsprofile!$B$6:$B$11,"Individuell",Nutzungsprofile!$G$6:$G$11)*Kalender!E111/SUM(Kalender!$E$5:$E$370),0))*Szenarien!$E$19,0)</f>
        <v>2.94</v>
      </c>
      <c r="D3039" s="13" t="n">
        <f aca="false">IF(Szenarien!$H$19="OK",(IFERROR(SUMIF(Nutzungsprofile!$B$17:$B$22,"Schulbetrieb",Nutzungsprofile!$G$17:$G$22)*Kalender!C111/SUM(Kalender!$C$5:$C$370),0)+IFERROR(SUMIF(Nutzungsprofile!$B$17:$B$22,"Halle",Nutzungsprofile!$G$17:$G$22)*Kalender!D111/SUM(Kalender!$D$5:$D$370),0)+IFERROR(SUMIF(Nutzungsprofile!$B$17:$B$22,"Individuell",Nutzungsprofile!$G$17:$G$22)*Kalender!E111/SUM(Kalender!$E$5:$E$370),0))*Szenarien!$D$19,0)</f>
        <v>5.928</v>
      </c>
      <c r="E3039" s="13" t="n">
        <f aca="false">IFERROR(MIN(C3039,Eingaben!$B$17)*Eingaben!$B$16,0)</f>
        <v>2.793</v>
      </c>
      <c r="F3039" s="13" t="n">
        <f aca="false">IFERROR(E3039*Eingaben!$B$15,0)</f>
        <v>2.5137</v>
      </c>
      <c r="G3039" s="13" t="n">
        <f aca="false">IFERROR(IF(Kalender!A111="",0,J3038*(1-Eingaben!$B$20)),0)</f>
        <v>0.7390278</v>
      </c>
      <c r="H3039" s="13" t="n">
        <f aca="false">MIN(G3039,D3039)</f>
        <v>0.7390278</v>
      </c>
      <c r="I3039" s="13" t="n">
        <f aca="false">IFERROR(MIN(F3039*Eingaben!$B$19,MAX(0,D3039-H3039)),0)</f>
        <v>1.75959</v>
      </c>
      <c r="J3039" s="13" t="n">
        <f aca="false">IFERROR(MIN(Eingaben!$B$18,MAX(0,F3039-I3039)),0)</f>
        <v>0.75411</v>
      </c>
      <c r="K3039" s="13" t="n">
        <f aca="false">H3039+I3039</f>
        <v>2.4986178</v>
      </c>
      <c r="L3039" s="13" t="n">
        <f aca="false">MAX(0,D3039-K3039)</f>
        <v>3.4293822</v>
      </c>
      <c r="M3039" s="13" t="n">
        <f aca="false">MAX(0,F3039-I3039-J3039)</f>
        <v>0</v>
      </c>
      <c r="N3039" s="13" t="n">
        <f aca="false">IF(Kalender!A111="",0,J3038-H3039)</f>
        <v>0.0150822</v>
      </c>
    </row>
    <row r="3040" customFormat="false" ht="16.4" hidden="false" customHeight="false" outlineLevel="0" collapsed="false">
      <c r="A3040" s="13" t="str">
        <f aca="false">""</f>
        <v/>
      </c>
      <c r="B3040" s="13" t="n">
        <f aca="false">108</f>
        <v>108</v>
      </c>
      <c r="C3040" s="13" t="n">
        <f aca="false">IF(Szenarien!$H$19="OK",(IFERROR(SUMIF(Nutzungsprofile!$B$6:$B$11,"Schulbetrieb",Nutzungsprofile!$G$6:$G$11)*Kalender!C112/SUM(Kalender!$C$5:$C$370),0)+IFERROR(SUMIF(Nutzungsprofile!$B$6:$B$11,"Halle",Nutzungsprofile!$G$6:$G$11)*Kalender!D112/SUM(Kalender!$D$5:$D$370),0)+IFERROR(SUMIF(Nutzungsprofile!$B$6:$B$11,"Individuell",Nutzungsprofile!$G$6:$G$11)*Kalender!E112/SUM(Kalender!$E$5:$E$370),0))*Szenarien!$E$19,0)</f>
        <v>2.04</v>
      </c>
      <c r="D3040" s="13" t="n">
        <f aca="false">IF(Szenarien!$H$19="OK",(IFERROR(SUMIF(Nutzungsprofile!$B$17:$B$22,"Schulbetrieb",Nutzungsprofile!$G$17:$G$22)*Kalender!C112/SUM(Kalender!$C$5:$C$370),0)+IFERROR(SUMIF(Nutzungsprofile!$B$17:$B$22,"Halle",Nutzungsprofile!$G$17:$G$22)*Kalender!D112/SUM(Kalender!$D$5:$D$370),0)+IFERROR(SUMIF(Nutzungsprofile!$B$17:$B$22,"Individuell",Nutzungsprofile!$G$17:$G$22)*Kalender!E112/SUM(Kalender!$E$5:$E$370),0))*Szenarien!$D$19,0)</f>
        <v>1.068</v>
      </c>
      <c r="E3040" s="13" t="n">
        <f aca="false">IFERROR(MIN(C3040,Eingaben!$B$17)*Eingaben!$B$16,0)</f>
        <v>1.938</v>
      </c>
      <c r="F3040" s="13" t="n">
        <f aca="false">IFERROR(E3040*Eingaben!$B$15,0)</f>
        <v>1.7442</v>
      </c>
      <c r="G3040" s="13" t="n">
        <f aca="false">IFERROR(IF(Kalender!A112="",0,J3039*(1-Eingaben!$B$20)),0)</f>
        <v>0.7390278</v>
      </c>
      <c r="H3040" s="13" t="n">
        <f aca="false">MIN(G3040,D3040)</f>
        <v>0.7390278</v>
      </c>
      <c r="I3040" s="13" t="n">
        <f aca="false">IFERROR(MIN(F3040*Eingaben!$B$19,MAX(0,D3040-H3040)),0)</f>
        <v>0.3289722</v>
      </c>
      <c r="J3040" s="13" t="n">
        <f aca="false">IFERROR(MIN(Eingaben!$B$18,MAX(0,F3040-I3040)),0)</f>
        <v>1.4152278</v>
      </c>
      <c r="K3040" s="13" t="n">
        <f aca="false">H3040+I3040</f>
        <v>1.068</v>
      </c>
      <c r="L3040" s="13" t="n">
        <f aca="false">MAX(0,D3040-K3040)</f>
        <v>0</v>
      </c>
      <c r="M3040" s="13" t="n">
        <f aca="false">MAX(0,F3040-I3040-J3040)</f>
        <v>0</v>
      </c>
      <c r="N3040" s="13" t="n">
        <f aca="false">IF(Kalender!A112="",0,J3039-H3040)</f>
        <v>0.0150822</v>
      </c>
    </row>
    <row r="3041" customFormat="false" ht="16.4" hidden="false" customHeight="false" outlineLevel="0" collapsed="false">
      <c r="A3041" s="13" t="str">
        <f aca="false">""</f>
        <v/>
      </c>
      <c r="B3041" s="13" t="n">
        <f aca="false">109</f>
        <v>109</v>
      </c>
      <c r="C3041" s="13" t="n">
        <f aca="false">IF(Szenarien!$H$19="OK",(IFERROR(SUMIF(Nutzungsprofile!$B$6:$B$11,"Schulbetrieb",Nutzungsprofile!$G$6:$G$11)*Kalender!C113/SUM(Kalender!$C$5:$C$370),0)+IFERROR(SUMIF(Nutzungsprofile!$B$6:$B$11,"Halle",Nutzungsprofile!$G$6:$G$11)*Kalender!D113/SUM(Kalender!$D$5:$D$370),0)+IFERROR(SUMIF(Nutzungsprofile!$B$6:$B$11,"Individuell",Nutzungsprofile!$G$6:$G$11)*Kalender!E113/SUM(Kalender!$E$5:$E$370),0))*Szenarien!$E$19,0)</f>
        <v>2.04</v>
      </c>
      <c r="D3041" s="13" t="n">
        <f aca="false">IF(Szenarien!$H$19="OK",(IFERROR(SUMIF(Nutzungsprofile!$B$17:$B$22,"Schulbetrieb",Nutzungsprofile!$G$17:$G$22)*Kalender!C113/SUM(Kalender!$C$5:$C$370),0)+IFERROR(SUMIF(Nutzungsprofile!$B$17:$B$22,"Halle",Nutzungsprofile!$G$17:$G$22)*Kalender!D113/SUM(Kalender!$D$5:$D$370),0)+IFERROR(SUMIF(Nutzungsprofile!$B$17:$B$22,"Individuell",Nutzungsprofile!$G$17:$G$22)*Kalender!E113/SUM(Kalender!$E$5:$E$370),0))*Szenarien!$D$19,0)</f>
        <v>1.068</v>
      </c>
      <c r="E3041" s="13" t="n">
        <f aca="false">IFERROR(MIN(C3041,Eingaben!$B$17)*Eingaben!$B$16,0)</f>
        <v>1.938</v>
      </c>
      <c r="F3041" s="13" t="n">
        <f aca="false">IFERROR(E3041*Eingaben!$B$15,0)</f>
        <v>1.7442</v>
      </c>
      <c r="G3041" s="13" t="n">
        <f aca="false">IFERROR(IF(Kalender!A113="",0,J3040*(1-Eingaben!$B$20)),0)</f>
        <v>1.386923244</v>
      </c>
      <c r="H3041" s="13" t="n">
        <f aca="false">MIN(G3041,D3041)</f>
        <v>1.068</v>
      </c>
      <c r="I3041" s="13" t="n">
        <f aca="false">IFERROR(MIN(F3041*Eingaben!$B$19,MAX(0,D3041-H3041)),0)</f>
        <v>0</v>
      </c>
      <c r="J3041" s="13" t="n">
        <f aca="false">IFERROR(MIN(Eingaben!$B$18,MAX(0,F3041-I3041)),0)</f>
        <v>1.7442</v>
      </c>
      <c r="K3041" s="13" t="n">
        <f aca="false">H3041+I3041</f>
        <v>1.068</v>
      </c>
      <c r="L3041" s="13" t="n">
        <f aca="false">MAX(0,D3041-K3041)</f>
        <v>0</v>
      </c>
      <c r="M3041" s="13" t="n">
        <f aca="false">MAX(0,F3041-I3041-J3041)</f>
        <v>0</v>
      </c>
      <c r="N3041" s="13" t="n">
        <f aca="false">IF(Kalender!A113="",0,J3040-H3041)</f>
        <v>0.3472278</v>
      </c>
    </row>
    <row r="3042" customFormat="false" ht="16.4" hidden="false" customHeight="false" outlineLevel="0" collapsed="false">
      <c r="A3042" s="13" t="str">
        <f aca="false">""</f>
        <v/>
      </c>
      <c r="B3042" s="13" t="n">
        <f aca="false">110</f>
        <v>110</v>
      </c>
      <c r="C3042" s="13" t="n">
        <f aca="false">IF(Szenarien!$H$19="OK",(IFERROR(SUMIF(Nutzungsprofile!$B$6:$B$11,"Schulbetrieb",Nutzungsprofile!$G$6:$G$11)*Kalender!C114/SUM(Kalender!$C$5:$C$370),0)+IFERROR(SUMIF(Nutzungsprofile!$B$6:$B$11,"Halle",Nutzungsprofile!$G$6:$G$11)*Kalender!D114/SUM(Kalender!$D$5:$D$370),0)+IFERROR(SUMIF(Nutzungsprofile!$B$6:$B$11,"Individuell",Nutzungsprofile!$G$6:$G$11)*Kalender!E114/SUM(Kalender!$E$5:$E$370),0))*Szenarien!$E$19,0)</f>
        <v>2.94</v>
      </c>
      <c r="D3042" s="13" t="n">
        <f aca="false">IF(Szenarien!$H$19="OK",(IFERROR(SUMIF(Nutzungsprofile!$B$17:$B$22,"Schulbetrieb",Nutzungsprofile!$G$17:$G$22)*Kalender!C114/SUM(Kalender!$C$5:$C$370),0)+IFERROR(SUMIF(Nutzungsprofile!$B$17:$B$22,"Halle",Nutzungsprofile!$G$17:$G$22)*Kalender!D114/SUM(Kalender!$D$5:$D$370),0)+IFERROR(SUMIF(Nutzungsprofile!$B$17:$B$22,"Individuell",Nutzungsprofile!$G$17:$G$22)*Kalender!E114/SUM(Kalender!$E$5:$E$370),0))*Szenarien!$D$19,0)</f>
        <v>5.928</v>
      </c>
      <c r="E3042" s="13" t="n">
        <f aca="false">IFERROR(MIN(C3042,Eingaben!$B$17)*Eingaben!$B$16,0)</f>
        <v>2.793</v>
      </c>
      <c r="F3042" s="13" t="n">
        <f aca="false">IFERROR(E3042*Eingaben!$B$15,0)</f>
        <v>2.5137</v>
      </c>
      <c r="G3042" s="13" t="n">
        <f aca="false">IFERROR(IF(Kalender!A114="",0,J3041*(1-Eingaben!$B$20)),0)</f>
        <v>1.709316</v>
      </c>
      <c r="H3042" s="13" t="n">
        <f aca="false">MIN(G3042,D3042)</f>
        <v>1.709316</v>
      </c>
      <c r="I3042" s="13" t="n">
        <f aca="false">IFERROR(MIN(F3042*Eingaben!$B$19,MAX(0,D3042-H3042)),0)</f>
        <v>1.75959</v>
      </c>
      <c r="J3042" s="13" t="n">
        <f aca="false">IFERROR(MIN(Eingaben!$B$18,MAX(0,F3042-I3042)),0)</f>
        <v>0.75411</v>
      </c>
      <c r="K3042" s="13" t="n">
        <f aca="false">H3042+I3042</f>
        <v>3.468906</v>
      </c>
      <c r="L3042" s="13" t="n">
        <f aca="false">MAX(0,D3042-K3042)</f>
        <v>2.459094</v>
      </c>
      <c r="M3042" s="13" t="n">
        <f aca="false">MAX(0,F3042-I3042-J3042)</f>
        <v>0</v>
      </c>
      <c r="N3042" s="13" t="n">
        <f aca="false">IF(Kalender!A114="",0,J3041-H3042)</f>
        <v>0.0348840000000001</v>
      </c>
    </row>
    <row r="3043" customFormat="false" ht="16.4" hidden="false" customHeight="false" outlineLevel="0" collapsed="false">
      <c r="A3043" s="13" t="str">
        <f aca="false">""</f>
        <v/>
      </c>
      <c r="B3043" s="13" t="n">
        <f aca="false">111</f>
        <v>111</v>
      </c>
      <c r="C3043" s="13" t="n">
        <f aca="false">IF(Szenarien!$H$19="OK",(IFERROR(SUMIF(Nutzungsprofile!$B$6:$B$11,"Schulbetrieb",Nutzungsprofile!$G$6:$G$11)*Kalender!C115/SUM(Kalender!$C$5:$C$370),0)+IFERROR(SUMIF(Nutzungsprofile!$B$6:$B$11,"Halle",Nutzungsprofile!$G$6:$G$11)*Kalender!D115/SUM(Kalender!$D$5:$D$370),0)+IFERROR(SUMIF(Nutzungsprofile!$B$6:$B$11,"Individuell",Nutzungsprofile!$G$6:$G$11)*Kalender!E115/SUM(Kalender!$E$5:$E$370),0))*Szenarien!$E$19,0)</f>
        <v>2.94</v>
      </c>
      <c r="D3043" s="13" t="n">
        <f aca="false">IF(Szenarien!$H$19="OK",(IFERROR(SUMIF(Nutzungsprofile!$B$17:$B$22,"Schulbetrieb",Nutzungsprofile!$G$17:$G$22)*Kalender!C115/SUM(Kalender!$C$5:$C$370),0)+IFERROR(SUMIF(Nutzungsprofile!$B$17:$B$22,"Halle",Nutzungsprofile!$G$17:$G$22)*Kalender!D115/SUM(Kalender!$D$5:$D$370),0)+IFERROR(SUMIF(Nutzungsprofile!$B$17:$B$22,"Individuell",Nutzungsprofile!$G$17:$G$22)*Kalender!E115/SUM(Kalender!$E$5:$E$370),0))*Szenarien!$D$19,0)</f>
        <v>5.928</v>
      </c>
      <c r="E3043" s="13" t="n">
        <f aca="false">IFERROR(MIN(C3043,Eingaben!$B$17)*Eingaben!$B$16,0)</f>
        <v>2.793</v>
      </c>
      <c r="F3043" s="13" t="n">
        <f aca="false">IFERROR(E3043*Eingaben!$B$15,0)</f>
        <v>2.5137</v>
      </c>
      <c r="G3043" s="13" t="n">
        <f aca="false">IFERROR(IF(Kalender!A115="",0,J3042*(1-Eingaben!$B$20)),0)</f>
        <v>0.7390278</v>
      </c>
      <c r="H3043" s="13" t="n">
        <f aca="false">MIN(G3043,D3043)</f>
        <v>0.7390278</v>
      </c>
      <c r="I3043" s="13" t="n">
        <f aca="false">IFERROR(MIN(F3043*Eingaben!$B$19,MAX(0,D3043-H3043)),0)</f>
        <v>1.75959</v>
      </c>
      <c r="J3043" s="13" t="n">
        <f aca="false">IFERROR(MIN(Eingaben!$B$18,MAX(0,F3043-I3043)),0)</f>
        <v>0.75411</v>
      </c>
      <c r="K3043" s="13" t="n">
        <f aca="false">H3043+I3043</f>
        <v>2.4986178</v>
      </c>
      <c r="L3043" s="13" t="n">
        <f aca="false">MAX(0,D3043-K3043)</f>
        <v>3.4293822</v>
      </c>
      <c r="M3043" s="13" t="n">
        <f aca="false">MAX(0,F3043-I3043-J3043)</f>
        <v>0</v>
      </c>
      <c r="N3043" s="13" t="n">
        <f aca="false">IF(Kalender!A115="",0,J3042-H3043)</f>
        <v>0.0150822</v>
      </c>
    </row>
    <row r="3044" customFormat="false" ht="16.4" hidden="false" customHeight="false" outlineLevel="0" collapsed="false">
      <c r="A3044" s="13" t="str">
        <f aca="false">""</f>
        <v/>
      </c>
      <c r="B3044" s="13" t="n">
        <f aca="false">112</f>
        <v>112</v>
      </c>
      <c r="C3044" s="13" t="n">
        <f aca="false">IF(Szenarien!$H$19="OK",(IFERROR(SUMIF(Nutzungsprofile!$B$6:$B$11,"Schulbetrieb",Nutzungsprofile!$G$6:$G$11)*Kalender!C116/SUM(Kalender!$C$5:$C$370),0)+IFERROR(SUMIF(Nutzungsprofile!$B$6:$B$11,"Halle",Nutzungsprofile!$G$6:$G$11)*Kalender!D116/SUM(Kalender!$D$5:$D$370),0)+IFERROR(SUMIF(Nutzungsprofile!$B$6:$B$11,"Individuell",Nutzungsprofile!$G$6:$G$11)*Kalender!E116/SUM(Kalender!$E$5:$E$370),0))*Szenarien!$E$19,0)</f>
        <v>2.94</v>
      </c>
      <c r="D3044" s="13" t="n">
        <f aca="false">IF(Szenarien!$H$19="OK",(IFERROR(SUMIF(Nutzungsprofile!$B$17:$B$22,"Schulbetrieb",Nutzungsprofile!$G$17:$G$22)*Kalender!C116/SUM(Kalender!$C$5:$C$370),0)+IFERROR(SUMIF(Nutzungsprofile!$B$17:$B$22,"Halle",Nutzungsprofile!$G$17:$G$22)*Kalender!D116/SUM(Kalender!$D$5:$D$370),0)+IFERROR(SUMIF(Nutzungsprofile!$B$17:$B$22,"Individuell",Nutzungsprofile!$G$17:$G$22)*Kalender!E116/SUM(Kalender!$E$5:$E$370),0))*Szenarien!$D$19,0)</f>
        <v>5.928</v>
      </c>
      <c r="E3044" s="13" t="n">
        <f aca="false">IFERROR(MIN(C3044,Eingaben!$B$17)*Eingaben!$B$16,0)</f>
        <v>2.793</v>
      </c>
      <c r="F3044" s="13" t="n">
        <f aca="false">IFERROR(E3044*Eingaben!$B$15,0)</f>
        <v>2.5137</v>
      </c>
      <c r="G3044" s="13" t="n">
        <f aca="false">IFERROR(IF(Kalender!A116="",0,J3043*(1-Eingaben!$B$20)),0)</f>
        <v>0.7390278</v>
      </c>
      <c r="H3044" s="13" t="n">
        <f aca="false">MIN(G3044,D3044)</f>
        <v>0.7390278</v>
      </c>
      <c r="I3044" s="13" t="n">
        <f aca="false">IFERROR(MIN(F3044*Eingaben!$B$19,MAX(0,D3044-H3044)),0)</f>
        <v>1.75959</v>
      </c>
      <c r="J3044" s="13" t="n">
        <f aca="false">IFERROR(MIN(Eingaben!$B$18,MAX(0,F3044-I3044)),0)</f>
        <v>0.75411</v>
      </c>
      <c r="K3044" s="13" t="n">
        <f aca="false">H3044+I3044</f>
        <v>2.4986178</v>
      </c>
      <c r="L3044" s="13" t="n">
        <f aca="false">MAX(0,D3044-K3044)</f>
        <v>3.4293822</v>
      </c>
      <c r="M3044" s="13" t="n">
        <f aca="false">MAX(0,F3044-I3044-J3044)</f>
        <v>0</v>
      </c>
      <c r="N3044" s="13" t="n">
        <f aca="false">IF(Kalender!A116="",0,J3043-H3044)</f>
        <v>0.0150822</v>
      </c>
    </row>
    <row r="3045" customFormat="false" ht="16.4" hidden="false" customHeight="false" outlineLevel="0" collapsed="false">
      <c r="A3045" s="13" t="str">
        <f aca="false">""</f>
        <v/>
      </c>
      <c r="B3045" s="13" t="n">
        <f aca="false">113</f>
        <v>113</v>
      </c>
      <c r="C3045" s="13" t="n">
        <f aca="false">IF(Szenarien!$H$19="OK",(IFERROR(SUMIF(Nutzungsprofile!$B$6:$B$11,"Schulbetrieb",Nutzungsprofile!$G$6:$G$11)*Kalender!C117/SUM(Kalender!$C$5:$C$370),0)+IFERROR(SUMIF(Nutzungsprofile!$B$6:$B$11,"Halle",Nutzungsprofile!$G$6:$G$11)*Kalender!D117/SUM(Kalender!$D$5:$D$370),0)+IFERROR(SUMIF(Nutzungsprofile!$B$6:$B$11,"Individuell",Nutzungsprofile!$G$6:$G$11)*Kalender!E117/SUM(Kalender!$E$5:$E$370),0))*Szenarien!$E$19,0)</f>
        <v>2.94</v>
      </c>
      <c r="D3045" s="13" t="n">
        <f aca="false">IF(Szenarien!$H$19="OK",(IFERROR(SUMIF(Nutzungsprofile!$B$17:$B$22,"Schulbetrieb",Nutzungsprofile!$G$17:$G$22)*Kalender!C117/SUM(Kalender!$C$5:$C$370),0)+IFERROR(SUMIF(Nutzungsprofile!$B$17:$B$22,"Halle",Nutzungsprofile!$G$17:$G$22)*Kalender!D117/SUM(Kalender!$D$5:$D$370),0)+IFERROR(SUMIF(Nutzungsprofile!$B$17:$B$22,"Individuell",Nutzungsprofile!$G$17:$G$22)*Kalender!E117/SUM(Kalender!$E$5:$E$370),0))*Szenarien!$D$19,0)</f>
        <v>5.928</v>
      </c>
      <c r="E3045" s="13" t="n">
        <f aca="false">IFERROR(MIN(C3045,Eingaben!$B$17)*Eingaben!$B$16,0)</f>
        <v>2.793</v>
      </c>
      <c r="F3045" s="13" t="n">
        <f aca="false">IFERROR(E3045*Eingaben!$B$15,0)</f>
        <v>2.5137</v>
      </c>
      <c r="G3045" s="13" t="n">
        <f aca="false">IFERROR(IF(Kalender!A117="",0,J3044*(1-Eingaben!$B$20)),0)</f>
        <v>0.7390278</v>
      </c>
      <c r="H3045" s="13" t="n">
        <f aca="false">MIN(G3045,D3045)</f>
        <v>0.7390278</v>
      </c>
      <c r="I3045" s="13" t="n">
        <f aca="false">IFERROR(MIN(F3045*Eingaben!$B$19,MAX(0,D3045-H3045)),0)</f>
        <v>1.75959</v>
      </c>
      <c r="J3045" s="13" t="n">
        <f aca="false">IFERROR(MIN(Eingaben!$B$18,MAX(0,F3045-I3045)),0)</f>
        <v>0.75411</v>
      </c>
      <c r="K3045" s="13" t="n">
        <f aca="false">H3045+I3045</f>
        <v>2.4986178</v>
      </c>
      <c r="L3045" s="13" t="n">
        <f aca="false">MAX(0,D3045-K3045)</f>
        <v>3.4293822</v>
      </c>
      <c r="M3045" s="13" t="n">
        <f aca="false">MAX(0,F3045-I3045-J3045)</f>
        <v>0</v>
      </c>
      <c r="N3045" s="13" t="n">
        <f aca="false">IF(Kalender!A117="",0,J3044-H3045)</f>
        <v>0.0150822</v>
      </c>
    </row>
    <row r="3046" customFormat="false" ht="16.4" hidden="false" customHeight="false" outlineLevel="0" collapsed="false">
      <c r="A3046" s="13" t="str">
        <f aca="false">""</f>
        <v/>
      </c>
      <c r="B3046" s="13" t="n">
        <f aca="false">114</f>
        <v>114</v>
      </c>
      <c r="C3046" s="13" t="n">
        <f aca="false">IF(Szenarien!$H$19="OK",(IFERROR(SUMIF(Nutzungsprofile!$B$6:$B$11,"Schulbetrieb",Nutzungsprofile!$G$6:$G$11)*Kalender!C118/SUM(Kalender!$C$5:$C$370),0)+IFERROR(SUMIF(Nutzungsprofile!$B$6:$B$11,"Halle",Nutzungsprofile!$G$6:$G$11)*Kalender!D118/SUM(Kalender!$D$5:$D$370),0)+IFERROR(SUMIF(Nutzungsprofile!$B$6:$B$11,"Individuell",Nutzungsprofile!$G$6:$G$11)*Kalender!E118/SUM(Kalender!$E$5:$E$370),0))*Szenarien!$E$19,0)</f>
        <v>2.94</v>
      </c>
      <c r="D3046" s="13" t="n">
        <f aca="false">IF(Szenarien!$H$19="OK",(IFERROR(SUMIF(Nutzungsprofile!$B$17:$B$22,"Schulbetrieb",Nutzungsprofile!$G$17:$G$22)*Kalender!C118/SUM(Kalender!$C$5:$C$370),0)+IFERROR(SUMIF(Nutzungsprofile!$B$17:$B$22,"Halle",Nutzungsprofile!$G$17:$G$22)*Kalender!D118/SUM(Kalender!$D$5:$D$370),0)+IFERROR(SUMIF(Nutzungsprofile!$B$17:$B$22,"Individuell",Nutzungsprofile!$G$17:$G$22)*Kalender!E118/SUM(Kalender!$E$5:$E$370),0))*Szenarien!$D$19,0)</f>
        <v>5.928</v>
      </c>
      <c r="E3046" s="13" t="n">
        <f aca="false">IFERROR(MIN(C3046,Eingaben!$B$17)*Eingaben!$B$16,0)</f>
        <v>2.793</v>
      </c>
      <c r="F3046" s="13" t="n">
        <f aca="false">IFERROR(E3046*Eingaben!$B$15,0)</f>
        <v>2.5137</v>
      </c>
      <c r="G3046" s="13" t="n">
        <f aca="false">IFERROR(IF(Kalender!A118="",0,J3045*(1-Eingaben!$B$20)),0)</f>
        <v>0.7390278</v>
      </c>
      <c r="H3046" s="13" t="n">
        <f aca="false">MIN(G3046,D3046)</f>
        <v>0.7390278</v>
      </c>
      <c r="I3046" s="13" t="n">
        <f aca="false">IFERROR(MIN(F3046*Eingaben!$B$19,MAX(0,D3046-H3046)),0)</f>
        <v>1.75959</v>
      </c>
      <c r="J3046" s="13" t="n">
        <f aca="false">IFERROR(MIN(Eingaben!$B$18,MAX(0,F3046-I3046)),0)</f>
        <v>0.75411</v>
      </c>
      <c r="K3046" s="13" t="n">
        <f aca="false">H3046+I3046</f>
        <v>2.4986178</v>
      </c>
      <c r="L3046" s="13" t="n">
        <f aca="false">MAX(0,D3046-K3046)</f>
        <v>3.4293822</v>
      </c>
      <c r="M3046" s="13" t="n">
        <f aca="false">MAX(0,F3046-I3046-J3046)</f>
        <v>0</v>
      </c>
      <c r="N3046" s="13" t="n">
        <f aca="false">IF(Kalender!A118="",0,J3045-H3046)</f>
        <v>0.0150822</v>
      </c>
    </row>
    <row r="3047" customFormat="false" ht="16.4" hidden="false" customHeight="false" outlineLevel="0" collapsed="false">
      <c r="A3047" s="13" t="str">
        <f aca="false">""</f>
        <v/>
      </c>
      <c r="B3047" s="13" t="n">
        <f aca="false">115</f>
        <v>115</v>
      </c>
      <c r="C3047" s="13" t="n">
        <f aca="false">IF(Szenarien!$H$19="OK",(IFERROR(SUMIF(Nutzungsprofile!$B$6:$B$11,"Schulbetrieb",Nutzungsprofile!$G$6:$G$11)*Kalender!C119/SUM(Kalender!$C$5:$C$370),0)+IFERROR(SUMIF(Nutzungsprofile!$B$6:$B$11,"Halle",Nutzungsprofile!$G$6:$G$11)*Kalender!D119/SUM(Kalender!$D$5:$D$370),0)+IFERROR(SUMIF(Nutzungsprofile!$B$6:$B$11,"Individuell",Nutzungsprofile!$G$6:$G$11)*Kalender!E119/SUM(Kalender!$E$5:$E$370),0))*Szenarien!$E$19,0)</f>
        <v>2.04</v>
      </c>
      <c r="D3047" s="13" t="n">
        <f aca="false">IF(Szenarien!$H$19="OK",(IFERROR(SUMIF(Nutzungsprofile!$B$17:$B$22,"Schulbetrieb",Nutzungsprofile!$G$17:$G$22)*Kalender!C119/SUM(Kalender!$C$5:$C$370),0)+IFERROR(SUMIF(Nutzungsprofile!$B$17:$B$22,"Halle",Nutzungsprofile!$G$17:$G$22)*Kalender!D119/SUM(Kalender!$D$5:$D$370),0)+IFERROR(SUMIF(Nutzungsprofile!$B$17:$B$22,"Individuell",Nutzungsprofile!$G$17:$G$22)*Kalender!E119/SUM(Kalender!$E$5:$E$370),0))*Szenarien!$D$19,0)</f>
        <v>1.068</v>
      </c>
      <c r="E3047" s="13" t="n">
        <f aca="false">IFERROR(MIN(C3047,Eingaben!$B$17)*Eingaben!$B$16,0)</f>
        <v>1.938</v>
      </c>
      <c r="F3047" s="13" t="n">
        <f aca="false">IFERROR(E3047*Eingaben!$B$15,0)</f>
        <v>1.7442</v>
      </c>
      <c r="G3047" s="13" t="n">
        <f aca="false">IFERROR(IF(Kalender!A119="",0,J3046*(1-Eingaben!$B$20)),0)</f>
        <v>0.7390278</v>
      </c>
      <c r="H3047" s="13" t="n">
        <f aca="false">MIN(G3047,D3047)</f>
        <v>0.7390278</v>
      </c>
      <c r="I3047" s="13" t="n">
        <f aca="false">IFERROR(MIN(F3047*Eingaben!$B$19,MAX(0,D3047-H3047)),0)</f>
        <v>0.3289722</v>
      </c>
      <c r="J3047" s="13" t="n">
        <f aca="false">IFERROR(MIN(Eingaben!$B$18,MAX(0,F3047-I3047)),0)</f>
        <v>1.4152278</v>
      </c>
      <c r="K3047" s="13" t="n">
        <f aca="false">H3047+I3047</f>
        <v>1.068</v>
      </c>
      <c r="L3047" s="13" t="n">
        <f aca="false">MAX(0,D3047-K3047)</f>
        <v>0</v>
      </c>
      <c r="M3047" s="13" t="n">
        <f aca="false">MAX(0,F3047-I3047-J3047)</f>
        <v>0</v>
      </c>
      <c r="N3047" s="13" t="n">
        <f aca="false">IF(Kalender!A119="",0,J3046-H3047)</f>
        <v>0.0150822</v>
      </c>
    </row>
    <row r="3048" customFormat="false" ht="16.4" hidden="false" customHeight="false" outlineLevel="0" collapsed="false">
      <c r="A3048" s="13" t="str">
        <f aca="false">""</f>
        <v/>
      </c>
      <c r="B3048" s="13" t="n">
        <f aca="false">116</f>
        <v>116</v>
      </c>
      <c r="C3048" s="13" t="n">
        <f aca="false">IF(Szenarien!$H$19="OK",(IFERROR(SUMIF(Nutzungsprofile!$B$6:$B$11,"Schulbetrieb",Nutzungsprofile!$G$6:$G$11)*Kalender!C120/SUM(Kalender!$C$5:$C$370),0)+IFERROR(SUMIF(Nutzungsprofile!$B$6:$B$11,"Halle",Nutzungsprofile!$G$6:$G$11)*Kalender!D120/SUM(Kalender!$D$5:$D$370),0)+IFERROR(SUMIF(Nutzungsprofile!$B$6:$B$11,"Individuell",Nutzungsprofile!$G$6:$G$11)*Kalender!E120/SUM(Kalender!$E$5:$E$370),0))*Szenarien!$E$19,0)</f>
        <v>2.04</v>
      </c>
      <c r="D3048" s="13" t="n">
        <f aca="false">IF(Szenarien!$H$19="OK",(IFERROR(SUMIF(Nutzungsprofile!$B$17:$B$22,"Schulbetrieb",Nutzungsprofile!$G$17:$G$22)*Kalender!C120/SUM(Kalender!$C$5:$C$370),0)+IFERROR(SUMIF(Nutzungsprofile!$B$17:$B$22,"Halle",Nutzungsprofile!$G$17:$G$22)*Kalender!D120/SUM(Kalender!$D$5:$D$370),0)+IFERROR(SUMIF(Nutzungsprofile!$B$17:$B$22,"Individuell",Nutzungsprofile!$G$17:$G$22)*Kalender!E120/SUM(Kalender!$E$5:$E$370),0))*Szenarien!$D$19,0)</f>
        <v>1.068</v>
      </c>
      <c r="E3048" s="13" t="n">
        <f aca="false">IFERROR(MIN(C3048,Eingaben!$B$17)*Eingaben!$B$16,0)</f>
        <v>1.938</v>
      </c>
      <c r="F3048" s="13" t="n">
        <f aca="false">IFERROR(E3048*Eingaben!$B$15,0)</f>
        <v>1.7442</v>
      </c>
      <c r="G3048" s="13" t="n">
        <f aca="false">IFERROR(IF(Kalender!A120="",0,J3047*(1-Eingaben!$B$20)),0)</f>
        <v>1.386923244</v>
      </c>
      <c r="H3048" s="13" t="n">
        <f aca="false">MIN(G3048,D3048)</f>
        <v>1.068</v>
      </c>
      <c r="I3048" s="13" t="n">
        <f aca="false">IFERROR(MIN(F3048*Eingaben!$B$19,MAX(0,D3048-H3048)),0)</f>
        <v>0</v>
      </c>
      <c r="J3048" s="13" t="n">
        <f aca="false">IFERROR(MIN(Eingaben!$B$18,MAX(0,F3048-I3048)),0)</f>
        <v>1.7442</v>
      </c>
      <c r="K3048" s="13" t="n">
        <f aca="false">H3048+I3048</f>
        <v>1.068</v>
      </c>
      <c r="L3048" s="13" t="n">
        <f aca="false">MAX(0,D3048-K3048)</f>
        <v>0</v>
      </c>
      <c r="M3048" s="13" t="n">
        <f aca="false">MAX(0,F3048-I3048-J3048)</f>
        <v>0</v>
      </c>
      <c r="N3048" s="13" t="n">
        <f aca="false">IF(Kalender!A120="",0,J3047-H3048)</f>
        <v>0.3472278</v>
      </c>
    </row>
    <row r="3049" customFormat="false" ht="16.4" hidden="false" customHeight="false" outlineLevel="0" collapsed="false">
      <c r="A3049" s="13" t="str">
        <f aca="false">""</f>
        <v/>
      </c>
      <c r="B3049" s="13" t="n">
        <f aca="false">117</f>
        <v>117</v>
      </c>
      <c r="C3049" s="13" t="n">
        <f aca="false">IF(Szenarien!$H$19="OK",(IFERROR(SUMIF(Nutzungsprofile!$B$6:$B$11,"Schulbetrieb",Nutzungsprofile!$G$6:$G$11)*Kalender!C121/SUM(Kalender!$C$5:$C$370),0)+IFERROR(SUMIF(Nutzungsprofile!$B$6:$B$11,"Halle",Nutzungsprofile!$G$6:$G$11)*Kalender!D121/SUM(Kalender!$D$5:$D$370),0)+IFERROR(SUMIF(Nutzungsprofile!$B$6:$B$11,"Individuell",Nutzungsprofile!$G$6:$G$11)*Kalender!E121/SUM(Kalender!$E$5:$E$370),0))*Szenarien!$E$19,0)</f>
        <v>2.94</v>
      </c>
      <c r="D3049" s="13" t="n">
        <f aca="false">IF(Szenarien!$H$19="OK",(IFERROR(SUMIF(Nutzungsprofile!$B$17:$B$22,"Schulbetrieb",Nutzungsprofile!$G$17:$G$22)*Kalender!C121/SUM(Kalender!$C$5:$C$370),0)+IFERROR(SUMIF(Nutzungsprofile!$B$17:$B$22,"Halle",Nutzungsprofile!$G$17:$G$22)*Kalender!D121/SUM(Kalender!$D$5:$D$370),0)+IFERROR(SUMIF(Nutzungsprofile!$B$17:$B$22,"Individuell",Nutzungsprofile!$G$17:$G$22)*Kalender!E121/SUM(Kalender!$E$5:$E$370),0))*Szenarien!$D$19,0)</f>
        <v>5.928</v>
      </c>
      <c r="E3049" s="13" t="n">
        <f aca="false">IFERROR(MIN(C3049,Eingaben!$B$17)*Eingaben!$B$16,0)</f>
        <v>2.793</v>
      </c>
      <c r="F3049" s="13" t="n">
        <f aca="false">IFERROR(E3049*Eingaben!$B$15,0)</f>
        <v>2.5137</v>
      </c>
      <c r="G3049" s="13" t="n">
        <f aca="false">IFERROR(IF(Kalender!A121="",0,J3048*(1-Eingaben!$B$20)),0)</f>
        <v>1.709316</v>
      </c>
      <c r="H3049" s="13" t="n">
        <f aca="false">MIN(G3049,D3049)</f>
        <v>1.709316</v>
      </c>
      <c r="I3049" s="13" t="n">
        <f aca="false">IFERROR(MIN(F3049*Eingaben!$B$19,MAX(0,D3049-H3049)),0)</f>
        <v>1.75959</v>
      </c>
      <c r="J3049" s="13" t="n">
        <f aca="false">IFERROR(MIN(Eingaben!$B$18,MAX(0,F3049-I3049)),0)</f>
        <v>0.75411</v>
      </c>
      <c r="K3049" s="13" t="n">
        <f aca="false">H3049+I3049</f>
        <v>3.468906</v>
      </c>
      <c r="L3049" s="13" t="n">
        <f aca="false">MAX(0,D3049-K3049)</f>
        <v>2.459094</v>
      </c>
      <c r="M3049" s="13" t="n">
        <f aca="false">MAX(0,F3049-I3049-J3049)</f>
        <v>0</v>
      </c>
      <c r="N3049" s="13" t="n">
        <f aca="false">IF(Kalender!A121="",0,J3048-H3049)</f>
        <v>0.0348840000000001</v>
      </c>
    </row>
    <row r="3050" customFormat="false" ht="16.4" hidden="false" customHeight="false" outlineLevel="0" collapsed="false">
      <c r="A3050" s="13" t="str">
        <f aca="false">""</f>
        <v/>
      </c>
      <c r="B3050" s="13" t="n">
        <f aca="false">118</f>
        <v>118</v>
      </c>
      <c r="C3050" s="13" t="n">
        <f aca="false">IF(Szenarien!$H$19="OK",(IFERROR(SUMIF(Nutzungsprofile!$B$6:$B$11,"Schulbetrieb",Nutzungsprofile!$G$6:$G$11)*Kalender!C122/SUM(Kalender!$C$5:$C$370),0)+IFERROR(SUMIF(Nutzungsprofile!$B$6:$B$11,"Halle",Nutzungsprofile!$G$6:$G$11)*Kalender!D122/SUM(Kalender!$D$5:$D$370),0)+IFERROR(SUMIF(Nutzungsprofile!$B$6:$B$11,"Individuell",Nutzungsprofile!$G$6:$G$11)*Kalender!E122/SUM(Kalender!$E$5:$E$370),0))*Szenarien!$E$19,0)</f>
        <v>2.94</v>
      </c>
      <c r="D3050" s="13" t="n">
        <f aca="false">IF(Szenarien!$H$19="OK",(IFERROR(SUMIF(Nutzungsprofile!$B$17:$B$22,"Schulbetrieb",Nutzungsprofile!$G$17:$G$22)*Kalender!C122/SUM(Kalender!$C$5:$C$370),0)+IFERROR(SUMIF(Nutzungsprofile!$B$17:$B$22,"Halle",Nutzungsprofile!$G$17:$G$22)*Kalender!D122/SUM(Kalender!$D$5:$D$370),0)+IFERROR(SUMIF(Nutzungsprofile!$B$17:$B$22,"Individuell",Nutzungsprofile!$G$17:$G$22)*Kalender!E122/SUM(Kalender!$E$5:$E$370),0))*Szenarien!$D$19,0)</f>
        <v>5.928</v>
      </c>
      <c r="E3050" s="13" t="n">
        <f aca="false">IFERROR(MIN(C3050,Eingaben!$B$17)*Eingaben!$B$16,0)</f>
        <v>2.793</v>
      </c>
      <c r="F3050" s="13" t="n">
        <f aca="false">IFERROR(E3050*Eingaben!$B$15,0)</f>
        <v>2.5137</v>
      </c>
      <c r="G3050" s="13" t="n">
        <f aca="false">IFERROR(IF(Kalender!A122="",0,J3049*(1-Eingaben!$B$20)),0)</f>
        <v>0.7390278</v>
      </c>
      <c r="H3050" s="13" t="n">
        <f aca="false">MIN(G3050,D3050)</f>
        <v>0.7390278</v>
      </c>
      <c r="I3050" s="13" t="n">
        <f aca="false">IFERROR(MIN(F3050*Eingaben!$B$19,MAX(0,D3050-H3050)),0)</f>
        <v>1.75959</v>
      </c>
      <c r="J3050" s="13" t="n">
        <f aca="false">IFERROR(MIN(Eingaben!$B$18,MAX(0,F3050-I3050)),0)</f>
        <v>0.75411</v>
      </c>
      <c r="K3050" s="13" t="n">
        <f aca="false">H3050+I3050</f>
        <v>2.4986178</v>
      </c>
      <c r="L3050" s="13" t="n">
        <f aca="false">MAX(0,D3050-K3050)</f>
        <v>3.4293822</v>
      </c>
      <c r="M3050" s="13" t="n">
        <f aca="false">MAX(0,F3050-I3050-J3050)</f>
        <v>0</v>
      </c>
      <c r="N3050" s="13" t="n">
        <f aca="false">IF(Kalender!A122="",0,J3049-H3050)</f>
        <v>0.0150822</v>
      </c>
    </row>
    <row r="3051" customFormat="false" ht="16.4" hidden="false" customHeight="false" outlineLevel="0" collapsed="false">
      <c r="A3051" s="13" t="str">
        <f aca="false">""</f>
        <v/>
      </c>
      <c r="B3051" s="13" t="n">
        <f aca="false">119</f>
        <v>119</v>
      </c>
      <c r="C3051" s="13" t="n">
        <f aca="false">IF(Szenarien!$H$19="OK",(IFERROR(SUMIF(Nutzungsprofile!$B$6:$B$11,"Schulbetrieb",Nutzungsprofile!$G$6:$G$11)*Kalender!C123/SUM(Kalender!$C$5:$C$370),0)+IFERROR(SUMIF(Nutzungsprofile!$B$6:$B$11,"Halle",Nutzungsprofile!$G$6:$G$11)*Kalender!D123/SUM(Kalender!$D$5:$D$370),0)+IFERROR(SUMIF(Nutzungsprofile!$B$6:$B$11,"Individuell",Nutzungsprofile!$G$6:$G$11)*Kalender!E123/SUM(Kalender!$E$5:$E$370),0))*Szenarien!$E$19,0)</f>
        <v>2.94</v>
      </c>
      <c r="D3051" s="13" t="n">
        <f aca="false">IF(Szenarien!$H$19="OK",(IFERROR(SUMIF(Nutzungsprofile!$B$17:$B$22,"Schulbetrieb",Nutzungsprofile!$G$17:$G$22)*Kalender!C123/SUM(Kalender!$C$5:$C$370),0)+IFERROR(SUMIF(Nutzungsprofile!$B$17:$B$22,"Halle",Nutzungsprofile!$G$17:$G$22)*Kalender!D123/SUM(Kalender!$D$5:$D$370),0)+IFERROR(SUMIF(Nutzungsprofile!$B$17:$B$22,"Individuell",Nutzungsprofile!$G$17:$G$22)*Kalender!E123/SUM(Kalender!$E$5:$E$370),0))*Szenarien!$D$19,0)</f>
        <v>5.928</v>
      </c>
      <c r="E3051" s="13" t="n">
        <f aca="false">IFERROR(MIN(C3051,Eingaben!$B$17)*Eingaben!$B$16,0)</f>
        <v>2.793</v>
      </c>
      <c r="F3051" s="13" t="n">
        <f aca="false">IFERROR(E3051*Eingaben!$B$15,0)</f>
        <v>2.5137</v>
      </c>
      <c r="G3051" s="13" t="n">
        <f aca="false">IFERROR(IF(Kalender!A123="",0,J3050*(1-Eingaben!$B$20)),0)</f>
        <v>0.7390278</v>
      </c>
      <c r="H3051" s="13" t="n">
        <f aca="false">MIN(G3051,D3051)</f>
        <v>0.7390278</v>
      </c>
      <c r="I3051" s="13" t="n">
        <f aca="false">IFERROR(MIN(F3051*Eingaben!$B$19,MAX(0,D3051-H3051)),0)</f>
        <v>1.75959</v>
      </c>
      <c r="J3051" s="13" t="n">
        <f aca="false">IFERROR(MIN(Eingaben!$B$18,MAX(0,F3051-I3051)),0)</f>
        <v>0.75411</v>
      </c>
      <c r="K3051" s="13" t="n">
        <f aca="false">H3051+I3051</f>
        <v>2.4986178</v>
      </c>
      <c r="L3051" s="13" t="n">
        <f aca="false">MAX(0,D3051-K3051)</f>
        <v>3.4293822</v>
      </c>
      <c r="M3051" s="13" t="n">
        <f aca="false">MAX(0,F3051-I3051-J3051)</f>
        <v>0</v>
      </c>
      <c r="N3051" s="13" t="n">
        <f aca="false">IF(Kalender!A123="",0,J3050-H3051)</f>
        <v>0.0150822</v>
      </c>
    </row>
    <row r="3052" customFormat="false" ht="16.4" hidden="false" customHeight="false" outlineLevel="0" collapsed="false">
      <c r="A3052" s="13" t="str">
        <f aca="false">""</f>
        <v/>
      </c>
      <c r="B3052" s="13" t="n">
        <f aca="false">120</f>
        <v>120</v>
      </c>
      <c r="C3052" s="13" t="n">
        <f aca="false">IF(Szenarien!$H$19="OK",(IFERROR(SUMIF(Nutzungsprofile!$B$6:$B$11,"Schulbetrieb",Nutzungsprofile!$G$6:$G$11)*Kalender!C124/SUM(Kalender!$C$5:$C$370),0)+IFERROR(SUMIF(Nutzungsprofile!$B$6:$B$11,"Halle",Nutzungsprofile!$G$6:$G$11)*Kalender!D124/SUM(Kalender!$D$5:$D$370),0)+IFERROR(SUMIF(Nutzungsprofile!$B$6:$B$11,"Individuell",Nutzungsprofile!$G$6:$G$11)*Kalender!E124/SUM(Kalender!$E$5:$E$370),0))*Szenarien!$E$19,0)</f>
        <v>2.94</v>
      </c>
      <c r="D3052" s="13" t="n">
        <f aca="false">IF(Szenarien!$H$19="OK",(IFERROR(SUMIF(Nutzungsprofile!$B$17:$B$22,"Schulbetrieb",Nutzungsprofile!$G$17:$G$22)*Kalender!C124/SUM(Kalender!$C$5:$C$370),0)+IFERROR(SUMIF(Nutzungsprofile!$B$17:$B$22,"Halle",Nutzungsprofile!$G$17:$G$22)*Kalender!D124/SUM(Kalender!$D$5:$D$370),0)+IFERROR(SUMIF(Nutzungsprofile!$B$17:$B$22,"Individuell",Nutzungsprofile!$G$17:$G$22)*Kalender!E124/SUM(Kalender!$E$5:$E$370),0))*Szenarien!$D$19,0)</f>
        <v>5.928</v>
      </c>
      <c r="E3052" s="13" t="n">
        <f aca="false">IFERROR(MIN(C3052,Eingaben!$B$17)*Eingaben!$B$16,0)</f>
        <v>2.793</v>
      </c>
      <c r="F3052" s="13" t="n">
        <f aca="false">IFERROR(E3052*Eingaben!$B$15,0)</f>
        <v>2.5137</v>
      </c>
      <c r="G3052" s="13" t="n">
        <f aca="false">IFERROR(IF(Kalender!A124="",0,J3051*(1-Eingaben!$B$20)),0)</f>
        <v>0.7390278</v>
      </c>
      <c r="H3052" s="13" t="n">
        <f aca="false">MIN(G3052,D3052)</f>
        <v>0.7390278</v>
      </c>
      <c r="I3052" s="13" t="n">
        <f aca="false">IFERROR(MIN(F3052*Eingaben!$B$19,MAX(0,D3052-H3052)),0)</f>
        <v>1.75959</v>
      </c>
      <c r="J3052" s="13" t="n">
        <f aca="false">IFERROR(MIN(Eingaben!$B$18,MAX(0,F3052-I3052)),0)</f>
        <v>0.75411</v>
      </c>
      <c r="K3052" s="13" t="n">
        <f aca="false">H3052+I3052</f>
        <v>2.4986178</v>
      </c>
      <c r="L3052" s="13" t="n">
        <f aca="false">MAX(0,D3052-K3052)</f>
        <v>3.4293822</v>
      </c>
      <c r="M3052" s="13" t="n">
        <f aca="false">MAX(0,F3052-I3052-J3052)</f>
        <v>0</v>
      </c>
      <c r="N3052" s="13" t="n">
        <f aca="false">IF(Kalender!A124="",0,J3051-H3052)</f>
        <v>0.0150822</v>
      </c>
    </row>
    <row r="3053" customFormat="false" ht="16.4" hidden="false" customHeight="false" outlineLevel="0" collapsed="false">
      <c r="A3053" s="13" t="str">
        <f aca="false">""</f>
        <v/>
      </c>
      <c r="B3053" s="13" t="n">
        <f aca="false">121</f>
        <v>121</v>
      </c>
      <c r="C3053" s="13" t="n">
        <f aca="false">IF(Szenarien!$H$19="OK",(IFERROR(SUMIF(Nutzungsprofile!$B$6:$B$11,"Schulbetrieb",Nutzungsprofile!$G$6:$G$11)*Kalender!C125/SUM(Kalender!$C$5:$C$370),0)+IFERROR(SUMIF(Nutzungsprofile!$B$6:$B$11,"Halle",Nutzungsprofile!$G$6:$G$11)*Kalender!D125/SUM(Kalender!$D$5:$D$370),0)+IFERROR(SUMIF(Nutzungsprofile!$B$6:$B$11,"Individuell",Nutzungsprofile!$G$6:$G$11)*Kalender!E125/SUM(Kalender!$E$5:$E$370),0))*Szenarien!$E$19,0)</f>
        <v>2.94</v>
      </c>
      <c r="D3053" s="13" t="n">
        <f aca="false">IF(Szenarien!$H$19="OK",(IFERROR(SUMIF(Nutzungsprofile!$B$17:$B$22,"Schulbetrieb",Nutzungsprofile!$G$17:$G$22)*Kalender!C125/SUM(Kalender!$C$5:$C$370),0)+IFERROR(SUMIF(Nutzungsprofile!$B$17:$B$22,"Halle",Nutzungsprofile!$G$17:$G$22)*Kalender!D125/SUM(Kalender!$D$5:$D$370),0)+IFERROR(SUMIF(Nutzungsprofile!$B$17:$B$22,"Individuell",Nutzungsprofile!$G$17:$G$22)*Kalender!E125/SUM(Kalender!$E$5:$E$370),0))*Szenarien!$D$19,0)</f>
        <v>5.928</v>
      </c>
      <c r="E3053" s="13" t="n">
        <f aca="false">IFERROR(MIN(C3053,Eingaben!$B$17)*Eingaben!$B$16,0)</f>
        <v>2.793</v>
      </c>
      <c r="F3053" s="13" t="n">
        <f aca="false">IFERROR(E3053*Eingaben!$B$15,0)</f>
        <v>2.5137</v>
      </c>
      <c r="G3053" s="13" t="n">
        <f aca="false">IFERROR(IF(Kalender!A125="",0,J3052*(1-Eingaben!$B$20)),0)</f>
        <v>0.7390278</v>
      </c>
      <c r="H3053" s="13" t="n">
        <f aca="false">MIN(G3053,D3053)</f>
        <v>0.7390278</v>
      </c>
      <c r="I3053" s="13" t="n">
        <f aca="false">IFERROR(MIN(F3053*Eingaben!$B$19,MAX(0,D3053-H3053)),0)</f>
        <v>1.75959</v>
      </c>
      <c r="J3053" s="13" t="n">
        <f aca="false">IFERROR(MIN(Eingaben!$B$18,MAX(0,F3053-I3053)),0)</f>
        <v>0.75411</v>
      </c>
      <c r="K3053" s="13" t="n">
        <f aca="false">H3053+I3053</f>
        <v>2.4986178</v>
      </c>
      <c r="L3053" s="13" t="n">
        <f aca="false">MAX(0,D3053-K3053)</f>
        <v>3.4293822</v>
      </c>
      <c r="M3053" s="13" t="n">
        <f aca="false">MAX(0,F3053-I3053-J3053)</f>
        <v>0</v>
      </c>
      <c r="N3053" s="13" t="n">
        <f aca="false">IF(Kalender!A125="",0,J3052-H3053)</f>
        <v>0.0150822</v>
      </c>
    </row>
    <row r="3054" customFormat="false" ht="16.4" hidden="false" customHeight="false" outlineLevel="0" collapsed="false">
      <c r="A3054" s="13" t="str">
        <f aca="false">""</f>
        <v/>
      </c>
      <c r="B3054" s="13" t="n">
        <f aca="false">122</f>
        <v>122</v>
      </c>
      <c r="C3054" s="13" t="n">
        <f aca="false">IF(Szenarien!$H$19="OK",(IFERROR(SUMIF(Nutzungsprofile!$B$6:$B$11,"Schulbetrieb",Nutzungsprofile!$G$6:$G$11)*Kalender!C126/SUM(Kalender!$C$5:$C$370),0)+IFERROR(SUMIF(Nutzungsprofile!$B$6:$B$11,"Halle",Nutzungsprofile!$G$6:$G$11)*Kalender!D126/SUM(Kalender!$D$5:$D$370),0)+IFERROR(SUMIF(Nutzungsprofile!$B$6:$B$11,"Individuell",Nutzungsprofile!$G$6:$G$11)*Kalender!E126/SUM(Kalender!$E$5:$E$370),0))*Szenarien!$E$19,0)</f>
        <v>2.04</v>
      </c>
      <c r="D3054" s="13" t="n">
        <f aca="false">IF(Szenarien!$H$19="OK",(IFERROR(SUMIF(Nutzungsprofile!$B$17:$B$22,"Schulbetrieb",Nutzungsprofile!$G$17:$G$22)*Kalender!C126/SUM(Kalender!$C$5:$C$370),0)+IFERROR(SUMIF(Nutzungsprofile!$B$17:$B$22,"Halle",Nutzungsprofile!$G$17:$G$22)*Kalender!D126/SUM(Kalender!$D$5:$D$370),0)+IFERROR(SUMIF(Nutzungsprofile!$B$17:$B$22,"Individuell",Nutzungsprofile!$G$17:$G$22)*Kalender!E126/SUM(Kalender!$E$5:$E$370),0))*Szenarien!$D$19,0)</f>
        <v>1.068</v>
      </c>
      <c r="E3054" s="13" t="n">
        <f aca="false">IFERROR(MIN(C3054,Eingaben!$B$17)*Eingaben!$B$16,0)</f>
        <v>1.938</v>
      </c>
      <c r="F3054" s="13" t="n">
        <f aca="false">IFERROR(E3054*Eingaben!$B$15,0)</f>
        <v>1.7442</v>
      </c>
      <c r="G3054" s="13" t="n">
        <f aca="false">IFERROR(IF(Kalender!A126="",0,J3053*(1-Eingaben!$B$20)),0)</f>
        <v>0.7390278</v>
      </c>
      <c r="H3054" s="13" t="n">
        <f aca="false">MIN(G3054,D3054)</f>
        <v>0.7390278</v>
      </c>
      <c r="I3054" s="13" t="n">
        <f aca="false">IFERROR(MIN(F3054*Eingaben!$B$19,MAX(0,D3054-H3054)),0)</f>
        <v>0.3289722</v>
      </c>
      <c r="J3054" s="13" t="n">
        <f aca="false">IFERROR(MIN(Eingaben!$B$18,MAX(0,F3054-I3054)),0)</f>
        <v>1.4152278</v>
      </c>
      <c r="K3054" s="13" t="n">
        <f aca="false">H3054+I3054</f>
        <v>1.068</v>
      </c>
      <c r="L3054" s="13" t="n">
        <f aca="false">MAX(0,D3054-K3054)</f>
        <v>0</v>
      </c>
      <c r="M3054" s="13" t="n">
        <f aca="false">MAX(0,F3054-I3054-J3054)</f>
        <v>0</v>
      </c>
      <c r="N3054" s="13" t="n">
        <f aca="false">IF(Kalender!A126="",0,J3053-H3054)</f>
        <v>0.0150822</v>
      </c>
    </row>
    <row r="3055" customFormat="false" ht="16.4" hidden="false" customHeight="false" outlineLevel="0" collapsed="false">
      <c r="A3055" s="13" t="str">
        <f aca="false">""</f>
        <v/>
      </c>
      <c r="B3055" s="13" t="n">
        <f aca="false">123</f>
        <v>123</v>
      </c>
      <c r="C3055" s="13" t="n">
        <f aca="false">IF(Szenarien!$H$19="OK",(IFERROR(SUMIF(Nutzungsprofile!$B$6:$B$11,"Schulbetrieb",Nutzungsprofile!$G$6:$G$11)*Kalender!C127/SUM(Kalender!$C$5:$C$370),0)+IFERROR(SUMIF(Nutzungsprofile!$B$6:$B$11,"Halle",Nutzungsprofile!$G$6:$G$11)*Kalender!D127/SUM(Kalender!$D$5:$D$370),0)+IFERROR(SUMIF(Nutzungsprofile!$B$6:$B$11,"Individuell",Nutzungsprofile!$G$6:$G$11)*Kalender!E127/SUM(Kalender!$E$5:$E$370),0))*Szenarien!$E$19,0)</f>
        <v>2.04</v>
      </c>
      <c r="D3055" s="13" t="n">
        <f aca="false">IF(Szenarien!$H$19="OK",(IFERROR(SUMIF(Nutzungsprofile!$B$17:$B$22,"Schulbetrieb",Nutzungsprofile!$G$17:$G$22)*Kalender!C127/SUM(Kalender!$C$5:$C$370),0)+IFERROR(SUMIF(Nutzungsprofile!$B$17:$B$22,"Halle",Nutzungsprofile!$G$17:$G$22)*Kalender!D127/SUM(Kalender!$D$5:$D$370),0)+IFERROR(SUMIF(Nutzungsprofile!$B$17:$B$22,"Individuell",Nutzungsprofile!$G$17:$G$22)*Kalender!E127/SUM(Kalender!$E$5:$E$370),0))*Szenarien!$D$19,0)</f>
        <v>1.068</v>
      </c>
      <c r="E3055" s="13" t="n">
        <f aca="false">IFERROR(MIN(C3055,Eingaben!$B$17)*Eingaben!$B$16,0)</f>
        <v>1.938</v>
      </c>
      <c r="F3055" s="13" t="n">
        <f aca="false">IFERROR(E3055*Eingaben!$B$15,0)</f>
        <v>1.7442</v>
      </c>
      <c r="G3055" s="13" t="n">
        <f aca="false">IFERROR(IF(Kalender!A127="",0,J3054*(1-Eingaben!$B$20)),0)</f>
        <v>1.386923244</v>
      </c>
      <c r="H3055" s="13" t="n">
        <f aca="false">MIN(G3055,D3055)</f>
        <v>1.068</v>
      </c>
      <c r="I3055" s="13" t="n">
        <f aca="false">IFERROR(MIN(F3055*Eingaben!$B$19,MAX(0,D3055-H3055)),0)</f>
        <v>0</v>
      </c>
      <c r="J3055" s="13" t="n">
        <f aca="false">IFERROR(MIN(Eingaben!$B$18,MAX(0,F3055-I3055)),0)</f>
        <v>1.7442</v>
      </c>
      <c r="K3055" s="13" t="n">
        <f aca="false">H3055+I3055</f>
        <v>1.068</v>
      </c>
      <c r="L3055" s="13" t="n">
        <f aca="false">MAX(0,D3055-K3055)</f>
        <v>0</v>
      </c>
      <c r="M3055" s="13" t="n">
        <f aca="false">MAX(0,F3055-I3055-J3055)</f>
        <v>0</v>
      </c>
      <c r="N3055" s="13" t="n">
        <f aca="false">IF(Kalender!A127="",0,J3054-H3055)</f>
        <v>0.3472278</v>
      </c>
    </row>
    <row r="3056" customFormat="false" ht="16.4" hidden="false" customHeight="false" outlineLevel="0" collapsed="false">
      <c r="A3056" s="13" t="str">
        <f aca="false">""</f>
        <v/>
      </c>
      <c r="B3056" s="13" t="n">
        <f aca="false">124</f>
        <v>124</v>
      </c>
      <c r="C3056" s="13" t="n">
        <f aca="false">IF(Szenarien!$H$19="OK",(IFERROR(SUMIF(Nutzungsprofile!$B$6:$B$11,"Schulbetrieb",Nutzungsprofile!$G$6:$G$11)*Kalender!C128/SUM(Kalender!$C$5:$C$370),0)+IFERROR(SUMIF(Nutzungsprofile!$B$6:$B$11,"Halle",Nutzungsprofile!$G$6:$G$11)*Kalender!D128/SUM(Kalender!$D$5:$D$370),0)+IFERROR(SUMIF(Nutzungsprofile!$B$6:$B$11,"Individuell",Nutzungsprofile!$G$6:$G$11)*Kalender!E128/SUM(Kalender!$E$5:$E$370),0))*Szenarien!$E$19,0)</f>
        <v>2.94</v>
      </c>
      <c r="D3056" s="13" t="n">
        <f aca="false">IF(Szenarien!$H$19="OK",(IFERROR(SUMIF(Nutzungsprofile!$B$17:$B$22,"Schulbetrieb",Nutzungsprofile!$G$17:$G$22)*Kalender!C128/SUM(Kalender!$C$5:$C$370),0)+IFERROR(SUMIF(Nutzungsprofile!$B$17:$B$22,"Halle",Nutzungsprofile!$G$17:$G$22)*Kalender!D128/SUM(Kalender!$D$5:$D$370),0)+IFERROR(SUMIF(Nutzungsprofile!$B$17:$B$22,"Individuell",Nutzungsprofile!$G$17:$G$22)*Kalender!E128/SUM(Kalender!$E$5:$E$370),0))*Szenarien!$D$19,0)</f>
        <v>5.928</v>
      </c>
      <c r="E3056" s="13" t="n">
        <f aca="false">IFERROR(MIN(C3056,Eingaben!$B$17)*Eingaben!$B$16,0)</f>
        <v>2.793</v>
      </c>
      <c r="F3056" s="13" t="n">
        <f aca="false">IFERROR(E3056*Eingaben!$B$15,0)</f>
        <v>2.5137</v>
      </c>
      <c r="G3056" s="13" t="n">
        <f aca="false">IFERROR(IF(Kalender!A128="",0,J3055*(1-Eingaben!$B$20)),0)</f>
        <v>1.709316</v>
      </c>
      <c r="H3056" s="13" t="n">
        <f aca="false">MIN(G3056,D3056)</f>
        <v>1.709316</v>
      </c>
      <c r="I3056" s="13" t="n">
        <f aca="false">IFERROR(MIN(F3056*Eingaben!$B$19,MAX(0,D3056-H3056)),0)</f>
        <v>1.75959</v>
      </c>
      <c r="J3056" s="13" t="n">
        <f aca="false">IFERROR(MIN(Eingaben!$B$18,MAX(0,F3056-I3056)),0)</f>
        <v>0.75411</v>
      </c>
      <c r="K3056" s="13" t="n">
        <f aca="false">H3056+I3056</f>
        <v>3.468906</v>
      </c>
      <c r="L3056" s="13" t="n">
        <f aca="false">MAX(0,D3056-K3056)</f>
        <v>2.459094</v>
      </c>
      <c r="M3056" s="13" t="n">
        <f aca="false">MAX(0,F3056-I3056-J3056)</f>
        <v>0</v>
      </c>
      <c r="N3056" s="13" t="n">
        <f aca="false">IF(Kalender!A128="",0,J3055-H3056)</f>
        <v>0.0348840000000001</v>
      </c>
    </row>
    <row r="3057" customFormat="false" ht="16.4" hidden="false" customHeight="false" outlineLevel="0" collapsed="false">
      <c r="A3057" s="13" t="str">
        <f aca="false">""</f>
        <v/>
      </c>
      <c r="B3057" s="13" t="n">
        <f aca="false">125</f>
        <v>125</v>
      </c>
      <c r="C3057" s="13" t="n">
        <f aca="false">IF(Szenarien!$H$19="OK",(IFERROR(SUMIF(Nutzungsprofile!$B$6:$B$11,"Schulbetrieb",Nutzungsprofile!$G$6:$G$11)*Kalender!C129/SUM(Kalender!$C$5:$C$370),0)+IFERROR(SUMIF(Nutzungsprofile!$B$6:$B$11,"Halle",Nutzungsprofile!$G$6:$G$11)*Kalender!D129/SUM(Kalender!$D$5:$D$370),0)+IFERROR(SUMIF(Nutzungsprofile!$B$6:$B$11,"Individuell",Nutzungsprofile!$G$6:$G$11)*Kalender!E129/SUM(Kalender!$E$5:$E$370),0))*Szenarien!$E$19,0)</f>
        <v>2.94</v>
      </c>
      <c r="D3057" s="13" t="n">
        <f aca="false">IF(Szenarien!$H$19="OK",(IFERROR(SUMIF(Nutzungsprofile!$B$17:$B$22,"Schulbetrieb",Nutzungsprofile!$G$17:$G$22)*Kalender!C129/SUM(Kalender!$C$5:$C$370),0)+IFERROR(SUMIF(Nutzungsprofile!$B$17:$B$22,"Halle",Nutzungsprofile!$G$17:$G$22)*Kalender!D129/SUM(Kalender!$D$5:$D$370),0)+IFERROR(SUMIF(Nutzungsprofile!$B$17:$B$22,"Individuell",Nutzungsprofile!$G$17:$G$22)*Kalender!E129/SUM(Kalender!$E$5:$E$370),0))*Szenarien!$D$19,0)</f>
        <v>5.928</v>
      </c>
      <c r="E3057" s="13" t="n">
        <f aca="false">IFERROR(MIN(C3057,Eingaben!$B$17)*Eingaben!$B$16,0)</f>
        <v>2.793</v>
      </c>
      <c r="F3057" s="13" t="n">
        <f aca="false">IFERROR(E3057*Eingaben!$B$15,0)</f>
        <v>2.5137</v>
      </c>
      <c r="G3057" s="13" t="n">
        <f aca="false">IFERROR(IF(Kalender!A129="",0,J3056*(1-Eingaben!$B$20)),0)</f>
        <v>0.7390278</v>
      </c>
      <c r="H3057" s="13" t="n">
        <f aca="false">MIN(G3057,D3057)</f>
        <v>0.7390278</v>
      </c>
      <c r="I3057" s="13" t="n">
        <f aca="false">IFERROR(MIN(F3057*Eingaben!$B$19,MAX(0,D3057-H3057)),0)</f>
        <v>1.75959</v>
      </c>
      <c r="J3057" s="13" t="n">
        <f aca="false">IFERROR(MIN(Eingaben!$B$18,MAX(0,F3057-I3057)),0)</f>
        <v>0.75411</v>
      </c>
      <c r="K3057" s="13" t="n">
        <f aca="false">H3057+I3057</f>
        <v>2.4986178</v>
      </c>
      <c r="L3057" s="13" t="n">
        <f aca="false">MAX(0,D3057-K3057)</f>
        <v>3.4293822</v>
      </c>
      <c r="M3057" s="13" t="n">
        <f aca="false">MAX(0,F3057-I3057-J3057)</f>
        <v>0</v>
      </c>
      <c r="N3057" s="13" t="n">
        <f aca="false">IF(Kalender!A129="",0,J3056-H3057)</f>
        <v>0.0150822</v>
      </c>
    </row>
    <row r="3058" customFormat="false" ht="16.4" hidden="false" customHeight="false" outlineLevel="0" collapsed="false">
      <c r="A3058" s="13" t="str">
        <f aca="false">""</f>
        <v/>
      </c>
      <c r="B3058" s="13" t="n">
        <f aca="false">126</f>
        <v>126</v>
      </c>
      <c r="C3058" s="13" t="n">
        <f aca="false">IF(Szenarien!$H$19="OK",(IFERROR(SUMIF(Nutzungsprofile!$B$6:$B$11,"Schulbetrieb",Nutzungsprofile!$G$6:$G$11)*Kalender!C130/SUM(Kalender!$C$5:$C$370),0)+IFERROR(SUMIF(Nutzungsprofile!$B$6:$B$11,"Halle",Nutzungsprofile!$G$6:$G$11)*Kalender!D130/SUM(Kalender!$D$5:$D$370),0)+IFERROR(SUMIF(Nutzungsprofile!$B$6:$B$11,"Individuell",Nutzungsprofile!$G$6:$G$11)*Kalender!E130/SUM(Kalender!$E$5:$E$370),0))*Szenarien!$E$19,0)</f>
        <v>2.94</v>
      </c>
      <c r="D3058" s="13" t="n">
        <f aca="false">IF(Szenarien!$H$19="OK",(IFERROR(SUMIF(Nutzungsprofile!$B$17:$B$22,"Schulbetrieb",Nutzungsprofile!$G$17:$G$22)*Kalender!C130/SUM(Kalender!$C$5:$C$370),0)+IFERROR(SUMIF(Nutzungsprofile!$B$17:$B$22,"Halle",Nutzungsprofile!$G$17:$G$22)*Kalender!D130/SUM(Kalender!$D$5:$D$370),0)+IFERROR(SUMIF(Nutzungsprofile!$B$17:$B$22,"Individuell",Nutzungsprofile!$G$17:$G$22)*Kalender!E130/SUM(Kalender!$E$5:$E$370),0))*Szenarien!$D$19,0)</f>
        <v>5.928</v>
      </c>
      <c r="E3058" s="13" t="n">
        <f aca="false">IFERROR(MIN(C3058,Eingaben!$B$17)*Eingaben!$B$16,0)</f>
        <v>2.793</v>
      </c>
      <c r="F3058" s="13" t="n">
        <f aca="false">IFERROR(E3058*Eingaben!$B$15,0)</f>
        <v>2.5137</v>
      </c>
      <c r="G3058" s="13" t="n">
        <f aca="false">IFERROR(IF(Kalender!A130="",0,J3057*(1-Eingaben!$B$20)),0)</f>
        <v>0.7390278</v>
      </c>
      <c r="H3058" s="13" t="n">
        <f aca="false">MIN(G3058,D3058)</f>
        <v>0.7390278</v>
      </c>
      <c r="I3058" s="13" t="n">
        <f aca="false">IFERROR(MIN(F3058*Eingaben!$B$19,MAX(0,D3058-H3058)),0)</f>
        <v>1.75959</v>
      </c>
      <c r="J3058" s="13" t="n">
        <f aca="false">IFERROR(MIN(Eingaben!$B$18,MAX(0,F3058-I3058)),0)</f>
        <v>0.75411</v>
      </c>
      <c r="K3058" s="13" t="n">
        <f aca="false">H3058+I3058</f>
        <v>2.4986178</v>
      </c>
      <c r="L3058" s="13" t="n">
        <f aca="false">MAX(0,D3058-K3058)</f>
        <v>3.4293822</v>
      </c>
      <c r="M3058" s="13" t="n">
        <f aca="false">MAX(0,F3058-I3058-J3058)</f>
        <v>0</v>
      </c>
      <c r="N3058" s="13" t="n">
        <f aca="false">IF(Kalender!A130="",0,J3057-H3058)</f>
        <v>0.0150822</v>
      </c>
    </row>
    <row r="3059" customFormat="false" ht="16.4" hidden="false" customHeight="false" outlineLevel="0" collapsed="false">
      <c r="A3059" s="13" t="str">
        <f aca="false">""</f>
        <v/>
      </c>
      <c r="B3059" s="13" t="n">
        <f aca="false">127</f>
        <v>127</v>
      </c>
      <c r="C3059" s="13" t="n">
        <f aca="false">IF(Szenarien!$H$19="OK",(IFERROR(SUMIF(Nutzungsprofile!$B$6:$B$11,"Schulbetrieb",Nutzungsprofile!$G$6:$G$11)*Kalender!C131/SUM(Kalender!$C$5:$C$370),0)+IFERROR(SUMIF(Nutzungsprofile!$B$6:$B$11,"Halle",Nutzungsprofile!$G$6:$G$11)*Kalender!D131/SUM(Kalender!$D$5:$D$370),0)+IFERROR(SUMIF(Nutzungsprofile!$B$6:$B$11,"Individuell",Nutzungsprofile!$G$6:$G$11)*Kalender!E131/SUM(Kalender!$E$5:$E$370),0))*Szenarien!$E$19,0)</f>
        <v>2.94</v>
      </c>
      <c r="D3059" s="13" t="n">
        <f aca="false">IF(Szenarien!$H$19="OK",(IFERROR(SUMIF(Nutzungsprofile!$B$17:$B$22,"Schulbetrieb",Nutzungsprofile!$G$17:$G$22)*Kalender!C131/SUM(Kalender!$C$5:$C$370),0)+IFERROR(SUMIF(Nutzungsprofile!$B$17:$B$22,"Halle",Nutzungsprofile!$G$17:$G$22)*Kalender!D131/SUM(Kalender!$D$5:$D$370),0)+IFERROR(SUMIF(Nutzungsprofile!$B$17:$B$22,"Individuell",Nutzungsprofile!$G$17:$G$22)*Kalender!E131/SUM(Kalender!$E$5:$E$370),0))*Szenarien!$D$19,0)</f>
        <v>5.928</v>
      </c>
      <c r="E3059" s="13" t="n">
        <f aca="false">IFERROR(MIN(C3059,Eingaben!$B$17)*Eingaben!$B$16,0)</f>
        <v>2.793</v>
      </c>
      <c r="F3059" s="13" t="n">
        <f aca="false">IFERROR(E3059*Eingaben!$B$15,0)</f>
        <v>2.5137</v>
      </c>
      <c r="G3059" s="13" t="n">
        <f aca="false">IFERROR(IF(Kalender!A131="",0,J3058*(1-Eingaben!$B$20)),0)</f>
        <v>0.7390278</v>
      </c>
      <c r="H3059" s="13" t="n">
        <f aca="false">MIN(G3059,D3059)</f>
        <v>0.7390278</v>
      </c>
      <c r="I3059" s="13" t="n">
        <f aca="false">IFERROR(MIN(F3059*Eingaben!$B$19,MAX(0,D3059-H3059)),0)</f>
        <v>1.75959</v>
      </c>
      <c r="J3059" s="13" t="n">
        <f aca="false">IFERROR(MIN(Eingaben!$B$18,MAX(0,F3059-I3059)),0)</f>
        <v>0.75411</v>
      </c>
      <c r="K3059" s="13" t="n">
        <f aca="false">H3059+I3059</f>
        <v>2.4986178</v>
      </c>
      <c r="L3059" s="13" t="n">
        <f aca="false">MAX(0,D3059-K3059)</f>
        <v>3.4293822</v>
      </c>
      <c r="M3059" s="13" t="n">
        <f aca="false">MAX(0,F3059-I3059-J3059)</f>
        <v>0</v>
      </c>
      <c r="N3059" s="13" t="n">
        <f aca="false">IF(Kalender!A131="",0,J3058-H3059)</f>
        <v>0.0150822</v>
      </c>
    </row>
    <row r="3060" customFormat="false" ht="16.4" hidden="false" customHeight="false" outlineLevel="0" collapsed="false">
      <c r="A3060" s="13" t="str">
        <f aca="false">""</f>
        <v/>
      </c>
      <c r="B3060" s="13" t="n">
        <f aca="false">128</f>
        <v>128</v>
      </c>
      <c r="C3060" s="13" t="n">
        <f aca="false">IF(Szenarien!$H$19="OK",(IFERROR(SUMIF(Nutzungsprofile!$B$6:$B$11,"Schulbetrieb",Nutzungsprofile!$G$6:$G$11)*Kalender!C132/SUM(Kalender!$C$5:$C$370),0)+IFERROR(SUMIF(Nutzungsprofile!$B$6:$B$11,"Halle",Nutzungsprofile!$G$6:$G$11)*Kalender!D132/SUM(Kalender!$D$5:$D$370),0)+IFERROR(SUMIF(Nutzungsprofile!$B$6:$B$11,"Individuell",Nutzungsprofile!$G$6:$G$11)*Kalender!E132/SUM(Kalender!$E$5:$E$370),0))*Szenarien!$E$19,0)</f>
        <v>2.94</v>
      </c>
      <c r="D3060" s="13" t="n">
        <f aca="false">IF(Szenarien!$H$19="OK",(IFERROR(SUMIF(Nutzungsprofile!$B$17:$B$22,"Schulbetrieb",Nutzungsprofile!$G$17:$G$22)*Kalender!C132/SUM(Kalender!$C$5:$C$370),0)+IFERROR(SUMIF(Nutzungsprofile!$B$17:$B$22,"Halle",Nutzungsprofile!$G$17:$G$22)*Kalender!D132/SUM(Kalender!$D$5:$D$370),0)+IFERROR(SUMIF(Nutzungsprofile!$B$17:$B$22,"Individuell",Nutzungsprofile!$G$17:$G$22)*Kalender!E132/SUM(Kalender!$E$5:$E$370),0))*Szenarien!$D$19,0)</f>
        <v>5.928</v>
      </c>
      <c r="E3060" s="13" t="n">
        <f aca="false">IFERROR(MIN(C3060,Eingaben!$B$17)*Eingaben!$B$16,0)</f>
        <v>2.793</v>
      </c>
      <c r="F3060" s="13" t="n">
        <f aca="false">IFERROR(E3060*Eingaben!$B$15,0)</f>
        <v>2.5137</v>
      </c>
      <c r="G3060" s="13" t="n">
        <f aca="false">IFERROR(IF(Kalender!A132="",0,J3059*(1-Eingaben!$B$20)),0)</f>
        <v>0.7390278</v>
      </c>
      <c r="H3060" s="13" t="n">
        <f aca="false">MIN(G3060,D3060)</f>
        <v>0.7390278</v>
      </c>
      <c r="I3060" s="13" t="n">
        <f aca="false">IFERROR(MIN(F3060*Eingaben!$B$19,MAX(0,D3060-H3060)),0)</f>
        <v>1.75959</v>
      </c>
      <c r="J3060" s="13" t="n">
        <f aca="false">IFERROR(MIN(Eingaben!$B$18,MAX(0,F3060-I3060)),0)</f>
        <v>0.75411</v>
      </c>
      <c r="K3060" s="13" t="n">
        <f aca="false">H3060+I3060</f>
        <v>2.4986178</v>
      </c>
      <c r="L3060" s="13" t="n">
        <f aca="false">MAX(0,D3060-K3060)</f>
        <v>3.4293822</v>
      </c>
      <c r="M3060" s="13" t="n">
        <f aca="false">MAX(0,F3060-I3060-J3060)</f>
        <v>0</v>
      </c>
      <c r="N3060" s="13" t="n">
        <f aca="false">IF(Kalender!A132="",0,J3059-H3060)</f>
        <v>0.0150822</v>
      </c>
    </row>
    <row r="3061" customFormat="false" ht="16.4" hidden="false" customHeight="false" outlineLevel="0" collapsed="false">
      <c r="A3061" s="13" t="str">
        <f aca="false">""</f>
        <v/>
      </c>
      <c r="B3061" s="13" t="n">
        <f aca="false">129</f>
        <v>129</v>
      </c>
      <c r="C3061" s="13" t="n">
        <f aca="false">IF(Szenarien!$H$19="OK",(IFERROR(SUMIF(Nutzungsprofile!$B$6:$B$11,"Schulbetrieb",Nutzungsprofile!$G$6:$G$11)*Kalender!C133/SUM(Kalender!$C$5:$C$370),0)+IFERROR(SUMIF(Nutzungsprofile!$B$6:$B$11,"Halle",Nutzungsprofile!$G$6:$G$11)*Kalender!D133/SUM(Kalender!$D$5:$D$370),0)+IFERROR(SUMIF(Nutzungsprofile!$B$6:$B$11,"Individuell",Nutzungsprofile!$G$6:$G$11)*Kalender!E133/SUM(Kalender!$E$5:$E$370),0))*Szenarien!$E$19,0)</f>
        <v>2.04</v>
      </c>
      <c r="D3061" s="13" t="n">
        <f aca="false">IF(Szenarien!$H$19="OK",(IFERROR(SUMIF(Nutzungsprofile!$B$17:$B$22,"Schulbetrieb",Nutzungsprofile!$G$17:$G$22)*Kalender!C133/SUM(Kalender!$C$5:$C$370),0)+IFERROR(SUMIF(Nutzungsprofile!$B$17:$B$22,"Halle",Nutzungsprofile!$G$17:$G$22)*Kalender!D133/SUM(Kalender!$D$5:$D$370),0)+IFERROR(SUMIF(Nutzungsprofile!$B$17:$B$22,"Individuell",Nutzungsprofile!$G$17:$G$22)*Kalender!E133/SUM(Kalender!$E$5:$E$370),0))*Szenarien!$D$19,0)</f>
        <v>1.068</v>
      </c>
      <c r="E3061" s="13" t="n">
        <f aca="false">IFERROR(MIN(C3061,Eingaben!$B$17)*Eingaben!$B$16,0)</f>
        <v>1.938</v>
      </c>
      <c r="F3061" s="13" t="n">
        <f aca="false">IFERROR(E3061*Eingaben!$B$15,0)</f>
        <v>1.7442</v>
      </c>
      <c r="G3061" s="13" t="n">
        <f aca="false">IFERROR(IF(Kalender!A133="",0,J3060*(1-Eingaben!$B$20)),0)</f>
        <v>0.7390278</v>
      </c>
      <c r="H3061" s="13" t="n">
        <f aca="false">MIN(G3061,D3061)</f>
        <v>0.7390278</v>
      </c>
      <c r="I3061" s="13" t="n">
        <f aca="false">IFERROR(MIN(F3061*Eingaben!$B$19,MAX(0,D3061-H3061)),0)</f>
        <v>0.3289722</v>
      </c>
      <c r="J3061" s="13" t="n">
        <f aca="false">IFERROR(MIN(Eingaben!$B$18,MAX(0,F3061-I3061)),0)</f>
        <v>1.4152278</v>
      </c>
      <c r="K3061" s="13" t="n">
        <f aca="false">H3061+I3061</f>
        <v>1.068</v>
      </c>
      <c r="L3061" s="13" t="n">
        <f aca="false">MAX(0,D3061-K3061)</f>
        <v>0</v>
      </c>
      <c r="M3061" s="13" t="n">
        <f aca="false">MAX(0,F3061-I3061-J3061)</f>
        <v>0</v>
      </c>
      <c r="N3061" s="13" t="n">
        <f aca="false">IF(Kalender!A133="",0,J3060-H3061)</f>
        <v>0.0150822</v>
      </c>
    </row>
    <row r="3062" customFormat="false" ht="16.4" hidden="false" customHeight="false" outlineLevel="0" collapsed="false">
      <c r="A3062" s="13" t="str">
        <f aca="false">""</f>
        <v/>
      </c>
      <c r="B3062" s="13" t="n">
        <f aca="false">130</f>
        <v>130</v>
      </c>
      <c r="C3062" s="13" t="n">
        <f aca="false">IF(Szenarien!$H$19="OK",(IFERROR(SUMIF(Nutzungsprofile!$B$6:$B$11,"Schulbetrieb",Nutzungsprofile!$G$6:$G$11)*Kalender!C134/SUM(Kalender!$C$5:$C$370),0)+IFERROR(SUMIF(Nutzungsprofile!$B$6:$B$11,"Halle",Nutzungsprofile!$G$6:$G$11)*Kalender!D134/SUM(Kalender!$D$5:$D$370),0)+IFERROR(SUMIF(Nutzungsprofile!$B$6:$B$11,"Individuell",Nutzungsprofile!$G$6:$G$11)*Kalender!E134/SUM(Kalender!$E$5:$E$370),0))*Szenarien!$E$19,0)</f>
        <v>2.04</v>
      </c>
      <c r="D3062" s="13" t="n">
        <f aca="false">IF(Szenarien!$H$19="OK",(IFERROR(SUMIF(Nutzungsprofile!$B$17:$B$22,"Schulbetrieb",Nutzungsprofile!$G$17:$G$22)*Kalender!C134/SUM(Kalender!$C$5:$C$370),0)+IFERROR(SUMIF(Nutzungsprofile!$B$17:$B$22,"Halle",Nutzungsprofile!$G$17:$G$22)*Kalender!D134/SUM(Kalender!$D$5:$D$370),0)+IFERROR(SUMIF(Nutzungsprofile!$B$17:$B$22,"Individuell",Nutzungsprofile!$G$17:$G$22)*Kalender!E134/SUM(Kalender!$E$5:$E$370),0))*Szenarien!$D$19,0)</f>
        <v>1.068</v>
      </c>
      <c r="E3062" s="13" t="n">
        <f aca="false">IFERROR(MIN(C3062,Eingaben!$B$17)*Eingaben!$B$16,0)</f>
        <v>1.938</v>
      </c>
      <c r="F3062" s="13" t="n">
        <f aca="false">IFERROR(E3062*Eingaben!$B$15,0)</f>
        <v>1.7442</v>
      </c>
      <c r="G3062" s="13" t="n">
        <f aca="false">IFERROR(IF(Kalender!A134="",0,J3061*(1-Eingaben!$B$20)),0)</f>
        <v>1.386923244</v>
      </c>
      <c r="H3062" s="13" t="n">
        <f aca="false">MIN(G3062,D3062)</f>
        <v>1.068</v>
      </c>
      <c r="I3062" s="13" t="n">
        <f aca="false">IFERROR(MIN(F3062*Eingaben!$B$19,MAX(0,D3062-H3062)),0)</f>
        <v>0</v>
      </c>
      <c r="J3062" s="13" t="n">
        <f aca="false">IFERROR(MIN(Eingaben!$B$18,MAX(0,F3062-I3062)),0)</f>
        <v>1.7442</v>
      </c>
      <c r="K3062" s="13" t="n">
        <f aca="false">H3062+I3062</f>
        <v>1.068</v>
      </c>
      <c r="L3062" s="13" t="n">
        <f aca="false">MAX(0,D3062-K3062)</f>
        <v>0</v>
      </c>
      <c r="M3062" s="13" t="n">
        <f aca="false">MAX(0,F3062-I3062-J3062)</f>
        <v>0</v>
      </c>
      <c r="N3062" s="13" t="n">
        <f aca="false">IF(Kalender!A134="",0,J3061-H3062)</f>
        <v>0.3472278</v>
      </c>
    </row>
    <row r="3063" customFormat="false" ht="16.4" hidden="false" customHeight="false" outlineLevel="0" collapsed="false">
      <c r="A3063" s="13" t="str">
        <f aca="false">""</f>
        <v/>
      </c>
      <c r="B3063" s="13" t="n">
        <f aca="false">131</f>
        <v>131</v>
      </c>
      <c r="C3063" s="13" t="n">
        <f aca="false">IF(Szenarien!$H$19="OK",(IFERROR(SUMIF(Nutzungsprofile!$B$6:$B$11,"Schulbetrieb",Nutzungsprofile!$G$6:$G$11)*Kalender!C135/SUM(Kalender!$C$5:$C$370),0)+IFERROR(SUMIF(Nutzungsprofile!$B$6:$B$11,"Halle",Nutzungsprofile!$G$6:$G$11)*Kalender!D135/SUM(Kalender!$D$5:$D$370),0)+IFERROR(SUMIF(Nutzungsprofile!$B$6:$B$11,"Individuell",Nutzungsprofile!$G$6:$G$11)*Kalender!E135/SUM(Kalender!$E$5:$E$370),0))*Szenarien!$E$19,0)</f>
        <v>2.94</v>
      </c>
      <c r="D3063" s="13" t="n">
        <f aca="false">IF(Szenarien!$H$19="OK",(IFERROR(SUMIF(Nutzungsprofile!$B$17:$B$22,"Schulbetrieb",Nutzungsprofile!$G$17:$G$22)*Kalender!C135/SUM(Kalender!$C$5:$C$370),0)+IFERROR(SUMIF(Nutzungsprofile!$B$17:$B$22,"Halle",Nutzungsprofile!$G$17:$G$22)*Kalender!D135/SUM(Kalender!$D$5:$D$370),0)+IFERROR(SUMIF(Nutzungsprofile!$B$17:$B$22,"Individuell",Nutzungsprofile!$G$17:$G$22)*Kalender!E135/SUM(Kalender!$E$5:$E$370),0))*Szenarien!$D$19,0)</f>
        <v>5.928</v>
      </c>
      <c r="E3063" s="13" t="n">
        <f aca="false">IFERROR(MIN(C3063,Eingaben!$B$17)*Eingaben!$B$16,0)</f>
        <v>2.793</v>
      </c>
      <c r="F3063" s="13" t="n">
        <f aca="false">IFERROR(E3063*Eingaben!$B$15,0)</f>
        <v>2.5137</v>
      </c>
      <c r="G3063" s="13" t="n">
        <f aca="false">IFERROR(IF(Kalender!A135="",0,J3062*(1-Eingaben!$B$20)),0)</f>
        <v>1.709316</v>
      </c>
      <c r="H3063" s="13" t="n">
        <f aca="false">MIN(G3063,D3063)</f>
        <v>1.709316</v>
      </c>
      <c r="I3063" s="13" t="n">
        <f aca="false">IFERROR(MIN(F3063*Eingaben!$B$19,MAX(0,D3063-H3063)),0)</f>
        <v>1.75959</v>
      </c>
      <c r="J3063" s="13" t="n">
        <f aca="false">IFERROR(MIN(Eingaben!$B$18,MAX(0,F3063-I3063)),0)</f>
        <v>0.75411</v>
      </c>
      <c r="K3063" s="13" t="n">
        <f aca="false">H3063+I3063</f>
        <v>3.468906</v>
      </c>
      <c r="L3063" s="13" t="n">
        <f aca="false">MAX(0,D3063-K3063)</f>
        <v>2.459094</v>
      </c>
      <c r="M3063" s="13" t="n">
        <f aca="false">MAX(0,F3063-I3063-J3063)</f>
        <v>0</v>
      </c>
      <c r="N3063" s="13" t="n">
        <f aca="false">IF(Kalender!A135="",0,J3062-H3063)</f>
        <v>0.0348840000000001</v>
      </c>
    </row>
    <row r="3064" customFormat="false" ht="16.4" hidden="false" customHeight="false" outlineLevel="0" collapsed="false">
      <c r="A3064" s="13" t="str">
        <f aca="false">""</f>
        <v/>
      </c>
      <c r="B3064" s="13" t="n">
        <f aca="false">132</f>
        <v>132</v>
      </c>
      <c r="C3064" s="13" t="n">
        <f aca="false">IF(Szenarien!$H$19="OK",(IFERROR(SUMIF(Nutzungsprofile!$B$6:$B$11,"Schulbetrieb",Nutzungsprofile!$G$6:$G$11)*Kalender!C136/SUM(Kalender!$C$5:$C$370),0)+IFERROR(SUMIF(Nutzungsprofile!$B$6:$B$11,"Halle",Nutzungsprofile!$G$6:$G$11)*Kalender!D136/SUM(Kalender!$D$5:$D$370),0)+IFERROR(SUMIF(Nutzungsprofile!$B$6:$B$11,"Individuell",Nutzungsprofile!$G$6:$G$11)*Kalender!E136/SUM(Kalender!$E$5:$E$370),0))*Szenarien!$E$19,0)</f>
        <v>2.94</v>
      </c>
      <c r="D3064" s="13" t="n">
        <f aca="false">IF(Szenarien!$H$19="OK",(IFERROR(SUMIF(Nutzungsprofile!$B$17:$B$22,"Schulbetrieb",Nutzungsprofile!$G$17:$G$22)*Kalender!C136/SUM(Kalender!$C$5:$C$370),0)+IFERROR(SUMIF(Nutzungsprofile!$B$17:$B$22,"Halle",Nutzungsprofile!$G$17:$G$22)*Kalender!D136/SUM(Kalender!$D$5:$D$370),0)+IFERROR(SUMIF(Nutzungsprofile!$B$17:$B$22,"Individuell",Nutzungsprofile!$G$17:$G$22)*Kalender!E136/SUM(Kalender!$E$5:$E$370),0))*Szenarien!$D$19,0)</f>
        <v>5.928</v>
      </c>
      <c r="E3064" s="13" t="n">
        <f aca="false">IFERROR(MIN(C3064,Eingaben!$B$17)*Eingaben!$B$16,0)</f>
        <v>2.793</v>
      </c>
      <c r="F3064" s="13" t="n">
        <f aca="false">IFERROR(E3064*Eingaben!$B$15,0)</f>
        <v>2.5137</v>
      </c>
      <c r="G3064" s="13" t="n">
        <f aca="false">IFERROR(IF(Kalender!A136="",0,J3063*(1-Eingaben!$B$20)),0)</f>
        <v>0.7390278</v>
      </c>
      <c r="H3064" s="13" t="n">
        <f aca="false">MIN(G3064,D3064)</f>
        <v>0.7390278</v>
      </c>
      <c r="I3064" s="13" t="n">
        <f aca="false">IFERROR(MIN(F3064*Eingaben!$B$19,MAX(0,D3064-H3064)),0)</f>
        <v>1.75959</v>
      </c>
      <c r="J3064" s="13" t="n">
        <f aca="false">IFERROR(MIN(Eingaben!$B$18,MAX(0,F3064-I3064)),0)</f>
        <v>0.75411</v>
      </c>
      <c r="K3064" s="13" t="n">
        <f aca="false">H3064+I3064</f>
        <v>2.4986178</v>
      </c>
      <c r="L3064" s="13" t="n">
        <f aca="false">MAX(0,D3064-K3064)</f>
        <v>3.4293822</v>
      </c>
      <c r="M3064" s="13" t="n">
        <f aca="false">MAX(0,F3064-I3064-J3064)</f>
        <v>0</v>
      </c>
      <c r="N3064" s="13" t="n">
        <f aca="false">IF(Kalender!A136="",0,J3063-H3064)</f>
        <v>0.0150822</v>
      </c>
    </row>
    <row r="3065" customFormat="false" ht="16.4" hidden="false" customHeight="false" outlineLevel="0" collapsed="false">
      <c r="A3065" s="13" t="str">
        <f aca="false">""</f>
        <v/>
      </c>
      <c r="B3065" s="13" t="n">
        <f aca="false">133</f>
        <v>133</v>
      </c>
      <c r="C3065" s="13" t="n">
        <f aca="false">IF(Szenarien!$H$19="OK",(IFERROR(SUMIF(Nutzungsprofile!$B$6:$B$11,"Schulbetrieb",Nutzungsprofile!$G$6:$G$11)*Kalender!C137/SUM(Kalender!$C$5:$C$370),0)+IFERROR(SUMIF(Nutzungsprofile!$B$6:$B$11,"Halle",Nutzungsprofile!$G$6:$G$11)*Kalender!D137/SUM(Kalender!$D$5:$D$370),0)+IFERROR(SUMIF(Nutzungsprofile!$B$6:$B$11,"Individuell",Nutzungsprofile!$G$6:$G$11)*Kalender!E137/SUM(Kalender!$E$5:$E$370),0))*Szenarien!$E$19,0)</f>
        <v>2.94</v>
      </c>
      <c r="D3065" s="13" t="n">
        <f aca="false">IF(Szenarien!$H$19="OK",(IFERROR(SUMIF(Nutzungsprofile!$B$17:$B$22,"Schulbetrieb",Nutzungsprofile!$G$17:$G$22)*Kalender!C137/SUM(Kalender!$C$5:$C$370),0)+IFERROR(SUMIF(Nutzungsprofile!$B$17:$B$22,"Halle",Nutzungsprofile!$G$17:$G$22)*Kalender!D137/SUM(Kalender!$D$5:$D$370),0)+IFERROR(SUMIF(Nutzungsprofile!$B$17:$B$22,"Individuell",Nutzungsprofile!$G$17:$G$22)*Kalender!E137/SUM(Kalender!$E$5:$E$370),0))*Szenarien!$D$19,0)</f>
        <v>5.928</v>
      </c>
      <c r="E3065" s="13" t="n">
        <f aca="false">IFERROR(MIN(C3065,Eingaben!$B$17)*Eingaben!$B$16,0)</f>
        <v>2.793</v>
      </c>
      <c r="F3065" s="13" t="n">
        <f aca="false">IFERROR(E3065*Eingaben!$B$15,0)</f>
        <v>2.5137</v>
      </c>
      <c r="G3065" s="13" t="n">
        <f aca="false">IFERROR(IF(Kalender!A137="",0,J3064*(1-Eingaben!$B$20)),0)</f>
        <v>0.7390278</v>
      </c>
      <c r="H3065" s="13" t="n">
        <f aca="false">MIN(G3065,D3065)</f>
        <v>0.7390278</v>
      </c>
      <c r="I3065" s="13" t="n">
        <f aca="false">IFERROR(MIN(F3065*Eingaben!$B$19,MAX(0,D3065-H3065)),0)</f>
        <v>1.75959</v>
      </c>
      <c r="J3065" s="13" t="n">
        <f aca="false">IFERROR(MIN(Eingaben!$B$18,MAX(0,F3065-I3065)),0)</f>
        <v>0.75411</v>
      </c>
      <c r="K3065" s="13" t="n">
        <f aca="false">H3065+I3065</f>
        <v>2.4986178</v>
      </c>
      <c r="L3065" s="13" t="n">
        <f aca="false">MAX(0,D3065-K3065)</f>
        <v>3.4293822</v>
      </c>
      <c r="M3065" s="13" t="n">
        <f aca="false">MAX(0,F3065-I3065-J3065)</f>
        <v>0</v>
      </c>
      <c r="N3065" s="13" t="n">
        <f aca="false">IF(Kalender!A137="",0,J3064-H3065)</f>
        <v>0.0150822</v>
      </c>
    </row>
    <row r="3066" customFormat="false" ht="16.4" hidden="false" customHeight="false" outlineLevel="0" collapsed="false">
      <c r="A3066" s="13" t="str">
        <f aca="false">""</f>
        <v/>
      </c>
      <c r="B3066" s="13" t="n">
        <f aca="false">134</f>
        <v>134</v>
      </c>
      <c r="C3066" s="13" t="n">
        <f aca="false">IF(Szenarien!$H$19="OK",(IFERROR(SUMIF(Nutzungsprofile!$B$6:$B$11,"Schulbetrieb",Nutzungsprofile!$G$6:$G$11)*Kalender!C138/SUM(Kalender!$C$5:$C$370),0)+IFERROR(SUMIF(Nutzungsprofile!$B$6:$B$11,"Halle",Nutzungsprofile!$G$6:$G$11)*Kalender!D138/SUM(Kalender!$D$5:$D$370),0)+IFERROR(SUMIF(Nutzungsprofile!$B$6:$B$11,"Individuell",Nutzungsprofile!$G$6:$G$11)*Kalender!E138/SUM(Kalender!$E$5:$E$370),0))*Szenarien!$E$19,0)</f>
        <v>2.94</v>
      </c>
      <c r="D3066" s="13" t="n">
        <f aca="false">IF(Szenarien!$H$19="OK",(IFERROR(SUMIF(Nutzungsprofile!$B$17:$B$22,"Schulbetrieb",Nutzungsprofile!$G$17:$G$22)*Kalender!C138/SUM(Kalender!$C$5:$C$370),0)+IFERROR(SUMIF(Nutzungsprofile!$B$17:$B$22,"Halle",Nutzungsprofile!$G$17:$G$22)*Kalender!D138/SUM(Kalender!$D$5:$D$370),0)+IFERROR(SUMIF(Nutzungsprofile!$B$17:$B$22,"Individuell",Nutzungsprofile!$G$17:$G$22)*Kalender!E138/SUM(Kalender!$E$5:$E$370),0))*Szenarien!$D$19,0)</f>
        <v>5.928</v>
      </c>
      <c r="E3066" s="13" t="n">
        <f aca="false">IFERROR(MIN(C3066,Eingaben!$B$17)*Eingaben!$B$16,0)</f>
        <v>2.793</v>
      </c>
      <c r="F3066" s="13" t="n">
        <f aca="false">IFERROR(E3066*Eingaben!$B$15,0)</f>
        <v>2.5137</v>
      </c>
      <c r="G3066" s="13" t="n">
        <f aca="false">IFERROR(IF(Kalender!A138="",0,J3065*(1-Eingaben!$B$20)),0)</f>
        <v>0.7390278</v>
      </c>
      <c r="H3066" s="13" t="n">
        <f aca="false">MIN(G3066,D3066)</f>
        <v>0.7390278</v>
      </c>
      <c r="I3066" s="13" t="n">
        <f aca="false">IFERROR(MIN(F3066*Eingaben!$B$19,MAX(0,D3066-H3066)),0)</f>
        <v>1.75959</v>
      </c>
      <c r="J3066" s="13" t="n">
        <f aca="false">IFERROR(MIN(Eingaben!$B$18,MAX(0,F3066-I3066)),0)</f>
        <v>0.75411</v>
      </c>
      <c r="K3066" s="13" t="n">
        <f aca="false">H3066+I3066</f>
        <v>2.4986178</v>
      </c>
      <c r="L3066" s="13" t="n">
        <f aca="false">MAX(0,D3066-K3066)</f>
        <v>3.4293822</v>
      </c>
      <c r="M3066" s="13" t="n">
        <f aca="false">MAX(0,F3066-I3066-J3066)</f>
        <v>0</v>
      </c>
      <c r="N3066" s="13" t="n">
        <f aca="false">IF(Kalender!A138="",0,J3065-H3066)</f>
        <v>0.0150822</v>
      </c>
    </row>
    <row r="3067" customFormat="false" ht="16.4" hidden="false" customHeight="false" outlineLevel="0" collapsed="false">
      <c r="A3067" s="13" t="str">
        <f aca="false">""</f>
        <v/>
      </c>
      <c r="B3067" s="13" t="n">
        <f aca="false">135</f>
        <v>135</v>
      </c>
      <c r="C3067" s="13" t="n">
        <f aca="false">IF(Szenarien!$H$19="OK",(IFERROR(SUMIF(Nutzungsprofile!$B$6:$B$11,"Schulbetrieb",Nutzungsprofile!$G$6:$G$11)*Kalender!C139/SUM(Kalender!$C$5:$C$370),0)+IFERROR(SUMIF(Nutzungsprofile!$B$6:$B$11,"Halle",Nutzungsprofile!$G$6:$G$11)*Kalender!D139/SUM(Kalender!$D$5:$D$370),0)+IFERROR(SUMIF(Nutzungsprofile!$B$6:$B$11,"Individuell",Nutzungsprofile!$G$6:$G$11)*Kalender!E139/SUM(Kalender!$E$5:$E$370),0))*Szenarien!$E$19,0)</f>
        <v>2.94</v>
      </c>
      <c r="D3067" s="13" t="n">
        <f aca="false">IF(Szenarien!$H$19="OK",(IFERROR(SUMIF(Nutzungsprofile!$B$17:$B$22,"Schulbetrieb",Nutzungsprofile!$G$17:$G$22)*Kalender!C139/SUM(Kalender!$C$5:$C$370),0)+IFERROR(SUMIF(Nutzungsprofile!$B$17:$B$22,"Halle",Nutzungsprofile!$G$17:$G$22)*Kalender!D139/SUM(Kalender!$D$5:$D$370),0)+IFERROR(SUMIF(Nutzungsprofile!$B$17:$B$22,"Individuell",Nutzungsprofile!$G$17:$G$22)*Kalender!E139/SUM(Kalender!$E$5:$E$370),0))*Szenarien!$D$19,0)</f>
        <v>5.928</v>
      </c>
      <c r="E3067" s="13" t="n">
        <f aca="false">IFERROR(MIN(C3067,Eingaben!$B$17)*Eingaben!$B$16,0)</f>
        <v>2.793</v>
      </c>
      <c r="F3067" s="13" t="n">
        <f aca="false">IFERROR(E3067*Eingaben!$B$15,0)</f>
        <v>2.5137</v>
      </c>
      <c r="G3067" s="13" t="n">
        <f aca="false">IFERROR(IF(Kalender!A139="",0,J3066*(1-Eingaben!$B$20)),0)</f>
        <v>0.7390278</v>
      </c>
      <c r="H3067" s="13" t="n">
        <f aca="false">MIN(G3067,D3067)</f>
        <v>0.7390278</v>
      </c>
      <c r="I3067" s="13" t="n">
        <f aca="false">IFERROR(MIN(F3067*Eingaben!$B$19,MAX(0,D3067-H3067)),0)</f>
        <v>1.75959</v>
      </c>
      <c r="J3067" s="13" t="n">
        <f aca="false">IFERROR(MIN(Eingaben!$B$18,MAX(0,F3067-I3067)),0)</f>
        <v>0.75411</v>
      </c>
      <c r="K3067" s="13" t="n">
        <f aca="false">H3067+I3067</f>
        <v>2.4986178</v>
      </c>
      <c r="L3067" s="13" t="n">
        <f aca="false">MAX(0,D3067-K3067)</f>
        <v>3.4293822</v>
      </c>
      <c r="M3067" s="13" t="n">
        <f aca="false">MAX(0,F3067-I3067-J3067)</f>
        <v>0</v>
      </c>
      <c r="N3067" s="13" t="n">
        <f aca="false">IF(Kalender!A139="",0,J3066-H3067)</f>
        <v>0.0150822</v>
      </c>
    </row>
    <row r="3068" customFormat="false" ht="16.4" hidden="false" customHeight="false" outlineLevel="0" collapsed="false">
      <c r="A3068" s="13" t="str">
        <f aca="false">""</f>
        <v/>
      </c>
      <c r="B3068" s="13" t="n">
        <f aca="false">136</f>
        <v>136</v>
      </c>
      <c r="C3068" s="13" t="n">
        <f aca="false">IF(Szenarien!$H$19="OK",(IFERROR(SUMIF(Nutzungsprofile!$B$6:$B$11,"Schulbetrieb",Nutzungsprofile!$G$6:$G$11)*Kalender!C140/SUM(Kalender!$C$5:$C$370),0)+IFERROR(SUMIF(Nutzungsprofile!$B$6:$B$11,"Halle",Nutzungsprofile!$G$6:$G$11)*Kalender!D140/SUM(Kalender!$D$5:$D$370),0)+IFERROR(SUMIF(Nutzungsprofile!$B$6:$B$11,"Individuell",Nutzungsprofile!$G$6:$G$11)*Kalender!E140/SUM(Kalender!$E$5:$E$370),0))*Szenarien!$E$19,0)</f>
        <v>2.04</v>
      </c>
      <c r="D3068" s="13" t="n">
        <f aca="false">IF(Szenarien!$H$19="OK",(IFERROR(SUMIF(Nutzungsprofile!$B$17:$B$22,"Schulbetrieb",Nutzungsprofile!$G$17:$G$22)*Kalender!C140/SUM(Kalender!$C$5:$C$370),0)+IFERROR(SUMIF(Nutzungsprofile!$B$17:$B$22,"Halle",Nutzungsprofile!$G$17:$G$22)*Kalender!D140/SUM(Kalender!$D$5:$D$370),0)+IFERROR(SUMIF(Nutzungsprofile!$B$17:$B$22,"Individuell",Nutzungsprofile!$G$17:$G$22)*Kalender!E140/SUM(Kalender!$E$5:$E$370),0))*Szenarien!$D$19,0)</f>
        <v>1.068</v>
      </c>
      <c r="E3068" s="13" t="n">
        <f aca="false">IFERROR(MIN(C3068,Eingaben!$B$17)*Eingaben!$B$16,0)</f>
        <v>1.938</v>
      </c>
      <c r="F3068" s="13" t="n">
        <f aca="false">IFERROR(E3068*Eingaben!$B$15,0)</f>
        <v>1.7442</v>
      </c>
      <c r="G3068" s="13" t="n">
        <f aca="false">IFERROR(IF(Kalender!A140="",0,J3067*(1-Eingaben!$B$20)),0)</f>
        <v>0.7390278</v>
      </c>
      <c r="H3068" s="13" t="n">
        <f aca="false">MIN(G3068,D3068)</f>
        <v>0.7390278</v>
      </c>
      <c r="I3068" s="13" t="n">
        <f aca="false">IFERROR(MIN(F3068*Eingaben!$B$19,MAX(0,D3068-H3068)),0)</f>
        <v>0.3289722</v>
      </c>
      <c r="J3068" s="13" t="n">
        <f aca="false">IFERROR(MIN(Eingaben!$B$18,MAX(0,F3068-I3068)),0)</f>
        <v>1.4152278</v>
      </c>
      <c r="K3068" s="13" t="n">
        <f aca="false">H3068+I3068</f>
        <v>1.068</v>
      </c>
      <c r="L3068" s="13" t="n">
        <f aca="false">MAX(0,D3068-K3068)</f>
        <v>0</v>
      </c>
      <c r="M3068" s="13" t="n">
        <f aca="false">MAX(0,F3068-I3068-J3068)</f>
        <v>0</v>
      </c>
      <c r="N3068" s="13" t="n">
        <f aca="false">IF(Kalender!A140="",0,J3067-H3068)</f>
        <v>0.0150822</v>
      </c>
    </row>
    <row r="3069" customFormat="false" ht="16.4" hidden="false" customHeight="false" outlineLevel="0" collapsed="false">
      <c r="A3069" s="13" t="str">
        <f aca="false">""</f>
        <v/>
      </c>
      <c r="B3069" s="13" t="n">
        <f aca="false">137</f>
        <v>137</v>
      </c>
      <c r="C3069" s="13" t="n">
        <f aca="false">IF(Szenarien!$H$19="OK",(IFERROR(SUMIF(Nutzungsprofile!$B$6:$B$11,"Schulbetrieb",Nutzungsprofile!$G$6:$G$11)*Kalender!C141/SUM(Kalender!$C$5:$C$370),0)+IFERROR(SUMIF(Nutzungsprofile!$B$6:$B$11,"Halle",Nutzungsprofile!$G$6:$G$11)*Kalender!D141/SUM(Kalender!$D$5:$D$370),0)+IFERROR(SUMIF(Nutzungsprofile!$B$6:$B$11,"Individuell",Nutzungsprofile!$G$6:$G$11)*Kalender!E141/SUM(Kalender!$E$5:$E$370),0))*Szenarien!$E$19,0)</f>
        <v>2.04</v>
      </c>
      <c r="D3069" s="13" t="n">
        <f aca="false">IF(Szenarien!$H$19="OK",(IFERROR(SUMIF(Nutzungsprofile!$B$17:$B$22,"Schulbetrieb",Nutzungsprofile!$G$17:$G$22)*Kalender!C141/SUM(Kalender!$C$5:$C$370),0)+IFERROR(SUMIF(Nutzungsprofile!$B$17:$B$22,"Halle",Nutzungsprofile!$G$17:$G$22)*Kalender!D141/SUM(Kalender!$D$5:$D$370),0)+IFERROR(SUMIF(Nutzungsprofile!$B$17:$B$22,"Individuell",Nutzungsprofile!$G$17:$G$22)*Kalender!E141/SUM(Kalender!$E$5:$E$370),0))*Szenarien!$D$19,0)</f>
        <v>1.068</v>
      </c>
      <c r="E3069" s="13" t="n">
        <f aca="false">IFERROR(MIN(C3069,Eingaben!$B$17)*Eingaben!$B$16,0)</f>
        <v>1.938</v>
      </c>
      <c r="F3069" s="13" t="n">
        <f aca="false">IFERROR(E3069*Eingaben!$B$15,0)</f>
        <v>1.7442</v>
      </c>
      <c r="G3069" s="13" t="n">
        <f aca="false">IFERROR(IF(Kalender!A141="",0,J3068*(1-Eingaben!$B$20)),0)</f>
        <v>1.386923244</v>
      </c>
      <c r="H3069" s="13" t="n">
        <f aca="false">MIN(G3069,D3069)</f>
        <v>1.068</v>
      </c>
      <c r="I3069" s="13" t="n">
        <f aca="false">IFERROR(MIN(F3069*Eingaben!$B$19,MAX(0,D3069-H3069)),0)</f>
        <v>0</v>
      </c>
      <c r="J3069" s="13" t="n">
        <f aca="false">IFERROR(MIN(Eingaben!$B$18,MAX(0,F3069-I3069)),0)</f>
        <v>1.7442</v>
      </c>
      <c r="K3069" s="13" t="n">
        <f aca="false">H3069+I3069</f>
        <v>1.068</v>
      </c>
      <c r="L3069" s="13" t="n">
        <f aca="false">MAX(0,D3069-K3069)</f>
        <v>0</v>
      </c>
      <c r="M3069" s="13" t="n">
        <f aca="false">MAX(0,F3069-I3069-J3069)</f>
        <v>0</v>
      </c>
      <c r="N3069" s="13" t="n">
        <f aca="false">IF(Kalender!A141="",0,J3068-H3069)</f>
        <v>0.3472278</v>
      </c>
    </row>
    <row r="3070" customFormat="false" ht="16.4" hidden="false" customHeight="false" outlineLevel="0" collapsed="false">
      <c r="A3070" s="13" t="str">
        <f aca="false">""</f>
        <v/>
      </c>
      <c r="B3070" s="13" t="n">
        <f aca="false">138</f>
        <v>138</v>
      </c>
      <c r="C3070" s="13" t="n">
        <f aca="false">IF(Szenarien!$H$19="OK",(IFERROR(SUMIF(Nutzungsprofile!$B$6:$B$11,"Schulbetrieb",Nutzungsprofile!$G$6:$G$11)*Kalender!C142/SUM(Kalender!$C$5:$C$370),0)+IFERROR(SUMIF(Nutzungsprofile!$B$6:$B$11,"Halle",Nutzungsprofile!$G$6:$G$11)*Kalender!D142/SUM(Kalender!$D$5:$D$370),0)+IFERROR(SUMIF(Nutzungsprofile!$B$6:$B$11,"Individuell",Nutzungsprofile!$G$6:$G$11)*Kalender!E142/SUM(Kalender!$E$5:$E$370),0))*Szenarien!$E$19,0)</f>
        <v>2.94</v>
      </c>
      <c r="D3070" s="13" t="n">
        <f aca="false">IF(Szenarien!$H$19="OK",(IFERROR(SUMIF(Nutzungsprofile!$B$17:$B$22,"Schulbetrieb",Nutzungsprofile!$G$17:$G$22)*Kalender!C142/SUM(Kalender!$C$5:$C$370),0)+IFERROR(SUMIF(Nutzungsprofile!$B$17:$B$22,"Halle",Nutzungsprofile!$G$17:$G$22)*Kalender!D142/SUM(Kalender!$D$5:$D$370),0)+IFERROR(SUMIF(Nutzungsprofile!$B$17:$B$22,"Individuell",Nutzungsprofile!$G$17:$G$22)*Kalender!E142/SUM(Kalender!$E$5:$E$370),0))*Szenarien!$D$19,0)</f>
        <v>5.928</v>
      </c>
      <c r="E3070" s="13" t="n">
        <f aca="false">IFERROR(MIN(C3070,Eingaben!$B$17)*Eingaben!$B$16,0)</f>
        <v>2.793</v>
      </c>
      <c r="F3070" s="13" t="n">
        <f aca="false">IFERROR(E3070*Eingaben!$B$15,0)</f>
        <v>2.5137</v>
      </c>
      <c r="G3070" s="13" t="n">
        <f aca="false">IFERROR(IF(Kalender!A142="",0,J3069*(1-Eingaben!$B$20)),0)</f>
        <v>1.709316</v>
      </c>
      <c r="H3070" s="13" t="n">
        <f aca="false">MIN(G3070,D3070)</f>
        <v>1.709316</v>
      </c>
      <c r="I3070" s="13" t="n">
        <f aca="false">IFERROR(MIN(F3070*Eingaben!$B$19,MAX(0,D3070-H3070)),0)</f>
        <v>1.75959</v>
      </c>
      <c r="J3070" s="13" t="n">
        <f aca="false">IFERROR(MIN(Eingaben!$B$18,MAX(0,F3070-I3070)),0)</f>
        <v>0.75411</v>
      </c>
      <c r="K3070" s="13" t="n">
        <f aca="false">H3070+I3070</f>
        <v>3.468906</v>
      </c>
      <c r="L3070" s="13" t="n">
        <f aca="false">MAX(0,D3070-K3070)</f>
        <v>2.459094</v>
      </c>
      <c r="M3070" s="13" t="n">
        <f aca="false">MAX(0,F3070-I3070-J3070)</f>
        <v>0</v>
      </c>
      <c r="N3070" s="13" t="n">
        <f aca="false">IF(Kalender!A142="",0,J3069-H3070)</f>
        <v>0.0348840000000001</v>
      </c>
    </row>
    <row r="3071" customFormat="false" ht="16.4" hidden="false" customHeight="false" outlineLevel="0" collapsed="false">
      <c r="A3071" s="13" t="str">
        <f aca="false">""</f>
        <v/>
      </c>
      <c r="B3071" s="13" t="n">
        <f aca="false">139</f>
        <v>139</v>
      </c>
      <c r="C3071" s="13" t="n">
        <f aca="false">IF(Szenarien!$H$19="OK",(IFERROR(SUMIF(Nutzungsprofile!$B$6:$B$11,"Schulbetrieb",Nutzungsprofile!$G$6:$G$11)*Kalender!C143/SUM(Kalender!$C$5:$C$370),0)+IFERROR(SUMIF(Nutzungsprofile!$B$6:$B$11,"Halle",Nutzungsprofile!$G$6:$G$11)*Kalender!D143/SUM(Kalender!$D$5:$D$370),0)+IFERROR(SUMIF(Nutzungsprofile!$B$6:$B$11,"Individuell",Nutzungsprofile!$G$6:$G$11)*Kalender!E143/SUM(Kalender!$E$5:$E$370),0))*Szenarien!$E$19,0)</f>
        <v>2.94</v>
      </c>
      <c r="D3071" s="13" t="n">
        <f aca="false">IF(Szenarien!$H$19="OK",(IFERROR(SUMIF(Nutzungsprofile!$B$17:$B$22,"Schulbetrieb",Nutzungsprofile!$G$17:$G$22)*Kalender!C143/SUM(Kalender!$C$5:$C$370),0)+IFERROR(SUMIF(Nutzungsprofile!$B$17:$B$22,"Halle",Nutzungsprofile!$G$17:$G$22)*Kalender!D143/SUM(Kalender!$D$5:$D$370),0)+IFERROR(SUMIF(Nutzungsprofile!$B$17:$B$22,"Individuell",Nutzungsprofile!$G$17:$G$22)*Kalender!E143/SUM(Kalender!$E$5:$E$370),0))*Szenarien!$D$19,0)</f>
        <v>5.928</v>
      </c>
      <c r="E3071" s="13" t="n">
        <f aca="false">IFERROR(MIN(C3071,Eingaben!$B$17)*Eingaben!$B$16,0)</f>
        <v>2.793</v>
      </c>
      <c r="F3071" s="13" t="n">
        <f aca="false">IFERROR(E3071*Eingaben!$B$15,0)</f>
        <v>2.5137</v>
      </c>
      <c r="G3071" s="13" t="n">
        <f aca="false">IFERROR(IF(Kalender!A143="",0,J3070*(1-Eingaben!$B$20)),0)</f>
        <v>0.7390278</v>
      </c>
      <c r="H3071" s="13" t="n">
        <f aca="false">MIN(G3071,D3071)</f>
        <v>0.7390278</v>
      </c>
      <c r="I3071" s="13" t="n">
        <f aca="false">IFERROR(MIN(F3071*Eingaben!$B$19,MAX(0,D3071-H3071)),0)</f>
        <v>1.75959</v>
      </c>
      <c r="J3071" s="13" t="n">
        <f aca="false">IFERROR(MIN(Eingaben!$B$18,MAX(0,F3071-I3071)),0)</f>
        <v>0.75411</v>
      </c>
      <c r="K3071" s="13" t="n">
        <f aca="false">H3071+I3071</f>
        <v>2.4986178</v>
      </c>
      <c r="L3071" s="13" t="n">
        <f aca="false">MAX(0,D3071-K3071)</f>
        <v>3.4293822</v>
      </c>
      <c r="M3071" s="13" t="n">
        <f aca="false">MAX(0,F3071-I3071-J3071)</f>
        <v>0</v>
      </c>
      <c r="N3071" s="13" t="n">
        <f aca="false">IF(Kalender!A143="",0,J3070-H3071)</f>
        <v>0.0150822</v>
      </c>
    </row>
    <row r="3072" customFormat="false" ht="16.4" hidden="false" customHeight="false" outlineLevel="0" collapsed="false">
      <c r="A3072" s="13" t="str">
        <f aca="false">""</f>
        <v/>
      </c>
      <c r="B3072" s="13" t="n">
        <f aca="false">140</f>
        <v>140</v>
      </c>
      <c r="C3072" s="13" t="n">
        <f aca="false">IF(Szenarien!$H$19="OK",(IFERROR(SUMIF(Nutzungsprofile!$B$6:$B$11,"Schulbetrieb",Nutzungsprofile!$G$6:$G$11)*Kalender!C144/SUM(Kalender!$C$5:$C$370),0)+IFERROR(SUMIF(Nutzungsprofile!$B$6:$B$11,"Halle",Nutzungsprofile!$G$6:$G$11)*Kalender!D144/SUM(Kalender!$D$5:$D$370),0)+IFERROR(SUMIF(Nutzungsprofile!$B$6:$B$11,"Individuell",Nutzungsprofile!$G$6:$G$11)*Kalender!E144/SUM(Kalender!$E$5:$E$370),0))*Szenarien!$E$19,0)</f>
        <v>2.94</v>
      </c>
      <c r="D3072" s="13" t="n">
        <f aca="false">IF(Szenarien!$H$19="OK",(IFERROR(SUMIF(Nutzungsprofile!$B$17:$B$22,"Schulbetrieb",Nutzungsprofile!$G$17:$G$22)*Kalender!C144/SUM(Kalender!$C$5:$C$370),0)+IFERROR(SUMIF(Nutzungsprofile!$B$17:$B$22,"Halle",Nutzungsprofile!$G$17:$G$22)*Kalender!D144/SUM(Kalender!$D$5:$D$370),0)+IFERROR(SUMIF(Nutzungsprofile!$B$17:$B$22,"Individuell",Nutzungsprofile!$G$17:$G$22)*Kalender!E144/SUM(Kalender!$E$5:$E$370),0))*Szenarien!$D$19,0)</f>
        <v>5.928</v>
      </c>
      <c r="E3072" s="13" t="n">
        <f aca="false">IFERROR(MIN(C3072,Eingaben!$B$17)*Eingaben!$B$16,0)</f>
        <v>2.793</v>
      </c>
      <c r="F3072" s="13" t="n">
        <f aca="false">IFERROR(E3072*Eingaben!$B$15,0)</f>
        <v>2.5137</v>
      </c>
      <c r="G3072" s="13" t="n">
        <f aca="false">IFERROR(IF(Kalender!A144="",0,J3071*(1-Eingaben!$B$20)),0)</f>
        <v>0.7390278</v>
      </c>
      <c r="H3072" s="13" t="n">
        <f aca="false">MIN(G3072,D3072)</f>
        <v>0.7390278</v>
      </c>
      <c r="I3072" s="13" t="n">
        <f aca="false">IFERROR(MIN(F3072*Eingaben!$B$19,MAX(0,D3072-H3072)),0)</f>
        <v>1.75959</v>
      </c>
      <c r="J3072" s="13" t="n">
        <f aca="false">IFERROR(MIN(Eingaben!$B$18,MAX(0,F3072-I3072)),0)</f>
        <v>0.75411</v>
      </c>
      <c r="K3072" s="13" t="n">
        <f aca="false">H3072+I3072</f>
        <v>2.4986178</v>
      </c>
      <c r="L3072" s="13" t="n">
        <f aca="false">MAX(0,D3072-K3072)</f>
        <v>3.4293822</v>
      </c>
      <c r="M3072" s="13" t="n">
        <f aca="false">MAX(0,F3072-I3072-J3072)</f>
        <v>0</v>
      </c>
      <c r="N3072" s="13" t="n">
        <f aca="false">IF(Kalender!A144="",0,J3071-H3072)</f>
        <v>0.0150822</v>
      </c>
    </row>
    <row r="3073" customFormat="false" ht="16.4" hidden="false" customHeight="false" outlineLevel="0" collapsed="false">
      <c r="A3073" s="13" t="str">
        <f aca="false">""</f>
        <v/>
      </c>
      <c r="B3073" s="13" t="n">
        <f aca="false">141</f>
        <v>141</v>
      </c>
      <c r="C3073" s="13" t="n">
        <f aca="false">IF(Szenarien!$H$19="OK",(IFERROR(SUMIF(Nutzungsprofile!$B$6:$B$11,"Schulbetrieb",Nutzungsprofile!$G$6:$G$11)*Kalender!C145/SUM(Kalender!$C$5:$C$370),0)+IFERROR(SUMIF(Nutzungsprofile!$B$6:$B$11,"Halle",Nutzungsprofile!$G$6:$G$11)*Kalender!D145/SUM(Kalender!$D$5:$D$370),0)+IFERROR(SUMIF(Nutzungsprofile!$B$6:$B$11,"Individuell",Nutzungsprofile!$G$6:$G$11)*Kalender!E145/SUM(Kalender!$E$5:$E$370),0))*Szenarien!$E$19,0)</f>
        <v>2.94</v>
      </c>
      <c r="D3073" s="13" t="n">
        <f aca="false">IF(Szenarien!$H$19="OK",(IFERROR(SUMIF(Nutzungsprofile!$B$17:$B$22,"Schulbetrieb",Nutzungsprofile!$G$17:$G$22)*Kalender!C145/SUM(Kalender!$C$5:$C$370),0)+IFERROR(SUMIF(Nutzungsprofile!$B$17:$B$22,"Halle",Nutzungsprofile!$G$17:$G$22)*Kalender!D145/SUM(Kalender!$D$5:$D$370),0)+IFERROR(SUMIF(Nutzungsprofile!$B$17:$B$22,"Individuell",Nutzungsprofile!$G$17:$G$22)*Kalender!E145/SUM(Kalender!$E$5:$E$370),0))*Szenarien!$D$19,0)</f>
        <v>5.928</v>
      </c>
      <c r="E3073" s="13" t="n">
        <f aca="false">IFERROR(MIN(C3073,Eingaben!$B$17)*Eingaben!$B$16,0)</f>
        <v>2.793</v>
      </c>
      <c r="F3073" s="13" t="n">
        <f aca="false">IFERROR(E3073*Eingaben!$B$15,0)</f>
        <v>2.5137</v>
      </c>
      <c r="G3073" s="13" t="n">
        <f aca="false">IFERROR(IF(Kalender!A145="",0,J3072*(1-Eingaben!$B$20)),0)</f>
        <v>0.7390278</v>
      </c>
      <c r="H3073" s="13" t="n">
        <f aca="false">MIN(G3073,D3073)</f>
        <v>0.7390278</v>
      </c>
      <c r="I3073" s="13" t="n">
        <f aca="false">IFERROR(MIN(F3073*Eingaben!$B$19,MAX(0,D3073-H3073)),0)</f>
        <v>1.75959</v>
      </c>
      <c r="J3073" s="13" t="n">
        <f aca="false">IFERROR(MIN(Eingaben!$B$18,MAX(0,F3073-I3073)),0)</f>
        <v>0.75411</v>
      </c>
      <c r="K3073" s="13" t="n">
        <f aca="false">H3073+I3073</f>
        <v>2.4986178</v>
      </c>
      <c r="L3073" s="13" t="n">
        <f aca="false">MAX(0,D3073-K3073)</f>
        <v>3.4293822</v>
      </c>
      <c r="M3073" s="13" t="n">
        <f aca="false">MAX(0,F3073-I3073-J3073)</f>
        <v>0</v>
      </c>
      <c r="N3073" s="13" t="n">
        <f aca="false">IF(Kalender!A145="",0,J3072-H3073)</f>
        <v>0.0150822</v>
      </c>
    </row>
    <row r="3074" customFormat="false" ht="16.4" hidden="false" customHeight="false" outlineLevel="0" collapsed="false">
      <c r="A3074" s="13" t="str">
        <f aca="false">""</f>
        <v/>
      </c>
      <c r="B3074" s="13" t="n">
        <f aca="false">142</f>
        <v>142</v>
      </c>
      <c r="C3074" s="13" t="n">
        <f aca="false">IF(Szenarien!$H$19="OK",(IFERROR(SUMIF(Nutzungsprofile!$B$6:$B$11,"Schulbetrieb",Nutzungsprofile!$G$6:$G$11)*Kalender!C146/SUM(Kalender!$C$5:$C$370),0)+IFERROR(SUMIF(Nutzungsprofile!$B$6:$B$11,"Halle",Nutzungsprofile!$G$6:$G$11)*Kalender!D146/SUM(Kalender!$D$5:$D$370),0)+IFERROR(SUMIF(Nutzungsprofile!$B$6:$B$11,"Individuell",Nutzungsprofile!$G$6:$G$11)*Kalender!E146/SUM(Kalender!$E$5:$E$370),0))*Szenarien!$E$19,0)</f>
        <v>2.94</v>
      </c>
      <c r="D3074" s="13" t="n">
        <f aca="false">IF(Szenarien!$H$19="OK",(IFERROR(SUMIF(Nutzungsprofile!$B$17:$B$22,"Schulbetrieb",Nutzungsprofile!$G$17:$G$22)*Kalender!C146/SUM(Kalender!$C$5:$C$370),0)+IFERROR(SUMIF(Nutzungsprofile!$B$17:$B$22,"Halle",Nutzungsprofile!$G$17:$G$22)*Kalender!D146/SUM(Kalender!$D$5:$D$370),0)+IFERROR(SUMIF(Nutzungsprofile!$B$17:$B$22,"Individuell",Nutzungsprofile!$G$17:$G$22)*Kalender!E146/SUM(Kalender!$E$5:$E$370),0))*Szenarien!$D$19,0)</f>
        <v>5.928</v>
      </c>
      <c r="E3074" s="13" t="n">
        <f aca="false">IFERROR(MIN(C3074,Eingaben!$B$17)*Eingaben!$B$16,0)</f>
        <v>2.793</v>
      </c>
      <c r="F3074" s="13" t="n">
        <f aca="false">IFERROR(E3074*Eingaben!$B$15,0)</f>
        <v>2.5137</v>
      </c>
      <c r="G3074" s="13" t="n">
        <f aca="false">IFERROR(IF(Kalender!A146="",0,J3073*(1-Eingaben!$B$20)),0)</f>
        <v>0.7390278</v>
      </c>
      <c r="H3074" s="13" t="n">
        <f aca="false">MIN(G3074,D3074)</f>
        <v>0.7390278</v>
      </c>
      <c r="I3074" s="13" t="n">
        <f aca="false">IFERROR(MIN(F3074*Eingaben!$B$19,MAX(0,D3074-H3074)),0)</f>
        <v>1.75959</v>
      </c>
      <c r="J3074" s="13" t="n">
        <f aca="false">IFERROR(MIN(Eingaben!$B$18,MAX(0,F3074-I3074)),0)</f>
        <v>0.75411</v>
      </c>
      <c r="K3074" s="13" t="n">
        <f aca="false">H3074+I3074</f>
        <v>2.4986178</v>
      </c>
      <c r="L3074" s="13" t="n">
        <f aca="false">MAX(0,D3074-K3074)</f>
        <v>3.4293822</v>
      </c>
      <c r="M3074" s="13" t="n">
        <f aca="false">MAX(0,F3074-I3074-J3074)</f>
        <v>0</v>
      </c>
      <c r="N3074" s="13" t="n">
        <f aca="false">IF(Kalender!A146="",0,J3073-H3074)</f>
        <v>0.0150822</v>
      </c>
    </row>
    <row r="3075" customFormat="false" ht="16.4" hidden="false" customHeight="false" outlineLevel="0" collapsed="false">
      <c r="A3075" s="13" t="str">
        <f aca="false">""</f>
        <v/>
      </c>
      <c r="B3075" s="13" t="n">
        <f aca="false">143</f>
        <v>143</v>
      </c>
      <c r="C3075" s="13" t="n">
        <f aca="false">IF(Szenarien!$H$19="OK",(IFERROR(SUMIF(Nutzungsprofile!$B$6:$B$11,"Schulbetrieb",Nutzungsprofile!$G$6:$G$11)*Kalender!C147/SUM(Kalender!$C$5:$C$370),0)+IFERROR(SUMIF(Nutzungsprofile!$B$6:$B$11,"Halle",Nutzungsprofile!$G$6:$G$11)*Kalender!D147/SUM(Kalender!$D$5:$D$370),0)+IFERROR(SUMIF(Nutzungsprofile!$B$6:$B$11,"Individuell",Nutzungsprofile!$G$6:$G$11)*Kalender!E147/SUM(Kalender!$E$5:$E$370),0))*Szenarien!$E$19,0)</f>
        <v>2.04</v>
      </c>
      <c r="D3075" s="13" t="n">
        <f aca="false">IF(Szenarien!$H$19="OK",(IFERROR(SUMIF(Nutzungsprofile!$B$17:$B$22,"Schulbetrieb",Nutzungsprofile!$G$17:$G$22)*Kalender!C147/SUM(Kalender!$C$5:$C$370),0)+IFERROR(SUMIF(Nutzungsprofile!$B$17:$B$22,"Halle",Nutzungsprofile!$G$17:$G$22)*Kalender!D147/SUM(Kalender!$D$5:$D$370),0)+IFERROR(SUMIF(Nutzungsprofile!$B$17:$B$22,"Individuell",Nutzungsprofile!$G$17:$G$22)*Kalender!E147/SUM(Kalender!$E$5:$E$370),0))*Szenarien!$D$19,0)</f>
        <v>1.068</v>
      </c>
      <c r="E3075" s="13" t="n">
        <f aca="false">IFERROR(MIN(C3075,Eingaben!$B$17)*Eingaben!$B$16,0)</f>
        <v>1.938</v>
      </c>
      <c r="F3075" s="13" t="n">
        <f aca="false">IFERROR(E3075*Eingaben!$B$15,0)</f>
        <v>1.7442</v>
      </c>
      <c r="G3075" s="13" t="n">
        <f aca="false">IFERROR(IF(Kalender!A147="",0,J3074*(1-Eingaben!$B$20)),0)</f>
        <v>0.7390278</v>
      </c>
      <c r="H3075" s="13" t="n">
        <f aca="false">MIN(G3075,D3075)</f>
        <v>0.7390278</v>
      </c>
      <c r="I3075" s="13" t="n">
        <f aca="false">IFERROR(MIN(F3075*Eingaben!$B$19,MAX(0,D3075-H3075)),0)</f>
        <v>0.3289722</v>
      </c>
      <c r="J3075" s="13" t="n">
        <f aca="false">IFERROR(MIN(Eingaben!$B$18,MAX(0,F3075-I3075)),0)</f>
        <v>1.4152278</v>
      </c>
      <c r="K3075" s="13" t="n">
        <f aca="false">H3075+I3075</f>
        <v>1.068</v>
      </c>
      <c r="L3075" s="13" t="n">
        <f aca="false">MAX(0,D3075-K3075)</f>
        <v>0</v>
      </c>
      <c r="M3075" s="13" t="n">
        <f aca="false">MAX(0,F3075-I3075-J3075)</f>
        <v>0</v>
      </c>
      <c r="N3075" s="13" t="n">
        <f aca="false">IF(Kalender!A147="",0,J3074-H3075)</f>
        <v>0.0150822</v>
      </c>
    </row>
    <row r="3076" customFormat="false" ht="16.4" hidden="false" customHeight="false" outlineLevel="0" collapsed="false">
      <c r="A3076" s="13" t="str">
        <f aca="false">""</f>
        <v/>
      </c>
      <c r="B3076" s="13" t="n">
        <f aca="false">144</f>
        <v>144</v>
      </c>
      <c r="C3076" s="13" t="n">
        <f aca="false">IF(Szenarien!$H$19="OK",(IFERROR(SUMIF(Nutzungsprofile!$B$6:$B$11,"Schulbetrieb",Nutzungsprofile!$G$6:$G$11)*Kalender!C148/SUM(Kalender!$C$5:$C$370),0)+IFERROR(SUMIF(Nutzungsprofile!$B$6:$B$11,"Halle",Nutzungsprofile!$G$6:$G$11)*Kalender!D148/SUM(Kalender!$D$5:$D$370),0)+IFERROR(SUMIF(Nutzungsprofile!$B$6:$B$11,"Individuell",Nutzungsprofile!$G$6:$G$11)*Kalender!E148/SUM(Kalender!$E$5:$E$370),0))*Szenarien!$E$19,0)</f>
        <v>2.04</v>
      </c>
      <c r="D3076" s="13" t="n">
        <f aca="false">IF(Szenarien!$H$19="OK",(IFERROR(SUMIF(Nutzungsprofile!$B$17:$B$22,"Schulbetrieb",Nutzungsprofile!$G$17:$G$22)*Kalender!C148/SUM(Kalender!$C$5:$C$370),0)+IFERROR(SUMIF(Nutzungsprofile!$B$17:$B$22,"Halle",Nutzungsprofile!$G$17:$G$22)*Kalender!D148/SUM(Kalender!$D$5:$D$370),0)+IFERROR(SUMIF(Nutzungsprofile!$B$17:$B$22,"Individuell",Nutzungsprofile!$G$17:$G$22)*Kalender!E148/SUM(Kalender!$E$5:$E$370),0))*Szenarien!$D$19,0)</f>
        <v>1.068</v>
      </c>
      <c r="E3076" s="13" t="n">
        <f aca="false">IFERROR(MIN(C3076,Eingaben!$B$17)*Eingaben!$B$16,0)</f>
        <v>1.938</v>
      </c>
      <c r="F3076" s="13" t="n">
        <f aca="false">IFERROR(E3076*Eingaben!$B$15,0)</f>
        <v>1.7442</v>
      </c>
      <c r="G3076" s="13" t="n">
        <f aca="false">IFERROR(IF(Kalender!A148="",0,J3075*(1-Eingaben!$B$20)),0)</f>
        <v>1.386923244</v>
      </c>
      <c r="H3076" s="13" t="n">
        <f aca="false">MIN(G3076,D3076)</f>
        <v>1.068</v>
      </c>
      <c r="I3076" s="13" t="n">
        <f aca="false">IFERROR(MIN(F3076*Eingaben!$B$19,MAX(0,D3076-H3076)),0)</f>
        <v>0</v>
      </c>
      <c r="J3076" s="13" t="n">
        <f aca="false">IFERROR(MIN(Eingaben!$B$18,MAX(0,F3076-I3076)),0)</f>
        <v>1.7442</v>
      </c>
      <c r="K3076" s="13" t="n">
        <f aca="false">H3076+I3076</f>
        <v>1.068</v>
      </c>
      <c r="L3076" s="13" t="n">
        <f aca="false">MAX(0,D3076-K3076)</f>
        <v>0</v>
      </c>
      <c r="M3076" s="13" t="n">
        <f aca="false">MAX(0,F3076-I3076-J3076)</f>
        <v>0</v>
      </c>
      <c r="N3076" s="13" t="n">
        <f aca="false">IF(Kalender!A148="",0,J3075-H3076)</f>
        <v>0.3472278</v>
      </c>
    </row>
    <row r="3077" customFormat="false" ht="16.4" hidden="false" customHeight="false" outlineLevel="0" collapsed="false">
      <c r="A3077" s="13" t="str">
        <f aca="false">""</f>
        <v/>
      </c>
      <c r="B3077" s="13" t="n">
        <f aca="false">145</f>
        <v>145</v>
      </c>
      <c r="C3077" s="13" t="n">
        <f aca="false">IF(Szenarien!$H$19="OK",(IFERROR(SUMIF(Nutzungsprofile!$B$6:$B$11,"Schulbetrieb",Nutzungsprofile!$G$6:$G$11)*Kalender!C149/SUM(Kalender!$C$5:$C$370),0)+IFERROR(SUMIF(Nutzungsprofile!$B$6:$B$11,"Halle",Nutzungsprofile!$G$6:$G$11)*Kalender!D149/SUM(Kalender!$D$5:$D$370),0)+IFERROR(SUMIF(Nutzungsprofile!$B$6:$B$11,"Individuell",Nutzungsprofile!$G$6:$G$11)*Kalender!E149/SUM(Kalender!$E$5:$E$370),0))*Szenarien!$E$19,0)</f>
        <v>2.94</v>
      </c>
      <c r="D3077" s="13" t="n">
        <f aca="false">IF(Szenarien!$H$19="OK",(IFERROR(SUMIF(Nutzungsprofile!$B$17:$B$22,"Schulbetrieb",Nutzungsprofile!$G$17:$G$22)*Kalender!C149/SUM(Kalender!$C$5:$C$370),0)+IFERROR(SUMIF(Nutzungsprofile!$B$17:$B$22,"Halle",Nutzungsprofile!$G$17:$G$22)*Kalender!D149/SUM(Kalender!$D$5:$D$370),0)+IFERROR(SUMIF(Nutzungsprofile!$B$17:$B$22,"Individuell",Nutzungsprofile!$G$17:$G$22)*Kalender!E149/SUM(Kalender!$E$5:$E$370),0))*Szenarien!$D$19,0)</f>
        <v>5.928</v>
      </c>
      <c r="E3077" s="13" t="n">
        <f aca="false">IFERROR(MIN(C3077,Eingaben!$B$17)*Eingaben!$B$16,0)</f>
        <v>2.793</v>
      </c>
      <c r="F3077" s="13" t="n">
        <f aca="false">IFERROR(E3077*Eingaben!$B$15,0)</f>
        <v>2.5137</v>
      </c>
      <c r="G3077" s="13" t="n">
        <f aca="false">IFERROR(IF(Kalender!A149="",0,J3076*(1-Eingaben!$B$20)),0)</f>
        <v>1.709316</v>
      </c>
      <c r="H3077" s="13" t="n">
        <f aca="false">MIN(G3077,D3077)</f>
        <v>1.709316</v>
      </c>
      <c r="I3077" s="13" t="n">
        <f aca="false">IFERROR(MIN(F3077*Eingaben!$B$19,MAX(0,D3077-H3077)),0)</f>
        <v>1.75959</v>
      </c>
      <c r="J3077" s="13" t="n">
        <f aca="false">IFERROR(MIN(Eingaben!$B$18,MAX(0,F3077-I3077)),0)</f>
        <v>0.75411</v>
      </c>
      <c r="K3077" s="13" t="n">
        <f aca="false">H3077+I3077</f>
        <v>3.468906</v>
      </c>
      <c r="L3077" s="13" t="n">
        <f aca="false">MAX(0,D3077-K3077)</f>
        <v>2.459094</v>
      </c>
      <c r="M3077" s="13" t="n">
        <f aca="false">MAX(0,F3077-I3077-J3077)</f>
        <v>0</v>
      </c>
      <c r="N3077" s="13" t="n">
        <f aca="false">IF(Kalender!A149="",0,J3076-H3077)</f>
        <v>0.0348840000000001</v>
      </c>
    </row>
    <row r="3078" customFormat="false" ht="16.4" hidden="false" customHeight="false" outlineLevel="0" collapsed="false">
      <c r="A3078" s="13" t="str">
        <f aca="false">""</f>
        <v/>
      </c>
      <c r="B3078" s="13" t="n">
        <f aca="false">146</f>
        <v>146</v>
      </c>
      <c r="C3078" s="13" t="n">
        <f aca="false">IF(Szenarien!$H$19="OK",(IFERROR(SUMIF(Nutzungsprofile!$B$6:$B$11,"Schulbetrieb",Nutzungsprofile!$G$6:$G$11)*Kalender!C150/SUM(Kalender!$C$5:$C$370),0)+IFERROR(SUMIF(Nutzungsprofile!$B$6:$B$11,"Halle",Nutzungsprofile!$G$6:$G$11)*Kalender!D150/SUM(Kalender!$D$5:$D$370),0)+IFERROR(SUMIF(Nutzungsprofile!$B$6:$B$11,"Individuell",Nutzungsprofile!$G$6:$G$11)*Kalender!E150/SUM(Kalender!$E$5:$E$370),0))*Szenarien!$E$19,0)</f>
        <v>2.94</v>
      </c>
      <c r="D3078" s="13" t="n">
        <f aca="false">IF(Szenarien!$H$19="OK",(IFERROR(SUMIF(Nutzungsprofile!$B$17:$B$22,"Schulbetrieb",Nutzungsprofile!$G$17:$G$22)*Kalender!C150/SUM(Kalender!$C$5:$C$370),0)+IFERROR(SUMIF(Nutzungsprofile!$B$17:$B$22,"Halle",Nutzungsprofile!$G$17:$G$22)*Kalender!D150/SUM(Kalender!$D$5:$D$370),0)+IFERROR(SUMIF(Nutzungsprofile!$B$17:$B$22,"Individuell",Nutzungsprofile!$G$17:$G$22)*Kalender!E150/SUM(Kalender!$E$5:$E$370),0))*Szenarien!$D$19,0)</f>
        <v>5.928</v>
      </c>
      <c r="E3078" s="13" t="n">
        <f aca="false">IFERROR(MIN(C3078,Eingaben!$B$17)*Eingaben!$B$16,0)</f>
        <v>2.793</v>
      </c>
      <c r="F3078" s="13" t="n">
        <f aca="false">IFERROR(E3078*Eingaben!$B$15,0)</f>
        <v>2.5137</v>
      </c>
      <c r="G3078" s="13" t="n">
        <f aca="false">IFERROR(IF(Kalender!A150="",0,J3077*(1-Eingaben!$B$20)),0)</f>
        <v>0.7390278</v>
      </c>
      <c r="H3078" s="13" t="n">
        <f aca="false">MIN(G3078,D3078)</f>
        <v>0.7390278</v>
      </c>
      <c r="I3078" s="13" t="n">
        <f aca="false">IFERROR(MIN(F3078*Eingaben!$B$19,MAX(0,D3078-H3078)),0)</f>
        <v>1.75959</v>
      </c>
      <c r="J3078" s="13" t="n">
        <f aca="false">IFERROR(MIN(Eingaben!$B$18,MAX(0,F3078-I3078)),0)</f>
        <v>0.75411</v>
      </c>
      <c r="K3078" s="13" t="n">
        <f aca="false">H3078+I3078</f>
        <v>2.4986178</v>
      </c>
      <c r="L3078" s="13" t="n">
        <f aca="false">MAX(0,D3078-K3078)</f>
        <v>3.4293822</v>
      </c>
      <c r="M3078" s="13" t="n">
        <f aca="false">MAX(0,F3078-I3078-J3078)</f>
        <v>0</v>
      </c>
      <c r="N3078" s="13" t="n">
        <f aca="false">IF(Kalender!A150="",0,J3077-H3078)</f>
        <v>0.0150822</v>
      </c>
    </row>
    <row r="3079" customFormat="false" ht="16.4" hidden="false" customHeight="false" outlineLevel="0" collapsed="false">
      <c r="A3079" s="13" t="str">
        <f aca="false">""</f>
        <v/>
      </c>
      <c r="B3079" s="13" t="n">
        <f aca="false">147</f>
        <v>147</v>
      </c>
      <c r="C3079" s="13" t="n">
        <f aca="false">IF(Szenarien!$H$19="OK",(IFERROR(SUMIF(Nutzungsprofile!$B$6:$B$11,"Schulbetrieb",Nutzungsprofile!$G$6:$G$11)*Kalender!C151/SUM(Kalender!$C$5:$C$370),0)+IFERROR(SUMIF(Nutzungsprofile!$B$6:$B$11,"Halle",Nutzungsprofile!$G$6:$G$11)*Kalender!D151/SUM(Kalender!$D$5:$D$370),0)+IFERROR(SUMIF(Nutzungsprofile!$B$6:$B$11,"Individuell",Nutzungsprofile!$G$6:$G$11)*Kalender!E151/SUM(Kalender!$E$5:$E$370),0))*Szenarien!$E$19,0)</f>
        <v>2.94</v>
      </c>
      <c r="D3079" s="13" t="n">
        <f aca="false">IF(Szenarien!$H$19="OK",(IFERROR(SUMIF(Nutzungsprofile!$B$17:$B$22,"Schulbetrieb",Nutzungsprofile!$G$17:$G$22)*Kalender!C151/SUM(Kalender!$C$5:$C$370),0)+IFERROR(SUMIF(Nutzungsprofile!$B$17:$B$22,"Halle",Nutzungsprofile!$G$17:$G$22)*Kalender!D151/SUM(Kalender!$D$5:$D$370),0)+IFERROR(SUMIF(Nutzungsprofile!$B$17:$B$22,"Individuell",Nutzungsprofile!$G$17:$G$22)*Kalender!E151/SUM(Kalender!$E$5:$E$370),0))*Szenarien!$D$19,0)</f>
        <v>5.928</v>
      </c>
      <c r="E3079" s="13" t="n">
        <f aca="false">IFERROR(MIN(C3079,Eingaben!$B$17)*Eingaben!$B$16,0)</f>
        <v>2.793</v>
      </c>
      <c r="F3079" s="13" t="n">
        <f aca="false">IFERROR(E3079*Eingaben!$B$15,0)</f>
        <v>2.5137</v>
      </c>
      <c r="G3079" s="13" t="n">
        <f aca="false">IFERROR(IF(Kalender!A151="",0,J3078*(1-Eingaben!$B$20)),0)</f>
        <v>0.7390278</v>
      </c>
      <c r="H3079" s="13" t="n">
        <f aca="false">MIN(G3079,D3079)</f>
        <v>0.7390278</v>
      </c>
      <c r="I3079" s="13" t="n">
        <f aca="false">IFERROR(MIN(F3079*Eingaben!$B$19,MAX(0,D3079-H3079)),0)</f>
        <v>1.75959</v>
      </c>
      <c r="J3079" s="13" t="n">
        <f aca="false">IFERROR(MIN(Eingaben!$B$18,MAX(0,F3079-I3079)),0)</f>
        <v>0.75411</v>
      </c>
      <c r="K3079" s="13" t="n">
        <f aca="false">H3079+I3079</f>
        <v>2.4986178</v>
      </c>
      <c r="L3079" s="13" t="n">
        <f aca="false">MAX(0,D3079-K3079)</f>
        <v>3.4293822</v>
      </c>
      <c r="M3079" s="13" t="n">
        <f aca="false">MAX(0,F3079-I3079-J3079)</f>
        <v>0</v>
      </c>
      <c r="N3079" s="13" t="n">
        <f aca="false">IF(Kalender!A151="",0,J3078-H3079)</f>
        <v>0.0150822</v>
      </c>
    </row>
    <row r="3080" customFormat="false" ht="16.4" hidden="false" customHeight="false" outlineLevel="0" collapsed="false">
      <c r="A3080" s="13" t="str">
        <f aca="false">""</f>
        <v/>
      </c>
      <c r="B3080" s="13" t="n">
        <f aca="false">148</f>
        <v>148</v>
      </c>
      <c r="C3080" s="13" t="n">
        <f aca="false">IF(Szenarien!$H$19="OK",(IFERROR(SUMIF(Nutzungsprofile!$B$6:$B$11,"Schulbetrieb",Nutzungsprofile!$G$6:$G$11)*Kalender!C152/SUM(Kalender!$C$5:$C$370),0)+IFERROR(SUMIF(Nutzungsprofile!$B$6:$B$11,"Halle",Nutzungsprofile!$G$6:$G$11)*Kalender!D152/SUM(Kalender!$D$5:$D$370),0)+IFERROR(SUMIF(Nutzungsprofile!$B$6:$B$11,"Individuell",Nutzungsprofile!$G$6:$G$11)*Kalender!E152/SUM(Kalender!$E$5:$E$370),0))*Szenarien!$E$19,0)</f>
        <v>2.94</v>
      </c>
      <c r="D3080" s="13" t="n">
        <f aca="false">IF(Szenarien!$H$19="OK",(IFERROR(SUMIF(Nutzungsprofile!$B$17:$B$22,"Schulbetrieb",Nutzungsprofile!$G$17:$G$22)*Kalender!C152/SUM(Kalender!$C$5:$C$370),0)+IFERROR(SUMIF(Nutzungsprofile!$B$17:$B$22,"Halle",Nutzungsprofile!$G$17:$G$22)*Kalender!D152/SUM(Kalender!$D$5:$D$370),0)+IFERROR(SUMIF(Nutzungsprofile!$B$17:$B$22,"Individuell",Nutzungsprofile!$G$17:$G$22)*Kalender!E152/SUM(Kalender!$E$5:$E$370),0))*Szenarien!$D$19,0)</f>
        <v>5.928</v>
      </c>
      <c r="E3080" s="13" t="n">
        <f aca="false">IFERROR(MIN(C3080,Eingaben!$B$17)*Eingaben!$B$16,0)</f>
        <v>2.793</v>
      </c>
      <c r="F3080" s="13" t="n">
        <f aca="false">IFERROR(E3080*Eingaben!$B$15,0)</f>
        <v>2.5137</v>
      </c>
      <c r="G3080" s="13" t="n">
        <f aca="false">IFERROR(IF(Kalender!A152="",0,J3079*(1-Eingaben!$B$20)),0)</f>
        <v>0.7390278</v>
      </c>
      <c r="H3080" s="13" t="n">
        <f aca="false">MIN(G3080,D3080)</f>
        <v>0.7390278</v>
      </c>
      <c r="I3080" s="13" t="n">
        <f aca="false">IFERROR(MIN(F3080*Eingaben!$B$19,MAX(0,D3080-H3080)),0)</f>
        <v>1.75959</v>
      </c>
      <c r="J3080" s="13" t="n">
        <f aca="false">IFERROR(MIN(Eingaben!$B$18,MAX(0,F3080-I3080)),0)</f>
        <v>0.75411</v>
      </c>
      <c r="K3080" s="13" t="n">
        <f aca="false">H3080+I3080</f>
        <v>2.4986178</v>
      </c>
      <c r="L3080" s="13" t="n">
        <f aca="false">MAX(0,D3080-K3080)</f>
        <v>3.4293822</v>
      </c>
      <c r="M3080" s="13" t="n">
        <f aca="false">MAX(0,F3080-I3080-J3080)</f>
        <v>0</v>
      </c>
      <c r="N3080" s="13" t="n">
        <f aca="false">IF(Kalender!A152="",0,J3079-H3080)</f>
        <v>0.0150822</v>
      </c>
    </row>
    <row r="3081" customFormat="false" ht="16.4" hidden="false" customHeight="false" outlineLevel="0" collapsed="false">
      <c r="A3081" s="13" t="str">
        <f aca="false">""</f>
        <v/>
      </c>
      <c r="B3081" s="13" t="n">
        <f aca="false">149</f>
        <v>149</v>
      </c>
      <c r="C3081" s="13" t="n">
        <f aca="false">IF(Szenarien!$H$19="OK",(IFERROR(SUMIF(Nutzungsprofile!$B$6:$B$11,"Schulbetrieb",Nutzungsprofile!$G$6:$G$11)*Kalender!C153/SUM(Kalender!$C$5:$C$370),0)+IFERROR(SUMIF(Nutzungsprofile!$B$6:$B$11,"Halle",Nutzungsprofile!$G$6:$G$11)*Kalender!D153/SUM(Kalender!$D$5:$D$370),0)+IFERROR(SUMIF(Nutzungsprofile!$B$6:$B$11,"Individuell",Nutzungsprofile!$G$6:$G$11)*Kalender!E153/SUM(Kalender!$E$5:$E$370),0))*Szenarien!$E$19,0)</f>
        <v>2.94</v>
      </c>
      <c r="D3081" s="13" t="n">
        <f aca="false">IF(Szenarien!$H$19="OK",(IFERROR(SUMIF(Nutzungsprofile!$B$17:$B$22,"Schulbetrieb",Nutzungsprofile!$G$17:$G$22)*Kalender!C153/SUM(Kalender!$C$5:$C$370),0)+IFERROR(SUMIF(Nutzungsprofile!$B$17:$B$22,"Halle",Nutzungsprofile!$G$17:$G$22)*Kalender!D153/SUM(Kalender!$D$5:$D$370),0)+IFERROR(SUMIF(Nutzungsprofile!$B$17:$B$22,"Individuell",Nutzungsprofile!$G$17:$G$22)*Kalender!E153/SUM(Kalender!$E$5:$E$370),0))*Szenarien!$D$19,0)</f>
        <v>5.928</v>
      </c>
      <c r="E3081" s="13" t="n">
        <f aca="false">IFERROR(MIN(C3081,Eingaben!$B$17)*Eingaben!$B$16,0)</f>
        <v>2.793</v>
      </c>
      <c r="F3081" s="13" t="n">
        <f aca="false">IFERROR(E3081*Eingaben!$B$15,0)</f>
        <v>2.5137</v>
      </c>
      <c r="G3081" s="13" t="n">
        <f aca="false">IFERROR(IF(Kalender!A153="",0,J3080*(1-Eingaben!$B$20)),0)</f>
        <v>0.7390278</v>
      </c>
      <c r="H3081" s="13" t="n">
        <f aca="false">MIN(G3081,D3081)</f>
        <v>0.7390278</v>
      </c>
      <c r="I3081" s="13" t="n">
        <f aca="false">IFERROR(MIN(F3081*Eingaben!$B$19,MAX(0,D3081-H3081)),0)</f>
        <v>1.75959</v>
      </c>
      <c r="J3081" s="13" t="n">
        <f aca="false">IFERROR(MIN(Eingaben!$B$18,MAX(0,F3081-I3081)),0)</f>
        <v>0.75411</v>
      </c>
      <c r="K3081" s="13" t="n">
        <f aca="false">H3081+I3081</f>
        <v>2.4986178</v>
      </c>
      <c r="L3081" s="13" t="n">
        <f aca="false">MAX(0,D3081-K3081)</f>
        <v>3.4293822</v>
      </c>
      <c r="M3081" s="13" t="n">
        <f aca="false">MAX(0,F3081-I3081-J3081)</f>
        <v>0</v>
      </c>
      <c r="N3081" s="13" t="n">
        <f aca="false">IF(Kalender!A153="",0,J3080-H3081)</f>
        <v>0.0150822</v>
      </c>
    </row>
    <row r="3082" customFormat="false" ht="16.4" hidden="false" customHeight="false" outlineLevel="0" collapsed="false">
      <c r="A3082" s="13" t="str">
        <f aca="false">""</f>
        <v/>
      </c>
      <c r="B3082" s="13" t="n">
        <f aca="false">150</f>
        <v>150</v>
      </c>
      <c r="C3082" s="13" t="n">
        <f aca="false">IF(Szenarien!$H$19="OK",(IFERROR(SUMIF(Nutzungsprofile!$B$6:$B$11,"Schulbetrieb",Nutzungsprofile!$G$6:$G$11)*Kalender!C154/SUM(Kalender!$C$5:$C$370),0)+IFERROR(SUMIF(Nutzungsprofile!$B$6:$B$11,"Halle",Nutzungsprofile!$G$6:$G$11)*Kalender!D154/SUM(Kalender!$D$5:$D$370),0)+IFERROR(SUMIF(Nutzungsprofile!$B$6:$B$11,"Individuell",Nutzungsprofile!$G$6:$G$11)*Kalender!E154/SUM(Kalender!$E$5:$E$370),0))*Szenarien!$E$19,0)</f>
        <v>2.04</v>
      </c>
      <c r="D3082" s="13" t="n">
        <f aca="false">IF(Szenarien!$H$19="OK",(IFERROR(SUMIF(Nutzungsprofile!$B$17:$B$22,"Schulbetrieb",Nutzungsprofile!$G$17:$G$22)*Kalender!C154/SUM(Kalender!$C$5:$C$370),0)+IFERROR(SUMIF(Nutzungsprofile!$B$17:$B$22,"Halle",Nutzungsprofile!$G$17:$G$22)*Kalender!D154/SUM(Kalender!$D$5:$D$370),0)+IFERROR(SUMIF(Nutzungsprofile!$B$17:$B$22,"Individuell",Nutzungsprofile!$G$17:$G$22)*Kalender!E154/SUM(Kalender!$E$5:$E$370),0))*Szenarien!$D$19,0)</f>
        <v>1.068</v>
      </c>
      <c r="E3082" s="13" t="n">
        <f aca="false">IFERROR(MIN(C3082,Eingaben!$B$17)*Eingaben!$B$16,0)</f>
        <v>1.938</v>
      </c>
      <c r="F3082" s="13" t="n">
        <f aca="false">IFERROR(E3082*Eingaben!$B$15,0)</f>
        <v>1.7442</v>
      </c>
      <c r="G3082" s="13" t="n">
        <f aca="false">IFERROR(IF(Kalender!A154="",0,J3081*(1-Eingaben!$B$20)),0)</f>
        <v>0.7390278</v>
      </c>
      <c r="H3082" s="13" t="n">
        <f aca="false">MIN(G3082,D3082)</f>
        <v>0.7390278</v>
      </c>
      <c r="I3082" s="13" t="n">
        <f aca="false">IFERROR(MIN(F3082*Eingaben!$B$19,MAX(0,D3082-H3082)),0)</f>
        <v>0.3289722</v>
      </c>
      <c r="J3082" s="13" t="n">
        <f aca="false">IFERROR(MIN(Eingaben!$B$18,MAX(0,F3082-I3082)),0)</f>
        <v>1.4152278</v>
      </c>
      <c r="K3082" s="13" t="n">
        <f aca="false">H3082+I3082</f>
        <v>1.068</v>
      </c>
      <c r="L3082" s="13" t="n">
        <f aca="false">MAX(0,D3082-K3082)</f>
        <v>0</v>
      </c>
      <c r="M3082" s="13" t="n">
        <f aca="false">MAX(0,F3082-I3082-J3082)</f>
        <v>0</v>
      </c>
      <c r="N3082" s="13" t="n">
        <f aca="false">IF(Kalender!A154="",0,J3081-H3082)</f>
        <v>0.0150822</v>
      </c>
    </row>
    <row r="3083" customFormat="false" ht="16.4" hidden="false" customHeight="false" outlineLevel="0" collapsed="false">
      <c r="A3083" s="13" t="str">
        <f aca="false">""</f>
        <v/>
      </c>
      <c r="B3083" s="13" t="n">
        <f aca="false">151</f>
        <v>151</v>
      </c>
      <c r="C3083" s="13" t="n">
        <f aca="false">IF(Szenarien!$H$19="OK",(IFERROR(SUMIF(Nutzungsprofile!$B$6:$B$11,"Schulbetrieb",Nutzungsprofile!$G$6:$G$11)*Kalender!C155/SUM(Kalender!$C$5:$C$370),0)+IFERROR(SUMIF(Nutzungsprofile!$B$6:$B$11,"Halle",Nutzungsprofile!$G$6:$G$11)*Kalender!D155/SUM(Kalender!$D$5:$D$370),0)+IFERROR(SUMIF(Nutzungsprofile!$B$6:$B$11,"Individuell",Nutzungsprofile!$G$6:$G$11)*Kalender!E155/SUM(Kalender!$E$5:$E$370),0))*Szenarien!$E$19,0)</f>
        <v>2.04</v>
      </c>
      <c r="D3083" s="13" t="n">
        <f aca="false">IF(Szenarien!$H$19="OK",(IFERROR(SUMIF(Nutzungsprofile!$B$17:$B$22,"Schulbetrieb",Nutzungsprofile!$G$17:$G$22)*Kalender!C155/SUM(Kalender!$C$5:$C$370),0)+IFERROR(SUMIF(Nutzungsprofile!$B$17:$B$22,"Halle",Nutzungsprofile!$G$17:$G$22)*Kalender!D155/SUM(Kalender!$D$5:$D$370),0)+IFERROR(SUMIF(Nutzungsprofile!$B$17:$B$22,"Individuell",Nutzungsprofile!$G$17:$G$22)*Kalender!E155/SUM(Kalender!$E$5:$E$370),0))*Szenarien!$D$19,0)</f>
        <v>1.068</v>
      </c>
      <c r="E3083" s="13" t="n">
        <f aca="false">IFERROR(MIN(C3083,Eingaben!$B$17)*Eingaben!$B$16,0)</f>
        <v>1.938</v>
      </c>
      <c r="F3083" s="13" t="n">
        <f aca="false">IFERROR(E3083*Eingaben!$B$15,0)</f>
        <v>1.7442</v>
      </c>
      <c r="G3083" s="13" t="n">
        <f aca="false">IFERROR(IF(Kalender!A155="",0,J3082*(1-Eingaben!$B$20)),0)</f>
        <v>1.386923244</v>
      </c>
      <c r="H3083" s="13" t="n">
        <f aca="false">MIN(G3083,D3083)</f>
        <v>1.068</v>
      </c>
      <c r="I3083" s="13" t="n">
        <f aca="false">IFERROR(MIN(F3083*Eingaben!$B$19,MAX(0,D3083-H3083)),0)</f>
        <v>0</v>
      </c>
      <c r="J3083" s="13" t="n">
        <f aca="false">IFERROR(MIN(Eingaben!$B$18,MAX(0,F3083-I3083)),0)</f>
        <v>1.7442</v>
      </c>
      <c r="K3083" s="13" t="n">
        <f aca="false">H3083+I3083</f>
        <v>1.068</v>
      </c>
      <c r="L3083" s="13" t="n">
        <f aca="false">MAX(0,D3083-K3083)</f>
        <v>0</v>
      </c>
      <c r="M3083" s="13" t="n">
        <f aca="false">MAX(0,F3083-I3083-J3083)</f>
        <v>0</v>
      </c>
      <c r="N3083" s="13" t="n">
        <f aca="false">IF(Kalender!A155="",0,J3082-H3083)</f>
        <v>0.3472278</v>
      </c>
    </row>
    <row r="3084" customFormat="false" ht="16.4" hidden="false" customHeight="false" outlineLevel="0" collapsed="false">
      <c r="A3084" s="13" t="str">
        <f aca="false">""</f>
        <v/>
      </c>
      <c r="B3084" s="13" t="n">
        <f aca="false">152</f>
        <v>152</v>
      </c>
      <c r="C3084" s="13" t="n">
        <f aca="false">IF(Szenarien!$H$19="OK",(IFERROR(SUMIF(Nutzungsprofile!$B$6:$B$11,"Schulbetrieb",Nutzungsprofile!$G$6:$G$11)*Kalender!C156/SUM(Kalender!$C$5:$C$370),0)+IFERROR(SUMIF(Nutzungsprofile!$B$6:$B$11,"Halle",Nutzungsprofile!$G$6:$G$11)*Kalender!D156/SUM(Kalender!$D$5:$D$370),0)+IFERROR(SUMIF(Nutzungsprofile!$B$6:$B$11,"Individuell",Nutzungsprofile!$G$6:$G$11)*Kalender!E156/SUM(Kalender!$E$5:$E$370),0))*Szenarien!$E$19,0)</f>
        <v>2.94</v>
      </c>
      <c r="D3084" s="13" t="n">
        <f aca="false">IF(Szenarien!$H$19="OK",(IFERROR(SUMIF(Nutzungsprofile!$B$17:$B$22,"Schulbetrieb",Nutzungsprofile!$G$17:$G$22)*Kalender!C156/SUM(Kalender!$C$5:$C$370),0)+IFERROR(SUMIF(Nutzungsprofile!$B$17:$B$22,"Halle",Nutzungsprofile!$G$17:$G$22)*Kalender!D156/SUM(Kalender!$D$5:$D$370),0)+IFERROR(SUMIF(Nutzungsprofile!$B$17:$B$22,"Individuell",Nutzungsprofile!$G$17:$G$22)*Kalender!E156/SUM(Kalender!$E$5:$E$370),0))*Szenarien!$D$19,0)</f>
        <v>5.928</v>
      </c>
      <c r="E3084" s="13" t="n">
        <f aca="false">IFERROR(MIN(C3084,Eingaben!$B$17)*Eingaben!$B$16,0)</f>
        <v>2.793</v>
      </c>
      <c r="F3084" s="13" t="n">
        <f aca="false">IFERROR(E3084*Eingaben!$B$15,0)</f>
        <v>2.5137</v>
      </c>
      <c r="G3084" s="13" t="n">
        <f aca="false">IFERROR(IF(Kalender!A156="",0,J3083*(1-Eingaben!$B$20)),0)</f>
        <v>1.709316</v>
      </c>
      <c r="H3084" s="13" t="n">
        <f aca="false">MIN(G3084,D3084)</f>
        <v>1.709316</v>
      </c>
      <c r="I3084" s="13" t="n">
        <f aca="false">IFERROR(MIN(F3084*Eingaben!$B$19,MAX(0,D3084-H3084)),0)</f>
        <v>1.75959</v>
      </c>
      <c r="J3084" s="13" t="n">
        <f aca="false">IFERROR(MIN(Eingaben!$B$18,MAX(0,F3084-I3084)),0)</f>
        <v>0.75411</v>
      </c>
      <c r="K3084" s="13" t="n">
        <f aca="false">H3084+I3084</f>
        <v>3.468906</v>
      </c>
      <c r="L3084" s="13" t="n">
        <f aca="false">MAX(0,D3084-K3084)</f>
        <v>2.459094</v>
      </c>
      <c r="M3084" s="13" t="n">
        <f aca="false">MAX(0,F3084-I3084-J3084)</f>
        <v>0</v>
      </c>
      <c r="N3084" s="13" t="n">
        <f aca="false">IF(Kalender!A156="",0,J3083-H3084)</f>
        <v>0.0348840000000001</v>
      </c>
    </row>
    <row r="3085" customFormat="false" ht="16.4" hidden="false" customHeight="false" outlineLevel="0" collapsed="false">
      <c r="A3085" s="13" t="str">
        <f aca="false">""</f>
        <v/>
      </c>
      <c r="B3085" s="13" t="n">
        <f aca="false">153</f>
        <v>153</v>
      </c>
      <c r="C3085" s="13" t="n">
        <f aca="false">IF(Szenarien!$H$19="OK",(IFERROR(SUMIF(Nutzungsprofile!$B$6:$B$11,"Schulbetrieb",Nutzungsprofile!$G$6:$G$11)*Kalender!C157/SUM(Kalender!$C$5:$C$370),0)+IFERROR(SUMIF(Nutzungsprofile!$B$6:$B$11,"Halle",Nutzungsprofile!$G$6:$G$11)*Kalender!D157/SUM(Kalender!$D$5:$D$370),0)+IFERROR(SUMIF(Nutzungsprofile!$B$6:$B$11,"Individuell",Nutzungsprofile!$G$6:$G$11)*Kalender!E157/SUM(Kalender!$E$5:$E$370),0))*Szenarien!$E$19,0)</f>
        <v>2.94</v>
      </c>
      <c r="D3085" s="13" t="n">
        <f aca="false">IF(Szenarien!$H$19="OK",(IFERROR(SUMIF(Nutzungsprofile!$B$17:$B$22,"Schulbetrieb",Nutzungsprofile!$G$17:$G$22)*Kalender!C157/SUM(Kalender!$C$5:$C$370),0)+IFERROR(SUMIF(Nutzungsprofile!$B$17:$B$22,"Halle",Nutzungsprofile!$G$17:$G$22)*Kalender!D157/SUM(Kalender!$D$5:$D$370),0)+IFERROR(SUMIF(Nutzungsprofile!$B$17:$B$22,"Individuell",Nutzungsprofile!$G$17:$G$22)*Kalender!E157/SUM(Kalender!$E$5:$E$370),0))*Szenarien!$D$19,0)</f>
        <v>5.928</v>
      </c>
      <c r="E3085" s="13" t="n">
        <f aca="false">IFERROR(MIN(C3085,Eingaben!$B$17)*Eingaben!$B$16,0)</f>
        <v>2.793</v>
      </c>
      <c r="F3085" s="13" t="n">
        <f aca="false">IFERROR(E3085*Eingaben!$B$15,0)</f>
        <v>2.5137</v>
      </c>
      <c r="G3085" s="13" t="n">
        <f aca="false">IFERROR(IF(Kalender!A157="",0,J3084*(1-Eingaben!$B$20)),0)</f>
        <v>0.7390278</v>
      </c>
      <c r="H3085" s="13" t="n">
        <f aca="false">MIN(G3085,D3085)</f>
        <v>0.7390278</v>
      </c>
      <c r="I3085" s="13" t="n">
        <f aca="false">IFERROR(MIN(F3085*Eingaben!$B$19,MAX(0,D3085-H3085)),0)</f>
        <v>1.75959</v>
      </c>
      <c r="J3085" s="13" t="n">
        <f aca="false">IFERROR(MIN(Eingaben!$B$18,MAX(0,F3085-I3085)),0)</f>
        <v>0.75411</v>
      </c>
      <c r="K3085" s="13" t="n">
        <f aca="false">H3085+I3085</f>
        <v>2.4986178</v>
      </c>
      <c r="L3085" s="13" t="n">
        <f aca="false">MAX(0,D3085-K3085)</f>
        <v>3.4293822</v>
      </c>
      <c r="M3085" s="13" t="n">
        <f aca="false">MAX(0,F3085-I3085-J3085)</f>
        <v>0</v>
      </c>
      <c r="N3085" s="13" t="n">
        <f aca="false">IF(Kalender!A157="",0,J3084-H3085)</f>
        <v>0.0150822</v>
      </c>
    </row>
    <row r="3086" customFormat="false" ht="16.4" hidden="false" customHeight="false" outlineLevel="0" collapsed="false">
      <c r="A3086" s="13" t="str">
        <f aca="false">""</f>
        <v/>
      </c>
      <c r="B3086" s="13" t="n">
        <f aca="false">154</f>
        <v>154</v>
      </c>
      <c r="C3086" s="13" t="n">
        <f aca="false">IF(Szenarien!$H$19="OK",(IFERROR(SUMIF(Nutzungsprofile!$B$6:$B$11,"Schulbetrieb",Nutzungsprofile!$G$6:$G$11)*Kalender!C158/SUM(Kalender!$C$5:$C$370),0)+IFERROR(SUMIF(Nutzungsprofile!$B$6:$B$11,"Halle",Nutzungsprofile!$G$6:$G$11)*Kalender!D158/SUM(Kalender!$D$5:$D$370),0)+IFERROR(SUMIF(Nutzungsprofile!$B$6:$B$11,"Individuell",Nutzungsprofile!$G$6:$G$11)*Kalender!E158/SUM(Kalender!$E$5:$E$370),0))*Szenarien!$E$19,0)</f>
        <v>2.94</v>
      </c>
      <c r="D3086" s="13" t="n">
        <f aca="false">IF(Szenarien!$H$19="OK",(IFERROR(SUMIF(Nutzungsprofile!$B$17:$B$22,"Schulbetrieb",Nutzungsprofile!$G$17:$G$22)*Kalender!C158/SUM(Kalender!$C$5:$C$370),0)+IFERROR(SUMIF(Nutzungsprofile!$B$17:$B$22,"Halle",Nutzungsprofile!$G$17:$G$22)*Kalender!D158/SUM(Kalender!$D$5:$D$370),0)+IFERROR(SUMIF(Nutzungsprofile!$B$17:$B$22,"Individuell",Nutzungsprofile!$G$17:$G$22)*Kalender!E158/SUM(Kalender!$E$5:$E$370),0))*Szenarien!$D$19,0)</f>
        <v>5.928</v>
      </c>
      <c r="E3086" s="13" t="n">
        <f aca="false">IFERROR(MIN(C3086,Eingaben!$B$17)*Eingaben!$B$16,0)</f>
        <v>2.793</v>
      </c>
      <c r="F3086" s="13" t="n">
        <f aca="false">IFERROR(E3086*Eingaben!$B$15,0)</f>
        <v>2.5137</v>
      </c>
      <c r="G3086" s="13" t="n">
        <f aca="false">IFERROR(IF(Kalender!A158="",0,J3085*(1-Eingaben!$B$20)),0)</f>
        <v>0.7390278</v>
      </c>
      <c r="H3086" s="13" t="n">
        <f aca="false">MIN(G3086,D3086)</f>
        <v>0.7390278</v>
      </c>
      <c r="I3086" s="13" t="n">
        <f aca="false">IFERROR(MIN(F3086*Eingaben!$B$19,MAX(0,D3086-H3086)),0)</f>
        <v>1.75959</v>
      </c>
      <c r="J3086" s="13" t="n">
        <f aca="false">IFERROR(MIN(Eingaben!$B$18,MAX(0,F3086-I3086)),0)</f>
        <v>0.75411</v>
      </c>
      <c r="K3086" s="13" t="n">
        <f aca="false">H3086+I3086</f>
        <v>2.4986178</v>
      </c>
      <c r="L3086" s="13" t="n">
        <f aca="false">MAX(0,D3086-K3086)</f>
        <v>3.4293822</v>
      </c>
      <c r="M3086" s="13" t="n">
        <f aca="false">MAX(0,F3086-I3086-J3086)</f>
        <v>0</v>
      </c>
      <c r="N3086" s="13" t="n">
        <f aca="false">IF(Kalender!A158="",0,J3085-H3086)</f>
        <v>0.0150822</v>
      </c>
    </row>
    <row r="3087" customFormat="false" ht="16.4" hidden="false" customHeight="false" outlineLevel="0" collapsed="false">
      <c r="A3087" s="13" t="str">
        <f aca="false">""</f>
        <v/>
      </c>
      <c r="B3087" s="13" t="n">
        <f aca="false">155</f>
        <v>155</v>
      </c>
      <c r="C3087" s="13" t="n">
        <f aca="false">IF(Szenarien!$H$19="OK",(IFERROR(SUMIF(Nutzungsprofile!$B$6:$B$11,"Schulbetrieb",Nutzungsprofile!$G$6:$G$11)*Kalender!C159/SUM(Kalender!$C$5:$C$370),0)+IFERROR(SUMIF(Nutzungsprofile!$B$6:$B$11,"Halle",Nutzungsprofile!$G$6:$G$11)*Kalender!D159/SUM(Kalender!$D$5:$D$370),0)+IFERROR(SUMIF(Nutzungsprofile!$B$6:$B$11,"Individuell",Nutzungsprofile!$G$6:$G$11)*Kalender!E159/SUM(Kalender!$E$5:$E$370),0))*Szenarien!$E$19,0)</f>
        <v>2.94</v>
      </c>
      <c r="D3087" s="13" t="n">
        <f aca="false">IF(Szenarien!$H$19="OK",(IFERROR(SUMIF(Nutzungsprofile!$B$17:$B$22,"Schulbetrieb",Nutzungsprofile!$G$17:$G$22)*Kalender!C159/SUM(Kalender!$C$5:$C$370),0)+IFERROR(SUMIF(Nutzungsprofile!$B$17:$B$22,"Halle",Nutzungsprofile!$G$17:$G$22)*Kalender!D159/SUM(Kalender!$D$5:$D$370),0)+IFERROR(SUMIF(Nutzungsprofile!$B$17:$B$22,"Individuell",Nutzungsprofile!$G$17:$G$22)*Kalender!E159/SUM(Kalender!$E$5:$E$370),0))*Szenarien!$D$19,0)</f>
        <v>5.928</v>
      </c>
      <c r="E3087" s="13" t="n">
        <f aca="false">IFERROR(MIN(C3087,Eingaben!$B$17)*Eingaben!$B$16,0)</f>
        <v>2.793</v>
      </c>
      <c r="F3087" s="13" t="n">
        <f aca="false">IFERROR(E3087*Eingaben!$B$15,0)</f>
        <v>2.5137</v>
      </c>
      <c r="G3087" s="13" t="n">
        <f aca="false">IFERROR(IF(Kalender!A159="",0,J3086*(1-Eingaben!$B$20)),0)</f>
        <v>0.7390278</v>
      </c>
      <c r="H3087" s="13" t="n">
        <f aca="false">MIN(G3087,D3087)</f>
        <v>0.7390278</v>
      </c>
      <c r="I3087" s="13" t="n">
        <f aca="false">IFERROR(MIN(F3087*Eingaben!$B$19,MAX(0,D3087-H3087)),0)</f>
        <v>1.75959</v>
      </c>
      <c r="J3087" s="13" t="n">
        <f aca="false">IFERROR(MIN(Eingaben!$B$18,MAX(0,F3087-I3087)),0)</f>
        <v>0.75411</v>
      </c>
      <c r="K3087" s="13" t="n">
        <f aca="false">H3087+I3087</f>
        <v>2.4986178</v>
      </c>
      <c r="L3087" s="13" t="n">
        <f aca="false">MAX(0,D3087-K3087)</f>
        <v>3.4293822</v>
      </c>
      <c r="M3087" s="13" t="n">
        <f aca="false">MAX(0,F3087-I3087-J3087)</f>
        <v>0</v>
      </c>
      <c r="N3087" s="13" t="n">
        <f aca="false">IF(Kalender!A159="",0,J3086-H3087)</f>
        <v>0.0150822</v>
      </c>
    </row>
    <row r="3088" customFormat="false" ht="16.4" hidden="false" customHeight="false" outlineLevel="0" collapsed="false">
      <c r="A3088" s="13" t="str">
        <f aca="false">""</f>
        <v/>
      </c>
      <c r="B3088" s="13" t="n">
        <f aca="false">156</f>
        <v>156</v>
      </c>
      <c r="C3088" s="13" t="n">
        <f aca="false">IF(Szenarien!$H$19="OK",(IFERROR(SUMIF(Nutzungsprofile!$B$6:$B$11,"Schulbetrieb",Nutzungsprofile!$G$6:$G$11)*Kalender!C160/SUM(Kalender!$C$5:$C$370),0)+IFERROR(SUMIF(Nutzungsprofile!$B$6:$B$11,"Halle",Nutzungsprofile!$G$6:$G$11)*Kalender!D160/SUM(Kalender!$D$5:$D$370),0)+IFERROR(SUMIF(Nutzungsprofile!$B$6:$B$11,"Individuell",Nutzungsprofile!$G$6:$G$11)*Kalender!E160/SUM(Kalender!$E$5:$E$370),0))*Szenarien!$E$19,0)</f>
        <v>2.94</v>
      </c>
      <c r="D3088" s="13" t="n">
        <f aca="false">IF(Szenarien!$H$19="OK",(IFERROR(SUMIF(Nutzungsprofile!$B$17:$B$22,"Schulbetrieb",Nutzungsprofile!$G$17:$G$22)*Kalender!C160/SUM(Kalender!$C$5:$C$370),0)+IFERROR(SUMIF(Nutzungsprofile!$B$17:$B$22,"Halle",Nutzungsprofile!$G$17:$G$22)*Kalender!D160/SUM(Kalender!$D$5:$D$370),0)+IFERROR(SUMIF(Nutzungsprofile!$B$17:$B$22,"Individuell",Nutzungsprofile!$G$17:$G$22)*Kalender!E160/SUM(Kalender!$E$5:$E$370),0))*Szenarien!$D$19,0)</f>
        <v>5.928</v>
      </c>
      <c r="E3088" s="13" t="n">
        <f aca="false">IFERROR(MIN(C3088,Eingaben!$B$17)*Eingaben!$B$16,0)</f>
        <v>2.793</v>
      </c>
      <c r="F3088" s="13" t="n">
        <f aca="false">IFERROR(E3088*Eingaben!$B$15,0)</f>
        <v>2.5137</v>
      </c>
      <c r="G3088" s="13" t="n">
        <f aca="false">IFERROR(IF(Kalender!A160="",0,J3087*(1-Eingaben!$B$20)),0)</f>
        <v>0.7390278</v>
      </c>
      <c r="H3088" s="13" t="n">
        <f aca="false">MIN(G3088,D3088)</f>
        <v>0.7390278</v>
      </c>
      <c r="I3088" s="13" t="n">
        <f aca="false">IFERROR(MIN(F3088*Eingaben!$B$19,MAX(0,D3088-H3088)),0)</f>
        <v>1.75959</v>
      </c>
      <c r="J3088" s="13" t="n">
        <f aca="false">IFERROR(MIN(Eingaben!$B$18,MAX(0,F3088-I3088)),0)</f>
        <v>0.75411</v>
      </c>
      <c r="K3088" s="13" t="n">
        <f aca="false">H3088+I3088</f>
        <v>2.4986178</v>
      </c>
      <c r="L3088" s="13" t="n">
        <f aca="false">MAX(0,D3088-K3088)</f>
        <v>3.4293822</v>
      </c>
      <c r="M3088" s="13" t="n">
        <f aca="false">MAX(0,F3088-I3088-J3088)</f>
        <v>0</v>
      </c>
      <c r="N3088" s="13" t="n">
        <f aca="false">IF(Kalender!A160="",0,J3087-H3088)</f>
        <v>0.0150822</v>
      </c>
    </row>
    <row r="3089" customFormat="false" ht="16.4" hidden="false" customHeight="false" outlineLevel="0" collapsed="false">
      <c r="A3089" s="13" t="str">
        <f aca="false">""</f>
        <v/>
      </c>
      <c r="B3089" s="13" t="n">
        <f aca="false">157</f>
        <v>157</v>
      </c>
      <c r="C3089" s="13" t="n">
        <f aca="false">IF(Szenarien!$H$19="OK",(IFERROR(SUMIF(Nutzungsprofile!$B$6:$B$11,"Schulbetrieb",Nutzungsprofile!$G$6:$G$11)*Kalender!C161/SUM(Kalender!$C$5:$C$370),0)+IFERROR(SUMIF(Nutzungsprofile!$B$6:$B$11,"Halle",Nutzungsprofile!$G$6:$G$11)*Kalender!D161/SUM(Kalender!$D$5:$D$370),0)+IFERROR(SUMIF(Nutzungsprofile!$B$6:$B$11,"Individuell",Nutzungsprofile!$G$6:$G$11)*Kalender!E161/SUM(Kalender!$E$5:$E$370),0))*Szenarien!$E$19,0)</f>
        <v>2.04</v>
      </c>
      <c r="D3089" s="13" t="n">
        <f aca="false">IF(Szenarien!$H$19="OK",(IFERROR(SUMIF(Nutzungsprofile!$B$17:$B$22,"Schulbetrieb",Nutzungsprofile!$G$17:$G$22)*Kalender!C161/SUM(Kalender!$C$5:$C$370),0)+IFERROR(SUMIF(Nutzungsprofile!$B$17:$B$22,"Halle",Nutzungsprofile!$G$17:$G$22)*Kalender!D161/SUM(Kalender!$D$5:$D$370),0)+IFERROR(SUMIF(Nutzungsprofile!$B$17:$B$22,"Individuell",Nutzungsprofile!$G$17:$G$22)*Kalender!E161/SUM(Kalender!$E$5:$E$370),0))*Szenarien!$D$19,0)</f>
        <v>1.068</v>
      </c>
      <c r="E3089" s="13" t="n">
        <f aca="false">IFERROR(MIN(C3089,Eingaben!$B$17)*Eingaben!$B$16,0)</f>
        <v>1.938</v>
      </c>
      <c r="F3089" s="13" t="n">
        <f aca="false">IFERROR(E3089*Eingaben!$B$15,0)</f>
        <v>1.7442</v>
      </c>
      <c r="G3089" s="13" t="n">
        <f aca="false">IFERROR(IF(Kalender!A161="",0,J3088*(1-Eingaben!$B$20)),0)</f>
        <v>0.7390278</v>
      </c>
      <c r="H3089" s="13" t="n">
        <f aca="false">MIN(G3089,D3089)</f>
        <v>0.7390278</v>
      </c>
      <c r="I3089" s="13" t="n">
        <f aca="false">IFERROR(MIN(F3089*Eingaben!$B$19,MAX(0,D3089-H3089)),0)</f>
        <v>0.3289722</v>
      </c>
      <c r="J3089" s="13" t="n">
        <f aca="false">IFERROR(MIN(Eingaben!$B$18,MAX(0,F3089-I3089)),0)</f>
        <v>1.4152278</v>
      </c>
      <c r="K3089" s="13" t="n">
        <f aca="false">H3089+I3089</f>
        <v>1.068</v>
      </c>
      <c r="L3089" s="13" t="n">
        <f aca="false">MAX(0,D3089-K3089)</f>
        <v>0</v>
      </c>
      <c r="M3089" s="13" t="n">
        <f aca="false">MAX(0,F3089-I3089-J3089)</f>
        <v>0</v>
      </c>
      <c r="N3089" s="13" t="n">
        <f aca="false">IF(Kalender!A161="",0,J3088-H3089)</f>
        <v>0.0150822</v>
      </c>
    </row>
    <row r="3090" customFormat="false" ht="16.4" hidden="false" customHeight="false" outlineLevel="0" collapsed="false">
      <c r="A3090" s="13" t="str">
        <f aca="false">""</f>
        <v/>
      </c>
      <c r="B3090" s="13" t="n">
        <f aca="false">158</f>
        <v>158</v>
      </c>
      <c r="C3090" s="13" t="n">
        <f aca="false">IF(Szenarien!$H$19="OK",(IFERROR(SUMIF(Nutzungsprofile!$B$6:$B$11,"Schulbetrieb",Nutzungsprofile!$G$6:$G$11)*Kalender!C162/SUM(Kalender!$C$5:$C$370),0)+IFERROR(SUMIF(Nutzungsprofile!$B$6:$B$11,"Halle",Nutzungsprofile!$G$6:$G$11)*Kalender!D162/SUM(Kalender!$D$5:$D$370),0)+IFERROR(SUMIF(Nutzungsprofile!$B$6:$B$11,"Individuell",Nutzungsprofile!$G$6:$G$11)*Kalender!E162/SUM(Kalender!$E$5:$E$370),0))*Szenarien!$E$19,0)</f>
        <v>2.04</v>
      </c>
      <c r="D3090" s="13" t="n">
        <f aca="false">IF(Szenarien!$H$19="OK",(IFERROR(SUMIF(Nutzungsprofile!$B$17:$B$22,"Schulbetrieb",Nutzungsprofile!$G$17:$G$22)*Kalender!C162/SUM(Kalender!$C$5:$C$370),0)+IFERROR(SUMIF(Nutzungsprofile!$B$17:$B$22,"Halle",Nutzungsprofile!$G$17:$G$22)*Kalender!D162/SUM(Kalender!$D$5:$D$370),0)+IFERROR(SUMIF(Nutzungsprofile!$B$17:$B$22,"Individuell",Nutzungsprofile!$G$17:$G$22)*Kalender!E162/SUM(Kalender!$E$5:$E$370),0))*Szenarien!$D$19,0)</f>
        <v>1.068</v>
      </c>
      <c r="E3090" s="13" t="n">
        <f aca="false">IFERROR(MIN(C3090,Eingaben!$B$17)*Eingaben!$B$16,0)</f>
        <v>1.938</v>
      </c>
      <c r="F3090" s="13" t="n">
        <f aca="false">IFERROR(E3090*Eingaben!$B$15,0)</f>
        <v>1.7442</v>
      </c>
      <c r="G3090" s="13" t="n">
        <f aca="false">IFERROR(IF(Kalender!A162="",0,J3089*(1-Eingaben!$B$20)),0)</f>
        <v>1.386923244</v>
      </c>
      <c r="H3090" s="13" t="n">
        <f aca="false">MIN(G3090,D3090)</f>
        <v>1.068</v>
      </c>
      <c r="I3090" s="13" t="n">
        <f aca="false">IFERROR(MIN(F3090*Eingaben!$B$19,MAX(0,D3090-H3090)),0)</f>
        <v>0</v>
      </c>
      <c r="J3090" s="13" t="n">
        <f aca="false">IFERROR(MIN(Eingaben!$B$18,MAX(0,F3090-I3090)),0)</f>
        <v>1.7442</v>
      </c>
      <c r="K3090" s="13" t="n">
        <f aca="false">H3090+I3090</f>
        <v>1.068</v>
      </c>
      <c r="L3090" s="13" t="n">
        <f aca="false">MAX(0,D3090-K3090)</f>
        <v>0</v>
      </c>
      <c r="M3090" s="13" t="n">
        <f aca="false">MAX(0,F3090-I3090-J3090)</f>
        <v>0</v>
      </c>
      <c r="N3090" s="13" t="n">
        <f aca="false">IF(Kalender!A162="",0,J3089-H3090)</f>
        <v>0.3472278</v>
      </c>
    </row>
    <row r="3091" customFormat="false" ht="16.4" hidden="false" customHeight="false" outlineLevel="0" collapsed="false">
      <c r="A3091" s="13" t="str">
        <f aca="false">""</f>
        <v/>
      </c>
      <c r="B3091" s="13" t="n">
        <f aca="false">159</f>
        <v>159</v>
      </c>
      <c r="C3091" s="13" t="n">
        <f aca="false">IF(Szenarien!$H$19="OK",(IFERROR(SUMIF(Nutzungsprofile!$B$6:$B$11,"Schulbetrieb",Nutzungsprofile!$G$6:$G$11)*Kalender!C163/SUM(Kalender!$C$5:$C$370),0)+IFERROR(SUMIF(Nutzungsprofile!$B$6:$B$11,"Halle",Nutzungsprofile!$G$6:$G$11)*Kalender!D163/SUM(Kalender!$D$5:$D$370),0)+IFERROR(SUMIF(Nutzungsprofile!$B$6:$B$11,"Individuell",Nutzungsprofile!$G$6:$G$11)*Kalender!E163/SUM(Kalender!$E$5:$E$370),0))*Szenarien!$E$19,0)</f>
        <v>2.94</v>
      </c>
      <c r="D3091" s="13" t="n">
        <f aca="false">IF(Szenarien!$H$19="OK",(IFERROR(SUMIF(Nutzungsprofile!$B$17:$B$22,"Schulbetrieb",Nutzungsprofile!$G$17:$G$22)*Kalender!C163/SUM(Kalender!$C$5:$C$370),0)+IFERROR(SUMIF(Nutzungsprofile!$B$17:$B$22,"Halle",Nutzungsprofile!$G$17:$G$22)*Kalender!D163/SUM(Kalender!$D$5:$D$370),0)+IFERROR(SUMIF(Nutzungsprofile!$B$17:$B$22,"Individuell",Nutzungsprofile!$G$17:$G$22)*Kalender!E163/SUM(Kalender!$E$5:$E$370),0))*Szenarien!$D$19,0)</f>
        <v>5.928</v>
      </c>
      <c r="E3091" s="13" t="n">
        <f aca="false">IFERROR(MIN(C3091,Eingaben!$B$17)*Eingaben!$B$16,0)</f>
        <v>2.793</v>
      </c>
      <c r="F3091" s="13" t="n">
        <f aca="false">IFERROR(E3091*Eingaben!$B$15,0)</f>
        <v>2.5137</v>
      </c>
      <c r="G3091" s="13" t="n">
        <f aca="false">IFERROR(IF(Kalender!A163="",0,J3090*(1-Eingaben!$B$20)),0)</f>
        <v>1.709316</v>
      </c>
      <c r="H3091" s="13" t="n">
        <f aca="false">MIN(G3091,D3091)</f>
        <v>1.709316</v>
      </c>
      <c r="I3091" s="13" t="n">
        <f aca="false">IFERROR(MIN(F3091*Eingaben!$B$19,MAX(0,D3091-H3091)),0)</f>
        <v>1.75959</v>
      </c>
      <c r="J3091" s="13" t="n">
        <f aca="false">IFERROR(MIN(Eingaben!$B$18,MAX(0,F3091-I3091)),0)</f>
        <v>0.75411</v>
      </c>
      <c r="K3091" s="13" t="n">
        <f aca="false">H3091+I3091</f>
        <v>3.468906</v>
      </c>
      <c r="L3091" s="13" t="n">
        <f aca="false">MAX(0,D3091-K3091)</f>
        <v>2.459094</v>
      </c>
      <c r="M3091" s="13" t="n">
        <f aca="false">MAX(0,F3091-I3091-J3091)</f>
        <v>0</v>
      </c>
      <c r="N3091" s="13" t="n">
        <f aca="false">IF(Kalender!A163="",0,J3090-H3091)</f>
        <v>0.0348840000000001</v>
      </c>
    </row>
    <row r="3092" customFormat="false" ht="16.4" hidden="false" customHeight="false" outlineLevel="0" collapsed="false">
      <c r="A3092" s="13" t="str">
        <f aca="false">""</f>
        <v/>
      </c>
      <c r="B3092" s="13" t="n">
        <f aca="false">160</f>
        <v>160</v>
      </c>
      <c r="C3092" s="13" t="n">
        <f aca="false">IF(Szenarien!$H$19="OK",(IFERROR(SUMIF(Nutzungsprofile!$B$6:$B$11,"Schulbetrieb",Nutzungsprofile!$G$6:$G$11)*Kalender!C164/SUM(Kalender!$C$5:$C$370),0)+IFERROR(SUMIF(Nutzungsprofile!$B$6:$B$11,"Halle",Nutzungsprofile!$G$6:$G$11)*Kalender!D164/SUM(Kalender!$D$5:$D$370),0)+IFERROR(SUMIF(Nutzungsprofile!$B$6:$B$11,"Individuell",Nutzungsprofile!$G$6:$G$11)*Kalender!E164/SUM(Kalender!$E$5:$E$370),0))*Szenarien!$E$19,0)</f>
        <v>2.94</v>
      </c>
      <c r="D3092" s="13" t="n">
        <f aca="false">IF(Szenarien!$H$19="OK",(IFERROR(SUMIF(Nutzungsprofile!$B$17:$B$22,"Schulbetrieb",Nutzungsprofile!$G$17:$G$22)*Kalender!C164/SUM(Kalender!$C$5:$C$370),0)+IFERROR(SUMIF(Nutzungsprofile!$B$17:$B$22,"Halle",Nutzungsprofile!$G$17:$G$22)*Kalender!D164/SUM(Kalender!$D$5:$D$370),0)+IFERROR(SUMIF(Nutzungsprofile!$B$17:$B$22,"Individuell",Nutzungsprofile!$G$17:$G$22)*Kalender!E164/SUM(Kalender!$E$5:$E$370),0))*Szenarien!$D$19,0)</f>
        <v>5.928</v>
      </c>
      <c r="E3092" s="13" t="n">
        <f aca="false">IFERROR(MIN(C3092,Eingaben!$B$17)*Eingaben!$B$16,0)</f>
        <v>2.793</v>
      </c>
      <c r="F3092" s="13" t="n">
        <f aca="false">IFERROR(E3092*Eingaben!$B$15,0)</f>
        <v>2.5137</v>
      </c>
      <c r="G3092" s="13" t="n">
        <f aca="false">IFERROR(IF(Kalender!A164="",0,J3091*(1-Eingaben!$B$20)),0)</f>
        <v>0.7390278</v>
      </c>
      <c r="H3092" s="13" t="n">
        <f aca="false">MIN(G3092,D3092)</f>
        <v>0.7390278</v>
      </c>
      <c r="I3092" s="13" t="n">
        <f aca="false">IFERROR(MIN(F3092*Eingaben!$B$19,MAX(0,D3092-H3092)),0)</f>
        <v>1.75959</v>
      </c>
      <c r="J3092" s="13" t="n">
        <f aca="false">IFERROR(MIN(Eingaben!$B$18,MAX(0,F3092-I3092)),0)</f>
        <v>0.75411</v>
      </c>
      <c r="K3092" s="13" t="n">
        <f aca="false">H3092+I3092</f>
        <v>2.4986178</v>
      </c>
      <c r="L3092" s="13" t="n">
        <f aca="false">MAX(0,D3092-K3092)</f>
        <v>3.4293822</v>
      </c>
      <c r="M3092" s="13" t="n">
        <f aca="false">MAX(0,F3092-I3092-J3092)</f>
        <v>0</v>
      </c>
      <c r="N3092" s="13" t="n">
        <f aca="false">IF(Kalender!A164="",0,J3091-H3092)</f>
        <v>0.0150822</v>
      </c>
    </row>
    <row r="3093" customFormat="false" ht="16.4" hidden="false" customHeight="false" outlineLevel="0" collapsed="false">
      <c r="A3093" s="13" t="str">
        <f aca="false">""</f>
        <v/>
      </c>
      <c r="B3093" s="13" t="n">
        <f aca="false">161</f>
        <v>161</v>
      </c>
      <c r="C3093" s="13" t="n">
        <f aca="false">IF(Szenarien!$H$19="OK",(IFERROR(SUMIF(Nutzungsprofile!$B$6:$B$11,"Schulbetrieb",Nutzungsprofile!$G$6:$G$11)*Kalender!C165/SUM(Kalender!$C$5:$C$370),0)+IFERROR(SUMIF(Nutzungsprofile!$B$6:$B$11,"Halle",Nutzungsprofile!$G$6:$G$11)*Kalender!D165/SUM(Kalender!$D$5:$D$370),0)+IFERROR(SUMIF(Nutzungsprofile!$B$6:$B$11,"Individuell",Nutzungsprofile!$G$6:$G$11)*Kalender!E165/SUM(Kalender!$E$5:$E$370),0))*Szenarien!$E$19,0)</f>
        <v>2.94</v>
      </c>
      <c r="D3093" s="13" t="n">
        <f aca="false">IF(Szenarien!$H$19="OK",(IFERROR(SUMIF(Nutzungsprofile!$B$17:$B$22,"Schulbetrieb",Nutzungsprofile!$G$17:$G$22)*Kalender!C165/SUM(Kalender!$C$5:$C$370),0)+IFERROR(SUMIF(Nutzungsprofile!$B$17:$B$22,"Halle",Nutzungsprofile!$G$17:$G$22)*Kalender!D165/SUM(Kalender!$D$5:$D$370),0)+IFERROR(SUMIF(Nutzungsprofile!$B$17:$B$22,"Individuell",Nutzungsprofile!$G$17:$G$22)*Kalender!E165/SUM(Kalender!$E$5:$E$370),0))*Szenarien!$D$19,0)</f>
        <v>5.928</v>
      </c>
      <c r="E3093" s="13" t="n">
        <f aca="false">IFERROR(MIN(C3093,Eingaben!$B$17)*Eingaben!$B$16,0)</f>
        <v>2.793</v>
      </c>
      <c r="F3093" s="13" t="n">
        <f aca="false">IFERROR(E3093*Eingaben!$B$15,0)</f>
        <v>2.5137</v>
      </c>
      <c r="G3093" s="13" t="n">
        <f aca="false">IFERROR(IF(Kalender!A165="",0,J3092*(1-Eingaben!$B$20)),0)</f>
        <v>0.7390278</v>
      </c>
      <c r="H3093" s="13" t="n">
        <f aca="false">MIN(G3093,D3093)</f>
        <v>0.7390278</v>
      </c>
      <c r="I3093" s="13" t="n">
        <f aca="false">IFERROR(MIN(F3093*Eingaben!$B$19,MAX(0,D3093-H3093)),0)</f>
        <v>1.75959</v>
      </c>
      <c r="J3093" s="13" t="n">
        <f aca="false">IFERROR(MIN(Eingaben!$B$18,MAX(0,F3093-I3093)),0)</f>
        <v>0.75411</v>
      </c>
      <c r="K3093" s="13" t="n">
        <f aca="false">H3093+I3093</f>
        <v>2.4986178</v>
      </c>
      <c r="L3093" s="13" t="n">
        <f aca="false">MAX(0,D3093-K3093)</f>
        <v>3.4293822</v>
      </c>
      <c r="M3093" s="13" t="n">
        <f aca="false">MAX(0,F3093-I3093-J3093)</f>
        <v>0</v>
      </c>
      <c r="N3093" s="13" t="n">
        <f aca="false">IF(Kalender!A165="",0,J3092-H3093)</f>
        <v>0.0150822</v>
      </c>
    </row>
    <row r="3094" customFormat="false" ht="16.4" hidden="false" customHeight="false" outlineLevel="0" collapsed="false">
      <c r="A3094" s="13" t="str">
        <f aca="false">""</f>
        <v/>
      </c>
      <c r="B3094" s="13" t="n">
        <f aca="false">162</f>
        <v>162</v>
      </c>
      <c r="C3094" s="13" t="n">
        <f aca="false">IF(Szenarien!$H$19="OK",(IFERROR(SUMIF(Nutzungsprofile!$B$6:$B$11,"Schulbetrieb",Nutzungsprofile!$G$6:$G$11)*Kalender!C166/SUM(Kalender!$C$5:$C$370),0)+IFERROR(SUMIF(Nutzungsprofile!$B$6:$B$11,"Halle",Nutzungsprofile!$G$6:$G$11)*Kalender!D166/SUM(Kalender!$D$5:$D$370),0)+IFERROR(SUMIF(Nutzungsprofile!$B$6:$B$11,"Individuell",Nutzungsprofile!$G$6:$G$11)*Kalender!E166/SUM(Kalender!$E$5:$E$370),0))*Szenarien!$E$19,0)</f>
        <v>2.94</v>
      </c>
      <c r="D3094" s="13" t="n">
        <f aca="false">IF(Szenarien!$H$19="OK",(IFERROR(SUMIF(Nutzungsprofile!$B$17:$B$22,"Schulbetrieb",Nutzungsprofile!$G$17:$G$22)*Kalender!C166/SUM(Kalender!$C$5:$C$370),0)+IFERROR(SUMIF(Nutzungsprofile!$B$17:$B$22,"Halle",Nutzungsprofile!$G$17:$G$22)*Kalender!D166/SUM(Kalender!$D$5:$D$370),0)+IFERROR(SUMIF(Nutzungsprofile!$B$17:$B$22,"Individuell",Nutzungsprofile!$G$17:$G$22)*Kalender!E166/SUM(Kalender!$E$5:$E$370),0))*Szenarien!$D$19,0)</f>
        <v>5.928</v>
      </c>
      <c r="E3094" s="13" t="n">
        <f aca="false">IFERROR(MIN(C3094,Eingaben!$B$17)*Eingaben!$B$16,0)</f>
        <v>2.793</v>
      </c>
      <c r="F3094" s="13" t="n">
        <f aca="false">IFERROR(E3094*Eingaben!$B$15,0)</f>
        <v>2.5137</v>
      </c>
      <c r="G3094" s="13" t="n">
        <f aca="false">IFERROR(IF(Kalender!A166="",0,J3093*(1-Eingaben!$B$20)),0)</f>
        <v>0.7390278</v>
      </c>
      <c r="H3094" s="13" t="n">
        <f aca="false">MIN(G3094,D3094)</f>
        <v>0.7390278</v>
      </c>
      <c r="I3094" s="13" t="n">
        <f aca="false">IFERROR(MIN(F3094*Eingaben!$B$19,MAX(0,D3094-H3094)),0)</f>
        <v>1.75959</v>
      </c>
      <c r="J3094" s="13" t="n">
        <f aca="false">IFERROR(MIN(Eingaben!$B$18,MAX(0,F3094-I3094)),0)</f>
        <v>0.75411</v>
      </c>
      <c r="K3094" s="13" t="n">
        <f aca="false">H3094+I3094</f>
        <v>2.4986178</v>
      </c>
      <c r="L3094" s="13" t="n">
        <f aca="false">MAX(0,D3094-K3094)</f>
        <v>3.4293822</v>
      </c>
      <c r="M3094" s="13" t="n">
        <f aca="false">MAX(0,F3094-I3094-J3094)</f>
        <v>0</v>
      </c>
      <c r="N3094" s="13" t="n">
        <f aca="false">IF(Kalender!A166="",0,J3093-H3094)</f>
        <v>0.0150822</v>
      </c>
    </row>
    <row r="3095" customFormat="false" ht="16.4" hidden="false" customHeight="false" outlineLevel="0" collapsed="false">
      <c r="A3095" s="13" t="str">
        <f aca="false">""</f>
        <v/>
      </c>
      <c r="B3095" s="13" t="n">
        <f aca="false">163</f>
        <v>163</v>
      </c>
      <c r="C3095" s="13" t="n">
        <f aca="false">IF(Szenarien!$H$19="OK",(IFERROR(SUMIF(Nutzungsprofile!$B$6:$B$11,"Schulbetrieb",Nutzungsprofile!$G$6:$G$11)*Kalender!C167/SUM(Kalender!$C$5:$C$370),0)+IFERROR(SUMIF(Nutzungsprofile!$B$6:$B$11,"Halle",Nutzungsprofile!$G$6:$G$11)*Kalender!D167/SUM(Kalender!$D$5:$D$370),0)+IFERROR(SUMIF(Nutzungsprofile!$B$6:$B$11,"Individuell",Nutzungsprofile!$G$6:$G$11)*Kalender!E167/SUM(Kalender!$E$5:$E$370),0))*Szenarien!$E$19,0)</f>
        <v>2.94</v>
      </c>
      <c r="D3095" s="13" t="n">
        <f aca="false">IF(Szenarien!$H$19="OK",(IFERROR(SUMIF(Nutzungsprofile!$B$17:$B$22,"Schulbetrieb",Nutzungsprofile!$G$17:$G$22)*Kalender!C167/SUM(Kalender!$C$5:$C$370),0)+IFERROR(SUMIF(Nutzungsprofile!$B$17:$B$22,"Halle",Nutzungsprofile!$G$17:$G$22)*Kalender!D167/SUM(Kalender!$D$5:$D$370),0)+IFERROR(SUMIF(Nutzungsprofile!$B$17:$B$22,"Individuell",Nutzungsprofile!$G$17:$G$22)*Kalender!E167/SUM(Kalender!$E$5:$E$370),0))*Szenarien!$D$19,0)</f>
        <v>5.928</v>
      </c>
      <c r="E3095" s="13" t="n">
        <f aca="false">IFERROR(MIN(C3095,Eingaben!$B$17)*Eingaben!$B$16,0)</f>
        <v>2.793</v>
      </c>
      <c r="F3095" s="13" t="n">
        <f aca="false">IFERROR(E3095*Eingaben!$B$15,0)</f>
        <v>2.5137</v>
      </c>
      <c r="G3095" s="13" t="n">
        <f aca="false">IFERROR(IF(Kalender!A167="",0,J3094*(1-Eingaben!$B$20)),0)</f>
        <v>0.7390278</v>
      </c>
      <c r="H3095" s="13" t="n">
        <f aca="false">MIN(G3095,D3095)</f>
        <v>0.7390278</v>
      </c>
      <c r="I3095" s="13" t="n">
        <f aca="false">IFERROR(MIN(F3095*Eingaben!$B$19,MAX(0,D3095-H3095)),0)</f>
        <v>1.75959</v>
      </c>
      <c r="J3095" s="13" t="n">
        <f aca="false">IFERROR(MIN(Eingaben!$B$18,MAX(0,F3095-I3095)),0)</f>
        <v>0.75411</v>
      </c>
      <c r="K3095" s="13" t="n">
        <f aca="false">H3095+I3095</f>
        <v>2.4986178</v>
      </c>
      <c r="L3095" s="13" t="n">
        <f aca="false">MAX(0,D3095-K3095)</f>
        <v>3.4293822</v>
      </c>
      <c r="M3095" s="13" t="n">
        <f aca="false">MAX(0,F3095-I3095-J3095)</f>
        <v>0</v>
      </c>
      <c r="N3095" s="13" t="n">
        <f aca="false">IF(Kalender!A167="",0,J3094-H3095)</f>
        <v>0.0150822</v>
      </c>
    </row>
    <row r="3096" customFormat="false" ht="16.4" hidden="false" customHeight="false" outlineLevel="0" collapsed="false">
      <c r="A3096" s="13" t="str">
        <f aca="false">""</f>
        <v/>
      </c>
      <c r="B3096" s="13" t="n">
        <f aca="false">164</f>
        <v>164</v>
      </c>
      <c r="C3096" s="13" t="n">
        <f aca="false">IF(Szenarien!$H$19="OK",(IFERROR(SUMIF(Nutzungsprofile!$B$6:$B$11,"Schulbetrieb",Nutzungsprofile!$G$6:$G$11)*Kalender!C168/SUM(Kalender!$C$5:$C$370),0)+IFERROR(SUMIF(Nutzungsprofile!$B$6:$B$11,"Halle",Nutzungsprofile!$G$6:$G$11)*Kalender!D168/SUM(Kalender!$D$5:$D$370),0)+IFERROR(SUMIF(Nutzungsprofile!$B$6:$B$11,"Individuell",Nutzungsprofile!$G$6:$G$11)*Kalender!E168/SUM(Kalender!$E$5:$E$370),0))*Szenarien!$E$19,0)</f>
        <v>2.04</v>
      </c>
      <c r="D3096" s="13" t="n">
        <f aca="false">IF(Szenarien!$H$19="OK",(IFERROR(SUMIF(Nutzungsprofile!$B$17:$B$22,"Schulbetrieb",Nutzungsprofile!$G$17:$G$22)*Kalender!C168/SUM(Kalender!$C$5:$C$370),0)+IFERROR(SUMIF(Nutzungsprofile!$B$17:$B$22,"Halle",Nutzungsprofile!$G$17:$G$22)*Kalender!D168/SUM(Kalender!$D$5:$D$370),0)+IFERROR(SUMIF(Nutzungsprofile!$B$17:$B$22,"Individuell",Nutzungsprofile!$G$17:$G$22)*Kalender!E168/SUM(Kalender!$E$5:$E$370),0))*Szenarien!$D$19,0)</f>
        <v>1.068</v>
      </c>
      <c r="E3096" s="13" t="n">
        <f aca="false">IFERROR(MIN(C3096,Eingaben!$B$17)*Eingaben!$B$16,0)</f>
        <v>1.938</v>
      </c>
      <c r="F3096" s="13" t="n">
        <f aca="false">IFERROR(E3096*Eingaben!$B$15,0)</f>
        <v>1.7442</v>
      </c>
      <c r="G3096" s="13" t="n">
        <f aca="false">IFERROR(IF(Kalender!A168="",0,J3095*(1-Eingaben!$B$20)),0)</f>
        <v>0.7390278</v>
      </c>
      <c r="H3096" s="13" t="n">
        <f aca="false">MIN(G3096,D3096)</f>
        <v>0.7390278</v>
      </c>
      <c r="I3096" s="13" t="n">
        <f aca="false">IFERROR(MIN(F3096*Eingaben!$B$19,MAX(0,D3096-H3096)),0)</f>
        <v>0.3289722</v>
      </c>
      <c r="J3096" s="13" t="n">
        <f aca="false">IFERROR(MIN(Eingaben!$B$18,MAX(0,F3096-I3096)),0)</f>
        <v>1.4152278</v>
      </c>
      <c r="K3096" s="13" t="n">
        <f aca="false">H3096+I3096</f>
        <v>1.068</v>
      </c>
      <c r="L3096" s="13" t="n">
        <f aca="false">MAX(0,D3096-K3096)</f>
        <v>0</v>
      </c>
      <c r="M3096" s="13" t="n">
        <f aca="false">MAX(0,F3096-I3096-J3096)</f>
        <v>0</v>
      </c>
      <c r="N3096" s="13" t="n">
        <f aca="false">IF(Kalender!A168="",0,J3095-H3096)</f>
        <v>0.0150822</v>
      </c>
    </row>
    <row r="3097" customFormat="false" ht="16.4" hidden="false" customHeight="false" outlineLevel="0" collapsed="false">
      <c r="A3097" s="13" t="str">
        <f aca="false">""</f>
        <v/>
      </c>
      <c r="B3097" s="13" t="n">
        <f aca="false">165</f>
        <v>165</v>
      </c>
      <c r="C3097" s="13" t="n">
        <f aca="false">IF(Szenarien!$H$19="OK",(IFERROR(SUMIF(Nutzungsprofile!$B$6:$B$11,"Schulbetrieb",Nutzungsprofile!$G$6:$G$11)*Kalender!C169/SUM(Kalender!$C$5:$C$370),0)+IFERROR(SUMIF(Nutzungsprofile!$B$6:$B$11,"Halle",Nutzungsprofile!$G$6:$G$11)*Kalender!D169/SUM(Kalender!$D$5:$D$370),0)+IFERROR(SUMIF(Nutzungsprofile!$B$6:$B$11,"Individuell",Nutzungsprofile!$G$6:$G$11)*Kalender!E169/SUM(Kalender!$E$5:$E$370),0))*Szenarien!$E$19,0)</f>
        <v>2.04</v>
      </c>
      <c r="D3097" s="13" t="n">
        <f aca="false">IF(Szenarien!$H$19="OK",(IFERROR(SUMIF(Nutzungsprofile!$B$17:$B$22,"Schulbetrieb",Nutzungsprofile!$G$17:$G$22)*Kalender!C169/SUM(Kalender!$C$5:$C$370),0)+IFERROR(SUMIF(Nutzungsprofile!$B$17:$B$22,"Halle",Nutzungsprofile!$G$17:$G$22)*Kalender!D169/SUM(Kalender!$D$5:$D$370),0)+IFERROR(SUMIF(Nutzungsprofile!$B$17:$B$22,"Individuell",Nutzungsprofile!$G$17:$G$22)*Kalender!E169/SUM(Kalender!$E$5:$E$370),0))*Szenarien!$D$19,0)</f>
        <v>1.068</v>
      </c>
      <c r="E3097" s="13" t="n">
        <f aca="false">IFERROR(MIN(C3097,Eingaben!$B$17)*Eingaben!$B$16,0)</f>
        <v>1.938</v>
      </c>
      <c r="F3097" s="13" t="n">
        <f aca="false">IFERROR(E3097*Eingaben!$B$15,0)</f>
        <v>1.7442</v>
      </c>
      <c r="G3097" s="13" t="n">
        <f aca="false">IFERROR(IF(Kalender!A169="",0,J3096*(1-Eingaben!$B$20)),0)</f>
        <v>1.386923244</v>
      </c>
      <c r="H3097" s="13" t="n">
        <f aca="false">MIN(G3097,D3097)</f>
        <v>1.068</v>
      </c>
      <c r="I3097" s="13" t="n">
        <f aca="false">IFERROR(MIN(F3097*Eingaben!$B$19,MAX(0,D3097-H3097)),0)</f>
        <v>0</v>
      </c>
      <c r="J3097" s="13" t="n">
        <f aca="false">IFERROR(MIN(Eingaben!$B$18,MAX(0,F3097-I3097)),0)</f>
        <v>1.7442</v>
      </c>
      <c r="K3097" s="13" t="n">
        <f aca="false">H3097+I3097</f>
        <v>1.068</v>
      </c>
      <c r="L3097" s="13" t="n">
        <f aca="false">MAX(0,D3097-K3097)</f>
        <v>0</v>
      </c>
      <c r="M3097" s="13" t="n">
        <f aca="false">MAX(0,F3097-I3097-J3097)</f>
        <v>0</v>
      </c>
      <c r="N3097" s="13" t="n">
        <f aca="false">IF(Kalender!A169="",0,J3096-H3097)</f>
        <v>0.3472278</v>
      </c>
    </row>
    <row r="3098" customFormat="false" ht="16.4" hidden="false" customHeight="false" outlineLevel="0" collapsed="false">
      <c r="A3098" s="13" t="str">
        <f aca="false">""</f>
        <v/>
      </c>
      <c r="B3098" s="13" t="n">
        <f aca="false">166</f>
        <v>166</v>
      </c>
      <c r="C3098" s="13" t="n">
        <f aca="false">IF(Szenarien!$H$19="OK",(IFERROR(SUMIF(Nutzungsprofile!$B$6:$B$11,"Schulbetrieb",Nutzungsprofile!$G$6:$G$11)*Kalender!C170/SUM(Kalender!$C$5:$C$370),0)+IFERROR(SUMIF(Nutzungsprofile!$B$6:$B$11,"Halle",Nutzungsprofile!$G$6:$G$11)*Kalender!D170/SUM(Kalender!$D$5:$D$370),0)+IFERROR(SUMIF(Nutzungsprofile!$B$6:$B$11,"Individuell",Nutzungsprofile!$G$6:$G$11)*Kalender!E170/SUM(Kalender!$E$5:$E$370),0))*Szenarien!$E$19,0)</f>
        <v>2.94</v>
      </c>
      <c r="D3098" s="13" t="n">
        <f aca="false">IF(Szenarien!$H$19="OK",(IFERROR(SUMIF(Nutzungsprofile!$B$17:$B$22,"Schulbetrieb",Nutzungsprofile!$G$17:$G$22)*Kalender!C170/SUM(Kalender!$C$5:$C$370),0)+IFERROR(SUMIF(Nutzungsprofile!$B$17:$B$22,"Halle",Nutzungsprofile!$G$17:$G$22)*Kalender!D170/SUM(Kalender!$D$5:$D$370),0)+IFERROR(SUMIF(Nutzungsprofile!$B$17:$B$22,"Individuell",Nutzungsprofile!$G$17:$G$22)*Kalender!E170/SUM(Kalender!$E$5:$E$370),0))*Szenarien!$D$19,0)</f>
        <v>5.928</v>
      </c>
      <c r="E3098" s="13" t="n">
        <f aca="false">IFERROR(MIN(C3098,Eingaben!$B$17)*Eingaben!$B$16,0)</f>
        <v>2.793</v>
      </c>
      <c r="F3098" s="13" t="n">
        <f aca="false">IFERROR(E3098*Eingaben!$B$15,0)</f>
        <v>2.5137</v>
      </c>
      <c r="G3098" s="13" t="n">
        <f aca="false">IFERROR(IF(Kalender!A170="",0,J3097*(1-Eingaben!$B$20)),0)</f>
        <v>1.709316</v>
      </c>
      <c r="H3098" s="13" t="n">
        <f aca="false">MIN(G3098,D3098)</f>
        <v>1.709316</v>
      </c>
      <c r="I3098" s="13" t="n">
        <f aca="false">IFERROR(MIN(F3098*Eingaben!$B$19,MAX(0,D3098-H3098)),0)</f>
        <v>1.75959</v>
      </c>
      <c r="J3098" s="13" t="n">
        <f aca="false">IFERROR(MIN(Eingaben!$B$18,MAX(0,F3098-I3098)),0)</f>
        <v>0.75411</v>
      </c>
      <c r="K3098" s="13" t="n">
        <f aca="false">H3098+I3098</f>
        <v>3.468906</v>
      </c>
      <c r="L3098" s="13" t="n">
        <f aca="false">MAX(0,D3098-K3098)</f>
        <v>2.459094</v>
      </c>
      <c r="M3098" s="13" t="n">
        <f aca="false">MAX(0,F3098-I3098-J3098)</f>
        <v>0</v>
      </c>
      <c r="N3098" s="13" t="n">
        <f aca="false">IF(Kalender!A170="",0,J3097-H3098)</f>
        <v>0.0348840000000001</v>
      </c>
    </row>
    <row r="3099" customFormat="false" ht="16.4" hidden="false" customHeight="false" outlineLevel="0" collapsed="false">
      <c r="A3099" s="13" t="str">
        <f aca="false">""</f>
        <v/>
      </c>
      <c r="B3099" s="13" t="n">
        <f aca="false">167</f>
        <v>167</v>
      </c>
      <c r="C3099" s="13" t="n">
        <f aca="false">IF(Szenarien!$H$19="OK",(IFERROR(SUMIF(Nutzungsprofile!$B$6:$B$11,"Schulbetrieb",Nutzungsprofile!$G$6:$G$11)*Kalender!C171/SUM(Kalender!$C$5:$C$370),0)+IFERROR(SUMIF(Nutzungsprofile!$B$6:$B$11,"Halle",Nutzungsprofile!$G$6:$G$11)*Kalender!D171/SUM(Kalender!$D$5:$D$370),0)+IFERROR(SUMIF(Nutzungsprofile!$B$6:$B$11,"Individuell",Nutzungsprofile!$G$6:$G$11)*Kalender!E171/SUM(Kalender!$E$5:$E$370),0))*Szenarien!$E$19,0)</f>
        <v>2.94</v>
      </c>
      <c r="D3099" s="13" t="n">
        <f aca="false">IF(Szenarien!$H$19="OK",(IFERROR(SUMIF(Nutzungsprofile!$B$17:$B$22,"Schulbetrieb",Nutzungsprofile!$G$17:$G$22)*Kalender!C171/SUM(Kalender!$C$5:$C$370),0)+IFERROR(SUMIF(Nutzungsprofile!$B$17:$B$22,"Halle",Nutzungsprofile!$G$17:$G$22)*Kalender!D171/SUM(Kalender!$D$5:$D$370),0)+IFERROR(SUMIF(Nutzungsprofile!$B$17:$B$22,"Individuell",Nutzungsprofile!$G$17:$G$22)*Kalender!E171/SUM(Kalender!$E$5:$E$370),0))*Szenarien!$D$19,0)</f>
        <v>5.928</v>
      </c>
      <c r="E3099" s="13" t="n">
        <f aca="false">IFERROR(MIN(C3099,Eingaben!$B$17)*Eingaben!$B$16,0)</f>
        <v>2.793</v>
      </c>
      <c r="F3099" s="13" t="n">
        <f aca="false">IFERROR(E3099*Eingaben!$B$15,0)</f>
        <v>2.5137</v>
      </c>
      <c r="G3099" s="13" t="n">
        <f aca="false">IFERROR(IF(Kalender!A171="",0,J3098*(1-Eingaben!$B$20)),0)</f>
        <v>0.7390278</v>
      </c>
      <c r="H3099" s="13" t="n">
        <f aca="false">MIN(G3099,D3099)</f>
        <v>0.7390278</v>
      </c>
      <c r="I3099" s="13" t="n">
        <f aca="false">IFERROR(MIN(F3099*Eingaben!$B$19,MAX(0,D3099-H3099)),0)</f>
        <v>1.75959</v>
      </c>
      <c r="J3099" s="13" t="n">
        <f aca="false">IFERROR(MIN(Eingaben!$B$18,MAX(0,F3099-I3099)),0)</f>
        <v>0.75411</v>
      </c>
      <c r="K3099" s="13" t="n">
        <f aca="false">H3099+I3099</f>
        <v>2.4986178</v>
      </c>
      <c r="L3099" s="13" t="n">
        <f aca="false">MAX(0,D3099-K3099)</f>
        <v>3.4293822</v>
      </c>
      <c r="M3099" s="13" t="n">
        <f aca="false">MAX(0,F3099-I3099-J3099)</f>
        <v>0</v>
      </c>
      <c r="N3099" s="13" t="n">
        <f aca="false">IF(Kalender!A171="",0,J3098-H3099)</f>
        <v>0.0150822</v>
      </c>
    </row>
    <row r="3100" customFormat="false" ht="16.4" hidden="false" customHeight="false" outlineLevel="0" collapsed="false">
      <c r="A3100" s="13" t="str">
        <f aca="false">""</f>
        <v/>
      </c>
      <c r="B3100" s="13" t="n">
        <f aca="false">168</f>
        <v>168</v>
      </c>
      <c r="C3100" s="13" t="n">
        <f aca="false">IF(Szenarien!$H$19="OK",(IFERROR(SUMIF(Nutzungsprofile!$B$6:$B$11,"Schulbetrieb",Nutzungsprofile!$G$6:$G$11)*Kalender!C172/SUM(Kalender!$C$5:$C$370),0)+IFERROR(SUMIF(Nutzungsprofile!$B$6:$B$11,"Halle",Nutzungsprofile!$G$6:$G$11)*Kalender!D172/SUM(Kalender!$D$5:$D$370),0)+IFERROR(SUMIF(Nutzungsprofile!$B$6:$B$11,"Individuell",Nutzungsprofile!$G$6:$G$11)*Kalender!E172/SUM(Kalender!$E$5:$E$370),0))*Szenarien!$E$19,0)</f>
        <v>2.94</v>
      </c>
      <c r="D3100" s="13" t="n">
        <f aca="false">IF(Szenarien!$H$19="OK",(IFERROR(SUMIF(Nutzungsprofile!$B$17:$B$22,"Schulbetrieb",Nutzungsprofile!$G$17:$G$22)*Kalender!C172/SUM(Kalender!$C$5:$C$370),0)+IFERROR(SUMIF(Nutzungsprofile!$B$17:$B$22,"Halle",Nutzungsprofile!$G$17:$G$22)*Kalender!D172/SUM(Kalender!$D$5:$D$370),0)+IFERROR(SUMIF(Nutzungsprofile!$B$17:$B$22,"Individuell",Nutzungsprofile!$G$17:$G$22)*Kalender!E172/SUM(Kalender!$E$5:$E$370),0))*Szenarien!$D$19,0)</f>
        <v>5.928</v>
      </c>
      <c r="E3100" s="13" t="n">
        <f aca="false">IFERROR(MIN(C3100,Eingaben!$B$17)*Eingaben!$B$16,0)</f>
        <v>2.793</v>
      </c>
      <c r="F3100" s="13" t="n">
        <f aca="false">IFERROR(E3100*Eingaben!$B$15,0)</f>
        <v>2.5137</v>
      </c>
      <c r="G3100" s="13" t="n">
        <f aca="false">IFERROR(IF(Kalender!A172="",0,J3099*(1-Eingaben!$B$20)),0)</f>
        <v>0.7390278</v>
      </c>
      <c r="H3100" s="13" t="n">
        <f aca="false">MIN(G3100,D3100)</f>
        <v>0.7390278</v>
      </c>
      <c r="I3100" s="13" t="n">
        <f aca="false">IFERROR(MIN(F3100*Eingaben!$B$19,MAX(0,D3100-H3100)),0)</f>
        <v>1.75959</v>
      </c>
      <c r="J3100" s="13" t="n">
        <f aca="false">IFERROR(MIN(Eingaben!$B$18,MAX(0,F3100-I3100)),0)</f>
        <v>0.75411</v>
      </c>
      <c r="K3100" s="13" t="n">
        <f aca="false">H3100+I3100</f>
        <v>2.4986178</v>
      </c>
      <c r="L3100" s="13" t="n">
        <f aca="false">MAX(0,D3100-K3100)</f>
        <v>3.4293822</v>
      </c>
      <c r="M3100" s="13" t="n">
        <f aca="false">MAX(0,F3100-I3100-J3100)</f>
        <v>0</v>
      </c>
      <c r="N3100" s="13" t="n">
        <f aca="false">IF(Kalender!A172="",0,J3099-H3100)</f>
        <v>0.0150822</v>
      </c>
    </row>
    <row r="3101" customFormat="false" ht="16.4" hidden="false" customHeight="false" outlineLevel="0" collapsed="false">
      <c r="A3101" s="13" t="str">
        <f aca="false">""</f>
        <v/>
      </c>
      <c r="B3101" s="13" t="n">
        <f aca="false">169</f>
        <v>169</v>
      </c>
      <c r="C3101" s="13" t="n">
        <f aca="false">IF(Szenarien!$H$19="OK",(IFERROR(SUMIF(Nutzungsprofile!$B$6:$B$11,"Schulbetrieb",Nutzungsprofile!$G$6:$G$11)*Kalender!C173/SUM(Kalender!$C$5:$C$370),0)+IFERROR(SUMIF(Nutzungsprofile!$B$6:$B$11,"Halle",Nutzungsprofile!$G$6:$G$11)*Kalender!D173/SUM(Kalender!$D$5:$D$370),0)+IFERROR(SUMIF(Nutzungsprofile!$B$6:$B$11,"Individuell",Nutzungsprofile!$G$6:$G$11)*Kalender!E173/SUM(Kalender!$E$5:$E$370),0))*Szenarien!$E$19,0)</f>
        <v>2.94</v>
      </c>
      <c r="D3101" s="13" t="n">
        <f aca="false">IF(Szenarien!$H$19="OK",(IFERROR(SUMIF(Nutzungsprofile!$B$17:$B$22,"Schulbetrieb",Nutzungsprofile!$G$17:$G$22)*Kalender!C173/SUM(Kalender!$C$5:$C$370),0)+IFERROR(SUMIF(Nutzungsprofile!$B$17:$B$22,"Halle",Nutzungsprofile!$G$17:$G$22)*Kalender!D173/SUM(Kalender!$D$5:$D$370),0)+IFERROR(SUMIF(Nutzungsprofile!$B$17:$B$22,"Individuell",Nutzungsprofile!$G$17:$G$22)*Kalender!E173/SUM(Kalender!$E$5:$E$370),0))*Szenarien!$D$19,0)</f>
        <v>5.928</v>
      </c>
      <c r="E3101" s="13" t="n">
        <f aca="false">IFERROR(MIN(C3101,Eingaben!$B$17)*Eingaben!$B$16,0)</f>
        <v>2.793</v>
      </c>
      <c r="F3101" s="13" t="n">
        <f aca="false">IFERROR(E3101*Eingaben!$B$15,0)</f>
        <v>2.5137</v>
      </c>
      <c r="G3101" s="13" t="n">
        <f aca="false">IFERROR(IF(Kalender!A173="",0,J3100*(1-Eingaben!$B$20)),0)</f>
        <v>0.7390278</v>
      </c>
      <c r="H3101" s="13" t="n">
        <f aca="false">MIN(G3101,D3101)</f>
        <v>0.7390278</v>
      </c>
      <c r="I3101" s="13" t="n">
        <f aca="false">IFERROR(MIN(F3101*Eingaben!$B$19,MAX(0,D3101-H3101)),0)</f>
        <v>1.75959</v>
      </c>
      <c r="J3101" s="13" t="n">
        <f aca="false">IFERROR(MIN(Eingaben!$B$18,MAX(0,F3101-I3101)),0)</f>
        <v>0.75411</v>
      </c>
      <c r="K3101" s="13" t="n">
        <f aca="false">H3101+I3101</f>
        <v>2.4986178</v>
      </c>
      <c r="L3101" s="13" t="n">
        <f aca="false">MAX(0,D3101-K3101)</f>
        <v>3.4293822</v>
      </c>
      <c r="M3101" s="13" t="n">
        <f aca="false">MAX(0,F3101-I3101-J3101)</f>
        <v>0</v>
      </c>
      <c r="N3101" s="13" t="n">
        <f aca="false">IF(Kalender!A173="",0,J3100-H3101)</f>
        <v>0.0150822</v>
      </c>
    </row>
    <row r="3102" customFormat="false" ht="16.4" hidden="false" customHeight="false" outlineLevel="0" collapsed="false">
      <c r="A3102" s="13" t="str">
        <f aca="false">""</f>
        <v/>
      </c>
      <c r="B3102" s="13" t="n">
        <f aca="false">170</f>
        <v>170</v>
      </c>
      <c r="C3102" s="13" t="n">
        <f aca="false">IF(Szenarien!$H$19="OK",(IFERROR(SUMIF(Nutzungsprofile!$B$6:$B$11,"Schulbetrieb",Nutzungsprofile!$G$6:$G$11)*Kalender!C174/SUM(Kalender!$C$5:$C$370),0)+IFERROR(SUMIF(Nutzungsprofile!$B$6:$B$11,"Halle",Nutzungsprofile!$G$6:$G$11)*Kalender!D174/SUM(Kalender!$D$5:$D$370),0)+IFERROR(SUMIF(Nutzungsprofile!$B$6:$B$11,"Individuell",Nutzungsprofile!$G$6:$G$11)*Kalender!E174/SUM(Kalender!$E$5:$E$370),0))*Szenarien!$E$19,0)</f>
        <v>2.94</v>
      </c>
      <c r="D3102" s="13" t="n">
        <f aca="false">IF(Szenarien!$H$19="OK",(IFERROR(SUMIF(Nutzungsprofile!$B$17:$B$22,"Schulbetrieb",Nutzungsprofile!$G$17:$G$22)*Kalender!C174/SUM(Kalender!$C$5:$C$370),0)+IFERROR(SUMIF(Nutzungsprofile!$B$17:$B$22,"Halle",Nutzungsprofile!$G$17:$G$22)*Kalender!D174/SUM(Kalender!$D$5:$D$370),0)+IFERROR(SUMIF(Nutzungsprofile!$B$17:$B$22,"Individuell",Nutzungsprofile!$G$17:$G$22)*Kalender!E174/SUM(Kalender!$E$5:$E$370),0))*Szenarien!$D$19,0)</f>
        <v>5.928</v>
      </c>
      <c r="E3102" s="13" t="n">
        <f aca="false">IFERROR(MIN(C3102,Eingaben!$B$17)*Eingaben!$B$16,0)</f>
        <v>2.793</v>
      </c>
      <c r="F3102" s="13" t="n">
        <f aca="false">IFERROR(E3102*Eingaben!$B$15,0)</f>
        <v>2.5137</v>
      </c>
      <c r="G3102" s="13" t="n">
        <f aca="false">IFERROR(IF(Kalender!A174="",0,J3101*(1-Eingaben!$B$20)),0)</f>
        <v>0.7390278</v>
      </c>
      <c r="H3102" s="13" t="n">
        <f aca="false">MIN(G3102,D3102)</f>
        <v>0.7390278</v>
      </c>
      <c r="I3102" s="13" t="n">
        <f aca="false">IFERROR(MIN(F3102*Eingaben!$B$19,MAX(0,D3102-H3102)),0)</f>
        <v>1.75959</v>
      </c>
      <c r="J3102" s="13" t="n">
        <f aca="false">IFERROR(MIN(Eingaben!$B$18,MAX(0,F3102-I3102)),0)</f>
        <v>0.75411</v>
      </c>
      <c r="K3102" s="13" t="n">
        <f aca="false">H3102+I3102</f>
        <v>2.4986178</v>
      </c>
      <c r="L3102" s="13" t="n">
        <f aca="false">MAX(0,D3102-K3102)</f>
        <v>3.4293822</v>
      </c>
      <c r="M3102" s="13" t="n">
        <f aca="false">MAX(0,F3102-I3102-J3102)</f>
        <v>0</v>
      </c>
      <c r="N3102" s="13" t="n">
        <f aca="false">IF(Kalender!A174="",0,J3101-H3102)</f>
        <v>0.0150822</v>
      </c>
    </row>
    <row r="3103" customFormat="false" ht="16.4" hidden="false" customHeight="false" outlineLevel="0" collapsed="false">
      <c r="A3103" s="13" t="str">
        <f aca="false">""</f>
        <v/>
      </c>
      <c r="B3103" s="13" t="n">
        <f aca="false">171</f>
        <v>171</v>
      </c>
      <c r="C3103" s="13" t="n">
        <f aca="false">IF(Szenarien!$H$19="OK",(IFERROR(SUMIF(Nutzungsprofile!$B$6:$B$11,"Schulbetrieb",Nutzungsprofile!$G$6:$G$11)*Kalender!C175/SUM(Kalender!$C$5:$C$370),0)+IFERROR(SUMIF(Nutzungsprofile!$B$6:$B$11,"Halle",Nutzungsprofile!$G$6:$G$11)*Kalender!D175/SUM(Kalender!$D$5:$D$370),0)+IFERROR(SUMIF(Nutzungsprofile!$B$6:$B$11,"Individuell",Nutzungsprofile!$G$6:$G$11)*Kalender!E175/SUM(Kalender!$E$5:$E$370),0))*Szenarien!$E$19,0)</f>
        <v>2.04</v>
      </c>
      <c r="D3103" s="13" t="n">
        <f aca="false">IF(Szenarien!$H$19="OK",(IFERROR(SUMIF(Nutzungsprofile!$B$17:$B$22,"Schulbetrieb",Nutzungsprofile!$G$17:$G$22)*Kalender!C175/SUM(Kalender!$C$5:$C$370),0)+IFERROR(SUMIF(Nutzungsprofile!$B$17:$B$22,"Halle",Nutzungsprofile!$G$17:$G$22)*Kalender!D175/SUM(Kalender!$D$5:$D$370),0)+IFERROR(SUMIF(Nutzungsprofile!$B$17:$B$22,"Individuell",Nutzungsprofile!$G$17:$G$22)*Kalender!E175/SUM(Kalender!$E$5:$E$370),0))*Szenarien!$D$19,0)</f>
        <v>1.068</v>
      </c>
      <c r="E3103" s="13" t="n">
        <f aca="false">IFERROR(MIN(C3103,Eingaben!$B$17)*Eingaben!$B$16,0)</f>
        <v>1.938</v>
      </c>
      <c r="F3103" s="13" t="n">
        <f aca="false">IFERROR(E3103*Eingaben!$B$15,0)</f>
        <v>1.7442</v>
      </c>
      <c r="G3103" s="13" t="n">
        <f aca="false">IFERROR(IF(Kalender!A175="",0,J3102*(1-Eingaben!$B$20)),0)</f>
        <v>0.7390278</v>
      </c>
      <c r="H3103" s="13" t="n">
        <f aca="false">MIN(G3103,D3103)</f>
        <v>0.7390278</v>
      </c>
      <c r="I3103" s="13" t="n">
        <f aca="false">IFERROR(MIN(F3103*Eingaben!$B$19,MAX(0,D3103-H3103)),0)</f>
        <v>0.3289722</v>
      </c>
      <c r="J3103" s="13" t="n">
        <f aca="false">IFERROR(MIN(Eingaben!$B$18,MAX(0,F3103-I3103)),0)</f>
        <v>1.4152278</v>
      </c>
      <c r="K3103" s="13" t="n">
        <f aca="false">H3103+I3103</f>
        <v>1.068</v>
      </c>
      <c r="L3103" s="13" t="n">
        <f aca="false">MAX(0,D3103-K3103)</f>
        <v>0</v>
      </c>
      <c r="M3103" s="13" t="n">
        <f aca="false">MAX(0,F3103-I3103-J3103)</f>
        <v>0</v>
      </c>
      <c r="N3103" s="13" t="n">
        <f aca="false">IF(Kalender!A175="",0,J3102-H3103)</f>
        <v>0.0150822</v>
      </c>
    </row>
    <row r="3104" customFormat="false" ht="16.4" hidden="false" customHeight="false" outlineLevel="0" collapsed="false">
      <c r="A3104" s="13" t="str">
        <f aca="false">""</f>
        <v/>
      </c>
      <c r="B3104" s="13" t="n">
        <f aca="false">172</f>
        <v>172</v>
      </c>
      <c r="C3104" s="13" t="n">
        <f aca="false">IF(Szenarien!$H$19="OK",(IFERROR(SUMIF(Nutzungsprofile!$B$6:$B$11,"Schulbetrieb",Nutzungsprofile!$G$6:$G$11)*Kalender!C176/SUM(Kalender!$C$5:$C$370),0)+IFERROR(SUMIF(Nutzungsprofile!$B$6:$B$11,"Halle",Nutzungsprofile!$G$6:$G$11)*Kalender!D176/SUM(Kalender!$D$5:$D$370),0)+IFERROR(SUMIF(Nutzungsprofile!$B$6:$B$11,"Individuell",Nutzungsprofile!$G$6:$G$11)*Kalender!E176/SUM(Kalender!$E$5:$E$370),0))*Szenarien!$E$19,0)</f>
        <v>2.04</v>
      </c>
      <c r="D3104" s="13" t="n">
        <f aca="false">IF(Szenarien!$H$19="OK",(IFERROR(SUMIF(Nutzungsprofile!$B$17:$B$22,"Schulbetrieb",Nutzungsprofile!$G$17:$G$22)*Kalender!C176/SUM(Kalender!$C$5:$C$370),0)+IFERROR(SUMIF(Nutzungsprofile!$B$17:$B$22,"Halle",Nutzungsprofile!$G$17:$G$22)*Kalender!D176/SUM(Kalender!$D$5:$D$370),0)+IFERROR(SUMIF(Nutzungsprofile!$B$17:$B$22,"Individuell",Nutzungsprofile!$G$17:$G$22)*Kalender!E176/SUM(Kalender!$E$5:$E$370),0))*Szenarien!$D$19,0)</f>
        <v>1.068</v>
      </c>
      <c r="E3104" s="13" t="n">
        <f aca="false">IFERROR(MIN(C3104,Eingaben!$B$17)*Eingaben!$B$16,0)</f>
        <v>1.938</v>
      </c>
      <c r="F3104" s="13" t="n">
        <f aca="false">IFERROR(E3104*Eingaben!$B$15,0)</f>
        <v>1.7442</v>
      </c>
      <c r="G3104" s="13" t="n">
        <f aca="false">IFERROR(IF(Kalender!A176="",0,J3103*(1-Eingaben!$B$20)),0)</f>
        <v>1.386923244</v>
      </c>
      <c r="H3104" s="13" t="n">
        <f aca="false">MIN(G3104,D3104)</f>
        <v>1.068</v>
      </c>
      <c r="I3104" s="13" t="n">
        <f aca="false">IFERROR(MIN(F3104*Eingaben!$B$19,MAX(0,D3104-H3104)),0)</f>
        <v>0</v>
      </c>
      <c r="J3104" s="13" t="n">
        <f aca="false">IFERROR(MIN(Eingaben!$B$18,MAX(0,F3104-I3104)),0)</f>
        <v>1.7442</v>
      </c>
      <c r="K3104" s="13" t="n">
        <f aca="false">H3104+I3104</f>
        <v>1.068</v>
      </c>
      <c r="L3104" s="13" t="n">
        <f aca="false">MAX(0,D3104-K3104)</f>
        <v>0</v>
      </c>
      <c r="M3104" s="13" t="n">
        <f aca="false">MAX(0,F3104-I3104-J3104)</f>
        <v>0</v>
      </c>
      <c r="N3104" s="13" t="n">
        <f aca="false">IF(Kalender!A176="",0,J3103-H3104)</f>
        <v>0.3472278</v>
      </c>
    </row>
    <row r="3105" customFormat="false" ht="16.4" hidden="false" customHeight="false" outlineLevel="0" collapsed="false">
      <c r="A3105" s="13" t="str">
        <f aca="false">""</f>
        <v/>
      </c>
      <c r="B3105" s="13" t="n">
        <f aca="false">173</f>
        <v>173</v>
      </c>
      <c r="C3105" s="13" t="n">
        <f aca="false">IF(Szenarien!$H$19="OK",(IFERROR(SUMIF(Nutzungsprofile!$B$6:$B$11,"Schulbetrieb",Nutzungsprofile!$G$6:$G$11)*Kalender!C177/SUM(Kalender!$C$5:$C$370),0)+IFERROR(SUMIF(Nutzungsprofile!$B$6:$B$11,"Halle",Nutzungsprofile!$G$6:$G$11)*Kalender!D177/SUM(Kalender!$D$5:$D$370),0)+IFERROR(SUMIF(Nutzungsprofile!$B$6:$B$11,"Individuell",Nutzungsprofile!$G$6:$G$11)*Kalender!E177/SUM(Kalender!$E$5:$E$370),0))*Szenarien!$E$19,0)</f>
        <v>2.94</v>
      </c>
      <c r="D3105" s="13" t="n">
        <f aca="false">IF(Szenarien!$H$19="OK",(IFERROR(SUMIF(Nutzungsprofile!$B$17:$B$22,"Schulbetrieb",Nutzungsprofile!$G$17:$G$22)*Kalender!C177/SUM(Kalender!$C$5:$C$370),0)+IFERROR(SUMIF(Nutzungsprofile!$B$17:$B$22,"Halle",Nutzungsprofile!$G$17:$G$22)*Kalender!D177/SUM(Kalender!$D$5:$D$370),0)+IFERROR(SUMIF(Nutzungsprofile!$B$17:$B$22,"Individuell",Nutzungsprofile!$G$17:$G$22)*Kalender!E177/SUM(Kalender!$E$5:$E$370),0))*Szenarien!$D$19,0)</f>
        <v>5.928</v>
      </c>
      <c r="E3105" s="13" t="n">
        <f aca="false">IFERROR(MIN(C3105,Eingaben!$B$17)*Eingaben!$B$16,0)</f>
        <v>2.793</v>
      </c>
      <c r="F3105" s="13" t="n">
        <f aca="false">IFERROR(E3105*Eingaben!$B$15,0)</f>
        <v>2.5137</v>
      </c>
      <c r="G3105" s="13" t="n">
        <f aca="false">IFERROR(IF(Kalender!A177="",0,J3104*(1-Eingaben!$B$20)),0)</f>
        <v>1.709316</v>
      </c>
      <c r="H3105" s="13" t="n">
        <f aca="false">MIN(G3105,D3105)</f>
        <v>1.709316</v>
      </c>
      <c r="I3105" s="13" t="n">
        <f aca="false">IFERROR(MIN(F3105*Eingaben!$B$19,MAX(0,D3105-H3105)),0)</f>
        <v>1.75959</v>
      </c>
      <c r="J3105" s="13" t="n">
        <f aca="false">IFERROR(MIN(Eingaben!$B$18,MAX(0,F3105-I3105)),0)</f>
        <v>0.75411</v>
      </c>
      <c r="K3105" s="13" t="n">
        <f aca="false">H3105+I3105</f>
        <v>3.468906</v>
      </c>
      <c r="L3105" s="13" t="n">
        <f aca="false">MAX(0,D3105-K3105)</f>
        <v>2.459094</v>
      </c>
      <c r="M3105" s="13" t="n">
        <f aca="false">MAX(0,F3105-I3105-J3105)</f>
        <v>0</v>
      </c>
      <c r="N3105" s="13" t="n">
        <f aca="false">IF(Kalender!A177="",0,J3104-H3105)</f>
        <v>0.0348840000000001</v>
      </c>
    </row>
    <row r="3106" customFormat="false" ht="16.4" hidden="false" customHeight="false" outlineLevel="0" collapsed="false">
      <c r="A3106" s="13" t="str">
        <f aca="false">""</f>
        <v/>
      </c>
      <c r="B3106" s="13" t="n">
        <f aca="false">174</f>
        <v>174</v>
      </c>
      <c r="C3106" s="13" t="n">
        <f aca="false">IF(Szenarien!$H$19="OK",(IFERROR(SUMIF(Nutzungsprofile!$B$6:$B$11,"Schulbetrieb",Nutzungsprofile!$G$6:$G$11)*Kalender!C178/SUM(Kalender!$C$5:$C$370),0)+IFERROR(SUMIF(Nutzungsprofile!$B$6:$B$11,"Halle",Nutzungsprofile!$G$6:$G$11)*Kalender!D178/SUM(Kalender!$D$5:$D$370),0)+IFERROR(SUMIF(Nutzungsprofile!$B$6:$B$11,"Individuell",Nutzungsprofile!$G$6:$G$11)*Kalender!E178/SUM(Kalender!$E$5:$E$370),0))*Szenarien!$E$19,0)</f>
        <v>2.94</v>
      </c>
      <c r="D3106" s="13" t="n">
        <f aca="false">IF(Szenarien!$H$19="OK",(IFERROR(SUMIF(Nutzungsprofile!$B$17:$B$22,"Schulbetrieb",Nutzungsprofile!$G$17:$G$22)*Kalender!C178/SUM(Kalender!$C$5:$C$370),0)+IFERROR(SUMIF(Nutzungsprofile!$B$17:$B$22,"Halle",Nutzungsprofile!$G$17:$G$22)*Kalender!D178/SUM(Kalender!$D$5:$D$370),0)+IFERROR(SUMIF(Nutzungsprofile!$B$17:$B$22,"Individuell",Nutzungsprofile!$G$17:$G$22)*Kalender!E178/SUM(Kalender!$E$5:$E$370),0))*Szenarien!$D$19,0)</f>
        <v>5.928</v>
      </c>
      <c r="E3106" s="13" t="n">
        <f aca="false">IFERROR(MIN(C3106,Eingaben!$B$17)*Eingaben!$B$16,0)</f>
        <v>2.793</v>
      </c>
      <c r="F3106" s="13" t="n">
        <f aca="false">IFERROR(E3106*Eingaben!$B$15,0)</f>
        <v>2.5137</v>
      </c>
      <c r="G3106" s="13" t="n">
        <f aca="false">IFERROR(IF(Kalender!A178="",0,J3105*(1-Eingaben!$B$20)),0)</f>
        <v>0.7390278</v>
      </c>
      <c r="H3106" s="13" t="n">
        <f aca="false">MIN(G3106,D3106)</f>
        <v>0.7390278</v>
      </c>
      <c r="I3106" s="13" t="n">
        <f aca="false">IFERROR(MIN(F3106*Eingaben!$B$19,MAX(0,D3106-H3106)),0)</f>
        <v>1.75959</v>
      </c>
      <c r="J3106" s="13" t="n">
        <f aca="false">IFERROR(MIN(Eingaben!$B$18,MAX(0,F3106-I3106)),0)</f>
        <v>0.75411</v>
      </c>
      <c r="K3106" s="13" t="n">
        <f aca="false">H3106+I3106</f>
        <v>2.4986178</v>
      </c>
      <c r="L3106" s="13" t="n">
        <f aca="false">MAX(0,D3106-K3106)</f>
        <v>3.4293822</v>
      </c>
      <c r="M3106" s="13" t="n">
        <f aca="false">MAX(0,F3106-I3106-J3106)</f>
        <v>0</v>
      </c>
      <c r="N3106" s="13" t="n">
        <f aca="false">IF(Kalender!A178="",0,J3105-H3106)</f>
        <v>0.0150822</v>
      </c>
    </row>
    <row r="3107" customFormat="false" ht="16.4" hidden="false" customHeight="false" outlineLevel="0" collapsed="false">
      <c r="A3107" s="13" t="str">
        <f aca="false">""</f>
        <v/>
      </c>
      <c r="B3107" s="13" t="n">
        <f aca="false">175</f>
        <v>175</v>
      </c>
      <c r="C3107" s="13" t="n">
        <f aca="false">IF(Szenarien!$H$19="OK",(IFERROR(SUMIF(Nutzungsprofile!$B$6:$B$11,"Schulbetrieb",Nutzungsprofile!$G$6:$G$11)*Kalender!C179/SUM(Kalender!$C$5:$C$370),0)+IFERROR(SUMIF(Nutzungsprofile!$B$6:$B$11,"Halle",Nutzungsprofile!$G$6:$G$11)*Kalender!D179/SUM(Kalender!$D$5:$D$370),0)+IFERROR(SUMIF(Nutzungsprofile!$B$6:$B$11,"Individuell",Nutzungsprofile!$G$6:$G$11)*Kalender!E179/SUM(Kalender!$E$5:$E$370),0))*Szenarien!$E$19,0)</f>
        <v>2.94</v>
      </c>
      <c r="D3107" s="13" t="n">
        <f aca="false">IF(Szenarien!$H$19="OK",(IFERROR(SUMIF(Nutzungsprofile!$B$17:$B$22,"Schulbetrieb",Nutzungsprofile!$G$17:$G$22)*Kalender!C179/SUM(Kalender!$C$5:$C$370),0)+IFERROR(SUMIF(Nutzungsprofile!$B$17:$B$22,"Halle",Nutzungsprofile!$G$17:$G$22)*Kalender!D179/SUM(Kalender!$D$5:$D$370),0)+IFERROR(SUMIF(Nutzungsprofile!$B$17:$B$22,"Individuell",Nutzungsprofile!$G$17:$G$22)*Kalender!E179/SUM(Kalender!$E$5:$E$370),0))*Szenarien!$D$19,0)</f>
        <v>5.928</v>
      </c>
      <c r="E3107" s="13" t="n">
        <f aca="false">IFERROR(MIN(C3107,Eingaben!$B$17)*Eingaben!$B$16,0)</f>
        <v>2.793</v>
      </c>
      <c r="F3107" s="13" t="n">
        <f aca="false">IFERROR(E3107*Eingaben!$B$15,0)</f>
        <v>2.5137</v>
      </c>
      <c r="G3107" s="13" t="n">
        <f aca="false">IFERROR(IF(Kalender!A179="",0,J3106*(1-Eingaben!$B$20)),0)</f>
        <v>0.7390278</v>
      </c>
      <c r="H3107" s="13" t="n">
        <f aca="false">MIN(G3107,D3107)</f>
        <v>0.7390278</v>
      </c>
      <c r="I3107" s="13" t="n">
        <f aca="false">IFERROR(MIN(F3107*Eingaben!$B$19,MAX(0,D3107-H3107)),0)</f>
        <v>1.75959</v>
      </c>
      <c r="J3107" s="13" t="n">
        <f aca="false">IFERROR(MIN(Eingaben!$B$18,MAX(0,F3107-I3107)),0)</f>
        <v>0.75411</v>
      </c>
      <c r="K3107" s="13" t="n">
        <f aca="false">H3107+I3107</f>
        <v>2.4986178</v>
      </c>
      <c r="L3107" s="13" t="n">
        <f aca="false">MAX(0,D3107-K3107)</f>
        <v>3.4293822</v>
      </c>
      <c r="M3107" s="13" t="n">
        <f aca="false">MAX(0,F3107-I3107-J3107)</f>
        <v>0</v>
      </c>
      <c r="N3107" s="13" t="n">
        <f aca="false">IF(Kalender!A179="",0,J3106-H3107)</f>
        <v>0.0150822</v>
      </c>
    </row>
    <row r="3108" customFormat="false" ht="16.4" hidden="false" customHeight="false" outlineLevel="0" collapsed="false">
      <c r="A3108" s="13" t="str">
        <f aca="false">""</f>
        <v/>
      </c>
      <c r="B3108" s="13" t="n">
        <f aca="false">176</f>
        <v>176</v>
      </c>
      <c r="C3108" s="13" t="n">
        <f aca="false">IF(Szenarien!$H$19="OK",(IFERROR(SUMIF(Nutzungsprofile!$B$6:$B$11,"Schulbetrieb",Nutzungsprofile!$G$6:$G$11)*Kalender!C180/SUM(Kalender!$C$5:$C$370),0)+IFERROR(SUMIF(Nutzungsprofile!$B$6:$B$11,"Halle",Nutzungsprofile!$G$6:$G$11)*Kalender!D180/SUM(Kalender!$D$5:$D$370),0)+IFERROR(SUMIF(Nutzungsprofile!$B$6:$B$11,"Individuell",Nutzungsprofile!$G$6:$G$11)*Kalender!E180/SUM(Kalender!$E$5:$E$370),0))*Szenarien!$E$19,0)</f>
        <v>2.94</v>
      </c>
      <c r="D3108" s="13" t="n">
        <f aca="false">IF(Szenarien!$H$19="OK",(IFERROR(SUMIF(Nutzungsprofile!$B$17:$B$22,"Schulbetrieb",Nutzungsprofile!$G$17:$G$22)*Kalender!C180/SUM(Kalender!$C$5:$C$370),0)+IFERROR(SUMIF(Nutzungsprofile!$B$17:$B$22,"Halle",Nutzungsprofile!$G$17:$G$22)*Kalender!D180/SUM(Kalender!$D$5:$D$370),0)+IFERROR(SUMIF(Nutzungsprofile!$B$17:$B$22,"Individuell",Nutzungsprofile!$G$17:$G$22)*Kalender!E180/SUM(Kalender!$E$5:$E$370),0))*Szenarien!$D$19,0)</f>
        <v>5.928</v>
      </c>
      <c r="E3108" s="13" t="n">
        <f aca="false">IFERROR(MIN(C3108,Eingaben!$B$17)*Eingaben!$B$16,0)</f>
        <v>2.793</v>
      </c>
      <c r="F3108" s="13" t="n">
        <f aca="false">IFERROR(E3108*Eingaben!$B$15,0)</f>
        <v>2.5137</v>
      </c>
      <c r="G3108" s="13" t="n">
        <f aca="false">IFERROR(IF(Kalender!A180="",0,J3107*(1-Eingaben!$B$20)),0)</f>
        <v>0.7390278</v>
      </c>
      <c r="H3108" s="13" t="n">
        <f aca="false">MIN(G3108,D3108)</f>
        <v>0.7390278</v>
      </c>
      <c r="I3108" s="13" t="n">
        <f aca="false">IFERROR(MIN(F3108*Eingaben!$B$19,MAX(0,D3108-H3108)),0)</f>
        <v>1.75959</v>
      </c>
      <c r="J3108" s="13" t="n">
        <f aca="false">IFERROR(MIN(Eingaben!$B$18,MAX(0,F3108-I3108)),0)</f>
        <v>0.75411</v>
      </c>
      <c r="K3108" s="13" t="n">
        <f aca="false">H3108+I3108</f>
        <v>2.4986178</v>
      </c>
      <c r="L3108" s="13" t="n">
        <f aca="false">MAX(0,D3108-K3108)</f>
        <v>3.4293822</v>
      </c>
      <c r="M3108" s="13" t="n">
        <f aca="false">MAX(0,F3108-I3108-J3108)</f>
        <v>0</v>
      </c>
      <c r="N3108" s="13" t="n">
        <f aca="false">IF(Kalender!A180="",0,J3107-H3108)</f>
        <v>0.0150822</v>
      </c>
    </row>
    <row r="3109" customFormat="false" ht="16.4" hidden="false" customHeight="false" outlineLevel="0" collapsed="false">
      <c r="A3109" s="13" t="str">
        <f aca="false">""</f>
        <v/>
      </c>
      <c r="B3109" s="13" t="n">
        <f aca="false">177</f>
        <v>177</v>
      </c>
      <c r="C3109" s="13" t="n">
        <f aca="false">IF(Szenarien!$H$19="OK",(IFERROR(SUMIF(Nutzungsprofile!$B$6:$B$11,"Schulbetrieb",Nutzungsprofile!$G$6:$G$11)*Kalender!C181/SUM(Kalender!$C$5:$C$370),0)+IFERROR(SUMIF(Nutzungsprofile!$B$6:$B$11,"Halle",Nutzungsprofile!$G$6:$G$11)*Kalender!D181/SUM(Kalender!$D$5:$D$370),0)+IFERROR(SUMIF(Nutzungsprofile!$B$6:$B$11,"Individuell",Nutzungsprofile!$G$6:$G$11)*Kalender!E181/SUM(Kalender!$E$5:$E$370),0))*Szenarien!$E$19,0)</f>
        <v>2.94</v>
      </c>
      <c r="D3109" s="13" t="n">
        <f aca="false">IF(Szenarien!$H$19="OK",(IFERROR(SUMIF(Nutzungsprofile!$B$17:$B$22,"Schulbetrieb",Nutzungsprofile!$G$17:$G$22)*Kalender!C181/SUM(Kalender!$C$5:$C$370),0)+IFERROR(SUMIF(Nutzungsprofile!$B$17:$B$22,"Halle",Nutzungsprofile!$G$17:$G$22)*Kalender!D181/SUM(Kalender!$D$5:$D$370),0)+IFERROR(SUMIF(Nutzungsprofile!$B$17:$B$22,"Individuell",Nutzungsprofile!$G$17:$G$22)*Kalender!E181/SUM(Kalender!$E$5:$E$370),0))*Szenarien!$D$19,0)</f>
        <v>5.928</v>
      </c>
      <c r="E3109" s="13" t="n">
        <f aca="false">IFERROR(MIN(C3109,Eingaben!$B$17)*Eingaben!$B$16,0)</f>
        <v>2.793</v>
      </c>
      <c r="F3109" s="13" t="n">
        <f aca="false">IFERROR(E3109*Eingaben!$B$15,0)</f>
        <v>2.5137</v>
      </c>
      <c r="G3109" s="13" t="n">
        <f aca="false">IFERROR(IF(Kalender!A181="",0,J3108*(1-Eingaben!$B$20)),0)</f>
        <v>0.7390278</v>
      </c>
      <c r="H3109" s="13" t="n">
        <f aca="false">MIN(G3109,D3109)</f>
        <v>0.7390278</v>
      </c>
      <c r="I3109" s="13" t="n">
        <f aca="false">IFERROR(MIN(F3109*Eingaben!$B$19,MAX(0,D3109-H3109)),0)</f>
        <v>1.75959</v>
      </c>
      <c r="J3109" s="13" t="n">
        <f aca="false">IFERROR(MIN(Eingaben!$B$18,MAX(0,F3109-I3109)),0)</f>
        <v>0.75411</v>
      </c>
      <c r="K3109" s="13" t="n">
        <f aca="false">H3109+I3109</f>
        <v>2.4986178</v>
      </c>
      <c r="L3109" s="13" t="n">
        <f aca="false">MAX(0,D3109-K3109)</f>
        <v>3.4293822</v>
      </c>
      <c r="M3109" s="13" t="n">
        <f aca="false">MAX(0,F3109-I3109-J3109)</f>
        <v>0</v>
      </c>
      <c r="N3109" s="13" t="n">
        <f aca="false">IF(Kalender!A181="",0,J3108-H3109)</f>
        <v>0.0150822</v>
      </c>
    </row>
    <row r="3110" customFormat="false" ht="16.4" hidden="false" customHeight="false" outlineLevel="0" collapsed="false">
      <c r="A3110" s="13" t="str">
        <f aca="false">""</f>
        <v/>
      </c>
      <c r="B3110" s="13" t="n">
        <f aca="false">178</f>
        <v>178</v>
      </c>
      <c r="C3110" s="13" t="n">
        <f aca="false">IF(Szenarien!$H$19="OK",(IFERROR(SUMIF(Nutzungsprofile!$B$6:$B$11,"Schulbetrieb",Nutzungsprofile!$G$6:$G$11)*Kalender!C182/SUM(Kalender!$C$5:$C$370),0)+IFERROR(SUMIF(Nutzungsprofile!$B$6:$B$11,"Halle",Nutzungsprofile!$G$6:$G$11)*Kalender!D182/SUM(Kalender!$D$5:$D$370),0)+IFERROR(SUMIF(Nutzungsprofile!$B$6:$B$11,"Individuell",Nutzungsprofile!$G$6:$G$11)*Kalender!E182/SUM(Kalender!$E$5:$E$370),0))*Szenarien!$E$19,0)</f>
        <v>2.04</v>
      </c>
      <c r="D3110" s="13" t="n">
        <f aca="false">IF(Szenarien!$H$19="OK",(IFERROR(SUMIF(Nutzungsprofile!$B$17:$B$22,"Schulbetrieb",Nutzungsprofile!$G$17:$G$22)*Kalender!C182/SUM(Kalender!$C$5:$C$370),0)+IFERROR(SUMIF(Nutzungsprofile!$B$17:$B$22,"Halle",Nutzungsprofile!$G$17:$G$22)*Kalender!D182/SUM(Kalender!$D$5:$D$370),0)+IFERROR(SUMIF(Nutzungsprofile!$B$17:$B$22,"Individuell",Nutzungsprofile!$G$17:$G$22)*Kalender!E182/SUM(Kalender!$E$5:$E$370),0))*Szenarien!$D$19,0)</f>
        <v>1.068</v>
      </c>
      <c r="E3110" s="13" t="n">
        <f aca="false">IFERROR(MIN(C3110,Eingaben!$B$17)*Eingaben!$B$16,0)</f>
        <v>1.938</v>
      </c>
      <c r="F3110" s="13" t="n">
        <f aca="false">IFERROR(E3110*Eingaben!$B$15,0)</f>
        <v>1.7442</v>
      </c>
      <c r="G3110" s="13" t="n">
        <f aca="false">IFERROR(IF(Kalender!A182="",0,J3109*(1-Eingaben!$B$20)),0)</f>
        <v>0.7390278</v>
      </c>
      <c r="H3110" s="13" t="n">
        <f aca="false">MIN(G3110,D3110)</f>
        <v>0.7390278</v>
      </c>
      <c r="I3110" s="13" t="n">
        <f aca="false">IFERROR(MIN(F3110*Eingaben!$B$19,MAX(0,D3110-H3110)),0)</f>
        <v>0.3289722</v>
      </c>
      <c r="J3110" s="13" t="n">
        <f aca="false">IFERROR(MIN(Eingaben!$B$18,MAX(0,F3110-I3110)),0)</f>
        <v>1.4152278</v>
      </c>
      <c r="K3110" s="13" t="n">
        <f aca="false">H3110+I3110</f>
        <v>1.068</v>
      </c>
      <c r="L3110" s="13" t="n">
        <f aca="false">MAX(0,D3110-K3110)</f>
        <v>0</v>
      </c>
      <c r="M3110" s="13" t="n">
        <f aca="false">MAX(0,F3110-I3110-J3110)</f>
        <v>0</v>
      </c>
      <c r="N3110" s="13" t="n">
        <f aca="false">IF(Kalender!A182="",0,J3109-H3110)</f>
        <v>0.0150822</v>
      </c>
    </row>
    <row r="3111" customFormat="false" ht="16.4" hidden="false" customHeight="false" outlineLevel="0" collapsed="false">
      <c r="A3111" s="13" t="str">
        <f aca="false">""</f>
        <v/>
      </c>
      <c r="B3111" s="13" t="n">
        <f aca="false">179</f>
        <v>179</v>
      </c>
      <c r="C3111" s="13" t="n">
        <f aca="false">IF(Szenarien!$H$19="OK",(IFERROR(SUMIF(Nutzungsprofile!$B$6:$B$11,"Schulbetrieb",Nutzungsprofile!$G$6:$G$11)*Kalender!C183/SUM(Kalender!$C$5:$C$370),0)+IFERROR(SUMIF(Nutzungsprofile!$B$6:$B$11,"Halle",Nutzungsprofile!$G$6:$G$11)*Kalender!D183/SUM(Kalender!$D$5:$D$370),0)+IFERROR(SUMIF(Nutzungsprofile!$B$6:$B$11,"Individuell",Nutzungsprofile!$G$6:$G$11)*Kalender!E183/SUM(Kalender!$E$5:$E$370),0))*Szenarien!$E$19,0)</f>
        <v>2.04</v>
      </c>
      <c r="D3111" s="13" t="n">
        <f aca="false">IF(Szenarien!$H$19="OK",(IFERROR(SUMIF(Nutzungsprofile!$B$17:$B$22,"Schulbetrieb",Nutzungsprofile!$G$17:$G$22)*Kalender!C183/SUM(Kalender!$C$5:$C$370),0)+IFERROR(SUMIF(Nutzungsprofile!$B$17:$B$22,"Halle",Nutzungsprofile!$G$17:$G$22)*Kalender!D183/SUM(Kalender!$D$5:$D$370),0)+IFERROR(SUMIF(Nutzungsprofile!$B$17:$B$22,"Individuell",Nutzungsprofile!$G$17:$G$22)*Kalender!E183/SUM(Kalender!$E$5:$E$370),0))*Szenarien!$D$19,0)</f>
        <v>1.068</v>
      </c>
      <c r="E3111" s="13" t="n">
        <f aca="false">IFERROR(MIN(C3111,Eingaben!$B$17)*Eingaben!$B$16,0)</f>
        <v>1.938</v>
      </c>
      <c r="F3111" s="13" t="n">
        <f aca="false">IFERROR(E3111*Eingaben!$B$15,0)</f>
        <v>1.7442</v>
      </c>
      <c r="G3111" s="13" t="n">
        <f aca="false">IFERROR(IF(Kalender!A183="",0,J3110*(1-Eingaben!$B$20)),0)</f>
        <v>1.386923244</v>
      </c>
      <c r="H3111" s="13" t="n">
        <f aca="false">MIN(G3111,D3111)</f>
        <v>1.068</v>
      </c>
      <c r="I3111" s="13" t="n">
        <f aca="false">IFERROR(MIN(F3111*Eingaben!$B$19,MAX(0,D3111-H3111)),0)</f>
        <v>0</v>
      </c>
      <c r="J3111" s="13" t="n">
        <f aca="false">IFERROR(MIN(Eingaben!$B$18,MAX(0,F3111-I3111)),0)</f>
        <v>1.7442</v>
      </c>
      <c r="K3111" s="13" t="n">
        <f aca="false">H3111+I3111</f>
        <v>1.068</v>
      </c>
      <c r="L3111" s="13" t="n">
        <f aca="false">MAX(0,D3111-K3111)</f>
        <v>0</v>
      </c>
      <c r="M3111" s="13" t="n">
        <f aca="false">MAX(0,F3111-I3111-J3111)</f>
        <v>0</v>
      </c>
      <c r="N3111" s="13" t="n">
        <f aca="false">IF(Kalender!A183="",0,J3110-H3111)</f>
        <v>0.3472278</v>
      </c>
    </row>
    <row r="3112" customFormat="false" ht="16.4" hidden="false" customHeight="false" outlineLevel="0" collapsed="false">
      <c r="A3112" s="13" t="str">
        <f aca="false">""</f>
        <v/>
      </c>
      <c r="B3112" s="13" t="n">
        <f aca="false">180</f>
        <v>180</v>
      </c>
      <c r="C3112" s="13" t="n">
        <f aca="false">IF(Szenarien!$H$19="OK",(IFERROR(SUMIF(Nutzungsprofile!$B$6:$B$11,"Schulbetrieb",Nutzungsprofile!$G$6:$G$11)*Kalender!C184/SUM(Kalender!$C$5:$C$370),0)+IFERROR(SUMIF(Nutzungsprofile!$B$6:$B$11,"Halle",Nutzungsprofile!$G$6:$G$11)*Kalender!D184/SUM(Kalender!$D$5:$D$370),0)+IFERROR(SUMIF(Nutzungsprofile!$B$6:$B$11,"Individuell",Nutzungsprofile!$G$6:$G$11)*Kalender!E184/SUM(Kalender!$E$5:$E$370),0))*Szenarien!$E$19,0)</f>
        <v>2.94</v>
      </c>
      <c r="D3112" s="13" t="n">
        <f aca="false">IF(Szenarien!$H$19="OK",(IFERROR(SUMIF(Nutzungsprofile!$B$17:$B$22,"Schulbetrieb",Nutzungsprofile!$G$17:$G$22)*Kalender!C184/SUM(Kalender!$C$5:$C$370),0)+IFERROR(SUMIF(Nutzungsprofile!$B$17:$B$22,"Halle",Nutzungsprofile!$G$17:$G$22)*Kalender!D184/SUM(Kalender!$D$5:$D$370),0)+IFERROR(SUMIF(Nutzungsprofile!$B$17:$B$22,"Individuell",Nutzungsprofile!$G$17:$G$22)*Kalender!E184/SUM(Kalender!$E$5:$E$370),0))*Szenarien!$D$19,0)</f>
        <v>5.928</v>
      </c>
      <c r="E3112" s="13" t="n">
        <f aca="false">IFERROR(MIN(C3112,Eingaben!$B$17)*Eingaben!$B$16,0)</f>
        <v>2.793</v>
      </c>
      <c r="F3112" s="13" t="n">
        <f aca="false">IFERROR(E3112*Eingaben!$B$15,0)</f>
        <v>2.5137</v>
      </c>
      <c r="G3112" s="13" t="n">
        <f aca="false">IFERROR(IF(Kalender!A184="",0,J3111*(1-Eingaben!$B$20)),0)</f>
        <v>1.709316</v>
      </c>
      <c r="H3112" s="13" t="n">
        <f aca="false">MIN(G3112,D3112)</f>
        <v>1.709316</v>
      </c>
      <c r="I3112" s="13" t="n">
        <f aca="false">IFERROR(MIN(F3112*Eingaben!$B$19,MAX(0,D3112-H3112)),0)</f>
        <v>1.75959</v>
      </c>
      <c r="J3112" s="13" t="n">
        <f aca="false">IFERROR(MIN(Eingaben!$B$18,MAX(0,F3112-I3112)),0)</f>
        <v>0.75411</v>
      </c>
      <c r="K3112" s="13" t="n">
        <f aca="false">H3112+I3112</f>
        <v>3.468906</v>
      </c>
      <c r="L3112" s="13" t="n">
        <f aca="false">MAX(0,D3112-K3112)</f>
        <v>2.459094</v>
      </c>
      <c r="M3112" s="13" t="n">
        <f aca="false">MAX(0,F3112-I3112-J3112)</f>
        <v>0</v>
      </c>
      <c r="N3112" s="13" t="n">
        <f aca="false">IF(Kalender!A184="",0,J3111-H3112)</f>
        <v>0.0348840000000001</v>
      </c>
    </row>
    <row r="3113" customFormat="false" ht="16.4" hidden="false" customHeight="false" outlineLevel="0" collapsed="false">
      <c r="A3113" s="13" t="str">
        <f aca="false">""</f>
        <v/>
      </c>
      <c r="B3113" s="13" t="n">
        <f aca="false">181</f>
        <v>181</v>
      </c>
      <c r="C3113" s="13" t="n">
        <f aca="false">IF(Szenarien!$H$19="OK",(IFERROR(SUMIF(Nutzungsprofile!$B$6:$B$11,"Schulbetrieb",Nutzungsprofile!$G$6:$G$11)*Kalender!C185/SUM(Kalender!$C$5:$C$370),0)+IFERROR(SUMIF(Nutzungsprofile!$B$6:$B$11,"Halle",Nutzungsprofile!$G$6:$G$11)*Kalender!D185/SUM(Kalender!$D$5:$D$370),0)+IFERROR(SUMIF(Nutzungsprofile!$B$6:$B$11,"Individuell",Nutzungsprofile!$G$6:$G$11)*Kalender!E185/SUM(Kalender!$E$5:$E$370),0))*Szenarien!$E$19,0)</f>
        <v>2.94</v>
      </c>
      <c r="D3113" s="13" t="n">
        <f aca="false">IF(Szenarien!$H$19="OK",(IFERROR(SUMIF(Nutzungsprofile!$B$17:$B$22,"Schulbetrieb",Nutzungsprofile!$G$17:$G$22)*Kalender!C185/SUM(Kalender!$C$5:$C$370),0)+IFERROR(SUMIF(Nutzungsprofile!$B$17:$B$22,"Halle",Nutzungsprofile!$G$17:$G$22)*Kalender!D185/SUM(Kalender!$D$5:$D$370),0)+IFERROR(SUMIF(Nutzungsprofile!$B$17:$B$22,"Individuell",Nutzungsprofile!$G$17:$G$22)*Kalender!E185/SUM(Kalender!$E$5:$E$370),0))*Szenarien!$D$19,0)</f>
        <v>5.928</v>
      </c>
      <c r="E3113" s="13" t="n">
        <f aca="false">IFERROR(MIN(C3113,Eingaben!$B$17)*Eingaben!$B$16,0)</f>
        <v>2.793</v>
      </c>
      <c r="F3113" s="13" t="n">
        <f aca="false">IFERROR(E3113*Eingaben!$B$15,0)</f>
        <v>2.5137</v>
      </c>
      <c r="G3113" s="13" t="n">
        <f aca="false">IFERROR(IF(Kalender!A185="",0,J3112*(1-Eingaben!$B$20)),0)</f>
        <v>0.7390278</v>
      </c>
      <c r="H3113" s="13" t="n">
        <f aca="false">MIN(G3113,D3113)</f>
        <v>0.7390278</v>
      </c>
      <c r="I3113" s="13" t="n">
        <f aca="false">IFERROR(MIN(F3113*Eingaben!$B$19,MAX(0,D3113-H3113)),0)</f>
        <v>1.75959</v>
      </c>
      <c r="J3113" s="13" t="n">
        <f aca="false">IFERROR(MIN(Eingaben!$B$18,MAX(0,F3113-I3113)),0)</f>
        <v>0.75411</v>
      </c>
      <c r="K3113" s="13" t="n">
        <f aca="false">H3113+I3113</f>
        <v>2.4986178</v>
      </c>
      <c r="L3113" s="13" t="n">
        <f aca="false">MAX(0,D3113-K3113)</f>
        <v>3.4293822</v>
      </c>
      <c r="M3113" s="13" t="n">
        <f aca="false">MAX(0,F3113-I3113-J3113)</f>
        <v>0</v>
      </c>
      <c r="N3113" s="13" t="n">
        <f aca="false">IF(Kalender!A185="",0,J3112-H3113)</f>
        <v>0.0150822</v>
      </c>
    </row>
    <row r="3114" customFormat="false" ht="16.4" hidden="false" customHeight="false" outlineLevel="0" collapsed="false">
      <c r="A3114" s="13" t="str">
        <f aca="false">""</f>
        <v/>
      </c>
      <c r="B3114" s="13" t="n">
        <f aca="false">182</f>
        <v>182</v>
      </c>
      <c r="C3114" s="13" t="n">
        <f aca="false">IF(Szenarien!$H$19="OK",(IFERROR(SUMIF(Nutzungsprofile!$B$6:$B$11,"Schulbetrieb",Nutzungsprofile!$G$6:$G$11)*Kalender!C186/SUM(Kalender!$C$5:$C$370),0)+IFERROR(SUMIF(Nutzungsprofile!$B$6:$B$11,"Halle",Nutzungsprofile!$G$6:$G$11)*Kalender!D186/SUM(Kalender!$D$5:$D$370),0)+IFERROR(SUMIF(Nutzungsprofile!$B$6:$B$11,"Individuell",Nutzungsprofile!$G$6:$G$11)*Kalender!E186/SUM(Kalender!$E$5:$E$370),0))*Szenarien!$E$19,0)</f>
        <v>2.04</v>
      </c>
      <c r="D3114" s="13" t="n">
        <f aca="false">IF(Szenarien!$H$19="OK",(IFERROR(SUMIF(Nutzungsprofile!$B$17:$B$22,"Schulbetrieb",Nutzungsprofile!$G$17:$G$22)*Kalender!C186/SUM(Kalender!$C$5:$C$370),0)+IFERROR(SUMIF(Nutzungsprofile!$B$17:$B$22,"Halle",Nutzungsprofile!$G$17:$G$22)*Kalender!D186/SUM(Kalender!$D$5:$D$370),0)+IFERROR(SUMIF(Nutzungsprofile!$B$17:$B$22,"Individuell",Nutzungsprofile!$G$17:$G$22)*Kalender!E186/SUM(Kalender!$E$5:$E$370),0))*Szenarien!$D$19,0)</f>
        <v>1.068</v>
      </c>
      <c r="E3114" s="13" t="n">
        <f aca="false">IFERROR(MIN(C3114,Eingaben!$B$17)*Eingaben!$B$16,0)</f>
        <v>1.938</v>
      </c>
      <c r="F3114" s="13" t="n">
        <f aca="false">IFERROR(E3114*Eingaben!$B$15,0)</f>
        <v>1.7442</v>
      </c>
      <c r="G3114" s="13" t="n">
        <f aca="false">IFERROR(IF(Kalender!A186="",0,J3113*(1-Eingaben!$B$20)),0)</f>
        <v>0.7390278</v>
      </c>
      <c r="H3114" s="13" t="n">
        <f aca="false">MIN(G3114,D3114)</f>
        <v>0.7390278</v>
      </c>
      <c r="I3114" s="13" t="n">
        <f aca="false">IFERROR(MIN(F3114*Eingaben!$B$19,MAX(0,D3114-H3114)),0)</f>
        <v>0.3289722</v>
      </c>
      <c r="J3114" s="13" t="n">
        <f aca="false">IFERROR(MIN(Eingaben!$B$18,MAX(0,F3114-I3114)),0)</f>
        <v>1.4152278</v>
      </c>
      <c r="K3114" s="13" t="n">
        <f aca="false">H3114+I3114</f>
        <v>1.068</v>
      </c>
      <c r="L3114" s="13" t="n">
        <f aca="false">MAX(0,D3114-K3114)</f>
        <v>0</v>
      </c>
      <c r="M3114" s="13" t="n">
        <f aca="false">MAX(0,F3114-I3114-J3114)</f>
        <v>0</v>
      </c>
      <c r="N3114" s="13" t="n">
        <f aca="false">IF(Kalender!A186="",0,J3113-H3114)</f>
        <v>0.0150822</v>
      </c>
    </row>
    <row r="3115" customFormat="false" ht="16.4" hidden="false" customHeight="false" outlineLevel="0" collapsed="false">
      <c r="A3115" s="13" t="str">
        <f aca="false">""</f>
        <v/>
      </c>
      <c r="B3115" s="13" t="n">
        <f aca="false">183</f>
        <v>183</v>
      </c>
      <c r="C3115" s="13" t="n">
        <f aca="false">IF(Szenarien!$H$19="OK",(IFERROR(SUMIF(Nutzungsprofile!$B$6:$B$11,"Schulbetrieb",Nutzungsprofile!$G$6:$G$11)*Kalender!C187/SUM(Kalender!$C$5:$C$370),0)+IFERROR(SUMIF(Nutzungsprofile!$B$6:$B$11,"Halle",Nutzungsprofile!$G$6:$G$11)*Kalender!D187/SUM(Kalender!$D$5:$D$370),0)+IFERROR(SUMIF(Nutzungsprofile!$B$6:$B$11,"Individuell",Nutzungsprofile!$G$6:$G$11)*Kalender!E187/SUM(Kalender!$E$5:$E$370),0))*Szenarien!$E$19,0)</f>
        <v>2.04</v>
      </c>
      <c r="D3115" s="13" t="n">
        <f aca="false">IF(Szenarien!$H$19="OK",(IFERROR(SUMIF(Nutzungsprofile!$B$17:$B$22,"Schulbetrieb",Nutzungsprofile!$G$17:$G$22)*Kalender!C187/SUM(Kalender!$C$5:$C$370),0)+IFERROR(SUMIF(Nutzungsprofile!$B$17:$B$22,"Halle",Nutzungsprofile!$G$17:$G$22)*Kalender!D187/SUM(Kalender!$D$5:$D$370),0)+IFERROR(SUMIF(Nutzungsprofile!$B$17:$B$22,"Individuell",Nutzungsprofile!$G$17:$G$22)*Kalender!E187/SUM(Kalender!$E$5:$E$370),0))*Szenarien!$D$19,0)</f>
        <v>1.068</v>
      </c>
      <c r="E3115" s="13" t="n">
        <f aca="false">IFERROR(MIN(C3115,Eingaben!$B$17)*Eingaben!$B$16,0)</f>
        <v>1.938</v>
      </c>
      <c r="F3115" s="13" t="n">
        <f aca="false">IFERROR(E3115*Eingaben!$B$15,0)</f>
        <v>1.7442</v>
      </c>
      <c r="G3115" s="13" t="n">
        <f aca="false">IFERROR(IF(Kalender!A187="",0,J3114*(1-Eingaben!$B$20)),0)</f>
        <v>1.386923244</v>
      </c>
      <c r="H3115" s="13" t="n">
        <f aca="false">MIN(G3115,D3115)</f>
        <v>1.068</v>
      </c>
      <c r="I3115" s="13" t="n">
        <f aca="false">IFERROR(MIN(F3115*Eingaben!$B$19,MAX(0,D3115-H3115)),0)</f>
        <v>0</v>
      </c>
      <c r="J3115" s="13" t="n">
        <f aca="false">IFERROR(MIN(Eingaben!$B$18,MAX(0,F3115-I3115)),0)</f>
        <v>1.7442</v>
      </c>
      <c r="K3115" s="13" t="n">
        <f aca="false">H3115+I3115</f>
        <v>1.068</v>
      </c>
      <c r="L3115" s="13" t="n">
        <f aca="false">MAX(0,D3115-K3115)</f>
        <v>0</v>
      </c>
      <c r="M3115" s="13" t="n">
        <f aca="false">MAX(0,F3115-I3115-J3115)</f>
        <v>0</v>
      </c>
      <c r="N3115" s="13" t="n">
        <f aca="false">IF(Kalender!A187="",0,J3114-H3115)</f>
        <v>0.3472278</v>
      </c>
    </row>
    <row r="3116" customFormat="false" ht="16.4" hidden="false" customHeight="false" outlineLevel="0" collapsed="false">
      <c r="A3116" s="13" t="str">
        <f aca="false">""</f>
        <v/>
      </c>
      <c r="B3116" s="13" t="n">
        <f aca="false">184</f>
        <v>184</v>
      </c>
      <c r="C3116" s="13" t="n">
        <f aca="false">IF(Szenarien!$H$19="OK",(IFERROR(SUMIF(Nutzungsprofile!$B$6:$B$11,"Schulbetrieb",Nutzungsprofile!$G$6:$G$11)*Kalender!C188/SUM(Kalender!$C$5:$C$370),0)+IFERROR(SUMIF(Nutzungsprofile!$B$6:$B$11,"Halle",Nutzungsprofile!$G$6:$G$11)*Kalender!D188/SUM(Kalender!$D$5:$D$370),0)+IFERROR(SUMIF(Nutzungsprofile!$B$6:$B$11,"Individuell",Nutzungsprofile!$G$6:$G$11)*Kalender!E188/SUM(Kalender!$E$5:$E$370),0))*Szenarien!$E$19,0)</f>
        <v>2.04</v>
      </c>
      <c r="D3116" s="13" t="n">
        <f aca="false">IF(Szenarien!$H$19="OK",(IFERROR(SUMIF(Nutzungsprofile!$B$17:$B$22,"Schulbetrieb",Nutzungsprofile!$G$17:$G$22)*Kalender!C188/SUM(Kalender!$C$5:$C$370),0)+IFERROR(SUMIF(Nutzungsprofile!$B$17:$B$22,"Halle",Nutzungsprofile!$G$17:$G$22)*Kalender!D188/SUM(Kalender!$D$5:$D$370),0)+IFERROR(SUMIF(Nutzungsprofile!$B$17:$B$22,"Individuell",Nutzungsprofile!$G$17:$G$22)*Kalender!E188/SUM(Kalender!$E$5:$E$370),0))*Szenarien!$D$19,0)</f>
        <v>1.068</v>
      </c>
      <c r="E3116" s="13" t="n">
        <f aca="false">IFERROR(MIN(C3116,Eingaben!$B$17)*Eingaben!$B$16,0)</f>
        <v>1.938</v>
      </c>
      <c r="F3116" s="13" t="n">
        <f aca="false">IFERROR(E3116*Eingaben!$B$15,0)</f>
        <v>1.7442</v>
      </c>
      <c r="G3116" s="13" t="n">
        <f aca="false">IFERROR(IF(Kalender!A188="",0,J3115*(1-Eingaben!$B$20)),0)</f>
        <v>1.709316</v>
      </c>
      <c r="H3116" s="13" t="n">
        <f aca="false">MIN(G3116,D3116)</f>
        <v>1.068</v>
      </c>
      <c r="I3116" s="13" t="n">
        <f aca="false">IFERROR(MIN(F3116*Eingaben!$B$19,MAX(0,D3116-H3116)),0)</f>
        <v>0</v>
      </c>
      <c r="J3116" s="13" t="n">
        <f aca="false">IFERROR(MIN(Eingaben!$B$18,MAX(0,F3116-I3116)),0)</f>
        <v>1.7442</v>
      </c>
      <c r="K3116" s="13" t="n">
        <f aca="false">H3116+I3116</f>
        <v>1.068</v>
      </c>
      <c r="L3116" s="13" t="n">
        <f aca="false">MAX(0,D3116-K3116)</f>
        <v>0</v>
      </c>
      <c r="M3116" s="13" t="n">
        <f aca="false">MAX(0,F3116-I3116-J3116)</f>
        <v>0</v>
      </c>
      <c r="N3116" s="13" t="n">
        <f aca="false">IF(Kalender!A188="",0,J3115-H3116)</f>
        <v>0.6762</v>
      </c>
    </row>
    <row r="3117" customFormat="false" ht="16.4" hidden="false" customHeight="false" outlineLevel="0" collapsed="false">
      <c r="A3117" s="13" t="str">
        <f aca="false">""</f>
        <v/>
      </c>
      <c r="B3117" s="13" t="n">
        <f aca="false">185</f>
        <v>185</v>
      </c>
      <c r="C3117" s="13" t="n">
        <f aca="false">IF(Szenarien!$H$19="OK",(IFERROR(SUMIF(Nutzungsprofile!$B$6:$B$11,"Schulbetrieb",Nutzungsprofile!$G$6:$G$11)*Kalender!C189/SUM(Kalender!$C$5:$C$370),0)+IFERROR(SUMIF(Nutzungsprofile!$B$6:$B$11,"Halle",Nutzungsprofile!$G$6:$G$11)*Kalender!D189/SUM(Kalender!$D$5:$D$370),0)+IFERROR(SUMIF(Nutzungsprofile!$B$6:$B$11,"Individuell",Nutzungsprofile!$G$6:$G$11)*Kalender!E189/SUM(Kalender!$E$5:$E$370),0))*Szenarien!$E$19,0)</f>
        <v>2.04</v>
      </c>
      <c r="D3117" s="13" t="n">
        <f aca="false">IF(Szenarien!$H$19="OK",(IFERROR(SUMIF(Nutzungsprofile!$B$17:$B$22,"Schulbetrieb",Nutzungsprofile!$G$17:$G$22)*Kalender!C189/SUM(Kalender!$C$5:$C$370),0)+IFERROR(SUMIF(Nutzungsprofile!$B$17:$B$22,"Halle",Nutzungsprofile!$G$17:$G$22)*Kalender!D189/SUM(Kalender!$D$5:$D$370),0)+IFERROR(SUMIF(Nutzungsprofile!$B$17:$B$22,"Individuell",Nutzungsprofile!$G$17:$G$22)*Kalender!E189/SUM(Kalender!$E$5:$E$370),0))*Szenarien!$D$19,0)</f>
        <v>1.068</v>
      </c>
      <c r="E3117" s="13" t="n">
        <f aca="false">IFERROR(MIN(C3117,Eingaben!$B$17)*Eingaben!$B$16,0)</f>
        <v>1.938</v>
      </c>
      <c r="F3117" s="13" t="n">
        <f aca="false">IFERROR(E3117*Eingaben!$B$15,0)</f>
        <v>1.7442</v>
      </c>
      <c r="G3117" s="13" t="n">
        <f aca="false">IFERROR(IF(Kalender!A189="",0,J3116*(1-Eingaben!$B$20)),0)</f>
        <v>1.709316</v>
      </c>
      <c r="H3117" s="13" t="n">
        <f aca="false">MIN(G3117,D3117)</f>
        <v>1.068</v>
      </c>
      <c r="I3117" s="13" t="n">
        <f aca="false">IFERROR(MIN(F3117*Eingaben!$B$19,MAX(0,D3117-H3117)),0)</f>
        <v>0</v>
      </c>
      <c r="J3117" s="13" t="n">
        <f aca="false">IFERROR(MIN(Eingaben!$B$18,MAX(0,F3117-I3117)),0)</f>
        <v>1.7442</v>
      </c>
      <c r="K3117" s="13" t="n">
        <f aca="false">H3117+I3117</f>
        <v>1.068</v>
      </c>
      <c r="L3117" s="13" t="n">
        <f aca="false">MAX(0,D3117-K3117)</f>
        <v>0</v>
      </c>
      <c r="M3117" s="13" t="n">
        <f aca="false">MAX(0,F3117-I3117-J3117)</f>
        <v>0</v>
      </c>
      <c r="N3117" s="13" t="n">
        <f aca="false">IF(Kalender!A189="",0,J3116-H3117)</f>
        <v>0.6762</v>
      </c>
    </row>
    <row r="3118" customFormat="false" ht="16.4" hidden="false" customHeight="false" outlineLevel="0" collapsed="false">
      <c r="A3118" s="13" t="str">
        <f aca="false">""</f>
        <v/>
      </c>
      <c r="B3118" s="13" t="n">
        <f aca="false">186</f>
        <v>186</v>
      </c>
      <c r="C3118" s="13" t="n">
        <f aca="false">IF(Szenarien!$H$19="OK",(IFERROR(SUMIF(Nutzungsprofile!$B$6:$B$11,"Schulbetrieb",Nutzungsprofile!$G$6:$G$11)*Kalender!C190/SUM(Kalender!$C$5:$C$370),0)+IFERROR(SUMIF(Nutzungsprofile!$B$6:$B$11,"Halle",Nutzungsprofile!$G$6:$G$11)*Kalender!D190/SUM(Kalender!$D$5:$D$370),0)+IFERROR(SUMIF(Nutzungsprofile!$B$6:$B$11,"Individuell",Nutzungsprofile!$G$6:$G$11)*Kalender!E190/SUM(Kalender!$E$5:$E$370),0))*Szenarien!$E$19,0)</f>
        <v>2.04</v>
      </c>
      <c r="D3118" s="13" t="n">
        <f aca="false">IF(Szenarien!$H$19="OK",(IFERROR(SUMIF(Nutzungsprofile!$B$17:$B$22,"Schulbetrieb",Nutzungsprofile!$G$17:$G$22)*Kalender!C190/SUM(Kalender!$C$5:$C$370),0)+IFERROR(SUMIF(Nutzungsprofile!$B$17:$B$22,"Halle",Nutzungsprofile!$G$17:$G$22)*Kalender!D190/SUM(Kalender!$D$5:$D$370),0)+IFERROR(SUMIF(Nutzungsprofile!$B$17:$B$22,"Individuell",Nutzungsprofile!$G$17:$G$22)*Kalender!E190/SUM(Kalender!$E$5:$E$370),0))*Szenarien!$D$19,0)</f>
        <v>1.068</v>
      </c>
      <c r="E3118" s="13" t="n">
        <f aca="false">IFERROR(MIN(C3118,Eingaben!$B$17)*Eingaben!$B$16,0)</f>
        <v>1.938</v>
      </c>
      <c r="F3118" s="13" t="n">
        <f aca="false">IFERROR(E3118*Eingaben!$B$15,0)</f>
        <v>1.7442</v>
      </c>
      <c r="G3118" s="13" t="n">
        <f aca="false">IFERROR(IF(Kalender!A190="",0,J3117*(1-Eingaben!$B$20)),0)</f>
        <v>1.709316</v>
      </c>
      <c r="H3118" s="13" t="n">
        <f aca="false">MIN(G3118,D3118)</f>
        <v>1.068</v>
      </c>
      <c r="I3118" s="13" t="n">
        <f aca="false">IFERROR(MIN(F3118*Eingaben!$B$19,MAX(0,D3118-H3118)),0)</f>
        <v>0</v>
      </c>
      <c r="J3118" s="13" t="n">
        <f aca="false">IFERROR(MIN(Eingaben!$B$18,MAX(0,F3118-I3118)),0)</f>
        <v>1.7442</v>
      </c>
      <c r="K3118" s="13" t="n">
        <f aca="false">H3118+I3118</f>
        <v>1.068</v>
      </c>
      <c r="L3118" s="13" t="n">
        <f aca="false">MAX(0,D3118-K3118)</f>
        <v>0</v>
      </c>
      <c r="M3118" s="13" t="n">
        <f aca="false">MAX(0,F3118-I3118-J3118)</f>
        <v>0</v>
      </c>
      <c r="N3118" s="13" t="n">
        <f aca="false">IF(Kalender!A190="",0,J3117-H3118)</f>
        <v>0.6762</v>
      </c>
    </row>
    <row r="3119" customFormat="false" ht="16.4" hidden="false" customHeight="false" outlineLevel="0" collapsed="false">
      <c r="A3119" s="13" t="str">
        <f aca="false">""</f>
        <v/>
      </c>
      <c r="B3119" s="13" t="n">
        <f aca="false">187</f>
        <v>187</v>
      </c>
      <c r="C3119" s="13" t="n">
        <f aca="false">IF(Szenarien!$H$19="OK",(IFERROR(SUMIF(Nutzungsprofile!$B$6:$B$11,"Schulbetrieb",Nutzungsprofile!$G$6:$G$11)*Kalender!C191/SUM(Kalender!$C$5:$C$370),0)+IFERROR(SUMIF(Nutzungsprofile!$B$6:$B$11,"Halle",Nutzungsprofile!$G$6:$G$11)*Kalender!D191/SUM(Kalender!$D$5:$D$370),0)+IFERROR(SUMIF(Nutzungsprofile!$B$6:$B$11,"Individuell",Nutzungsprofile!$G$6:$G$11)*Kalender!E191/SUM(Kalender!$E$5:$E$370),0))*Szenarien!$E$19,0)</f>
        <v>2.04</v>
      </c>
      <c r="D3119" s="13" t="n">
        <f aca="false">IF(Szenarien!$H$19="OK",(IFERROR(SUMIF(Nutzungsprofile!$B$17:$B$22,"Schulbetrieb",Nutzungsprofile!$G$17:$G$22)*Kalender!C191/SUM(Kalender!$C$5:$C$370),0)+IFERROR(SUMIF(Nutzungsprofile!$B$17:$B$22,"Halle",Nutzungsprofile!$G$17:$G$22)*Kalender!D191/SUM(Kalender!$D$5:$D$370),0)+IFERROR(SUMIF(Nutzungsprofile!$B$17:$B$22,"Individuell",Nutzungsprofile!$G$17:$G$22)*Kalender!E191/SUM(Kalender!$E$5:$E$370),0))*Szenarien!$D$19,0)</f>
        <v>1.068</v>
      </c>
      <c r="E3119" s="13" t="n">
        <f aca="false">IFERROR(MIN(C3119,Eingaben!$B$17)*Eingaben!$B$16,0)</f>
        <v>1.938</v>
      </c>
      <c r="F3119" s="13" t="n">
        <f aca="false">IFERROR(E3119*Eingaben!$B$15,0)</f>
        <v>1.7442</v>
      </c>
      <c r="G3119" s="13" t="n">
        <f aca="false">IFERROR(IF(Kalender!A191="",0,J3118*(1-Eingaben!$B$20)),0)</f>
        <v>1.709316</v>
      </c>
      <c r="H3119" s="13" t="n">
        <f aca="false">MIN(G3119,D3119)</f>
        <v>1.068</v>
      </c>
      <c r="I3119" s="13" t="n">
        <f aca="false">IFERROR(MIN(F3119*Eingaben!$B$19,MAX(0,D3119-H3119)),0)</f>
        <v>0</v>
      </c>
      <c r="J3119" s="13" t="n">
        <f aca="false">IFERROR(MIN(Eingaben!$B$18,MAX(0,F3119-I3119)),0)</f>
        <v>1.7442</v>
      </c>
      <c r="K3119" s="13" t="n">
        <f aca="false">H3119+I3119</f>
        <v>1.068</v>
      </c>
      <c r="L3119" s="13" t="n">
        <f aca="false">MAX(0,D3119-K3119)</f>
        <v>0</v>
      </c>
      <c r="M3119" s="13" t="n">
        <f aca="false">MAX(0,F3119-I3119-J3119)</f>
        <v>0</v>
      </c>
      <c r="N3119" s="13" t="n">
        <f aca="false">IF(Kalender!A191="",0,J3118-H3119)</f>
        <v>0.6762</v>
      </c>
    </row>
    <row r="3120" customFormat="false" ht="16.4" hidden="false" customHeight="false" outlineLevel="0" collapsed="false">
      <c r="A3120" s="13" t="str">
        <f aca="false">""</f>
        <v/>
      </c>
      <c r="B3120" s="13" t="n">
        <f aca="false">188</f>
        <v>188</v>
      </c>
      <c r="C3120" s="13" t="n">
        <f aca="false">IF(Szenarien!$H$19="OK",(IFERROR(SUMIF(Nutzungsprofile!$B$6:$B$11,"Schulbetrieb",Nutzungsprofile!$G$6:$G$11)*Kalender!C192/SUM(Kalender!$C$5:$C$370),0)+IFERROR(SUMIF(Nutzungsprofile!$B$6:$B$11,"Halle",Nutzungsprofile!$G$6:$G$11)*Kalender!D192/SUM(Kalender!$D$5:$D$370),0)+IFERROR(SUMIF(Nutzungsprofile!$B$6:$B$11,"Individuell",Nutzungsprofile!$G$6:$G$11)*Kalender!E192/SUM(Kalender!$E$5:$E$370),0))*Szenarien!$E$19,0)</f>
        <v>2.04</v>
      </c>
      <c r="D3120" s="13" t="n">
        <f aca="false">IF(Szenarien!$H$19="OK",(IFERROR(SUMIF(Nutzungsprofile!$B$17:$B$22,"Schulbetrieb",Nutzungsprofile!$G$17:$G$22)*Kalender!C192/SUM(Kalender!$C$5:$C$370),0)+IFERROR(SUMIF(Nutzungsprofile!$B$17:$B$22,"Halle",Nutzungsprofile!$G$17:$G$22)*Kalender!D192/SUM(Kalender!$D$5:$D$370),0)+IFERROR(SUMIF(Nutzungsprofile!$B$17:$B$22,"Individuell",Nutzungsprofile!$G$17:$G$22)*Kalender!E192/SUM(Kalender!$E$5:$E$370),0))*Szenarien!$D$19,0)</f>
        <v>1.068</v>
      </c>
      <c r="E3120" s="13" t="n">
        <f aca="false">IFERROR(MIN(C3120,Eingaben!$B$17)*Eingaben!$B$16,0)</f>
        <v>1.938</v>
      </c>
      <c r="F3120" s="13" t="n">
        <f aca="false">IFERROR(E3120*Eingaben!$B$15,0)</f>
        <v>1.7442</v>
      </c>
      <c r="G3120" s="13" t="n">
        <f aca="false">IFERROR(IF(Kalender!A192="",0,J3119*(1-Eingaben!$B$20)),0)</f>
        <v>1.709316</v>
      </c>
      <c r="H3120" s="13" t="n">
        <f aca="false">MIN(G3120,D3120)</f>
        <v>1.068</v>
      </c>
      <c r="I3120" s="13" t="n">
        <f aca="false">IFERROR(MIN(F3120*Eingaben!$B$19,MAX(0,D3120-H3120)),0)</f>
        <v>0</v>
      </c>
      <c r="J3120" s="13" t="n">
        <f aca="false">IFERROR(MIN(Eingaben!$B$18,MAX(0,F3120-I3120)),0)</f>
        <v>1.7442</v>
      </c>
      <c r="K3120" s="13" t="n">
        <f aca="false">H3120+I3120</f>
        <v>1.068</v>
      </c>
      <c r="L3120" s="13" t="n">
        <f aca="false">MAX(0,D3120-K3120)</f>
        <v>0</v>
      </c>
      <c r="M3120" s="13" t="n">
        <f aca="false">MAX(0,F3120-I3120-J3120)</f>
        <v>0</v>
      </c>
      <c r="N3120" s="13" t="n">
        <f aca="false">IF(Kalender!A192="",0,J3119-H3120)</f>
        <v>0.6762</v>
      </c>
    </row>
    <row r="3121" customFormat="false" ht="16.4" hidden="false" customHeight="false" outlineLevel="0" collapsed="false">
      <c r="A3121" s="13" t="str">
        <f aca="false">""</f>
        <v/>
      </c>
      <c r="B3121" s="13" t="n">
        <f aca="false">189</f>
        <v>189</v>
      </c>
      <c r="C3121" s="13" t="n">
        <f aca="false">IF(Szenarien!$H$19="OK",(IFERROR(SUMIF(Nutzungsprofile!$B$6:$B$11,"Schulbetrieb",Nutzungsprofile!$G$6:$G$11)*Kalender!C193/SUM(Kalender!$C$5:$C$370),0)+IFERROR(SUMIF(Nutzungsprofile!$B$6:$B$11,"Halle",Nutzungsprofile!$G$6:$G$11)*Kalender!D193/SUM(Kalender!$D$5:$D$370),0)+IFERROR(SUMIF(Nutzungsprofile!$B$6:$B$11,"Individuell",Nutzungsprofile!$G$6:$G$11)*Kalender!E193/SUM(Kalender!$E$5:$E$370),0))*Szenarien!$E$19,0)</f>
        <v>2.04</v>
      </c>
      <c r="D3121" s="13" t="n">
        <f aca="false">IF(Szenarien!$H$19="OK",(IFERROR(SUMIF(Nutzungsprofile!$B$17:$B$22,"Schulbetrieb",Nutzungsprofile!$G$17:$G$22)*Kalender!C193/SUM(Kalender!$C$5:$C$370),0)+IFERROR(SUMIF(Nutzungsprofile!$B$17:$B$22,"Halle",Nutzungsprofile!$G$17:$G$22)*Kalender!D193/SUM(Kalender!$D$5:$D$370),0)+IFERROR(SUMIF(Nutzungsprofile!$B$17:$B$22,"Individuell",Nutzungsprofile!$G$17:$G$22)*Kalender!E193/SUM(Kalender!$E$5:$E$370),0))*Szenarien!$D$19,0)</f>
        <v>1.068</v>
      </c>
      <c r="E3121" s="13" t="n">
        <f aca="false">IFERROR(MIN(C3121,Eingaben!$B$17)*Eingaben!$B$16,0)</f>
        <v>1.938</v>
      </c>
      <c r="F3121" s="13" t="n">
        <f aca="false">IFERROR(E3121*Eingaben!$B$15,0)</f>
        <v>1.7442</v>
      </c>
      <c r="G3121" s="13" t="n">
        <f aca="false">IFERROR(IF(Kalender!A193="",0,J3120*(1-Eingaben!$B$20)),0)</f>
        <v>1.709316</v>
      </c>
      <c r="H3121" s="13" t="n">
        <f aca="false">MIN(G3121,D3121)</f>
        <v>1.068</v>
      </c>
      <c r="I3121" s="13" t="n">
        <f aca="false">IFERROR(MIN(F3121*Eingaben!$B$19,MAX(0,D3121-H3121)),0)</f>
        <v>0</v>
      </c>
      <c r="J3121" s="13" t="n">
        <f aca="false">IFERROR(MIN(Eingaben!$B$18,MAX(0,F3121-I3121)),0)</f>
        <v>1.7442</v>
      </c>
      <c r="K3121" s="13" t="n">
        <f aca="false">H3121+I3121</f>
        <v>1.068</v>
      </c>
      <c r="L3121" s="13" t="n">
        <f aca="false">MAX(0,D3121-K3121)</f>
        <v>0</v>
      </c>
      <c r="M3121" s="13" t="n">
        <f aca="false">MAX(0,F3121-I3121-J3121)</f>
        <v>0</v>
      </c>
      <c r="N3121" s="13" t="n">
        <f aca="false">IF(Kalender!A193="",0,J3120-H3121)</f>
        <v>0.6762</v>
      </c>
    </row>
    <row r="3122" customFormat="false" ht="16.4" hidden="false" customHeight="false" outlineLevel="0" collapsed="false">
      <c r="A3122" s="13" t="str">
        <f aca="false">""</f>
        <v/>
      </c>
      <c r="B3122" s="13" t="n">
        <f aca="false">190</f>
        <v>190</v>
      </c>
      <c r="C3122" s="13" t="n">
        <f aca="false">IF(Szenarien!$H$19="OK",(IFERROR(SUMIF(Nutzungsprofile!$B$6:$B$11,"Schulbetrieb",Nutzungsprofile!$G$6:$G$11)*Kalender!C194/SUM(Kalender!$C$5:$C$370),0)+IFERROR(SUMIF(Nutzungsprofile!$B$6:$B$11,"Halle",Nutzungsprofile!$G$6:$G$11)*Kalender!D194/SUM(Kalender!$D$5:$D$370),0)+IFERROR(SUMIF(Nutzungsprofile!$B$6:$B$11,"Individuell",Nutzungsprofile!$G$6:$G$11)*Kalender!E194/SUM(Kalender!$E$5:$E$370),0))*Szenarien!$E$19,0)</f>
        <v>2.04</v>
      </c>
      <c r="D3122" s="13" t="n">
        <f aca="false">IF(Szenarien!$H$19="OK",(IFERROR(SUMIF(Nutzungsprofile!$B$17:$B$22,"Schulbetrieb",Nutzungsprofile!$G$17:$G$22)*Kalender!C194/SUM(Kalender!$C$5:$C$370),0)+IFERROR(SUMIF(Nutzungsprofile!$B$17:$B$22,"Halle",Nutzungsprofile!$G$17:$G$22)*Kalender!D194/SUM(Kalender!$D$5:$D$370),0)+IFERROR(SUMIF(Nutzungsprofile!$B$17:$B$22,"Individuell",Nutzungsprofile!$G$17:$G$22)*Kalender!E194/SUM(Kalender!$E$5:$E$370),0))*Szenarien!$D$19,0)</f>
        <v>1.068</v>
      </c>
      <c r="E3122" s="13" t="n">
        <f aca="false">IFERROR(MIN(C3122,Eingaben!$B$17)*Eingaben!$B$16,0)</f>
        <v>1.938</v>
      </c>
      <c r="F3122" s="13" t="n">
        <f aca="false">IFERROR(E3122*Eingaben!$B$15,0)</f>
        <v>1.7442</v>
      </c>
      <c r="G3122" s="13" t="n">
        <f aca="false">IFERROR(IF(Kalender!A194="",0,J3121*(1-Eingaben!$B$20)),0)</f>
        <v>1.709316</v>
      </c>
      <c r="H3122" s="13" t="n">
        <f aca="false">MIN(G3122,D3122)</f>
        <v>1.068</v>
      </c>
      <c r="I3122" s="13" t="n">
        <f aca="false">IFERROR(MIN(F3122*Eingaben!$B$19,MAX(0,D3122-H3122)),0)</f>
        <v>0</v>
      </c>
      <c r="J3122" s="13" t="n">
        <f aca="false">IFERROR(MIN(Eingaben!$B$18,MAX(0,F3122-I3122)),0)</f>
        <v>1.7442</v>
      </c>
      <c r="K3122" s="13" t="n">
        <f aca="false">H3122+I3122</f>
        <v>1.068</v>
      </c>
      <c r="L3122" s="13" t="n">
        <f aca="false">MAX(0,D3122-K3122)</f>
        <v>0</v>
      </c>
      <c r="M3122" s="13" t="n">
        <f aca="false">MAX(0,F3122-I3122-J3122)</f>
        <v>0</v>
      </c>
      <c r="N3122" s="13" t="n">
        <f aca="false">IF(Kalender!A194="",0,J3121-H3122)</f>
        <v>0.6762</v>
      </c>
    </row>
    <row r="3123" customFormat="false" ht="16.4" hidden="false" customHeight="false" outlineLevel="0" collapsed="false">
      <c r="A3123" s="13" t="str">
        <f aca="false">""</f>
        <v/>
      </c>
      <c r="B3123" s="13" t="n">
        <f aca="false">191</f>
        <v>191</v>
      </c>
      <c r="C3123" s="13" t="n">
        <f aca="false">IF(Szenarien!$H$19="OK",(IFERROR(SUMIF(Nutzungsprofile!$B$6:$B$11,"Schulbetrieb",Nutzungsprofile!$G$6:$G$11)*Kalender!C195/SUM(Kalender!$C$5:$C$370),0)+IFERROR(SUMIF(Nutzungsprofile!$B$6:$B$11,"Halle",Nutzungsprofile!$G$6:$G$11)*Kalender!D195/SUM(Kalender!$D$5:$D$370),0)+IFERROR(SUMIF(Nutzungsprofile!$B$6:$B$11,"Individuell",Nutzungsprofile!$G$6:$G$11)*Kalender!E195/SUM(Kalender!$E$5:$E$370),0))*Szenarien!$E$19,0)</f>
        <v>2.04</v>
      </c>
      <c r="D3123" s="13" t="n">
        <f aca="false">IF(Szenarien!$H$19="OK",(IFERROR(SUMIF(Nutzungsprofile!$B$17:$B$22,"Schulbetrieb",Nutzungsprofile!$G$17:$G$22)*Kalender!C195/SUM(Kalender!$C$5:$C$370),0)+IFERROR(SUMIF(Nutzungsprofile!$B$17:$B$22,"Halle",Nutzungsprofile!$G$17:$G$22)*Kalender!D195/SUM(Kalender!$D$5:$D$370),0)+IFERROR(SUMIF(Nutzungsprofile!$B$17:$B$22,"Individuell",Nutzungsprofile!$G$17:$G$22)*Kalender!E195/SUM(Kalender!$E$5:$E$370),0))*Szenarien!$D$19,0)</f>
        <v>1.068</v>
      </c>
      <c r="E3123" s="13" t="n">
        <f aca="false">IFERROR(MIN(C3123,Eingaben!$B$17)*Eingaben!$B$16,0)</f>
        <v>1.938</v>
      </c>
      <c r="F3123" s="13" t="n">
        <f aca="false">IFERROR(E3123*Eingaben!$B$15,0)</f>
        <v>1.7442</v>
      </c>
      <c r="G3123" s="13" t="n">
        <f aca="false">IFERROR(IF(Kalender!A195="",0,J3122*(1-Eingaben!$B$20)),0)</f>
        <v>1.709316</v>
      </c>
      <c r="H3123" s="13" t="n">
        <f aca="false">MIN(G3123,D3123)</f>
        <v>1.068</v>
      </c>
      <c r="I3123" s="13" t="n">
        <f aca="false">IFERROR(MIN(F3123*Eingaben!$B$19,MAX(0,D3123-H3123)),0)</f>
        <v>0</v>
      </c>
      <c r="J3123" s="13" t="n">
        <f aca="false">IFERROR(MIN(Eingaben!$B$18,MAX(0,F3123-I3123)),0)</f>
        <v>1.7442</v>
      </c>
      <c r="K3123" s="13" t="n">
        <f aca="false">H3123+I3123</f>
        <v>1.068</v>
      </c>
      <c r="L3123" s="13" t="n">
        <f aca="false">MAX(0,D3123-K3123)</f>
        <v>0</v>
      </c>
      <c r="M3123" s="13" t="n">
        <f aca="false">MAX(0,F3123-I3123-J3123)</f>
        <v>0</v>
      </c>
      <c r="N3123" s="13" t="n">
        <f aca="false">IF(Kalender!A195="",0,J3122-H3123)</f>
        <v>0.6762</v>
      </c>
    </row>
    <row r="3124" customFormat="false" ht="16.4" hidden="false" customHeight="false" outlineLevel="0" collapsed="false">
      <c r="A3124" s="13" t="str">
        <f aca="false">""</f>
        <v/>
      </c>
      <c r="B3124" s="13" t="n">
        <f aca="false">192</f>
        <v>192</v>
      </c>
      <c r="C3124" s="13" t="n">
        <f aca="false">IF(Szenarien!$H$19="OK",(IFERROR(SUMIF(Nutzungsprofile!$B$6:$B$11,"Schulbetrieb",Nutzungsprofile!$G$6:$G$11)*Kalender!C196/SUM(Kalender!$C$5:$C$370),0)+IFERROR(SUMIF(Nutzungsprofile!$B$6:$B$11,"Halle",Nutzungsprofile!$G$6:$G$11)*Kalender!D196/SUM(Kalender!$D$5:$D$370),0)+IFERROR(SUMIF(Nutzungsprofile!$B$6:$B$11,"Individuell",Nutzungsprofile!$G$6:$G$11)*Kalender!E196/SUM(Kalender!$E$5:$E$370),0))*Szenarien!$E$19,0)</f>
        <v>2.04</v>
      </c>
      <c r="D3124" s="13" t="n">
        <f aca="false">IF(Szenarien!$H$19="OK",(IFERROR(SUMIF(Nutzungsprofile!$B$17:$B$22,"Schulbetrieb",Nutzungsprofile!$G$17:$G$22)*Kalender!C196/SUM(Kalender!$C$5:$C$370),0)+IFERROR(SUMIF(Nutzungsprofile!$B$17:$B$22,"Halle",Nutzungsprofile!$G$17:$G$22)*Kalender!D196/SUM(Kalender!$D$5:$D$370),0)+IFERROR(SUMIF(Nutzungsprofile!$B$17:$B$22,"Individuell",Nutzungsprofile!$G$17:$G$22)*Kalender!E196/SUM(Kalender!$E$5:$E$370),0))*Szenarien!$D$19,0)</f>
        <v>1.068</v>
      </c>
      <c r="E3124" s="13" t="n">
        <f aca="false">IFERROR(MIN(C3124,Eingaben!$B$17)*Eingaben!$B$16,0)</f>
        <v>1.938</v>
      </c>
      <c r="F3124" s="13" t="n">
        <f aca="false">IFERROR(E3124*Eingaben!$B$15,0)</f>
        <v>1.7442</v>
      </c>
      <c r="G3124" s="13" t="n">
        <f aca="false">IFERROR(IF(Kalender!A196="",0,J3123*(1-Eingaben!$B$20)),0)</f>
        <v>1.709316</v>
      </c>
      <c r="H3124" s="13" t="n">
        <f aca="false">MIN(G3124,D3124)</f>
        <v>1.068</v>
      </c>
      <c r="I3124" s="13" t="n">
        <f aca="false">IFERROR(MIN(F3124*Eingaben!$B$19,MAX(0,D3124-H3124)),0)</f>
        <v>0</v>
      </c>
      <c r="J3124" s="13" t="n">
        <f aca="false">IFERROR(MIN(Eingaben!$B$18,MAX(0,F3124-I3124)),0)</f>
        <v>1.7442</v>
      </c>
      <c r="K3124" s="13" t="n">
        <f aca="false">H3124+I3124</f>
        <v>1.068</v>
      </c>
      <c r="L3124" s="13" t="n">
        <f aca="false">MAX(0,D3124-K3124)</f>
        <v>0</v>
      </c>
      <c r="M3124" s="13" t="n">
        <f aca="false">MAX(0,F3124-I3124-J3124)</f>
        <v>0</v>
      </c>
      <c r="N3124" s="13" t="n">
        <f aca="false">IF(Kalender!A196="",0,J3123-H3124)</f>
        <v>0.6762</v>
      </c>
    </row>
    <row r="3125" customFormat="false" ht="16.4" hidden="false" customHeight="false" outlineLevel="0" collapsed="false">
      <c r="A3125" s="13" t="str">
        <f aca="false">""</f>
        <v/>
      </c>
      <c r="B3125" s="13" t="n">
        <f aca="false">193</f>
        <v>193</v>
      </c>
      <c r="C3125" s="13" t="n">
        <f aca="false">IF(Szenarien!$H$19="OK",(IFERROR(SUMIF(Nutzungsprofile!$B$6:$B$11,"Schulbetrieb",Nutzungsprofile!$G$6:$G$11)*Kalender!C197/SUM(Kalender!$C$5:$C$370),0)+IFERROR(SUMIF(Nutzungsprofile!$B$6:$B$11,"Halle",Nutzungsprofile!$G$6:$G$11)*Kalender!D197/SUM(Kalender!$D$5:$D$370),0)+IFERROR(SUMIF(Nutzungsprofile!$B$6:$B$11,"Individuell",Nutzungsprofile!$G$6:$G$11)*Kalender!E197/SUM(Kalender!$E$5:$E$370),0))*Szenarien!$E$19,0)</f>
        <v>2.04</v>
      </c>
      <c r="D3125" s="13" t="n">
        <f aca="false">IF(Szenarien!$H$19="OK",(IFERROR(SUMIF(Nutzungsprofile!$B$17:$B$22,"Schulbetrieb",Nutzungsprofile!$G$17:$G$22)*Kalender!C197/SUM(Kalender!$C$5:$C$370),0)+IFERROR(SUMIF(Nutzungsprofile!$B$17:$B$22,"Halle",Nutzungsprofile!$G$17:$G$22)*Kalender!D197/SUM(Kalender!$D$5:$D$370),0)+IFERROR(SUMIF(Nutzungsprofile!$B$17:$B$22,"Individuell",Nutzungsprofile!$G$17:$G$22)*Kalender!E197/SUM(Kalender!$E$5:$E$370),0))*Szenarien!$D$19,0)</f>
        <v>1.068</v>
      </c>
      <c r="E3125" s="13" t="n">
        <f aca="false">IFERROR(MIN(C3125,Eingaben!$B$17)*Eingaben!$B$16,0)</f>
        <v>1.938</v>
      </c>
      <c r="F3125" s="13" t="n">
        <f aca="false">IFERROR(E3125*Eingaben!$B$15,0)</f>
        <v>1.7442</v>
      </c>
      <c r="G3125" s="13" t="n">
        <f aca="false">IFERROR(IF(Kalender!A197="",0,J3124*(1-Eingaben!$B$20)),0)</f>
        <v>1.709316</v>
      </c>
      <c r="H3125" s="13" t="n">
        <f aca="false">MIN(G3125,D3125)</f>
        <v>1.068</v>
      </c>
      <c r="I3125" s="13" t="n">
        <f aca="false">IFERROR(MIN(F3125*Eingaben!$B$19,MAX(0,D3125-H3125)),0)</f>
        <v>0</v>
      </c>
      <c r="J3125" s="13" t="n">
        <f aca="false">IFERROR(MIN(Eingaben!$B$18,MAX(0,F3125-I3125)),0)</f>
        <v>1.7442</v>
      </c>
      <c r="K3125" s="13" t="n">
        <f aca="false">H3125+I3125</f>
        <v>1.068</v>
      </c>
      <c r="L3125" s="13" t="n">
        <f aca="false">MAX(0,D3125-K3125)</f>
        <v>0</v>
      </c>
      <c r="M3125" s="13" t="n">
        <f aca="false">MAX(0,F3125-I3125-J3125)</f>
        <v>0</v>
      </c>
      <c r="N3125" s="13" t="n">
        <f aca="false">IF(Kalender!A197="",0,J3124-H3125)</f>
        <v>0.6762</v>
      </c>
    </row>
    <row r="3126" customFormat="false" ht="16.4" hidden="false" customHeight="false" outlineLevel="0" collapsed="false">
      <c r="A3126" s="13" t="str">
        <f aca="false">""</f>
        <v/>
      </c>
      <c r="B3126" s="13" t="n">
        <f aca="false">194</f>
        <v>194</v>
      </c>
      <c r="C3126" s="13" t="n">
        <f aca="false">IF(Szenarien!$H$19="OK",(IFERROR(SUMIF(Nutzungsprofile!$B$6:$B$11,"Schulbetrieb",Nutzungsprofile!$G$6:$G$11)*Kalender!C198/SUM(Kalender!$C$5:$C$370),0)+IFERROR(SUMIF(Nutzungsprofile!$B$6:$B$11,"Halle",Nutzungsprofile!$G$6:$G$11)*Kalender!D198/SUM(Kalender!$D$5:$D$370),0)+IFERROR(SUMIF(Nutzungsprofile!$B$6:$B$11,"Individuell",Nutzungsprofile!$G$6:$G$11)*Kalender!E198/SUM(Kalender!$E$5:$E$370),0))*Szenarien!$E$19,0)</f>
        <v>2.04</v>
      </c>
      <c r="D3126" s="13" t="n">
        <f aca="false">IF(Szenarien!$H$19="OK",(IFERROR(SUMIF(Nutzungsprofile!$B$17:$B$22,"Schulbetrieb",Nutzungsprofile!$G$17:$G$22)*Kalender!C198/SUM(Kalender!$C$5:$C$370),0)+IFERROR(SUMIF(Nutzungsprofile!$B$17:$B$22,"Halle",Nutzungsprofile!$G$17:$G$22)*Kalender!D198/SUM(Kalender!$D$5:$D$370),0)+IFERROR(SUMIF(Nutzungsprofile!$B$17:$B$22,"Individuell",Nutzungsprofile!$G$17:$G$22)*Kalender!E198/SUM(Kalender!$E$5:$E$370),0))*Szenarien!$D$19,0)</f>
        <v>1.068</v>
      </c>
      <c r="E3126" s="13" t="n">
        <f aca="false">IFERROR(MIN(C3126,Eingaben!$B$17)*Eingaben!$B$16,0)</f>
        <v>1.938</v>
      </c>
      <c r="F3126" s="13" t="n">
        <f aca="false">IFERROR(E3126*Eingaben!$B$15,0)</f>
        <v>1.7442</v>
      </c>
      <c r="G3126" s="13" t="n">
        <f aca="false">IFERROR(IF(Kalender!A198="",0,J3125*(1-Eingaben!$B$20)),0)</f>
        <v>1.709316</v>
      </c>
      <c r="H3126" s="13" t="n">
        <f aca="false">MIN(G3126,D3126)</f>
        <v>1.068</v>
      </c>
      <c r="I3126" s="13" t="n">
        <f aca="false">IFERROR(MIN(F3126*Eingaben!$B$19,MAX(0,D3126-H3126)),0)</f>
        <v>0</v>
      </c>
      <c r="J3126" s="13" t="n">
        <f aca="false">IFERROR(MIN(Eingaben!$B$18,MAX(0,F3126-I3126)),0)</f>
        <v>1.7442</v>
      </c>
      <c r="K3126" s="13" t="n">
        <f aca="false">H3126+I3126</f>
        <v>1.068</v>
      </c>
      <c r="L3126" s="13" t="n">
        <f aca="false">MAX(0,D3126-K3126)</f>
        <v>0</v>
      </c>
      <c r="M3126" s="13" t="n">
        <f aca="false">MAX(0,F3126-I3126-J3126)</f>
        <v>0</v>
      </c>
      <c r="N3126" s="13" t="n">
        <f aca="false">IF(Kalender!A198="",0,J3125-H3126)</f>
        <v>0.6762</v>
      </c>
    </row>
    <row r="3127" customFormat="false" ht="16.4" hidden="false" customHeight="false" outlineLevel="0" collapsed="false">
      <c r="A3127" s="13" t="str">
        <f aca="false">""</f>
        <v/>
      </c>
      <c r="B3127" s="13" t="n">
        <f aca="false">195</f>
        <v>195</v>
      </c>
      <c r="C3127" s="13" t="n">
        <f aca="false">IF(Szenarien!$H$19="OK",(IFERROR(SUMIF(Nutzungsprofile!$B$6:$B$11,"Schulbetrieb",Nutzungsprofile!$G$6:$G$11)*Kalender!C199/SUM(Kalender!$C$5:$C$370),0)+IFERROR(SUMIF(Nutzungsprofile!$B$6:$B$11,"Halle",Nutzungsprofile!$G$6:$G$11)*Kalender!D199/SUM(Kalender!$D$5:$D$370),0)+IFERROR(SUMIF(Nutzungsprofile!$B$6:$B$11,"Individuell",Nutzungsprofile!$G$6:$G$11)*Kalender!E199/SUM(Kalender!$E$5:$E$370),0))*Szenarien!$E$19,0)</f>
        <v>2.04</v>
      </c>
      <c r="D3127" s="13" t="n">
        <f aca="false">IF(Szenarien!$H$19="OK",(IFERROR(SUMIF(Nutzungsprofile!$B$17:$B$22,"Schulbetrieb",Nutzungsprofile!$G$17:$G$22)*Kalender!C199/SUM(Kalender!$C$5:$C$370),0)+IFERROR(SUMIF(Nutzungsprofile!$B$17:$B$22,"Halle",Nutzungsprofile!$G$17:$G$22)*Kalender!D199/SUM(Kalender!$D$5:$D$370),0)+IFERROR(SUMIF(Nutzungsprofile!$B$17:$B$22,"Individuell",Nutzungsprofile!$G$17:$G$22)*Kalender!E199/SUM(Kalender!$E$5:$E$370),0))*Szenarien!$D$19,0)</f>
        <v>1.068</v>
      </c>
      <c r="E3127" s="13" t="n">
        <f aca="false">IFERROR(MIN(C3127,Eingaben!$B$17)*Eingaben!$B$16,0)</f>
        <v>1.938</v>
      </c>
      <c r="F3127" s="13" t="n">
        <f aca="false">IFERROR(E3127*Eingaben!$B$15,0)</f>
        <v>1.7442</v>
      </c>
      <c r="G3127" s="13" t="n">
        <f aca="false">IFERROR(IF(Kalender!A199="",0,J3126*(1-Eingaben!$B$20)),0)</f>
        <v>1.709316</v>
      </c>
      <c r="H3127" s="13" t="n">
        <f aca="false">MIN(G3127,D3127)</f>
        <v>1.068</v>
      </c>
      <c r="I3127" s="13" t="n">
        <f aca="false">IFERROR(MIN(F3127*Eingaben!$B$19,MAX(0,D3127-H3127)),0)</f>
        <v>0</v>
      </c>
      <c r="J3127" s="13" t="n">
        <f aca="false">IFERROR(MIN(Eingaben!$B$18,MAX(0,F3127-I3127)),0)</f>
        <v>1.7442</v>
      </c>
      <c r="K3127" s="13" t="n">
        <f aca="false">H3127+I3127</f>
        <v>1.068</v>
      </c>
      <c r="L3127" s="13" t="n">
        <f aca="false">MAX(0,D3127-K3127)</f>
        <v>0</v>
      </c>
      <c r="M3127" s="13" t="n">
        <f aca="false">MAX(0,F3127-I3127-J3127)</f>
        <v>0</v>
      </c>
      <c r="N3127" s="13" t="n">
        <f aca="false">IF(Kalender!A199="",0,J3126-H3127)</f>
        <v>0.6762</v>
      </c>
    </row>
    <row r="3128" customFormat="false" ht="16.4" hidden="false" customHeight="false" outlineLevel="0" collapsed="false">
      <c r="A3128" s="13" t="str">
        <f aca="false">""</f>
        <v/>
      </c>
      <c r="B3128" s="13" t="n">
        <f aca="false">196</f>
        <v>196</v>
      </c>
      <c r="C3128" s="13" t="n">
        <f aca="false">IF(Szenarien!$H$19="OK",(IFERROR(SUMIF(Nutzungsprofile!$B$6:$B$11,"Schulbetrieb",Nutzungsprofile!$G$6:$G$11)*Kalender!C200/SUM(Kalender!$C$5:$C$370),0)+IFERROR(SUMIF(Nutzungsprofile!$B$6:$B$11,"Halle",Nutzungsprofile!$G$6:$G$11)*Kalender!D200/SUM(Kalender!$D$5:$D$370),0)+IFERROR(SUMIF(Nutzungsprofile!$B$6:$B$11,"Individuell",Nutzungsprofile!$G$6:$G$11)*Kalender!E200/SUM(Kalender!$E$5:$E$370),0))*Szenarien!$E$19,0)</f>
        <v>2.04</v>
      </c>
      <c r="D3128" s="13" t="n">
        <f aca="false">IF(Szenarien!$H$19="OK",(IFERROR(SUMIF(Nutzungsprofile!$B$17:$B$22,"Schulbetrieb",Nutzungsprofile!$G$17:$G$22)*Kalender!C200/SUM(Kalender!$C$5:$C$370),0)+IFERROR(SUMIF(Nutzungsprofile!$B$17:$B$22,"Halle",Nutzungsprofile!$G$17:$G$22)*Kalender!D200/SUM(Kalender!$D$5:$D$370),0)+IFERROR(SUMIF(Nutzungsprofile!$B$17:$B$22,"Individuell",Nutzungsprofile!$G$17:$G$22)*Kalender!E200/SUM(Kalender!$E$5:$E$370),0))*Szenarien!$D$19,0)</f>
        <v>1.068</v>
      </c>
      <c r="E3128" s="13" t="n">
        <f aca="false">IFERROR(MIN(C3128,Eingaben!$B$17)*Eingaben!$B$16,0)</f>
        <v>1.938</v>
      </c>
      <c r="F3128" s="13" t="n">
        <f aca="false">IFERROR(E3128*Eingaben!$B$15,0)</f>
        <v>1.7442</v>
      </c>
      <c r="G3128" s="13" t="n">
        <f aca="false">IFERROR(IF(Kalender!A200="",0,J3127*(1-Eingaben!$B$20)),0)</f>
        <v>1.709316</v>
      </c>
      <c r="H3128" s="13" t="n">
        <f aca="false">MIN(G3128,D3128)</f>
        <v>1.068</v>
      </c>
      <c r="I3128" s="13" t="n">
        <f aca="false">IFERROR(MIN(F3128*Eingaben!$B$19,MAX(0,D3128-H3128)),0)</f>
        <v>0</v>
      </c>
      <c r="J3128" s="13" t="n">
        <f aca="false">IFERROR(MIN(Eingaben!$B$18,MAX(0,F3128-I3128)),0)</f>
        <v>1.7442</v>
      </c>
      <c r="K3128" s="13" t="n">
        <f aca="false">H3128+I3128</f>
        <v>1.068</v>
      </c>
      <c r="L3128" s="13" t="n">
        <f aca="false">MAX(0,D3128-K3128)</f>
        <v>0</v>
      </c>
      <c r="M3128" s="13" t="n">
        <f aca="false">MAX(0,F3128-I3128-J3128)</f>
        <v>0</v>
      </c>
      <c r="N3128" s="13" t="n">
        <f aca="false">IF(Kalender!A200="",0,J3127-H3128)</f>
        <v>0.6762</v>
      </c>
    </row>
    <row r="3129" customFormat="false" ht="16.4" hidden="false" customHeight="false" outlineLevel="0" collapsed="false">
      <c r="A3129" s="13" t="str">
        <f aca="false">""</f>
        <v/>
      </c>
      <c r="B3129" s="13" t="n">
        <f aca="false">197</f>
        <v>197</v>
      </c>
      <c r="C3129" s="13" t="n">
        <f aca="false">IF(Szenarien!$H$19="OK",(IFERROR(SUMIF(Nutzungsprofile!$B$6:$B$11,"Schulbetrieb",Nutzungsprofile!$G$6:$G$11)*Kalender!C201/SUM(Kalender!$C$5:$C$370),0)+IFERROR(SUMIF(Nutzungsprofile!$B$6:$B$11,"Halle",Nutzungsprofile!$G$6:$G$11)*Kalender!D201/SUM(Kalender!$D$5:$D$370),0)+IFERROR(SUMIF(Nutzungsprofile!$B$6:$B$11,"Individuell",Nutzungsprofile!$G$6:$G$11)*Kalender!E201/SUM(Kalender!$E$5:$E$370),0))*Szenarien!$E$19,0)</f>
        <v>2.04</v>
      </c>
      <c r="D3129" s="13" t="n">
        <f aca="false">IF(Szenarien!$H$19="OK",(IFERROR(SUMIF(Nutzungsprofile!$B$17:$B$22,"Schulbetrieb",Nutzungsprofile!$G$17:$G$22)*Kalender!C201/SUM(Kalender!$C$5:$C$370),0)+IFERROR(SUMIF(Nutzungsprofile!$B$17:$B$22,"Halle",Nutzungsprofile!$G$17:$G$22)*Kalender!D201/SUM(Kalender!$D$5:$D$370),0)+IFERROR(SUMIF(Nutzungsprofile!$B$17:$B$22,"Individuell",Nutzungsprofile!$G$17:$G$22)*Kalender!E201/SUM(Kalender!$E$5:$E$370),0))*Szenarien!$D$19,0)</f>
        <v>1.068</v>
      </c>
      <c r="E3129" s="13" t="n">
        <f aca="false">IFERROR(MIN(C3129,Eingaben!$B$17)*Eingaben!$B$16,0)</f>
        <v>1.938</v>
      </c>
      <c r="F3129" s="13" t="n">
        <f aca="false">IFERROR(E3129*Eingaben!$B$15,0)</f>
        <v>1.7442</v>
      </c>
      <c r="G3129" s="13" t="n">
        <f aca="false">IFERROR(IF(Kalender!A201="",0,J3128*(1-Eingaben!$B$20)),0)</f>
        <v>1.709316</v>
      </c>
      <c r="H3129" s="13" t="n">
        <f aca="false">MIN(G3129,D3129)</f>
        <v>1.068</v>
      </c>
      <c r="I3129" s="13" t="n">
        <f aca="false">IFERROR(MIN(F3129*Eingaben!$B$19,MAX(0,D3129-H3129)),0)</f>
        <v>0</v>
      </c>
      <c r="J3129" s="13" t="n">
        <f aca="false">IFERROR(MIN(Eingaben!$B$18,MAX(0,F3129-I3129)),0)</f>
        <v>1.7442</v>
      </c>
      <c r="K3129" s="13" t="n">
        <f aca="false">H3129+I3129</f>
        <v>1.068</v>
      </c>
      <c r="L3129" s="13" t="n">
        <f aca="false">MAX(0,D3129-K3129)</f>
        <v>0</v>
      </c>
      <c r="M3129" s="13" t="n">
        <f aca="false">MAX(0,F3129-I3129-J3129)</f>
        <v>0</v>
      </c>
      <c r="N3129" s="13" t="n">
        <f aca="false">IF(Kalender!A201="",0,J3128-H3129)</f>
        <v>0.6762</v>
      </c>
    </row>
    <row r="3130" customFormat="false" ht="16.4" hidden="false" customHeight="false" outlineLevel="0" collapsed="false">
      <c r="A3130" s="13" t="str">
        <f aca="false">""</f>
        <v/>
      </c>
      <c r="B3130" s="13" t="n">
        <f aca="false">198</f>
        <v>198</v>
      </c>
      <c r="C3130" s="13" t="n">
        <f aca="false">IF(Szenarien!$H$19="OK",(IFERROR(SUMIF(Nutzungsprofile!$B$6:$B$11,"Schulbetrieb",Nutzungsprofile!$G$6:$G$11)*Kalender!C202/SUM(Kalender!$C$5:$C$370),0)+IFERROR(SUMIF(Nutzungsprofile!$B$6:$B$11,"Halle",Nutzungsprofile!$G$6:$G$11)*Kalender!D202/SUM(Kalender!$D$5:$D$370),0)+IFERROR(SUMIF(Nutzungsprofile!$B$6:$B$11,"Individuell",Nutzungsprofile!$G$6:$G$11)*Kalender!E202/SUM(Kalender!$E$5:$E$370),0))*Szenarien!$E$19,0)</f>
        <v>2.04</v>
      </c>
      <c r="D3130" s="13" t="n">
        <f aca="false">IF(Szenarien!$H$19="OK",(IFERROR(SUMIF(Nutzungsprofile!$B$17:$B$22,"Schulbetrieb",Nutzungsprofile!$G$17:$G$22)*Kalender!C202/SUM(Kalender!$C$5:$C$370),0)+IFERROR(SUMIF(Nutzungsprofile!$B$17:$B$22,"Halle",Nutzungsprofile!$G$17:$G$22)*Kalender!D202/SUM(Kalender!$D$5:$D$370),0)+IFERROR(SUMIF(Nutzungsprofile!$B$17:$B$22,"Individuell",Nutzungsprofile!$G$17:$G$22)*Kalender!E202/SUM(Kalender!$E$5:$E$370),0))*Szenarien!$D$19,0)</f>
        <v>1.068</v>
      </c>
      <c r="E3130" s="13" t="n">
        <f aca="false">IFERROR(MIN(C3130,Eingaben!$B$17)*Eingaben!$B$16,0)</f>
        <v>1.938</v>
      </c>
      <c r="F3130" s="13" t="n">
        <f aca="false">IFERROR(E3130*Eingaben!$B$15,0)</f>
        <v>1.7442</v>
      </c>
      <c r="G3130" s="13" t="n">
        <f aca="false">IFERROR(IF(Kalender!A202="",0,J3129*(1-Eingaben!$B$20)),0)</f>
        <v>1.709316</v>
      </c>
      <c r="H3130" s="13" t="n">
        <f aca="false">MIN(G3130,D3130)</f>
        <v>1.068</v>
      </c>
      <c r="I3130" s="13" t="n">
        <f aca="false">IFERROR(MIN(F3130*Eingaben!$B$19,MAX(0,D3130-H3130)),0)</f>
        <v>0</v>
      </c>
      <c r="J3130" s="13" t="n">
        <f aca="false">IFERROR(MIN(Eingaben!$B$18,MAX(0,F3130-I3130)),0)</f>
        <v>1.7442</v>
      </c>
      <c r="K3130" s="13" t="n">
        <f aca="false">H3130+I3130</f>
        <v>1.068</v>
      </c>
      <c r="L3130" s="13" t="n">
        <f aca="false">MAX(0,D3130-K3130)</f>
        <v>0</v>
      </c>
      <c r="M3130" s="13" t="n">
        <f aca="false">MAX(0,F3130-I3130-J3130)</f>
        <v>0</v>
      </c>
      <c r="N3130" s="13" t="n">
        <f aca="false">IF(Kalender!A202="",0,J3129-H3130)</f>
        <v>0.6762</v>
      </c>
    </row>
    <row r="3131" customFormat="false" ht="16.4" hidden="false" customHeight="false" outlineLevel="0" collapsed="false">
      <c r="A3131" s="13" t="str">
        <f aca="false">""</f>
        <v/>
      </c>
      <c r="B3131" s="13" t="n">
        <f aca="false">199</f>
        <v>199</v>
      </c>
      <c r="C3131" s="13" t="n">
        <f aca="false">IF(Szenarien!$H$19="OK",(IFERROR(SUMIF(Nutzungsprofile!$B$6:$B$11,"Schulbetrieb",Nutzungsprofile!$G$6:$G$11)*Kalender!C203/SUM(Kalender!$C$5:$C$370),0)+IFERROR(SUMIF(Nutzungsprofile!$B$6:$B$11,"Halle",Nutzungsprofile!$G$6:$G$11)*Kalender!D203/SUM(Kalender!$D$5:$D$370),0)+IFERROR(SUMIF(Nutzungsprofile!$B$6:$B$11,"Individuell",Nutzungsprofile!$G$6:$G$11)*Kalender!E203/SUM(Kalender!$E$5:$E$370),0))*Szenarien!$E$19,0)</f>
        <v>2.04</v>
      </c>
      <c r="D3131" s="13" t="n">
        <f aca="false">IF(Szenarien!$H$19="OK",(IFERROR(SUMIF(Nutzungsprofile!$B$17:$B$22,"Schulbetrieb",Nutzungsprofile!$G$17:$G$22)*Kalender!C203/SUM(Kalender!$C$5:$C$370),0)+IFERROR(SUMIF(Nutzungsprofile!$B$17:$B$22,"Halle",Nutzungsprofile!$G$17:$G$22)*Kalender!D203/SUM(Kalender!$D$5:$D$370),0)+IFERROR(SUMIF(Nutzungsprofile!$B$17:$B$22,"Individuell",Nutzungsprofile!$G$17:$G$22)*Kalender!E203/SUM(Kalender!$E$5:$E$370),0))*Szenarien!$D$19,0)</f>
        <v>1.068</v>
      </c>
      <c r="E3131" s="13" t="n">
        <f aca="false">IFERROR(MIN(C3131,Eingaben!$B$17)*Eingaben!$B$16,0)</f>
        <v>1.938</v>
      </c>
      <c r="F3131" s="13" t="n">
        <f aca="false">IFERROR(E3131*Eingaben!$B$15,0)</f>
        <v>1.7442</v>
      </c>
      <c r="G3131" s="13" t="n">
        <f aca="false">IFERROR(IF(Kalender!A203="",0,J3130*(1-Eingaben!$B$20)),0)</f>
        <v>1.709316</v>
      </c>
      <c r="H3131" s="13" t="n">
        <f aca="false">MIN(G3131,D3131)</f>
        <v>1.068</v>
      </c>
      <c r="I3131" s="13" t="n">
        <f aca="false">IFERROR(MIN(F3131*Eingaben!$B$19,MAX(0,D3131-H3131)),0)</f>
        <v>0</v>
      </c>
      <c r="J3131" s="13" t="n">
        <f aca="false">IFERROR(MIN(Eingaben!$B$18,MAX(0,F3131-I3131)),0)</f>
        <v>1.7442</v>
      </c>
      <c r="K3131" s="13" t="n">
        <f aca="false">H3131+I3131</f>
        <v>1.068</v>
      </c>
      <c r="L3131" s="13" t="n">
        <f aca="false">MAX(0,D3131-K3131)</f>
        <v>0</v>
      </c>
      <c r="M3131" s="13" t="n">
        <f aca="false">MAX(0,F3131-I3131-J3131)</f>
        <v>0</v>
      </c>
      <c r="N3131" s="13" t="n">
        <f aca="false">IF(Kalender!A203="",0,J3130-H3131)</f>
        <v>0.6762</v>
      </c>
    </row>
    <row r="3132" customFormat="false" ht="16.4" hidden="false" customHeight="false" outlineLevel="0" collapsed="false">
      <c r="A3132" s="13" t="str">
        <f aca="false">""</f>
        <v/>
      </c>
      <c r="B3132" s="13" t="n">
        <f aca="false">200</f>
        <v>200</v>
      </c>
      <c r="C3132" s="13" t="n">
        <f aca="false">IF(Szenarien!$H$19="OK",(IFERROR(SUMIF(Nutzungsprofile!$B$6:$B$11,"Schulbetrieb",Nutzungsprofile!$G$6:$G$11)*Kalender!C204/SUM(Kalender!$C$5:$C$370),0)+IFERROR(SUMIF(Nutzungsprofile!$B$6:$B$11,"Halle",Nutzungsprofile!$G$6:$G$11)*Kalender!D204/SUM(Kalender!$D$5:$D$370),0)+IFERROR(SUMIF(Nutzungsprofile!$B$6:$B$11,"Individuell",Nutzungsprofile!$G$6:$G$11)*Kalender!E204/SUM(Kalender!$E$5:$E$370),0))*Szenarien!$E$19,0)</f>
        <v>2.04</v>
      </c>
      <c r="D3132" s="13" t="n">
        <f aca="false">IF(Szenarien!$H$19="OK",(IFERROR(SUMIF(Nutzungsprofile!$B$17:$B$22,"Schulbetrieb",Nutzungsprofile!$G$17:$G$22)*Kalender!C204/SUM(Kalender!$C$5:$C$370),0)+IFERROR(SUMIF(Nutzungsprofile!$B$17:$B$22,"Halle",Nutzungsprofile!$G$17:$G$22)*Kalender!D204/SUM(Kalender!$D$5:$D$370),0)+IFERROR(SUMIF(Nutzungsprofile!$B$17:$B$22,"Individuell",Nutzungsprofile!$G$17:$G$22)*Kalender!E204/SUM(Kalender!$E$5:$E$370),0))*Szenarien!$D$19,0)</f>
        <v>1.068</v>
      </c>
      <c r="E3132" s="13" t="n">
        <f aca="false">IFERROR(MIN(C3132,Eingaben!$B$17)*Eingaben!$B$16,0)</f>
        <v>1.938</v>
      </c>
      <c r="F3132" s="13" t="n">
        <f aca="false">IFERROR(E3132*Eingaben!$B$15,0)</f>
        <v>1.7442</v>
      </c>
      <c r="G3132" s="13" t="n">
        <f aca="false">IFERROR(IF(Kalender!A204="",0,J3131*(1-Eingaben!$B$20)),0)</f>
        <v>1.709316</v>
      </c>
      <c r="H3132" s="13" t="n">
        <f aca="false">MIN(G3132,D3132)</f>
        <v>1.068</v>
      </c>
      <c r="I3132" s="13" t="n">
        <f aca="false">IFERROR(MIN(F3132*Eingaben!$B$19,MAX(0,D3132-H3132)),0)</f>
        <v>0</v>
      </c>
      <c r="J3132" s="13" t="n">
        <f aca="false">IFERROR(MIN(Eingaben!$B$18,MAX(0,F3132-I3132)),0)</f>
        <v>1.7442</v>
      </c>
      <c r="K3132" s="13" t="n">
        <f aca="false">H3132+I3132</f>
        <v>1.068</v>
      </c>
      <c r="L3132" s="13" t="n">
        <f aca="false">MAX(0,D3132-K3132)</f>
        <v>0</v>
      </c>
      <c r="M3132" s="13" t="n">
        <f aca="false">MAX(0,F3132-I3132-J3132)</f>
        <v>0</v>
      </c>
      <c r="N3132" s="13" t="n">
        <f aca="false">IF(Kalender!A204="",0,J3131-H3132)</f>
        <v>0.6762</v>
      </c>
    </row>
    <row r="3133" customFormat="false" ht="16.4" hidden="false" customHeight="false" outlineLevel="0" collapsed="false">
      <c r="A3133" s="13" t="str">
        <f aca="false">""</f>
        <v/>
      </c>
      <c r="B3133" s="13" t="n">
        <f aca="false">201</f>
        <v>201</v>
      </c>
      <c r="C3133" s="13" t="n">
        <f aca="false">IF(Szenarien!$H$19="OK",(IFERROR(SUMIF(Nutzungsprofile!$B$6:$B$11,"Schulbetrieb",Nutzungsprofile!$G$6:$G$11)*Kalender!C205/SUM(Kalender!$C$5:$C$370),0)+IFERROR(SUMIF(Nutzungsprofile!$B$6:$B$11,"Halle",Nutzungsprofile!$G$6:$G$11)*Kalender!D205/SUM(Kalender!$D$5:$D$370),0)+IFERROR(SUMIF(Nutzungsprofile!$B$6:$B$11,"Individuell",Nutzungsprofile!$G$6:$G$11)*Kalender!E205/SUM(Kalender!$E$5:$E$370),0))*Szenarien!$E$19,0)</f>
        <v>2.04</v>
      </c>
      <c r="D3133" s="13" t="n">
        <f aca="false">IF(Szenarien!$H$19="OK",(IFERROR(SUMIF(Nutzungsprofile!$B$17:$B$22,"Schulbetrieb",Nutzungsprofile!$G$17:$G$22)*Kalender!C205/SUM(Kalender!$C$5:$C$370),0)+IFERROR(SUMIF(Nutzungsprofile!$B$17:$B$22,"Halle",Nutzungsprofile!$G$17:$G$22)*Kalender!D205/SUM(Kalender!$D$5:$D$370),0)+IFERROR(SUMIF(Nutzungsprofile!$B$17:$B$22,"Individuell",Nutzungsprofile!$G$17:$G$22)*Kalender!E205/SUM(Kalender!$E$5:$E$370),0))*Szenarien!$D$19,0)</f>
        <v>1.068</v>
      </c>
      <c r="E3133" s="13" t="n">
        <f aca="false">IFERROR(MIN(C3133,Eingaben!$B$17)*Eingaben!$B$16,0)</f>
        <v>1.938</v>
      </c>
      <c r="F3133" s="13" t="n">
        <f aca="false">IFERROR(E3133*Eingaben!$B$15,0)</f>
        <v>1.7442</v>
      </c>
      <c r="G3133" s="13" t="n">
        <f aca="false">IFERROR(IF(Kalender!A205="",0,J3132*(1-Eingaben!$B$20)),0)</f>
        <v>1.709316</v>
      </c>
      <c r="H3133" s="13" t="n">
        <f aca="false">MIN(G3133,D3133)</f>
        <v>1.068</v>
      </c>
      <c r="I3133" s="13" t="n">
        <f aca="false">IFERROR(MIN(F3133*Eingaben!$B$19,MAX(0,D3133-H3133)),0)</f>
        <v>0</v>
      </c>
      <c r="J3133" s="13" t="n">
        <f aca="false">IFERROR(MIN(Eingaben!$B$18,MAX(0,F3133-I3133)),0)</f>
        <v>1.7442</v>
      </c>
      <c r="K3133" s="13" t="n">
        <f aca="false">H3133+I3133</f>
        <v>1.068</v>
      </c>
      <c r="L3133" s="13" t="n">
        <f aca="false">MAX(0,D3133-K3133)</f>
        <v>0</v>
      </c>
      <c r="M3133" s="13" t="n">
        <f aca="false">MAX(0,F3133-I3133-J3133)</f>
        <v>0</v>
      </c>
      <c r="N3133" s="13" t="n">
        <f aca="false">IF(Kalender!A205="",0,J3132-H3133)</f>
        <v>0.6762</v>
      </c>
    </row>
    <row r="3134" customFormat="false" ht="16.4" hidden="false" customHeight="false" outlineLevel="0" collapsed="false">
      <c r="A3134" s="13" t="str">
        <f aca="false">""</f>
        <v/>
      </c>
      <c r="B3134" s="13" t="n">
        <f aca="false">202</f>
        <v>202</v>
      </c>
      <c r="C3134" s="13" t="n">
        <f aca="false">IF(Szenarien!$H$19="OK",(IFERROR(SUMIF(Nutzungsprofile!$B$6:$B$11,"Schulbetrieb",Nutzungsprofile!$G$6:$G$11)*Kalender!C206/SUM(Kalender!$C$5:$C$370),0)+IFERROR(SUMIF(Nutzungsprofile!$B$6:$B$11,"Halle",Nutzungsprofile!$G$6:$G$11)*Kalender!D206/SUM(Kalender!$D$5:$D$370),0)+IFERROR(SUMIF(Nutzungsprofile!$B$6:$B$11,"Individuell",Nutzungsprofile!$G$6:$G$11)*Kalender!E206/SUM(Kalender!$E$5:$E$370),0))*Szenarien!$E$19,0)</f>
        <v>2.04</v>
      </c>
      <c r="D3134" s="13" t="n">
        <f aca="false">IF(Szenarien!$H$19="OK",(IFERROR(SUMIF(Nutzungsprofile!$B$17:$B$22,"Schulbetrieb",Nutzungsprofile!$G$17:$G$22)*Kalender!C206/SUM(Kalender!$C$5:$C$370),0)+IFERROR(SUMIF(Nutzungsprofile!$B$17:$B$22,"Halle",Nutzungsprofile!$G$17:$G$22)*Kalender!D206/SUM(Kalender!$D$5:$D$370),0)+IFERROR(SUMIF(Nutzungsprofile!$B$17:$B$22,"Individuell",Nutzungsprofile!$G$17:$G$22)*Kalender!E206/SUM(Kalender!$E$5:$E$370),0))*Szenarien!$D$19,0)</f>
        <v>1.068</v>
      </c>
      <c r="E3134" s="13" t="n">
        <f aca="false">IFERROR(MIN(C3134,Eingaben!$B$17)*Eingaben!$B$16,0)</f>
        <v>1.938</v>
      </c>
      <c r="F3134" s="13" t="n">
        <f aca="false">IFERROR(E3134*Eingaben!$B$15,0)</f>
        <v>1.7442</v>
      </c>
      <c r="G3134" s="13" t="n">
        <f aca="false">IFERROR(IF(Kalender!A206="",0,J3133*(1-Eingaben!$B$20)),0)</f>
        <v>1.709316</v>
      </c>
      <c r="H3134" s="13" t="n">
        <f aca="false">MIN(G3134,D3134)</f>
        <v>1.068</v>
      </c>
      <c r="I3134" s="13" t="n">
        <f aca="false">IFERROR(MIN(F3134*Eingaben!$B$19,MAX(0,D3134-H3134)),0)</f>
        <v>0</v>
      </c>
      <c r="J3134" s="13" t="n">
        <f aca="false">IFERROR(MIN(Eingaben!$B$18,MAX(0,F3134-I3134)),0)</f>
        <v>1.7442</v>
      </c>
      <c r="K3134" s="13" t="n">
        <f aca="false">H3134+I3134</f>
        <v>1.068</v>
      </c>
      <c r="L3134" s="13" t="n">
        <f aca="false">MAX(0,D3134-K3134)</f>
        <v>0</v>
      </c>
      <c r="M3134" s="13" t="n">
        <f aca="false">MAX(0,F3134-I3134-J3134)</f>
        <v>0</v>
      </c>
      <c r="N3134" s="13" t="n">
        <f aca="false">IF(Kalender!A206="",0,J3133-H3134)</f>
        <v>0.6762</v>
      </c>
    </row>
    <row r="3135" customFormat="false" ht="16.4" hidden="false" customHeight="false" outlineLevel="0" collapsed="false">
      <c r="A3135" s="13" t="str">
        <f aca="false">""</f>
        <v/>
      </c>
      <c r="B3135" s="13" t="n">
        <f aca="false">203</f>
        <v>203</v>
      </c>
      <c r="C3135" s="13" t="n">
        <f aca="false">IF(Szenarien!$H$19="OK",(IFERROR(SUMIF(Nutzungsprofile!$B$6:$B$11,"Schulbetrieb",Nutzungsprofile!$G$6:$G$11)*Kalender!C207/SUM(Kalender!$C$5:$C$370),0)+IFERROR(SUMIF(Nutzungsprofile!$B$6:$B$11,"Halle",Nutzungsprofile!$G$6:$G$11)*Kalender!D207/SUM(Kalender!$D$5:$D$370),0)+IFERROR(SUMIF(Nutzungsprofile!$B$6:$B$11,"Individuell",Nutzungsprofile!$G$6:$G$11)*Kalender!E207/SUM(Kalender!$E$5:$E$370),0))*Szenarien!$E$19,0)</f>
        <v>2.04</v>
      </c>
      <c r="D3135" s="13" t="n">
        <f aca="false">IF(Szenarien!$H$19="OK",(IFERROR(SUMIF(Nutzungsprofile!$B$17:$B$22,"Schulbetrieb",Nutzungsprofile!$G$17:$G$22)*Kalender!C207/SUM(Kalender!$C$5:$C$370),0)+IFERROR(SUMIF(Nutzungsprofile!$B$17:$B$22,"Halle",Nutzungsprofile!$G$17:$G$22)*Kalender!D207/SUM(Kalender!$D$5:$D$370),0)+IFERROR(SUMIF(Nutzungsprofile!$B$17:$B$22,"Individuell",Nutzungsprofile!$G$17:$G$22)*Kalender!E207/SUM(Kalender!$E$5:$E$370),0))*Szenarien!$D$19,0)</f>
        <v>1.068</v>
      </c>
      <c r="E3135" s="13" t="n">
        <f aca="false">IFERROR(MIN(C3135,Eingaben!$B$17)*Eingaben!$B$16,0)</f>
        <v>1.938</v>
      </c>
      <c r="F3135" s="13" t="n">
        <f aca="false">IFERROR(E3135*Eingaben!$B$15,0)</f>
        <v>1.7442</v>
      </c>
      <c r="G3135" s="13" t="n">
        <f aca="false">IFERROR(IF(Kalender!A207="",0,J3134*(1-Eingaben!$B$20)),0)</f>
        <v>1.709316</v>
      </c>
      <c r="H3135" s="13" t="n">
        <f aca="false">MIN(G3135,D3135)</f>
        <v>1.068</v>
      </c>
      <c r="I3135" s="13" t="n">
        <f aca="false">IFERROR(MIN(F3135*Eingaben!$B$19,MAX(0,D3135-H3135)),0)</f>
        <v>0</v>
      </c>
      <c r="J3135" s="13" t="n">
        <f aca="false">IFERROR(MIN(Eingaben!$B$18,MAX(0,F3135-I3135)),0)</f>
        <v>1.7442</v>
      </c>
      <c r="K3135" s="13" t="n">
        <f aca="false">H3135+I3135</f>
        <v>1.068</v>
      </c>
      <c r="L3135" s="13" t="n">
        <f aca="false">MAX(0,D3135-K3135)</f>
        <v>0</v>
      </c>
      <c r="M3135" s="13" t="n">
        <f aca="false">MAX(0,F3135-I3135-J3135)</f>
        <v>0</v>
      </c>
      <c r="N3135" s="13" t="n">
        <f aca="false">IF(Kalender!A207="",0,J3134-H3135)</f>
        <v>0.6762</v>
      </c>
    </row>
    <row r="3136" customFormat="false" ht="16.4" hidden="false" customHeight="false" outlineLevel="0" collapsed="false">
      <c r="A3136" s="13" t="str">
        <f aca="false">""</f>
        <v/>
      </c>
      <c r="B3136" s="13" t="n">
        <f aca="false">204</f>
        <v>204</v>
      </c>
      <c r="C3136" s="13" t="n">
        <f aca="false">IF(Szenarien!$H$19="OK",(IFERROR(SUMIF(Nutzungsprofile!$B$6:$B$11,"Schulbetrieb",Nutzungsprofile!$G$6:$G$11)*Kalender!C208/SUM(Kalender!$C$5:$C$370),0)+IFERROR(SUMIF(Nutzungsprofile!$B$6:$B$11,"Halle",Nutzungsprofile!$G$6:$G$11)*Kalender!D208/SUM(Kalender!$D$5:$D$370),0)+IFERROR(SUMIF(Nutzungsprofile!$B$6:$B$11,"Individuell",Nutzungsprofile!$G$6:$G$11)*Kalender!E208/SUM(Kalender!$E$5:$E$370),0))*Szenarien!$E$19,0)</f>
        <v>2.04</v>
      </c>
      <c r="D3136" s="13" t="n">
        <f aca="false">IF(Szenarien!$H$19="OK",(IFERROR(SUMIF(Nutzungsprofile!$B$17:$B$22,"Schulbetrieb",Nutzungsprofile!$G$17:$G$22)*Kalender!C208/SUM(Kalender!$C$5:$C$370),0)+IFERROR(SUMIF(Nutzungsprofile!$B$17:$B$22,"Halle",Nutzungsprofile!$G$17:$G$22)*Kalender!D208/SUM(Kalender!$D$5:$D$370),0)+IFERROR(SUMIF(Nutzungsprofile!$B$17:$B$22,"Individuell",Nutzungsprofile!$G$17:$G$22)*Kalender!E208/SUM(Kalender!$E$5:$E$370),0))*Szenarien!$D$19,0)</f>
        <v>1.068</v>
      </c>
      <c r="E3136" s="13" t="n">
        <f aca="false">IFERROR(MIN(C3136,Eingaben!$B$17)*Eingaben!$B$16,0)</f>
        <v>1.938</v>
      </c>
      <c r="F3136" s="13" t="n">
        <f aca="false">IFERROR(E3136*Eingaben!$B$15,0)</f>
        <v>1.7442</v>
      </c>
      <c r="G3136" s="13" t="n">
        <f aca="false">IFERROR(IF(Kalender!A208="",0,J3135*(1-Eingaben!$B$20)),0)</f>
        <v>1.709316</v>
      </c>
      <c r="H3136" s="13" t="n">
        <f aca="false">MIN(G3136,D3136)</f>
        <v>1.068</v>
      </c>
      <c r="I3136" s="13" t="n">
        <f aca="false">IFERROR(MIN(F3136*Eingaben!$B$19,MAX(0,D3136-H3136)),0)</f>
        <v>0</v>
      </c>
      <c r="J3136" s="13" t="n">
        <f aca="false">IFERROR(MIN(Eingaben!$B$18,MAX(0,F3136-I3136)),0)</f>
        <v>1.7442</v>
      </c>
      <c r="K3136" s="13" t="n">
        <f aca="false">H3136+I3136</f>
        <v>1.068</v>
      </c>
      <c r="L3136" s="13" t="n">
        <f aca="false">MAX(0,D3136-K3136)</f>
        <v>0</v>
      </c>
      <c r="M3136" s="13" t="n">
        <f aca="false">MAX(0,F3136-I3136-J3136)</f>
        <v>0</v>
      </c>
      <c r="N3136" s="13" t="n">
        <f aca="false">IF(Kalender!A208="",0,J3135-H3136)</f>
        <v>0.6762</v>
      </c>
    </row>
    <row r="3137" customFormat="false" ht="16.4" hidden="false" customHeight="false" outlineLevel="0" collapsed="false">
      <c r="A3137" s="13" t="str">
        <f aca="false">""</f>
        <v/>
      </c>
      <c r="B3137" s="13" t="n">
        <f aca="false">205</f>
        <v>205</v>
      </c>
      <c r="C3137" s="13" t="n">
        <f aca="false">IF(Szenarien!$H$19="OK",(IFERROR(SUMIF(Nutzungsprofile!$B$6:$B$11,"Schulbetrieb",Nutzungsprofile!$G$6:$G$11)*Kalender!C209/SUM(Kalender!$C$5:$C$370),0)+IFERROR(SUMIF(Nutzungsprofile!$B$6:$B$11,"Halle",Nutzungsprofile!$G$6:$G$11)*Kalender!D209/SUM(Kalender!$D$5:$D$370),0)+IFERROR(SUMIF(Nutzungsprofile!$B$6:$B$11,"Individuell",Nutzungsprofile!$G$6:$G$11)*Kalender!E209/SUM(Kalender!$E$5:$E$370),0))*Szenarien!$E$19,0)</f>
        <v>2.04</v>
      </c>
      <c r="D3137" s="13" t="n">
        <f aca="false">IF(Szenarien!$H$19="OK",(IFERROR(SUMIF(Nutzungsprofile!$B$17:$B$22,"Schulbetrieb",Nutzungsprofile!$G$17:$G$22)*Kalender!C209/SUM(Kalender!$C$5:$C$370),0)+IFERROR(SUMIF(Nutzungsprofile!$B$17:$B$22,"Halle",Nutzungsprofile!$G$17:$G$22)*Kalender!D209/SUM(Kalender!$D$5:$D$370),0)+IFERROR(SUMIF(Nutzungsprofile!$B$17:$B$22,"Individuell",Nutzungsprofile!$G$17:$G$22)*Kalender!E209/SUM(Kalender!$E$5:$E$370),0))*Szenarien!$D$19,0)</f>
        <v>1.068</v>
      </c>
      <c r="E3137" s="13" t="n">
        <f aca="false">IFERROR(MIN(C3137,Eingaben!$B$17)*Eingaben!$B$16,0)</f>
        <v>1.938</v>
      </c>
      <c r="F3137" s="13" t="n">
        <f aca="false">IFERROR(E3137*Eingaben!$B$15,0)</f>
        <v>1.7442</v>
      </c>
      <c r="G3137" s="13" t="n">
        <f aca="false">IFERROR(IF(Kalender!A209="",0,J3136*(1-Eingaben!$B$20)),0)</f>
        <v>1.709316</v>
      </c>
      <c r="H3137" s="13" t="n">
        <f aca="false">MIN(G3137,D3137)</f>
        <v>1.068</v>
      </c>
      <c r="I3137" s="13" t="n">
        <f aca="false">IFERROR(MIN(F3137*Eingaben!$B$19,MAX(0,D3137-H3137)),0)</f>
        <v>0</v>
      </c>
      <c r="J3137" s="13" t="n">
        <f aca="false">IFERROR(MIN(Eingaben!$B$18,MAX(0,F3137-I3137)),0)</f>
        <v>1.7442</v>
      </c>
      <c r="K3137" s="13" t="n">
        <f aca="false">H3137+I3137</f>
        <v>1.068</v>
      </c>
      <c r="L3137" s="13" t="n">
        <f aca="false">MAX(0,D3137-K3137)</f>
        <v>0</v>
      </c>
      <c r="M3137" s="13" t="n">
        <f aca="false">MAX(0,F3137-I3137-J3137)</f>
        <v>0</v>
      </c>
      <c r="N3137" s="13" t="n">
        <f aca="false">IF(Kalender!A209="",0,J3136-H3137)</f>
        <v>0.6762</v>
      </c>
    </row>
    <row r="3138" customFormat="false" ht="16.4" hidden="false" customHeight="false" outlineLevel="0" collapsed="false">
      <c r="A3138" s="13" t="str">
        <f aca="false">""</f>
        <v/>
      </c>
      <c r="B3138" s="13" t="n">
        <f aca="false">206</f>
        <v>206</v>
      </c>
      <c r="C3138" s="13" t="n">
        <f aca="false">IF(Szenarien!$H$19="OK",(IFERROR(SUMIF(Nutzungsprofile!$B$6:$B$11,"Schulbetrieb",Nutzungsprofile!$G$6:$G$11)*Kalender!C210/SUM(Kalender!$C$5:$C$370),0)+IFERROR(SUMIF(Nutzungsprofile!$B$6:$B$11,"Halle",Nutzungsprofile!$G$6:$G$11)*Kalender!D210/SUM(Kalender!$D$5:$D$370),0)+IFERROR(SUMIF(Nutzungsprofile!$B$6:$B$11,"Individuell",Nutzungsprofile!$G$6:$G$11)*Kalender!E210/SUM(Kalender!$E$5:$E$370),0))*Szenarien!$E$19,0)</f>
        <v>2.04</v>
      </c>
      <c r="D3138" s="13" t="n">
        <f aca="false">IF(Szenarien!$H$19="OK",(IFERROR(SUMIF(Nutzungsprofile!$B$17:$B$22,"Schulbetrieb",Nutzungsprofile!$G$17:$G$22)*Kalender!C210/SUM(Kalender!$C$5:$C$370),0)+IFERROR(SUMIF(Nutzungsprofile!$B$17:$B$22,"Halle",Nutzungsprofile!$G$17:$G$22)*Kalender!D210/SUM(Kalender!$D$5:$D$370),0)+IFERROR(SUMIF(Nutzungsprofile!$B$17:$B$22,"Individuell",Nutzungsprofile!$G$17:$G$22)*Kalender!E210/SUM(Kalender!$E$5:$E$370),0))*Szenarien!$D$19,0)</f>
        <v>1.068</v>
      </c>
      <c r="E3138" s="13" t="n">
        <f aca="false">IFERROR(MIN(C3138,Eingaben!$B$17)*Eingaben!$B$16,0)</f>
        <v>1.938</v>
      </c>
      <c r="F3138" s="13" t="n">
        <f aca="false">IFERROR(E3138*Eingaben!$B$15,0)</f>
        <v>1.7442</v>
      </c>
      <c r="G3138" s="13" t="n">
        <f aca="false">IFERROR(IF(Kalender!A210="",0,J3137*(1-Eingaben!$B$20)),0)</f>
        <v>1.709316</v>
      </c>
      <c r="H3138" s="13" t="n">
        <f aca="false">MIN(G3138,D3138)</f>
        <v>1.068</v>
      </c>
      <c r="I3138" s="13" t="n">
        <f aca="false">IFERROR(MIN(F3138*Eingaben!$B$19,MAX(0,D3138-H3138)),0)</f>
        <v>0</v>
      </c>
      <c r="J3138" s="13" t="n">
        <f aca="false">IFERROR(MIN(Eingaben!$B$18,MAX(0,F3138-I3138)),0)</f>
        <v>1.7442</v>
      </c>
      <c r="K3138" s="13" t="n">
        <f aca="false">H3138+I3138</f>
        <v>1.068</v>
      </c>
      <c r="L3138" s="13" t="n">
        <f aca="false">MAX(0,D3138-K3138)</f>
        <v>0</v>
      </c>
      <c r="M3138" s="13" t="n">
        <f aca="false">MAX(0,F3138-I3138-J3138)</f>
        <v>0</v>
      </c>
      <c r="N3138" s="13" t="n">
        <f aca="false">IF(Kalender!A210="",0,J3137-H3138)</f>
        <v>0.6762</v>
      </c>
    </row>
    <row r="3139" customFormat="false" ht="16.4" hidden="false" customHeight="false" outlineLevel="0" collapsed="false">
      <c r="A3139" s="13" t="str">
        <f aca="false">""</f>
        <v/>
      </c>
      <c r="B3139" s="13" t="n">
        <f aca="false">207</f>
        <v>207</v>
      </c>
      <c r="C3139" s="13" t="n">
        <f aca="false">IF(Szenarien!$H$19="OK",(IFERROR(SUMIF(Nutzungsprofile!$B$6:$B$11,"Schulbetrieb",Nutzungsprofile!$G$6:$G$11)*Kalender!C211/SUM(Kalender!$C$5:$C$370),0)+IFERROR(SUMIF(Nutzungsprofile!$B$6:$B$11,"Halle",Nutzungsprofile!$G$6:$G$11)*Kalender!D211/SUM(Kalender!$D$5:$D$370),0)+IFERROR(SUMIF(Nutzungsprofile!$B$6:$B$11,"Individuell",Nutzungsprofile!$G$6:$G$11)*Kalender!E211/SUM(Kalender!$E$5:$E$370),0))*Szenarien!$E$19,0)</f>
        <v>2.04</v>
      </c>
      <c r="D3139" s="13" t="n">
        <f aca="false">IF(Szenarien!$H$19="OK",(IFERROR(SUMIF(Nutzungsprofile!$B$17:$B$22,"Schulbetrieb",Nutzungsprofile!$G$17:$G$22)*Kalender!C211/SUM(Kalender!$C$5:$C$370),0)+IFERROR(SUMIF(Nutzungsprofile!$B$17:$B$22,"Halle",Nutzungsprofile!$G$17:$G$22)*Kalender!D211/SUM(Kalender!$D$5:$D$370),0)+IFERROR(SUMIF(Nutzungsprofile!$B$17:$B$22,"Individuell",Nutzungsprofile!$G$17:$G$22)*Kalender!E211/SUM(Kalender!$E$5:$E$370),0))*Szenarien!$D$19,0)</f>
        <v>1.068</v>
      </c>
      <c r="E3139" s="13" t="n">
        <f aca="false">IFERROR(MIN(C3139,Eingaben!$B$17)*Eingaben!$B$16,0)</f>
        <v>1.938</v>
      </c>
      <c r="F3139" s="13" t="n">
        <f aca="false">IFERROR(E3139*Eingaben!$B$15,0)</f>
        <v>1.7442</v>
      </c>
      <c r="G3139" s="13" t="n">
        <f aca="false">IFERROR(IF(Kalender!A211="",0,J3138*(1-Eingaben!$B$20)),0)</f>
        <v>1.709316</v>
      </c>
      <c r="H3139" s="13" t="n">
        <f aca="false">MIN(G3139,D3139)</f>
        <v>1.068</v>
      </c>
      <c r="I3139" s="13" t="n">
        <f aca="false">IFERROR(MIN(F3139*Eingaben!$B$19,MAX(0,D3139-H3139)),0)</f>
        <v>0</v>
      </c>
      <c r="J3139" s="13" t="n">
        <f aca="false">IFERROR(MIN(Eingaben!$B$18,MAX(0,F3139-I3139)),0)</f>
        <v>1.7442</v>
      </c>
      <c r="K3139" s="13" t="n">
        <f aca="false">H3139+I3139</f>
        <v>1.068</v>
      </c>
      <c r="L3139" s="13" t="n">
        <f aca="false">MAX(0,D3139-K3139)</f>
        <v>0</v>
      </c>
      <c r="M3139" s="13" t="n">
        <f aca="false">MAX(0,F3139-I3139-J3139)</f>
        <v>0</v>
      </c>
      <c r="N3139" s="13" t="n">
        <f aca="false">IF(Kalender!A211="",0,J3138-H3139)</f>
        <v>0.6762</v>
      </c>
    </row>
    <row r="3140" customFormat="false" ht="16.4" hidden="false" customHeight="false" outlineLevel="0" collapsed="false">
      <c r="A3140" s="13" t="str">
        <f aca="false">""</f>
        <v/>
      </c>
      <c r="B3140" s="13" t="n">
        <f aca="false">208</f>
        <v>208</v>
      </c>
      <c r="C3140" s="13" t="n">
        <f aca="false">IF(Szenarien!$H$19="OK",(IFERROR(SUMIF(Nutzungsprofile!$B$6:$B$11,"Schulbetrieb",Nutzungsprofile!$G$6:$G$11)*Kalender!C212/SUM(Kalender!$C$5:$C$370),0)+IFERROR(SUMIF(Nutzungsprofile!$B$6:$B$11,"Halle",Nutzungsprofile!$G$6:$G$11)*Kalender!D212/SUM(Kalender!$D$5:$D$370),0)+IFERROR(SUMIF(Nutzungsprofile!$B$6:$B$11,"Individuell",Nutzungsprofile!$G$6:$G$11)*Kalender!E212/SUM(Kalender!$E$5:$E$370),0))*Szenarien!$E$19,0)</f>
        <v>2.04</v>
      </c>
      <c r="D3140" s="13" t="n">
        <f aca="false">IF(Szenarien!$H$19="OK",(IFERROR(SUMIF(Nutzungsprofile!$B$17:$B$22,"Schulbetrieb",Nutzungsprofile!$G$17:$G$22)*Kalender!C212/SUM(Kalender!$C$5:$C$370),0)+IFERROR(SUMIF(Nutzungsprofile!$B$17:$B$22,"Halle",Nutzungsprofile!$G$17:$G$22)*Kalender!D212/SUM(Kalender!$D$5:$D$370),0)+IFERROR(SUMIF(Nutzungsprofile!$B$17:$B$22,"Individuell",Nutzungsprofile!$G$17:$G$22)*Kalender!E212/SUM(Kalender!$E$5:$E$370),0))*Szenarien!$D$19,0)</f>
        <v>1.068</v>
      </c>
      <c r="E3140" s="13" t="n">
        <f aca="false">IFERROR(MIN(C3140,Eingaben!$B$17)*Eingaben!$B$16,0)</f>
        <v>1.938</v>
      </c>
      <c r="F3140" s="13" t="n">
        <f aca="false">IFERROR(E3140*Eingaben!$B$15,0)</f>
        <v>1.7442</v>
      </c>
      <c r="G3140" s="13" t="n">
        <f aca="false">IFERROR(IF(Kalender!A212="",0,J3139*(1-Eingaben!$B$20)),0)</f>
        <v>1.709316</v>
      </c>
      <c r="H3140" s="13" t="n">
        <f aca="false">MIN(G3140,D3140)</f>
        <v>1.068</v>
      </c>
      <c r="I3140" s="13" t="n">
        <f aca="false">IFERROR(MIN(F3140*Eingaben!$B$19,MAX(0,D3140-H3140)),0)</f>
        <v>0</v>
      </c>
      <c r="J3140" s="13" t="n">
        <f aca="false">IFERROR(MIN(Eingaben!$B$18,MAX(0,F3140-I3140)),0)</f>
        <v>1.7442</v>
      </c>
      <c r="K3140" s="13" t="n">
        <f aca="false">H3140+I3140</f>
        <v>1.068</v>
      </c>
      <c r="L3140" s="13" t="n">
        <f aca="false">MAX(0,D3140-K3140)</f>
        <v>0</v>
      </c>
      <c r="M3140" s="13" t="n">
        <f aca="false">MAX(0,F3140-I3140-J3140)</f>
        <v>0</v>
      </c>
      <c r="N3140" s="13" t="n">
        <f aca="false">IF(Kalender!A212="",0,J3139-H3140)</f>
        <v>0.6762</v>
      </c>
    </row>
    <row r="3141" customFormat="false" ht="16.4" hidden="false" customHeight="false" outlineLevel="0" collapsed="false">
      <c r="A3141" s="13" t="str">
        <f aca="false">""</f>
        <v/>
      </c>
      <c r="B3141" s="13" t="n">
        <f aca="false">209</f>
        <v>209</v>
      </c>
      <c r="C3141" s="13" t="n">
        <f aca="false">IF(Szenarien!$H$19="OK",(IFERROR(SUMIF(Nutzungsprofile!$B$6:$B$11,"Schulbetrieb",Nutzungsprofile!$G$6:$G$11)*Kalender!C213/SUM(Kalender!$C$5:$C$370),0)+IFERROR(SUMIF(Nutzungsprofile!$B$6:$B$11,"Halle",Nutzungsprofile!$G$6:$G$11)*Kalender!D213/SUM(Kalender!$D$5:$D$370),0)+IFERROR(SUMIF(Nutzungsprofile!$B$6:$B$11,"Individuell",Nutzungsprofile!$G$6:$G$11)*Kalender!E213/SUM(Kalender!$E$5:$E$370),0))*Szenarien!$E$19,0)</f>
        <v>2.04</v>
      </c>
      <c r="D3141" s="13" t="n">
        <f aca="false">IF(Szenarien!$H$19="OK",(IFERROR(SUMIF(Nutzungsprofile!$B$17:$B$22,"Schulbetrieb",Nutzungsprofile!$G$17:$G$22)*Kalender!C213/SUM(Kalender!$C$5:$C$370),0)+IFERROR(SUMIF(Nutzungsprofile!$B$17:$B$22,"Halle",Nutzungsprofile!$G$17:$G$22)*Kalender!D213/SUM(Kalender!$D$5:$D$370),0)+IFERROR(SUMIF(Nutzungsprofile!$B$17:$B$22,"Individuell",Nutzungsprofile!$G$17:$G$22)*Kalender!E213/SUM(Kalender!$E$5:$E$370),0))*Szenarien!$D$19,0)</f>
        <v>1.068</v>
      </c>
      <c r="E3141" s="13" t="n">
        <f aca="false">IFERROR(MIN(C3141,Eingaben!$B$17)*Eingaben!$B$16,0)</f>
        <v>1.938</v>
      </c>
      <c r="F3141" s="13" t="n">
        <f aca="false">IFERROR(E3141*Eingaben!$B$15,0)</f>
        <v>1.7442</v>
      </c>
      <c r="G3141" s="13" t="n">
        <f aca="false">IFERROR(IF(Kalender!A213="",0,J3140*(1-Eingaben!$B$20)),0)</f>
        <v>1.709316</v>
      </c>
      <c r="H3141" s="13" t="n">
        <f aca="false">MIN(G3141,D3141)</f>
        <v>1.068</v>
      </c>
      <c r="I3141" s="13" t="n">
        <f aca="false">IFERROR(MIN(F3141*Eingaben!$B$19,MAX(0,D3141-H3141)),0)</f>
        <v>0</v>
      </c>
      <c r="J3141" s="13" t="n">
        <f aca="false">IFERROR(MIN(Eingaben!$B$18,MAX(0,F3141-I3141)),0)</f>
        <v>1.7442</v>
      </c>
      <c r="K3141" s="13" t="n">
        <f aca="false">H3141+I3141</f>
        <v>1.068</v>
      </c>
      <c r="L3141" s="13" t="n">
        <f aca="false">MAX(0,D3141-K3141)</f>
        <v>0</v>
      </c>
      <c r="M3141" s="13" t="n">
        <f aca="false">MAX(0,F3141-I3141-J3141)</f>
        <v>0</v>
      </c>
      <c r="N3141" s="13" t="n">
        <f aca="false">IF(Kalender!A213="",0,J3140-H3141)</f>
        <v>0.6762</v>
      </c>
    </row>
    <row r="3142" customFormat="false" ht="16.4" hidden="false" customHeight="false" outlineLevel="0" collapsed="false">
      <c r="A3142" s="13" t="str">
        <f aca="false">""</f>
        <v/>
      </c>
      <c r="B3142" s="13" t="n">
        <f aca="false">210</f>
        <v>210</v>
      </c>
      <c r="C3142" s="13" t="n">
        <f aca="false">IF(Szenarien!$H$19="OK",(IFERROR(SUMIF(Nutzungsprofile!$B$6:$B$11,"Schulbetrieb",Nutzungsprofile!$G$6:$G$11)*Kalender!C214/SUM(Kalender!$C$5:$C$370),0)+IFERROR(SUMIF(Nutzungsprofile!$B$6:$B$11,"Halle",Nutzungsprofile!$G$6:$G$11)*Kalender!D214/SUM(Kalender!$D$5:$D$370),0)+IFERROR(SUMIF(Nutzungsprofile!$B$6:$B$11,"Individuell",Nutzungsprofile!$G$6:$G$11)*Kalender!E214/SUM(Kalender!$E$5:$E$370),0))*Szenarien!$E$19,0)</f>
        <v>2.04</v>
      </c>
      <c r="D3142" s="13" t="n">
        <f aca="false">IF(Szenarien!$H$19="OK",(IFERROR(SUMIF(Nutzungsprofile!$B$17:$B$22,"Schulbetrieb",Nutzungsprofile!$G$17:$G$22)*Kalender!C214/SUM(Kalender!$C$5:$C$370),0)+IFERROR(SUMIF(Nutzungsprofile!$B$17:$B$22,"Halle",Nutzungsprofile!$G$17:$G$22)*Kalender!D214/SUM(Kalender!$D$5:$D$370),0)+IFERROR(SUMIF(Nutzungsprofile!$B$17:$B$22,"Individuell",Nutzungsprofile!$G$17:$G$22)*Kalender!E214/SUM(Kalender!$E$5:$E$370),0))*Szenarien!$D$19,0)</f>
        <v>1.068</v>
      </c>
      <c r="E3142" s="13" t="n">
        <f aca="false">IFERROR(MIN(C3142,Eingaben!$B$17)*Eingaben!$B$16,0)</f>
        <v>1.938</v>
      </c>
      <c r="F3142" s="13" t="n">
        <f aca="false">IFERROR(E3142*Eingaben!$B$15,0)</f>
        <v>1.7442</v>
      </c>
      <c r="G3142" s="13" t="n">
        <f aca="false">IFERROR(IF(Kalender!A214="",0,J3141*(1-Eingaben!$B$20)),0)</f>
        <v>1.709316</v>
      </c>
      <c r="H3142" s="13" t="n">
        <f aca="false">MIN(G3142,D3142)</f>
        <v>1.068</v>
      </c>
      <c r="I3142" s="13" t="n">
        <f aca="false">IFERROR(MIN(F3142*Eingaben!$B$19,MAX(0,D3142-H3142)),0)</f>
        <v>0</v>
      </c>
      <c r="J3142" s="13" t="n">
        <f aca="false">IFERROR(MIN(Eingaben!$B$18,MAX(0,F3142-I3142)),0)</f>
        <v>1.7442</v>
      </c>
      <c r="K3142" s="13" t="n">
        <f aca="false">H3142+I3142</f>
        <v>1.068</v>
      </c>
      <c r="L3142" s="13" t="n">
        <f aca="false">MAX(0,D3142-K3142)</f>
        <v>0</v>
      </c>
      <c r="M3142" s="13" t="n">
        <f aca="false">MAX(0,F3142-I3142-J3142)</f>
        <v>0</v>
      </c>
      <c r="N3142" s="13" t="n">
        <f aca="false">IF(Kalender!A214="",0,J3141-H3142)</f>
        <v>0.6762</v>
      </c>
    </row>
    <row r="3143" customFormat="false" ht="16.4" hidden="false" customHeight="false" outlineLevel="0" collapsed="false">
      <c r="A3143" s="13" t="str">
        <f aca="false">""</f>
        <v/>
      </c>
      <c r="B3143" s="13" t="n">
        <f aca="false">211</f>
        <v>211</v>
      </c>
      <c r="C3143" s="13" t="n">
        <f aca="false">IF(Szenarien!$H$19="OK",(IFERROR(SUMIF(Nutzungsprofile!$B$6:$B$11,"Schulbetrieb",Nutzungsprofile!$G$6:$G$11)*Kalender!C215/SUM(Kalender!$C$5:$C$370),0)+IFERROR(SUMIF(Nutzungsprofile!$B$6:$B$11,"Halle",Nutzungsprofile!$G$6:$G$11)*Kalender!D215/SUM(Kalender!$D$5:$D$370),0)+IFERROR(SUMIF(Nutzungsprofile!$B$6:$B$11,"Individuell",Nutzungsprofile!$G$6:$G$11)*Kalender!E215/SUM(Kalender!$E$5:$E$370),0))*Szenarien!$E$19,0)</f>
        <v>2.04</v>
      </c>
      <c r="D3143" s="13" t="n">
        <f aca="false">IF(Szenarien!$H$19="OK",(IFERROR(SUMIF(Nutzungsprofile!$B$17:$B$22,"Schulbetrieb",Nutzungsprofile!$G$17:$G$22)*Kalender!C215/SUM(Kalender!$C$5:$C$370),0)+IFERROR(SUMIF(Nutzungsprofile!$B$17:$B$22,"Halle",Nutzungsprofile!$G$17:$G$22)*Kalender!D215/SUM(Kalender!$D$5:$D$370),0)+IFERROR(SUMIF(Nutzungsprofile!$B$17:$B$22,"Individuell",Nutzungsprofile!$G$17:$G$22)*Kalender!E215/SUM(Kalender!$E$5:$E$370),0))*Szenarien!$D$19,0)</f>
        <v>1.068</v>
      </c>
      <c r="E3143" s="13" t="n">
        <f aca="false">IFERROR(MIN(C3143,Eingaben!$B$17)*Eingaben!$B$16,0)</f>
        <v>1.938</v>
      </c>
      <c r="F3143" s="13" t="n">
        <f aca="false">IFERROR(E3143*Eingaben!$B$15,0)</f>
        <v>1.7442</v>
      </c>
      <c r="G3143" s="13" t="n">
        <f aca="false">IFERROR(IF(Kalender!A215="",0,J3142*(1-Eingaben!$B$20)),0)</f>
        <v>1.709316</v>
      </c>
      <c r="H3143" s="13" t="n">
        <f aca="false">MIN(G3143,D3143)</f>
        <v>1.068</v>
      </c>
      <c r="I3143" s="13" t="n">
        <f aca="false">IFERROR(MIN(F3143*Eingaben!$B$19,MAX(0,D3143-H3143)),0)</f>
        <v>0</v>
      </c>
      <c r="J3143" s="13" t="n">
        <f aca="false">IFERROR(MIN(Eingaben!$B$18,MAX(0,F3143-I3143)),0)</f>
        <v>1.7442</v>
      </c>
      <c r="K3143" s="13" t="n">
        <f aca="false">H3143+I3143</f>
        <v>1.068</v>
      </c>
      <c r="L3143" s="13" t="n">
        <f aca="false">MAX(0,D3143-K3143)</f>
        <v>0</v>
      </c>
      <c r="M3143" s="13" t="n">
        <f aca="false">MAX(0,F3143-I3143-J3143)</f>
        <v>0</v>
      </c>
      <c r="N3143" s="13" t="n">
        <f aca="false">IF(Kalender!A215="",0,J3142-H3143)</f>
        <v>0.6762</v>
      </c>
    </row>
    <row r="3144" customFormat="false" ht="16.4" hidden="false" customHeight="false" outlineLevel="0" collapsed="false">
      <c r="A3144" s="13" t="str">
        <f aca="false">""</f>
        <v/>
      </c>
      <c r="B3144" s="13" t="n">
        <f aca="false">212</f>
        <v>212</v>
      </c>
      <c r="C3144" s="13" t="n">
        <f aca="false">IF(Szenarien!$H$19="OK",(IFERROR(SUMIF(Nutzungsprofile!$B$6:$B$11,"Schulbetrieb",Nutzungsprofile!$G$6:$G$11)*Kalender!C216/SUM(Kalender!$C$5:$C$370),0)+IFERROR(SUMIF(Nutzungsprofile!$B$6:$B$11,"Halle",Nutzungsprofile!$G$6:$G$11)*Kalender!D216/SUM(Kalender!$D$5:$D$370),0)+IFERROR(SUMIF(Nutzungsprofile!$B$6:$B$11,"Individuell",Nutzungsprofile!$G$6:$G$11)*Kalender!E216/SUM(Kalender!$E$5:$E$370),0))*Szenarien!$E$19,0)</f>
        <v>2.04</v>
      </c>
      <c r="D3144" s="13" t="n">
        <f aca="false">IF(Szenarien!$H$19="OK",(IFERROR(SUMIF(Nutzungsprofile!$B$17:$B$22,"Schulbetrieb",Nutzungsprofile!$G$17:$G$22)*Kalender!C216/SUM(Kalender!$C$5:$C$370),0)+IFERROR(SUMIF(Nutzungsprofile!$B$17:$B$22,"Halle",Nutzungsprofile!$G$17:$G$22)*Kalender!D216/SUM(Kalender!$D$5:$D$370),0)+IFERROR(SUMIF(Nutzungsprofile!$B$17:$B$22,"Individuell",Nutzungsprofile!$G$17:$G$22)*Kalender!E216/SUM(Kalender!$E$5:$E$370),0))*Szenarien!$D$19,0)</f>
        <v>1.068</v>
      </c>
      <c r="E3144" s="13" t="n">
        <f aca="false">IFERROR(MIN(C3144,Eingaben!$B$17)*Eingaben!$B$16,0)</f>
        <v>1.938</v>
      </c>
      <c r="F3144" s="13" t="n">
        <f aca="false">IFERROR(E3144*Eingaben!$B$15,0)</f>
        <v>1.7442</v>
      </c>
      <c r="G3144" s="13" t="n">
        <f aca="false">IFERROR(IF(Kalender!A216="",0,J3143*(1-Eingaben!$B$20)),0)</f>
        <v>1.709316</v>
      </c>
      <c r="H3144" s="13" t="n">
        <f aca="false">MIN(G3144,D3144)</f>
        <v>1.068</v>
      </c>
      <c r="I3144" s="13" t="n">
        <f aca="false">IFERROR(MIN(F3144*Eingaben!$B$19,MAX(0,D3144-H3144)),0)</f>
        <v>0</v>
      </c>
      <c r="J3144" s="13" t="n">
        <f aca="false">IFERROR(MIN(Eingaben!$B$18,MAX(0,F3144-I3144)),0)</f>
        <v>1.7442</v>
      </c>
      <c r="K3144" s="13" t="n">
        <f aca="false">H3144+I3144</f>
        <v>1.068</v>
      </c>
      <c r="L3144" s="13" t="n">
        <f aca="false">MAX(0,D3144-K3144)</f>
        <v>0</v>
      </c>
      <c r="M3144" s="13" t="n">
        <f aca="false">MAX(0,F3144-I3144-J3144)</f>
        <v>0</v>
      </c>
      <c r="N3144" s="13" t="n">
        <f aca="false">IF(Kalender!A216="",0,J3143-H3144)</f>
        <v>0.6762</v>
      </c>
    </row>
    <row r="3145" customFormat="false" ht="16.4" hidden="false" customHeight="false" outlineLevel="0" collapsed="false">
      <c r="A3145" s="13" t="str">
        <f aca="false">""</f>
        <v/>
      </c>
      <c r="B3145" s="13" t="n">
        <f aca="false">213</f>
        <v>213</v>
      </c>
      <c r="C3145" s="13" t="n">
        <f aca="false">IF(Szenarien!$H$19="OK",(IFERROR(SUMIF(Nutzungsprofile!$B$6:$B$11,"Schulbetrieb",Nutzungsprofile!$G$6:$G$11)*Kalender!C217/SUM(Kalender!$C$5:$C$370),0)+IFERROR(SUMIF(Nutzungsprofile!$B$6:$B$11,"Halle",Nutzungsprofile!$G$6:$G$11)*Kalender!D217/SUM(Kalender!$D$5:$D$370),0)+IFERROR(SUMIF(Nutzungsprofile!$B$6:$B$11,"Individuell",Nutzungsprofile!$G$6:$G$11)*Kalender!E217/SUM(Kalender!$E$5:$E$370),0))*Szenarien!$E$19,0)</f>
        <v>2.04</v>
      </c>
      <c r="D3145" s="13" t="n">
        <f aca="false">IF(Szenarien!$H$19="OK",(IFERROR(SUMIF(Nutzungsprofile!$B$17:$B$22,"Schulbetrieb",Nutzungsprofile!$G$17:$G$22)*Kalender!C217/SUM(Kalender!$C$5:$C$370),0)+IFERROR(SUMIF(Nutzungsprofile!$B$17:$B$22,"Halle",Nutzungsprofile!$G$17:$G$22)*Kalender!D217/SUM(Kalender!$D$5:$D$370),0)+IFERROR(SUMIF(Nutzungsprofile!$B$17:$B$22,"Individuell",Nutzungsprofile!$G$17:$G$22)*Kalender!E217/SUM(Kalender!$E$5:$E$370),0))*Szenarien!$D$19,0)</f>
        <v>1.068</v>
      </c>
      <c r="E3145" s="13" t="n">
        <f aca="false">IFERROR(MIN(C3145,Eingaben!$B$17)*Eingaben!$B$16,0)</f>
        <v>1.938</v>
      </c>
      <c r="F3145" s="13" t="n">
        <f aca="false">IFERROR(E3145*Eingaben!$B$15,0)</f>
        <v>1.7442</v>
      </c>
      <c r="G3145" s="13" t="n">
        <f aca="false">IFERROR(IF(Kalender!A217="",0,J3144*(1-Eingaben!$B$20)),0)</f>
        <v>1.709316</v>
      </c>
      <c r="H3145" s="13" t="n">
        <f aca="false">MIN(G3145,D3145)</f>
        <v>1.068</v>
      </c>
      <c r="I3145" s="13" t="n">
        <f aca="false">IFERROR(MIN(F3145*Eingaben!$B$19,MAX(0,D3145-H3145)),0)</f>
        <v>0</v>
      </c>
      <c r="J3145" s="13" t="n">
        <f aca="false">IFERROR(MIN(Eingaben!$B$18,MAX(0,F3145-I3145)),0)</f>
        <v>1.7442</v>
      </c>
      <c r="K3145" s="13" t="n">
        <f aca="false">H3145+I3145</f>
        <v>1.068</v>
      </c>
      <c r="L3145" s="13" t="n">
        <f aca="false">MAX(0,D3145-K3145)</f>
        <v>0</v>
      </c>
      <c r="M3145" s="13" t="n">
        <f aca="false">MAX(0,F3145-I3145-J3145)</f>
        <v>0</v>
      </c>
      <c r="N3145" s="13" t="n">
        <f aca="false">IF(Kalender!A217="",0,J3144-H3145)</f>
        <v>0.6762</v>
      </c>
    </row>
    <row r="3146" customFormat="false" ht="16.4" hidden="false" customHeight="false" outlineLevel="0" collapsed="false">
      <c r="A3146" s="13" t="str">
        <f aca="false">""</f>
        <v/>
      </c>
      <c r="B3146" s="13" t="n">
        <f aca="false">214</f>
        <v>214</v>
      </c>
      <c r="C3146" s="13" t="n">
        <f aca="false">IF(Szenarien!$H$19="OK",(IFERROR(SUMIF(Nutzungsprofile!$B$6:$B$11,"Schulbetrieb",Nutzungsprofile!$G$6:$G$11)*Kalender!C218/SUM(Kalender!$C$5:$C$370),0)+IFERROR(SUMIF(Nutzungsprofile!$B$6:$B$11,"Halle",Nutzungsprofile!$G$6:$G$11)*Kalender!D218/SUM(Kalender!$D$5:$D$370),0)+IFERROR(SUMIF(Nutzungsprofile!$B$6:$B$11,"Individuell",Nutzungsprofile!$G$6:$G$11)*Kalender!E218/SUM(Kalender!$E$5:$E$370),0))*Szenarien!$E$19,0)</f>
        <v>2.04</v>
      </c>
      <c r="D3146" s="13" t="n">
        <f aca="false">IF(Szenarien!$H$19="OK",(IFERROR(SUMIF(Nutzungsprofile!$B$17:$B$22,"Schulbetrieb",Nutzungsprofile!$G$17:$G$22)*Kalender!C218/SUM(Kalender!$C$5:$C$370),0)+IFERROR(SUMIF(Nutzungsprofile!$B$17:$B$22,"Halle",Nutzungsprofile!$G$17:$G$22)*Kalender!D218/SUM(Kalender!$D$5:$D$370),0)+IFERROR(SUMIF(Nutzungsprofile!$B$17:$B$22,"Individuell",Nutzungsprofile!$G$17:$G$22)*Kalender!E218/SUM(Kalender!$E$5:$E$370),0))*Szenarien!$D$19,0)</f>
        <v>1.068</v>
      </c>
      <c r="E3146" s="13" t="n">
        <f aca="false">IFERROR(MIN(C3146,Eingaben!$B$17)*Eingaben!$B$16,0)</f>
        <v>1.938</v>
      </c>
      <c r="F3146" s="13" t="n">
        <f aca="false">IFERROR(E3146*Eingaben!$B$15,0)</f>
        <v>1.7442</v>
      </c>
      <c r="G3146" s="13" t="n">
        <f aca="false">IFERROR(IF(Kalender!A218="",0,J3145*(1-Eingaben!$B$20)),0)</f>
        <v>1.709316</v>
      </c>
      <c r="H3146" s="13" t="n">
        <f aca="false">MIN(G3146,D3146)</f>
        <v>1.068</v>
      </c>
      <c r="I3146" s="13" t="n">
        <f aca="false">IFERROR(MIN(F3146*Eingaben!$B$19,MAX(0,D3146-H3146)),0)</f>
        <v>0</v>
      </c>
      <c r="J3146" s="13" t="n">
        <f aca="false">IFERROR(MIN(Eingaben!$B$18,MAX(0,F3146-I3146)),0)</f>
        <v>1.7442</v>
      </c>
      <c r="K3146" s="13" t="n">
        <f aca="false">H3146+I3146</f>
        <v>1.068</v>
      </c>
      <c r="L3146" s="13" t="n">
        <f aca="false">MAX(0,D3146-K3146)</f>
        <v>0</v>
      </c>
      <c r="M3146" s="13" t="n">
        <f aca="false">MAX(0,F3146-I3146-J3146)</f>
        <v>0</v>
      </c>
      <c r="N3146" s="13" t="n">
        <f aca="false">IF(Kalender!A218="",0,J3145-H3146)</f>
        <v>0.6762</v>
      </c>
    </row>
    <row r="3147" customFormat="false" ht="16.4" hidden="false" customHeight="false" outlineLevel="0" collapsed="false">
      <c r="A3147" s="13" t="str">
        <f aca="false">""</f>
        <v/>
      </c>
      <c r="B3147" s="13" t="n">
        <f aca="false">215</f>
        <v>215</v>
      </c>
      <c r="C3147" s="13" t="n">
        <f aca="false">IF(Szenarien!$H$19="OK",(IFERROR(SUMIF(Nutzungsprofile!$B$6:$B$11,"Schulbetrieb",Nutzungsprofile!$G$6:$G$11)*Kalender!C219/SUM(Kalender!$C$5:$C$370),0)+IFERROR(SUMIF(Nutzungsprofile!$B$6:$B$11,"Halle",Nutzungsprofile!$G$6:$G$11)*Kalender!D219/SUM(Kalender!$D$5:$D$370),0)+IFERROR(SUMIF(Nutzungsprofile!$B$6:$B$11,"Individuell",Nutzungsprofile!$G$6:$G$11)*Kalender!E219/SUM(Kalender!$E$5:$E$370),0))*Szenarien!$E$19,0)</f>
        <v>2.04</v>
      </c>
      <c r="D3147" s="13" t="n">
        <f aca="false">IF(Szenarien!$H$19="OK",(IFERROR(SUMIF(Nutzungsprofile!$B$17:$B$22,"Schulbetrieb",Nutzungsprofile!$G$17:$G$22)*Kalender!C219/SUM(Kalender!$C$5:$C$370),0)+IFERROR(SUMIF(Nutzungsprofile!$B$17:$B$22,"Halle",Nutzungsprofile!$G$17:$G$22)*Kalender!D219/SUM(Kalender!$D$5:$D$370),0)+IFERROR(SUMIF(Nutzungsprofile!$B$17:$B$22,"Individuell",Nutzungsprofile!$G$17:$G$22)*Kalender!E219/SUM(Kalender!$E$5:$E$370),0))*Szenarien!$D$19,0)</f>
        <v>1.068</v>
      </c>
      <c r="E3147" s="13" t="n">
        <f aca="false">IFERROR(MIN(C3147,Eingaben!$B$17)*Eingaben!$B$16,0)</f>
        <v>1.938</v>
      </c>
      <c r="F3147" s="13" t="n">
        <f aca="false">IFERROR(E3147*Eingaben!$B$15,0)</f>
        <v>1.7442</v>
      </c>
      <c r="G3147" s="13" t="n">
        <f aca="false">IFERROR(IF(Kalender!A219="",0,J3146*(1-Eingaben!$B$20)),0)</f>
        <v>1.709316</v>
      </c>
      <c r="H3147" s="13" t="n">
        <f aca="false">MIN(G3147,D3147)</f>
        <v>1.068</v>
      </c>
      <c r="I3147" s="13" t="n">
        <f aca="false">IFERROR(MIN(F3147*Eingaben!$B$19,MAX(0,D3147-H3147)),0)</f>
        <v>0</v>
      </c>
      <c r="J3147" s="13" t="n">
        <f aca="false">IFERROR(MIN(Eingaben!$B$18,MAX(0,F3147-I3147)),0)</f>
        <v>1.7442</v>
      </c>
      <c r="K3147" s="13" t="n">
        <f aca="false">H3147+I3147</f>
        <v>1.068</v>
      </c>
      <c r="L3147" s="13" t="n">
        <f aca="false">MAX(0,D3147-K3147)</f>
        <v>0</v>
      </c>
      <c r="M3147" s="13" t="n">
        <f aca="false">MAX(0,F3147-I3147-J3147)</f>
        <v>0</v>
      </c>
      <c r="N3147" s="13" t="n">
        <f aca="false">IF(Kalender!A219="",0,J3146-H3147)</f>
        <v>0.6762</v>
      </c>
    </row>
    <row r="3148" customFormat="false" ht="16.4" hidden="false" customHeight="false" outlineLevel="0" collapsed="false">
      <c r="A3148" s="13" t="str">
        <f aca="false">""</f>
        <v/>
      </c>
      <c r="B3148" s="13" t="n">
        <f aca="false">216</f>
        <v>216</v>
      </c>
      <c r="C3148" s="13" t="n">
        <f aca="false">IF(Szenarien!$H$19="OK",(IFERROR(SUMIF(Nutzungsprofile!$B$6:$B$11,"Schulbetrieb",Nutzungsprofile!$G$6:$G$11)*Kalender!C220/SUM(Kalender!$C$5:$C$370),0)+IFERROR(SUMIF(Nutzungsprofile!$B$6:$B$11,"Halle",Nutzungsprofile!$G$6:$G$11)*Kalender!D220/SUM(Kalender!$D$5:$D$370),0)+IFERROR(SUMIF(Nutzungsprofile!$B$6:$B$11,"Individuell",Nutzungsprofile!$G$6:$G$11)*Kalender!E220/SUM(Kalender!$E$5:$E$370),0))*Szenarien!$E$19,0)</f>
        <v>2.04</v>
      </c>
      <c r="D3148" s="13" t="n">
        <f aca="false">IF(Szenarien!$H$19="OK",(IFERROR(SUMIF(Nutzungsprofile!$B$17:$B$22,"Schulbetrieb",Nutzungsprofile!$G$17:$G$22)*Kalender!C220/SUM(Kalender!$C$5:$C$370),0)+IFERROR(SUMIF(Nutzungsprofile!$B$17:$B$22,"Halle",Nutzungsprofile!$G$17:$G$22)*Kalender!D220/SUM(Kalender!$D$5:$D$370),0)+IFERROR(SUMIF(Nutzungsprofile!$B$17:$B$22,"Individuell",Nutzungsprofile!$G$17:$G$22)*Kalender!E220/SUM(Kalender!$E$5:$E$370),0))*Szenarien!$D$19,0)</f>
        <v>1.068</v>
      </c>
      <c r="E3148" s="13" t="n">
        <f aca="false">IFERROR(MIN(C3148,Eingaben!$B$17)*Eingaben!$B$16,0)</f>
        <v>1.938</v>
      </c>
      <c r="F3148" s="13" t="n">
        <f aca="false">IFERROR(E3148*Eingaben!$B$15,0)</f>
        <v>1.7442</v>
      </c>
      <c r="G3148" s="13" t="n">
        <f aca="false">IFERROR(IF(Kalender!A220="",0,J3147*(1-Eingaben!$B$20)),0)</f>
        <v>1.709316</v>
      </c>
      <c r="H3148" s="13" t="n">
        <f aca="false">MIN(G3148,D3148)</f>
        <v>1.068</v>
      </c>
      <c r="I3148" s="13" t="n">
        <f aca="false">IFERROR(MIN(F3148*Eingaben!$B$19,MAX(0,D3148-H3148)),0)</f>
        <v>0</v>
      </c>
      <c r="J3148" s="13" t="n">
        <f aca="false">IFERROR(MIN(Eingaben!$B$18,MAX(0,F3148-I3148)),0)</f>
        <v>1.7442</v>
      </c>
      <c r="K3148" s="13" t="n">
        <f aca="false">H3148+I3148</f>
        <v>1.068</v>
      </c>
      <c r="L3148" s="13" t="n">
        <f aca="false">MAX(0,D3148-K3148)</f>
        <v>0</v>
      </c>
      <c r="M3148" s="13" t="n">
        <f aca="false">MAX(0,F3148-I3148-J3148)</f>
        <v>0</v>
      </c>
      <c r="N3148" s="13" t="n">
        <f aca="false">IF(Kalender!A220="",0,J3147-H3148)</f>
        <v>0.6762</v>
      </c>
    </row>
    <row r="3149" customFormat="false" ht="16.4" hidden="false" customHeight="false" outlineLevel="0" collapsed="false">
      <c r="A3149" s="13" t="str">
        <f aca="false">""</f>
        <v/>
      </c>
      <c r="B3149" s="13" t="n">
        <f aca="false">217</f>
        <v>217</v>
      </c>
      <c r="C3149" s="13" t="n">
        <f aca="false">IF(Szenarien!$H$19="OK",(IFERROR(SUMIF(Nutzungsprofile!$B$6:$B$11,"Schulbetrieb",Nutzungsprofile!$G$6:$G$11)*Kalender!C221/SUM(Kalender!$C$5:$C$370),0)+IFERROR(SUMIF(Nutzungsprofile!$B$6:$B$11,"Halle",Nutzungsprofile!$G$6:$G$11)*Kalender!D221/SUM(Kalender!$D$5:$D$370),0)+IFERROR(SUMIF(Nutzungsprofile!$B$6:$B$11,"Individuell",Nutzungsprofile!$G$6:$G$11)*Kalender!E221/SUM(Kalender!$E$5:$E$370),0))*Szenarien!$E$19,0)</f>
        <v>2.04</v>
      </c>
      <c r="D3149" s="13" t="n">
        <f aca="false">IF(Szenarien!$H$19="OK",(IFERROR(SUMIF(Nutzungsprofile!$B$17:$B$22,"Schulbetrieb",Nutzungsprofile!$G$17:$G$22)*Kalender!C221/SUM(Kalender!$C$5:$C$370),0)+IFERROR(SUMIF(Nutzungsprofile!$B$17:$B$22,"Halle",Nutzungsprofile!$G$17:$G$22)*Kalender!D221/SUM(Kalender!$D$5:$D$370),0)+IFERROR(SUMIF(Nutzungsprofile!$B$17:$B$22,"Individuell",Nutzungsprofile!$G$17:$G$22)*Kalender!E221/SUM(Kalender!$E$5:$E$370),0))*Szenarien!$D$19,0)</f>
        <v>1.068</v>
      </c>
      <c r="E3149" s="13" t="n">
        <f aca="false">IFERROR(MIN(C3149,Eingaben!$B$17)*Eingaben!$B$16,0)</f>
        <v>1.938</v>
      </c>
      <c r="F3149" s="13" t="n">
        <f aca="false">IFERROR(E3149*Eingaben!$B$15,0)</f>
        <v>1.7442</v>
      </c>
      <c r="G3149" s="13" t="n">
        <f aca="false">IFERROR(IF(Kalender!A221="",0,J3148*(1-Eingaben!$B$20)),0)</f>
        <v>1.709316</v>
      </c>
      <c r="H3149" s="13" t="n">
        <f aca="false">MIN(G3149,D3149)</f>
        <v>1.068</v>
      </c>
      <c r="I3149" s="13" t="n">
        <f aca="false">IFERROR(MIN(F3149*Eingaben!$B$19,MAX(0,D3149-H3149)),0)</f>
        <v>0</v>
      </c>
      <c r="J3149" s="13" t="n">
        <f aca="false">IFERROR(MIN(Eingaben!$B$18,MAX(0,F3149-I3149)),0)</f>
        <v>1.7442</v>
      </c>
      <c r="K3149" s="13" t="n">
        <f aca="false">H3149+I3149</f>
        <v>1.068</v>
      </c>
      <c r="L3149" s="13" t="n">
        <f aca="false">MAX(0,D3149-K3149)</f>
        <v>0</v>
      </c>
      <c r="M3149" s="13" t="n">
        <f aca="false">MAX(0,F3149-I3149-J3149)</f>
        <v>0</v>
      </c>
      <c r="N3149" s="13" t="n">
        <f aca="false">IF(Kalender!A221="",0,J3148-H3149)</f>
        <v>0.6762</v>
      </c>
    </row>
    <row r="3150" customFormat="false" ht="16.4" hidden="false" customHeight="false" outlineLevel="0" collapsed="false">
      <c r="A3150" s="13" t="str">
        <f aca="false">""</f>
        <v/>
      </c>
      <c r="B3150" s="13" t="n">
        <f aca="false">218</f>
        <v>218</v>
      </c>
      <c r="C3150" s="13" t="n">
        <f aca="false">IF(Szenarien!$H$19="OK",(IFERROR(SUMIF(Nutzungsprofile!$B$6:$B$11,"Schulbetrieb",Nutzungsprofile!$G$6:$G$11)*Kalender!C222/SUM(Kalender!$C$5:$C$370),0)+IFERROR(SUMIF(Nutzungsprofile!$B$6:$B$11,"Halle",Nutzungsprofile!$G$6:$G$11)*Kalender!D222/SUM(Kalender!$D$5:$D$370),0)+IFERROR(SUMIF(Nutzungsprofile!$B$6:$B$11,"Individuell",Nutzungsprofile!$G$6:$G$11)*Kalender!E222/SUM(Kalender!$E$5:$E$370),0))*Szenarien!$E$19,0)</f>
        <v>2.04</v>
      </c>
      <c r="D3150" s="13" t="n">
        <f aca="false">IF(Szenarien!$H$19="OK",(IFERROR(SUMIF(Nutzungsprofile!$B$17:$B$22,"Schulbetrieb",Nutzungsprofile!$G$17:$G$22)*Kalender!C222/SUM(Kalender!$C$5:$C$370),0)+IFERROR(SUMIF(Nutzungsprofile!$B$17:$B$22,"Halle",Nutzungsprofile!$G$17:$G$22)*Kalender!D222/SUM(Kalender!$D$5:$D$370),0)+IFERROR(SUMIF(Nutzungsprofile!$B$17:$B$22,"Individuell",Nutzungsprofile!$G$17:$G$22)*Kalender!E222/SUM(Kalender!$E$5:$E$370),0))*Szenarien!$D$19,0)</f>
        <v>1.068</v>
      </c>
      <c r="E3150" s="13" t="n">
        <f aca="false">IFERROR(MIN(C3150,Eingaben!$B$17)*Eingaben!$B$16,0)</f>
        <v>1.938</v>
      </c>
      <c r="F3150" s="13" t="n">
        <f aca="false">IFERROR(E3150*Eingaben!$B$15,0)</f>
        <v>1.7442</v>
      </c>
      <c r="G3150" s="13" t="n">
        <f aca="false">IFERROR(IF(Kalender!A222="",0,J3149*(1-Eingaben!$B$20)),0)</f>
        <v>1.709316</v>
      </c>
      <c r="H3150" s="13" t="n">
        <f aca="false">MIN(G3150,D3150)</f>
        <v>1.068</v>
      </c>
      <c r="I3150" s="13" t="n">
        <f aca="false">IFERROR(MIN(F3150*Eingaben!$B$19,MAX(0,D3150-H3150)),0)</f>
        <v>0</v>
      </c>
      <c r="J3150" s="13" t="n">
        <f aca="false">IFERROR(MIN(Eingaben!$B$18,MAX(0,F3150-I3150)),0)</f>
        <v>1.7442</v>
      </c>
      <c r="K3150" s="13" t="n">
        <f aca="false">H3150+I3150</f>
        <v>1.068</v>
      </c>
      <c r="L3150" s="13" t="n">
        <f aca="false">MAX(0,D3150-K3150)</f>
        <v>0</v>
      </c>
      <c r="M3150" s="13" t="n">
        <f aca="false">MAX(0,F3150-I3150-J3150)</f>
        <v>0</v>
      </c>
      <c r="N3150" s="13" t="n">
        <f aca="false">IF(Kalender!A222="",0,J3149-H3150)</f>
        <v>0.6762</v>
      </c>
    </row>
    <row r="3151" customFormat="false" ht="16.4" hidden="false" customHeight="false" outlineLevel="0" collapsed="false">
      <c r="A3151" s="13" t="str">
        <f aca="false">""</f>
        <v/>
      </c>
      <c r="B3151" s="13" t="n">
        <f aca="false">219</f>
        <v>219</v>
      </c>
      <c r="C3151" s="13" t="n">
        <f aca="false">IF(Szenarien!$H$19="OK",(IFERROR(SUMIF(Nutzungsprofile!$B$6:$B$11,"Schulbetrieb",Nutzungsprofile!$G$6:$G$11)*Kalender!C223/SUM(Kalender!$C$5:$C$370),0)+IFERROR(SUMIF(Nutzungsprofile!$B$6:$B$11,"Halle",Nutzungsprofile!$G$6:$G$11)*Kalender!D223/SUM(Kalender!$D$5:$D$370),0)+IFERROR(SUMIF(Nutzungsprofile!$B$6:$B$11,"Individuell",Nutzungsprofile!$G$6:$G$11)*Kalender!E223/SUM(Kalender!$E$5:$E$370),0))*Szenarien!$E$19,0)</f>
        <v>2.04</v>
      </c>
      <c r="D3151" s="13" t="n">
        <f aca="false">IF(Szenarien!$H$19="OK",(IFERROR(SUMIF(Nutzungsprofile!$B$17:$B$22,"Schulbetrieb",Nutzungsprofile!$G$17:$G$22)*Kalender!C223/SUM(Kalender!$C$5:$C$370),0)+IFERROR(SUMIF(Nutzungsprofile!$B$17:$B$22,"Halle",Nutzungsprofile!$G$17:$G$22)*Kalender!D223/SUM(Kalender!$D$5:$D$370),0)+IFERROR(SUMIF(Nutzungsprofile!$B$17:$B$22,"Individuell",Nutzungsprofile!$G$17:$G$22)*Kalender!E223/SUM(Kalender!$E$5:$E$370),0))*Szenarien!$D$19,0)</f>
        <v>1.068</v>
      </c>
      <c r="E3151" s="13" t="n">
        <f aca="false">IFERROR(MIN(C3151,Eingaben!$B$17)*Eingaben!$B$16,0)</f>
        <v>1.938</v>
      </c>
      <c r="F3151" s="13" t="n">
        <f aca="false">IFERROR(E3151*Eingaben!$B$15,0)</f>
        <v>1.7442</v>
      </c>
      <c r="G3151" s="13" t="n">
        <f aca="false">IFERROR(IF(Kalender!A223="",0,J3150*(1-Eingaben!$B$20)),0)</f>
        <v>1.709316</v>
      </c>
      <c r="H3151" s="13" t="n">
        <f aca="false">MIN(G3151,D3151)</f>
        <v>1.068</v>
      </c>
      <c r="I3151" s="13" t="n">
        <f aca="false">IFERROR(MIN(F3151*Eingaben!$B$19,MAX(0,D3151-H3151)),0)</f>
        <v>0</v>
      </c>
      <c r="J3151" s="13" t="n">
        <f aca="false">IFERROR(MIN(Eingaben!$B$18,MAX(0,F3151-I3151)),0)</f>
        <v>1.7442</v>
      </c>
      <c r="K3151" s="13" t="n">
        <f aca="false">H3151+I3151</f>
        <v>1.068</v>
      </c>
      <c r="L3151" s="13" t="n">
        <f aca="false">MAX(0,D3151-K3151)</f>
        <v>0</v>
      </c>
      <c r="M3151" s="13" t="n">
        <f aca="false">MAX(0,F3151-I3151-J3151)</f>
        <v>0</v>
      </c>
      <c r="N3151" s="13" t="n">
        <f aca="false">IF(Kalender!A223="",0,J3150-H3151)</f>
        <v>0.6762</v>
      </c>
    </row>
    <row r="3152" customFormat="false" ht="16.4" hidden="false" customHeight="false" outlineLevel="0" collapsed="false">
      <c r="A3152" s="13" t="str">
        <f aca="false">""</f>
        <v/>
      </c>
      <c r="B3152" s="13" t="n">
        <f aca="false">220</f>
        <v>220</v>
      </c>
      <c r="C3152" s="13" t="n">
        <f aca="false">IF(Szenarien!$H$19="OK",(IFERROR(SUMIF(Nutzungsprofile!$B$6:$B$11,"Schulbetrieb",Nutzungsprofile!$G$6:$G$11)*Kalender!C224/SUM(Kalender!$C$5:$C$370),0)+IFERROR(SUMIF(Nutzungsprofile!$B$6:$B$11,"Halle",Nutzungsprofile!$G$6:$G$11)*Kalender!D224/SUM(Kalender!$D$5:$D$370),0)+IFERROR(SUMIF(Nutzungsprofile!$B$6:$B$11,"Individuell",Nutzungsprofile!$G$6:$G$11)*Kalender!E224/SUM(Kalender!$E$5:$E$370),0))*Szenarien!$E$19,0)</f>
        <v>2.04</v>
      </c>
      <c r="D3152" s="13" t="n">
        <f aca="false">IF(Szenarien!$H$19="OK",(IFERROR(SUMIF(Nutzungsprofile!$B$17:$B$22,"Schulbetrieb",Nutzungsprofile!$G$17:$G$22)*Kalender!C224/SUM(Kalender!$C$5:$C$370),0)+IFERROR(SUMIF(Nutzungsprofile!$B$17:$B$22,"Halle",Nutzungsprofile!$G$17:$G$22)*Kalender!D224/SUM(Kalender!$D$5:$D$370),0)+IFERROR(SUMIF(Nutzungsprofile!$B$17:$B$22,"Individuell",Nutzungsprofile!$G$17:$G$22)*Kalender!E224/SUM(Kalender!$E$5:$E$370),0))*Szenarien!$D$19,0)</f>
        <v>1.068</v>
      </c>
      <c r="E3152" s="13" t="n">
        <f aca="false">IFERROR(MIN(C3152,Eingaben!$B$17)*Eingaben!$B$16,0)</f>
        <v>1.938</v>
      </c>
      <c r="F3152" s="13" t="n">
        <f aca="false">IFERROR(E3152*Eingaben!$B$15,0)</f>
        <v>1.7442</v>
      </c>
      <c r="G3152" s="13" t="n">
        <f aca="false">IFERROR(IF(Kalender!A224="",0,J3151*(1-Eingaben!$B$20)),0)</f>
        <v>1.709316</v>
      </c>
      <c r="H3152" s="13" t="n">
        <f aca="false">MIN(G3152,D3152)</f>
        <v>1.068</v>
      </c>
      <c r="I3152" s="13" t="n">
        <f aca="false">IFERROR(MIN(F3152*Eingaben!$B$19,MAX(0,D3152-H3152)),0)</f>
        <v>0</v>
      </c>
      <c r="J3152" s="13" t="n">
        <f aca="false">IFERROR(MIN(Eingaben!$B$18,MAX(0,F3152-I3152)),0)</f>
        <v>1.7442</v>
      </c>
      <c r="K3152" s="13" t="n">
        <f aca="false">H3152+I3152</f>
        <v>1.068</v>
      </c>
      <c r="L3152" s="13" t="n">
        <f aca="false">MAX(0,D3152-K3152)</f>
        <v>0</v>
      </c>
      <c r="M3152" s="13" t="n">
        <f aca="false">MAX(0,F3152-I3152-J3152)</f>
        <v>0</v>
      </c>
      <c r="N3152" s="13" t="n">
        <f aca="false">IF(Kalender!A224="",0,J3151-H3152)</f>
        <v>0.6762</v>
      </c>
    </row>
    <row r="3153" customFormat="false" ht="16.4" hidden="false" customHeight="false" outlineLevel="0" collapsed="false">
      <c r="A3153" s="13" t="str">
        <f aca="false">""</f>
        <v/>
      </c>
      <c r="B3153" s="13" t="n">
        <f aca="false">221</f>
        <v>221</v>
      </c>
      <c r="C3153" s="13" t="n">
        <f aca="false">IF(Szenarien!$H$19="OK",(IFERROR(SUMIF(Nutzungsprofile!$B$6:$B$11,"Schulbetrieb",Nutzungsprofile!$G$6:$G$11)*Kalender!C225/SUM(Kalender!$C$5:$C$370),0)+IFERROR(SUMIF(Nutzungsprofile!$B$6:$B$11,"Halle",Nutzungsprofile!$G$6:$G$11)*Kalender!D225/SUM(Kalender!$D$5:$D$370),0)+IFERROR(SUMIF(Nutzungsprofile!$B$6:$B$11,"Individuell",Nutzungsprofile!$G$6:$G$11)*Kalender!E225/SUM(Kalender!$E$5:$E$370),0))*Szenarien!$E$19,0)</f>
        <v>2.04</v>
      </c>
      <c r="D3153" s="13" t="n">
        <f aca="false">IF(Szenarien!$H$19="OK",(IFERROR(SUMIF(Nutzungsprofile!$B$17:$B$22,"Schulbetrieb",Nutzungsprofile!$G$17:$G$22)*Kalender!C225/SUM(Kalender!$C$5:$C$370),0)+IFERROR(SUMIF(Nutzungsprofile!$B$17:$B$22,"Halle",Nutzungsprofile!$G$17:$G$22)*Kalender!D225/SUM(Kalender!$D$5:$D$370),0)+IFERROR(SUMIF(Nutzungsprofile!$B$17:$B$22,"Individuell",Nutzungsprofile!$G$17:$G$22)*Kalender!E225/SUM(Kalender!$E$5:$E$370),0))*Szenarien!$D$19,0)</f>
        <v>1.068</v>
      </c>
      <c r="E3153" s="13" t="n">
        <f aca="false">IFERROR(MIN(C3153,Eingaben!$B$17)*Eingaben!$B$16,0)</f>
        <v>1.938</v>
      </c>
      <c r="F3153" s="13" t="n">
        <f aca="false">IFERROR(E3153*Eingaben!$B$15,0)</f>
        <v>1.7442</v>
      </c>
      <c r="G3153" s="13" t="n">
        <f aca="false">IFERROR(IF(Kalender!A225="",0,J3152*(1-Eingaben!$B$20)),0)</f>
        <v>1.709316</v>
      </c>
      <c r="H3153" s="13" t="n">
        <f aca="false">MIN(G3153,D3153)</f>
        <v>1.068</v>
      </c>
      <c r="I3153" s="13" t="n">
        <f aca="false">IFERROR(MIN(F3153*Eingaben!$B$19,MAX(0,D3153-H3153)),0)</f>
        <v>0</v>
      </c>
      <c r="J3153" s="13" t="n">
        <f aca="false">IFERROR(MIN(Eingaben!$B$18,MAX(0,F3153-I3153)),0)</f>
        <v>1.7442</v>
      </c>
      <c r="K3153" s="13" t="n">
        <f aca="false">H3153+I3153</f>
        <v>1.068</v>
      </c>
      <c r="L3153" s="13" t="n">
        <f aca="false">MAX(0,D3153-K3153)</f>
        <v>0</v>
      </c>
      <c r="M3153" s="13" t="n">
        <f aca="false">MAX(0,F3153-I3153-J3153)</f>
        <v>0</v>
      </c>
      <c r="N3153" s="13" t="n">
        <f aca="false">IF(Kalender!A225="",0,J3152-H3153)</f>
        <v>0.6762</v>
      </c>
    </row>
    <row r="3154" customFormat="false" ht="16.4" hidden="false" customHeight="false" outlineLevel="0" collapsed="false">
      <c r="A3154" s="13" t="str">
        <f aca="false">""</f>
        <v/>
      </c>
      <c r="B3154" s="13" t="n">
        <f aca="false">222</f>
        <v>222</v>
      </c>
      <c r="C3154" s="13" t="n">
        <f aca="false">IF(Szenarien!$H$19="OK",(IFERROR(SUMIF(Nutzungsprofile!$B$6:$B$11,"Schulbetrieb",Nutzungsprofile!$G$6:$G$11)*Kalender!C226/SUM(Kalender!$C$5:$C$370),0)+IFERROR(SUMIF(Nutzungsprofile!$B$6:$B$11,"Halle",Nutzungsprofile!$G$6:$G$11)*Kalender!D226/SUM(Kalender!$D$5:$D$370),0)+IFERROR(SUMIF(Nutzungsprofile!$B$6:$B$11,"Individuell",Nutzungsprofile!$G$6:$G$11)*Kalender!E226/SUM(Kalender!$E$5:$E$370),0))*Szenarien!$E$19,0)</f>
        <v>2.04</v>
      </c>
      <c r="D3154" s="13" t="n">
        <f aca="false">IF(Szenarien!$H$19="OK",(IFERROR(SUMIF(Nutzungsprofile!$B$17:$B$22,"Schulbetrieb",Nutzungsprofile!$G$17:$G$22)*Kalender!C226/SUM(Kalender!$C$5:$C$370),0)+IFERROR(SUMIF(Nutzungsprofile!$B$17:$B$22,"Halle",Nutzungsprofile!$G$17:$G$22)*Kalender!D226/SUM(Kalender!$D$5:$D$370),0)+IFERROR(SUMIF(Nutzungsprofile!$B$17:$B$22,"Individuell",Nutzungsprofile!$G$17:$G$22)*Kalender!E226/SUM(Kalender!$E$5:$E$370),0))*Szenarien!$D$19,0)</f>
        <v>1.068</v>
      </c>
      <c r="E3154" s="13" t="n">
        <f aca="false">IFERROR(MIN(C3154,Eingaben!$B$17)*Eingaben!$B$16,0)</f>
        <v>1.938</v>
      </c>
      <c r="F3154" s="13" t="n">
        <f aca="false">IFERROR(E3154*Eingaben!$B$15,0)</f>
        <v>1.7442</v>
      </c>
      <c r="G3154" s="13" t="n">
        <f aca="false">IFERROR(IF(Kalender!A226="",0,J3153*(1-Eingaben!$B$20)),0)</f>
        <v>1.709316</v>
      </c>
      <c r="H3154" s="13" t="n">
        <f aca="false">MIN(G3154,D3154)</f>
        <v>1.068</v>
      </c>
      <c r="I3154" s="13" t="n">
        <f aca="false">IFERROR(MIN(F3154*Eingaben!$B$19,MAX(0,D3154-H3154)),0)</f>
        <v>0</v>
      </c>
      <c r="J3154" s="13" t="n">
        <f aca="false">IFERROR(MIN(Eingaben!$B$18,MAX(0,F3154-I3154)),0)</f>
        <v>1.7442</v>
      </c>
      <c r="K3154" s="13" t="n">
        <f aca="false">H3154+I3154</f>
        <v>1.068</v>
      </c>
      <c r="L3154" s="13" t="n">
        <f aca="false">MAX(0,D3154-K3154)</f>
        <v>0</v>
      </c>
      <c r="M3154" s="13" t="n">
        <f aca="false">MAX(0,F3154-I3154-J3154)</f>
        <v>0</v>
      </c>
      <c r="N3154" s="13" t="n">
        <f aca="false">IF(Kalender!A226="",0,J3153-H3154)</f>
        <v>0.6762</v>
      </c>
    </row>
    <row r="3155" customFormat="false" ht="16.4" hidden="false" customHeight="false" outlineLevel="0" collapsed="false">
      <c r="A3155" s="13" t="str">
        <f aca="false">""</f>
        <v/>
      </c>
      <c r="B3155" s="13" t="n">
        <f aca="false">223</f>
        <v>223</v>
      </c>
      <c r="C3155" s="13" t="n">
        <f aca="false">IF(Szenarien!$H$19="OK",(IFERROR(SUMIF(Nutzungsprofile!$B$6:$B$11,"Schulbetrieb",Nutzungsprofile!$G$6:$G$11)*Kalender!C227/SUM(Kalender!$C$5:$C$370),0)+IFERROR(SUMIF(Nutzungsprofile!$B$6:$B$11,"Halle",Nutzungsprofile!$G$6:$G$11)*Kalender!D227/SUM(Kalender!$D$5:$D$370),0)+IFERROR(SUMIF(Nutzungsprofile!$B$6:$B$11,"Individuell",Nutzungsprofile!$G$6:$G$11)*Kalender!E227/SUM(Kalender!$E$5:$E$370),0))*Szenarien!$E$19,0)</f>
        <v>2.04</v>
      </c>
      <c r="D3155" s="13" t="n">
        <f aca="false">IF(Szenarien!$H$19="OK",(IFERROR(SUMIF(Nutzungsprofile!$B$17:$B$22,"Schulbetrieb",Nutzungsprofile!$G$17:$G$22)*Kalender!C227/SUM(Kalender!$C$5:$C$370),0)+IFERROR(SUMIF(Nutzungsprofile!$B$17:$B$22,"Halle",Nutzungsprofile!$G$17:$G$22)*Kalender!D227/SUM(Kalender!$D$5:$D$370),0)+IFERROR(SUMIF(Nutzungsprofile!$B$17:$B$22,"Individuell",Nutzungsprofile!$G$17:$G$22)*Kalender!E227/SUM(Kalender!$E$5:$E$370),0))*Szenarien!$D$19,0)</f>
        <v>1.068</v>
      </c>
      <c r="E3155" s="13" t="n">
        <f aca="false">IFERROR(MIN(C3155,Eingaben!$B$17)*Eingaben!$B$16,0)</f>
        <v>1.938</v>
      </c>
      <c r="F3155" s="13" t="n">
        <f aca="false">IFERROR(E3155*Eingaben!$B$15,0)</f>
        <v>1.7442</v>
      </c>
      <c r="G3155" s="13" t="n">
        <f aca="false">IFERROR(IF(Kalender!A227="",0,J3154*(1-Eingaben!$B$20)),0)</f>
        <v>1.709316</v>
      </c>
      <c r="H3155" s="13" t="n">
        <f aca="false">MIN(G3155,D3155)</f>
        <v>1.068</v>
      </c>
      <c r="I3155" s="13" t="n">
        <f aca="false">IFERROR(MIN(F3155*Eingaben!$B$19,MAX(0,D3155-H3155)),0)</f>
        <v>0</v>
      </c>
      <c r="J3155" s="13" t="n">
        <f aca="false">IFERROR(MIN(Eingaben!$B$18,MAX(0,F3155-I3155)),0)</f>
        <v>1.7442</v>
      </c>
      <c r="K3155" s="13" t="n">
        <f aca="false">H3155+I3155</f>
        <v>1.068</v>
      </c>
      <c r="L3155" s="13" t="n">
        <f aca="false">MAX(0,D3155-K3155)</f>
        <v>0</v>
      </c>
      <c r="M3155" s="13" t="n">
        <f aca="false">MAX(0,F3155-I3155-J3155)</f>
        <v>0</v>
      </c>
      <c r="N3155" s="13" t="n">
        <f aca="false">IF(Kalender!A227="",0,J3154-H3155)</f>
        <v>0.6762</v>
      </c>
    </row>
    <row r="3156" customFormat="false" ht="16.4" hidden="false" customHeight="false" outlineLevel="0" collapsed="false">
      <c r="A3156" s="13" t="str">
        <f aca="false">""</f>
        <v/>
      </c>
      <c r="B3156" s="13" t="n">
        <f aca="false">224</f>
        <v>224</v>
      </c>
      <c r="C3156" s="13" t="n">
        <f aca="false">IF(Szenarien!$H$19="OK",(IFERROR(SUMIF(Nutzungsprofile!$B$6:$B$11,"Schulbetrieb",Nutzungsprofile!$G$6:$G$11)*Kalender!C228/SUM(Kalender!$C$5:$C$370),0)+IFERROR(SUMIF(Nutzungsprofile!$B$6:$B$11,"Halle",Nutzungsprofile!$G$6:$G$11)*Kalender!D228/SUM(Kalender!$D$5:$D$370),0)+IFERROR(SUMIF(Nutzungsprofile!$B$6:$B$11,"Individuell",Nutzungsprofile!$G$6:$G$11)*Kalender!E228/SUM(Kalender!$E$5:$E$370),0))*Szenarien!$E$19,0)</f>
        <v>2.04</v>
      </c>
      <c r="D3156" s="13" t="n">
        <f aca="false">IF(Szenarien!$H$19="OK",(IFERROR(SUMIF(Nutzungsprofile!$B$17:$B$22,"Schulbetrieb",Nutzungsprofile!$G$17:$G$22)*Kalender!C228/SUM(Kalender!$C$5:$C$370),0)+IFERROR(SUMIF(Nutzungsprofile!$B$17:$B$22,"Halle",Nutzungsprofile!$G$17:$G$22)*Kalender!D228/SUM(Kalender!$D$5:$D$370),0)+IFERROR(SUMIF(Nutzungsprofile!$B$17:$B$22,"Individuell",Nutzungsprofile!$G$17:$G$22)*Kalender!E228/SUM(Kalender!$E$5:$E$370),0))*Szenarien!$D$19,0)</f>
        <v>1.068</v>
      </c>
      <c r="E3156" s="13" t="n">
        <f aca="false">IFERROR(MIN(C3156,Eingaben!$B$17)*Eingaben!$B$16,0)</f>
        <v>1.938</v>
      </c>
      <c r="F3156" s="13" t="n">
        <f aca="false">IFERROR(E3156*Eingaben!$B$15,0)</f>
        <v>1.7442</v>
      </c>
      <c r="G3156" s="13" t="n">
        <f aca="false">IFERROR(IF(Kalender!A228="",0,J3155*(1-Eingaben!$B$20)),0)</f>
        <v>1.709316</v>
      </c>
      <c r="H3156" s="13" t="n">
        <f aca="false">MIN(G3156,D3156)</f>
        <v>1.068</v>
      </c>
      <c r="I3156" s="13" t="n">
        <f aca="false">IFERROR(MIN(F3156*Eingaben!$B$19,MAX(0,D3156-H3156)),0)</f>
        <v>0</v>
      </c>
      <c r="J3156" s="13" t="n">
        <f aca="false">IFERROR(MIN(Eingaben!$B$18,MAX(0,F3156-I3156)),0)</f>
        <v>1.7442</v>
      </c>
      <c r="K3156" s="13" t="n">
        <f aca="false">H3156+I3156</f>
        <v>1.068</v>
      </c>
      <c r="L3156" s="13" t="n">
        <f aca="false">MAX(0,D3156-K3156)</f>
        <v>0</v>
      </c>
      <c r="M3156" s="13" t="n">
        <f aca="false">MAX(0,F3156-I3156-J3156)</f>
        <v>0</v>
      </c>
      <c r="N3156" s="13" t="n">
        <f aca="false">IF(Kalender!A228="",0,J3155-H3156)</f>
        <v>0.6762</v>
      </c>
    </row>
    <row r="3157" customFormat="false" ht="16.4" hidden="false" customHeight="false" outlineLevel="0" collapsed="false">
      <c r="A3157" s="13" t="str">
        <f aca="false">""</f>
        <v/>
      </c>
      <c r="B3157" s="13" t="n">
        <f aca="false">225</f>
        <v>225</v>
      </c>
      <c r="C3157" s="13" t="n">
        <f aca="false">IF(Szenarien!$H$19="OK",(IFERROR(SUMIF(Nutzungsprofile!$B$6:$B$11,"Schulbetrieb",Nutzungsprofile!$G$6:$G$11)*Kalender!C229/SUM(Kalender!$C$5:$C$370),0)+IFERROR(SUMIF(Nutzungsprofile!$B$6:$B$11,"Halle",Nutzungsprofile!$G$6:$G$11)*Kalender!D229/SUM(Kalender!$D$5:$D$370),0)+IFERROR(SUMIF(Nutzungsprofile!$B$6:$B$11,"Individuell",Nutzungsprofile!$G$6:$G$11)*Kalender!E229/SUM(Kalender!$E$5:$E$370),0))*Szenarien!$E$19,0)</f>
        <v>2.04</v>
      </c>
      <c r="D3157" s="13" t="n">
        <f aca="false">IF(Szenarien!$H$19="OK",(IFERROR(SUMIF(Nutzungsprofile!$B$17:$B$22,"Schulbetrieb",Nutzungsprofile!$G$17:$G$22)*Kalender!C229/SUM(Kalender!$C$5:$C$370),0)+IFERROR(SUMIF(Nutzungsprofile!$B$17:$B$22,"Halle",Nutzungsprofile!$G$17:$G$22)*Kalender!D229/SUM(Kalender!$D$5:$D$370),0)+IFERROR(SUMIF(Nutzungsprofile!$B$17:$B$22,"Individuell",Nutzungsprofile!$G$17:$G$22)*Kalender!E229/SUM(Kalender!$E$5:$E$370),0))*Szenarien!$D$19,0)</f>
        <v>1.068</v>
      </c>
      <c r="E3157" s="13" t="n">
        <f aca="false">IFERROR(MIN(C3157,Eingaben!$B$17)*Eingaben!$B$16,0)</f>
        <v>1.938</v>
      </c>
      <c r="F3157" s="13" t="n">
        <f aca="false">IFERROR(E3157*Eingaben!$B$15,0)</f>
        <v>1.7442</v>
      </c>
      <c r="G3157" s="13" t="n">
        <f aca="false">IFERROR(IF(Kalender!A229="",0,J3156*(1-Eingaben!$B$20)),0)</f>
        <v>1.709316</v>
      </c>
      <c r="H3157" s="13" t="n">
        <f aca="false">MIN(G3157,D3157)</f>
        <v>1.068</v>
      </c>
      <c r="I3157" s="13" t="n">
        <f aca="false">IFERROR(MIN(F3157*Eingaben!$B$19,MAX(0,D3157-H3157)),0)</f>
        <v>0</v>
      </c>
      <c r="J3157" s="13" t="n">
        <f aca="false">IFERROR(MIN(Eingaben!$B$18,MAX(0,F3157-I3157)),0)</f>
        <v>1.7442</v>
      </c>
      <c r="K3157" s="13" t="n">
        <f aca="false">H3157+I3157</f>
        <v>1.068</v>
      </c>
      <c r="L3157" s="13" t="n">
        <f aca="false">MAX(0,D3157-K3157)</f>
        <v>0</v>
      </c>
      <c r="M3157" s="13" t="n">
        <f aca="false">MAX(0,F3157-I3157-J3157)</f>
        <v>0</v>
      </c>
      <c r="N3157" s="13" t="n">
        <f aca="false">IF(Kalender!A229="",0,J3156-H3157)</f>
        <v>0.6762</v>
      </c>
    </row>
    <row r="3158" customFormat="false" ht="16.4" hidden="false" customHeight="false" outlineLevel="0" collapsed="false">
      <c r="A3158" s="13" t="str">
        <f aca="false">""</f>
        <v/>
      </c>
      <c r="B3158" s="13" t="n">
        <f aca="false">226</f>
        <v>226</v>
      </c>
      <c r="C3158" s="13" t="n">
        <f aca="false">IF(Szenarien!$H$19="OK",(IFERROR(SUMIF(Nutzungsprofile!$B$6:$B$11,"Schulbetrieb",Nutzungsprofile!$G$6:$G$11)*Kalender!C230/SUM(Kalender!$C$5:$C$370),0)+IFERROR(SUMIF(Nutzungsprofile!$B$6:$B$11,"Halle",Nutzungsprofile!$G$6:$G$11)*Kalender!D230/SUM(Kalender!$D$5:$D$370),0)+IFERROR(SUMIF(Nutzungsprofile!$B$6:$B$11,"Individuell",Nutzungsprofile!$G$6:$G$11)*Kalender!E230/SUM(Kalender!$E$5:$E$370),0))*Szenarien!$E$19,0)</f>
        <v>2.04</v>
      </c>
      <c r="D3158" s="13" t="n">
        <f aca="false">IF(Szenarien!$H$19="OK",(IFERROR(SUMIF(Nutzungsprofile!$B$17:$B$22,"Schulbetrieb",Nutzungsprofile!$G$17:$G$22)*Kalender!C230/SUM(Kalender!$C$5:$C$370),0)+IFERROR(SUMIF(Nutzungsprofile!$B$17:$B$22,"Halle",Nutzungsprofile!$G$17:$G$22)*Kalender!D230/SUM(Kalender!$D$5:$D$370),0)+IFERROR(SUMIF(Nutzungsprofile!$B$17:$B$22,"Individuell",Nutzungsprofile!$G$17:$G$22)*Kalender!E230/SUM(Kalender!$E$5:$E$370),0))*Szenarien!$D$19,0)</f>
        <v>1.068</v>
      </c>
      <c r="E3158" s="13" t="n">
        <f aca="false">IFERROR(MIN(C3158,Eingaben!$B$17)*Eingaben!$B$16,0)</f>
        <v>1.938</v>
      </c>
      <c r="F3158" s="13" t="n">
        <f aca="false">IFERROR(E3158*Eingaben!$B$15,0)</f>
        <v>1.7442</v>
      </c>
      <c r="G3158" s="13" t="n">
        <f aca="false">IFERROR(IF(Kalender!A230="",0,J3157*(1-Eingaben!$B$20)),0)</f>
        <v>1.709316</v>
      </c>
      <c r="H3158" s="13" t="n">
        <f aca="false">MIN(G3158,D3158)</f>
        <v>1.068</v>
      </c>
      <c r="I3158" s="13" t="n">
        <f aca="false">IFERROR(MIN(F3158*Eingaben!$B$19,MAX(0,D3158-H3158)),0)</f>
        <v>0</v>
      </c>
      <c r="J3158" s="13" t="n">
        <f aca="false">IFERROR(MIN(Eingaben!$B$18,MAX(0,F3158-I3158)),0)</f>
        <v>1.7442</v>
      </c>
      <c r="K3158" s="13" t="n">
        <f aca="false">H3158+I3158</f>
        <v>1.068</v>
      </c>
      <c r="L3158" s="13" t="n">
        <f aca="false">MAX(0,D3158-K3158)</f>
        <v>0</v>
      </c>
      <c r="M3158" s="13" t="n">
        <f aca="false">MAX(0,F3158-I3158-J3158)</f>
        <v>0</v>
      </c>
      <c r="N3158" s="13" t="n">
        <f aca="false">IF(Kalender!A230="",0,J3157-H3158)</f>
        <v>0.6762</v>
      </c>
    </row>
    <row r="3159" customFormat="false" ht="16.4" hidden="false" customHeight="false" outlineLevel="0" collapsed="false">
      <c r="A3159" s="13" t="str">
        <f aca="false">""</f>
        <v/>
      </c>
      <c r="B3159" s="13" t="n">
        <f aca="false">227</f>
        <v>227</v>
      </c>
      <c r="C3159" s="13" t="n">
        <f aca="false">IF(Szenarien!$H$19="OK",(IFERROR(SUMIF(Nutzungsprofile!$B$6:$B$11,"Schulbetrieb",Nutzungsprofile!$G$6:$G$11)*Kalender!C231/SUM(Kalender!$C$5:$C$370),0)+IFERROR(SUMIF(Nutzungsprofile!$B$6:$B$11,"Halle",Nutzungsprofile!$G$6:$G$11)*Kalender!D231/SUM(Kalender!$D$5:$D$370),0)+IFERROR(SUMIF(Nutzungsprofile!$B$6:$B$11,"Individuell",Nutzungsprofile!$G$6:$G$11)*Kalender!E231/SUM(Kalender!$E$5:$E$370),0))*Szenarien!$E$19,0)</f>
        <v>2.04</v>
      </c>
      <c r="D3159" s="13" t="n">
        <f aca="false">IF(Szenarien!$H$19="OK",(IFERROR(SUMIF(Nutzungsprofile!$B$17:$B$22,"Schulbetrieb",Nutzungsprofile!$G$17:$G$22)*Kalender!C231/SUM(Kalender!$C$5:$C$370),0)+IFERROR(SUMIF(Nutzungsprofile!$B$17:$B$22,"Halle",Nutzungsprofile!$G$17:$G$22)*Kalender!D231/SUM(Kalender!$D$5:$D$370),0)+IFERROR(SUMIF(Nutzungsprofile!$B$17:$B$22,"Individuell",Nutzungsprofile!$G$17:$G$22)*Kalender!E231/SUM(Kalender!$E$5:$E$370),0))*Szenarien!$D$19,0)</f>
        <v>1.068</v>
      </c>
      <c r="E3159" s="13" t="n">
        <f aca="false">IFERROR(MIN(C3159,Eingaben!$B$17)*Eingaben!$B$16,0)</f>
        <v>1.938</v>
      </c>
      <c r="F3159" s="13" t="n">
        <f aca="false">IFERROR(E3159*Eingaben!$B$15,0)</f>
        <v>1.7442</v>
      </c>
      <c r="G3159" s="13" t="n">
        <f aca="false">IFERROR(IF(Kalender!A231="",0,J3158*(1-Eingaben!$B$20)),0)</f>
        <v>1.709316</v>
      </c>
      <c r="H3159" s="13" t="n">
        <f aca="false">MIN(G3159,D3159)</f>
        <v>1.068</v>
      </c>
      <c r="I3159" s="13" t="n">
        <f aca="false">IFERROR(MIN(F3159*Eingaben!$B$19,MAX(0,D3159-H3159)),0)</f>
        <v>0</v>
      </c>
      <c r="J3159" s="13" t="n">
        <f aca="false">IFERROR(MIN(Eingaben!$B$18,MAX(0,F3159-I3159)),0)</f>
        <v>1.7442</v>
      </c>
      <c r="K3159" s="13" t="n">
        <f aca="false">H3159+I3159</f>
        <v>1.068</v>
      </c>
      <c r="L3159" s="13" t="n">
        <f aca="false">MAX(0,D3159-K3159)</f>
        <v>0</v>
      </c>
      <c r="M3159" s="13" t="n">
        <f aca="false">MAX(0,F3159-I3159-J3159)</f>
        <v>0</v>
      </c>
      <c r="N3159" s="13" t="n">
        <f aca="false">IF(Kalender!A231="",0,J3158-H3159)</f>
        <v>0.6762</v>
      </c>
    </row>
    <row r="3160" customFormat="false" ht="16.4" hidden="false" customHeight="false" outlineLevel="0" collapsed="false">
      <c r="A3160" s="13" t="str">
        <f aca="false">""</f>
        <v/>
      </c>
      <c r="B3160" s="13" t="n">
        <f aca="false">228</f>
        <v>228</v>
      </c>
      <c r="C3160" s="13" t="n">
        <f aca="false">IF(Szenarien!$H$19="OK",(IFERROR(SUMIF(Nutzungsprofile!$B$6:$B$11,"Schulbetrieb",Nutzungsprofile!$G$6:$G$11)*Kalender!C232/SUM(Kalender!$C$5:$C$370),0)+IFERROR(SUMIF(Nutzungsprofile!$B$6:$B$11,"Halle",Nutzungsprofile!$G$6:$G$11)*Kalender!D232/SUM(Kalender!$D$5:$D$370),0)+IFERROR(SUMIF(Nutzungsprofile!$B$6:$B$11,"Individuell",Nutzungsprofile!$G$6:$G$11)*Kalender!E232/SUM(Kalender!$E$5:$E$370),0))*Szenarien!$E$19,0)</f>
        <v>2.04</v>
      </c>
      <c r="D3160" s="13" t="n">
        <f aca="false">IF(Szenarien!$H$19="OK",(IFERROR(SUMIF(Nutzungsprofile!$B$17:$B$22,"Schulbetrieb",Nutzungsprofile!$G$17:$G$22)*Kalender!C232/SUM(Kalender!$C$5:$C$370),0)+IFERROR(SUMIF(Nutzungsprofile!$B$17:$B$22,"Halle",Nutzungsprofile!$G$17:$G$22)*Kalender!D232/SUM(Kalender!$D$5:$D$370),0)+IFERROR(SUMIF(Nutzungsprofile!$B$17:$B$22,"Individuell",Nutzungsprofile!$G$17:$G$22)*Kalender!E232/SUM(Kalender!$E$5:$E$370),0))*Szenarien!$D$19,0)</f>
        <v>1.068</v>
      </c>
      <c r="E3160" s="13" t="n">
        <f aca="false">IFERROR(MIN(C3160,Eingaben!$B$17)*Eingaben!$B$16,0)</f>
        <v>1.938</v>
      </c>
      <c r="F3160" s="13" t="n">
        <f aca="false">IFERROR(E3160*Eingaben!$B$15,0)</f>
        <v>1.7442</v>
      </c>
      <c r="G3160" s="13" t="n">
        <f aca="false">IFERROR(IF(Kalender!A232="",0,J3159*(1-Eingaben!$B$20)),0)</f>
        <v>1.709316</v>
      </c>
      <c r="H3160" s="13" t="n">
        <f aca="false">MIN(G3160,D3160)</f>
        <v>1.068</v>
      </c>
      <c r="I3160" s="13" t="n">
        <f aca="false">IFERROR(MIN(F3160*Eingaben!$B$19,MAX(0,D3160-H3160)),0)</f>
        <v>0</v>
      </c>
      <c r="J3160" s="13" t="n">
        <f aca="false">IFERROR(MIN(Eingaben!$B$18,MAX(0,F3160-I3160)),0)</f>
        <v>1.7442</v>
      </c>
      <c r="K3160" s="13" t="n">
        <f aca="false">H3160+I3160</f>
        <v>1.068</v>
      </c>
      <c r="L3160" s="13" t="n">
        <f aca="false">MAX(0,D3160-K3160)</f>
        <v>0</v>
      </c>
      <c r="M3160" s="13" t="n">
        <f aca="false">MAX(0,F3160-I3160-J3160)</f>
        <v>0</v>
      </c>
      <c r="N3160" s="13" t="n">
        <f aca="false">IF(Kalender!A232="",0,J3159-H3160)</f>
        <v>0.6762</v>
      </c>
    </row>
    <row r="3161" customFormat="false" ht="16.4" hidden="false" customHeight="false" outlineLevel="0" collapsed="false">
      <c r="A3161" s="13" t="str">
        <f aca="false">""</f>
        <v/>
      </c>
      <c r="B3161" s="13" t="n">
        <f aca="false">229</f>
        <v>229</v>
      </c>
      <c r="C3161" s="13" t="n">
        <f aca="false">IF(Szenarien!$H$19="OK",(IFERROR(SUMIF(Nutzungsprofile!$B$6:$B$11,"Schulbetrieb",Nutzungsprofile!$G$6:$G$11)*Kalender!C233/SUM(Kalender!$C$5:$C$370),0)+IFERROR(SUMIF(Nutzungsprofile!$B$6:$B$11,"Halle",Nutzungsprofile!$G$6:$G$11)*Kalender!D233/SUM(Kalender!$D$5:$D$370),0)+IFERROR(SUMIF(Nutzungsprofile!$B$6:$B$11,"Individuell",Nutzungsprofile!$G$6:$G$11)*Kalender!E233/SUM(Kalender!$E$5:$E$370),0))*Szenarien!$E$19,0)</f>
        <v>2.04</v>
      </c>
      <c r="D3161" s="13" t="n">
        <f aca="false">IF(Szenarien!$H$19="OK",(IFERROR(SUMIF(Nutzungsprofile!$B$17:$B$22,"Schulbetrieb",Nutzungsprofile!$G$17:$G$22)*Kalender!C233/SUM(Kalender!$C$5:$C$370),0)+IFERROR(SUMIF(Nutzungsprofile!$B$17:$B$22,"Halle",Nutzungsprofile!$G$17:$G$22)*Kalender!D233/SUM(Kalender!$D$5:$D$370),0)+IFERROR(SUMIF(Nutzungsprofile!$B$17:$B$22,"Individuell",Nutzungsprofile!$G$17:$G$22)*Kalender!E233/SUM(Kalender!$E$5:$E$370),0))*Szenarien!$D$19,0)</f>
        <v>1.068</v>
      </c>
      <c r="E3161" s="13" t="n">
        <f aca="false">IFERROR(MIN(C3161,Eingaben!$B$17)*Eingaben!$B$16,0)</f>
        <v>1.938</v>
      </c>
      <c r="F3161" s="13" t="n">
        <f aca="false">IFERROR(E3161*Eingaben!$B$15,0)</f>
        <v>1.7442</v>
      </c>
      <c r="G3161" s="13" t="n">
        <f aca="false">IFERROR(IF(Kalender!A233="",0,J3160*(1-Eingaben!$B$20)),0)</f>
        <v>1.709316</v>
      </c>
      <c r="H3161" s="13" t="n">
        <f aca="false">MIN(G3161,D3161)</f>
        <v>1.068</v>
      </c>
      <c r="I3161" s="13" t="n">
        <f aca="false">IFERROR(MIN(F3161*Eingaben!$B$19,MAX(0,D3161-H3161)),0)</f>
        <v>0</v>
      </c>
      <c r="J3161" s="13" t="n">
        <f aca="false">IFERROR(MIN(Eingaben!$B$18,MAX(0,F3161-I3161)),0)</f>
        <v>1.7442</v>
      </c>
      <c r="K3161" s="13" t="n">
        <f aca="false">H3161+I3161</f>
        <v>1.068</v>
      </c>
      <c r="L3161" s="13" t="n">
        <f aca="false">MAX(0,D3161-K3161)</f>
        <v>0</v>
      </c>
      <c r="M3161" s="13" t="n">
        <f aca="false">MAX(0,F3161-I3161-J3161)</f>
        <v>0</v>
      </c>
      <c r="N3161" s="13" t="n">
        <f aca="false">IF(Kalender!A233="",0,J3160-H3161)</f>
        <v>0.6762</v>
      </c>
    </row>
    <row r="3162" customFormat="false" ht="16.4" hidden="false" customHeight="false" outlineLevel="0" collapsed="false">
      <c r="A3162" s="13" t="str">
        <f aca="false">""</f>
        <v/>
      </c>
      <c r="B3162" s="13" t="n">
        <f aca="false">230</f>
        <v>230</v>
      </c>
      <c r="C3162" s="13" t="n">
        <f aca="false">IF(Szenarien!$H$19="OK",(IFERROR(SUMIF(Nutzungsprofile!$B$6:$B$11,"Schulbetrieb",Nutzungsprofile!$G$6:$G$11)*Kalender!C234/SUM(Kalender!$C$5:$C$370),0)+IFERROR(SUMIF(Nutzungsprofile!$B$6:$B$11,"Halle",Nutzungsprofile!$G$6:$G$11)*Kalender!D234/SUM(Kalender!$D$5:$D$370),0)+IFERROR(SUMIF(Nutzungsprofile!$B$6:$B$11,"Individuell",Nutzungsprofile!$G$6:$G$11)*Kalender!E234/SUM(Kalender!$E$5:$E$370),0))*Szenarien!$E$19,0)</f>
        <v>2.04</v>
      </c>
      <c r="D3162" s="13" t="n">
        <f aca="false">IF(Szenarien!$H$19="OK",(IFERROR(SUMIF(Nutzungsprofile!$B$17:$B$22,"Schulbetrieb",Nutzungsprofile!$G$17:$G$22)*Kalender!C234/SUM(Kalender!$C$5:$C$370),0)+IFERROR(SUMIF(Nutzungsprofile!$B$17:$B$22,"Halle",Nutzungsprofile!$G$17:$G$22)*Kalender!D234/SUM(Kalender!$D$5:$D$370),0)+IFERROR(SUMIF(Nutzungsprofile!$B$17:$B$22,"Individuell",Nutzungsprofile!$G$17:$G$22)*Kalender!E234/SUM(Kalender!$E$5:$E$370),0))*Szenarien!$D$19,0)</f>
        <v>1.068</v>
      </c>
      <c r="E3162" s="13" t="n">
        <f aca="false">IFERROR(MIN(C3162,Eingaben!$B$17)*Eingaben!$B$16,0)</f>
        <v>1.938</v>
      </c>
      <c r="F3162" s="13" t="n">
        <f aca="false">IFERROR(E3162*Eingaben!$B$15,0)</f>
        <v>1.7442</v>
      </c>
      <c r="G3162" s="13" t="n">
        <f aca="false">IFERROR(IF(Kalender!A234="",0,J3161*(1-Eingaben!$B$20)),0)</f>
        <v>1.709316</v>
      </c>
      <c r="H3162" s="13" t="n">
        <f aca="false">MIN(G3162,D3162)</f>
        <v>1.068</v>
      </c>
      <c r="I3162" s="13" t="n">
        <f aca="false">IFERROR(MIN(F3162*Eingaben!$B$19,MAX(0,D3162-H3162)),0)</f>
        <v>0</v>
      </c>
      <c r="J3162" s="13" t="n">
        <f aca="false">IFERROR(MIN(Eingaben!$B$18,MAX(0,F3162-I3162)),0)</f>
        <v>1.7442</v>
      </c>
      <c r="K3162" s="13" t="n">
        <f aca="false">H3162+I3162</f>
        <v>1.068</v>
      </c>
      <c r="L3162" s="13" t="n">
        <f aca="false">MAX(0,D3162-K3162)</f>
        <v>0</v>
      </c>
      <c r="M3162" s="13" t="n">
        <f aca="false">MAX(0,F3162-I3162-J3162)</f>
        <v>0</v>
      </c>
      <c r="N3162" s="13" t="n">
        <f aca="false">IF(Kalender!A234="",0,J3161-H3162)</f>
        <v>0.6762</v>
      </c>
    </row>
    <row r="3163" customFormat="false" ht="16.4" hidden="false" customHeight="false" outlineLevel="0" collapsed="false">
      <c r="A3163" s="13" t="str">
        <f aca="false">""</f>
        <v/>
      </c>
      <c r="B3163" s="13" t="n">
        <f aca="false">231</f>
        <v>231</v>
      </c>
      <c r="C3163" s="13" t="n">
        <f aca="false">IF(Szenarien!$H$19="OK",(IFERROR(SUMIF(Nutzungsprofile!$B$6:$B$11,"Schulbetrieb",Nutzungsprofile!$G$6:$G$11)*Kalender!C235/SUM(Kalender!$C$5:$C$370),0)+IFERROR(SUMIF(Nutzungsprofile!$B$6:$B$11,"Halle",Nutzungsprofile!$G$6:$G$11)*Kalender!D235/SUM(Kalender!$D$5:$D$370),0)+IFERROR(SUMIF(Nutzungsprofile!$B$6:$B$11,"Individuell",Nutzungsprofile!$G$6:$G$11)*Kalender!E235/SUM(Kalender!$E$5:$E$370),0))*Szenarien!$E$19,0)</f>
        <v>2.04</v>
      </c>
      <c r="D3163" s="13" t="n">
        <f aca="false">IF(Szenarien!$H$19="OK",(IFERROR(SUMIF(Nutzungsprofile!$B$17:$B$22,"Schulbetrieb",Nutzungsprofile!$G$17:$G$22)*Kalender!C235/SUM(Kalender!$C$5:$C$370),0)+IFERROR(SUMIF(Nutzungsprofile!$B$17:$B$22,"Halle",Nutzungsprofile!$G$17:$G$22)*Kalender!D235/SUM(Kalender!$D$5:$D$370),0)+IFERROR(SUMIF(Nutzungsprofile!$B$17:$B$22,"Individuell",Nutzungsprofile!$G$17:$G$22)*Kalender!E235/SUM(Kalender!$E$5:$E$370),0))*Szenarien!$D$19,0)</f>
        <v>1.068</v>
      </c>
      <c r="E3163" s="13" t="n">
        <f aca="false">IFERROR(MIN(C3163,Eingaben!$B$17)*Eingaben!$B$16,0)</f>
        <v>1.938</v>
      </c>
      <c r="F3163" s="13" t="n">
        <f aca="false">IFERROR(E3163*Eingaben!$B$15,0)</f>
        <v>1.7442</v>
      </c>
      <c r="G3163" s="13" t="n">
        <f aca="false">IFERROR(IF(Kalender!A235="",0,J3162*(1-Eingaben!$B$20)),0)</f>
        <v>1.709316</v>
      </c>
      <c r="H3163" s="13" t="n">
        <f aca="false">MIN(G3163,D3163)</f>
        <v>1.068</v>
      </c>
      <c r="I3163" s="13" t="n">
        <f aca="false">IFERROR(MIN(F3163*Eingaben!$B$19,MAX(0,D3163-H3163)),0)</f>
        <v>0</v>
      </c>
      <c r="J3163" s="13" t="n">
        <f aca="false">IFERROR(MIN(Eingaben!$B$18,MAX(0,F3163-I3163)),0)</f>
        <v>1.7442</v>
      </c>
      <c r="K3163" s="13" t="n">
        <f aca="false">H3163+I3163</f>
        <v>1.068</v>
      </c>
      <c r="L3163" s="13" t="n">
        <f aca="false">MAX(0,D3163-K3163)</f>
        <v>0</v>
      </c>
      <c r="M3163" s="13" t="n">
        <f aca="false">MAX(0,F3163-I3163-J3163)</f>
        <v>0</v>
      </c>
      <c r="N3163" s="13" t="n">
        <f aca="false">IF(Kalender!A235="",0,J3162-H3163)</f>
        <v>0.6762</v>
      </c>
    </row>
    <row r="3164" customFormat="false" ht="16.4" hidden="false" customHeight="false" outlineLevel="0" collapsed="false">
      <c r="A3164" s="13" t="str">
        <f aca="false">""</f>
        <v/>
      </c>
      <c r="B3164" s="13" t="n">
        <f aca="false">232</f>
        <v>232</v>
      </c>
      <c r="C3164" s="13" t="n">
        <f aca="false">IF(Szenarien!$H$19="OK",(IFERROR(SUMIF(Nutzungsprofile!$B$6:$B$11,"Schulbetrieb",Nutzungsprofile!$G$6:$G$11)*Kalender!C236/SUM(Kalender!$C$5:$C$370),0)+IFERROR(SUMIF(Nutzungsprofile!$B$6:$B$11,"Halle",Nutzungsprofile!$G$6:$G$11)*Kalender!D236/SUM(Kalender!$D$5:$D$370),0)+IFERROR(SUMIF(Nutzungsprofile!$B$6:$B$11,"Individuell",Nutzungsprofile!$G$6:$G$11)*Kalender!E236/SUM(Kalender!$E$5:$E$370),0))*Szenarien!$E$19,0)</f>
        <v>2.04</v>
      </c>
      <c r="D3164" s="13" t="n">
        <f aca="false">IF(Szenarien!$H$19="OK",(IFERROR(SUMIF(Nutzungsprofile!$B$17:$B$22,"Schulbetrieb",Nutzungsprofile!$G$17:$G$22)*Kalender!C236/SUM(Kalender!$C$5:$C$370),0)+IFERROR(SUMIF(Nutzungsprofile!$B$17:$B$22,"Halle",Nutzungsprofile!$G$17:$G$22)*Kalender!D236/SUM(Kalender!$D$5:$D$370),0)+IFERROR(SUMIF(Nutzungsprofile!$B$17:$B$22,"Individuell",Nutzungsprofile!$G$17:$G$22)*Kalender!E236/SUM(Kalender!$E$5:$E$370),0))*Szenarien!$D$19,0)</f>
        <v>1.068</v>
      </c>
      <c r="E3164" s="13" t="n">
        <f aca="false">IFERROR(MIN(C3164,Eingaben!$B$17)*Eingaben!$B$16,0)</f>
        <v>1.938</v>
      </c>
      <c r="F3164" s="13" t="n">
        <f aca="false">IFERROR(E3164*Eingaben!$B$15,0)</f>
        <v>1.7442</v>
      </c>
      <c r="G3164" s="13" t="n">
        <f aca="false">IFERROR(IF(Kalender!A236="",0,J3163*(1-Eingaben!$B$20)),0)</f>
        <v>1.709316</v>
      </c>
      <c r="H3164" s="13" t="n">
        <f aca="false">MIN(G3164,D3164)</f>
        <v>1.068</v>
      </c>
      <c r="I3164" s="13" t="n">
        <f aca="false">IFERROR(MIN(F3164*Eingaben!$B$19,MAX(0,D3164-H3164)),0)</f>
        <v>0</v>
      </c>
      <c r="J3164" s="13" t="n">
        <f aca="false">IFERROR(MIN(Eingaben!$B$18,MAX(0,F3164-I3164)),0)</f>
        <v>1.7442</v>
      </c>
      <c r="K3164" s="13" t="n">
        <f aca="false">H3164+I3164</f>
        <v>1.068</v>
      </c>
      <c r="L3164" s="13" t="n">
        <f aca="false">MAX(0,D3164-K3164)</f>
        <v>0</v>
      </c>
      <c r="M3164" s="13" t="n">
        <f aca="false">MAX(0,F3164-I3164-J3164)</f>
        <v>0</v>
      </c>
      <c r="N3164" s="13" t="n">
        <f aca="false">IF(Kalender!A236="",0,J3163-H3164)</f>
        <v>0.6762</v>
      </c>
    </row>
    <row r="3165" customFormat="false" ht="16.4" hidden="false" customHeight="false" outlineLevel="0" collapsed="false">
      <c r="A3165" s="13" t="str">
        <f aca="false">""</f>
        <v/>
      </c>
      <c r="B3165" s="13" t="n">
        <f aca="false">233</f>
        <v>233</v>
      </c>
      <c r="C3165" s="13" t="n">
        <f aca="false">IF(Szenarien!$H$19="OK",(IFERROR(SUMIF(Nutzungsprofile!$B$6:$B$11,"Schulbetrieb",Nutzungsprofile!$G$6:$G$11)*Kalender!C237/SUM(Kalender!$C$5:$C$370),0)+IFERROR(SUMIF(Nutzungsprofile!$B$6:$B$11,"Halle",Nutzungsprofile!$G$6:$G$11)*Kalender!D237/SUM(Kalender!$D$5:$D$370),0)+IFERROR(SUMIF(Nutzungsprofile!$B$6:$B$11,"Individuell",Nutzungsprofile!$G$6:$G$11)*Kalender!E237/SUM(Kalender!$E$5:$E$370),0))*Szenarien!$E$19,0)</f>
        <v>2.04</v>
      </c>
      <c r="D3165" s="13" t="n">
        <f aca="false">IF(Szenarien!$H$19="OK",(IFERROR(SUMIF(Nutzungsprofile!$B$17:$B$22,"Schulbetrieb",Nutzungsprofile!$G$17:$G$22)*Kalender!C237/SUM(Kalender!$C$5:$C$370),0)+IFERROR(SUMIF(Nutzungsprofile!$B$17:$B$22,"Halle",Nutzungsprofile!$G$17:$G$22)*Kalender!D237/SUM(Kalender!$D$5:$D$370),0)+IFERROR(SUMIF(Nutzungsprofile!$B$17:$B$22,"Individuell",Nutzungsprofile!$G$17:$G$22)*Kalender!E237/SUM(Kalender!$E$5:$E$370),0))*Szenarien!$D$19,0)</f>
        <v>1.068</v>
      </c>
      <c r="E3165" s="13" t="n">
        <f aca="false">IFERROR(MIN(C3165,Eingaben!$B$17)*Eingaben!$B$16,0)</f>
        <v>1.938</v>
      </c>
      <c r="F3165" s="13" t="n">
        <f aca="false">IFERROR(E3165*Eingaben!$B$15,0)</f>
        <v>1.7442</v>
      </c>
      <c r="G3165" s="13" t="n">
        <f aca="false">IFERROR(IF(Kalender!A237="",0,J3164*(1-Eingaben!$B$20)),0)</f>
        <v>1.709316</v>
      </c>
      <c r="H3165" s="13" t="n">
        <f aca="false">MIN(G3165,D3165)</f>
        <v>1.068</v>
      </c>
      <c r="I3165" s="13" t="n">
        <f aca="false">IFERROR(MIN(F3165*Eingaben!$B$19,MAX(0,D3165-H3165)),0)</f>
        <v>0</v>
      </c>
      <c r="J3165" s="13" t="n">
        <f aca="false">IFERROR(MIN(Eingaben!$B$18,MAX(0,F3165-I3165)),0)</f>
        <v>1.7442</v>
      </c>
      <c r="K3165" s="13" t="n">
        <f aca="false">H3165+I3165</f>
        <v>1.068</v>
      </c>
      <c r="L3165" s="13" t="n">
        <f aca="false">MAX(0,D3165-K3165)</f>
        <v>0</v>
      </c>
      <c r="M3165" s="13" t="n">
        <f aca="false">MAX(0,F3165-I3165-J3165)</f>
        <v>0</v>
      </c>
      <c r="N3165" s="13" t="n">
        <f aca="false">IF(Kalender!A237="",0,J3164-H3165)</f>
        <v>0.6762</v>
      </c>
    </row>
    <row r="3166" customFormat="false" ht="16.4" hidden="false" customHeight="false" outlineLevel="0" collapsed="false">
      <c r="A3166" s="13" t="str">
        <f aca="false">""</f>
        <v/>
      </c>
      <c r="B3166" s="13" t="n">
        <f aca="false">234</f>
        <v>234</v>
      </c>
      <c r="C3166" s="13" t="n">
        <f aca="false">IF(Szenarien!$H$19="OK",(IFERROR(SUMIF(Nutzungsprofile!$B$6:$B$11,"Schulbetrieb",Nutzungsprofile!$G$6:$G$11)*Kalender!C238/SUM(Kalender!$C$5:$C$370),0)+IFERROR(SUMIF(Nutzungsprofile!$B$6:$B$11,"Halle",Nutzungsprofile!$G$6:$G$11)*Kalender!D238/SUM(Kalender!$D$5:$D$370),0)+IFERROR(SUMIF(Nutzungsprofile!$B$6:$B$11,"Individuell",Nutzungsprofile!$G$6:$G$11)*Kalender!E238/SUM(Kalender!$E$5:$E$370),0))*Szenarien!$E$19,0)</f>
        <v>2.04</v>
      </c>
      <c r="D3166" s="13" t="n">
        <f aca="false">IF(Szenarien!$H$19="OK",(IFERROR(SUMIF(Nutzungsprofile!$B$17:$B$22,"Schulbetrieb",Nutzungsprofile!$G$17:$G$22)*Kalender!C238/SUM(Kalender!$C$5:$C$370),0)+IFERROR(SUMIF(Nutzungsprofile!$B$17:$B$22,"Halle",Nutzungsprofile!$G$17:$G$22)*Kalender!D238/SUM(Kalender!$D$5:$D$370),0)+IFERROR(SUMIF(Nutzungsprofile!$B$17:$B$22,"Individuell",Nutzungsprofile!$G$17:$G$22)*Kalender!E238/SUM(Kalender!$E$5:$E$370),0))*Szenarien!$D$19,0)</f>
        <v>1.068</v>
      </c>
      <c r="E3166" s="13" t="n">
        <f aca="false">IFERROR(MIN(C3166,Eingaben!$B$17)*Eingaben!$B$16,0)</f>
        <v>1.938</v>
      </c>
      <c r="F3166" s="13" t="n">
        <f aca="false">IFERROR(E3166*Eingaben!$B$15,0)</f>
        <v>1.7442</v>
      </c>
      <c r="G3166" s="13" t="n">
        <f aca="false">IFERROR(IF(Kalender!A238="",0,J3165*(1-Eingaben!$B$20)),0)</f>
        <v>1.709316</v>
      </c>
      <c r="H3166" s="13" t="n">
        <f aca="false">MIN(G3166,D3166)</f>
        <v>1.068</v>
      </c>
      <c r="I3166" s="13" t="n">
        <f aca="false">IFERROR(MIN(F3166*Eingaben!$B$19,MAX(0,D3166-H3166)),0)</f>
        <v>0</v>
      </c>
      <c r="J3166" s="13" t="n">
        <f aca="false">IFERROR(MIN(Eingaben!$B$18,MAX(0,F3166-I3166)),0)</f>
        <v>1.7442</v>
      </c>
      <c r="K3166" s="13" t="n">
        <f aca="false">H3166+I3166</f>
        <v>1.068</v>
      </c>
      <c r="L3166" s="13" t="n">
        <f aca="false">MAX(0,D3166-K3166)</f>
        <v>0</v>
      </c>
      <c r="M3166" s="13" t="n">
        <f aca="false">MAX(0,F3166-I3166-J3166)</f>
        <v>0</v>
      </c>
      <c r="N3166" s="13" t="n">
        <f aca="false">IF(Kalender!A238="",0,J3165-H3166)</f>
        <v>0.6762</v>
      </c>
    </row>
    <row r="3167" customFormat="false" ht="16.4" hidden="false" customHeight="false" outlineLevel="0" collapsed="false">
      <c r="A3167" s="13" t="str">
        <f aca="false">""</f>
        <v/>
      </c>
      <c r="B3167" s="13" t="n">
        <f aca="false">235</f>
        <v>235</v>
      </c>
      <c r="C3167" s="13" t="n">
        <f aca="false">IF(Szenarien!$H$19="OK",(IFERROR(SUMIF(Nutzungsprofile!$B$6:$B$11,"Schulbetrieb",Nutzungsprofile!$G$6:$G$11)*Kalender!C239/SUM(Kalender!$C$5:$C$370),0)+IFERROR(SUMIF(Nutzungsprofile!$B$6:$B$11,"Halle",Nutzungsprofile!$G$6:$G$11)*Kalender!D239/SUM(Kalender!$D$5:$D$370),0)+IFERROR(SUMIF(Nutzungsprofile!$B$6:$B$11,"Individuell",Nutzungsprofile!$G$6:$G$11)*Kalender!E239/SUM(Kalender!$E$5:$E$370),0))*Szenarien!$E$19,0)</f>
        <v>2.04</v>
      </c>
      <c r="D3167" s="13" t="n">
        <f aca="false">IF(Szenarien!$H$19="OK",(IFERROR(SUMIF(Nutzungsprofile!$B$17:$B$22,"Schulbetrieb",Nutzungsprofile!$G$17:$G$22)*Kalender!C239/SUM(Kalender!$C$5:$C$370),0)+IFERROR(SUMIF(Nutzungsprofile!$B$17:$B$22,"Halle",Nutzungsprofile!$G$17:$G$22)*Kalender!D239/SUM(Kalender!$D$5:$D$370),0)+IFERROR(SUMIF(Nutzungsprofile!$B$17:$B$22,"Individuell",Nutzungsprofile!$G$17:$G$22)*Kalender!E239/SUM(Kalender!$E$5:$E$370),0))*Szenarien!$D$19,0)</f>
        <v>1.068</v>
      </c>
      <c r="E3167" s="13" t="n">
        <f aca="false">IFERROR(MIN(C3167,Eingaben!$B$17)*Eingaben!$B$16,0)</f>
        <v>1.938</v>
      </c>
      <c r="F3167" s="13" t="n">
        <f aca="false">IFERROR(E3167*Eingaben!$B$15,0)</f>
        <v>1.7442</v>
      </c>
      <c r="G3167" s="13" t="n">
        <f aca="false">IFERROR(IF(Kalender!A239="",0,J3166*(1-Eingaben!$B$20)),0)</f>
        <v>1.709316</v>
      </c>
      <c r="H3167" s="13" t="n">
        <f aca="false">MIN(G3167,D3167)</f>
        <v>1.068</v>
      </c>
      <c r="I3167" s="13" t="n">
        <f aca="false">IFERROR(MIN(F3167*Eingaben!$B$19,MAX(0,D3167-H3167)),0)</f>
        <v>0</v>
      </c>
      <c r="J3167" s="13" t="n">
        <f aca="false">IFERROR(MIN(Eingaben!$B$18,MAX(0,F3167-I3167)),0)</f>
        <v>1.7442</v>
      </c>
      <c r="K3167" s="13" t="n">
        <f aca="false">H3167+I3167</f>
        <v>1.068</v>
      </c>
      <c r="L3167" s="13" t="n">
        <f aca="false">MAX(0,D3167-K3167)</f>
        <v>0</v>
      </c>
      <c r="M3167" s="13" t="n">
        <f aca="false">MAX(0,F3167-I3167-J3167)</f>
        <v>0</v>
      </c>
      <c r="N3167" s="13" t="n">
        <f aca="false">IF(Kalender!A239="",0,J3166-H3167)</f>
        <v>0.6762</v>
      </c>
    </row>
    <row r="3168" customFormat="false" ht="16.4" hidden="false" customHeight="false" outlineLevel="0" collapsed="false">
      <c r="A3168" s="13" t="str">
        <f aca="false">""</f>
        <v/>
      </c>
      <c r="B3168" s="13" t="n">
        <f aca="false">236</f>
        <v>236</v>
      </c>
      <c r="C3168" s="13" t="n">
        <f aca="false">IF(Szenarien!$H$19="OK",(IFERROR(SUMIF(Nutzungsprofile!$B$6:$B$11,"Schulbetrieb",Nutzungsprofile!$G$6:$G$11)*Kalender!C240/SUM(Kalender!$C$5:$C$370),0)+IFERROR(SUMIF(Nutzungsprofile!$B$6:$B$11,"Halle",Nutzungsprofile!$G$6:$G$11)*Kalender!D240/SUM(Kalender!$D$5:$D$370),0)+IFERROR(SUMIF(Nutzungsprofile!$B$6:$B$11,"Individuell",Nutzungsprofile!$G$6:$G$11)*Kalender!E240/SUM(Kalender!$E$5:$E$370),0))*Szenarien!$E$19,0)</f>
        <v>2.04</v>
      </c>
      <c r="D3168" s="13" t="n">
        <f aca="false">IF(Szenarien!$H$19="OK",(IFERROR(SUMIF(Nutzungsprofile!$B$17:$B$22,"Schulbetrieb",Nutzungsprofile!$G$17:$G$22)*Kalender!C240/SUM(Kalender!$C$5:$C$370),0)+IFERROR(SUMIF(Nutzungsprofile!$B$17:$B$22,"Halle",Nutzungsprofile!$G$17:$G$22)*Kalender!D240/SUM(Kalender!$D$5:$D$370),0)+IFERROR(SUMIF(Nutzungsprofile!$B$17:$B$22,"Individuell",Nutzungsprofile!$G$17:$G$22)*Kalender!E240/SUM(Kalender!$E$5:$E$370),0))*Szenarien!$D$19,0)</f>
        <v>1.068</v>
      </c>
      <c r="E3168" s="13" t="n">
        <f aca="false">IFERROR(MIN(C3168,Eingaben!$B$17)*Eingaben!$B$16,0)</f>
        <v>1.938</v>
      </c>
      <c r="F3168" s="13" t="n">
        <f aca="false">IFERROR(E3168*Eingaben!$B$15,0)</f>
        <v>1.7442</v>
      </c>
      <c r="G3168" s="13" t="n">
        <f aca="false">IFERROR(IF(Kalender!A240="",0,J3167*(1-Eingaben!$B$20)),0)</f>
        <v>1.709316</v>
      </c>
      <c r="H3168" s="13" t="n">
        <f aca="false">MIN(G3168,D3168)</f>
        <v>1.068</v>
      </c>
      <c r="I3168" s="13" t="n">
        <f aca="false">IFERROR(MIN(F3168*Eingaben!$B$19,MAX(0,D3168-H3168)),0)</f>
        <v>0</v>
      </c>
      <c r="J3168" s="13" t="n">
        <f aca="false">IFERROR(MIN(Eingaben!$B$18,MAX(0,F3168-I3168)),0)</f>
        <v>1.7442</v>
      </c>
      <c r="K3168" s="13" t="n">
        <f aca="false">H3168+I3168</f>
        <v>1.068</v>
      </c>
      <c r="L3168" s="13" t="n">
        <f aca="false">MAX(0,D3168-K3168)</f>
        <v>0</v>
      </c>
      <c r="M3168" s="13" t="n">
        <f aca="false">MAX(0,F3168-I3168-J3168)</f>
        <v>0</v>
      </c>
      <c r="N3168" s="13" t="n">
        <f aca="false">IF(Kalender!A240="",0,J3167-H3168)</f>
        <v>0.6762</v>
      </c>
    </row>
    <row r="3169" customFormat="false" ht="16.4" hidden="false" customHeight="false" outlineLevel="0" collapsed="false">
      <c r="A3169" s="13" t="str">
        <f aca="false">""</f>
        <v/>
      </c>
      <c r="B3169" s="13" t="n">
        <f aca="false">237</f>
        <v>237</v>
      </c>
      <c r="C3169" s="13" t="n">
        <f aca="false">IF(Szenarien!$H$19="OK",(IFERROR(SUMIF(Nutzungsprofile!$B$6:$B$11,"Schulbetrieb",Nutzungsprofile!$G$6:$G$11)*Kalender!C241/SUM(Kalender!$C$5:$C$370),0)+IFERROR(SUMIF(Nutzungsprofile!$B$6:$B$11,"Halle",Nutzungsprofile!$G$6:$G$11)*Kalender!D241/SUM(Kalender!$D$5:$D$370),0)+IFERROR(SUMIF(Nutzungsprofile!$B$6:$B$11,"Individuell",Nutzungsprofile!$G$6:$G$11)*Kalender!E241/SUM(Kalender!$E$5:$E$370),0))*Szenarien!$E$19,0)</f>
        <v>2.04</v>
      </c>
      <c r="D3169" s="13" t="n">
        <f aca="false">IF(Szenarien!$H$19="OK",(IFERROR(SUMIF(Nutzungsprofile!$B$17:$B$22,"Schulbetrieb",Nutzungsprofile!$G$17:$G$22)*Kalender!C241/SUM(Kalender!$C$5:$C$370),0)+IFERROR(SUMIF(Nutzungsprofile!$B$17:$B$22,"Halle",Nutzungsprofile!$G$17:$G$22)*Kalender!D241/SUM(Kalender!$D$5:$D$370),0)+IFERROR(SUMIF(Nutzungsprofile!$B$17:$B$22,"Individuell",Nutzungsprofile!$G$17:$G$22)*Kalender!E241/SUM(Kalender!$E$5:$E$370),0))*Szenarien!$D$19,0)</f>
        <v>1.068</v>
      </c>
      <c r="E3169" s="13" t="n">
        <f aca="false">IFERROR(MIN(C3169,Eingaben!$B$17)*Eingaben!$B$16,0)</f>
        <v>1.938</v>
      </c>
      <c r="F3169" s="13" t="n">
        <f aca="false">IFERROR(E3169*Eingaben!$B$15,0)</f>
        <v>1.7442</v>
      </c>
      <c r="G3169" s="13" t="n">
        <f aca="false">IFERROR(IF(Kalender!A241="",0,J3168*(1-Eingaben!$B$20)),0)</f>
        <v>1.709316</v>
      </c>
      <c r="H3169" s="13" t="n">
        <f aca="false">MIN(G3169,D3169)</f>
        <v>1.068</v>
      </c>
      <c r="I3169" s="13" t="n">
        <f aca="false">IFERROR(MIN(F3169*Eingaben!$B$19,MAX(0,D3169-H3169)),0)</f>
        <v>0</v>
      </c>
      <c r="J3169" s="13" t="n">
        <f aca="false">IFERROR(MIN(Eingaben!$B$18,MAX(0,F3169-I3169)),0)</f>
        <v>1.7442</v>
      </c>
      <c r="K3169" s="13" t="n">
        <f aca="false">H3169+I3169</f>
        <v>1.068</v>
      </c>
      <c r="L3169" s="13" t="n">
        <f aca="false">MAX(0,D3169-K3169)</f>
        <v>0</v>
      </c>
      <c r="M3169" s="13" t="n">
        <f aca="false">MAX(0,F3169-I3169-J3169)</f>
        <v>0</v>
      </c>
      <c r="N3169" s="13" t="n">
        <f aca="false">IF(Kalender!A241="",0,J3168-H3169)</f>
        <v>0.6762</v>
      </c>
    </row>
    <row r="3170" customFormat="false" ht="16.4" hidden="false" customHeight="false" outlineLevel="0" collapsed="false">
      <c r="A3170" s="13" t="str">
        <f aca="false">""</f>
        <v/>
      </c>
      <c r="B3170" s="13" t="n">
        <f aca="false">238</f>
        <v>238</v>
      </c>
      <c r="C3170" s="13" t="n">
        <f aca="false">IF(Szenarien!$H$19="OK",(IFERROR(SUMIF(Nutzungsprofile!$B$6:$B$11,"Schulbetrieb",Nutzungsprofile!$G$6:$G$11)*Kalender!C242/SUM(Kalender!$C$5:$C$370),0)+IFERROR(SUMIF(Nutzungsprofile!$B$6:$B$11,"Halle",Nutzungsprofile!$G$6:$G$11)*Kalender!D242/SUM(Kalender!$D$5:$D$370),0)+IFERROR(SUMIF(Nutzungsprofile!$B$6:$B$11,"Individuell",Nutzungsprofile!$G$6:$G$11)*Kalender!E242/SUM(Kalender!$E$5:$E$370),0))*Szenarien!$E$19,0)</f>
        <v>2.04</v>
      </c>
      <c r="D3170" s="13" t="n">
        <f aca="false">IF(Szenarien!$H$19="OK",(IFERROR(SUMIF(Nutzungsprofile!$B$17:$B$22,"Schulbetrieb",Nutzungsprofile!$G$17:$G$22)*Kalender!C242/SUM(Kalender!$C$5:$C$370),0)+IFERROR(SUMIF(Nutzungsprofile!$B$17:$B$22,"Halle",Nutzungsprofile!$G$17:$G$22)*Kalender!D242/SUM(Kalender!$D$5:$D$370),0)+IFERROR(SUMIF(Nutzungsprofile!$B$17:$B$22,"Individuell",Nutzungsprofile!$G$17:$G$22)*Kalender!E242/SUM(Kalender!$E$5:$E$370),0))*Szenarien!$D$19,0)</f>
        <v>1.068</v>
      </c>
      <c r="E3170" s="13" t="n">
        <f aca="false">IFERROR(MIN(C3170,Eingaben!$B$17)*Eingaben!$B$16,0)</f>
        <v>1.938</v>
      </c>
      <c r="F3170" s="13" t="n">
        <f aca="false">IFERROR(E3170*Eingaben!$B$15,0)</f>
        <v>1.7442</v>
      </c>
      <c r="G3170" s="13" t="n">
        <f aca="false">IFERROR(IF(Kalender!A242="",0,J3169*(1-Eingaben!$B$20)),0)</f>
        <v>1.709316</v>
      </c>
      <c r="H3170" s="13" t="n">
        <f aca="false">MIN(G3170,D3170)</f>
        <v>1.068</v>
      </c>
      <c r="I3170" s="13" t="n">
        <f aca="false">IFERROR(MIN(F3170*Eingaben!$B$19,MAX(0,D3170-H3170)),0)</f>
        <v>0</v>
      </c>
      <c r="J3170" s="13" t="n">
        <f aca="false">IFERROR(MIN(Eingaben!$B$18,MAX(0,F3170-I3170)),0)</f>
        <v>1.7442</v>
      </c>
      <c r="K3170" s="13" t="n">
        <f aca="false">H3170+I3170</f>
        <v>1.068</v>
      </c>
      <c r="L3170" s="13" t="n">
        <f aca="false">MAX(0,D3170-K3170)</f>
        <v>0</v>
      </c>
      <c r="M3170" s="13" t="n">
        <f aca="false">MAX(0,F3170-I3170-J3170)</f>
        <v>0</v>
      </c>
      <c r="N3170" s="13" t="n">
        <f aca="false">IF(Kalender!A242="",0,J3169-H3170)</f>
        <v>0.6762</v>
      </c>
    </row>
    <row r="3171" customFormat="false" ht="16.4" hidden="false" customHeight="false" outlineLevel="0" collapsed="false">
      <c r="A3171" s="13" t="str">
        <f aca="false">""</f>
        <v/>
      </c>
      <c r="B3171" s="13" t="n">
        <f aca="false">239</f>
        <v>239</v>
      </c>
      <c r="C3171" s="13" t="n">
        <f aca="false">IF(Szenarien!$H$19="OK",(IFERROR(SUMIF(Nutzungsprofile!$B$6:$B$11,"Schulbetrieb",Nutzungsprofile!$G$6:$G$11)*Kalender!C243/SUM(Kalender!$C$5:$C$370),0)+IFERROR(SUMIF(Nutzungsprofile!$B$6:$B$11,"Halle",Nutzungsprofile!$G$6:$G$11)*Kalender!D243/SUM(Kalender!$D$5:$D$370),0)+IFERROR(SUMIF(Nutzungsprofile!$B$6:$B$11,"Individuell",Nutzungsprofile!$G$6:$G$11)*Kalender!E243/SUM(Kalender!$E$5:$E$370),0))*Szenarien!$E$19,0)</f>
        <v>2.04</v>
      </c>
      <c r="D3171" s="13" t="n">
        <f aca="false">IF(Szenarien!$H$19="OK",(IFERROR(SUMIF(Nutzungsprofile!$B$17:$B$22,"Schulbetrieb",Nutzungsprofile!$G$17:$G$22)*Kalender!C243/SUM(Kalender!$C$5:$C$370),0)+IFERROR(SUMIF(Nutzungsprofile!$B$17:$B$22,"Halle",Nutzungsprofile!$G$17:$G$22)*Kalender!D243/SUM(Kalender!$D$5:$D$370),0)+IFERROR(SUMIF(Nutzungsprofile!$B$17:$B$22,"Individuell",Nutzungsprofile!$G$17:$G$22)*Kalender!E243/SUM(Kalender!$E$5:$E$370),0))*Szenarien!$D$19,0)</f>
        <v>1.068</v>
      </c>
      <c r="E3171" s="13" t="n">
        <f aca="false">IFERROR(MIN(C3171,Eingaben!$B$17)*Eingaben!$B$16,0)</f>
        <v>1.938</v>
      </c>
      <c r="F3171" s="13" t="n">
        <f aca="false">IFERROR(E3171*Eingaben!$B$15,0)</f>
        <v>1.7442</v>
      </c>
      <c r="G3171" s="13" t="n">
        <f aca="false">IFERROR(IF(Kalender!A243="",0,J3170*(1-Eingaben!$B$20)),0)</f>
        <v>1.709316</v>
      </c>
      <c r="H3171" s="13" t="n">
        <f aca="false">MIN(G3171,D3171)</f>
        <v>1.068</v>
      </c>
      <c r="I3171" s="13" t="n">
        <f aca="false">IFERROR(MIN(F3171*Eingaben!$B$19,MAX(0,D3171-H3171)),0)</f>
        <v>0</v>
      </c>
      <c r="J3171" s="13" t="n">
        <f aca="false">IFERROR(MIN(Eingaben!$B$18,MAX(0,F3171-I3171)),0)</f>
        <v>1.7442</v>
      </c>
      <c r="K3171" s="13" t="n">
        <f aca="false">H3171+I3171</f>
        <v>1.068</v>
      </c>
      <c r="L3171" s="13" t="n">
        <f aca="false">MAX(0,D3171-K3171)</f>
        <v>0</v>
      </c>
      <c r="M3171" s="13" t="n">
        <f aca="false">MAX(0,F3171-I3171-J3171)</f>
        <v>0</v>
      </c>
      <c r="N3171" s="13" t="n">
        <f aca="false">IF(Kalender!A243="",0,J3170-H3171)</f>
        <v>0.6762</v>
      </c>
    </row>
    <row r="3172" customFormat="false" ht="16.4" hidden="false" customHeight="false" outlineLevel="0" collapsed="false">
      <c r="A3172" s="13" t="str">
        <f aca="false">""</f>
        <v/>
      </c>
      <c r="B3172" s="13" t="n">
        <f aca="false">240</f>
        <v>240</v>
      </c>
      <c r="C3172" s="13" t="n">
        <f aca="false">IF(Szenarien!$H$19="OK",(IFERROR(SUMIF(Nutzungsprofile!$B$6:$B$11,"Schulbetrieb",Nutzungsprofile!$G$6:$G$11)*Kalender!C244/SUM(Kalender!$C$5:$C$370),0)+IFERROR(SUMIF(Nutzungsprofile!$B$6:$B$11,"Halle",Nutzungsprofile!$G$6:$G$11)*Kalender!D244/SUM(Kalender!$D$5:$D$370),0)+IFERROR(SUMIF(Nutzungsprofile!$B$6:$B$11,"Individuell",Nutzungsprofile!$G$6:$G$11)*Kalender!E244/SUM(Kalender!$E$5:$E$370),0))*Szenarien!$E$19,0)</f>
        <v>2.04</v>
      </c>
      <c r="D3172" s="13" t="n">
        <f aca="false">IF(Szenarien!$H$19="OK",(IFERROR(SUMIF(Nutzungsprofile!$B$17:$B$22,"Schulbetrieb",Nutzungsprofile!$G$17:$G$22)*Kalender!C244/SUM(Kalender!$C$5:$C$370),0)+IFERROR(SUMIF(Nutzungsprofile!$B$17:$B$22,"Halle",Nutzungsprofile!$G$17:$G$22)*Kalender!D244/SUM(Kalender!$D$5:$D$370),0)+IFERROR(SUMIF(Nutzungsprofile!$B$17:$B$22,"Individuell",Nutzungsprofile!$G$17:$G$22)*Kalender!E244/SUM(Kalender!$E$5:$E$370),0))*Szenarien!$D$19,0)</f>
        <v>1.068</v>
      </c>
      <c r="E3172" s="13" t="n">
        <f aca="false">IFERROR(MIN(C3172,Eingaben!$B$17)*Eingaben!$B$16,0)</f>
        <v>1.938</v>
      </c>
      <c r="F3172" s="13" t="n">
        <f aca="false">IFERROR(E3172*Eingaben!$B$15,0)</f>
        <v>1.7442</v>
      </c>
      <c r="G3172" s="13" t="n">
        <f aca="false">IFERROR(IF(Kalender!A244="",0,J3171*(1-Eingaben!$B$20)),0)</f>
        <v>1.709316</v>
      </c>
      <c r="H3172" s="13" t="n">
        <f aca="false">MIN(G3172,D3172)</f>
        <v>1.068</v>
      </c>
      <c r="I3172" s="13" t="n">
        <f aca="false">IFERROR(MIN(F3172*Eingaben!$B$19,MAX(0,D3172-H3172)),0)</f>
        <v>0</v>
      </c>
      <c r="J3172" s="13" t="n">
        <f aca="false">IFERROR(MIN(Eingaben!$B$18,MAX(0,F3172-I3172)),0)</f>
        <v>1.7442</v>
      </c>
      <c r="K3172" s="13" t="n">
        <f aca="false">H3172+I3172</f>
        <v>1.068</v>
      </c>
      <c r="L3172" s="13" t="n">
        <f aca="false">MAX(0,D3172-K3172)</f>
        <v>0</v>
      </c>
      <c r="M3172" s="13" t="n">
        <f aca="false">MAX(0,F3172-I3172-J3172)</f>
        <v>0</v>
      </c>
      <c r="N3172" s="13" t="n">
        <f aca="false">IF(Kalender!A244="",0,J3171-H3172)</f>
        <v>0.6762</v>
      </c>
    </row>
    <row r="3173" customFormat="false" ht="16.4" hidden="false" customHeight="false" outlineLevel="0" collapsed="false">
      <c r="A3173" s="13" t="str">
        <f aca="false">""</f>
        <v/>
      </c>
      <c r="B3173" s="13" t="n">
        <f aca="false">241</f>
        <v>241</v>
      </c>
      <c r="C3173" s="13" t="n">
        <f aca="false">IF(Szenarien!$H$19="OK",(IFERROR(SUMIF(Nutzungsprofile!$B$6:$B$11,"Schulbetrieb",Nutzungsprofile!$G$6:$G$11)*Kalender!C245/SUM(Kalender!$C$5:$C$370),0)+IFERROR(SUMIF(Nutzungsprofile!$B$6:$B$11,"Halle",Nutzungsprofile!$G$6:$G$11)*Kalender!D245/SUM(Kalender!$D$5:$D$370),0)+IFERROR(SUMIF(Nutzungsprofile!$B$6:$B$11,"Individuell",Nutzungsprofile!$G$6:$G$11)*Kalender!E245/SUM(Kalender!$E$5:$E$370),0))*Szenarien!$E$19,0)</f>
        <v>2.04</v>
      </c>
      <c r="D3173" s="13" t="n">
        <f aca="false">IF(Szenarien!$H$19="OK",(IFERROR(SUMIF(Nutzungsprofile!$B$17:$B$22,"Schulbetrieb",Nutzungsprofile!$G$17:$G$22)*Kalender!C245/SUM(Kalender!$C$5:$C$370),0)+IFERROR(SUMIF(Nutzungsprofile!$B$17:$B$22,"Halle",Nutzungsprofile!$G$17:$G$22)*Kalender!D245/SUM(Kalender!$D$5:$D$370),0)+IFERROR(SUMIF(Nutzungsprofile!$B$17:$B$22,"Individuell",Nutzungsprofile!$G$17:$G$22)*Kalender!E245/SUM(Kalender!$E$5:$E$370),0))*Szenarien!$D$19,0)</f>
        <v>1.068</v>
      </c>
      <c r="E3173" s="13" t="n">
        <f aca="false">IFERROR(MIN(C3173,Eingaben!$B$17)*Eingaben!$B$16,0)</f>
        <v>1.938</v>
      </c>
      <c r="F3173" s="13" t="n">
        <f aca="false">IFERROR(E3173*Eingaben!$B$15,0)</f>
        <v>1.7442</v>
      </c>
      <c r="G3173" s="13" t="n">
        <f aca="false">IFERROR(IF(Kalender!A245="",0,J3172*(1-Eingaben!$B$20)),0)</f>
        <v>1.709316</v>
      </c>
      <c r="H3173" s="13" t="n">
        <f aca="false">MIN(G3173,D3173)</f>
        <v>1.068</v>
      </c>
      <c r="I3173" s="13" t="n">
        <f aca="false">IFERROR(MIN(F3173*Eingaben!$B$19,MAX(0,D3173-H3173)),0)</f>
        <v>0</v>
      </c>
      <c r="J3173" s="13" t="n">
        <f aca="false">IFERROR(MIN(Eingaben!$B$18,MAX(0,F3173-I3173)),0)</f>
        <v>1.7442</v>
      </c>
      <c r="K3173" s="13" t="n">
        <f aca="false">H3173+I3173</f>
        <v>1.068</v>
      </c>
      <c r="L3173" s="13" t="n">
        <f aca="false">MAX(0,D3173-K3173)</f>
        <v>0</v>
      </c>
      <c r="M3173" s="13" t="n">
        <f aca="false">MAX(0,F3173-I3173-J3173)</f>
        <v>0</v>
      </c>
      <c r="N3173" s="13" t="n">
        <f aca="false">IF(Kalender!A245="",0,J3172-H3173)</f>
        <v>0.6762</v>
      </c>
    </row>
    <row r="3174" customFormat="false" ht="16.4" hidden="false" customHeight="false" outlineLevel="0" collapsed="false">
      <c r="A3174" s="13" t="str">
        <f aca="false">""</f>
        <v/>
      </c>
      <c r="B3174" s="13" t="n">
        <f aca="false">242</f>
        <v>242</v>
      </c>
      <c r="C3174" s="13" t="n">
        <f aca="false">IF(Szenarien!$H$19="OK",(IFERROR(SUMIF(Nutzungsprofile!$B$6:$B$11,"Schulbetrieb",Nutzungsprofile!$G$6:$G$11)*Kalender!C246/SUM(Kalender!$C$5:$C$370),0)+IFERROR(SUMIF(Nutzungsprofile!$B$6:$B$11,"Halle",Nutzungsprofile!$G$6:$G$11)*Kalender!D246/SUM(Kalender!$D$5:$D$370),0)+IFERROR(SUMIF(Nutzungsprofile!$B$6:$B$11,"Individuell",Nutzungsprofile!$G$6:$G$11)*Kalender!E246/SUM(Kalender!$E$5:$E$370),0))*Szenarien!$E$19,0)</f>
        <v>2.04</v>
      </c>
      <c r="D3174" s="13" t="n">
        <f aca="false">IF(Szenarien!$H$19="OK",(IFERROR(SUMIF(Nutzungsprofile!$B$17:$B$22,"Schulbetrieb",Nutzungsprofile!$G$17:$G$22)*Kalender!C246/SUM(Kalender!$C$5:$C$370),0)+IFERROR(SUMIF(Nutzungsprofile!$B$17:$B$22,"Halle",Nutzungsprofile!$G$17:$G$22)*Kalender!D246/SUM(Kalender!$D$5:$D$370),0)+IFERROR(SUMIF(Nutzungsprofile!$B$17:$B$22,"Individuell",Nutzungsprofile!$G$17:$G$22)*Kalender!E246/SUM(Kalender!$E$5:$E$370),0))*Szenarien!$D$19,0)</f>
        <v>1.068</v>
      </c>
      <c r="E3174" s="13" t="n">
        <f aca="false">IFERROR(MIN(C3174,Eingaben!$B$17)*Eingaben!$B$16,0)</f>
        <v>1.938</v>
      </c>
      <c r="F3174" s="13" t="n">
        <f aca="false">IFERROR(E3174*Eingaben!$B$15,0)</f>
        <v>1.7442</v>
      </c>
      <c r="G3174" s="13" t="n">
        <f aca="false">IFERROR(IF(Kalender!A246="",0,J3173*(1-Eingaben!$B$20)),0)</f>
        <v>1.709316</v>
      </c>
      <c r="H3174" s="13" t="n">
        <f aca="false">MIN(G3174,D3174)</f>
        <v>1.068</v>
      </c>
      <c r="I3174" s="13" t="n">
        <f aca="false">IFERROR(MIN(F3174*Eingaben!$B$19,MAX(0,D3174-H3174)),0)</f>
        <v>0</v>
      </c>
      <c r="J3174" s="13" t="n">
        <f aca="false">IFERROR(MIN(Eingaben!$B$18,MAX(0,F3174-I3174)),0)</f>
        <v>1.7442</v>
      </c>
      <c r="K3174" s="13" t="n">
        <f aca="false">H3174+I3174</f>
        <v>1.068</v>
      </c>
      <c r="L3174" s="13" t="n">
        <f aca="false">MAX(0,D3174-K3174)</f>
        <v>0</v>
      </c>
      <c r="M3174" s="13" t="n">
        <f aca="false">MAX(0,F3174-I3174-J3174)</f>
        <v>0</v>
      </c>
      <c r="N3174" s="13" t="n">
        <f aca="false">IF(Kalender!A246="",0,J3173-H3174)</f>
        <v>0.6762</v>
      </c>
    </row>
    <row r="3175" customFormat="false" ht="16.4" hidden="false" customHeight="false" outlineLevel="0" collapsed="false">
      <c r="A3175" s="13" t="str">
        <f aca="false">""</f>
        <v/>
      </c>
      <c r="B3175" s="13" t="n">
        <f aca="false">243</f>
        <v>243</v>
      </c>
      <c r="C3175" s="13" t="n">
        <f aca="false">IF(Szenarien!$H$19="OK",(IFERROR(SUMIF(Nutzungsprofile!$B$6:$B$11,"Schulbetrieb",Nutzungsprofile!$G$6:$G$11)*Kalender!C247/SUM(Kalender!$C$5:$C$370),0)+IFERROR(SUMIF(Nutzungsprofile!$B$6:$B$11,"Halle",Nutzungsprofile!$G$6:$G$11)*Kalender!D247/SUM(Kalender!$D$5:$D$370),0)+IFERROR(SUMIF(Nutzungsprofile!$B$6:$B$11,"Individuell",Nutzungsprofile!$G$6:$G$11)*Kalender!E247/SUM(Kalender!$E$5:$E$370),0))*Szenarien!$E$19,0)</f>
        <v>2.04</v>
      </c>
      <c r="D3175" s="13" t="n">
        <f aca="false">IF(Szenarien!$H$19="OK",(IFERROR(SUMIF(Nutzungsprofile!$B$17:$B$22,"Schulbetrieb",Nutzungsprofile!$G$17:$G$22)*Kalender!C247/SUM(Kalender!$C$5:$C$370),0)+IFERROR(SUMIF(Nutzungsprofile!$B$17:$B$22,"Halle",Nutzungsprofile!$G$17:$G$22)*Kalender!D247/SUM(Kalender!$D$5:$D$370),0)+IFERROR(SUMIF(Nutzungsprofile!$B$17:$B$22,"Individuell",Nutzungsprofile!$G$17:$G$22)*Kalender!E247/SUM(Kalender!$E$5:$E$370),0))*Szenarien!$D$19,0)</f>
        <v>1.068</v>
      </c>
      <c r="E3175" s="13" t="n">
        <f aca="false">IFERROR(MIN(C3175,Eingaben!$B$17)*Eingaben!$B$16,0)</f>
        <v>1.938</v>
      </c>
      <c r="F3175" s="13" t="n">
        <f aca="false">IFERROR(E3175*Eingaben!$B$15,0)</f>
        <v>1.7442</v>
      </c>
      <c r="G3175" s="13" t="n">
        <f aca="false">IFERROR(IF(Kalender!A247="",0,J3174*(1-Eingaben!$B$20)),0)</f>
        <v>1.709316</v>
      </c>
      <c r="H3175" s="13" t="n">
        <f aca="false">MIN(G3175,D3175)</f>
        <v>1.068</v>
      </c>
      <c r="I3175" s="13" t="n">
        <f aca="false">IFERROR(MIN(F3175*Eingaben!$B$19,MAX(0,D3175-H3175)),0)</f>
        <v>0</v>
      </c>
      <c r="J3175" s="13" t="n">
        <f aca="false">IFERROR(MIN(Eingaben!$B$18,MAX(0,F3175-I3175)),0)</f>
        <v>1.7442</v>
      </c>
      <c r="K3175" s="13" t="n">
        <f aca="false">H3175+I3175</f>
        <v>1.068</v>
      </c>
      <c r="L3175" s="13" t="n">
        <f aca="false">MAX(0,D3175-K3175)</f>
        <v>0</v>
      </c>
      <c r="M3175" s="13" t="n">
        <f aca="false">MAX(0,F3175-I3175-J3175)</f>
        <v>0</v>
      </c>
      <c r="N3175" s="13" t="n">
        <f aca="false">IF(Kalender!A247="",0,J3174-H3175)</f>
        <v>0.6762</v>
      </c>
    </row>
    <row r="3176" customFormat="false" ht="16.4" hidden="false" customHeight="false" outlineLevel="0" collapsed="false">
      <c r="A3176" s="13" t="str">
        <f aca="false">""</f>
        <v/>
      </c>
      <c r="B3176" s="13" t="n">
        <f aca="false">244</f>
        <v>244</v>
      </c>
      <c r="C3176" s="13" t="n">
        <f aca="false">IF(Szenarien!$H$19="OK",(IFERROR(SUMIF(Nutzungsprofile!$B$6:$B$11,"Schulbetrieb",Nutzungsprofile!$G$6:$G$11)*Kalender!C248/SUM(Kalender!$C$5:$C$370),0)+IFERROR(SUMIF(Nutzungsprofile!$B$6:$B$11,"Halle",Nutzungsprofile!$G$6:$G$11)*Kalender!D248/SUM(Kalender!$D$5:$D$370),0)+IFERROR(SUMIF(Nutzungsprofile!$B$6:$B$11,"Individuell",Nutzungsprofile!$G$6:$G$11)*Kalender!E248/SUM(Kalender!$E$5:$E$370),0))*Szenarien!$E$19,0)</f>
        <v>2.94</v>
      </c>
      <c r="D3176" s="13" t="n">
        <f aca="false">IF(Szenarien!$H$19="OK",(IFERROR(SUMIF(Nutzungsprofile!$B$17:$B$22,"Schulbetrieb",Nutzungsprofile!$G$17:$G$22)*Kalender!C248/SUM(Kalender!$C$5:$C$370),0)+IFERROR(SUMIF(Nutzungsprofile!$B$17:$B$22,"Halle",Nutzungsprofile!$G$17:$G$22)*Kalender!D248/SUM(Kalender!$D$5:$D$370),0)+IFERROR(SUMIF(Nutzungsprofile!$B$17:$B$22,"Individuell",Nutzungsprofile!$G$17:$G$22)*Kalender!E248/SUM(Kalender!$E$5:$E$370),0))*Szenarien!$D$19,0)</f>
        <v>5.928</v>
      </c>
      <c r="E3176" s="13" t="n">
        <f aca="false">IFERROR(MIN(C3176,Eingaben!$B$17)*Eingaben!$B$16,0)</f>
        <v>2.793</v>
      </c>
      <c r="F3176" s="13" t="n">
        <f aca="false">IFERROR(E3176*Eingaben!$B$15,0)</f>
        <v>2.5137</v>
      </c>
      <c r="G3176" s="13" t="n">
        <f aca="false">IFERROR(IF(Kalender!A248="",0,J3175*(1-Eingaben!$B$20)),0)</f>
        <v>1.709316</v>
      </c>
      <c r="H3176" s="13" t="n">
        <f aca="false">MIN(G3176,D3176)</f>
        <v>1.709316</v>
      </c>
      <c r="I3176" s="13" t="n">
        <f aca="false">IFERROR(MIN(F3176*Eingaben!$B$19,MAX(0,D3176-H3176)),0)</f>
        <v>1.75959</v>
      </c>
      <c r="J3176" s="13" t="n">
        <f aca="false">IFERROR(MIN(Eingaben!$B$18,MAX(0,F3176-I3176)),0)</f>
        <v>0.75411</v>
      </c>
      <c r="K3176" s="13" t="n">
        <f aca="false">H3176+I3176</f>
        <v>3.468906</v>
      </c>
      <c r="L3176" s="13" t="n">
        <f aca="false">MAX(0,D3176-K3176)</f>
        <v>2.459094</v>
      </c>
      <c r="M3176" s="13" t="n">
        <f aca="false">MAX(0,F3176-I3176-J3176)</f>
        <v>0</v>
      </c>
      <c r="N3176" s="13" t="n">
        <f aca="false">IF(Kalender!A248="",0,J3175-H3176)</f>
        <v>0.0348840000000001</v>
      </c>
    </row>
    <row r="3177" customFormat="false" ht="16.4" hidden="false" customHeight="false" outlineLevel="0" collapsed="false">
      <c r="A3177" s="13" t="str">
        <f aca="false">""</f>
        <v/>
      </c>
      <c r="B3177" s="13" t="n">
        <f aca="false">245</f>
        <v>245</v>
      </c>
      <c r="C3177" s="13" t="n">
        <f aca="false">IF(Szenarien!$H$19="OK",(IFERROR(SUMIF(Nutzungsprofile!$B$6:$B$11,"Schulbetrieb",Nutzungsprofile!$G$6:$G$11)*Kalender!C249/SUM(Kalender!$C$5:$C$370),0)+IFERROR(SUMIF(Nutzungsprofile!$B$6:$B$11,"Halle",Nutzungsprofile!$G$6:$G$11)*Kalender!D249/SUM(Kalender!$D$5:$D$370),0)+IFERROR(SUMIF(Nutzungsprofile!$B$6:$B$11,"Individuell",Nutzungsprofile!$G$6:$G$11)*Kalender!E249/SUM(Kalender!$E$5:$E$370),0))*Szenarien!$E$19,0)</f>
        <v>2.94</v>
      </c>
      <c r="D3177" s="13" t="n">
        <f aca="false">IF(Szenarien!$H$19="OK",(IFERROR(SUMIF(Nutzungsprofile!$B$17:$B$22,"Schulbetrieb",Nutzungsprofile!$G$17:$G$22)*Kalender!C249/SUM(Kalender!$C$5:$C$370),0)+IFERROR(SUMIF(Nutzungsprofile!$B$17:$B$22,"Halle",Nutzungsprofile!$G$17:$G$22)*Kalender!D249/SUM(Kalender!$D$5:$D$370),0)+IFERROR(SUMIF(Nutzungsprofile!$B$17:$B$22,"Individuell",Nutzungsprofile!$G$17:$G$22)*Kalender!E249/SUM(Kalender!$E$5:$E$370),0))*Szenarien!$D$19,0)</f>
        <v>5.928</v>
      </c>
      <c r="E3177" s="13" t="n">
        <f aca="false">IFERROR(MIN(C3177,Eingaben!$B$17)*Eingaben!$B$16,0)</f>
        <v>2.793</v>
      </c>
      <c r="F3177" s="13" t="n">
        <f aca="false">IFERROR(E3177*Eingaben!$B$15,0)</f>
        <v>2.5137</v>
      </c>
      <c r="G3177" s="13" t="n">
        <f aca="false">IFERROR(IF(Kalender!A249="",0,J3176*(1-Eingaben!$B$20)),0)</f>
        <v>0.7390278</v>
      </c>
      <c r="H3177" s="13" t="n">
        <f aca="false">MIN(G3177,D3177)</f>
        <v>0.7390278</v>
      </c>
      <c r="I3177" s="13" t="n">
        <f aca="false">IFERROR(MIN(F3177*Eingaben!$B$19,MAX(0,D3177-H3177)),0)</f>
        <v>1.75959</v>
      </c>
      <c r="J3177" s="13" t="n">
        <f aca="false">IFERROR(MIN(Eingaben!$B$18,MAX(0,F3177-I3177)),0)</f>
        <v>0.75411</v>
      </c>
      <c r="K3177" s="13" t="n">
        <f aca="false">H3177+I3177</f>
        <v>2.4986178</v>
      </c>
      <c r="L3177" s="13" t="n">
        <f aca="false">MAX(0,D3177-K3177)</f>
        <v>3.4293822</v>
      </c>
      <c r="M3177" s="13" t="n">
        <f aca="false">MAX(0,F3177-I3177-J3177)</f>
        <v>0</v>
      </c>
      <c r="N3177" s="13" t="n">
        <f aca="false">IF(Kalender!A249="",0,J3176-H3177)</f>
        <v>0.0150822</v>
      </c>
    </row>
    <row r="3178" customFormat="false" ht="16.4" hidden="false" customHeight="false" outlineLevel="0" collapsed="false">
      <c r="A3178" s="13" t="str">
        <f aca="false">""</f>
        <v/>
      </c>
      <c r="B3178" s="13" t="n">
        <f aca="false">246</f>
        <v>246</v>
      </c>
      <c r="C3178" s="13" t="n">
        <f aca="false">IF(Szenarien!$H$19="OK",(IFERROR(SUMIF(Nutzungsprofile!$B$6:$B$11,"Schulbetrieb",Nutzungsprofile!$G$6:$G$11)*Kalender!C250/SUM(Kalender!$C$5:$C$370),0)+IFERROR(SUMIF(Nutzungsprofile!$B$6:$B$11,"Halle",Nutzungsprofile!$G$6:$G$11)*Kalender!D250/SUM(Kalender!$D$5:$D$370),0)+IFERROR(SUMIF(Nutzungsprofile!$B$6:$B$11,"Individuell",Nutzungsprofile!$G$6:$G$11)*Kalender!E250/SUM(Kalender!$E$5:$E$370),0))*Szenarien!$E$19,0)</f>
        <v>2.94</v>
      </c>
      <c r="D3178" s="13" t="n">
        <f aca="false">IF(Szenarien!$H$19="OK",(IFERROR(SUMIF(Nutzungsprofile!$B$17:$B$22,"Schulbetrieb",Nutzungsprofile!$G$17:$G$22)*Kalender!C250/SUM(Kalender!$C$5:$C$370),0)+IFERROR(SUMIF(Nutzungsprofile!$B$17:$B$22,"Halle",Nutzungsprofile!$G$17:$G$22)*Kalender!D250/SUM(Kalender!$D$5:$D$370),0)+IFERROR(SUMIF(Nutzungsprofile!$B$17:$B$22,"Individuell",Nutzungsprofile!$G$17:$G$22)*Kalender!E250/SUM(Kalender!$E$5:$E$370),0))*Szenarien!$D$19,0)</f>
        <v>5.928</v>
      </c>
      <c r="E3178" s="13" t="n">
        <f aca="false">IFERROR(MIN(C3178,Eingaben!$B$17)*Eingaben!$B$16,0)</f>
        <v>2.793</v>
      </c>
      <c r="F3178" s="13" t="n">
        <f aca="false">IFERROR(E3178*Eingaben!$B$15,0)</f>
        <v>2.5137</v>
      </c>
      <c r="G3178" s="13" t="n">
        <f aca="false">IFERROR(IF(Kalender!A250="",0,J3177*(1-Eingaben!$B$20)),0)</f>
        <v>0.7390278</v>
      </c>
      <c r="H3178" s="13" t="n">
        <f aca="false">MIN(G3178,D3178)</f>
        <v>0.7390278</v>
      </c>
      <c r="I3178" s="13" t="n">
        <f aca="false">IFERROR(MIN(F3178*Eingaben!$B$19,MAX(0,D3178-H3178)),0)</f>
        <v>1.75959</v>
      </c>
      <c r="J3178" s="13" t="n">
        <f aca="false">IFERROR(MIN(Eingaben!$B$18,MAX(0,F3178-I3178)),0)</f>
        <v>0.75411</v>
      </c>
      <c r="K3178" s="13" t="n">
        <f aca="false">H3178+I3178</f>
        <v>2.4986178</v>
      </c>
      <c r="L3178" s="13" t="n">
        <f aca="false">MAX(0,D3178-K3178)</f>
        <v>3.4293822</v>
      </c>
      <c r="M3178" s="13" t="n">
        <f aca="false">MAX(0,F3178-I3178-J3178)</f>
        <v>0</v>
      </c>
      <c r="N3178" s="13" t="n">
        <f aca="false">IF(Kalender!A250="",0,J3177-H3178)</f>
        <v>0.0150822</v>
      </c>
    </row>
    <row r="3179" customFormat="false" ht="16.4" hidden="false" customHeight="false" outlineLevel="0" collapsed="false">
      <c r="A3179" s="13" t="str">
        <f aca="false">""</f>
        <v/>
      </c>
      <c r="B3179" s="13" t="n">
        <f aca="false">247</f>
        <v>247</v>
      </c>
      <c r="C3179" s="13" t="n">
        <f aca="false">IF(Szenarien!$H$19="OK",(IFERROR(SUMIF(Nutzungsprofile!$B$6:$B$11,"Schulbetrieb",Nutzungsprofile!$G$6:$G$11)*Kalender!C251/SUM(Kalender!$C$5:$C$370),0)+IFERROR(SUMIF(Nutzungsprofile!$B$6:$B$11,"Halle",Nutzungsprofile!$G$6:$G$11)*Kalender!D251/SUM(Kalender!$D$5:$D$370),0)+IFERROR(SUMIF(Nutzungsprofile!$B$6:$B$11,"Individuell",Nutzungsprofile!$G$6:$G$11)*Kalender!E251/SUM(Kalender!$E$5:$E$370),0))*Szenarien!$E$19,0)</f>
        <v>2.94</v>
      </c>
      <c r="D3179" s="13" t="n">
        <f aca="false">IF(Szenarien!$H$19="OK",(IFERROR(SUMIF(Nutzungsprofile!$B$17:$B$22,"Schulbetrieb",Nutzungsprofile!$G$17:$G$22)*Kalender!C251/SUM(Kalender!$C$5:$C$370),0)+IFERROR(SUMIF(Nutzungsprofile!$B$17:$B$22,"Halle",Nutzungsprofile!$G$17:$G$22)*Kalender!D251/SUM(Kalender!$D$5:$D$370),0)+IFERROR(SUMIF(Nutzungsprofile!$B$17:$B$22,"Individuell",Nutzungsprofile!$G$17:$G$22)*Kalender!E251/SUM(Kalender!$E$5:$E$370),0))*Szenarien!$D$19,0)</f>
        <v>5.928</v>
      </c>
      <c r="E3179" s="13" t="n">
        <f aca="false">IFERROR(MIN(C3179,Eingaben!$B$17)*Eingaben!$B$16,0)</f>
        <v>2.793</v>
      </c>
      <c r="F3179" s="13" t="n">
        <f aca="false">IFERROR(E3179*Eingaben!$B$15,0)</f>
        <v>2.5137</v>
      </c>
      <c r="G3179" s="13" t="n">
        <f aca="false">IFERROR(IF(Kalender!A251="",0,J3178*(1-Eingaben!$B$20)),0)</f>
        <v>0.7390278</v>
      </c>
      <c r="H3179" s="13" t="n">
        <f aca="false">MIN(G3179,D3179)</f>
        <v>0.7390278</v>
      </c>
      <c r="I3179" s="13" t="n">
        <f aca="false">IFERROR(MIN(F3179*Eingaben!$B$19,MAX(0,D3179-H3179)),0)</f>
        <v>1.75959</v>
      </c>
      <c r="J3179" s="13" t="n">
        <f aca="false">IFERROR(MIN(Eingaben!$B$18,MAX(0,F3179-I3179)),0)</f>
        <v>0.75411</v>
      </c>
      <c r="K3179" s="13" t="n">
        <f aca="false">H3179+I3179</f>
        <v>2.4986178</v>
      </c>
      <c r="L3179" s="13" t="n">
        <f aca="false">MAX(0,D3179-K3179)</f>
        <v>3.4293822</v>
      </c>
      <c r="M3179" s="13" t="n">
        <f aca="false">MAX(0,F3179-I3179-J3179)</f>
        <v>0</v>
      </c>
      <c r="N3179" s="13" t="n">
        <f aca="false">IF(Kalender!A251="",0,J3178-H3179)</f>
        <v>0.0150822</v>
      </c>
    </row>
    <row r="3180" customFormat="false" ht="16.4" hidden="false" customHeight="false" outlineLevel="0" collapsed="false">
      <c r="A3180" s="13" t="str">
        <f aca="false">""</f>
        <v/>
      </c>
      <c r="B3180" s="13" t="n">
        <f aca="false">248</f>
        <v>248</v>
      </c>
      <c r="C3180" s="13" t="n">
        <f aca="false">IF(Szenarien!$H$19="OK",(IFERROR(SUMIF(Nutzungsprofile!$B$6:$B$11,"Schulbetrieb",Nutzungsprofile!$G$6:$G$11)*Kalender!C252/SUM(Kalender!$C$5:$C$370),0)+IFERROR(SUMIF(Nutzungsprofile!$B$6:$B$11,"Halle",Nutzungsprofile!$G$6:$G$11)*Kalender!D252/SUM(Kalender!$D$5:$D$370),0)+IFERROR(SUMIF(Nutzungsprofile!$B$6:$B$11,"Individuell",Nutzungsprofile!$G$6:$G$11)*Kalender!E252/SUM(Kalender!$E$5:$E$370),0))*Szenarien!$E$19,0)</f>
        <v>2.04</v>
      </c>
      <c r="D3180" s="13" t="n">
        <f aca="false">IF(Szenarien!$H$19="OK",(IFERROR(SUMIF(Nutzungsprofile!$B$17:$B$22,"Schulbetrieb",Nutzungsprofile!$G$17:$G$22)*Kalender!C252/SUM(Kalender!$C$5:$C$370),0)+IFERROR(SUMIF(Nutzungsprofile!$B$17:$B$22,"Halle",Nutzungsprofile!$G$17:$G$22)*Kalender!D252/SUM(Kalender!$D$5:$D$370),0)+IFERROR(SUMIF(Nutzungsprofile!$B$17:$B$22,"Individuell",Nutzungsprofile!$G$17:$G$22)*Kalender!E252/SUM(Kalender!$E$5:$E$370),0))*Szenarien!$D$19,0)</f>
        <v>1.068</v>
      </c>
      <c r="E3180" s="13" t="n">
        <f aca="false">IFERROR(MIN(C3180,Eingaben!$B$17)*Eingaben!$B$16,0)</f>
        <v>1.938</v>
      </c>
      <c r="F3180" s="13" t="n">
        <f aca="false">IFERROR(E3180*Eingaben!$B$15,0)</f>
        <v>1.7442</v>
      </c>
      <c r="G3180" s="13" t="n">
        <f aca="false">IFERROR(IF(Kalender!A252="",0,J3179*(1-Eingaben!$B$20)),0)</f>
        <v>0.7390278</v>
      </c>
      <c r="H3180" s="13" t="n">
        <f aca="false">MIN(G3180,D3180)</f>
        <v>0.7390278</v>
      </c>
      <c r="I3180" s="13" t="n">
        <f aca="false">IFERROR(MIN(F3180*Eingaben!$B$19,MAX(0,D3180-H3180)),0)</f>
        <v>0.3289722</v>
      </c>
      <c r="J3180" s="13" t="n">
        <f aca="false">IFERROR(MIN(Eingaben!$B$18,MAX(0,F3180-I3180)),0)</f>
        <v>1.4152278</v>
      </c>
      <c r="K3180" s="13" t="n">
        <f aca="false">H3180+I3180</f>
        <v>1.068</v>
      </c>
      <c r="L3180" s="13" t="n">
        <f aca="false">MAX(0,D3180-K3180)</f>
        <v>0</v>
      </c>
      <c r="M3180" s="13" t="n">
        <f aca="false">MAX(0,F3180-I3180-J3180)</f>
        <v>0</v>
      </c>
      <c r="N3180" s="13" t="n">
        <f aca="false">IF(Kalender!A252="",0,J3179-H3180)</f>
        <v>0.0150822</v>
      </c>
    </row>
    <row r="3181" customFormat="false" ht="16.4" hidden="false" customHeight="false" outlineLevel="0" collapsed="false">
      <c r="A3181" s="13" t="str">
        <f aca="false">""</f>
        <v/>
      </c>
      <c r="B3181" s="13" t="n">
        <f aca="false">249</f>
        <v>249</v>
      </c>
      <c r="C3181" s="13" t="n">
        <f aca="false">IF(Szenarien!$H$19="OK",(IFERROR(SUMIF(Nutzungsprofile!$B$6:$B$11,"Schulbetrieb",Nutzungsprofile!$G$6:$G$11)*Kalender!C253/SUM(Kalender!$C$5:$C$370),0)+IFERROR(SUMIF(Nutzungsprofile!$B$6:$B$11,"Halle",Nutzungsprofile!$G$6:$G$11)*Kalender!D253/SUM(Kalender!$D$5:$D$370),0)+IFERROR(SUMIF(Nutzungsprofile!$B$6:$B$11,"Individuell",Nutzungsprofile!$G$6:$G$11)*Kalender!E253/SUM(Kalender!$E$5:$E$370),0))*Szenarien!$E$19,0)</f>
        <v>2.04</v>
      </c>
      <c r="D3181" s="13" t="n">
        <f aca="false">IF(Szenarien!$H$19="OK",(IFERROR(SUMIF(Nutzungsprofile!$B$17:$B$22,"Schulbetrieb",Nutzungsprofile!$G$17:$G$22)*Kalender!C253/SUM(Kalender!$C$5:$C$370),0)+IFERROR(SUMIF(Nutzungsprofile!$B$17:$B$22,"Halle",Nutzungsprofile!$G$17:$G$22)*Kalender!D253/SUM(Kalender!$D$5:$D$370),0)+IFERROR(SUMIF(Nutzungsprofile!$B$17:$B$22,"Individuell",Nutzungsprofile!$G$17:$G$22)*Kalender!E253/SUM(Kalender!$E$5:$E$370),0))*Szenarien!$D$19,0)</f>
        <v>1.068</v>
      </c>
      <c r="E3181" s="13" t="n">
        <f aca="false">IFERROR(MIN(C3181,Eingaben!$B$17)*Eingaben!$B$16,0)</f>
        <v>1.938</v>
      </c>
      <c r="F3181" s="13" t="n">
        <f aca="false">IFERROR(E3181*Eingaben!$B$15,0)</f>
        <v>1.7442</v>
      </c>
      <c r="G3181" s="13" t="n">
        <f aca="false">IFERROR(IF(Kalender!A253="",0,J3180*(1-Eingaben!$B$20)),0)</f>
        <v>1.386923244</v>
      </c>
      <c r="H3181" s="13" t="n">
        <f aca="false">MIN(G3181,D3181)</f>
        <v>1.068</v>
      </c>
      <c r="I3181" s="13" t="n">
        <f aca="false">IFERROR(MIN(F3181*Eingaben!$B$19,MAX(0,D3181-H3181)),0)</f>
        <v>0</v>
      </c>
      <c r="J3181" s="13" t="n">
        <f aca="false">IFERROR(MIN(Eingaben!$B$18,MAX(0,F3181-I3181)),0)</f>
        <v>1.7442</v>
      </c>
      <c r="K3181" s="13" t="n">
        <f aca="false">H3181+I3181</f>
        <v>1.068</v>
      </c>
      <c r="L3181" s="13" t="n">
        <f aca="false">MAX(0,D3181-K3181)</f>
        <v>0</v>
      </c>
      <c r="M3181" s="13" t="n">
        <f aca="false">MAX(0,F3181-I3181-J3181)</f>
        <v>0</v>
      </c>
      <c r="N3181" s="13" t="n">
        <f aca="false">IF(Kalender!A253="",0,J3180-H3181)</f>
        <v>0.3472278</v>
      </c>
    </row>
    <row r="3182" customFormat="false" ht="16.4" hidden="false" customHeight="false" outlineLevel="0" collapsed="false">
      <c r="A3182" s="13" t="str">
        <f aca="false">""</f>
        <v/>
      </c>
      <c r="B3182" s="13" t="n">
        <f aca="false">250</f>
        <v>250</v>
      </c>
      <c r="C3182" s="13" t="n">
        <f aca="false">IF(Szenarien!$H$19="OK",(IFERROR(SUMIF(Nutzungsprofile!$B$6:$B$11,"Schulbetrieb",Nutzungsprofile!$G$6:$G$11)*Kalender!C254/SUM(Kalender!$C$5:$C$370),0)+IFERROR(SUMIF(Nutzungsprofile!$B$6:$B$11,"Halle",Nutzungsprofile!$G$6:$G$11)*Kalender!D254/SUM(Kalender!$D$5:$D$370),0)+IFERROR(SUMIF(Nutzungsprofile!$B$6:$B$11,"Individuell",Nutzungsprofile!$G$6:$G$11)*Kalender!E254/SUM(Kalender!$E$5:$E$370),0))*Szenarien!$E$19,0)</f>
        <v>2.94</v>
      </c>
      <c r="D3182" s="13" t="n">
        <f aca="false">IF(Szenarien!$H$19="OK",(IFERROR(SUMIF(Nutzungsprofile!$B$17:$B$22,"Schulbetrieb",Nutzungsprofile!$G$17:$G$22)*Kalender!C254/SUM(Kalender!$C$5:$C$370),0)+IFERROR(SUMIF(Nutzungsprofile!$B$17:$B$22,"Halle",Nutzungsprofile!$G$17:$G$22)*Kalender!D254/SUM(Kalender!$D$5:$D$370),0)+IFERROR(SUMIF(Nutzungsprofile!$B$17:$B$22,"Individuell",Nutzungsprofile!$G$17:$G$22)*Kalender!E254/SUM(Kalender!$E$5:$E$370),0))*Szenarien!$D$19,0)</f>
        <v>5.928</v>
      </c>
      <c r="E3182" s="13" t="n">
        <f aca="false">IFERROR(MIN(C3182,Eingaben!$B$17)*Eingaben!$B$16,0)</f>
        <v>2.793</v>
      </c>
      <c r="F3182" s="13" t="n">
        <f aca="false">IFERROR(E3182*Eingaben!$B$15,0)</f>
        <v>2.5137</v>
      </c>
      <c r="G3182" s="13" t="n">
        <f aca="false">IFERROR(IF(Kalender!A254="",0,J3181*(1-Eingaben!$B$20)),0)</f>
        <v>1.709316</v>
      </c>
      <c r="H3182" s="13" t="n">
        <f aca="false">MIN(G3182,D3182)</f>
        <v>1.709316</v>
      </c>
      <c r="I3182" s="13" t="n">
        <f aca="false">IFERROR(MIN(F3182*Eingaben!$B$19,MAX(0,D3182-H3182)),0)</f>
        <v>1.75959</v>
      </c>
      <c r="J3182" s="13" t="n">
        <f aca="false">IFERROR(MIN(Eingaben!$B$18,MAX(0,F3182-I3182)),0)</f>
        <v>0.75411</v>
      </c>
      <c r="K3182" s="13" t="n">
        <f aca="false">H3182+I3182</f>
        <v>3.468906</v>
      </c>
      <c r="L3182" s="13" t="n">
        <f aca="false">MAX(0,D3182-K3182)</f>
        <v>2.459094</v>
      </c>
      <c r="M3182" s="13" t="n">
        <f aca="false">MAX(0,F3182-I3182-J3182)</f>
        <v>0</v>
      </c>
      <c r="N3182" s="13" t="n">
        <f aca="false">IF(Kalender!A254="",0,J3181-H3182)</f>
        <v>0.0348840000000001</v>
      </c>
    </row>
    <row r="3183" customFormat="false" ht="16.4" hidden="false" customHeight="false" outlineLevel="0" collapsed="false">
      <c r="A3183" s="13" t="str">
        <f aca="false">""</f>
        <v/>
      </c>
      <c r="B3183" s="13" t="n">
        <f aca="false">251</f>
        <v>251</v>
      </c>
      <c r="C3183" s="13" t="n">
        <f aca="false">IF(Szenarien!$H$19="OK",(IFERROR(SUMIF(Nutzungsprofile!$B$6:$B$11,"Schulbetrieb",Nutzungsprofile!$G$6:$G$11)*Kalender!C255/SUM(Kalender!$C$5:$C$370),0)+IFERROR(SUMIF(Nutzungsprofile!$B$6:$B$11,"Halle",Nutzungsprofile!$G$6:$G$11)*Kalender!D255/SUM(Kalender!$D$5:$D$370),0)+IFERROR(SUMIF(Nutzungsprofile!$B$6:$B$11,"Individuell",Nutzungsprofile!$G$6:$G$11)*Kalender!E255/SUM(Kalender!$E$5:$E$370),0))*Szenarien!$E$19,0)</f>
        <v>2.94</v>
      </c>
      <c r="D3183" s="13" t="n">
        <f aca="false">IF(Szenarien!$H$19="OK",(IFERROR(SUMIF(Nutzungsprofile!$B$17:$B$22,"Schulbetrieb",Nutzungsprofile!$G$17:$G$22)*Kalender!C255/SUM(Kalender!$C$5:$C$370),0)+IFERROR(SUMIF(Nutzungsprofile!$B$17:$B$22,"Halle",Nutzungsprofile!$G$17:$G$22)*Kalender!D255/SUM(Kalender!$D$5:$D$370),0)+IFERROR(SUMIF(Nutzungsprofile!$B$17:$B$22,"Individuell",Nutzungsprofile!$G$17:$G$22)*Kalender!E255/SUM(Kalender!$E$5:$E$370),0))*Szenarien!$D$19,0)</f>
        <v>5.928</v>
      </c>
      <c r="E3183" s="13" t="n">
        <f aca="false">IFERROR(MIN(C3183,Eingaben!$B$17)*Eingaben!$B$16,0)</f>
        <v>2.793</v>
      </c>
      <c r="F3183" s="13" t="n">
        <f aca="false">IFERROR(E3183*Eingaben!$B$15,0)</f>
        <v>2.5137</v>
      </c>
      <c r="G3183" s="13" t="n">
        <f aca="false">IFERROR(IF(Kalender!A255="",0,J3182*(1-Eingaben!$B$20)),0)</f>
        <v>0.7390278</v>
      </c>
      <c r="H3183" s="13" t="n">
        <f aca="false">MIN(G3183,D3183)</f>
        <v>0.7390278</v>
      </c>
      <c r="I3183" s="13" t="n">
        <f aca="false">IFERROR(MIN(F3183*Eingaben!$B$19,MAX(0,D3183-H3183)),0)</f>
        <v>1.75959</v>
      </c>
      <c r="J3183" s="13" t="n">
        <f aca="false">IFERROR(MIN(Eingaben!$B$18,MAX(0,F3183-I3183)),0)</f>
        <v>0.75411</v>
      </c>
      <c r="K3183" s="13" t="n">
        <f aca="false">H3183+I3183</f>
        <v>2.4986178</v>
      </c>
      <c r="L3183" s="13" t="n">
        <f aca="false">MAX(0,D3183-K3183)</f>
        <v>3.4293822</v>
      </c>
      <c r="M3183" s="13" t="n">
        <f aca="false">MAX(0,F3183-I3183-J3183)</f>
        <v>0</v>
      </c>
      <c r="N3183" s="13" t="n">
        <f aca="false">IF(Kalender!A255="",0,J3182-H3183)</f>
        <v>0.0150822</v>
      </c>
    </row>
    <row r="3184" customFormat="false" ht="16.4" hidden="false" customHeight="false" outlineLevel="0" collapsed="false">
      <c r="A3184" s="13" t="str">
        <f aca="false">""</f>
        <v/>
      </c>
      <c r="B3184" s="13" t="n">
        <f aca="false">252</f>
        <v>252</v>
      </c>
      <c r="C3184" s="13" t="n">
        <f aca="false">IF(Szenarien!$H$19="OK",(IFERROR(SUMIF(Nutzungsprofile!$B$6:$B$11,"Schulbetrieb",Nutzungsprofile!$G$6:$G$11)*Kalender!C256/SUM(Kalender!$C$5:$C$370),0)+IFERROR(SUMIF(Nutzungsprofile!$B$6:$B$11,"Halle",Nutzungsprofile!$G$6:$G$11)*Kalender!D256/SUM(Kalender!$D$5:$D$370),0)+IFERROR(SUMIF(Nutzungsprofile!$B$6:$B$11,"Individuell",Nutzungsprofile!$G$6:$G$11)*Kalender!E256/SUM(Kalender!$E$5:$E$370),0))*Szenarien!$E$19,0)</f>
        <v>2.94</v>
      </c>
      <c r="D3184" s="13" t="n">
        <f aca="false">IF(Szenarien!$H$19="OK",(IFERROR(SUMIF(Nutzungsprofile!$B$17:$B$22,"Schulbetrieb",Nutzungsprofile!$G$17:$G$22)*Kalender!C256/SUM(Kalender!$C$5:$C$370),0)+IFERROR(SUMIF(Nutzungsprofile!$B$17:$B$22,"Halle",Nutzungsprofile!$G$17:$G$22)*Kalender!D256/SUM(Kalender!$D$5:$D$370),0)+IFERROR(SUMIF(Nutzungsprofile!$B$17:$B$22,"Individuell",Nutzungsprofile!$G$17:$G$22)*Kalender!E256/SUM(Kalender!$E$5:$E$370),0))*Szenarien!$D$19,0)</f>
        <v>5.928</v>
      </c>
      <c r="E3184" s="13" t="n">
        <f aca="false">IFERROR(MIN(C3184,Eingaben!$B$17)*Eingaben!$B$16,0)</f>
        <v>2.793</v>
      </c>
      <c r="F3184" s="13" t="n">
        <f aca="false">IFERROR(E3184*Eingaben!$B$15,0)</f>
        <v>2.5137</v>
      </c>
      <c r="G3184" s="13" t="n">
        <f aca="false">IFERROR(IF(Kalender!A256="",0,J3183*(1-Eingaben!$B$20)),0)</f>
        <v>0.7390278</v>
      </c>
      <c r="H3184" s="13" t="n">
        <f aca="false">MIN(G3184,D3184)</f>
        <v>0.7390278</v>
      </c>
      <c r="I3184" s="13" t="n">
        <f aca="false">IFERROR(MIN(F3184*Eingaben!$B$19,MAX(0,D3184-H3184)),0)</f>
        <v>1.75959</v>
      </c>
      <c r="J3184" s="13" t="n">
        <f aca="false">IFERROR(MIN(Eingaben!$B$18,MAX(0,F3184-I3184)),0)</f>
        <v>0.75411</v>
      </c>
      <c r="K3184" s="13" t="n">
        <f aca="false">H3184+I3184</f>
        <v>2.4986178</v>
      </c>
      <c r="L3184" s="13" t="n">
        <f aca="false">MAX(0,D3184-K3184)</f>
        <v>3.4293822</v>
      </c>
      <c r="M3184" s="13" t="n">
        <f aca="false">MAX(0,F3184-I3184-J3184)</f>
        <v>0</v>
      </c>
      <c r="N3184" s="13" t="n">
        <f aca="false">IF(Kalender!A256="",0,J3183-H3184)</f>
        <v>0.0150822</v>
      </c>
    </row>
    <row r="3185" customFormat="false" ht="16.4" hidden="false" customHeight="false" outlineLevel="0" collapsed="false">
      <c r="A3185" s="13" t="str">
        <f aca="false">""</f>
        <v/>
      </c>
      <c r="B3185" s="13" t="n">
        <f aca="false">253</f>
        <v>253</v>
      </c>
      <c r="C3185" s="13" t="n">
        <f aca="false">IF(Szenarien!$H$19="OK",(IFERROR(SUMIF(Nutzungsprofile!$B$6:$B$11,"Schulbetrieb",Nutzungsprofile!$G$6:$G$11)*Kalender!C257/SUM(Kalender!$C$5:$C$370),0)+IFERROR(SUMIF(Nutzungsprofile!$B$6:$B$11,"Halle",Nutzungsprofile!$G$6:$G$11)*Kalender!D257/SUM(Kalender!$D$5:$D$370),0)+IFERROR(SUMIF(Nutzungsprofile!$B$6:$B$11,"Individuell",Nutzungsprofile!$G$6:$G$11)*Kalender!E257/SUM(Kalender!$E$5:$E$370),0))*Szenarien!$E$19,0)</f>
        <v>2.94</v>
      </c>
      <c r="D3185" s="13" t="n">
        <f aca="false">IF(Szenarien!$H$19="OK",(IFERROR(SUMIF(Nutzungsprofile!$B$17:$B$22,"Schulbetrieb",Nutzungsprofile!$G$17:$G$22)*Kalender!C257/SUM(Kalender!$C$5:$C$370),0)+IFERROR(SUMIF(Nutzungsprofile!$B$17:$B$22,"Halle",Nutzungsprofile!$G$17:$G$22)*Kalender!D257/SUM(Kalender!$D$5:$D$370),0)+IFERROR(SUMIF(Nutzungsprofile!$B$17:$B$22,"Individuell",Nutzungsprofile!$G$17:$G$22)*Kalender!E257/SUM(Kalender!$E$5:$E$370),0))*Szenarien!$D$19,0)</f>
        <v>5.928</v>
      </c>
      <c r="E3185" s="13" t="n">
        <f aca="false">IFERROR(MIN(C3185,Eingaben!$B$17)*Eingaben!$B$16,0)</f>
        <v>2.793</v>
      </c>
      <c r="F3185" s="13" t="n">
        <f aca="false">IFERROR(E3185*Eingaben!$B$15,0)</f>
        <v>2.5137</v>
      </c>
      <c r="G3185" s="13" t="n">
        <f aca="false">IFERROR(IF(Kalender!A257="",0,J3184*(1-Eingaben!$B$20)),0)</f>
        <v>0.7390278</v>
      </c>
      <c r="H3185" s="13" t="n">
        <f aca="false">MIN(G3185,D3185)</f>
        <v>0.7390278</v>
      </c>
      <c r="I3185" s="13" t="n">
        <f aca="false">IFERROR(MIN(F3185*Eingaben!$B$19,MAX(0,D3185-H3185)),0)</f>
        <v>1.75959</v>
      </c>
      <c r="J3185" s="13" t="n">
        <f aca="false">IFERROR(MIN(Eingaben!$B$18,MAX(0,F3185-I3185)),0)</f>
        <v>0.75411</v>
      </c>
      <c r="K3185" s="13" t="n">
        <f aca="false">H3185+I3185</f>
        <v>2.4986178</v>
      </c>
      <c r="L3185" s="13" t="n">
        <f aca="false">MAX(0,D3185-K3185)</f>
        <v>3.4293822</v>
      </c>
      <c r="M3185" s="13" t="n">
        <f aca="false">MAX(0,F3185-I3185-J3185)</f>
        <v>0</v>
      </c>
      <c r="N3185" s="13" t="n">
        <f aca="false">IF(Kalender!A257="",0,J3184-H3185)</f>
        <v>0.0150822</v>
      </c>
    </row>
    <row r="3186" customFormat="false" ht="16.4" hidden="false" customHeight="false" outlineLevel="0" collapsed="false">
      <c r="A3186" s="13" t="str">
        <f aca="false">""</f>
        <v/>
      </c>
      <c r="B3186" s="13" t="n">
        <f aca="false">254</f>
        <v>254</v>
      </c>
      <c r="C3186" s="13" t="n">
        <f aca="false">IF(Szenarien!$H$19="OK",(IFERROR(SUMIF(Nutzungsprofile!$B$6:$B$11,"Schulbetrieb",Nutzungsprofile!$G$6:$G$11)*Kalender!C258/SUM(Kalender!$C$5:$C$370),0)+IFERROR(SUMIF(Nutzungsprofile!$B$6:$B$11,"Halle",Nutzungsprofile!$G$6:$G$11)*Kalender!D258/SUM(Kalender!$D$5:$D$370),0)+IFERROR(SUMIF(Nutzungsprofile!$B$6:$B$11,"Individuell",Nutzungsprofile!$G$6:$G$11)*Kalender!E258/SUM(Kalender!$E$5:$E$370),0))*Szenarien!$E$19,0)</f>
        <v>2.94</v>
      </c>
      <c r="D3186" s="13" t="n">
        <f aca="false">IF(Szenarien!$H$19="OK",(IFERROR(SUMIF(Nutzungsprofile!$B$17:$B$22,"Schulbetrieb",Nutzungsprofile!$G$17:$G$22)*Kalender!C258/SUM(Kalender!$C$5:$C$370),0)+IFERROR(SUMIF(Nutzungsprofile!$B$17:$B$22,"Halle",Nutzungsprofile!$G$17:$G$22)*Kalender!D258/SUM(Kalender!$D$5:$D$370),0)+IFERROR(SUMIF(Nutzungsprofile!$B$17:$B$22,"Individuell",Nutzungsprofile!$G$17:$G$22)*Kalender!E258/SUM(Kalender!$E$5:$E$370),0))*Szenarien!$D$19,0)</f>
        <v>5.928</v>
      </c>
      <c r="E3186" s="13" t="n">
        <f aca="false">IFERROR(MIN(C3186,Eingaben!$B$17)*Eingaben!$B$16,0)</f>
        <v>2.793</v>
      </c>
      <c r="F3186" s="13" t="n">
        <f aca="false">IFERROR(E3186*Eingaben!$B$15,0)</f>
        <v>2.5137</v>
      </c>
      <c r="G3186" s="13" t="n">
        <f aca="false">IFERROR(IF(Kalender!A258="",0,J3185*(1-Eingaben!$B$20)),0)</f>
        <v>0.7390278</v>
      </c>
      <c r="H3186" s="13" t="n">
        <f aca="false">MIN(G3186,D3186)</f>
        <v>0.7390278</v>
      </c>
      <c r="I3186" s="13" t="n">
        <f aca="false">IFERROR(MIN(F3186*Eingaben!$B$19,MAX(0,D3186-H3186)),0)</f>
        <v>1.75959</v>
      </c>
      <c r="J3186" s="13" t="n">
        <f aca="false">IFERROR(MIN(Eingaben!$B$18,MAX(0,F3186-I3186)),0)</f>
        <v>0.75411</v>
      </c>
      <c r="K3186" s="13" t="n">
        <f aca="false">H3186+I3186</f>
        <v>2.4986178</v>
      </c>
      <c r="L3186" s="13" t="n">
        <f aca="false">MAX(0,D3186-K3186)</f>
        <v>3.4293822</v>
      </c>
      <c r="M3186" s="13" t="n">
        <f aca="false">MAX(0,F3186-I3186-J3186)</f>
        <v>0</v>
      </c>
      <c r="N3186" s="13" t="n">
        <f aca="false">IF(Kalender!A258="",0,J3185-H3186)</f>
        <v>0.0150822</v>
      </c>
    </row>
    <row r="3187" customFormat="false" ht="16.4" hidden="false" customHeight="false" outlineLevel="0" collapsed="false">
      <c r="A3187" s="13" t="str">
        <f aca="false">""</f>
        <v/>
      </c>
      <c r="B3187" s="13" t="n">
        <f aca="false">255</f>
        <v>255</v>
      </c>
      <c r="C3187" s="13" t="n">
        <f aca="false">IF(Szenarien!$H$19="OK",(IFERROR(SUMIF(Nutzungsprofile!$B$6:$B$11,"Schulbetrieb",Nutzungsprofile!$G$6:$G$11)*Kalender!C259/SUM(Kalender!$C$5:$C$370),0)+IFERROR(SUMIF(Nutzungsprofile!$B$6:$B$11,"Halle",Nutzungsprofile!$G$6:$G$11)*Kalender!D259/SUM(Kalender!$D$5:$D$370),0)+IFERROR(SUMIF(Nutzungsprofile!$B$6:$B$11,"Individuell",Nutzungsprofile!$G$6:$G$11)*Kalender!E259/SUM(Kalender!$E$5:$E$370),0))*Szenarien!$E$19,0)</f>
        <v>2.04</v>
      </c>
      <c r="D3187" s="13" t="n">
        <f aca="false">IF(Szenarien!$H$19="OK",(IFERROR(SUMIF(Nutzungsprofile!$B$17:$B$22,"Schulbetrieb",Nutzungsprofile!$G$17:$G$22)*Kalender!C259/SUM(Kalender!$C$5:$C$370),0)+IFERROR(SUMIF(Nutzungsprofile!$B$17:$B$22,"Halle",Nutzungsprofile!$G$17:$G$22)*Kalender!D259/SUM(Kalender!$D$5:$D$370),0)+IFERROR(SUMIF(Nutzungsprofile!$B$17:$B$22,"Individuell",Nutzungsprofile!$G$17:$G$22)*Kalender!E259/SUM(Kalender!$E$5:$E$370),0))*Szenarien!$D$19,0)</f>
        <v>1.068</v>
      </c>
      <c r="E3187" s="13" t="n">
        <f aca="false">IFERROR(MIN(C3187,Eingaben!$B$17)*Eingaben!$B$16,0)</f>
        <v>1.938</v>
      </c>
      <c r="F3187" s="13" t="n">
        <f aca="false">IFERROR(E3187*Eingaben!$B$15,0)</f>
        <v>1.7442</v>
      </c>
      <c r="G3187" s="13" t="n">
        <f aca="false">IFERROR(IF(Kalender!A259="",0,J3186*(1-Eingaben!$B$20)),0)</f>
        <v>0.7390278</v>
      </c>
      <c r="H3187" s="13" t="n">
        <f aca="false">MIN(G3187,D3187)</f>
        <v>0.7390278</v>
      </c>
      <c r="I3187" s="13" t="n">
        <f aca="false">IFERROR(MIN(F3187*Eingaben!$B$19,MAX(0,D3187-H3187)),0)</f>
        <v>0.3289722</v>
      </c>
      <c r="J3187" s="13" t="n">
        <f aca="false">IFERROR(MIN(Eingaben!$B$18,MAX(0,F3187-I3187)),0)</f>
        <v>1.4152278</v>
      </c>
      <c r="K3187" s="13" t="n">
        <f aca="false">H3187+I3187</f>
        <v>1.068</v>
      </c>
      <c r="L3187" s="13" t="n">
        <f aca="false">MAX(0,D3187-K3187)</f>
        <v>0</v>
      </c>
      <c r="M3187" s="13" t="n">
        <f aca="false">MAX(0,F3187-I3187-J3187)</f>
        <v>0</v>
      </c>
      <c r="N3187" s="13" t="n">
        <f aca="false">IF(Kalender!A259="",0,J3186-H3187)</f>
        <v>0.0150822</v>
      </c>
    </row>
    <row r="3188" customFormat="false" ht="16.4" hidden="false" customHeight="false" outlineLevel="0" collapsed="false">
      <c r="A3188" s="13" t="str">
        <f aca="false">""</f>
        <v/>
      </c>
      <c r="B3188" s="13" t="n">
        <f aca="false">256</f>
        <v>256</v>
      </c>
      <c r="C3188" s="13" t="n">
        <f aca="false">IF(Szenarien!$H$19="OK",(IFERROR(SUMIF(Nutzungsprofile!$B$6:$B$11,"Schulbetrieb",Nutzungsprofile!$G$6:$G$11)*Kalender!C260/SUM(Kalender!$C$5:$C$370),0)+IFERROR(SUMIF(Nutzungsprofile!$B$6:$B$11,"Halle",Nutzungsprofile!$G$6:$G$11)*Kalender!D260/SUM(Kalender!$D$5:$D$370),0)+IFERROR(SUMIF(Nutzungsprofile!$B$6:$B$11,"Individuell",Nutzungsprofile!$G$6:$G$11)*Kalender!E260/SUM(Kalender!$E$5:$E$370),0))*Szenarien!$E$19,0)</f>
        <v>2.04</v>
      </c>
      <c r="D3188" s="13" t="n">
        <f aca="false">IF(Szenarien!$H$19="OK",(IFERROR(SUMIF(Nutzungsprofile!$B$17:$B$22,"Schulbetrieb",Nutzungsprofile!$G$17:$G$22)*Kalender!C260/SUM(Kalender!$C$5:$C$370),0)+IFERROR(SUMIF(Nutzungsprofile!$B$17:$B$22,"Halle",Nutzungsprofile!$G$17:$G$22)*Kalender!D260/SUM(Kalender!$D$5:$D$370),0)+IFERROR(SUMIF(Nutzungsprofile!$B$17:$B$22,"Individuell",Nutzungsprofile!$G$17:$G$22)*Kalender!E260/SUM(Kalender!$E$5:$E$370),0))*Szenarien!$D$19,0)</f>
        <v>1.068</v>
      </c>
      <c r="E3188" s="13" t="n">
        <f aca="false">IFERROR(MIN(C3188,Eingaben!$B$17)*Eingaben!$B$16,0)</f>
        <v>1.938</v>
      </c>
      <c r="F3188" s="13" t="n">
        <f aca="false">IFERROR(E3188*Eingaben!$B$15,0)</f>
        <v>1.7442</v>
      </c>
      <c r="G3188" s="13" t="n">
        <f aca="false">IFERROR(IF(Kalender!A260="",0,J3187*(1-Eingaben!$B$20)),0)</f>
        <v>1.386923244</v>
      </c>
      <c r="H3188" s="13" t="n">
        <f aca="false">MIN(G3188,D3188)</f>
        <v>1.068</v>
      </c>
      <c r="I3188" s="13" t="n">
        <f aca="false">IFERROR(MIN(F3188*Eingaben!$B$19,MAX(0,D3188-H3188)),0)</f>
        <v>0</v>
      </c>
      <c r="J3188" s="13" t="n">
        <f aca="false">IFERROR(MIN(Eingaben!$B$18,MAX(0,F3188-I3188)),0)</f>
        <v>1.7442</v>
      </c>
      <c r="K3188" s="13" t="n">
        <f aca="false">H3188+I3188</f>
        <v>1.068</v>
      </c>
      <c r="L3188" s="13" t="n">
        <f aca="false">MAX(0,D3188-K3188)</f>
        <v>0</v>
      </c>
      <c r="M3188" s="13" t="n">
        <f aca="false">MAX(0,F3188-I3188-J3188)</f>
        <v>0</v>
      </c>
      <c r="N3188" s="13" t="n">
        <f aca="false">IF(Kalender!A260="",0,J3187-H3188)</f>
        <v>0.3472278</v>
      </c>
    </row>
    <row r="3189" customFormat="false" ht="16.4" hidden="false" customHeight="false" outlineLevel="0" collapsed="false">
      <c r="A3189" s="13" t="str">
        <f aca="false">""</f>
        <v/>
      </c>
      <c r="B3189" s="13" t="n">
        <f aca="false">257</f>
        <v>257</v>
      </c>
      <c r="C3189" s="13" t="n">
        <f aca="false">IF(Szenarien!$H$19="OK",(IFERROR(SUMIF(Nutzungsprofile!$B$6:$B$11,"Schulbetrieb",Nutzungsprofile!$G$6:$G$11)*Kalender!C261/SUM(Kalender!$C$5:$C$370),0)+IFERROR(SUMIF(Nutzungsprofile!$B$6:$B$11,"Halle",Nutzungsprofile!$G$6:$G$11)*Kalender!D261/SUM(Kalender!$D$5:$D$370),0)+IFERROR(SUMIF(Nutzungsprofile!$B$6:$B$11,"Individuell",Nutzungsprofile!$G$6:$G$11)*Kalender!E261/SUM(Kalender!$E$5:$E$370),0))*Szenarien!$E$19,0)</f>
        <v>2.94</v>
      </c>
      <c r="D3189" s="13" t="n">
        <f aca="false">IF(Szenarien!$H$19="OK",(IFERROR(SUMIF(Nutzungsprofile!$B$17:$B$22,"Schulbetrieb",Nutzungsprofile!$G$17:$G$22)*Kalender!C261/SUM(Kalender!$C$5:$C$370),0)+IFERROR(SUMIF(Nutzungsprofile!$B$17:$B$22,"Halle",Nutzungsprofile!$G$17:$G$22)*Kalender!D261/SUM(Kalender!$D$5:$D$370),0)+IFERROR(SUMIF(Nutzungsprofile!$B$17:$B$22,"Individuell",Nutzungsprofile!$G$17:$G$22)*Kalender!E261/SUM(Kalender!$E$5:$E$370),0))*Szenarien!$D$19,0)</f>
        <v>5.928</v>
      </c>
      <c r="E3189" s="13" t="n">
        <f aca="false">IFERROR(MIN(C3189,Eingaben!$B$17)*Eingaben!$B$16,0)</f>
        <v>2.793</v>
      </c>
      <c r="F3189" s="13" t="n">
        <f aca="false">IFERROR(E3189*Eingaben!$B$15,0)</f>
        <v>2.5137</v>
      </c>
      <c r="G3189" s="13" t="n">
        <f aca="false">IFERROR(IF(Kalender!A261="",0,J3188*(1-Eingaben!$B$20)),0)</f>
        <v>1.709316</v>
      </c>
      <c r="H3189" s="13" t="n">
        <f aca="false">MIN(G3189,D3189)</f>
        <v>1.709316</v>
      </c>
      <c r="I3189" s="13" t="n">
        <f aca="false">IFERROR(MIN(F3189*Eingaben!$B$19,MAX(0,D3189-H3189)),0)</f>
        <v>1.75959</v>
      </c>
      <c r="J3189" s="13" t="n">
        <f aca="false">IFERROR(MIN(Eingaben!$B$18,MAX(0,F3189-I3189)),0)</f>
        <v>0.75411</v>
      </c>
      <c r="K3189" s="13" t="n">
        <f aca="false">H3189+I3189</f>
        <v>3.468906</v>
      </c>
      <c r="L3189" s="13" t="n">
        <f aca="false">MAX(0,D3189-K3189)</f>
        <v>2.459094</v>
      </c>
      <c r="M3189" s="13" t="n">
        <f aca="false">MAX(0,F3189-I3189-J3189)</f>
        <v>0</v>
      </c>
      <c r="N3189" s="13" t="n">
        <f aca="false">IF(Kalender!A261="",0,J3188-H3189)</f>
        <v>0.0348840000000001</v>
      </c>
    </row>
    <row r="3190" customFormat="false" ht="16.4" hidden="false" customHeight="false" outlineLevel="0" collapsed="false">
      <c r="A3190" s="13" t="str">
        <f aca="false">""</f>
        <v/>
      </c>
      <c r="B3190" s="13" t="n">
        <f aca="false">258</f>
        <v>258</v>
      </c>
      <c r="C3190" s="13" t="n">
        <f aca="false">IF(Szenarien!$H$19="OK",(IFERROR(SUMIF(Nutzungsprofile!$B$6:$B$11,"Schulbetrieb",Nutzungsprofile!$G$6:$G$11)*Kalender!C262/SUM(Kalender!$C$5:$C$370),0)+IFERROR(SUMIF(Nutzungsprofile!$B$6:$B$11,"Halle",Nutzungsprofile!$G$6:$G$11)*Kalender!D262/SUM(Kalender!$D$5:$D$370),0)+IFERROR(SUMIF(Nutzungsprofile!$B$6:$B$11,"Individuell",Nutzungsprofile!$G$6:$G$11)*Kalender!E262/SUM(Kalender!$E$5:$E$370),0))*Szenarien!$E$19,0)</f>
        <v>2.94</v>
      </c>
      <c r="D3190" s="13" t="n">
        <f aca="false">IF(Szenarien!$H$19="OK",(IFERROR(SUMIF(Nutzungsprofile!$B$17:$B$22,"Schulbetrieb",Nutzungsprofile!$G$17:$G$22)*Kalender!C262/SUM(Kalender!$C$5:$C$370),0)+IFERROR(SUMIF(Nutzungsprofile!$B$17:$B$22,"Halle",Nutzungsprofile!$G$17:$G$22)*Kalender!D262/SUM(Kalender!$D$5:$D$370),0)+IFERROR(SUMIF(Nutzungsprofile!$B$17:$B$22,"Individuell",Nutzungsprofile!$G$17:$G$22)*Kalender!E262/SUM(Kalender!$E$5:$E$370),0))*Szenarien!$D$19,0)</f>
        <v>5.928</v>
      </c>
      <c r="E3190" s="13" t="n">
        <f aca="false">IFERROR(MIN(C3190,Eingaben!$B$17)*Eingaben!$B$16,0)</f>
        <v>2.793</v>
      </c>
      <c r="F3190" s="13" t="n">
        <f aca="false">IFERROR(E3190*Eingaben!$B$15,0)</f>
        <v>2.5137</v>
      </c>
      <c r="G3190" s="13" t="n">
        <f aca="false">IFERROR(IF(Kalender!A262="",0,J3189*(1-Eingaben!$B$20)),0)</f>
        <v>0.7390278</v>
      </c>
      <c r="H3190" s="13" t="n">
        <f aca="false">MIN(G3190,D3190)</f>
        <v>0.7390278</v>
      </c>
      <c r="I3190" s="13" t="n">
        <f aca="false">IFERROR(MIN(F3190*Eingaben!$B$19,MAX(0,D3190-H3190)),0)</f>
        <v>1.75959</v>
      </c>
      <c r="J3190" s="13" t="n">
        <f aca="false">IFERROR(MIN(Eingaben!$B$18,MAX(0,F3190-I3190)),0)</f>
        <v>0.75411</v>
      </c>
      <c r="K3190" s="13" t="n">
        <f aca="false">H3190+I3190</f>
        <v>2.4986178</v>
      </c>
      <c r="L3190" s="13" t="n">
        <f aca="false">MAX(0,D3190-K3190)</f>
        <v>3.4293822</v>
      </c>
      <c r="M3190" s="13" t="n">
        <f aca="false">MAX(0,F3190-I3190-J3190)</f>
        <v>0</v>
      </c>
      <c r="N3190" s="13" t="n">
        <f aca="false">IF(Kalender!A262="",0,J3189-H3190)</f>
        <v>0.0150822</v>
      </c>
    </row>
    <row r="3191" customFormat="false" ht="16.4" hidden="false" customHeight="false" outlineLevel="0" collapsed="false">
      <c r="A3191" s="13" t="str">
        <f aca="false">""</f>
        <v/>
      </c>
      <c r="B3191" s="13" t="n">
        <f aca="false">259</f>
        <v>259</v>
      </c>
      <c r="C3191" s="13" t="n">
        <f aca="false">IF(Szenarien!$H$19="OK",(IFERROR(SUMIF(Nutzungsprofile!$B$6:$B$11,"Schulbetrieb",Nutzungsprofile!$G$6:$G$11)*Kalender!C263/SUM(Kalender!$C$5:$C$370),0)+IFERROR(SUMIF(Nutzungsprofile!$B$6:$B$11,"Halle",Nutzungsprofile!$G$6:$G$11)*Kalender!D263/SUM(Kalender!$D$5:$D$370),0)+IFERROR(SUMIF(Nutzungsprofile!$B$6:$B$11,"Individuell",Nutzungsprofile!$G$6:$G$11)*Kalender!E263/SUM(Kalender!$E$5:$E$370),0))*Szenarien!$E$19,0)</f>
        <v>2.94</v>
      </c>
      <c r="D3191" s="13" t="n">
        <f aca="false">IF(Szenarien!$H$19="OK",(IFERROR(SUMIF(Nutzungsprofile!$B$17:$B$22,"Schulbetrieb",Nutzungsprofile!$G$17:$G$22)*Kalender!C263/SUM(Kalender!$C$5:$C$370),0)+IFERROR(SUMIF(Nutzungsprofile!$B$17:$B$22,"Halle",Nutzungsprofile!$G$17:$G$22)*Kalender!D263/SUM(Kalender!$D$5:$D$370),0)+IFERROR(SUMIF(Nutzungsprofile!$B$17:$B$22,"Individuell",Nutzungsprofile!$G$17:$G$22)*Kalender!E263/SUM(Kalender!$E$5:$E$370),0))*Szenarien!$D$19,0)</f>
        <v>5.928</v>
      </c>
      <c r="E3191" s="13" t="n">
        <f aca="false">IFERROR(MIN(C3191,Eingaben!$B$17)*Eingaben!$B$16,0)</f>
        <v>2.793</v>
      </c>
      <c r="F3191" s="13" t="n">
        <f aca="false">IFERROR(E3191*Eingaben!$B$15,0)</f>
        <v>2.5137</v>
      </c>
      <c r="G3191" s="13" t="n">
        <f aca="false">IFERROR(IF(Kalender!A263="",0,J3190*(1-Eingaben!$B$20)),0)</f>
        <v>0.7390278</v>
      </c>
      <c r="H3191" s="13" t="n">
        <f aca="false">MIN(G3191,D3191)</f>
        <v>0.7390278</v>
      </c>
      <c r="I3191" s="13" t="n">
        <f aca="false">IFERROR(MIN(F3191*Eingaben!$B$19,MAX(0,D3191-H3191)),0)</f>
        <v>1.75959</v>
      </c>
      <c r="J3191" s="13" t="n">
        <f aca="false">IFERROR(MIN(Eingaben!$B$18,MAX(0,F3191-I3191)),0)</f>
        <v>0.75411</v>
      </c>
      <c r="K3191" s="13" t="n">
        <f aca="false">H3191+I3191</f>
        <v>2.4986178</v>
      </c>
      <c r="L3191" s="13" t="n">
        <f aca="false">MAX(0,D3191-K3191)</f>
        <v>3.4293822</v>
      </c>
      <c r="M3191" s="13" t="n">
        <f aca="false">MAX(0,F3191-I3191-J3191)</f>
        <v>0</v>
      </c>
      <c r="N3191" s="13" t="n">
        <f aca="false">IF(Kalender!A263="",0,J3190-H3191)</f>
        <v>0.0150822</v>
      </c>
    </row>
    <row r="3192" customFormat="false" ht="16.4" hidden="false" customHeight="false" outlineLevel="0" collapsed="false">
      <c r="A3192" s="13" t="str">
        <f aca="false">""</f>
        <v/>
      </c>
      <c r="B3192" s="13" t="n">
        <f aca="false">260</f>
        <v>260</v>
      </c>
      <c r="C3192" s="13" t="n">
        <f aca="false">IF(Szenarien!$H$19="OK",(IFERROR(SUMIF(Nutzungsprofile!$B$6:$B$11,"Schulbetrieb",Nutzungsprofile!$G$6:$G$11)*Kalender!C264/SUM(Kalender!$C$5:$C$370),0)+IFERROR(SUMIF(Nutzungsprofile!$B$6:$B$11,"Halle",Nutzungsprofile!$G$6:$G$11)*Kalender!D264/SUM(Kalender!$D$5:$D$370),0)+IFERROR(SUMIF(Nutzungsprofile!$B$6:$B$11,"Individuell",Nutzungsprofile!$G$6:$G$11)*Kalender!E264/SUM(Kalender!$E$5:$E$370),0))*Szenarien!$E$19,0)</f>
        <v>2.94</v>
      </c>
      <c r="D3192" s="13" t="n">
        <f aca="false">IF(Szenarien!$H$19="OK",(IFERROR(SUMIF(Nutzungsprofile!$B$17:$B$22,"Schulbetrieb",Nutzungsprofile!$G$17:$G$22)*Kalender!C264/SUM(Kalender!$C$5:$C$370),0)+IFERROR(SUMIF(Nutzungsprofile!$B$17:$B$22,"Halle",Nutzungsprofile!$G$17:$G$22)*Kalender!D264/SUM(Kalender!$D$5:$D$370),0)+IFERROR(SUMIF(Nutzungsprofile!$B$17:$B$22,"Individuell",Nutzungsprofile!$G$17:$G$22)*Kalender!E264/SUM(Kalender!$E$5:$E$370),0))*Szenarien!$D$19,0)</f>
        <v>5.928</v>
      </c>
      <c r="E3192" s="13" t="n">
        <f aca="false">IFERROR(MIN(C3192,Eingaben!$B$17)*Eingaben!$B$16,0)</f>
        <v>2.793</v>
      </c>
      <c r="F3192" s="13" t="n">
        <f aca="false">IFERROR(E3192*Eingaben!$B$15,0)</f>
        <v>2.5137</v>
      </c>
      <c r="G3192" s="13" t="n">
        <f aca="false">IFERROR(IF(Kalender!A264="",0,J3191*(1-Eingaben!$B$20)),0)</f>
        <v>0.7390278</v>
      </c>
      <c r="H3192" s="13" t="n">
        <f aca="false">MIN(G3192,D3192)</f>
        <v>0.7390278</v>
      </c>
      <c r="I3192" s="13" t="n">
        <f aca="false">IFERROR(MIN(F3192*Eingaben!$B$19,MAX(0,D3192-H3192)),0)</f>
        <v>1.75959</v>
      </c>
      <c r="J3192" s="13" t="n">
        <f aca="false">IFERROR(MIN(Eingaben!$B$18,MAX(0,F3192-I3192)),0)</f>
        <v>0.75411</v>
      </c>
      <c r="K3192" s="13" t="n">
        <f aca="false">H3192+I3192</f>
        <v>2.4986178</v>
      </c>
      <c r="L3192" s="13" t="n">
        <f aca="false">MAX(0,D3192-K3192)</f>
        <v>3.4293822</v>
      </c>
      <c r="M3192" s="13" t="n">
        <f aca="false">MAX(0,F3192-I3192-J3192)</f>
        <v>0</v>
      </c>
      <c r="N3192" s="13" t="n">
        <f aca="false">IF(Kalender!A264="",0,J3191-H3192)</f>
        <v>0.0150822</v>
      </c>
    </row>
    <row r="3193" customFormat="false" ht="16.4" hidden="false" customHeight="false" outlineLevel="0" collapsed="false">
      <c r="A3193" s="13" t="str">
        <f aca="false">""</f>
        <v/>
      </c>
      <c r="B3193" s="13" t="n">
        <f aca="false">261</f>
        <v>261</v>
      </c>
      <c r="C3193" s="13" t="n">
        <f aca="false">IF(Szenarien!$H$19="OK",(IFERROR(SUMIF(Nutzungsprofile!$B$6:$B$11,"Schulbetrieb",Nutzungsprofile!$G$6:$G$11)*Kalender!C265/SUM(Kalender!$C$5:$C$370),0)+IFERROR(SUMIF(Nutzungsprofile!$B$6:$B$11,"Halle",Nutzungsprofile!$G$6:$G$11)*Kalender!D265/SUM(Kalender!$D$5:$D$370),0)+IFERROR(SUMIF(Nutzungsprofile!$B$6:$B$11,"Individuell",Nutzungsprofile!$G$6:$G$11)*Kalender!E265/SUM(Kalender!$E$5:$E$370),0))*Szenarien!$E$19,0)</f>
        <v>2.94</v>
      </c>
      <c r="D3193" s="13" t="n">
        <f aca="false">IF(Szenarien!$H$19="OK",(IFERROR(SUMIF(Nutzungsprofile!$B$17:$B$22,"Schulbetrieb",Nutzungsprofile!$G$17:$G$22)*Kalender!C265/SUM(Kalender!$C$5:$C$370),0)+IFERROR(SUMIF(Nutzungsprofile!$B$17:$B$22,"Halle",Nutzungsprofile!$G$17:$G$22)*Kalender!D265/SUM(Kalender!$D$5:$D$370),0)+IFERROR(SUMIF(Nutzungsprofile!$B$17:$B$22,"Individuell",Nutzungsprofile!$G$17:$G$22)*Kalender!E265/SUM(Kalender!$E$5:$E$370),0))*Szenarien!$D$19,0)</f>
        <v>5.928</v>
      </c>
      <c r="E3193" s="13" t="n">
        <f aca="false">IFERROR(MIN(C3193,Eingaben!$B$17)*Eingaben!$B$16,0)</f>
        <v>2.793</v>
      </c>
      <c r="F3193" s="13" t="n">
        <f aca="false">IFERROR(E3193*Eingaben!$B$15,0)</f>
        <v>2.5137</v>
      </c>
      <c r="G3193" s="13" t="n">
        <f aca="false">IFERROR(IF(Kalender!A265="",0,J3192*(1-Eingaben!$B$20)),0)</f>
        <v>0.7390278</v>
      </c>
      <c r="H3193" s="13" t="n">
        <f aca="false">MIN(G3193,D3193)</f>
        <v>0.7390278</v>
      </c>
      <c r="I3193" s="13" t="n">
        <f aca="false">IFERROR(MIN(F3193*Eingaben!$B$19,MAX(0,D3193-H3193)),0)</f>
        <v>1.75959</v>
      </c>
      <c r="J3193" s="13" t="n">
        <f aca="false">IFERROR(MIN(Eingaben!$B$18,MAX(0,F3193-I3193)),0)</f>
        <v>0.75411</v>
      </c>
      <c r="K3193" s="13" t="n">
        <f aca="false">H3193+I3193</f>
        <v>2.4986178</v>
      </c>
      <c r="L3193" s="13" t="n">
        <f aca="false">MAX(0,D3193-K3193)</f>
        <v>3.4293822</v>
      </c>
      <c r="M3193" s="13" t="n">
        <f aca="false">MAX(0,F3193-I3193-J3193)</f>
        <v>0</v>
      </c>
      <c r="N3193" s="13" t="n">
        <f aca="false">IF(Kalender!A265="",0,J3192-H3193)</f>
        <v>0.0150822</v>
      </c>
    </row>
    <row r="3194" customFormat="false" ht="16.4" hidden="false" customHeight="false" outlineLevel="0" collapsed="false">
      <c r="A3194" s="13" t="str">
        <f aca="false">""</f>
        <v/>
      </c>
      <c r="B3194" s="13" t="n">
        <f aca="false">262</f>
        <v>262</v>
      </c>
      <c r="C3194" s="13" t="n">
        <f aca="false">IF(Szenarien!$H$19="OK",(IFERROR(SUMIF(Nutzungsprofile!$B$6:$B$11,"Schulbetrieb",Nutzungsprofile!$G$6:$G$11)*Kalender!C266/SUM(Kalender!$C$5:$C$370),0)+IFERROR(SUMIF(Nutzungsprofile!$B$6:$B$11,"Halle",Nutzungsprofile!$G$6:$G$11)*Kalender!D266/SUM(Kalender!$D$5:$D$370),0)+IFERROR(SUMIF(Nutzungsprofile!$B$6:$B$11,"Individuell",Nutzungsprofile!$G$6:$G$11)*Kalender!E266/SUM(Kalender!$E$5:$E$370),0))*Szenarien!$E$19,0)</f>
        <v>2.04</v>
      </c>
      <c r="D3194" s="13" t="n">
        <f aca="false">IF(Szenarien!$H$19="OK",(IFERROR(SUMIF(Nutzungsprofile!$B$17:$B$22,"Schulbetrieb",Nutzungsprofile!$G$17:$G$22)*Kalender!C266/SUM(Kalender!$C$5:$C$370),0)+IFERROR(SUMIF(Nutzungsprofile!$B$17:$B$22,"Halle",Nutzungsprofile!$G$17:$G$22)*Kalender!D266/SUM(Kalender!$D$5:$D$370),0)+IFERROR(SUMIF(Nutzungsprofile!$B$17:$B$22,"Individuell",Nutzungsprofile!$G$17:$G$22)*Kalender!E266/SUM(Kalender!$E$5:$E$370),0))*Szenarien!$D$19,0)</f>
        <v>1.068</v>
      </c>
      <c r="E3194" s="13" t="n">
        <f aca="false">IFERROR(MIN(C3194,Eingaben!$B$17)*Eingaben!$B$16,0)</f>
        <v>1.938</v>
      </c>
      <c r="F3194" s="13" t="n">
        <f aca="false">IFERROR(E3194*Eingaben!$B$15,0)</f>
        <v>1.7442</v>
      </c>
      <c r="G3194" s="13" t="n">
        <f aca="false">IFERROR(IF(Kalender!A266="",0,J3193*(1-Eingaben!$B$20)),0)</f>
        <v>0.7390278</v>
      </c>
      <c r="H3194" s="13" t="n">
        <f aca="false">MIN(G3194,D3194)</f>
        <v>0.7390278</v>
      </c>
      <c r="I3194" s="13" t="n">
        <f aca="false">IFERROR(MIN(F3194*Eingaben!$B$19,MAX(0,D3194-H3194)),0)</f>
        <v>0.3289722</v>
      </c>
      <c r="J3194" s="13" t="n">
        <f aca="false">IFERROR(MIN(Eingaben!$B$18,MAX(0,F3194-I3194)),0)</f>
        <v>1.4152278</v>
      </c>
      <c r="K3194" s="13" t="n">
        <f aca="false">H3194+I3194</f>
        <v>1.068</v>
      </c>
      <c r="L3194" s="13" t="n">
        <f aca="false">MAX(0,D3194-K3194)</f>
        <v>0</v>
      </c>
      <c r="M3194" s="13" t="n">
        <f aca="false">MAX(0,F3194-I3194-J3194)</f>
        <v>0</v>
      </c>
      <c r="N3194" s="13" t="n">
        <f aca="false">IF(Kalender!A266="",0,J3193-H3194)</f>
        <v>0.0150822</v>
      </c>
    </row>
    <row r="3195" customFormat="false" ht="16.4" hidden="false" customHeight="false" outlineLevel="0" collapsed="false">
      <c r="A3195" s="13" t="str">
        <f aca="false">""</f>
        <v/>
      </c>
      <c r="B3195" s="13" t="n">
        <f aca="false">263</f>
        <v>263</v>
      </c>
      <c r="C3195" s="13" t="n">
        <f aca="false">IF(Szenarien!$H$19="OK",(IFERROR(SUMIF(Nutzungsprofile!$B$6:$B$11,"Schulbetrieb",Nutzungsprofile!$G$6:$G$11)*Kalender!C267/SUM(Kalender!$C$5:$C$370),0)+IFERROR(SUMIF(Nutzungsprofile!$B$6:$B$11,"Halle",Nutzungsprofile!$G$6:$G$11)*Kalender!D267/SUM(Kalender!$D$5:$D$370),0)+IFERROR(SUMIF(Nutzungsprofile!$B$6:$B$11,"Individuell",Nutzungsprofile!$G$6:$G$11)*Kalender!E267/SUM(Kalender!$E$5:$E$370),0))*Szenarien!$E$19,0)</f>
        <v>2.04</v>
      </c>
      <c r="D3195" s="13" t="n">
        <f aca="false">IF(Szenarien!$H$19="OK",(IFERROR(SUMIF(Nutzungsprofile!$B$17:$B$22,"Schulbetrieb",Nutzungsprofile!$G$17:$G$22)*Kalender!C267/SUM(Kalender!$C$5:$C$370),0)+IFERROR(SUMIF(Nutzungsprofile!$B$17:$B$22,"Halle",Nutzungsprofile!$G$17:$G$22)*Kalender!D267/SUM(Kalender!$D$5:$D$370),0)+IFERROR(SUMIF(Nutzungsprofile!$B$17:$B$22,"Individuell",Nutzungsprofile!$G$17:$G$22)*Kalender!E267/SUM(Kalender!$E$5:$E$370),0))*Szenarien!$D$19,0)</f>
        <v>1.068</v>
      </c>
      <c r="E3195" s="13" t="n">
        <f aca="false">IFERROR(MIN(C3195,Eingaben!$B$17)*Eingaben!$B$16,0)</f>
        <v>1.938</v>
      </c>
      <c r="F3195" s="13" t="n">
        <f aca="false">IFERROR(E3195*Eingaben!$B$15,0)</f>
        <v>1.7442</v>
      </c>
      <c r="G3195" s="13" t="n">
        <f aca="false">IFERROR(IF(Kalender!A267="",0,J3194*(1-Eingaben!$B$20)),0)</f>
        <v>1.386923244</v>
      </c>
      <c r="H3195" s="13" t="n">
        <f aca="false">MIN(G3195,D3195)</f>
        <v>1.068</v>
      </c>
      <c r="I3195" s="13" t="n">
        <f aca="false">IFERROR(MIN(F3195*Eingaben!$B$19,MAX(0,D3195-H3195)),0)</f>
        <v>0</v>
      </c>
      <c r="J3195" s="13" t="n">
        <f aca="false">IFERROR(MIN(Eingaben!$B$18,MAX(0,F3195-I3195)),0)</f>
        <v>1.7442</v>
      </c>
      <c r="K3195" s="13" t="n">
        <f aca="false">H3195+I3195</f>
        <v>1.068</v>
      </c>
      <c r="L3195" s="13" t="n">
        <f aca="false">MAX(0,D3195-K3195)</f>
        <v>0</v>
      </c>
      <c r="M3195" s="13" t="n">
        <f aca="false">MAX(0,F3195-I3195-J3195)</f>
        <v>0</v>
      </c>
      <c r="N3195" s="13" t="n">
        <f aca="false">IF(Kalender!A267="",0,J3194-H3195)</f>
        <v>0.3472278</v>
      </c>
    </row>
    <row r="3196" customFormat="false" ht="16.4" hidden="false" customHeight="false" outlineLevel="0" collapsed="false">
      <c r="A3196" s="13" t="str">
        <f aca="false">""</f>
        <v/>
      </c>
      <c r="B3196" s="13" t="n">
        <f aca="false">264</f>
        <v>264</v>
      </c>
      <c r="C3196" s="13" t="n">
        <f aca="false">IF(Szenarien!$H$19="OK",(IFERROR(SUMIF(Nutzungsprofile!$B$6:$B$11,"Schulbetrieb",Nutzungsprofile!$G$6:$G$11)*Kalender!C268/SUM(Kalender!$C$5:$C$370),0)+IFERROR(SUMIF(Nutzungsprofile!$B$6:$B$11,"Halle",Nutzungsprofile!$G$6:$G$11)*Kalender!D268/SUM(Kalender!$D$5:$D$370),0)+IFERROR(SUMIF(Nutzungsprofile!$B$6:$B$11,"Individuell",Nutzungsprofile!$G$6:$G$11)*Kalender!E268/SUM(Kalender!$E$5:$E$370),0))*Szenarien!$E$19,0)</f>
        <v>2.94</v>
      </c>
      <c r="D3196" s="13" t="n">
        <f aca="false">IF(Szenarien!$H$19="OK",(IFERROR(SUMIF(Nutzungsprofile!$B$17:$B$22,"Schulbetrieb",Nutzungsprofile!$G$17:$G$22)*Kalender!C268/SUM(Kalender!$C$5:$C$370),0)+IFERROR(SUMIF(Nutzungsprofile!$B$17:$B$22,"Halle",Nutzungsprofile!$G$17:$G$22)*Kalender!D268/SUM(Kalender!$D$5:$D$370),0)+IFERROR(SUMIF(Nutzungsprofile!$B$17:$B$22,"Individuell",Nutzungsprofile!$G$17:$G$22)*Kalender!E268/SUM(Kalender!$E$5:$E$370),0))*Szenarien!$D$19,0)</f>
        <v>5.928</v>
      </c>
      <c r="E3196" s="13" t="n">
        <f aca="false">IFERROR(MIN(C3196,Eingaben!$B$17)*Eingaben!$B$16,0)</f>
        <v>2.793</v>
      </c>
      <c r="F3196" s="13" t="n">
        <f aca="false">IFERROR(E3196*Eingaben!$B$15,0)</f>
        <v>2.5137</v>
      </c>
      <c r="G3196" s="13" t="n">
        <f aca="false">IFERROR(IF(Kalender!A268="",0,J3195*(1-Eingaben!$B$20)),0)</f>
        <v>1.709316</v>
      </c>
      <c r="H3196" s="13" t="n">
        <f aca="false">MIN(G3196,D3196)</f>
        <v>1.709316</v>
      </c>
      <c r="I3196" s="13" t="n">
        <f aca="false">IFERROR(MIN(F3196*Eingaben!$B$19,MAX(0,D3196-H3196)),0)</f>
        <v>1.75959</v>
      </c>
      <c r="J3196" s="13" t="n">
        <f aca="false">IFERROR(MIN(Eingaben!$B$18,MAX(0,F3196-I3196)),0)</f>
        <v>0.75411</v>
      </c>
      <c r="K3196" s="13" t="n">
        <f aca="false">H3196+I3196</f>
        <v>3.468906</v>
      </c>
      <c r="L3196" s="13" t="n">
        <f aca="false">MAX(0,D3196-K3196)</f>
        <v>2.459094</v>
      </c>
      <c r="M3196" s="13" t="n">
        <f aca="false">MAX(0,F3196-I3196-J3196)</f>
        <v>0</v>
      </c>
      <c r="N3196" s="13" t="n">
        <f aca="false">IF(Kalender!A268="",0,J3195-H3196)</f>
        <v>0.0348840000000001</v>
      </c>
    </row>
    <row r="3197" customFormat="false" ht="16.4" hidden="false" customHeight="false" outlineLevel="0" collapsed="false">
      <c r="A3197" s="13" t="str">
        <f aca="false">""</f>
        <v/>
      </c>
      <c r="B3197" s="13" t="n">
        <f aca="false">265</f>
        <v>265</v>
      </c>
      <c r="C3197" s="13" t="n">
        <f aca="false">IF(Szenarien!$H$19="OK",(IFERROR(SUMIF(Nutzungsprofile!$B$6:$B$11,"Schulbetrieb",Nutzungsprofile!$G$6:$G$11)*Kalender!C269/SUM(Kalender!$C$5:$C$370),0)+IFERROR(SUMIF(Nutzungsprofile!$B$6:$B$11,"Halle",Nutzungsprofile!$G$6:$G$11)*Kalender!D269/SUM(Kalender!$D$5:$D$370),0)+IFERROR(SUMIF(Nutzungsprofile!$B$6:$B$11,"Individuell",Nutzungsprofile!$G$6:$G$11)*Kalender!E269/SUM(Kalender!$E$5:$E$370),0))*Szenarien!$E$19,0)</f>
        <v>2.94</v>
      </c>
      <c r="D3197" s="13" t="n">
        <f aca="false">IF(Szenarien!$H$19="OK",(IFERROR(SUMIF(Nutzungsprofile!$B$17:$B$22,"Schulbetrieb",Nutzungsprofile!$G$17:$G$22)*Kalender!C269/SUM(Kalender!$C$5:$C$370),0)+IFERROR(SUMIF(Nutzungsprofile!$B$17:$B$22,"Halle",Nutzungsprofile!$G$17:$G$22)*Kalender!D269/SUM(Kalender!$D$5:$D$370),0)+IFERROR(SUMIF(Nutzungsprofile!$B$17:$B$22,"Individuell",Nutzungsprofile!$G$17:$G$22)*Kalender!E269/SUM(Kalender!$E$5:$E$370),0))*Szenarien!$D$19,0)</f>
        <v>5.928</v>
      </c>
      <c r="E3197" s="13" t="n">
        <f aca="false">IFERROR(MIN(C3197,Eingaben!$B$17)*Eingaben!$B$16,0)</f>
        <v>2.793</v>
      </c>
      <c r="F3197" s="13" t="n">
        <f aca="false">IFERROR(E3197*Eingaben!$B$15,0)</f>
        <v>2.5137</v>
      </c>
      <c r="G3197" s="13" t="n">
        <f aca="false">IFERROR(IF(Kalender!A269="",0,J3196*(1-Eingaben!$B$20)),0)</f>
        <v>0.7390278</v>
      </c>
      <c r="H3197" s="13" t="n">
        <f aca="false">MIN(G3197,D3197)</f>
        <v>0.7390278</v>
      </c>
      <c r="I3197" s="13" t="n">
        <f aca="false">IFERROR(MIN(F3197*Eingaben!$B$19,MAX(0,D3197-H3197)),0)</f>
        <v>1.75959</v>
      </c>
      <c r="J3197" s="13" t="n">
        <f aca="false">IFERROR(MIN(Eingaben!$B$18,MAX(0,F3197-I3197)),0)</f>
        <v>0.75411</v>
      </c>
      <c r="K3197" s="13" t="n">
        <f aca="false">H3197+I3197</f>
        <v>2.4986178</v>
      </c>
      <c r="L3197" s="13" t="n">
        <f aca="false">MAX(0,D3197-K3197)</f>
        <v>3.4293822</v>
      </c>
      <c r="M3197" s="13" t="n">
        <f aca="false">MAX(0,F3197-I3197-J3197)</f>
        <v>0</v>
      </c>
      <c r="N3197" s="13" t="n">
        <f aca="false">IF(Kalender!A269="",0,J3196-H3197)</f>
        <v>0.0150822</v>
      </c>
    </row>
    <row r="3198" customFormat="false" ht="16.4" hidden="false" customHeight="false" outlineLevel="0" collapsed="false">
      <c r="A3198" s="13" t="str">
        <f aca="false">""</f>
        <v/>
      </c>
      <c r="B3198" s="13" t="n">
        <f aca="false">266</f>
        <v>266</v>
      </c>
      <c r="C3198" s="13" t="n">
        <f aca="false">IF(Szenarien!$H$19="OK",(IFERROR(SUMIF(Nutzungsprofile!$B$6:$B$11,"Schulbetrieb",Nutzungsprofile!$G$6:$G$11)*Kalender!C270/SUM(Kalender!$C$5:$C$370),0)+IFERROR(SUMIF(Nutzungsprofile!$B$6:$B$11,"Halle",Nutzungsprofile!$G$6:$G$11)*Kalender!D270/SUM(Kalender!$D$5:$D$370),0)+IFERROR(SUMIF(Nutzungsprofile!$B$6:$B$11,"Individuell",Nutzungsprofile!$G$6:$G$11)*Kalender!E270/SUM(Kalender!$E$5:$E$370),0))*Szenarien!$E$19,0)</f>
        <v>2.94</v>
      </c>
      <c r="D3198" s="13" t="n">
        <f aca="false">IF(Szenarien!$H$19="OK",(IFERROR(SUMIF(Nutzungsprofile!$B$17:$B$22,"Schulbetrieb",Nutzungsprofile!$G$17:$G$22)*Kalender!C270/SUM(Kalender!$C$5:$C$370),0)+IFERROR(SUMIF(Nutzungsprofile!$B$17:$B$22,"Halle",Nutzungsprofile!$G$17:$G$22)*Kalender!D270/SUM(Kalender!$D$5:$D$370),0)+IFERROR(SUMIF(Nutzungsprofile!$B$17:$B$22,"Individuell",Nutzungsprofile!$G$17:$G$22)*Kalender!E270/SUM(Kalender!$E$5:$E$370),0))*Szenarien!$D$19,0)</f>
        <v>5.928</v>
      </c>
      <c r="E3198" s="13" t="n">
        <f aca="false">IFERROR(MIN(C3198,Eingaben!$B$17)*Eingaben!$B$16,0)</f>
        <v>2.793</v>
      </c>
      <c r="F3198" s="13" t="n">
        <f aca="false">IFERROR(E3198*Eingaben!$B$15,0)</f>
        <v>2.5137</v>
      </c>
      <c r="G3198" s="13" t="n">
        <f aca="false">IFERROR(IF(Kalender!A270="",0,J3197*(1-Eingaben!$B$20)),0)</f>
        <v>0.7390278</v>
      </c>
      <c r="H3198" s="13" t="n">
        <f aca="false">MIN(G3198,D3198)</f>
        <v>0.7390278</v>
      </c>
      <c r="I3198" s="13" t="n">
        <f aca="false">IFERROR(MIN(F3198*Eingaben!$B$19,MAX(0,D3198-H3198)),0)</f>
        <v>1.75959</v>
      </c>
      <c r="J3198" s="13" t="n">
        <f aca="false">IFERROR(MIN(Eingaben!$B$18,MAX(0,F3198-I3198)),0)</f>
        <v>0.75411</v>
      </c>
      <c r="K3198" s="13" t="n">
        <f aca="false">H3198+I3198</f>
        <v>2.4986178</v>
      </c>
      <c r="L3198" s="13" t="n">
        <f aca="false">MAX(0,D3198-K3198)</f>
        <v>3.4293822</v>
      </c>
      <c r="M3198" s="13" t="n">
        <f aca="false">MAX(0,F3198-I3198-J3198)</f>
        <v>0</v>
      </c>
      <c r="N3198" s="13" t="n">
        <f aca="false">IF(Kalender!A270="",0,J3197-H3198)</f>
        <v>0.0150822</v>
      </c>
    </row>
    <row r="3199" customFormat="false" ht="16.4" hidden="false" customHeight="false" outlineLevel="0" collapsed="false">
      <c r="A3199" s="13" t="str">
        <f aca="false">""</f>
        <v/>
      </c>
      <c r="B3199" s="13" t="n">
        <f aca="false">267</f>
        <v>267</v>
      </c>
      <c r="C3199" s="13" t="n">
        <f aca="false">IF(Szenarien!$H$19="OK",(IFERROR(SUMIF(Nutzungsprofile!$B$6:$B$11,"Schulbetrieb",Nutzungsprofile!$G$6:$G$11)*Kalender!C271/SUM(Kalender!$C$5:$C$370),0)+IFERROR(SUMIF(Nutzungsprofile!$B$6:$B$11,"Halle",Nutzungsprofile!$G$6:$G$11)*Kalender!D271/SUM(Kalender!$D$5:$D$370),0)+IFERROR(SUMIF(Nutzungsprofile!$B$6:$B$11,"Individuell",Nutzungsprofile!$G$6:$G$11)*Kalender!E271/SUM(Kalender!$E$5:$E$370),0))*Szenarien!$E$19,0)</f>
        <v>2.94</v>
      </c>
      <c r="D3199" s="13" t="n">
        <f aca="false">IF(Szenarien!$H$19="OK",(IFERROR(SUMIF(Nutzungsprofile!$B$17:$B$22,"Schulbetrieb",Nutzungsprofile!$G$17:$G$22)*Kalender!C271/SUM(Kalender!$C$5:$C$370),0)+IFERROR(SUMIF(Nutzungsprofile!$B$17:$B$22,"Halle",Nutzungsprofile!$G$17:$G$22)*Kalender!D271/SUM(Kalender!$D$5:$D$370),0)+IFERROR(SUMIF(Nutzungsprofile!$B$17:$B$22,"Individuell",Nutzungsprofile!$G$17:$G$22)*Kalender!E271/SUM(Kalender!$E$5:$E$370),0))*Szenarien!$D$19,0)</f>
        <v>5.928</v>
      </c>
      <c r="E3199" s="13" t="n">
        <f aca="false">IFERROR(MIN(C3199,Eingaben!$B$17)*Eingaben!$B$16,0)</f>
        <v>2.793</v>
      </c>
      <c r="F3199" s="13" t="n">
        <f aca="false">IFERROR(E3199*Eingaben!$B$15,0)</f>
        <v>2.5137</v>
      </c>
      <c r="G3199" s="13" t="n">
        <f aca="false">IFERROR(IF(Kalender!A271="",0,J3198*(1-Eingaben!$B$20)),0)</f>
        <v>0.7390278</v>
      </c>
      <c r="H3199" s="13" t="n">
        <f aca="false">MIN(G3199,D3199)</f>
        <v>0.7390278</v>
      </c>
      <c r="I3199" s="13" t="n">
        <f aca="false">IFERROR(MIN(F3199*Eingaben!$B$19,MAX(0,D3199-H3199)),0)</f>
        <v>1.75959</v>
      </c>
      <c r="J3199" s="13" t="n">
        <f aca="false">IFERROR(MIN(Eingaben!$B$18,MAX(0,F3199-I3199)),0)</f>
        <v>0.75411</v>
      </c>
      <c r="K3199" s="13" t="n">
        <f aca="false">H3199+I3199</f>
        <v>2.4986178</v>
      </c>
      <c r="L3199" s="13" t="n">
        <f aca="false">MAX(0,D3199-K3199)</f>
        <v>3.4293822</v>
      </c>
      <c r="M3199" s="13" t="n">
        <f aca="false">MAX(0,F3199-I3199-J3199)</f>
        <v>0</v>
      </c>
      <c r="N3199" s="13" t="n">
        <f aca="false">IF(Kalender!A271="",0,J3198-H3199)</f>
        <v>0.0150822</v>
      </c>
    </row>
    <row r="3200" customFormat="false" ht="16.4" hidden="false" customHeight="false" outlineLevel="0" collapsed="false">
      <c r="A3200" s="13" t="str">
        <f aca="false">""</f>
        <v/>
      </c>
      <c r="B3200" s="13" t="n">
        <f aca="false">268</f>
        <v>268</v>
      </c>
      <c r="C3200" s="13" t="n">
        <f aca="false">IF(Szenarien!$H$19="OK",(IFERROR(SUMIF(Nutzungsprofile!$B$6:$B$11,"Schulbetrieb",Nutzungsprofile!$G$6:$G$11)*Kalender!C272/SUM(Kalender!$C$5:$C$370),0)+IFERROR(SUMIF(Nutzungsprofile!$B$6:$B$11,"Halle",Nutzungsprofile!$G$6:$G$11)*Kalender!D272/SUM(Kalender!$D$5:$D$370),0)+IFERROR(SUMIF(Nutzungsprofile!$B$6:$B$11,"Individuell",Nutzungsprofile!$G$6:$G$11)*Kalender!E272/SUM(Kalender!$E$5:$E$370),0))*Szenarien!$E$19,0)</f>
        <v>2.94</v>
      </c>
      <c r="D3200" s="13" t="n">
        <f aca="false">IF(Szenarien!$H$19="OK",(IFERROR(SUMIF(Nutzungsprofile!$B$17:$B$22,"Schulbetrieb",Nutzungsprofile!$G$17:$G$22)*Kalender!C272/SUM(Kalender!$C$5:$C$370),0)+IFERROR(SUMIF(Nutzungsprofile!$B$17:$B$22,"Halle",Nutzungsprofile!$G$17:$G$22)*Kalender!D272/SUM(Kalender!$D$5:$D$370),0)+IFERROR(SUMIF(Nutzungsprofile!$B$17:$B$22,"Individuell",Nutzungsprofile!$G$17:$G$22)*Kalender!E272/SUM(Kalender!$E$5:$E$370),0))*Szenarien!$D$19,0)</f>
        <v>5.928</v>
      </c>
      <c r="E3200" s="13" t="n">
        <f aca="false">IFERROR(MIN(C3200,Eingaben!$B$17)*Eingaben!$B$16,0)</f>
        <v>2.793</v>
      </c>
      <c r="F3200" s="13" t="n">
        <f aca="false">IFERROR(E3200*Eingaben!$B$15,0)</f>
        <v>2.5137</v>
      </c>
      <c r="G3200" s="13" t="n">
        <f aca="false">IFERROR(IF(Kalender!A272="",0,J3199*(1-Eingaben!$B$20)),0)</f>
        <v>0.7390278</v>
      </c>
      <c r="H3200" s="13" t="n">
        <f aca="false">MIN(G3200,D3200)</f>
        <v>0.7390278</v>
      </c>
      <c r="I3200" s="13" t="n">
        <f aca="false">IFERROR(MIN(F3200*Eingaben!$B$19,MAX(0,D3200-H3200)),0)</f>
        <v>1.75959</v>
      </c>
      <c r="J3200" s="13" t="n">
        <f aca="false">IFERROR(MIN(Eingaben!$B$18,MAX(0,F3200-I3200)),0)</f>
        <v>0.75411</v>
      </c>
      <c r="K3200" s="13" t="n">
        <f aca="false">H3200+I3200</f>
        <v>2.4986178</v>
      </c>
      <c r="L3200" s="13" t="n">
        <f aca="false">MAX(0,D3200-K3200)</f>
        <v>3.4293822</v>
      </c>
      <c r="M3200" s="13" t="n">
        <f aca="false">MAX(0,F3200-I3200-J3200)</f>
        <v>0</v>
      </c>
      <c r="N3200" s="13" t="n">
        <f aca="false">IF(Kalender!A272="",0,J3199-H3200)</f>
        <v>0.0150822</v>
      </c>
    </row>
    <row r="3201" customFormat="false" ht="16.4" hidden="false" customHeight="false" outlineLevel="0" collapsed="false">
      <c r="A3201" s="13" t="str">
        <f aca="false">""</f>
        <v/>
      </c>
      <c r="B3201" s="13" t="n">
        <f aca="false">269</f>
        <v>269</v>
      </c>
      <c r="C3201" s="13" t="n">
        <f aca="false">IF(Szenarien!$H$19="OK",(IFERROR(SUMIF(Nutzungsprofile!$B$6:$B$11,"Schulbetrieb",Nutzungsprofile!$G$6:$G$11)*Kalender!C273/SUM(Kalender!$C$5:$C$370),0)+IFERROR(SUMIF(Nutzungsprofile!$B$6:$B$11,"Halle",Nutzungsprofile!$G$6:$G$11)*Kalender!D273/SUM(Kalender!$D$5:$D$370),0)+IFERROR(SUMIF(Nutzungsprofile!$B$6:$B$11,"Individuell",Nutzungsprofile!$G$6:$G$11)*Kalender!E273/SUM(Kalender!$E$5:$E$370),0))*Szenarien!$E$19,0)</f>
        <v>2.04</v>
      </c>
      <c r="D3201" s="13" t="n">
        <f aca="false">IF(Szenarien!$H$19="OK",(IFERROR(SUMIF(Nutzungsprofile!$B$17:$B$22,"Schulbetrieb",Nutzungsprofile!$G$17:$G$22)*Kalender!C273/SUM(Kalender!$C$5:$C$370),0)+IFERROR(SUMIF(Nutzungsprofile!$B$17:$B$22,"Halle",Nutzungsprofile!$G$17:$G$22)*Kalender!D273/SUM(Kalender!$D$5:$D$370),0)+IFERROR(SUMIF(Nutzungsprofile!$B$17:$B$22,"Individuell",Nutzungsprofile!$G$17:$G$22)*Kalender!E273/SUM(Kalender!$E$5:$E$370),0))*Szenarien!$D$19,0)</f>
        <v>1.068</v>
      </c>
      <c r="E3201" s="13" t="n">
        <f aca="false">IFERROR(MIN(C3201,Eingaben!$B$17)*Eingaben!$B$16,0)</f>
        <v>1.938</v>
      </c>
      <c r="F3201" s="13" t="n">
        <f aca="false">IFERROR(E3201*Eingaben!$B$15,0)</f>
        <v>1.7442</v>
      </c>
      <c r="G3201" s="13" t="n">
        <f aca="false">IFERROR(IF(Kalender!A273="",0,J3200*(1-Eingaben!$B$20)),0)</f>
        <v>0.7390278</v>
      </c>
      <c r="H3201" s="13" t="n">
        <f aca="false">MIN(G3201,D3201)</f>
        <v>0.7390278</v>
      </c>
      <c r="I3201" s="13" t="n">
        <f aca="false">IFERROR(MIN(F3201*Eingaben!$B$19,MAX(0,D3201-H3201)),0)</f>
        <v>0.3289722</v>
      </c>
      <c r="J3201" s="13" t="n">
        <f aca="false">IFERROR(MIN(Eingaben!$B$18,MAX(0,F3201-I3201)),0)</f>
        <v>1.4152278</v>
      </c>
      <c r="K3201" s="13" t="n">
        <f aca="false">H3201+I3201</f>
        <v>1.068</v>
      </c>
      <c r="L3201" s="13" t="n">
        <f aca="false">MAX(0,D3201-K3201)</f>
        <v>0</v>
      </c>
      <c r="M3201" s="13" t="n">
        <f aca="false">MAX(0,F3201-I3201-J3201)</f>
        <v>0</v>
      </c>
      <c r="N3201" s="13" t="n">
        <f aca="false">IF(Kalender!A273="",0,J3200-H3201)</f>
        <v>0.0150822</v>
      </c>
    </row>
    <row r="3202" customFormat="false" ht="16.4" hidden="false" customHeight="false" outlineLevel="0" collapsed="false">
      <c r="A3202" s="13" t="str">
        <f aca="false">""</f>
        <v/>
      </c>
      <c r="B3202" s="13" t="n">
        <f aca="false">270</f>
        <v>270</v>
      </c>
      <c r="C3202" s="13" t="n">
        <f aca="false">IF(Szenarien!$H$19="OK",(IFERROR(SUMIF(Nutzungsprofile!$B$6:$B$11,"Schulbetrieb",Nutzungsprofile!$G$6:$G$11)*Kalender!C274/SUM(Kalender!$C$5:$C$370),0)+IFERROR(SUMIF(Nutzungsprofile!$B$6:$B$11,"Halle",Nutzungsprofile!$G$6:$G$11)*Kalender!D274/SUM(Kalender!$D$5:$D$370),0)+IFERROR(SUMIF(Nutzungsprofile!$B$6:$B$11,"Individuell",Nutzungsprofile!$G$6:$G$11)*Kalender!E274/SUM(Kalender!$E$5:$E$370),0))*Szenarien!$E$19,0)</f>
        <v>2.04</v>
      </c>
      <c r="D3202" s="13" t="n">
        <f aca="false">IF(Szenarien!$H$19="OK",(IFERROR(SUMIF(Nutzungsprofile!$B$17:$B$22,"Schulbetrieb",Nutzungsprofile!$G$17:$G$22)*Kalender!C274/SUM(Kalender!$C$5:$C$370),0)+IFERROR(SUMIF(Nutzungsprofile!$B$17:$B$22,"Halle",Nutzungsprofile!$G$17:$G$22)*Kalender!D274/SUM(Kalender!$D$5:$D$370),0)+IFERROR(SUMIF(Nutzungsprofile!$B$17:$B$22,"Individuell",Nutzungsprofile!$G$17:$G$22)*Kalender!E274/SUM(Kalender!$E$5:$E$370),0))*Szenarien!$D$19,0)</f>
        <v>1.068</v>
      </c>
      <c r="E3202" s="13" t="n">
        <f aca="false">IFERROR(MIN(C3202,Eingaben!$B$17)*Eingaben!$B$16,0)</f>
        <v>1.938</v>
      </c>
      <c r="F3202" s="13" t="n">
        <f aca="false">IFERROR(E3202*Eingaben!$B$15,0)</f>
        <v>1.7442</v>
      </c>
      <c r="G3202" s="13" t="n">
        <f aca="false">IFERROR(IF(Kalender!A274="",0,J3201*(1-Eingaben!$B$20)),0)</f>
        <v>1.386923244</v>
      </c>
      <c r="H3202" s="13" t="n">
        <f aca="false">MIN(G3202,D3202)</f>
        <v>1.068</v>
      </c>
      <c r="I3202" s="13" t="n">
        <f aca="false">IFERROR(MIN(F3202*Eingaben!$B$19,MAX(0,D3202-H3202)),0)</f>
        <v>0</v>
      </c>
      <c r="J3202" s="13" t="n">
        <f aca="false">IFERROR(MIN(Eingaben!$B$18,MAX(0,F3202-I3202)),0)</f>
        <v>1.7442</v>
      </c>
      <c r="K3202" s="13" t="n">
        <f aca="false">H3202+I3202</f>
        <v>1.068</v>
      </c>
      <c r="L3202" s="13" t="n">
        <f aca="false">MAX(0,D3202-K3202)</f>
        <v>0</v>
      </c>
      <c r="M3202" s="13" t="n">
        <f aca="false">MAX(0,F3202-I3202-J3202)</f>
        <v>0</v>
      </c>
      <c r="N3202" s="13" t="n">
        <f aca="false">IF(Kalender!A274="",0,J3201-H3202)</f>
        <v>0.3472278</v>
      </c>
    </row>
    <row r="3203" customFormat="false" ht="16.4" hidden="false" customHeight="false" outlineLevel="0" collapsed="false">
      <c r="A3203" s="13" t="str">
        <f aca="false">""</f>
        <v/>
      </c>
      <c r="B3203" s="13" t="n">
        <f aca="false">271</f>
        <v>271</v>
      </c>
      <c r="C3203" s="13" t="n">
        <f aca="false">IF(Szenarien!$H$19="OK",(IFERROR(SUMIF(Nutzungsprofile!$B$6:$B$11,"Schulbetrieb",Nutzungsprofile!$G$6:$G$11)*Kalender!C275/SUM(Kalender!$C$5:$C$370),0)+IFERROR(SUMIF(Nutzungsprofile!$B$6:$B$11,"Halle",Nutzungsprofile!$G$6:$G$11)*Kalender!D275/SUM(Kalender!$D$5:$D$370),0)+IFERROR(SUMIF(Nutzungsprofile!$B$6:$B$11,"Individuell",Nutzungsprofile!$G$6:$G$11)*Kalender!E275/SUM(Kalender!$E$5:$E$370),0))*Szenarien!$E$19,0)</f>
        <v>2.94</v>
      </c>
      <c r="D3203" s="13" t="n">
        <f aca="false">IF(Szenarien!$H$19="OK",(IFERROR(SUMIF(Nutzungsprofile!$B$17:$B$22,"Schulbetrieb",Nutzungsprofile!$G$17:$G$22)*Kalender!C275/SUM(Kalender!$C$5:$C$370),0)+IFERROR(SUMIF(Nutzungsprofile!$B$17:$B$22,"Halle",Nutzungsprofile!$G$17:$G$22)*Kalender!D275/SUM(Kalender!$D$5:$D$370),0)+IFERROR(SUMIF(Nutzungsprofile!$B$17:$B$22,"Individuell",Nutzungsprofile!$G$17:$G$22)*Kalender!E275/SUM(Kalender!$E$5:$E$370),0))*Szenarien!$D$19,0)</f>
        <v>5.928</v>
      </c>
      <c r="E3203" s="13" t="n">
        <f aca="false">IFERROR(MIN(C3203,Eingaben!$B$17)*Eingaben!$B$16,0)</f>
        <v>2.793</v>
      </c>
      <c r="F3203" s="13" t="n">
        <f aca="false">IFERROR(E3203*Eingaben!$B$15,0)</f>
        <v>2.5137</v>
      </c>
      <c r="G3203" s="13" t="n">
        <f aca="false">IFERROR(IF(Kalender!A275="",0,J3202*(1-Eingaben!$B$20)),0)</f>
        <v>1.709316</v>
      </c>
      <c r="H3203" s="13" t="n">
        <f aca="false">MIN(G3203,D3203)</f>
        <v>1.709316</v>
      </c>
      <c r="I3203" s="13" t="n">
        <f aca="false">IFERROR(MIN(F3203*Eingaben!$B$19,MAX(0,D3203-H3203)),0)</f>
        <v>1.75959</v>
      </c>
      <c r="J3203" s="13" t="n">
        <f aca="false">IFERROR(MIN(Eingaben!$B$18,MAX(0,F3203-I3203)),0)</f>
        <v>0.75411</v>
      </c>
      <c r="K3203" s="13" t="n">
        <f aca="false">H3203+I3203</f>
        <v>3.468906</v>
      </c>
      <c r="L3203" s="13" t="n">
        <f aca="false">MAX(0,D3203-K3203)</f>
        <v>2.459094</v>
      </c>
      <c r="M3203" s="13" t="n">
        <f aca="false">MAX(0,F3203-I3203-J3203)</f>
        <v>0</v>
      </c>
      <c r="N3203" s="13" t="n">
        <f aca="false">IF(Kalender!A275="",0,J3202-H3203)</f>
        <v>0.0348840000000001</v>
      </c>
    </row>
    <row r="3204" customFormat="false" ht="16.4" hidden="false" customHeight="false" outlineLevel="0" collapsed="false">
      <c r="A3204" s="13" t="str">
        <f aca="false">""</f>
        <v/>
      </c>
      <c r="B3204" s="13" t="n">
        <f aca="false">272</f>
        <v>272</v>
      </c>
      <c r="C3204" s="13" t="n">
        <f aca="false">IF(Szenarien!$H$19="OK",(IFERROR(SUMIF(Nutzungsprofile!$B$6:$B$11,"Schulbetrieb",Nutzungsprofile!$G$6:$G$11)*Kalender!C276/SUM(Kalender!$C$5:$C$370),0)+IFERROR(SUMIF(Nutzungsprofile!$B$6:$B$11,"Halle",Nutzungsprofile!$G$6:$G$11)*Kalender!D276/SUM(Kalender!$D$5:$D$370),0)+IFERROR(SUMIF(Nutzungsprofile!$B$6:$B$11,"Individuell",Nutzungsprofile!$G$6:$G$11)*Kalender!E276/SUM(Kalender!$E$5:$E$370),0))*Szenarien!$E$19,0)</f>
        <v>2.94</v>
      </c>
      <c r="D3204" s="13" t="n">
        <f aca="false">IF(Szenarien!$H$19="OK",(IFERROR(SUMIF(Nutzungsprofile!$B$17:$B$22,"Schulbetrieb",Nutzungsprofile!$G$17:$G$22)*Kalender!C276/SUM(Kalender!$C$5:$C$370),0)+IFERROR(SUMIF(Nutzungsprofile!$B$17:$B$22,"Halle",Nutzungsprofile!$G$17:$G$22)*Kalender!D276/SUM(Kalender!$D$5:$D$370),0)+IFERROR(SUMIF(Nutzungsprofile!$B$17:$B$22,"Individuell",Nutzungsprofile!$G$17:$G$22)*Kalender!E276/SUM(Kalender!$E$5:$E$370),0))*Szenarien!$D$19,0)</f>
        <v>5.928</v>
      </c>
      <c r="E3204" s="13" t="n">
        <f aca="false">IFERROR(MIN(C3204,Eingaben!$B$17)*Eingaben!$B$16,0)</f>
        <v>2.793</v>
      </c>
      <c r="F3204" s="13" t="n">
        <f aca="false">IFERROR(E3204*Eingaben!$B$15,0)</f>
        <v>2.5137</v>
      </c>
      <c r="G3204" s="13" t="n">
        <f aca="false">IFERROR(IF(Kalender!A276="",0,J3203*(1-Eingaben!$B$20)),0)</f>
        <v>0.7390278</v>
      </c>
      <c r="H3204" s="13" t="n">
        <f aca="false">MIN(G3204,D3204)</f>
        <v>0.7390278</v>
      </c>
      <c r="I3204" s="13" t="n">
        <f aca="false">IFERROR(MIN(F3204*Eingaben!$B$19,MAX(0,D3204-H3204)),0)</f>
        <v>1.75959</v>
      </c>
      <c r="J3204" s="13" t="n">
        <f aca="false">IFERROR(MIN(Eingaben!$B$18,MAX(0,F3204-I3204)),0)</f>
        <v>0.75411</v>
      </c>
      <c r="K3204" s="13" t="n">
        <f aca="false">H3204+I3204</f>
        <v>2.4986178</v>
      </c>
      <c r="L3204" s="13" t="n">
        <f aca="false">MAX(0,D3204-K3204)</f>
        <v>3.4293822</v>
      </c>
      <c r="M3204" s="13" t="n">
        <f aca="false">MAX(0,F3204-I3204-J3204)</f>
        <v>0</v>
      </c>
      <c r="N3204" s="13" t="n">
        <f aca="false">IF(Kalender!A276="",0,J3203-H3204)</f>
        <v>0.0150822</v>
      </c>
    </row>
    <row r="3205" customFormat="false" ht="16.4" hidden="false" customHeight="false" outlineLevel="0" collapsed="false">
      <c r="A3205" s="13" t="str">
        <f aca="false">""</f>
        <v/>
      </c>
      <c r="B3205" s="13" t="n">
        <f aca="false">273</f>
        <v>273</v>
      </c>
      <c r="C3205" s="13" t="n">
        <f aca="false">IF(Szenarien!$H$19="OK",(IFERROR(SUMIF(Nutzungsprofile!$B$6:$B$11,"Schulbetrieb",Nutzungsprofile!$G$6:$G$11)*Kalender!C277/SUM(Kalender!$C$5:$C$370),0)+IFERROR(SUMIF(Nutzungsprofile!$B$6:$B$11,"Halle",Nutzungsprofile!$G$6:$G$11)*Kalender!D277/SUM(Kalender!$D$5:$D$370),0)+IFERROR(SUMIF(Nutzungsprofile!$B$6:$B$11,"Individuell",Nutzungsprofile!$G$6:$G$11)*Kalender!E277/SUM(Kalender!$E$5:$E$370),0))*Szenarien!$E$19,0)</f>
        <v>2.94</v>
      </c>
      <c r="D3205" s="13" t="n">
        <f aca="false">IF(Szenarien!$H$19="OK",(IFERROR(SUMIF(Nutzungsprofile!$B$17:$B$22,"Schulbetrieb",Nutzungsprofile!$G$17:$G$22)*Kalender!C277/SUM(Kalender!$C$5:$C$370),0)+IFERROR(SUMIF(Nutzungsprofile!$B$17:$B$22,"Halle",Nutzungsprofile!$G$17:$G$22)*Kalender!D277/SUM(Kalender!$D$5:$D$370),0)+IFERROR(SUMIF(Nutzungsprofile!$B$17:$B$22,"Individuell",Nutzungsprofile!$G$17:$G$22)*Kalender!E277/SUM(Kalender!$E$5:$E$370),0))*Szenarien!$D$19,0)</f>
        <v>5.928</v>
      </c>
      <c r="E3205" s="13" t="n">
        <f aca="false">IFERROR(MIN(C3205,Eingaben!$B$17)*Eingaben!$B$16,0)</f>
        <v>2.793</v>
      </c>
      <c r="F3205" s="13" t="n">
        <f aca="false">IFERROR(E3205*Eingaben!$B$15,0)</f>
        <v>2.5137</v>
      </c>
      <c r="G3205" s="13" t="n">
        <f aca="false">IFERROR(IF(Kalender!A277="",0,J3204*(1-Eingaben!$B$20)),0)</f>
        <v>0.7390278</v>
      </c>
      <c r="H3205" s="13" t="n">
        <f aca="false">MIN(G3205,D3205)</f>
        <v>0.7390278</v>
      </c>
      <c r="I3205" s="13" t="n">
        <f aca="false">IFERROR(MIN(F3205*Eingaben!$B$19,MAX(0,D3205-H3205)),0)</f>
        <v>1.75959</v>
      </c>
      <c r="J3205" s="13" t="n">
        <f aca="false">IFERROR(MIN(Eingaben!$B$18,MAX(0,F3205-I3205)),0)</f>
        <v>0.75411</v>
      </c>
      <c r="K3205" s="13" t="n">
        <f aca="false">H3205+I3205</f>
        <v>2.4986178</v>
      </c>
      <c r="L3205" s="13" t="n">
        <f aca="false">MAX(0,D3205-K3205)</f>
        <v>3.4293822</v>
      </c>
      <c r="M3205" s="13" t="n">
        <f aca="false">MAX(0,F3205-I3205-J3205)</f>
        <v>0</v>
      </c>
      <c r="N3205" s="13" t="n">
        <f aca="false">IF(Kalender!A277="",0,J3204-H3205)</f>
        <v>0.0150822</v>
      </c>
    </row>
    <row r="3206" customFormat="false" ht="16.4" hidden="false" customHeight="false" outlineLevel="0" collapsed="false">
      <c r="A3206" s="13" t="str">
        <f aca="false">""</f>
        <v/>
      </c>
      <c r="B3206" s="13" t="n">
        <f aca="false">274</f>
        <v>274</v>
      </c>
      <c r="C3206" s="13" t="n">
        <f aca="false">IF(Szenarien!$H$19="OK",(IFERROR(SUMIF(Nutzungsprofile!$B$6:$B$11,"Schulbetrieb",Nutzungsprofile!$G$6:$G$11)*Kalender!C278/SUM(Kalender!$C$5:$C$370),0)+IFERROR(SUMIF(Nutzungsprofile!$B$6:$B$11,"Halle",Nutzungsprofile!$G$6:$G$11)*Kalender!D278/SUM(Kalender!$D$5:$D$370),0)+IFERROR(SUMIF(Nutzungsprofile!$B$6:$B$11,"Individuell",Nutzungsprofile!$G$6:$G$11)*Kalender!E278/SUM(Kalender!$E$5:$E$370),0))*Szenarien!$E$19,0)</f>
        <v>2.94</v>
      </c>
      <c r="D3206" s="13" t="n">
        <f aca="false">IF(Szenarien!$H$19="OK",(IFERROR(SUMIF(Nutzungsprofile!$B$17:$B$22,"Schulbetrieb",Nutzungsprofile!$G$17:$G$22)*Kalender!C278/SUM(Kalender!$C$5:$C$370),0)+IFERROR(SUMIF(Nutzungsprofile!$B$17:$B$22,"Halle",Nutzungsprofile!$G$17:$G$22)*Kalender!D278/SUM(Kalender!$D$5:$D$370),0)+IFERROR(SUMIF(Nutzungsprofile!$B$17:$B$22,"Individuell",Nutzungsprofile!$G$17:$G$22)*Kalender!E278/SUM(Kalender!$E$5:$E$370),0))*Szenarien!$D$19,0)</f>
        <v>5.928</v>
      </c>
      <c r="E3206" s="13" t="n">
        <f aca="false">IFERROR(MIN(C3206,Eingaben!$B$17)*Eingaben!$B$16,0)</f>
        <v>2.793</v>
      </c>
      <c r="F3206" s="13" t="n">
        <f aca="false">IFERROR(E3206*Eingaben!$B$15,0)</f>
        <v>2.5137</v>
      </c>
      <c r="G3206" s="13" t="n">
        <f aca="false">IFERROR(IF(Kalender!A278="",0,J3205*(1-Eingaben!$B$20)),0)</f>
        <v>0.7390278</v>
      </c>
      <c r="H3206" s="13" t="n">
        <f aca="false">MIN(G3206,D3206)</f>
        <v>0.7390278</v>
      </c>
      <c r="I3206" s="13" t="n">
        <f aca="false">IFERROR(MIN(F3206*Eingaben!$B$19,MAX(0,D3206-H3206)),0)</f>
        <v>1.75959</v>
      </c>
      <c r="J3206" s="13" t="n">
        <f aca="false">IFERROR(MIN(Eingaben!$B$18,MAX(0,F3206-I3206)),0)</f>
        <v>0.75411</v>
      </c>
      <c r="K3206" s="13" t="n">
        <f aca="false">H3206+I3206</f>
        <v>2.4986178</v>
      </c>
      <c r="L3206" s="13" t="n">
        <f aca="false">MAX(0,D3206-K3206)</f>
        <v>3.4293822</v>
      </c>
      <c r="M3206" s="13" t="n">
        <f aca="false">MAX(0,F3206-I3206-J3206)</f>
        <v>0</v>
      </c>
      <c r="N3206" s="13" t="n">
        <f aca="false">IF(Kalender!A278="",0,J3205-H3206)</f>
        <v>0.0150822</v>
      </c>
    </row>
    <row r="3207" customFormat="false" ht="16.4" hidden="false" customHeight="false" outlineLevel="0" collapsed="false">
      <c r="A3207" s="13" t="str">
        <f aca="false">""</f>
        <v/>
      </c>
      <c r="B3207" s="13" t="n">
        <f aca="false">275</f>
        <v>275</v>
      </c>
      <c r="C3207" s="13" t="n">
        <f aca="false">IF(Szenarien!$H$19="OK",(IFERROR(SUMIF(Nutzungsprofile!$B$6:$B$11,"Schulbetrieb",Nutzungsprofile!$G$6:$G$11)*Kalender!C279/SUM(Kalender!$C$5:$C$370),0)+IFERROR(SUMIF(Nutzungsprofile!$B$6:$B$11,"Halle",Nutzungsprofile!$G$6:$G$11)*Kalender!D279/SUM(Kalender!$D$5:$D$370),0)+IFERROR(SUMIF(Nutzungsprofile!$B$6:$B$11,"Individuell",Nutzungsprofile!$G$6:$G$11)*Kalender!E279/SUM(Kalender!$E$5:$E$370),0))*Szenarien!$E$19,0)</f>
        <v>2.94</v>
      </c>
      <c r="D3207" s="13" t="n">
        <f aca="false">IF(Szenarien!$H$19="OK",(IFERROR(SUMIF(Nutzungsprofile!$B$17:$B$22,"Schulbetrieb",Nutzungsprofile!$G$17:$G$22)*Kalender!C279/SUM(Kalender!$C$5:$C$370),0)+IFERROR(SUMIF(Nutzungsprofile!$B$17:$B$22,"Halle",Nutzungsprofile!$G$17:$G$22)*Kalender!D279/SUM(Kalender!$D$5:$D$370),0)+IFERROR(SUMIF(Nutzungsprofile!$B$17:$B$22,"Individuell",Nutzungsprofile!$G$17:$G$22)*Kalender!E279/SUM(Kalender!$E$5:$E$370),0))*Szenarien!$D$19,0)</f>
        <v>5.928</v>
      </c>
      <c r="E3207" s="13" t="n">
        <f aca="false">IFERROR(MIN(C3207,Eingaben!$B$17)*Eingaben!$B$16,0)</f>
        <v>2.793</v>
      </c>
      <c r="F3207" s="13" t="n">
        <f aca="false">IFERROR(E3207*Eingaben!$B$15,0)</f>
        <v>2.5137</v>
      </c>
      <c r="G3207" s="13" t="n">
        <f aca="false">IFERROR(IF(Kalender!A279="",0,J3206*(1-Eingaben!$B$20)),0)</f>
        <v>0.7390278</v>
      </c>
      <c r="H3207" s="13" t="n">
        <f aca="false">MIN(G3207,D3207)</f>
        <v>0.7390278</v>
      </c>
      <c r="I3207" s="13" t="n">
        <f aca="false">IFERROR(MIN(F3207*Eingaben!$B$19,MAX(0,D3207-H3207)),0)</f>
        <v>1.75959</v>
      </c>
      <c r="J3207" s="13" t="n">
        <f aca="false">IFERROR(MIN(Eingaben!$B$18,MAX(0,F3207-I3207)),0)</f>
        <v>0.75411</v>
      </c>
      <c r="K3207" s="13" t="n">
        <f aca="false">H3207+I3207</f>
        <v>2.4986178</v>
      </c>
      <c r="L3207" s="13" t="n">
        <f aca="false">MAX(0,D3207-K3207)</f>
        <v>3.4293822</v>
      </c>
      <c r="M3207" s="13" t="n">
        <f aca="false">MAX(0,F3207-I3207-J3207)</f>
        <v>0</v>
      </c>
      <c r="N3207" s="13" t="n">
        <f aca="false">IF(Kalender!A279="",0,J3206-H3207)</f>
        <v>0.0150822</v>
      </c>
    </row>
    <row r="3208" customFormat="false" ht="16.4" hidden="false" customHeight="false" outlineLevel="0" collapsed="false">
      <c r="A3208" s="13" t="str">
        <f aca="false">""</f>
        <v/>
      </c>
      <c r="B3208" s="13" t="n">
        <f aca="false">276</f>
        <v>276</v>
      </c>
      <c r="C3208" s="13" t="n">
        <f aca="false">IF(Szenarien!$H$19="OK",(IFERROR(SUMIF(Nutzungsprofile!$B$6:$B$11,"Schulbetrieb",Nutzungsprofile!$G$6:$G$11)*Kalender!C280/SUM(Kalender!$C$5:$C$370),0)+IFERROR(SUMIF(Nutzungsprofile!$B$6:$B$11,"Halle",Nutzungsprofile!$G$6:$G$11)*Kalender!D280/SUM(Kalender!$D$5:$D$370),0)+IFERROR(SUMIF(Nutzungsprofile!$B$6:$B$11,"Individuell",Nutzungsprofile!$G$6:$G$11)*Kalender!E280/SUM(Kalender!$E$5:$E$370),0))*Szenarien!$E$19,0)</f>
        <v>2.04</v>
      </c>
      <c r="D3208" s="13" t="n">
        <f aca="false">IF(Szenarien!$H$19="OK",(IFERROR(SUMIF(Nutzungsprofile!$B$17:$B$22,"Schulbetrieb",Nutzungsprofile!$G$17:$G$22)*Kalender!C280/SUM(Kalender!$C$5:$C$370),0)+IFERROR(SUMIF(Nutzungsprofile!$B$17:$B$22,"Halle",Nutzungsprofile!$G$17:$G$22)*Kalender!D280/SUM(Kalender!$D$5:$D$370),0)+IFERROR(SUMIF(Nutzungsprofile!$B$17:$B$22,"Individuell",Nutzungsprofile!$G$17:$G$22)*Kalender!E280/SUM(Kalender!$E$5:$E$370),0))*Szenarien!$D$19,0)</f>
        <v>1.068</v>
      </c>
      <c r="E3208" s="13" t="n">
        <f aca="false">IFERROR(MIN(C3208,Eingaben!$B$17)*Eingaben!$B$16,0)</f>
        <v>1.938</v>
      </c>
      <c r="F3208" s="13" t="n">
        <f aca="false">IFERROR(E3208*Eingaben!$B$15,0)</f>
        <v>1.7442</v>
      </c>
      <c r="G3208" s="13" t="n">
        <f aca="false">IFERROR(IF(Kalender!A280="",0,J3207*(1-Eingaben!$B$20)),0)</f>
        <v>0.7390278</v>
      </c>
      <c r="H3208" s="13" t="n">
        <f aca="false">MIN(G3208,D3208)</f>
        <v>0.7390278</v>
      </c>
      <c r="I3208" s="13" t="n">
        <f aca="false">IFERROR(MIN(F3208*Eingaben!$B$19,MAX(0,D3208-H3208)),0)</f>
        <v>0.3289722</v>
      </c>
      <c r="J3208" s="13" t="n">
        <f aca="false">IFERROR(MIN(Eingaben!$B$18,MAX(0,F3208-I3208)),0)</f>
        <v>1.4152278</v>
      </c>
      <c r="K3208" s="13" t="n">
        <f aca="false">H3208+I3208</f>
        <v>1.068</v>
      </c>
      <c r="L3208" s="13" t="n">
        <f aca="false">MAX(0,D3208-K3208)</f>
        <v>0</v>
      </c>
      <c r="M3208" s="13" t="n">
        <f aca="false">MAX(0,F3208-I3208-J3208)</f>
        <v>0</v>
      </c>
      <c r="N3208" s="13" t="n">
        <f aca="false">IF(Kalender!A280="",0,J3207-H3208)</f>
        <v>0.0150822</v>
      </c>
    </row>
    <row r="3209" customFormat="false" ht="16.4" hidden="false" customHeight="false" outlineLevel="0" collapsed="false">
      <c r="A3209" s="13" t="str">
        <f aca="false">""</f>
        <v/>
      </c>
      <c r="B3209" s="13" t="n">
        <f aca="false">277</f>
        <v>277</v>
      </c>
      <c r="C3209" s="13" t="n">
        <f aca="false">IF(Szenarien!$H$19="OK",(IFERROR(SUMIF(Nutzungsprofile!$B$6:$B$11,"Schulbetrieb",Nutzungsprofile!$G$6:$G$11)*Kalender!C281/SUM(Kalender!$C$5:$C$370),0)+IFERROR(SUMIF(Nutzungsprofile!$B$6:$B$11,"Halle",Nutzungsprofile!$G$6:$G$11)*Kalender!D281/SUM(Kalender!$D$5:$D$370),0)+IFERROR(SUMIF(Nutzungsprofile!$B$6:$B$11,"Individuell",Nutzungsprofile!$G$6:$G$11)*Kalender!E281/SUM(Kalender!$E$5:$E$370),0))*Szenarien!$E$19,0)</f>
        <v>2.04</v>
      </c>
      <c r="D3209" s="13" t="n">
        <f aca="false">IF(Szenarien!$H$19="OK",(IFERROR(SUMIF(Nutzungsprofile!$B$17:$B$22,"Schulbetrieb",Nutzungsprofile!$G$17:$G$22)*Kalender!C281/SUM(Kalender!$C$5:$C$370),0)+IFERROR(SUMIF(Nutzungsprofile!$B$17:$B$22,"Halle",Nutzungsprofile!$G$17:$G$22)*Kalender!D281/SUM(Kalender!$D$5:$D$370),0)+IFERROR(SUMIF(Nutzungsprofile!$B$17:$B$22,"Individuell",Nutzungsprofile!$G$17:$G$22)*Kalender!E281/SUM(Kalender!$E$5:$E$370),0))*Szenarien!$D$19,0)</f>
        <v>1.068</v>
      </c>
      <c r="E3209" s="13" t="n">
        <f aca="false">IFERROR(MIN(C3209,Eingaben!$B$17)*Eingaben!$B$16,0)</f>
        <v>1.938</v>
      </c>
      <c r="F3209" s="13" t="n">
        <f aca="false">IFERROR(E3209*Eingaben!$B$15,0)</f>
        <v>1.7442</v>
      </c>
      <c r="G3209" s="13" t="n">
        <f aca="false">IFERROR(IF(Kalender!A281="",0,J3208*(1-Eingaben!$B$20)),0)</f>
        <v>1.386923244</v>
      </c>
      <c r="H3209" s="13" t="n">
        <f aca="false">MIN(G3209,D3209)</f>
        <v>1.068</v>
      </c>
      <c r="I3209" s="13" t="n">
        <f aca="false">IFERROR(MIN(F3209*Eingaben!$B$19,MAX(0,D3209-H3209)),0)</f>
        <v>0</v>
      </c>
      <c r="J3209" s="13" t="n">
        <f aca="false">IFERROR(MIN(Eingaben!$B$18,MAX(0,F3209-I3209)),0)</f>
        <v>1.7442</v>
      </c>
      <c r="K3209" s="13" t="n">
        <f aca="false">H3209+I3209</f>
        <v>1.068</v>
      </c>
      <c r="L3209" s="13" t="n">
        <f aca="false">MAX(0,D3209-K3209)</f>
        <v>0</v>
      </c>
      <c r="M3209" s="13" t="n">
        <f aca="false">MAX(0,F3209-I3209-J3209)</f>
        <v>0</v>
      </c>
      <c r="N3209" s="13" t="n">
        <f aca="false">IF(Kalender!A281="",0,J3208-H3209)</f>
        <v>0.3472278</v>
      </c>
    </row>
    <row r="3210" customFormat="false" ht="16.4" hidden="false" customHeight="false" outlineLevel="0" collapsed="false">
      <c r="A3210" s="13" t="str">
        <f aca="false">""</f>
        <v/>
      </c>
      <c r="B3210" s="13" t="n">
        <f aca="false">278</f>
        <v>278</v>
      </c>
      <c r="C3210" s="13" t="n">
        <f aca="false">IF(Szenarien!$H$19="OK",(IFERROR(SUMIF(Nutzungsprofile!$B$6:$B$11,"Schulbetrieb",Nutzungsprofile!$G$6:$G$11)*Kalender!C282/SUM(Kalender!$C$5:$C$370),0)+IFERROR(SUMIF(Nutzungsprofile!$B$6:$B$11,"Halle",Nutzungsprofile!$G$6:$G$11)*Kalender!D282/SUM(Kalender!$D$5:$D$370),0)+IFERROR(SUMIF(Nutzungsprofile!$B$6:$B$11,"Individuell",Nutzungsprofile!$G$6:$G$11)*Kalender!E282/SUM(Kalender!$E$5:$E$370),0))*Szenarien!$E$19,0)</f>
        <v>2.94</v>
      </c>
      <c r="D3210" s="13" t="n">
        <f aca="false">IF(Szenarien!$H$19="OK",(IFERROR(SUMIF(Nutzungsprofile!$B$17:$B$22,"Schulbetrieb",Nutzungsprofile!$G$17:$G$22)*Kalender!C282/SUM(Kalender!$C$5:$C$370),0)+IFERROR(SUMIF(Nutzungsprofile!$B$17:$B$22,"Halle",Nutzungsprofile!$G$17:$G$22)*Kalender!D282/SUM(Kalender!$D$5:$D$370),0)+IFERROR(SUMIF(Nutzungsprofile!$B$17:$B$22,"Individuell",Nutzungsprofile!$G$17:$G$22)*Kalender!E282/SUM(Kalender!$E$5:$E$370),0))*Szenarien!$D$19,0)</f>
        <v>5.928</v>
      </c>
      <c r="E3210" s="13" t="n">
        <f aca="false">IFERROR(MIN(C3210,Eingaben!$B$17)*Eingaben!$B$16,0)</f>
        <v>2.793</v>
      </c>
      <c r="F3210" s="13" t="n">
        <f aca="false">IFERROR(E3210*Eingaben!$B$15,0)</f>
        <v>2.5137</v>
      </c>
      <c r="G3210" s="13" t="n">
        <f aca="false">IFERROR(IF(Kalender!A282="",0,J3209*(1-Eingaben!$B$20)),0)</f>
        <v>1.709316</v>
      </c>
      <c r="H3210" s="13" t="n">
        <f aca="false">MIN(G3210,D3210)</f>
        <v>1.709316</v>
      </c>
      <c r="I3210" s="13" t="n">
        <f aca="false">IFERROR(MIN(F3210*Eingaben!$B$19,MAX(0,D3210-H3210)),0)</f>
        <v>1.75959</v>
      </c>
      <c r="J3210" s="13" t="n">
        <f aca="false">IFERROR(MIN(Eingaben!$B$18,MAX(0,F3210-I3210)),0)</f>
        <v>0.75411</v>
      </c>
      <c r="K3210" s="13" t="n">
        <f aca="false">H3210+I3210</f>
        <v>3.468906</v>
      </c>
      <c r="L3210" s="13" t="n">
        <f aca="false">MAX(0,D3210-K3210)</f>
        <v>2.459094</v>
      </c>
      <c r="M3210" s="13" t="n">
        <f aca="false">MAX(0,F3210-I3210-J3210)</f>
        <v>0</v>
      </c>
      <c r="N3210" s="13" t="n">
        <f aca="false">IF(Kalender!A282="",0,J3209-H3210)</f>
        <v>0.0348840000000001</v>
      </c>
    </row>
    <row r="3211" customFormat="false" ht="16.4" hidden="false" customHeight="false" outlineLevel="0" collapsed="false">
      <c r="A3211" s="13" t="str">
        <f aca="false">""</f>
        <v/>
      </c>
      <c r="B3211" s="13" t="n">
        <f aca="false">279</f>
        <v>279</v>
      </c>
      <c r="C3211" s="13" t="n">
        <f aca="false">IF(Szenarien!$H$19="OK",(IFERROR(SUMIF(Nutzungsprofile!$B$6:$B$11,"Schulbetrieb",Nutzungsprofile!$G$6:$G$11)*Kalender!C283/SUM(Kalender!$C$5:$C$370),0)+IFERROR(SUMIF(Nutzungsprofile!$B$6:$B$11,"Halle",Nutzungsprofile!$G$6:$G$11)*Kalender!D283/SUM(Kalender!$D$5:$D$370),0)+IFERROR(SUMIF(Nutzungsprofile!$B$6:$B$11,"Individuell",Nutzungsprofile!$G$6:$G$11)*Kalender!E283/SUM(Kalender!$E$5:$E$370),0))*Szenarien!$E$19,0)</f>
        <v>2.94</v>
      </c>
      <c r="D3211" s="13" t="n">
        <f aca="false">IF(Szenarien!$H$19="OK",(IFERROR(SUMIF(Nutzungsprofile!$B$17:$B$22,"Schulbetrieb",Nutzungsprofile!$G$17:$G$22)*Kalender!C283/SUM(Kalender!$C$5:$C$370),0)+IFERROR(SUMIF(Nutzungsprofile!$B$17:$B$22,"Halle",Nutzungsprofile!$G$17:$G$22)*Kalender!D283/SUM(Kalender!$D$5:$D$370),0)+IFERROR(SUMIF(Nutzungsprofile!$B$17:$B$22,"Individuell",Nutzungsprofile!$G$17:$G$22)*Kalender!E283/SUM(Kalender!$E$5:$E$370),0))*Szenarien!$D$19,0)</f>
        <v>5.928</v>
      </c>
      <c r="E3211" s="13" t="n">
        <f aca="false">IFERROR(MIN(C3211,Eingaben!$B$17)*Eingaben!$B$16,0)</f>
        <v>2.793</v>
      </c>
      <c r="F3211" s="13" t="n">
        <f aca="false">IFERROR(E3211*Eingaben!$B$15,0)</f>
        <v>2.5137</v>
      </c>
      <c r="G3211" s="13" t="n">
        <f aca="false">IFERROR(IF(Kalender!A283="",0,J3210*(1-Eingaben!$B$20)),0)</f>
        <v>0.7390278</v>
      </c>
      <c r="H3211" s="13" t="n">
        <f aca="false">MIN(G3211,D3211)</f>
        <v>0.7390278</v>
      </c>
      <c r="I3211" s="13" t="n">
        <f aca="false">IFERROR(MIN(F3211*Eingaben!$B$19,MAX(0,D3211-H3211)),0)</f>
        <v>1.75959</v>
      </c>
      <c r="J3211" s="13" t="n">
        <f aca="false">IFERROR(MIN(Eingaben!$B$18,MAX(0,F3211-I3211)),0)</f>
        <v>0.75411</v>
      </c>
      <c r="K3211" s="13" t="n">
        <f aca="false">H3211+I3211</f>
        <v>2.4986178</v>
      </c>
      <c r="L3211" s="13" t="n">
        <f aca="false">MAX(0,D3211-K3211)</f>
        <v>3.4293822</v>
      </c>
      <c r="M3211" s="13" t="n">
        <f aca="false">MAX(0,F3211-I3211-J3211)</f>
        <v>0</v>
      </c>
      <c r="N3211" s="13" t="n">
        <f aca="false">IF(Kalender!A283="",0,J3210-H3211)</f>
        <v>0.0150822</v>
      </c>
    </row>
    <row r="3212" customFormat="false" ht="16.4" hidden="false" customHeight="false" outlineLevel="0" collapsed="false">
      <c r="A3212" s="13" t="str">
        <f aca="false">""</f>
        <v/>
      </c>
      <c r="B3212" s="13" t="n">
        <f aca="false">280</f>
        <v>280</v>
      </c>
      <c r="C3212" s="13" t="n">
        <f aca="false">IF(Szenarien!$H$19="OK",(IFERROR(SUMIF(Nutzungsprofile!$B$6:$B$11,"Schulbetrieb",Nutzungsprofile!$G$6:$G$11)*Kalender!C284/SUM(Kalender!$C$5:$C$370),0)+IFERROR(SUMIF(Nutzungsprofile!$B$6:$B$11,"Halle",Nutzungsprofile!$G$6:$G$11)*Kalender!D284/SUM(Kalender!$D$5:$D$370),0)+IFERROR(SUMIF(Nutzungsprofile!$B$6:$B$11,"Individuell",Nutzungsprofile!$G$6:$G$11)*Kalender!E284/SUM(Kalender!$E$5:$E$370),0))*Szenarien!$E$19,0)</f>
        <v>2.94</v>
      </c>
      <c r="D3212" s="13" t="n">
        <f aca="false">IF(Szenarien!$H$19="OK",(IFERROR(SUMIF(Nutzungsprofile!$B$17:$B$22,"Schulbetrieb",Nutzungsprofile!$G$17:$G$22)*Kalender!C284/SUM(Kalender!$C$5:$C$370),0)+IFERROR(SUMIF(Nutzungsprofile!$B$17:$B$22,"Halle",Nutzungsprofile!$G$17:$G$22)*Kalender!D284/SUM(Kalender!$D$5:$D$370),0)+IFERROR(SUMIF(Nutzungsprofile!$B$17:$B$22,"Individuell",Nutzungsprofile!$G$17:$G$22)*Kalender!E284/SUM(Kalender!$E$5:$E$370),0))*Szenarien!$D$19,0)</f>
        <v>5.928</v>
      </c>
      <c r="E3212" s="13" t="n">
        <f aca="false">IFERROR(MIN(C3212,Eingaben!$B$17)*Eingaben!$B$16,0)</f>
        <v>2.793</v>
      </c>
      <c r="F3212" s="13" t="n">
        <f aca="false">IFERROR(E3212*Eingaben!$B$15,0)</f>
        <v>2.5137</v>
      </c>
      <c r="G3212" s="13" t="n">
        <f aca="false">IFERROR(IF(Kalender!A284="",0,J3211*(1-Eingaben!$B$20)),0)</f>
        <v>0.7390278</v>
      </c>
      <c r="H3212" s="13" t="n">
        <f aca="false">MIN(G3212,D3212)</f>
        <v>0.7390278</v>
      </c>
      <c r="I3212" s="13" t="n">
        <f aca="false">IFERROR(MIN(F3212*Eingaben!$B$19,MAX(0,D3212-H3212)),0)</f>
        <v>1.75959</v>
      </c>
      <c r="J3212" s="13" t="n">
        <f aca="false">IFERROR(MIN(Eingaben!$B$18,MAX(0,F3212-I3212)),0)</f>
        <v>0.75411</v>
      </c>
      <c r="K3212" s="13" t="n">
        <f aca="false">H3212+I3212</f>
        <v>2.4986178</v>
      </c>
      <c r="L3212" s="13" t="n">
        <f aca="false">MAX(0,D3212-K3212)</f>
        <v>3.4293822</v>
      </c>
      <c r="M3212" s="13" t="n">
        <f aca="false">MAX(0,F3212-I3212-J3212)</f>
        <v>0</v>
      </c>
      <c r="N3212" s="13" t="n">
        <f aca="false">IF(Kalender!A284="",0,J3211-H3212)</f>
        <v>0.0150822</v>
      </c>
    </row>
    <row r="3213" customFormat="false" ht="16.4" hidden="false" customHeight="false" outlineLevel="0" collapsed="false">
      <c r="A3213" s="13" t="str">
        <f aca="false">""</f>
        <v/>
      </c>
      <c r="B3213" s="13" t="n">
        <f aca="false">281</f>
        <v>281</v>
      </c>
      <c r="C3213" s="13" t="n">
        <f aca="false">IF(Szenarien!$H$19="OK",(IFERROR(SUMIF(Nutzungsprofile!$B$6:$B$11,"Schulbetrieb",Nutzungsprofile!$G$6:$G$11)*Kalender!C285/SUM(Kalender!$C$5:$C$370),0)+IFERROR(SUMIF(Nutzungsprofile!$B$6:$B$11,"Halle",Nutzungsprofile!$G$6:$G$11)*Kalender!D285/SUM(Kalender!$D$5:$D$370),0)+IFERROR(SUMIF(Nutzungsprofile!$B$6:$B$11,"Individuell",Nutzungsprofile!$G$6:$G$11)*Kalender!E285/SUM(Kalender!$E$5:$E$370),0))*Szenarien!$E$19,0)</f>
        <v>0.9</v>
      </c>
      <c r="D3213" s="13" t="n">
        <f aca="false">IF(Szenarien!$H$19="OK",(IFERROR(SUMIF(Nutzungsprofile!$B$17:$B$22,"Schulbetrieb",Nutzungsprofile!$G$17:$G$22)*Kalender!C285/SUM(Kalender!$C$5:$C$370),0)+IFERROR(SUMIF(Nutzungsprofile!$B$17:$B$22,"Halle",Nutzungsprofile!$G$17:$G$22)*Kalender!D285/SUM(Kalender!$D$5:$D$370),0)+IFERROR(SUMIF(Nutzungsprofile!$B$17:$B$22,"Individuell",Nutzungsprofile!$G$17:$G$22)*Kalender!E285/SUM(Kalender!$E$5:$E$370),0))*Szenarien!$D$19,0)</f>
        <v>4.86</v>
      </c>
      <c r="E3213" s="13" t="n">
        <f aca="false">IFERROR(MIN(C3213,Eingaben!$B$17)*Eingaben!$B$16,0)</f>
        <v>0.855</v>
      </c>
      <c r="F3213" s="13" t="n">
        <f aca="false">IFERROR(E3213*Eingaben!$B$15,0)</f>
        <v>0.7695</v>
      </c>
      <c r="G3213" s="13" t="n">
        <f aca="false">IFERROR(IF(Kalender!A285="",0,J3212*(1-Eingaben!$B$20)),0)</f>
        <v>0.7390278</v>
      </c>
      <c r="H3213" s="13" t="n">
        <f aca="false">MIN(G3213,D3213)</f>
        <v>0.7390278</v>
      </c>
      <c r="I3213" s="13" t="n">
        <f aca="false">IFERROR(MIN(F3213*Eingaben!$B$19,MAX(0,D3213-H3213)),0)</f>
        <v>0.53865</v>
      </c>
      <c r="J3213" s="13" t="n">
        <f aca="false">IFERROR(MIN(Eingaben!$B$18,MAX(0,F3213-I3213)),0)</f>
        <v>0.23085</v>
      </c>
      <c r="K3213" s="13" t="n">
        <f aca="false">H3213+I3213</f>
        <v>1.2776778</v>
      </c>
      <c r="L3213" s="13" t="n">
        <f aca="false">MAX(0,D3213-K3213)</f>
        <v>3.5823222</v>
      </c>
      <c r="M3213" s="13" t="n">
        <f aca="false">MAX(0,F3213-I3213-J3213)</f>
        <v>0</v>
      </c>
      <c r="N3213" s="13" t="n">
        <f aca="false">IF(Kalender!A285="",0,J3212-H3213)</f>
        <v>0.0150822</v>
      </c>
    </row>
    <row r="3214" customFormat="false" ht="16.4" hidden="false" customHeight="false" outlineLevel="0" collapsed="false">
      <c r="A3214" s="13" t="str">
        <f aca="false">""</f>
        <v/>
      </c>
      <c r="B3214" s="13" t="n">
        <f aca="false">282</f>
        <v>282</v>
      </c>
      <c r="C3214" s="13" t="n">
        <f aca="false">IF(Szenarien!$H$19="OK",(IFERROR(SUMIF(Nutzungsprofile!$B$6:$B$11,"Schulbetrieb",Nutzungsprofile!$G$6:$G$11)*Kalender!C286/SUM(Kalender!$C$5:$C$370),0)+IFERROR(SUMIF(Nutzungsprofile!$B$6:$B$11,"Halle",Nutzungsprofile!$G$6:$G$11)*Kalender!D286/SUM(Kalender!$D$5:$D$370),0)+IFERROR(SUMIF(Nutzungsprofile!$B$6:$B$11,"Individuell",Nutzungsprofile!$G$6:$G$11)*Kalender!E286/SUM(Kalender!$E$5:$E$370),0))*Szenarien!$E$19,0)</f>
        <v>0.9</v>
      </c>
      <c r="D3214" s="13" t="n">
        <f aca="false">IF(Szenarien!$H$19="OK",(IFERROR(SUMIF(Nutzungsprofile!$B$17:$B$22,"Schulbetrieb",Nutzungsprofile!$G$17:$G$22)*Kalender!C286/SUM(Kalender!$C$5:$C$370),0)+IFERROR(SUMIF(Nutzungsprofile!$B$17:$B$22,"Halle",Nutzungsprofile!$G$17:$G$22)*Kalender!D286/SUM(Kalender!$D$5:$D$370),0)+IFERROR(SUMIF(Nutzungsprofile!$B$17:$B$22,"Individuell",Nutzungsprofile!$G$17:$G$22)*Kalender!E286/SUM(Kalender!$E$5:$E$370),0))*Szenarien!$D$19,0)</f>
        <v>4.86</v>
      </c>
      <c r="E3214" s="13" t="n">
        <f aca="false">IFERROR(MIN(C3214,Eingaben!$B$17)*Eingaben!$B$16,0)</f>
        <v>0.855</v>
      </c>
      <c r="F3214" s="13" t="n">
        <f aca="false">IFERROR(E3214*Eingaben!$B$15,0)</f>
        <v>0.7695</v>
      </c>
      <c r="G3214" s="13" t="n">
        <f aca="false">IFERROR(IF(Kalender!A286="",0,J3213*(1-Eingaben!$B$20)),0)</f>
        <v>0.226233</v>
      </c>
      <c r="H3214" s="13" t="n">
        <f aca="false">MIN(G3214,D3214)</f>
        <v>0.226233</v>
      </c>
      <c r="I3214" s="13" t="n">
        <f aca="false">IFERROR(MIN(F3214*Eingaben!$B$19,MAX(0,D3214-H3214)),0)</f>
        <v>0.53865</v>
      </c>
      <c r="J3214" s="13" t="n">
        <f aca="false">IFERROR(MIN(Eingaben!$B$18,MAX(0,F3214-I3214)),0)</f>
        <v>0.23085</v>
      </c>
      <c r="K3214" s="13" t="n">
        <f aca="false">H3214+I3214</f>
        <v>0.764883</v>
      </c>
      <c r="L3214" s="13" t="n">
        <f aca="false">MAX(0,D3214-K3214)</f>
        <v>4.095117</v>
      </c>
      <c r="M3214" s="13" t="n">
        <f aca="false">MAX(0,F3214-I3214-J3214)</f>
        <v>0</v>
      </c>
      <c r="N3214" s="13" t="n">
        <f aca="false">IF(Kalender!A286="",0,J3213-H3214)</f>
        <v>0.00461700000000001</v>
      </c>
    </row>
    <row r="3215" customFormat="false" ht="16.4" hidden="false" customHeight="false" outlineLevel="0" collapsed="false">
      <c r="A3215" s="13" t="str">
        <f aca="false">""</f>
        <v/>
      </c>
      <c r="B3215" s="13" t="n">
        <f aca="false">283</f>
        <v>283</v>
      </c>
      <c r="C3215" s="13" t="n">
        <f aca="false">IF(Szenarien!$H$19="OK",(IFERROR(SUMIF(Nutzungsprofile!$B$6:$B$11,"Schulbetrieb",Nutzungsprofile!$G$6:$G$11)*Kalender!C287/SUM(Kalender!$C$5:$C$370),0)+IFERROR(SUMIF(Nutzungsprofile!$B$6:$B$11,"Halle",Nutzungsprofile!$G$6:$G$11)*Kalender!D287/SUM(Kalender!$D$5:$D$370),0)+IFERROR(SUMIF(Nutzungsprofile!$B$6:$B$11,"Individuell",Nutzungsprofile!$G$6:$G$11)*Kalender!E287/SUM(Kalender!$E$5:$E$370),0))*Szenarien!$E$19,0)</f>
        <v>0</v>
      </c>
      <c r="D3215" s="13" t="n">
        <f aca="false">IF(Szenarien!$H$19="OK",(IFERROR(SUMIF(Nutzungsprofile!$B$17:$B$22,"Schulbetrieb",Nutzungsprofile!$G$17:$G$22)*Kalender!C287/SUM(Kalender!$C$5:$C$370),0)+IFERROR(SUMIF(Nutzungsprofile!$B$17:$B$22,"Halle",Nutzungsprofile!$G$17:$G$22)*Kalender!D287/SUM(Kalender!$D$5:$D$370),0)+IFERROR(SUMIF(Nutzungsprofile!$B$17:$B$22,"Individuell",Nutzungsprofile!$G$17:$G$22)*Kalender!E287/SUM(Kalender!$E$5:$E$370),0))*Szenarien!$D$19,0)</f>
        <v>0</v>
      </c>
      <c r="E3215" s="13" t="n">
        <f aca="false">IFERROR(MIN(C3215,Eingaben!$B$17)*Eingaben!$B$16,0)</f>
        <v>0</v>
      </c>
      <c r="F3215" s="13" t="n">
        <f aca="false">IFERROR(E3215*Eingaben!$B$15,0)</f>
        <v>0</v>
      </c>
      <c r="G3215" s="13" t="n">
        <f aca="false">IFERROR(IF(Kalender!A287="",0,J3214*(1-Eingaben!$B$20)),0)</f>
        <v>0.226233</v>
      </c>
      <c r="H3215" s="13" t="n">
        <f aca="false">MIN(G3215,D3215)</f>
        <v>0</v>
      </c>
      <c r="I3215" s="13" t="n">
        <f aca="false">IFERROR(MIN(F3215*Eingaben!$B$19,MAX(0,D3215-H3215)),0)</f>
        <v>0</v>
      </c>
      <c r="J3215" s="13" t="n">
        <f aca="false">IFERROR(MIN(Eingaben!$B$18,MAX(0,F3215-I3215)),0)</f>
        <v>0</v>
      </c>
      <c r="K3215" s="13" t="n">
        <f aca="false">H3215+I3215</f>
        <v>0</v>
      </c>
      <c r="L3215" s="13" t="n">
        <f aca="false">MAX(0,D3215-K3215)</f>
        <v>0</v>
      </c>
      <c r="M3215" s="13" t="n">
        <f aca="false">MAX(0,F3215-I3215-J3215)</f>
        <v>0</v>
      </c>
      <c r="N3215" s="13" t="n">
        <f aca="false">IF(Kalender!A287="",0,J3214-H3215)</f>
        <v>0.23085</v>
      </c>
    </row>
    <row r="3216" customFormat="false" ht="16.4" hidden="false" customHeight="false" outlineLevel="0" collapsed="false">
      <c r="A3216" s="13" t="str">
        <f aca="false">""</f>
        <v/>
      </c>
      <c r="B3216" s="13" t="n">
        <f aca="false">284</f>
        <v>284</v>
      </c>
      <c r="C3216" s="13" t="n">
        <f aca="false">IF(Szenarien!$H$19="OK",(IFERROR(SUMIF(Nutzungsprofile!$B$6:$B$11,"Schulbetrieb",Nutzungsprofile!$G$6:$G$11)*Kalender!C288/SUM(Kalender!$C$5:$C$370),0)+IFERROR(SUMIF(Nutzungsprofile!$B$6:$B$11,"Halle",Nutzungsprofile!$G$6:$G$11)*Kalender!D288/SUM(Kalender!$D$5:$D$370),0)+IFERROR(SUMIF(Nutzungsprofile!$B$6:$B$11,"Individuell",Nutzungsprofile!$G$6:$G$11)*Kalender!E288/SUM(Kalender!$E$5:$E$370),0))*Szenarien!$E$19,0)</f>
        <v>0</v>
      </c>
      <c r="D3216" s="13" t="n">
        <f aca="false">IF(Szenarien!$H$19="OK",(IFERROR(SUMIF(Nutzungsprofile!$B$17:$B$22,"Schulbetrieb",Nutzungsprofile!$G$17:$G$22)*Kalender!C288/SUM(Kalender!$C$5:$C$370),0)+IFERROR(SUMIF(Nutzungsprofile!$B$17:$B$22,"Halle",Nutzungsprofile!$G$17:$G$22)*Kalender!D288/SUM(Kalender!$D$5:$D$370),0)+IFERROR(SUMIF(Nutzungsprofile!$B$17:$B$22,"Individuell",Nutzungsprofile!$G$17:$G$22)*Kalender!E288/SUM(Kalender!$E$5:$E$370),0))*Szenarien!$D$19,0)</f>
        <v>0</v>
      </c>
      <c r="E3216" s="13" t="n">
        <f aca="false">IFERROR(MIN(C3216,Eingaben!$B$17)*Eingaben!$B$16,0)</f>
        <v>0</v>
      </c>
      <c r="F3216" s="13" t="n">
        <f aca="false">IFERROR(E3216*Eingaben!$B$15,0)</f>
        <v>0</v>
      </c>
      <c r="G3216" s="13" t="n">
        <f aca="false">IFERROR(IF(Kalender!A288="",0,J3215*(1-Eingaben!$B$20)),0)</f>
        <v>0</v>
      </c>
      <c r="H3216" s="13" t="n">
        <f aca="false">MIN(G3216,D3216)</f>
        <v>0</v>
      </c>
      <c r="I3216" s="13" t="n">
        <f aca="false">IFERROR(MIN(F3216*Eingaben!$B$19,MAX(0,D3216-H3216)),0)</f>
        <v>0</v>
      </c>
      <c r="J3216" s="13" t="n">
        <f aca="false">IFERROR(MIN(Eingaben!$B$18,MAX(0,F3216-I3216)),0)</f>
        <v>0</v>
      </c>
      <c r="K3216" s="13" t="n">
        <f aca="false">H3216+I3216</f>
        <v>0</v>
      </c>
      <c r="L3216" s="13" t="n">
        <f aca="false">MAX(0,D3216-K3216)</f>
        <v>0</v>
      </c>
      <c r="M3216" s="13" t="n">
        <f aca="false">MAX(0,F3216-I3216-J3216)</f>
        <v>0</v>
      </c>
      <c r="N3216" s="13" t="n">
        <f aca="false">IF(Kalender!A288="",0,J3215-H3216)</f>
        <v>0</v>
      </c>
    </row>
    <row r="3217" customFormat="false" ht="16.4" hidden="false" customHeight="false" outlineLevel="0" collapsed="false">
      <c r="A3217" s="13" t="str">
        <f aca="false">""</f>
        <v/>
      </c>
      <c r="B3217" s="13" t="n">
        <f aca="false">285</f>
        <v>285</v>
      </c>
      <c r="C3217" s="13" t="n">
        <f aca="false">IF(Szenarien!$H$19="OK",(IFERROR(SUMIF(Nutzungsprofile!$B$6:$B$11,"Schulbetrieb",Nutzungsprofile!$G$6:$G$11)*Kalender!C289/SUM(Kalender!$C$5:$C$370),0)+IFERROR(SUMIF(Nutzungsprofile!$B$6:$B$11,"Halle",Nutzungsprofile!$G$6:$G$11)*Kalender!D289/SUM(Kalender!$D$5:$D$370),0)+IFERROR(SUMIF(Nutzungsprofile!$B$6:$B$11,"Individuell",Nutzungsprofile!$G$6:$G$11)*Kalender!E289/SUM(Kalender!$E$5:$E$370),0))*Szenarien!$E$19,0)</f>
        <v>0.9</v>
      </c>
      <c r="D3217" s="13" t="n">
        <f aca="false">IF(Szenarien!$H$19="OK",(IFERROR(SUMIF(Nutzungsprofile!$B$17:$B$22,"Schulbetrieb",Nutzungsprofile!$G$17:$G$22)*Kalender!C289/SUM(Kalender!$C$5:$C$370),0)+IFERROR(SUMIF(Nutzungsprofile!$B$17:$B$22,"Halle",Nutzungsprofile!$G$17:$G$22)*Kalender!D289/SUM(Kalender!$D$5:$D$370),0)+IFERROR(SUMIF(Nutzungsprofile!$B$17:$B$22,"Individuell",Nutzungsprofile!$G$17:$G$22)*Kalender!E289/SUM(Kalender!$E$5:$E$370),0))*Szenarien!$D$19,0)</f>
        <v>4.86</v>
      </c>
      <c r="E3217" s="13" t="n">
        <f aca="false">IFERROR(MIN(C3217,Eingaben!$B$17)*Eingaben!$B$16,0)</f>
        <v>0.855</v>
      </c>
      <c r="F3217" s="13" t="n">
        <f aca="false">IFERROR(E3217*Eingaben!$B$15,0)</f>
        <v>0.7695</v>
      </c>
      <c r="G3217" s="13" t="n">
        <f aca="false">IFERROR(IF(Kalender!A289="",0,J3216*(1-Eingaben!$B$20)),0)</f>
        <v>0</v>
      </c>
      <c r="H3217" s="13" t="n">
        <f aca="false">MIN(G3217,D3217)</f>
        <v>0</v>
      </c>
      <c r="I3217" s="13" t="n">
        <f aca="false">IFERROR(MIN(F3217*Eingaben!$B$19,MAX(0,D3217-H3217)),0)</f>
        <v>0.53865</v>
      </c>
      <c r="J3217" s="13" t="n">
        <f aca="false">IFERROR(MIN(Eingaben!$B$18,MAX(0,F3217-I3217)),0)</f>
        <v>0.23085</v>
      </c>
      <c r="K3217" s="13" t="n">
        <f aca="false">H3217+I3217</f>
        <v>0.53865</v>
      </c>
      <c r="L3217" s="13" t="n">
        <f aca="false">MAX(0,D3217-K3217)</f>
        <v>4.32135</v>
      </c>
      <c r="M3217" s="13" t="n">
        <f aca="false">MAX(0,F3217-I3217-J3217)</f>
        <v>0</v>
      </c>
      <c r="N3217" s="13" t="n">
        <f aca="false">IF(Kalender!A289="",0,J3216-H3217)</f>
        <v>0</v>
      </c>
    </row>
    <row r="3218" customFormat="false" ht="16.4" hidden="false" customHeight="false" outlineLevel="0" collapsed="false">
      <c r="A3218" s="13" t="str">
        <f aca="false">""</f>
        <v/>
      </c>
      <c r="B3218" s="13" t="n">
        <f aca="false">286</f>
        <v>286</v>
      </c>
      <c r="C3218" s="13" t="n">
        <f aca="false">IF(Szenarien!$H$19="OK",(IFERROR(SUMIF(Nutzungsprofile!$B$6:$B$11,"Schulbetrieb",Nutzungsprofile!$G$6:$G$11)*Kalender!C290/SUM(Kalender!$C$5:$C$370),0)+IFERROR(SUMIF(Nutzungsprofile!$B$6:$B$11,"Halle",Nutzungsprofile!$G$6:$G$11)*Kalender!D290/SUM(Kalender!$D$5:$D$370),0)+IFERROR(SUMIF(Nutzungsprofile!$B$6:$B$11,"Individuell",Nutzungsprofile!$G$6:$G$11)*Kalender!E290/SUM(Kalender!$E$5:$E$370),0))*Szenarien!$E$19,0)</f>
        <v>0.9</v>
      </c>
      <c r="D3218" s="13" t="n">
        <f aca="false">IF(Szenarien!$H$19="OK",(IFERROR(SUMIF(Nutzungsprofile!$B$17:$B$22,"Schulbetrieb",Nutzungsprofile!$G$17:$G$22)*Kalender!C290/SUM(Kalender!$C$5:$C$370),0)+IFERROR(SUMIF(Nutzungsprofile!$B$17:$B$22,"Halle",Nutzungsprofile!$G$17:$G$22)*Kalender!D290/SUM(Kalender!$D$5:$D$370),0)+IFERROR(SUMIF(Nutzungsprofile!$B$17:$B$22,"Individuell",Nutzungsprofile!$G$17:$G$22)*Kalender!E290/SUM(Kalender!$E$5:$E$370),0))*Szenarien!$D$19,0)</f>
        <v>4.86</v>
      </c>
      <c r="E3218" s="13" t="n">
        <f aca="false">IFERROR(MIN(C3218,Eingaben!$B$17)*Eingaben!$B$16,0)</f>
        <v>0.855</v>
      </c>
      <c r="F3218" s="13" t="n">
        <f aca="false">IFERROR(E3218*Eingaben!$B$15,0)</f>
        <v>0.7695</v>
      </c>
      <c r="G3218" s="13" t="n">
        <f aca="false">IFERROR(IF(Kalender!A290="",0,J3217*(1-Eingaben!$B$20)),0)</f>
        <v>0.226233</v>
      </c>
      <c r="H3218" s="13" t="n">
        <f aca="false">MIN(G3218,D3218)</f>
        <v>0.226233</v>
      </c>
      <c r="I3218" s="13" t="n">
        <f aca="false">IFERROR(MIN(F3218*Eingaben!$B$19,MAX(0,D3218-H3218)),0)</f>
        <v>0.53865</v>
      </c>
      <c r="J3218" s="13" t="n">
        <f aca="false">IFERROR(MIN(Eingaben!$B$18,MAX(0,F3218-I3218)),0)</f>
        <v>0.23085</v>
      </c>
      <c r="K3218" s="13" t="n">
        <f aca="false">H3218+I3218</f>
        <v>0.764883</v>
      </c>
      <c r="L3218" s="13" t="n">
        <f aca="false">MAX(0,D3218-K3218)</f>
        <v>4.095117</v>
      </c>
      <c r="M3218" s="13" t="n">
        <f aca="false">MAX(0,F3218-I3218-J3218)</f>
        <v>0</v>
      </c>
      <c r="N3218" s="13" t="n">
        <f aca="false">IF(Kalender!A290="",0,J3217-H3218)</f>
        <v>0.00461700000000001</v>
      </c>
    </row>
    <row r="3219" customFormat="false" ht="16.4" hidden="false" customHeight="false" outlineLevel="0" collapsed="false">
      <c r="A3219" s="13" t="str">
        <f aca="false">""</f>
        <v/>
      </c>
      <c r="B3219" s="13" t="n">
        <f aca="false">287</f>
        <v>287</v>
      </c>
      <c r="C3219" s="13" t="n">
        <f aca="false">IF(Szenarien!$H$19="OK",(IFERROR(SUMIF(Nutzungsprofile!$B$6:$B$11,"Schulbetrieb",Nutzungsprofile!$G$6:$G$11)*Kalender!C291/SUM(Kalender!$C$5:$C$370),0)+IFERROR(SUMIF(Nutzungsprofile!$B$6:$B$11,"Halle",Nutzungsprofile!$G$6:$G$11)*Kalender!D291/SUM(Kalender!$D$5:$D$370),0)+IFERROR(SUMIF(Nutzungsprofile!$B$6:$B$11,"Individuell",Nutzungsprofile!$G$6:$G$11)*Kalender!E291/SUM(Kalender!$E$5:$E$370),0))*Szenarien!$E$19,0)</f>
        <v>0.9</v>
      </c>
      <c r="D3219" s="13" t="n">
        <f aca="false">IF(Szenarien!$H$19="OK",(IFERROR(SUMIF(Nutzungsprofile!$B$17:$B$22,"Schulbetrieb",Nutzungsprofile!$G$17:$G$22)*Kalender!C291/SUM(Kalender!$C$5:$C$370),0)+IFERROR(SUMIF(Nutzungsprofile!$B$17:$B$22,"Halle",Nutzungsprofile!$G$17:$G$22)*Kalender!D291/SUM(Kalender!$D$5:$D$370),0)+IFERROR(SUMIF(Nutzungsprofile!$B$17:$B$22,"Individuell",Nutzungsprofile!$G$17:$G$22)*Kalender!E291/SUM(Kalender!$E$5:$E$370),0))*Szenarien!$D$19,0)</f>
        <v>4.86</v>
      </c>
      <c r="E3219" s="13" t="n">
        <f aca="false">IFERROR(MIN(C3219,Eingaben!$B$17)*Eingaben!$B$16,0)</f>
        <v>0.855</v>
      </c>
      <c r="F3219" s="13" t="n">
        <f aca="false">IFERROR(E3219*Eingaben!$B$15,0)</f>
        <v>0.7695</v>
      </c>
      <c r="G3219" s="13" t="n">
        <f aca="false">IFERROR(IF(Kalender!A291="",0,J3218*(1-Eingaben!$B$20)),0)</f>
        <v>0.226233</v>
      </c>
      <c r="H3219" s="13" t="n">
        <f aca="false">MIN(G3219,D3219)</f>
        <v>0.226233</v>
      </c>
      <c r="I3219" s="13" t="n">
        <f aca="false">IFERROR(MIN(F3219*Eingaben!$B$19,MAX(0,D3219-H3219)),0)</f>
        <v>0.53865</v>
      </c>
      <c r="J3219" s="13" t="n">
        <f aca="false">IFERROR(MIN(Eingaben!$B$18,MAX(0,F3219-I3219)),0)</f>
        <v>0.23085</v>
      </c>
      <c r="K3219" s="13" t="n">
        <f aca="false">H3219+I3219</f>
        <v>0.764883</v>
      </c>
      <c r="L3219" s="13" t="n">
        <f aca="false">MAX(0,D3219-K3219)</f>
        <v>4.095117</v>
      </c>
      <c r="M3219" s="13" t="n">
        <f aca="false">MAX(0,F3219-I3219-J3219)</f>
        <v>0</v>
      </c>
      <c r="N3219" s="13" t="n">
        <f aca="false">IF(Kalender!A291="",0,J3218-H3219)</f>
        <v>0.00461700000000001</v>
      </c>
    </row>
    <row r="3220" customFormat="false" ht="16.4" hidden="false" customHeight="false" outlineLevel="0" collapsed="false">
      <c r="A3220" s="13" t="str">
        <f aca="false">""</f>
        <v/>
      </c>
      <c r="B3220" s="13" t="n">
        <f aca="false">288</f>
        <v>288</v>
      </c>
      <c r="C3220" s="13" t="n">
        <f aca="false">IF(Szenarien!$H$19="OK",(IFERROR(SUMIF(Nutzungsprofile!$B$6:$B$11,"Schulbetrieb",Nutzungsprofile!$G$6:$G$11)*Kalender!C292/SUM(Kalender!$C$5:$C$370),0)+IFERROR(SUMIF(Nutzungsprofile!$B$6:$B$11,"Halle",Nutzungsprofile!$G$6:$G$11)*Kalender!D292/SUM(Kalender!$D$5:$D$370),0)+IFERROR(SUMIF(Nutzungsprofile!$B$6:$B$11,"Individuell",Nutzungsprofile!$G$6:$G$11)*Kalender!E292/SUM(Kalender!$E$5:$E$370),0))*Szenarien!$E$19,0)</f>
        <v>0.9</v>
      </c>
      <c r="D3220" s="13" t="n">
        <f aca="false">IF(Szenarien!$H$19="OK",(IFERROR(SUMIF(Nutzungsprofile!$B$17:$B$22,"Schulbetrieb",Nutzungsprofile!$G$17:$G$22)*Kalender!C292/SUM(Kalender!$C$5:$C$370),0)+IFERROR(SUMIF(Nutzungsprofile!$B$17:$B$22,"Halle",Nutzungsprofile!$G$17:$G$22)*Kalender!D292/SUM(Kalender!$D$5:$D$370),0)+IFERROR(SUMIF(Nutzungsprofile!$B$17:$B$22,"Individuell",Nutzungsprofile!$G$17:$G$22)*Kalender!E292/SUM(Kalender!$E$5:$E$370),0))*Szenarien!$D$19,0)</f>
        <v>4.86</v>
      </c>
      <c r="E3220" s="13" t="n">
        <f aca="false">IFERROR(MIN(C3220,Eingaben!$B$17)*Eingaben!$B$16,0)</f>
        <v>0.855</v>
      </c>
      <c r="F3220" s="13" t="n">
        <f aca="false">IFERROR(E3220*Eingaben!$B$15,0)</f>
        <v>0.7695</v>
      </c>
      <c r="G3220" s="13" t="n">
        <f aca="false">IFERROR(IF(Kalender!A292="",0,J3219*(1-Eingaben!$B$20)),0)</f>
        <v>0.226233</v>
      </c>
      <c r="H3220" s="13" t="n">
        <f aca="false">MIN(G3220,D3220)</f>
        <v>0.226233</v>
      </c>
      <c r="I3220" s="13" t="n">
        <f aca="false">IFERROR(MIN(F3220*Eingaben!$B$19,MAX(0,D3220-H3220)),0)</f>
        <v>0.53865</v>
      </c>
      <c r="J3220" s="13" t="n">
        <f aca="false">IFERROR(MIN(Eingaben!$B$18,MAX(0,F3220-I3220)),0)</f>
        <v>0.23085</v>
      </c>
      <c r="K3220" s="13" t="n">
        <f aca="false">H3220+I3220</f>
        <v>0.764883</v>
      </c>
      <c r="L3220" s="13" t="n">
        <f aca="false">MAX(0,D3220-K3220)</f>
        <v>4.095117</v>
      </c>
      <c r="M3220" s="13" t="n">
        <f aca="false">MAX(0,F3220-I3220-J3220)</f>
        <v>0</v>
      </c>
      <c r="N3220" s="13" t="n">
        <f aca="false">IF(Kalender!A292="",0,J3219-H3220)</f>
        <v>0.00461700000000001</v>
      </c>
    </row>
    <row r="3221" customFormat="false" ht="16.4" hidden="false" customHeight="false" outlineLevel="0" collapsed="false">
      <c r="A3221" s="13" t="str">
        <f aca="false">""</f>
        <v/>
      </c>
      <c r="B3221" s="13" t="n">
        <f aca="false">289</f>
        <v>289</v>
      </c>
      <c r="C3221" s="13" t="n">
        <f aca="false">IF(Szenarien!$H$19="OK",(IFERROR(SUMIF(Nutzungsprofile!$B$6:$B$11,"Schulbetrieb",Nutzungsprofile!$G$6:$G$11)*Kalender!C293/SUM(Kalender!$C$5:$C$370),0)+IFERROR(SUMIF(Nutzungsprofile!$B$6:$B$11,"Halle",Nutzungsprofile!$G$6:$G$11)*Kalender!D293/SUM(Kalender!$D$5:$D$370),0)+IFERROR(SUMIF(Nutzungsprofile!$B$6:$B$11,"Individuell",Nutzungsprofile!$G$6:$G$11)*Kalender!E293/SUM(Kalender!$E$5:$E$370),0))*Szenarien!$E$19,0)</f>
        <v>0.9</v>
      </c>
      <c r="D3221" s="13" t="n">
        <f aca="false">IF(Szenarien!$H$19="OK",(IFERROR(SUMIF(Nutzungsprofile!$B$17:$B$22,"Schulbetrieb",Nutzungsprofile!$G$17:$G$22)*Kalender!C293/SUM(Kalender!$C$5:$C$370),0)+IFERROR(SUMIF(Nutzungsprofile!$B$17:$B$22,"Halle",Nutzungsprofile!$G$17:$G$22)*Kalender!D293/SUM(Kalender!$D$5:$D$370),0)+IFERROR(SUMIF(Nutzungsprofile!$B$17:$B$22,"Individuell",Nutzungsprofile!$G$17:$G$22)*Kalender!E293/SUM(Kalender!$E$5:$E$370),0))*Szenarien!$D$19,0)</f>
        <v>4.86</v>
      </c>
      <c r="E3221" s="13" t="n">
        <f aca="false">IFERROR(MIN(C3221,Eingaben!$B$17)*Eingaben!$B$16,0)</f>
        <v>0.855</v>
      </c>
      <c r="F3221" s="13" t="n">
        <f aca="false">IFERROR(E3221*Eingaben!$B$15,0)</f>
        <v>0.7695</v>
      </c>
      <c r="G3221" s="13" t="n">
        <f aca="false">IFERROR(IF(Kalender!A293="",0,J3220*(1-Eingaben!$B$20)),0)</f>
        <v>0.226233</v>
      </c>
      <c r="H3221" s="13" t="n">
        <f aca="false">MIN(G3221,D3221)</f>
        <v>0.226233</v>
      </c>
      <c r="I3221" s="13" t="n">
        <f aca="false">IFERROR(MIN(F3221*Eingaben!$B$19,MAX(0,D3221-H3221)),0)</f>
        <v>0.53865</v>
      </c>
      <c r="J3221" s="13" t="n">
        <f aca="false">IFERROR(MIN(Eingaben!$B$18,MAX(0,F3221-I3221)),0)</f>
        <v>0.23085</v>
      </c>
      <c r="K3221" s="13" t="n">
        <f aca="false">H3221+I3221</f>
        <v>0.764883</v>
      </c>
      <c r="L3221" s="13" t="n">
        <f aca="false">MAX(0,D3221-K3221)</f>
        <v>4.095117</v>
      </c>
      <c r="M3221" s="13" t="n">
        <f aca="false">MAX(0,F3221-I3221-J3221)</f>
        <v>0</v>
      </c>
      <c r="N3221" s="13" t="n">
        <f aca="false">IF(Kalender!A293="",0,J3220-H3221)</f>
        <v>0.00461700000000001</v>
      </c>
    </row>
    <row r="3222" customFormat="false" ht="16.4" hidden="false" customHeight="false" outlineLevel="0" collapsed="false">
      <c r="A3222" s="13" t="str">
        <f aca="false">""</f>
        <v/>
      </c>
      <c r="B3222" s="13" t="n">
        <f aca="false">290</f>
        <v>290</v>
      </c>
      <c r="C3222" s="13" t="n">
        <f aca="false">IF(Szenarien!$H$19="OK",(IFERROR(SUMIF(Nutzungsprofile!$B$6:$B$11,"Schulbetrieb",Nutzungsprofile!$G$6:$G$11)*Kalender!C294/SUM(Kalender!$C$5:$C$370),0)+IFERROR(SUMIF(Nutzungsprofile!$B$6:$B$11,"Halle",Nutzungsprofile!$G$6:$G$11)*Kalender!D294/SUM(Kalender!$D$5:$D$370),0)+IFERROR(SUMIF(Nutzungsprofile!$B$6:$B$11,"Individuell",Nutzungsprofile!$G$6:$G$11)*Kalender!E294/SUM(Kalender!$E$5:$E$370),0))*Szenarien!$E$19,0)</f>
        <v>0</v>
      </c>
      <c r="D3222" s="13" t="n">
        <f aca="false">IF(Szenarien!$H$19="OK",(IFERROR(SUMIF(Nutzungsprofile!$B$17:$B$22,"Schulbetrieb",Nutzungsprofile!$G$17:$G$22)*Kalender!C294/SUM(Kalender!$C$5:$C$370),0)+IFERROR(SUMIF(Nutzungsprofile!$B$17:$B$22,"Halle",Nutzungsprofile!$G$17:$G$22)*Kalender!D294/SUM(Kalender!$D$5:$D$370),0)+IFERROR(SUMIF(Nutzungsprofile!$B$17:$B$22,"Individuell",Nutzungsprofile!$G$17:$G$22)*Kalender!E294/SUM(Kalender!$E$5:$E$370),0))*Szenarien!$D$19,0)</f>
        <v>0</v>
      </c>
      <c r="E3222" s="13" t="n">
        <f aca="false">IFERROR(MIN(C3222,Eingaben!$B$17)*Eingaben!$B$16,0)</f>
        <v>0</v>
      </c>
      <c r="F3222" s="13" t="n">
        <f aca="false">IFERROR(E3222*Eingaben!$B$15,0)</f>
        <v>0</v>
      </c>
      <c r="G3222" s="13" t="n">
        <f aca="false">IFERROR(IF(Kalender!A294="",0,J3221*(1-Eingaben!$B$20)),0)</f>
        <v>0.226233</v>
      </c>
      <c r="H3222" s="13" t="n">
        <f aca="false">MIN(G3222,D3222)</f>
        <v>0</v>
      </c>
      <c r="I3222" s="13" t="n">
        <f aca="false">IFERROR(MIN(F3222*Eingaben!$B$19,MAX(0,D3222-H3222)),0)</f>
        <v>0</v>
      </c>
      <c r="J3222" s="13" t="n">
        <f aca="false">IFERROR(MIN(Eingaben!$B$18,MAX(0,F3222-I3222)),0)</f>
        <v>0</v>
      </c>
      <c r="K3222" s="13" t="n">
        <f aca="false">H3222+I3222</f>
        <v>0</v>
      </c>
      <c r="L3222" s="13" t="n">
        <f aca="false">MAX(0,D3222-K3222)</f>
        <v>0</v>
      </c>
      <c r="M3222" s="13" t="n">
        <f aca="false">MAX(0,F3222-I3222-J3222)</f>
        <v>0</v>
      </c>
      <c r="N3222" s="13" t="n">
        <f aca="false">IF(Kalender!A294="",0,J3221-H3222)</f>
        <v>0.23085</v>
      </c>
    </row>
    <row r="3223" customFormat="false" ht="16.4" hidden="false" customHeight="false" outlineLevel="0" collapsed="false">
      <c r="A3223" s="13" t="str">
        <f aca="false">""</f>
        <v/>
      </c>
      <c r="B3223" s="13" t="n">
        <f aca="false">291</f>
        <v>291</v>
      </c>
      <c r="C3223" s="13" t="n">
        <f aca="false">IF(Szenarien!$H$19="OK",(IFERROR(SUMIF(Nutzungsprofile!$B$6:$B$11,"Schulbetrieb",Nutzungsprofile!$G$6:$G$11)*Kalender!C295/SUM(Kalender!$C$5:$C$370),0)+IFERROR(SUMIF(Nutzungsprofile!$B$6:$B$11,"Halle",Nutzungsprofile!$G$6:$G$11)*Kalender!D295/SUM(Kalender!$D$5:$D$370),0)+IFERROR(SUMIF(Nutzungsprofile!$B$6:$B$11,"Individuell",Nutzungsprofile!$G$6:$G$11)*Kalender!E295/SUM(Kalender!$E$5:$E$370),0))*Szenarien!$E$19,0)</f>
        <v>0</v>
      </c>
      <c r="D3223" s="13" t="n">
        <f aca="false">IF(Szenarien!$H$19="OK",(IFERROR(SUMIF(Nutzungsprofile!$B$17:$B$22,"Schulbetrieb",Nutzungsprofile!$G$17:$G$22)*Kalender!C295/SUM(Kalender!$C$5:$C$370),0)+IFERROR(SUMIF(Nutzungsprofile!$B$17:$B$22,"Halle",Nutzungsprofile!$G$17:$G$22)*Kalender!D295/SUM(Kalender!$D$5:$D$370),0)+IFERROR(SUMIF(Nutzungsprofile!$B$17:$B$22,"Individuell",Nutzungsprofile!$G$17:$G$22)*Kalender!E295/SUM(Kalender!$E$5:$E$370),0))*Szenarien!$D$19,0)</f>
        <v>0</v>
      </c>
      <c r="E3223" s="13" t="n">
        <f aca="false">IFERROR(MIN(C3223,Eingaben!$B$17)*Eingaben!$B$16,0)</f>
        <v>0</v>
      </c>
      <c r="F3223" s="13" t="n">
        <f aca="false">IFERROR(E3223*Eingaben!$B$15,0)</f>
        <v>0</v>
      </c>
      <c r="G3223" s="13" t="n">
        <f aca="false">IFERROR(IF(Kalender!A295="",0,J3222*(1-Eingaben!$B$20)),0)</f>
        <v>0</v>
      </c>
      <c r="H3223" s="13" t="n">
        <f aca="false">MIN(G3223,D3223)</f>
        <v>0</v>
      </c>
      <c r="I3223" s="13" t="n">
        <f aca="false">IFERROR(MIN(F3223*Eingaben!$B$19,MAX(0,D3223-H3223)),0)</f>
        <v>0</v>
      </c>
      <c r="J3223" s="13" t="n">
        <f aca="false">IFERROR(MIN(Eingaben!$B$18,MAX(0,F3223-I3223)),0)</f>
        <v>0</v>
      </c>
      <c r="K3223" s="13" t="n">
        <f aca="false">H3223+I3223</f>
        <v>0</v>
      </c>
      <c r="L3223" s="13" t="n">
        <f aca="false">MAX(0,D3223-K3223)</f>
        <v>0</v>
      </c>
      <c r="M3223" s="13" t="n">
        <f aca="false">MAX(0,F3223-I3223-J3223)</f>
        <v>0</v>
      </c>
      <c r="N3223" s="13" t="n">
        <f aca="false">IF(Kalender!A295="",0,J3222-H3223)</f>
        <v>0</v>
      </c>
    </row>
    <row r="3224" customFormat="false" ht="16.4" hidden="false" customHeight="false" outlineLevel="0" collapsed="false">
      <c r="A3224" s="13" t="str">
        <f aca="false">""</f>
        <v/>
      </c>
      <c r="B3224" s="13" t="n">
        <f aca="false">292</f>
        <v>292</v>
      </c>
      <c r="C3224" s="13" t="n">
        <f aca="false">IF(Szenarien!$H$19="OK",(IFERROR(SUMIF(Nutzungsprofile!$B$6:$B$11,"Schulbetrieb",Nutzungsprofile!$G$6:$G$11)*Kalender!C296/SUM(Kalender!$C$5:$C$370),0)+IFERROR(SUMIF(Nutzungsprofile!$B$6:$B$11,"Halle",Nutzungsprofile!$G$6:$G$11)*Kalender!D296/SUM(Kalender!$D$5:$D$370),0)+IFERROR(SUMIF(Nutzungsprofile!$B$6:$B$11,"Individuell",Nutzungsprofile!$G$6:$G$11)*Kalender!E296/SUM(Kalender!$E$5:$E$370),0))*Szenarien!$E$19,0)</f>
        <v>0.9</v>
      </c>
      <c r="D3224" s="13" t="n">
        <f aca="false">IF(Szenarien!$H$19="OK",(IFERROR(SUMIF(Nutzungsprofile!$B$17:$B$22,"Schulbetrieb",Nutzungsprofile!$G$17:$G$22)*Kalender!C296/SUM(Kalender!$C$5:$C$370),0)+IFERROR(SUMIF(Nutzungsprofile!$B$17:$B$22,"Halle",Nutzungsprofile!$G$17:$G$22)*Kalender!D296/SUM(Kalender!$D$5:$D$370),0)+IFERROR(SUMIF(Nutzungsprofile!$B$17:$B$22,"Individuell",Nutzungsprofile!$G$17:$G$22)*Kalender!E296/SUM(Kalender!$E$5:$E$370),0))*Szenarien!$D$19,0)</f>
        <v>4.86</v>
      </c>
      <c r="E3224" s="13" t="n">
        <f aca="false">IFERROR(MIN(C3224,Eingaben!$B$17)*Eingaben!$B$16,0)</f>
        <v>0.855</v>
      </c>
      <c r="F3224" s="13" t="n">
        <f aca="false">IFERROR(E3224*Eingaben!$B$15,0)</f>
        <v>0.7695</v>
      </c>
      <c r="G3224" s="13" t="n">
        <f aca="false">IFERROR(IF(Kalender!A296="",0,J3223*(1-Eingaben!$B$20)),0)</f>
        <v>0</v>
      </c>
      <c r="H3224" s="13" t="n">
        <f aca="false">MIN(G3224,D3224)</f>
        <v>0</v>
      </c>
      <c r="I3224" s="13" t="n">
        <f aca="false">IFERROR(MIN(F3224*Eingaben!$B$19,MAX(0,D3224-H3224)),0)</f>
        <v>0.53865</v>
      </c>
      <c r="J3224" s="13" t="n">
        <f aca="false">IFERROR(MIN(Eingaben!$B$18,MAX(0,F3224-I3224)),0)</f>
        <v>0.23085</v>
      </c>
      <c r="K3224" s="13" t="n">
        <f aca="false">H3224+I3224</f>
        <v>0.53865</v>
      </c>
      <c r="L3224" s="13" t="n">
        <f aca="false">MAX(0,D3224-K3224)</f>
        <v>4.32135</v>
      </c>
      <c r="M3224" s="13" t="n">
        <f aca="false">MAX(0,F3224-I3224-J3224)</f>
        <v>0</v>
      </c>
      <c r="N3224" s="13" t="n">
        <f aca="false">IF(Kalender!A296="",0,J3223-H3224)</f>
        <v>0</v>
      </c>
    </row>
    <row r="3225" customFormat="false" ht="16.4" hidden="false" customHeight="false" outlineLevel="0" collapsed="false">
      <c r="A3225" s="13" t="str">
        <f aca="false">""</f>
        <v/>
      </c>
      <c r="B3225" s="13" t="n">
        <f aca="false">293</f>
        <v>293</v>
      </c>
      <c r="C3225" s="13" t="n">
        <f aca="false">IF(Szenarien!$H$19="OK",(IFERROR(SUMIF(Nutzungsprofile!$B$6:$B$11,"Schulbetrieb",Nutzungsprofile!$G$6:$G$11)*Kalender!C297/SUM(Kalender!$C$5:$C$370),0)+IFERROR(SUMIF(Nutzungsprofile!$B$6:$B$11,"Halle",Nutzungsprofile!$G$6:$G$11)*Kalender!D297/SUM(Kalender!$D$5:$D$370),0)+IFERROR(SUMIF(Nutzungsprofile!$B$6:$B$11,"Individuell",Nutzungsprofile!$G$6:$G$11)*Kalender!E297/SUM(Kalender!$E$5:$E$370),0))*Szenarien!$E$19,0)</f>
        <v>0.9</v>
      </c>
      <c r="D3225" s="13" t="n">
        <f aca="false">IF(Szenarien!$H$19="OK",(IFERROR(SUMIF(Nutzungsprofile!$B$17:$B$22,"Schulbetrieb",Nutzungsprofile!$G$17:$G$22)*Kalender!C297/SUM(Kalender!$C$5:$C$370),0)+IFERROR(SUMIF(Nutzungsprofile!$B$17:$B$22,"Halle",Nutzungsprofile!$G$17:$G$22)*Kalender!D297/SUM(Kalender!$D$5:$D$370),0)+IFERROR(SUMIF(Nutzungsprofile!$B$17:$B$22,"Individuell",Nutzungsprofile!$G$17:$G$22)*Kalender!E297/SUM(Kalender!$E$5:$E$370),0))*Szenarien!$D$19,0)</f>
        <v>4.86</v>
      </c>
      <c r="E3225" s="13" t="n">
        <f aca="false">IFERROR(MIN(C3225,Eingaben!$B$17)*Eingaben!$B$16,0)</f>
        <v>0.855</v>
      </c>
      <c r="F3225" s="13" t="n">
        <f aca="false">IFERROR(E3225*Eingaben!$B$15,0)</f>
        <v>0.7695</v>
      </c>
      <c r="G3225" s="13" t="n">
        <f aca="false">IFERROR(IF(Kalender!A297="",0,J3224*(1-Eingaben!$B$20)),0)</f>
        <v>0.226233</v>
      </c>
      <c r="H3225" s="13" t="n">
        <f aca="false">MIN(G3225,D3225)</f>
        <v>0.226233</v>
      </c>
      <c r="I3225" s="13" t="n">
        <f aca="false">IFERROR(MIN(F3225*Eingaben!$B$19,MAX(0,D3225-H3225)),0)</f>
        <v>0.53865</v>
      </c>
      <c r="J3225" s="13" t="n">
        <f aca="false">IFERROR(MIN(Eingaben!$B$18,MAX(0,F3225-I3225)),0)</f>
        <v>0.23085</v>
      </c>
      <c r="K3225" s="13" t="n">
        <f aca="false">H3225+I3225</f>
        <v>0.764883</v>
      </c>
      <c r="L3225" s="13" t="n">
        <f aca="false">MAX(0,D3225-K3225)</f>
        <v>4.095117</v>
      </c>
      <c r="M3225" s="13" t="n">
        <f aca="false">MAX(0,F3225-I3225-J3225)</f>
        <v>0</v>
      </c>
      <c r="N3225" s="13" t="n">
        <f aca="false">IF(Kalender!A297="",0,J3224-H3225)</f>
        <v>0.00461700000000001</v>
      </c>
    </row>
    <row r="3226" customFormat="false" ht="16.4" hidden="false" customHeight="false" outlineLevel="0" collapsed="false">
      <c r="A3226" s="13" t="str">
        <f aca="false">""</f>
        <v/>
      </c>
      <c r="B3226" s="13" t="n">
        <f aca="false">294</f>
        <v>294</v>
      </c>
      <c r="C3226" s="13" t="n">
        <f aca="false">IF(Szenarien!$H$19="OK",(IFERROR(SUMIF(Nutzungsprofile!$B$6:$B$11,"Schulbetrieb",Nutzungsprofile!$G$6:$G$11)*Kalender!C298/SUM(Kalender!$C$5:$C$370),0)+IFERROR(SUMIF(Nutzungsprofile!$B$6:$B$11,"Halle",Nutzungsprofile!$G$6:$G$11)*Kalender!D298/SUM(Kalender!$D$5:$D$370),0)+IFERROR(SUMIF(Nutzungsprofile!$B$6:$B$11,"Individuell",Nutzungsprofile!$G$6:$G$11)*Kalender!E298/SUM(Kalender!$E$5:$E$370),0))*Szenarien!$E$19,0)</f>
        <v>0.9</v>
      </c>
      <c r="D3226" s="13" t="n">
        <f aca="false">IF(Szenarien!$H$19="OK",(IFERROR(SUMIF(Nutzungsprofile!$B$17:$B$22,"Schulbetrieb",Nutzungsprofile!$G$17:$G$22)*Kalender!C298/SUM(Kalender!$C$5:$C$370),0)+IFERROR(SUMIF(Nutzungsprofile!$B$17:$B$22,"Halle",Nutzungsprofile!$G$17:$G$22)*Kalender!D298/SUM(Kalender!$D$5:$D$370),0)+IFERROR(SUMIF(Nutzungsprofile!$B$17:$B$22,"Individuell",Nutzungsprofile!$G$17:$G$22)*Kalender!E298/SUM(Kalender!$E$5:$E$370),0))*Szenarien!$D$19,0)</f>
        <v>4.86</v>
      </c>
      <c r="E3226" s="13" t="n">
        <f aca="false">IFERROR(MIN(C3226,Eingaben!$B$17)*Eingaben!$B$16,0)</f>
        <v>0.855</v>
      </c>
      <c r="F3226" s="13" t="n">
        <f aca="false">IFERROR(E3226*Eingaben!$B$15,0)</f>
        <v>0.7695</v>
      </c>
      <c r="G3226" s="13" t="n">
        <f aca="false">IFERROR(IF(Kalender!A298="",0,J3225*(1-Eingaben!$B$20)),0)</f>
        <v>0.226233</v>
      </c>
      <c r="H3226" s="13" t="n">
        <f aca="false">MIN(G3226,D3226)</f>
        <v>0.226233</v>
      </c>
      <c r="I3226" s="13" t="n">
        <f aca="false">IFERROR(MIN(F3226*Eingaben!$B$19,MAX(0,D3226-H3226)),0)</f>
        <v>0.53865</v>
      </c>
      <c r="J3226" s="13" t="n">
        <f aca="false">IFERROR(MIN(Eingaben!$B$18,MAX(0,F3226-I3226)),0)</f>
        <v>0.23085</v>
      </c>
      <c r="K3226" s="13" t="n">
        <f aca="false">H3226+I3226</f>
        <v>0.764883</v>
      </c>
      <c r="L3226" s="13" t="n">
        <f aca="false">MAX(0,D3226-K3226)</f>
        <v>4.095117</v>
      </c>
      <c r="M3226" s="13" t="n">
        <f aca="false">MAX(0,F3226-I3226-J3226)</f>
        <v>0</v>
      </c>
      <c r="N3226" s="13" t="n">
        <f aca="false">IF(Kalender!A298="",0,J3225-H3226)</f>
        <v>0.00461700000000001</v>
      </c>
    </row>
    <row r="3227" customFormat="false" ht="16.4" hidden="false" customHeight="false" outlineLevel="0" collapsed="false">
      <c r="A3227" s="13" t="str">
        <f aca="false">""</f>
        <v/>
      </c>
      <c r="B3227" s="13" t="n">
        <f aca="false">295</f>
        <v>295</v>
      </c>
      <c r="C3227" s="13" t="n">
        <f aca="false">IF(Szenarien!$H$19="OK",(IFERROR(SUMIF(Nutzungsprofile!$B$6:$B$11,"Schulbetrieb",Nutzungsprofile!$G$6:$G$11)*Kalender!C299/SUM(Kalender!$C$5:$C$370),0)+IFERROR(SUMIF(Nutzungsprofile!$B$6:$B$11,"Halle",Nutzungsprofile!$G$6:$G$11)*Kalender!D299/SUM(Kalender!$D$5:$D$370),0)+IFERROR(SUMIF(Nutzungsprofile!$B$6:$B$11,"Individuell",Nutzungsprofile!$G$6:$G$11)*Kalender!E299/SUM(Kalender!$E$5:$E$370),0))*Szenarien!$E$19,0)</f>
        <v>0.9</v>
      </c>
      <c r="D3227" s="13" t="n">
        <f aca="false">IF(Szenarien!$H$19="OK",(IFERROR(SUMIF(Nutzungsprofile!$B$17:$B$22,"Schulbetrieb",Nutzungsprofile!$G$17:$G$22)*Kalender!C299/SUM(Kalender!$C$5:$C$370),0)+IFERROR(SUMIF(Nutzungsprofile!$B$17:$B$22,"Halle",Nutzungsprofile!$G$17:$G$22)*Kalender!D299/SUM(Kalender!$D$5:$D$370),0)+IFERROR(SUMIF(Nutzungsprofile!$B$17:$B$22,"Individuell",Nutzungsprofile!$G$17:$G$22)*Kalender!E299/SUM(Kalender!$E$5:$E$370),0))*Szenarien!$D$19,0)</f>
        <v>4.86</v>
      </c>
      <c r="E3227" s="13" t="n">
        <f aca="false">IFERROR(MIN(C3227,Eingaben!$B$17)*Eingaben!$B$16,0)</f>
        <v>0.855</v>
      </c>
      <c r="F3227" s="13" t="n">
        <f aca="false">IFERROR(E3227*Eingaben!$B$15,0)</f>
        <v>0.7695</v>
      </c>
      <c r="G3227" s="13" t="n">
        <f aca="false">IFERROR(IF(Kalender!A299="",0,J3226*(1-Eingaben!$B$20)),0)</f>
        <v>0.226233</v>
      </c>
      <c r="H3227" s="13" t="n">
        <f aca="false">MIN(G3227,D3227)</f>
        <v>0.226233</v>
      </c>
      <c r="I3227" s="13" t="n">
        <f aca="false">IFERROR(MIN(F3227*Eingaben!$B$19,MAX(0,D3227-H3227)),0)</f>
        <v>0.53865</v>
      </c>
      <c r="J3227" s="13" t="n">
        <f aca="false">IFERROR(MIN(Eingaben!$B$18,MAX(0,F3227-I3227)),0)</f>
        <v>0.23085</v>
      </c>
      <c r="K3227" s="13" t="n">
        <f aca="false">H3227+I3227</f>
        <v>0.764883</v>
      </c>
      <c r="L3227" s="13" t="n">
        <f aca="false">MAX(0,D3227-K3227)</f>
        <v>4.095117</v>
      </c>
      <c r="M3227" s="13" t="n">
        <f aca="false">MAX(0,F3227-I3227-J3227)</f>
        <v>0</v>
      </c>
      <c r="N3227" s="13" t="n">
        <f aca="false">IF(Kalender!A299="",0,J3226-H3227)</f>
        <v>0.00461700000000001</v>
      </c>
    </row>
    <row r="3228" customFormat="false" ht="16.4" hidden="false" customHeight="false" outlineLevel="0" collapsed="false">
      <c r="A3228" s="13" t="str">
        <f aca="false">""</f>
        <v/>
      </c>
      <c r="B3228" s="13" t="n">
        <f aca="false">296</f>
        <v>296</v>
      </c>
      <c r="C3228" s="13" t="n">
        <f aca="false">IF(Szenarien!$H$19="OK",(IFERROR(SUMIF(Nutzungsprofile!$B$6:$B$11,"Schulbetrieb",Nutzungsprofile!$G$6:$G$11)*Kalender!C300/SUM(Kalender!$C$5:$C$370),0)+IFERROR(SUMIF(Nutzungsprofile!$B$6:$B$11,"Halle",Nutzungsprofile!$G$6:$G$11)*Kalender!D300/SUM(Kalender!$D$5:$D$370),0)+IFERROR(SUMIF(Nutzungsprofile!$B$6:$B$11,"Individuell",Nutzungsprofile!$G$6:$G$11)*Kalender!E300/SUM(Kalender!$E$5:$E$370),0))*Szenarien!$E$19,0)</f>
        <v>0.9</v>
      </c>
      <c r="D3228" s="13" t="n">
        <f aca="false">IF(Szenarien!$H$19="OK",(IFERROR(SUMIF(Nutzungsprofile!$B$17:$B$22,"Schulbetrieb",Nutzungsprofile!$G$17:$G$22)*Kalender!C300/SUM(Kalender!$C$5:$C$370),0)+IFERROR(SUMIF(Nutzungsprofile!$B$17:$B$22,"Halle",Nutzungsprofile!$G$17:$G$22)*Kalender!D300/SUM(Kalender!$D$5:$D$370),0)+IFERROR(SUMIF(Nutzungsprofile!$B$17:$B$22,"Individuell",Nutzungsprofile!$G$17:$G$22)*Kalender!E300/SUM(Kalender!$E$5:$E$370),0))*Szenarien!$D$19,0)</f>
        <v>4.86</v>
      </c>
      <c r="E3228" s="13" t="n">
        <f aca="false">IFERROR(MIN(C3228,Eingaben!$B$17)*Eingaben!$B$16,0)</f>
        <v>0.855</v>
      </c>
      <c r="F3228" s="13" t="n">
        <f aca="false">IFERROR(E3228*Eingaben!$B$15,0)</f>
        <v>0.7695</v>
      </c>
      <c r="G3228" s="13" t="n">
        <f aca="false">IFERROR(IF(Kalender!A300="",0,J3227*(1-Eingaben!$B$20)),0)</f>
        <v>0.226233</v>
      </c>
      <c r="H3228" s="13" t="n">
        <f aca="false">MIN(G3228,D3228)</f>
        <v>0.226233</v>
      </c>
      <c r="I3228" s="13" t="n">
        <f aca="false">IFERROR(MIN(F3228*Eingaben!$B$19,MAX(0,D3228-H3228)),0)</f>
        <v>0.53865</v>
      </c>
      <c r="J3228" s="13" t="n">
        <f aca="false">IFERROR(MIN(Eingaben!$B$18,MAX(0,F3228-I3228)),0)</f>
        <v>0.23085</v>
      </c>
      <c r="K3228" s="13" t="n">
        <f aca="false">H3228+I3228</f>
        <v>0.764883</v>
      </c>
      <c r="L3228" s="13" t="n">
        <f aca="false">MAX(0,D3228-K3228)</f>
        <v>4.095117</v>
      </c>
      <c r="M3228" s="13" t="n">
        <f aca="false">MAX(0,F3228-I3228-J3228)</f>
        <v>0</v>
      </c>
      <c r="N3228" s="13" t="n">
        <f aca="false">IF(Kalender!A300="",0,J3227-H3228)</f>
        <v>0.00461700000000001</v>
      </c>
    </row>
    <row r="3229" customFormat="false" ht="16.4" hidden="false" customHeight="false" outlineLevel="0" collapsed="false">
      <c r="A3229" s="13" t="str">
        <f aca="false">""</f>
        <v/>
      </c>
      <c r="B3229" s="13" t="n">
        <f aca="false">297</f>
        <v>297</v>
      </c>
      <c r="C3229" s="13" t="n">
        <f aca="false">IF(Szenarien!$H$19="OK",(IFERROR(SUMIF(Nutzungsprofile!$B$6:$B$11,"Schulbetrieb",Nutzungsprofile!$G$6:$G$11)*Kalender!C301/SUM(Kalender!$C$5:$C$370),0)+IFERROR(SUMIF(Nutzungsprofile!$B$6:$B$11,"Halle",Nutzungsprofile!$G$6:$G$11)*Kalender!D301/SUM(Kalender!$D$5:$D$370),0)+IFERROR(SUMIF(Nutzungsprofile!$B$6:$B$11,"Individuell",Nutzungsprofile!$G$6:$G$11)*Kalender!E301/SUM(Kalender!$E$5:$E$370),0))*Szenarien!$E$19,0)</f>
        <v>0</v>
      </c>
      <c r="D3229" s="13" t="n">
        <f aca="false">IF(Szenarien!$H$19="OK",(IFERROR(SUMIF(Nutzungsprofile!$B$17:$B$22,"Schulbetrieb",Nutzungsprofile!$G$17:$G$22)*Kalender!C301/SUM(Kalender!$C$5:$C$370),0)+IFERROR(SUMIF(Nutzungsprofile!$B$17:$B$22,"Halle",Nutzungsprofile!$G$17:$G$22)*Kalender!D301/SUM(Kalender!$D$5:$D$370),0)+IFERROR(SUMIF(Nutzungsprofile!$B$17:$B$22,"Individuell",Nutzungsprofile!$G$17:$G$22)*Kalender!E301/SUM(Kalender!$E$5:$E$370),0))*Szenarien!$D$19,0)</f>
        <v>0</v>
      </c>
      <c r="E3229" s="13" t="n">
        <f aca="false">IFERROR(MIN(C3229,Eingaben!$B$17)*Eingaben!$B$16,0)</f>
        <v>0</v>
      </c>
      <c r="F3229" s="13" t="n">
        <f aca="false">IFERROR(E3229*Eingaben!$B$15,0)</f>
        <v>0</v>
      </c>
      <c r="G3229" s="13" t="n">
        <f aca="false">IFERROR(IF(Kalender!A301="",0,J3228*(1-Eingaben!$B$20)),0)</f>
        <v>0.226233</v>
      </c>
      <c r="H3229" s="13" t="n">
        <f aca="false">MIN(G3229,D3229)</f>
        <v>0</v>
      </c>
      <c r="I3229" s="13" t="n">
        <f aca="false">IFERROR(MIN(F3229*Eingaben!$B$19,MAX(0,D3229-H3229)),0)</f>
        <v>0</v>
      </c>
      <c r="J3229" s="13" t="n">
        <f aca="false">IFERROR(MIN(Eingaben!$B$18,MAX(0,F3229-I3229)),0)</f>
        <v>0</v>
      </c>
      <c r="K3229" s="13" t="n">
        <f aca="false">H3229+I3229</f>
        <v>0</v>
      </c>
      <c r="L3229" s="13" t="n">
        <f aca="false">MAX(0,D3229-K3229)</f>
        <v>0</v>
      </c>
      <c r="M3229" s="13" t="n">
        <f aca="false">MAX(0,F3229-I3229-J3229)</f>
        <v>0</v>
      </c>
      <c r="N3229" s="13" t="n">
        <f aca="false">IF(Kalender!A301="",0,J3228-H3229)</f>
        <v>0.23085</v>
      </c>
    </row>
    <row r="3230" customFormat="false" ht="16.4" hidden="false" customHeight="false" outlineLevel="0" collapsed="false">
      <c r="A3230" s="13" t="str">
        <f aca="false">""</f>
        <v/>
      </c>
      <c r="B3230" s="13" t="n">
        <f aca="false">298</f>
        <v>298</v>
      </c>
      <c r="C3230" s="13" t="n">
        <f aca="false">IF(Szenarien!$H$19="OK",(IFERROR(SUMIF(Nutzungsprofile!$B$6:$B$11,"Schulbetrieb",Nutzungsprofile!$G$6:$G$11)*Kalender!C302/SUM(Kalender!$C$5:$C$370),0)+IFERROR(SUMIF(Nutzungsprofile!$B$6:$B$11,"Halle",Nutzungsprofile!$G$6:$G$11)*Kalender!D302/SUM(Kalender!$D$5:$D$370),0)+IFERROR(SUMIF(Nutzungsprofile!$B$6:$B$11,"Individuell",Nutzungsprofile!$G$6:$G$11)*Kalender!E302/SUM(Kalender!$E$5:$E$370),0))*Szenarien!$E$19,0)</f>
        <v>0</v>
      </c>
      <c r="D3230" s="13" t="n">
        <f aca="false">IF(Szenarien!$H$19="OK",(IFERROR(SUMIF(Nutzungsprofile!$B$17:$B$22,"Schulbetrieb",Nutzungsprofile!$G$17:$G$22)*Kalender!C302/SUM(Kalender!$C$5:$C$370),0)+IFERROR(SUMIF(Nutzungsprofile!$B$17:$B$22,"Halle",Nutzungsprofile!$G$17:$G$22)*Kalender!D302/SUM(Kalender!$D$5:$D$370),0)+IFERROR(SUMIF(Nutzungsprofile!$B$17:$B$22,"Individuell",Nutzungsprofile!$G$17:$G$22)*Kalender!E302/SUM(Kalender!$E$5:$E$370),0))*Szenarien!$D$19,0)</f>
        <v>0</v>
      </c>
      <c r="E3230" s="13" t="n">
        <f aca="false">IFERROR(MIN(C3230,Eingaben!$B$17)*Eingaben!$B$16,0)</f>
        <v>0</v>
      </c>
      <c r="F3230" s="13" t="n">
        <f aca="false">IFERROR(E3230*Eingaben!$B$15,0)</f>
        <v>0</v>
      </c>
      <c r="G3230" s="13" t="n">
        <f aca="false">IFERROR(IF(Kalender!A302="",0,J3229*(1-Eingaben!$B$20)),0)</f>
        <v>0</v>
      </c>
      <c r="H3230" s="13" t="n">
        <f aca="false">MIN(G3230,D3230)</f>
        <v>0</v>
      </c>
      <c r="I3230" s="13" t="n">
        <f aca="false">IFERROR(MIN(F3230*Eingaben!$B$19,MAX(0,D3230-H3230)),0)</f>
        <v>0</v>
      </c>
      <c r="J3230" s="13" t="n">
        <f aca="false">IFERROR(MIN(Eingaben!$B$18,MAX(0,F3230-I3230)),0)</f>
        <v>0</v>
      </c>
      <c r="K3230" s="13" t="n">
        <f aca="false">H3230+I3230</f>
        <v>0</v>
      </c>
      <c r="L3230" s="13" t="n">
        <f aca="false">MAX(0,D3230-K3230)</f>
        <v>0</v>
      </c>
      <c r="M3230" s="13" t="n">
        <f aca="false">MAX(0,F3230-I3230-J3230)</f>
        <v>0</v>
      </c>
      <c r="N3230" s="13" t="n">
        <f aca="false">IF(Kalender!A302="",0,J3229-H3230)</f>
        <v>0</v>
      </c>
    </row>
    <row r="3231" customFormat="false" ht="16.4" hidden="false" customHeight="false" outlineLevel="0" collapsed="false">
      <c r="A3231" s="13" t="str">
        <f aca="false">""</f>
        <v/>
      </c>
      <c r="B3231" s="13" t="n">
        <f aca="false">299</f>
        <v>299</v>
      </c>
      <c r="C3231" s="13" t="n">
        <f aca="false">IF(Szenarien!$H$19="OK",(IFERROR(SUMIF(Nutzungsprofile!$B$6:$B$11,"Schulbetrieb",Nutzungsprofile!$G$6:$G$11)*Kalender!C303/SUM(Kalender!$C$5:$C$370),0)+IFERROR(SUMIF(Nutzungsprofile!$B$6:$B$11,"Halle",Nutzungsprofile!$G$6:$G$11)*Kalender!D303/SUM(Kalender!$D$5:$D$370),0)+IFERROR(SUMIF(Nutzungsprofile!$B$6:$B$11,"Individuell",Nutzungsprofile!$G$6:$G$11)*Kalender!E303/SUM(Kalender!$E$5:$E$370),0))*Szenarien!$E$19,0)</f>
        <v>0.9</v>
      </c>
      <c r="D3231" s="13" t="n">
        <f aca="false">IF(Szenarien!$H$19="OK",(IFERROR(SUMIF(Nutzungsprofile!$B$17:$B$22,"Schulbetrieb",Nutzungsprofile!$G$17:$G$22)*Kalender!C303/SUM(Kalender!$C$5:$C$370),0)+IFERROR(SUMIF(Nutzungsprofile!$B$17:$B$22,"Halle",Nutzungsprofile!$G$17:$G$22)*Kalender!D303/SUM(Kalender!$D$5:$D$370),0)+IFERROR(SUMIF(Nutzungsprofile!$B$17:$B$22,"Individuell",Nutzungsprofile!$G$17:$G$22)*Kalender!E303/SUM(Kalender!$E$5:$E$370),0))*Szenarien!$D$19,0)</f>
        <v>4.86</v>
      </c>
      <c r="E3231" s="13" t="n">
        <f aca="false">IFERROR(MIN(C3231,Eingaben!$B$17)*Eingaben!$B$16,0)</f>
        <v>0.855</v>
      </c>
      <c r="F3231" s="13" t="n">
        <f aca="false">IFERROR(E3231*Eingaben!$B$15,0)</f>
        <v>0.7695</v>
      </c>
      <c r="G3231" s="13" t="n">
        <f aca="false">IFERROR(IF(Kalender!A303="",0,J3230*(1-Eingaben!$B$20)),0)</f>
        <v>0</v>
      </c>
      <c r="H3231" s="13" t="n">
        <f aca="false">MIN(G3231,D3231)</f>
        <v>0</v>
      </c>
      <c r="I3231" s="13" t="n">
        <f aca="false">IFERROR(MIN(F3231*Eingaben!$B$19,MAX(0,D3231-H3231)),0)</f>
        <v>0.53865</v>
      </c>
      <c r="J3231" s="13" t="n">
        <f aca="false">IFERROR(MIN(Eingaben!$B$18,MAX(0,F3231-I3231)),0)</f>
        <v>0.23085</v>
      </c>
      <c r="K3231" s="13" t="n">
        <f aca="false">H3231+I3231</f>
        <v>0.53865</v>
      </c>
      <c r="L3231" s="13" t="n">
        <f aca="false">MAX(0,D3231-K3231)</f>
        <v>4.32135</v>
      </c>
      <c r="M3231" s="13" t="n">
        <f aca="false">MAX(0,F3231-I3231-J3231)</f>
        <v>0</v>
      </c>
      <c r="N3231" s="13" t="n">
        <f aca="false">IF(Kalender!A303="",0,J3230-H3231)</f>
        <v>0</v>
      </c>
    </row>
    <row r="3232" customFormat="false" ht="16.4" hidden="false" customHeight="false" outlineLevel="0" collapsed="false">
      <c r="A3232" s="13" t="str">
        <f aca="false">""</f>
        <v/>
      </c>
      <c r="B3232" s="13" t="n">
        <f aca="false">300</f>
        <v>300</v>
      </c>
      <c r="C3232" s="13" t="n">
        <f aca="false">IF(Szenarien!$H$19="OK",(IFERROR(SUMIF(Nutzungsprofile!$B$6:$B$11,"Schulbetrieb",Nutzungsprofile!$G$6:$G$11)*Kalender!C304/SUM(Kalender!$C$5:$C$370),0)+IFERROR(SUMIF(Nutzungsprofile!$B$6:$B$11,"Halle",Nutzungsprofile!$G$6:$G$11)*Kalender!D304/SUM(Kalender!$D$5:$D$370),0)+IFERROR(SUMIF(Nutzungsprofile!$B$6:$B$11,"Individuell",Nutzungsprofile!$G$6:$G$11)*Kalender!E304/SUM(Kalender!$E$5:$E$370),0))*Szenarien!$E$19,0)</f>
        <v>0.9</v>
      </c>
      <c r="D3232" s="13" t="n">
        <f aca="false">IF(Szenarien!$H$19="OK",(IFERROR(SUMIF(Nutzungsprofile!$B$17:$B$22,"Schulbetrieb",Nutzungsprofile!$G$17:$G$22)*Kalender!C304/SUM(Kalender!$C$5:$C$370),0)+IFERROR(SUMIF(Nutzungsprofile!$B$17:$B$22,"Halle",Nutzungsprofile!$G$17:$G$22)*Kalender!D304/SUM(Kalender!$D$5:$D$370),0)+IFERROR(SUMIF(Nutzungsprofile!$B$17:$B$22,"Individuell",Nutzungsprofile!$G$17:$G$22)*Kalender!E304/SUM(Kalender!$E$5:$E$370),0))*Szenarien!$D$19,0)</f>
        <v>4.86</v>
      </c>
      <c r="E3232" s="13" t="n">
        <f aca="false">IFERROR(MIN(C3232,Eingaben!$B$17)*Eingaben!$B$16,0)</f>
        <v>0.855</v>
      </c>
      <c r="F3232" s="13" t="n">
        <f aca="false">IFERROR(E3232*Eingaben!$B$15,0)</f>
        <v>0.7695</v>
      </c>
      <c r="G3232" s="13" t="n">
        <f aca="false">IFERROR(IF(Kalender!A304="",0,J3231*(1-Eingaben!$B$20)),0)</f>
        <v>0.226233</v>
      </c>
      <c r="H3232" s="13" t="n">
        <f aca="false">MIN(G3232,D3232)</f>
        <v>0.226233</v>
      </c>
      <c r="I3232" s="13" t="n">
        <f aca="false">IFERROR(MIN(F3232*Eingaben!$B$19,MAX(0,D3232-H3232)),0)</f>
        <v>0.53865</v>
      </c>
      <c r="J3232" s="13" t="n">
        <f aca="false">IFERROR(MIN(Eingaben!$B$18,MAX(0,F3232-I3232)),0)</f>
        <v>0.23085</v>
      </c>
      <c r="K3232" s="13" t="n">
        <f aca="false">H3232+I3232</f>
        <v>0.764883</v>
      </c>
      <c r="L3232" s="13" t="n">
        <f aca="false">MAX(0,D3232-K3232)</f>
        <v>4.095117</v>
      </c>
      <c r="M3232" s="13" t="n">
        <f aca="false">MAX(0,F3232-I3232-J3232)</f>
        <v>0</v>
      </c>
      <c r="N3232" s="13" t="n">
        <f aca="false">IF(Kalender!A304="",0,J3231-H3232)</f>
        <v>0.00461700000000001</v>
      </c>
    </row>
    <row r="3233" customFormat="false" ht="16.4" hidden="false" customHeight="false" outlineLevel="0" collapsed="false">
      <c r="A3233" s="13" t="str">
        <f aca="false">""</f>
        <v/>
      </c>
      <c r="B3233" s="13" t="n">
        <f aca="false">301</f>
        <v>301</v>
      </c>
      <c r="C3233" s="13" t="n">
        <f aca="false">IF(Szenarien!$H$19="OK",(IFERROR(SUMIF(Nutzungsprofile!$B$6:$B$11,"Schulbetrieb",Nutzungsprofile!$G$6:$G$11)*Kalender!C305/SUM(Kalender!$C$5:$C$370),0)+IFERROR(SUMIF(Nutzungsprofile!$B$6:$B$11,"Halle",Nutzungsprofile!$G$6:$G$11)*Kalender!D305/SUM(Kalender!$D$5:$D$370),0)+IFERROR(SUMIF(Nutzungsprofile!$B$6:$B$11,"Individuell",Nutzungsprofile!$G$6:$G$11)*Kalender!E305/SUM(Kalender!$E$5:$E$370),0))*Szenarien!$E$19,0)</f>
        <v>0.9</v>
      </c>
      <c r="D3233" s="13" t="n">
        <f aca="false">IF(Szenarien!$H$19="OK",(IFERROR(SUMIF(Nutzungsprofile!$B$17:$B$22,"Schulbetrieb",Nutzungsprofile!$G$17:$G$22)*Kalender!C305/SUM(Kalender!$C$5:$C$370),0)+IFERROR(SUMIF(Nutzungsprofile!$B$17:$B$22,"Halle",Nutzungsprofile!$G$17:$G$22)*Kalender!D305/SUM(Kalender!$D$5:$D$370),0)+IFERROR(SUMIF(Nutzungsprofile!$B$17:$B$22,"Individuell",Nutzungsprofile!$G$17:$G$22)*Kalender!E305/SUM(Kalender!$E$5:$E$370),0))*Szenarien!$D$19,0)</f>
        <v>4.86</v>
      </c>
      <c r="E3233" s="13" t="n">
        <f aca="false">IFERROR(MIN(C3233,Eingaben!$B$17)*Eingaben!$B$16,0)</f>
        <v>0.855</v>
      </c>
      <c r="F3233" s="13" t="n">
        <f aca="false">IFERROR(E3233*Eingaben!$B$15,0)</f>
        <v>0.7695</v>
      </c>
      <c r="G3233" s="13" t="n">
        <f aca="false">IFERROR(IF(Kalender!A305="",0,J3232*(1-Eingaben!$B$20)),0)</f>
        <v>0.226233</v>
      </c>
      <c r="H3233" s="13" t="n">
        <f aca="false">MIN(G3233,D3233)</f>
        <v>0.226233</v>
      </c>
      <c r="I3233" s="13" t="n">
        <f aca="false">IFERROR(MIN(F3233*Eingaben!$B$19,MAX(0,D3233-H3233)),0)</f>
        <v>0.53865</v>
      </c>
      <c r="J3233" s="13" t="n">
        <f aca="false">IFERROR(MIN(Eingaben!$B$18,MAX(0,F3233-I3233)),0)</f>
        <v>0.23085</v>
      </c>
      <c r="K3233" s="13" t="n">
        <f aca="false">H3233+I3233</f>
        <v>0.764883</v>
      </c>
      <c r="L3233" s="13" t="n">
        <f aca="false">MAX(0,D3233-K3233)</f>
        <v>4.095117</v>
      </c>
      <c r="M3233" s="13" t="n">
        <f aca="false">MAX(0,F3233-I3233-J3233)</f>
        <v>0</v>
      </c>
      <c r="N3233" s="13" t="n">
        <f aca="false">IF(Kalender!A305="",0,J3232-H3233)</f>
        <v>0.00461700000000001</v>
      </c>
    </row>
    <row r="3234" customFormat="false" ht="16.4" hidden="false" customHeight="false" outlineLevel="0" collapsed="false">
      <c r="A3234" s="13" t="str">
        <f aca="false">""</f>
        <v/>
      </c>
      <c r="B3234" s="13" t="n">
        <f aca="false">302</f>
        <v>302</v>
      </c>
      <c r="C3234" s="13" t="n">
        <f aca="false">IF(Szenarien!$H$19="OK",(IFERROR(SUMIF(Nutzungsprofile!$B$6:$B$11,"Schulbetrieb",Nutzungsprofile!$G$6:$G$11)*Kalender!C306/SUM(Kalender!$C$5:$C$370),0)+IFERROR(SUMIF(Nutzungsprofile!$B$6:$B$11,"Halle",Nutzungsprofile!$G$6:$G$11)*Kalender!D306/SUM(Kalender!$D$5:$D$370),0)+IFERROR(SUMIF(Nutzungsprofile!$B$6:$B$11,"Individuell",Nutzungsprofile!$G$6:$G$11)*Kalender!E306/SUM(Kalender!$E$5:$E$370),0))*Szenarien!$E$19,0)</f>
        <v>0.9</v>
      </c>
      <c r="D3234" s="13" t="n">
        <f aca="false">IF(Szenarien!$H$19="OK",(IFERROR(SUMIF(Nutzungsprofile!$B$17:$B$22,"Schulbetrieb",Nutzungsprofile!$G$17:$G$22)*Kalender!C306/SUM(Kalender!$C$5:$C$370),0)+IFERROR(SUMIF(Nutzungsprofile!$B$17:$B$22,"Halle",Nutzungsprofile!$G$17:$G$22)*Kalender!D306/SUM(Kalender!$D$5:$D$370),0)+IFERROR(SUMIF(Nutzungsprofile!$B$17:$B$22,"Individuell",Nutzungsprofile!$G$17:$G$22)*Kalender!E306/SUM(Kalender!$E$5:$E$370),0))*Szenarien!$D$19,0)</f>
        <v>4.86</v>
      </c>
      <c r="E3234" s="13" t="n">
        <f aca="false">IFERROR(MIN(C3234,Eingaben!$B$17)*Eingaben!$B$16,0)</f>
        <v>0.855</v>
      </c>
      <c r="F3234" s="13" t="n">
        <f aca="false">IFERROR(E3234*Eingaben!$B$15,0)</f>
        <v>0.7695</v>
      </c>
      <c r="G3234" s="13" t="n">
        <f aca="false">IFERROR(IF(Kalender!A306="",0,J3233*(1-Eingaben!$B$20)),0)</f>
        <v>0.226233</v>
      </c>
      <c r="H3234" s="13" t="n">
        <f aca="false">MIN(G3234,D3234)</f>
        <v>0.226233</v>
      </c>
      <c r="I3234" s="13" t="n">
        <f aca="false">IFERROR(MIN(F3234*Eingaben!$B$19,MAX(0,D3234-H3234)),0)</f>
        <v>0.53865</v>
      </c>
      <c r="J3234" s="13" t="n">
        <f aca="false">IFERROR(MIN(Eingaben!$B$18,MAX(0,F3234-I3234)),0)</f>
        <v>0.23085</v>
      </c>
      <c r="K3234" s="13" t="n">
        <f aca="false">H3234+I3234</f>
        <v>0.764883</v>
      </c>
      <c r="L3234" s="13" t="n">
        <f aca="false">MAX(0,D3234-K3234)</f>
        <v>4.095117</v>
      </c>
      <c r="M3234" s="13" t="n">
        <f aca="false">MAX(0,F3234-I3234-J3234)</f>
        <v>0</v>
      </c>
      <c r="N3234" s="13" t="n">
        <f aca="false">IF(Kalender!A306="",0,J3233-H3234)</f>
        <v>0.00461700000000001</v>
      </c>
    </row>
    <row r="3235" customFormat="false" ht="16.4" hidden="false" customHeight="false" outlineLevel="0" collapsed="false">
      <c r="A3235" s="13" t="str">
        <f aca="false">""</f>
        <v/>
      </c>
      <c r="B3235" s="13" t="n">
        <f aca="false">303</f>
        <v>303</v>
      </c>
      <c r="C3235" s="13" t="n">
        <f aca="false">IF(Szenarien!$H$19="OK",(IFERROR(SUMIF(Nutzungsprofile!$B$6:$B$11,"Schulbetrieb",Nutzungsprofile!$G$6:$G$11)*Kalender!C307/SUM(Kalender!$C$5:$C$370),0)+IFERROR(SUMIF(Nutzungsprofile!$B$6:$B$11,"Halle",Nutzungsprofile!$G$6:$G$11)*Kalender!D307/SUM(Kalender!$D$5:$D$370),0)+IFERROR(SUMIF(Nutzungsprofile!$B$6:$B$11,"Individuell",Nutzungsprofile!$G$6:$G$11)*Kalender!E307/SUM(Kalender!$E$5:$E$370),0))*Szenarien!$E$19,0)</f>
        <v>0.9</v>
      </c>
      <c r="D3235" s="13" t="n">
        <f aca="false">IF(Szenarien!$H$19="OK",(IFERROR(SUMIF(Nutzungsprofile!$B$17:$B$22,"Schulbetrieb",Nutzungsprofile!$G$17:$G$22)*Kalender!C307/SUM(Kalender!$C$5:$C$370),0)+IFERROR(SUMIF(Nutzungsprofile!$B$17:$B$22,"Halle",Nutzungsprofile!$G$17:$G$22)*Kalender!D307/SUM(Kalender!$D$5:$D$370),0)+IFERROR(SUMIF(Nutzungsprofile!$B$17:$B$22,"Individuell",Nutzungsprofile!$G$17:$G$22)*Kalender!E307/SUM(Kalender!$E$5:$E$370),0))*Szenarien!$D$19,0)</f>
        <v>4.86</v>
      </c>
      <c r="E3235" s="13" t="n">
        <f aca="false">IFERROR(MIN(C3235,Eingaben!$B$17)*Eingaben!$B$16,0)</f>
        <v>0.855</v>
      </c>
      <c r="F3235" s="13" t="n">
        <f aca="false">IFERROR(E3235*Eingaben!$B$15,0)</f>
        <v>0.7695</v>
      </c>
      <c r="G3235" s="13" t="n">
        <f aca="false">IFERROR(IF(Kalender!A307="",0,J3234*(1-Eingaben!$B$20)),0)</f>
        <v>0.226233</v>
      </c>
      <c r="H3235" s="13" t="n">
        <f aca="false">MIN(G3235,D3235)</f>
        <v>0.226233</v>
      </c>
      <c r="I3235" s="13" t="n">
        <f aca="false">IFERROR(MIN(F3235*Eingaben!$B$19,MAX(0,D3235-H3235)),0)</f>
        <v>0.53865</v>
      </c>
      <c r="J3235" s="13" t="n">
        <f aca="false">IFERROR(MIN(Eingaben!$B$18,MAX(0,F3235-I3235)),0)</f>
        <v>0.23085</v>
      </c>
      <c r="K3235" s="13" t="n">
        <f aca="false">H3235+I3235</f>
        <v>0.764883</v>
      </c>
      <c r="L3235" s="13" t="n">
        <f aca="false">MAX(0,D3235-K3235)</f>
        <v>4.095117</v>
      </c>
      <c r="M3235" s="13" t="n">
        <f aca="false">MAX(0,F3235-I3235-J3235)</f>
        <v>0</v>
      </c>
      <c r="N3235" s="13" t="n">
        <f aca="false">IF(Kalender!A307="",0,J3234-H3235)</f>
        <v>0.00461700000000001</v>
      </c>
    </row>
    <row r="3236" customFormat="false" ht="16.4" hidden="false" customHeight="false" outlineLevel="0" collapsed="false">
      <c r="A3236" s="13" t="str">
        <f aca="false">""</f>
        <v/>
      </c>
      <c r="B3236" s="13" t="n">
        <f aca="false">304</f>
        <v>304</v>
      </c>
      <c r="C3236" s="13" t="n">
        <f aca="false">IF(Szenarien!$H$19="OK",(IFERROR(SUMIF(Nutzungsprofile!$B$6:$B$11,"Schulbetrieb",Nutzungsprofile!$G$6:$G$11)*Kalender!C308/SUM(Kalender!$C$5:$C$370),0)+IFERROR(SUMIF(Nutzungsprofile!$B$6:$B$11,"Halle",Nutzungsprofile!$G$6:$G$11)*Kalender!D308/SUM(Kalender!$D$5:$D$370),0)+IFERROR(SUMIF(Nutzungsprofile!$B$6:$B$11,"Individuell",Nutzungsprofile!$G$6:$G$11)*Kalender!E308/SUM(Kalender!$E$5:$E$370),0))*Szenarien!$E$19,0)</f>
        <v>0</v>
      </c>
      <c r="D3236" s="13" t="n">
        <f aca="false">IF(Szenarien!$H$19="OK",(IFERROR(SUMIF(Nutzungsprofile!$B$17:$B$22,"Schulbetrieb",Nutzungsprofile!$G$17:$G$22)*Kalender!C308/SUM(Kalender!$C$5:$C$370),0)+IFERROR(SUMIF(Nutzungsprofile!$B$17:$B$22,"Halle",Nutzungsprofile!$G$17:$G$22)*Kalender!D308/SUM(Kalender!$D$5:$D$370),0)+IFERROR(SUMIF(Nutzungsprofile!$B$17:$B$22,"Individuell",Nutzungsprofile!$G$17:$G$22)*Kalender!E308/SUM(Kalender!$E$5:$E$370),0))*Szenarien!$D$19,0)</f>
        <v>0</v>
      </c>
      <c r="E3236" s="13" t="n">
        <f aca="false">IFERROR(MIN(C3236,Eingaben!$B$17)*Eingaben!$B$16,0)</f>
        <v>0</v>
      </c>
      <c r="F3236" s="13" t="n">
        <f aca="false">IFERROR(E3236*Eingaben!$B$15,0)</f>
        <v>0</v>
      </c>
      <c r="G3236" s="13" t="n">
        <f aca="false">IFERROR(IF(Kalender!A308="",0,J3235*(1-Eingaben!$B$20)),0)</f>
        <v>0.226233</v>
      </c>
      <c r="H3236" s="13" t="n">
        <f aca="false">MIN(G3236,D3236)</f>
        <v>0</v>
      </c>
      <c r="I3236" s="13" t="n">
        <f aca="false">IFERROR(MIN(F3236*Eingaben!$B$19,MAX(0,D3236-H3236)),0)</f>
        <v>0</v>
      </c>
      <c r="J3236" s="13" t="n">
        <f aca="false">IFERROR(MIN(Eingaben!$B$18,MAX(0,F3236-I3236)),0)</f>
        <v>0</v>
      </c>
      <c r="K3236" s="13" t="n">
        <f aca="false">H3236+I3236</f>
        <v>0</v>
      </c>
      <c r="L3236" s="13" t="n">
        <f aca="false">MAX(0,D3236-K3236)</f>
        <v>0</v>
      </c>
      <c r="M3236" s="13" t="n">
        <f aca="false">MAX(0,F3236-I3236-J3236)</f>
        <v>0</v>
      </c>
      <c r="N3236" s="13" t="n">
        <f aca="false">IF(Kalender!A308="",0,J3235-H3236)</f>
        <v>0.23085</v>
      </c>
    </row>
    <row r="3237" customFormat="false" ht="16.4" hidden="false" customHeight="false" outlineLevel="0" collapsed="false">
      <c r="A3237" s="13" t="str">
        <f aca="false">""</f>
        <v/>
      </c>
      <c r="B3237" s="13" t="n">
        <f aca="false">305</f>
        <v>305</v>
      </c>
      <c r="C3237" s="13" t="n">
        <f aca="false">IF(Szenarien!$H$19="OK",(IFERROR(SUMIF(Nutzungsprofile!$B$6:$B$11,"Schulbetrieb",Nutzungsprofile!$G$6:$G$11)*Kalender!C309/SUM(Kalender!$C$5:$C$370),0)+IFERROR(SUMIF(Nutzungsprofile!$B$6:$B$11,"Halle",Nutzungsprofile!$G$6:$G$11)*Kalender!D309/SUM(Kalender!$D$5:$D$370),0)+IFERROR(SUMIF(Nutzungsprofile!$B$6:$B$11,"Individuell",Nutzungsprofile!$G$6:$G$11)*Kalender!E309/SUM(Kalender!$E$5:$E$370),0))*Szenarien!$E$19,0)</f>
        <v>0</v>
      </c>
      <c r="D3237" s="13" t="n">
        <f aca="false">IF(Szenarien!$H$19="OK",(IFERROR(SUMIF(Nutzungsprofile!$B$17:$B$22,"Schulbetrieb",Nutzungsprofile!$G$17:$G$22)*Kalender!C309/SUM(Kalender!$C$5:$C$370),0)+IFERROR(SUMIF(Nutzungsprofile!$B$17:$B$22,"Halle",Nutzungsprofile!$G$17:$G$22)*Kalender!D309/SUM(Kalender!$D$5:$D$370),0)+IFERROR(SUMIF(Nutzungsprofile!$B$17:$B$22,"Individuell",Nutzungsprofile!$G$17:$G$22)*Kalender!E309/SUM(Kalender!$E$5:$E$370),0))*Szenarien!$D$19,0)</f>
        <v>0</v>
      </c>
      <c r="E3237" s="13" t="n">
        <f aca="false">IFERROR(MIN(C3237,Eingaben!$B$17)*Eingaben!$B$16,0)</f>
        <v>0</v>
      </c>
      <c r="F3237" s="13" t="n">
        <f aca="false">IFERROR(E3237*Eingaben!$B$15,0)</f>
        <v>0</v>
      </c>
      <c r="G3237" s="13" t="n">
        <f aca="false">IFERROR(IF(Kalender!A309="",0,J3236*(1-Eingaben!$B$20)),0)</f>
        <v>0</v>
      </c>
      <c r="H3237" s="13" t="n">
        <f aca="false">MIN(G3237,D3237)</f>
        <v>0</v>
      </c>
      <c r="I3237" s="13" t="n">
        <f aca="false">IFERROR(MIN(F3237*Eingaben!$B$19,MAX(0,D3237-H3237)),0)</f>
        <v>0</v>
      </c>
      <c r="J3237" s="13" t="n">
        <f aca="false">IFERROR(MIN(Eingaben!$B$18,MAX(0,F3237-I3237)),0)</f>
        <v>0</v>
      </c>
      <c r="K3237" s="13" t="n">
        <f aca="false">H3237+I3237</f>
        <v>0</v>
      </c>
      <c r="L3237" s="13" t="n">
        <f aca="false">MAX(0,D3237-K3237)</f>
        <v>0</v>
      </c>
      <c r="M3237" s="13" t="n">
        <f aca="false">MAX(0,F3237-I3237-J3237)</f>
        <v>0</v>
      </c>
      <c r="N3237" s="13" t="n">
        <f aca="false">IF(Kalender!A309="",0,J3236-H3237)</f>
        <v>0</v>
      </c>
    </row>
    <row r="3238" customFormat="false" ht="16.4" hidden="false" customHeight="false" outlineLevel="0" collapsed="false">
      <c r="A3238" s="13" t="str">
        <f aca="false">""</f>
        <v/>
      </c>
      <c r="B3238" s="13" t="n">
        <f aca="false">306</f>
        <v>306</v>
      </c>
      <c r="C3238" s="13" t="n">
        <f aca="false">IF(Szenarien!$H$19="OK",(IFERROR(SUMIF(Nutzungsprofile!$B$6:$B$11,"Schulbetrieb",Nutzungsprofile!$G$6:$G$11)*Kalender!C310/SUM(Kalender!$C$5:$C$370),0)+IFERROR(SUMIF(Nutzungsprofile!$B$6:$B$11,"Halle",Nutzungsprofile!$G$6:$G$11)*Kalender!D310/SUM(Kalender!$D$5:$D$370),0)+IFERROR(SUMIF(Nutzungsprofile!$B$6:$B$11,"Individuell",Nutzungsprofile!$G$6:$G$11)*Kalender!E310/SUM(Kalender!$E$5:$E$370),0))*Szenarien!$E$19,0)</f>
        <v>0.9</v>
      </c>
      <c r="D3238" s="13" t="n">
        <f aca="false">IF(Szenarien!$H$19="OK",(IFERROR(SUMIF(Nutzungsprofile!$B$17:$B$22,"Schulbetrieb",Nutzungsprofile!$G$17:$G$22)*Kalender!C310/SUM(Kalender!$C$5:$C$370),0)+IFERROR(SUMIF(Nutzungsprofile!$B$17:$B$22,"Halle",Nutzungsprofile!$G$17:$G$22)*Kalender!D310/SUM(Kalender!$D$5:$D$370),0)+IFERROR(SUMIF(Nutzungsprofile!$B$17:$B$22,"Individuell",Nutzungsprofile!$G$17:$G$22)*Kalender!E310/SUM(Kalender!$E$5:$E$370),0))*Szenarien!$D$19,0)</f>
        <v>4.86</v>
      </c>
      <c r="E3238" s="13" t="n">
        <f aca="false">IFERROR(MIN(C3238,Eingaben!$B$17)*Eingaben!$B$16,0)</f>
        <v>0.855</v>
      </c>
      <c r="F3238" s="13" t="n">
        <f aca="false">IFERROR(E3238*Eingaben!$B$15,0)</f>
        <v>0.7695</v>
      </c>
      <c r="G3238" s="13" t="n">
        <f aca="false">IFERROR(IF(Kalender!A310="",0,J3237*(1-Eingaben!$B$20)),0)</f>
        <v>0</v>
      </c>
      <c r="H3238" s="13" t="n">
        <f aca="false">MIN(G3238,D3238)</f>
        <v>0</v>
      </c>
      <c r="I3238" s="13" t="n">
        <f aca="false">IFERROR(MIN(F3238*Eingaben!$B$19,MAX(0,D3238-H3238)),0)</f>
        <v>0.53865</v>
      </c>
      <c r="J3238" s="13" t="n">
        <f aca="false">IFERROR(MIN(Eingaben!$B$18,MAX(0,F3238-I3238)),0)</f>
        <v>0.23085</v>
      </c>
      <c r="K3238" s="13" t="n">
        <f aca="false">H3238+I3238</f>
        <v>0.53865</v>
      </c>
      <c r="L3238" s="13" t="n">
        <f aca="false">MAX(0,D3238-K3238)</f>
        <v>4.32135</v>
      </c>
      <c r="M3238" s="13" t="n">
        <f aca="false">MAX(0,F3238-I3238-J3238)</f>
        <v>0</v>
      </c>
      <c r="N3238" s="13" t="n">
        <f aca="false">IF(Kalender!A310="",0,J3237-H3238)</f>
        <v>0</v>
      </c>
    </row>
    <row r="3239" customFormat="false" ht="16.4" hidden="false" customHeight="false" outlineLevel="0" collapsed="false">
      <c r="A3239" s="13" t="str">
        <f aca="false">""</f>
        <v/>
      </c>
      <c r="B3239" s="13" t="n">
        <f aca="false">307</f>
        <v>307</v>
      </c>
      <c r="C3239" s="13" t="n">
        <f aca="false">IF(Szenarien!$H$19="OK",(IFERROR(SUMIF(Nutzungsprofile!$B$6:$B$11,"Schulbetrieb",Nutzungsprofile!$G$6:$G$11)*Kalender!C311/SUM(Kalender!$C$5:$C$370),0)+IFERROR(SUMIF(Nutzungsprofile!$B$6:$B$11,"Halle",Nutzungsprofile!$G$6:$G$11)*Kalender!D311/SUM(Kalender!$D$5:$D$370),0)+IFERROR(SUMIF(Nutzungsprofile!$B$6:$B$11,"Individuell",Nutzungsprofile!$G$6:$G$11)*Kalender!E311/SUM(Kalender!$E$5:$E$370),0))*Szenarien!$E$19,0)</f>
        <v>0.9</v>
      </c>
      <c r="D3239" s="13" t="n">
        <f aca="false">IF(Szenarien!$H$19="OK",(IFERROR(SUMIF(Nutzungsprofile!$B$17:$B$22,"Schulbetrieb",Nutzungsprofile!$G$17:$G$22)*Kalender!C311/SUM(Kalender!$C$5:$C$370),0)+IFERROR(SUMIF(Nutzungsprofile!$B$17:$B$22,"Halle",Nutzungsprofile!$G$17:$G$22)*Kalender!D311/SUM(Kalender!$D$5:$D$370),0)+IFERROR(SUMIF(Nutzungsprofile!$B$17:$B$22,"Individuell",Nutzungsprofile!$G$17:$G$22)*Kalender!E311/SUM(Kalender!$E$5:$E$370),0))*Szenarien!$D$19,0)</f>
        <v>4.86</v>
      </c>
      <c r="E3239" s="13" t="n">
        <f aca="false">IFERROR(MIN(C3239,Eingaben!$B$17)*Eingaben!$B$16,0)</f>
        <v>0.855</v>
      </c>
      <c r="F3239" s="13" t="n">
        <f aca="false">IFERROR(E3239*Eingaben!$B$15,0)</f>
        <v>0.7695</v>
      </c>
      <c r="G3239" s="13" t="n">
        <f aca="false">IFERROR(IF(Kalender!A311="",0,J3238*(1-Eingaben!$B$20)),0)</f>
        <v>0.226233</v>
      </c>
      <c r="H3239" s="13" t="n">
        <f aca="false">MIN(G3239,D3239)</f>
        <v>0.226233</v>
      </c>
      <c r="I3239" s="13" t="n">
        <f aca="false">IFERROR(MIN(F3239*Eingaben!$B$19,MAX(0,D3239-H3239)),0)</f>
        <v>0.53865</v>
      </c>
      <c r="J3239" s="13" t="n">
        <f aca="false">IFERROR(MIN(Eingaben!$B$18,MAX(0,F3239-I3239)),0)</f>
        <v>0.23085</v>
      </c>
      <c r="K3239" s="13" t="n">
        <f aca="false">H3239+I3239</f>
        <v>0.764883</v>
      </c>
      <c r="L3239" s="13" t="n">
        <f aca="false">MAX(0,D3239-K3239)</f>
        <v>4.095117</v>
      </c>
      <c r="M3239" s="13" t="n">
        <f aca="false">MAX(0,F3239-I3239-J3239)</f>
        <v>0</v>
      </c>
      <c r="N3239" s="13" t="n">
        <f aca="false">IF(Kalender!A311="",0,J3238-H3239)</f>
        <v>0.00461700000000001</v>
      </c>
    </row>
    <row r="3240" customFormat="false" ht="16.4" hidden="false" customHeight="false" outlineLevel="0" collapsed="false">
      <c r="A3240" s="13" t="str">
        <f aca="false">""</f>
        <v/>
      </c>
      <c r="B3240" s="13" t="n">
        <f aca="false">308</f>
        <v>308</v>
      </c>
      <c r="C3240" s="13" t="n">
        <f aca="false">IF(Szenarien!$H$19="OK",(IFERROR(SUMIF(Nutzungsprofile!$B$6:$B$11,"Schulbetrieb",Nutzungsprofile!$G$6:$G$11)*Kalender!C312/SUM(Kalender!$C$5:$C$370),0)+IFERROR(SUMIF(Nutzungsprofile!$B$6:$B$11,"Halle",Nutzungsprofile!$G$6:$G$11)*Kalender!D312/SUM(Kalender!$D$5:$D$370),0)+IFERROR(SUMIF(Nutzungsprofile!$B$6:$B$11,"Individuell",Nutzungsprofile!$G$6:$G$11)*Kalender!E312/SUM(Kalender!$E$5:$E$370),0))*Szenarien!$E$19,0)</f>
        <v>0.9</v>
      </c>
      <c r="D3240" s="13" t="n">
        <f aca="false">IF(Szenarien!$H$19="OK",(IFERROR(SUMIF(Nutzungsprofile!$B$17:$B$22,"Schulbetrieb",Nutzungsprofile!$G$17:$G$22)*Kalender!C312/SUM(Kalender!$C$5:$C$370),0)+IFERROR(SUMIF(Nutzungsprofile!$B$17:$B$22,"Halle",Nutzungsprofile!$G$17:$G$22)*Kalender!D312/SUM(Kalender!$D$5:$D$370),0)+IFERROR(SUMIF(Nutzungsprofile!$B$17:$B$22,"Individuell",Nutzungsprofile!$G$17:$G$22)*Kalender!E312/SUM(Kalender!$E$5:$E$370),0))*Szenarien!$D$19,0)</f>
        <v>4.86</v>
      </c>
      <c r="E3240" s="13" t="n">
        <f aca="false">IFERROR(MIN(C3240,Eingaben!$B$17)*Eingaben!$B$16,0)</f>
        <v>0.855</v>
      </c>
      <c r="F3240" s="13" t="n">
        <f aca="false">IFERROR(E3240*Eingaben!$B$15,0)</f>
        <v>0.7695</v>
      </c>
      <c r="G3240" s="13" t="n">
        <f aca="false">IFERROR(IF(Kalender!A312="",0,J3239*(1-Eingaben!$B$20)),0)</f>
        <v>0.226233</v>
      </c>
      <c r="H3240" s="13" t="n">
        <f aca="false">MIN(G3240,D3240)</f>
        <v>0.226233</v>
      </c>
      <c r="I3240" s="13" t="n">
        <f aca="false">IFERROR(MIN(F3240*Eingaben!$B$19,MAX(0,D3240-H3240)),0)</f>
        <v>0.53865</v>
      </c>
      <c r="J3240" s="13" t="n">
        <f aca="false">IFERROR(MIN(Eingaben!$B$18,MAX(0,F3240-I3240)),0)</f>
        <v>0.23085</v>
      </c>
      <c r="K3240" s="13" t="n">
        <f aca="false">H3240+I3240</f>
        <v>0.764883</v>
      </c>
      <c r="L3240" s="13" t="n">
        <f aca="false">MAX(0,D3240-K3240)</f>
        <v>4.095117</v>
      </c>
      <c r="M3240" s="13" t="n">
        <f aca="false">MAX(0,F3240-I3240-J3240)</f>
        <v>0</v>
      </c>
      <c r="N3240" s="13" t="n">
        <f aca="false">IF(Kalender!A312="",0,J3239-H3240)</f>
        <v>0.00461700000000001</v>
      </c>
    </row>
    <row r="3241" customFormat="false" ht="16.4" hidden="false" customHeight="false" outlineLevel="0" collapsed="false">
      <c r="A3241" s="13" t="str">
        <f aca="false">""</f>
        <v/>
      </c>
      <c r="B3241" s="13" t="n">
        <f aca="false">309</f>
        <v>309</v>
      </c>
      <c r="C3241" s="13" t="n">
        <f aca="false">IF(Szenarien!$H$19="OK",(IFERROR(SUMIF(Nutzungsprofile!$B$6:$B$11,"Schulbetrieb",Nutzungsprofile!$G$6:$G$11)*Kalender!C313/SUM(Kalender!$C$5:$C$370),0)+IFERROR(SUMIF(Nutzungsprofile!$B$6:$B$11,"Halle",Nutzungsprofile!$G$6:$G$11)*Kalender!D313/SUM(Kalender!$D$5:$D$370),0)+IFERROR(SUMIF(Nutzungsprofile!$B$6:$B$11,"Individuell",Nutzungsprofile!$G$6:$G$11)*Kalender!E313/SUM(Kalender!$E$5:$E$370),0))*Szenarien!$E$19,0)</f>
        <v>0.9</v>
      </c>
      <c r="D3241" s="13" t="n">
        <f aca="false">IF(Szenarien!$H$19="OK",(IFERROR(SUMIF(Nutzungsprofile!$B$17:$B$22,"Schulbetrieb",Nutzungsprofile!$G$17:$G$22)*Kalender!C313/SUM(Kalender!$C$5:$C$370),0)+IFERROR(SUMIF(Nutzungsprofile!$B$17:$B$22,"Halle",Nutzungsprofile!$G$17:$G$22)*Kalender!D313/SUM(Kalender!$D$5:$D$370),0)+IFERROR(SUMIF(Nutzungsprofile!$B$17:$B$22,"Individuell",Nutzungsprofile!$G$17:$G$22)*Kalender!E313/SUM(Kalender!$E$5:$E$370),0))*Szenarien!$D$19,0)</f>
        <v>4.86</v>
      </c>
      <c r="E3241" s="13" t="n">
        <f aca="false">IFERROR(MIN(C3241,Eingaben!$B$17)*Eingaben!$B$16,0)</f>
        <v>0.855</v>
      </c>
      <c r="F3241" s="13" t="n">
        <f aca="false">IFERROR(E3241*Eingaben!$B$15,0)</f>
        <v>0.7695</v>
      </c>
      <c r="G3241" s="13" t="n">
        <f aca="false">IFERROR(IF(Kalender!A313="",0,J3240*(1-Eingaben!$B$20)),0)</f>
        <v>0.226233</v>
      </c>
      <c r="H3241" s="13" t="n">
        <f aca="false">MIN(G3241,D3241)</f>
        <v>0.226233</v>
      </c>
      <c r="I3241" s="13" t="n">
        <f aca="false">IFERROR(MIN(F3241*Eingaben!$B$19,MAX(0,D3241-H3241)),0)</f>
        <v>0.53865</v>
      </c>
      <c r="J3241" s="13" t="n">
        <f aca="false">IFERROR(MIN(Eingaben!$B$18,MAX(0,F3241-I3241)),0)</f>
        <v>0.23085</v>
      </c>
      <c r="K3241" s="13" t="n">
        <f aca="false">H3241+I3241</f>
        <v>0.764883</v>
      </c>
      <c r="L3241" s="13" t="n">
        <f aca="false">MAX(0,D3241-K3241)</f>
        <v>4.095117</v>
      </c>
      <c r="M3241" s="13" t="n">
        <f aca="false">MAX(0,F3241-I3241-J3241)</f>
        <v>0</v>
      </c>
      <c r="N3241" s="13" t="n">
        <f aca="false">IF(Kalender!A313="",0,J3240-H3241)</f>
        <v>0.00461700000000001</v>
      </c>
    </row>
    <row r="3242" customFormat="false" ht="16.4" hidden="false" customHeight="false" outlineLevel="0" collapsed="false">
      <c r="A3242" s="13" t="str">
        <f aca="false">""</f>
        <v/>
      </c>
      <c r="B3242" s="13" t="n">
        <f aca="false">310</f>
        <v>310</v>
      </c>
      <c r="C3242" s="13" t="n">
        <f aca="false">IF(Szenarien!$H$19="OK",(IFERROR(SUMIF(Nutzungsprofile!$B$6:$B$11,"Schulbetrieb",Nutzungsprofile!$G$6:$G$11)*Kalender!C314/SUM(Kalender!$C$5:$C$370),0)+IFERROR(SUMIF(Nutzungsprofile!$B$6:$B$11,"Halle",Nutzungsprofile!$G$6:$G$11)*Kalender!D314/SUM(Kalender!$D$5:$D$370),0)+IFERROR(SUMIF(Nutzungsprofile!$B$6:$B$11,"Individuell",Nutzungsprofile!$G$6:$G$11)*Kalender!E314/SUM(Kalender!$E$5:$E$370),0))*Szenarien!$E$19,0)</f>
        <v>0.9</v>
      </c>
      <c r="D3242" s="13" t="n">
        <f aca="false">IF(Szenarien!$H$19="OK",(IFERROR(SUMIF(Nutzungsprofile!$B$17:$B$22,"Schulbetrieb",Nutzungsprofile!$G$17:$G$22)*Kalender!C314/SUM(Kalender!$C$5:$C$370),0)+IFERROR(SUMIF(Nutzungsprofile!$B$17:$B$22,"Halle",Nutzungsprofile!$G$17:$G$22)*Kalender!D314/SUM(Kalender!$D$5:$D$370),0)+IFERROR(SUMIF(Nutzungsprofile!$B$17:$B$22,"Individuell",Nutzungsprofile!$G$17:$G$22)*Kalender!E314/SUM(Kalender!$E$5:$E$370),0))*Szenarien!$D$19,0)</f>
        <v>4.86</v>
      </c>
      <c r="E3242" s="13" t="n">
        <f aca="false">IFERROR(MIN(C3242,Eingaben!$B$17)*Eingaben!$B$16,0)</f>
        <v>0.855</v>
      </c>
      <c r="F3242" s="13" t="n">
        <f aca="false">IFERROR(E3242*Eingaben!$B$15,0)</f>
        <v>0.7695</v>
      </c>
      <c r="G3242" s="13" t="n">
        <f aca="false">IFERROR(IF(Kalender!A314="",0,J3241*(1-Eingaben!$B$20)),0)</f>
        <v>0.226233</v>
      </c>
      <c r="H3242" s="13" t="n">
        <f aca="false">MIN(G3242,D3242)</f>
        <v>0.226233</v>
      </c>
      <c r="I3242" s="13" t="n">
        <f aca="false">IFERROR(MIN(F3242*Eingaben!$B$19,MAX(0,D3242-H3242)),0)</f>
        <v>0.53865</v>
      </c>
      <c r="J3242" s="13" t="n">
        <f aca="false">IFERROR(MIN(Eingaben!$B$18,MAX(0,F3242-I3242)),0)</f>
        <v>0.23085</v>
      </c>
      <c r="K3242" s="13" t="n">
        <f aca="false">H3242+I3242</f>
        <v>0.764883</v>
      </c>
      <c r="L3242" s="13" t="n">
        <f aca="false">MAX(0,D3242-K3242)</f>
        <v>4.095117</v>
      </c>
      <c r="M3242" s="13" t="n">
        <f aca="false">MAX(0,F3242-I3242-J3242)</f>
        <v>0</v>
      </c>
      <c r="N3242" s="13" t="n">
        <f aca="false">IF(Kalender!A314="",0,J3241-H3242)</f>
        <v>0.00461700000000001</v>
      </c>
    </row>
    <row r="3243" customFormat="false" ht="16.4" hidden="false" customHeight="false" outlineLevel="0" collapsed="false">
      <c r="A3243" s="13" t="str">
        <f aca="false">""</f>
        <v/>
      </c>
      <c r="B3243" s="13" t="n">
        <f aca="false">311</f>
        <v>311</v>
      </c>
      <c r="C3243" s="13" t="n">
        <f aca="false">IF(Szenarien!$H$19="OK",(IFERROR(SUMIF(Nutzungsprofile!$B$6:$B$11,"Schulbetrieb",Nutzungsprofile!$G$6:$G$11)*Kalender!C315/SUM(Kalender!$C$5:$C$370),0)+IFERROR(SUMIF(Nutzungsprofile!$B$6:$B$11,"Halle",Nutzungsprofile!$G$6:$G$11)*Kalender!D315/SUM(Kalender!$D$5:$D$370),0)+IFERROR(SUMIF(Nutzungsprofile!$B$6:$B$11,"Individuell",Nutzungsprofile!$G$6:$G$11)*Kalender!E315/SUM(Kalender!$E$5:$E$370),0))*Szenarien!$E$19,0)</f>
        <v>0</v>
      </c>
      <c r="D3243" s="13" t="n">
        <f aca="false">IF(Szenarien!$H$19="OK",(IFERROR(SUMIF(Nutzungsprofile!$B$17:$B$22,"Schulbetrieb",Nutzungsprofile!$G$17:$G$22)*Kalender!C315/SUM(Kalender!$C$5:$C$370),0)+IFERROR(SUMIF(Nutzungsprofile!$B$17:$B$22,"Halle",Nutzungsprofile!$G$17:$G$22)*Kalender!D315/SUM(Kalender!$D$5:$D$370),0)+IFERROR(SUMIF(Nutzungsprofile!$B$17:$B$22,"Individuell",Nutzungsprofile!$G$17:$G$22)*Kalender!E315/SUM(Kalender!$E$5:$E$370),0))*Szenarien!$D$19,0)</f>
        <v>0</v>
      </c>
      <c r="E3243" s="13" t="n">
        <f aca="false">IFERROR(MIN(C3243,Eingaben!$B$17)*Eingaben!$B$16,0)</f>
        <v>0</v>
      </c>
      <c r="F3243" s="13" t="n">
        <f aca="false">IFERROR(E3243*Eingaben!$B$15,0)</f>
        <v>0</v>
      </c>
      <c r="G3243" s="13" t="n">
        <f aca="false">IFERROR(IF(Kalender!A315="",0,J3242*(1-Eingaben!$B$20)),0)</f>
        <v>0.226233</v>
      </c>
      <c r="H3243" s="13" t="n">
        <f aca="false">MIN(G3243,D3243)</f>
        <v>0</v>
      </c>
      <c r="I3243" s="13" t="n">
        <f aca="false">IFERROR(MIN(F3243*Eingaben!$B$19,MAX(0,D3243-H3243)),0)</f>
        <v>0</v>
      </c>
      <c r="J3243" s="13" t="n">
        <f aca="false">IFERROR(MIN(Eingaben!$B$18,MAX(0,F3243-I3243)),0)</f>
        <v>0</v>
      </c>
      <c r="K3243" s="13" t="n">
        <f aca="false">H3243+I3243</f>
        <v>0</v>
      </c>
      <c r="L3243" s="13" t="n">
        <f aca="false">MAX(0,D3243-K3243)</f>
        <v>0</v>
      </c>
      <c r="M3243" s="13" t="n">
        <f aca="false">MAX(0,F3243-I3243-J3243)</f>
        <v>0</v>
      </c>
      <c r="N3243" s="13" t="n">
        <f aca="false">IF(Kalender!A315="",0,J3242-H3243)</f>
        <v>0.23085</v>
      </c>
    </row>
    <row r="3244" customFormat="false" ht="16.4" hidden="false" customHeight="false" outlineLevel="0" collapsed="false">
      <c r="A3244" s="13" t="str">
        <f aca="false">""</f>
        <v/>
      </c>
      <c r="B3244" s="13" t="n">
        <f aca="false">312</f>
        <v>312</v>
      </c>
      <c r="C3244" s="13" t="n">
        <f aca="false">IF(Szenarien!$H$19="OK",(IFERROR(SUMIF(Nutzungsprofile!$B$6:$B$11,"Schulbetrieb",Nutzungsprofile!$G$6:$G$11)*Kalender!C316/SUM(Kalender!$C$5:$C$370),0)+IFERROR(SUMIF(Nutzungsprofile!$B$6:$B$11,"Halle",Nutzungsprofile!$G$6:$G$11)*Kalender!D316/SUM(Kalender!$D$5:$D$370),0)+IFERROR(SUMIF(Nutzungsprofile!$B$6:$B$11,"Individuell",Nutzungsprofile!$G$6:$G$11)*Kalender!E316/SUM(Kalender!$E$5:$E$370),0))*Szenarien!$E$19,0)</f>
        <v>0</v>
      </c>
      <c r="D3244" s="13" t="n">
        <f aca="false">IF(Szenarien!$H$19="OK",(IFERROR(SUMIF(Nutzungsprofile!$B$17:$B$22,"Schulbetrieb",Nutzungsprofile!$G$17:$G$22)*Kalender!C316/SUM(Kalender!$C$5:$C$370),0)+IFERROR(SUMIF(Nutzungsprofile!$B$17:$B$22,"Halle",Nutzungsprofile!$G$17:$G$22)*Kalender!D316/SUM(Kalender!$D$5:$D$370),0)+IFERROR(SUMIF(Nutzungsprofile!$B$17:$B$22,"Individuell",Nutzungsprofile!$G$17:$G$22)*Kalender!E316/SUM(Kalender!$E$5:$E$370),0))*Szenarien!$D$19,0)</f>
        <v>0</v>
      </c>
      <c r="E3244" s="13" t="n">
        <f aca="false">IFERROR(MIN(C3244,Eingaben!$B$17)*Eingaben!$B$16,0)</f>
        <v>0</v>
      </c>
      <c r="F3244" s="13" t="n">
        <f aca="false">IFERROR(E3244*Eingaben!$B$15,0)</f>
        <v>0</v>
      </c>
      <c r="G3244" s="13" t="n">
        <f aca="false">IFERROR(IF(Kalender!A316="",0,J3243*(1-Eingaben!$B$20)),0)</f>
        <v>0</v>
      </c>
      <c r="H3244" s="13" t="n">
        <f aca="false">MIN(G3244,D3244)</f>
        <v>0</v>
      </c>
      <c r="I3244" s="13" t="n">
        <f aca="false">IFERROR(MIN(F3244*Eingaben!$B$19,MAX(0,D3244-H3244)),0)</f>
        <v>0</v>
      </c>
      <c r="J3244" s="13" t="n">
        <f aca="false">IFERROR(MIN(Eingaben!$B$18,MAX(0,F3244-I3244)),0)</f>
        <v>0</v>
      </c>
      <c r="K3244" s="13" t="n">
        <f aca="false">H3244+I3244</f>
        <v>0</v>
      </c>
      <c r="L3244" s="13" t="n">
        <f aca="false">MAX(0,D3244-K3244)</f>
        <v>0</v>
      </c>
      <c r="M3244" s="13" t="n">
        <f aca="false">MAX(0,F3244-I3244-J3244)</f>
        <v>0</v>
      </c>
      <c r="N3244" s="13" t="n">
        <f aca="false">IF(Kalender!A316="",0,J3243-H3244)</f>
        <v>0</v>
      </c>
    </row>
    <row r="3245" customFormat="false" ht="16.4" hidden="false" customHeight="false" outlineLevel="0" collapsed="false">
      <c r="A3245" s="13" t="str">
        <f aca="false">""</f>
        <v/>
      </c>
      <c r="B3245" s="13" t="n">
        <f aca="false">313</f>
        <v>313</v>
      </c>
      <c r="C3245" s="13" t="n">
        <f aca="false">IF(Szenarien!$H$19="OK",(IFERROR(SUMIF(Nutzungsprofile!$B$6:$B$11,"Schulbetrieb",Nutzungsprofile!$G$6:$G$11)*Kalender!C317/SUM(Kalender!$C$5:$C$370),0)+IFERROR(SUMIF(Nutzungsprofile!$B$6:$B$11,"Halle",Nutzungsprofile!$G$6:$G$11)*Kalender!D317/SUM(Kalender!$D$5:$D$370),0)+IFERROR(SUMIF(Nutzungsprofile!$B$6:$B$11,"Individuell",Nutzungsprofile!$G$6:$G$11)*Kalender!E317/SUM(Kalender!$E$5:$E$370),0))*Szenarien!$E$19,0)</f>
        <v>0.9</v>
      </c>
      <c r="D3245" s="13" t="n">
        <f aca="false">IF(Szenarien!$H$19="OK",(IFERROR(SUMIF(Nutzungsprofile!$B$17:$B$22,"Schulbetrieb",Nutzungsprofile!$G$17:$G$22)*Kalender!C317/SUM(Kalender!$C$5:$C$370),0)+IFERROR(SUMIF(Nutzungsprofile!$B$17:$B$22,"Halle",Nutzungsprofile!$G$17:$G$22)*Kalender!D317/SUM(Kalender!$D$5:$D$370),0)+IFERROR(SUMIF(Nutzungsprofile!$B$17:$B$22,"Individuell",Nutzungsprofile!$G$17:$G$22)*Kalender!E317/SUM(Kalender!$E$5:$E$370),0))*Szenarien!$D$19,0)</f>
        <v>4.86</v>
      </c>
      <c r="E3245" s="13" t="n">
        <f aca="false">IFERROR(MIN(C3245,Eingaben!$B$17)*Eingaben!$B$16,0)</f>
        <v>0.855</v>
      </c>
      <c r="F3245" s="13" t="n">
        <f aca="false">IFERROR(E3245*Eingaben!$B$15,0)</f>
        <v>0.7695</v>
      </c>
      <c r="G3245" s="13" t="n">
        <f aca="false">IFERROR(IF(Kalender!A317="",0,J3244*(1-Eingaben!$B$20)),0)</f>
        <v>0</v>
      </c>
      <c r="H3245" s="13" t="n">
        <f aca="false">MIN(G3245,D3245)</f>
        <v>0</v>
      </c>
      <c r="I3245" s="13" t="n">
        <f aca="false">IFERROR(MIN(F3245*Eingaben!$B$19,MAX(0,D3245-H3245)),0)</f>
        <v>0.53865</v>
      </c>
      <c r="J3245" s="13" t="n">
        <f aca="false">IFERROR(MIN(Eingaben!$B$18,MAX(0,F3245-I3245)),0)</f>
        <v>0.23085</v>
      </c>
      <c r="K3245" s="13" t="n">
        <f aca="false">H3245+I3245</f>
        <v>0.53865</v>
      </c>
      <c r="L3245" s="13" t="n">
        <f aca="false">MAX(0,D3245-K3245)</f>
        <v>4.32135</v>
      </c>
      <c r="M3245" s="13" t="n">
        <f aca="false">MAX(0,F3245-I3245-J3245)</f>
        <v>0</v>
      </c>
      <c r="N3245" s="13" t="n">
        <f aca="false">IF(Kalender!A317="",0,J3244-H3245)</f>
        <v>0</v>
      </c>
    </row>
    <row r="3246" customFormat="false" ht="16.4" hidden="false" customHeight="false" outlineLevel="0" collapsed="false">
      <c r="A3246" s="13" t="str">
        <f aca="false">""</f>
        <v/>
      </c>
      <c r="B3246" s="13" t="n">
        <f aca="false">314</f>
        <v>314</v>
      </c>
      <c r="C3246" s="13" t="n">
        <f aca="false">IF(Szenarien!$H$19="OK",(IFERROR(SUMIF(Nutzungsprofile!$B$6:$B$11,"Schulbetrieb",Nutzungsprofile!$G$6:$G$11)*Kalender!C318/SUM(Kalender!$C$5:$C$370),0)+IFERROR(SUMIF(Nutzungsprofile!$B$6:$B$11,"Halle",Nutzungsprofile!$G$6:$G$11)*Kalender!D318/SUM(Kalender!$D$5:$D$370),0)+IFERROR(SUMIF(Nutzungsprofile!$B$6:$B$11,"Individuell",Nutzungsprofile!$G$6:$G$11)*Kalender!E318/SUM(Kalender!$E$5:$E$370),0))*Szenarien!$E$19,0)</f>
        <v>0.9</v>
      </c>
      <c r="D3246" s="13" t="n">
        <f aca="false">IF(Szenarien!$H$19="OK",(IFERROR(SUMIF(Nutzungsprofile!$B$17:$B$22,"Schulbetrieb",Nutzungsprofile!$G$17:$G$22)*Kalender!C318/SUM(Kalender!$C$5:$C$370),0)+IFERROR(SUMIF(Nutzungsprofile!$B$17:$B$22,"Halle",Nutzungsprofile!$G$17:$G$22)*Kalender!D318/SUM(Kalender!$D$5:$D$370),0)+IFERROR(SUMIF(Nutzungsprofile!$B$17:$B$22,"Individuell",Nutzungsprofile!$G$17:$G$22)*Kalender!E318/SUM(Kalender!$E$5:$E$370),0))*Szenarien!$D$19,0)</f>
        <v>4.86</v>
      </c>
      <c r="E3246" s="13" t="n">
        <f aca="false">IFERROR(MIN(C3246,Eingaben!$B$17)*Eingaben!$B$16,0)</f>
        <v>0.855</v>
      </c>
      <c r="F3246" s="13" t="n">
        <f aca="false">IFERROR(E3246*Eingaben!$B$15,0)</f>
        <v>0.7695</v>
      </c>
      <c r="G3246" s="13" t="n">
        <f aca="false">IFERROR(IF(Kalender!A318="",0,J3245*(1-Eingaben!$B$20)),0)</f>
        <v>0.226233</v>
      </c>
      <c r="H3246" s="13" t="n">
        <f aca="false">MIN(G3246,D3246)</f>
        <v>0.226233</v>
      </c>
      <c r="I3246" s="13" t="n">
        <f aca="false">IFERROR(MIN(F3246*Eingaben!$B$19,MAX(0,D3246-H3246)),0)</f>
        <v>0.53865</v>
      </c>
      <c r="J3246" s="13" t="n">
        <f aca="false">IFERROR(MIN(Eingaben!$B$18,MAX(0,F3246-I3246)),0)</f>
        <v>0.23085</v>
      </c>
      <c r="K3246" s="13" t="n">
        <f aca="false">H3246+I3246</f>
        <v>0.764883</v>
      </c>
      <c r="L3246" s="13" t="n">
        <f aca="false">MAX(0,D3246-K3246)</f>
        <v>4.095117</v>
      </c>
      <c r="M3246" s="13" t="n">
        <f aca="false">MAX(0,F3246-I3246-J3246)</f>
        <v>0</v>
      </c>
      <c r="N3246" s="13" t="n">
        <f aca="false">IF(Kalender!A318="",0,J3245-H3246)</f>
        <v>0.00461700000000001</v>
      </c>
    </row>
    <row r="3247" customFormat="false" ht="16.4" hidden="false" customHeight="false" outlineLevel="0" collapsed="false">
      <c r="A3247" s="13" t="str">
        <f aca="false">""</f>
        <v/>
      </c>
      <c r="B3247" s="13" t="n">
        <f aca="false">315</f>
        <v>315</v>
      </c>
      <c r="C3247" s="13" t="n">
        <f aca="false">IF(Szenarien!$H$19="OK",(IFERROR(SUMIF(Nutzungsprofile!$B$6:$B$11,"Schulbetrieb",Nutzungsprofile!$G$6:$G$11)*Kalender!C319/SUM(Kalender!$C$5:$C$370),0)+IFERROR(SUMIF(Nutzungsprofile!$B$6:$B$11,"Halle",Nutzungsprofile!$G$6:$G$11)*Kalender!D319/SUM(Kalender!$D$5:$D$370),0)+IFERROR(SUMIF(Nutzungsprofile!$B$6:$B$11,"Individuell",Nutzungsprofile!$G$6:$G$11)*Kalender!E319/SUM(Kalender!$E$5:$E$370),0))*Szenarien!$E$19,0)</f>
        <v>0.9</v>
      </c>
      <c r="D3247" s="13" t="n">
        <f aca="false">IF(Szenarien!$H$19="OK",(IFERROR(SUMIF(Nutzungsprofile!$B$17:$B$22,"Schulbetrieb",Nutzungsprofile!$G$17:$G$22)*Kalender!C319/SUM(Kalender!$C$5:$C$370),0)+IFERROR(SUMIF(Nutzungsprofile!$B$17:$B$22,"Halle",Nutzungsprofile!$G$17:$G$22)*Kalender!D319/SUM(Kalender!$D$5:$D$370),0)+IFERROR(SUMIF(Nutzungsprofile!$B$17:$B$22,"Individuell",Nutzungsprofile!$G$17:$G$22)*Kalender!E319/SUM(Kalender!$E$5:$E$370),0))*Szenarien!$D$19,0)</f>
        <v>4.86</v>
      </c>
      <c r="E3247" s="13" t="n">
        <f aca="false">IFERROR(MIN(C3247,Eingaben!$B$17)*Eingaben!$B$16,0)</f>
        <v>0.855</v>
      </c>
      <c r="F3247" s="13" t="n">
        <f aca="false">IFERROR(E3247*Eingaben!$B$15,0)</f>
        <v>0.7695</v>
      </c>
      <c r="G3247" s="13" t="n">
        <f aca="false">IFERROR(IF(Kalender!A319="",0,J3246*(1-Eingaben!$B$20)),0)</f>
        <v>0.226233</v>
      </c>
      <c r="H3247" s="13" t="n">
        <f aca="false">MIN(G3247,D3247)</f>
        <v>0.226233</v>
      </c>
      <c r="I3247" s="13" t="n">
        <f aca="false">IFERROR(MIN(F3247*Eingaben!$B$19,MAX(0,D3247-H3247)),0)</f>
        <v>0.53865</v>
      </c>
      <c r="J3247" s="13" t="n">
        <f aca="false">IFERROR(MIN(Eingaben!$B$18,MAX(0,F3247-I3247)),0)</f>
        <v>0.23085</v>
      </c>
      <c r="K3247" s="13" t="n">
        <f aca="false">H3247+I3247</f>
        <v>0.764883</v>
      </c>
      <c r="L3247" s="13" t="n">
        <f aca="false">MAX(0,D3247-K3247)</f>
        <v>4.095117</v>
      </c>
      <c r="M3247" s="13" t="n">
        <f aca="false">MAX(0,F3247-I3247-J3247)</f>
        <v>0</v>
      </c>
      <c r="N3247" s="13" t="n">
        <f aca="false">IF(Kalender!A319="",0,J3246-H3247)</f>
        <v>0.00461700000000001</v>
      </c>
    </row>
    <row r="3248" customFormat="false" ht="16.4" hidden="false" customHeight="false" outlineLevel="0" collapsed="false">
      <c r="A3248" s="13" t="str">
        <f aca="false">""</f>
        <v/>
      </c>
      <c r="B3248" s="13" t="n">
        <f aca="false">316</f>
        <v>316</v>
      </c>
      <c r="C3248" s="13" t="n">
        <f aca="false">IF(Szenarien!$H$19="OK",(IFERROR(SUMIF(Nutzungsprofile!$B$6:$B$11,"Schulbetrieb",Nutzungsprofile!$G$6:$G$11)*Kalender!C320/SUM(Kalender!$C$5:$C$370),0)+IFERROR(SUMIF(Nutzungsprofile!$B$6:$B$11,"Halle",Nutzungsprofile!$G$6:$G$11)*Kalender!D320/SUM(Kalender!$D$5:$D$370),0)+IFERROR(SUMIF(Nutzungsprofile!$B$6:$B$11,"Individuell",Nutzungsprofile!$G$6:$G$11)*Kalender!E320/SUM(Kalender!$E$5:$E$370),0))*Szenarien!$E$19,0)</f>
        <v>0.9</v>
      </c>
      <c r="D3248" s="13" t="n">
        <f aca="false">IF(Szenarien!$H$19="OK",(IFERROR(SUMIF(Nutzungsprofile!$B$17:$B$22,"Schulbetrieb",Nutzungsprofile!$G$17:$G$22)*Kalender!C320/SUM(Kalender!$C$5:$C$370),0)+IFERROR(SUMIF(Nutzungsprofile!$B$17:$B$22,"Halle",Nutzungsprofile!$G$17:$G$22)*Kalender!D320/SUM(Kalender!$D$5:$D$370),0)+IFERROR(SUMIF(Nutzungsprofile!$B$17:$B$22,"Individuell",Nutzungsprofile!$G$17:$G$22)*Kalender!E320/SUM(Kalender!$E$5:$E$370),0))*Szenarien!$D$19,0)</f>
        <v>4.86</v>
      </c>
      <c r="E3248" s="13" t="n">
        <f aca="false">IFERROR(MIN(C3248,Eingaben!$B$17)*Eingaben!$B$16,0)</f>
        <v>0.855</v>
      </c>
      <c r="F3248" s="13" t="n">
        <f aca="false">IFERROR(E3248*Eingaben!$B$15,0)</f>
        <v>0.7695</v>
      </c>
      <c r="G3248" s="13" t="n">
        <f aca="false">IFERROR(IF(Kalender!A320="",0,J3247*(1-Eingaben!$B$20)),0)</f>
        <v>0.226233</v>
      </c>
      <c r="H3248" s="13" t="n">
        <f aca="false">MIN(G3248,D3248)</f>
        <v>0.226233</v>
      </c>
      <c r="I3248" s="13" t="n">
        <f aca="false">IFERROR(MIN(F3248*Eingaben!$B$19,MAX(0,D3248-H3248)),0)</f>
        <v>0.53865</v>
      </c>
      <c r="J3248" s="13" t="n">
        <f aca="false">IFERROR(MIN(Eingaben!$B$18,MAX(0,F3248-I3248)),0)</f>
        <v>0.23085</v>
      </c>
      <c r="K3248" s="13" t="n">
        <f aca="false">H3248+I3248</f>
        <v>0.764883</v>
      </c>
      <c r="L3248" s="13" t="n">
        <f aca="false">MAX(0,D3248-K3248)</f>
        <v>4.095117</v>
      </c>
      <c r="M3248" s="13" t="n">
        <f aca="false">MAX(0,F3248-I3248-J3248)</f>
        <v>0</v>
      </c>
      <c r="N3248" s="13" t="n">
        <f aca="false">IF(Kalender!A320="",0,J3247-H3248)</f>
        <v>0.00461700000000001</v>
      </c>
    </row>
    <row r="3249" customFormat="false" ht="16.4" hidden="false" customHeight="false" outlineLevel="0" collapsed="false">
      <c r="A3249" s="13" t="str">
        <f aca="false">""</f>
        <v/>
      </c>
      <c r="B3249" s="13" t="n">
        <f aca="false">317</f>
        <v>317</v>
      </c>
      <c r="C3249" s="13" t="n">
        <f aca="false">IF(Szenarien!$H$19="OK",(IFERROR(SUMIF(Nutzungsprofile!$B$6:$B$11,"Schulbetrieb",Nutzungsprofile!$G$6:$G$11)*Kalender!C321/SUM(Kalender!$C$5:$C$370),0)+IFERROR(SUMIF(Nutzungsprofile!$B$6:$B$11,"Halle",Nutzungsprofile!$G$6:$G$11)*Kalender!D321/SUM(Kalender!$D$5:$D$370),0)+IFERROR(SUMIF(Nutzungsprofile!$B$6:$B$11,"Individuell",Nutzungsprofile!$G$6:$G$11)*Kalender!E321/SUM(Kalender!$E$5:$E$370),0))*Szenarien!$E$19,0)</f>
        <v>0.9</v>
      </c>
      <c r="D3249" s="13" t="n">
        <f aca="false">IF(Szenarien!$H$19="OK",(IFERROR(SUMIF(Nutzungsprofile!$B$17:$B$22,"Schulbetrieb",Nutzungsprofile!$G$17:$G$22)*Kalender!C321/SUM(Kalender!$C$5:$C$370),0)+IFERROR(SUMIF(Nutzungsprofile!$B$17:$B$22,"Halle",Nutzungsprofile!$G$17:$G$22)*Kalender!D321/SUM(Kalender!$D$5:$D$370),0)+IFERROR(SUMIF(Nutzungsprofile!$B$17:$B$22,"Individuell",Nutzungsprofile!$G$17:$G$22)*Kalender!E321/SUM(Kalender!$E$5:$E$370),0))*Szenarien!$D$19,0)</f>
        <v>4.86</v>
      </c>
      <c r="E3249" s="13" t="n">
        <f aca="false">IFERROR(MIN(C3249,Eingaben!$B$17)*Eingaben!$B$16,0)</f>
        <v>0.855</v>
      </c>
      <c r="F3249" s="13" t="n">
        <f aca="false">IFERROR(E3249*Eingaben!$B$15,0)</f>
        <v>0.7695</v>
      </c>
      <c r="G3249" s="13" t="n">
        <f aca="false">IFERROR(IF(Kalender!A321="",0,J3248*(1-Eingaben!$B$20)),0)</f>
        <v>0.226233</v>
      </c>
      <c r="H3249" s="13" t="n">
        <f aca="false">MIN(G3249,D3249)</f>
        <v>0.226233</v>
      </c>
      <c r="I3249" s="13" t="n">
        <f aca="false">IFERROR(MIN(F3249*Eingaben!$B$19,MAX(0,D3249-H3249)),0)</f>
        <v>0.53865</v>
      </c>
      <c r="J3249" s="13" t="n">
        <f aca="false">IFERROR(MIN(Eingaben!$B$18,MAX(0,F3249-I3249)),0)</f>
        <v>0.23085</v>
      </c>
      <c r="K3249" s="13" t="n">
        <f aca="false">H3249+I3249</f>
        <v>0.764883</v>
      </c>
      <c r="L3249" s="13" t="n">
        <f aca="false">MAX(0,D3249-K3249)</f>
        <v>4.095117</v>
      </c>
      <c r="M3249" s="13" t="n">
        <f aca="false">MAX(0,F3249-I3249-J3249)</f>
        <v>0</v>
      </c>
      <c r="N3249" s="13" t="n">
        <f aca="false">IF(Kalender!A321="",0,J3248-H3249)</f>
        <v>0.00461700000000001</v>
      </c>
    </row>
    <row r="3250" customFormat="false" ht="16.4" hidden="false" customHeight="false" outlineLevel="0" collapsed="false">
      <c r="A3250" s="13" t="str">
        <f aca="false">""</f>
        <v/>
      </c>
      <c r="B3250" s="13" t="n">
        <f aca="false">318</f>
        <v>318</v>
      </c>
      <c r="C3250" s="13" t="n">
        <f aca="false">IF(Szenarien!$H$19="OK",(IFERROR(SUMIF(Nutzungsprofile!$B$6:$B$11,"Schulbetrieb",Nutzungsprofile!$G$6:$G$11)*Kalender!C322/SUM(Kalender!$C$5:$C$370),0)+IFERROR(SUMIF(Nutzungsprofile!$B$6:$B$11,"Halle",Nutzungsprofile!$G$6:$G$11)*Kalender!D322/SUM(Kalender!$D$5:$D$370),0)+IFERROR(SUMIF(Nutzungsprofile!$B$6:$B$11,"Individuell",Nutzungsprofile!$G$6:$G$11)*Kalender!E322/SUM(Kalender!$E$5:$E$370),0))*Szenarien!$E$19,0)</f>
        <v>0</v>
      </c>
      <c r="D3250" s="13" t="n">
        <f aca="false">IF(Szenarien!$H$19="OK",(IFERROR(SUMIF(Nutzungsprofile!$B$17:$B$22,"Schulbetrieb",Nutzungsprofile!$G$17:$G$22)*Kalender!C322/SUM(Kalender!$C$5:$C$370),0)+IFERROR(SUMIF(Nutzungsprofile!$B$17:$B$22,"Halle",Nutzungsprofile!$G$17:$G$22)*Kalender!D322/SUM(Kalender!$D$5:$D$370),0)+IFERROR(SUMIF(Nutzungsprofile!$B$17:$B$22,"Individuell",Nutzungsprofile!$G$17:$G$22)*Kalender!E322/SUM(Kalender!$E$5:$E$370),0))*Szenarien!$D$19,0)</f>
        <v>0</v>
      </c>
      <c r="E3250" s="13" t="n">
        <f aca="false">IFERROR(MIN(C3250,Eingaben!$B$17)*Eingaben!$B$16,0)</f>
        <v>0</v>
      </c>
      <c r="F3250" s="13" t="n">
        <f aca="false">IFERROR(E3250*Eingaben!$B$15,0)</f>
        <v>0</v>
      </c>
      <c r="G3250" s="13" t="n">
        <f aca="false">IFERROR(IF(Kalender!A322="",0,J3249*(1-Eingaben!$B$20)),0)</f>
        <v>0.226233</v>
      </c>
      <c r="H3250" s="13" t="n">
        <f aca="false">MIN(G3250,D3250)</f>
        <v>0</v>
      </c>
      <c r="I3250" s="13" t="n">
        <f aca="false">IFERROR(MIN(F3250*Eingaben!$B$19,MAX(0,D3250-H3250)),0)</f>
        <v>0</v>
      </c>
      <c r="J3250" s="13" t="n">
        <f aca="false">IFERROR(MIN(Eingaben!$B$18,MAX(0,F3250-I3250)),0)</f>
        <v>0</v>
      </c>
      <c r="K3250" s="13" t="n">
        <f aca="false">H3250+I3250</f>
        <v>0</v>
      </c>
      <c r="L3250" s="13" t="n">
        <f aca="false">MAX(0,D3250-K3250)</f>
        <v>0</v>
      </c>
      <c r="M3250" s="13" t="n">
        <f aca="false">MAX(0,F3250-I3250-J3250)</f>
        <v>0</v>
      </c>
      <c r="N3250" s="13" t="n">
        <f aca="false">IF(Kalender!A322="",0,J3249-H3250)</f>
        <v>0.23085</v>
      </c>
    </row>
    <row r="3251" customFormat="false" ht="16.4" hidden="false" customHeight="false" outlineLevel="0" collapsed="false">
      <c r="A3251" s="13" t="str">
        <f aca="false">""</f>
        <v/>
      </c>
      <c r="B3251" s="13" t="n">
        <f aca="false">319</f>
        <v>319</v>
      </c>
      <c r="C3251" s="13" t="n">
        <f aca="false">IF(Szenarien!$H$19="OK",(IFERROR(SUMIF(Nutzungsprofile!$B$6:$B$11,"Schulbetrieb",Nutzungsprofile!$G$6:$G$11)*Kalender!C323/SUM(Kalender!$C$5:$C$370),0)+IFERROR(SUMIF(Nutzungsprofile!$B$6:$B$11,"Halle",Nutzungsprofile!$G$6:$G$11)*Kalender!D323/SUM(Kalender!$D$5:$D$370),0)+IFERROR(SUMIF(Nutzungsprofile!$B$6:$B$11,"Individuell",Nutzungsprofile!$G$6:$G$11)*Kalender!E323/SUM(Kalender!$E$5:$E$370),0))*Szenarien!$E$19,0)</f>
        <v>0</v>
      </c>
      <c r="D3251" s="13" t="n">
        <f aca="false">IF(Szenarien!$H$19="OK",(IFERROR(SUMIF(Nutzungsprofile!$B$17:$B$22,"Schulbetrieb",Nutzungsprofile!$G$17:$G$22)*Kalender!C323/SUM(Kalender!$C$5:$C$370),0)+IFERROR(SUMIF(Nutzungsprofile!$B$17:$B$22,"Halle",Nutzungsprofile!$G$17:$G$22)*Kalender!D323/SUM(Kalender!$D$5:$D$370),0)+IFERROR(SUMIF(Nutzungsprofile!$B$17:$B$22,"Individuell",Nutzungsprofile!$G$17:$G$22)*Kalender!E323/SUM(Kalender!$E$5:$E$370),0))*Szenarien!$D$19,0)</f>
        <v>0</v>
      </c>
      <c r="E3251" s="13" t="n">
        <f aca="false">IFERROR(MIN(C3251,Eingaben!$B$17)*Eingaben!$B$16,0)</f>
        <v>0</v>
      </c>
      <c r="F3251" s="13" t="n">
        <f aca="false">IFERROR(E3251*Eingaben!$B$15,0)</f>
        <v>0</v>
      </c>
      <c r="G3251" s="13" t="n">
        <f aca="false">IFERROR(IF(Kalender!A323="",0,J3250*(1-Eingaben!$B$20)),0)</f>
        <v>0</v>
      </c>
      <c r="H3251" s="13" t="n">
        <f aca="false">MIN(G3251,D3251)</f>
        <v>0</v>
      </c>
      <c r="I3251" s="13" t="n">
        <f aca="false">IFERROR(MIN(F3251*Eingaben!$B$19,MAX(0,D3251-H3251)),0)</f>
        <v>0</v>
      </c>
      <c r="J3251" s="13" t="n">
        <f aca="false">IFERROR(MIN(Eingaben!$B$18,MAX(0,F3251-I3251)),0)</f>
        <v>0</v>
      </c>
      <c r="K3251" s="13" t="n">
        <f aca="false">H3251+I3251</f>
        <v>0</v>
      </c>
      <c r="L3251" s="13" t="n">
        <f aca="false">MAX(0,D3251-K3251)</f>
        <v>0</v>
      </c>
      <c r="M3251" s="13" t="n">
        <f aca="false">MAX(0,F3251-I3251-J3251)</f>
        <v>0</v>
      </c>
      <c r="N3251" s="13" t="n">
        <f aca="false">IF(Kalender!A323="",0,J3250-H3251)</f>
        <v>0</v>
      </c>
    </row>
    <row r="3252" customFormat="false" ht="16.4" hidden="false" customHeight="false" outlineLevel="0" collapsed="false">
      <c r="A3252" s="13" t="str">
        <f aca="false">""</f>
        <v/>
      </c>
      <c r="B3252" s="13" t="n">
        <f aca="false">320</f>
        <v>320</v>
      </c>
      <c r="C3252" s="13" t="n">
        <f aca="false">IF(Szenarien!$H$19="OK",(IFERROR(SUMIF(Nutzungsprofile!$B$6:$B$11,"Schulbetrieb",Nutzungsprofile!$G$6:$G$11)*Kalender!C324/SUM(Kalender!$C$5:$C$370),0)+IFERROR(SUMIF(Nutzungsprofile!$B$6:$B$11,"Halle",Nutzungsprofile!$G$6:$G$11)*Kalender!D324/SUM(Kalender!$D$5:$D$370),0)+IFERROR(SUMIF(Nutzungsprofile!$B$6:$B$11,"Individuell",Nutzungsprofile!$G$6:$G$11)*Kalender!E324/SUM(Kalender!$E$5:$E$370),0))*Szenarien!$E$19,0)</f>
        <v>0.9</v>
      </c>
      <c r="D3252" s="13" t="n">
        <f aca="false">IF(Szenarien!$H$19="OK",(IFERROR(SUMIF(Nutzungsprofile!$B$17:$B$22,"Schulbetrieb",Nutzungsprofile!$G$17:$G$22)*Kalender!C324/SUM(Kalender!$C$5:$C$370),0)+IFERROR(SUMIF(Nutzungsprofile!$B$17:$B$22,"Halle",Nutzungsprofile!$G$17:$G$22)*Kalender!D324/SUM(Kalender!$D$5:$D$370),0)+IFERROR(SUMIF(Nutzungsprofile!$B$17:$B$22,"Individuell",Nutzungsprofile!$G$17:$G$22)*Kalender!E324/SUM(Kalender!$E$5:$E$370),0))*Szenarien!$D$19,0)</f>
        <v>4.86</v>
      </c>
      <c r="E3252" s="13" t="n">
        <f aca="false">IFERROR(MIN(C3252,Eingaben!$B$17)*Eingaben!$B$16,0)</f>
        <v>0.855</v>
      </c>
      <c r="F3252" s="13" t="n">
        <f aca="false">IFERROR(E3252*Eingaben!$B$15,0)</f>
        <v>0.7695</v>
      </c>
      <c r="G3252" s="13" t="n">
        <f aca="false">IFERROR(IF(Kalender!A324="",0,J3251*(1-Eingaben!$B$20)),0)</f>
        <v>0</v>
      </c>
      <c r="H3252" s="13" t="n">
        <f aca="false">MIN(G3252,D3252)</f>
        <v>0</v>
      </c>
      <c r="I3252" s="13" t="n">
        <f aca="false">IFERROR(MIN(F3252*Eingaben!$B$19,MAX(0,D3252-H3252)),0)</f>
        <v>0.53865</v>
      </c>
      <c r="J3252" s="13" t="n">
        <f aca="false">IFERROR(MIN(Eingaben!$B$18,MAX(0,F3252-I3252)),0)</f>
        <v>0.23085</v>
      </c>
      <c r="K3252" s="13" t="n">
        <f aca="false">H3252+I3252</f>
        <v>0.53865</v>
      </c>
      <c r="L3252" s="13" t="n">
        <f aca="false">MAX(0,D3252-K3252)</f>
        <v>4.32135</v>
      </c>
      <c r="M3252" s="13" t="n">
        <f aca="false">MAX(0,F3252-I3252-J3252)</f>
        <v>0</v>
      </c>
      <c r="N3252" s="13" t="n">
        <f aca="false">IF(Kalender!A324="",0,J3251-H3252)</f>
        <v>0</v>
      </c>
    </row>
    <row r="3253" customFormat="false" ht="16.4" hidden="false" customHeight="false" outlineLevel="0" collapsed="false">
      <c r="A3253" s="13" t="str">
        <f aca="false">""</f>
        <v/>
      </c>
      <c r="B3253" s="13" t="n">
        <f aca="false">321</f>
        <v>321</v>
      </c>
      <c r="C3253" s="13" t="n">
        <f aca="false">IF(Szenarien!$H$19="OK",(IFERROR(SUMIF(Nutzungsprofile!$B$6:$B$11,"Schulbetrieb",Nutzungsprofile!$G$6:$G$11)*Kalender!C325/SUM(Kalender!$C$5:$C$370),0)+IFERROR(SUMIF(Nutzungsprofile!$B$6:$B$11,"Halle",Nutzungsprofile!$G$6:$G$11)*Kalender!D325/SUM(Kalender!$D$5:$D$370),0)+IFERROR(SUMIF(Nutzungsprofile!$B$6:$B$11,"Individuell",Nutzungsprofile!$G$6:$G$11)*Kalender!E325/SUM(Kalender!$E$5:$E$370),0))*Szenarien!$E$19,0)</f>
        <v>0.9</v>
      </c>
      <c r="D3253" s="13" t="n">
        <f aca="false">IF(Szenarien!$H$19="OK",(IFERROR(SUMIF(Nutzungsprofile!$B$17:$B$22,"Schulbetrieb",Nutzungsprofile!$G$17:$G$22)*Kalender!C325/SUM(Kalender!$C$5:$C$370),0)+IFERROR(SUMIF(Nutzungsprofile!$B$17:$B$22,"Halle",Nutzungsprofile!$G$17:$G$22)*Kalender!D325/SUM(Kalender!$D$5:$D$370),0)+IFERROR(SUMIF(Nutzungsprofile!$B$17:$B$22,"Individuell",Nutzungsprofile!$G$17:$G$22)*Kalender!E325/SUM(Kalender!$E$5:$E$370),0))*Szenarien!$D$19,0)</f>
        <v>4.86</v>
      </c>
      <c r="E3253" s="13" t="n">
        <f aca="false">IFERROR(MIN(C3253,Eingaben!$B$17)*Eingaben!$B$16,0)</f>
        <v>0.855</v>
      </c>
      <c r="F3253" s="13" t="n">
        <f aca="false">IFERROR(E3253*Eingaben!$B$15,0)</f>
        <v>0.7695</v>
      </c>
      <c r="G3253" s="13" t="n">
        <f aca="false">IFERROR(IF(Kalender!A325="",0,J3252*(1-Eingaben!$B$20)),0)</f>
        <v>0.226233</v>
      </c>
      <c r="H3253" s="13" t="n">
        <f aca="false">MIN(G3253,D3253)</f>
        <v>0.226233</v>
      </c>
      <c r="I3253" s="13" t="n">
        <f aca="false">IFERROR(MIN(F3253*Eingaben!$B$19,MAX(0,D3253-H3253)),0)</f>
        <v>0.53865</v>
      </c>
      <c r="J3253" s="13" t="n">
        <f aca="false">IFERROR(MIN(Eingaben!$B$18,MAX(0,F3253-I3253)),0)</f>
        <v>0.23085</v>
      </c>
      <c r="K3253" s="13" t="n">
        <f aca="false">H3253+I3253</f>
        <v>0.764883</v>
      </c>
      <c r="L3253" s="13" t="n">
        <f aca="false">MAX(0,D3253-K3253)</f>
        <v>4.095117</v>
      </c>
      <c r="M3253" s="13" t="n">
        <f aca="false">MAX(0,F3253-I3253-J3253)</f>
        <v>0</v>
      </c>
      <c r="N3253" s="13" t="n">
        <f aca="false">IF(Kalender!A325="",0,J3252-H3253)</f>
        <v>0.00461700000000001</v>
      </c>
    </row>
    <row r="3254" customFormat="false" ht="16.4" hidden="false" customHeight="false" outlineLevel="0" collapsed="false">
      <c r="A3254" s="13" t="str">
        <f aca="false">""</f>
        <v/>
      </c>
      <c r="B3254" s="13" t="n">
        <f aca="false">322</f>
        <v>322</v>
      </c>
      <c r="C3254" s="13" t="n">
        <f aca="false">IF(Szenarien!$H$19="OK",(IFERROR(SUMIF(Nutzungsprofile!$B$6:$B$11,"Schulbetrieb",Nutzungsprofile!$G$6:$G$11)*Kalender!C326/SUM(Kalender!$C$5:$C$370),0)+IFERROR(SUMIF(Nutzungsprofile!$B$6:$B$11,"Halle",Nutzungsprofile!$G$6:$G$11)*Kalender!D326/SUM(Kalender!$D$5:$D$370),0)+IFERROR(SUMIF(Nutzungsprofile!$B$6:$B$11,"Individuell",Nutzungsprofile!$G$6:$G$11)*Kalender!E326/SUM(Kalender!$E$5:$E$370),0))*Szenarien!$E$19,0)</f>
        <v>0.9</v>
      </c>
      <c r="D3254" s="13" t="n">
        <f aca="false">IF(Szenarien!$H$19="OK",(IFERROR(SUMIF(Nutzungsprofile!$B$17:$B$22,"Schulbetrieb",Nutzungsprofile!$G$17:$G$22)*Kalender!C326/SUM(Kalender!$C$5:$C$370),0)+IFERROR(SUMIF(Nutzungsprofile!$B$17:$B$22,"Halle",Nutzungsprofile!$G$17:$G$22)*Kalender!D326/SUM(Kalender!$D$5:$D$370),0)+IFERROR(SUMIF(Nutzungsprofile!$B$17:$B$22,"Individuell",Nutzungsprofile!$G$17:$G$22)*Kalender!E326/SUM(Kalender!$E$5:$E$370),0))*Szenarien!$D$19,0)</f>
        <v>4.86</v>
      </c>
      <c r="E3254" s="13" t="n">
        <f aca="false">IFERROR(MIN(C3254,Eingaben!$B$17)*Eingaben!$B$16,0)</f>
        <v>0.855</v>
      </c>
      <c r="F3254" s="13" t="n">
        <f aca="false">IFERROR(E3254*Eingaben!$B$15,0)</f>
        <v>0.7695</v>
      </c>
      <c r="G3254" s="13" t="n">
        <f aca="false">IFERROR(IF(Kalender!A326="",0,J3253*(1-Eingaben!$B$20)),0)</f>
        <v>0.226233</v>
      </c>
      <c r="H3254" s="13" t="n">
        <f aca="false">MIN(G3254,D3254)</f>
        <v>0.226233</v>
      </c>
      <c r="I3254" s="13" t="n">
        <f aca="false">IFERROR(MIN(F3254*Eingaben!$B$19,MAX(0,D3254-H3254)),0)</f>
        <v>0.53865</v>
      </c>
      <c r="J3254" s="13" t="n">
        <f aca="false">IFERROR(MIN(Eingaben!$B$18,MAX(0,F3254-I3254)),0)</f>
        <v>0.23085</v>
      </c>
      <c r="K3254" s="13" t="n">
        <f aca="false">H3254+I3254</f>
        <v>0.764883</v>
      </c>
      <c r="L3254" s="13" t="n">
        <f aca="false">MAX(0,D3254-K3254)</f>
        <v>4.095117</v>
      </c>
      <c r="M3254" s="13" t="n">
        <f aca="false">MAX(0,F3254-I3254-J3254)</f>
        <v>0</v>
      </c>
      <c r="N3254" s="13" t="n">
        <f aca="false">IF(Kalender!A326="",0,J3253-H3254)</f>
        <v>0.00461700000000001</v>
      </c>
    </row>
    <row r="3255" customFormat="false" ht="16.4" hidden="false" customHeight="false" outlineLevel="0" collapsed="false">
      <c r="A3255" s="13" t="str">
        <f aca="false">""</f>
        <v/>
      </c>
      <c r="B3255" s="13" t="n">
        <f aca="false">323</f>
        <v>323</v>
      </c>
      <c r="C3255" s="13" t="n">
        <f aca="false">IF(Szenarien!$H$19="OK",(IFERROR(SUMIF(Nutzungsprofile!$B$6:$B$11,"Schulbetrieb",Nutzungsprofile!$G$6:$G$11)*Kalender!C327/SUM(Kalender!$C$5:$C$370),0)+IFERROR(SUMIF(Nutzungsprofile!$B$6:$B$11,"Halle",Nutzungsprofile!$G$6:$G$11)*Kalender!D327/SUM(Kalender!$D$5:$D$370),0)+IFERROR(SUMIF(Nutzungsprofile!$B$6:$B$11,"Individuell",Nutzungsprofile!$G$6:$G$11)*Kalender!E327/SUM(Kalender!$E$5:$E$370),0))*Szenarien!$E$19,0)</f>
        <v>0.9</v>
      </c>
      <c r="D3255" s="13" t="n">
        <f aca="false">IF(Szenarien!$H$19="OK",(IFERROR(SUMIF(Nutzungsprofile!$B$17:$B$22,"Schulbetrieb",Nutzungsprofile!$G$17:$G$22)*Kalender!C327/SUM(Kalender!$C$5:$C$370),0)+IFERROR(SUMIF(Nutzungsprofile!$B$17:$B$22,"Halle",Nutzungsprofile!$G$17:$G$22)*Kalender!D327/SUM(Kalender!$D$5:$D$370),0)+IFERROR(SUMIF(Nutzungsprofile!$B$17:$B$22,"Individuell",Nutzungsprofile!$G$17:$G$22)*Kalender!E327/SUM(Kalender!$E$5:$E$370),0))*Szenarien!$D$19,0)</f>
        <v>4.86</v>
      </c>
      <c r="E3255" s="13" t="n">
        <f aca="false">IFERROR(MIN(C3255,Eingaben!$B$17)*Eingaben!$B$16,0)</f>
        <v>0.855</v>
      </c>
      <c r="F3255" s="13" t="n">
        <f aca="false">IFERROR(E3255*Eingaben!$B$15,0)</f>
        <v>0.7695</v>
      </c>
      <c r="G3255" s="13" t="n">
        <f aca="false">IFERROR(IF(Kalender!A327="",0,J3254*(1-Eingaben!$B$20)),0)</f>
        <v>0.226233</v>
      </c>
      <c r="H3255" s="13" t="n">
        <f aca="false">MIN(G3255,D3255)</f>
        <v>0.226233</v>
      </c>
      <c r="I3255" s="13" t="n">
        <f aca="false">IFERROR(MIN(F3255*Eingaben!$B$19,MAX(0,D3255-H3255)),0)</f>
        <v>0.53865</v>
      </c>
      <c r="J3255" s="13" t="n">
        <f aca="false">IFERROR(MIN(Eingaben!$B$18,MAX(0,F3255-I3255)),0)</f>
        <v>0.23085</v>
      </c>
      <c r="K3255" s="13" t="n">
        <f aca="false">H3255+I3255</f>
        <v>0.764883</v>
      </c>
      <c r="L3255" s="13" t="n">
        <f aca="false">MAX(0,D3255-K3255)</f>
        <v>4.095117</v>
      </c>
      <c r="M3255" s="13" t="n">
        <f aca="false">MAX(0,F3255-I3255-J3255)</f>
        <v>0</v>
      </c>
      <c r="N3255" s="13" t="n">
        <f aca="false">IF(Kalender!A327="",0,J3254-H3255)</f>
        <v>0.00461700000000001</v>
      </c>
    </row>
    <row r="3256" customFormat="false" ht="16.4" hidden="false" customHeight="false" outlineLevel="0" collapsed="false">
      <c r="A3256" s="13" t="str">
        <f aca="false">""</f>
        <v/>
      </c>
      <c r="B3256" s="13" t="n">
        <f aca="false">324</f>
        <v>324</v>
      </c>
      <c r="C3256" s="13" t="n">
        <f aca="false">IF(Szenarien!$H$19="OK",(IFERROR(SUMIF(Nutzungsprofile!$B$6:$B$11,"Schulbetrieb",Nutzungsprofile!$G$6:$G$11)*Kalender!C328/SUM(Kalender!$C$5:$C$370),0)+IFERROR(SUMIF(Nutzungsprofile!$B$6:$B$11,"Halle",Nutzungsprofile!$G$6:$G$11)*Kalender!D328/SUM(Kalender!$D$5:$D$370),0)+IFERROR(SUMIF(Nutzungsprofile!$B$6:$B$11,"Individuell",Nutzungsprofile!$G$6:$G$11)*Kalender!E328/SUM(Kalender!$E$5:$E$370),0))*Szenarien!$E$19,0)</f>
        <v>0.9</v>
      </c>
      <c r="D3256" s="13" t="n">
        <f aca="false">IF(Szenarien!$H$19="OK",(IFERROR(SUMIF(Nutzungsprofile!$B$17:$B$22,"Schulbetrieb",Nutzungsprofile!$G$17:$G$22)*Kalender!C328/SUM(Kalender!$C$5:$C$370),0)+IFERROR(SUMIF(Nutzungsprofile!$B$17:$B$22,"Halle",Nutzungsprofile!$G$17:$G$22)*Kalender!D328/SUM(Kalender!$D$5:$D$370),0)+IFERROR(SUMIF(Nutzungsprofile!$B$17:$B$22,"Individuell",Nutzungsprofile!$G$17:$G$22)*Kalender!E328/SUM(Kalender!$E$5:$E$370),0))*Szenarien!$D$19,0)</f>
        <v>4.86</v>
      </c>
      <c r="E3256" s="13" t="n">
        <f aca="false">IFERROR(MIN(C3256,Eingaben!$B$17)*Eingaben!$B$16,0)</f>
        <v>0.855</v>
      </c>
      <c r="F3256" s="13" t="n">
        <f aca="false">IFERROR(E3256*Eingaben!$B$15,0)</f>
        <v>0.7695</v>
      </c>
      <c r="G3256" s="13" t="n">
        <f aca="false">IFERROR(IF(Kalender!A328="",0,J3255*(1-Eingaben!$B$20)),0)</f>
        <v>0.226233</v>
      </c>
      <c r="H3256" s="13" t="n">
        <f aca="false">MIN(G3256,D3256)</f>
        <v>0.226233</v>
      </c>
      <c r="I3256" s="13" t="n">
        <f aca="false">IFERROR(MIN(F3256*Eingaben!$B$19,MAX(0,D3256-H3256)),0)</f>
        <v>0.53865</v>
      </c>
      <c r="J3256" s="13" t="n">
        <f aca="false">IFERROR(MIN(Eingaben!$B$18,MAX(0,F3256-I3256)),0)</f>
        <v>0.23085</v>
      </c>
      <c r="K3256" s="13" t="n">
        <f aca="false">H3256+I3256</f>
        <v>0.764883</v>
      </c>
      <c r="L3256" s="13" t="n">
        <f aca="false">MAX(0,D3256-K3256)</f>
        <v>4.095117</v>
      </c>
      <c r="M3256" s="13" t="n">
        <f aca="false">MAX(0,F3256-I3256-J3256)</f>
        <v>0</v>
      </c>
      <c r="N3256" s="13" t="n">
        <f aca="false">IF(Kalender!A328="",0,J3255-H3256)</f>
        <v>0.00461700000000001</v>
      </c>
    </row>
    <row r="3257" customFormat="false" ht="16.4" hidden="false" customHeight="false" outlineLevel="0" collapsed="false">
      <c r="A3257" s="13" t="str">
        <f aca="false">""</f>
        <v/>
      </c>
      <c r="B3257" s="13" t="n">
        <f aca="false">325</f>
        <v>325</v>
      </c>
      <c r="C3257" s="13" t="n">
        <f aca="false">IF(Szenarien!$H$19="OK",(IFERROR(SUMIF(Nutzungsprofile!$B$6:$B$11,"Schulbetrieb",Nutzungsprofile!$G$6:$G$11)*Kalender!C329/SUM(Kalender!$C$5:$C$370),0)+IFERROR(SUMIF(Nutzungsprofile!$B$6:$B$11,"Halle",Nutzungsprofile!$G$6:$G$11)*Kalender!D329/SUM(Kalender!$D$5:$D$370),0)+IFERROR(SUMIF(Nutzungsprofile!$B$6:$B$11,"Individuell",Nutzungsprofile!$G$6:$G$11)*Kalender!E329/SUM(Kalender!$E$5:$E$370),0))*Szenarien!$E$19,0)</f>
        <v>0</v>
      </c>
      <c r="D3257" s="13" t="n">
        <f aca="false">IF(Szenarien!$H$19="OK",(IFERROR(SUMIF(Nutzungsprofile!$B$17:$B$22,"Schulbetrieb",Nutzungsprofile!$G$17:$G$22)*Kalender!C329/SUM(Kalender!$C$5:$C$370),0)+IFERROR(SUMIF(Nutzungsprofile!$B$17:$B$22,"Halle",Nutzungsprofile!$G$17:$G$22)*Kalender!D329/SUM(Kalender!$D$5:$D$370),0)+IFERROR(SUMIF(Nutzungsprofile!$B$17:$B$22,"Individuell",Nutzungsprofile!$G$17:$G$22)*Kalender!E329/SUM(Kalender!$E$5:$E$370),0))*Szenarien!$D$19,0)</f>
        <v>0</v>
      </c>
      <c r="E3257" s="13" t="n">
        <f aca="false">IFERROR(MIN(C3257,Eingaben!$B$17)*Eingaben!$B$16,0)</f>
        <v>0</v>
      </c>
      <c r="F3257" s="13" t="n">
        <f aca="false">IFERROR(E3257*Eingaben!$B$15,0)</f>
        <v>0</v>
      </c>
      <c r="G3257" s="13" t="n">
        <f aca="false">IFERROR(IF(Kalender!A329="",0,J3256*(1-Eingaben!$B$20)),0)</f>
        <v>0.226233</v>
      </c>
      <c r="H3257" s="13" t="n">
        <f aca="false">MIN(G3257,D3257)</f>
        <v>0</v>
      </c>
      <c r="I3257" s="13" t="n">
        <f aca="false">IFERROR(MIN(F3257*Eingaben!$B$19,MAX(0,D3257-H3257)),0)</f>
        <v>0</v>
      </c>
      <c r="J3257" s="13" t="n">
        <f aca="false">IFERROR(MIN(Eingaben!$B$18,MAX(0,F3257-I3257)),0)</f>
        <v>0</v>
      </c>
      <c r="K3257" s="13" t="n">
        <f aca="false">H3257+I3257</f>
        <v>0</v>
      </c>
      <c r="L3257" s="13" t="n">
        <f aca="false">MAX(0,D3257-K3257)</f>
        <v>0</v>
      </c>
      <c r="M3257" s="13" t="n">
        <f aca="false">MAX(0,F3257-I3257-J3257)</f>
        <v>0</v>
      </c>
      <c r="N3257" s="13" t="n">
        <f aca="false">IF(Kalender!A329="",0,J3256-H3257)</f>
        <v>0.23085</v>
      </c>
    </row>
    <row r="3258" customFormat="false" ht="16.4" hidden="false" customHeight="false" outlineLevel="0" collapsed="false">
      <c r="A3258" s="13" t="str">
        <f aca="false">""</f>
        <v/>
      </c>
      <c r="B3258" s="13" t="n">
        <f aca="false">326</f>
        <v>326</v>
      </c>
      <c r="C3258" s="13" t="n">
        <f aca="false">IF(Szenarien!$H$19="OK",(IFERROR(SUMIF(Nutzungsprofile!$B$6:$B$11,"Schulbetrieb",Nutzungsprofile!$G$6:$G$11)*Kalender!C330/SUM(Kalender!$C$5:$C$370),0)+IFERROR(SUMIF(Nutzungsprofile!$B$6:$B$11,"Halle",Nutzungsprofile!$G$6:$G$11)*Kalender!D330/SUM(Kalender!$D$5:$D$370),0)+IFERROR(SUMIF(Nutzungsprofile!$B$6:$B$11,"Individuell",Nutzungsprofile!$G$6:$G$11)*Kalender!E330/SUM(Kalender!$E$5:$E$370),0))*Szenarien!$E$19,0)</f>
        <v>0</v>
      </c>
      <c r="D3258" s="13" t="n">
        <f aca="false">IF(Szenarien!$H$19="OK",(IFERROR(SUMIF(Nutzungsprofile!$B$17:$B$22,"Schulbetrieb",Nutzungsprofile!$G$17:$G$22)*Kalender!C330/SUM(Kalender!$C$5:$C$370),0)+IFERROR(SUMIF(Nutzungsprofile!$B$17:$B$22,"Halle",Nutzungsprofile!$G$17:$G$22)*Kalender!D330/SUM(Kalender!$D$5:$D$370),0)+IFERROR(SUMIF(Nutzungsprofile!$B$17:$B$22,"Individuell",Nutzungsprofile!$G$17:$G$22)*Kalender!E330/SUM(Kalender!$E$5:$E$370),0))*Szenarien!$D$19,0)</f>
        <v>0</v>
      </c>
      <c r="E3258" s="13" t="n">
        <f aca="false">IFERROR(MIN(C3258,Eingaben!$B$17)*Eingaben!$B$16,0)</f>
        <v>0</v>
      </c>
      <c r="F3258" s="13" t="n">
        <f aca="false">IFERROR(E3258*Eingaben!$B$15,0)</f>
        <v>0</v>
      </c>
      <c r="G3258" s="13" t="n">
        <f aca="false">IFERROR(IF(Kalender!A330="",0,J3257*(1-Eingaben!$B$20)),0)</f>
        <v>0</v>
      </c>
      <c r="H3258" s="13" t="n">
        <f aca="false">MIN(G3258,D3258)</f>
        <v>0</v>
      </c>
      <c r="I3258" s="13" t="n">
        <f aca="false">IFERROR(MIN(F3258*Eingaben!$B$19,MAX(0,D3258-H3258)),0)</f>
        <v>0</v>
      </c>
      <c r="J3258" s="13" t="n">
        <f aca="false">IFERROR(MIN(Eingaben!$B$18,MAX(0,F3258-I3258)),0)</f>
        <v>0</v>
      </c>
      <c r="K3258" s="13" t="n">
        <f aca="false">H3258+I3258</f>
        <v>0</v>
      </c>
      <c r="L3258" s="13" t="n">
        <f aca="false">MAX(0,D3258-K3258)</f>
        <v>0</v>
      </c>
      <c r="M3258" s="13" t="n">
        <f aca="false">MAX(0,F3258-I3258-J3258)</f>
        <v>0</v>
      </c>
      <c r="N3258" s="13" t="n">
        <f aca="false">IF(Kalender!A330="",0,J3257-H3258)</f>
        <v>0</v>
      </c>
    </row>
    <row r="3259" customFormat="false" ht="16.4" hidden="false" customHeight="false" outlineLevel="0" collapsed="false">
      <c r="A3259" s="13" t="str">
        <f aca="false">""</f>
        <v/>
      </c>
      <c r="B3259" s="13" t="n">
        <f aca="false">327</f>
        <v>327</v>
      </c>
      <c r="C3259" s="13" t="n">
        <f aca="false">IF(Szenarien!$H$19="OK",(IFERROR(SUMIF(Nutzungsprofile!$B$6:$B$11,"Schulbetrieb",Nutzungsprofile!$G$6:$G$11)*Kalender!C331/SUM(Kalender!$C$5:$C$370),0)+IFERROR(SUMIF(Nutzungsprofile!$B$6:$B$11,"Halle",Nutzungsprofile!$G$6:$G$11)*Kalender!D331/SUM(Kalender!$D$5:$D$370),0)+IFERROR(SUMIF(Nutzungsprofile!$B$6:$B$11,"Individuell",Nutzungsprofile!$G$6:$G$11)*Kalender!E331/SUM(Kalender!$E$5:$E$370),0))*Szenarien!$E$19,0)</f>
        <v>0.9</v>
      </c>
      <c r="D3259" s="13" t="n">
        <f aca="false">IF(Szenarien!$H$19="OK",(IFERROR(SUMIF(Nutzungsprofile!$B$17:$B$22,"Schulbetrieb",Nutzungsprofile!$G$17:$G$22)*Kalender!C331/SUM(Kalender!$C$5:$C$370),0)+IFERROR(SUMIF(Nutzungsprofile!$B$17:$B$22,"Halle",Nutzungsprofile!$G$17:$G$22)*Kalender!D331/SUM(Kalender!$D$5:$D$370),0)+IFERROR(SUMIF(Nutzungsprofile!$B$17:$B$22,"Individuell",Nutzungsprofile!$G$17:$G$22)*Kalender!E331/SUM(Kalender!$E$5:$E$370),0))*Szenarien!$D$19,0)</f>
        <v>4.86</v>
      </c>
      <c r="E3259" s="13" t="n">
        <f aca="false">IFERROR(MIN(C3259,Eingaben!$B$17)*Eingaben!$B$16,0)</f>
        <v>0.855</v>
      </c>
      <c r="F3259" s="13" t="n">
        <f aca="false">IFERROR(E3259*Eingaben!$B$15,0)</f>
        <v>0.7695</v>
      </c>
      <c r="G3259" s="13" t="n">
        <f aca="false">IFERROR(IF(Kalender!A331="",0,J3258*(1-Eingaben!$B$20)),0)</f>
        <v>0</v>
      </c>
      <c r="H3259" s="13" t="n">
        <f aca="false">MIN(G3259,D3259)</f>
        <v>0</v>
      </c>
      <c r="I3259" s="13" t="n">
        <f aca="false">IFERROR(MIN(F3259*Eingaben!$B$19,MAX(0,D3259-H3259)),0)</f>
        <v>0.53865</v>
      </c>
      <c r="J3259" s="13" t="n">
        <f aca="false">IFERROR(MIN(Eingaben!$B$18,MAX(0,F3259-I3259)),0)</f>
        <v>0.23085</v>
      </c>
      <c r="K3259" s="13" t="n">
        <f aca="false">H3259+I3259</f>
        <v>0.53865</v>
      </c>
      <c r="L3259" s="13" t="n">
        <f aca="false">MAX(0,D3259-K3259)</f>
        <v>4.32135</v>
      </c>
      <c r="M3259" s="13" t="n">
        <f aca="false">MAX(0,F3259-I3259-J3259)</f>
        <v>0</v>
      </c>
      <c r="N3259" s="13" t="n">
        <f aca="false">IF(Kalender!A331="",0,J3258-H3259)</f>
        <v>0</v>
      </c>
    </row>
    <row r="3260" customFormat="false" ht="16.4" hidden="false" customHeight="false" outlineLevel="0" collapsed="false">
      <c r="A3260" s="13" t="str">
        <f aca="false">""</f>
        <v/>
      </c>
      <c r="B3260" s="13" t="n">
        <f aca="false">328</f>
        <v>328</v>
      </c>
      <c r="C3260" s="13" t="n">
        <f aca="false">IF(Szenarien!$H$19="OK",(IFERROR(SUMIF(Nutzungsprofile!$B$6:$B$11,"Schulbetrieb",Nutzungsprofile!$G$6:$G$11)*Kalender!C332/SUM(Kalender!$C$5:$C$370),0)+IFERROR(SUMIF(Nutzungsprofile!$B$6:$B$11,"Halle",Nutzungsprofile!$G$6:$G$11)*Kalender!D332/SUM(Kalender!$D$5:$D$370),0)+IFERROR(SUMIF(Nutzungsprofile!$B$6:$B$11,"Individuell",Nutzungsprofile!$G$6:$G$11)*Kalender!E332/SUM(Kalender!$E$5:$E$370),0))*Szenarien!$E$19,0)</f>
        <v>0.9</v>
      </c>
      <c r="D3260" s="13" t="n">
        <f aca="false">IF(Szenarien!$H$19="OK",(IFERROR(SUMIF(Nutzungsprofile!$B$17:$B$22,"Schulbetrieb",Nutzungsprofile!$G$17:$G$22)*Kalender!C332/SUM(Kalender!$C$5:$C$370),0)+IFERROR(SUMIF(Nutzungsprofile!$B$17:$B$22,"Halle",Nutzungsprofile!$G$17:$G$22)*Kalender!D332/SUM(Kalender!$D$5:$D$370),0)+IFERROR(SUMIF(Nutzungsprofile!$B$17:$B$22,"Individuell",Nutzungsprofile!$G$17:$G$22)*Kalender!E332/SUM(Kalender!$E$5:$E$370),0))*Szenarien!$D$19,0)</f>
        <v>4.86</v>
      </c>
      <c r="E3260" s="13" t="n">
        <f aca="false">IFERROR(MIN(C3260,Eingaben!$B$17)*Eingaben!$B$16,0)</f>
        <v>0.855</v>
      </c>
      <c r="F3260" s="13" t="n">
        <f aca="false">IFERROR(E3260*Eingaben!$B$15,0)</f>
        <v>0.7695</v>
      </c>
      <c r="G3260" s="13" t="n">
        <f aca="false">IFERROR(IF(Kalender!A332="",0,J3259*(1-Eingaben!$B$20)),0)</f>
        <v>0.226233</v>
      </c>
      <c r="H3260" s="13" t="n">
        <f aca="false">MIN(G3260,D3260)</f>
        <v>0.226233</v>
      </c>
      <c r="I3260" s="13" t="n">
        <f aca="false">IFERROR(MIN(F3260*Eingaben!$B$19,MAX(0,D3260-H3260)),0)</f>
        <v>0.53865</v>
      </c>
      <c r="J3260" s="13" t="n">
        <f aca="false">IFERROR(MIN(Eingaben!$B$18,MAX(0,F3260-I3260)),0)</f>
        <v>0.23085</v>
      </c>
      <c r="K3260" s="13" t="n">
        <f aca="false">H3260+I3260</f>
        <v>0.764883</v>
      </c>
      <c r="L3260" s="13" t="n">
        <f aca="false">MAX(0,D3260-K3260)</f>
        <v>4.095117</v>
      </c>
      <c r="M3260" s="13" t="n">
        <f aca="false">MAX(0,F3260-I3260-J3260)</f>
        <v>0</v>
      </c>
      <c r="N3260" s="13" t="n">
        <f aca="false">IF(Kalender!A332="",0,J3259-H3260)</f>
        <v>0.00461700000000001</v>
      </c>
    </row>
    <row r="3261" customFormat="false" ht="16.4" hidden="false" customHeight="false" outlineLevel="0" collapsed="false">
      <c r="A3261" s="13" t="str">
        <f aca="false">""</f>
        <v/>
      </c>
      <c r="B3261" s="13" t="n">
        <f aca="false">329</f>
        <v>329</v>
      </c>
      <c r="C3261" s="13" t="n">
        <f aca="false">IF(Szenarien!$H$19="OK",(IFERROR(SUMIF(Nutzungsprofile!$B$6:$B$11,"Schulbetrieb",Nutzungsprofile!$G$6:$G$11)*Kalender!C333/SUM(Kalender!$C$5:$C$370),0)+IFERROR(SUMIF(Nutzungsprofile!$B$6:$B$11,"Halle",Nutzungsprofile!$G$6:$G$11)*Kalender!D333/SUM(Kalender!$D$5:$D$370),0)+IFERROR(SUMIF(Nutzungsprofile!$B$6:$B$11,"Individuell",Nutzungsprofile!$G$6:$G$11)*Kalender!E333/SUM(Kalender!$E$5:$E$370),0))*Szenarien!$E$19,0)</f>
        <v>0</v>
      </c>
      <c r="D3261" s="13" t="n">
        <f aca="false">IF(Szenarien!$H$19="OK",(IFERROR(SUMIF(Nutzungsprofile!$B$17:$B$22,"Schulbetrieb",Nutzungsprofile!$G$17:$G$22)*Kalender!C333/SUM(Kalender!$C$5:$C$370),0)+IFERROR(SUMIF(Nutzungsprofile!$B$17:$B$22,"Halle",Nutzungsprofile!$G$17:$G$22)*Kalender!D333/SUM(Kalender!$D$5:$D$370),0)+IFERROR(SUMIF(Nutzungsprofile!$B$17:$B$22,"Individuell",Nutzungsprofile!$G$17:$G$22)*Kalender!E333/SUM(Kalender!$E$5:$E$370),0))*Szenarien!$D$19,0)</f>
        <v>0</v>
      </c>
      <c r="E3261" s="13" t="n">
        <f aca="false">IFERROR(MIN(C3261,Eingaben!$B$17)*Eingaben!$B$16,0)</f>
        <v>0</v>
      </c>
      <c r="F3261" s="13" t="n">
        <f aca="false">IFERROR(E3261*Eingaben!$B$15,0)</f>
        <v>0</v>
      </c>
      <c r="G3261" s="13" t="n">
        <f aca="false">IFERROR(IF(Kalender!A333="",0,J3260*(1-Eingaben!$B$20)),0)</f>
        <v>0.226233</v>
      </c>
      <c r="H3261" s="13" t="n">
        <f aca="false">MIN(G3261,D3261)</f>
        <v>0</v>
      </c>
      <c r="I3261" s="13" t="n">
        <f aca="false">IFERROR(MIN(F3261*Eingaben!$B$19,MAX(0,D3261-H3261)),0)</f>
        <v>0</v>
      </c>
      <c r="J3261" s="13" t="n">
        <f aca="false">IFERROR(MIN(Eingaben!$B$18,MAX(0,F3261-I3261)),0)</f>
        <v>0</v>
      </c>
      <c r="K3261" s="13" t="n">
        <f aca="false">H3261+I3261</f>
        <v>0</v>
      </c>
      <c r="L3261" s="13" t="n">
        <f aca="false">MAX(0,D3261-K3261)</f>
        <v>0</v>
      </c>
      <c r="M3261" s="13" t="n">
        <f aca="false">MAX(0,F3261-I3261-J3261)</f>
        <v>0</v>
      </c>
      <c r="N3261" s="13" t="n">
        <f aca="false">IF(Kalender!A333="",0,J3260-H3261)</f>
        <v>0.23085</v>
      </c>
    </row>
    <row r="3262" customFormat="false" ht="16.4" hidden="false" customHeight="false" outlineLevel="0" collapsed="false">
      <c r="A3262" s="13" t="str">
        <f aca="false">""</f>
        <v/>
      </c>
      <c r="B3262" s="13" t="n">
        <f aca="false">330</f>
        <v>330</v>
      </c>
      <c r="C3262" s="13" t="n">
        <f aca="false">IF(Szenarien!$H$19="OK",(IFERROR(SUMIF(Nutzungsprofile!$B$6:$B$11,"Schulbetrieb",Nutzungsprofile!$G$6:$G$11)*Kalender!C334/SUM(Kalender!$C$5:$C$370),0)+IFERROR(SUMIF(Nutzungsprofile!$B$6:$B$11,"Halle",Nutzungsprofile!$G$6:$G$11)*Kalender!D334/SUM(Kalender!$D$5:$D$370),0)+IFERROR(SUMIF(Nutzungsprofile!$B$6:$B$11,"Individuell",Nutzungsprofile!$G$6:$G$11)*Kalender!E334/SUM(Kalender!$E$5:$E$370),0))*Szenarien!$E$19,0)</f>
        <v>0</v>
      </c>
      <c r="D3262" s="13" t="n">
        <f aca="false">IF(Szenarien!$H$19="OK",(IFERROR(SUMIF(Nutzungsprofile!$B$17:$B$22,"Schulbetrieb",Nutzungsprofile!$G$17:$G$22)*Kalender!C334/SUM(Kalender!$C$5:$C$370),0)+IFERROR(SUMIF(Nutzungsprofile!$B$17:$B$22,"Halle",Nutzungsprofile!$G$17:$G$22)*Kalender!D334/SUM(Kalender!$D$5:$D$370),0)+IFERROR(SUMIF(Nutzungsprofile!$B$17:$B$22,"Individuell",Nutzungsprofile!$G$17:$G$22)*Kalender!E334/SUM(Kalender!$E$5:$E$370),0))*Szenarien!$D$19,0)</f>
        <v>0</v>
      </c>
      <c r="E3262" s="13" t="n">
        <f aca="false">IFERROR(MIN(C3262,Eingaben!$B$17)*Eingaben!$B$16,0)</f>
        <v>0</v>
      </c>
      <c r="F3262" s="13" t="n">
        <f aca="false">IFERROR(E3262*Eingaben!$B$15,0)</f>
        <v>0</v>
      </c>
      <c r="G3262" s="13" t="n">
        <f aca="false">IFERROR(IF(Kalender!A334="",0,J3261*(1-Eingaben!$B$20)),0)</f>
        <v>0</v>
      </c>
      <c r="H3262" s="13" t="n">
        <f aca="false">MIN(G3262,D3262)</f>
        <v>0</v>
      </c>
      <c r="I3262" s="13" t="n">
        <f aca="false">IFERROR(MIN(F3262*Eingaben!$B$19,MAX(0,D3262-H3262)),0)</f>
        <v>0</v>
      </c>
      <c r="J3262" s="13" t="n">
        <f aca="false">IFERROR(MIN(Eingaben!$B$18,MAX(0,F3262-I3262)),0)</f>
        <v>0</v>
      </c>
      <c r="K3262" s="13" t="n">
        <f aca="false">H3262+I3262</f>
        <v>0</v>
      </c>
      <c r="L3262" s="13" t="n">
        <f aca="false">MAX(0,D3262-K3262)</f>
        <v>0</v>
      </c>
      <c r="M3262" s="13" t="n">
        <f aca="false">MAX(0,F3262-I3262-J3262)</f>
        <v>0</v>
      </c>
      <c r="N3262" s="13" t="n">
        <f aca="false">IF(Kalender!A334="",0,J3261-H3262)</f>
        <v>0</v>
      </c>
    </row>
    <row r="3263" customFormat="false" ht="16.4" hidden="false" customHeight="false" outlineLevel="0" collapsed="false">
      <c r="A3263" s="13" t="str">
        <f aca="false">""</f>
        <v/>
      </c>
      <c r="B3263" s="13" t="n">
        <f aca="false">331</f>
        <v>331</v>
      </c>
      <c r="C3263" s="13" t="n">
        <f aca="false">IF(Szenarien!$H$19="OK",(IFERROR(SUMIF(Nutzungsprofile!$B$6:$B$11,"Schulbetrieb",Nutzungsprofile!$G$6:$G$11)*Kalender!C335/SUM(Kalender!$C$5:$C$370),0)+IFERROR(SUMIF(Nutzungsprofile!$B$6:$B$11,"Halle",Nutzungsprofile!$G$6:$G$11)*Kalender!D335/SUM(Kalender!$D$5:$D$370),0)+IFERROR(SUMIF(Nutzungsprofile!$B$6:$B$11,"Individuell",Nutzungsprofile!$G$6:$G$11)*Kalender!E335/SUM(Kalender!$E$5:$E$370),0))*Szenarien!$E$19,0)</f>
        <v>0</v>
      </c>
      <c r="D3263" s="13" t="n">
        <f aca="false">IF(Szenarien!$H$19="OK",(IFERROR(SUMIF(Nutzungsprofile!$B$17:$B$22,"Schulbetrieb",Nutzungsprofile!$G$17:$G$22)*Kalender!C335/SUM(Kalender!$C$5:$C$370),0)+IFERROR(SUMIF(Nutzungsprofile!$B$17:$B$22,"Halle",Nutzungsprofile!$G$17:$G$22)*Kalender!D335/SUM(Kalender!$D$5:$D$370),0)+IFERROR(SUMIF(Nutzungsprofile!$B$17:$B$22,"Individuell",Nutzungsprofile!$G$17:$G$22)*Kalender!E335/SUM(Kalender!$E$5:$E$370),0))*Szenarien!$D$19,0)</f>
        <v>0</v>
      </c>
      <c r="E3263" s="13" t="n">
        <f aca="false">IFERROR(MIN(C3263,Eingaben!$B$17)*Eingaben!$B$16,0)</f>
        <v>0</v>
      </c>
      <c r="F3263" s="13" t="n">
        <f aca="false">IFERROR(E3263*Eingaben!$B$15,0)</f>
        <v>0</v>
      </c>
      <c r="G3263" s="13" t="n">
        <f aca="false">IFERROR(IF(Kalender!A335="",0,J3262*(1-Eingaben!$B$20)),0)</f>
        <v>0</v>
      </c>
      <c r="H3263" s="13" t="n">
        <f aca="false">MIN(G3263,D3263)</f>
        <v>0</v>
      </c>
      <c r="I3263" s="13" t="n">
        <f aca="false">IFERROR(MIN(F3263*Eingaben!$B$19,MAX(0,D3263-H3263)),0)</f>
        <v>0</v>
      </c>
      <c r="J3263" s="13" t="n">
        <f aca="false">IFERROR(MIN(Eingaben!$B$18,MAX(0,F3263-I3263)),0)</f>
        <v>0</v>
      </c>
      <c r="K3263" s="13" t="n">
        <f aca="false">H3263+I3263</f>
        <v>0</v>
      </c>
      <c r="L3263" s="13" t="n">
        <f aca="false">MAX(0,D3263-K3263)</f>
        <v>0</v>
      </c>
      <c r="M3263" s="13" t="n">
        <f aca="false">MAX(0,F3263-I3263-J3263)</f>
        <v>0</v>
      </c>
      <c r="N3263" s="13" t="n">
        <f aca="false">IF(Kalender!A335="",0,J3262-H3263)</f>
        <v>0</v>
      </c>
    </row>
    <row r="3264" customFormat="false" ht="16.4" hidden="false" customHeight="false" outlineLevel="0" collapsed="false">
      <c r="A3264" s="13" t="str">
        <f aca="false">""</f>
        <v/>
      </c>
      <c r="B3264" s="13" t="n">
        <f aca="false">332</f>
        <v>332</v>
      </c>
      <c r="C3264" s="13" t="n">
        <f aca="false">IF(Szenarien!$H$19="OK",(IFERROR(SUMIF(Nutzungsprofile!$B$6:$B$11,"Schulbetrieb",Nutzungsprofile!$G$6:$G$11)*Kalender!C336/SUM(Kalender!$C$5:$C$370),0)+IFERROR(SUMIF(Nutzungsprofile!$B$6:$B$11,"Halle",Nutzungsprofile!$G$6:$G$11)*Kalender!D336/SUM(Kalender!$D$5:$D$370),0)+IFERROR(SUMIF(Nutzungsprofile!$B$6:$B$11,"Individuell",Nutzungsprofile!$G$6:$G$11)*Kalender!E336/SUM(Kalender!$E$5:$E$370),0))*Szenarien!$E$19,0)</f>
        <v>0</v>
      </c>
      <c r="D3264" s="13" t="n">
        <f aca="false">IF(Szenarien!$H$19="OK",(IFERROR(SUMIF(Nutzungsprofile!$B$17:$B$22,"Schulbetrieb",Nutzungsprofile!$G$17:$G$22)*Kalender!C336/SUM(Kalender!$C$5:$C$370),0)+IFERROR(SUMIF(Nutzungsprofile!$B$17:$B$22,"Halle",Nutzungsprofile!$G$17:$G$22)*Kalender!D336/SUM(Kalender!$D$5:$D$370),0)+IFERROR(SUMIF(Nutzungsprofile!$B$17:$B$22,"Individuell",Nutzungsprofile!$G$17:$G$22)*Kalender!E336/SUM(Kalender!$E$5:$E$370),0))*Szenarien!$D$19,0)</f>
        <v>0</v>
      </c>
      <c r="E3264" s="13" t="n">
        <f aca="false">IFERROR(MIN(C3264,Eingaben!$B$17)*Eingaben!$B$16,0)</f>
        <v>0</v>
      </c>
      <c r="F3264" s="13" t="n">
        <f aca="false">IFERROR(E3264*Eingaben!$B$15,0)</f>
        <v>0</v>
      </c>
      <c r="G3264" s="13" t="n">
        <f aca="false">IFERROR(IF(Kalender!A336="",0,J3263*(1-Eingaben!$B$20)),0)</f>
        <v>0</v>
      </c>
      <c r="H3264" s="13" t="n">
        <f aca="false">MIN(G3264,D3264)</f>
        <v>0</v>
      </c>
      <c r="I3264" s="13" t="n">
        <f aca="false">IFERROR(MIN(F3264*Eingaben!$B$19,MAX(0,D3264-H3264)),0)</f>
        <v>0</v>
      </c>
      <c r="J3264" s="13" t="n">
        <f aca="false">IFERROR(MIN(Eingaben!$B$18,MAX(0,F3264-I3264)),0)</f>
        <v>0</v>
      </c>
      <c r="K3264" s="13" t="n">
        <f aca="false">H3264+I3264</f>
        <v>0</v>
      </c>
      <c r="L3264" s="13" t="n">
        <f aca="false">MAX(0,D3264-K3264)</f>
        <v>0</v>
      </c>
      <c r="M3264" s="13" t="n">
        <f aca="false">MAX(0,F3264-I3264-J3264)</f>
        <v>0</v>
      </c>
      <c r="N3264" s="13" t="n">
        <f aca="false">IF(Kalender!A336="",0,J3263-H3264)</f>
        <v>0</v>
      </c>
    </row>
    <row r="3265" customFormat="false" ht="16.4" hidden="false" customHeight="false" outlineLevel="0" collapsed="false">
      <c r="A3265" s="13" t="str">
        <f aca="false">""</f>
        <v/>
      </c>
      <c r="B3265" s="13" t="n">
        <f aca="false">333</f>
        <v>333</v>
      </c>
      <c r="C3265" s="13" t="n">
        <f aca="false">IF(Szenarien!$H$19="OK",(IFERROR(SUMIF(Nutzungsprofile!$B$6:$B$11,"Schulbetrieb",Nutzungsprofile!$G$6:$G$11)*Kalender!C337/SUM(Kalender!$C$5:$C$370),0)+IFERROR(SUMIF(Nutzungsprofile!$B$6:$B$11,"Halle",Nutzungsprofile!$G$6:$G$11)*Kalender!D337/SUM(Kalender!$D$5:$D$370),0)+IFERROR(SUMIF(Nutzungsprofile!$B$6:$B$11,"Individuell",Nutzungsprofile!$G$6:$G$11)*Kalender!E337/SUM(Kalender!$E$5:$E$370),0))*Szenarien!$E$19,0)</f>
        <v>0</v>
      </c>
      <c r="D3265" s="13" t="n">
        <f aca="false">IF(Szenarien!$H$19="OK",(IFERROR(SUMIF(Nutzungsprofile!$B$17:$B$22,"Schulbetrieb",Nutzungsprofile!$G$17:$G$22)*Kalender!C337/SUM(Kalender!$C$5:$C$370),0)+IFERROR(SUMIF(Nutzungsprofile!$B$17:$B$22,"Halle",Nutzungsprofile!$G$17:$G$22)*Kalender!D337/SUM(Kalender!$D$5:$D$370),0)+IFERROR(SUMIF(Nutzungsprofile!$B$17:$B$22,"Individuell",Nutzungsprofile!$G$17:$G$22)*Kalender!E337/SUM(Kalender!$E$5:$E$370),0))*Szenarien!$D$19,0)</f>
        <v>0</v>
      </c>
      <c r="E3265" s="13" t="n">
        <f aca="false">IFERROR(MIN(C3265,Eingaben!$B$17)*Eingaben!$B$16,0)</f>
        <v>0</v>
      </c>
      <c r="F3265" s="13" t="n">
        <f aca="false">IFERROR(E3265*Eingaben!$B$15,0)</f>
        <v>0</v>
      </c>
      <c r="G3265" s="13" t="n">
        <f aca="false">IFERROR(IF(Kalender!A337="",0,J3264*(1-Eingaben!$B$20)),0)</f>
        <v>0</v>
      </c>
      <c r="H3265" s="13" t="n">
        <f aca="false">MIN(G3265,D3265)</f>
        <v>0</v>
      </c>
      <c r="I3265" s="13" t="n">
        <f aca="false">IFERROR(MIN(F3265*Eingaben!$B$19,MAX(0,D3265-H3265)),0)</f>
        <v>0</v>
      </c>
      <c r="J3265" s="13" t="n">
        <f aca="false">IFERROR(MIN(Eingaben!$B$18,MAX(0,F3265-I3265)),0)</f>
        <v>0</v>
      </c>
      <c r="K3265" s="13" t="n">
        <f aca="false">H3265+I3265</f>
        <v>0</v>
      </c>
      <c r="L3265" s="13" t="n">
        <f aca="false">MAX(0,D3265-K3265)</f>
        <v>0</v>
      </c>
      <c r="M3265" s="13" t="n">
        <f aca="false">MAX(0,F3265-I3265-J3265)</f>
        <v>0</v>
      </c>
      <c r="N3265" s="13" t="n">
        <f aca="false">IF(Kalender!A337="",0,J3264-H3265)</f>
        <v>0</v>
      </c>
    </row>
    <row r="3266" customFormat="false" ht="16.4" hidden="false" customHeight="false" outlineLevel="0" collapsed="false">
      <c r="A3266" s="13" t="str">
        <f aca="false">""</f>
        <v/>
      </c>
      <c r="B3266" s="13" t="n">
        <f aca="false">334</f>
        <v>334</v>
      </c>
      <c r="C3266" s="13" t="n">
        <f aca="false">IF(Szenarien!$H$19="OK",(IFERROR(SUMIF(Nutzungsprofile!$B$6:$B$11,"Schulbetrieb",Nutzungsprofile!$G$6:$G$11)*Kalender!C338/SUM(Kalender!$C$5:$C$370),0)+IFERROR(SUMIF(Nutzungsprofile!$B$6:$B$11,"Halle",Nutzungsprofile!$G$6:$G$11)*Kalender!D338/SUM(Kalender!$D$5:$D$370),0)+IFERROR(SUMIF(Nutzungsprofile!$B$6:$B$11,"Individuell",Nutzungsprofile!$G$6:$G$11)*Kalender!E338/SUM(Kalender!$E$5:$E$370),0))*Szenarien!$E$19,0)</f>
        <v>0</v>
      </c>
      <c r="D3266" s="13" t="n">
        <f aca="false">IF(Szenarien!$H$19="OK",(IFERROR(SUMIF(Nutzungsprofile!$B$17:$B$22,"Schulbetrieb",Nutzungsprofile!$G$17:$G$22)*Kalender!C338/SUM(Kalender!$C$5:$C$370),0)+IFERROR(SUMIF(Nutzungsprofile!$B$17:$B$22,"Halle",Nutzungsprofile!$G$17:$G$22)*Kalender!D338/SUM(Kalender!$D$5:$D$370),0)+IFERROR(SUMIF(Nutzungsprofile!$B$17:$B$22,"Individuell",Nutzungsprofile!$G$17:$G$22)*Kalender!E338/SUM(Kalender!$E$5:$E$370),0))*Szenarien!$D$19,0)</f>
        <v>0</v>
      </c>
      <c r="E3266" s="13" t="n">
        <f aca="false">IFERROR(MIN(C3266,Eingaben!$B$17)*Eingaben!$B$16,0)</f>
        <v>0</v>
      </c>
      <c r="F3266" s="13" t="n">
        <f aca="false">IFERROR(E3266*Eingaben!$B$15,0)</f>
        <v>0</v>
      </c>
      <c r="G3266" s="13" t="n">
        <f aca="false">IFERROR(IF(Kalender!A338="",0,J3265*(1-Eingaben!$B$20)),0)</f>
        <v>0</v>
      </c>
      <c r="H3266" s="13" t="n">
        <f aca="false">MIN(G3266,D3266)</f>
        <v>0</v>
      </c>
      <c r="I3266" s="13" t="n">
        <f aca="false">IFERROR(MIN(F3266*Eingaben!$B$19,MAX(0,D3266-H3266)),0)</f>
        <v>0</v>
      </c>
      <c r="J3266" s="13" t="n">
        <f aca="false">IFERROR(MIN(Eingaben!$B$18,MAX(0,F3266-I3266)),0)</f>
        <v>0</v>
      </c>
      <c r="K3266" s="13" t="n">
        <f aca="false">H3266+I3266</f>
        <v>0</v>
      </c>
      <c r="L3266" s="13" t="n">
        <f aca="false">MAX(0,D3266-K3266)</f>
        <v>0</v>
      </c>
      <c r="M3266" s="13" t="n">
        <f aca="false">MAX(0,F3266-I3266-J3266)</f>
        <v>0</v>
      </c>
      <c r="N3266" s="13" t="n">
        <f aca="false">IF(Kalender!A338="",0,J3265-H3266)</f>
        <v>0</v>
      </c>
    </row>
    <row r="3267" customFormat="false" ht="16.4" hidden="false" customHeight="false" outlineLevel="0" collapsed="false">
      <c r="A3267" s="13" t="str">
        <f aca="false">""</f>
        <v/>
      </c>
      <c r="B3267" s="13" t="n">
        <f aca="false">335</f>
        <v>335</v>
      </c>
      <c r="C3267" s="13" t="n">
        <f aca="false">IF(Szenarien!$H$19="OK",(IFERROR(SUMIF(Nutzungsprofile!$B$6:$B$11,"Schulbetrieb",Nutzungsprofile!$G$6:$G$11)*Kalender!C339/SUM(Kalender!$C$5:$C$370),0)+IFERROR(SUMIF(Nutzungsprofile!$B$6:$B$11,"Halle",Nutzungsprofile!$G$6:$G$11)*Kalender!D339/SUM(Kalender!$D$5:$D$370),0)+IFERROR(SUMIF(Nutzungsprofile!$B$6:$B$11,"Individuell",Nutzungsprofile!$G$6:$G$11)*Kalender!E339/SUM(Kalender!$E$5:$E$370),0))*Szenarien!$E$19,0)</f>
        <v>0</v>
      </c>
      <c r="D3267" s="13" t="n">
        <f aca="false">IF(Szenarien!$H$19="OK",(IFERROR(SUMIF(Nutzungsprofile!$B$17:$B$22,"Schulbetrieb",Nutzungsprofile!$G$17:$G$22)*Kalender!C339/SUM(Kalender!$C$5:$C$370),0)+IFERROR(SUMIF(Nutzungsprofile!$B$17:$B$22,"Halle",Nutzungsprofile!$G$17:$G$22)*Kalender!D339/SUM(Kalender!$D$5:$D$370),0)+IFERROR(SUMIF(Nutzungsprofile!$B$17:$B$22,"Individuell",Nutzungsprofile!$G$17:$G$22)*Kalender!E339/SUM(Kalender!$E$5:$E$370),0))*Szenarien!$D$19,0)</f>
        <v>0</v>
      </c>
      <c r="E3267" s="13" t="n">
        <f aca="false">IFERROR(MIN(C3267,Eingaben!$B$17)*Eingaben!$B$16,0)</f>
        <v>0</v>
      </c>
      <c r="F3267" s="13" t="n">
        <f aca="false">IFERROR(E3267*Eingaben!$B$15,0)</f>
        <v>0</v>
      </c>
      <c r="G3267" s="13" t="n">
        <f aca="false">IFERROR(IF(Kalender!A339="",0,J3266*(1-Eingaben!$B$20)),0)</f>
        <v>0</v>
      </c>
      <c r="H3267" s="13" t="n">
        <f aca="false">MIN(G3267,D3267)</f>
        <v>0</v>
      </c>
      <c r="I3267" s="13" t="n">
        <f aca="false">IFERROR(MIN(F3267*Eingaben!$B$19,MAX(0,D3267-H3267)),0)</f>
        <v>0</v>
      </c>
      <c r="J3267" s="13" t="n">
        <f aca="false">IFERROR(MIN(Eingaben!$B$18,MAX(0,F3267-I3267)),0)</f>
        <v>0</v>
      </c>
      <c r="K3267" s="13" t="n">
        <f aca="false">H3267+I3267</f>
        <v>0</v>
      </c>
      <c r="L3267" s="13" t="n">
        <f aca="false">MAX(0,D3267-K3267)</f>
        <v>0</v>
      </c>
      <c r="M3267" s="13" t="n">
        <f aca="false">MAX(0,F3267-I3267-J3267)</f>
        <v>0</v>
      </c>
      <c r="N3267" s="13" t="n">
        <f aca="false">IF(Kalender!A339="",0,J3266-H3267)</f>
        <v>0</v>
      </c>
    </row>
    <row r="3268" customFormat="false" ht="16.4" hidden="false" customHeight="false" outlineLevel="0" collapsed="false">
      <c r="A3268" s="13" t="str">
        <f aca="false">""</f>
        <v/>
      </c>
      <c r="B3268" s="13" t="n">
        <f aca="false">336</f>
        <v>336</v>
      </c>
      <c r="C3268" s="13" t="n">
        <f aca="false">IF(Szenarien!$H$19="OK",(IFERROR(SUMIF(Nutzungsprofile!$B$6:$B$11,"Schulbetrieb",Nutzungsprofile!$G$6:$G$11)*Kalender!C340/SUM(Kalender!$C$5:$C$370),0)+IFERROR(SUMIF(Nutzungsprofile!$B$6:$B$11,"Halle",Nutzungsprofile!$G$6:$G$11)*Kalender!D340/SUM(Kalender!$D$5:$D$370),0)+IFERROR(SUMIF(Nutzungsprofile!$B$6:$B$11,"Individuell",Nutzungsprofile!$G$6:$G$11)*Kalender!E340/SUM(Kalender!$E$5:$E$370),0))*Szenarien!$E$19,0)</f>
        <v>0</v>
      </c>
      <c r="D3268" s="13" t="n">
        <f aca="false">IF(Szenarien!$H$19="OK",(IFERROR(SUMIF(Nutzungsprofile!$B$17:$B$22,"Schulbetrieb",Nutzungsprofile!$G$17:$G$22)*Kalender!C340/SUM(Kalender!$C$5:$C$370),0)+IFERROR(SUMIF(Nutzungsprofile!$B$17:$B$22,"Halle",Nutzungsprofile!$G$17:$G$22)*Kalender!D340/SUM(Kalender!$D$5:$D$370),0)+IFERROR(SUMIF(Nutzungsprofile!$B$17:$B$22,"Individuell",Nutzungsprofile!$G$17:$G$22)*Kalender!E340/SUM(Kalender!$E$5:$E$370),0))*Szenarien!$D$19,0)</f>
        <v>0</v>
      </c>
      <c r="E3268" s="13" t="n">
        <f aca="false">IFERROR(MIN(C3268,Eingaben!$B$17)*Eingaben!$B$16,0)</f>
        <v>0</v>
      </c>
      <c r="F3268" s="13" t="n">
        <f aca="false">IFERROR(E3268*Eingaben!$B$15,0)</f>
        <v>0</v>
      </c>
      <c r="G3268" s="13" t="n">
        <f aca="false">IFERROR(IF(Kalender!A340="",0,J3267*(1-Eingaben!$B$20)),0)</f>
        <v>0</v>
      </c>
      <c r="H3268" s="13" t="n">
        <f aca="false">MIN(G3268,D3268)</f>
        <v>0</v>
      </c>
      <c r="I3268" s="13" t="n">
        <f aca="false">IFERROR(MIN(F3268*Eingaben!$B$19,MAX(0,D3268-H3268)),0)</f>
        <v>0</v>
      </c>
      <c r="J3268" s="13" t="n">
        <f aca="false">IFERROR(MIN(Eingaben!$B$18,MAX(0,F3268-I3268)),0)</f>
        <v>0</v>
      </c>
      <c r="K3268" s="13" t="n">
        <f aca="false">H3268+I3268</f>
        <v>0</v>
      </c>
      <c r="L3268" s="13" t="n">
        <f aca="false">MAX(0,D3268-K3268)</f>
        <v>0</v>
      </c>
      <c r="M3268" s="13" t="n">
        <f aca="false">MAX(0,F3268-I3268-J3268)</f>
        <v>0</v>
      </c>
      <c r="N3268" s="13" t="n">
        <f aca="false">IF(Kalender!A340="",0,J3267-H3268)</f>
        <v>0</v>
      </c>
    </row>
    <row r="3269" customFormat="false" ht="16.4" hidden="false" customHeight="false" outlineLevel="0" collapsed="false">
      <c r="A3269" s="13" t="str">
        <f aca="false">""</f>
        <v/>
      </c>
      <c r="B3269" s="13" t="n">
        <f aca="false">337</f>
        <v>337</v>
      </c>
      <c r="C3269" s="13" t="n">
        <f aca="false">IF(Szenarien!$H$19="OK",(IFERROR(SUMIF(Nutzungsprofile!$B$6:$B$11,"Schulbetrieb",Nutzungsprofile!$G$6:$G$11)*Kalender!C341/SUM(Kalender!$C$5:$C$370),0)+IFERROR(SUMIF(Nutzungsprofile!$B$6:$B$11,"Halle",Nutzungsprofile!$G$6:$G$11)*Kalender!D341/SUM(Kalender!$D$5:$D$370),0)+IFERROR(SUMIF(Nutzungsprofile!$B$6:$B$11,"Individuell",Nutzungsprofile!$G$6:$G$11)*Kalender!E341/SUM(Kalender!$E$5:$E$370),0))*Szenarien!$E$19,0)</f>
        <v>0</v>
      </c>
      <c r="D3269" s="13" t="n">
        <f aca="false">IF(Szenarien!$H$19="OK",(IFERROR(SUMIF(Nutzungsprofile!$B$17:$B$22,"Schulbetrieb",Nutzungsprofile!$G$17:$G$22)*Kalender!C341/SUM(Kalender!$C$5:$C$370),0)+IFERROR(SUMIF(Nutzungsprofile!$B$17:$B$22,"Halle",Nutzungsprofile!$G$17:$G$22)*Kalender!D341/SUM(Kalender!$D$5:$D$370),0)+IFERROR(SUMIF(Nutzungsprofile!$B$17:$B$22,"Individuell",Nutzungsprofile!$G$17:$G$22)*Kalender!E341/SUM(Kalender!$E$5:$E$370),0))*Szenarien!$D$19,0)</f>
        <v>0</v>
      </c>
      <c r="E3269" s="13" t="n">
        <f aca="false">IFERROR(MIN(C3269,Eingaben!$B$17)*Eingaben!$B$16,0)</f>
        <v>0</v>
      </c>
      <c r="F3269" s="13" t="n">
        <f aca="false">IFERROR(E3269*Eingaben!$B$15,0)</f>
        <v>0</v>
      </c>
      <c r="G3269" s="13" t="n">
        <f aca="false">IFERROR(IF(Kalender!A341="",0,J3268*(1-Eingaben!$B$20)),0)</f>
        <v>0</v>
      </c>
      <c r="H3269" s="13" t="n">
        <f aca="false">MIN(G3269,D3269)</f>
        <v>0</v>
      </c>
      <c r="I3269" s="13" t="n">
        <f aca="false">IFERROR(MIN(F3269*Eingaben!$B$19,MAX(0,D3269-H3269)),0)</f>
        <v>0</v>
      </c>
      <c r="J3269" s="13" t="n">
        <f aca="false">IFERROR(MIN(Eingaben!$B$18,MAX(0,F3269-I3269)),0)</f>
        <v>0</v>
      </c>
      <c r="K3269" s="13" t="n">
        <f aca="false">H3269+I3269</f>
        <v>0</v>
      </c>
      <c r="L3269" s="13" t="n">
        <f aca="false">MAX(0,D3269-K3269)</f>
        <v>0</v>
      </c>
      <c r="M3269" s="13" t="n">
        <f aca="false">MAX(0,F3269-I3269-J3269)</f>
        <v>0</v>
      </c>
      <c r="N3269" s="13" t="n">
        <f aca="false">IF(Kalender!A341="",0,J3268-H3269)</f>
        <v>0</v>
      </c>
    </row>
    <row r="3270" customFormat="false" ht="16.4" hidden="false" customHeight="false" outlineLevel="0" collapsed="false">
      <c r="A3270" s="13" t="str">
        <f aca="false">""</f>
        <v/>
      </c>
      <c r="B3270" s="13" t="n">
        <f aca="false">338</f>
        <v>338</v>
      </c>
      <c r="C3270" s="13" t="n">
        <f aca="false">IF(Szenarien!$H$19="OK",(IFERROR(SUMIF(Nutzungsprofile!$B$6:$B$11,"Schulbetrieb",Nutzungsprofile!$G$6:$G$11)*Kalender!C342/SUM(Kalender!$C$5:$C$370),0)+IFERROR(SUMIF(Nutzungsprofile!$B$6:$B$11,"Halle",Nutzungsprofile!$G$6:$G$11)*Kalender!D342/SUM(Kalender!$D$5:$D$370),0)+IFERROR(SUMIF(Nutzungsprofile!$B$6:$B$11,"Individuell",Nutzungsprofile!$G$6:$G$11)*Kalender!E342/SUM(Kalender!$E$5:$E$370),0))*Szenarien!$E$19,0)</f>
        <v>0</v>
      </c>
      <c r="D3270" s="13" t="n">
        <f aca="false">IF(Szenarien!$H$19="OK",(IFERROR(SUMIF(Nutzungsprofile!$B$17:$B$22,"Schulbetrieb",Nutzungsprofile!$G$17:$G$22)*Kalender!C342/SUM(Kalender!$C$5:$C$370),0)+IFERROR(SUMIF(Nutzungsprofile!$B$17:$B$22,"Halle",Nutzungsprofile!$G$17:$G$22)*Kalender!D342/SUM(Kalender!$D$5:$D$370),0)+IFERROR(SUMIF(Nutzungsprofile!$B$17:$B$22,"Individuell",Nutzungsprofile!$G$17:$G$22)*Kalender!E342/SUM(Kalender!$E$5:$E$370),0))*Szenarien!$D$19,0)</f>
        <v>0</v>
      </c>
      <c r="E3270" s="13" t="n">
        <f aca="false">IFERROR(MIN(C3270,Eingaben!$B$17)*Eingaben!$B$16,0)</f>
        <v>0</v>
      </c>
      <c r="F3270" s="13" t="n">
        <f aca="false">IFERROR(E3270*Eingaben!$B$15,0)</f>
        <v>0</v>
      </c>
      <c r="G3270" s="13" t="n">
        <f aca="false">IFERROR(IF(Kalender!A342="",0,J3269*(1-Eingaben!$B$20)),0)</f>
        <v>0</v>
      </c>
      <c r="H3270" s="13" t="n">
        <f aca="false">MIN(G3270,D3270)</f>
        <v>0</v>
      </c>
      <c r="I3270" s="13" t="n">
        <f aca="false">IFERROR(MIN(F3270*Eingaben!$B$19,MAX(0,D3270-H3270)),0)</f>
        <v>0</v>
      </c>
      <c r="J3270" s="13" t="n">
        <f aca="false">IFERROR(MIN(Eingaben!$B$18,MAX(0,F3270-I3270)),0)</f>
        <v>0</v>
      </c>
      <c r="K3270" s="13" t="n">
        <f aca="false">H3270+I3270</f>
        <v>0</v>
      </c>
      <c r="L3270" s="13" t="n">
        <f aca="false">MAX(0,D3270-K3270)</f>
        <v>0</v>
      </c>
      <c r="M3270" s="13" t="n">
        <f aca="false">MAX(0,F3270-I3270-J3270)</f>
        <v>0</v>
      </c>
      <c r="N3270" s="13" t="n">
        <f aca="false">IF(Kalender!A342="",0,J3269-H3270)</f>
        <v>0</v>
      </c>
    </row>
    <row r="3271" customFormat="false" ht="16.4" hidden="false" customHeight="false" outlineLevel="0" collapsed="false">
      <c r="A3271" s="13" t="str">
        <f aca="false">""</f>
        <v/>
      </c>
      <c r="B3271" s="13" t="n">
        <f aca="false">339</f>
        <v>339</v>
      </c>
      <c r="C3271" s="13" t="n">
        <f aca="false">IF(Szenarien!$H$19="OK",(IFERROR(SUMIF(Nutzungsprofile!$B$6:$B$11,"Schulbetrieb",Nutzungsprofile!$G$6:$G$11)*Kalender!C343/SUM(Kalender!$C$5:$C$370),0)+IFERROR(SUMIF(Nutzungsprofile!$B$6:$B$11,"Halle",Nutzungsprofile!$G$6:$G$11)*Kalender!D343/SUM(Kalender!$D$5:$D$370),0)+IFERROR(SUMIF(Nutzungsprofile!$B$6:$B$11,"Individuell",Nutzungsprofile!$G$6:$G$11)*Kalender!E343/SUM(Kalender!$E$5:$E$370),0))*Szenarien!$E$19,0)</f>
        <v>0</v>
      </c>
      <c r="D3271" s="13" t="n">
        <f aca="false">IF(Szenarien!$H$19="OK",(IFERROR(SUMIF(Nutzungsprofile!$B$17:$B$22,"Schulbetrieb",Nutzungsprofile!$G$17:$G$22)*Kalender!C343/SUM(Kalender!$C$5:$C$370),0)+IFERROR(SUMIF(Nutzungsprofile!$B$17:$B$22,"Halle",Nutzungsprofile!$G$17:$G$22)*Kalender!D343/SUM(Kalender!$D$5:$D$370),0)+IFERROR(SUMIF(Nutzungsprofile!$B$17:$B$22,"Individuell",Nutzungsprofile!$G$17:$G$22)*Kalender!E343/SUM(Kalender!$E$5:$E$370),0))*Szenarien!$D$19,0)</f>
        <v>0</v>
      </c>
      <c r="E3271" s="13" t="n">
        <f aca="false">IFERROR(MIN(C3271,Eingaben!$B$17)*Eingaben!$B$16,0)</f>
        <v>0</v>
      </c>
      <c r="F3271" s="13" t="n">
        <f aca="false">IFERROR(E3271*Eingaben!$B$15,0)</f>
        <v>0</v>
      </c>
      <c r="G3271" s="13" t="n">
        <f aca="false">IFERROR(IF(Kalender!A343="",0,J3270*(1-Eingaben!$B$20)),0)</f>
        <v>0</v>
      </c>
      <c r="H3271" s="13" t="n">
        <f aca="false">MIN(G3271,D3271)</f>
        <v>0</v>
      </c>
      <c r="I3271" s="13" t="n">
        <f aca="false">IFERROR(MIN(F3271*Eingaben!$B$19,MAX(0,D3271-H3271)),0)</f>
        <v>0</v>
      </c>
      <c r="J3271" s="13" t="n">
        <f aca="false">IFERROR(MIN(Eingaben!$B$18,MAX(0,F3271-I3271)),0)</f>
        <v>0</v>
      </c>
      <c r="K3271" s="13" t="n">
        <f aca="false">H3271+I3271</f>
        <v>0</v>
      </c>
      <c r="L3271" s="13" t="n">
        <f aca="false">MAX(0,D3271-K3271)</f>
        <v>0</v>
      </c>
      <c r="M3271" s="13" t="n">
        <f aca="false">MAX(0,F3271-I3271-J3271)</f>
        <v>0</v>
      </c>
      <c r="N3271" s="13" t="n">
        <f aca="false">IF(Kalender!A343="",0,J3270-H3271)</f>
        <v>0</v>
      </c>
    </row>
    <row r="3272" customFormat="false" ht="16.4" hidden="false" customHeight="false" outlineLevel="0" collapsed="false">
      <c r="A3272" s="13" t="str">
        <f aca="false">""</f>
        <v/>
      </c>
      <c r="B3272" s="13" t="n">
        <f aca="false">340</f>
        <v>340</v>
      </c>
      <c r="C3272" s="13" t="n">
        <f aca="false">IF(Szenarien!$H$19="OK",(IFERROR(SUMIF(Nutzungsprofile!$B$6:$B$11,"Schulbetrieb",Nutzungsprofile!$G$6:$G$11)*Kalender!C344/SUM(Kalender!$C$5:$C$370),0)+IFERROR(SUMIF(Nutzungsprofile!$B$6:$B$11,"Halle",Nutzungsprofile!$G$6:$G$11)*Kalender!D344/SUM(Kalender!$D$5:$D$370),0)+IFERROR(SUMIF(Nutzungsprofile!$B$6:$B$11,"Individuell",Nutzungsprofile!$G$6:$G$11)*Kalender!E344/SUM(Kalender!$E$5:$E$370),0))*Szenarien!$E$19,0)</f>
        <v>0</v>
      </c>
      <c r="D3272" s="13" t="n">
        <f aca="false">IF(Szenarien!$H$19="OK",(IFERROR(SUMIF(Nutzungsprofile!$B$17:$B$22,"Schulbetrieb",Nutzungsprofile!$G$17:$G$22)*Kalender!C344/SUM(Kalender!$C$5:$C$370),0)+IFERROR(SUMIF(Nutzungsprofile!$B$17:$B$22,"Halle",Nutzungsprofile!$G$17:$G$22)*Kalender!D344/SUM(Kalender!$D$5:$D$370),0)+IFERROR(SUMIF(Nutzungsprofile!$B$17:$B$22,"Individuell",Nutzungsprofile!$G$17:$G$22)*Kalender!E344/SUM(Kalender!$E$5:$E$370),0))*Szenarien!$D$19,0)</f>
        <v>0</v>
      </c>
      <c r="E3272" s="13" t="n">
        <f aca="false">IFERROR(MIN(C3272,Eingaben!$B$17)*Eingaben!$B$16,0)</f>
        <v>0</v>
      </c>
      <c r="F3272" s="13" t="n">
        <f aca="false">IFERROR(E3272*Eingaben!$B$15,0)</f>
        <v>0</v>
      </c>
      <c r="G3272" s="13" t="n">
        <f aca="false">IFERROR(IF(Kalender!A344="",0,J3271*(1-Eingaben!$B$20)),0)</f>
        <v>0</v>
      </c>
      <c r="H3272" s="13" t="n">
        <f aca="false">MIN(G3272,D3272)</f>
        <v>0</v>
      </c>
      <c r="I3272" s="13" t="n">
        <f aca="false">IFERROR(MIN(F3272*Eingaben!$B$19,MAX(0,D3272-H3272)),0)</f>
        <v>0</v>
      </c>
      <c r="J3272" s="13" t="n">
        <f aca="false">IFERROR(MIN(Eingaben!$B$18,MAX(0,F3272-I3272)),0)</f>
        <v>0</v>
      </c>
      <c r="K3272" s="13" t="n">
        <f aca="false">H3272+I3272</f>
        <v>0</v>
      </c>
      <c r="L3272" s="13" t="n">
        <f aca="false">MAX(0,D3272-K3272)</f>
        <v>0</v>
      </c>
      <c r="M3272" s="13" t="n">
        <f aca="false">MAX(0,F3272-I3272-J3272)</f>
        <v>0</v>
      </c>
      <c r="N3272" s="13" t="n">
        <f aca="false">IF(Kalender!A344="",0,J3271-H3272)</f>
        <v>0</v>
      </c>
    </row>
    <row r="3273" customFormat="false" ht="16.4" hidden="false" customHeight="false" outlineLevel="0" collapsed="false">
      <c r="A3273" s="13" t="str">
        <f aca="false">""</f>
        <v/>
      </c>
      <c r="B3273" s="13" t="n">
        <f aca="false">341</f>
        <v>341</v>
      </c>
      <c r="C3273" s="13" t="n">
        <f aca="false">IF(Szenarien!$H$19="OK",(IFERROR(SUMIF(Nutzungsprofile!$B$6:$B$11,"Schulbetrieb",Nutzungsprofile!$G$6:$G$11)*Kalender!C345/SUM(Kalender!$C$5:$C$370),0)+IFERROR(SUMIF(Nutzungsprofile!$B$6:$B$11,"Halle",Nutzungsprofile!$G$6:$G$11)*Kalender!D345/SUM(Kalender!$D$5:$D$370),0)+IFERROR(SUMIF(Nutzungsprofile!$B$6:$B$11,"Individuell",Nutzungsprofile!$G$6:$G$11)*Kalender!E345/SUM(Kalender!$E$5:$E$370),0))*Szenarien!$E$19,0)</f>
        <v>0</v>
      </c>
      <c r="D3273" s="13" t="n">
        <f aca="false">IF(Szenarien!$H$19="OK",(IFERROR(SUMIF(Nutzungsprofile!$B$17:$B$22,"Schulbetrieb",Nutzungsprofile!$G$17:$G$22)*Kalender!C345/SUM(Kalender!$C$5:$C$370),0)+IFERROR(SUMIF(Nutzungsprofile!$B$17:$B$22,"Halle",Nutzungsprofile!$G$17:$G$22)*Kalender!D345/SUM(Kalender!$D$5:$D$370),0)+IFERROR(SUMIF(Nutzungsprofile!$B$17:$B$22,"Individuell",Nutzungsprofile!$G$17:$G$22)*Kalender!E345/SUM(Kalender!$E$5:$E$370),0))*Szenarien!$D$19,0)</f>
        <v>0</v>
      </c>
      <c r="E3273" s="13" t="n">
        <f aca="false">IFERROR(MIN(C3273,Eingaben!$B$17)*Eingaben!$B$16,0)</f>
        <v>0</v>
      </c>
      <c r="F3273" s="13" t="n">
        <f aca="false">IFERROR(E3273*Eingaben!$B$15,0)</f>
        <v>0</v>
      </c>
      <c r="G3273" s="13" t="n">
        <f aca="false">IFERROR(IF(Kalender!A345="",0,J3272*(1-Eingaben!$B$20)),0)</f>
        <v>0</v>
      </c>
      <c r="H3273" s="13" t="n">
        <f aca="false">MIN(G3273,D3273)</f>
        <v>0</v>
      </c>
      <c r="I3273" s="13" t="n">
        <f aca="false">IFERROR(MIN(F3273*Eingaben!$B$19,MAX(0,D3273-H3273)),0)</f>
        <v>0</v>
      </c>
      <c r="J3273" s="13" t="n">
        <f aca="false">IFERROR(MIN(Eingaben!$B$18,MAX(0,F3273-I3273)),0)</f>
        <v>0</v>
      </c>
      <c r="K3273" s="13" t="n">
        <f aca="false">H3273+I3273</f>
        <v>0</v>
      </c>
      <c r="L3273" s="13" t="n">
        <f aca="false">MAX(0,D3273-K3273)</f>
        <v>0</v>
      </c>
      <c r="M3273" s="13" t="n">
        <f aca="false">MAX(0,F3273-I3273-J3273)</f>
        <v>0</v>
      </c>
      <c r="N3273" s="13" t="n">
        <f aca="false">IF(Kalender!A345="",0,J3272-H3273)</f>
        <v>0</v>
      </c>
    </row>
    <row r="3274" customFormat="false" ht="16.4" hidden="false" customHeight="false" outlineLevel="0" collapsed="false">
      <c r="A3274" s="13" t="str">
        <f aca="false">""</f>
        <v/>
      </c>
      <c r="B3274" s="13" t="n">
        <f aca="false">342</f>
        <v>342</v>
      </c>
      <c r="C3274" s="13" t="n">
        <f aca="false">IF(Szenarien!$H$19="OK",(IFERROR(SUMIF(Nutzungsprofile!$B$6:$B$11,"Schulbetrieb",Nutzungsprofile!$G$6:$G$11)*Kalender!C346/SUM(Kalender!$C$5:$C$370),0)+IFERROR(SUMIF(Nutzungsprofile!$B$6:$B$11,"Halle",Nutzungsprofile!$G$6:$G$11)*Kalender!D346/SUM(Kalender!$D$5:$D$370),0)+IFERROR(SUMIF(Nutzungsprofile!$B$6:$B$11,"Individuell",Nutzungsprofile!$G$6:$G$11)*Kalender!E346/SUM(Kalender!$E$5:$E$370),0))*Szenarien!$E$19,0)</f>
        <v>0</v>
      </c>
      <c r="D3274" s="13" t="n">
        <f aca="false">IF(Szenarien!$H$19="OK",(IFERROR(SUMIF(Nutzungsprofile!$B$17:$B$22,"Schulbetrieb",Nutzungsprofile!$G$17:$G$22)*Kalender!C346/SUM(Kalender!$C$5:$C$370),0)+IFERROR(SUMIF(Nutzungsprofile!$B$17:$B$22,"Halle",Nutzungsprofile!$G$17:$G$22)*Kalender!D346/SUM(Kalender!$D$5:$D$370),0)+IFERROR(SUMIF(Nutzungsprofile!$B$17:$B$22,"Individuell",Nutzungsprofile!$G$17:$G$22)*Kalender!E346/SUM(Kalender!$E$5:$E$370),0))*Szenarien!$D$19,0)</f>
        <v>0</v>
      </c>
      <c r="E3274" s="13" t="n">
        <f aca="false">IFERROR(MIN(C3274,Eingaben!$B$17)*Eingaben!$B$16,0)</f>
        <v>0</v>
      </c>
      <c r="F3274" s="13" t="n">
        <f aca="false">IFERROR(E3274*Eingaben!$B$15,0)</f>
        <v>0</v>
      </c>
      <c r="G3274" s="13" t="n">
        <f aca="false">IFERROR(IF(Kalender!A346="",0,J3273*(1-Eingaben!$B$20)),0)</f>
        <v>0</v>
      </c>
      <c r="H3274" s="13" t="n">
        <f aca="false">MIN(G3274,D3274)</f>
        <v>0</v>
      </c>
      <c r="I3274" s="13" t="n">
        <f aca="false">IFERROR(MIN(F3274*Eingaben!$B$19,MAX(0,D3274-H3274)),0)</f>
        <v>0</v>
      </c>
      <c r="J3274" s="13" t="n">
        <f aca="false">IFERROR(MIN(Eingaben!$B$18,MAX(0,F3274-I3274)),0)</f>
        <v>0</v>
      </c>
      <c r="K3274" s="13" t="n">
        <f aca="false">H3274+I3274</f>
        <v>0</v>
      </c>
      <c r="L3274" s="13" t="n">
        <f aca="false">MAX(0,D3274-K3274)</f>
        <v>0</v>
      </c>
      <c r="M3274" s="13" t="n">
        <f aca="false">MAX(0,F3274-I3274-J3274)</f>
        <v>0</v>
      </c>
      <c r="N3274" s="13" t="n">
        <f aca="false">IF(Kalender!A346="",0,J3273-H3274)</f>
        <v>0</v>
      </c>
    </row>
    <row r="3275" customFormat="false" ht="16.4" hidden="false" customHeight="false" outlineLevel="0" collapsed="false">
      <c r="A3275" s="13" t="str">
        <f aca="false">""</f>
        <v/>
      </c>
      <c r="B3275" s="13" t="n">
        <f aca="false">343</f>
        <v>343</v>
      </c>
      <c r="C3275" s="13" t="n">
        <f aca="false">IF(Szenarien!$H$19="OK",(IFERROR(SUMIF(Nutzungsprofile!$B$6:$B$11,"Schulbetrieb",Nutzungsprofile!$G$6:$G$11)*Kalender!C347/SUM(Kalender!$C$5:$C$370),0)+IFERROR(SUMIF(Nutzungsprofile!$B$6:$B$11,"Halle",Nutzungsprofile!$G$6:$G$11)*Kalender!D347/SUM(Kalender!$D$5:$D$370),0)+IFERROR(SUMIF(Nutzungsprofile!$B$6:$B$11,"Individuell",Nutzungsprofile!$G$6:$G$11)*Kalender!E347/SUM(Kalender!$E$5:$E$370),0))*Szenarien!$E$19,0)</f>
        <v>0</v>
      </c>
      <c r="D3275" s="13" t="n">
        <f aca="false">IF(Szenarien!$H$19="OK",(IFERROR(SUMIF(Nutzungsprofile!$B$17:$B$22,"Schulbetrieb",Nutzungsprofile!$G$17:$G$22)*Kalender!C347/SUM(Kalender!$C$5:$C$370),0)+IFERROR(SUMIF(Nutzungsprofile!$B$17:$B$22,"Halle",Nutzungsprofile!$G$17:$G$22)*Kalender!D347/SUM(Kalender!$D$5:$D$370),0)+IFERROR(SUMIF(Nutzungsprofile!$B$17:$B$22,"Individuell",Nutzungsprofile!$G$17:$G$22)*Kalender!E347/SUM(Kalender!$E$5:$E$370),0))*Szenarien!$D$19,0)</f>
        <v>0</v>
      </c>
      <c r="E3275" s="13" t="n">
        <f aca="false">IFERROR(MIN(C3275,Eingaben!$B$17)*Eingaben!$B$16,0)</f>
        <v>0</v>
      </c>
      <c r="F3275" s="13" t="n">
        <f aca="false">IFERROR(E3275*Eingaben!$B$15,0)</f>
        <v>0</v>
      </c>
      <c r="G3275" s="13" t="n">
        <f aca="false">IFERROR(IF(Kalender!A347="",0,J3274*(1-Eingaben!$B$20)),0)</f>
        <v>0</v>
      </c>
      <c r="H3275" s="13" t="n">
        <f aca="false">MIN(G3275,D3275)</f>
        <v>0</v>
      </c>
      <c r="I3275" s="13" t="n">
        <f aca="false">IFERROR(MIN(F3275*Eingaben!$B$19,MAX(0,D3275-H3275)),0)</f>
        <v>0</v>
      </c>
      <c r="J3275" s="13" t="n">
        <f aca="false">IFERROR(MIN(Eingaben!$B$18,MAX(0,F3275-I3275)),0)</f>
        <v>0</v>
      </c>
      <c r="K3275" s="13" t="n">
        <f aca="false">H3275+I3275</f>
        <v>0</v>
      </c>
      <c r="L3275" s="13" t="n">
        <f aca="false">MAX(0,D3275-K3275)</f>
        <v>0</v>
      </c>
      <c r="M3275" s="13" t="n">
        <f aca="false">MAX(0,F3275-I3275-J3275)</f>
        <v>0</v>
      </c>
      <c r="N3275" s="13" t="n">
        <f aca="false">IF(Kalender!A347="",0,J3274-H3275)</f>
        <v>0</v>
      </c>
    </row>
    <row r="3276" customFormat="false" ht="16.4" hidden="false" customHeight="false" outlineLevel="0" collapsed="false">
      <c r="A3276" s="13" t="str">
        <f aca="false">""</f>
        <v/>
      </c>
      <c r="B3276" s="13" t="n">
        <f aca="false">344</f>
        <v>344</v>
      </c>
      <c r="C3276" s="13" t="n">
        <f aca="false">IF(Szenarien!$H$19="OK",(IFERROR(SUMIF(Nutzungsprofile!$B$6:$B$11,"Schulbetrieb",Nutzungsprofile!$G$6:$G$11)*Kalender!C348/SUM(Kalender!$C$5:$C$370),0)+IFERROR(SUMIF(Nutzungsprofile!$B$6:$B$11,"Halle",Nutzungsprofile!$G$6:$G$11)*Kalender!D348/SUM(Kalender!$D$5:$D$370),0)+IFERROR(SUMIF(Nutzungsprofile!$B$6:$B$11,"Individuell",Nutzungsprofile!$G$6:$G$11)*Kalender!E348/SUM(Kalender!$E$5:$E$370),0))*Szenarien!$E$19,0)</f>
        <v>0</v>
      </c>
      <c r="D3276" s="13" t="n">
        <f aca="false">IF(Szenarien!$H$19="OK",(IFERROR(SUMIF(Nutzungsprofile!$B$17:$B$22,"Schulbetrieb",Nutzungsprofile!$G$17:$G$22)*Kalender!C348/SUM(Kalender!$C$5:$C$370),0)+IFERROR(SUMIF(Nutzungsprofile!$B$17:$B$22,"Halle",Nutzungsprofile!$G$17:$G$22)*Kalender!D348/SUM(Kalender!$D$5:$D$370),0)+IFERROR(SUMIF(Nutzungsprofile!$B$17:$B$22,"Individuell",Nutzungsprofile!$G$17:$G$22)*Kalender!E348/SUM(Kalender!$E$5:$E$370),0))*Szenarien!$D$19,0)</f>
        <v>0</v>
      </c>
      <c r="E3276" s="13" t="n">
        <f aca="false">IFERROR(MIN(C3276,Eingaben!$B$17)*Eingaben!$B$16,0)</f>
        <v>0</v>
      </c>
      <c r="F3276" s="13" t="n">
        <f aca="false">IFERROR(E3276*Eingaben!$B$15,0)</f>
        <v>0</v>
      </c>
      <c r="G3276" s="13" t="n">
        <f aca="false">IFERROR(IF(Kalender!A348="",0,J3275*(1-Eingaben!$B$20)),0)</f>
        <v>0</v>
      </c>
      <c r="H3276" s="13" t="n">
        <f aca="false">MIN(G3276,D3276)</f>
        <v>0</v>
      </c>
      <c r="I3276" s="13" t="n">
        <f aca="false">IFERROR(MIN(F3276*Eingaben!$B$19,MAX(0,D3276-H3276)),0)</f>
        <v>0</v>
      </c>
      <c r="J3276" s="13" t="n">
        <f aca="false">IFERROR(MIN(Eingaben!$B$18,MAX(0,F3276-I3276)),0)</f>
        <v>0</v>
      </c>
      <c r="K3276" s="13" t="n">
        <f aca="false">H3276+I3276</f>
        <v>0</v>
      </c>
      <c r="L3276" s="13" t="n">
        <f aca="false">MAX(0,D3276-K3276)</f>
        <v>0</v>
      </c>
      <c r="M3276" s="13" t="n">
        <f aca="false">MAX(0,F3276-I3276-J3276)</f>
        <v>0</v>
      </c>
      <c r="N3276" s="13" t="n">
        <f aca="false">IF(Kalender!A348="",0,J3275-H3276)</f>
        <v>0</v>
      </c>
    </row>
    <row r="3277" customFormat="false" ht="16.4" hidden="false" customHeight="false" outlineLevel="0" collapsed="false">
      <c r="A3277" s="13" t="str">
        <f aca="false">""</f>
        <v/>
      </c>
      <c r="B3277" s="13" t="n">
        <f aca="false">345</f>
        <v>345</v>
      </c>
      <c r="C3277" s="13" t="n">
        <f aca="false">IF(Szenarien!$H$19="OK",(IFERROR(SUMIF(Nutzungsprofile!$B$6:$B$11,"Schulbetrieb",Nutzungsprofile!$G$6:$G$11)*Kalender!C349/SUM(Kalender!$C$5:$C$370),0)+IFERROR(SUMIF(Nutzungsprofile!$B$6:$B$11,"Halle",Nutzungsprofile!$G$6:$G$11)*Kalender!D349/SUM(Kalender!$D$5:$D$370),0)+IFERROR(SUMIF(Nutzungsprofile!$B$6:$B$11,"Individuell",Nutzungsprofile!$G$6:$G$11)*Kalender!E349/SUM(Kalender!$E$5:$E$370),0))*Szenarien!$E$19,0)</f>
        <v>0</v>
      </c>
      <c r="D3277" s="13" t="n">
        <f aca="false">IF(Szenarien!$H$19="OK",(IFERROR(SUMIF(Nutzungsprofile!$B$17:$B$22,"Schulbetrieb",Nutzungsprofile!$G$17:$G$22)*Kalender!C349/SUM(Kalender!$C$5:$C$370),0)+IFERROR(SUMIF(Nutzungsprofile!$B$17:$B$22,"Halle",Nutzungsprofile!$G$17:$G$22)*Kalender!D349/SUM(Kalender!$D$5:$D$370),0)+IFERROR(SUMIF(Nutzungsprofile!$B$17:$B$22,"Individuell",Nutzungsprofile!$G$17:$G$22)*Kalender!E349/SUM(Kalender!$E$5:$E$370),0))*Szenarien!$D$19,0)</f>
        <v>0</v>
      </c>
      <c r="E3277" s="13" t="n">
        <f aca="false">IFERROR(MIN(C3277,Eingaben!$B$17)*Eingaben!$B$16,0)</f>
        <v>0</v>
      </c>
      <c r="F3277" s="13" t="n">
        <f aca="false">IFERROR(E3277*Eingaben!$B$15,0)</f>
        <v>0</v>
      </c>
      <c r="G3277" s="13" t="n">
        <f aca="false">IFERROR(IF(Kalender!A349="",0,J3276*(1-Eingaben!$B$20)),0)</f>
        <v>0</v>
      </c>
      <c r="H3277" s="13" t="n">
        <f aca="false">MIN(G3277,D3277)</f>
        <v>0</v>
      </c>
      <c r="I3277" s="13" t="n">
        <f aca="false">IFERROR(MIN(F3277*Eingaben!$B$19,MAX(0,D3277-H3277)),0)</f>
        <v>0</v>
      </c>
      <c r="J3277" s="13" t="n">
        <f aca="false">IFERROR(MIN(Eingaben!$B$18,MAX(0,F3277-I3277)),0)</f>
        <v>0</v>
      </c>
      <c r="K3277" s="13" t="n">
        <f aca="false">H3277+I3277</f>
        <v>0</v>
      </c>
      <c r="L3277" s="13" t="n">
        <f aca="false">MAX(0,D3277-K3277)</f>
        <v>0</v>
      </c>
      <c r="M3277" s="13" t="n">
        <f aca="false">MAX(0,F3277-I3277-J3277)</f>
        <v>0</v>
      </c>
      <c r="N3277" s="13" t="n">
        <f aca="false">IF(Kalender!A349="",0,J3276-H3277)</f>
        <v>0</v>
      </c>
    </row>
    <row r="3278" customFormat="false" ht="16.4" hidden="false" customHeight="false" outlineLevel="0" collapsed="false">
      <c r="A3278" s="13" t="str">
        <f aca="false">""</f>
        <v/>
      </c>
      <c r="B3278" s="13" t="n">
        <f aca="false">346</f>
        <v>346</v>
      </c>
      <c r="C3278" s="13" t="n">
        <f aca="false">IF(Szenarien!$H$19="OK",(IFERROR(SUMIF(Nutzungsprofile!$B$6:$B$11,"Schulbetrieb",Nutzungsprofile!$G$6:$G$11)*Kalender!C350/SUM(Kalender!$C$5:$C$370),0)+IFERROR(SUMIF(Nutzungsprofile!$B$6:$B$11,"Halle",Nutzungsprofile!$G$6:$G$11)*Kalender!D350/SUM(Kalender!$D$5:$D$370),0)+IFERROR(SUMIF(Nutzungsprofile!$B$6:$B$11,"Individuell",Nutzungsprofile!$G$6:$G$11)*Kalender!E350/SUM(Kalender!$E$5:$E$370),0))*Szenarien!$E$19,0)</f>
        <v>0</v>
      </c>
      <c r="D3278" s="13" t="n">
        <f aca="false">IF(Szenarien!$H$19="OK",(IFERROR(SUMIF(Nutzungsprofile!$B$17:$B$22,"Schulbetrieb",Nutzungsprofile!$G$17:$G$22)*Kalender!C350/SUM(Kalender!$C$5:$C$370),0)+IFERROR(SUMIF(Nutzungsprofile!$B$17:$B$22,"Halle",Nutzungsprofile!$G$17:$G$22)*Kalender!D350/SUM(Kalender!$D$5:$D$370),0)+IFERROR(SUMIF(Nutzungsprofile!$B$17:$B$22,"Individuell",Nutzungsprofile!$G$17:$G$22)*Kalender!E350/SUM(Kalender!$E$5:$E$370),0))*Szenarien!$D$19,0)</f>
        <v>0</v>
      </c>
      <c r="E3278" s="13" t="n">
        <f aca="false">IFERROR(MIN(C3278,Eingaben!$B$17)*Eingaben!$B$16,0)</f>
        <v>0</v>
      </c>
      <c r="F3278" s="13" t="n">
        <f aca="false">IFERROR(E3278*Eingaben!$B$15,0)</f>
        <v>0</v>
      </c>
      <c r="G3278" s="13" t="n">
        <f aca="false">IFERROR(IF(Kalender!A350="",0,J3277*(1-Eingaben!$B$20)),0)</f>
        <v>0</v>
      </c>
      <c r="H3278" s="13" t="n">
        <f aca="false">MIN(G3278,D3278)</f>
        <v>0</v>
      </c>
      <c r="I3278" s="13" t="n">
        <f aca="false">IFERROR(MIN(F3278*Eingaben!$B$19,MAX(0,D3278-H3278)),0)</f>
        <v>0</v>
      </c>
      <c r="J3278" s="13" t="n">
        <f aca="false">IFERROR(MIN(Eingaben!$B$18,MAX(0,F3278-I3278)),0)</f>
        <v>0</v>
      </c>
      <c r="K3278" s="13" t="n">
        <f aca="false">H3278+I3278</f>
        <v>0</v>
      </c>
      <c r="L3278" s="13" t="n">
        <f aca="false">MAX(0,D3278-K3278)</f>
        <v>0</v>
      </c>
      <c r="M3278" s="13" t="n">
        <f aca="false">MAX(0,F3278-I3278-J3278)</f>
        <v>0</v>
      </c>
      <c r="N3278" s="13" t="n">
        <f aca="false">IF(Kalender!A350="",0,J3277-H3278)</f>
        <v>0</v>
      </c>
    </row>
    <row r="3279" customFormat="false" ht="16.4" hidden="false" customHeight="false" outlineLevel="0" collapsed="false">
      <c r="A3279" s="13" t="str">
        <f aca="false">""</f>
        <v/>
      </c>
      <c r="B3279" s="13" t="n">
        <f aca="false">347</f>
        <v>347</v>
      </c>
      <c r="C3279" s="13" t="n">
        <f aca="false">IF(Szenarien!$H$19="OK",(IFERROR(SUMIF(Nutzungsprofile!$B$6:$B$11,"Schulbetrieb",Nutzungsprofile!$G$6:$G$11)*Kalender!C351/SUM(Kalender!$C$5:$C$370),0)+IFERROR(SUMIF(Nutzungsprofile!$B$6:$B$11,"Halle",Nutzungsprofile!$G$6:$G$11)*Kalender!D351/SUM(Kalender!$D$5:$D$370),0)+IFERROR(SUMIF(Nutzungsprofile!$B$6:$B$11,"Individuell",Nutzungsprofile!$G$6:$G$11)*Kalender!E351/SUM(Kalender!$E$5:$E$370),0))*Szenarien!$E$19,0)</f>
        <v>0</v>
      </c>
      <c r="D3279" s="13" t="n">
        <f aca="false">IF(Szenarien!$H$19="OK",(IFERROR(SUMIF(Nutzungsprofile!$B$17:$B$22,"Schulbetrieb",Nutzungsprofile!$G$17:$G$22)*Kalender!C351/SUM(Kalender!$C$5:$C$370),0)+IFERROR(SUMIF(Nutzungsprofile!$B$17:$B$22,"Halle",Nutzungsprofile!$G$17:$G$22)*Kalender!D351/SUM(Kalender!$D$5:$D$370),0)+IFERROR(SUMIF(Nutzungsprofile!$B$17:$B$22,"Individuell",Nutzungsprofile!$G$17:$G$22)*Kalender!E351/SUM(Kalender!$E$5:$E$370),0))*Szenarien!$D$19,0)</f>
        <v>0</v>
      </c>
      <c r="E3279" s="13" t="n">
        <f aca="false">IFERROR(MIN(C3279,Eingaben!$B$17)*Eingaben!$B$16,0)</f>
        <v>0</v>
      </c>
      <c r="F3279" s="13" t="n">
        <f aca="false">IFERROR(E3279*Eingaben!$B$15,0)</f>
        <v>0</v>
      </c>
      <c r="G3279" s="13" t="n">
        <f aca="false">IFERROR(IF(Kalender!A351="",0,J3278*(1-Eingaben!$B$20)),0)</f>
        <v>0</v>
      </c>
      <c r="H3279" s="13" t="n">
        <f aca="false">MIN(G3279,D3279)</f>
        <v>0</v>
      </c>
      <c r="I3279" s="13" t="n">
        <f aca="false">IFERROR(MIN(F3279*Eingaben!$B$19,MAX(0,D3279-H3279)),0)</f>
        <v>0</v>
      </c>
      <c r="J3279" s="13" t="n">
        <f aca="false">IFERROR(MIN(Eingaben!$B$18,MAX(0,F3279-I3279)),0)</f>
        <v>0</v>
      </c>
      <c r="K3279" s="13" t="n">
        <f aca="false">H3279+I3279</f>
        <v>0</v>
      </c>
      <c r="L3279" s="13" t="n">
        <f aca="false">MAX(0,D3279-K3279)</f>
        <v>0</v>
      </c>
      <c r="M3279" s="13" t="n">
        <f aca="false">MAX(0,F3279-I3279-J3279)</f>
        <v>0</v>
      </c>
      <c r="N3279" s="13" t="n">
        <f aca="false">IF(Kalender!A351="",0,J3278-H3279)</f>
        <v>0</v>
      </c>
    </row>
    <row r="3280" customFormat="false" ht="16.4" hidden="false" customHeight="false" outlineLevel="0" collapsed="false">
      <c r="A3280" s="13" t="str">
        <f aca="false">""</f>
        <v/>
      </c>
      <c r="B3280" s="13" t="n">
        <f aca="false">348</f>
        <v>348</v>
      </c>
      <c r="C3280" s="13" t="n">
        <f aca="false">IF(Szenarien!$H$19="OK",(IFERROR(SUMIF(Nutzungsprofile!$B$6:$B$11,"Schulbetrieb",Nutzungsprofile!$G$6:$G$11)*Kalender!C352/SUM(Kalender!$C$5:$C$370),0)+IFERROR(SUMIF(Nutzungsprofile!$B$6:$B$11,"Halle",Nutzungsprofile!$G$6:$G$11)*Kalender!D352/SUM(Kalender!$D$5:$D$370),0)+IFERROR(SUMIF(Nutzungsprofile!$B$6:$B$11,"Individuell",Nutzungsprofile!$G$6:$G$11)*Kalender!E352/SUM(Kalender!$E$5:$E$370),0))*Szenarien!$E$19,0)</f>
        <v>0</v>
      </c>
      <c r="D3280" s="13" t="n">
        <f aca="false">IF(Szenarien!$H$19="OK",(IFERROR(SUMIF(Nutzungsprofile!$B$17:$B$22,"Schulbetrieb",Nutzungsprofile!$G$17:$G$22)*Kalender!C352/SUM(Kalender!$C$5:$C$370),0)+IFERROR(SUMIF(Nutzungsprofile!$B$17:$B$22,"Halle",Nutzungsprofile!$G$17:$G$22)*Kalender!D352/SUM(Kalender!$D$5:$D$370),0)+IFERROR(SUMIF(Nutzungsprofile!$B$17:$B$22,"Individuell",Nutzungsprofile!$G$17:$G$22)*Kalender!E352/SUM(Kalender!$E$5:$E$370),0))*Szenarien!$D$19,0)</f>
        <v>0</v>
      </c>
      <c r="E3280" s="13" t="n">
        <f aca="false">IFERROR(MIN(C3280,Eingaben!$B$17)*Eingaben!$B$16,0)</f>
        <v>0</v>
      </c>
      <c r="F3280" s="13" t="n">
        <f aca="false">IFERROR(E3280*Eingaben!$B$15,0)</f>
        <v>0</v>
      </c>
      <c r="G3280" s="13" t="n">
        <f aca="false">IFERROR(IF(Kalender!A352="",0,J3279*(1-Eingaben!$B$20)),0)</f>
        <v>0</v>
      </c>
      <c r="H3280" s="13" t="n">
        <f aca="false">MIN(G3280,D3280)</f>
        <v>0</v>
      </c>
      <c r="I3280" s="13" t="n">
        <f aca="false">IFERROR(MIN(F3280*Eingaben!$B$19,MAX(0,D3280-H3280)),0)</f>
        <v>0</v>
      </c>
      <c r="J3280" s="13" t="n">
        <f aca="false">IFERROR(MIN(Eingaben!$B$18,MAX(0,F3280-I3280)),0)</f>
        <v>0</v>
      </c>
      <c r="K3280" s="13" t="n">
        <f aca="false">H3280+I3280</f>
        <v>0</v>
      </c>
      <c r="L3280" s="13" t="n">
        <f aca="false">MAX(0,D3280-K3280)</f>
        <v>0</v>
      </c>
      <c r="M3280" s="13" t="n">
        <f aca="false">MAX(0,F3280-I3280-J3280)</f>
        <v>0</v>
      </c>
      <c r="N3280" s="13" t="n">
        <f aca="false">IF(Kalender!A352="",0,J3279-H3280)</f>
        <v>0</v>
      </c>
    </row>
    <row r="3281" customFormat="false" ht="16.4" hidden="false" customHeight="false" outlineLevel="0" collapsed="false">
      <c r="A3281" s="13" t="str">
        <f aca="false">""</f>
        <v/>
      </c>
      <c r="B3281" s="13" t="n">
        <f aca="false">349</f>
        <v>349</v>
      </c>
      <c r="C3281" s="13" t="n">
        <f aca="false">IF(Szenarien!$H$19="OK",(IFERROR(SUMIF(Nutzungsprofile!$B$6:$B$11,"Schulbetrieb",Nutzungsprofile!$G$6:$G$11)*Kalender!C353/SUM(Kalender!$C$5:$C$370),0)+IFERROR(SUMIF(Nutzungsprofile!$B$6:$B$11,"Halle",Nutzungsprofile!$G$6:$G$11)*Kalender!D353/SUM(Kalender!$D$5:$D$370),0)+IFERROR(SUMIF(Nutzungsprofile!$B$6:$B$11,"Individuell",Nutzungsprofile!$G$6:$G$11)*Kalender!E353/SUM(Kalender!$E$5:$E$370),0))*Szenarien!$E$19,0)</f>
        <v>0</v>
      </c>
      <c r="D3281" s="13" t="n">
        <f aca="false">IF(Szenarien!$H$19="OK",(IFERROR(SUMIF(Nutzungsprofile!$B$17:$B$22,"Schulbetrieb",Nutzungsprofile!$G$17:$G$22)*Kalender!C353/SUM(Kalender!$C$5:$C$370),0)+IFERROR(SUMIF(Nutzungsprofile!$B$17:$B$22,"Halle",Nutzungsprofile!$G$17:$G$22)*Kalender!D353/SUM(Kalender!$D$5:$D$370),0)+IFERROR(SUMIF(Nutzungsprofile!$B$17:$B$22,"Individuell",Nutzungsprofile!$G$17:$G$22)*Kalender!E353/SUM(Kalender!$E$5:$E$370),0))*Szenarien!$D$19,0)</f>
        <v>0</v>
      </c>
      <c r="E3281" s="13" t="n">
        <f aca="false">IFERROR(MIN(C3281,Eingaben!$B$17)*Eingaben!$B$16,0)</f>
        <v>0</v>
      </c>
      <c r="F3281" s="13" t="n">
        <f aca="false">IFERROR(E3281*Eingaben!$B$15,0)</f>
        <v>0</v>
      </c>
      <c r="G3281" s="13" t="n">
        <f aca="false">IFERROR(IF(Kalender!A353="",0,J3280*(1-Eingaben!$B$20)),0)</f>
        <v>0</v>
      </c>
      <c r="H3281" s="13" t="n">
        <f aca="false">MIN(G3281,D3281)</f>
        <v>0</v>
      </c>
      <c r="I3281" s="13" t="n">
        <f aca="false">IFERROR(MIN(F3281*Eingaben!$B$19,MAX(0,D3281-H3281)),0)</f>
        <v>0</v>
      </c>
      <c r="J3281" s="13" t="n">
        <f aca="false">IFERROR(MIN(Eingaben!$B$18,MAX(0,F3281-I3281)),0)</f>
        <v>0</v>
      </c>
      <c r="K3281" s="13" t="n">
        <f aca="false">H3281+I3281</f>
        <v>0</v>
      </c>
      <c r="L3281" s="13" t="n">
        <f aca="false">MAX(0,D3281-K3281)</f>
        <v>0</v>
      </c>
      <c r="M3281" s="13" t="n">
        <f aca="false">MAX(0,F3281-I3281-J3281)</f>
        <v>0</v>
      </c>
      <c r="N3281" s="13" t="n">
        <f aca="false">IF(Kalender!A353="",0,J3280-H3281)</f>
        <v>0</v>
      </c>
    </row>
    <row r="3282" customFormat="false" ht="16.4" hidden="false" customHeight="false" outlineLevel="0" collapsed="false">
      <c r="A3282" s="13" t="str">
        <f aca="false">""</f>
        <v/>
      </c>
      <c r="B3282" s="13" t="n">
        <f aca="false">350</f>
        <v>350</v>
      </c>
      <c r="C3282" s="13" t="n">
        <f aca="false">IF(Szenarien!$H$19="OK",(IFERROR(SUMIF(Nutzungsprofile!$B$6:$B$11,"Schulbetrieb",Nutzungsprofile!$G$6:$G$11)*Kalender!C354/SUM(Kalender!$C$5:$C$370),0)+IFERROR(SUMIF(Nutzungsprofile!$B$6:$B$11,"Halle",Nutzungsprofile!$G$6:$G$11)*Kalender!D354/SUM(Kalender!$D$5:$D$370),0)+IFERROR(SUMIF(Nutzungsprofile!$B$6:$B$11,"Individuell",Nutzungsprofile!$G$6:$G$11)*Kalender!E354/SUM(Kalender!$E$5:$E$370),0))*Szenarien!$E$19,0)</f>
        <v>0</v>
      </c>
      <c r="D3282" s="13" t="n">
        <f aca="false">IF(Szenarien!$H$19="OK",(IFERROR(SUMIF(Nutzungsprofile!$B$17:$B$22,"Schulbetrieb",Nutzungsprofile!$G$17:$G$22)*Kalender!C354/SUM(Kalender!$C$5:$C$370),0)+IFERROR(SUMIF(Nutzungsprofile!$B$17:$B$22,"Halle",Nutzungsprofile!$G$17:$G$22)*Kalender!D354/SUM(Kalender!$D$5:$D$370),0)+IFERROR(SUMIF(Nutzungsprofile!$B$17:$B$22,"Individuell",Nutzungsprofile!$G$17:$G$22)*Kalender!E354/SUM(Kalender!$E$5:$E$370),0))*Szenarien!$D$19,0)</f>
        <v>0</v>
      </c>
      <c r="E3282" s="13" t="n">
        <f aca="false">IFERROR(MIN(C3282,Eingaben!$B$17)*Eingaben!$B$16,0)</f>
        <v>0</v>
      </c>
      <c r="F3282" s="13" t="n">
        <f aca="false">IFERROR(E3282*Eingaben!$B$15,0)</f>
        <v>0</v>
      </c>
      <c r="G3282" s="13" t="n">
        <f aca="false">IFERROR(IF(Kalender!A354="",0,J3281*(1-Eingaben!$B$20)),0)</f>
        <v>0</v>
      </c>
      <c r="H3282" s="13" t="n">
        <f aca="false">MIN(G3282,D3282)</f>
        <v>0</v>
      </c>
      <c r="I3282" s="13" t="n">
        <f aca="false">IFERROR(MIN(F3282*Eingaben!$B$19,MAX(0,D3282-H3282)),0)</f>
        <v>0</v>
      </c>
      <c r="J3282" s="13" t="n">
        <f aca="false">IFERROR(MIN(Eingaben!$B$18,MAX(0,F3282-I3282)),0)</f>
        <v>0</v>
      </c>
      <c r="K3282" s="13" t="n">
        <f aca="false">H3282+I3282</f>
        <v>0</v>
      </c>
      <c r="L3282" s="13" t="n">
        <f aca="false">MAX(0,D3282-K3282)</f>
        <v>0</v>
      </c>
      <c r="M3282" s="13" t="n">
        <f aca="false">MAX(0,F3282-I3282-J3282)</f>
        <v>0</v>
      </c>
      <c r="N3282" s="13" t="n">
        <f aca="false">IF(Kalender!A354="",0,J3281-H3282)</f>
        <v>0</v>
      </c>
    </row>
    <row r="3283" customFormat="false" ht="16.4" hidden="false" customHeight="false" outlineLevel="0" collapsed="false">
      <c r="A3283" s="13" t="str">
        <f aca="false">""</f>
        <v/>
      </c>
      <c r="B3283" s="13" t="n">
        <f aca="false">351</f>
        <v>351</v>
      </c>
      <c r="C3283" s="13" t="n">
        <f aca="false">IF(Szenarien!$H$19="OK",(IFERROR(SUMIF(Nutzungsprofile!$B$6:$B$11,"Schulbetrieb",Nutzungsprofile!$G$6:$G$11)*Kalender!C355/SUM(Kalender!$C$5:$C$370),0)+IFERROR(SUMIF(Nutzungsprofile!$B$6:$B$11,"Halle",Nutzungsprofile!$G$6:$G$11)*Kalender!D355/SUM(Kalender!$D$5:$D$370),0)+IFERROR(SUMIF(Nutzungsprofile!$B$6:$B$11,"Individuell",Nutzungsprofile!$G$6:$G$11)*Kalender!E355/SUM(Kalender!$E$5:$E$370),0))*Szenarien!$E$19,0)</f>
        <v>0</v>
      </c>
      <c r="D3283" s="13" t="n">
        <f aca="false">IF(Szenarien!$H$19="OK",(IFERROR(SUMIF(Nutzungsprofile!$B$17:$B$22,"Schulbetrieb",Nutzungsprofile!$G$17:$G$22)*Kalender!C355/SUM(Kalender!$C$5:$C$370),0)+IFERROR(SUMIF(Nutzungsprofile!$B$17:$B$22,"Halle",Nutzungsprofile!$G$17:$G$22)*Kalender!D355/SUM(Kalender!$D$5:$D$370),0)+IFERROR(SUMIF(Nutzungsprofile!$B$17:$B$22,"Individuell",Nutzungsprofile!$G$17:$G$22)*Kalender!E355/SUM(Kalender!$E$5:$E$370),0))*Szenarien!$D$19,0)</f>
        <v>0</v>
      </c>
      <c r="E3283" s="13" t="n">
        <f aca="false">IFERROR(MIN(C3283,Eingaben!$B$17)*Eingaben!$B$16,0)</f>
        <v>0</v>
      </c>
      <c r="F3283" s="13" t="n">
        <f aca="false">IFERROR(E3283*Eingaben!$B$15,0)</f>
        <v>0</v>
      </c>
      <c r="G3283" s="13" t="n">
        <f aca="false">IFERROR(IF(Kalender!A355="",0,J3282*(1-Eingaben!$B$20)),0)</f>
        <v>0</v>
      </c>
      <c r="H3283" s="13" t="n">
        <f aca="false">MIN(G3283,D3283)</f>
        <v>0</v>
      </c>
      <c r="I3283" s="13" t="n">
        <f aca="false">IFERROR(MIN(F3283*Eingaben!$B$19,MAX(0,D3283-H3283)),0)</f>
        <v>0</v>
      </c>
      <c r="J3283" s="13" t="n">
        <f aca="false">IFERROR(MIN(Eingaben!$B$18,MAX(0,F3283-I3283)),0)</f>
        <v>0</v>
      </c>
      <c r="K3283" s="13" t="n">
        <f aca="false">H3283+I3283</f>
        <v>0</v>
      </c>
      <c r="L3283" s="13" t="n">
        <f aca="false">MAX(0,D3283-K3283)</f>
        <v>0</v>
      </c>
      <c r="M3283" s="13" t="n">
        <f aca="false">MAX(0,F3283-I3283-J3283)</f>
        <v>0</v>
      </c>
      <c r="N3283" s="13" t="n">
        <f aca="false">IF(Kalender!A355="",0,J3282-H3283)</f>
        <v>0</v>
      </c>
    </row>
    <row r="3284" customFormat="false" ht="16.4" hidden="false" customHeight="false" outlineLevel="0" collapsed="false">
      <c r="A3284" s="13" t="str">
        <f aca="false">""</f>
        <v/>
      </c>
      <c r="B3284" s="13" t="n">
        <f aca="false">352</f>
        <v>352</v>
      </c>
      <c r="C3284" s="13" t="n">
        <f aca="false">IF(Szenarien!$H$19="OK",(IFERROR(SUMIF(Nutzungsprofile!$B$6:$B$11,"Schulbetrieb",Nutzungsprofile!$G$6:$G$11)*Kalender!C356/SUM(Kalender!$C$5:$C$370),0)+IFERROR(SUMIF(Nutzungsprofile!$B$6:$B$11,"Halle",Nutzungsprofile!$G$6:$G$11)*Kalender!D356/SUM(Kalender!$D$5:$D$370),0)+IFERROR(SUMIF(Nutzungsprofile!$B$6:$B$11,"Individuell",Nutzungsprofile!$G$6:$G$11)*Kalender!E356/SUM(Kalender!$E$5:$E$370),0))*Szenarien!$E$19,0)</f>
        <v>0</v>
      </c>
      <c r="D3284" s="13" t="n">
        <f aca="false">IF(Szenarien!$H$19="OK",(IFERROR(SUMIF(Nutzungsprofile!$B$17:$B$22,"Schulbetrieb",Nutzungsprofile!$G$17:$G$22)*Kalender!C356/SUM(Kalender!$C$5:$C$370),0)+IFERROR(SUMIF(Nutzungsprofile!$B$17:$B$22,"Halle",Nutzungsprofile!$G$17:$G$22)*Kalender!D356/SUM(Kalender!$D$5:$D$370),0)+IFERROR(SUMIF(Nutzungsprofile!$B$17:$B$22,"Individuell",Nutzungsprofile!$G$17:$G$22)*Kalender!E356/SUM(Kalender!$E$5:$E$370),0))*Szenarien!$D$19,0)</f>
        <v>0</v>
      </c>
      <c r="E3284" s="13" t="n">
        <f aca="false">IFERROR(MIN(C3284,Eingaben!$B$17)*Eingaben!$B$16,0)</f>
        <v>0</v>
      </c>
      <c r="F3284" s="13" t="n">
        <f aca="false">IFERROR(E3284*Eingaben!$B$15,0)</f>
        <v>0</v>
      </c>
      <c r="G3284" s="13" t="n">
        <f aca="false">IFERROR(IF(Kalender!A356="",0,J3283*(1-Eingaben!$B$20)),0)</f>
        <v>0</v>
      </c>
      <c r="H3284" s="13" t="n">
        <f aca="false">MIN(G3284,D3284)</f>
        <v>0</v>
      </c>
      <c r="I3284" s="13" t="n">
        <f aca="false">IFERROR(MIN(F3284*Eingaben!$B$19,MAX(0,D3284-H3284)),0)</f>
        <v>0</v>
      </c>
      <c r="J3284" s="13" t="n">
        <f aca="false">IFERROR(MIN(Eingaben!$B$18,MAX(0,F3284-I3284)),0)</f>
        <v>0</v>
      </c>
      <c r="K3284" s="13" t="n">
        <f aca="false">H3284+I3284</f>
        <v>0</v>
      </c>
      <c r="L3284" s="13" t="n">
        <f aca="false">MAX(0,D3284-K3284)</f>
        <v>0</v>
      </c>
      <c r="M3284" s="13" t="n">
        <f aca="false">MAX(0,F3284-I3284-J3284)</f>
        <v>0</v>
      </c>
      <c r="N3284" s="13" t="n">
        <f aca="false">IF(Kalender!A356="",0,J3283-H3284)</f>
        <v>0</v>
      </c>
    </row>
    <row r="3285" customFormat="false" ht="16.4" hidden="false" customHeight="false" outlineLevel="0" collapsed="false">
      <c r="A3285" s="13" t="str">
        <f aca="false">""</f>
        <v/>
      </c>
      <c r="B3285" s="13" t="n">
        <f aca="false">353</f>
        <v>353</v>
      </c>
      <c r="C3285" s="13" t="n">
        <f aca="false">IF(Szenarien!$H$19="OK",(IFERROR(SUMIF(Nutzungsprofile!$B$6:$B$11,"Schulbetrieb",Nutzungsprofile!$G$6:$G$11)*Kalender!C357/SUM(Kalender!$C$5:$C$370),0)+IFERROR(SUMIF(Nutzungsprofile!$B$6:$B$11,"Halle",Nutzungsprofile!$G$6:$G$11)*Kalender!D357/SUM(Kalender!$D$5:$D$370),0)+IFERROR(SUMIF(Nutzungsprofile!$B$6:$B$11,"Individuell",Nutzungsprofile!$G$6:$G$11)*Kalender!E357/SUM(Kalender!$E$5:$E$370),0))*Szenarien!$E$19,0)</f>
        <v>0</v>
      </c>
      <c r="D3285" s="13" t="n">
        <f aca="false">IF(Szenarien!$H$19="OK",(IFERROR(SUMIF(Nutzungsprofile!$B$17:$B$22,"Schulbetrieb",Nutzungsprofile!$G$17:$G$22)*Kalender!C357/SUM(Kalender!$C$5:$C$370),0)+IFERROR(SUMIF(Nutzungsprofile!$B$17:$B$22,"Halle",Nutzungsprofile!$G$17:$G$22)*Kalender!D357/SUM(Kalender!$D$5:$D$370),0)+IFERROR(SUMIF(Nutzungsprofile!$B$17:$B$22,"Individuell",Nutzungsprofile!$G$17:$G$22)*Kalender!E357/SUM(Kalender!$E$5:$E$370),0))*Szenarien!$D$19,0)</f>
        <v>0</v>
      </c>
      <c r="E3285" s="13" t="n">
        <f aca="false">IFERROR(MIN(C3285,Eingaben!$B$17)*Eingaben!$B$16,0)</f>
        <v>0</v>
      </c>
      <c r="F3285" s="13" t="n">
        <f aca="false">IFERROR(E3285*Eingaben!$B$15,0)</f>
        <v>0</v>
      </c>
      <c r="G3285" s="13" t="n">
        <f aca="false">IFERROR(IF(Kalender!A357="",0,J3284*(1-Eingaben!$B$20)),0)</f>
        <v>0</v>
      </c>
      <c r="H3285" s="13" t="n">
        <f aca="false">MIN(G3285,D3285)</f>
        <v>0</v>
      </c>
      <c r="I3285" s="13" t="n">
        <f aca="false">IFERROR(MIN(F3285*Eingaben!$B$19,MAX(0,D3285-H3285)),0)</f>
        <v>0</v>
      </c>
      <c r="J3285" s="13" t="n">
        <f aca="false">IFERROR(MIN(Eingaben!$B$18,MAX(0,F3285-I3285)),0)</f>
        <v>0</v>
      </c>
      <c r="K3285" s="13" t="n">
        <f aca="false">H3285+I3285</f>
        <v>0</v>
      </c>
      <c r="L3285" s="13" t="n">
        <f aca="false">MAX(0,D3285-K3285)</f>
        <v>0</v>
      </c>
      <c r="M3285" s="13" t="n">
        <f aca="false">MAX(0,F3285-I3285-J3285)</f>
        <v>0</v>
      </c>
      <c r="N3285" s="13" t="n">
        <f aca="false">IF(Kalender!A357="",0,J3284-H3285)</f>
        <v>0</v>
      </c>
    </row>
    <row r="3286" customFormat="false" ht="16.4" hidden="false" customHeight="false" outlineLevel="0" collapsed="false">
      <c r="A3286" s="13" t="str">
        <f aca="false">""</f>
        <v/>
      </c>
      <c r="B3286" s="13" t="n">
        <f aca="false">354</f>
        <v>354</v>
      </c>
      <c r="C3286" s="13" t="n">
        <f aca="false">IF(Szenarien!$H$19="OK",(IFERROR(SUMIF(Nutzungsprofile!$B$6:$B$11,"Schulbetrieb",Nutzungsprofile!$G$6:$G$11)*Kalender!C358/SUM(Kalender!$C$5:$C$370),0)+IFERROR(SUMIF(Nutzungsprofile!$B$6:$B$11,"Halle",Nutzungsprofile!$G$6:$G$11)*Kalender!D358/SUM(Kalender!$D$5:$D$370),0)+IFERROR(SUMIF(Nutzungsprofile!$B$6:$B$11,"Individuell",Nutzungsprofile!$G$6:$G$11)*Kalender!E358/SUM(Kalender!$E$5:$E$370),0))*Szenarien!$E$19,0)</f>
        <v>0</v>
      </c>
      <c r="D3286" s="13" t="n">
        <f aca="false">IF(Szenarien!$H$19="OK",(IFERROR(SUMIF(Nutzungsprofile!$B$17:$B$22,"Schulbetrieb",Nutzungsprofile!$G$17:$G$22)*Kalender!C358/SUM(Kalender!$C$5:$C$370),0)+IFERROR(SUMIF(Nutzungsprofile!$B$17:$B$22,"Halle",Nutzungsprofile!$G$17:$G$22)*Kalender!D358/SUM(Kalender!$D$5:$D$370),0)+IFERROR(SUMIF(Nutzungsprofile!$B$17:$B$22,"Individuell",Nutzungsprofile!$G$17:$G$22)*Kalender!E358/SUM(Kalender!$E$5:$E$370),0))*Szenarien!$D$19,0)</f>
        <v>0</v>
      </c>
      <c r="E3286" s="13" t="n">
        <f aca="false">IFERROR(MIN(C3286,Eingaben!$B$17)*Eingaben!$B$16,0)</f>
        <v>0</v>
      </c>
      <c r="F3286" s="13" t="n">
        <f aca="false">IFERROR(E3286*Eingaben!$B$15,0)</f>
        <v>0</v>
      </c>
      <c r="G3286" s="13" t="n">
        <f aca="false">IFERROR(IF(Kalender!A358="",0,J3285*(1-Eingaben!$B$20)),0)</f>
        <v>0</v>
      </c>
      <c r="H3286" s="13" t="n">
        <f aca="false">MIN(G3286,D3286)</f>
        <v>0</v>
      </c>
      <c r="I3286" s="13" t="n">
        <f aca="false">IFERROR(MIN(F3286*Eingaben!$B$19,MAX(0,D3286-H3286)),0)</f>
        <v>0</v>
      </c>
      <c r="J3286" s="13" t="n">
        <f aca="false">IFERROR(MIN(Eingaben!$B$18,MAX(0,F3286-I3286)),0)</f>
        <v>0</v>
      </c>
      <c r="K3286" s="13" t="n">
        <f aca="false">H3286+I3286</f>
        <v>0</v>
      </c>
      <c r="L3286" s="13" t="n">
        <f aca="false">MAX(0,D3286-K3286)</f>
        <v>0</v>
      </c>
      <c r="M3286" s="13" t="n">
        <f aca="false">MAX(0,F3286-I3286-J3286)</f>
        <v>0</v>
      </c>
      <c r="N3286" s="13" t="n">
        <f aca="false">IF(Kalender!A358="",0,J3285-H3286)</f>
        <v>0</v>
      </c>
    </row>
    <row r="3287" customFormat="false" ht="16.4" hidden="false" customHeight="false" outlineLevel="0" collapsed="false">
      <c r="A3287" s="13" t="str">
        <f aca="false">""</f>
        <v/>
      </c>
      <c r="B3287" s="13" t="n">
        <f aca="false">355</f>
        <v>355</v>
      </c>
      <c r="C3287" s="13" t="n">
        <f aca="false">IF(Szenarien!$H$19="OK",(IFERROR(SUMIF(Nutzungsprofile!$B$6:$B$11,"Schulbetrieb",Nutzungsprofile!$G$6:$G$11)*Kalender!C359/SUM(Kalender!$C$5:$C$370),0)+IFERROR(SUMIF(Nutzungsprofile!$B$6:$B$11,"Halle",Nutzungsprofile!$G$6:$G$11)*Kalender!D359/SUM(Kalender!$D$5:$D$370),0)+IFERROR(SUMIF(Nutzungsprofile!$B$6:$B$11,"Individuell",Nutzungsprofile!$G$6:$G$11)*Kalender!E359/SUM(Kalender!$E$5:$E$370),0))*Szenarien!$E$19,0)</f>
        <v>0</v>
      </c>
      <c r="D3287" s="13" t="n">
        <f aca="false">IF(Szenarien!$H$19="OK",(IFERROR(SUMIF(Nutzungsprofile!$B$17:$B$22,"Schulbetrieb",Nutzungsprofile!$G$17:$G$22)*Kalender!C359/SUM(Kalender!$C$5:$C$370),0)+IFERROR(SUMIF(Nutzungsprofile!$B$17:$B$22,"Halle",Nutzungsprofile!$G$17:$G$22)*Kalender!D359/SUM(Kalender!$D$5:$D$370),0)+IFERROR(SUMIF(Nutzungsprofile!$B$17:$B$22,"Individuell",Nutzungsprofile!$G$17:$G$22)*Kalender!E359/SUM(Kalender!$E$5:$E$370),0))*Szenarien!$D$19,0)</f>
        <v>0</v>
      </c>
      <c r="E3287" s="13" t="n">
        <f aca="false">IFERROR(MIN(C3287,Eingaben!$B$17)*Eingaben!$B$16,0)</f>
        <v>0</v>
      </c>
      <c r="F3287" s="13" t="n">
        <f aca="false">IFERROR(E3287*Eingaben!$B$15,0)</f>
        <v>0</v>
      </c>
      <c r="G3287" s="13" t="n">
        <f aca="false">IFERROR(IF(Kalender!A359="",0,J3286*(1-Eingaben!$B$20)),0)</f>
        <v>0</v>
      </c>
      <c r="H3287" s="13" t="n">
        <f aca="false">MIN(G3287,D3287)</f>
        <v>0</v>
      </c>
      <c r="I3287" s="13" t="n">
        <f aca="false">IFERROR(MIN(F3287*Eingaben!$B$19,MAX(0,D3287-H3287)),0)</f>
        <v>0</v>
      </c>
      <c r="J3287" s="13" t="n">
        <f aca="false">IFERROR(MIN(Eingaben!$B$18,MAX(0,F3287-I3287)),0)</f>
        <v>0</v>
      </c>
      <c r="K3287" s="13" t="n">
        <f aca="false">H3287+I3287</f>
        <v>0</v>
      </c>
      <c r="L3287" s="13" t="n">
        <f aca="false">MAX(0,D3287-K3287)</f>
        <v>0</v>
      </c>
      <c r="M3287" s="13" t="n">
        <f aca="false">MAX(0,F3287-I3287-J3287)</f>
        <v>0</v>
      </c>
      <c r="N3287" s="13" t="n">
        <f aca="false">IF(Kalender!A359="",0,J3286-H3287)</f>
        <v>0</v>
      </c>
    </row>
    <row r="3288" customFormat="false" ht="16.4" hidden="false" customHeight="false" outlineLevel="0" collapsed="false">
      <c r="A3288" s="13" t="str">
        <f aca="false">""</f>
        <v/>
      </c>
      <c r="B3288" s="13" t="n">
        <f aca="false">356</f>
        <v>356</v>
      </c>
      <c r="C3288" s="13" t="n">
        <f aca="false">IF(Szenarien!$H$19="OK",(IFERROR(SUMIF(Nutzungsprofile!$B$6:$B$11,"Schulbetrieb",Nutzungsprofile!$G$6:$G$11)*Kalender!C360/SUM(Kalender!$C$5:$C$370),0)+IFERROR(SUMIF(Nutzungsprofile!$B$6:$B$11,"Halle",Nutzungsprofile!$G$6:$G$11)*Kalender!D360/SUM(Kalender!$D$5:$D$370),0)+IFERROR(SUMIF(Nutzungsprofile!$B$6:$B$11,"Individuell",Nutzungsprofile!$G$6:$G$11)*Kalender!E360/SUM(Kalender!$E$5:$E$370),0))*Szenarien!$E$19,0)</f>
        <v>0</v>
      </c>
      <c r="D3288" s="13" t="n">
        <f aca="false">IF(Szenarien!$H$19="OK",(IFERROR(SUMIF(Nutzungsprofile!$B$17:$B$22,"Schulbetrieb",Nutzungsprofile!$G$17:$G$22)*Kalender!C360/SUM(Kalender!$C$5:$C$370),0)+IFERROR(SUMIF(Nutzungsprofile!$B$17:$B$22,"Halle",Nutzungsprofile!$G$17:$G$22)*Kalender!D360/SUM(Kalender!$D$5:$D$370),0)+IFERROR(SUMIF(Nutzungsprofile!$B$17:$B$22,"Individuell",Nutzungsprofile!$G$17:$G$22)*Kalender!E360/SUM(Kalender!$E$5:$E$370),0))*Szenarien!$D$19,0)</f>
        <v>0</v>
      </c>
      <c r="E3288" s="13" t="n">
        <f aca="false">IFERROR(MIN(C3288,Eingaben!$B$17)*Eingaben!$B$16,0)</f>
        <v>0</v>
      </c>
      <c r="F3288" s="13" t="n">
        <f aca="false">IFERROR(E3288*Eingaben!$B$15,0)</f>
        <v>0</v>
      </c>
      <c r="G3288" s="13" t="n">
        <f aca="false">IFERROR(IF(Kalender!A360="",0,J3287*(1-Eingaben!$B$20)),0)</f>
        <v>0</v>
      </c>
      <c r="H3288" s="13" t="n">
        <f aca="false">MIN(G3288,D3288)</f>
        <v>0</v>
      </c>
      <c r="I3288" s="13" t="n">
        <f aca="false">IFERROR(MIN(F3288*Eingaben!$B$19,MAX(0,D3288-H3288)),0)</f>
        <v>0</v>
      </c>
      <c r="J3288" s="13" t="n">
        <f aca="false">IFERROR(MIN(Eingaben!$B$18,MAX(0,F3288-I3288)),0)</f>
        <v>0</v>
      </c>
      <c r="K3288" s="13" t="n">
        <f aca="false">H3288+I3288</f>
        <v>0</v>
      </c>
      <c r="L3288" s="13" t="n">
        <f aca="false">MAX(0,D3288-K3288)</f>
        <v>0</v>
      </c>
      <c r="M3288" s="13" t="n">
        <f aca="false">MAX(0,F3288-I3288-J3288)</f>
        <v>0</v>
      </c>
      <c r="N3288" s="13" t="n">
        <f aca="false">IF(Kalender!A360="",0,J3287-H3288)</f>
        <v>0</v>
      </c>
    </row>
    <row r="3289" customFormat="false" ht="16.4" hidden="false" customHeight="false" outlineLevel="0" collapsed="false">
      <c r="A3289" s="13" t="str">
        <f aca="false">""</f>
        <v/>
      </c>
      <c r="B3289" s="13" t="n">
        <f aca="false">357</f>
        <v>357</v>
      </c>
      <c r="C3289" s="13" t="n">
        <f aca="false">IF(Szenarien!$H$19="OK",(IFERROR(SUMIF(Nutzungsprofile!$B$6:$B$11,"Schulbetrieb",Nutzungsprofile!$G$6:$G$11)*Kalender!C361/SUM(Kalender!$C$5:$C$370),0)+IFERROR(SUMIF(Nutzungsprofile!$B$6:$B$11,"Halle",Nutzungsprofile!$G$6:$G$11)*Kalender!D361/SUM(Kalender!$D$5:$D$370),0)+IFERROR(SUMIF(Nutzungsprofile!$B$6:$B$11,"Individuell",Nutzungsprofile!$G$6:$G$11)*Kalender!E361/SUM(Kalender!$E$5:$E$370),0))*Szenarien!$E$19,0)</f>
        <v>0</v>
      </c>
      <c r="D3289" s="13" t="n">
        <f aca="false">IF(Szenarien!$H$19="OK",(IFERROR(SUMIF(Nutzungsprofile!$B$17:$B$22,"Schulbetrieb",Nutzungsprofile!$G$17:$G$22)*Kalender!C361/SUM(Kalender!$C$5:$C$370),0)+IFERROR(SUMIF(Nutzungsprofile!$B$17:$B$22,"Halle",Nutzungsprofile!$G$17:$G$22)*Kalender!D361/SUM(Kalender!$D$5:$D$370),0)+IFERROR(SUMIF(Nutzungsprofile!$B$17:$B$22,"Individuell",Nutzungsprofile!$G$17:$G$22)*Kalender!E361/SUM(Kalender!$E$5:$E$370),0))*Szenarien!$D$19,0)</f>
        <v>0</v>
      </c>
      <c r="E3289" s="13" t="n">
        <f aca="false">IFERROR(MIN(C3289,Eingaben!$B$17)*Eingaben!$B$16,0)</f>
        <v>0</v>
      </c>
      <c r="F3289" s="13" t="n">
        <f aca="false">IFERROR(E3289*Eingaben!$B$15,0)</f>
        <v>0</v>
      </c>
      <c r="G3289" s="13" t="n">
        <f aca="false">IFERROR(IF(Kalender!A361="",0,J3288*(1-Eingaben!$B$20)),0)</f>
        <v>0</v>
      </c>
      <c r="H3289" s="13" t="n">
        <f aca="false">MIN(G3289,D3289)</f>
        <v>0</v>
      </c>
      <c r="I3289" s="13" t="n">
        <f aca="false">IFERROR(MIN(F3289*Eingaben!$B$19,MAX(0,D3289-H3289)),0)</f>
        <v>0</v>
      </c>
      <c r="J3289" s="13" t="n">
        <f aca="false">IFERROR(MIN(Eingaben!$B$18,MAX(0,F3289-I3289)),0)</f>
        <v>0</v>
      </c>
      <c r="K3289" s="13" t="n">
        <f aca="false">H3289+I3289</f>
        <v>0</v>
      </c>
      <c r="L3289" s="13" t="n">
        <f aca="false">MAX(0,D3289-K3289)</f>
        <v>0</v>
      </c>
      <c r="M3289" s="13" t="n">
        <f aca="false">MAX(0,F3289-I3289-J3289)</f>
        <v>0</v>
      </c>
      <c r="N3289" s="13" t="n">
        <f aca="false">IF(Kalender!A361="",0,J3288-H3289)</f>
        <v>0</v>
      </c>
    </row>
    <row r="3290" customFormat="false" ht="16.4" hidden="false" customHeight="false" outlineLevel="0" collapsed="false">
      <c r="A3290" s="13" t="str">
        <f aca="false">""</f>
        <v/>
      </c>
      <c r="B3290" s="13" t="n">
        <f aca="false">358</f>
        <v>358</v>
      </c>
      <c r="C3290" s="13" t="n">
        <f aca="false">IF(Szenarien!$H$19="OK",(IFERROR(SUMIF(Nutzungsprofile!$B$6:$B$11,"Schulbetrieb",Nutzungsprofile!$G$6:$G$11)*Kalender!C362/SUM(Kalender!$C$5:$C$370),0)+IFERROR(SUMIF(Nutzungsprofile!$B$6:$B$11,"Halle",Nutzungsprofile!$G$6:$G$11)*Kalender!D362/SUM(Kalender!$D$5:$D$370),0)+IFERROR(SUMIF(Nutzungsprofile!$B$6:$B$11,"Individuell",Nutzungsprofile!$G$6:$G$11)*Kalender!E362/SUM(Kalender!$E$5:$E$370),0))*Szenarien!$E$19,0)</f>
        <v>0</v>
      </c>
      <c r="D3290" s="13" t="n">
        <f aca="false">IF(Szenarien!$H$19="OK",(IFERROR(SUMIF(Nutzungsprofile!$B$17:$B$22,"Schulbetrieb",Nutzungsprofile!$G$17:$G$22)*Kalender!C362/SUM(Kalender!$C$5:$C$370),0)+IFERROR(SUMIF(Nutzungsprofile!$B$17:$B$22,"Halle",Nutzungsprofile!$G$17:$G$22)*Kalender!D362/SUM(Kalender!$D$5:$D$370),0)+IFERROR(SUMIF(Nutzungsprofile!$B$17:$B$22,"Individuell",Nutzungsprofile!$G$17:$G$22)*Kalender!E362/SUM(Kalender!$E$5:$E$370),0))*Szenarien!$D$19,0)</f>
        <v>0</v>
      </c>
      <c r="E3290" s="13" t="n">
        <f aca="false">IFERROR(MIN(C3290,Eingaben!$B$17)*Eingaben!$B$16,0)</f>
        <v>0</v>
      </c>
      <c r="F3290" s="13" t="n">
        <f aca="false">IFERROR(E3290*Eingaben!$B$15,0)</f>
        <v>0</v>
      </c>
      <c r="G3290" s="13" t="n">
        <f aca="false">IFERROR(IF(Kalender!A362="",0,J3289*(1-Eingaben!$B$20)),0)</f>
        <v>0</v>
      </c>
      <c r="H3290" s="13" t="n">
        <f aca="false">MIN(G3290,D3290)</f>
        <v>0</v>
      </c>
      <c r="I3290" s="13" t="n">
        <f aca="false">IFERROR(MIN(F3290*Eingaben!$B$19,MAX(0,D3290-H3290)),0)</f>
        <v>0</v>
      </c>
      <c r="J3290" s="13" t="n">
        <f aca="false">IFERROR(MIN(Eingaben!$B$18,MAX(0,F3290-I3290)),0)</f>
        <v>0</v>
      </c>
      <c r="K3290" s="13" t="n">
        <f aca="false">H3290+I3290</f>
        <v>0</v>
      </c>
      <c r="L3290" s="13" t="n">
        <f aca="false">MAX(0,D3290-K3290)</f>
        <v>0</v>
      </c>
      <c r="M3290" s="13" t="n">
        <f aca="false">MAX(0,F3290-I3290-J3290)</f>
        <v>0</v>
      </c>
      <c r="N3290" s="13" t="n">
        <f aca="false">IF(Kalender!A362="",0,J3289-H3290)</f>
        <v>0</v>
      </c>
    </row>
    <row r="3291" customFormat="false" ht="16.4" hidden="false" customHeight="false" outlineLevel="0" collapsed="false">
      <c r="A3291" s="13" t="str">
        <f aca="false">""</f>
        <v/>
      </c>
      <c r="B3291" s="13" t="n">
        <f aca="false">359</f>
        <v>359</v>
      </c>
      <c r="C3291" s="13" t="n">
        <f aca="false">IF(Szenarien!$H$19="OK",(IFERROR(SUMIF(Nutzungsprofile!$B$6:$B$11,"Schulbetrieb",Nutzungsprofile!$G$6:$G$11)*Kalender!C363/SUM(Kalender!$C$5:$C$370),0)+IFERROR(SUMIF(Nutzungsprofile!$B$6:$B$11,"Halle",Nutzungsprofile!$G$6:$G$11)*Kalender!D363/SUM(Kalender!$D$5:$D$370),0)+IFERROR(SUMIF(Nutzungsprofile!$B$6:$B$11,"Individuell",Nutzungsprofile!$G$6:$G$11)*Kalender!E363/SUM(Kalender!$E$5:$E$370),0))*Szenarien!$E$19,0)</f>
        <v>0</v>
      </c>
      <c r="D3291" s="13" t="n">
        <f aca="false">IF(Szenarien!$H$19="OK",(IFERROR(SUMIF(Nutzungsprofile!$B$17:$B$22,"Schulbetrieb",Nutzungsprofile!$G$17:$G$22)*Kalender!C363/SUM(Kalender!$C$5:$C$370),0)+IFERROR(SUMIF(Nutzungsprofile!$B$17:$B$22,"Halle",Nutzungsprofile!$G$17:$G$22)*Kalender!D363/SUM(Kalender!$D$5:$D$370),0)+IFERROR(SUMIF(Nutzungsprofile!$B$17:$B$22,"Individuell",Nutzungsprofile!$G$17:$G$22)*Kalender!E363/SUM(Kalender!$E$5:$E$370),0))*Szenarien!$D$19,0)</f>
        <v>0</v>
      </c>
      <c r="E3291" s="13" t="n">
        <f aca="false">IFERROR(MIN(C3291,Eingaben!$B$17)*Eingaben!$B$16,0)</f>
        <v>0</v>
      </c>
      <c r="F3291" s="13" t="n">
        <f aca="false">IFERROR(E3291*Eingaben!$B$15,0)</f>
        <v>0</v>
      </c>
      <c r="G3291" s="13" t="n">
        <f aca="false">IFERROR(IF(Kalender!A363="",0,J3290*(1-Eingaben!$B$20)),0)</f>
        <v>0</v>
      </c>
      <c r="H3291" s="13" t="n">
        <f aca="false">MIN(G3291,D3291)</f>
        <v>0</v>
      </c>
      <c r="I3291" s="13" t="n">
        <f aca="false">IFERROR(MIN(F3291*Eingaben!$B$19,MAX(0,D3291-H3291)),0)</f>
        <v>0</v>
      </c>
      <c r="J3291" s="13" t="n">
        <f aca="false">IFERROR(MIN(Eingaben!$B$18,MAX(0,F3291-I3291)),0)</f>
        <v>0</v>
      </c>
      <c r="K3291" s="13" t="n">
        <f aca="false">H3291+I3291</f>
        <v>0</v>
      </c>
      <c r="L3291" s="13" t="n">
        <f aca="false">MAX(0,D3291-K3291)</f>
        <v>0</v>
      </c>
      <c r="M3291" s="13" t="n">
        <f aca="false">MAX(0,F3291-I3291-J3291)</f>
        <v>0</v>
      </c>
      <c r="N3291" s="13" t="n">
        <f aca="false">IF(Kalender!A363="",0,J3290-H3291)</f>
        <v>0</v>
      </c>
    </row>
    <row r="3292" customFormat="false" ht="16.4" hidden="false" customHeight="false" outlineLevel="0" collapsed="false">
      <c r="A3292" s="13" t="str">
        <f aca="false">""</f>
        <v/>
      </c>
      <c r="B3292" s="13" t="n">
        <f aca="false">360</f>
        <v>360</v>
      </c>
      <c r="C3292" s="13" t="n">
        <f aca="false">IF(Szenarien!$H$19="OK",(IFERROR(SUMIF(Nutzungsprofile!$B$6:$B$11,"Schulbetrieb",Nutzungsprofile!$G$6:$G$11)*Kalender!C364/SUM(Kalender!$C$5:$C$370),0)+IFERROR(SUMIF(Nutzungsprofile!$B$6:$B$11,"Halle",Nutzungsprofile!$G$6:$G$11)*Kalender!D364/SUM(Kalender!$D$5:$D$370),0)+IFERROR(SUMIF(Nutzungsprofile!$B$6:$B$11,"Individuell",Nutzungsprofile!$G$6:$G$11)*Kalender!E364/SUM(Kalender!$E$5:$E$370),0))*Szenarien!$E$19,0)</f>
        <v>0</v>
      </c>
      <c r="D3292" s="13" t="n">
        <f aca="false">IF(Szenarien!$H$19="OK",(IFERROR(SUMIF(Nutzungsprofile!$B$17:$B$22,"Schulbetrieb",Nutzungsprofile!$G$17:$G$22)*Kalender!C364/SUM(Kalender!$C$5:$C$370),0)+IFERROR(SUMIF(Nutzungsprofile!$B$17:$B$22,"Halle",Nutzungsprofile!$G$17:$G$22)*Kalender!D364/SUM(Kalender!$D$5:$D$370),0)+IFERROR(SUMIF(Nutzungsprofile!$B$17:$B$22,"Individuell",Nutzungsprofile!$G$17:$G$22)*Kalender!E364/SUM(Kalender!$E$5:$E$370),0))*Szenarien!$D$19,0)</f>
        <v>0</v>
      </c>
      <c r="E3292" s="13" t="n">
        <f aca="false">IFERROR(MIN(C3292,Eingaben!$B$17)*Eingaben!$B$16,0)</f>
        <v>0</v>
      </c>
      <c r="F3292" s="13" t="n">
        <f aca="false">IFERROR(E3292*Eingaben!$B$15,0)</f>
        <v>0</v>
      </c>
      <c r="G3292" s="13" t="n">
        <f aca="false">IFERROR(IF(Kalender!A364="",0,J3291*(1-Eingaben!$B$20)),0)</f>
        <v>0</v>
      </c>
      <c r="H3292" s="13" t="n">
        <f aca="false">MIN(G3292,D3292)</f>
        <v>0</v>
      </c>
      <c r="I3292" s="13" t="n">
        <f aca="false">IFERROR(MIN(F3292*Eingaben!$B$19,MAX(0,D3292-H3292)),0)</f>
        <v>0</v>
      </c>
      <c r="J3292" s="13" t="n">
        <f aca="false">IFERROR(MIN(Eingaben!$B$18,MAX(0,F3292-I3292)),0)</f>
        <v>0</v>
      </c>
      <c r="K3292" s="13" t="n">
        <f aca="false">H3292+I3292</f>
        <v>0</v>
      </c>
      <c r="L3292" s="13" t="n">
        <f aca="false">MAX(0,D3292-K3292)</f>
        <v>0</v>
      </c>
      <c r="M3292" s="13" t="n">
        <f aca="false">MAX(0,F3292-I3292-J3292)</f>
        <v>0</v>
      </c>
      <c r="N3292" s="13" t="n">
        <f aca="false">IF(Kalender!A364="",0,J3291-H3292)</f>
        <v>0</v>
      </c>
    </row>
    <row r="3293" customFormat="false" ht="16.4" hidden="false" customHeight="false" outlineLevel="0" collapsed="false">
      <c r="A3293" s="13" t="str">
        <f aca="false">""</f>
        <v/>
      </c>
      <c r="B3293" s="13" t="n">
        <f aca="false">361</f>
        <v>361</v>
      </c>
      <c r="C3293" s="13" t="n">
        <f aca="false">IF(Szenarien!$H$19="OK",(IFERROR(SUMIF(Nutzungsprofile!$B$6:$B$11,"Schulbetrieb",Nutzungsprofile!$G$6:$G$11)*Kalender!C365/SUM(Kalender!$C$5:$C$370),0)+IFERROR(SUMIF(Nutzungsprofile!$B$6:$B$11,"Halle",Nutzungsprofile!$G$6:$G$11)*Kalender!D365/SUM(Kalender!$D$5:$D$370),0)+IFERROR(SUMIF(Nutzungsprofile!$B$6:$B$11,"Individuell",Nutzungsprofile!$G$6:$G$11)*Kalender!E365/SUM(Kalender!$E$5:$E$370),0))*Szenarien!$E$19,0)</f>
        <v>0</v>
      </c>
      <c r="D3293" s="13" t="n">
        <f aca="false">IF(Szenarien!$H$19="OK",(IFERROR(SUMIF(Nutzungsprofile!$B$17:$B$22,"Schulbetrieb",Nutzungsprofile!$G$17:$G$22)*Kalender!C365/SUM(Kalender!$C$5:$C$370),0)+IFERROR(SUMIF(Nutzungsprofile!$B$17:$B$22,"Halle",Nutzungsprofile!$G$17:$G$22)*Kalender!D365/SUM(Kalender!$D$5:$D$370),0)+IFERROR(SUMIF(Nutzungsprofile!$B$17:$B$22,"Individuell",Nutzungsprofile!$G$17:$G$22)*Kalender!E365/SUM(Kalender!$E$5:$E$370),0))*Szenarien!$D$19,0)</f>
        <v>0</v>
      </c>
      <c r="E3293" s="13" t="n">
        <f aca="false">IFERROR(MIN(C3293,Eingaben!$B$17)*Eingaben!$B$16,0)</f>
        <v>0</v>
      </c>
      <c r="F3293" s="13" t="n">
        <f aca="false">IFERROR(E3293*Eingaben!$B$15,0)</f>
        <v>0</v>
      </c>
      <c r="G3293" s="13" t="n">
        <f aca="false">IFERROR(IF(Kalender!A365="",0,J3292*(1-Eingaben!$B$20)),0)</f>
        <v>0</v>
      </c>
      <c r="H3293" s="13" t="n">
        <f aca="false">MIN(G3293,D3293)</f>
        <v>0</v>
      </c>
      <c r="I3293" s="13" t="n">
        <f aca="false">IFERROR(MIN(F3293*Eingaben!$B$19,MAX(0,D3293-H3293)),0)</f>
        <v>0</v>
      </c>
      <c r="J3293" s="13" t="n">
        <f aca="false">IFERROR(MIN(Eingaben!$B$18,MAX(0,F3293-I3293)),0)</f>
        <v>0</v>
      </c>
      <c r="K3293" s="13" t="n">
        <f aca="false">H3293+I3293</f>
        <v>0</v>
      </c>
      <c r="L3293" s="13" t="n">
        <f aca="false">MAX(0,D3293-K3293)</f>
        <v>0</v>
      </c>
      <c r="M3293" s="13" t="n">
        <f aca="false">MAX(0,F3293-I3293-J3293)</f>
        <v>0</v>
      </c>
      <c r="N3293" s="13" t="n">
        <f aca="false">IF(Kalender!A365="",0,J3292-H3293)</f>
        <v>0</v>
      </c>
    </row>
    <row r="3294" customFormat="false" ht="16.4" hidden="false" customHeight="false" outlineLevel="0" collapsed="false">
      <c r="A3294" s="13" t="str">
        <f aca="false">""</f>
        <v/>
      </c>
      <c r="B3294" s="13" t="n">
        <f aca="false">362</f>
        <v>362</v>
      </c>
      <c r="C3294" s="13" t="n">
        <f aca="false">IF(Szenarien!$H$19="OK",(IFERROR(SUMIF(Nutzungsprofile!$B$6:$B$11,"Schulbetrieb",Nutzungsprofile!$G$6:$G$11)*Kalender!C366/SUM(Kalender!$C$5:$C$370),0)+IFERROR(SUMIF(Nutzungsprofile!$B$6:$B$11,"Halle",Nutzungsprofile!$G$6:$G$11)*Kalender!D366/SUM(Kalender!$D$5:$D$370),0)+IFERROR(SUMIF(Nutzungsprofile!$B$6:$B$11,"Individuell",Nutzungsprofile!$G$6:$G$11)*Kalender!E366/SUM(Kalender!$E$5:$E$370),0))*Szenarien!$E$19,0)</f>
        <v>0</v>
      </c>
      <c r="D3294" s="13" t="n">
        <f aca="false">IF(Szenarien!$H$19="OK",(IFERROR(SUMIF(Nutzungsprofile!$B$17:$B$22,"Schulbetrieb",Nutzungsprofile!$G$17:$G$22)*Kalender!C366/SUM(Kalender!$C$5:$C$370),0)+IFERROR(SUMIF(Nutzungsprofile!$B$17:$B$22,"Halle",Nutzungsprofile!$G$17:$G$22)*Kalender!D366/SUM(Kalender!$D$5:$D$370),0)+IFERROR(SUMIF(Nutzungsprofile!$B$17:$B$22,"Individuell",Nutzungsprofile!$G$17:$G$22)*Kalender!E366/SUM(Kalender!$E$5:$E$370),0))*Szenarien!$D$19,0)</f>
        <v>0</v>
      </c>
      <c r="E3294" s="13" t="n">
        <f aca="false">IFERROR(MIN(C3294,Eingaben!$B$17)*Eingaben!$B$16,0)</f>
        <v>0</v>
      </c>
      <c r="F3294" s="13" t="n">
        <f aca="false">IFERROR(E3294*Eingaben!$B$15,0)</f>
        <v>0</v>
      </c>
      <c r="G3294" s="13" t="n">
        <f aca="false">IFERROR(IF(Kalender!A366="",0,J3293*(1-Eingaben!$B$20)),0)</f>
        <v>0</v>
      </c>
      <c r="H3294" s="13" t="n">
        <f aca="false">MIN(G3294,D3294)</f>
        <v>0</v>
      </c>
      <c r="I3294" s="13" t="n">
        <f aca="false">IFERROR(MIN(F3294*Eingaben!$B$19,MAX(0,D3294-H3294)),0)</f>
        <v>0</v>
      </c>
      <c r="J3294" s="13" t="n">
        <f aca="false">IFERROR(MIN(Eingaben!$B$18,MAX(0,F3294-I3294)),0)</f>
        <v>0</v>
      </c>
      <c r="K3294" s="13" t="n">
        <f aca="false">H3294+I3294</f>
        <v>0</v>
      </c>
      <c r="L3294" s="13" t="n">
        <f aca="false">MAX(0,D3294-K3294)</f>
        <v>0</v>
      </c>
      <c r="M3294" s="13" t="n">
        <f aca="false">MAX(0,F3294-I3294-J3294)</f>
        <v>0</v>
      </c>
      <c r="N3294" s="13" t="n">
        <f aca="false">IF(Kalender!A366="",0,J3293-H3294)</f>
        <v>0</v>
      </c>
    </row>
    <row r="3295" customFormat="false" ht="16.4" hidden="false" customHeight="false" outlineLevel="0" collapsed="false">
      <c r="A3295" s="13" t="str">
        <f aca="false">""</f>
        <v/>
      </c>
      <c r="B3295" s="13" t="n">
        <f aca="false">363</f>
        <v>363</v>
      </c>
      <c r="C3295" s="13" t="n">
        <f aca="false">IF(Szenarien!$H$19="OK",(IFERROR(SUMIF(Nutzungsprofile!$B$6:$B$11,"Schulbetrieb",Nutzungsprofile!$G$6:$G$11)*Kalender!C367/SUM(Kalender!$C$5:$C$370),0)+IFERROR(SUMIF(Nutzungsprofile!$B$6:$B$11,"Halle",Nutzungsprofile!$G$6:$G$11)*Kalender!D367/SUM(Kalender!$D$5:$D$370),0)+IFERROR(SUMIF(Nutzungsprofile!$B$6:$B$11,"Individuell",Nutzungsprofile!$G$6:$G$11)*Kalender!E367/SUM(Kalender!$E$5:$E$370),0))*Szenarien!$E$19,0)</f>
        <v>0</v>
      </c>
      <c r="D3295" s="13" t="n">
        <f aca="false">IF(Szenarien!$H$19="OK",(IFERROR(SUMIF(Nutzungsprofile!$B$17:$B$22,"Schulbetrieb",Nutzungsprofile!$G$17:$G$22)*Kalender!C367/SUM(Kalender!$C$5:$C$370),0)+IFERROR(SUMIF(Nutzungsprofile!$B$17:$B$22,"Halle",Nutzungsprofile!$G$17:$G$22)*Kalender!D367/SUM(Kalender!$D$5:$D$370),0)+IFERROR(SUMIF(Nutzungsprofile!$B$17:$B$22,"Individuell",Nutzungsprofile!$G$17:$G$22)*Kalender!E367/SUM(Kalender!$E$5:$E$370),0))*Szenarien!$D$19,0)</f>
        <v>0</v>
      </c>
      <c r="E3295" s="13" t="n">
        <f aca="false">IFERROR(MIN(C3295,Eingaben!$B$17)*Eingaben!$B$16,0)</f>
        <v>0</v>
      </c>
      <c r="F3295" s="13" t="n">
        <f aca="false">IFERROR(E3295*Eingaben!$B$15,0)</f>
        <v>0</v>
      </c>
      <c r="G3295" s="13" t="n">
        <f aca="false">IFERROR(IF(Kalender!A367="",0,J3294*(1-Eingaben!$B$20)),0)</f>
        <v>0</v>
      </c>
      <c r="H3295" s="13" t="n">
        <f aca="false">MIN(G3295,D3295)</f>
        <v>0</v>
      </c>
      <c r="I3295" s="13" t="n">
        <f aca="false">IFERROR(MIN(F3295*Eingaben!$B$19,MAX(0,D3295-H3295)),0)</f>
        <v>0</v>
      </c>
      <c r="J3295" s="13" t="n">
        <f aca="false">IFERROR(MIN(Eingaben!$B$18,MAX(0,F3295-I3295)),0)</f>
        <v>0</v>
      </c>
      <c r="K3295" s="13" t="n">
        <f aca="false">H3295+I3295</f>
        <v>0</v>
      </c>
      <c r="L3295" s="13" t="n">
        <f aca="false">MAX(0,D3295-K3295)</f>
        <v>0</v>
      </c>
      <c r="M3295" s="13" t="n">
        <f aca="false">MAX(0,F3295-I3295-J3295)</f>
        <v>0</v>
      </c>
      <c r="N3295" s="13" t="n">
        <f aca="false">IF(Kalender!A367="",0,J3294-H3295)</f>
        <v>0</v>
      </c>
    </row>
    <row r="3296" customFormat="false" ht="16.4" hidden="false" customHeight="false" outlineLevel="0" collapsed="false">
      <c r="A3296" s="13" t="str">
        <f aca="false">""</f>
        <v/>
      </c>
      <c r="B3296" s="13" t="n">
        <f aca="false">364</f>
        <v>364</v>
      </c>
      <c r="C3296" s="13" t="n">
        <f aca="false">IF(Szenarien!$H$19="OK",(IFERROR(SUMIF(Nutzungsprofile!$B$6:$B$11,"Schulbetrieb",Nutzungsprofile!$G$6:$G$11)*Kalender!C368/SUM(Kalender!$C$5:$C$370),0)+IFERROR(SUMIF(Nutzungsprofile!$B$6:$B$11,"Halle",Nutzungsprofile!$G$6:$G$11)*Kalender!D368/SUM(Kalender!$D$5:$D$370),0)+IFERROR(SUMIF(Nutzungsprofile!$B$6:$B$11,"Individuell",Nutzungsprofile!$G$6:$G$11)*Kalender!E368/SUM(Kalender!$E$5:$E$370),0))*Szenarien!$E$19,0)</f>
        <v>0</v>
      </c>
      <c r="D3296" s="13" t="n">
        <f aca="false">IF(Szenarien!$H$19="OK",(IFERROR(SUMIF(Nutzungsprofile!$B$17:$B$22,"Schulbetrieb",Nutzungsprofile!$G$17:$G$22)*Kalender!C368/SUM(Kalender!$C$5:$C$370),0)+IFERROR(SUMIF(Nutzungsprofile!$B$17:$B$22,"Halle",Nutzungsprofile!$G$17:$G$22)*Kalender!D368/SUM(Kalender!$D$5:$D$370),0)+IFERROR(SUMIF(Nutzungsprofile!$B$17:$B$22,"Individuell",Nutzungsprofile!$G$17:$G$22)*Kalender!E368/SUM(Kalender!$E$5:$E$370),0))*Szenarien!$D$19,0)</f>
        <v>0</v>
      </c>
      <c r="E3296" s="13" t="n">
        <f aca="false">IFERROR(MIN(C3296,Eingaben!$B$17)*Eingaben!$B$16,0)</f>
        <v>0</v>
      </c>
      <c r="F3296" s="13" t="n">
        <f aca="false">IFERROR(E3296*Eingaben!$B$15,0)</f>
        <v>0</v>
      </c>
      <c r="G3296" s="13" t="n">
        <f aca="false">IFERROR(IF(Kalender!A368="",0,J3295*(1-Eingaben!$B$20)),0)</f>
        <v>0</v>
      </c>
      <c r="H3296" s="13" t="n">
        <f aca="false">MIN(G3296,D3296)</f>
        <v>0</v>
      </c>
      <c r="I3296" s="13" t="n">
        <f aca="false">IFERROR(MIN(F3296*Eingaben!$B$19,MAX(0,D3296-H3296)),0)</f>
        <v>0</v>
      </c>
      <c r="J3296" s="13" t="n">
        <f aca="false">IFERROR(MIN(Eingaben!$B$18,MAX(0,F3296-I3296)),0)</f>
        <v>0</v>
      </c>
      <c r="K3296" s="13" t="n">
        <f aca="false">H3296+I3296</f>
        <v>0</v>
      </c>
      <c r="L3296" s="13" t="n">
        <f aca="false">MAX(0,D3296-K3296)</f>
        <v>0</v>
      </c>
      <c r="M3296" s="13" t="n">
        <f aca="false">MAX(0,F3296-I3296-J3296)</f>
        <v>0</v>
      </c>
      <c r="N3296" s="13" t="n">
        <f aca="false">IF(Kalender!A368="",0,J3295-H3296)</f>
        <v>0</v>
      </c>
    </row>
    <row r="3297" customFormat="false" ht="16.4" hidden="false" customHeight="false" outlineLevel="0" collapsed="false">
      <c r="A3297" s="13" t="str">
        <f aca="false">""</f>
        <v/>
      </c>
      <c r="B3297" s="13" t="n">
        <f aca="false">365</f>
        <v>365</v>
      </c>
      <c r="C3297" s="13" t="n">
        <f aca="false">IF(Szenarien!$H$19="OK",(IFERROR(SUMIF(Nutzungsprofile!$B$6:$B$11,"Schulbetrieb",Nutzungsprofile!$G$6:$G$11)*Kalender!C369/SUM(Kalender!$C$5:$C$370),0)+IFERROR(SUMIF(Nutzungsprofile!$B$6:$B$11,"Halle",Nutzungsprofile!$G$6:$G$11)*Kalender!D369/SUM(Kalender!$D$5:$D$370),0)+IFERROR(SUMIF(Nutzungsprofile!$B$6:$B$11,"Individuell",Nutzungsprofile!$G$6:$G$11)*Kalender!E369/SUM(Kalender!$E$5:$E$370),0))*Szenarien!$E$19,0)</f>
        <v>0</v>
      </c>
      <c r="D3297" s="13" t="n">
        <f aca="false">IF(Szenarien!$H$19="OK",(IFERROR(SUMIF(Nutzungsprofile!$B$17:$B$22,"Schulbetrieb",Nutzungsprofile!$G$17:$G$22)*Kalender!C369/SUM(Kalender!$C$5:$C$370),0)+IFERROR(SUMIF(Nutzungsprofile!$B$17:$B$22,"Halle",Nutzungsprofile!$G$17:$G$22)*Kalender!D369/SUM(Kalender!$D$5:$D$370),0)+IFERROR(SUMIF(Nutzungsprofile!$B$17:$B$22,"Individuell",Nutzungsprofile!$G$17:$G$22)*Kalender!E369/SUM(Kalender!$E$5:$E$370),0))*Szenarien!$D$19,0)</f>
        <v>0</v>
      </c>
      <c r="E3297" s="13" t="n">
        <f aca="false">IFERROR(MIN(C3297,Eingaben!$B$17)*Eingaben!$B$16,0)</f>
        <v>0</v>
      </c>
      <c r="F3297" s="13" t="n">
        <f aca="false">IFERROR(E3297*Eingaben!$B$15,0)</f>
        <v>0</v>
      </c>
      <c r="G3297" s="13" t="n">
        <f aca="false">IFERROR(IF(Kalender!A369="",0,J3296*(1-Eingaben!$B$20)),0)</f>
        <v>0</v>
      </c>
      <c r="H3297" s="13" t="n">
        <f aca="false">MIN(G3297,D3297)</f>
        <v>0</v>
      </c>
      <c r="I3297" s="13" t="n">
        <f aca="false">IFERROR(MIN(F3297*Eingaben!$B$19,MAX(0,D3297-H3297)),0)</f>
        <v>0</v>
      </c>
      <c r="J3297" s="13" t="n">
        <f aca="false">IFERROR(MIN(Eingaben!$B$18,MAX(0,F3297-I3297)),0)</f>
        <v>0</v>
      </c>
      <c r="K3297" s="13" t="n">
        <f aca="false">H3297+I3297</f>
        <v>0</v>
      </c>
      <c r="L3297" s="13" t="n">
        <f aca="false">MAX(0,D3297-K3297)</f>
        <v>0</v>
      </c>
      <c r="M3297" s="13" t="n">
        <f aca="false">MAX(0,F3297-I3297-J3297)</f>
        <v>0</v>
      </c>
      <c r="N3297" s="13" t="n">
        <f aca="false">IF(Kalender!A369="",0,J3296-H3297)</f>
        <v>0</v>
      </c>
    </row>
    <row r="3298" customFormat="false" ht="16.4" hidden="false" customHeight="false" outlineLevel="0" collapsed="false">
      <c r="A3298" s="13" t="str">
        <f aca="false">""</f>
        <v/>
      </c>
      <c r="B3298" s="13" t="n">
        <f aca="false">366</f>
        <v>366</v>
      </c>
      <c r="C3298" s="13" t="n">
        <f aca="false">IF(Szenarien!$H$19="OK",(IFERROR(SUMIF(Nutzungsprofile!$B$6:$B$11,"Schulbetrieb",Nutzungsprofile!$G$6:$G$11)*Kalender!C370/SUM(Kalender!$C$5:$C$370),0)+IFERROR(SUMIF(Nutzungsprofile!$B$6:$B$11,"Halle",Nutzungsprofile!$G$6:$G$11)*Kalender!D370/SUM(Kalender!$D$5:$D$370),0)+IFERROR(SUMIF(Nutzungsprofile!$B$6:$B$11,"Individuell",Nutzungsprofile!$G$6:$G$11)*Kalender!E370/SUM(Kalender!$E$5:$E$370),0))*Szenarien!$E$19,0)</f>
        <v>0</v>
      </c>
      <c r="D3298" s="13" t="n">
        <f aca="false">IF(Szenarien!$H$19="OK",(IFERROR(SUMIF(Nutzungsprofile!$B$17:$B$22,"Schulbetrieb",Nutzungsprofile!$G$17:$G$22)*Kalender!C370/SUM(Kalender!$C$5:$C$370),0)+IFERROR(SUMIF(Nutzungsprofile!$B$17:$B$22,"Halle",Nutzungsprofile!$G$17:$G$22)*Kalender!D370/SUM(Kalender!$D$5:$D$370),0)+IFERROR(SUMIF(Nutzungsprofile!$B$17:$B$22,"Individuell",Nutzungsprofile!$G$17:$G$22)*Kalender!E370/SUM(Kalender!$E$5:$E$370),0))*Szenarien!$D$19,0)</f>
        <v>0</v>
      </c>
      <c r="E3298" s="13" t="n">
        <f aca="false">IFERROR(MIN(C3298,Eingaben!$B$17)*Eingaben!$B$16,0)</f>
        <v>0</v>
      </c>
      <c r="F3298" s="13" t="n">
        <f aca="false">IFERROR(E3298*Eingaben!$B$15,0)</f>
        <v>0</v>
      </c>
      <c r="G3298" s="13" t="n">
        <f aca="false">IFERROR(IF(Kalender!A370="",0,J3297*(1-Eingaben!$B$20)),0)</f>
        <v>0</v>
      </c>
      <c r="H3298" s="13" t="n">
        <f aca="false">MIN(G3298,D3298)</f>
        <v>0</v>
      </c>
      <c r="I3298" s="13" t="n">
        <f aca="false">IFERROR(MIN(F3298*Eingaben!$B$19,MAX(0,D3298-H3298)),0)</f>
        <v>0</v>
      </c>
      <c r="J3298" s="13" t="n">
        <f aca="false">IFERROR(MIN(Eingaben!$B$18,MAX(0,F3298-I3298)),0)</f>
        <v>0</v>
      </c>
      <c r="K3298" s="13" t="n">
        <f aca="false">H3298+I3298</f>
        <v>0</v>
      </c>
      <c r="L3298" s="13" t="n">
        <f aca="false">MAX(0,D3298-K3298)</f>
        <v>0</v>
      </c>
      <c r="M3298" s="13" t="n">
        <f aca="false">MAX(0,F3298-I3298-J3298)</f>
        <v>0</v>
      </c>
      <c r="N3298" s="13" t="n">
        <f aca="false">IF(Kalender!A370="",0,J3297-H3298)</f>
        <v>0</v>
      </c>
    </row>
    <row r="3299" customFormat="false" ht="31.3" hidden="false" customHeight="false" outlineLevel="0" collapsed="false">
      <c r="A3299" s="13" t="str">
        <f aca="false">"Grauwasseranfall −20 %"</f>
        <v>Grauwasseranfall −20 %</v>
      </c>
      <c r="B3299" s="13" t="n">
        <f aca="false">1</f>
        <v>1</v>
      </c>
      <c r="C3299" s="13" t="n">
        <f aca="false">IF(Szenarien!$H$20="OK",(IFERROR(SUMIF(Nutzungsprofile!$B$6:$B$11,"Schulbetrieb",Nutzungsprofile!$G$6:$G$11)*Kalender!C5/SUM(Kalender!$C$5:$C$370),0)+IFERROR(SUMIF(Nutzungsprofile!$B$6:$B$11,"Halle",Nutzungsprofile!$G$6:$G$11)*Kalender!D5/SUM(Kalender!$D$5:$D$370),0)+IFERROR(SUMIF(Nutzungsprofile!$B$6:$B$11,"Individuell",Nutzungsprofile!$G$6:$G$11)*Kalender!E5/SUM(Kalender!$E$5:$E$370),0))*Szenarien!$E$20,0)</f>
        <v>2.352</v>
      </c>
      <c r="D3299" s="13" t="n">
        <f aca="false">IF(Szenarien!$H$20="OK",(IFERROR(SUMIF(Nutzungsprofile!$B$17:$B$22,"Schulbetrieb",Nutzungsprofile!$G$17:$G$22)*Kalender!C5/SUM(Kalender!$C$5:$C$370),0)+IFERROR(SUMIF(Nutzungsprofile!$B$17:$B$22,"Halle",Nutzungsprofile!$G$17:$G$22)*Kalender!D5/SUM(Kalender!$D$5:$D$370),0)+IFERROR(SUMIF(Nutzungsprofile!$B$17:$B$22,"Individuell",Nutzungsprofile!$G$17:$G$22)*Kalender!E5/SUM(Kalender!$E$5:$E$370),0))*Szenarien!$D$20,0)</f>
        <v>4.94</v>
      </c>
      <c r="E3299" s="13" t="n">
        <f aca="false">IFERROR(MIN(C3299,Eingaben!$B$17)*Eingaben!$B$16,0)</f>
        <v>2.2344</v>
      </c>
      <c r="F3299" s="13" t="n">
        <f aca="false">IFERROR(E3299*Eingaben!$B$15,0)</f>
        <v>2.01096</v>
      </c>
      <c r="G3299" s="13" t="n">
        <f aca="false">0</f>
        <v>0</v>
      </c>
      <c r="H3299" s="13" t="n">
        <f aca="false">MIN(G3299,D3299)</f>
        <v>0</v>
      </c>
      <c r="I3299" s="13" t="n">
        <f aca="false">IFERROR(MIN(F3299*Eingaben!$B$19,MAX(0,D3299-H3299)),0)</f>
        <v>1.407672</v>
      </c>
      <c r="J3299" s="13" t="n">
        <f aca="false">IFERROR(MIN(Eingaben!$B$18,MAX(0,F3299-I3299)),0)</f>
        <v>0.603288</v>
      </c>
      <c r="K3299" s="13" t="n">
        <f aca="false">H3299+I3299</f>
        <v>1.407672</v>
      </c>
      <c r="L3299" s="13" t="n">
        <f aca="false">MAX(0,D3299-K3299)</f>
        <v>3.532328</v>
      </c>
      <c r="M3299" s="13" t="n">
        <f aca="false">MAX(0,F3299-I3299-J3299)</f>
        <v>0</v>
      </c>
      <c r="N3299" s="13" t="n">
        <f aca="false">0</f>
        <v>0</v>
      </c>
    </row>
    <row r="3300" customFormat="false" ht="16.4" hidden="false" customHeight="false" outlineLevel="0" collapsed="false">
      <c r="A3300" s="13" t="str">
        <f aca="false">""</f>
        <v/>
      </c>
      <c r="B3300" s="13" t="n">
        <f aca="false">2</f>
        <v>2</v>
      </c>
      <c r="C3300" s="13" t="n">
        <f aca="false">IF(Szenarien!$H$20="OK",(IFERROR(SUMIF(Nutzungsprofile!$B$6:$B$11,"Schulbetrieb",Nutzungsprofile!$G$6:$G$11)*Kalender!C6/SUM(Kalender!$C$5:$C$370),0)+IFERROR(SUMIF(Nutzungsprofile!$B$6:$B$11,"Halle",Nutzungsprofile!$G$6:$G$11)*Kalender!D6/SUM(Kalender!$D$5:$D$370),0)+IFERROR(SUMIF(Nutzungsprofile!$B$6:$B$11,"Individuell",Nutzungsprofile!$G$6:$G$11)*Kalender!E6/SUM(Kalender!$E$5:$E$370),0))*Szenarien!$E$20,0)</f>
        <v>2.352</v>
      </c>
      <c r="D3300" s="13" t="n">
        <f aca="false">IF(Szenarien!$H$20="OK",(IFERROR(SUMIF(Nutzungsprofile!$B$17:$B$22,"Schulbetrieb",Nutzungsprofile!$G$17:$G$22)*Kalender!C6/SUM(Kalender!$C$5:$C$370),0)+IFERROR(SUMIF(Nutzungsprofile!$B$17:$B$22,"Halle",Nutzungsprofile!$G$17:$G$22)*Kalender!D6/SUM(Kalender!$D$5:$D$370),0)+IFERROR(SUMIF(Nutzungsprofile!$B$17:$B$22,"Individuell",Nutzungsprofile!$G$17:$G$22)*Kalender!E6/SUM(Kalender!$E$5:$E$370),0))*Szenarien!$D$20,0)</f>
        <v>4.94</v>
      </c>
      <c r="E3300" s="13" t="n">
        <f aca="false">IFERROR(MIN(C3300,Eingaben!$B$17)*Eingaben!$B$16,0)</f>
        <v>2.2344</v>
      </c>
      <c r="F3300" s="13" t="n">
        <f aca="false">IFERROR(E3300*Eingaben!$B$15,0)</f>
        <v>2.01096</v>
      </c>
      <c r="G3300" s="13" t="n">
        <f aca="false">IFERROR(IF(Kalender!A6="",0,J3299*(1-Eingaben!$B$20)),0)</f>
        <v>0.59122224</v>
      </c>
      <c r="H3300" s="13" t="n">
        <f aca="false">MIN(G3300,D3300)</f>
        <v>0.59122224</v>
      </c>
      <c r="I3300" s="13" t="n">
        <f aca="false">IFERROR(MIN(F3300*Eingaben!$B$19,MAX(0,D3300-H3300)),0)</f>
        <v>1.407672</v>
      </c>
      <c r="J3300" s="13" t="n">
        <f aca="false">IFERROR(MIN(Eingaben!$B$18,MAX(0,F3300-I3300)),0)</f>
        <v>0.603288</v>
      </c>
      <c r="K3300" s="13" t="n">
        <f aca="false">H3300+I3300</f>
        <v>1.99889424</v>
      </c>
      <c r="L3300" s="13" t="n">
        <f aca="false">MAX(0,D3300-K3300)</f>
        <v>2.94110576</v>
      </c>
      <c r="M3300" s="13" t="n">
        <f aca="false">MAX(0,F3300-I3300-J3300)</f>
        <v>0</v>
      </c>
      <c r="N3300" s="13" t="n">
        <f aca="false">IF(Kalender!A6="",0,J3299-H3300)</f>
        <v>0.01206576</v>
      </c>
    </row>
    <row r="3301" customFormat="false" ht="16.4" hidden="false" customHeight="false" outlineLevel="0" collapsed="false">
      <c r="A3301" s="13" t="str">
        <f aca="false">""</f>
        <v/>
      </c>
      <c r="B3301" s="13" t="n">
        <f aca="false">3</f>
        <v>3</v>
      </c>
      <c r="C3301" s="13" t="n">
        <f aca="false">IF(Szenarien!$H$20="OK",(IFERROR(SUMIF(Nutzungsprofile!$B$6:$B$11,"Schulbetrieb",Nutzungsprofile!$G$6:$G$11)*Kalender!C7/SUM(Kalender!$C$5:$C$370),0)+IFERROR(SUMIF(Nutzungsprofile!$B$6:$B$11,"Halle",Nutzungsprofile!$G$6:$G$11)*Kalender!D7/SUM(Kalender!$D$5:$D$370),0)+IFERROR(SUMIF(Nutzungsprofile!$B$6:$B$11,"Individuell",Nutzungsprofile!$G$6:$G$11)*Kalender!E7/SUM(Kalender!$E$5:$E$370),0))*Szenarien!$E$20,0)</f>
        <v>1.632</v>
      </c>
      <c r="D3301" s="13" t="n">
        <f aca="false">IF(Szenarien!$H$20="OK",(IFERROR(SUMIF(Nutzungsprofile!$B$17:$B$22,"Schulbetrieb",Nutzungsprofile!$G$17:$G$22)*Kalender!C7/SUM(Kalender!$C$5:$C$370),0)+IFERROR(SUMIF(Nutzungsprofile!$B$17:$B$22,"Halle",Nutzungsprofile!$G$17:$G$22)*Kalender!D7/SUM(Kalender!$D$5:$D$370),0)+IFERROR(SUMIF(Nutzungsprofile!$B$17:$B$22,"Individuell",Nutzungsprofile!$G$17:$G$22)*Kalender!E7/SUM(Kalender!$E$5:$E$370),0))*Szenarien!$D$20,0)</f>
        <v>0.89</v>
      </c>
      <c r="E3301" s="13" t="n">
        <f aca="false">IFERROR(MIN(C3301,Eingaben!$B$17)*Eingaben!$B$16,0)</f>
        <v>1.5504</v>
      </c>
      <c r="F3301" s="13" t="n">
        <f aca="false">IFERROR(E3301*Eingaben!$B$15,0)</f>
        <v>1.39536</v>
      </c>
      <c r="G3301" s="13" t="n">
        <f aca="false">IFERROR(IF(Kalender!A7="",0,J3300*(1-Eingaben!$B$20)),0)</f>
        <v>0.59122224</v>
      </c>
      <c r="H3301" s="13" t="n">
        <f aca="false">MIN(G3301,D3301)</f>
        <v>0.59122224</v>
      </c>
      <c r="I3301" s="13" t="n">
        <f aca="false">IFERROR(MIN(F3301*Eingaben!$B$19,MAX(0,D3301-H3301)),0)</f>
        <v>0.29877776</v>
      </c>
      <c r="J3301" s="13" t="n">
        <f aca="false">IFERROR(MIN(Eingaben!$B$18,MAX(0,F3301-I3301)),0)</f>
        <v>1.09658224</v>
      </c>
      <c r="K3301" s="13" t="n">
        <f aca="false">H3301+I3301</f>
        <v>0.89</v>
      </c>
      <c r="L3301" s="13" t="n">
        <f aca="false">MAX(0,D3301-K3301)</f>
        <v>0</v>
      </c>
      <c r="M3301" s="13" t="n">
        <f aca="false">MAX(0,F3301-I3301-J3301)</f>
        <v>0</v>
      </c>
      <c r="N3301" s="13" t="n">
        <f aca="false">IF(Kalender!A7="",0,J3300-H3301)</f>
        <v>0.01206576</v>
      </c>
    </row>
    <row r="3302" customFormat="false" ht="16.4" hidden="false" customHeight="false" outlineLevel="0" collapsed="false">
      <c r="A3302" s="13" t="str">
        <f aca="false">""</f>
        <v/>
      </c>
      <c r="B3302" s="13" t="n">
        <f aca="false">4</f>
        <v>4</v>
      </c>
      <c r="C3302" s="13" t="n">
        <f aca="false">IF(Szenarien!$H$20="OK",(IFERROR(SUMIF(Nutzungsprofile!$B$6:$B$11,"Schulbetrieb",Nutzungsprofile!$G$6:$G$11)*Kalender!C8/SUM(Kalender!$C$5:$C$370),0)+IFERROR(SUMIF(Nutzungsprofile!$B$6:$B$11,"Halle",Nutzungsprofile!$G$6:$G$11)*Kalender!D8/SUM(Kalender!$D$5:$D$370),0)+IFERROR(SUMIF(Nutzungsprofile!$B$6:$B$11,"Individuell",Nutzungsprofile!$G$6:$G$11)*Kalender!E8/SUM(Kalender!$E$5:$E$370),0))*Szenarien!$E$20,0)</f>
        <v>1.632</v>
      </c>
      <c r="D3302" s="13" t="n">
        <f aca="false">IF(Szenarien!$H$20="OK",(IFERROR(SUMIF(Nutzungsprofile!$B$17:$B$22,"Schulbetrieb",Nutzungsprofile!$G$17:$G$22)*Kalender!C8/SUM(Kalender!$C$5:$C$370),0)+IFERROR(SUMIF(Nutzungsprofile!$B$17:$B$22,"Halle",Nutzungsprofile!$G$17:$G$22)*Kalender!D8/SUM(Kalender!$D$5:$D$370),0)+IFERROR(SUMIF(Nutzungsprofile!$B$17:$B$22,"Individuell",Nutzungsprofile!$G$17:$G$22)*Kalender!E8/SUM(Kalender!$E$5:$E$370),0))*Szenarien!$D$20,0)</f>
        <v>0.89</v>
      </c>
      <c r="E3302" s="13" t="n">
        <f aca="false">IFERROR(MIN(C3302,Eingaben!$B$17)*Eingaben!$B$16,0)</f>
        <v>1.5504</v>
      </c>
      <c r="F3302" s="13" t="n">
        <f aca="false">IFERROR(E3302*Eingaben!$B$15,0)</f>
        <v>1.39536</v>
      </c>
      <c r="G3302" s="13" t="n">
        <f aca="false">IFERROR(IF(Kalender!A8="",0,J3301*(1-Eingaben!$B$20)),0)</f>
        <v>1.0746505952</v>
      </c>
      <c r="H3302" s="13" t="n">
        <f aca="false">MIN(G3302,D3302)</f>
        <v>0.89</v>
      </c>
      <c r="I3302" s="13" t="n">
        <f aca="false">IFERROR(MIN(F3302*Eingaben!$B$19,MAX(0,D3302-H3302)),0)</f>
        <v>0</v>
      </c>
      <c r="J3302" s="13" t="n">
        <f aca="false">IFERROR(MIN(Eingaben!$B$18,MAX(0,F3302-I3302)),0)</f>
        <v>1.39536</v>
      </c>
      <c r="K3302" s="13" t="n">
        <f aca="false">H3302+I3302</f>
        <v>0.89</v>
      </c>
      <c r="L3302" s="13" t="n">
        <f aca="false">MAX(0,D3302-K3302)</f>
        <v>0</v>
      </c>
      <c r="M3302" s="13" t="n">
        <f aca="false">MAX(0,F3302-I3302-J3302)</f>
        <v>0</v>
      </c>
      <c r="N3302" s="13" t="n">
        <f aca="false">IF(Kalender!A8="",0,J3301-H3302)</f>
        <v>0.20658224</v>
      </c>
    </row>
    <row r="3303" customFormat="false" ht="16.4" hidden="false" customHeight="false" outlineLevel="0" collapsed="false">
      <c r="A3303" s="13" t="str">
        <f aca="false">""</f>
        <v/>
      </c>
      <c r="B3303" s="13" t="n">
        <f aca="false">5</f>
        <v>5</v>
      </c>
      <c r="C3303" s="13" t="n">
        <f aca="false">IF(Szenarien!$H$20="OK",(IFERROR(SUMIF(Nutzungsprofile!$B$6:$B$11,"Schulbetrieb",Nutzungsprofile!$G$6:$G$11)*Kalender!C9/SUM(Kalender!$C$5:$C$370),0)+IFERROR(SUMIF(Nutzungsprofile!$B$6:$B$11,"Halle",Nutzungsprofile!$G$6:$G$11)*Kalender!D9/SUM(Kalender!$D$5:$D$370),0)+IFERROR(SUMIF(Nutzungsprofile!$B$6:$B$11,"Individuell",Nutzungsprofile!$G$6:$G$11)*Kalender!E9/SUM(Kalender!$E$5:$E$370),0))*Szenarien!$E$20,0)</f>
        <v>2.352</v>
      </c>
      <c r="D3303" s="13" t="n">
        <f aca="false">IF(Szenarien!$H$20="OK",(IFERROR(SUMIF(Nutzungsprofile!$B$17:$B$22,"Schulbetrieb",Nutzungsprofile!$G$17:$G$22)*Kalender!C9/SUM(Kalender!$C$5:$C$370),0)+IFERROR(SUMIF(Nutzungsprofile!$B$17:$B$22,"Halle",Nutzungsprofile!$G$17:$G$22)*Kalender!D9/SUM(Kalender!$D$5:$D$370),0)+IFERROR(SUMIF(Nutzungsprofile!$B$17:$B$22,"Individuell",Nutzungsprofile!$G$17:$G$22)*Kalender!E9/SUM(Kalender!$E$5:$E$370),0))*Szenarien!$D$20,0)</f>
        <v>4.94</v>
      </c>
      <c r="E3303" s="13" t="n">
        <f aca="false">IFERROR(MIN(C3303,Eingaben!$B$17)*Eingaben!$B$16,0)</f>
        <v>2.2344</v>
      </c>
      <c r="F3303" s="13" t="n">
        <f aca="false">IFERROR(E3303*Eingaben!$B$15,0)</f>
        <v>2.01096</v>
      </c>
      <c r="G3303" s="13" t="n">
        <f aca="false">IFERROR(IF(Kalender!A9="",0,J3302*(1-Eingaben!$B$20)),0)</f>
        <v>1.3674528</v>
      </c>
      <c r="H3303" s="13" t="n">
        <f aca="false">MIN(G3303,D3303)</f>
        <v>1.3674528</v>
      </c>
      <c r="I3303" s="13" t="n">
        <f aca="false">IFERROR(MIN(F3303*Eingaben!$B$19,MAX(0,D3303-H3303)),0)</f>
        <v>1.407672</v>
      </c>
      <c r="J3303" s="13" t="n">
        <f aca="false">IFERROR(MIN(Eingaben!$B$18,MAX(0,F3303-I3303)),0)</f>
        <v>0.603288</v>
      </c>
      <c r="K3303" s="13" t="n">
        <f aca="false">H3303+I3303</f>
        <v>2.7751248</v>
      </c>
      <c r="L3303" s="13" t="n">
        <f aca="false">MAX(0,D3303-K3303)</f>
        <v>2.1648752</v>
      </c>
      <c r="M3303" s="13" t="n">
        <f aca="false">MAX(0,F3303-I3303-J3303)</f>
        <v>0</v>
      </c>
      <c r="N3303" s="13" t="n">
        <f aca="false">IF(Kalender!A9="",0,J3302-H3303)</f>
        <v>0.0279072</v>
      </c>
    </row>
    <row r="3304" customFormat="false" ht="16.4" hidden="false" customHeight="false" outlineLevel="0" collapsed="false">
      <c r="A3304" s="13" t="str">
        <f aca="false">""</f>
        <v/>
      </c>
      <c r="B3304" s="13" t="n">
        <f aca="false">6</f>
        <v>6</v>
      </c>
      <c r="C3304" s="13" t="n">
        <f aca="false">IF(Szenarien!$H$20="OK",(IFERROR(SUMIF(Nutzungsprofile!$B$6:$B$11,"Schulbetrieb",Nutzungsprofile!$G$6:$G$11)*Kalender!C10/SUM(Kalender!$C$5:$C$370),0)+IFERROR(SUMIF(Nutzungsprofile!$B$6:$B$11,"Halle",Nutzungsprofile!$G$6:$G$11)*Kalender!D10/SUM(Kalender!$D$5:$D$370),0)+IFERROR(SUMIF(Nutzungsprofile!$B$6:$B$11,"Individuell",Nutzungsprofile!$G$6:$G$11)*Kalender!E10/SUM(Kalender!$E$5:$E$370),0))*Szenarien!$E$20,0)</f>
        <v>2.352</v>
      </c>
      <c r="D3304" s="13" t="n">
        <f aca="false">IF(Szenarien!$H$20="OK",(IFERROR(SUMIF(Nutzungsprofile!$B$17:$B$22,"Schulbetrieb",Nutzungsprofile!$G$17:$G$22)*Kalender!C10/SUM(Kalender!$C$5:$C$370),0)+IFERROR(SUMIF(Nutzungsprofile!$B$17:$B$22,"Halle",Nutzungsprofile!$G$17:$G$22)*Kalender!D10/SUM(Kalender!$D$5:$D$370),0)+IFERROR(SUMIF(Nutzungsprofile!$B$17:$B$22,"Individuell",Nutzungsprofile!$G$17:$G$22)*Kalender!E10/SUM(Kalender!$E$5:$E$370),0))*Szenarien!$D$20,0)</f>
        <v>4.94</v>
      </c>
      <c r="E3304" s="13" t="n">
        <f aca="false">IFERROR(MIN(C3304,Eingaben!$B$17)*Eingaben!$B$16,0)</f>
        <v>2.2344</v>
      </c>
      <c r="F3304" s="13" t="n">
        <f aca="false">IFERROR(E3304*Eingaben!$B$15,0)</f>
        <v>2.01096</v>
      </c>
      <c r="G3304" s="13" t="n">
        <f aca="false">IFERROR(IF(Kalender!A10="",0,J3303*(1-Eingaben!$B$20)),0)</f>
        <v>0.59122224</v>
      </c>
      <c r="H3304" s="13" t="n">
        <f aca="false">MIN(G3304,D3304)</f>
        <v>0.59122224</v>
      </c>
      <c r="I3304" s="13" t="n">
        <f aca="false">IFERROR(MIN(F3304*Eingaben!$B$19,MAX(0,D3304-H3304)),0)</f>
        <v>1.407672</v>
      </c>
      <c r="J3304" s="13" t="n">
        <f aca="false">IFERROR(MIN(Eingaben!$B$18,MAX(0,F3304-I3304)),0)</f>
        <v>0.603288</v>
      </c>
      <c r="K3304" s="13" t="n">
        <f aca="false">H3304+I3304</f>
        <v>1.99889424</v>
      </c>
      <c r="L3304" s="13" t="n">
        <f aca="false">MAX(0,D3304-K3304)</f>
        <v>2.94110576</v>
      </c>
      <c r="M3304" s="13" t="n">
        <f aca="false">MAX(0,F3304-I3304-J3304)</f>
        <v>0</v>
      </c>
      <c r="N3304" s="13" t="n">
        <f aca="false">IF(Kalender!A10="",0,J3303-H3304)</f>
        <v>0.01206576</v>
      </c>
    </row>
    <row r="3305" customFormat="false" ht="16.4" hidden="false" customHeight="false" outlineLevel="0" collapsed="false">
      <c r="A3305" s="13" t="str">
        <f aca="false">""</f>
        <v/>
      </c>
      <c r="B3305" s="13" t="n">
        <f aca="false">7</f>
        <v>7</v>
      </c>
      <c r="C3305" s="13" t="n">
        <f aca="false">IF(Szenarien!$H$20="OK",(IFERROR(SUMIF(Nutzungsprofile!$B$6:$B$11,"Schulbetrieb",Nutzungsprofile!$G$6:$G$11)*Kalender!C11/SUM(Kalender!$C$5:$C$370),0)+IFERROR(SUMIF(Nutzungsprofile!$B$6:$B$11,"Halle",Nutzungsprofile!$G$6:$G$11)*Kalender!D11/SUM(Kalender!$D$5:$D$370),0)+IFERROR(SUMIF(Nutzungsprofile!$B$6:$B$11,"Individuell",Nutzungsprofile!$G$6:$G$11)*Kalender!E11/SUM(Kalender!$E$5:$E$370),0))*Szenarien!$E$20,0)</f>
        <v>2.352</v>
      </c>
      <c r="D3305" s="13" t="n">
        <f aca="false">IF(Szenarien!$H$20="OK",(IFERROR(SUMIF(Nutzungsprofile!$B$17:$B$22,"Schulbetrieb",Nutzungsprofile!$G$17:$G$22)*Kalender!C11/SUM(Kalender!$C$5:$C$370),0)+IFERROR(SUMIF(Nutzungsprofile!$B$17:$B$22,"Halle",Nutzungsprofile!$G$17:$G$22)*Kalender!D11/SUM(Kalender!$D$5:$D$370),0)+IFERROR(SUMIF(Nutzungsprofile!$B$17:$B$22,"Individuell",Nutzungsprofile!$G$17:$G$22)*Kalender!E11/SUM(Kalender!$E$5:$E$370),0))*Szenarien!$D$20,0)</f>
        <v>4.94</v>
      </c>
      <c r="E3305" s="13" t="n">
        <f aca="false">IFERROR(MIN(C3305,Eingaben!$B$17)*Eingaben!$B$16,0)</f>
        <v>2.2344</v>
      </c>
      <c r="F3305" s="13" t="n">
        <f aca="false">IFERROR(E3305*Eingaben!$B$15,0)</f>
        <v>2.01096</v>
      </c>
      <c r="G3305" s="13" t="n">
        <f aca="false">IFERROR(IF(Kalender!A11="",0,J3304*(1-Eingaben!$B$20)),0)</f>
        <v>0.59122224</v>
      </c>
      <c r="H3305" s="13" t="n">
        <f aca="false">MIN(G3305,D3305)</f>
        <v>0.59122224</v>
      </c>
      <c r="I3305" s="13" t="n">
        <f aca="false">IFERROR(MIN(F3305*Eingaben!$B$19,MAX(0,D3305-H3305)),0)</f>
        <v>1.407672</v>
      </c>
      <c r="J3305" s="13" t="n">
        <f aca="false">IFERROR(MIN(Eingaben!$B$18,MAX(0,F3305-I3305)),0)</f>
        <v>0.603288</v>
      </c>
      <c r="K3305" s="13" t="n">
        <f aca="false">H3305+I3305</f>
        <v>1.99889424</v>
      </c>
      <c r="L3305" s="13" t="n">
        <f aca="false">MAX(0,D3305-K3305)</f>
        <v>2.94110576</v>
      </c>
      <c r="M3305" s="13" t="n">
        <f aca="false">MAX(0,F3305-I3305-J3305)</f>
        <v>0</v>
      </c>
      <c r="N3305" s="13" t="n">
        <f aca="false">IF(Kalender!A11="",0,J3304-H3305)</f>
        <v>0.01206576</v>
      </c>
    </row>
    <row r="3306" customFormat="false" ht="16.4" hidden="false" customHeight="false" outlineLevel="0" collapsed="false">
      <c r="A3306" s="13" t="str">
        <f aca="false">""</f>
        <v/>
      </c>
      <c r="B3306" s="13" t="n">
        <f aca="false">8</f>
        <v>8</v>
      </c>
      <c r="C3306" s="13" t="n">
        <f aca="false">IF(Szenarien!$H$20="OK",(IFERROR(SUMIF(Nutzungsprofile!$B$6:$B$11,"Schulbetrieb",Nutzungsprofile!$G$6:$G$11)*Kalender!C12/SUM(Kalender!$C$5:$C$370),0)+IFERROR(SUMIF(Nutzungsprofile!$B$6:$B$11,"Halle",Nutzungsprofile!$G$6:$G$11)*Kalender!D12/SUM(Kalender!$D$5:$D$370),0)+IFERROR(SUMIF(Nutzungsprofile!$B$6:$B$11,"Individuell",Nutzungsprofile!$G$6:$G$11)*Kalender!E12/SUM(Kalender!$E$5:$E$370),0))*Szenarien!$E$20,0)</f>
        <v>2.352</v>
      </c>
      <c r="D3306" s="13" t="n">
        <f aca="false">IF(Szenarien!$H$20="OK",(IFERROR(SUMIF(Nutzungsprofile!$B$17:$B$22,"Schulbetrieb",Nutzungsprofile!$G$17:$G$22)*Kalender!C12/SUM(Kalender!$C$5:$C$370),0)+IFERROR(SUMIF(Nutzungsprofile!$B$17:$B$22,"Halle",Nutzungsprofile!$G$17:$G$22)*Kalender!D12/SUM(Kalender!$D$5:$D$370),0)+IFERROR(SUMIF(Nutzungsprofile!$B$17:$B$22,"Individuell",Nutzungsprofile!$G$17:$G$22)*Kalender!E12/SUM(Kalender!$E$5:$E$370),0))*Szenarien!$D$20,0)</f>
        <v>4.94</v>
      </c>
      <c r="E3306" s="13" t="n">
        <f aca="false">IFERROR(MIN(C3306,Eingaben!$B$17)*Eingaben!$B$16,0)</f>
        <v>2.2344</v>
      </c>
      <c r="F3306" s="13" t="n">
        <f aca="false">IFERROR(E3306*Eingaben!$B$15,0)</f>
        <v>2.01096</v>
      </c>
      <c r="G3306" s="13" t="n">
        <f aca="false">IFERROR(IF(Kalender!A12="",0,J3305*(1-Eingaben!$B$20)),0)</f>
        <v>0.59122224</v>
      </c>
      <c r="H3306" s="13" t="n">
        <f aca="false">MIN(G3306,D3306)</f>
        <v>0.59122224</v>
      </c>
      <c r="I3306" s="13" t="n">
        <f aca="false">IFERROR(MIN(F3306*Eingaben!$B$19,MAX(0,D3306-H3306)),0)</f>
        <v>1.407672</v>
      </c>
      <c r="J3306" s="13" t="n">
        <f aca="false">IFERROR(MIN(Eingaben!$B$18,MAX(0,F3306-I3306)),0)</f>
        <v>0.603288</v>
      </c>
      <c r="K3306" s="13" t="n">
        <f aca="false">H3306+I3306</f>
        <v>1.99889424</v>
      </c>
      <c r="L3306" s="13" t="n">
        <f aca="false">MAX(0,D3306-K3306)</f>
        <v>2.94110576</v>
      </c>
      <c r="M3306" s="13" t="n">
        <f aca="false">MAX(0,F3306-I3306-J3306)</f>
        <v>0</v>
      </c>
      <c r="N3306" s="13" t="n">
        <f aca="false">IF(Kalender!A12="",0,J3305-H3306)</f>
        <v>0.01206576</v>
      </c>
    </row>
    <row r="3307" customFormat="false" ht="16.4" hidden="false" customHeight="false" outlineLevel="0" collapsed="false">
      <c r="A3307" s="13" t="str">
        <f aca="false">""</f>
        <v/>
      </c>
      <c r="B3307" s="13" t="n">
        <f aca="false">9</f>
        <v>9</v>
      </c>
      <c r="C3307" s="13" t="n">
        <f aca="false">IF(Szenarien!$H$20="OK",(IFERROR(SUMIF(Nutzungsprofile!$B$6:$B$11,"Schulbetrieb",Nutzungsprofile!$G$6:$G$11)*Kalender!C13/SUM(Kalender!$C$5:$C$370),0)+IFERROR(SUMIF(Nutzungsprofile!$B$6:$B$11,"Halle",Nutzungsprofile!$G$6:$G$11)*Kalender!D13/SUM(Kalender!$D$5:$D$370),0)+IFERROR(SUMIF(Nutzungsprofile!$B$6:$B$11,"Individuell",Nutzungsprofile!$G$6:$G$11)*Kalender!E13/SUM(Kalender!$E$5:$E$370),0))*Szenarien!$E$20,0)</f>
        <v>2.352</v>
      </c>
      <c r="D3307" s="13" t="n">
        <f aca="false">IF(Szenarien!$H$20="OK",(IFERROR(SUMIF(Nutzungsprofile!$B$17:$B$22,"Schulbetrieb",Nutzungsprofile!$G$17:$G$22)*Kalender!C13/SUM(Kalender!$C$5:$C$370),0)+IFERROR(SUMIF(Nutzungsprofile!$B$17:$B$22,"Halle",Nutzungsprofile!$G$17:$G$22)*Kalender!D13/SUM(Kalender!$D$5:$D$370),0)+IFERROR(SUMIF(Nutzungsprofile!$B$17:$B$22,"Individuell",Nutzungsprofile!$G$17:$G$22)*Kalender!E13/SUM(Kalender!$E$5:$E$370),0))*Szenarien!$D$20,0)</f>
        <v>4.94</v>
      </c>
      <c r="E3307" s="13" t="n">
        <f aca="false">IFERROR(MIN(C3307,Eingaben!$B$17)*Eingaben!$B$16,0)</f>
        <v>2.2344</v>
      </c>
      <c r="F3307" s="13" t="n">
        <f aca="false">IFERROR(E3307*Eingaben!$B$15,0)</f>
        <v>2.01096</v>
      </c>
      <c r="G3307" s="13" t="n">
        <f aca="false">IFERROR(IF(Kalender!A13="",0,J3306*(1-Eingaben!$B$20)),0)</f>
        <v>0.59122224</v>
      </c>
      <c r="H3307" s="13" t="n">
        <f aca="false">MIN(G3307,D3307)</f>
        <v>0.59122224</v>
      </c>
      <c r="I3307" s="13" t="n">
        <f aca="false">IFERROR(MIN(F3307*Eingaben!$B$19,MAX(0,D3307-H3307)),0)</f>
        <v>1.407672</v>
      </c>
      <c r="J3307" s="13" t="n">
        <f aca="false">IFERROR(MIN(Eingaben!$B$18,MAX(0,F3307-I3307)),0)</f>
        <v>0.603288</v>
      </c>
      <c r="K3307" s="13" t="n">
        <f aca="false">H3307+I3307</f>
        <v>1.99889424</v>
      </c>
      <c r="L3307" s="13" t="n">
        <f aca="false">MAX(0,D3307-K3307)</f>
        <v>2.94110576</v>
      </c>
      <c r="M3307" s="13" t="n">
        <f aca="false">MAX(0,F3307-I3307-J3307)</f>
        <v>0</v>
      </c>
      <c r="N3307" s="13" t="n">
        <f aca="false">IF(Kalender!A13="",0,J3306-H3307)</f>
        <v>0.01206576</v>
      </c>
    </row>
    <row r="3308" customFormat="false" ht="16.4" hidden="false" customHeight="false" outlineLevel="0" collapsed="false">
      <c r="A3308" s="13" t="str">
        <f aca="false">""</f>
        <v/>
      </c>
      <c r="B3308" s="13" t="n">
        <f aca="false">10</f>
        <v>10</v>
      </c>
      <c r="C3308" s="13" t="n">
        <f aca="false">IF(Szenarien!$H$20="OK",(IFERROR(SUMIF(Nutzungsprofile!$B$6:$B$11,"Schulbetrieb",Nutzungsprofile!$G$6:$G$11)*Kalender!C14/SUM(Kalender!$C$5:$C$370),0)+IFERROR(SUMIF(Nutzungsprofile!$B$6:$B$11,"Halle",Nutzungsprofile!$G$6:$G$11)*Kalender!D14/SUM(Kalender!$D$5:$D$370),0)+IFERROR(SUMIF(Nutzungsprofile!$B$6:$B$11,"Individuell",Nutzungsprofile!$G$6:$G$11)*Kalender!E14/SUM(Kalender!$E$5:$E$370),0))*Szenarien!$E$20,0)</f>
        <v>1.632</v>
      </c>
      <c r="D3308" s="13" t="n">
        <f aca="false">IF(Szenarien!$H$20="OK",(IFERROR(SUMIF(Nutzungsprofile!$B$17:$B$22,"Schulbetrieb",Nutzungsprofile!$G$17:$G$22)*Kalender!C14/SUM(Kalender!$C$5:$C$370),0)+IFERROR(SUMIF(Nutzungsprofile!$B$17:$B$22,"Halle",Nutzungsprofile!$G$17:$G$22)*Kalender!D14/SUM(Kalender!$D$5:$D$370),0)+IFERROR(SUMIF(Nutzungsprofile!$B$17:$B$22,"Individuell",Nutzungsprofile!$G$17:$G$22)*Kalender!E14/SUM(Kalender!$E$5:$E$370),0))*Szenarien!$D$20,0)</f>
        <v>0.89</v>
      </c>
      <c r="E3308" s="13" t="n">
        <f aca="false">IFERROR(MIN(C3308,Eingaben!$B$17)*Eingaben!$B$16,0)</f>
        <v>1.5504</v>
      </c>
      <c r="F3308" s="13" t="n">
        <f aca="false">IFERROR(E3308*Eingaben!$B$15,0)</f>
        <v>1.39536</v>
      </c>
      <c r="G3308" s="13" t="n">
        <f aca="false">IFERROR(IF(Kalender!A14="",0,J3307*(1-Eingaben!$B$20)),0)</f>
        <v>0.59122224</v>
      </c>
      <c r="H3308" s="13" t="n">
        <f aca="false">MIN(G3308,D3308)</f>
        <v>0.59122224</v>
      </c>
      <c r="I3308" s="13" t="n">
        <f aca="false">IFERROR(MIN(F3308*Eingaben!$B$19,MAX(0,D3308-H3308)),0)</f>
        <v>0.29877776</v>
      </c>
      <c r="J3308" s="13" t="n">
        <f aca="false">IFERROR(MIN(Eingaben!$B$18,MAX(0,F3308-I3308)),0)</f>
        <v>1.09658224</v>
      </c>
      <c r="K3308" s="13" t="n">
        <f aca="false">H3308+I3308</f>
        <v>0.89</v>
      </c>
      <c r="L3308" s="13" t="n">
        <f aca="false">MAX(0,D3308-K3308)</f>
        <v>0</v>
      </c>
      <c r="M3308" s="13" t="n">
        <f aca="false">MAX(0,F3308-I3308-J3308)</f>
        <v>0</v>
      </c>
      <c r="N3308" s="13" t="n">
        <f aca="false">IF(Kalender!A14="",0,J3307-H3308)</f>
        <v>0.01206576</v>
      </c>
    </row>
    <row r="3309" customFormat="false" ht="16.4" hidden="false" customHeight="false" outlineLevel="0" collapsed="false">
      <c r="A3309" s="13" t="str">
        <f aca="false">""</f>
        <v/>
      </c>
      <c r="B3309" s="13" t="n">
        <f aca="false">11</f>
        <v>11</v>
      </c>
      <c r="C3309" s="13" t="n">
        <f aca="false">IF(Szenarien!$H$20="OK",(IFERROR(SUMIF(Nutzungsprofile!$B$6:$B$11,"Schulbetrieb",Nutzungsprofile!$G$6:$G$11)*Kalender!C15/SUM(Kalender!$C$5:$C$370),0)+IFERROR(SUMIF(Nutzungsprofile!$B$6:$B$11,"Halle",Nutzungsprofile!$G$6:$G$11)*Kalender!D15/SUM(Kalender!$D$5:$D$370),0)+IFERROR(SUMIF(Nutzungsprofile!$B$6:$B$11,"Individuell",Nutzungsprofile!$G$6:$G$11)*Kalender!E15/SUM(Kalender!$E$5:$E$370),0))*Szenarien!$E$20,0)</f>
        <v>1.632</v>
      </c>
      <c r="D3309" s="13" t="n">
        <f aca="false">IF(Szenarien!$H$20="OK",(IFERROR(SUMIF(Nutzungsprofile!$B$17:$B$22,"Schulbetrieb",Nutzungsprofile!$G$17:$G$22)*Kalender!C15/SUM(Kalender!$C$5:$C$370),0)+IFERROR(SUMIF(Nutzungsprofile!$B$17:$B$22,"Halle",Nutzungsprofile!$G$17:$G$22)*Kalender!D15/SUM(Kalender!$D$5:$D$370),0)+IFERROR(SUMIF(Nutzungsprofile!$B$17:$B$22,"Individuell",Nutzungsprofile!$G$17:$G$22)*Kalender!E15/SUM(Kalender!$E$5:$E$370),0))*Szenarien!$D$20,0)</f>
        <v>0.89</v>
      </c>
      <c r="E3309" s="13" t="n">
        <f aca="false">IFERROR(MIN(C3309,Eingaben!$B$17)*Eingaben!$B$16,0)</f>
        <v>1.5504</v>
      </c>
      <c r="F3309" s="13" t="n">
        <f aca="false">IFERROR(E3309*Eingaben!$B$15,0)</f>
        <v>1.39536</v>
      </c>
      <c r="G3309" s="13" t="n">
        <f aca="false">IFERROR(IF(Kalender!A15="",0,J3308*(1-Eingaben!$B$20)),0)</f>
        <v>1.0746505952</v>
      </c>
      <c r="H3309" s="13" t="n">
        <f aca="false">MIN(G3309,D3309)</f>
        <v>0.89</v>
      </c>
      <c r="I3309" s="13" t="n">
        <f aca="false">IFERROR(MIN(F3309*Eingaben!$B$19,MAX(0,D3309-H3309)),0)</f>
        <v>0</v>
      </c>
      <c r="J3309" s="13" t="n">
        <f aca="false">IFERROR(MIN(Eingaben!$B$18,MAX(0,F3309-I3309)),0)</f>
        <v>1.39536</v>
      </c>
      <c r="K3309" s="13" t="n">
        <f aca="false">H3309+I3309</f>
        <v>0.89</v>
      </c>
      <c r="L3309" s="13" t="n">
        <f aca="false">MAX(0,D3309-K3309)</f>
        <v>0</v>
      </c>
      <c r="M3309" s="13" t="n">
        <f aca="false">MAX(0,F3309-I3309-J3309)</f>
        <v>0</v>
      </c>
      <c r="N3309" s="13" t="n">
        <f aca="false">IF(Kalender!A15="",0,J3308-H3309)</f>
        <v>0.20658224</v>
      </c>
    </row>
    <row r="3310" customFormat="false" ht="16.4" hidden="false" customHeight="false" outlineLevel="0" collapsed="false">
      <c r="A3310" s="13" t="str">
        <f aca="false">""</f>
        <v/>
      </c>
      <c r="B3310" s="13" t="n">
        <f aca="false">12</f>
        <v>12</v>
      </c>
      <c r="C3310" s="13" t="n">
        <f aca="false">IF(Szenarien!$H$20="OK",(IFERROR(SUMIF(Nutzungsprofile!$B$6:$B$11,"Schulbetrieb",Nutzungsprofile!$G$6:$G$11)*Kalender!C16/SUM(Kalender!$C$5:$C$370),0)+IFERROR(SUMIF(Nutzungsprofile!$B$6:$B$11,"Halle",Nutzungsprofile!$G$6:$G$11)*Kalender!D16/SUM(Kalender!$D$5:$D$370),0)+IFERROR(SUMIF(Nutzungsprofile!$B$6:$B$11,"Individuell",Nutzungsprofile!$G$6:$G$11)*Kalender!E16/SUM(Kalender!$E$5:$E$370),0))*Szenarien!$E$20,0)</f>
        <v>2.352</v>
      </c>
      <c r="D3310" s="13" t="n">
        <f aca="false">IF(Szenarien!$H$20="OK",(IFERROR(SUMIF(Nutzungsprofile!$B$17:$B$22,"Schulbetrieb",Nutzungsprofile!$G$17:$G$22)*Kalender!C16/SUM(Kalender!$C$5:$C$370),0)+IFERROR(SUMIF(Nutzungsprofile!$B$17:$B$22,"Halle",Nutzungsprofile!$G$17:$G$22)*Kalender!D16/SUM(Kalender!$D$5:$D$370),0)+IFERROR(SUMIF(Nutzungsprofile!$B$17:$B$22,"Individuell",Nutzungsprofile!$G$17:$G$22)*Kalender!E16/SUM(Kalender!$E$5:$E$370),0))*Szenarien!$D$20,0)</f>
        <v>4.94</v>
      </c>
      <c r="E3310" s="13" t="n">
        <f aca="false">IFERROR(MIN(C3310,Eingaben!$B$17)*Eingaben!$B$16,0)</f>
        <v>2.2344</v>
      </c>
      <c r="F3310" s="13" t="n">
        <f aca="false">IFERROR(E3310*Eingaben!$B$15,0)</f>
        <v>2.01096</v>
      </c>
      <c r="G3310" s="13" t="n">
        <f aca="false">IFERROR(IF(Kalender!A16="",0,J3309*(1-Eingaben!$B$20)),0)</f>
        <v>1.3674528</v>
      </c>
      <c r="H3310" s="13" t="n">
        <f aca="false">MIN(G3310,D3310)</f>
        <v>1.3674528</v>
      </c>
      <c r="I3310" s="13" t="n">
        <f aca="false">IFERROR(MIN(F3310*Eingaben!$B$19,MAX(0,D3310-H3310)),0)</f>
        <v>1.407672</v>
      </c>
      <c r="J3310" s="13" t="n">
        <f aca="false">IFERROR(MIN(Eingaben!$B$18,MAX(0,F3310-I3310)),0)</f>
        <v>0.603288</v>
      </c>
      <c r="K3310" s="13" t="n">
        <f aca="false">H3310+I3310</f>
        <v>2.7751248</v>
      </c>
      <c r="L3310" s="13" t="n">
        <f aca="false">MAX(0,D3310-K3310)</f>
        <v>2.1648752</v>
      </c>
      <c r="M3310" s="13" t="n">
        <f aca="false">MAX(0,F3310-I3310-J3310)</f>
        <v>0</v>
      </c>
      <c r="N3310" s="13" t="n">
        <f aca="false">IF(Kalender!A16="",0,J3309-H3310)</f>
        <v>0.0279072</v>
      </c>
    </row>
    <row r="3311" customFormat="false" ht="16.4" hidden="false" customHeight="false" outlineLevel="0" collapsed="false">
      <c r="A3311" s="13" t="str">
        <f aca="false">""</f>
        <v/>
      </c>
      <c r="B3311" s="13" t="n">
        <f aca="false">13</f>
        <v>13</v>
      </c>
      <c r="C3311" s="13" t="n">
        <f aca="false">IF(Szenarien!$H$20="OK",(IFERROR(SUMIF(Nutzungsprofile!$B$6:$B$11,"Schulbetrieb",Nutzungsprofile!$G$6:$G$11)*Kalender!C17/SUM(Kalender!$C$5:$C$370),0)+IFERROR(SUMIF(Nutzungsprofile!$B$6:$B$11,"Halle",Nutzungsprofile!$G$6:$G$11)*Kalender!D17/SUM(Kalender!$D$5:$D$370),0)+IFERROR(SUMIF(Nutzungsprofile!$B$6:$B$11,"Individuell",Nutzungsprofile!$G$6:$G$11)*Kalender!E17/SUM(Kalender!$E$5:$E$370),0))*Szenarien!$E$20,0)</f>
        <v>2.352</v>
      </c>
      <c r="D3311" s="13" t="n">
        <f aca="false">IF(Szenarien!$H$20="OK",(IFERROR(SUMIF(Nutzungsprofile!$B$17:$B$22,"Schulbetrieb",Nutzungsprofile!$G$17:$G$22)*Kalender!C17/SUM(Kalender!$C$5:$C$370),0)+IFERROR(SUMIF(Nutzungsprofile!$B$17:$B$22,"Halle",Nutzungsprofile!$G$17:$G$22)*Kalender!D17/SUM(Kalender!$D$5:$D$370),0)+IFERROR(SUMIF(Nutzungsprofile!$B$17:$B$22,"Individuell",Nutzungsprofile!$G$17:$G$22)*Kalender!E17/SUM(Kalender!$E$5:$E$370),0))*Szenarien!$D$20,0)</f>
        <v>4.94</v>
      </c>
      <c r="E3311" s="13" t="n">
        <f aca="false">IFERROR(MIN(C3311,Eingaben!$B$17)*Eingaben!$B$16,0)</f>
        <v>2.2344</v>
      </c>
      <c r="F3311" s="13" t="n">
        <f aca="false">IFERROR(E3311*Eingaben!$B$15,0)</f>
        <v>2.01096</v>
      </c>
      <c r="G3311" s="13" t="n">
        <f aca="false">IFERROR(IF(Kalender!A17="",0,J3310*(1-Eingaben!$B$20)),0)</f>
        <v>0.59122224</v>
      </c>
      <c r="H3311" s="13" t="n">
        <f aca="false">MIN(G3311,D3311)</f>
        <v>0.59122224</v>
      </c>
      <c r="I3311" s="13" t="n">
        <f aca="false">IFERROR(MIN(F3311*Eingaben!$B$19,MAX(0,D3311-H3311)),0)</f>
        <v>1.407672</v>
      </c>
      <c r="J3311" s="13" t="n">
        <f aca="false">IFERROR(MIN(Eingaben!$B$18,MAX(0,F3311-I3311)),0)</f>
        <v>0.603288</v>
      </c>
      <c r="K3311" s="13" t="n">
        <f aca="false">H3311+I3311</f>
        <v>1.99889424</v>
      </c>
      <c r="L3311" s="13" t="n">
        <f aca="false">MAX(0,D3311-K3311)</f>
        <v>2.94110576</v>
      </c>
      <c r="M3311" s="13" t="n">
        <f aca="false">MAX(0,F3311-I3311-J3311)</f>
        <v>0</v>
      </c>
      <c r="N3311" s="13" t="n">
        <f aca="false">IF(Kalender!A17="",0,J3310-H3311)</f>
        <v>0.01206576</v>
      </c>
    </row>
    <row r="3312" customFormat="false" ht="16.4" hidden="false" customHeight="false" outlineLevel="0" collapsed="false">
      <c r="A3312" s="13" t="str">
        <f aca="false">""</f>
        <v/>
      </c>
      <c r="B3312" s="13" t="n">
        <f aca="false">14</f>
        <v>14</v>
      </c>
      <c r="C3312" s="13" t="n">
        <f aca="false">IF(Szenarien!$H$20="OK",(IFERROR(SUMIF(Nutzungsprofile!$B$6:$B$11,"Schulbetrieb",Nutzungsprofile!$G$6:$G$11)*Kalender!C18/SUM(Kalender!$C$5:$C$370),0)+IFERROR(SUMIF(Nutzungsprofile!$B$6:$B$11,"Halle",Nutzungsprofile!$G$6:$G$11)*Kalender!D18/SUM(Kalender!$D$5:$D$370),0)+IFERROR(SUMIF(Nutzungsprofile!$B$6:$B$11,"Individuell",Nutzungsprofile!$G$6:$G$11)*Kalender!E18/SUM(Kalender!$E$5:$E$370),0))*Szenarien!$E$20,0)</f>
        <v>2.352</v>
      </c>
      <c r="D3312" s="13" t="n">
        <f aca="false">IF(Szenarien!$H$20="OK",(IFERROR(SUMIF(Nutzungsprofile!$B$17:$B$22,"Schulbetrieb",Nutzungsprofile!$G$17:$G$22)*Kalender!C18/SUM(Kalender!$C$5:$C$370),0)+IFERROR(SUMIF(Nutzungsprofile!$B$17:$B$22,"Halle",Nutzungsprofile!$G$17:$G$22)*Kalender!D18/SUM(Kalender!$D$5:$D$370),0)+IFERROR(SUMIF(Nutzungsprofile!$B$17:$B$22,"Individuell",Nutzungsprofile!$G$17:$G$22)*Kalender!E18/SUM(Kalender!$E$5:$E$370),0))*Szenarien!$D$20,0)</f>
        <v>4.94</v>
      </c>
      <c r="E3312" s="13" t="n">
        <f aca="false">IFERROR(MIN(C3312,Eingaben!$B$17)*Eingaben!$B$16,0)</f>
        <v>2.2344</v>
      </c>
      <c r="F3312" s="13" t="n">
        <f aca="false">IFERROR(E3312*Eingaben!$B$15,0)</f>
        <v>2.01096</v>
      </c>
      <c r="G3312" s="13" t="n">
        <f aca="false">IFERROR(IF(Kalender!A18="",0,J3311*(1-Eingaben!$B$20)),0)</f>
        <v>0.59122224</v>
      </c>
      <c r="H3312" s="13" t="n">
        <f aca="false">MIN(G3312,D3312)</f>
        <v>0.59122224</v>
      </c>
      <c r="I3312" s="13" t="n">
        <f aca="false">IFERROR(MIN(F3312*Eingaben!$B$19,MAX(0,D3312-H3312)),0)</f>
        <v>1.407672</v>
      </c>
      <c r="J3312" s="13" t="n">
        <f aca="false">IFERROR(MIN(Eingaben!$B$18,MAX(0,F3312-I3312)),0)</f>
        <v>0.603288</v>
      </c>
      <c r="K3312" s="13" t="n">
        <f aca="false">H3312+I3312</f>
        <v>1.99889424</v>
      </c>
      <c r="L3312" s="13" t="n">
        <f aca="false">MAX(0,D3312-K3312)</f>
        <v>2.94110576</v>
      </c>
      <c r="M3312" s="13" t="n">
        <f aca="false">MAX(0,F3312-I3312-J3312)</f>
        <v>0</v>
      </c>
      <c r="N3312" s="13" t="n">
        <f aca="false">IF(Kalender!A18="",0,J3311-H3312)</f>
        <v>0.01206576</v>
      </c>
    </row>
    <row r="3313" customFormat="false" ht="16.4" hidden="false" customHeight="false" outlineLevel="0" collapsed="false">
      <c r="A3313" s="13" t="str">
        <f aca="false">""</f>
        <v/>
      </c>
      <c r="B3313" s="13" t="n">
        <f aca="false">15</f>
        <v>15</v>
      </c>
      <c r="C3313" s="13" t="n">
        <f aca="false">IF(Szenarien!$H$20="OK",(IFERROR(SUMIF(Nutzungsprofile!$B$6:$B$11,"Schulbetrieb",Nutzungsprofile!$G$6:$G$11)*Kalender!C19/SUM(Kalender!$C$5:$C$370),0)+IFERROR(SUMIF(Nutzungsprofile!$B$6:$B$11,"Halle",Nutzungsprofile!$G$6:$G$11)*Kalender!D19/SUM(Kalender!$D$5:$D$370),0)+IFERROR(SUMIF(Nutzungsprofile!$B$6:$B$11,"Individuell",Nutzungsprofile!$G$6:$G$11)*Kalender!E19/SUM(Kalender!$E$5:$E$370),0))*Szenarien!$E$20,0)</f>
        <v>2.352</v>
      </c>
      <c r="D3313" s="13" t="n">
        <f aca="false">IF(Szenarien!$H$20="OK",(IFERROR(SUMIF(Nutzungsprofile!$B$17:$B$22,"Schulbetrieb",Nutzungsprofile!$G$17:$G$22)*Kalender!C19/SUM(Kalender!$C$5:$C$370),0)+IFERROR(SUMIF(Nutzungsprofile!$B$17:$B$22,"Halle",Nutzungsprofile!$G$17:$G$22)*Kalender!D19/SUM(Kalender!$D$5:$D$370),0)+IFERROR(SUMIF(Nutzungsprofile!$B$17:$B$22,"Individuell",Nutzungsprofile!$G$17:$G$22)*Kalender!E19/SUM(Kalender!$E$5:$E$370),0))*Szenarien!$D$20,0)</f>
        <v>4.94</v>
      </c>
      <c r="E3313" s="13" t="n">
        <f aca="false">IFERROR(MIN(C3313,Eingaben!$B$17)*Eingaben!$B$16,0)</f>
        <v>2.2344</v>
      </c>
      <c r="F3313" s="13" t="n">
        <f aca="false">IFERROR(E3313*Eingaben!$B$15,0)</f>
        <v>2.01096</v>
      </c>
      <c r="G3313" s="13" t="n">
        <f aca="false">IFERROR(IF(Kalender!A19="",0,J3312*(1-Eingaben!$B$20)),0)</f>
        <v>0.59122224</v>
      </c>
      <c r="H3313" s="13" t="n">
        <f aca="false">MIN(G3313,D3313)</f>
        <v>0.59122224</v>
      </c>
      <c r="I3313" s="13" t="n">
        <f aca="false">IFERROR(MIN(F3313*Eingaben!$B$19,MAX(0,D3313-H3313)),0)</f>
        <v>1.407672</v>
      </c>
      <c r="J3313" s="13" t="n">
        <f aca="false">IFERROR(MIN(Eingaben!$B$18,MAX(0,F3313-I3313)),0)</f>
        <v>0.603288</v>
      </c>
      <c r="K3313" s="13" t="n">
        <f aca="false">H3313+I3313</f>
        <v>1.99889424</v>
      </c>
      <c r="L3313" s="13" t="n">
        <f aca="false">MAX(0,D3313-K3313)</f>
        <v>2.94110576</v>
      </c>
      <c r="M3313" s="13" t="n">
        <f aca="false">MAX(0,F3313-I3313-J3313)</f>
        <v>0</v>
      </c>
      <c r="N3313" s="13" t="n">
        <f aca="false">IF(Kalender!A19="",0,J3312-H3313)</f>
        <v>0.01206576</v>
      </c>
    </row>
    <row r="3314" customFormat="false" ht="16.4" hidden="false" customHeight="false" outlineLevel="0" collapsed="false">
      <c r="A3314" s="13" t="str">
        <f aca="false">""</f>
        <v/>
      </c>
      <c r="B3314" s="13" t="n">
        <f aca="false">16</f>
        <v>16</v>
      </c>
      <c r="C3314" s="13" t="n">
        <f aca="false">IF(Szenarien!$H$20="OK",(IFERROR(SUMIF(Nutzungsprofile!$B$6:$B$11,"Schulbetrieb",Nutzungsprofile!$G$6:$G$11)*Kalender!C20/SUM(Kalender!$C$5:$C$370),0)+IFERROR(SUMIF(Nutzungsprofile!$B$6:$B$11,"Halle",Nutzungsprofile!$G$6:$G$11)*Kalender!D20/SUM(Kalender!$D$5:$D$370),0)+IFERROR(SUMIF(Nutzungsprofile!$B$6:$B$11,"Individuell",Nutzungsprofile!$G$6:$G$11)*Kalender!E20/SUM(Kalender!$E$5:$E$370),0))*Szenarien!$E$20,0)</f>
        <v>2.352</v>
      </c>
      <c r="D3314" s="13" t="n">
        <f aca="false">IF(Szenarien!$H$20="OK",(IFERROR(SUMIF(Nutzungsprofile!$B$17:$B$22,"Schulbetrieb",Nutzungsprofile!$G$17:$G$22)*Kalender!C20/SUM(Kalender!$C$5:$C$370),0)+IFERROR(SUMIF(Nutzungsprofile!$B$17:$B$22,"Halle",Nutzungsprofile!$G$17:$G$22)*Kalender!D20/SUM(Kalender!$D$5:$D$370),0)+IFERROR(SUMIF(Nutzungsprofile!$B$17:$B$22,"Individuell",Nutzungsprofile!$G$17:$G$22)*Kalender!E20/SUM(Kalender!$E$5:$E$370),0))*Szenarien!$D$20,0)</f>
        <v>4.94</v>
      </c>
      <c r="E3314" s="13" t="n">
        <f aca="false">IFERROR(MIN(C3314,Eingaben!$B$17)*Eingaben!$B$16,0)</f>
        <v>2.2344</v>
      </c>
      <c r="F3314" s="13" t="n">
        <f aca="false">IFERROR(E3314*Eingaben!$B$15,0)</f>
        <v>2.01096</v>
      </c>
      <c r="G3314" s="13" t="n">
        <f aca="false">IFERROR(IF(Kalender!A20="",0,J3313*(1-Eingaben!$B$20)),0)</f>
        <v>0.59122224</v>
      </c>
      <c r="H3314" s="13" t="n">
        <f aca="false">MIN(G3314,D3314)</f>
        <v>0.59122224</v>
      </c>
      <c r="I3314" s="13" t="n">
        <f aca="false">IFERROR(MIN(F3314*Eingaben!$B$19,MAX(0,D3314-H3314)),0)</f>
        <v>1.407672</v>
      </c>
      <c r="J3314" s="13" t="n">
        <f aca="false">IFERROR(MIN(Eingaben!$B$18,MAX(0,F3314-I3314)),0)</f>
        <v>0.603288</v>
      </c>
      <c r="K3314" s="13" t="n">
        <f aca="false">H3314+I3314</f>
        <v>1.99889424</v>
      </c>
      <c r="L3314" s="13" t="n">
        <f aca="false">MAX(0,D3314-K3314)</f>
        <v>2.94110576</v>
      </c>
      <c r="M3314" s="13" t="n">
        <f aca="false">MAX(0,F3314-I3314-J3314)</f>
        <v>0</v>
      </c>
      <c r="N3314" s="13" t="n">
        <f aca="false">IF(Kalender!A20="",0,J3313-H3314)</f>
        <v>0.01206576</v>
      </c>
    </row>
    <row r="3315" customFormat="false" ht="16.4" hidden="false" customHeight="false" outlineLevel="0" collapsed="false">
      <c r="A3315" s="13" t="str">
        <f aca="false">""</f>
        <v/>
      </c>
      <c r="B3315" s="13" t="n">
        <f aca="false">17</f>
        <v>17</v>
      </c>
      <c r="C3315" s="13" t="n">
        <f aca="false">IF(Szenarien!$H$20="OK",(IFERROR(SUMIF(Nutzungsprofile!$B$6:$B$11,"Schulbetrieb",Nutzungsprofile!$G$6:$G$11)*Kalender!C21/SUM(Kalender!$C$5:$C$370),0)+IFERROR(SUMIF(Nutzungsprofile!$B$6:$B$11,"Halle",Nutzungsprofile!$G$6:$G$11)*Kalender!D21/SUM(Kalender!$D$5:$D$370),0)+IFERROR(SUMIF(Nutzungsprofile!$B$6:$B$11,"Individuell",Nutzungsprofile!$G$6:$G$11)*Kalender!E21/SUM(Kalender!$E$5:$E$370),0))*Szenarien!$E$20,0)</f>
        <v>1.632</v>
      </c>
      <c r="D3315" s="13" t="n">
        <f aca="false">IF(Szenarien!$H$20="OK",(IFERROR(SUMIF(Nutzungsprofile!$B$17:$B$22,"Schulbetrieb",Nutzungsprofile!$G$17:$G$22)*Kalender!C21/SUM(Kalender!$C$5:$C$370),0)+IFERROR(SUMIF(Nutzungsprofile!$B$17:$B$22,"Halle",Nutzungsprofile!$G$17:$G$22)*Kalender!D21/SUM(Kalender!$D$5:$D$370),0)+IFERROR(SUMIF(Nutzungsprofile!$B$17:$B$22,"Individuell",Nutzungsprofile!$G$17:$G$22)*Kalender!E21/SUM(Kalender!$E$5:$E$370),0))*Szenarien!$D$20,0)</f>
        <v>0.89</v>
      </c>
      <c r="E3315" s="13" t="n">
        <f aca="false">IFERROR(MIN(C3315,Eingaben!$B$17)*Eingaben!$B$16,0)</f>
        <v>1.5504</v>
      </c>
      <c r="F3315" s="13" t="n">
        <f aca="false">IFERROR(E3315*Eingaben!$B$15,0)</f>
        <v>1.39536</v>
      </c>
      <c r="G3315" s="13" t="n">
        <f aca="false">IFERROR(IF(Kalender!A21="",0,J3314*(1-Eingaben!$B$20)),0)</f>
        <v>0.59122224</v>
      </c>
      <c r="H3315" s="13" t="n">
        <f aca="false">MIN(G3315,D3315)</f>
        <v>0.59122224</v>
      </c>
      <c r="I3315" s="13" t="n">
        <f aca="false">IFERROR(MIN(F3315*Eingaben!$B$19,MAX(0,D3315-H3315)),0)</f>
        <v>0.29877776</v>
      </c>
      <c r="J3315" s="13" t="n">
        <f aca="false">IFERROR(MIN(Eingaben!$B$18,MAX(0,F3315-I3315)),0)</f>
        <v>1.09658224</v>
      </c>
      <c r="K3315" s="13" t="n">
        <f aca="false">H3315+I3315</f>
        <v>0.89</v>
      </c>
      <c r="L3315" s="13" t="n">
        <f aca="false">MAX(0,D3315-K3315)</f>
        <v>0</v>
      </c>
      <c r="M3315" s="13" t="n">
        <f aca="false">MAX(0,F3315-I3315-J3315)</f>
        <v>0</v>
      </c>
      <c r="N3315" s="13" t="n">
        <f aca="false">IF(Kalender!A21="",0,J3314-H3315)</f>
        <v>0.01206576</v>
      </c>
    </row>
    <row r="3316" customFormat="false" ht="16.4" hidden="false" customHeight="false" outlineLevel="0" collapsed="false">
      <c r="A3316" s="13" t="str">
        <f aca="false">""</f>
        <v/>
      </c>
      <c r="B3316" s="13" t="n">
        <f aca="false">18</f>
        <v>18</v>
      </c>
      <c r="C3316" s="13" t="n">
        <f aca="false">IF(Szenarien!$H$20="OK",(IFERROR(SUMIF(Nutzungsprofile!$B$6:$B$11,"Schulbetrieb",Nutzungsprofile!$G$6:$G$11)*Kalender!C22/SUM(Kalender!$C$5:$C$370),0)+IFERROR(SUMIF(Nutzungsprofile!$B$6:$B$11,"Halle",Nutzungsprofile!$G$6:$G$11)*Kalender!D22/SUM(Kalender!$D$5:$D$370),0)+IFERROR(SUMIF(Nutzungsprofile!$B$6:$B$11,"Individuell",Nutzungsprofile!$G$6:$G$11)*Kalender!E22/SUM(Kalender!$E$5:$E$370),0))*Szenarien!$E$20,0)</f>
        <v>1.632</v>
      </c>
      <c r="D3316" s="13" t="n">
        <f aca="false">IF(Szenarien!$H$20="OK",(IFERROR(SUMIF(Nutzungsprofile!$B$17:$B$22,"Schulbetrieb",Nutzungsprofile!$G$17:$G$22)*Kalender!C22/SUM(Kalender!$C$5:$C$370),0)+IFERROR(SUMIF(Nutzungsprofile!$B$17:$B$22,"Halle",Nutzungsprofile!$G$17:$G$22)*Kalender!D22/SUM(Kalender!$D$5:$D$370),0)+IFERROR(SUMIF(Nutzungsprofile!$B$17:$B$22,"Individuell",Nutzungsprofile!$G$17:$G$22)*Kalender!E22/SUM(Kalender!$E$5:$E$370),0))*Szenarien!$D$20,0)</f>
        <v>0.89</v>
      </c>
      <c r="E3316" s="13" t="n">
        <f aca="false">IFERROR(MIN(C3316,Eingaben!$B$17)*Eingaben!$B$16,0)</f>
        <v>1.5504</v>
      </c>
      <c r="F3316" s="13" t="n">
        <f aca="false">IFERROR(E3316*Eingaben!$B$15,0)</f>
        <v>1.39536</v>
      </c>
      <c r="G3316" s="13" t="n">
        <f aca="false">IFERROR(IF(Kalender!A22="",0,J3315*(1-Eingaben!$B$20)),0)</f>
        <v>1.0746505952</v>
      </c>
      <c r="H3316" s="13" t="n">
        <f aca="false">MIN(G3316,D3316)</f>
        <v>0.89</v>
      </c>
      <c r="I3316" s="13" t="n">
        <f aca="false">IFERROR(MIN(F3316*Eingaben!$B$19,MAX(0,D3316-H3316)),0)</f>
        <v>0</v>
      </c>
      <c r="J3316" s="13" t="n">
        <f aca="false">IFERROR(MIN(Eingaben!$B$18,MAX(0,F3316-I3316)),0)</f>
        <v>1.39536</v>
      </c>
      <c r="K3316" s="13" t="n">
        <f aca="false">H3316+I3316</f>
        <v>0.89</v>
      </c>
      <c r="L3316" s="13" t="n">
        <f aca="false">MAX(0,D3316-K3316)</f>
        <v>0</v>
      </c>
      <c r="M3316" s="13" t="n">
        <f aca="false">MAX(0,F3316-I3316-J3316)</f>
        <v>0</v>
      </c>
      <c r="N3316" s="13" t="n">
        <f aca="false">IF(Kalender!A22="",0,J3315-H3316)</f>
        <v>0.20658224</v>
      </c>
    </row>
    <row r="3317" customFormat="false" ht="16.4" hidden="false" customHeight="false" outlineLevel="0" collapsed="false">
      <c r="A3317" s="13" t="str">
        <f aca="false">""</f>
        <v/>
      </c>
      <c r="B3317" s="13" t="n">
        <f aca="false">19</f>
        <v>19</v>
      </c>
      <c r="C3317" s="13" t="n">
        <f aca="false">IF(Szenarien!$H$20="OK",(IFERROR(SUMIF(Nutzungsprofile!$B$6:$B$11,"Schulbetrieb",Nutzungsprofile!$G$6:$G$11)*Kalender!C23/SUM(Kalender!$C$5:$C$370),0)+IFERROR(SUMIF(Nutzungsprofile!$B$6:$B$11,"Halle",Nutzungsprofile!$G$6:$G$11)*Kalender!D23/SUM(Kalender!$D$5:$D$370),0)+IFERROR(SUMIF(Nutzungsprofile!$B$6:$B$11,"Individuell",Nutzungsprofile!$G$6:$G$11)*Kalender!E23/SUM(Kalender!$E$5:$E$370),0))*Szenarien!$E$20,0)</f>
        <v>2.352</v>
      </c>
      <c r="D3317" s="13" t="n">
        <f aca="false">IF(Szenarien!$H$20="OK",(IFERROR(SUMIF(Nutzungsprofile!$B$17:$B$22,"Schulbetrieb",Nutzungsprofile!$G$17:$G$22)*Kalender!C23/SUM(Kalender!$C$5:$C$370),0)+IFERROR(SUMIF(Nutzungsprofile!$B$17:$B$22,"Halle",Nutzungsprofile!$G$17:$G$22)*Kalender!D23/SUM(Kalender!$D$5:$D$370),0)+IFERROR(SUMIF(Nutzungsprofile!$B$17:$B$22,"Individuell",Nutzungsprofile!$G$17:$G$22)*Kalender!E23/SUM(Kalender!$E$5:$E$370),0))*Szenarien!$D$20,0)</f>
        <v>4.94</v>
      </c>
      <c r="E3317" s="13" t="n">
        <f aca="false">IFERROR(MIN(C3317,Eingaben!$B$17)*Eingaben!$B$16,0)</f>
        <v>2.2344</v>
      </c>
      <c r="F3317" s="13" t="n">
        <f aca="false">IFERROR(E3317*Eingaben!$B$15,0)</f>
        <v>2.01096</v>
      </c>
      <c r="G3317" s="13" t="n">
        <f aca="false">IFERROR(IF(Kalender!A23="",0,J3316*(1-Eingaben!$B$20)),0)</f>
        <v>1.3674528</v>
      </c>
      <c r="H3317" s="13" t="n">
        <f aca="false">MIN(G3317,D3317)</f>
        <v>1.3674528</v>
      </c>
      <c r="I3317" s="13" t="n">
        <f aca="false">IFERROR(MIN(F3317*Eingaben!$B$19,MAX(0,D3317-H3317)),0)</f>
        <v>1.407672</v>
      </c>
      <c r="J3317" s="13" t="n">
        <f aca="false">IFERROR(MIN(Eingaben!$B$18,MAX(0,F3317-I3317)),0)</f>
        <v>0.603288</v>
      </c>
      <c r="K3317" s="13" t="n">
        <f aca="false">H3317+I3317</f>
        <v>2.7751248</v>
      </c>
      <c r="L3317" s="13" t="n">
        <f aca="false">MAX(0,D3317-K3317)</f>
        <v>2.1648752</v>
      </c>
      <c r="M3317" s="13" t="n">
        <f aca="false">MAX(0,F3317-I3317-J3317)</f>
        <v>0</v>
      </c>
      <c r="N3317" s="13" t="n">
        <f aca="false">IF(Kalender!A23="",0,J3316-H3317)</f>
        <v>0.0279072</v>
      </c>
    </row>
    <row r="3318" customFormat="false" ht="16.4" hidden="false" customHeight="false" outlineLevel="0" collapsed="false">
      <c r="A3318" s="13" t="str">
        <f aca="false">""</f>
        <v/>
      </c>
      <c r="B3318" s="13" t="n">
        <f aca="false">20</f>
        <v>20</v>
      </c>
      <c r="C3318" s="13" t="n">
        <f aca="false">IF(Szenarien!$H$20="OK",(IFERROR(SUMIF(Nutzungsprofile!$B$6:$B$11,"Schulbetrieb",Nutzungsprofile!$G$6:$G$11)*Kalender!C24/SUM(Kalender!$C$5:$C$370),0)+IFERROR(SUMIF(Nutzungsprofile!$B$6:$B$11,"Halle",Nutzungsprofile!$G$6:$G$11)*Kalender!D24/SUM(Kalender!$D$5:$D$370),0)+IFERROR(SUMIF(Nutzungsprofile!$B$6:$B$11,"Individuell",Nutzungsprofile!$G$6:$G$11)*Kalender!E24/SUM(Kalender!$E$5:$E$370),0))*Szenarien!$E$20,0)</f>
        <v>2.352</v>
      </c>
      <c r="D3318" s="13" t="n">
        <f aca="false">IF(Szenarien!$H$20="OK",(IFERROR(SUMIF(Nutzungsprofile!$B$17:$B$22,"Schulbetrieb",Nutzungsprofile!$G$17:$G$22)*Kalender!C24/SUM(Kalender!$C$5:$C$370),0)+IFERROR(SUMIF(Nutzungsprofile!$B$17:$B$22,"Halle",Nutzungsprofile!$G$17:$G$22)*Kalender!D24/SUM(Kalender!$D$5:$D$370),0)+IFERROR(SUMIF(Nutzungsprofile!$B$17:$B$22,"Individuell",Nutzungsprofile!$G$17:$G$22)*Kalender!E24/SUM(Kalender!$E$5:$E$370),0))*Szenarien!$D$20,0)</f>
        <v>4.94</v>
      </c>
      <c r="E3318" s="13" t="n">
        <f aca="false">IFERROR(MIN(C3318,Eingaben!$B$17)*Eingaben!$B$16,0)</f>
        <v>2.2344</v>
      </c>
      <c r="F3318" s="13" t="n">
        <f aca="false">IFERROR(E3318*Eingaben!$B$15,0)</f>
        <v>2.01096</v>
      </c>
      <c r="G3318" s="13" t="n">
        <f aca="false">IFERROR(IF(Kalender!A24="",0,J3317*(1-Eingaben!$B$20)),0)</f>
        <v>0.59122224</v>
      </c>
      <c r="H3318" s="13" t="n">
        <f aca="false">MIN(G3318,D3318)</f>
        <v>0.59122224</v>
      </c>
      <c r="I3318" s="13" t="n">
        <f aca="false">IFERROR(MIN(F3318*Eingaben!$B$19,MAX(0,D3318-H3318)),0)</f>
        <v>1.407672</v>
      </c>
      <c r="J3318" s="13" t="n">
        <f aca="false">IFERROR(MIN(Eingaben!$B$18,MAX(0,F3318-I3318)),0)</f>
        <v>0.603288</v>
      </c>
      <c r="K3318" s="13" t="n">
        <f aca="false">H3318+I3318</f>
        <v>1.99889424</v>
      </c>
      <c r="L3318" s="13" t="n">
        <f aca="false">MAX(0,D3318-K3318)</f>
        <v>2.94110576</v>
      </c>
      <c r="M3318" s="13" t="n">
        <f aca="false">MAX(0,F3318-I3318-J3318)</f>
        <v>0</v>
      </c>
      <c r="N3318" s="13" t="n">
        <f aca="false">IF(Kalender!A24="",0,J3317-H3318)</f>
        <v>0.01206576</v>
      </c>
    </row>
    <row r="3319" customFormat="false" ht="16.4" hidden="false" customHeight="false" outlineLevel="0" collapsed="false">
      <c r="A3319" s="13" t="str">
        <f aca="false">""</f>
        <v/>
      </c>
      <c r="B3319" s="13" t="n">
        <f aca="false">21</f>
        <v>21</v>
      </c>
      <c r="C3319" s="13" t="n">
        <f aca="false">IF(Szenarien!$H$20="OK",(IFERROR(SUMIF(Nutzungsprofile!$B$6:$B$11,"Schulbetrieb",Nutzungsprofile!$G$6:$G$11)*Kalender!C25/SUM(Kalender!$C$5:$C$370),0)+IFERROR(SUMIF(Nutzungsprofile!$B$6:$B$11,"Halle",Nutzungsprofile!$G$6:$G$11)*Kalender!D25/SUM(Kalender!$D$5:$D$370),0)+IFERROR(SUMIF(Nutzungsprofile!$B$6:$B$11,"Individuell",Nutzungsprofile!$G$6:$G$11)*Kalender!E25/SUM(Kalender!$E$5:$E$370),0))*Szenarien!$E$20,0)</f>
        <v>2.352</v>
      </c>
      <c r="D3319" s="13" t="n">
        <f aca="false">IF(Szenarien!$H$20="OK",(IFERROR(SUMIF(Nutzungsprofile!$B$17:$B$22,"Schulbetrieb",Nutzungsprofile!$G$17:$G$22)*Kalender!C25/SUM(Kalender!$C$5:$C$370),0)+IFERROR(SUMIF(Nutzungsprofile!$B$17:$B$22,"Halle",Nutzungsprofile!$G$17:$G$22)*Kalender!D25/SUM(Kalender!$D$5:$D$370),0)+IFERROR(SUMIF(Nutzungsprofile!$B$17:$B$22,"Individuell",Nutzungsprofile!$G$17:$G$22)*Kalender!E25/SUM(Kalender!$E$5:$E$370),0))*Szenarien!$D$20,0)</f>
        <v>4.94</v>
      </c>
      <c r="E3319" s="13" t="n">
        <f aca="false">IFERROR(MIN(C3319,Eingaben!$B$17)*Eingaben!$B$16,0)</f>
        <v>2.2344</v>
      </c>
      <c r="F3319" s="13" t="n">
        <f aca="false">IFERROR(E3319*Eingaben!$B$15,0)</f>
        <v>2.01096</v>
      </c>
      <c r="G3319" s="13" t="n">
        <f aca="false">IFERROR(IF(Kalender!A25="",0,J3318*(1-Eingaben!$B$20)),0)</f>
        <v>0.59122224</v>
      </c>
      <c r="H3319" s="13" t="n">
        <f aca="false">MIN(G3319,D3319)</f>
        <v>0.59122224</v>
      </c>
      <c r="I3319" s="13" t="n">
        <f aca="false">IFERROR(MIN(F3319*Eingaben!$B$19,MAX(0,D3319-H3319)),0)</f>
        <v>1.407672</v>
      </c>
      <c r="J3319" s="13" t="n">
        <f aca="false">IFERROR(MIN(Eingaben!$B$18,MAX(0,F3319-I3319)),0)</f>
        <v>0.603288</v>
      </c>
      <c r="K3319" s="13" t="n">
        <f aca="false">H3319+I3319</f>
        <v>1.99889424</v>
      </c>
      <c r="L3319" s="13" t="n">
        <f aca="false">MAX(0,D3319-K3319)</f>
        <v>2.94110576</v>
      </c>
      <c r="M3319" s="13" t="n">
        <f aca="false">MAX(0,F3319-I3319-J3319)</f>
        <v>0</v>
      </c>
      <c r="N3319" s="13" t="n">
        <f aca="false">IF(Kalender!A25="",0,J3318-H3319)</f>
        <v>0.01206576</v>
      </c>
    </row>
    <row r="3320" customFormat="false" ht="16.4" hidden="false" customHeight="false" outlineLevel="0" collapsed="false">
      <c r="A3320" s="13" t="str">
        <f aca="false">""</f>
        <v/>
      </c>
      <c r="B3320" s="13" t="n">
        <f aca="false">22</f>
        <v>22</v>
      </c>
      <c r="C3320" s="13" t="n">
        <f aca="false">IF(Szenarien!$H$20="OK",(IFERROR(SUMIF(Nutzungsprofile!$B$6:$B$11,"Schulbetrieb",Nutzungsprofile!$G$6:$G$11)*Kalender!C26/SUM(Kalender!$C$5:$C$370),0)+IFERROR(SUMIF(Nutzungsprofile!$B$6:$B$11,"Halle",Nutzungsprofile!$G$6:$G$11)*Kalender!D26/SUM(Kalender!$D$5:$D$370),0)+IFERROR(SUMIF(Nutzungsprofile!$B$6:$B$11,"Individuell",Nutzungsprofile!$G$6:$G$11)*Kalender!E26/SUM(Kalender!$E$5:$E$370),0))*Szenarien!$E$20,0)</f>
        <v>2.352</v>
      </c>
      <c r="D3320" s="13" t="n">
        <f aca="false">IF(Szenarien!$H$20="OK",(IFERROR(SUMIF(Nutzungsprofile!$B$17:$B$22,"Schulbetrieb",Nutzungsprofile!$G$17:$G$22)*Kalender!C26/SUM(Kalender!$C$5:$C$370),0)+IFERROR(SUMIF(Nutzungsprofile!$B$17:$B$22,"Halle",Nutzungsprofile!$G$17:$G$22)*Kalender!D26/SUM(Kalender!$D$5:$D$370),0)+IFERROR(SUMIF(Nutzungsprofile!$B$17:$B$22,"Individuell",Nutzungsprofile!$G$17:$G$22)*Kalender!E26/SUM(Kalender!$E$5:$E$370),0))*Szenarien!$D$20,0)</f>
        <v>4.94</v>
      </c>
      <c r="E3320" s="13" t="n">
        <f aca="false">IFERROR(MIN(C3320,Eingaben!$B$17)*Eingaben!$B$16,0)</f>
        <v>2.2344</v>
      </c>
      <c r="F3320" s="13" t="n">
        <f aca="false">IFERROR(E3320*Eingaben!$B$15,0)</f>
        <v>2.01096</v>
      </c>
      <c r="G3320" s="13" t="n">
        <f aca="false">IFERROR(IF(Kalender!A26="",0,J3319*(1-Eingaben!$B$20)),0)</f>
        <v>0.59122224</v>
      </c>
      <c r="H3320" s="13" t="n">
        <f aca="false">MIN(G3320,D3320)</f>
        <v>0.59122224</v>
      </c>
      <c r="I3320" s="13" t="n">
        <f aca="false">IFERROR(MIN(F3320*Eingaben!$B$19,MAX(0,D3320-H3320)),0)</f>
        <v>1.407672</v>
      </c>
      <c r="J3320" s="13" t="n">
        <f aca="false">IFERROR(MIN(Eingaben!$B$18,MAX(0,F3320-I3320)),0)</f>
        <v>0.603288</v>
      </c>
      <c r="K3320" s="13" t="n">
        <f aca="false">H3320+I3320</f>
        <v>1.99889424</v>
      </c>
      <c r="L3320" s="13" t="n">
        <f aca="false">MAX(0,D3320-K3320)</f>
        <v>2.94110576</v>
      </c>
      <c r="M3320" s="13" t="n">
        <f aca="false">MAX(0,F3320-I3320-J3320)</f>
        <v>0</v>
      </c>
      <c r="N3320" s="13" t="n">
        <f aca="false">IF(Kalender!A26="",0,J3319-H3320)</f>
        <v>0.01206576</v>
      </c>
    </row>
    <row r="3321" customFormat="false" ht="16.4" hidden="false" customHeight="false" outlineLevel="0" collapsed="false">
      <c r="A3321" s="13" t="str">
        <f aca="false">""</f>
        <v/>
      </c>
      <c r="B3321" s="13" t="n">
        <f aca="false">23</f>
        <v>23</v>
      </c>
      <c r="C3321" s="13" t="n">
        <f aca="false">IF(Szenarien!$H$20="OK",(IFERROR(SUMIF(Nutzungsprofile!$B$6:$B$11,"Schulbetrieb",Nutzungsprofile!$G$6:$G$11)*Kalender!C27/SUM(Kalender!$C$5:$C$370),0)+IFERROR(SUMIF(Nutzungsprofile!$B$6:$B$11,"Halle",Nutzungsprofile!$G$6:$G$11)*Kalender!D27/SUM(Kalender!$D$5:$D$370),0)+IFERROR(SUMIF(Nutzungsprofile!$B$6:$B$11,"Individuell",Nutzungsprofile!$G$6:$G$11)*Kalender!E27/SUM(Kalender!$E$5:$E$370),0))*Szenarien!$E$20,0)</f>
        <v>2.352</v>
      </c>
      <c r="D3321" s="13" t="n">
        <f aca="false">IF(Szenarien!$H$20="OK",(IFERROR(SUMIF(Nutzungsprofile!$B$17:$B$22,"Schulbetrieb",Nutzungsprofile!$G$17:$G$22)*Kalender!C27/SUM(Kalender!$C$5:$C$370),0)+IFERROR(SUMIF(Nutzungsprofile!$B$17:$B$22,"Halle",Nutzungsprofile!$G$17:$G$22)*Kalender!D27/SUM(Kalender!$D$5:$D$370),0)+IFERROR(SUMIF(Nutzungsprofile!$B$17:$B$22,"Individuell",Nutzungsprofile!$G$17:$G$22)*Kalender!E27/SUM(Kalender!$E$5:$E$370),0))*Szenarien!$D$20,0)</f>
        <v>4.94</v>
      </c>
      <c r="E3321" s="13" t="n">
        <f aca="false">IFERROR(MIN(C3321,Eingaben!$B$17)*Eingaben!$B$16,0)</f>
        <v>2.2344</v>
      </c>
      <c r="F3321" s="13" t="n">
        <f aca="false">IFERROR(E3321*Eingaben!$B$15,0)</f>
        <v>2.01096</v>
      </c>
      <c r="G3321" s="13" t="n">
        <f aca="false">IFERROR(IF(Kalender!A27="",0,J3320*(1-Eingaben!$B$20)),0)</f>
        <v>0.59122224</v>
      </c>
      <c r="H3321" s="13" t="n">
        <f aca="false">MIN(G3321,D3321)</f>
        <v>0.59122224</v>
      </c>
      <c r="I3321" s="13" t="n">
        <f aca="false">IFERROR(MIN(F3321*Eingaben!$B$19,MAX(0,D3321-H3321)),0)</f>
        <v>1.407672</v>
      </c>
      <c r="J3321" s="13" t="n">
        <f aca="false">IFERROR(MIN(Eingaben!$B$18,MAX(0,F3321-I3321)),0)</f>
        <v>0.603288</v>
      </c>
      <c r="K3321" s="13" t="n">
        <f aca="false">H3321+I3321</f>
        <v>1.99889424</v>
      </c>
      <c r="L3321" s="13" t="n">
        <f aca="false">MAX(0,D3321-K3321)</f>
        <v>2.94110576</v>
      </c>
      <c r="M3321" s="13" t="n">
        <f aca="false">MAX(0,F3321-I3321-J3321)</f>
        <v>0</v>
      </c>
      <c r="N3321" s="13" t="n">
        <f aca="false">IF(Kalender!A27="",0,J3320-H3321)</f>
        <v>0.01206576</v>
      </c>
    </row>
    <row r="3322" customFormat="false" ht="16.4" hidden="false" customHeight="false" outlineLevel="0" collapsed="false">
      <c r="A3322" s="13" t="str">
        <f aca="false">""</f>
        <v/>
      </c>
      <c r="B3322" s="13" t="n">
        <f aca="false">24</f>
        <v>24</v>
      </c>
      <c r="C3322" s="13" t="n">
        <f aca="false">IF(Szenarien!$H$20="OK",(IFERROR(SUMIF(Nutzungsprofile!$B$6:$B$11,"Schulbetrieb",Nutzungsprofile!$G$6:$G$11)*Kalender!C28/SUM(Kalender!$C$5:$C$370),0)+IFERROR(SUMIF(Nutzungsprofile!$B$6:$B$11,"Halle",Nutzungsprofile!$G$6:$G$11)*Kalender!D28/SUM(Kalender!$D$5:$D$370),0)+IFERROR(SUMIF(Nutzungsprofile!$B$6:$B$11,"Individuell",Nutzungsprofile!$G$6:$G$11)*Kalender!E28/SUM(Kalender!$E$5:$E$370),0))*Szenarien!$E$20,0)</f>
        <v>1.632</v>
      </c>
      <c r="D3322" s="13" t="n">
        <f aca="false">IF(Szenarien!$H$20="OK",(IFERROR(SUMIF(Nutzungsprofile!$B$17:$B$22,"Schulbetrieb",Nutzungsprofile!$G$17:$G$22)*Kalender!C28/SUM(Kalender!$C$5:$C$370),0)+IFERROR(SUMIF(Nutzungsprofile!$B$17:$B$22,"Halle",Nutzungsprofile!$G$17:$G$22)*Kalender!D28/SUM(Kalender!$D$5:$D$370),0)+IFERROR(SUMIF(Nutzungsprofile!$B$17:$B$22,"Individuell",Nutzungsprofile!$G$17:$G$22)*Kalender!E28/SUM(Kalender!$E$5:$E$370),0))*Szenarien!$D$20,0)</f>
        <v>0.89</v>
      </c>
      <c r="E3322" s="13" t="n">
        <f aca="false">IFERROR(MIN(C3322,Eingaben!$B$17)*Eingaben!$B$16,0)</f>
        <v>1.5504</v>
      </c>
      <c r="F3322" s="13" t="n">
        <f aca="false">IFERROR(E3322*Eingaben!$B$15,0)</f>
        <v>1.39536</v>
      </c>
      <c r="G3322" s="13" t="n">
        <f aca="false">IFERROR(IF(Kalender!A28="",0,J3321*(1-Eingaben!$B$20)),0)</f>
        <v>0.59122224</v>
      </c>
      <c r="H3322" s="13" t="n">
        <f aca="false">MIN(G3322,D3322)</f>
        <v>0.59122224</v>
      </c>
      <c r="I3322" s="13" t="n">
        <f aca="false">IFERROR(MIN(F3322*Eingaben!$B$19,MAX(0,D3322-H3322)),0)</f>
        <v>0.29877776</v>
      </c>
      <c r="J3322" s="13" t="n">
        <f aca="false">IFERROR(MIN(Eingaben!$B$18,MAX(0,F3322-I3322)),0)</f>
        <v>1.09658224</v>
      </c>
      <c r="K3322" s="13" t="n">
        <f aca="false">H3322+I3322</f>
        <v>0.89</v>
      </c>
      <c r="L3322" s="13" t="n">
        <f aca="false">MAX(0,D3322-K3322)</f>
        <v>0</v>
      </c>
      <c r="M3322" s="13" t="n">
        <f aca="false">MAX(0,F3322-I3322-J3322)</f>
        <v>0</v>
      </c>
      <c r="N3322" s="13" t="n">
        <f aca="false">IF(Kalender!A28="",0,J3321-H3322)</f>
        <v>0.01206576</v>
      </c>
    </row>
    <row r="3323" customFormat="false" ht="16.4" hidden="false" customHeight="false" outlineLevel="0" collapsed="false">
      <c r="A3323" s="13" t="str">
        <f aca="false">""</f>
        <v/>
      </c>
      <c r="B3323" s="13" t="n">
        <f aca="false">25</f>
        <v>25</v>
      </c>
      <c r="C3323" s="13" t="n">
        <f aca="false">IF(Szenarien!$H$20="OK",(IFERROR(SUMIF(Nutzungsprofile!$B$6:$B$11,"Schulbetrieb",Nutzungsprofile!$G$6:$G$11)*Kalender!C29/SUM(Kalender!$C$5:$C$370),0)+IFERROR(SUMIF(Nutzungsprofile!$B$6:$B$11,"Halle",Nutzungsprofile!$G$6:$G$11)*Kalender!D29/SUM(Kalender!$D$5:$D$370),0)+IFERROR(SUMIF(Nutzungsprofile!$B$6:$B$11,"Individuell",Nutzungsprofile!$G$6:$G$11)*Kalender!E29/SUM(Kalender!$E$5:$E$370),0))*Szenarien!$E$20,0)</f>
        <v>1.632</v>
      </c>
      <c r="D3323" s="13" t="n">
        <f aca="false">IF(Szenarien!$H$20="OK",(IFERROR(SUMIF(Nutzungsprofile!$B$17:$B$22,"Schulbetrieb",Nutzungsprofile!$G$17:$G$22)*Kalender!C29/SUM(Kalender!$C$5:$C$370),0)+IFERROR(SUMIF(Nutzungsprofile!$B$17:$B$22,"Halle",Nutzungsprofile!$G$17:$G$22)*Kalender!D29/SUM(Kalender!$D$5:$D$370),0)+IFERROR(SUMIF(Nutzungsprofile!$B$17:$B$22,"Individuell",Nutzungsprofile!$G$17:$G$22)*Kalender!E29/SUM(Kalender!$E$5:$E$370),0))*Szenarien!$D$20,0)</f>
        <v>0.89</v>
      </c>
      <c r="E3323" s="13" t="n">
        <f aca="false">IFERROR(MIN(C3323,Eingaben!$B$17)*Eingaben!$B$16,0)</f>
        <v>1.5504</v>
      </c>
      <c r="F3323" s="13" t="n">
        <f aca="false">IFERROR(E3323*Eingaben!$B$15,0)</f>
        <v>1.39536</v>
      </c>
      <c r="G3323" s="13" t="n">
        <f aca="false">IFERROR(IF(Kalender!A29="",0,J3322*(1-Eingaben!$B$20)),0)</f>
        <v>1.0746505952</v>
      </c>
      <c r="H3323" s="13" t="n">
        <f aca="false">MIN(G3323,D3323)</f>
        <v>0.89</v>
      </c>
      <c r="I3323" s="13" t="n">
        <f aca="false">IFERROR(MIN(F3323*Eingaben!$B$19,MAX(0,D3323-H3323)),0)</f>
        <v>0</v>
      </c>
      <c r="J3323" s="13" t="n">
        <f aca="false">IFERROR(MIN(Eingaben!$B$18,MAX(0,F3323-I3323)),0)</f>
        <v>1.39536</v>
      </c>
      <c r="K3323" s="13" t="n">
        <f aca="false">H3323+I3323</f>
        <v>0.89</v>
      </c>
      <c r="L3323" s="13" t="n">
        <f aca="false">MAX(0,D3323-K3323)</f>
        <v>0</v>
      </c>
      <c r="M3323" s="13" t="n">
        <f aca="false">MAX(0,F3323-I3323-J3323)</f>
        <v>0</v>
      </c>
      <c r="N3323" s="13" t="n">
        <f aca="false">IF(Kalender!A29="",0,J3322-H3323)</f>
        <v>0.20658224</v>
      </c>
    </row>
    <row r="3324" customFormat="false" ht="16.4" hidden="false" customHeight="false" outlineLevel="0" collapsed="false">
      <c r="A3324" s="13" t="str">
        <f aca="false">""</f>
        <v/>
      </c>
      <c r="B3324" s="13" t="n">
        <f aca="false">26</f>
        <v>26</v>
      </c>
      <c r="C3324" s="13" t="n">
        <f aca="false">IF(Szenarien!$H$20="OK",(IFERROR(SUMIF(Nutzungsprofile!$B$6:$B$11,"Schulbetrieb",Nutzungsprofile!$G$6:$G$11)*Kalender!C30/SUM(Kalender!$C$5:$C$370),0)+IFERROR(SUMIF(Nutzungsprofile!$B$6:$B$11,"Halle",Nutzungsprofile!$G$6:$G$11)*Kalender!D30/SUM(Kalender!$D$5:$D$370),0)+IFERROR(SUMIF(Nutzungsprofile!$B$6:$B$11,"Individuell",Nutzungsprofile!$G$6:$G$11)*Kalender!E30/SUM(Kalender!$E$5:$E$370),0))*Szenarien!$E$20,0)</f>
        <v>2.352</v>
      </c>
      <c r="D3324" s="13" t="n">
        <f aca="false">IF(Szenarien!$H$20="OK",(IFERROR(SUMIF(Nutzungsprofile!$B$17:$B$22,"Schulbetrieb",Nutzungsprofile!$G$17:$G$22)*Kalender!C30/SUM(Kalender!$C$5:$C$370),0)+IFERROR(SUMIF(Nutzungsprofile!$B$17:$B$22,"Halle",Nutzungsprofile!$G$17:$G$22)*Kalender!D30/SUM(Kalender!$D$5:$D$370),0)+IFERROR(SUMIF(Nutzungsprofile!$B$17:$B$22,"Individuell",Nutzungsprofile!$G$17:$G$22)*Kalender!E30/SUM(Kalender!$E$5:$E$370),0))*Szenarien!$D$20,0)</f>
        <v>4.94</v>
      </c>
      <c r="E3324" s="13" t="n">
        <f aca="false">IFERROR(MIN(C3324,Eingaben!$B$17)*Eingaben!$B$16,0)</f>
        <v>2.2344</v>
      </c>
      <c r="F3324" s="13" t="n">
        <f aca="false">IFERROR(E3324*Eingaben!$B$15,0)</f>
        <v>2.01096</v>
      </c>
      <c r="G3324" s="13" t="n">
        <f aca="false">IFERROR(IF(Kalender!A30="",0,J3323*(1-Eingaben!$B$20)),0)</f>
        <v>1.3674528</v>
      </c>
      <c r="H3324" s="13" t="n">
        <f aca="false">MIN(G3324,D3324)</f>
        <v>1.3674528</v>
      </c>
      <c r="I3324" s="13" t="n">
        <f aca="false">IFERROR(MIN(F3324*Eingaben!$B$19,MAX(0,D3324-H3324)),0)</f>
        <v>1.407672</v>
      </c>
      <c r="J3324" s="13" t="n">
        <f aca="false">IFERROR(MIN(Eingaben!$B$18,MAX(0,F3324-I3324)),0)</f>
        <v>0.603288</v>
      </c>
      <c r="K3324" s="13" t="n">
        <f aca="false">H3324+I3324</f>
        <v>2.7751248</v>
      </c>
      <c r="L3324" s="13" t="n">
        <f aca="false">MAX(0,D3324-K3324)</f>
        <v>2.1648752</v>
      </c>
      <c r="M3324" s="13" t="n">
        <f aca="false">MAX(0,F3324-I3324-J3324)</f>
        <v>0</v>
      </c>
      <c r="N3324" s="13" t="n">
        <f aca="false">IF(Kalender!A30="",0,J3323-H3324)</f>
        <v>0.0279072</v>
      </c>
    </row>
    <row r="3325" customFormat="false" ht="16.4" hidden="false" customHeight="false" outlineLevel="0" collapsed="false">
      <c r="A3325" s="13" t="str">
        <f aca="false">""</f>
        <v/>
      </c>
      <c r="B3325" s="13" t="n">
        <f aca="false">27</f>
        <v>27</v>
      </c>
      <c r="C3325" s="13" t="n">
        <f aca="false">IF(Szenarien!$H$20="OK",(IFERROR(SUMIF(Nutzungsprofile!$B$6:$B$11,"Schulbetrieb",Nutzungsprofile!$G$6:$G$11)*Kalender!C31/SUM(Kalender!$C$5:$C$370),0)+IFERROR(SUMIF(Nutzungsprofile!$B$6:$B$11,"Halle",Nutzungsprofile!$G$6:$G$11)*Kalender!D31/SUM(Kalender!$D$5:$D$370),0)+IFERROR(SUMIF(Nutzungsprofile!$B$6:$B$11,"Individuell",Nutzungsprofile!$G$6:$G$11)*Kalender!E31/SUM(Kalender!$E$5:$E$370),0))*Szenarien!$E$20,0)</f>
        <v>2.352</v>
      </c>
      <c r="D3325" s="13" t="n">
        <f aca="false">IF(Szenarien!$H$20="OK",(IFERROR(SUMIF(Nutzungsprofile!$B$17:$B$22,"Schulbetrieb",Nutzungsprofile!$G$17:$G$22)*Kalender!C31/SUM(Kalender!$C$5:$C$370),0)+IFERROR(SUMIF(Nutzungsprofile!$B$17:$B$22,"Halle",Nutzungsprofile!$G$17:$G$22)*Kalender!D31/SUM(Kalender!$D$5:$D$370),0)+IFERROR(SUMIF(Nutzungsprofile!$B$17:$B$22,"Individuell",Nutzungsprofile!$G$17:$G$22)*Kalender!E31/SUM(Kalender!$E$5:$E$370),0))*Szenarien!$D$20,0)</f>
        <v>4.94</v>
      </c>
      <c r="E3325" s="13" t="n">
        <f aca="false">IFERROR(MIN(C3325,Eingaben!$B$17)*Eingaben!$B$16,0)</f>
        <v>2.2344</v>
      </c>
      <c r="F3325" s="13" t="n">
        <f aca="false">IFERROR(E3325*Eingaben!$B$15,0)</f>
        <v>2.01096</v>
      </c>
      <c r="G3325" s="13" t="n">
        <f aca="false">IFERROR(IF(Kalender!A31="",0,J3324*(1-Eingaben!$B$20)),0)</f>
        <v>0.59122224</v>
      </c>
      <c r="H3325" s="13" t="n">
        <f aca="false">MIN(G3325,D3325)</f>
        <v>0.59122224</v>
      </c>
      <c r="I3325" s="13" t="n">
        <f aca="false">IFERROR(MIN(F3325*Eingaben!$B$19,MAX(0,D3325-H3325)),0)</f>
        <v>1.407672</v>
      </c>
      <c r="J3325" s="13" t="n">
        <f aca="false">IFERROR(MIN(Eingaben!$B$18,MAX(0,F3325-I3325)),0)</f>
        <v>0.603288</v>
      </c>
      <c r="K3325" s="13" t="n">
        <f aca="false">H3325+I3325</f>
        <v>1.99889424</v>
      </c>
      <c r="L3325" s="13" t="n">
        <f aca="false">MAX(0,D3325-K3325)</f>
        <v>2.94110576</v>
      </c>
      <c r="M3325" s="13" t="n">
        <f aca="false">MAX(0,F3325-I3325-J3325)</f>
        <v>0</v>
      </c>
      <c r="N3325" s="13" t="n">
        <f aca="false">IF(Kalender!A31="",0,J3324-H3325)</f>
        <v>0.01206576</v>
      </c>
    </row>
    <row r="3326" customFormat="false" ht="16.4" hidden="false" customHeight="false" outlineLevel="0" collapsed="false">
      <c r="A3326" s="13" t="str">
        <f aca="false">""</f>
        <v/>
      </c>
      <c r="B3326" s="13" t="n">
        <f aca="false">28</f>
        <v>28</v>
      </c>
      <c r="C3326" s="13" t="n">
        <f aca="false">IF(Szenarien!$H$20="OK",(IFERROR(SUMIF(Nutzungsprofile!$B$6:$B$11,"Schulbetrieb",Nutzungsprofile!$G$6:$G$11)*Kalender!C32/SUM(Kalender!$C$5:$C$370),0)+IFERROR(SUMIF(Nutzungsprofile!$B$6:$B$11,"Halle",Nutzungsprofile!$G$6:$G$11)*Kalender!D32/SUM(Kalender!$D$5:$D$370),0)+IFERROR(SUMIF(Nutzungsprofile!$B$6:$B$11,"Individuell",Nutzungsprofile!$G$6:$G$11)*Kalender!E32/SUM(Kalender!$E$5:$E$370),0))*Szenarien!$E$20,0)</f>
        <v>2.352</v>
      </c>
      <c r="D3326" s="13" t="n">
        <f aca="false">IF(Szenarien!$H$20="OK",(IFERROR(SUMIF(Nutzungsprofile!$B$17:$B$22,"Schulbetrieb",Nutzungsprofile!$G$17:$G$22)*Kalender!C32/SUM(Kalender!$C$5:$C$370),0)+IFERROR(SUMIF(Nutzungsprofile!$B$17:$B$22,"Halle",Nutzungsprofile!$G$17:$G$22)*Kalender!D32/SUM(Kalender!$D$5:$D$370),0)+IFERROR(SUMIF(Nutzungsprofile!$B$17:$B$22,"Individuell",Nutzungsprofile!$G$17:$G$22)*Kalender!E32/SUM(Kalender!$E$5:$E$370),0))*Szenarien!$D$20,0)</f>
        <v>4.94</v>
      </c>
      <c r="E3326" s="13" t="n">
        <f aca="false">IFERROR(MIN(C3326,Eingaben!$B$17)*Eingaben!$B$16,0)</f>
        <v>2.2344</v>
      </c>
      <c r="F3326" s="13" t="n">
        <f aca="false">IFERROR(E3326*Eingaben!$B$15,0)</f>
        <v>2.01096</v>
      </c>
      <c r="G3326" s="13" t="n">
        <f aca="false">IFERROR(IF(Kalender!A32="",0,J3325*(1-Eingaben!$B$20)),0)</f>
        <v>0.59122224</v>
      </c>
      <c r="H3326" s="13" t="n">
        <f aca="false">MIN(G3326,D3326)</f>
        <v>0.59122224</v>
      </c>
      <c r="I3326" s="13" t="n">
        <f aca="false">IFERROR(MIN(F3326*Eingaben!$B$19,MAX(0,D3326-H3326)),0)</f>
        <v>1.407672</v>
      </c>
      <c r="J3326" s="13" t="n">
        <f aca="false">IFERROR(MIN(Eingaben!$B$18,MAX(0,F3326-I3326)),0)</f>
        <v>0.603288</v>
      </c>
      <c r="K3326" s="13" t="n">
        <f aca="false">H3326+I3326</f>
        <v>1.99889424</v>
      </c>
      <c r="L3326" s="13" t="n">
        <f aca="false">MAX(0,D3326-K3326)</f>
        <v>2.94110576</v>
      </c>
      <c r="M3326" s="13" t="n">
        <f aca="false">MAX(0,F3326-I3326-J3326)</f>
        <v>0</v>
      </c>
      <c r="N3326" s="13" t="n">
        <f aca="false">IF(Kalender!A32="",0,J3325-H3326)</f>
        <v>0.01206576</v>
      </c>
    </row>
    <row r="3327" customFormat="false" ht="16.4" hidden="false" customHeight="false" outlineLevel="0" collapsed="false">
      <c r="A3327" s="13" t="str">
        <f aca="false">""</f>
        <v/>
      </c>
      <c r="B3327" s="13" t="n">
        <f aca="false">29</f>
        <v>29</v>
      </c>
      <c r="C3327" s="13" t="n">
        <f aca="false">IF(Szenarien!$H$20="OK",(IFERROR(SUMIF(Nutzungsprofile!$B$6:$B$11,"Schulbetrieb",Nutzungsprofile!$G$6:$G$11)*Kalender!C33/SUM(Kalender!$C$5:$C$370),0)+IFERROR(SUMIF(Nutzungsprofile!$B$6:$B$11,"Halle",Nutzungsprofile!$G$6:$G$11)*Kalender!D33/SUM(Kalender!$D$5:$D$370),0)+IFERROR(SUMIF(Nutzungsprofile!$B$6:$B$11,"Individuell",Nutzungsprofile!$G$6:$G$11)*Kalender!E33/SUM(Kalender!$E$5:$E$370),0))*Szenarien!$E$20,0)</f>
        <v>2.352</v>
      </c>
      <c r="D3327" s="13" t="n">
        <f aca="false">IF(Szenarien!$H$20="OK",(IFERROR(SUMIF(Nutzungsprofile!$B$17:$B$22,"Schulbetrieb",Nutzungsprofile!$G$17:$G$22)*Kalender!C33/SUM(Kalender!$C$5:$C$370),0)+IFERROR(SUMIF(Nutzungsprofile!$B$17:$B$22,"Halle",Nutzungsprofile!$G$17:$G$22)*Kalender!D33/SUM(Kalender!$D$5:$D$370),0)+IFERROR(SUMIF(Nutzungsprofile!$B$17:$B$22,"Individuell",Nutzungsprofile!$G$17:$G$22)*Kalender!E33/SUM(Kalender!$E$5:$E$370),0))*Szenarien!$D$20,0)</f>
        <v>4.94</v>
      </c>
      <c r="E3327" s="13" t="n">
        <f aca="false">IFERROR(MIN(C3327,Eingaben!$B$17)*Eingaben!$B$16,0)</f>
        <v>2.2344</v>
      </c>
      <c r="F3327" s="13" t="n">
        <f aca="false">IFERROR(E3327*Eingaben!$B$15,0)</f>
        <v>2.01096</v>
      </c>
      <c r="G3327" s="13" t="n">
        <f aca="false">IFERROR(IF(Kalender!A33="",0,J3326*(1-Eingaben!$B$20)),0)</f>
        <v>0.59122224</v>
      </c>
      <c r="H3327" s="13" t="n">
        <f aca="false">MIN(G3327,D3327)</f>
        <v>0.59122224</v>
      </c>
      <c r="I3327" s="13" t="n">
        <f aca="false">IFERROR(MIN(F3327*Eingaben!$B$19,MAX(0,D3327-H3327)),0)</f>
        <v>1.407672</v>
      </c>
      <c r="J3327" s="13" t="n">
        <f aca="false">IFERROR(MIN(Eingaben!$B$18,MAX(0,F3327-I3327)),0)</f>
        <v>0.603288</v>
      </c>
      <c r="K3327" s="13" t="n">
        <f aca="false">H3327+I3327</f>
        <v>1.99889424</v>
      </c>
      <c r="L3327" s="13" t="n">
        <f aca="false">MAX(0,D3327-K3327)</f>
        <v>2.94110576</v>
      </c>
      <c r="M3327" s="13" t="n">
        <f aca="false">MAX(0,F3327-I3327-J3327)</f>
        <v>0</v>
      </c>
      <c r="N3327" s="13" t="n">
        <f aca="false">IF(Kalender!A33="",0,J3326-H3327)</f>
        <v>0.01206576</v>
      </c>
    </row>
    <row r="3328" customFormat="false" ht="16.4" hidden="false" customHeight="false" outlineLevel="0" collapsed="false">
      <c r="A3328" s="13" t="str">
        <f aca="false">""</f>
        <v/>
      </c>
      <c r="B3328" s="13" t="n">
        <f aca="false">30</f>
        <v>30</v>
      </c>
      <c r="C3328" s="13" t="n">
        <f aca="false">IF(Szenarien!$H$20="OK",(IFERROR(SUMIF(Nutzungsprofile!$B$6:$B$11,"Schulbetrieb",Nutzungsprofile!$G$6:$G$11)*Kalender!C34/SUM(Kalender!$C$5:$C$370),0)+IFERROR(SUMIF(Nutzungsprofile!$B$6:$B$11,"Halle",Nutzungsprofile!$G$6:$G$11)*Kalender!D34/SUM(Kalender!$D$5:$D$370),0)+IFERROR(SUMIF(Nutzungsprofile!$B$6:$B$11,"Individuell",Nutzungsprofile!$G$6:$G$11)*Kalender!E34/SUM(Kalender!$E$5:$E$370),0))*Szenarien!$E$20,0)</f>
        <v>2.352</v>
      </c>
      <c r="D3328" s="13" t="n">
        <f aca="false">IF(Szenarien!$H$20="OK",(IFERROR(SUMIF(Nutzungsprofile!$B$17:$B$22,"Schulbetrieb",Nutzungsprofile!$G$17:$G$22)*Kalender!C34/SUM(Kalender!$C$5:$C$370),0)+IFERROR(SUMIF(Nutzungsprofile!$B$17:$B$22,"Halle",Nutzungsprofile!$G$17:$G$22)*Kalender!D34/SUM(Kalender!$D$5:$D$370),0)+IFERROR(SUMIF(Nutzungsprofile!$B$17:$B$22,"Individuell",Nutzungsprofile!$G$17:$G$22)*Kalender!E34/SUM(Kalender!$E$5:$E$370),0))*Szenarien!$D$20,0)</f>
        <v>4.94</v>
      </c>
      <c r="E3328" s="13" t="n">
        <f aca="false">IFERROR(MIN(C3328,Eingaben!$B$17)*Eingaben!$B$16,0)</f>
        <v>2.2344</v>
      </c>
      <c r="F3328" s="13" t="n">
        <f aca="false">IFERROR(E3328*Eingaben!$B$15,0)</f>
        <v>2.01096</v>
      </c>
      <c r="G3328" s="13" t="n">
        <f aca="false">IFERROR(IF(Kalender!A34="",0,J3327*(1-Eingaben!$B$20)),0)</f>
        <v>0.59122224</v>
      </c>
      <c r="H3328" s="13" t="n">
        <f aca="false">MIN(G3328,D3328)</f>
        <v>0.59122224</v>
      </c>
      <c r="I3328" s="13" t="n">
        <f aca="false">IFERROR(MIN(F3328*Eingaben!$B$19,MAX(0,D3328-H3328)),0)</f>
        <v>1.407672</v>
      </c>
      <c r="J3328" s="13" t="n">
        <f aca="false">IFERROR(MIN(Eingaben!$B$18,MAX(0,F3328-I3328)),0)</f>
        <v>0.603288</v>
      </c>
      <c r="K3328" s="13" t="n">
        <f aca="false">H3328+I3328</f>
        <v>1.99889424</v>
      </c>
      <c r="L3328" s="13" t="n">
        <f aca="false">MAX(0,D3328-K3328)</f>
        <v>2.94110576</v>
      </c>
      <c r="M3328" s="13" t="n">
        <f aca="false">MAX(0,F3328-I3328-J3328)</f>
        <v>0</v>
      </c>
      <c r="N3328" s="13" t="n">
        <f aca="false">IF(Kalender!A34="",0,J3327-H3328)</f>
        <v>0.01206576</v>
      </c>
    </row>
    <row r="3329" customFormat="false" ht="16.4" hidden="false" customHeight="false" outlineLevel="0" collapsed="false">
      <c r="A3329" s="13" t="str">
        <f aca="false">""</f>
        <v/>
      </c>
      <c r="B3329" s="13" t="n">
        <f aca="false">31</f>
        <v>31</v>
      </c>
      <c r="C3329" s="13" t="n">
        <f aca="false">IF(Szenarien!$H$20="OK",(IFERROR(SUMIF(Nutzungsprofile!$B$6:$B$11,"Schulbetrieb",Nutzungsprofile!$G$6:$G$11)*Kalender!C35/SUM(Kalender!$C$5:$C$370),0)+IFERROR(SUMIF(Nutzungsprofile!$B$6:$B$11,"Halle",Nutzungsprofile!$G$6:$G$11)*Kalender!D35/SUM(Kalender!$D$5:$D$370),0)+IFERROR(SUMIF(Nutzungsprofile!$B$6:$B$11,"Individuell",Nutzungsprofile!$G$6:$G$11)*Kalender!E35/SUM(Kalender!$E$5:$E$370),0))*Szenarien!$E$20,0)</f>
        <v>1.632</v>
      </c>
      <c r="D3329" s="13" t="n">
        <f aca="false">IF(Szenarien!$H$20="OK",(IFERROR(SUMIF(Nutzungsprofile!$B$17:$B$22,"Schulbetrieb",Nutzungsprofile!$G$17:$G$22)*Kalender!C35/SUM(Kalender!$C$5:$C$370),0)+IFERROR(SUMIF(Nutzungsprofile!$B$17:$B$22,"Halle",Nutzungsprofile!$G$17:$G$22)*Kalender!D35/SUM(Kalender!$D$5:$D$370),0)+IFERROR(SUMIF(Nutzungsprofile!$B$17:$B$22,"Individuell",Nutzungsprofile!$G$17:$G$22)*Kalender!E35/SUM(Kalender!$E$5:$E$370),0))*Szenarien!$D$20,0)</f>
        <v>0.89</v>
      </c>
      <c r="E3329" s="13" t="n">
        <f aca="false">IFERROR(MIN(C3329,Eingaben!$B$17)*Eingaben!$B$16,0)</f>
        <v>1.5504</v>
      </c>
      <c r="F3329" s="13" t="n">
        <f aca="false">IFERROR(E3329*Eingaben!$B$15,0)</f>
        <v>1.39536</v>
      </c>
      <c r="G3329" s="13" t="n">
        <f aca="false">IFERROR(IF(Kalender!A35="",0,J3328*(1-Eingaben!$B$20)),0)</f>
        <v>0.59122224</v>
      </c>
      <c r="H3329" s="13" t="n">
        <f aca="false">MIN(G3329,D3329)</f>
        <v>0.59122224</v>
      </c>
      <c r="I3329" s="13" t="n">
        <f aca="false">IFERROR(MIN(F3329*Eingaben!$B$19,MAX(0,D3329-H3329)),0)</f>
        <v>0.29877776</v>
      </c>
      <c r="J3329" s="13" t="n">
        <f aca="false">IFERROR(MIN(Eingaben!$B$18,MAX(0,F3329-I3329)),0)</f>
        <v>1.09658224</v>
      </c>
      <c r="K3329" s="13" t="n">
        <f aca="false">H3329+I3329</f>
        <v>0.89</v>
      </c>
      <c r="L3329" s="13" t="n">
        <f aca="false">MAX(0,D3329-K3329)</f>
        <v>0</v>
      </c>
      <c r="M3329" s="13" t="n">
        <f aca="false">MAX(0,F3329-I3329-J3329)</f>
        <v>0</v>
      </c>
      <c r="N3329" s="13" t="n">
        <f aca="false">IF(Kalender!A35="",0,J3328-H3329)</f>
        <v>0.01206576</v>
      </c>
    </row>
    <row r="3330" customFormat="false" ht="16.4" hidden="false" customHeight="false" outlineLevel="0" collapsed="false">
      <c r="A3330" s="13" t="str">
        <f aca="false">""</f>
        <v/>
      </c>
      <c r="B3330" s="13" t="n">
        <f aca="false">32</f>
        <v>32</v>
      </c>
      <c r="C3330" s="13" t="n">
        <f aca="false">IF(Szenarien!$H$20="OK",(IFERROR(SUMIF(Nutzungsprofile!$B$6:$B$11,"Schulbetrieb",Nutzungsprofile!$G$6:$G$11)*Kalender!C36/SUM(Kalender!$C$5:$C$370),0)+IFERROR(SUMIF(Nutzungsprofile!$B$6:$B$11,"Halle",Nutzungsprofile!$G$6:$G$11)*Kalender!D36/SUM(Kalender!$D$5:$D$370),0)+IFERROR(SUMIF(Nutzungsprofile!$B$6:$B$11,"Individuell",Nutzungsprofile!$G$6:$G$11)*Kalender!E36/SUM(Kalender!$E$5:$E$370),0))*Szenarien!$E$20,0)</f>
        <v>1.632</v>
      </c>
      <c r="D3330" s="13" t="n">
        <f aca="false">IF(Szenarien!$H$20="OK",(IFERROR(SUMIF(Nutzungsprofile!$B$17:$B$22,"Schulbetrieb",Nutzungsprofile!$G$17:$G$22)*Kalender!C36/SUM(Kalender!$C$5:$C$370),0)+IFERROR(SUMIF(Nutzungsprofile!$B$17:$B$22,"Halle",Nutzungsprofile!$G$17:$G$22)*Kalender!D36/SUM(Kalender!$D$5:$D$370),0)+IFERROR(SUMIF(Nutzungsprofile!$B$17:$B$22,"Individuell",Nutzungsprofile!$G$17:$G$22)*Kalender!E36/SUM(Kalender!$E$5:$E$370),0))*Szenarien!$D$20,0)</f>
        <v>0.89</v>
      </c>
      <c r="E3330" s="13" t="n">
        <f aca="false">IFERROR(MIN(C3330,Eingaben!$B$17)*Eingaben!$B$16,0)</f>
        <v>1.5504</v>
      </c>
      <c r="F3330" s="13" t="n">
        <f aca="false">IFERROR(E3330*Eingaben!$B$15,0)</f>
        <v>1.39536</v>
      </c>
      <c r="G3330" s="13" t="n">
        <f aca="false">IFERROR(IF(Kalender!A36="",0,J3329*(1-Eingaben!$B$20)),0)</f>
        <v>1.0746505952</v>
      </c>
      <c r="H3330" s="13" t="n">
        <f aca="false">MIN(G3330,D3330)</f>
        <v>0.89</v>
      </c>
      <c r="I3330" s="13" t="n">
        <f aca="false">IFERROR(MIN(F3330*Eingaben!$B$19,MAX(0,D3330-H3330)),0)</f>
        <v>0</v>
      </c>
      <c r="J3330" s="13" t="n">
        <f aca="false">IFERROR(MIN(Eingaben!$B$18,MAX(0,F3330-I3330)),0)</f>
        <v>1.39536</v>
      </c>
      <c r="K3330" s="13" t="n">
        <f aca="false">H3330+I3330</f>
        <v>0.89</v>
      </c>
      <c r="L3330" s="13" t="n">
        <f aca="false">MAX(0,D3330-K3330)</f>
        <v>0</v>
      </c>
      <c r="M3330" s="13" t="n">
        <f aca="false">MAX(0,F3330-I3330-J3330)</f>
        <v>0</v>
      </c>
      <c r="N3330" s="13" t="n">
        <f aca="false">IF(Kalender!A36="",0,J3329-H3330)</f>
        <v>0.20658224</v>
      </c>
    </row>
    <row r="3331" customFormat="false" ht="16.4" hidden="false" customHeight="false" outlineLevel="0" collapsed="false">
      <c r="A3331" s="13" t="str">
        <f aca="false">""</f>
        <v/>
      </c>
      <c r="B3331" s="13" t="n">
        <f aca="false">33</f>
        <v>33</v>
      </c>
      <c r="C3331" s="13" t="n">
        <f aca="false">IF(Szenarien!$H$20="OK",(IFERROR(SUMIF(Nutzungsprofile!$B$6:$B$11,"Schulbetrieb",Nutzungsprofile!$G$6:$G$11)*Kalender!C37/SUM(Kalender!$C$5:$C$370),0)+IFERROR(SUMIF(Nutzungsprofile!$B$6:$B$11,"Halle",Nutzungsprofile!$G$6:$G$11)*Kalender!D37/SUM(Kalender!$D$5:$D$370),0)+IFERROR(SUMIF(Nutzungsprofile!$B$6:$B$11,"Individuell",Nutzungsprofile!$G$6:$G$11)*Kalender!E37/SUM(Kalender!$E$5:$E$370),0))*Szenarien!$E$20,0)</f>
        <v>2.352</v>
      </c>
      <c r="D3331" s="13" t="n">
        <f aca="false">IF(Szenarien!$H$20="OK",(IFERROR(SUMIF(Nutzungsprofile!$B$17:$B$22,"Schulbetrieb",Nutzungsprofile!$G$17:$G$22)*Kalender!C37/SUM(Kalender!$C$5:$C$370),0)+IFERROR(SUMIF(Nutzungsprofile!$B$17:$B$22,"Halle",Nutzungsprofile!$G$17:$G$22)*Kalender!D37/SUM(Kalender!$D$5:$D$370),0)+IFERROR(SUMIF(Nutzungsprofile!$B$17:$B$22,"Individuell",Nutzungsprofile!$G$17:$G$22)*Kalender!E37/SUM(Kalender!$E$5:$E$370),0))*Szenarien!$D$20,0)</f>
        <v>4.94</v>
      </c>
      <c r="E3331" s="13" t="n">
        <f aca="false">IFERROR(MIN(C3331,Eingaben!$B$17)*Eingaben!$B$16,0)</f>
        <v>2.2344</v>
      </c>
      <c r="F3331" s="13" t="n">
        <f aca="false">IFERROR(E3331*Eingaben!$B$15,0)</f>
        <v>2.01096</v>
      </c>
      <c r="G3331" s="13" t="n">
        <f aca="false">IFERROR(IF(Kalender!A37="",0,J3330*(1-Eingaben!$B$20)),0)</f>
        <v>1.3674528</v>
      </c>
      <c r="H3331" s="13" t="n">
        <f aca="false">MIN(G3331,D3331)</f>
        <v>1.3674528</v>
      </c>
      <c r="I3331" s="13" t="n">
        <f aca="false">IFERROR(MIN(F3331*Eingaben!$B$19,MAX(0,D3331-H3331)),0)</f>
        <v>1.407672</v>
      </c>
      <c r="J3331" s="13" t="n">
        <f aca="false">IFERROR(MIN(Eingaben!$B$18,MAX(0,F3331-I3331)),0)</f>
        <v>0.603288</v>
      </c>
      <c r="K3331" s="13" t="n">
        <f aca="false">H3331+I3331</f>
        <v>2.7751248</v>
      </c>
      <c r="L3331" s="13" t="n">
        <f aca="false">MAX(0,D3331-K3331)</f>
        <v>2.1648752</v>
      </c>
      <c r="M3331" s="13" t="n">
        <f aca="false">MAX(0,F3331-I3331-J3331)</f>
        <v>0</v>
      </c>
      <c r="N3331" s="13" t="n">
        <f aca="false">IF(Kalender!A37="",0,J3330-H3331)</f>
        <v>0.0279072</v>
      </c>
    </row>
    <row r="3332" customFormat="false" ht="16.4" hidden="false" customHeight="false" outlineLevel="0" collapsed="false">
      <c r="A3332" s="13" t="str">
        <f aca="false">""</f>
        <v/>
      </c>
      <c r="B3332" s="13" t="n">
        <f aca="false">34</f>
        <v>34</v>
      </c>
      <c r="C3332" s="13" t="n">
        <f aca="false">IF(Szenarien!$H$20="OK",(IFERROR(SUMIF(Nutzungsprofile!$B$6:$B$11,"Schulbetrieb",Nutzungsprofile!$G$6:$G$11)*Kalender!C38/SUM(Kalender!$C$5:$C$370),0)+IFERROR(SUMIF(Nutzungsprofile!$B$6:$B$11,"Halle",Nutzungsprofile!$G$6:$G$11)*Kalender!D38/SUM(Kalender!$D$5:$D$370),0)+IFERROR(SUMIF(Nutzungsprofile!$B$6:$B$11,"Individuell",Nutzungsprofile!$G$6:$G$11)*Kalender!E38/SUM(Kalender!$E$5:$E$370),0))*Szenarien!$E$20,0)</f>
        <v>2.352</v>
      </c>
      <c r="D3332" s="13" t="n">
        <f aca="false">IF(Szenarien!$H$20="OK",(IFERROR(SUMIF(Nutzungsprofile!$B$17:$B$22,"Schulbetrieb",Nutzungsprofile!$G$17:$G$22)*Kalender!C38/SUM(Kalender!$C$5:$C$370),0)+IFERROR(SUMIF(Nutzungsprofile!$B$17:$B$22,"Halle",Nutzungsprofile!$G$17:$G$22)*Kalender!D38/SUM(Kalender!$D$5:$D$370),0)+IFERROR(SUMIF(Nutzungsprofile!$B$17:$B$22,"Individuell",Nutzungsprofile!$G$17:$G$22)*Kalender!E38/SUM(Kalender!$E$5:$E$370),0))*Szenarien!$D$20,0)</f>
        <v>4.94</v>
      </c>
      <c r="E3332" s="13" t="n">
        <f aca="false">IFERROR(MIN(C3332,Eingaben!$B$17)*Eingaben!$B$16,0)</f>
        <v>2.2344</v>
      </c>
      <c r="F3332" s="13" t="n">
        <f aca="false">IFERROR(E3332*Eingaben!$B$15,0)</f>
        <v>2.01096</v>
      </c>
      <c r="G3332" s="13" t="n">
        <f aca="false">IFERROR(IF(Kalender!A38="",0,J3331*(1-Eingaben!$B$20)),0)</f>
        <v>0.59122224</v>
      </c>
      <c r="H3332" s="13" t="n">
        <f aca="false">MIN(G3332,D3332)</f>
        <v>0.59122224</v>
      </c>
      <c r="I3332" s="13" t="n">
        <f aca="false">IFERROR(MIN(F3332*Eingaben!$B$19,MAX(0,D3332-H3332)),0)</f>
        <v>1.407672</v>
      </c>
      <c r="J3332" s="13" t="n">
        <f aca="false">IFERROR(MIN(Eingaben!$B$18,MAX(0,F3332-I3332)),0)</f>
        <v>0.603288</v>
      </c>
      <c r="K3332" s="13" t="n">
        <f aca="false">H3332+I3332</f>
        <v>1.99889424</v>
      </c>
      <c r="L3332" s="13" t="n">
        <f aca="false">MAX(0,D3332-K3332)</f>
        <v>2.94110576</v>
      </c>
      <c r="M3332" s="13" t="n">
        <f aca="false">MAX(0,F3332-I3332-J3332)</f>
        <v>0</v>
      </c>
      <c r="N3332" s="13" t="n">
        <f aca="false">IF(Kalender!A38="",0,J3331-H3332)</f>
        <v>0.01206576</v>
      </c>
    </row>
    <row r="3333" customFormat="false" ht="16.4" hidden="false" customHeight="false" outlineLevel="0" collapsed="false">
      <c r="A3333" s="13" t="str">
        <f aca="false">""</f>
        <v/>
      </c>
      <c r="B3333" s="13" t="n">
        <f aca="false">35</f>
        <v>35</v>
      </c>
      <c r="C3333" s="13" t="n">
        <f aca="false">IF(Szenarien!$H$20="OK",(IFERROR(SUMIF(Nutzungsprofile!$B$6:$B$11,"Schulbetrieb",Nutzungsprofile!$G$6:$G$11)*Kalender!C39/SUM(Kalender!$C$5:$C$370),0)+IFERROR(SUMIF(Nutzungsprofile!$B$6:$B$11,"Halle",Nutzungsprofile!$G$6:$G$11)*Kalender!D39/SUM(Kalender!$D$5:$D$370),0)+IFERROR(SUMIF(Nutzungsprofile!$B$6:$B$11,"Individuell",Nutzungsprofile!$G$6:$G$11)*Kalender!E39/SUM(Kalender!$E$5:$E$370),0))*Szenarien!$E$20,0)</f>
        <v>2.352</v>
      </c>
      <c r="D3333" s="13" t="n">
        <f aca="false">IF(Szenarien!$H$20="OK",(IFERROR(SUMIF(Nutzungsprofile!$B$17:$B$22,"Schulbetrieb",Nutzungsprofile!$G$17:$G$22)*Kalender!C39/SUM(Kalender!$C$5:$C$370),0)+IFERROR(SUMIF(Nutzungsprofile!$B$17:$B$22,"Halle",Nutzungsprofile!$G$17:$G$22)*Kalender!D39/SUM(Kalender!$D$5:$D$370),0)+IFERROR(SUMIF(Nutzungsprofile!$B$17:$B$22,"Individuell",Nutzungsprofile!$G$17:$G$22)*Kalender!E39/SUM(Kalender!$E$5:$E$370),0))*Szenarien!$D$20,0)</f>
        <v>4.94</v>
      </c>
      <c r="E3333" s="13" t="n">
        <f aca="false">IFERROR(MIN(C3333,Eingaben!$B$17)*Eingaben!$B$16,0)</f>
        <v>2.2344</v>
      </c>
      <c r="F3333" s="13" t="n">
        <f aca="false">IFERROR(E3333*Eingaben!$B$15,0)</f>
        <v>2.01096</v>
      </c>
      <c r="G3333" s="13" t="n">
        <f aca="false">IFERROR(IF(Kalender!A39="",0,J3332*(1-Eingaben!$B$20)),0)</f>
        <v>0.59122224</v>
      </c>
      <c r="H3333" s="13" t="n">
        <f aca="false">MIN(G3333,D3333)</f>
        <v>0.59122224</v>
      </c>
      <c r="I3333" s="13" t="n">
        <f aca="false">IFERROR(MIN(F3333*Eingaben!$B$19,MAX(0,D3333-H3333)),0)</f>
        <v>1.407672</v>
      </c>
      <c r="J3333" s="13" t="n">
        <f aca="false">IFERROR(MIN(Eingaben!$B$18,MAX(0,F3333-I3333)),0)</f>
        <v>0.603288</v>
      </c>
      <c r="K3333" s="13" t="n">
        <f aca="false">H3333+I3333</f>
        <v>1.99889424</v>
      </c>
      <c r="L3333" s="13" t="n">
        <f aca="false">MAX(0,D3333-K3333)</f>
        <v>2.94110576</v>
      </c>
      <c r="M3333" s="13" t="n">
        <f aca="false">MAX(0,F3333-I3333-J3333)</f>
        <v>0</v>
      </c>
      <c r="N3333" s="13" t="n">
        <f aca="false">IF(Kalender!A39="",0,J3332-H3333)</f>
        <v>0.01206576</v>
      </c>
    </row>
    <row r="3334" customFormat="false" ht="16.4" hidden="false" customHeight="false" outlineLevel="0" collapsed="false">
      <c r="A3334" s="13" t="str">
        <f aca="false">""</f>
        <v/>
      </c>
      <c r="B3334" s="13" t="n">
        <f aca="false">36</f>
        <v>36</v>
      </c>
      <c r="C3334" s="13" t="n">
        <f aca="false">IF(Szenarien!$H$20="OK",(IFERROR(SUMIF(Nutzungsprofile!$B$6:$B$11,"Schulbetrieb",Nutzungsprofile!$G$6:$G$11)*Kalender!C40/SUM(Kalender!$C$5:$C$370),0)+IFERROR(SUMIF(Nutzungsprofile!$B$6:$B$11,"Halle",Nutzungsprofile!$G$6:$G$11)*Kalender!D40/SUM(Kalender!$D$5:$D$370),0)+IFERROR(SUMIF(Nutzungsprofile!$B$6:$B$11,"Individuell",Nutzungsprofile!$G$6:$G$11)*Kalender!E40/SUM(Kalender!$E$5:$E$370),0))*Szenarien!$E$20,0)</f>
        <v>2.352</v>
      </c>
      <c r="D3334" s="13" t="n">
        <f aca="false">IF(Szenarien!$H$20="OK",(IFERROR(SUMIF(Nutzungsprofile!$B$17:$B$22,"Schulbetrieb",Nutzungsprofile!$G$17:$G$22)*Kalender!C40/SUM(Kalender!$C$5:$C$370),0)+IFERROR(SUMIF(Nutzungsprofile!$B$17:$B$22,"Halle",Nutzungsprofile!$G$17:$G$22)*Kalender!D40/SUM(Kalender!$D$5:$D$370),0)+IFERROR(SUMIF(Nutzungsprofile!$B$17:$B$22,"Individuell",Nutzungsprofile!$G$17:$G$22)*Kalender!E40/SUM(Kalender!$E$5:$E$370),0))*Szenarien!$D$20,0)</f>
        <v>4.94</v>
      </c>
      <c r="E3334" s="13" t="n">
        <f aca="false">IFERROR(MIN(C3334,Eingaben!$B$17)*Eingaben!$B$16,0)</f>
        <v>2.2344</v>
      </c>
      <c r="F3334" s="13" t="n">
        <f aca="false">IFERROR(E3334*Eingaben!$B$15,0)</f>
        <v>2.01096</v>
      </c>
      <c r="G3334" s="13" t="n">
        <f aca="false">IFERROR(IF(Kalender!A40="",0,J3333*(1-Eingaben!$B$20)),0)</f>
        <v>0.59122224</v>
      </c>
      <c r="H3334" s="13" t="n">
        <f aca="false">MIN(G3334,D3334)</f>
        <v>0.59122224</v>
      </c>
      <c r="I3334" s="13" t="n">
        <f aca="false">IFERROR(MIN(F3334*Eingaben!$B$19,MAX(0,D3334-H3334)),0)</f>
        <v>1.407672</v>
      </c>
      <c r="J3334" s="13" t="n">
        <f aca="false">IFERROR(MIN(Eingaben!$B$18,MAX(0,F3334-I3334)),0)</f>
        <v>0.603288</v>
      </c>
      <c r="K3334" s="13" t="n">
        <f aca="false">H3334+I3334</f>
        <v>1.99889424</v>
      </c>
      <c r="L3334" s="13" t="n">
        <f aca="false">MAX(0,D3334-K3334)</f>
        <v>2.94110576</v>
      </c>
      <c r="M3334" s="13" t="n">
        <f aca="false">MAX(0,F3334-I3334-J3334)</f>
        <v>0</v>
      </c>
      <c r="N3334" s="13" t="n">
        <f aca="false">IF(Kalender!A40="",0,J3333-H3334)</f>
        <v>0.01206576</v>
      </c>
    </row>
    <row r="3335" customFormat="false" ht="16.4" hidden="false" customHeight="false" outlineLevel="0" collapsed="false">
      <c r="A3335" s="13" t="str">
        <f aca="false">""</f>
        <v/>
      </c>
      <c r="B3335" s="13" t="n">
        <f aca="false">37</f>
        <v>37</v>
      </c>
      <c r="C3335" s="13" t="n">
        <f aca="false">IF(Szenarien!$H$20="OK",(IFERROR(SUMIF(Nutzungsprofile!$B$6:$B$11,"Schulbetrieb",Nutzungsprofile!$G$6:$G$11)*Kalender!C41/SUM(Kalender!$C$5:$C$370),0)+IFERROR(SUMIF(Nutzungsprofile!$B$6:$B$11,"Halle",Nutzungsprofile!$G$6:$G$11)*Kalender!D41/SUM(Kalender!$D$5:$D$370),0)+IFERROR(SUMIF(Nutzungsprofile!$B$6:$B$11,"Individuell",Nutzungsprofile!$G$6:$G$11)*Kalender!E41/SUM(Kalender!$E$5:$E$370),0))*Szenarien!$E$20,0)</f>
        <v>2.352</v>
      </c>
      <c r="D3335" s="13" t="n">
        <f aca="false">IF(Szenarien!$H$20="OK",(IFERROR(SUMIF(Nutzungsprofile!$B$17:$B$22,"Schulbetrieb",Nutzungsprofile!$G$17:$G$22)*Kalender!C41/SUM(Kalender!$C$5:$C$370),0)+IFERROR(SUMIF(Nutzungsprofile!$B$17:$B$22,"Halle",Nutzungsprofile!$G$17:$G$22)*Kalender!D41/SUM(Kalender!$D$5:$D$370),0)+IFERROR(SUMIF(Nutzungsprofile!$B$17:$B$22,"Individuell",Nutzungsprofile!$G$17:$G$22)*Kalender!E41/SUM(Kalender!$E$5:$E$370),0))*Szenarien!$D$20,0)</f>
        <v>4.94</v>
      </c>
      <c r="E3335" s="13" t="n">
        <f aca="false">IFERROR(MIN(C3335,Eingaben!$B$17)*Eingaben!$B$16,0)</f>
        <v>2.2344</v>
      </c>
      <c r="F3335" s="13" t="n">
        <f aca="false">IFERROR(E3335*Eingaben!$B$15,0)</f>
        <v>2.01096</v>
      </c>
      <c r="G3335" s="13" t="n">
        <f aca="false">IFERROR(IF(Kalender!A41="",0,J3334*(1-Eingaben!$B$20)),0)</f>
        <v>0.59122224</v>
      </c>
      <c r="H3335" s="13" t="n">
        <f aca="false">MIN(G3335,D3335)</f>
        <v>0.59122224</v>
      </c>
      <c r="I3335" s="13" t="n">
        <f aca="false">IFERROR(MIN(F3335*Eingaben!$B$19,MAX(0,D3335-H3335)),0)</f>
        <v>1.407672</v>
      </c>
      <c r="J3335" s="13" t="n">
        <f aca="false">IFERROR(MIN(Eingaben!$B$18,MAX(0,F3335-I3335)),0)</f>
        <v>0.603288</v>
      </c>
      <c r="K3335" s="13" t="n">
        <f aca="false">H3335+I3335</f>
        <v>1.99889424</v>
      </c>
      <c r="L3335" s="13" t="n">
        <f aca="false">MAX(0,D3335-K3335)</f>
        <v>2.94110576</v>
      </c>
      <c r="M3335" s="13" t="n">
        <f aca="false">MAX(0,F3335-I3335-J3335)</f>
        <v>0</v>
      </c>
      <c r="N3335" s="13" t="n">
        <f aca="false">IF(Kalender!A41="",0,J3334-H3335)</f>
        <v>0.01206576</v>
      </c>
    </row>
    <row r="3336" customFormat="false" ht="16.4" hidden="false" customHeight="false" outlineLevel="0" collapsed="false">
      <c r="A3336" s="13" t="str">
        <f aca="false">""</f>
        <v/>
      </c>
      <c r="B3336" s="13" t="n">
        <f aca="false">38</f>
        <v>38</v>
      </c>
      <c r="C3336" s="13" t="n">
        <f aca="false">IF(Szenarien!$H$20="OK",(IFERROR(SUMIF(Nutzungsprofile!$B$6:$B$11,"Schulbetrieb",Nutzungsprofile!$G$6:$G$11)*Kalender!C42/SUM(Kalender!$C$5:$C$370),0)+IFERROR(SUMIF(Nutzungsprofile!$B$6:$B$11,"Halle",Nutzungsprofile!$G$6:$G$11)*Kalender!D42/SUM(Kalender!$D$5:$D$370),0)+IFERROR(SUMIF(Nutzungsprofile!$B$6:$B$11,"Individuell",Nutzungsprofile!$G$6:$G$11)*Kalender!E42/SUM(Kalender!$E$5:$E$370),0))*Szenarien!$E$20,0)</f>
        <v>1.632</v>
      </c>
      <c r="D3336" s="13" t="n">
        <f aca="false">IF(Szenarien!$H$20="OK",(IFERROR(SUMIF(Nutzungsprofile!$B$17:$B$22,"Schulbetrieb",Nutzungsprofile!$G$17:$G$22)*Kalender!C42/SUM(Kalender!$C$5:$C$370),0)+IFERROR(SUMIF(Nutzungsprofile!$B$17:$B$22,"Halle",Nutzungsprofile!$G$17:$G$22)*Kalender!D42/SUM(Kalender!$D$5:$D$370),0)+IFERROR(SUMIF(Nutzungsprofile!$B$17:$B$22,"Individuell",Nutzungsprofile!$G$17:$G$22)*Kalender!E42/SUM(Kalender!$E$5:$E$370),0))*Szenarien!$D$20,0)</f>
        <v>0.89</v>
      </c>
      <c r="E3336" s="13" t="n">
        <f aca="false">IFERROR(MIN(C3336,Eingaben!$B$17)*Eingaben!$B$16,0)</f>
        <v>1.5504</v>
      </c>
      <c r="F3336" s="13" t="n">
        <f aca="false">IFERROR(E3336*Eingaben!$B$15,0)</f>
        <v>1.39536</v>
      </c>
      <c r="G3336" s="13" t="n">
        <f aca="false">IFERROR(IF(Kalender!A42="",0,J3335*(1-Eingaben!$B$20)),0)</f>
        <v>0.59122224</v>
      </c>
      <c r="H3336" s="13" t="n">
        <f aca="false">MIN(G3336,D3336)</f>
        <v>0.59122224</v>
      </c>
      <c r="I3336" s="13" t="n">
        <f aca="false">IFERROR(MIN(F3336*Eingaben!$B$19,MAX(0,D3336-H3336)),0)</f>
        <v>0.29877776</v>
      </c>
      <c r="J3336" s="13" t="n">
        <f aca="false">IFERROR(MIN(Eingaben!$B$18,MAX(0,F3336-I3336)),0)</f>
        <v>1.09658224</v>
      </c>
      <c r="K3336" s="13" t="n">
        <f aca="false">H3336+I3336</f>
        <v>0.89</v>
      </c>
      <c r="L3336" s="13" t="n">
        <f aca="false">MAX(0,D3336-K3336)</f>
        <v>0</v>
      </c>
      <c r="M3336" s="13" t="n">
        <f aca="false">MAX(0,F3336-I3336-J3336)</f>
        <v>0</v>
      </c>
      <c r="N3336" s="13" t="n">
        <f aca="false">IF(Kalender!A42="",0,J3335-H3336)</f>
        <v>0.01206576</v>
      </c>
    </row>
    <row r="3337" customFormat="false" ht="16.4" hidden="false" customHeight="false" outlineLevel="0" collapsed="false">
      <c r="A3337" s="13" t="str">
        <f aca="false">""</f>
        <v/>
      </c>
      <c r="B3337" s="13" t="n">
        <f aca="false">39</f>
        <v>39</v>
      </c>
      <c r="C3337" s="13" t="n">
        <f aca="false">IF(Szenarien!$H$20="OK",(IFERROR(SUMIF(Nutzungsprofile!$B$6:$B$11,"Schulbetrieb",Nutzungsprofile!$G$6:$G$11)*Kalender!C43/SUM(Kalender!$C$5:$C$370),0)+IFERROR(SUMIF(Nutzungsprofile!$B$6:$B$11,"Halle",Nutzungsprofile!$G$6:$G$11)*Kalender!D43/SUM(Kalender!$D$5:$D$370),0)+IFERROR(SUMIF(Nutzungsprofile!$B$6:$B$11,"Individuell",Nutzungsprofile!$G$6:$G$11)*Kalender!E43/SUM(Kalender!$E$5:$E$370),0))*Szenarien!$E$20,0)</f>
        <v>1.632</v>
      </c>
      <c r="D3337" s="13" t="n">
        <f aca="false">IF(Szenarien!$H$20="OK",(IFERROR(SUMIF(Nutzungsprofile!$B$17:$B$22,"Schulbetrieb",Nutzungsprofile!$G$17:$G$22)*Kalender!C43/SUM(Kalender!$C$5:$C$370),0)+IFERROR(SUMIF(Nutzungsprofile!$B$17:$B$22,"Halle",Nutzungsprofile!$G$17:$G$22)*Kalender!D43/SUM(Kalender!$D$5:$D$370),0)+IFERROR(SUMIF(Nutzungsprofile!$B$17:$B$22,"Individuell",Nutzungsprofile!$G$17:$G$22)*Kalender!E43/SUM(Kalender!$E$5:$E$370),0))*Szenarien!$D$20,0)</f>
        <v>0.89</v>
      </c>
      <c r="E3337" s="13" t="n">
        <f aca="false">IFERROR(MIN(C3337,Eingaben!$B$17)*Eingaben!$B$16,0)</f>
        <v>1.5504</v>
      </c>
      <c r="F3337" s="13" t="n">
        <f aca="false">IFERROR(E3337*Eingaben!$B$15,0)</f>
        <v>1.39536</v>
      </c>
      <c r="G3337" s="13" t="n">
        <f aca="false">IFERROR(IF(Kalender!A43="",0,J3336*(1-Eingaben!$B$20)),0)</f>
        <v>1.0746505952</v>
      </c>
      <c r="H3337" s="13" t="n">
        <f aca="false">MIN(G3337,D3337)</f>
        <v>0.89</v>
      </c>
      <c r="I3337" s="13" t="n">
        <f aca="false">IFERROR(MIN(F3337*Eingaben!$B$19,MAX(0,D3337-H3337)),0)</f>
        <v>0</v>
      </c>
      <c r="J3337" s="13" t="n">
        <f aca="false">IFERROR(MIN(Eingaben!$B$18,MAX(0,F3337-I3337)),0)</f>
        <v>1.39536</v>
      </c>
      <c r="K3337" s="13" t="n">
        <f aca="false">H3337+I3337</f>
        <v>0.89</v>
      </c>
      <c r="L3337" s="13" t="n">
        <f aca="false">MAX(0,D3337-K3337)</f>
        <v>0</v>
      </c>
      <c r="M3337" s="13" t="n">
        <f aca="false">MAX(0,F3337-I3337-J3337)</f>
        <v>0</v>
      </c>
      <c r="N3337" s="13" t="n">
        <f aca="false">IF(Kalender!A43="",0,J3336-H3337)</f>
        <v>0.20658224</v>
      </c>
    </row>
    <row r="3338" customFormat="false" ht="16.4" hidden="false" customHeight="false" outlineLevel="0" collapsed="false">
      <c r="A3338" s="13" t="str">
        <f aca="false">""</f>
        <v/>
      </c>
      <c r="B3338" s="13" t="n">
        <f aca="false">40</f>
        <v>40</v>
      </c>
      <c r="C3338" s="13" t="n">
        <f aca="false">IF(Szenarien!$H$20="OK",(IFERROR(SUMIF(Nutzungsprofile!$B$6:$B$11,"Schulbetrieb",Nutzungsprofile!$G$6:$G$11)*Kalender!C44/SUM(Kalender!$C$5:$C$370),0)+IFERROR(SUMIF(Nutzungsprofile!$B$6:$B$11,"Halle",Nutzungsprofile!$G$6:$G$11)*Kalender!D44/SUM(Kalender!$D$5:$D$370),0)+IFERROR(SUMIF(Nutzungsprofile!$B$6:$B$11,"Individuell",Nutzungsprofile!$G$6:$G$11)*Kalender!E44/SUM(Kalender!$E$5:$E$370),0))*Szenarien!$E$20,0)</f>
        <v>2.352</v>
      </c>
      <c r="D3338" s="13" t="n">
        <f aca="false">IF(Szenarien!$H$20="OK",(IFERROR(SUMIF(Nutzungsprofile!$B$17:$B$22,"Schulbetrieb",Nutzungsprofile!$G$17:$G$22)*Kalender!C44/SUM(Kalender!$C$5:$C$370),0)+IFERROR(SUMIF(Nutzungsprofile!$B$17:$B$22,"Halle",Nutzungsprofile!$G$17:$G$22)*Kalender!D44/SUM(Kalender!$D$5:$D$370),0)+IFERROR(SUMIF(Nutzungsprofile!$B$17:$B$22,"Individuell",Nutzungsprofile!$G$17:$G$22)*Kalender!E44/SUM(Kalender!$E$5:$E$370),0))*Szenarien!$D$20,0)</f>
        <v>4.94</v>
      </c>
      <c r="E3338" s="13" t="n">
        <f aca="false">IFERROR(MIN(C3338,Eingaben!$B$17)*Eingaben!$B$16,0)</f>
        <v>2.2344</v>
      </c>
      <c r="F3338" s="13" t="n">
        <f aca="false">IFERROR(E3338*Eingaben!$B$15,0)</f>
        <v>2.01096</v>
      </c>
      <c r="G3338" s="13" t="n">
        <f aca="false">IFERROR(IF(Kalender!A44="",0,J3337*(1-Eingaben!$B$20)),0)</f>
        <v>1.3674528</v>
      </c>
      <c r="H3338" s="13" t="n">
        <f aca="false">MIN(G3338,D3338)</f>
        <v>1.3674528</v>
      </c>
      <c r="I3338" s="13" t="n">
        <f aca="false">IFERROR(MIN(F3338*Eingaben!$B$19,MAX(0,D3338-H3338)),0)</f>
        <v>1.407672</v>
      </c>
      <c r="J3338" s="13" t="n">
        <f aca="false">IFERROR(MIN(Eingaben!$B$18,MAX(0,F3338-I3338)),0)</f>
        <v>0.603288</v>
      </c>
      <c r="K3338" s="13" t="n">
        <f aca="false">H3338+I3338</f>
        <v>2.7751248</v>
      </c>
      <c r="L3338" s="13" t="n">
        <f aca="false">MAX(0,D3338-K3338)</f>
        <v>2.1648752</v>
      </c>
      <c r="M3338" s="13" t="n">
        <f aca="false">MAX(0,F3338-I3338-J3338)</f>
        <v>0</v>
      </c>
      <c r="N3338" s="13" t="n">
        <f aca="false">IF(Kalender!A44="",0,J3337-H3338)</f>
        <v>0.0279072</v>
      </c>
    </row>
    <row r="3339" customFormat="false" ht="16.4" hidden="false" customHeight="false" outlineLevel="0" collapsed="false">
      <c r="A3339" s="13" t="str">
        <f aca="false">""</f>
        <v/>
      </c>
      <c r="B3339" s="13" t="n">
        <f aca="false">41</f>
        <v>41</v>
      </c>
      <c r="C3339" s="13" t="n">
        <f aca="false">IF(Szenarien!$H$20="OK",(IFERROR(SUMIF(Nutzungsprofile!$B$6:$B$11,"Schulbetrieb",Nutzungsprofile!$G$6:$G$11)*Kalender!C45/SUM(Kalender!$C$5:$C$370),0)+IFERROR(SUMIF(Nutzungsprofile!$B$6:$B$11,"Halle",Nutzungsprofile!$G$6:$G$11)*Kalender!D45/SUM(Kalender!$D$5:$D$370),0)+IFERROR(SUMIF(Nutzungsprofile!$B$6:$B$11,"Individuell",Nutzungsprofile!$G$6:$G$11)*Kalender!E45/SUM(Kalender!$E$5:$E$370),0))*Szenarien!$E$20,0)</f>
        <v>2.352</v>
      </c>
      <c r="D3339" s="13" t="n">
        <f aca="false">IF(Szenarien!$H$20="OK",(IFERROR(SUMIF(Nutzungsprofile!$B$17:$B$22,"Schulbetrieb",Nutzungsprofile!$G$17:$G$22)*Kalender!C45/SUM(Kalender!$C$5:$C$370),0)+IFERROR(SUMIF(Nutzungsprofile!$B$17:$B$22,"Halle",Nutzungsprofile!$G$17:$G$22)*Kalender!D45/SUM(Kalender!$D$5:$D$370),0)+IFERROR(SUMIF(Nutzungsprofile!$B$17:$B$22,"Individuell",Nutzungsprofile!$G$17:$G$22)*Kalender!E45/SUM(Kalender!$E$5:$E$370),0))*Szenarien!$D$20,0)</f>
        <v>4.94</v>
      </c>
      <c r="E3339" s="13" t="n">
        <f aca="false">IFERROR(MIN(C3339,Eingaben!$B$17)*Eingaben!$B$16,0)</f>
        <v>2.2344</v>
      </c>
      <c r="F3339" s="13" t="n">
        <f aca="false">IFERROR(E3339*Eingaben!$B$15,0)</f>
        <v>2.01096</v>
      </c>
      <c r="G3339" s="13" t="n">
        <f aca="false">IFERROR(IF(Kalender!A45="",0,J3338*(1-Eingaben!$B$20)),0)</f>
        <v>0.59122224</v>
      </c>
      <c r="H3339" s="13" t="n">
        <f aca="false">MIN(G3339,D3339)</f>
        <v>0.59122224</v>
      </c>
      <c r="I3339" s="13" t="n">
        <f aca="false">IFERROR(MIN(F3339*Eingaben!$B$19,MAX(0,D3339-H3339)),0)</f>
        <v>1.407672</v>
      </c>
      <c r="J3339" s="13" t="n">
        <f aca="false">IFERROR(MIN(Eingaben!$B$18,MAX(0,F3339-I3339)),0)</f>
        <v>0.603288</v>
      </c>
      <c r="K3339" s="13" t="n">
        <f aca="false">H3339+I3339</f>
        <v>1.99889424</v>
      </c>
      <c r="L3339" s="13" t="n">
        <f aca="false">MAX(0,D3339-K3339)</f>
        <v>2.94110576</v>
      </c>
      <c r="M3339" s="13" t="n">
        <f aca="false">MAX(0,F3339-I3339-J3339)</f>
        <v>0</v>
      </c>
      <c r="N3339" s="13" t="n">
        <f aca="false">IF(Kalender!A45="",0,J3338-H3339)</f>
        <v>0.01206576</v>
      </c>
    </row>
    <row r="3340" customFormat="false" ht="16.4" hidden="false" customHeight="false" outlineLevel="0" collapsed="false">
      <c r="A3340" s="13" t="str">
        <f aca="false">""</f>
        <v/>
      </c>
      <c r="B3340" s="13" t="n">
        <f aca="false">42</f>
        <v>42</v>
      </c>
      <c r="C3340" s="13" t="n">
        <f aca="false">IF(Szenarien!$H$20="OK",(IFERROR(SUMIF(Nutzungsprofile!$B$6:$B$11,"Schulbetrieb",Nutzungsprofile!$G$6:$G$11)*Kalender!C46/SUM(Kalender!$C$5:$C$370),0)+IFERROR(SUMIF(Nutzungsprofile!$B$6:$B$11,"Halle",Nutzungsprofile!$G$6:$G$11)*Kalender!D46/SUM(Kalender!$D$5:$D$370),0)+IFERROR(SUMIF(Nutzungsprofile!$B$6:$B$11,"Individuell",Nutzungsprofile!$G$6:$G$11)*Kalender!E46/SUM(Kalender!$E$5:$E$370),0))*Szenarien!$E$20,0)</f>
        <v>2.352</v>
      </c>
      <c r="D3340" s="13" t="n">
        <f aca="false">IF(Szenarien!$H$20="OK",(IFERROR(SUMIF(Nutzungsprofile!$B$17:$B$22,"Schulbetrieb",Nutzungsprofile!$G$17:$G$22)*Kalender!C46/SUM(Kalender!$C$5:$C$370),0)+IFERROR(SUMIF(Nutzungsprofile!$B$17:$B$22,"Halle",Nutzungsprofile!$G$17:$G$22)*Kalender!D46/SUM(Kalender!$D$5:$D$370),0)+IFERROR(SUMIF(Nutzungsprofile!$B$17:$B$22,"Individuell",Nutzungsprofile!$G$17:$G$22)*Kalender!E46/SUM(Kalender!$E$5:$E$370),0))*Szenarien!$D$20,0)</f>
        <v>4.94</v>
      </c>
      <c r="E3340" s="13" t="n">
        <f aca="false">IFERROR(MIN(C3340,Eingaben!$B$17)*Eingaben!$B$16,0)</f>
        <v>2.2344</v>
      </c>
      <c r="F3340" s="13" t="n">
        <f aca="false">IFERROR(E3340*Eingaben!$B$15,0)</f>
        <v>2.01096</v>
      </c>
      <c r="G3340" s="13" t="n">
        <f aca="false">IFERROR(IF(Kalender!A46="",0,J3339*(1-Eingaben!$B$20)),0)</f>
        <v>0.59122224</v>
      </c>
      <c r="H3340" s="13" t="n">
        <f aca="false">MIN(G3340,D3340)</f>
        <v>0.59122224</v>
      </c>
      <c r="I3340" s="13" t="n">
        <f aca="false">IFERROR(MIN(F3340*Eingaben!$B$19,MAX(0,D3340-H3340)),0)</f>
        <v>1.407672</v>
      </c>
      <c r="J3340" s="13" t="n">
        <f aca="false">IFERROR(MIN(Eingaben!$B$18,MAX(0,F3340-I3340)),0)</f>
        <v>0.603288</v>
      </c>
      <c r="K3340" s="13" t="n">
        <f aca="false">H3340+I3340</f>
        <v>1.99889424</v>
      </c>
      <c r="L3340" s="13" t="n">
        <f aca="false">MAX(0,D3340-K3340)</f>
        <v>2.94110576</v>
      </c>
      <c r="M3340" s="13" t="n">
        <f aca="false">MAX(0,F3340-I3340-J3340)</f>
        <v>0</v>
      </c>
      <c r="N3340" s="13" t="n">
        <f aca="false">IF(Kalender!A46="",0,J3339-H3340)</f>
        <v>0.01206576</v>
      </c>
    </row>
    <row r="3341" customFormat="false" ht="16.4" hidden="false" customHeight="false" outlineLevel="0" collapsed="false">
      <c r="A3341" s="13" t="str">
        <f aca="false">""</f>
        <v/>
      </c>
      <c r="B3341" s="13" t="n">
        <f aca="false">43</f>
        <v>43</v>
      </c>
      <c r="C3341" s="13" t="n">
        <f aca="false">IF(Szenarien!$H$20="OK",(IFERROR(SUMIF(Nutzungsprofile!$B$6:$B$11,"Schulbetrieb",Nutzungsprofile!$G$6:$G$11)*Kalender!C47/SUM(Kalender!$C$5:$C$370),0)+IFERROR(SUMIF(Nutzungsprofile!$B$6:$B$11,"Halle",Nutzungsprofile!$G$6:$G$11)*Kalender!D47/SUM(Kalender!$D$5:$D$370),0)+IFERROR(SUMIF(Nutzungsprofile!$B$6:$B$11,"Individuell",Nutzungsprofile!$G$6:$G$11)*Kalender!E47/SUM(Kalender!$E$5:$E$370),0))*Szenarien!$E$20,0)</f>
        <v>2.352</v>
      </c>
      <c r="D3341" s="13" t="n">
        <f aca="false">IF(Szenarien!$H$20="OK",(IFERROR(SUMIF(Nutzungsprofile!$B$17:$B$22,"Schulbetrieb",Nutzungsprofile!$G$17:$G$22)*Kalender!C47/SUM(Kalender!$C$5:$C$370),0)+IFERROR(SUMIF(Nutzungsprofile!$B$17:$B$22,"Halle",Nutzungsprofile!$G$17:$G$22)*Kalender!D47/SUM(Kalender!$D$5:$D$370),0)+IFERROR(SUMIF(Nutzungsprofile!$B$17:$B$22,"Individuell",Nutzungsprofile!$G$17:$G$22)*Kalender!E47/SUM(Kalender!$E$5:$E$370),0))*Szenarien!$D$20,0)</f>
        <v>4.94</v>
      </c>
      <c r="E3341" s="13" t="n">
        <f aca="false">IFERROR(MIN(C3341,Eingaben!$B$17)*Eingaben!$B$16,0)</f>
        <v>2.2344</v>
      </c>
      <c r="F3341" s="13" t="n">
        <f aca="false">IFERROR(E3341*Eingaben!$B$15,0)</f>
        <v>2.01096</v>
      </c>
      <c r="G3341" s="13" t="n">
        <f aca="false">IFERROR(IF(Kalender!A47="",0,J3340*(1-Eingaben!$B$20)),0)</f>
        <v>0.59122224</v>
      </c>
      <c r="H3341" s="13" t="n">
        <f aca="false">MIN(G3341,D3341)</f>
        <v>0.59122224</v>
      </c>
      <c r="I3341" s="13" t="n">
        <f aca="false">IFERROR(MIN(F3341*Eingaben!$B$19,MAX(0,D3341-H3341)),0)</f>
        <v>1.407672</v>
      </c>
      <c r="J3341" s="13" t="n">
        <f aca="false">IFERROR(MIN(Eingaben!$B$18,MAX(0,F3341-I3341)),0)</f>
        <v>0.603288</v>
      </c>
      <c r="K3341" s="13" t="n">
        <f aca="false">H3341+I3341</f>
        <v>1.99889424</v>
      </c>
      <c r="L3341" s="13" t="n">
        <f aca="false">MAX(0,D3341-K3341)</f>
        <v>2.94110576</v>
      </c>
      <c r="M3341" s="13" t="n">
        <f aca="false">MAX(0,F3341-I3341-J3341)</f>
        <v>0</v>
      </c>
      <c r="N3341" s="13" t="n">
        <f aca="false">IF(Kalender!A47="",0,J3340-H3341)</f>
        <v>0.01206576</v>
      </c>
    </row>
    <row r="3342" customFormat="false" ht="16.4" hidden="false" customHeight="false" outlineLevel="0" collapsed="false">
      <c r="A3342" s="13" t="str">
        <f aca="false">""</f>
        <v/>
      </c>
      <c r="B3342" s="13" t="n">
        <f aca="false">44</f>
        <v>44</v>
      </c>
      <c r="C3342" s="13" t="n">
        <f aca="false">IF(Szenarien!$H$20="OK",(IFERROR(SUMIF(Nutzungsprofile!$B$6:$B$11,"Schulbetrieb",Nutzungsprofile!$G$6:$G$11)*Kalender!C48/SUM(Kalender!$C$5:$C$370),0)+IFERROR(SUMIF(Nutzungsprofile!$B$6:$B$11,"Halle",Nutzungsprofile!$G$6:$G$11)*Kalender!D48/SUM(Kalender!$D$5:$D$370),0)+IFERROR(SUMIF(Nutzungsprofile!$B$6:$B$11,"Individuell",Nutzungsprofile!$G$6:$G$11)*Kalender!E48/SUM(Kalender!$E$5:$E$370),0))*Szenarien!$E$20,0)</f>
        <v>2.352</v>
      </c>
      <c r="D3342" s="13" t="n">
        <f aca="false">IF(Szenarien!$H$20="OK",(IFERROR(SUMIF(Nutzungsprofile!$B$17:$B$22,"Schulbetrieb",Nutzungsprofile!$G$17:$G$22)*Kalender!C48/SUM(Kalender!$C$5:$C$370),0)+IFERROR(SUMIF(Nutzungsprofile!$B$17:$B$22,"Halle",Nutzungsprofile!$G$17:$G$22)*Kalender!D48/SUM(Kalender!$D$5:$D$370),0)+IFERROR(SUMIF(Nutzungsprofile!$B$17:$B$22,"Individuell",Nutzungsprofile!$G$17:$G$22)*Kalender!E48/SUM(Kalender!$E$5:$E$370),0))*Szenarien!$D$20,0)</f>
        <v>4.94</v>
      </c>
      <c r="E3342" s="13" t="n">
        <f aca="false">IFERROR(MIN(C3342,Eingaben!$B$17)*Eingaben!$B$16,0)</f>
        <v>2.2344</v>
      </c>
      <c r="F3342" s="13" t="n">
        <f aca="false">IFERROR(E3342*Eingaben!$B$15,0)</f>
        <v>2.01096</v>
      </c>
      <c r="G3342" s="13" t="n">
        <f aca="false">IFERROR(IF(Kalender!A48="",0,J3341*(1-Eingaben!$B$20)),0)</f>
        <v>0.59122224</v>
      </c>
      <c r="H3342" s="13" t="n">
        <f aca="false">MIN(G3342,D3342)</f>
        <v>0.59122224</v>
      </c>
      <c r="I3342" s="13" t="n">
        <f aca="false">IFERROR(MIN(F3342*Eingaben!$B$19,MAX(0,D3342-H3342)),0)</f>
        <v>1.407672</v>
      </c>
      <c r="J3342" s="13" t="n">
        <f aca="false">IFERROR(MIN(Eingaben!$B$18,MAX(0,F3342-I3342)),0)</f>
        <v>0.603288</v>
      </c>
      <c r="K3342" s="13" t="n">
        <f aca="false">H3342+I3342</f>
        <v>1.99889424</v>
      </c>
      <c r="L3342" s="13" t="n">
        <f aca="false">MAX(0,D3342-K3342)</f>
        <v>2.94110576</v>
      </c>
      <c r="M3342" s="13" t="n">
        <f aca="false">MAX(0,F3342-I3342-J3342)</f>
        <v>0</v>
      </c>
      <c r="N3342" s="13" t="n">
        <f aca="false">IF(Kalender!A48="",0,J3341-H3342)</f>
        <v>0.01206576</v>
      </c>
    </row>
    <row r="3343" customFormat="false" ht="16.4" hidden="false" customHeight="false" outlineLevel="0" collapsed="false">
      <c r="A3343" s="13" t="str">
        <f aca="false">""</f>
        <v/>
      </c>
      <c r="B3343" s="13" t="n">
        <f aca="false">45</f>
        <v>45</v>
      </c>
      <c r="C3343" s="13" t="n">
        <f aca="false">IF(Szenarien!$H$20="OK",(IFERROR(SUMIF(Nutzungsprofile!$B$6:$B$11,"Schulbetrieb",Nutzungsprofile!$G$6:$G$11)*Kalender!C49/SUM(Kalender!$C$5:$C$370),0)+IFERROR(SUMIF(Nutzungsprofile!$B$6:$B$11,"Halle",Nutzungsprofile!$G$6:$G$11)*Kalender!D49/SUM(Kalender!$D$5:$D$370),0)+IFERROR(SUMIF(Nutzungsprofile!$B$6:$B$11,"Individuell",Nutzungsprofile!$G$6:$G$11)*Kalender!E49/SUM(Kalender!$E$5:$E$370),0))*Szenarien!$E$20,0)</f>
        <v>1.632</v>
      </c>
      <c r="D3343" s="13" t="n">
        <f aca="false">IF(Szenarien!$H$20="OK",(IFERROR(SUMIF(Nutzungsprofile!$B$17:$B$22,"Schulbetrieb",Nutzungsprofile!$G$17:$G$22)*Kalender!C49/SUM(Kalender!$C$5:$C$370),0)+IFERROR(SUMIF(Nutzungsprofile!$B$17:$B$22,"Halle",Nutzungsprofile!$G$17:$G$22)*Kalender!D49/SUM(Kalender!$D$5:$D$370),0)+IFERROR(SUMIF(Nutzungsprofile!$B$17:$B$22,"Individuell",Nutzungsprofile!$G$17:$G$22)*Kalender!E49/SUM(Kalender!$E$5:$E$370),0))*Szenarien!$D$20,0)</f>
        <v>0.89</v>
      </c>
      <c r="E3343" s="13" t="n">
        <f aca="false">IFERROR(MIN(C3343,Eingaben!$B$17)*Eingaben!$B$16,0)</f>
        <v>1.5504</v>
      </c>
      <c r="F3343" s="13" t="n">
        <f aca="false">IFERROR(E3343*Eingaben!$B$15,0)</f>
        <v>1.39536</v>
      </c>
      <c r="G3343" s="13" t="n">
        <f aca="false">IFERROR(IF(Kalender!A49="",0,J3342*(1-Eingaben!$B$20)),0)</f>
        <v>0.59122224</v>
      </c>
      <c r="H3343" s="13" t="n">
        <f aca="false">MIN(G3343,D3343)</f>
        <v>0.59122224</v>
      </c>
      <c r="I3343" s="13" t="n">
        <f aca="false">IFERROR(MIN(F3343*Eingaben!$B$19,MAX(0,D3343-H3343)),0)</f>
        <v>0.29877776</v>
      </c>
      <c r="J3343" s="13" t="n">
        <f aca="false">IFERROR(MIN(Eingaben!$B$18,MAX(0,F3343-I3343)),0)</f>
        <v>1.09658224</v>
      </c>
      <c r="K3343" s="13" t="n">
        <f aca="false">H3343+I3343</f>
        <v>0.89</v>
      </c>
      <c r="L3343" s="13" t="n">
        <f aca="false">MAX(0,D3343-K3343)</f>
        <v>0</v>
      </c>
      <c r="M3343" s="13" t="n">
        <f aca="false">MAX(0,F3343-I3343-J3343)</f>
        <v>0</v>
      </c>
      <c r="N3343" s="13" t="n">
        <f aca="false">IF(Kalender!A49="",0,J3342-H3343)</f>
        <v>0.01206576</v>
      </c>
    </row>
    <row r="3344" customFormat="false" ht="16.4" hidden="false" customHeight="false" outlineLevel="0" collapsed="false">
      <c r="A3344" s="13" t="str">
        <f aca="false">""</f>
        <v/>
      </c>
      <c r="B3344" s="13" t="n">
        <f aca="false">46</f>
        <v>46</v>
      </c>
      <c r="C3344" s="13" t="n">
        <f aca="false">IF(Szenarien!$H$20="OK",(IFERROR(SUMIF(Nutzungsprofile!$B$6:$B$11,"Schulbetrieb",Nutzungsprofile!$G$6:$G$11)*Kalender!C50/SUM(Kalender!$C$5:$C$370),0)+IFERROR(SUMIF(Nutzungsprofile!$B$6:$B$11,"Halle",Nutzungsprofile!$G$6:$G$11)*Kalender!D50/SUM(Kalender!$D$5:$D$370),0)+IFERROR(SUMIF(Nutzungsprofile!$B$6:$B$11,"Individuell",Nutzungsprofile!$G$6:$G$11)*Kalender!E50/SUM(Kalender!$E$5:$E$370),0))*Szenarien!$E$20,0)</f>
        <v>1.632</v>
      </c>
      <c r="D3344" s="13" t="n">
        <f aca="false">IF(Szenarien!$H$20="OK",(IFERROR(SUMIF(Nutzungsprofile!$B$17:$B$22,"Schulbetrieb",Nutzungsprofile!$G$17:$G$22)*Kalender!C50/SUM(Kalender!$C$5:$C$370),0)+IFERROR(SUMIF(Nutzungsprofile!$B$17:$B$22,"Halle",Nutzungsprofile!$G$17:$G$22)*Kalender!D50/SUM(Kalender!$D$5:$D$370),0)+IFERROR(SUMIF(Nutzungsprofile!$B$17:$B$22,"Individuell",Nutzungsprofile!$G$17:$G$22)*Kalender!E50/SUM(Kalender!$E$5:$E$370),0))*Szenarien!$D$20,0)</f>
        <v>0.89</v>
      </c>
      <c r="E3344" s="13" t="n">
        <f aca="false">IFERROR(MIN(C3344,Eingaben!$B$17)*Eingaben!$B$16,0)</f>
        <v>1.5504</v>
      </c>
      <c r="F3344" s="13" t="n">
        <f aca="false">IFERROR(E3344*Eingaben!$B$15,0)</f>
        <v>1.39536</v>
      </c>
      <c r="G3344" s="13" t="n">
        <f aca="false">IFERROR(IF(Kalender!A50="",0,J3343*(1-Eingaben!$B$20)),0)</f>
        <v>1.0746505952</v>
      </c>
      <c r="H3344" s="13" t="n">
        <f aca="false">MIN(G3344,D3344)</f>
        <v>0.89</v>
      </c>
      <c r="I3344" s="13" t="n">
        <f aca="false">IFERROR(MIN(F3344*Eingaben!$B$19,MAX(0,D3344-H3344)),0)</f>
        <v>0</v>
      </c>
      <c r="J3344" s="13" t="n">
        <f aca="false">IFERROR(MIN(Eingaben!$B$18,MAX(0,F3344-I3344)),0)</f>
        <v>1.39536</v>
      </c>
      <c r="K3344" s="13" t="n">
        <f aca="false">H3344+I3344</f>
        <v>0.89</v>
      </c>
      <c r="L3344" s="13" t="n">
        <f aca="false">MAX(0,D3344-K3344)</f>
        <v>0</v>
      </c>
      <c r="M3344" s="13" t="n">
        <f aca="false">MAX(0,F3344-I3344-J3344)</f>
        <v>0</v>
      </c>
      <c r="N3344" s="13" t="n">
        <f aca="false">IF(Kalender!A50="",0,J3343-H3344)</f>
        <v>0.20658224</v>
      </c>
    </row>
    <row r="3345" customFormat="false" ht="16.4" hidden="false" customHeight="false" outlineLevel="0" collapsed="false">
      <c r="A3345" s="13" t="str">
        <f aca="false">""</f>
        <v/>
      </c>
      <c r="B3345" s="13" t="n">
        <f aca="false">47</f>
        <v>47</v>
      </c>
      <c r="C3345" s="13" t="n">
        <f aca="false">IF(Szenarien!$H$20="OK",(IFERROR(SUMIF(Nutzungsprofile!$B$6:$B$11,"Schulbetrieb",Nutzungsprofile!$G$6:$G$11)*Kalender!C51/SUM(Kalender!$C$5:$C$370),0)+IFERROR(SUMIF(Nutzungsprofile!$B$6:$B$11,"Halle",Nutzungsprofile!$G$6:$G$11)*Kalender!D51/SUM(Kalender!$D$5:$D$370),0)+IFERROR(SUMIF(Nutzungsprofile!$B$6:$B$11,"Individuell",Nutzungsprofile!$G$6:$G$11)*Kalender!E51/SUM(Kalender!$E$5:$E$370),0))*Szenarien!$E$20,0)</f>
        <v>2.352</v>
      </c>
      <c r="D3345" s="13" t="n">
        <f aca="false">IF(Szenarien!$H$20="OK",(IFERROR(SUMIF(Nutzungsprofile!$B$17:$B$22,"Schulbetrieb",Nutzungsprofile!$G$17:$G$22)*Kalender!C51/SUM(Kalender!$C$5:$C$370),0)+IFERROR(SUMIF(Nutzungsprofile!$B$17:$B$22,"Halle",Nutzungsprofile!$G$17:$G$22)*Kalender!D51/SUM(Kalender!$D$5:$D$370),0)+IFERROR(SUMIF(Nutzungsprofile!$B$17:$B$22,"Individuell",Nutzungsprofile!$G$17:$G$22)*Kalender!E51/SUM(Kalender!$E$5:$E$370),0))*Szenarien!$D$20,0)</f>
        <v>4.94</v>
      </c>
      <c r="E3345" s="13" t="n">
        <f aca="false">IFERROR(MIN(C3345,Eingaben!$B$17)*Eingaben!$B$16,0)</f>
        <v>2.2344</v>
      </c>
      <c r="F3345" s="13" t="n">
        <f aca="false">IFERROR(E3345*Eingaben!$B$15,0)</f>
        <v>2.01096</v>
      </c>
      <c r="G3345" s="13" t="n">
        <f aca="false">IFERROR(IF(Kalender!A51="",0,J3344*(1-Eingaben!$B$20)),0)</f>
        <v>1.3674528</v>
      </c>
      <c r="H3345" s="13" t="n">
        <f aca="false">MIN(G3345,D3345)</f>
        <v>1.3674528</v>
      </c>
      <c r="I3345" s="13" t="n">
        <f aca="false">IFERROR(MIN(F3345*Eingaben!$B$19,MAX(0,D3345-H3345)),0)</f>
        <v>1.407672</v>
      </c>
      <c r="J3345" s="13" t="n">
        <f aca="false">IFERROR(MIN(Eingaben!$B$18,MAX(0,F3345-I3345)),0)</f>
        <v>0.603288</v>
      </c>
      <c r="K3345" s="13" t="n">
        <f aca="false">H3345+I3345</f>
        <v>2.7751248</v>
      </c>
      <c r="L3345" s="13" t="n">
        <f aca="false">MAX(0,D3345-K3345)</f>
        <v>2.1648752</v>
      </c>
      <c r="M3345" s="13" t="n">
        <f aca="false">MAX(0,F3345-I3345-J3345)</f>
        <v>0</v>
      </c>
      <c r="N3345" s="13" t="n">
        <f aca="false">IF(Kalender!A51="",0,J3344-H3345)</f>
        <v>0.0279072</v>
      </c>
    </row>
    <row r="3346" customFormat="false" ht="16.4" hidden="false" customHeight="false" outlineLevel="0" collapsed="false">
      <c r="A3346" s="13" t="str">
        <f aca="false">""</f>
        <v/>
      </c>
      <c r="B3346" s="13" t="n">
        <f aca="false">48</f>
        <v>48</v>
      </c>
      <c r="C3346" s="13" t="n">
        <f aca="false">IF(Szenarien!$H$20="OK",(IFERROR(SUMIF(Nutzungsprofile!$B$6:$B$11,"Schulbetrieb",Nutzungsprofile!$G$6:$G$11)*Kalender!C52/SUM(Kalender!$C$5:$C$370),0)+IFERROR(SUMIF(Nutzungsprofile!$B$6:$B$11,"Halle",Nutzungsprofile!$G$6:$G$11)*Kalender!D52/SUM(Kalender!$D$5:$D$370),0)+IFERROR(SUMIF(Nutzungsprofile!$B$6:$B$11,"Individuell",Nutzungsprofile!$G$6:$G$11)*Kalender!E52/SUM(Kalender!$E$5:$E$370),0))*Szenarien!$E$20,0)</f>
        <v>2.352</v>
      </c>
      <c r="D3346" s="13" t="n">
        <f aca="false">IF(Szenarien!$H$20="OK",(IFERROR(SUMIF(Nutzungsprofile!$B$17:$B$22,"Schulbetrieb",Nutzungsprofile!$G$17:$G$22)*Kalender!C52/SUM(Kalender!$C$5:$C$370),0)+IFERROR(SUMIF(Nutzungsprofile!$B$17:$B$22,"Halle",Nutzungsprofile!$G$17:$G$22)*Kalender!D52/SUM(Kalender!$D$5:$D$370),0)+IFERROR(SUMIF(Nutzungsprofile!$B$17:$B$22,"Individuell",Nutzungsprofile!$G$17:$G$22)*Kalender!E52/SUM(Kalender!$E$5:$E$370),0))*Szenarien!$D$20,0)</f>
        <v>4.94</v>
      </c>
      <c r="E3346" s="13" t="n">
        <f aca="false">IFERROR(MIN(C3346,Eingaben!$B$17)*Eingaben!$B$16,0)</f>
        <v>2.2344</v>
      </c>
      <c r="F3346" s="13" t="n">
        <f aca="false">IFERROR(E3346*Eingaben!$B$15,0)</f>
        <v>2.01096</v>
      </c>
      <c r="G3346" s="13" t="n">
        <f aca="false">IFERROR(IF(Kalender!A52="",0,J3345*(1-Eingaben!$B$20)),0)</f>
        <v>0.59122224</v>
      </c>
      <c r="H3346" s="13" t="n">
        <f aca="false">MIN(G3346,D3346)</f>
        <v>0.59122224</v>
      </c>
      <c r="I3346" s="13" t="n">
        <f aca="false">IFERROR(MIN(F3346*Eingaben!$B$19,MAX(0,D3346-H3346)),0)</f>
        <v>1.407672</v>
      </c>
      <c r="J3346" s="13" t="n">
        <f aca="false">IFERROR(MIN(Eingaben!$B$18,MAX(0,F3346-I3346)),0)</f>
        <v>0.603288</v>
      </c>
      <c r="K3346" s="13" t="n">
        <f aca="false">H3346+I3346</f>
        <v>1.99889424</v>
      </c>
      <c r="L3346" s="13" t="n">
        <f aca="false">MAX(0,D3346-K3346)</f>
        <v>2.94110576</v>
      </c>
      <c r="M3346" s="13" t="n">
        <f aca="false">MAX(0,F3346-I3346-J3346)</f>
        <v>0</v>
      </c>
      <c r="N3346" s="13" t="n">
        <f aca="false">IF(Kalender!A52="",0,J3345-H3346)</f>
        <v>0.01206576</v>
      </c>
    </row>
    <row r="3347" customFormat="false" ht="16.4" hidden="false" customHeight="false" outlineLevel="0" collapsed="false">
      <c r="A3347" s="13" t="str">
        <f aca="false">""</f>
        <v/>
      </c>
      <c r="B3347" s="13" t="n">
        <f aca="false">49</f>
        <v>49</v>
      </c>
      <c r="C3347" s="13" t="n">
        <f aca="false">IF(Szenarien!$H$20="OK",(IFERROR(SUMIF(Nutzungsprofile!$B$6:$B$11,"Schulbetrieb",Nutzungsprofile!$G$6:$G$11)*Kalender!C53/SUM(Kalender!$C$5:$C$370),0)+IFERROR(SUMIF(Nutzungsprofile!$B$6:$B$11,"Halle",Nutzungsprofile!$G$6:$G$11)*Kalender!D53/SUM(Kalender!$D$5:$D$370),0)+IFERROR(SUMIF(Nutzungsprofile!$B$6:$B$11,"Individuell",Nutzungsprofile!$G$6:$G$11)*Kalender!E53/SUM(Kalender!$E$5:$E$370),0))*Szenarien!$E$20,0)</f>
        <v>2.352</v>
      </c>
      <c r="D3347" s="13" t="n">
        <f aca="false">IF(Szenarien!$H$20="OK",(IFERROR(SUMIF(Nutzungsprofile!$B$17:$B$22,"Schulbetrieb",Nutzungsprofile!$G$17:$G$22)*Kalender!C53/SUM(Kalender!$C$5:$C$370),0)+IFERROR(SUMIF(Nutzungsprofile!$B$17:$B$22,"Halle",Nutzungsprofile!$G$17:$G$22)*Kalender!D53/SUM(Kalender!$D$5:$D$370),0)+IFERROR(SUMIF(Nutzungsprofile!$B$17:$B$22,"Individuell",Nutzungsprofile!$G$17:$G$22)*Kalender!E53/SUM(Kalender!$E$5:$E$370),0))*Szenarien!$D$20,0)</f>
        <v>4.94</v>
      </c>
      <c r="E3347" s="13" t="n">
        <f aca="false">IFERROR(MIN(C3347,Eingaben!$B$17)*Eingaben!$B$16,0)</f>
        <v>2.2344</v>
      </c>
      <c r="F3347" s="13" t="n">
        <f aca="false">IFERROR(E3347*Eingaben!$B$15,0)</f>
        <v>2.01096</v>
      </c>
      <c r="G3347" s="13" t="n">
        <f aca="false">IFERROR(IF(Kalender!A53="",0,J3346*(1-Eingaben!$B$20)),0)</f>
        <v>0.59122224</v>
      </c>
      <c r="H3347" s="13" t="n">
        <f aca="false">MIN(G3347,D3347)</f>
        <v>0.59122224</v>
      </c>
      <c r="I3347" s="13" t="n">
        <f aca="false">IFERROR(MIN(F3347*Eingaben!$B$19,MAX(0,D3347-H3347)),0)</f>
        <v>1.407672</v>
      </c>
      <c r="J3347" s="13" t="n">
        <f aca="false">IFERROR(MIN(Eingaben!$B$18,MAX(0,F3347-I3347)),0)</f>
        <v>0.603288</v>
      </c>
      <c r="K3347" s="13" t="n">
        <f aca="false">H3347+I3347</f>
        <v>1.99889424</v>
      </c>
      <c r="L3347" s="13" t="n">
        <f aca="false">MAX(0,D3347-K3347)</f>
        <v>2.94110576</v>
      </c>
      <c r="M3347" s="13" t="n">
        <f aca="false">MAX(0,F3347-I3347-J3347)</f>
        <v>0</v>
      </c>
      <c r="N3347" s="13" t="n">
        <f aca="false">IF(Kalender!A53="",0,J3346-H3347)</f>
        <v>0.01206576</v>
      </c>
    </row>
    <row r="3348" customFormat="false" ht="16.4" hidden="false" customHeight="false" outlineLevel="0" collapsed="false">
      <c r="A3348" s="13" t="str">
        <f aca="false">""</f>
        <v/>
      </c>
      <c r="B3348" s="13" t="n">
        <f aca="false">50</f>
        <v>50</v>
      </c>
      <c r="C3348" s="13" t="n">
        <f aca="false">IF(Szenarien!$H$20="OK",(IFERROR(SUMIF(Nutzungsprofile!$B$6:$B$11,"Schulbetrieb",Nutzungsprofile!$G$6:$G$11)*Kalender!C54/SUM(Kalender!$C$5:$C$370),0)+IFERROR(SUMIF(Nutzungsprofile!$B$6:$B$11,"Halle",Nutzungsprofile!$G$6:$G$11)*Kalender!D54/SUM(Kalender!$D$5:$D$370),0)+IFERROR(SUMIF(Nutzungsprofile!$B$6:$B$11,"Individuell",Nutzungsprofile!$G$6:$G$11)*Kalender!E54/SUM(Kalender!$E$5:$E$370),0))*Szenarien!$E$20,0)</f>
        <v>2.352</v>
      </c>
      <c r="D3348" s="13" t="n">
        <f aca="false">IF(Szenarien!$H$20="OK",(IFERROR(SUMIF(Nutzungsprofile!$B$17:$B$22,"Schulbetrieb",Nutzungsprofile!$G$17:$G$22)*Kalender!C54/SUM(Kalender!$C$5:$C$370),0)+IFERROR(SUMIF(Nutzungsprofile!$B$17:$B$22,"Halle",Nutzungsprofile!$G$17:$G$22)*Kalender!D54/SUM(Kalender!$D$5:$D$370),0)+IFERROR(SUMIF(Nutzungsprofile!$B$17:$B$22,"Individuell",Nutzungsprofile!$G$17:$G$22)*Kalender!E54/SUM(Kalender!$E$5:$E$370),0))*Szenarien!$D$20,0)</f>
        <v>4.94</v>
      </c>
      <c r="E3348" s="13" t="n">
        <f aca="false">IFERROR(MIN(C3348,Eingaben!$B$17)*Eingaben!$B$16,0)</f>
        <v>2.2344</v>
      </c>
      <c r="F3348" s="13" t="n">
        <f aca="false">IFERROR(E3348*Eingaben!$B$15,0)</f>
        <v>2.01096</v>
      </c>
      <c r="G3348" s="13" t="n">
        <f aca="false">IFERROR(IF(Kalender!A54="",0,J3347*(1-Eingaben!$B$20)),0)</f>
        <v>0.59122224</v>
      </c>
      <c r="H3348" s="13" t="n">
        <f aca="false">MIN(G3348,D3348)</f>
        <v>0.59122224</v>
      </c>
      <c r="I3348" s="13" t="n">
        <f aca="false">IFERROR(MIN(F3348*Eingaben!$B$19,MAX(0,D3348-H3348)),0)</f>
        <v>1.407672</v>
      </c>
      <c r="J3348" s="13" t="n">
        <f aca="false">IFERROR(MIN(Eingaben!$B$18,MAX(0,F3348-I3348)),0)</f>
        <v>0.603288</v>
      </c>
      <c r="K3348" s="13" t="n">
        <f aca="false">H3348+I3348</f>
        <v>1.99889424</v>
      </c>
      <c r="L3348" s="13" t="n">
        <f aca="false">MAX(0,D3348-K3348)</f>
        <v>2.94110576</v>
      </c>
      <c r="M3348" s="13" t="n">
        <f aca="false">MAX(0,F3348-I3348-J3348)</f>
        <v>0</v>
      </c>
      <c r="N3348" s="13" t="n">
        <f aca="false">IF(Kalender!A54="",0,J3347-H3348)</f>
        <v>0.01206576</v>
      </c>
    </row>
    <row r="3349" customFormat="false" ht="16.4" hidden="false" customHeight="false" outlineLevel="0" collapsed="false">
      <c r="A3349" s="13" t="str">
        <f aca="false">""</f>
        <v/>
      </c>
      <c r="B3349" s="13" t="n">
        <f aca="false">51</f>
        <v>51</v>
      </c>
      <c r="C3349" s="13" t="n">
        <f aca="false">IF(Szenarien!$H$20="OK",(IFERROR(SUMIF(Nutzungsprofile!$B$6:$B$11,"Schulbetrieb",Nutzungsprofile!$G$6:$G$11)*Kalender!C55/SUM(Kalender!$C$5:$C$370),0)+IFERROR(SUMIF(Nutzungsprofile!$B$6:$B$11,"Halle",Nutzungsprofile!$G$6:$G$11)*Kalender!D55/SUM(Kalender!$D$5:$D$370),0)+IFERROR(SUMIF(Nutzungsprofile!$B$6:$B$11,"Individuell",Nutzungsprofile!$G$6:$G$11)*Kalender!E55/SUM(Kalender!$E$5:$E$370),0))*Szenarien!$E$20,0)</f>
        <v>2.352</v>
      </c>
      <c r="D3349" s="13" t="n">
        <f aca="false">IF(Szenarien!$H$20="OK",(IFERROR(SUMIF(Nutzungsprofile!$B$17:$B$22,"Schulbetrieb",Nutzungsprofile!$G$17:$G$22)*Kalender!C55/SUM(Kalender!$C$5:$C$370),0)+IFERROR(SUMIF(Nutzungsprofile!$B$17:$B$22,"Halle",Nutzungsprofile!$G$17:$G$22)*Kalender!D55/SUM(Kalender!$D$5:$D$370),0)+IFERROR(SUMIF(Nutzungsprofile!$B$17:$B$22,"Individuell",Nutzungsprofile!$G$17:$G$22)*Kalender!E55/SUM(Kalender!$E$5:$E$370),0))*Szenarien!$D$20,0)</f>
        <v>4.94</v>
      </c>
      <c r="E3349" s="13" t="n">
        <f aca="false">IFERROR(MIN(C3349,Eingaben!$B$17)*Eingaben!$B$16,0)</f>
        <v>2.2344</v>
      </c>
      <c r="F3349" s="13" t="n">
        <f aca="false">IFERROR(E3349*Eingaben!$B$15,0)</f>
        <v>2.01096</v>
      </c>
      <c r="G3349" s="13" t="n">
        <f aca="false">IFERROR(IF(Kalender!A55="",0,J3348*(1-Eingaben!$B$20)),0)</f>
        <v>0.59122224</v>
      </c>
      <c r="H3349" s="13" t="n">
        <f aca="false">MIN(G3349,D3349)</f>
        <v>0.59122224</v>
      </c>
      <c r="I3349" s="13" t="n">
        <f aca="false">IFERROR(MIN(F3349*Eingaben!$B$19,MAX(0,D3349-H3349)),0)</f>
        <v>1.407672</v>
      </c>
      <c r="J3349" s="13" t="n">
        <f aca="false">IFERROR(MIN(Eingaben!$B$18,MAX(0,F3349-I3349)),0)</f>
        <v>0.603288</v>
      </c>
      <c r="K3349" s="13" t="n">
        <f aca="false">H3349+I3349</f>
        <v>1.99889424</v>
      </c>
      <c r="L3349" s="13" t="n">
        <f aca="false">MAX(0,D3349-K3349)</f>
        <v>2.94110576</v>
      </c>
      <c r="M3349" s="13" t="n">
        <f aca="false">MAX(0,F3349-I3349-J3349)</f>
        <v>0</v>
      </c>
      <c r="N3349" s="13" t="n">
        <f aca="false">IF(Kalender!A55="",0,J3348-H3349)</f>
        <v>0.01206576</v>
      </c>
    </row>
    <row r="3350" customFormat="false" ht="16.4" hidden="false" customHeight="false" outlineLevel="0" collapsed="false">
      <c r="A3350" s="13" t="str">
        <f aca="false">""</f>
        <v/>
      </c>
      <c r="B3350" s="13" t="n">
        <f aca="false">52</f>
        <v>52</v>
      </c>
      <c r="C3350" s="13" t="n">
        <f aca="false">IF(Szenarien!$H$20="OK",(IFERROR(SUMIF(Nutzungsprofile!$B$6:$B$11,"Schulbetrieb",Nutzungsprofile!$G$6:$G$11)*Kalender!C56/SUM(Kalender!$C$5:$C$370),0)+IFERROR(SUMIF(Nutzungsprofile!$B$6:$B$11,"Halle",Nutzungsprofile!$G$6:$G$11)*Kalender!D56/SUM(Kalender!$D$5:$D$370),0)+IFERROR(SUMIF(Nutzungsprofile!$B$6:$B$11,"Individuell",Nutzungsprofile!$G$6:$G$11)*Kalender!E56/SUM(Kalender!$E$5:$E$370),0))*Szenarien!$E$20,0)</f>
        <v>1.632</v>
      </c>
      <c r="D3350" s="13" t="n">
        <f aca="false">IF(Szenarien!$H$20="OK",(IFERROR(SUMIF(Nutzungsprofile!$B$17:$B$22,"Schulbetrieb",Nutzungsprofile!$G$17:$G$22)*Kalender!C56/SUM(Kalender!$C$5:$C$370),0)+IFERROR(SUMIF(Nutzungsprofile!$B$17:$B$22,"Halle",Nutzungsprofile!$G$17:$G$22)*Kalender!D56/SUM(Kalender!$D$5:$D$370),0)+IFERROR(SUMIF(Nutzungsprofile!$B$17:$B$22,"Individuell",Nutzungsprofile!$G$17:$G$22)*Kalender!E56/SUM(Kalender!$E$5:$E$370),0))*Szenarien!$D$20,0)</f>
        <v>0.89</v>
      </c>
      <c r="E3350" s="13" t="n">
        <f aca="false">IFERROR(MIN(C3350,Eingaben!$B$17)*Eingaben!$B$16,0)</f>
        <v>1.5504</v>
      </c>
      <c r="F3350" s="13" t="n">
        <f aca="false">IFERROR(E3350*Eingaben!$B$15,0)</f>
        <v>1.39536</v>
      </c>
      <c r="G3350" s="13" t="n">
        <f aca="false">IFERROR(IF(Kalender!A56="",0,J3349*(1-Eingaben!$B$20)),0)</f>
        <v>0.59122224</v>
      </c>
      <c r="H3350" s="13" t="n">
        <f aca="false">MIN(G3350,D3350)</f>
        <v>0.59122224</v>
      </c>
      <c r="I3350" s="13" t="n">
        <f aca="false">IFERROR(MIN(F3350*Eingaben!$B$19,MAX(0,D3350-H3350)),0)</f>
        <v>0.29877776</v>
      </c>
      <c r="J3350" s="13" t="n">
        <f aca="false">IFERROR(MIN(Eingaben!$B$18,MAX(0,F3350-I3350)),0)</f>
        <v>1.09658224</v>
      </c>
      <c r="K3350" s="13" t="n">
        <f aca="false">H3350+I3350</f>
        <v>0.89</v>
      </c>
      <c r="L3350" s="13" t="n">
        <f aca="false">MAX(0,D3350-K3350)</f>
        <v>0</v>
      </c>
      <c r="M3350" s="13" t="n">
        <f aca="false">MAX(0,F3350-I3350-J3350)</f>
        <v>0</v>
      </c>
      <c r="N3350" s="13" t="n">
        <f aca="false">IF(Kalender!A56="",0,J3349-H3350)</f>
        <v>0.01206576</v>
      </c>
    </row>
    <row r="3351" customFormat="false" ht="16.4" hidden="false" customHeight="false" outlineLevel="0" collapsed="false">
      <c r="A3351" s="13" t="str">
        <f aca="false">""</f>
        <v/>
      </c>
      <c r="B3351" s="13" t="n">
        <f aca="false">53</f>
        <v>53</v>
      </c>
      <c r="C3351" s="13" t="n">
        <f aca="false">IF(Szenarien!$H$20="OK",(IFERROR(SUMIF(Nutzungsprofile!$B$6:$B$11,"Schulbetrieb",Nutzungsprofile!$G$6:$G$11)*Kalender!C57/SUM(Kalender!$C$5:$C$370),0)+IFERROR(SUMIF(Nutzungsprofile!$B$6:$B$11,"Halle",Nutzungsprofile!$G$6:$G$11)*Kalender!D57/SUM(Kalender!$D$5:$D$370),0)+IFERROR(SUMIF(Nutzungsprofile!$B$6:$B$11,"Individuell",Nutzungsprofile!$G$6:$G$11)*Kalender!E57/SUM(Kalender!$E$5:$E$370),0))*Szenarien!$E$20,0)</f>
        <v>1.632</v>
      </c>
      <c r="D3351" s="13" t="n">
        <f aca="false">IF(Szenarien!$H$20="OK",(IFERROR(SUMIF(Nutzungsprofile!$B$17:$B$22,"Schulbetrieb",Nutzungsprofile!$G$17:$G$22)*Kalender!C57/SUM(Kalender!$C$5:$C$370),0)+IFERROR(SUMIF(Nutzungsprofile!$B$17:$B$22,"Halle",Nutzungsprofile!$G$17:$G$22)*Kalender!D57/SUM(Kalender!$D$5:$D$370),0)+IFERROR(SUMIF(Nutzungsprofile!$B$17:$B$22,"Individuell",Nutzungsprofile!$G$17:$G$22)*Kalender!E57/SUM(Kalender!$E$5:$E$370),0))*Szenarien!$D$20,0)</f>
        <v>0.89</v>
      </c>
      <c r="E3351" s="13" t="n">
        <f aca="false">IFERROR(MIN(C3351,Eingaben!$B$17)*Eingaben!$B$16,0)</f>
        <v>1.5504</v>
      </c>
      <c r="F3351" s="13" t="n">
        <f aca="false">IFERROR(E3351*Eingaben!$B$15,0)</f>
        <v>1.39536</v>
      </c>
      <c r="G3351" s="13" t="n">
        <f aca="false">IFERROR(IF(Kalender!A57="",0,J3350*(1-Eingaben!$B$20)),0)</f>
        <v>1.0746505952</v>
      </c>
      <c r="H3351" s="13" t="n">
        <f aca="false">MIN(G3351,D3351)</f>
        <v>0.89</v>
      </c>
      <c r="I3351" s="13" t="n">
        <f aca="false">IFERROR(MIN(F3351*Eingaben!$B$19,MAX(0,D3351-H3351)),0)</f>
        <v>0</v>
      </c>
      <c r="J3351" s="13" t="n">
        <f aca="false">IFERROR(MIN(Eingaben!$B$18,MAX(0,F3351-I3351)),0)</f>
        <v>1.39536</v>
      </c>
      <c r="K3351" s="13" t="n">
        <f aca="false">H3351+I3351</f>
        <v>0.89</v>
      </c>
      <c r="L3351" s="13" t="n">
        <f aca="false">MAX(0,D3351-K3351)</f>
        <v>0</v>
      </c>
      <c r="M3351" s="13" t="n">
        <f aca="false">MAX(0,F3351-I3351-J3351)</f>
        <v>0</v>
      </c>
      <c r="N3351" s="13" t="n">
        <f aca="false">IF(Kalender!A57="",0,J3350-H3351)</f>
        <v>0.20658224</v>
      </c>
    </row>
    <row r="3352" customFormat="false" ht="16.4" hidden="false" customHeight="false" outlineLevel="0" collapsed="false">
      <c r="A3352" s="13" t="str">
        <f aca="false">""</f>
        <v/>
      </c>
      <c r="B3352" s="13" t="n">
        <f aca="false">54</f>
        <v>54</v>
      </c>
      <c r="C3352" s="13" t="n">
        <f aca="false">IF(Szenarien!$H$20="OK",(IFERROR(SUMIF(Nutzungsprofile!$B$6:$B$11,"Schulbetrieb",Nutzungsprofile!$G$6:$G$11)*Kalender!C58/SUM(Kalender!$C$5:$C$370),0)+IFERROR(SUMIF(Nutzungsprofile!$B$6:$B$11,"Halle",Nutzungsprofile!$G$6:$G$11)*Kalender!D58/SUM(Kalender!$D$5:$D$370),0)+IFERROR(SUMIF(Nutzungsprofile!$B$6:$B$11,"Individuell",Nutzungsprofile!$G$6:$G$11)*Kalender!E58/SUM(Kalender!$E$5:$E$370),0))*Szenarien!$E$20,0)</f>
        <v>2.352</v>
      </c>
      <c r="D3352" s="13" t="n">
        <f aca="false">IF(Szenarien!$H$20="OK",(IFERROR(SUMIF(Nutzungsprofile!$B$17:$B$22,"Schulbetrieb",Nutzungsprofile!$G$17:$G$22)*Kalender!C58/SUM(Kalender!$C$5:$C$370),0)+IFERROR(SUMIF(Nutzungsprofile!$B$17:$B$22,"Halle",Nutzungsprofile!$G$17:$G$22)*Kalender!D58/SUM(Kalender!$D$5:$D$370),0)+IFERROR(SUMIF(Nutzungsprofile!$B$17:$B$22,"Individuell",Nutzungsprofile!$G$17:$G$22)*Kalender!E58/SUM(Kalender!$E$5:$E$370),0))*Szenarien!$D$20,0)</f>
        <v>4.94</v>
      </c>
      <c r="E3352" s="13" t="n">
        <f aca="false">IFERROR(MIN(C3352,Eingaben!$B$17)*Eingaben!$B$16,0)</f>
        <v>2.2344</v>
      </c>
      <c r="F3352" s="13" t="n">
        <f aca="false">IFERROR(E3352*Eingaben!$B$15,0)</f>
        <v>2.01096</v>
      </c>
      <c r="G3352" s="13" t="n">
        <f aca="false">IFERROR(IF(Kalender!A58="",0,J3351*(1-Eingaben!$B$20)),0)</f>
        <v>1.3674528</v>
      </c>
      <c r="H3352" s="13" t="n">
        <f aca="false">MIN(G3352,D3352)</f>
        <v>1.3674528</v>
      </c>
      <c r="I3352" s="13" t="n">
        <f aca="false">IFERROR(MIN(F3352*Eingaben!$B$19,MAX(0,D3352-H3352)),0)</f>
        <v>1.407672</v>
      </c>
      <c r="J3352" s="13" t="n">
        <f aca="false">IFERROR(MIN(Eingaben!$B$18,MAX(0,F3352-I3352)),0)</f>
        <v>0.603288</v>
      </c>
      <c r="K3352" s="13" t="n">
        <f aca="false">H3352+I3352</f>
        <v>2.7751248</v>
      </c>
      <c r="L3352" s="13" t="n">
        <f aca="false">MAX(0,D3352-K3352)</f>
        <v>2.1648752</v>
      </c>
      <c r="M3352" s="13" t="n">
        <f aca="false">MAX(0,F3352-I3352-J3352)</f>
        <v>0</v>
      </c>
      <c r="N3352" s="13" t="n">
        <f aca="false">IF(Kalender!A58="",0,J3351-H3352)</f>
        <v>0.0279072</v>
      </c>
    </row>
    <row r="3353" customFormat="false" ht="16.4" hidden="false" customHeight="false" outlineLevel="0" collapsed="false">
      <c r="A3353" s="13" t="str">
        <f aca="false">""</f>
        <v/>
      </c>
      <c r="B3353" s="13" t="n">
        <f aca="false">55</f>
        <v>55</v>
      </c>
      <c r="C3353" s="13" t="n">
        <f aca="false">IF(Szenarien!$H$20="OK",(IFERROR(SUMIF(Nutzungsprofile!$B$6:$B$11,"Schulbetrieb",Nutzungsprofile!$G$6:$G$11)*Kalender!C59/SUM(Kalender!$C$5:$C$370),0)+IFERROR(SUMIF(Nutzungsprofile!$B$6:$B$11,"Halle",Nutzungsprofile!$G$6:$G$11)*Kalender!D59/SUM(Kalender!$D$5:$D$370),0)+IFERROR(SUMIF(Nutzungsprofile!$B$6:$B$11,"Individuell",Nutzungsprofile!$G$6:$G$11)*Kalender!E59/SUM(Kalender!$E$5:$E$370),0))*Szenarien!$E$20,0)</f>
        <v>2.352</v>
      </c>
      <c r="D3353" s="13" t="n">
        <f aca="false">IF(Szenarien!$H$20="OK",(IFERROR(SUMIF(Nutzungsprofile!$B$17:$B$22,"Schulbetrieb",Nutzungsprofile!$G$17:$G$22)*Kalender!C59/SUM(Kalender!$C$5:$C$370),0)+IFERROR(SUMIF(Nutzungsprofile!$B$17:$B$22,"Halle",Nutzungsprofile!$G$17:$G$22)*Kalender!D59/SUM(Kalender!$D$5:$D$370),0)+IFERROR(SUMIF(Nutzungsprofile!$B$17:$B$22,"Individuell",Nutzungsprofile!$G$17:$G$22)*Kalender!E59/SUM(Kalender!$E$5:$E$370),0))*Szenarien!$D$20,0)</f>
        <v>4.94</v>
      </c>
      <c r="E3353" s="13" t="n">
        <f aca="false">IFERROR(MIN(C3353,Eingaben!$B$17)*Eingaben!$B$16,0)</f>
        <v>2.2344</v>
      </c>
      <c r="F3353" s="13" t="n">
        <f aca="false">IFERROR(E3353*Eingaben!$B$15,0)</f>
        <v>2.01096</v>
      </c>
      <c r="G3353" s="13" t="n">
        <f aca="false">IFERROR(IF(Kalender!A59="",0,J3352*(1-Eingaben!$B$20)),0)</f>
        <v>0.59122224</v>
      </c>
      <c r="H3353" s="13" t="n">
        <f aca="false">MIN(G3353,D3353)</f>
        <v>0.59122224</v>
      </c>
      <c r="I3353" s="13" t="n">
        <f aca="false">IFERROR(MIN(F3353*Eingaben!$B$19,MAX(0,D3353-H3353)),0)</f>
        <v>1.407672</v>
      </c>
      <c r="J3353" s="13" t="n">
        <f aca="false">IFERROR(MIN(Eingaben!$B$18,MAX(0,F3353-I3353)),0)</f>
        <v>0.603288</v>
      </c>
      <c r="K3353" s="13" t="n">
        <f aca="false">H3353+I3353</f>
        <v>1.99889424</v>
      </c>
      <c r="L3353" s="13" t="n">
        <f aca="false">MAX(0,D3353-K3353)</f>
        <v>2.94110576</v>
      </c>
      <c r="M3353" s="13" t="n">
        <f aca="false">MAX(0,F3353-I3353-J3353)</f>
        <v>0</v>
      </c>
      <c r="N3353" s="13" t="n">
        <f aca="false">IF(Kalender!A59="",0,J3352-H3353)</f>
        <v>0.01206576</v>
      </c>
    </row>
    <row r="3354" customFormat="false" ht="16.4" hidden="false" customHeight="false" outlineLevel="0" collapsed="false">
      <c r="A3354" s="13" t="str">
        <f aca="false">""</f>
        <v/>
      </c>
      <c r="B3354" s="13" t="n">
        <f aca="false">56</f>
        <v>56</v>
      </c>
      <c r="C3354" s="13" t="n">
        <f aca="false">IF(Szenarien!$H$20="OK",(IFERROR(SUMIF(Nutzungsprofile!$B$6:$B$11,"Schulbetrieb",Nutzungsprofile!$G$6:$G$11)*Kalender!C60/SUM(Kalender!$C$5:$C$370),0)+IFERROR(SUMIF(Nutzungsprofile!$B$6:$B$11,"Halle",Nutzungsprofile!$G$6:$G$11)*Kalender!D60/SUM(Kalender!$D$5:$D$370),0)+IFERROR(SUMIF(Nutzungsprofile!$B$6:$B$11,"Individuell",Nutzungsprofile!$G$6:$G$11)*Kalender!E60/SUM(Kalender!$E$5:$E$370),0))*Szenarien!$E$20,0)</f>
        <v>2.352</v>
      </c>
      <c r="D3354" s="13" t="n">
        <f aca="false">IF(Szenarien!$H$20="OK",(IFERROR(SUMIF(Nutzungsprofile!$B$17:$B$22,"Schulbetrieb",Nutzungsprofile!$G$17:$G$22)*Kalender!C60/SUM(Kalender!$C$5:$C$370),0)+IFERROR(SUMIF(Nutzungsprofile!$B$17:$B$22,"Halle",Nutzungsprofile!$G$17:$G$22)*Kalender!D60/SUM(Kalender!$D$5:$D$370),0)+IFERROR(SUMIF(Nutzungsprofile!$B$17:$B$22,"Individuell",Nutzungsprofile!$G$17:$G$22)*Kalender!E60/SUM(Kalender!$E$5:$E$370),0))*Szenarien!$D$20,0)</f>
        <v>4.94</v>
      </c>
      <c r="E3354" s="13" t="n">
        <f aca="false">IFERROR(MIN(C3354,Eingaben!$B$17)*Eingaben!$B$16,0)</f>
        <v>2.2344</v>
      </c>
      <c r="F3354" s="13" t="n">
        <f aca="false">IFERROR(E3354*Eingaben!$B$15,0)</f>
        <v>2.01096</v>
      </c>
      <c r="G3354" s="13" t="n">
        <f aca="false">IFERROR(IF(Kalender!A60="",0,J3353*(1-Eingaben!$B$20)),0)</f>
        <v>0.59122224</v>
      </c>
      <c r="H3354" s="13" t="n">
        <f aca="false">MIN(G3354,D3354)</f>
        <v>0.59122224</v>
      </c>
      <c r="I3354" s="13" t="n">
        <f aca="false">IFERROR(MIN(F3354*Eingaben!$B$19,MAX(0,D3354-H3354)),0)</f>
        <v>1.407672</v>
      </c>
      <c r="J3354" s="13" t="n">
        <f aca="false">IFERROR(MIN(Eingaben!$B$18,MAX(0,F3354-I3354)),0)</f>
        <v>0.603288</v>
      </c>
      <c r="K3354" s="13" t="n">
        <f aca="false">H3354+I3354</f>
        <v>1.99889424</v>
      </c>
      <c r="L3354" s="13" t="n">
        <f aca="false">MAX(0,D3354-K3354)</f>
        <v>2.94110576</v>
      </c>
      <c r="M3354" s="13" t="n">
        <f aca="false">MAX(0,F3354-I3354-J3354)</f>
        <v>0</v>
      </c>
      <c r="N3354" s="13" t="n">
        <f aca="false">IF(Kalender!A60="",0,J3353-H3354)</f>
        <v>0.01206576</v>
      </c>
    </row>
    <row r="3355" customFormat="false" ht="16.4" hidden="false" customHeight="false" outlineLevel="0" collapsed="false">
      <c r="A3355" s="13" t="str">
        <f aca="false">""</f>
        <v/>
      </c>
      <c r="B3355" s="13" t="n">
        <f aca="false">57</f>
        <v>57</v>
      </c>
      <c r="C3355" s="13" t="n">
        <f aca="false">IF(Szenarien!$H$20="OK",(IFERROR(SUMIF(Nutzungsprofile!$B$6:$B$11,"Schulbetrieb",Nutzungsprofile!$G$6:$G$11)*Kalender!C61/SUM(Kalender!$C$5:$C$370),0)+IFERROR(SUMIF(Nutzungsprofile!$B$6:$B$11,"Halle",Nutzungsprofile!$G$6:$G$11)*Kalender!D61/SUM(Kalender!$D$5:$D$370),0)+IFERROR(SUMIF(Nutzungsprofile!$B$6:$B$11,"Individuell",Nutzungsprofile!$G$6:$G$11)*Kalender!E61/SUM(Kalender!$E$5:$E$370),0))*Szenarien!$E$20,0)</f>
        <v>2.352</v>
      </c>
      <c r="D3355" s="13" t="n">
        <f aca="false">IF(Szenarien!$H$20="OK",(IFERROR(SUMIF(Nutzungsprofile!$B$17:$B$22,"Schulbetrieb",Nutzungsprofile!$G$17:$G$22)*Kalender!C61/SUM(Kalender!$C$5:$C$370),0)+IFERROR(SUMIF(Nutzungsprofile!$B$17:$B$22,"Halle",Nutzungsprofile!$G$17:$G$22)*Kalender!D61/SUM(Kalender!$D$5:$D$370),0)+IFERROR(SUMIF(Nutzungsprofile!$B$17:$B$22,"Individuell",Nutzungsprofile!$G$17:$G$22)*Kalender!E61/SUM(Kalender!$E$5:$E$370),0))*Szenarien!$D$20,0)</f>
        <v>4.94</v>
      </c>
      <c r="E3355" s="13" t="n">
        <f aca="false">IFERROR(MIN(C3355,Eingaben!$B$17)*Eingaben!$B$16,0)</f>
        <v>2.2344</v>
      </c>
      <c r="F3355" s="13" t="n">
        <f aca="false">IFERROR(E3355*Eingaben!$B$15,0)</f>
        <v>2.01096</v>
      </c>
      <c r="G3355" s="13" t="n">
        <f aca="false">IFERROR(IF(Kalender!A61="",0,J3354*(1-Eingaben!$B$20)),0)</f>
        <v>0.59122224</v>
      </c>
      <c r="H3355" s="13" t="n">
        <f aca="false">MIN(G3355,D3355)</f>
        <v>0.59122224</v>
      </c>
      <c r="I3355" s="13" t="n">
        <f aca="false">IFERROR(MIN(F3355*Eingaben!$B$19,MAX(0,D3355-H3355)),0)</f>
        <v>1.407672</v>
      </c>
      <c r="J3355" s="13" t="n">
        <f aca="false">IFERROR(MIN(Eingaben!$B$18,MAX(0,F3355-I3355)),0)</f>
        <v>0.603288</v>
      </c>
      <c r="K3355" s="13" t="n">
        <f aca="false">H3355+I3355</f>
        <v>1.99889424</v>
      </c>
      <c r="L3355" s="13" t="n">
        <f aca="false">MAX(0,D3355-K3355)</f>
        <v>2.94110576</v>
      </c>
      <c r="M3355" s="13" t="n">
        <f aca="false">MAX(0,F3355-I3355-J3355)</f>
        <v>0</v>
      </c>
      <c r="N3355" s="13" t="n">
        <f aca="false">IF(Kalender!A61="",0,J3354-H3355)</f>
        <v>0.01206576</v>
      </c>
    </row>
    <row r="3356" customFormat="false" ht="16.4" hidden="false" customHeight="false" outlineLevel="0" collapsed="false">
      <c r="A3356" s="13" t="str">
        <f aca="false">""</f>
        <v/>
      </c>
      <c r="B3356" s="13" t="n">
        <f aca="false">58</f>
        <v>58</v>
      </c>
      <c r="C3356" s="13" t="n">
        <f aca="false">IF(Szenarien!$H$20="OK",(IFERROR(SUMIF(Nutzungsprofile!$B$6:$B$11,"Schulbetrieb",Nutzungsprofile!$G$6:$G$11)*Kalender!C62/SUM(Kalender!$C$5:$C$370),0)+IFERROR(SUMIF(Nutzungsprofile!$B$6:$B$11,"Halle",Nutzungsprofile!$G$6:$G$11)*Kalender!D62/SUM(Kalender!$D$5:$D$370),0)+IFERROR(SUMIF(Nutzungsprofile!$B$6:$B$11,"Individuell",Nutzungsprofile!$G$6:$G$11)*Kalender!E62/SUM(Kalender!$E$5:$E$370),0))*Szenarien!$E$20,0)</f>
        <v>2.352</v>
      </c>
      <c r="D3356" s="13" t="n">
        <f aca="false">IF(Szenarien!$H$20="OK",(IFERROR(SUMIF(Nutzungsprofile!$B$17:$B$22,"Schulbetrieb",Nutzungsprofile!$G$17:$G$22)*Kalender!C62/SUM(Kalender!$C$5:$C$370),0)+IFERROR(SUMIF(Nutzungsprofile!$B$17:$B$22,"Halle",Nutzungsprofile!$G$17:$G$22)*Kalender!D62/SUM(Kalender!$D$5:$D$370),0)+IFERROR(SUMIF(Nutzungsprofile!$B$17:$B$22,"Individuell",Nutzungsprofile!$G$17:$G$22)*Kalender!E62/SUM(Kalender!$E$5:$E$370),0))*Szenarien!$D$20,0)</f>
        <v>4.94</v>
      </c>
      <c r="E3356" s="13" t="n">
        <f aca="false">IFERROR(MIN(C3356,Eingaben!$B$17)*Eingaben!$B$16,0)</f>
        <v>2.2344</v>
      </c>
      <c r="F3356" s="13" t="n">
        <f aca="false">IFERROR(E3356*Eingaben!$B$15,0)</f>
        <v>2.01096</v>
      </c>
      <c r="G3356" s="13" t="n">
        <f aca="false">IFERROR(IF(Kalender!A62="",0,J3355*(1-Eingaben!$B$20)),0)</f>
        <v>0.59122224</v>
      </c>
      <c r="H3356" s="13" t="n">
        <f aca="false">MIN(G3356,D3356)</f>
        <v>0.59122224</v>
      </c>
      <c r="I3356" s="13" t="n">
        <f aca="false">IFERROR(MIN(F3356*Eingaben!$B$19,MAX(0,D3356-H3356)),0)</f>
        <v>1.407672</v>
      </c>
      <c r="J3356" s="13" t="n">
        <f aca="false">IFERROR(MIN(Eingaben!$B$18,MAX(0,F3356-I3356)),0)</f>
        <v>0.603288</v>
      </c>
      <c r="K3356" s="13" t="n">
        <f aca="false">H3356+I3356</f>
        <v>1.99889424</v>
      </c>
      <c r="L3356" s="13" t="n">
        <f aca="false">MAX(0,D3356-K3356)</f>
        <v>2.94110576</v>
      </c>
      <c r="M3356" s="13" t="n">
        <f aca="false">MAX(0,F3356-I3356-J3356)</f>
        <v>0</v>
      </c>
      <c r="N3356" s="13" t="n">
        <f aca="false">IF(Kalender!A62="",0,J3355-H3356)</f>
        <v>0.01206576</v>
      </c>
    </row>
    <row r="3357" customFormat="false" ht="16.4" hidden="false" customHeight="false" outlineLevel="0" collapsed="false">
      <c r="A3357" s="13" t="str">
        <f aca="false">""</f>
        <v/>
      </c>
      <c r="B3357" s="13" t="n">
        <f aca="false">59</f>
        <v>59</v>
      </c>
      <c r="C3357" s="13" t="n">
        <f aca="false">IF(Szenarien!$H$20="OK",(IFERROR(SUMIF(Nutzungsprofile!$B$6:$B$11,"Schulbetrieb",Nutzungsprofile!$G$6:$G$11)*Kalender!C63/SUM(Kalender!$C$5:$C$370),0)+IFERROR(SUMIF(Nutzungsprofile!$B$6:$B$11,"Halle",Nutzungsprofile!$G$6:$G$11)*Kalender!D63/SUM(Kalender!$D$5:$D$370),0)+IFERROR(SUMIF(Nutzungsprofile!$B$6:$B$11,"Individuell",Nutzungsprofile!$G$6:$G$11)*Kalender!E63/SUM(Kalender!$E$5:$E$370),0))*Szenarien!$E$20,0)</f>
        <v>1.632</v>
      </c>
      <c r="D3357" s="13" t="n">
        <f aca="false">IF(Szenarien!$H$20="OK",(IFERROR(SUMIF(Nutzungsprofile!$B$17:$B$22,"Schulbetrieb",Nutzungsprofile!$G$17:$G$22)*Kalender!C63/SUM(Kalender!$C$5:$C$370),0)+IFERROR(SUMIF(Nutzungsprofile!$B$17:$B$22,"Halle",Nutzungsprofile!$G$17:$G$22)*Kalender!D63/SUM(Kalender!$D$5:$D$370),0)+IFERROR(SUMIF(Nutzungsprofile!$B$17:$B$22,"Individuell",Nutzungsprofile!$G$17:$G$22)*Kalender!E63/SUM(Kalender!$E$5:$E$370),0))*Szenarien!$D$20,0)</f>
        <v>0.89</v>
      </c>
      <c r="E3357" s="13" t="n">
        <f aca="false">IFERROR(MIN(C3357,Eingaben!$B$17)*Eingaben!$B$16,0)</f>
        <v>1.5504</v>
      </c>
      <c r="F3357" s="13" t="n">
        <f aca="false">IFERROR(E3357*Eingaben!$B$15,0)</f>
        <v>1.39536</v>
      </c>
      <c r="G3357" s="13" t="n">
        <f aca="false">IFERROR(IF(Kalender!A63="",0,J3356*(1-Eingaben!$B$20)),0)</f>
        <v>0.59122224</v>
      </c>
      <c r="H3357" s="13" t="n">
        <f aca="false">MIN(G3357,D3357)</f>
        <v>0.59122224</v>
      </c>
      <c r="I3357" s="13" t="n">
        <f aca="false">IFERROR(MIN(F3357*Eingaben!$B$19,MAX(0,D3357-H3357)),0)</f>
        <v>0.29877776</v>
      </c>
      <c r="J3357" s="13" t="n">
        <f aca="false">IFERROR(MIN(Eingaben!$B$18,MAX(0,F3357-I3357)),0)</f>
        <v>1.09658224</v>
      </c>
      <c r="K3357" s="13" t="n">
        <f aca="false">H3357+I3357</f>
        <v>0.89</v>
      </c>
      <c r="L3357" s="13" t="n">
        <f aca="false">MAX(0,D3357-K3357)</f>
        <v>0</v>
      </c>
      <c r="M3357" s="13" t="n">
        <f aca="false">MAX(0,F3357-I3357-J3357)</f>
        <v>0</v>
      </c>
      <c r="N3357" s="13" t="n">
        <f aca="false">IF(Kalender!A63="",0,J3356-H3357)</f>
        <v>0.01206576</v>
      </c>
    </row>
    <row r="3358" customFormat="false" ht="16.4" hidden="false" customHeight="false" outlineLevel="0" collapsed="false">
      <c r="A3358" s="13" t="str">
        <f aca="false">""</f>
        <v/>
      </c>
      <c r="B3358" s="13" t="n">
        <f aca="false">60</f>
        <v>60</v>
      </c>
      <c r="C3358" s="13" t="n">
        <f aca="false">IF(Szenarien!$H$20="OK",(IFERROR(SUMIF(Nutzungsprofile!$B$6:$B$11,"Schulbetrieb",Nutzungsprofile!$G$6:$G$11)*Kalender!C64/SUM(Kalender!$C$5:$C$370),0)+IFERROR(SUMIF(Nutzungsprofile!$B$6:$B$11,"Halle",Nutzungsprofile!$G$6:$G$11)*Kalender!D64/SUM(Kalender!$D$5:$D$370),0)+IFERROR(SUMIF(Nutzungsprofile!$B$6:$B$11,"Individuell",Nutzungsprofile!$G$6:$G$11)*Kalender!E64/SUM(Kalender!$E$5:$E$370),0))*Szenarien!$E$20,0)</f>
        <v>1.632</v>
      </c>
      <c r="D3358" s="13" t="n">
        <f aca="false">IF(Szenarien!$H$20="OK",(IFERROR(SUMIF(Nutzungsprofile!$B$17:$B$22,"Schulbetrieb",Nutzungsprofile!$G$17:$G$22)*Kalender!C64/SUM(Kalender!$C$5:$C$370),0)+IFERROR(SUMIF(Nutzungsprofile!$B$17:$B$22,"Halle",Nutzungsprofile!$G$17:$G$22)*Kalender!D64/SUM(Kalender!$D$5:$D$370),0)+IFERROR(SUMIF(Nutzungsprofile!$B$17:$B$22,"Individuell",Nutzungsprofile!$G$17:$G$22)*Kalender!E64/SUM(Kalender!$E$5:$E$370),0))*Szenarien!$D$20,0)</f>
        <v>0.89</v>
      </c>
      <c r="E3358" s="13" t="n">
        <f aca="false">IFERROR(MIN(C3358,Eingaben!$B$17)*Eingaben!$B$16,0)</f>
        <v>1.5504</v>
      </c>
      <c r="F3358" s="13" t="n">
        <f aca="false">IFERROR(E3358*Eingaben!$B$15,0)</f>
        <v>1.39536</v>
      </c>
      <c r="G3358" s="13" t="n">
        <f aca="false">IFERROR(IF(Kalender!A64="",0,J3357*(1-Eingaben!$B$20)),0)</f>
        <v>1.0746505952</v>
      </c>
      <c r="H3358" s="13" t="n">
        <f aca="false">MIN(G3358,D3358)</f>
        <v>0.89</v>
      </c>
      <c r="I3358" s="13" t="n">
        <f aca="false">IFERROR(MIN(F3358*Eingaben!$B$19,MAX(0,D3358-H3358)),0)</f>
        <v>0</v>
      </c>
      <c r="J3358" s="13" t="n">
        <f aca="false">IFERROR(MIN(Eingaben!$B$18,MAX(0,F3358-I3358)),0)</f>
        <v>1.39536</v>
      </c>
      <c r="K3358" s="13" t="n">
        <f aca="false">H3358+I3358</f>
        <v>0.89</v>
      </c>
      <c r="L3358" s="13" t="n">
        <f aca="false">MAX(0,D3358-K3358)</f>
        <v>0</v>
      </c>
      <c r="M3358" s="13" t="n">
        <f aca="false">MAX(0,F3358-I3358-J3358)</f>
        <v>0</v>
      </c>
      <c r="N3358" s="13" t="n">
        <f aca="false">IF(Kalender!A64="",0,J3357-H3358)</f>
        <v>0.20658224</v>
      </c>
    </row>
    <row r="3359" customFormat="false" ht="16.4" hidden="false" customHeight="false" outlineLevel="0" collapsed="false">
      <c r="A3359" s="13" t="str">
        <f aca="false">""</f>
        <v/>
      </c>
      <c r="B3359" s="13" t="n">
        <f aca="false">61</f>
        <v>61</v>
      </c>
      <c r="C3359" s="13" t="n">
        <f aca="false">IF(Szenarien!$H$20="OK",(IFERROR(SUMIF(Nutzungsprofile!$B$6:$B$11,"Schulbetrieb",Nutzungsprofile!$G$6:$G$11)*Kalender!C65/SUM(Kalender!$C$5:$C$370),0)+IFERROR(SUMIF(Nutzungsprofile!$B$6:$B$11,"Halle",Nutzungsprofile!$G$6:$G$11)*Kalender!D65/SUM(Kalender!$D$5:$D$370),0)+IFERROR(SUMIF(Nutzungsprofile!$B$6:$B$11,"Individuell",Nutzungsprofile!$G$6:$G$11)*Kalender!E65/SUM(Kalender!$E$5:$E$370),0))*Szenarien!$E$20,0)</f>
        <v>2.352</v>
      </c>
      <c r="D3359" s="13" t="n">
        <f aca="false">IF(Szenarien!$H$20="OK",(IFERROR(SUMIF(Nutzungsprofile!$B$17:$B$22,"Schulbetrieb",Nutzungsprofile!$G$17:$G$22)*Kalender!C65/SUM(Kalender!$C$5:$C$370),0)+IFERROR(SUMIF(Nutzungsprofile!$B$17:$B$22,"Halle",Nutzungsprofile!$G$17:$G$22)*Kalender!D65/SUM(Kalender!$D$5:$D$370),0)+IFERROR(SUMIF(Nutzungsprofile!$B$17:$B$22,"Individuell",Nutzungsprofile!$G$17:$G$22)*Kalender!E65/SUM(Kalender!$E$5:$E$370),0))*Szenarien!$D$20,0)</f>
        <v>4.94</v>
      </c>
      <c r="E3359" s="13" t="n">
        <f aca="false">IFERROR(MIN(C3359,Eingaben!$B$17)*Eingaben!$B$16,0)</f>
        <v>2.2344</v>
      </c>
      <c r="F3359" s="13" t="n">
        <f aca="false">IFERROR(E3359*Eingaben!$B$15,0)</f>
        <v>2.01096</v>
      </c>
      <c r="G3359" s="13" t="n">
        <f aca="false">IFERROR(IF(Kalender!A65="",0,J3358*(1-Eingaben!$B$20)),0)</f>
        <v>1.3674528</v>
      </c>
      <c r="H3359" s="13" t="n">
        <f aca="false">MIN(G3359,D3359)</f>
        <v>1.3674528</v>
      </c>
      <c r="I3359" s="13" t="n">
        <f aca="false">IFERROR(MIN(F3359*Eingaben!$B$19,MAX(0,D3359-H3359)),0)</f>
        <v>1.407672</v>
      </c>
      <c r="J3359" s="13" t="n">
        <f aca="false">IFERROR(MIN(Eingaben!$B$18,MAX(0,F3359-I3359)),0)</f>
        <v>0.603288</v>
      </c>
      <c r="K3359" s="13" t="n">
        <f aca="false">H3359+I3359</f>
        <v>2.7751248</v>
      </c>
      <c r="L3359" s="13" t="n">
        <f aca="false">MAX(0,D3359-K3359)</f>
        <v>2.1648752</v>
      </c>
      <c r="M3359" s="13" t="n">
        <f aca="false">MAX(0,F3359-I3359-J3359)</f>
        <v>0</v>
      </c>
      <c r="N3359" s="13" t="n">
        <f aca="false">IF(Kalender!A65="",0,J3358-H3359)</f>
        <v>0.0279072</v>
      </c>
    </row>
    <row r="3360" customFormat="false" ht="16.4" hidden="false" customHeight="false" outlineLevel="0" collapsed="false">
      <c r="A3360" s="13" t="str">
        <f aca="false">""</f>
        <v/>
      </c>
      <c r="B3360" s="13" t="n">
        <f aca="false">62</f>
        <v>62</v>
      </c>
      <c r="C3360" s="13" t="n">
        <f aca="false">IF(Szenarien!$H$20="OK",(IFERROR(SUMIF(Nutzungsprofile!$B$6:$B$11,"Schulbetrieb",Nutzungsprofile!$G$6:$G$11)*Kalender!C66/SUM(Kalender!$C$5:$C$370),0)+IFERROR(SUMIF(Nutzungsprofile!$B$6:$B$11,"Halle",Nutzungsprofile!$G$6:$G$11)*Kalender!D66/SUM(Kalender!$D$5:$D$370),0)+IFERROR(SUMIF(Nutzungsprofile!$B$6:$B$11,"Individuell",Nutzungsprofile!$G$6:$G$11)*Kalender!E66/SUM(Kalender!$E$5:$E$370),0))*Szenarien!$E$20,0)</f>
        <v>2.352</v>
      </c>
      <c r="D3360" s="13" t="n">
        <f aca="false">IF(Szenarien!$H$20="OK",(IFERROR(SUMIF(Nutzungsprofile!$B$17:$B$22,"Schulbetrieb",Nutzungsprofile!$G$17:$G$22)*Kalender!C66/SUM(Kalender!$C$5:$C$370),0)+IFERROR(SUMIF(Nutzungsprofile!$B$17:$B$22,"Halle",Nutzungsprofile!$G$17:$G$22)*Kalender!D66/SUM(Kalender!$D$5:$D$370),0)+IFERROR(SUMIF(Nutzungsprofile!$B$17:$B$22,"Individuell",Nutzungsprofile!$G$17:$G$22)*Kalender!E66/SUM(Kalender!$E$5:$E$370),0))*Szenarien!$D$20,0)</f>
        <v>4.94</v>
      </c>
      <c r="E3360" s="13" t="n">
        <f aca="false">IFERROR(MIN(C3360,Eingaben!$B$17)*Eingaben!$B$16,0)</f>
        <v>2.2344</v>
      </c>
      <c r="F3360" s="13" t="n">
        <f aca="false">IFERROR(E3360*Eingaben!$B$15,0)</f>
        <v>2.01096</v>
      </c>
      <c r="G3360" s="13" t="n">
        <f aca="false">IFERROR(IF(Kalender!A66="",0,J3359*(1-Eingaben!$B$20)),0)</f>
        <v>0.59122224</v>
      </c>
      <c r="H3360" s="13" t="n">
        <f aca="false">MIN(G3360,D3360)</f>
        <v>0.59122224</v>
      </c>
      <c r="I3360" s="13" t="n">
        <f aca="false">IFERROR(MIN(F3360*Eingaben!$B$19,MAX(0,D3360-H3360)),0)</f>
        <v>1.407672</v>
      </c>
      <c r="J3360" s="13" t="n">
        <f aca="false">IFERROR(MIN(Eingaben!$B$18,MAX(0,F3360-I3360)),0)</f>
        <v>0.603288</v>
      </c>
      <c r="K3360" s="13" t="n">
        <f aca="false">H3360+I3360</f>
        <v>1.99889424</v>
      </c>
      <c r="L3360" s="13" t="n">
        <f aca="false">MAX(0,D3360-K3360)</f>
        <v>2.94110576</v>
      </c>
      <c r="M3360" s="13" t="n">
        <f aca="false">MAX(0,F3360-I3360-J3360)</f>
        <v>0</v>
      </c>
      <c r="N3360" s="13" t="n">
        <f aca="false">IF(Kalender!A66="",0,J3359-H3360)</f>
        <v>0.01206576</v>
      </c>
    </row>
    <row r="3361" customFormat="false" ht="16.4" hidden="false" customHeight="false" outlineLevel="0" collapsed="false">
      <c r="A3361" s="13" t="str">
        <f aca="false">""</f>
        <v/>
      </c>
      <c r="B3361" s="13" t="n">
        <f aca="false">63</f>
        <v>63</v>
      </c>
      <c r="C3361" s="13" t="n">
        <f aca="false">IF(Szenarien!$H$20="OK",(IFERROR(SUMIF(Nutzungsprofile!$B$6:$B$11,"Schulbetrieb",Nutzungsprofile!$G$6:$G$11)*Kalender!C67/SUM(Kalender!$C$5:$C$370),0)+IFERROR(SUMIF(Nutzungsprofile!$B$6:$B$11,"Halle",Nutzungsprofile!$G$6:$G$11)*Kalender!D67/SUM(Kalender!$D$5:$D$370),0)+IFERROR(SUMIF(Nutzungsprofile!$B$6:$B$11,"Individuell",Nutzungsprofile!$G$6:$G$11)*Kalender!E67/SUM(Kalender!$E$5:$E$370),0))*Szenarien!$E$20,0)</f>
        <v>2.352</v>
      </c>
      <c r="D3361" s="13" t="n">
        <f aca="false">IF(Szenarien!$H$20="OK",(IFERROR(SUMIF(Nutzungsprofile!$B$17:$B$22,"Schulbetrieb",Nutzungsprofile!$G$17:$G$22)*Kalender!C67/SUM(Kalender!$C$5:$C$370),0)+IFERROR(SUMIF(Nutzungsprofile!$B$17:$B$22,"Halle",Nutzungsprofile!$G$17:$G$22)*Kalender!D67/SUM(Kalender!$D$5:$D$370),0)+IFERROR(SUMIF(Nutzungsprofile!$B$17:$B$22,"Individuell",Nutzungsprofile!$G$17:$G$22)*Kalender!E67/SUM(Kalender!$E$5:$E$370),0))*Szenarien!$D$20,0)</f>
        <v>4.94</v>
      </c>
      <c r="E3361" s="13" t="n">
        <f aca="false">IFERROR(MIN(C3361,Eingaben!$B$17)*Eingaben!$B$16,0)</f>
        <v>2.2344</v>
      </c>
      <c r="F3361" s="13" t="n">
        <f aca="false">IFERROR(E3361*Eingaben!$B$15,0)</f>
        <v>2.01096</v>
      </c>
      <c r="G3361" s="13" t="n">
        <f aca="false">IFERROR(IF(Kalender!A67="",0,J3360*(1-Eingaben!$B$20)),0)</f>
        <v>0.59122224</v>
      </c>
      <c r="H3361" s="13" t="n">
        <f aca="false">MIN(G3361,D3361)</f>
        <v>0.59122224</v>
      </c>
      <c r="I3361" s="13" t="n">
        <f aca="false">IFERROR(MIN(F3361*Eingaben!$B$19,MAX(0,D3361-H3361)),0)</f>
        <v>1.407672</v>
      </c>
      <c r="J3361" s="13" t="n">
        <f aca="false">IFERROR(MIN(Eingaben!$B$18,MAX(0,F3361-I3361)),0)</f>
        <v>0.603288</v>
      </c>
      <c r="K3361" s="13" t="n">
        <f aca="false">H3361+I3361</f>
        <v>1.99889424</v>
      </c>
      <c r="L3361" s="13" t="n">
        <f aca="false">MAX(0,D3361-K3361)</f>
        <v>2.94110576</v>
      </c>
      <c r="M3361" s="13" t="n">
        <f aca="false">MAX(0,F3361-I3361-J3361)</f>
        <v>0</v>
      </c>
      <c r="N3361" s="13" t="n">
        <f aca="false">IF(Kalender!A67="",0,J3360-H3361)</f>
        <v>0.01206576</v>
      </c>
    </row>
    <row r="3362" customFormat="false" ht="16.4" hidden="false" customHeight="false" outlineLevel="0" collapsed="false">
      <c r="A3362" s="13" t="str">
        <f aca="false">""</f>
        <v/>
      </c>
      <c r="B3362" s="13" t="n">
        <f aca="false">64</f>
        <v>64</v>
      </c>
      <c r="C3362" s="13" t="n">
        <f aca="false">IF(Szenarien!$H$20="OK",(IFERROR(SUMIF(Nutzungsprofile!$B$6:$B$11,"Schulbetrieb",Nutzungsprofile!$G$6:$G$11)*Kalender!C68/SUM(Kalender!$C$5:$C$370),0)+IFERROR(SUMIF(Nutzungsprofile!$B$6:$B$11,"Halle",Nutzungsprofile!$G$6:$G$11)*Kalender!D68/SUM(Kalender!$D$5:$D$370),0)+IFERROR(SUMIF(Nutzungsprofile!$B$6:$B$11,"Individuell",Nutzungsprofile!$G$6:$G$11)*Kalender!E68/SUM(Kalender!$E$5:$E$370),0))*Szenarien!$E$20,0)</f>
        <v>2.352</v>
      </c>
      <c r="D3362" s="13" t="n">
        <f aca="false">IF(Szenarien!$H$20="OK",(IFERROR(SUMIF(Nutzungsprofile!$B$17:$B$22,"Schulbetrieb",Nutzungsprofile!$G$17:$G$22)*Kalender!C68/SUM(Kalender!$C$5:$C$370),0)+IFERROR(SUMIF(Nutzungsprofile!$B$17:$B$22,"Halle",Nutzungsprofile!$G$17:$G$22)*Kalender!D68/SUM(Kalender!$D$5:$D$370),0)+IFERROR(SUMIF(Nutzungsprofile!$B$17:$B$22,"Individuell",Nutzungsprofile!$G$17:$G$22)*Kalender!E68/SUM(Kalender!$E$5:$E$370),0))*Szenarien!$D$20,0)</f>
        <v>4.94</v>
      </c>
      <c r="E3362" s="13" t="n">
        <f aca="false">IFERROR(MIN(C3362,Eingaben!$B$17)*Eingaben!$B$16,0)</f>
        <v>2.2344</v>
      </c>
      <c r="F3362" s="13" t="n">
        <f aca="false">IFERROR(E3362*Eingaben!$B$15,0)</f>
        <v>2.01096</v>
      </c>
      <c r="G3362" s="13" t="n">
        <f aca="false">IFERROR(IF(Kalender!A68="",0,J3361*(1-Eingaben!$B$20)),0)</f>
        <v>0.59122224</v>
      </c>
      <c r="H3362" s="13" t="n">
        <f aca="false">MIN(G3362,D3362)</f>
        <v>0.59122224</v>
      </c>
      <c r="I3362" s="13" t="n">
        <f aca="false">IFERROR(MIN(F3362*Eingaben!$B$19,MAX(0,D3362-H3362)),0)</f>
        <v>1.407672</v>
      </c>
      <c r="J3362" s="13" t="n">
        <f aca="false">IFERROR(MIN(Eingaben!$B$18,MAX(0,F3362-I3362)),0)</f>
        <v>0.603288</v>
      </c>
      <c r="K3362" s="13" t="n">
        <f aca="false">H3362+I3362</f>
        <v>1.99889424</v>
      </c>
      <c r="L3362" s="13" t="n">
        <f aca="false">MAX(0,D3362-K3362)</f>
        <v>2.94110576</v>
      </c>
      <c r="M3362" s="13" t="n">
        <f aca="false">MAX(0,F3362-I3362-J3362)</f>
        <v>0</v>
      </c>
      <c r="N3362" s="13" t="n">
        <f aca="false">IF(Kalender!A68="",0,J3361-H3362)</f>
        <v>0.01206576</v>
      </c>
    </row>
    <row r="3363" customFormat="false" ht="16.4" hidden="false" customHeight="false" outlineLevel="0" collapsed="false">
      <c r="A3363" s="13" t="str">
        <f aca="false">""</f>
        <v/>
      </c>
      <c r="B3363" s="13" t="n">
        <f aca="false">65</f>
        <v>65</v>
      </c>
      <c r="C3363" s="13" t="n">
        <f aca="false">IF(Szenarien!$H$20="OK",(IFERROR(SUMIF(Nutzungsprofile!$B$6:$B$11,"Schulbetrieb",Nutzungsprofile!$G$6:$G$11)*Kalender!C69/SUM(Kalender!$C$5:$C$370),0)+IFERROR(SUMIF(Nutzungsprofile!$B$6:$B$11,"Halle",Nutzungsprofile!$G$6:$G$11)*Kalender!D69/SUM(Kalender!$D$5:$D$370),0)+IFERROR(SUMIF(Nutzungsprofile!$B$6:$B$11,"Individuell",Nutzungsprofile!$G$6:$G$11)*Kalender!E69/SUM(Kalender!$E$5:$E$370),0))*Szenarien!$E$20,0)</f>
        <v>2.352</v>
      </c>
      <c r="D3363" s="13" t="n">
        <f aca="false">IF(Szenarien!$H$20="OK",(IFERROR(SUMIF(Nutzungsprofile!$B$17:$B$22,"Schulbetrieb",Nutzungsprofile!$G$17:$G$22)*Kalender!C69/SUM(Kalender!$C$5:$C$370),0)+IFERROR(SUMIF(Nutzungsprofile!$B$17:$B$22,"Halle",Nutzungsprofile!$G$17:$G$22)*Kalender!D69/SUM(Kalender!$D$5:$D$370),0)+IFERROR(SUMIF(Nutzungsprofile!$B$17:$B$22,"Individuell",Nutzungsprofile!$G$17:$G$22)*Kalender!E69/SUM(Kalender!$E$5:$E$370),0))*Szenarien!$D$20,0)</f>
        <v>4.94</v>
      </c>
      <c r="E3363" s="13" t="n">
        <f aca="false">IFERROR(MIN(C3363,Eingaben!$B$17)*Eingaben!$B$16,0)</f>
        <v>2.2344</v>
      </c>
      <c r="F3363" s="13" t="n">
        <f aca="false">IFERROR(E3363*Eingaben!$B$15,0)</f>
        <v>2.01096</v>
      </c>
      <c r="G3363" s="13" t="n">
        <f aca="false">IFERROR(IF(Kalender!A69="",0,J3362*(1-Eingaben!$B$20)),0)</f>
        <v>0.59122224</v>
      </c>
      <c r="H3363" s="13" t="n">
        <f aca="false">MIN(G3363,D3363)</f>
        <v>0.59122224</v>
      </c>
      <c r="I3363" s="13" t="n">
        <f aca="false">IFERROR(MIN(F3363*Eingaben!$B$19,MAX(0,D3363-H3363)),0)</f>
        <v>1.407672</v>
      </c>
      <c r="J3363" s="13" t="n">
        <f aca="false">IFERROR(MIN(Eingaben!$B$18,MAX(0,F3363-I3363)),0)</f>
        <v>0.603288</v>
      </c>
      <c r="K3363" s="13" t="n">
        <f aca="false">H3363+I3363</f>
        <v>1.99889424</v>
      </c>
      <c r="L3363" s="13" t="n">
        <f aca="false">MAX(0,D3363-K3363)</f>
        <v>2.94110576</v>
      </c>
      <c r="M3363" s="13" t="n">
        <f aca="false">MAX(0,F3363-I3363-J3363)</f>
        <v>0</v>
      </c>
      <c r="N3363" s="13" t="n">
        <f aca="false">IF(Kalender!A69="",0,J3362-H3363)</f>
        <v>0.01206576</v>
      </c>
    </row>
    <row r="3364" customFormat="false" ht="16.4" hidden="false" customHeight="false" outlineLevel="0" collapsed="false">
      <c r="A3364" s="13" t="str">
        <f aca="false">""</f>
        <v/>
      </c>
      <c r="B3364" s="13" t="n">
        <f aca="false">66</f>
        <v>66</v>
      </c>
      <c r="C3364" s="13" t="n">
        <f aca="false">IF(Szenarien!$H$20="OK",(IFERROR(SUMIF(Nutzungsprofile!$B$6:$B$11,"Schulbetrieb",Nutzungsprofile!$G$6:$G$11)*Kalender!C70/SUM(Kalender!$C$5:$C$370),0)+IFERROR(SUMIF(Nutzungsprofile!$B$6:$B$11,"Halle",Nutzungsprofile!$G$6:$G$11)*Kalender!D70/SUM(Kalender!$D$5:$D$370),0)+IFERROR(SUMIF(Nutzungsprofile!$B$6:$B$11,"Individuell",Nutzungsprofile!$G$6:$G$11)*Kalender!E70/SUM(Kalender!$E$5:$E$370),0))*Szenarien!$E$20,0)</f>
        <v>1.632</v>
      </c>
      <c r="D3364" s="13" t="n">
        <f aca="false">IF(Szenarien!$H$20="OK",(IFERROR(SUMIF(Nutzungsprofile!$B$17:$B$22,"Schulbetrieb",Nutzungsprofile!$G$17:$G$22)*Kalender!C70/SUM(Kalender!$C$5:$C$370),0)+IFERROR(SUMIF(Nutzungsprofile!$B$17:$B$22,"Halle",Nutzungsprofile!$G$17:$G$22)*Kalender!D70/SUM(Kalender!$D$5:$D$370),0)+IFERROR(SUMIF(Nutzungsprofile!$B$17:$B$22,"Individuell",Nutzungsprofile!$G$17:$G$22)*Kalender!E70/SUM(Kalender!$E$5:$E$370),0))*Szenarien!$D$20,0)</f>
        <v>0.89</v>
      </c>
      <c r="E3364" s="13" t="n">
        <f aca="false">IFERROR(MIN(C3364,Eingaben!$B$17)*Eingaben!$B$16,0)</f>
        <v>1.5504</v>
      </c>
      <c r="F3364" s="13" t="n">
        <f aca="false">IFERROR(E3364*Eingaben!$B$15,0)</f>
        <v>1.39536</v>
      </c>
      <c r="G3364" s="13" t="n">
        <f aca="false">IFERROR(IF(Kalender!A70="",0,J3363*(1-Eingaben!$B$20)),0)</f>
        <v>0.59122224</v>
      </c>
      <c r="H3364" s="13" t="n">
        <f aca="false">MIN(G3364,D3364)</f>
        <v>0.59122224</v>
      </c>
      <c r="I3364" s="13" t="n">
        <f aca="false">IFERROR(MIN(F3364*Eingaben!$B$19,MAX(0,D3364-H3364)),0)</f>
        <v>0.29877776</v>
      </c>
      <c r="J3364" s="13" t="n">
        <f aca="false">IFERROR(MIN(Eingaben!$B$18,MAX(0,F3364-I3364)),0)</f>
        <v>1.09658224</v>
      </c>
      <c r="K3364" s="13" t="n">
        <f aca="false">H3364+I3364</f>
        <v>0.89</v>
      </c>
      <c r="L3364" s="13" t="n">
        <f aca="false">MAX(0,D3364-K3364)</f>
        <v>0</v>
      </c>
      <c r="M3364" s="13" t="n">
        <f aca="false">MAX(0,F3364-I3364-J3364)</f>
        <v>0</v>
      </c>
      <c r="N3364" s="13" t="n">
        <f aca="false">IF(Kalender!A70="",0,J3363-H3364)</f>
        <v>0.01206576</v>
      </c>
    </row>
    <row r="3365" customFormat="false" ht="16.4" hidden="false" customHeight="false" outlineLevel="0" collapsed="false">
      <c r="A3365" s="13" t="str">
        <f aca="false">""</f>
        <v/>
      </c>
      <c r="B3365" s="13" t="n">
        <f aca="false">67</f>
        <v>67</v>
      </c>
      <c r="C3365" s="13" t="n">
        <f aca="false">IF(Szenarien!$H$20="OK",(IFERROR(SUMIF(Nutzungsprofile!$B$6:$B$11,"Schulbetrieb",Nutzungsprofile!$G$6:$G$11)*Kalender!C71/SUM(Kalender!$C$5:$C$370),0)+IFERROR(SUMIF(Nutzungsprofile!$B$6:$B$11,"Halle",Nutzungsprofile!$G$6:$G$11)*Kalender!D71/SUM(Kalender!$D$5:$D$370),0)+IFERROR(SUMIF(Nutzungsprofile!$B$6:$B$11,"Individuell",Nutzungsprofile!$G$6:$G$11)*Kalender!E71/SUM(Kalender!$E$5:$E$370),0))*Szenarien!$E$20,0)</f>
        <v>1.632</v>
      </c>
      <c r="D3365" s="13" t="n">
        <f aca="false">IF(Szenarien!$H$20="OK",(IFERROR(SUMIF(Nutzungsprofile!$B$17:$B$22,"Schulbetrieb",Nutzungsprofile!$G$17:$G$22)*Kalender!C71/SUM(Kalender!$C$5:$C$370),0)+IFERROR(SUMIF(Nutzungsprofile!$B$17:$B$22,"Halle",Nutzungsprofile!$G$17:$G$22)*Kalender!D71/SUM(Kalender!$D$5:$D$370),0)+IFERROR(SUMIF(Nutzungsprofile!$B$17:$B$22,"Individuell",Nutzungsprofile!$G$17:$G$22)*Kalender!E71/SUM(Kalender!$E$5:$E$370),0))*Szenarien!$D$20,0)</f>
        <v>0.89</v>
      </c>
      <c r="E3365" s="13" t="n">
        <f aca="false">IFERROR(MIN(C3365,Eingaben!$B$17)*Eingaben!$B$16,0)</f>
        <v>1.5504</v>
      </c>
      <c r="F3365" s="13" t="n">
        <f aca="false">IFERROR(E3365*Eingaben!$B$15,0)</f>
        <v>1.39536</v>
      </c>
      <c r="G3365" s="13" t="n">
        <f aca="false">IFERROR(IF(Kalender!A71="",0,J3364*(1-Eingaben!$B$20)),0)</f>
        <v>1.0746505952</v>
      </c>
      <c r="H3365" s="13" t="n">
        <f aca="false">MIN(G3365,D3365)</f>
        <v>0.89</v>
      </c>
      <c r="I3365" s="13" t="n">
        <f aca="false">IFERROR(MIN(F3365*Eingaben!$B$19,MAX(0,D3365-H3365)),0)</f>
        <v>0</v>
      </c>
      <c r="J3365" s="13" t="n">
        <f aca="false">IFERROR(MIN(Eingaben!$B$18,MAX(0,F3365-I3365)),0)</f>
        <v>1.39536</v>
      </c>
      <c r="K3365" s="13" t="n">
        <f aca="false">H3365+I3365</f>
        <v>0.89</v>
      </c>
      <c r="L3365" s="13" t="n">
        <f aca="false">MAX(0,D3365-K3365)</f>
        <v>0</v>
      </c>
      <c r="M3365" s="13" t="n">
        <f aca="false">MAX(0,F3365-I3365-J3365)</f>
        <v>0</v>
      </c>
      <c r="N3365" s="13" t="n">
        <f aca="false">IF(Kalender!A71="",0,J3364-H3365)</f>
        <v>0.20658224</v>
      </c>
    </row>
    <row r="3366" customFormat="false" ht="16.4" hidden="false" customHeight="false" outlineLevel="0" collapsed="false">
      <c r="A3366" s="13" t="str">
        <f aca="false">""</f>
        <v/>
      </c>
      <c r="B3366" s="13" t="n">
        <f aca="false">68</f>
        <v>68</v>
      </c>
      <c r="C3366" s="13" t="n">
        <f aca="false">IF(Szenarien!$H$20="OK",(IFERROR(SUMIF(Nutzungsprofile!$B$6:$B$11,"Schulbetrieb",Nutzungsprofile!$G$6:$G$11)*Kalender!C72/SUM(Kalender!$C$5:$C$370),0)+IFERROR(SUMIF(Nutzungsprofile!$B$6:$B$11,"Halle",Nutzungsprofile!$G$6:$G$11)*Kalender!D72/SUM(Kalender!$D$5:$D$370),0)+IFERROR(SUMIF(Nutzungsprofile!$B$6:$B$11,"Individuell",Nutzungsprofile!$G$6:$G$11)*Kalender!E72/SUM(Kalender!$E$5:$E$370),0))*Szenarien!$E$20,0)</f>
        <v>2.352</v>
      </c>
      <c r="D3366" s="13" t="n">
        <f aca="false">IF(Szenarien!$H$20="OK",(IFERROR(SUMIF(Nutzungsprofile!$B$17:$B$22,"Schulbetrieb",Nutzungsprofile!$G$17:$G$22)*Kalender!C72/SUM(Kalender!$C$5:$C$370),0)+IFERROR(SUMIF(Nutzungsprofile!$B$17:$B$22,"Halle",Nutzungsprofile!$G$17:$G$22)*Kalender!D72/SUM(Kalender!$D$5:$D$370),0)+IFERROR(SUMIF(Nutzungsprofile!$B$17:$B$22,"Individuell",Nutzungsprofile!$G$17:$G$22)*Kalender!E72/SUM(Kalender!$E$5:$E$370),0))*Szenarien!$D$20,0)</f>
        <v>4.94</v>
      </c>
      <c r="E3366" s="13" t="n">
        <f aca="false">IFERROR(MIN(C3366,Eingaben!$B$17)*Eingaben!$B$16,0)</f>
        <v>2.2344</v>
      </c>
      <c r="F3366" s="13" t="n">
        <f aca="false">IFERROR(E3366*Eingaben!$B$15,0)</f>
        <v>2.01096</v>
      </c>
      <c r="G3366" s="13" t="n">
        <f aca="false">IFERROR(IF(Kalender!A72="",0,J3365*(1-Eingaben!$B$20)),0)</f>
        <v>1.3674528</v>
      </c>
      <c r="H3366" s="13" t="n">
        <f aca="false">MIN(G3366,D3366)</f>
        <v>1.3674528</v>
      </c>
      <c r="I3366" s="13" t="n">
        <f aca="false">IFERROR(MIN(F3366*Eingaben!$B$19,MAX(0,D3366-H3366)),0)</f>
        <v>1.407672</v>
      </c>
      <c r="J3366" s="13" t="n">
        <f aca="false">IFERROR(MIN(Eingaben!$B$18,MAX(0,F3366-I3366)),0)</f>
        <v>0.603288</v>
      </c>
      <c r="K3366" s="13" t="n">
        <f aca="false">H3366+I3366</f>
        <v>2.7751248</v>
      </c>
      <c r="L3366" s="13" t="n">
        <f aca="false">MAX(0,D3366-K3366)</f>
        <v>2.1648752</v>
      </c>
      <c r="M3366" s="13" t="n">
        <f aca="false">MAX(0,F3366-I3366-J3366)</f>
        <v>0</v>
      </c>
      <c r="N3366" s="13" t="n">
        <f aca="false">IF(Kalender!A72="",0,J3365-H3366)</f>
        <v>0.0279072</v>
      </c>
    </row>
    <row r="3367" customFormat="false" ht="16.4" hidden="false" customHeight="false" outlineLevel="0" collapsed="false">
      <c r="A3367" s="13" t="str">
        <f aca="false">""</f>
        <v/>
      </c>
      <c r="B3367" s="13" t="n">
        <f aca="false">69</f>
        <v>69</v>
      </c>
      <c r="C3367" s="13" t="n">
        <f aca="false">IF(Szenarien!$H$20="OK",(IFERROR(SUMIF(Nutzungsprofile!$B$6:$B$11,"Schulbetrieb",Nutzungsprofile!$G$6:$G$11)*Kalender!C73/SUM(Kalender!$C$5:$C$370),0)+IFERROR(SUMIF(Nutzungsprofile!$B$6:$B$11,"Halle",Nutzungsprofile!$G$6:$G$11)*Kalender!D73/SUM(Kalender!$D$5:$D$370),0)+IFERROR(SUMIF(Nutzungsprofile!$B$6:$B$11,"Individuell",Nutzungsprofile!$G$6:$G$11)*Kalender!E73/SUM(Kalender!$E$5:$E$370),0))*Szenarien!$E$20,0)</f>
        <v>2.352</v>
      </c>
      <c r="D3367" s="13" t="n">
        <f aca="false">IF(Szenarien!$H$20="OK",(IFERROR(SUMIF(Nutzungsprofile!$B$17:$B$22,"Schulbetrieb",Nutzungsprofile!$G$17:$G$22)*Kalender!C73/SUM(Kalender!$C$5:$C$370),0)+IFERROR(SUMIF(Nutzungsprofile!$B$17:$B$22,"Halle",Nutzungsprofile!$G$17:$G$22)*Kalender!D73/SUM(Kalender!$D$5:$D$370),0)+IFERROR(SUMIF(Nutzungsprofile!$B$17:$B$22,"Individuell",Nutzungsprofile!$G$17:$G$22)*Kalender!E73/SUM(Kalender!$E$5:$E$370),0))*Szenarien!$D$20,0)</f>
        <v>4.94</v>
      </c>
      <c r="E3367" s="13" t="n">
        <f aca="false">IFERROR(MIN(C3367,Eingaben!$B$17)*Eingaben!$B$16,0)</f>
        <v>2.2344</v>
      </c>
      <c r="F3367" s="13" t="n">
        <f aca="false">IFERROR(E3367*Eingaben!$B$15,0)</f>
        <v>2.01096</v>
      </c>
      <c r="G3367" s="13" t="n">
        <f aca="false">IFERROR(IF(Kalender!A73="",0,J3366*(1-Eingaben!$B$20)),0)</f>
        <v>0.59122224</v>
      </c>
      <c r="H3367" s="13" t="n">
        <f aca="false">MIN(G3367,D3367)</f>
        <v>0.59122224</v>
      </c>
      <c r="I3367" s="13" t="n">
        <f aca="false">IFERROR(MIN(F3367*Eingaben!$B$19,MAX(0,D3367-H3367)),0)</f>
        <v>1.407672</v>
      </c>
      <c r="J3367" s="13" t="n">
        <f aca="false">IFERROR(MIN(Eingaben!$B$18,MAX(0,F3367-I3367)),0)</f>
        <v>0.603288</v>
      </c>
      <c r="K3367" s="13" t="n">
        <f aca="false">H3367+I3367</f>
        <v>1.99889424</v>
      </c>
      <c r="L3367" s="13" t="n">
        <f aca="false">MAX(0,D3367-K3367)</f>
        <v>2.94110576</v>
      </c>
      <c r="M3367" s="13" t="n">
        <f aca="false">MAX(0,F3367-I3367-J3367)</f>
        <v>0</v>
      </c>
      <c r="N3367" s="13" t="n">
        <f aca="false">IF(Kalender!A73="",0,J3366-H3367)</f>
        <v>0.01206576</v>
      </c>
    </row>
    <row r="3368" customFormat="false" ht="16.4" hidden="false" customHeight="false" outlineLevel="0" collapsed="false">
      <c r="A3368" s="13" t="str">
        <f aca="false">""</f>
        <v/>
      </c>
      <c r="B3368" s="13" t="n">
        <f aca="false">70</f>
        <v>70</v>
      </c>
      <c r="C3368" s="13" t="n">
        <f aca="false">IF(Szenarien!$H$20="OK",(IFERROR(SUMIF(Nutzungsprofile!$B$6:$B$11,"Schulbetrieb",Nutzungsprofile!$G$6:$G$11)*Kalender!C74/SUM(Kalender!$C$5:$C$370),0)+IFERROR(SUMIF(Nutzungsprofile!$B$6:$B$11,"Halle",Nutzungsprofile!$G$6:$G$11)*Kalender!D74/SUM(Kalender!$D$5:$D$370),0)+IFERROR(SUMIF(Nutzungsprofile!$B$6:$B$11,"Individuell",Nutzungsprofile!$G$6:$G$11)*Kalender!E74/SUM(Kalender!$E$5:$E$370),0))*Szenarien!$E$20,0)</f>
        <v>2.352</v>
      </c>
      <c r="D3368" s="13" t="n">
        <f aca="false">IF(Szenarien!$H$20="OK",(IFERROR(SUMIF(Nutzungsprofile!$B$17:$B$22,"Schulbetrieb",Nutzungsprofile!$G$17:$G$22)*Kalender!C74/SUM(Kalender!$C$5:$C$370),0)+IFERROR(SUMIF(Nutzungsprofile!$B$17:$B$22,"Halle",Nutzungsprofile!$G$17:$G$22)*Kalender!D74/SUM(Kalender!$D$5:$D$370),0)+IFERROR(SUMIF(Nutzungsprofile!$B$17:$B$22,"Individuell",Nutzungsprofile!$G$17:$G$22)*Kalender!E74/SUM(Kalender!$E$5:$E$370),0))*Szenarien!$D$20,0)</f>
        <v>4.94</v>
      </c>
      <c r="E3368" s="13" t="n">
        <f aca="false">IFERROR(MIN(C3368,Eingaben!$B$17)*Eingaben!$B$16,0)</f>
        <v>2.2344</v>
      </c>
      <c r="F3368" s="13" t="n">
        <f aca="false">IFERROR(E3368*Eingaben!$B$15,0)</f>
        <v>2.01096</v>
      </c>
      <c r="G3368" s="13" t="n">
        <f aca="false">IFERROR(IF(Kalender!A74="",0,J3367*(1-Eingaben!$B$20)),0)</f>
        <v>0.59122224</v>
      </c>
      <c r="H3368" s="13" t="n">
        <f aca="false">MIN(G3368,D3368)</f>
        <v>0.59122224</v>
      </c>
      <c r="I3368" s="13" t="n">
        <f aca="false">IFERROR(MIN(F3368*Eingaben!$B$19,MAX(0,D3368-H3368)),0)</f>
        <v>1.407672</v>
      </c>
      <c r="J3368" s="13" t="n">
        <f aca="false">IFERROR(MIN(Eingaben!$B$18,MAX(0,F3368-I3368)),0)</f>
        <v>0.603288</v>
      </c>
      <c r="K3368" s="13" t="n">
        <f aca="false">H3368+I3368</f>
        <v>1.99889424</v>
      </c>
      <c r="L3368" s="13" t="n">
        <f aca="false">MAX(0,D3368-K3368)</f>
        <v>2.94110576</v>
      </c>
      <c r="M3368" s="13" t="n">
        <f aca="false">MAX(0,F3368-I3368-J3368)</f>
        <v>0</v>
      </c>
      <c r="N3368" s="13" t="n">
        <f aca="false">IF(Kalender!A74="",0,J3367-H3368)</f>
        <v>0.01206576</v>
      </c>
    </row>
    <row r="3369" customFormat="false" ht="16.4" hidden="false" customHeight="false" outlineLevel="0" collapsed="false">
      <c r="A3369" s="13" t="str">
        <f aca="false">""</f>
        <v/>
      </c>
      <c r="B3369" s="13" t="n">
        <f aca="false">71</f>
        <v>71</v>
      </c>
      <c r="C3369" s="13" t="n">
        <f aca="false">IF(Szenarien!$H$20="OK",(IFERROR(SUMIF(Nutzungsprofile!$B$6:$B$11,"Schulbetrieb",Nutzungsprofile!$G$6:$G$11)*Kalender!C75/SUM(Kalender!$C$5:$C$370),0)+IFERROR(SUMIF(Nutzungsprofile!$B$6:$B$11,"Halle",Nutzungsprofile!$G$6:$G$11)*Kalender!D75/SUM(Kalender!$D$5:$D$370),0)+IFERROR(SUMIF(Nutzungsprofile!$B$6:$B$11,"Individuell",Nutzungsprofile!$G$6:$G$11)*Kalender!E75/SUM(Kalender!$E$5:$E$370),0))*Szenarien!$E$20,0)</f>
        <v>2.352</v>
      </c>
      <c r="D3369" s="13" t="n">
        <f aca="false">IF(Szenarien!$H$20="OK",(IFERROR(SUMIF(Nutzungsprofile!$B$17:$B$22,"Schulbetrieb",Nutzungsprofile!$G$17:$G$22)*Kalender!C75/SUM(Kalender!$C$5:$C$370),0)+IFERROR(SUMIF(Nutzungsprofile!$B$17:$B$22,"Halle",Nutzungsprofile!$G$17:$G$22)*Kalender!D75/SUM(Kalender!$D$5:$D$370),0)+IFERROR(SUMIF(Nutzungsprofile!$B$17:$B$22,"Individuell",Nutzungsprofile!$G$17:$G$22)*Kalender!E75/SUM(Kalender!$E$5:$E$370),0))*Szenarien!$D$20,0)</f>
        <v>4.94</v>
      </c>
      <c r="E3369" s="13" t="n">
        <f aca="false">IFERROR(MIN(C3369,Eingaben!$B$17)*Eingaben!$B$16,0)</f>
        <v>2.2344</v>
      </c>
      <c r="F3369" s="13" t="n">
        <f aca="false">IFERROR(E3369*Eingaben!$B$15,0)</f>
        <v>2.01096</v>
      </c>
      <c r="G3369" s="13" t="n">
        <f aca="false">IFERROR(IF(Kalender!A75="",0,J3368*(1-Eingaben!$B$20)),0)</f>
        <v>0.59122224</v>
      </c>
      <c r="H3369" s="13" t="n">
        <f aca="false">MIN(G3369,D3369)</f>
        <v>0.59122224</v>
      </c>
      <c r="I3369" s="13" t="n">
        <f aca="false">IFERROR(MIN(F3369*Eingaben!$B$19,MAX(0,D3369-H3369)),0)</f>
        <v>1.407672</v>
      </c>
      <c r="J3369" s="13" t="n">
        <f aca="false">IFERROR(MIN(Eingaben!$B$18,MAX(0,F3369-I3369)),0)</f>
        <v>0.603288</v>
      </c>
      <c r="K3369" s="13" t="n">
        <f aca="false">H3369+I3369</f>
        <v>1.99889424</v>
      </c>
      <c r="L3369" s="13" t="n">
        <f aca="false">MAX(0,D3369-K3369)</f>
        <v>2.94110576</v>
      </c>
      <c r="M3369" s="13" t="n">
        <f aca="false">MAX(0,F3369-I3369-J3369)</f>
        <v>0</v>
      </c>
      <c r="N3369" s="13" t="n">
        <f aca="false">IF(Kalender!A75="",0,J3368-H3369)</f>
        <v>0.01206576</v>
      </c>
    </row>
    <row r="3370" customFormat="false" ht="16.4" hidden="false" customHeight="false" outlineLevel="0" collapsed="false">
      <c r="A3370" s="13" t="str">
        <f aca="false">""</f>
        <v/>
      </c>
      <c r="B3370" s="13" t="n">
        <f aca="false">72</f>
        <v>72</v>
      </c>
      <c r="C3370" s="13" t="n">
        <f aca="false">IF(Szenarien!$H$20="OK",(IFERROR(SUMIF(Nutzungsprofile!$B$6:$B$11,"Schulbetrieb",Nutzungsprofile!$G$6:$G$11)*Kalender!C76/SUM(Kalender!$C$5:$C$370),0)+IFERROR(SUMIF(Nutzungsprofile!$B$6:$B$11,"Halle",Nutzungsprofile!$G$6:$G$11)*Kalender!D76/SUM(Kalender!$D$5:$D$370),0)+IFERROR(SUMIF(Nutzungsprofile!$B$6:$B$11,"Individuell",Nutzungsprofile!$G$6:$G$11)*Kalender!E76/SUM(Kalender!$E$5:$E$370),0))*Szenarien!$E$20,0)</f>
        <v>2.352</v>
      </c>
      <c r="D3370" s="13" t="n">
        <f aca="false">IF(Szenarien!$H$20="OK",(IFERROR(SUMIF(Nutzungsprofile!$B$17:$B$22,"Schulbetrieb",Nutzungsprofile!$G$17:$G$22)*Kalender!C76/SUM(Kalender!$C$5:$C$370),0)+IFERROR(SUMIF(Nutzungsprofile!$B$17:$B$22,"Halle",Nutzungsprofile!$G$17:$G$22)*Kalender!D76/SUM(Kalender!$D$5:$D$370),0)+IFERROR(SUMIF(Nutzungsprofile!$B$17:$B$22,"Individuell",Nutzungsprofile!$G$17:$G$22)*Kalender!E76/SUM(Kalender!$E$5:$E$370),0))*Szenarien!$D$20,0)</f>
        <v>4.94</v>
      </c>
      <c r="E3370" s="13" t="n">
        <f aca="false">IFERROR(MIN(C3370,Eingaben!$B$17)*Eingaben!$B$16,0)</f>
        <v>2.2344</v>
      </c>
      <c r="F3370" s="13" t="n">
        <f aca="false">IFERROR(E3370*Eingaben!$B$15,0)</f>
        <v>2.01096</v>
      </c>
      <c r="G3370" s="13" t="n">
        <f aca="false">IFERROR(IF(Kalender!A76="",0,J3369*(1-Eingaben!$B$20)),0)</f>
        <v>0.59122224</v>
      </c>
      <c r="H3370" s="13" t="n">
        <f aca="false">MIN(G3370,D3370)</f>
        <v>0.59122224</v>
      </c>
      <c r="I3370" s="13" t="n">
        <f aca="false">IFERROR(MIN(F3370*Eingaben!$B$19,MAX(0,D3370-H3370)),0)</f>
        <v>1.407672</v>
      </c>
      <c r="J3370" s="13" t="n">
        <f aca="false">IFERROR(MIN(Eingaben!$B$18,MAX(0,F3370-I3370)),0)</f>
        <v>0.603288</v>
      </c>
      <c r="K3370" s="13" t="n">
        <f aca="false">H3370+I3370</f>
        <v>1.99889424</v>
      </c>
      <c r="L3370" s="13" t="n">
        <f aca="false">MAX(0,D3370-K3370)</f>
        <v>2.94110576</v>
      </c>
      <c r="M3370" s="13" t="n">
        <f aca="false">MAX(0,F3370-I3370-J3370)</f>
        <v>0</v>
      </c>
      <c r="N3370" s="13" t="n">
        <f aca="false">IF(Kalender!A76="",0,J3369-H3370)</f>
        <v>0.01206576</v>
      </c>
    </row>
    <row r="3371" customFormat="false" ht="16.4" hidden="false" customHeight="false" outlineLevel="0" collapsed="false">
      <c r="A3371" s="13" t="str">
        <f aca="false">""</f>
        <v/>
      </c>
      <c r="B3371" s="13" t="n">
        <f aca="false">73</f>
        <v>73</v>
      </c>
      <c r="C3371" s="13" t="n">
        <f aca="false">IF(Szenarien!$H$20="OK",(IFERROR(SUMIF(Nutzungsprofile!$B$6:$B$11,"Schulbetrieb",Nutzungsprofile!$G$6:$G$11)*Kalender!C77/SUM(Kalender!$C$5:$C$370),0)+IFERROR(SUMIF(Nutzungsprofile!$B$6:$B$11,"Halle",Nutzungsprofile!$G$6:$G$11)*Kalender!D77/SUM(Kalender!$D$5:$D$370),0)+IFERROR(SUMIF(Nutzungsprofile!$B$6:$B$11,"Individuell",Nutzungsprofile!$G$6:$G$11)*Kalender!E77/SUM(Kalender!$E$5:$E$370),0))*Szenarien!$E$20,0)</f>
        <v>1.632</v>
      </c>
      <c r="D3371" s="13" t="n">
        <f aca="false">IF(Szenarien!$H$20="OK",(IFERROR(SUMIF(Nutzungsprofile!$B$17:$B$22,"Schulbetrieb",Nutzungsprofile!$G$17:$G$22)*Kalender!C77/SUM(Kalender!$C$5:$C$370),0)+IFERROR(SUMIF(Nutzungsprofile!$B$17:$B$22,"Halle",Nutzungsprofile!$G$17:$G$22)*Kalender!D77/SUM(Kalender!$D$5:$D$370),0)+IFERROR(SUMIF(Nutzungsprofile!$B$17:$B$22,"Individuell",Nutzungsprofile!$G$17:$G$22)*Kalender!E77/SUM(Kalender!$E$5:$E$370),0))*Szenarien!$D$20,0)</f>
        <v>0.89</v>
      </c>
      <c r="E3371" s="13" t="n">
        <f aca="false">IFERROR(MIN(C3371,Eingaben!$B$17)*Eingaben!$B$16,0)</f>
        <v>1.5504</v>
      </c>
      <c r="F3371" s="13" t="n">
        <f aca="false">IFERROR(E3371*Eingaben!$B$15,0)</f>
        <v>1.39536</v>
      </c>
      <c r="G3371" s="13" t="n">
        <f aca="false">IFERROR(IF(Kalender!A77="",0,J3370*(1-Eingaben!$B$20)),0)</f>
        <v>0.59122224</v>
      </c>
      <c r="H3371" s="13" t="n">
        <f aca="false">MIN(G3371,D3371)</f>
        <v>0.59122224</v>
      </c>
      <c r="I3371" s="13" t="n">
        <f aca="false">IFERROR(MIN(F3371*Eingaben!$B$19,MAX(0,D3371-H3371)),0)</f>
        <v>0.29877776</v>
      </c>
      <c r="J3371" s="13" t="n">
        <f aca="false">IFERROR(MIN(Eingaben!$B$18,MAX(0,F3371-I3371)),0)</f>
        <v>1.09658224</v>
      </c>
      <c r="K3371" s="13" t="n">
        <f aca="false">H3371+I3371</f>
        <v>0.89</v>
      </c>
      <c r="L3371" s="13" t="n">
        <f aca="false">MAX(0,D3371-K3371)</f>
        <v>0</v>
      </c>
      <c r="M3371" s="13" t="n">
        <f aca="false">MAX(0,F3371-I3371-J3371)</f>
        <v>0</v>
      </c>
      <c r="N3371" s="13" t="n">
        <f aca="false">IF(Kalender!A77="",0,J3370-H3371)</f>
        <v>0.01206576</v>
      </c>
    </row>
    <row r="3372" customFormat="false" ht="16.4" hidden="false" customHeight="false" outlineLevel="0" collapsed="false">
      <c r="A3372" s="13" t="str">
        <f aca="false">""</f>
        <v/>
      </c>
      <c r="B3372" s="13" t="n">
        <f aca="false">74</f>
        <v>74</v>
      </c>
      <c r="C3372" s="13" t="n">
        <f aca="false">IF(Szenarien!$H$20="OK",(IFERROR(SUMIF(Nutzungsprofile!$B$6:$B$11,"Schulbetrieb",Nutzungsprofile!$G$6:$G$11)*Kalender!C78/SUM(Kalender!$C$5:$C$370),0)+IFERROR(SUMIF(Nutzungsprofile!$B$6:$B$11,"Halle",Nutzungsprofile!$G$6:$G$11)*Kalender!D78/SUM(Kalender!$D$5:$D$370),0)+IFERROR(SUMIF(Nutzungsprofile!$B$6:$B$11,"Individuell",Nutzungsprofile!$G$6:$G$11)*Kalender!E78/SUM(Kalender!$E$5:$E$370),0))*Szenarien!$E$20,0)</f>
        <v>1.632</v>
      </c>
      <c r="D3372" s="13" t="n">
        <f aca="false">IF(Szenarien!$H$20="OK",(IFERROR(SUMIF(Nutzungsprofile!$B$17:$B$22,"Schulbetrieb",Nutzungsprofile!$G$17:$G$22)*Kalender!C78/SUM(Kalender!$C$5:$C$370),0)+IFERROR(SUMIF(Nutzungsprofile!$B$17:$B$22,"Halle",Nutzungsprofile!$G$17:$G$22)*Kalender!D78/SUM(Kalender!$D$5:$D$370),0)+IFERROR(SUMIF(Nutzungsprofile!$B$17:$B$22,"Individuell",Nutzungsprofile!$G$17:$G$22)*Kalender!E78/SUM(Kalender!$E$5:$E$370),0))*Szenarien!$D$20,0)</f>
        <v>0.89</v>
      </c>
      <c r="E3372" s="13" t="n">
        <f aca="false">IFERROR(MIN(C3372,Eingaben!$B$17)*Eingaben!$B$16,0)</f>
        <v>1.5504</v>
      </c>
      <c r="F3372" s="13" t="n">
        <f aca="false">IFERROR(E3372*Eingaben!$B$15,0)</f>
        <v>1.39536</v>
      </c>
      <c r="G3372" s="13" t="n">
        <f aca="false">IFERROR(IF(Kalender!A78="",0,J3371*(1-Eingaben!$B$20)),0)</f>
        <v>1.0746505952</v>
      </c>
      <c r="H3372" s="13" t="n">
        <f aca="false">MIN(G3372,D3372)</f>
        <v>0.89</v>
      </c>
      <c r="I3372" s="13" t="n">
        <f aca="false">IFERROR(MIN(F3372*Eingaben!$B$19,MAX(0,D3372-H3372)),0)</f>
        <v>0</v>
      </c>
      <c r="J3372" s="13" t="n">
        <f aca="false">IFERROR(MIN(Eingaben!$B$18,MAX(0,F3372-I3372)),0)</f>
        <v>1.39536</v>
      </c>
      <c r="K3372" s="13" t="n">
        <f aca="false">H3372+I3372</f>
        <v>0.89</v>
      </c>
      <c r="L3372" s="13" t="n">
        <f aca="false">MAX(0,D3372-K3372)</f>
        <v>0</v>
      </c>
      <c r="M3372" s="13" t="n">
        <f aca="false">MAX(0,F3372-I3372-J3372)</f>
        <v>0</v>
      </c>
      <c r="N3372" s="13" t="n">
        <f aca="false">IF(Kalender!A78="",0,J3371-H3372)</f>
        <v>0.20658224</v>
      </c>
    </row>
    <row r="3373" customFormat="false" ht="16.4" hidden="false" customHeight="false" outlineLevel="0" collapsed="false">
      <c r="A3373" s="13" t="str">
        <f aca="false">""</f>
        <v/>
      </c>
      <c r="B3373" s="13" t="n">
        <f aca="false">75</f>
        <v>75</v>
      </c>
      <c r="C3373" s="13" t="n">
        <f aca="false">IF(Szenarien!$H$20="OK",(IFERROR(SUMIF(Nutzungsprofile!$B$6:$B$11,"Schulbetrieb",Nutzungsprofile!$G$6:$G$11)*Kalender!C79/SUM(Kalender!$C$5:$C$370),0)+IFERROR(SUMIF(Nutzungsprofile!$B$6:$B$11,"Halle",Nutzungsprofile!$G$6:$G$11)*Kalender!D79/SUM(Kalender!$D$5:$D$370),0)+IFERROR(SUMIF(Nutzungsprofile!$B$6:$B$11,"Individuell",Nutzungsprofile!$G$6:$G$11)*Kalender!E79/SUM(Kalender!$E$5:$E$370),0))*Szenarien!$E$20,0)</f>
        <v>2.352</v>
      </c>
      <c r="D3373" s="13" t="n">
        <f aca="false">IF(Szenarien!$H$20="OK",(IFERROR(SUMIF(Nutzungsprofile!$B$17:$B$22,"Schulbetrieb",Nutzungsprofile!$G$17:$G$22)*Kalender!C79/SUM(Kalender!$C$5:$C$370),0)+IFERROR(SUMIF(Nutzungsprofile!$B$17:$B$22,"Halle",Nutzungsprofile!$G$17:$G$22)*Kalender!D79/SUM(Kalender!$D$5:$D$370),0)+IFERROR(SUMIF(Nutzungsprofile!$B$17:$B$22,"Individuell",Nutzungsprofile!$G$17:$G$22)*Kalender!E79/SUM(Kalender!$E$5:$E$370),0))*Szenarien!$D$20,0)</f>
        <v>4.94</v>
      </c>
      <c r="E3373" s="13" t="n">
        <f aca="false">IFERROR(MIN(C3373,Eingaben!$B$17)*Eingaben!$B$16,0)</f>
        <v>2.2344</v>
      </c>
      <c r="F3373" s="13" t="n">
        <f aca="false">IFERROR(E3373*Eingaben!$B$15,0)</f>
        <v>2.01096</v>
      </c>
      <c r="G3373" s="13" t="n">
        <f aca="false">IFERROR(IF(Kalender!A79="",0,J3372*(1-Eingaben!$B$20)),0)</f>
        <v>1.3674528</v>
      </c>
      <c r="H3373" s="13" t="n">
        <f aca="false">MIN(G3373,D3373)</f>
        <v>1.3674528</v>
      </c>
      <c r="I3373" s="13" t="n">
        <f aca="false">IFERROR(MIN(F3373*Eingaben!$B$19,MAX(0,D3373-H3373)),0)</f>
        <v>1.407672</v>
      </c>
      <c r="J3373" s="13" t="n">
        <f aca="false">IFERROR(MIN(Eingaben!$B$18,MAX(0,F3373-I3373)),0)</f>
        <v>0.603288</v>
      </c>
      <c r="K3373" s="13" t="n">
        <f aca="false">H3373+I3373</f>
        <v>2.7751248</v>
      </c>
      <c r="L3373" s="13" t="n">
        <f aca="false">MAX(0,D3373-K3373)</f>
        <v>2.1648752</v>
      </c>
      <c r="M3373" s="13" t="n">
        <f aca="false">MAX(0,F3373-I3373-J3373)</f>
        <v>0</v>
      </c>
      <c r="N3373" s="13" t="n">
        <f aca="false">IF(Kalender!A79="",0,J3372-H3373)</f>
        <v>0.0279072</v>
      </c>
    </row>
    <row r="3374" customFormat="false" ht="16.4" hidden="false" customHeight="false" outlineLevel="0" collapsed="false">
      <c r="A3374" s="13" t="str">
        <f aca="false">""</f>
        <v/>
      </c>
      <c r="B3374" s="13" t="n">
        <f aca="false">76</f>
        <v>76</v>
      </c>
      <c r="C3374" s="13" t="n">
        <f aca="false">IF(Szenarien!$H$20="OK",(IFERROR(SUMIF(Nutzungsprofile!$B$6:$B$11,"Schulbetrieb",Nutzungsprofile!$G$6:$G$11)*Kalender!C80/SUM(Kalender!$C$5:$C$370),0)+IFERROR(SUMIF(Nutzungsprofile!$B$6:$B$11,"Halle",Nutzungsprofile!$G$6:$G$11)*Kalender!D80/SUM(Kalender!$D$5:$D$370),0)+IFERROR(SUMIF(Nutzungsprofile!$B$6:$B$11,"Individuell",Nutzungsprofile!$G$6:$G$11)*Kalender!E80/SUM(Kalender!$E$5:$E$370),0))*Szenarien!$E$20,0)</f>
        <v>2.352</v>
      </c>
      <c r="D3374" s="13" t="n">
        <f aca="false">IF(Szenarien!$H$20="OK",(IFERROR(SUMIF(Nutzungsprofile!$B$17:$B$22,"Schulbetrieb",Nutzungsprofile!$G$17:$G$22)*Kalender!C80/SUM(Kalender!$C$5:$C$370),0)+IFERROR(SUMIF(Nutzungsprofile!$B$17:$B$22,"Halle",Nutzungsprofile!$G$17:$G$22)*Kalender!D80/SUM(Kalender!$D$5:$D$370),0)+IFERROR(SUMIF(Nutzungsprofile!$B$17:$B$22,"Individuell",Nutzungsprofile!$G$17:$G$22)*Kalender!E80/SUM(Kalender!$E$5:$E$370),0))*Szenarien!$D$20,0)</f>
        <v>4.94</v>
      </c>
      <c r="E3374" s="13" t="n">
        <f aca="false">IFERROR(MIN(C3374,Eingaben!$B$17)*Eingaben!$B$16,0)</f>
        <v>2.2344</v>
      </c>
      <c r="F3374" s="13" t="n">
        <f aca="false">IFERROR(E3374*Eingaben!$B$15,0)</f>
        <v>2.01096</v>
      </c>
      <c r="G3374" s="13" t="n">
        <f aca="false">IFERROR(IF(Kalender!A80="",0,J3373*(1-Eingaben!$B$20)),0)</f>
        <v>0.59122224</v>
      </c>
      <c r="H3374" s="13" t="n">
        <f aca="false">MIN(G3374,D3374)</f>
        <v>0.59122224</v>
      </c>
      <c r="I3374" s="13" t="n">
        <f aca="false">IFERROR(MIN(F3374*Eingaben!$B$19,MAX(0,D3374-H3374)),0)</f>
        <v>1.407672</v>
      </c>
      <c r="J3374" s="13" t="n">
        <f aca="false">IFERROR(MIN(Eingaben!$B$18,MAX(0,F3374-I3374)),0)</f>
        <v>0.603288</v>
      </c>
      <c r="K3374" s="13" t="n">
        <f aca="false">H3374+I3374</f>
        <v>1.99889424</v>
      </c>
      <c r="L3374" s="13" t="n">
        <f aca="false">MAX(0,D3374-K3374)</f>
        <v>2.94110576</v>
      </c>
      <c r="M3374" s="13" t="n">
        <f aca="false">MAX(0,F3374-I3374-J3374)</f>
        <v>0</v>
      </c>
      <c r="N3374" s="13" t="n">
        <f aca="false">IF(Kalender!A80="",0,J3373-H3374)</f>
        <v>0.01206576</v>
      </c>
    </row>
    <row r="3375" customFormat="false" ht="16.4" hidden="false" customHeight="false" outlineLevel="0" collapsed="false">
      <c r="A3375" s="13" t="str">
        <f aca="false">""</f>
        <v/>
      </c>
      <c r="B3375" s="13" t="n">
        <f aca="false">77</f>
        <v>77</v>
      </c>
      <c r="C3375" s="13" t="n">
        <f aca="false">IF(Szenarien!$H$20="OK",(IFERROR(SUMIF(Nutzungsprofile!$B$6:$B$11,"Schulbetrieb",Nutzungsprofile!$G$6:$G$11)*Kalender!C81/SUM(Kalender!$C$5:$C$370),0)+IFERROR(SUMIF(Nutzungsprofile!$B$6:$B$11,"Halle",Nutzungsprofile!$G$6:$G$11)*Kalender!D81/SUM(Kalender!$D$5:$D$370),0)+IFERROR(SUMIF(Nutzungsprofile!$B$6:$B$11,"Individuell",Nutzungsprofile!$G$6:$G$11)*Kalender!E81/SUM(Kalender!$E$5:$E$370),0))*Szenarien!$E$20,0)</f>
        <v>2.352</v>
      </c>
      <c r="D3375" s="13" t="n">
        <f aca="false">IF(Szenarien!$H$20="OK",(IFERROR(SUMIF(Nutzungsprofile!$B$17:$B$22,"Schulbetrieb",Nutzungsprofile!$G$17:$G$22)*Kalender!C81/SUM(Kalender!$C$5:$C$370),0)+IFERROR(SUMIF(Nutzungsprofile!$B$17:$B$22,"Halle",Nutzungsprofile!$G$17:$G$22)*Kalender!D81/SUM(Kalender!$D$5:$D$370),0)+IFERROR(SUMIF(Nutzungsprofile!$B$17:$B$22,"Individuell",Nutzungsprofile!$G$17:$G$22)*Kalender!E81/SUM(Kalender!$E$5:$E$370),0))*Szenarien!$D$20,0)</f>
        <v>4.94</v>
      </c>
      <c r="E3375" s="13" t="n">
        <f aca="false">IFERROR(MIN(C3375,Eingaben!$B$17)*Eingaben!$B$16,0)</f>
        <v>2.2344</v>
      </c>
      <c r="F3375" s="13" t="n">
        <f aca="false">IFERROR(E3375*Eingaben!$B$15,0)</f>
        <v>2.01096</v>
      </c>
      <c r="G3375" s="13" t="n">
        <f aca="false">IFERROR(IF(Kalender!A81="",0,J3374*(1-Eingaben!$B$20)),0)</f>
        <v>0.59122224</v>
      </c>
      <c r="H3375" s="13" t="n">
        <f aca="false">MIN(G3375,D3375)</f>
        <v>0.59122224</v>
      </c>
      <c r="I3375" s="13" t="n">
        <f aca="false">IFERROR(MIN(F3375*Eingaben!$B$19,MAX(0,D3375-H3375)),0)</f>
        <v>1.407672</v>
      </c>
      <c r="J3375" s="13" t="n">
        <f aca="false">IFERROR(MIN(Eingaben!$B$18,MAX(0,F3375-I3375)),0)</f>
        <v>0.603288</v>
      </c>
      <c r="K3375" s="13" t="n">
        <f aca="false">H3375+I3375</f>
        <v>1.99889424</v>
      </c>
      <c r="L3375" s="13" t="n">
        <f aca="false">MAX(0,D3375-K3375)</f>
        <v>2.94110576</v>
      </c>
      <c r="M3375" s="13" t="n">
        <f aca="false">MAX(0,F3375-I3375-J3375)</f>
        <v>0</v>
      </c>
      <c r="N3375" s="13" t="n">
        <f aca="false">IF(Kalender!A81="",0,J3374-H3375)</f>
        <v>0.01206576</v>
      </c>
    </row>
    <row r="3376" customFormat="false" ht="16.4" hidden="false" customHeight="false" outlineLevel="0" collapsed="false">
      <c r="A3376" s="13" t="str">
        <f aca="false">""</f>
        <v/>
      </c>
      <c r="B3376" s="13" t="n">
        <f aca="false">78</f>
        <v>78</v>
      </c>
      <c r="C3376" s="13" t="n">
        <f aca="false">IF(Szenarien!$H$20="OK",(IFERROR(SUMIF(Nutzungsprofile!$B$6:$B$11,"Schulbetrieb",Nutzungsprofile!$G$6:$G$11)*Kalender!C82/SUM(Kalender!$C$5:$C$370),0)+IFERROR(SUMIF(Nutzungsprofile!$B$6:$B$11,"Halle",Nutzungsprofile!$G$6:$G$11)*Kalender!D82/SUM(Kalender!$D$5:$D$370),0)+IFERROR(SUMIF(Nutzungsprofile!$B$6:$B$11,"Individuell",Nutzungsprofile!$G$6:$G$11)*Kalender!E82/SUM(Kalender!$E$5:$E$370),0))*Szenarien!$E$20,0)</f>
        <v>2.352</v>
      </c>
      <c r="D3376" s="13" t="n">
        <f aca="false">IF(Szenarien!$H$20="OK",(IFERROR(SUMIF(Nutzungsprofile!$B$17:$B$22,"Schulbetrieb",Nutzungsprofile!$G$17:$G$22)*Kalender!C82/SUM(Kalender!$C$5:$C$370),0)+IFERROR(SUMIF(Nutzungsprofile!$B$17:$B$22,"Halle",Nutzungsprofile!$G$17:$G$22)*Kalender!D82/SUM(Kalender!$D$5:$D$370),0)+IFERROR(SUMIF(Nutzungsprofile!$B$17:$B$22,"Individuell",Nutzungsprofile!$G$17:$G$22)*Kalender!E82/SUM(Kalender!$E$5:$E$370),0))*Szenarien!$D$20,0)</f>
        <v>4.94</v>
      </c>
      <c r="E3376" s="13" t="n">
        <f aca="false">IFERROR(MIN(C3376,Eingaben!$B$17)*Eingaben!$B$16,0)</f>
        <v>2.2344</v>
      </c>
      <c r="F3376" s="13" t="n">
        <f aca="false">IFERROR(E3376*Eingaben!$B$15,0)</f>
        <v>2.01096</v>
      </c>
      <c r="G3376" s="13" t="n">
        <f aca="false">IFERROR(IF(Kalender!A82="",0,J3375*(1-Eingaben!$B$20)),0)</f>
        <v>0.59122224</v>
      </c>
      <c r="H3376" s="13" t="n">
        <f aca="false">MIN(G3376,D3376)</f>
        <v>0.59122224</v>
      </c>
      <c r="I3376" s="13" t="n">
        <f aca="false">IFERROR(MIN(F3376*Eingaben!$B$19,MAX(0,D3376-H3376)),0)</f>
        <v>1.407672</v>
      </c>
      <c r="J3376" s="13" t="n">
        <f aca="false">IFERROR(MIN(Eingaben!$B$18,MAX(0,F3376-I3376)),0)</f>
        <v>0.603288</v>
      </c>
      <c r="K3376" s="13" t="n">
        <f aca="false">H3376+I3376</f>
        <v>1.99889424</v>
      </c>
      <c r="L3376" s="13" t="n">
        <f aca="false">MAX(0,D3376-K3376)</f>
        <v>2.94110576</v>
      </c>
      <c r="M3376" s="13" t="n">
        <f aca="false">MAX(0,F3376-I3376-J3376)</f>
        <v>0</v>
      </c>
      <c r="N3376" s="13" t="n">
        <f aca="false">IF(Kalender!A82="",0,J3375-H3376)</f>
        <v>0.01206576</v>
      </c>
    </row>
    <row r="3377" customFormat="false" ht="16.4" hidden="false" customHeight="false" outlineLevel="0" collapsed="false">
      <c r="A3377" s="13" t="str">
        <f aca="false">""</f>
        <v/>
      </c>
      <c r="B3377" s="13" t="n">
        <f aca="false">79</f>
        <v>79</v>
      </c>
      <c r="C3377" s="13" t="n">
        <f aca="false">IF(Szenarien!$H$20="OK",(IFERROR(SUMIF(Nutzungsprofile!$B$6:$B$11,"Schulbetrieb",Nutzungsprofile!$G$6:$G$11)*Kalender!C83/SUM(Kalender!$C$5:$C$370),0)+IFERROR(SUMIF(Nutzungsprofile!$B$6:$B$11,"Halle",Nutzungsprofile!$G$6:$G$11)*Kalender!D83/SUM(Kalender!$D$5:$D$370),0)+IFERROR(SUMIF(Nutzungsprofile!$B$6:$B$11,"Individuell",Nutzungsprofile!$G$6:$G$11)*Kalender!E83/SUM(Kalender!$E$5:$E$370),0))*Szenarien!$E$20,0)</f>
        <v>2.352</v>
      </c>
      <c r="D3377" s="13" t="n">
        <f aca="false">IF(Szenarien!$H$20="OK",(IFERROR(SUMIF(Nutzungsprofile!$B$17:$B$22,"Schulbetrieb",Nutzungsprofile!$G$17:$G$22)*Kalender!C83/SUM(Kalender!$C$5:$C$370),0)+IFERROR(SUMIF(Nutzungsprofile!$B$17:$B$22,"Halle",Nutzungsprofile!$G$17:$G$22)*Kalender!D83/SUM(Kalender!$D$5:$D$370),0)+IFERROR(SUMIF(Nutzungsprofile!$B$17:$B$22,"Individuell",Nutzungsprofile!$G$17:$G$22)*Kalender!E83/SUM(Kalender!$E$5:$E$370),0))*Szenarien!$D$20,0)</f>
        <v>4.94</v>
      </c>
      <c r="E3377" s="13" t="n">
        <f aca="false">IFERROR(MIN(C3377,Eingaben!$B$17)*Eingaben!$B$16,0)</f>
        <v>2.2344</v>
      </c>
      <c r="F3377" s="13" t="n">
        <f aca="false">IFERROR(E3377*Eingaben!$B$15,0)</f>
        <v>2.01096</v>
      </c>
      <c r="G3377" s="13" t="n">
        <f aca="false">IFERROR(IF(Kalender!A83="",0,J3376*(1-Eingaben!$B$20)),0)</f>
        <v>0.59122224</v>
      </c>
      <c r="H3377" s="13" t="n">
        <f aca="false">MIN(G3377,D3377)</f>
        <v>0.59122224</v>
      </c>
      <c r="I3377" s="13" t="n">
        <f aca="false">IFERROR(MIN(F3377*Eingaben!$B$19,MAX(0,D3377-H3377)),0)</f>
        <v>1.407672</v>
      </c>
      <c r="J3377" s="13" t="n">
        <f aca="false">IFERROR(MIN(Eingaben!$B$18,MAX(0,F3377-I3377)),0)</f>
        <v>0.603288</v>
      </c>
      <c r="K3377" s="13" t="n">
        <f aca="false">H3377+I3377</f>
        <v>1.99889424</v>
      </c>
      <c r="L3377" s="13" t="n">
        <f aca="false">MAX(0,D3377-K3377)</f>
        <v>2.94110576</v>
      </c>
      <c r="M3377" s="13" t="n">
        <f aca="false">MAX(0,F3377-I3377-J3377)</f>
        <v>0</v>
      </c>
      <c r="N3377" s="13" t="n">
        <f aca="false">IF(Kalender!A83="",0,J3376-H3377)</f>
        <v>0.01206576</v>
      </c>
    </row>
    <row r="3378" customFormat="false" ht="16.4" hidden="false" customHeight="false" outlineLevel="0" collapsed="false">
      <c r="A3378" s="13" t="str">
        <f aca="false">""</f>
        <v/>
      </c>
      <c r="B3378" s="13" t="n">
        <f aca="false">80</f>
        <v>80</v>
      </c>
      <c r="C3378" s="13" t="n">
        <f aca="false">IF(Szenarien!$H$20="OK",(IFERROR(SUMIF(Nutzungsprofile!$B$6:$B$11,"Schulbetrieb",Nutzungsprofile!$G$6:$G$11)*Kalender!C84/SUM(Kalender!$C$5:$C$370),0)+IFERROR(SUMIF(Nutzungsprofile!$B$6:$B$11,"Halle",Nutzungsprofile!$G$6:$G$11)*Kalender!D84/SUM(Kalender!$D$5:$D$370),0)+IFERROR(SUMIF(Nutzungsprofile!$B$6:$B$11,"Individuell",Nutzungsprofile!$G$6:$G$11)*Kalender!E84/SUM(Kalender!$E$5:$E$370),0))*Szenarien!$E$20,0)</f>
        <v>1.632</v>
      </c>
      <c r="D3378" s="13" t="n">
        <f aca="false">IF(Szenarien!$H$20="OK",(IFERROR(SUMIF(Nutzungsprofile!$B$17:$B$22,"Schulbetrieb",Nutzungsprofile!$G$17:$G$22)*Kalender!C84/SUM(Kalender!$C$5:$C$370),0)+IFERROR(SUMIF(Nutzungsprofile!$B$17:$B$22,"Halle",Nutzungsprofile!$G$17:$G$22)*Kalender!D84/SUM(Kalender!$D$5:$D$370),0)+IFERROR(SUMIF(Nutzungsprofile!$B$17:$B$22,"Individuell",Nutzungsprofile!$G$17:$G$22)*Kalender!E84/SUM(Kalender!$E$5:$E$370),0))*Szenarien!$D$20,0)</f>
        <v>0.89</v>
      </c>
      <c r="E3378" s="13" t="n">
        <f aca="false">IFERROR(MIN(C3378,Eingaben!$B$17)*Eingaben!$B$16,0)</f>
        <v>1.5504</v>
      </c>
      <c r="F3378" s="13" t="n">
        <f aca="false">IFERROR(E3378*Eingaben!$B$15,0)</f>
        <v>1.39536</v>
      </c>
      <c r="G3378" s="13" t="n">
        <f aca="false">IFERROR(IF(Kalender!A84="",0,J3377*(1-Eingaben!$B$20)),0)</f>
        <v>0.59122224</v>
      </c>
      <c r="H3378" s="13" t="n">
        <f aca="false">MIN(G3378,D3378)</f>
        <v>0.59122224</v>
      </c>
      <c r="I3378" s="13" t="n">
        <f aca="false">IFERROR(MIN(F3378*Eingaben!$B$19,MAX(0,D3378-H3378)),0)</f>
        <v>0.29877776</v>
      </c>
      <c r="J3378" s="13" t="n">
        <f aca="false">IFERROR(MIN(Eingaben!$B$18,MAX(0,F3378-I3378)),0)</f>
        <v>1.09658224</v>
      </c>
      <c r="K3378" s="13" t="n">
        <f aca="false">H3378+I3378</f>
        <v>0.89</v>
      </c>
      <c r="L3378" s="13" t="n">
        <f aca="false">MAX(0,D3378-K3378)</f>
        <v>0</v>
      </c>
      <c r="M3378" s="13" t="n">
        <f aca="false">MAX(0,F3378-I3378-J3378)</f>
        <v>0</v>
      </c>
      <c r="N3378" s="13" t="n">
        <f aca="false">IF(Kalender!A84="",0,J3377-H3378)</f>
        <v>0.01206576</v>
      </c>
    </row>
    <row r="3379" customFormat="false" ht="16.4" hidden="false" customHeight="false" outlineLevel="0" collapsed="false">
      <c r="A3379" s="13" t="str">
        <f aca="false">""</f>
        <v/>
      </c>
      <c r="B3379" s="13" t="n">
        <f aca="false">81</f>
        <v>81</v>
      </c>
      <c r="C3379" s="13" t="n">
        <f aca="false">IF(Szenarien!$H$20="OK",(IFERROR(SUMIF(Nutzungsprofile!$B$6:$B$11,"Schulbetrieb",Nutzungsprofile!$G$6:$G$11)*Kalender!C85/SUM(Kalender!$C$5:$C$370),0)+IFERROR(SUMIF(Nutzungsprofile!$B$6:$B$11,"Halle",Nutzungsprofile!$G$6:$G$11)*Kalender!D85/SUM(Kalender!$D$5:$D$370),0)+IFERROR(SUMIF(Nutzungsprofile!$B$6:$B$11,"Individuell",Nutzungsprofile!$G$6:$G$11)*Kalender!E85/SUM(Kalender!$E$5:$E$370),0))*Szenarien!$E$20,0)</f>
        <v>1.632</v>
      </c>
      <c r="D3379" s="13" t="n">
        <f aca="false">IF(Szenarien!$H$20="OK",(IFERROR(SUMIF(Nutzungsprofile!$B$17:$B$22,"Schulbetrieb",Nutzungsprofile!$G$17:$G$22)*Kalender!C85/SUM(Kalender!$C$5:$C$370),0)+IFERROR(SUMIF(Nutzungsprofile!$B$17:$B$22,"Halle",Nutzungsprofile!$G$17:$G$22)*Kalender!D85/SUM(Kalender!$D$5:$D$370),0)+IFERROR(SUMIF(Nutzungsprofile!$B$17:$B$22,"Individuell",Nutzungsprofile!$G$17:$G$22)*Kalender!E85/SUM(Kalender!$E$5:$E$370),0))*Szenarien!$D$20,0)</f>
        <v>0.89</v>
      </c>
      <c r="E3379" s="13" t="n">
        <f aca="false">IFERROR(MIN(C3379,Eingaben!$B$17)*Eingaben!$B$16,0)</f>
        <v>1.5504</v>
      </c>
      <c r="F3379" s="13" t="n">
        <f aca="false">IFERROR(E3379*Eingaben!$B$15,0)</f>
        <v>1.39536</v>
      </c>
      <c r="G3379" s="13" t="n">
        <f aca="false">IFERROR(IF(Kalender!A85="",0,J3378*(1-Eingaben!$B$20)),0)</f>
        <v>1.0746505952</v>
      </c>
      <c r="H3379" s="13" t="n">
        <f aca="false">MIN(G3379,D3379)</f>
        <v>0.89</v>
      </c>
      <c r="I3379" s="13" t="n">
        <f aca="false">IFERROR(MIN(F3379*Eingaben!$B$19,MAX(0,D3379-H3379)),0)</f>
        <v>0</v>
      </c>
      <c r="J3379" s="13" t="n">
        <f aca="false">IFERROR(MIN(Eingaben!$B$18,MAX(0,F3379-I3379)),0)</f>
        <v>1.39536</v>
      </c>
      <c r="K3379" s="13" t="n">
        <f aca="false">H3379+I3379</f>
        <v>0.89</v>
      </c>
      <c r="L3379" s="13" t="n">
        <f aca="false">MAX(0,D3379-K3379)</f>
        <v>0</v>
      </c>
      <c r="M3379" s="13" t="n">
        <f aca="false">MAX(0,F3379-I3379-J3379)</f>
        <v>0</v>
      </c>
      <c r="N3379" s="13" t="n">
        <f aca="false">IF(Kalender!A85="",0,J3378-H3379)</f>
        <v>0.20658224</v>
      </c>
    </row>
    <row r="3380" customFormat="false" ht="16.4" hidden="false" customHeight="false" outlineLevel="0" collapsed="false">
      <c r="A3380" s="13" t="str">
        <f aca="false">""</f>
        <v/>
      </c>
      <c r="B3380" s="13" t="n">
        <f aca="false">82</f>
        <v>82</v>
      </c>
      <c r="C3380" s="13" t="n">
        <f aca="false">IF(Szenarien!$H$20="OK",(IFERROR(SUMIF(Nutzungsprofile!$B$6:$B$11,"Schulbetrieb",Nutzungsprofile!$G$6:$G$11)*Kalender!C86/SUM(Kalender!$C$5:$C$370),0)+IFERROR(SUMIF(Nutzungsprofile!$B$6:$B$11,"Halle",Nutzungsprofile!$G$6:$G$11)*Kalender!D86/SUM(Kalender!$D$5:$D$370),0)+IFERROR(SUMIF(Nutzungsprofile!$B$6:$B$11,"Individuell",Nutzungsprofile!$G$6:$G$11)*Kalender!E86/SUM(Kalender!$E$5:$E$370),0))*Szenarien!$E$20,0)</f>
        <v>2.352</v>
      </c>
      <c r="D3380" s="13" t="n">
        <f aca="false">IF(Szenarien!$H$20="OK",(IFERROR(SUMIF(Nutzungsprofile!$B$17:$B$22,"Schulbetrieb",Nutzungsprofile!$G$17:$G$22)*Kalender!C86/SUM(Kalender!$C$5:$C$370),0)+IFERROR(SUMIF(Nutzungsprofile!$B$17:$B$22,"Halle",Nutzungsprofile!$G$17:$G$22)*Kalender!D86/SUM(Kalender!$D$5:$D$370),0)+IFERROR(SUMIF(Nutzungsprofile!$B$17:$B$22,"Individuell",Nutzungsprofile!$G$17:$G$22)*Kalender!E86/SUM(Kalender!$E$5:$E$370),0))*Szenarien!$D$20,0)</f>
        <v>4.94</v>
      </c>
      <c r="E3380" s="13" t="n">
        <f aca="false">IFERROR(MIN(C3380,Eingaben!$B$17)*Eingaben!$B$16,0)</f>
        <v>2.2344</v>
      </c>
      <c r="F3380" s="13" t="n">
        <f aca="false">IFERROR(E3380*Eingaben!$B$15,0)</f>
        <v>2.01096</v>
      </c>
      <c r="G3380" s="13" t="n">
        <f aca="false">IFERROR(IF(Kalender!A86="",0,J3379*(1-Eingaben!$B$20)),0)</f>
        <v>1.3674528</v>
      </c>
      <c r="H3380" s="13" t="n">
        <f aca="false">MIN(G3380,D3380)</f>
        <v>1.3674528</v>
      </c>
      <c r="I3380" s="13" t="n">
        <f aca="false">IFERROR(MIN(F3380*Eingaben!$B$19,MAX(0,D3380-H3380)),0)</f>
        <v>1.407672</v>
      </c>
      <c r="J3380" s="13" t="n">
        <f aca="false">IFERROR(MIN(Eingaben!$B$18,MAX(0,F3380-I3380)),0)</f>
        <v>0.603288</v>
      </c>
      <c r="K3380" s="13" t="n">
        <f aca="false">H3380+I3380</f>
        <v>2.7751248</v>
      </c>
      <c r="L3380" s="13" t="n">
        <f aca="false">MAX(0,D3380-K3380)</f>
        <v>2.1648752</v>
      </c>
      <c r="M3380" s="13" t="n">
        <f aca="false">MAX(0,F3380-I3380-J3380)</f>
        <v>0</v>
      </c>
      <c r="N3380" s="13" t="n">
        <f aca="false">IF(Kalender!A86="",0,J3379-H3380)</f>
        <v>0.0279072</v>
      </c>
    </row>
    <row r="3381" customFormat="false" ht="16.4" hidden="false" customHeight="false" outlineLevel="0" collapsed="false">
      <c r="A3381" s="13" t="str">
        <f aca="false">""</f>
        <v/>
      </c>
      <c r="B3381" s="13" t="n">
        <f aca="false">83</f>
        <v>83</v>
      </c>
      <c r="C3381" s="13" t="n">
        <f aca="false">IF(Szenarien!$H$20="OK",(IFERROR(SUMIF(Nutzungsprofile!$B$6:$B$11,"Schulbetrieb",Nutzungsprofile!$G$6:$G$11)*Kalender!C87/SUM(Kalender!$C$5:$C$370),0)+IFERROR(SUMIF(Nutzungsprofile!$B$6:$B$11,"Halle",Nutzungsprofile!$G$6:$G$11)*Kalender!D87/SUM(Kalender!$D$5:$D$370),0)+IFERROR(SUMIF(Nutzungsprofile!$B$6:$B$11,"Individuell",Nutzungsprofile!$G$6:$G$11)*Kalender!E87/SUM(Kalender!$E$5:$E$370),0))*Szenarien!$E$20,0)</f>
        <v>2.352</v>
      </c>
      <c r="D3381" s="13" t="n">
        <f aca="false">IF(Szenarien!$H$20="OK",(IFERROR(SUMIF(Nutzungsprofile!$B$17:$B$22,"Schulbetrieb",Nutzungsprofile!$G$17:$G$22)*Kalender!C87/SUM(Kalender!$C$5:$C$370),0)+IFERROR(SUMIF(Nutzungsprofile!$B$17:$B$22,"Halle",Nutzungsprofile!$G$17:$G$22)*Kalender!D87/SUM(Kalender!$D$5:$D$370),0)+IFERROR(SUMIF(Nutzungsprofile!$B$17:$B$22,"Individuell",Nutzungsprofile!$G$17:$G$22)*Kalender!E87/SUM(Kalender!$E$5:$E$370),0))*Szenarien!$D$20,0)</f>
        <v>4.94</v>
      </c>
      <c r="E3381" s="13" t="n">
        <f aca="false">IFERROR(MIN(C3381,Eingaben!$B$17)*Eingaben!$B$16,0)</f>
        <v>2.2344</v>
      </c>
      <c r="F3381" s="13" t="n">
        <f aca="false">IFERROR(E3381*Eingaben!$B$15,0)</f>
        <v>2.01096</v>
      </c>
      <c r="G3381" s="13" t="n">
        <f aca="false">IFERROR(IF(Kalender!A87="",0,J3380*(1-Eingaben!$B$20)),0)</f>
        <v>0.59122224</v>
      </c>
      <c r="H3381" s="13" t="n">
        <f aca="false">MIN(G3381,D3381)</f>
        <v>0.59122224</v>
      </c>
      <c r="I3381" s="13" t="n">
        <f aca="false">IFERROR(MIN(F3381*Eingaben!$B$19,MAX(0,D3381-H3381)),0)</f>
        <v>1.407672</v>
      </c>
      <c r="J3381" s="13" t="n">
        <f aca="false">IFERROR(MIN(Eingaben!$B$18,MAX(0,F3381-I3381)),0)</f>
        <v>0.603288</v>
      </c>
      <c r="K3381" s="13" t="n">
        <f aca="false">H3381+I3381</f>
        <v>1.99889424</v>
      </c>
      <c r="L3381" s="13" t="n">
        <f aca="false">MAX(0,D3381-K3381)</f>
        <v>2.94110576</v>
      </c>
      <c r="M3381" s="13" t="n">
        <f aca="false">MAX(0,F3381-I3381-J3381)</f>
        <v>0</v>
      </c>
      <c r="N3381" s="13" t="n">
        <f aca="false">IF(Kalender!A87="",0,J3380-H3381)</f>
        <v>0.01206576</v>
      </c>
    </row>
    <row r="3382" customFormat="false" ht="16.4" hidden="false" customHeight="false" outlineLevel="0" collapsed="false">
      <c r="A3382" s="13" t="str">
        <f aca="false">""</f>
        <v/>
      </c>
      <c r="B3382" s="13" t="n">
        <f aca="false">84</f>
        <v>84</v>
      </c>
      <c r="C3382" s="13" t="n">
        <f aca="false">IF(Szenarien!$H$20="OK",(IFERROR(SUMIF(Nutzungsprofile!$B$6:$B$11,"Schulbetrieb",Nutzungsprofile!$G$6:$G$11)*Kalender!C88/SUM(Kalender!$C$5:$C$370),0)+IFERROR(SUMIF(Nutzungsprofile!$B$6:$B$11,"Halle",Nutzungsprofile!$G$6:$G$11)*Kalender!D88/SUM(Kalender!$D$5:$D$370),0)+IFERROR(SUMIF(Nutzungsprofile!$B$6:$B$11,"Individuell",Nutzungsprofile!$G$6:$G$11)*Kalender!E88/SUM(Kalender!$E$5:$E$370),0))*Szenarien!$E$20,0)</f>
        <v>2.352</v>
      </c>
      <c r="D3382" s="13" t="n">
        <f aca="false">IF(Szenarien!$H$20="OK",(IFERROR(SUMIF(Nutzungsprofile!$B$17:$B$22,"Schulbetrieb",Nutzungsprofile!$G$17:$G$22)*Kalender!C88/SUM(Kalender!$C$5:$C$370),0)+IFERROR(SUMIF(Nutzungsprofile!$B$17:$B$22,"Halle",Nutzungsprofile!$G$17:$G$22)*Kalender!D88/SUM(Kalender!$D$5:$D$370),0)+IFERROR(SUMIF(Nutzungsprofile!$B$17:$B$22,"Individuell",Nutzungsprofile!$G$17:$G$22)*Kalender!E88/SUM(Kalender!$E$5:$E$370),0))*Szenarien!$D$20,0)</f>
        <v>4.94</v>
      </c>
      <c r="E3382" s="13" t="n">
        <f aca="false">IFERROR(MIN(C3382,Eingaben!$B$17)*Eingaben!$B$16,0)</f>
        <v>2.2344</v>
      </c>
      <c r="F3382" s="13" t="n">
        <f aca="false">IFERROR(E3382*Eingaben!$B$15,0)</f>
        <v>2.01096</v>
      </c>
      <c r="G3382" s="13" t="n">
        <f aca="false">IFERROR(IF(Kalender!A88="",0,J3381*(1-Eingaben!$B$20)),0)</f>
        <v>0.59122224</v>
      </c>
      <c r="H3382" s="13" t="n">
        <f aca="false">MIN(G3382,D3382)</f>
        <v>0.59122224</v>
      </c>
      <c r="I3382" s="13" t="n">
        <f aca="false">IFERROR(MIN(F3382*Eingaben!$B$19,MAX(0,D3382-H3382)),0)</f>
        <v>1.407672</v>
      </c>
      <c r="J3382" s="13" t="n">
        <f aca="false">IFERROR(MIN(Eingaben!$B$18,MAX(0,F3382-I3382)),0)</f>
        <v>0.603288</v>
      </c>
      <c r="K3382" s="13" t="n">
        <f aca="false">H3382+I3382</f>
        <v>1.99889424</v>
      </c>
      <c r="L3382" s="13" t="n">
        <f aca="false">MAX(0,D3382-K3382)</f>
        <v>2.94110576</v>
      </c>
      <c r="M3382" s="13" t="n">
        <f aca="false">MAX(0,F3382-I3382-J3382)</f>
        <v>0</v>
      </c>
      <c r="N3382" s="13" t="n">
        <f aca="false">IF(Kalender!A88="",0,J3381-H3382)</f>
        <v>0.01206576</v>
      </c>
    </row>
    <row r="3383" customFormat="false" ht="16.4" hidden="false" customHeight="false" outlineLevel="0" collapsed="false">
      <c r="A3383" s="13" t="str">
        <f aca="false">""</f>
        <v/>
      </c>
      <c r="B3383" s="13" t="n">
        <f aca="false">85</f>
        <v>85</v>
      </c>
      <c r="C3383" s="13" t="n">
        <f aca="false">IF(Szenarien!$H$20="OK",(IFERROR(SUMIF(Nutzungsprofile!$B$6:$B$11,"Schulbetrieb",Nutzungsprofile!$G$6:$G$11)*Kalender!C89/SUM(Kalender!$C$5:$C$370),0)+IFERROR(SUMIF(Nutzungsprofile!$B$6:$B$11,"Halle",Nutzungsprofile!$G$6:$G$11)*Kalender!D89/SUM(Kalender!$D$5:$D$370),0)+IFERROR(SUMIF(Nutzungsprofile!$B$6:$B$11,"Individuell",Nutzungsprofile!$G$6:$G$11)*Kalender!E89/SUM(Kalender!$E$5:$E$370),0))*Szenarien!$E$20,0)</f>
        <v>2.352</v>
      </c>
      <c r="D3383" s="13" t="n">
        <f aca="false">IF(Szenarien!$H$20="OK",(IFERROR(SUMIF(Nutzungsprofile!$B$17:$B$22,"Schulbetrieb",Nutzungsprofile!$G$17:$G$22)*Kalender!C89/SUM(Kalender!$C$5:$C$370),0)+IFERROR(SUMIF(Nutzungsprofile!$B$17:$B$22,"Halle",Nutzungsprofile!$G$17:$G$22)*Kalender!D89/SUM(Kalender!$D$5:$D$370),0)+IFERROR(SUMIF(Nutzungsprofile!$B$17:$B$22,"Individuell",Nutzungsprofile!$G$17:$G$22)*Kalender!E89/SUM(Kalender!$E$5:$E$370),0))*Szenarien!$D$20,0)</f>
        <v>4.94</v>
      </c>
      <c r="E3383" s="13" t="n">
        <f aca="false">IFERROR(MIN(C3383,Eingaben!$B$17)*Eingaben!$B$16,0)</f>
        <v>2.2344</v>
      </c>
      <c r="F3383" s="13" t="n">
        <f aca="false">IFERROR(E3383*Eingaben!$B$15,0)</f>
        <v>2.01096</v>
      </c>
      <c r="G3383" s="13" t="n">
        <f aca="false">IFERROR(IF(Kalender!A89="",0,J3382*(1-Eingaben!$B$20)),0)</f>
        <v>0.59122224</v>
      </c>
      <c r="H3383" s="13" t="n">
        <f aca="false">MIN(G3383,D3383)</f>
        <v>0.59122224</v>
      </c>
      <c r="I3383" s="13" t="n">
        <f aca="false">IFERROR(MIN(F3383*Eingaben!$B$19,MAX(0,D3383-H3383)),0)</f>
        <v>1.407672</v>
      </c>
      <c r="J3383" s="13" t="n">
        <f aca="false">IFERROR(MIN(Eingaben!$B$18,MAX(0,F3383-I3383)),0)</f>
        <v>0.603288</v>
      </c>
      <c r="K3383" s="13" t="n">
        <f aca="false">H3383+I3383</f>
        <v>1.99889424</v>
      </c>
      <c r="L3383" s="13" t="n">
        <f aca="false">MAX(0,D3383-K3383)</f>
        <v>2.94110576</v>
      </c>
      <c r="M3383" s="13" t="n">
        <f aca="false">MAX(0,F3383-I3383-J3383)</f>
        <v>0</v>
      </c>
      <c r="N3383" s="13" t="n">
        <f aca="false">IF(Kalender!A89="",0,J3382-H3383)</f>
        <v>0.01206576</v>
      </c>
    </row>
    <row r="3384" customFormat="false" ht="16.4" hidden="false" customHeight="false" outlineLevel="0" collapsed="false">
      <c r="A3384" s="13" t="str">
        <f aca="false">""</f>
        <v/>
      </c>
      <c r="B3384" s="13" t="n">
        <f aca="false">86</f>
        <v>86</v>
      </c>
      <c r="C3384" s="13" t="n">
        <f aca="false">IF(Szenarien!$H$20="OK",(IFERROR(SUMIF(Nutzungsprofile!$B$6:$B$11,"Schulbetrieb",Nutzungsprofile!$G$6:$G$11)*Kalender!C90/SUM(Kalender!$C$5:$C$370),0)+IFERROR(SUMIF(Nutzungsprofile!$B$6:$B$11,"Halle",Nutzungsprofile!$G$6:$G$11)*Kalender!D90/SUM(Kalender!$D$5:$D$370),0)+IFERROR(SUMIF(Nutzungsprofile!$B$6:$B$11,"Individuell",Nutzungsprofile!$G$6:$G$11)*Kalender!E90/SUM(Kalender!$E$5:$E$370),0))*Szenarien!$E$20,0)</f>
        <v>2.352</v>
      </c>
      <c r="D3384" s="13" t="n">
        <f aca="false">IF(Szenarien!$H$20="OK",(IFERROR(SUMIF(Nutzungsprofile!$B$17:$B$22,"Schulbetrieb",Nutzungsprofile!$G$17:$G$22)*Kalender!C90/SUM(Kalender!$C$5:$C$370),0)+IFERROR(SUMIF(Nutzungsprofile!$B$17:$B$22,"Halle",Nutzungsprofile!$G$17:$G$22)*Kalender!D90/SUM(Kalender!$D$5:$D$370),0)+IFERROR(SUMIF(Nutzungsprofile!$B$17:$B$22,"Individuell",Nutzungsprofile!$G$17:$G$22)*Kalender!E90/SUM(Kalender!$E$5:$E$370),0))*Szenarien!$D$20,0)</f>
        <v>4.94</v>
      </c>
      <c r="E3384" s="13" t="n">
        <f aca="false">IFERROR(MIN(C3384,Eingaben!$B$17)*Eingaben!$B$16,0)</f>
        <v>2.2344</v>
      </c>
      <c r="F3384" s="13" t="n">
        <f aca="false">IFERROR(E3384*Eingaben!$B$15,0)</f>
        <v>2.01096</v>
      </c>
      <c r="G3384" s="13" t="n">
        <f aca="false">IFERROR(IF(Kalender!A90="",0,J3383*(1-Eingaben!$B$20)),0)</f>
        <v>0.59122224</v>
      </c>
      <c r="H3384" s="13" t="n">
        <f aca="false">MIN(G3384,D3384)</f>
        <v>0.59122224</v>
      </c>
      <c r="I3384" s="13" t="n">
        <f aca="false">IFERROR(MIN(F3384*Eingaben!$B$19,MAX(0,D3384-H3384)),0)</f>
        <v>1.407672</v>
      </c>
      <c r="J3384" s="13" t="n">
        <f aca="false">IFERROR(MIN(Eingaben!$B$18,MAX(0,F3384-I3384)),0)</f>
        <v>0.603288</v>
      </c>
      <c r="K3384" s="13" t="n">
        <f aca="false">H3384+I3384</f>
        <v>1.99889424</v>
      </c>
      <c r="L3384" s="13" t="n">
        <f aca="false">MAX(0,D3384-K3384)</f>
        <v>2.94110576</v>
      </c>
      <c r="M3384" s="13" t="n">
        <f aca="false">MAX(0,F3384-I3384-J3384)</f>
        <v>0</v>
      </c>
      <c r="N3384" s="13" t="n">
        <f aca="false">IF(Kalender!A90="",0,J3383-H3384)</f>
        <v>0.01206576</v>
      </c>
    </row>
    <row r="3385" customFormat="false" ht="16.4" hidden="false" customHeight="false" outlineLevel="0" collapsed="false">
      <c r="A3385" s="13" t="str">
        <f aca="false">""</f>
        <v/>
      </c>
      <c r="B3385" s="13" t="n">
        <f aca="false">87</f>
        <v>87</v>
      </c>
      <c r="C3385" s="13" t="n">
        <f aca="false">IF(Szenarien!$H$20="OK",(IFERROR(SUMIF(Nutzungsprofile!$B$6:$B$11,"Schulbetrieb",Nutzungsprofile!$G$6:$G$11)*Kalender!C91/SUM(Kalender!$C$5:$C$370),0)+IFERROR(SUMIF(Nutzungsprofile!$B$6:$B$11,"Halle",Nutzungsprofile!$G$6:$G$11)*Kalender!D91/SUM(Kalender!$D$5:$D$370),0)+IFERROR(SUMIF(Nutzungsprofile!$B$6:$B$11,"Individuell",Nutzungsprofile!$G$6:$G$11)*Kalender!E91/SUM(Kalender!$E$5:$E$370),0))*Szenarien!$E$20,0)</f>
        <v>1.632</v>
      </c>
      <c r="D3385" s="13" t="n">
        <f aca="false">IF(Szenarien!$H$20="OK",(IFERROR(SUMIF(Nutzungsprofile!$B$17:$B$22,"Schulbetrieb",Nutzungsprofile!$G$17:$G$22)*Kalender!C91/SUM(Kalender!$C$5:$C$370),0)+IFERROR(SUMIF(Nutzungsprofile!$B$17:$B$22,"Halle",Nutzungsprofile!$G$17:$G$22)*Kalender!D91/SUM(Kalender!$D$5:$D$370),0)+IFERROR(SUMIF(Nutzungsprofile!$B$17:$B$22,"Individuell",Nutzungsprofile!$G$17:$G$22)*Kalender!E91/SUM(Kalender!$E$5:$E$370),0))*Szenarien!$D$20,0)</f>
        <v>0.89</v>
      </c>
      <c r="E3385" s="13" t="n">
        <f aca="false">IFERROR(MIN(C3385,Eingaben!$B$17)*Eingaben!$B$16,0)</f>
        <v>1.5504</v>
      </c>
      <c r="F3385" s="13" t="n">
        <f aca="false">IFERROR(E3385*Eingaben!$B$15,0)</f>
        <v>1.39536</v>
      </c>
      <c r="G3385" s="13" t="n">
        <f aca="false">IFERROR(IF(Kalender!A91="",0,J3384*(1-Eingaben!$B$20)),0)</f>
        <v>0.59122224</v>
      </c>
      <c r="H3385" s="13" t="n">
        <f aca="false">MIN(G3385,D3385)</f>
        <v>0.59122224</v>
      </c>
      <c r="I3385" s="13" t="n">
        <f aca="false">IFERROR(MIN(F3385*Eingaben!$B$19,MAX(0,D3385-H3385)),0)</f>
        <v>0.29877776</v>
      </c>
      <c r="J3385" s="13" t="n">
        <f aca="false">IFERROR(MIN(Eingaben!$B$18,MAX(0,F3385-I3385)),0)</f>
        <v>1.09658224</v>
      </c>
      <c r="K3385" s="13" t="n">
        <f aca="false">H3385+I3385</f>
        <v>0.89</v>
      </c>
      <c r="L3385" s="13" t="n">
        <f aca="false">MAX(0,D3385-K3385)</f>
        <v>0</v>
      </c>
      <c r="M3385" s="13" t="n">
        <f aca="false">MAX(0,F3385-I3385-J3385)</f>
        <v>0</v>
      </c>
      <c r="N3385" s="13" t="n">
        <f aca="false">IF(Kalender!A91="",0,J3384-H3385)</f>
        <v>0.01206576</v>
      </c>
    </row>
    <row r="3386" customFormat="false" ht="16.4" hidden="false" customHeight="false" outlineLevel="0" collapsed="false">
      <c r="A3386" s="13" t="str">
        <f aca="false">""</f>
        <v/>
      </c>
      <c r="B3386" s="13" t="n">
        <f aca="false">88</f>
        <v>88</v>
      </c>
      <c r="C3386" s="13" t="n">
        <f aca="false">IF(Szenarien!$H$20="OK",(IFERROR(SUMIF(Nutzungsprofile!$B$6:$B$11,"Schulbetrieb",Nutzungsprofile!$G$6:$G$11)*Kalender!C92/SUM(Kalender!$C$5:$C$370),0)+IFERROR(SUMIF(Nutzungsprofile!$B$6:$B$11,"Halle",Nutzungsprofile!$G$6:$G$11)*Kalender!D92/SUM(Kalender!$D$5:$D$370),0)+IFERROR(SUMIF(Nutzungsprofile!$B$6:$B$11,"Individuell",Nutzungsprofile!$G$6:$G$11)*Kalender!E92/SUM(Kalender!$E$5:$E$370),0))*Szenarien!$E$20,0)</f>
        <v>1.632</v>
      </c>
      <c r="D3386" s="13" t="n">
        <f aca="false">IF(Szenarien!$H$20="OK",(IFERROR(SUMIF(Nutzungsprofile!$B$17:$B$22,"Schulbetrieb",Nutzungsprofile!$G$17:$G$22)*Kalender!C92/SUM(Kalender!$C$5:$C$370),0)+IFERROR(SUMIF(Nutzungsprofile!$B$17:$B$22,"Halle",Nutzungsprofile!$G$17:$G$22)*Kalender!D92/SUM(Kalender!$D$5:$D$370),0)+IFERROR(SUMIF(Nutzungsprofile!$B$17:$B$22,"Individuell",Nutzungsprofile!$G$17:$G$22)*Kalender!E92/SUM(Kalender!$E$5:$E$370),0))*Szenarien!$D$20,0)</f>
        <v>0.89</v>
      </c>
      <c r="E3386" s="13" t="n">
        <f aca="false">IFERROR(MIN(C3386,Eingaben!$B$17)*Eingaben!$B$16,0)</f>
        <v>1.5504</v>
      </c>
      <c r="F3386" s="13" t="n">
        <f aca="false">IFERROR(E3386*Eingaben!$B$15,0)</f>
        <v>1.39536</v>
      </c>
      <c r="G3386" s="13" t="n">
        <f aca="false">IFERROR(IF(Kalender!A92="",0,J3385*(1-Eingaben!$B$20)),0)</f>
        <v>1.0746505952</v>
      </c>
      <c r="H3386" s="13" t="n">
        <f aca="false">MIN(G3386,D3386)</f>
        <v>0.89</v>
      </c>
      <c r="I3386" s="13" t="n">
        <f aca="false">IFERROR(MIN(F3386*Eingaben!$B$19,MAX(0,D3386-H3386)),0)</f>
        <v>0</v>
      </c>
      <c r="J3386" s="13" t="n">
        <f aca="false">IFERROR(MIN(Eingaben!$B$18,MAX(0,F3386-I3386)),0)</f>
        <v>1.39536</v>
      </c>
      <c r="K3386" s="13" t="n">
        <f aca="false">H3386+I3386</f>
        <v>0.89</v>
      </c>
      <c r="L3386" s="13" t="n">
        <f aca="false">MAX(0,D3386-K3386)</f>
        <v>0</v>
      </c>
      <c r="M3386" s="13" t="n">
        <f aca="false">MAX(0,F3386-I3386-J3386)</f>
        <v>0</v>
      </c>
      <c r="N3386" s="13" t="n">
        <f aca="false">IF(Kalender!A92="",0,J3385-H3386)</f>
        <v>0.20658224</v>
      </c>
    </row>
    <row r="3387" customFormat="false" ht="16.4" hidden="false" customHeight="false" outlineLevel="0" collapsed="false">
      <c r="A3387" s="13" t="str">
        <f aca="false">""</f>
        <v/>
      </c>
      <c r="B3387" s="13" t="n">
        <f aca="false">89</f>
        <v>89</v>
      </c>
      <c r="C3387" s="13" t="n">
        <f aca="false">IF(Szenarien!$H$20="OK",(IFERROR(SUMIF(Nutzungsprofile!$B$6:$B$11,"Schulbetrieb",Nutzungsprofile!$G$6:$G$11)*Kalender!C93/SUM(Kalender!$C$5:$C$370),0)+IFERROR(SUMIF(Nutzungsprofile!$B$6:$B$11,"Halle",Nutzungsprofile!$G$6:$G$11)*Kalender!D93/SUM(Kalender!$D$5:$D$370),0)+IFERROR(SUMIF(Nutzungsprofile!$B$6:$B$11,"Individuell",Nutzungsprofile!$G$6:$G$11)*Kalender!E93/SUM(Kalender!$E$5:$E$370),0))*Szenarien!$E$20,0)</f>
        <v>2.352</v>
      </c>
      <c r="D3387" s="13" t="n">
        <f aca="false">IF(Szenarien!$H$20="OK",(IFERROR(SUMIF(Nutzungsprofile!$B$17:$B$22,"Schulbetrieb",Nutzungsprofile!$G$17:$G$22)*Kalender!C93/SUM(Kalender!$C$5:$C$370),0)+IFERROR(SUMIF(Nutzungsprofile!$B$17:$B$22,"Halle",Nutzungsprofile!$G$17:$G$22)*Kalender!D93/SUM(Kalender!$D$5:$D$370),0)+IFERROR(SUMIF(Nutzungsprofile!$B$17:$B$22,"Individuell",Nutzungsprofile!$G$17:$G$22)*Kalender!E93/SUM(Kalender!$E$5:$E$370),0))*Szenarien!$D$20,0)</f>
        <v>4.94</v>
      </c>
      <c r="E3387" s="13" t="n">
        <f aca="false">IFERROR(MIN(C3387,Eingaben!$B$17)*Eingaben!$B$16,0)</f>
        <v>2.2344</v>
      </c>
      <c r="F3387" s="13" t="n">
        <f aca="false">IFERROR(E3387*Eingaben!$B$15,0)</f>
        <v>2.01096</v>
      </c>
      <c r="G3387" s="13" t="n">
        <f aca="false">IFERROR(IF(Kalender!A93="",0,J3386*(1-Eingaben!$B$20)),0)</f>
        <v>1.3674528</v>
      </c>
      <c r="H3387" s="13" t="n">
        <f aca="false">MIN(G3387,D3387)</f>
        <v>1.3674528</v>
      </c>
      <c r="I3387" s="13" t="n">
        <f aca="false">IFERROR(MIN(F3387*Eingaben!$B$19,MAX(0,D3387-H3387)),0)</f>
        <v>1.407672</v>
      </c>
      <c r="J3387" s="13" t="n">
        <f aca="false">IFERROR(MIN(Eingaben!$B$18,MAX(0,F3387-I3387)),0)</f>
        <v>0.603288</v>
      </c>
      <c r="K3387" s="13" t="n">
        <f aca="false">H3387+I3387</f>
        <v>2.7751248</v>
      </c>
      <c r="L3387" s="13" t="n">
        <f aca="false">MAX(0,D3387-K3387)</f>
        <v>2.1648752</v>
      </c>
      <c r="M3387" s="13" t="n">
        <f aca="false">MAX(0,F3387-I3387-J3387)</f>
        <v>0</v>
      </c>
      <c r="N3387" s="13" t="n">
        <f aca="false">IF(Kalender!A93="",0,J3386-H3387)</f>
        <v>0.0279072</v>
      </c>
    </row>
    <row r="3388" customFormat="false" ht="16.4" hidden="false" customHeight="false" outlineLevel="0" collapsed="false">
      <c r="A3388" s="13" t="str">
        <f aca="false">""</f>
        <v/>
      </c>
      <c r="B3388" s="13" t="n">
        <f aca="false">90</f>
        <v>90</v>
      </c>
      <c r="C3388" s="13" t="n">
        <f aca="false">IF(Szenarien!$H$20="OK",(IFERROR(SUMIF(Nutzungsprofile!$B$6:$B$11,"Schulbetrieb",Nutzungsprofile!$G$6:$G$11)*Kalender!C94/SUM(Kalender!$C$5:$C$370),0)+IFERROR(SUMIF(Nutzungsprofile!$B$6:$B$11,"Halle",Nutzungsprofile!$G$6:$G$11)*Kalender!D94/SUM(Kalender!$D$5:$D$370),0)+IFERROR(SUMIF(Nutzungsprofile!$B$6:$B$11,"Individuell",Nutzungsprofile!$G$6:$G$11)*Kalender!E94/SUM(Kalender!$E$5:$E$370),0))*Szenarien!$E$20,0)</f>
        <v>2.352</v>
      </c>
      <c r="D3388" s="13" t="n">
        <f aca="false">IF(Szenarien!$H$20="OK",(IFERROR(SUMIF(Nutzungsprofile!$B$17:$B$22,"Schulbetrieb",Nutzungsprofile!$G$17:$G$22)*Kalender!C94/SUM(Kalender!$C$5:$C$370),0)+IFERROR(SUMIF(Nutzungsprofile!$B$17:$B$22,"Halle",Nutzungsprofile!$G$17:$G$22)*Kalender!D94/SUM(Kalender!$D$5:$D$370),0)+IFERROR(SUMIF(Nutzungsprofile!$B$17:$B$22,"Individuell",Nutzungsprofile!$G$17:$G$22)*Kalender!E94/SUM(Kalender!$E$5:$E$370),0))*Szenarien!$D$20,0)</f>
        <v>4.94</v>
      </c>
      <c r="E3388" s="13" t="n">
        <f aca="false">IFERROR(MIN(C3388,Eingaben!$B$17)*Eingaben!$B$16,0)</f>
        <v>2.2344</v>
      </c>
      <c r="F3388" s="13" t="n">
        <f aca="false">IFERROR(E3388*Eingaben!$B$15,0)</f>
        <v>2.01096</v>
      </c>
      <c r="G3388" s="13" t="n">
        <f aca="false">IFERROR(IF(Kalender!A94="",0,J3387*(1-Eingaben!$B$20)),0)</f>
        <v>0.59122224</v>
      </c>
      <c r="H3388" s="13" t="n">
        <f aca="false">MIN(G3388,D3388)</f>
        <v>0.59122224</v>
      </c>
      <c r="I3388" s="13" t="n">
        <f aca="false">IFERROR(MIN(F3388*Eingaben!$B$19,MAX(0,D3388-H3388)),0)</f>
        <v>1.407672</v>
      </c>
      <c r="J3388" s="13" t="n">
        <f aca="false">IFERROR(MIN(Eingaben!$B$18,MAX(0,F3388-I3388)),0)</f>
        <v>0.603288</v>
      </c>
      <c r="K3388" s="13" t="n">
        <f aca="false">H3388+I3388</f>
        <v>1.99889424</v>
      </c>
      <c r="L3388" s="13" t="n">
        <f aca="false">MAX(0,D3388-K3388)</f>
        <v>2.94110576</v>
      </c>
      <c r="M3388" s="13" t="n">
        <f aca="false">MAX(0,F3388-I3388-J3388)</f>
        <v>0</v>
      </c>
      <c r="N3388" s="13" t="n">
        <f aca="false">IF(Kalender!A94="",0,J3387-H3388)</f>
        <v>0.01206576</v>
      </c>
    </row>
    <row r="3389" customFormat="false" ht="16.4" hidden="false" customHeight="false" outlineLevel="0" collapsed="false">
      <c r="A3389" s="13" t="str">
        <f aca="false">""</f>
        <v/>
      </c>
      <c r="B3389" s="13" t="n">
        <f aca="false">91</f>
        <v>91</v>
      </c>
      <c r="C3389" s="13" t="n">
        <f aca="false">IF(Szenarien!$H$20="OK",(IFERROR(SUMIF(Nutzungsprofile!$B$6:$B$11,"Schulbetrieb",Nutzungsprofile!$G$6:$G$11)*Kalender!C95/SUM(Kalender!$C$5:$C$370),0)+IFERROR(SUMIF(Nutzungsprofile!$B$6:$B$11,"Halle",Nutzungsprofile!$G$6:$G$11)*Kalender!D95/SUM(Kalender!$D$5:$D$370),0)+IFERROR(SUMIF(Nutzungsprofile!$B$6:$B$11,"Individuell",Nutzungsprofile!$G$6:$G$11)*Kalender!E95/SUM(Kalender!$E$5:$E$370),0))*Szenarien!$E$20,0)</f>
        <v>2.352</v>
      </c>
      <c r="D3389" s="13" t="n">
        <f aca="false">IF(Szenarien!$H$20="OK",(IFERROR(SUMIF(Nutzungsprofile!$B$17:$B$22,"Schulbetrieb",Nutzungsprofile!$G$17:$G$22)*Kalender!C95/SUM(Kalender!$C$5:$C$370),0)+IFERROR(SUMIF(Nutzungsprofile!$B$17:$B$22,"Halle",Nutzungsprofile!$G$17:$G$22)*Kalender!D95/SUM(Kalender!$D$5:$D$370),0)+IFERROR(SUMIF(Nutzungsprofile!$B$17:$B$22,"Individuell",Nutzungsprofile!$G$17:$G$22)*Kalender!E95/SUM(Kalender!$E$5:$E$370),0))*Szenarien!$D$20,0)</f>
        <v>4.94</v>
      </c>
      <c r="E3389" s="13" t="n">
        <f aca="false">IFERROR(MIN(C3389,Eingaben!$B$17)*Eingaben!$B$16,0)</f>
        <v>2.2344</v>
      </c>
      <c r="F3389" s="13" t="n">
        <f aca="false">IFERROR(E3389*Eingaben!$B$15,0)</f>
        <v>2.01096</v>
      </c>
      <c r="G3389" s="13" t="n">
        <f aca="false">IFERROR(IF(Kalender!A95="",0,J3388*(1-Eingaben!$B$20)),0)</f>
        <v>0.59122224</v>
      </c>
      <c r="H3389" s="13" t="n">
        <f aca="false">MIN(G3389,D3389)</f>
        <v>0.59122224</v>
      </c>
      <c r="I3389" s="13" t="n">
        <f aca="false">IFERROR(MIN(F3389*Eingaben!$B$19,MAX(0,D3389-H3389)),0)</f>
        <v>1.407672</v>
      </c>
      <c r="J3389" s="13" t="n">
        <f aca="false">IFERROR(MIN(Eingaben!$B$18,MAX(0,F3389-I3389)),0)</f>
        <v>0.603288</v>
      </c>
      <c r="K3389" s="13" t="n">
        <f aca="false">H3389+I3389</f>
        <v>1.99889424</v>
      </c>
      <c r="L3389" s="13" t="n">
        <f aca="false">MAX(0,D3389-K3389)</f>
        <v>2.94110576</v>
      </c>
      <c r="M3389" s="13" t="n">
        <f aca="false">MAX(0,F3389-I3389-J3389)</f>
        <v>0</v>
      </c>
      <c r="N3389" s="13" t="n">
        <f aca="false">IF(Kalender!A95="",0,J3388-H3389)</f>
        <v>0.01206576</v>
      </c>
    </row>
    <row r="3390" customFormat="false" ht="16.4" hidden="false" customHeight="false" outlineLevel="0" collapsed="false">
      <c r="A3390" s="13" t="str">
        <f aca="false">""</f>
        <v/>
      </c>
      <c r="B3390" s="13" t="n">
        <f aca="false">92</f>
        <v>92</v>
      </c>
      <c r="C3390" s="13" t="n">
        <f aca="false">IF(Szenarien!$H$20="OK",(IFERROR(SUMIF(Nutzungsprofile!$B$6:$B$11,"Schulbetrieb",Nutzungsprofile!$G$6:$G$11)*Kalender!C96/SUM(Kalender!$C$5:$C$370),0)+IFERROR(SUMIF(Nutzungsprofile!$B$6:$B$11,"Halle",Nutzungsprofile!$G$6:$G$11)*Kalender!D96/SUM(Kalender!$D$5:$D$370),0)+IFERROR(SUMIF(Nutzungsprofile!$B$6:$B$11,"Individuell",Nutzungsprofile!$G$6:$G$11)*Kalender!E96/SUM(Kalender!$E$5:$E$370),0))*Szenarien!$E$20,0)</f>
        <v>2.352</v>
      </c>
      <c r="D3390" s="13" t="n">
        <f aca="false">IF(Szenarien!$H$20="OK",(IFERROR(SUMIF(Nutzungsprofile!$B$17:$B$22,"Schulbetrieb",Nutzungsprofile!$G$17:$G$22)*Kalender!C96/SUM(Kalender!$C$5:$C$370),0)+IFERROR(SUMIF(Nutzungsprofile!$B$17:$B$22,"Halle",Nutzungsprofile!$G$17:$G$22)*Kalender!D96/SUM(Kalender!$D$5:$D$370),0)+IFERROR(SUMIF(Nutzungsprofile!$B$17:$B$22,"Individuell",Nutzungsprofile!$G$17:$G$22)*Kalender!E96/SUM(Kalender!$E$5:$E$370),0))*Szenarien!$D$20,0)</f>
        <v>4.94</v>
      </c>
      <c r="E3390" s="13" t="n">
        <f aca="false">IFERROR(MIN(C3390,Eingaben!$B$17)*Eingaben!$B$16,0)</f>
        <v>2.2344</v>
      </c>
      <c r="F3390" s="13" t="n">
        <f aca="false">IFERROR(E3390*Eingaben!$B$15,0)</f>
        <v>2.01096</v>
      </c>
      <c r="G3390" s="13" t="n">
        <f aca="false">IFERROR(IF(Kalender!A96="",0,J3389*(1-Eingaben!$B$20)),0)</f>
        <v>0.59122224</v>
      </c>
      <c r="H3390" s="13" t="n">
        <f aca="false">MIN(G3390,D3390)</f>
        <v>0.59122224</v>
      </c>
      <c r="I3390" s="13" t="n">
        <f aca="false">IFERROR(MIN(F3390*Eingaben!$B$19,MAX(0,D3390-H3390)),0)</f>
        <v>1.407672</v>
      </c>
      <c r="J3390" s="13" t="n">
        <f aca="false">IFERROR(MIN(Eingaben!$B$18,MAX(0,F3390-I3390)),0)</f>
        <v>0.603288</v>
      </c>
      <c r="K3390" s="13" t="n">
        <f aca="false">H3390+I3390</f>
        <v>1.99889424</v>
      </c>
      <c r="L3390" s="13" t="n">
        <f aca="false">MAX(0,D3390-K3390)</f>
        <v>2.94110576</v>
      </c>
      <c r="M3390" s="13" t="n">
        <f aca="false">MAX(0,F3390-I3390-J3390)</f>
        <v>0</v>
      </c>
      <c r="N3390" s="13" t="n">
        <f aca="false">IF(Kalender!A96="",0,J3389-H3390)</f>
        <v>0.01206576</v>
      </c>
    </row>
    <row r="3391" customFormat="false" ht="16.4" hidden="false" customHeight="false" outlineLevel="0" collapsed="false">
      <c r="A3391" s="13" t="str">
        <f aca="false">""</f>
        <v/>
      </c>
      <c r="B3391" s="13" t="n">
        <f aca="false">93</f>
        <v>93</v>
      </c>
      <c r="C3391" s="13" t="n">
        <f aca="false">IF(Szenarien!$H$20="OK",(IFERROR(SUMIF(Nutzungsprofile!$B$6:$B$11,"Schulbetrieb",Nutzungsprofile!$G$6:$G$11)*Kalender!C97/SUM(Kalender!$C$5:$C$370),0)+IFERROR(SUMIF(Nutzungsprofile!$B$6:$B$11,"Halle",Nutzungsprofile!$G$6:$G$11)*Kalender!D97/SUM(Kalender!$D$5:$D$370),0)+IFERROR(SUMIF(Nutzungsprofile!$B$6:$B$11,"Individuell",Nutzungsprofile!$G$6:$G$11)*Kalender!E97/SUM(Kalender!$E$5:$E$370),0))*Szenarien!$E$20,0)</f>
        <v>2.352</v>
      </c>
      <c r="D3391" s="13" t="n">
        <f aca="false">IF(Szenarien!$H$20="OK",(IFERROR(SUMIF(Nutzungsprofile!$B$17:$B$22,"Schulbetrieb",Nutzungsprofile!$G$17:$G$22)*Kalender!C97/SUM(Kalender!$C$5:$C$370),0)+IFERROR(SUMIF(Nutzungsprofile!$B$17:$B$22,"Halle",Nutzungsprofile!$G$17:$G$22)*Kalender!D97/SUM(Kalender!$D$5:$D$370),0)+IFERROR(SUMIF(Nutzungsprofile!$B$17:$B$22,"Individuell",Nutzungsprofile!$G$17:$G$22)*Kalender!E97/SUM(Kalender!$E$5:$E$370),0))*Szenarien!$D$20,0)</f>
        <v>4.94</v>
      </c>
      <c r="E3391" s="13" t="n">
        <f aca="false">IFERROR(MIN(C3391,Eingaben!$B$17)*Eingaben!$B$16,0)</f>
        <v>2.2344</v>
      </c>
      <c r="F3391" s="13" t="n">
        <f aca="false">IFERROR(E3391*Eingaben!$B$15,0)</f>
        <v>2.01096</v>
      </c>
      <c r="G3391" s="13" t="n">
        <f aca="false">IFERROR(IF(Kalender!A97="",0,J3390*(1-Eingaben!$B$20)),0)</f>
        <v>0.59122224</v>
      </c>
      <c r="H3391" s="13" t="n">
        <f aca="false">MIN(G3391,D3391)</f>
        <v>0.59122224</v>
      </c>
      <c r="I3391" s="13" t="n">
        <f aca="false">IFERROR(MIN(F3391*Eingaben!$B$19,MAX(0,D3391-H3391)),0)</f>
        <v>1.407672</v>
      </c>
      <c r="J3391" s="13" t="n">
        <f aca="false">IFERROR(MIN(Eingaben!$B$18,MAX(0,F3391-I3391)),0)</f>
        <v>0.603288</v>
      </c>
      <c r="K3391" s="13" t="n">
        <f aca="false">H3391+I3391</f>
        <v>1.99889424</v>
      </c>
      <c r="L3391" s="13" t="n">
        <f aca="false">MAX(0,D3391-K3391)</f>
        <v>2.94110576</v>
      </c>
      <c r="M3391" s="13" t="n">
        <f aca="false">MAX(0,F3391-I3391-J3391)</f>
        <v>0</v>
      </c>
      <c r="N3391" s="13" t="n">
        <f aca="false">IF(Kalender!A97="",0,J3390-H3391)</f>
        <v>0.01206576</v>
      </c>
    </row>
    <row r="3392" customFormat="false" ht="16.4" hidden="false" customHeight="false" outlineLevel="0" collapsed="false">
      <c r="A3392" s="13" t="str">
        <f aca="false">""</f>
        <v/>
      </c>
      <c r="B3392" s="13" t="n">
        <f aca="false">94</f>
        <v>94</v>
      </c>
      <c r="C3392" s="13" t="n">
        <f aca="false">IF(Szenarien!$H$20="OK",(IFERROR(SUMIF(Nutzungsprofile!$B$6:$B$11,"Schulbetrieb",Nutzungsprofile!$G$6:$G$11)*Kalender!C98/SUM(Kalender!$C$5:$C$370),0)+IFERROR(SUMIF(Nutzungsprofile!$B$6:$B$11,"Halle",Nutzungsprofile!$G$6:$G$11)*Kalender!D98/SUM(Kalender!$D$5:$D$370),0)+IFERROR(SUMIF(Nutzungsprofile!$B$6:$B$11,"Individuell",Nutzungsprofile!$G$6:$G$11)*Kalender!E98/SUM(Kalender!$E$5:$E$370),0))*Szenarien!$E$20,0)</f>
        <v>1.632</v>
      </c>
      <c r="D3392" s="13" t="n">
        <f aca="false">IF(Szenarien!$H$20="OK",(IFERROR(SUMIF(Nutzungsprofile!$B$17:$B$22,"Schulbetrieb",Nutzungsprofile!$G$17:$G$22)*Kalender!C98/SUM(Kalender!$C$5:$C$370),0)+IFERROR(SUMIF(Nutzungsprofile!$B$17:$B$22,"Halle",Nutzungsprofile!$G$17:$G$22)*Kalender!D98/SUM(Kalender!$D$5:$D$370),0)+IFERROR(SUMIF(Nutzungsprofile!$B$17:$B$22,"Individuell",Nutzungsprofile!$G$17:$G$22)*Kalender!E98/SUM(Kalender!$E$5:$E$370),0))*Szenarien!$D$20,0)</f>
        <v>0.89</v>
      </c>
      <c r="E3392" s="13" t="n">
        <f aca="false">IFERROR(MIN(C3392,Eingaben!$B$17)*Eingaben!$B$16,0)</f>
        <v>1.5504</v>
      </c>
      <c r="F3392" s="13" t="n">
        <f aca="false">IFERROR(E3392*Eingaben!$B$15,0)</f>
        <v>1.39536</v>
      </c>
      <c r="G3392" s="13" t="n">
        <f aca="false">IFERROR(IF(Kalender!A98="",0,J3391*(1-Eingaben!$B$20)),0)</f>
        <v>0.59122224</v>
      </c>
      <c r="H3392" s="13" t="n">
        <f aca="false">MIN(G3392,D3392)</f>
        <v>0.59122224</v>
      </c>
      <c r="I3392" s="13" t="n">
        <f aca="false">IFERROR(MIN(F3392*Eingaben!$B$19,MAX(0,D3392-H3392)),0)</f>
        <v>0.29877776</v>
      </c>
      <c r="J3392" s="13" t="n">
        <f aca="false">IFERROR(MIN(Eingaben!$B$18,MAX(0,F3392-I3392)),0)</f>
        <v>1.09658224</v>
      </c>
      <c r="K3392" s="13" t="n">
        <f aca="false">H3392+I3392</f>
        <v>0.89</v>
      </c>
      <c r="L3392" s="13" t="n">
        <f aca="false">MAX(0,D3392-K3392)</f>
        <v>0</v>
      </c>
      <c r="M3392" s="13" t="n">
        <f aca="false">MAX(0,F3392-I3392-J3392)</f>
        <v>0</v>
      </c>
      <c r="N3392" s="13" t="n">
        <f aca="false">IF(Kalender!A98="",0,J3391-H3392)</f>
        <v>0.01206576</v>
      </c>
    </row>
    <row r="3393" customFormat="false" ht="16.4" hidden="false" customHeight="false" outlineLevel="0" collapsed="false">
      <c r="A3393" s="13" t="str">
        <f aca="false">""</f>
        <v/>
      </c>
      <c r="B3393" s="13" t="n">
        <f aca="false">95</f>
        <v>95</v>
      </c>
      <c r="C3393" s="13" t="n">
        <f aca="false">IF(Szenarien!$H$20="OK",(IFERROR(SUMIF(Nutzungsprofile!$B$6:$B$11,"Schulbetrieb",Nutzungsprofile!$G$6:$G$11)*Kalender!C99/SUM(Kalender!$C$5:$C$370),0)+IFERROR(SUMIF(Nutzungsprofile!$B$6:$B$11,"Halle",Nutzungsprofile!$G$6:$G$11)*Kalender!D99/SUM(Kalender!$D$5:$D$370),0)+IFERROR(SUMIF(Nutzungsprofile!$B$6:$B$11,"Individuell",Nutzungsprofile!$G$6:$G$11)*Kalender!E99/SUM(Kalender!$E$5:$E$370),0))*Szenarien!$E$20,0)</f>
        <v>1.632</v>
      </c>
      <c r="D3393" s="13" t="n">
        <f aca="false">IF(Szenarien!$H$20="OK",(IFERROR(SUMIF(Nutzungsprofile!$B$17:$B$22,"Schulbetrieb",Nutzungsprofile!$G$17:$G$22)*Kalender!C99/SUM(Kalender!$C$5:$C$370),0)+IFERROR(SUMIF(Nutzungsprofile!$B$17:$B$22,"Halle",Nutzungsprofile!$G$17:$G$22)*Kalender!D99/SUM(Kalender!$D$5:$D$370),0)+IFERROR(SUMIF(Nutzungsprofile!$B$17:$B$22,"Individuell",Nutzungsprofile!$G$17:$G$22)*Kalender!E99/SUM(Kalender!$E$5:$E$370),0))*Szenarien!$D$20,0)</f>
        <v>0.89</v>
      </c>
      <c r="E3393" s="13" t="n">
        <f aca="false">IFERROR(MIN(C3393,Eingaben!$B$17)*Eingaben!$B$16,0)</f>
        <v>1.5504</v>
      </c>
      <c r="F3393" s="13" t="n">
        <f aca="false">IFERROR(E3393*Eingaben!$B$15,0)</f>
        <v>1.39536</v>
      </c>
      <c r="G3393" s="13" t="n">
        <f aca="false">IFERROR(IF(Kalender!A99="",0,J3392*(1-Eingaben!$B$20)),0)</f>
        <v>1.0746505952</v>
      </c>
      <c r="H3393" s="13" t="n">
        <f aca="false">MIN(G3393,D3393)</f>
        <v>0.89</v>
      </c>
      <c r="I3393" s="13" t="n">
        <f aca="false">IFERROR(MIN(F3393*Eingaben!$B$19,MAX(0,D3393-H3393)),0)</f>
        <v>0</v>
      </c>
      <c r="J3393" s="13" t="n">
        <f aca="false">IFERROR(MIN(Eingaben!$B$18,MAX(0,F3393-I3393)),0)</f>
        <v>1.39536</v>
      </c>
      <c r="K3393" s="13" t="n">
        <f aca="false">H3393+I3393</f>
        <v>0.89</v>
      </c>
      <c r="L3393" s="13" t="n">
        <f aca="false">MAX(0,D3393-K3393)</f>
        <v>0</v>
      </c>
      <c r="M3393" s="13" t="n">
        <f aca="false">MAX(0,F3393-I3393-J3393)</f>
        <v>0</v>
      </c>
      <c r="N3393" s="13" t="n">
        <f aca="false">IF(Kalender!A99="",0,J3392-H3393)</f>
        <v>0.20658224</v>
      </c>
    </row>
    <row r="3394" customFormat="false" ht="16.4" hidden="false" customHeight="false" outlineLevel="0" collapsed="false">
      <c r="A3394" s="13" t="str">
        <f aca="false">""</f>
        <v/>
      </c>
      <c r="B3394" s="13" t="n">
        <f aca="false">96</f>
        <v>96</v>
      </c>
      <c r="C3394" s="13" t="n">
        <f aca="false">IF(Szenarien!$H$20="OK",(IFERROR(SUMIF(Nutzungsprofile!$B$6:$B$11,"Schulbetrieb",Nutzungsprofile!$G$6:$G$11)*Kalender!C100/SUM(Kalender!$C$5:$C$370),0)+IFERROR(SUMIF(Nutzungsprofile!$B$6:$B$11,"Halle",Nutzungsprofile!$G$6:$G$11)*Kalender!D100/SUM(Kalender!$D$5:$D$370),0)+IFERROR(SUMIF(Nutzungsprofile!$B$6:$B$11,"Individuell",Nutzungsprofile!$G$6:$G$11)*Kalender!E100/SUM(Kalender!$E$5:$E$370),0))*Szenarien!$E$20,0)</f>
        <v>2.352</v>
      </c>
      <c r="D3394" s="13" t="n">
        <f aca="false">IF(Szenarien!$H$20="OK",(IFERROR(SUMIF(Nutzungsprofile!$B$17:$B$22,"Schulbetrieb",Nutzungsprofile!$G$17:$G$22)*Kalender!C100/SUM(Kalender!$C$5:$C$370),0)+IFERROR(SUMIF(Nutzungsprofile!$B$17:$B$22,"Halle",Nutzungsprofile!$G$17:$G$22)*Kalender!D100/SUM(Kalender!$D$5:$D$370),0)+IFERROR(SUMIF(Nutzungsprofile!$B$17:$B$22,"Individuell",Nutzungsprofile!$G$17:$G$22)*Kalender!E100/SUM(Kalender!$E$5:$E$370),0))*Szenarien!$D$20,0)</f>
        <v>4.94</v>
      </c>
      <c r="E3394" s="13" t="n">
        <f aca="false">IFERROR(MIN(C3394,Eingaben!$B$17)*Eingaben!$B$16,0)</f>
        <v>2.2344</v>
      </c>
      <c r="F3394" s="13" t="n">
        <f aca="false">IFERROR(E3394*Eingaben!$B$15,0)</f>
        <v>2.01096</v>
      </c>
      <c r="G3394" s="13" t="n">
        <f aca="false">IFERROR(IF(Kalender!A100="",0,J3393*(1-Eingaben!$B$20)),0)</f>
        <v>1.3674528</v>
      </c>
      <c r="H3394" s="13" t="n">
        <f aca="false">MIN(G3394,D3394)</f>
        <v>1.3674528</v>
      </c>
      <c r="I3394" s="13" t="n">
        <f aca="false">IFERROR(MIN(F3394*Eingaben!$B$19,MAX(0,D3394-H3394)),0)</f>
        <v>1.407672</v>
      </c>
      <c r="J3394" s="13" t="n">
        <f aca="false">IFERROR(MIN(Eingaben!$B$18,MAX(0,F3394-I3394)),0)</f>
        <v>0.603288</v>
      </c>
      <c r="K3394" s="13" t="n">
        <f aca="false">H3394+I3394</f>
        <v>2.7751248</v>
      </c>
      <c r="L3394" s="13" t="n">
        <f aca="false">MAX(0,D3394-K3394)</f>
        <v>2.1648752</v>
      </c>
      <c r="M3394" s="13" t="n">
        <f aca="false">MAX(0,F3394-I3394-J3394)</f>
        <v>0</v>
      </c>
      <c r="N3394" s="13" t="n">
        <f aca="false">IF(Kalender!A100="",0,J3393-H3394)</f>
        <v>0.0279072</v>
      </c>
    </row>
    <row r="3395" customFormat="false" ht="16.4" hidden="false" customHeight="false" outlineLevel="0" collapsed="false">
      <c r="A3395" s="13" t="str">
        <f aca="false">""</f>
        <v/>
      </c>
      <c r="B3395" s="13" t="n">
        <f aca="false">97</f>
        <v>97</v>
      </c>
      <c r="C3395" s="13" t="n">
        <f aca="false">IF(Szenarien!$H$20="OK",(IFERROR(SUMIF(Nutzungsprofile!$B$6:$B$11,"Schulbetrieb",Nutzungsprofile!$G$6:$G$11)*Kalender!C101/SUM(Kalender!$C$5:$C$370),0)+IFERROR(SUMIF(Nutzungsprofile!$B$6:$B$11,"Halle",Nutzungsprofile!$G$6:$G$11)*Kalender!D101/SUM(Kalender!$D$5:$D$370),0)+IFERROR(SUMIF(Nutzungsprofile!$B$6:$B$11,"Individuell",Nutzungsprofile!$G$6:$G$11)*Kalender!E101/SUM(Kalender!$E$5:$E$370),0))*Szenarien!$E$20,0)</f>
        <v>2.352</v>
      </c>
      <c r="D3395" s="13" t="n">
        <f aca="false">IF(Szenarien!$H$20="OK",(IFERROR(SUMIF(Nutzungsprofile!$B$17:$B$22,"Schulbetrieb",Nutzungsprofile!$G$17:$G$22)*Kalender!C101/SUM(Kalender!$C$5:$C$370),0)+IFERROR(SUMIF(Nutzungsprofile!$B$17:$B$22,"Halle",Nutzungsprofile!$G$17:$G$22)*Kalender!D101/SUM(Kalender!$D$5:$D$370),0)+IFERROR(SUMIF(Nutzungsprofile!$B$17:$B$22,"Individuell",Nutzungsprofile!$G$17:$G$22)*Kalender!E101/SUM(Kalender!$E$5:$E$370),0))*Szenarien!$D$20,0)</f>
        <v>4.94</v>
      </c>
      <c r="E3395" s="13" t="n">
        <f aca="false">IFERROR(MIN(C3395,Eingaben!$B$17)*Eingaben!$B$16,0)</f>
        <v>2.2344</v>
      </c>
      <c r="F3395" s="13" t="n">
        <f aca="false">IFERROR(E3395*Eingaben!$B$15,0)</f>
        <v>2.01096</v>
      </c>
      <c r="G3395" s="13" t="n">
        <f aca="false">IFERROR(IF(Kalender!A101="",0,J3394*(1-Eingaben!$B$20)),0)</f>
        <v>0.59122224</v>
      </c>
      <c r="H3395" s="13" t="n">
        <f aca="false">MIN(G3395,D3395)</f>
        <v>0.59122224</v>
      </c>
      <c r="I3395" s="13" t="n">
        <f aca="false">IFERROR(MIN(F3395*Eingaben!$B$19,MAX(0,D3395-H3395)),0)</f>
        <v>1.407672</v>
      </c>
      <c r="J3395" s="13" t="n">
        <f aca="false">IFERROR(MIN(Eingaben!$B$18,MAX(0,F3395-I3395)),0)</f>
        <v>0.603288</v>
      </c>
      <c r="K3395" s="13" t="n">
        <f aca="false">H3395+I3395</f>
        <v>1.99889424</v>
      </c>
      <c r="L3395" s="13" t="n">
        <f aca="false">MAX(0,D3395-K3395)</f>
        <v>2.94110576</v>
      </c>
      <c r="M3395" s="13" t="n">
        <f aca="false">MAX(0,F3395-I3395-J3395)</f>
        <v>0</v>
      </c>
      <c r="N3395" s="13" t="n">
        <f aca="false">IF(Kalender!A101="",0,J3394-H3395)</f>
        <v>0.01206576</v>
      </c>
    </row>
    <row r="3396" customFormat="false" ht="16.4" hidden="false" customHeight="false" outlineLevel="0" collapsed="false">
      <c r="A3396" s="13" t="str">
        <f aca="false">""</f>
        <v/>
      </c>
      <c r="B3396" s="13" t="n">
        <f aca="false">98</f>
        <v>98</v>
      </c>
      <c r="C3396" s="13" t="n">
        <f aca="false">IF(Szenarien!$H$20="OK",(IFERROR(SUMIF(Nutzungsprofile!$B$6:$B$11,"Schulbetrieb",Nutzungsprofile!$G$6:$G$11)*Kalender!C102/SUM(Kalender!$C$5:$C$370),0)+IFERROR(SUMIF(Nutzungsprofile!$B$6:$B$11,"Halle",Nutzungsprofile!$G$6:$G$11)*Kalender!D102/SUM(Kalender!$D$5:$D$370),0)+IFERROR(SUMIF(Nutzungsprofile!$B$6:$B$11,"Individuell",Nutzungsprofile!$G$6:$G$11)*Kalender!E102/SUM(Kalender!$E$5:$E$370),0))*Szenarien!$E$20,0)</f>
        <v>2.352</v>
      </c>
      <c r="D3396" s="13" t="n">
        <f aca="false">IF(Szenarien!$H$20="OK",(IFERROR(SUMIF(Nutzungsprofile!$B$17:$B$22,"Schulbetrieb",Nutzungsprofile!$G$17:$G$22)*Kalender!C102/SUM(Kalender!$C$5:$C$370),0)+IFERROR(SUMIF(Nutzungsprofile!$B$17:$B$22,"Halle",Nutzungsprofile!$G$17:$G$22)*Kalender!D102/SUM(Kalender!$D$5:$D$370),0)+IFERROR(SUMIF(Nutzungsprofile!$B$17:$B$22,"Individuell",Nutzungsprofile!$G$17:$G$22)*Kalender!E102/SUM(Kalender!$E$5:$E$370),0))*Szenarien!$D$20,0)</f>
        <v>4.94</v>
      </c>
      <c r="E3396" s="13" t="n">
        <f aca="false">IFERROR(MIN(C3396,Eingaben!$B$17)*Eingaben!$B$16,0)</f>
        <v>2.2344</v>
      </c>
      <c r="F3396" s="13" t="n">
        <f aca="false">IFERROR(E3396*Eingaben!$B$15,0)</f>
        <v>2.01096</v>
      </c>
      <c r="G3396" s="13" t="n">
        <f aca="false">IFERROR(IF(Kalender!A102="",0,J3395*(1-Eingaben!$B$20)),0)</f>
        <v>0.59122224</v>
      </c>
      <c r="H3396" s="13" t="n">
        <f aca="false">MIN(G3396,D3396)</f>
        <v>0.59122224</v>
      </c>
      <c r="I3396" s="13" t="n">
        <f aca="false">IFERROR(MIN(F3396*Eingaben!$B$19,MAX(0,D3396-H3396)),0)</f>
        <v>1.407672</v>
      </c>
      <c r="J3396" s="13" t="n">
        <f aca="false">IFERROR(MIN(Eingaben!$B$18,MAX(0,F3396-I3396)),0)</f>
        <v>0.603288</v>
      </c>
      <c r="K3396" s="13" t="n">
        <f aca="false">H3396+I3396</f>
        <v>1.99889424</v>
      </c>
      <c r="L3396" s="13" t="n">
        <f aca="false">MAX(0,D3396-K3396)</f>
        <v>2.94110576</v>
      </c>
      <c r="M3396" s="13" t="n">
        <f aca="false">MAX(0,F3396-I3396-J3396)</f>
        <v>0</v>
      </c>
      <c r="N3396" s="13" t="n">
        <f aca="false">IF(Kalender!A102="",0,J3395-H3396)</f>
        <v>0.01206576</v>
      </c>
    </row>
    <row r="3397" customFormat="false" ht="16.4" hidden="false" customHeight="false" outlineLevel="0" collapsed="false">
      <c r="A3397" s="13" t="str">
        <f aca="false">""</f>
        <v/>
      </c>
      <c r="B3397" s="13" t="n">
        <f aca="false">99</f>
        <v>99</v>
      </c>
      <c r="C3397" s="13" t="n">
        <f aca="false">IF(Szenarien!$H$20="OK",(IFERROR(SUMIF(Nutzungsprofile!$B$6:$B$11,"Schulbetrieb",Nutzungsprofile!$G$6:$G$11)*Kalender!C103/SUM(Kalender!$C$5:$C$370),0)+IFERROR(SUMIF(Nutzungsprofile!$B$6:$B$11,"Halle",Nutzungsprofile!$G$6:$G$11)*Kalender!D103/SUM(Kalender!$D$5:$D$370),0)+IFERROR(SUMIF(Nutzungsprofile!$B$6:$B$11,"Individuell",Nutzungsprofile!$G$6:$G$11)*Kalender!E103/SUM(Kalender!$E$5:$E$370),0))*Szenarien!$E$20,0)</f>
        <v>2.352</v>
      </c>
      <c r="D3397" s="13" t="n">
        <f aca="false">IF(Szenarien!$H$20="OK",(IFERROR(SUMIF(Nutzungsprofile!$B$17:$B$22,"Schulbetrieb",Nutzungsprofile!$G$17:$G$22)*Kalender!C103/SUM(Kalender!$C$5:$C$370),0)+IFERROR(SUMIF(Nutzungsprofile!$B$17:$B$22,"Halle",Nutzungsprofile!$G$17:$G$22)*Kalender!D103/SUM(Kalender!$D$5:$D$370),0)+IFERROR(SUMIF(Nutzungsprofile!$B$17:$B$22,"Individuell",Nutzungsprofile!$G$17:$G$22)*Kalender!E103/SUM(Kalender!$E$5:$E$370),0))*Szenarien!$D$20,0)</f>
        <v>4.94</v>
      </c>
      <c r="E3397" s="13" t="n">
        <f aca="false">IFERROR(MIN(C3397,Eingaben!$B$17)*Eingaben!$B$16,0)</f>
        <v>2.2344</v>
      </c>
      <c r="F3397" s="13" t="n">
        <f aca="false">IFERROR(E3397*Eingaben!$B$15,0)</f>
        <v>2.01096</v>
      </c>
      <c r="G3397" s="13" t="n">
        <f aca="false">IFERROR(IF(Kalender!A103="",0,J3396*(1-Eingaben!$B$20)),0)</f>
        <v>0.59122224</v>
      </c>
      <c r="H3397" s="13" t="n">
        <f aca="false">MIN(G3397,D3397)</f>
        <v>0.59122224</v>
      </c>
      <c r="I3397" s="13" t="n">
        <f aca="false">IFERROR(MIN(F3397*Eingaben!$B$19,MAX(0,D3397-H3397)),0)</f>
        <v>1.407672</v>
      </c>
      <c r="J3397" s="13" t="n">
        <f aca="false">IFERROR(MIN(Eingaben!$B$18,MAX(0,F3397-I3397)),0)</f>
        <v>0.603288</v>
      </c>
      <c r="K3397" s="13" t="n">
        <f aca="false">H3397+I3397</f>
        <v>1.99889424</v>
      </c>
      <c r="L3397" s="13" t="n">
        <f aca="false">MAX(0,D3397-K3397)</f>
        <v>2.94110576</v>
      </c>
      <c r="M3397" s="13" t="n">
        <f aca="false">MAX(0,F3397-I3397-J3397)</f>
        <v>0</v>
      </c>
      <c r="N3397" s="13" t="n">
        <f aca="false">IF(Kalender!A103="",0,J3396-H3397)</f>
        <v>0.01206576</v>
      </c>
    </row>
    <row r="3398" customFormat="false" ht="16.4" hidden="false" customHeight="false" outlineLevel="0" collapsed="false">
      <c r="A3398" s="13" t="str">
        <f aca="false">""</f>
        <v/>
      </c>
      <c r="B3398" s="13" t="n">
        <f aca="false">100</f>
        <v>100</v>
      </c>
      <c r="C3398" s="13" t="n">
        <f aca="false">IF(Szenarien!$H$20="OK",(IFERROR(SUMIF(Nutzungsprofile!$B$6:$B$11,"Schulbetrieb",Nutzungsprofile!$G$6:$G$11)*Kalender!C104/SUM(Kalender!$C$5:$C$370),0)+IFERROR(SUMIF(Nutzungsprofile!$B$6:$B$11,"Halle",Nutzungsprofile!$G$6:$G$11)*Kalender!D104/SUM(Kalender!$D$5:$D$370),0)+IFERROR(SUMIF(Nutzungsprofile!$B$6:$B$11,"Individuell",Nutzungsprofile!$G$6:$G$11)*Kalender!E104/SUM(Kalender!$E$5:$E$370),0))*Szenarien!$E$20,0)</f>
        <v>2.352</v>
      </c>
      <c r="D3398" s="13" t="n">
        <f aca="false">IF(Szenarien!$H$20="OK",(IFERROR(SUMIF(Nutzungsprofile!$B$17:$B$22,"Schulbetrieb",Nutzungsprofile!$G$17:$G$22)*Kalender!C104/SUM(Kalender!$C$5:$C$370),0)+IFERROR(SUMIF(Nutzungsprofile!$B$17:$B$22,"Halle",Nutzungsprofile!$G$17:$G$22)*Kalender!D104/SUM(Kalender!$D$5:$D$370),0)+IFERROR(SUMIF(Nutzungsprofile!$B$17:$B$22,"Individuell",Nutzungsprofile!$G$17:$G$22)*Kalender!E104/SUM(Kalender!$E$5:$E$370),0))*Szenarien!$D$20,0)</f>
        <v>4.94</v>
      </c>
      <c r="E3398" s="13" t="n">
        <f aca="false">IFERROR(MIN(C3398,Eingaben!$B$17)*Eingaben!$B$16,0)</f>
        <v>2.2344</v>
      </c>
      <c r="F3398" s="13" t="n">
        <f aca="false">IFERROR(E3398*Eingaben!$B$15,0)</f>
        <v>2.01096</v>
      </c>
      <c r="G3398" s="13" t="n">
        <f aca="false">IFERROR(IF(Kalender!A104="",0,J3397*(1-Eingaben!$B$20)),0)</f>
        <v>0.59122224</v>
      </c>
      <c r="H3398" s="13" t="n">
        <f aca="false">MIN(G3398,D3398)</f>
        <v>0.59122224</v>
      </c>
      <c r="I3398" s="13" t="n">
        <f aca="false">IFERROR(MIN(F3398*Eingaben!$B$19,MAX(0,D3398-H3398)),0)</f>
        <v>1.407672</v>
      </c>
      <c r="J3398" s="13" t="n">
        <f aca="false">IFERROR(MIN(Eingaben!$B$18,MAX(0,F3398-I3398)),0)</f>
        <v>0.603288</v>
      </c>
      <c r="K3398" s="13" t="n">
        <f aca="false">H3398+I3398</f>
        <v>1.99889424</v>
      </c>
      <c r="L3398" s="13" t="n">
        <f aca="false">MAX(0,D3398-K3398)</f>
        <v>2.94110576</v>
      </c>
      <c r="M3398" s="13" t="n">
        <f aca="false">MAX(0,F3398-I3398-J3398)</f>
        <v>0</v>
      </c>
      <c r="N3398" s="13" t="n">
        <f aca="false">IF(Kalender!A104="",0,J3397-H3398)</f>
        <v>0.01206576</v>
      </c>
    </row>
    <row r="3399" customFormat="false" ht="16.4" hidden="false" customHeight="false" outlineLevel="0" collapsed="false">
      <c r="A3399" s="13" t="str">
        <f aca="false">""</f>
        <v/>
      </c>
      <c r="B3399" s="13" t="n">
        <f aca="false">101</f>
        <v>101</v>
      </c>
      <c r="C3399" s="13" t="n">
        <f aca="false">IF(Szenarien!$H$20="OK",(IFERROR(SUMIF(Nutzungsprofile!$B$6:$B$11,"Schulbetrieb",Nutzungsprofile!$G$6:$G$11)*Kalender!C105/SUM(Kalender!$C$5:$C$370),0)+IFERROR(SUMIF(Nutzungsprofile!$B$6:$B$11,"Halle",Nutzungsprofile!$G$6:$G$11)*Kalender!D105/SUM(Kalender!$D$5:$D$370),0)+IFERROR(SUMIF(Nutzungsprofile!$B$6:$B$11,"Individuell",Nutzungsprofile!$G$6:$G$11)*Kalender!E105/SUM(Kalender!$E$5:$E$370),0))*Szenarien!$E$20,0)</f>
        <v>1.632</v>
      </c>
      <c r="D3399" s="13" t="n">
        <f aca="false">IF(Szenarien!$H$20="OK",(IFERROR(SUMIF(Nutzungsprofile!$B$17:$B$22,"Schulbetrieb",Nutzungsprofile!$G$17:$G$22)*Kalender!C105/SUM(Kalender!$C$5:$C$370),0)+IFERROR(SUMIF(Nutzungsprofile!$B$17:$B$22,"Halle",Nutzungsprofile!$G$17:$G$22)*Kalender!D105/SUM(Kalender!$D$5:$D$370),0)+IFERROR(SUMIF(Nutzungsprofile!$B$17:$B$22,"Individuell",Nutzungsprofile!$G$17:$G$22)*Kalender!E105/SUM(Kalender!$E$5:$E$370),0))*Szenarien!$D$20,0)</f>
        <v>0.89</v>
      </c>
      <c r="E3399" s="13" t="n">
        <f aca="false">IFERROR(MIN(C3399,Eingaben!$B$17)*Eingaben!$B$16,0)</f>
        <v>1.5504</v>
      </c>
      <c r="F3399" s="13" t="n">
        <f aca="false">IFERROR(E3399*Eingaben!$B$15,0)</f>
        <v>1.39536</v>
      </c>
      <c r="G3399" s="13" t="n">
        <f aca="false">IFERROR(IF(Kalender!A105="",0,J3398*(1-Eingaben!$B$20)),0)</f>
        <v>0.59122224</v>
      </c>
      <c r="H3399" s="13" t="n">
        <f aca="false">MIN(G3399,D3399)</f>
        <v>0.59122224</v>
      </c>
      <c r="I3399" s="13" t="n">
        <f aca="false">IFERROR(MIN(F3399*Eingaben!$B$19,MAX(0,D3399-H3399)),0)</f>
        <v>0.29877776</v>
      </c>
      <c r="J3399" s="13" t="n">
        <f aca="false">IFERROR(MIN(Eingaben!$B$18,MAX(0,F3399-I3399)),0)</f>
        <v>1.09658224</v>
      </c>
      <c r="K3399" s="13" t="n">
        <f aca="false">H3399+I3399</f>
        <v>0.89</v>
      </c>
      <c r="L3399" s="13" t="n">
        <f aca="false">MAX(0,D3399-K3399)</f>
        <v>0</v>
      </c>
      <c r="M3399" s="13" t="n">
        <f aca="false">MAX(0,F3399-I3399-J3399)</f>
        <v>0</v>
      </c>
      <c r="N3399" s="13" t="n">
        <f aca="false">IF(Kalender!A105="",0,J3398-H3399)</f>
        <v>0.01206576</v>
      </c>
    </row>
    <row r="3400" customFormat="false" ht="16.4" hidden="false" customHeight="false" outlineLevel="0" collapsed="false">
      <c r="A3400" s="13" t="str">
        <f aca="false">""</f>
        <v/>
      </c>
      <c r="B3400" s="13" t="n">
        <f aca="false">102</f>
        <v>102</v>
      </c>
      <c r="C3400" s="13" t="n">
        <f aca="false">IF(Szenarien!$H$20="OK",(IFERROR(SUMIF(Nutzungsprofile!$B$6:$B$11,"Schulbetrieb",Nutzungsprofile!$G$6:$G$11)*Kalender!C106/SUM(Kalender!$C$5:$C$370),0)+IFERROR(SUMIF(Nutzungsprofile!$B$6:$B$11,"Halle",Nutzungsprofile!$G$6:$G$11)*Kalender!D106/SUM(Kalender!$D$5:$D$370),0)+IFERROR(SUMIF(Nutzungsprofile!$B$6:$B$11,"Individuell",Nutzungsprofile!$G$6:$G$11)*Kalender!E106/SUM(Kalender!$E$5:$E$370),0))*Szenarien!$E$20,0)</f>
        <v>1.632</v>
      </c>
      <c r="D3400" s="13" t="n">
        <f aca="false">IF(Szenarien!$H$20="OK",(IFERROR(SUMIF(Nutzungsprofile!$B$17:$B$22,"Schulbetrieb",Nutzungsprofile!$G$17:$G$22)*Kalender!C106/SUM(Kalender!$C$5:$C$370),0)+IFERROR(SUMIF(Nutzungsprofile!$B$17:$B$22,"Halle",Nutzungsprofile!$G$17:$G$22)*Kalender!D106/SUM(Kalender!$D$5:$D$370),0)+IFERROR(SUMIF(Nutzungsprofile!$B$17:$B$22,"Individuell",Nutzungsprofile!$G$17:$G$22)*Kalender!E106/SUM(Kalender!$E$5:$E$370),0))*Szenarien!$D$20,0)</f>
        <v>0.89</v>
      </c>
      <c r="E3400" s="13" t="n">
        <f aca="false">IFERROR(MIN(C3400,Eingaben!$B$17)*Eingaben!$B$16,0)</f>
        <v>1.5504</v>
      </c>
      <c r="F3400" s="13" t="n">
        <f aca="false">IFERROR(E3400*Eingaben!$B$15,0)</f>
        <v>1.39536</v>
      </c>
      <c r="G3400" s="13" t="n">
        <f aca="false">IFERROR(IF(Kalender!A106="",0,J3399*(1-Eingaben!$B$20)),0)</f>
        <v>1.0746505952</v>
      </c>
      <c r="H3400" s="13" t="n">
        <f aca="false">MIN(G3400,D3400)</f>
        <v>0.89</v>
      </c>
      <c r="I3400" s="13" t="n">
        <f aca="false">IFERROR(MIN(F3400*Eingaben!$B$19,MAX(0,D3400-H3400)),0)</f>
        <v>0</v>
      </c>
      <c r="J3400" s="13" t="n">
        <f aca="false">IFERROR(MIN(Eingaben!$B$18,MAX(0,F3400-I3400)),0)</f>
        <v>1.39536</v>
      </c>
      <c r="K3400" s="13" t="n">
        <f aca="false">H3400+I3400</f>
        <v>0.89</v>
      </c>
      <c r="L3400" s="13" t="n">
        <f aca="false">MAX(0,D3400-K3400)</f>
        <v>0</v>
      </c>
      <c r="M3400" s="13" t="n">
        <f aca="false">MAX(0,F3400-I3400-J3400)</f>
        <v>0</v>
      </c>
      <c r="N3400" s="13" t="n">
        <f aca="false">IF(Kalender!A106="",0,J3399-H3400)</f>
        <v>0.20658224</v>
      </c>
    </row>
    <row r="3401" customFormat="false" ht="16.4" hidden="false" customHeight="false" outlineLevel="0" collapsed="false">
      <c r="A3401" s="13" t="str">
        <f aca="false">""</f>
        <v/>
      </c>
      <c r="B3401" s="13" t="n">
        <f aca="false">103</f>
        <v>103</v>
      </c>
      <c r="C3401" s="13" t="n">
        <f aca="false">IF(Szenarien!$H$20="OK",(IFERROR(SUMIF(Nutzungsprofile!$B$6:$B$11,"Schulbetrieb",Nutzungsprofile!$G$6:$G$11)*Kalender!C107/SUM(Kalender!$C$5:$C$370),0)+IFERROR(SUMIF(Nutzungsprofile!$B$6:$B$11,"Halle",Nutzungsprofile!$G$6:$G$11)*Kalender!D107/SUM(Kalender!$D$5:$D$370),0)+IFERROR(SUMIF(Nutzungsprofile!$B$6:$B$11,"Individuell",Nutzungsprofile!$G$6:$G$11)*Kalender!E107/SUM(Kalender!$E$5:$E$370),0))*Szenarien!$E$20,0)</f>
        <v>2.352</v>
      </c>
      <c r="D3401" s="13" t="n">
        <f aca="false">IF(Szenarien!$H$20="OK",(IFERROR(SUMIF(Nutzungsprofile!$B$17:$B$22,"Schulbetrieb",Nutzungsprofile!$G$17:$G$22)*Kalender!C107/SUM(Kalender!$C$5:$C$370),0)+IFERROR(SUMIF(Nutzungsprofile!$B$17:$B$22,"Halle",Nutzungsprofile!$G$17:$G$22)*Kalender!D107/SUM(Kalender!$D$5:$D$370),0)+IFERROR(SUMIF(Nutzungsprofile!$B$17:$B$22,"Individuell",Nutzungsprofile!$G$17:$G$22)*Kalender!E107/SUM(Kalender!$E$5:$E$370),0))*Szenarien!$D$20,0)</f>
        <v>4.94</v>
      </c>
      <c r="E3401" s="13" t="n">
        <f aca="false">IFERROR(MIN(C3401,Eingaben!$B$17)*Eingaben!$B$16,0)</f>
        <v>2.2344</v>
      </c>
      <c r="F3401" s="13" t="n">
        <f aca="false">IFERROR(E3401*Eingaben!$B$15,0)</f>
        <v>2.01096</v>
      </c>
      <c r="G3401" s="13" t="n">
        <f aca="false">IFERROR(IF(Kalender!A107="",0,J3400*(1-Eingaben!$B$20)),0)</f>
        <v>1.3674528</v>
      </c>
      <c r="H3401" s="13" t="n">
        <f aca="false">MIN(G3401,D3401)</f>
        <v>1.3674528</v>
      </c>
      <c r="I3401" s="13" t="n">
        <f aca="false">IFERROR(MIN(F3401*Eingaben!$B$19,MAX(0,D3401-H3401)),0)</f>
        <v>1.407672</v>
      </c>
      <c r="J3401" s="13" t="n">
        <f aca="false">IFERROR(MIN(Eingaben!$B$18,MAX(0,F3401-I3401)),0)</f>
        <v>0.603288</v>
      </c>
      <c r="K3401" s="13" t="n">
        <f aca="false">H3401+I3401</f>
        <v>2.7751248</v>
      </c>
      <c r="L3401" s="13" t="n">
        <f aca="false">MAX(0,D3401-K3401)</f>
        <v>2.1648752</v>
      </c>
      <c r="M3401" s="13" t="n">
        <f aca="false">MAX(0,F3401-I3401-J3401)</f>
        <v>0</v>
      </c>
      <c r="N3401" s="13" t="n">
        <f aca="false">IF(Kalender!A107="",0,J3400-H3401)</f>
        <v>0.0279072</v>
      </c>
    </row>
    <row r="3402" customFormat="false" ht="16.4" hidden="false" customHeight="false" outlineLevel="0" collapsed="false">
      <c r="A3402" s="13" t="str">
        <f aca="false">""</f>
        <v/>
      </c>
      <c r="B3402" s="13" t="n">
        <f aca="false">104</f>
        <v>104</v>
      </c>
      <c r="C3402" s="13" t="n">
        <f aca="false">IF(Szenarien!$H$20="OK",(IFERROR(SUMIF(Nutzungsprofile!$B$6:$B$11,"Schulbetrieb",Nutzungsprofile!$G$6:$G$11)*Kalender!C108/SUM(Kalender!$C$5:$C$370),0)+IFERROR(SUMIF(Nutzungsprofile!$B$6:$B$11,"Halle",Nutzungsprofile!$G$6:$G$11)*Kalender!D108/SUM(Kalender!$D$5:$D$370),0)+IFERROR(SUMIF(Nutzungsprofile!$B$6:$B$11,"Individuell",Nutzungsprofile!$G$6:$G$11)*Kalender!E108/SUM(Kalender!$E$5:$E$370),0))*Szenarien!$E$20,0)</f>
        <v>2.352</v>
      </c>
      <c r="D3402" s="13" t="n">
        <f aca="false">IF(Szenarien!$H$20="OK",(IFERROR(SUMIF(Nutzungsprofile!$B$17:$B$22,"Schulbetrieb",Nutzungsprofile!$G$17:$G$22)*Kalender!C108/SUM(Kalender!$C$5:$C$370),0)+IFERROR(SUMIF(Nutzungsprofile!$B$17:$B$22,"Halle",Nutzungsprofile!$G$17:$G$22)*Kalender!D108/SUM(Kalender!$D$5:$D$370),0)+IFERROR(SUMIF(Nutzungsprofile!$B$17:$B$22,"Individuell",Nutzungsprofile!$G$17:$G$22)*Kalender!E108/SUM(Kalender!$E$5:$E$370),0))*Szenarien!$D$20,0)</f>
        <v>4.94</v>
      </c>
      <c r="E3402" s="13" t="n">
        <f aca="false">IFERROR(MIN(C3402,Eingaben!$B$17)*Eingaben!$B$16,0)</f>
        <v>2.2344</v>
      </c>
      <c r="F3402" s="13" t="n">
        <f aca="false">IFERROR(E3402*Eingaben!$B$15,0)</f>
        <v>2.01096</v>
      </c>
      <c r="G3402" s="13" t="n">
        <f aca="false">IFERROR(IF(Kalender!A108="",0,J3401*(1-Eingaben!$B$20)),0)</f>
        <v>0.59122224</v>
      </c>
      <c r="H3402" s="13" t="n">
        <f aca="false">MIN(G3402,D3402)</f>
        <v>0.59122224</v>
      </c>
      <c r="I3402" s="13" t="n">
        <f aca="false">IFERROR(MIN(F3402*Eingaben!$B$19,MAX(0,D3402-H3402)),0)</f>
        <v>1.407672</v>
      </c>
      <c r="J3402" s="13" t="n">
        <f aca="false">IFERROR(MIN(Eingaben!$B$18,MAX(0,F3402-I3402)),0)</f>
        <v>0.603288</v>
      </c>
      <c r="K3402" s="13" t="n">
        <f aca="false">H3402+I3402</f>
        <v>1.99889424</v>
      </c>
      <c r="L3402" s="13" t="n">
        <f aca="false">MAX(0,D3402-K3402)</f>
        <v>2.94110576</v>
      </c>
      <c r="M3402" s="13" t="n">
        <f aca="false">MAX(0,F3402-I3402-J3402)</f>
        <v>0</v>
      </c>
      <c r="N3402" s="13" t="n">
        <f aca="false">IF(Kalender!A108="",0,J3401-H3402)</f>
        <v>0.01206576</v>
      </c>
    </row>
    <row r="3403" customFormat="false" ht="16.4" hidden="false" customHeight="false" outlineLevel="0" collapsed="false">
      <c r="A3403" s="13" t="str">
        <f aca="false">""</f>
        <v/>
      </c>
      <c r="B3403" s="13" t="n">
        <f aca="false">105</f>
        <v>105</v>
      </c>
      <c r="C3403" s="13" t="n">
        <f aca="false">IF(Szenarien!$H$20="OK",(IFERROR(SUMIF(Nutzungsprofile!$B$6:$B$11,"Schulbetrieb",Nutzungsprofile!$G$6:$G$11)*Kalender!C109/SUM(Kalender!$C$5:$C$370),0)+IFERROR(SUMIF(Nutzungsprofile!$B$6:$B$11,"Halle",Nutzungsprofile!$G$6:$G$11)*Kalender!D109/SUM(Kalender!$D$5:$D$370),0)+IFERROR(SUMIF(Nutzungsprofile!$B$6:$B$11,"Individuell",Nutzungsprofile!$G$6:$G$11)*Kalender!E109/SUM(Kalender!$E$5:$E$370),0))*Szenarien!$E$20,0)</f>
        <v>2.352</v>
      </c>
      <c r="D3403" s="13" t="n">
        <f aca="false">IF(Szenarien!$H$20="OK",(IFERROR(SUMIF(Nutzungsprofile!$B$17:$B$22,"Schulbetrieb",Nutzungsprofile!$G$17:$G$22)*Kalender!C109/SUM(Kalender!$C$5:$C$370),0)+IFERROR(SUMIF(Nutzungsprofile!$B$17:$B$22,"Halle",Nutzungsprofile!$G$17:$G$22)*Kalender!D109/SUM(Kalender!$D$5:$D$370),0)+IFERROR(SUMIF(Nutzungsprofile!$B$17:$B$22,"Individuell",Nutzungsprofile!$G$17:$G$22)*Kalender!E109/SUM(Kalender!$E$5:$E$370),0))*Szenarien!$D$20,0)</f>
        <v>4.94</v>
      </c>
      <c r="E3403" s="13" t="n">
        <f aca="false">IFERROR(MIN(C3403,Eingaben!$B$17)*Eingaben!$B$16,0)</f>
        <v>2.2344</v>
      </c>
      <c r="F3403" s="13" t="n">
        <f aca="false">IFERROR(E3403*Eingaben!$B$15,0)</f>
        <v>2.01096</v>
      </c>
      <c r="G3403" s="13" t="n">
        <f aca="false">IFERROR(IF(Kalender!A109="",0,J3402*(1-Eingaben!$B$20)),0)</f>
        <v>0.59122224</v>
      </c>
      <c r="H3403" s="13" t="n">
        <f aca="false">MIN(G3403,D3403)</f>
        <v>0.59122224</v>
      </c>
      <c r="I3403" s="13" t="n">
        <f aca="false">IFERROR(MIN(F3403*Eingaben!$B$19,MAX(0,D3403-H3403)),0)</f>
        <v>1.407672</v>
      </c>
      <c r="J3403" s="13" t="n">
        <f aca="false">IFERROR(MIN(Eingaben!$B$18,MAX(0,F3403-I3403)),0)</f>
        <v>0.603288</v>
      </c>
      <c r="K3403" s="13" t="n">
        <f aca="false">H3403+I3403</f>
        <v>1.99889424</v>
      </c>
      <c r="L3403" s="13" t="n">
        <f aca="false">MAX(0,D3403-K3403)</f>
        <v>2.94110576</v>
      </c>
      <c r="M3403" s="13" t="n">
        <f aca="false">MAX(0,F3403-I3403-J3403)</f>
        <v>0</v>
      </c>
      <c r="N3403" s="13" t="n">
        <f aca="false">IF(Kalender!A109="",0,J3402-H3403)</f>
        <v>0.01206576</v>
      </c>
    </row>
    <row r="3404" customFormat="false" ht="16.4" hidden="false" customHeight="false" outlineLevel="0" collapsed="false">
      <c r="A3404" s="13" t="str">
        <f aca="false">""</f>
        <v/>
      </c>
      <c r="B3404" s="13" t="n">
        <f aca="false">106</f>
        <v>106</v>
      </c>
      <c r="C3404" s="13" t="n">
        <f aca="false">IF(Szenarien!$H$20="OK",(IFERROR(SUMIF(Nutzungsprofile!$B$6:$B$11,"Schulbetrieb",Nutzungsprofile!$G$6:$G$11)*Kalender!C110/SUM(Kalender!$C$5:$C$370),0)+IFERROR(SUMIF(Nutzungsprofile!$B$6:$B$11,"Halle",Nutzungsprofile!$G$6:$G$11)*Kalender!D110/SUM(Kalender!$D$5:$D$370),0)+IFERROR(SUMIF(Nutzungsprofile!$B$6:$B$11,"Individuell",Nutzungsprofile!$G$6:$G$11)*Kalender!E110/SUM(Kalender!$E$5:$E$370),0))*Szenarien!$E$20,0)</f>
        <v>2.352</v>
      </c>
      <c r="D3404" s="13" t="n">
        <f aca="false">IF(Szenarien!$H$20="OK",(IFERROR(SUMIF(Nutzungsprofile!$B$17:$B$22,"Schulbetrieb",Nutzungsprofile!$G$17:$G$22)*Kalender!C110/SUM(Kalender!$C$5:$C$370),0)+IFERROR(SUMIF(Nutzungsprofile!$B$17:$B$22,"Halle",Nutzungsprofile!$G$17:$G$22)*Kalender!D110/SUM(Kalender!$D$5:$D$370),0)+IFERROR(SUMIF(Nutzungsprofile!$B$17:$B$22,"Individuell",Nutzungsprofile!$G$17:$G$22)*Kalender!E110/SUM(Kalender!$E$5:$E$370),0))*Szenarien!$D$20,0)</f>
        <v>4.94</v>
      </c>
      <c r="E3404" s="13" t="n">
        <f aca="false">IFERROR(MIN(C3404,Eingaben!$B$17)*Eingaben!$B$16,0)</f>
        <v>2.2344</v>
      </c>
      <c r="F3404" s="13" t="n">
        <f aca="false">IFERROR(E3404*Eingaben!$B$15,0)</f>
        <v>2.01096</v>
      </c>
      <c r="G3404" s="13" t="n">
        <f aca="false">IFERROR(IF(Kalender!A110="",0,J3403*(1-Eingaben!$B$20)),0)</f>
        <v>0.59122224</v>
      </c>
      <c r="H3404" s="13" t="n">
        <f aca="false">MIN(G3404,D3404)</f>
        <v>0.59122224</v>
      </c>
      <c r="I3404" s="13" t="n">
        <f aca="false">IFERROR(MIN(F3404*Eingaben!$B$19,MAX(0,D3404-H3404)),0)</f>
        <v>1.407672</v>
      </c>
      <c r="J3404" s="13" t="n">
        <f aca="false">IFERROR(MIN(Eingaben!$B$18,MAX(0,F3404-I3404)),0)</f>
        <v>0.603288</v>
      </c>
      <c r="K3404" s="13" t="n">
        <f aca="false">H3404+I3404</f>
        <v>1.99889424</v>
      </c>
      <c r="L3404" s="13" t="n">
        <f aca="false">MAX(0,D3404-K3404)</f>
        <v>2.94110576</v>
      </c>
      <c r="M3404" s="13" t="n">
        <f aca="false">MAX(0,F3404-I3404-J3404)</f>
        <v>0</v>
      </c>
      <c r="N3404" s="13" t="n">
        <f aca="false">IF(Kalender!A110="",0,J3403-H3404)</f>
        <v>0.01206576</v>
      </c>
    </row>
    <row r="3405" customFormat="false" ht="16.4" hidden="false" customHeight="false" outlineLevel="0" collapsed="false">
      <c r="A3405" s="13" t="str">
        <f aca="false">""</f>
        <v/>
      </c>
      <c r="B3405" s="13" t="n">
        <f aca="false">107</f>
        <v>107</v>
      </c>
      <c r="C3405" s="13" t="n">
        <f aca="false">IF(Szenarien!$H$20="OK",(IFERROR(SUMIF(Nutzungsprofile!$B$6:$B$11,"Schulbetrieb",Nutzungsprofile!$G$6:$G$11)*Kalender!C111/SUM(Kalender!$C$5:$C$370),0)+IFERROR(SUMIF(Nutzungsprofile!$B$6:$B$11,"Halle",Nutzungsprofile!$G$6:$G$11)*Kalender!D111/SUM(Kalender!$D$5:$D$370),0)+IFERROR(SUMIF(Nutzungsprofile!$B$6:$B$11,"Individuell",Nutzungsprofile!$G$6:$G$11)*Kalender!E111/SUM(Kalender!$E$5:$E$370),0))*Szenarien!$E$20,0)</f>
        <v>2.352</v>
      </c>
      <c r="D3405" s="13" t="n">
        <f aca="false">IF(Szenarien!$H$20="OK",(IFERROR(SUMIF(Nutzungsprofile!$B$17:$B$22,"Schulbetrieb",Nutzungsprofile!$G$17:$G$22)*Kalender!C111/SUM(Kalender!$C$5:$C$370),0)+IFERROR(SUMIF(Nutzungsprofile!$B$17:$B$22,"Halle",Nutzungsprofile!$G$17:$G$22)*Kalender!D111/SUM(Kalender!$D$5:$D$370),0)+IFERROR(SUMIF(Nutzungsprofile!$B$17:$B$22,"Individuell",Nutzungsprofile!$G$17:$G$22)*Kalender!E111/SUM(Kalender!$E$5:$E$370),0))*Szenarien!$D$20,0)</f>
        <v>4.94</v>
      </c>
      <c r="E3405" s="13" t="n">
        <f aca="false">IFERROR(MIN(C3405,Eingaben!$B$17)*Eingaben!$B$16,0)</f>
        <v>2.2344</v>
      </c>
      <c r="F3405" s="13" t="n">
        <f aca="false">IFERROR(E3405*Eingaben!$B$15,0)</f>
        <v>2.01096</v>
      </c>
      <c r="G3405" s="13" t="n">
        <f aca="false">IFERROR(IF(Kalender!A111="",0,J3404*(1-Eingaben!$B$20)),0)</f>
        <v>0.59122224</v>
      </c>
      <c r="H3405" s="13" t="n">
        <f aca="false">MIN(G3405,D3405)</f>
        <v>0.59122224</v>
      </c>
      <c r="I3405" s="13" t="n">
        <f aca="false">IFERROR(MIN(F3405*Eingaben!$B$19,MAX(0,D3405-H3405)),0)</f>
        <v>1.407672</v>
      </c>
      <c r="J3405" s="13" t="n">
        <f aca="false">IFERROR(MIN(Eingaben!$B$18,MAX(0,F3405-I3405)),0)</f>
        <v>0.603288</v>
      </c>
      <c r="K3405" s="13" t="n">
        <f aca="false">H3405+I3405</f>
        <v>1.99889424</v>
      </c>
      <c r="L3405" s="13" t="n">
        <f aca="false">MAX(0,D3405-K3405)</f>
        <v>2.94110576</v>
      </c>
      <c r="M3405" s="13" t="n">
        <f aca="false">MAX(0,F3405-I3405-J3405)</f>
        <v>0</v>
      </c>
      <c r="N3405" s="13" t="n">
        <f aca="false">IF(Kalender!A111="",0,J3404-H3405)</f>
        <v>0.01206576</v>
      </c>
    </row>
    <row r="3406" customFormat="false" ht="16.4" hidden="false" customHeight="false" outlineLevel="0" collapsed="false">
      <c r="A3406" s="13" t="str">
        <f aca="false">""</f>
        <v/>
      </c>
      <c r="B3406" s="13" t="n">
        <f aca="false">108</f>
        <v>108</v>
      </c>
      <c r="C3406" s="13" t="n">
        <f aca="false">IF(Szenarien!$H$20="OK",(IFERROR(SUMIF(Nutzungsprofile!$B$6:$B$11,"Schulbetrieb",Nutzungsprofile!$G$6:$G$11)*Kalender!C112/SUM(Kalender!$C$5:$C$370),0)+IFERROR(SUMIF(Nutzungsprofile!$B$6:$B$11,"Halle",Nutzungsprofile!$G$6:$G$11)*Kalender!D112/SUM(Kalender!$D$5:$D$370),0)+IFERROR(SUMIF(Nutzungsprofile!$B$6:$B$11,"Individuell",Nutzungsprofile!$G$6:$G$11)*Kalender!E112/SUM(Kalender!$E$5:$E$370),0))*Szenarien!$E$20,0)</f>
        <v>1.632</v>
      </c>
      <c r="D3406" s="13" t="n">
        <f aca="false">IF(Szenarien!$H$20="OK",(IFERROR(SUMIF(Nutzungsprofile!$B$17:$B$22,"Schulbetrieb",Nutzungsprofile!$G$17:$G$22)*Kalender!C112/SUM(Kalender!$C$5:$C$370),0)+IFERROR(SUMIF(Nutzungsprofile!$B$17:$B$22,"Halle",Nutzungsprofile!$G$17:$G$22)*Kalender!D112/SUM(Kalender!$D$5:$D$370),0)+IFERROR(SUMIF(Nutzungsprofile!$B$17:$B$22,"Individuell",Nutzungsprofile!$G$17:$G$22)*Kalender!E112/SUM(Kalender!$E$5:$E$370),0))*Szenarien!$D$20,0)</f>
        <v>0.89</v>
      </c>
      <c r="E3406" s="13" t="n">
        <f aca="false">IFERROR(MIN(C3406,Eingaben!$B$17)*Eingaben!$B$16,0)</f>
        <v>1.5504</v>
      </c>
      <c r="F3406" s="13" t="n">
        <f aca="false">IFERROR(E3406*Eingaben!$B$15,0)</f>
        <v>1.39536</v>
      </c>
      <c r="G3406" s="13" t="n">
        <f aca="false">IFERROR(IF(Kalender!A112="",0,J3405*(1-Eingaben!$B$20)),0)</f>
        <v>0.59122224</v>
      </c>
      <c r="H3406" s="13" t="n">
        <f aca="false">MIN(G3406,D3406)</f>
        <v>0.59122224</v>
      </c>
      <c r="I3406" s="13" t="n">
        <f aca="false">IFERROR(MIN(F3406*Eingaben!$B$19,MAX(0,D3406-H3406)),0)</f>
        <v>0.29877776</v>
      </c>
      <c r="J3406" s="13" t="n">
        <f aca="false">IFERROR(MIN(Eingaben!$B$18,MAX(0,F3406-I3406)),0)</f>
        <v>1.09658224</v>
      </c>
      <c r="K3406" s="13" t="n">
        <f aca="false">H3406+I3406</f>
        <v>0.89</v>
      </c>
      <c r="L3406" s="13" t="n">
        <f aca="false">MAX(0,D3406-K3406)</f>
        <v>0</v>
      </c>
      <c r="M3406" s="13" t="n">
        <f aca="false">MAX(0,F3406-I3406-J3406)</f>
        <v>0</v>
      </c>
      <c r="N3406" s="13" t="n">
        <f aca="false">IF(Kalender!A112="",0,J3405-H3406)</f>
        <v>0.01206576</v>
      </c>
    </row>
    <row r="3407" customFormat="false" ht="16.4" hidden="false" customHeight="false" outlineLevel="0" collapsed="false">
      <c r="A3407" s="13" t="str">
        <f aca="false">""</f>
        <v/>
      </c>
      <c r="B3407" s="13" t="n">
        <f aca="false">109</f>
        <v>109</v>
      </c>
      <c r="C3407" s="13" t="n">
        <f aca="false">IF(Szenarien!$H$20="OK",(IFERROR(SUMIF(Nutzungsprofile!$B$6:$B$11,"Schulbetrieb",Nutzungsprofile!$G$6:$G$11)*Kalender!C113/SUM(Kalender!$C$5:$C$370),0)+IFERROR(SUMIF(Nutzungsprofile!$B$6:$B$11,"Halle",Nutzungsprofile!$G$6:$G$11)*Kalender!D113/SUM(Kalender!$D$5:$D$370),0)+IFERROR(SUMIF(Nutzungsprofile!$B$6:$B$11,"Individuell",Nutzungsprofile!$G$6:$G$11)*Kalender!E113/SUM(Kalender!$E$5:$E$370),0))*Szenarien!$E$20,0)</f>
        <v>1.632</v>
      </c>
      <c r="D3407" s="13" t="n">
        <f aca="false">IF(Szenarien!$H$20="OK",(IFERROR(SUMIF(Nutzungsprofile!$B$17:$B$22,"Schulbetrieb",Nutzungsprofile!$G$17:$G$22)*Kalender!C113/SUM(Kalender!$C$5:$C$370),0)+IFERROR(SUMIF(Nutzungsprofile!$B$17:$B$22,"Halle",Nutzungsprofile!$G$17:$G$22)*Kalender!D113/SUM(Kalender!$D$5:$D$370),0)+IFERROR(SUMIF(Nutzungsprofile!$B$17:$B$22,"Individuell",Nutzungsprofile!$G$17:$G$22)*Kalender!E113/SUM(Kalender!$E$5:$E$370),0))*Szenarien!$D$20,0)</f>
        <v>0.89</v>
      </c>
      <c r="E3407" s="13" t="n">
        <f aca="false">IFERROR(MIN(C3407,Eingaben!$B$17)*Eingaben!$B$16,0)</f>
        <v>1.5504</v>
      </c>
      <c r="F3407" s="13" t="n">
        <f aca="false">IFERROR(E3407*Eingaben!$B$15,0)</f>
        <v>1.39536</v>
      </c>
      <c r="G3407" s="13" t="n">
        <f aca="false">IFERROR(IF(Kalender!A113="",0,J3406*(1-Eingaben!$B$20)),0)</f>
        <v>1.0746505952</v>
      </c>
      <c r="H3407" s="13" t="n">
        <f aca="false">MIN(G3407,D3407)</f>
        <v>0.89</v>
      </c>
      <c r="I3407" s="13" t="n">
        <f aca="false">IFERROR(MIN(F3407*Eingaben!$B$19,MAX(0,D3407-H3407)),0)</f>
        <v>0</v>
      </c>
      <c r="J3407" s="13" t="n">
        <f aca="false">IFERROR(MIN(Eingaben!$B$18,MAX(0,F3407-I3407)),0)</f>
        <v>1.39536</v>
      </c>
      <c r="K3407" s="13" t="n">
        <f aca="false">H3407+I3407</f>
        <v>0.89</v>
      </c>
      <c r="L3407" s="13" t="n">
        <f aca="false">MAX(0,D3407-K3407)</f>
        <v>0</v>
      </c>
      <c r="M3407" s="13" t="n">
        <f aca="false">MAX(0,F3407-I3407-J3407)</f>
        <v>0</v>
      </c>
      <c r="N3407" s="13" t="n">
        <f aca="false">IF(Kalender!A113="",0,J3406-H3407)</f>
        <v>0.20658224</v>
      </c>
    </row>
    <row r="3408" customFormat="false" ht="16.4" hidden="false" customHeight="false" outlineLevel="0" collapsed="false">
      <c r="A3408" s="13" t="str">
        <f aca="false">""</f>
        <v/>
      </c>
      <c r="B3408" s="13" t="n">
        <f aca="false">110</f>
        <v>110</v>
      </c>
      <c r="C3408" s="13" t="n">
        <f aca="false">IF(Szenarien!$H$20="OK",(IFERROR(SUMIF(Nutzungsprofile!$B$6:$B$11,"Schulbetrieb",Nutzungsprofile!$G$6:$G$11)*Kalender!C114/SUM(Kalender!$C$5:$C$370),0)+IFERROR(SUMIF(Nutzungsprofile!$B$6:$B$11,"Halle",Nutzungsprofile!$G$6:$G$11)*Kalender!D114/SUM(Kalender!$D$5:$D$370),0)+IFERROR(SUMIF(Nutzungsprofile!$B$6:$B$11,"Individuell",Nutzungsprofile!$G$6:$G$11)*Kalender!E114/SUM(Kalender!$E$5:$E$370),0))*Szenarien!$E$20,0)</f>
        <v>2.352</v>
      </c>
      <c r="D3408" s="13" t="n">
        <f aca="false">IF(Szenarien!$H$20="OK",(IFERROR(SUMIF(Nutzungsprofile!$B$17:$B$22,"Schulbetrieb",Nutzungsprofile!$G$17:$G$22)*Kalender!C114/SUM(Kalender!$C$5:$C$370),0)+IFERROR(SUMIF(Nutzungsprofile!$B$17:$B$22,"Halle",Nutzungsprofile!$G$17:$G$22)*Kalender!D114/SUM(Kalender!$D$5:$D$370),0)+IFERROR(SUMIF(Nutzungsprofile!$B$17:$B$22,"Individuell",Nutzungsprofile!$G$17:$G$22)*Kalender!E114/SUM(Kalender!$E$5:$E$370),0))*Szenarien!$D$20,0)</f>
        <v>4.94</v>
      </c>
      <c r="E3408" s="13" t="n">
        <f aca="false">IFERROR(MIN(C3408,Eingaben!$B$17)*Eingaben!$B$16,0)</f>
        <v>2.2344</v>
      </c>
      <c r="F3408" s="13" t="n">
        <f aca="false">IFERROR(E3408*Eingaben!$B$15,0)</f>
        <v>2.01096</v>
      </c>
      <c r="G3408" s="13" t="n">
        <f aca="false">IFERROR(IF(Kalender!A114="",0,J3407*(1-Eingaben!$B$20)),0)</f>
        <v>1.3674528</v>
      </c>
      <c r="H3408" s="13" t="n">
        <f aca="false">MIN(G3408,D3408)</f>
        <v>1.3674528</v>
      </c>
      <c r="I3408" s="13" t="n">
        <f aca="false">IFERROR(MIN(F3408*Eingaben!$B$19,MAX(0,D3408-H3408)),0)</f>
        <v>1.407672</v>
      </c>
      <c r="J3408" s="13" t="n">
        <f aca="false">IFERROR(MIN(Eingaben!$B$18,MAX(0,F3408-I3408)),0)</f>
        <v>0.603288</v>
      </c>
      <c r="K3408" s="13" t="n">
        <f aca="false">H3408+I3408</f>
        <v>2.7751248</v>
      </c>
      <c r="L3408" s="13" t="n">
        <f aca="false">MAX(0,D3408-K3408)</f>
        <v>2.1648752</v>
      </c>
      <c r="M3408" s="13" t="n">
        <f aca="false">MAX(0,F3408-I3408-J3408)</f>
        <v>0</v>
      </c>
      <c r="N3408" s="13" t="n">
        <f aca="false">IF(Kalender!A114="",0,J3407-H3408)</f>
        <v>0.0279072</v>
      </c>
    </row>
    <row r="3409" customFormat="false" ht="16.4" hidden="false" customHeight="false" outlineLevel="0" collapsed="false">
      <c r="A3409" s="13" t="str">
        <f aca="false">""</f>
        <v/>
      </c>
      <c r="B3409" s="13" t="n">
        <f aca="false">111</f>
        <v>111</v>
      </c>
      <c r="C3409" s="13" t="n">
        <f aca="false">IF(Szenarien!$H$20="OK",(IFERROR(SUMIF(Nutzungsprofile!$B$6:$B$11,"Schulbetrieb",Nutzungsprofile!$G$6:$G$11)*Kalender!C115/SUM(Kalender!$C$5:$C$370),0)+IFERROR(SUMIF(Nutzungsprofile!$B$6:$B$11,"Halle",Nutzungsprofile!$G$6:$G$11)*Kalender!D115/SUM(Kalender!$D$5:$D$370),0)+IFERROR(SUMIF(Nutzungsprofile!$B$6:$B$11,"Individuell",Nutzungsprofile!$G$6:$G$11)*Kalender!E115/SUM(Kalender!$E$5:$E$370),0))*Szenarien!$E$20,0)</f>
        <v>2.352</v>
      </c>
      <c r="D3409" s="13" t="n">
        <f aca="false">IF(Szenarien!$H$20="OK",(IFERROR(SUMIF(Nutzungsprofile!$B$17:$B$22,"Schulbetrieb",Nutzungsprofile!$G$17:$G$22)*Kalender!C115/SUM(Kalender!$C$5:$C$370),0)+IFERROR(SUMIF(Nutzungsprofile!$B$17:$B$22,"Halle",Nutzungsprofile!$G$17:$G$22)*Kalender!D115/SUM(Kalender!$D$5:$D$370),0)+IFERROR(SUMIF(Nutzungsprofile!$B$17:$B$22,"Individuell",Nutzungsprofile!$G$17:$G$22)*Kalender!E115/SUM(Kalender!$E$5:$E$370),0))*Szenarien!$D$20,0)</f>
        <v>4.94</v>
      </c>
      <c r="E3409" s="13" t="n">
        <f aca="false">IFERROR(MIN(C3409,Eingaben!$B$17)*Eingaben!$B$16,0)</f>
        <v>2.2344</v>
      </c>
      <c r="F3409" s="13" t="n">
        <f aca="false">IFERROR(E3409*Eingaben!$B$15,0)</f>
        <v>2.01096</v>
      </c>
      <c r="G3409" s="13" t="n">
        <f aca="false">IFERROR(IF(Kalender!A115="",0,J3408*(1-Eingaben!$B$20)),0)</f>
        <v>0.59122224</v>
      </c>
      <c r="H3409" s="13" t="n">
        <f aca="false">MIN(G3409,D3409)</f>
        <v>0.59122224</v>
      </c>
      <c r="I3409" s="13" t="n">
        <f aca="false">IFERROR(MIN(F3409*Eingaben!$B$19,MAX(0,D3409-H3409)),0)</f>
        <v>1.407672</v>
      </c>
      <c r="J3409" s="13" t="n">
        <f aca="false">IFERROR(MIN(Eingaben!$B$18,MAX(0,F3409-I3409)),0)</f>
        <v>0.603288</v>
      </c>
      <c r="K3409" s="13" t="n">
        <f aca="false">H3409+I3409</f>
        <v>1.99889424</v>
      </c>
      <c r="L3409" s="13" t="n">
        <f aca="false">MAX(0,D3409-K3409)</f>
        <v>2.94110576</v>
      </c>
      <c r="M3409" s="13" t="n">
        <f aca="false">MAX(0,F3409-I3409-J3409)</f>
        <v>0</v>
      </c>
      <c r="N3409" s="13" t="n">
        <f aca="false">IF(Kalender!A115="",0,J3408-H3409)</f>
        <v>0.01206576</v>
      </c>
    </row>
    <row r="3410" customFormat="false" ht="16.4" hidden="false" customHeight="false" outlineLevel="0" collapsed="false">
      <c r="A3410" s="13" t="str">
        <f aca="false">""</f>
        <v/>
      </c>
      <c r="B3410" s="13" t="n">
        <f aca="false">112</f>
        <v>112</v>
      </c>
      <c r="C3410" s="13" t="n">
        <f aca="false">IF(Szenarien!$H$20="OK",(IFERROR(SUMIF(Nutzungsprofile!$B$6:$B$11,"Schulbetrieb",Nutzungsprofile!$G$6:$G$11)*Kalender!C116/SUM(Kalender!$C$5:$C$370),0)+IFERROR(SUMIF(Nutzungsprofile!$B$6:$B$11,"Halle",Nutzungsprofile!$G$6:$G$11)*Kalender!D116/SUM(Kalender!$D$5:$D$370),0)+IFERROR(SUMIF(Nutzungsprofile!$B$6:$B$11,"Individuell",Nutzungsprofile!$G$6:$G$11)*Kalender!E116/SUM(Kalender!$E$5:$E$370),0))*Szenarien!$E$20,0)</f>
        <v>2.352</v>
      </c>
      <c r="D3410" s="13" t="n">
        <f aca="false">IF(Szenarien!$H$20="OK",(IFERROR(SUMIF(Nutzungsprofile!$B$17:$B$22,"Schulbetrieb",Nutzungsprofile!$G$17:$G$22)*Kalender!C116/SUM(Kalender!$C$5:$C$370),0)+IFERROR(SUMIF(Nutzungsprofile!$B$17:$B$22,"Halle",Nutzungsprofile!$G$17:$G$22)*Kalender!D116/SUM(Kalender!$D$5:$D$370),0)+IFERROR(SUMIF(Nutzungsprofile!$B$17:$B$22,"Individuell",Nutzungsprofile!$G$17:$G$22)*Kalender!E116/SUM(Kalender!$E$5:$E$370),0))*Szenarien!$D$20,0)</f>
        <v>4.94</v>
      </c>
      <c r="E3410" s="13" t="n">
        <f aca="false">IFERROR(MIN(C3410,Eingaben!$B$17)*Eingaben!$B$16,0)</f>
        <v>2.2344</v>
      </c>
      <c r="F3410" s="13" t="n">
        <f aca="false">IFERROR(E3410*Eingaben!$B$15,0)</f>
        <v>2.01096</v>
      </c>
      <c r="G3410" s="13" t="n">
        <f aca="false">IFERROR(IF(Kalender!A116="",0,J3409*(1-Eingaben!$B$20)),0)</f>
        <v>0.59122224</v>
      </c>
      <c r="H3410" s="13" t="n">
        <f aca="false">MIN(G3410,D3410)</f>
        <v>0.59122224</v>
      </c>
      <c r="I3410" s="13" t="n">
        <f aca="false">IFERROR(MIN(F3410*Eingaben!$B$19,MAX(0,D3410-H3410)),0)</f>
        <v>1.407672</v>
      </c>
      <c r="J3410" s="13" t="n">
        <f aca="false">IFERROR(MIN(Eingaben!$B$18,MAX(0,F3410-I3410)),0)</f>
        <v>0.603288</v>
      </c>
      <c r="K3410" s="13" t="n">
        <f aca="false">H3410+I3410</f>
        <v>1.99889424</v>
      </c>
      <c r="L3410" s="13" t="n">
        <f aca="false">MAX(0,D3410-K3410)</f>
        <v>2.94110576</v>
      </c>
      <c r="M3410" s="13" t="n">
        <f aca="false">MAX(0,F3410-I3410-J3410)</f>
        <v>0</v>
      </c>
      <c r="N3410" s="13" t="n">
        <f aca="false">IF(Kalender!A116="",0,J3409-H3410)</f>
        <v>0.01206576</v>
      </c>
    </row>
    <row r="3411" customFormat="false" ht="16.4" hidden="false" customHeight="false" outlineLevel="0" collapsed="false">
      <c r="A3411" s="13" t="str">
        <f aca="false">""</f>
        <v/>
      </c>
      <c r="B3411" s="13" t="n">
        <f aca="false">113</f>
        <v>113</v>
      </c>
      <c r="C3411" s="13" t="n">
        <f aca="false">IF(Szenarien!$H$20="OK",(IFERROR(SUMIF(Nutzungsprofile!$B$6:$B$11,"Schulbetrieb",Nutzungsprofile!$G$6:$G$11)*Kalender!C117/SUM(Kalender!$C$5:$C$370),0)+IFERROR(SUMIF(Nutzungsprofile!$B$6:$B$11,"Halle",Nutzungsprofile!$G$6:$G$11)*Kalender!D117/SUM(Kalender!$D$5:$D$370),0)+IFERROR(SUMIF(Nutzungsprofile!$B$6:$B$11,"Individuell",Nutzungsprofile!$G$6:$G$11)*Kalender!E117/SUM(Kalender!$E$5:$E$370),0))*Szenarien!$E$20,0)</f>
        <v>2.352</v>
      </c>
      <c r="D3411" s="13" t="n">
        <f aca="false">IF(Szenarien!$H$20="OK",(IFERROR(SUMIF(Nutzungsprofile!$B$17:$B$22,"Schulbetrieb",Nutzungsprofile!$G$17:$G$22)*Kalender!C117/SUM(Kalender!$C$5:$C$370),0)+IFERROR(SUMIF(Nutzungsprofile!$B$17:$B$22,"Halle",Nutzungsprofile!$G$17:$G$22)*Kalender!D117/SUM(Kalender!$D$5:$D$370),0)+IFERROR(SUMIF(Nutzungsprofile!$B$17:$B$22,"Individuell",Nutzungsprofile!$G$17:$G$22)*Kalender!E117/SUM(Kalender!$E$5:$E$370),0))*Szenarien!$D$20,0)</f>
        <v>4.94</v>
      </c>
      <c r="E3411" s="13" t="n">
        <f aca="false">IFERROR(MIN(C3411,Eingaben!$B$17)*Eingaben!$B$16,0)</f>
        <v>2.2344</v>
      </c>
      <c r="F3411" s="13" t="n">
        <f aca="false">IFERROR(E3411*Eingaben!$B$15,0)</f>
        <v>2.01096</v>
      </c>
      <c r="G3411" s="13" t="n">
        <f aca="false">IFERROR(IF(Kalender!A117="",0,J3410*(1-Eingaben!$B$20)),0)</f>
        <v>0.59122224</v>
      </c>
      <c r="H3411" s="13" t="n">
        <f aca="false">MIN(G3411,D3411)</f>
        <v>0.59122224</v>
      </c>
      <c r="I3411" s="13" t="n">
        <f aca="false">IFERROR(MIN(F3411*Eingaben!$B$19,MAX(0,D3411-H3411)),0)</f>
        <v>1.407672</v>
      </c>
      <c r="J3411" s="13" t="n">
        <f aca="false">IFERROR(MIN(Eingaben!$B$18,MAX(0,F3411-I3411)),0)</f>
        <v>0.603288</v>
      </c>
      <c r="K3411" s="13" t="n">
        <f aca="false">H3411+I3411</f>
        <v>1.99889424</v>
      </c>
      <c r="L3411" s="13" t="n">
        <f aca="false">MAX(0,D3411-K3411)</f>
        <v>2.94110576</v>
      </c>
      <c r="M3411" s="13" t="n">
        <f aca="false">MAX(0,F3411-I3411-J3411)</f>
        <v>0</v>
      </c>
      <c r="N3411" s="13" t="n">
        <f aca="false">IF(Kalender!A117="",0,J3410-H3411)</f>
        <v>0.01206576</v>
      </c>
    </row>
    <row r="3412" customFormat="false" ht="16.4" hidden="false" customHeight="false" outlineLevel="0" collapsed="false">
      <c r="A3412" s="13" t="str">
        <f aca="false">""</f>
        <v/>
      </c>
      <c r="B3412" s="13" t="n">
        <f aca="false">114</f>
        <v>114</v>
      </c>
      <c r="C3412" s="13" t="n">
        <f aca="false">IF(Szenarien!$H$20="OK",(IFERROR(SUMIF(Nutzungsprofile!$B$6:$B$11,"Schulbetrieb",Nutzungsprofile!$G$6:$G$11)*Kalender!C118/SUM(Kalender!$C$5:$C$370),0)+IFERROR(SUMIF(Nutzungsprofile!$B$6:$B$11,"Halle",Nutzungsprofile!$G$6:$G$11)*Kalender!D118/SUM(Kalender!$D$5:$D$370),0)+IFERROR(SUMIF(Nutzungsprofile!$B$6:$B$11,"Individuell",Nutzungsprofile!$G$6:$G$11)*Kalender!E118/SUM(Kalender!$E$5:$E$370),0))*Szenarien!$E$20,0)</f>
        <v>2.352</v>
      </c>
      <c r="D3412" s="13" t="n">
        <f aca="false">IF(Szenarien!$H$20="OK",(IFERROR(SUMIF(Nutzungsprofile!$B$17:$B$22,"Schulbetrieb",Nutzungsprofile!$G$17:$G$22)*Kalender!C118/SUM(Kalender!$C$5:$C$370),0)+IFERROR(SUMIF(Nutzungsprofile!$B$17:$B$22,"Halle",Nutzungsprofile!$G$17:$G$22)*Kalender!D118/SUM(Kalender!$D$5:$D$370),0)+IFERROR(SUMIF(Nutzungsprofile!$B$17:$B$22,"Individuell",Nutzungsprofile!$G$17:$G$22)*Kalender!E118/SUM(Kalender!$E$5:$E$370),0))*Szenarien!$D$20,0)</f>
        <v>4.94</v>
      </c>
      <c r="E3412" s="13" t="n">
        <f aca="false">IFERROR(MIN(C3412,Eingaben!$B$17)*Eingaben!$B$16,0)</f>
        <v>2.2344</v>
      </c>
      <c r="F3412" s="13" t="n">
        <f aca="false">IFERROR(E3412*Eingaben!$B$15,0)</f>
        <v>2.01096</v>
      </c>
      <c r="G3412" s="13" t="n">
        <f aca="false">IFERROR(IF(Kalender!A118="",0,J3411*(1-Eingaben!$B$20)),0)</f>
        <v>0.59122224</v>
      </c>
      <c r="H3412" s="13" t="n">
        <f aca="false">MIN(G3412,D3412)</f>
        <v>0.59122224</v>
      </c>
      <c r="I3412" s="13" t="n">
        <f aca="false">IFERROR(MIN(F3412*Eingaben!$B$19,MAX(0,D3412-H3412)),0)</f>
        <v>1.407672</v>
      </c>
      <c r="J3412" s="13" t="n">
        <f aca="false">IFERROR(MIN(Eingaben!$B$18,MAX(0,F3412-I3412)),0)</f>
        <v>0.603288</v>
      </c>
      <c r="K3412" s="13" t="n">
        <f aca="false">H3412+I3412</f>
        <v>1.99889424</v>
      </c>
      <c r="L3412" s="13" t="n">
        <f aca="false">MAX(0,D3412-K3412)</f>
        <v>2.94110576</v>
      </c>
      <c r="M3412" s="13" t="n">
        <f aca="false">MAX(0,F3412-I3412-J3412)</f>
        <v>0</v>
      </c>
      <c r="N3412" s="13" t="n">
        <f aca="false">IF(Kalender!A118="",0,J3411-H3412)</f>
        <v>0.01206576</v>
      </c>
    </row>
    <row r="3413" customFormat="false" ht="16.4" hidden="false" customHeight="false" outlineLevel="0" collapsed="false">
      <c r="A3413" s="13" t="str">
        <f aca="false">""</f>
        <v/>
      </c>
      <c r="B3413" s="13" t="n">
        <f aca="false">115</f>
        <v>115</v>
      </c>
      <c r="C3413" s="13" t="n">
        <f aca="false">IF(Szenarien!$H$20="OK",(IFERROR(SUMIF(Nutzungsprofile!$B$6:$B$11,"Schulbetrieb",Nutzungsprofile!$G$6:$G$11)*Kalender!C119/SUM(Kalender!$C$5:$C$370),0)+IFERROR(SUMIF(Nutzungsprofile!$B$6:$B$11,"Halle",Nutzungsprofile!$G$6:$G$11)*Kalender!D119/SUM(Kalender!$D$5:$D$370),0)+IFERROR(SUMIF(Nutzungsprofile!$B$6:$B$11,"Individuell",Nutzungsprofile!$G$6:$G$11)*Kalender!E119/SUM(Kalender!$E$5:$E$370),0))*Szenarien!$E$20,0)</f>
        <v>1.632</v>
      </c>
      <c r="D3413" s="13" t="n">
        <f aca="false">IF(Szenarien!$H$20="OK",(IFERROR(SUMIF(Nutzungsprofile!$B$17:$B$22,"Schulbetrieb",Nutzungsprofile!$G$17:$G$22)*Kalender!C119/SUM(Kalender!$C$5:$C$370),0)+IFERROR(SUMIF(Nutzungsprofile!$B$17:$B$22,"Halle",Nutzungsprofile!$G$17:$G$22)*Kalender!D119/SUM(Kalender!$D$5:$D$370),0)+IFERROR(SUMIF(Nutzungsprofile!$B$17:$B$22,"Individuell",Nutzungsprofile!$G$17:$G$22)*Kalender!E119/SUM(Kalender!$E$5:$E$370),0))*Szenarien!$D$20,0)</f>
        <v>0.89</v>
      </c>
      <c r="E3413" s="13" t="n">
        <f aca="false">IFERROR(MIN(C3413,Eingaben!$B$17)*Eingaben!$B$16,0)</f>
        <v>1.5504</v>
      </c>
      <c r="F3413" s="13" t="n">
        <f aca="false">IFERROR(E3413*Eingaben!$B$15,0)</f>
        <v>1.39536</v>
      </c>
      <c r="G3413" s="13" t="n">
        <f aca="false">IFERROR(IF(Kalender!A119="",0,J3412*(1-Eingaben!$B$20)),0)</f>
        <v>0.59122224</v>
      </c>
      <c r="H3413" s="13" t="n">
        <f aca="false">MIN(G3413,D3413)</f>
        <v>0.59122224</v>
      </c>
      <c r="I3413" s="13" t="n">
        <f aca="false">IFERROR(MIN(F3413*Eingaben!$B$19,MAX(0,D3413-H3413)),0)</f>
        <v>0.29877776</v>
      </c>
      <c r="J3413" s="13" t="n">
        <f aca="false">IFERROR(MIN(Eingaben!$B$18,MAX(0,F3413-I3413)),0)</f>
        <v>1.09658224</v>
      </c>
      <c r="K3413" s="13" t="n">
        <f aca="false">H3413+I3413</f>
        <v>0.89</v>
      </c>
      <c r="L3413" s="13" t="n">
        <f aca="false">MAX(0,D3413-K3413)</f>
        <v>0</v>
      </c>
      <c r="M3413" s="13" t="n">
        <f aca="false">MAX(0,F3413-I3413-J3413)</f>
        <v>0</v>
      </c>
      <c r="N3413" s="13" t="n">
        <f aca="false">IF(Kalender!A119="",0,J3412-H3413)</f>
        <v>0.01206576</v>
      </c>
    </row>
    <row r="3414" customFormat="false" ht="16.4" hidden="false" customHeight="false" outlineLevel="0" collapsed="false">
      <c r="A3414" s="13" t="str">
        <f aca="false">""</f>
        <v/>
      </c>
      <c r="B3414" s="13" t="n">
        <f aca="false">116</f>
        <v>116</v>
      </c>
      <c r="C3414" s="13" t="n">
        <f aca="false">IF(Szenarien!$H$20="OK",(IFERROR(SUMIF(Nutzungsprofile!$B$6:$B$11,"Schulbetrieb",Nutzungsprofile!$G$6:$G$11)*Kalender!C120/SUM(Kalender!$C$5:$C$370),0)+IFERROR(SUMIF(Nutzungsprofile!$B$6:$B$11,"Halle",Nutzungsprofile!$G$6:$G$11)*Kalender!D120/SUM(Kalender!$D$5:$D$370),0)+IFERROR(SUMIF(Nutzungsprofile!$B$6:$B$11,"Individuell",Nutzungsprofile!$G$6:$G$11)*Kalender!E120/SUM(Kalender!$E$5:$E$370),0))*Szenarien!$E$20,0)</f>
        <v>1.632</v>
      </c>
      <c r="D3414" s="13" t="n">
        <f aca="false">IF(Szenarien!$H$20="OK",(IFERROR(SUMIF(Nutzungsprofile!$B$17:$B$22,"Schulbetrieb",Nutzungsprofile!$G$17:$G$22)*Kalender!C120/SUM(Kalender!$C$5:$C$370),0)+IFERROR(SUMIF(Nutzungsprofile!$B$17:$B$22,"Halle",Nutzungsprofile!$G$17:$G$22)*Kalender!D120/SUM(Kalender!$D$5:$D$370),0)+IFERROR(SUMIF(Nutzungsprofile!$B$17:$B$22,"Individuell",Nutzungsprofile!$G$17:$G$22)*Kalender!E120/SUM(Kalender!$E$5:$E$370),0))*Szenarien!$D$20,0)</f>
        <v>0.89</v>
      </c>
      <c r="E3414" s="13" t="n">
        <f aca="false">IFERROR(MIN(C3414,Eingaben!$B$17)*Eingaben!$B$16,0)</f>
        <v>1.5504</v>
      </c>
      <c r="F3414" s="13" t="n">
        <f aca="false">IFERROR(E3414*Eingaben!$B$15,0)</f>
        <v>1.39536</v>
      </c>
      <c r="G3414" s="13" t="n">
        <f aca="false">IFERROR(IF(Kalender!A120="",0,J3413*(1-Eingaben!$B$20)),0)</f>
        <v>1.0746505952</v>
      </c>
      <c r="H3414" s="13" t="n">
        <f aca="false">MIN(G3414,D3414)</f>
        <v>0.89</v>
      </c>
      <c r="I3414" s="13" t="n">
        <f aca="false">IFERROR(MIN(F3414*Eingaben!$B$19,MAX(0,D3414-H3414)),0)</f>
        <v>0</v>
      </c>
      <c r="J3414" s="13" t="n">
        <f aca="false">IFERROR(MIN(Eingaben!$B$18,MAX(0,F3414-I3414)),0)</f>
        <v>1.39536</v>
      </c>
      <c r="K3414" s="13" t="n">
        <f aca="false">H3414+I3414</f>
        <v>0.89</v>
      </c>
      <c r="L3414" s="13" t="n">
        <f aca="false">MAX(0,D3414-K3414)</f>
        <v>0</v>
      </c>
      <c r="M3414" s="13" t="n">
        <f aca="false">MAX(0,F3414-I3414-J3414)</f>
        <v>0</v>
      </c>
      <c r="N3414" s="13" t="n">
        <f aca="false">IF(Kalender!A120="",0,J3413-H3414)</f>
        <v>0.20658224</v>
      </c>
    </row>
    <row r="3415" customFormat="false" ht="16.4" hidden="false" customHeight="false" outlineLevel="0" collapsed="false">
      <c r="A3415" s="13" t="str">
        <f aca="false">""</f>
        <v/>
      </c>
      <c r="B3415" s="13" t="n">
        <f aca="false">117</f>
        <v>117</v>
      </c>
      <c r="C3415" s="13" t="n">
        <f aca="false">IF(Szenarien!$H$20="OK",(IFERROR(SUMIF(Nutzungsprofile!$B$6:$B$11,"Schulbetrieb",Nutzungsprofile!$G$6:$G$11)*Kalender!C121/SUM(Kalender!$C$5:$C$370),0)+IFERROR(SUMIF(Nutzungsprofile!$B$6:$B$11,"Halle",Nutzungsprofile!$G$6:$G$11)*Kalender!D121/SUM(Kalender!$D$5:$D$370),0)+IFERROR(SUMIF(Nutzungsprofile!$B$6:$B$11,"Individuell",Nutzungsprofile!$G$6:$G$11)*Kalender!E121/SUM(Kalender!$E$5:$E$370),0))*Szenarien!$E$20,0)</f>
        <v>2.352</v>
      </c>
      <c r="D3415" s="13" t="n">
        <f aca="false">IF(Szenarien!$H$20="OK",(IFERROR(SUMIF(Nutzungsprofile!$B$17:$B$22,"Schulbetrieb",Nutzungsprofile!$G$17:$G$22)*Kalender!C121/SUM(Kalender!$C$5:$C$370),0)+IFERROR(SUMIF(Nutzungsprofile!$B$17:$B$22,"Halle",Nutzungsprofile!$G$17:$G$22)*Kalender!D121/SUM(Kalender!$D$5:$D$370),0)+IFERROR(SUMIF(Nutzungsprofile!$B$17:$B$22,"Individuell",Nutzungsprofile!$G$17:$G$22)*Kalender!E121/SUM(Kalender!$E$5:$E$370),0))*Szenarien!$D$20,0)</f>
        <v>4.94</v>
      </c>
      <c r="E3415" s="13" t="n">
        <f aca="false">IFERROR(MIN(C3415,Eingaben!$B$17)*Eingaben!$B$16,0)</f>
        <v>2.2344</v>
      </c>
      <c r="F3415" s="13" t="n">
        <f aca="false">IFERROR(E3415*Eingaben!$B$15,0)</f>
        <v>2.01096</v>
      </c>
      <c r="G3415" s="13" t="n">
        <f aca="false">IFERROR(IF(Kalender!A121="",0,J3414*(1-Eingaben!$B$20)),0)</f>
        <v>1.3674528</v>
      </c>
      <c r="H3415" s="13" t="n">
        <f aca="false">MIN(G3415,D3415)</f>
        <v>1.3674528</v>
      </c>
      <c r="I3415" s="13" t="n">
        <f aca="false">IFERROR(MIN(F3415*Eingaben!$B$19,MAX(0,D3415-H3415)),0)</f>
        <v>1.407672</v>
      </c>
      <c r="J3415" s="13" t="n">
        <f aca="false">IFERROR(MIN(Eingaben!$B$18,MAX(0,F3415-I3415)),0)</f>
        <v>0.603288</v>
      </c>
      <c r="K3415" s="13" t="n">
        <f aca="false">H3415+I3415</f>
        <v>2.7751248</v>
      </c>
      <c r="L3415" s="13" t="n">
        <f aca="false">MAX(0,D3415-K3415)</f>
        <v>2.1648752</v>
      </c>
      <c r="M3415" s="13" t="n">
        <f aca="false">MAX(0,F3415-I3415-J3415)</f>
        <v>0</v>
      </c>
      <c r="N3415" s="13" t="n">
        <f aca="false">IF(Kalender!A121="",0,J3414-H3415)</f>
        <v>0.0279072</v>
      </c>
    </row>
    <row r="3416" customFormat="false" ht="16.4" hidden="false" customHeight="false" outlineLevel="0" collapsed="false">
      <c r="A3416" s="13" t="str">
        <f aca="false">""</f>
        <v/>
      </c>
      <c r="B3416" s="13" t="n">
        <f aca="false">118</f>
        <v>118</v>
      </c>
      <c r="C3416" s="13" t="n">
        <f aca="false">IF(Szenarien!$H$20="OK",(IFERROR(SUMIF(Nutzungsprofile!$B$6:$B$11,"Schulbetrieb",Nutzungsprofile!$G$6:$G$11)*Kalender!C122/SUM(Kalender!$C$5:$C$370),0)+IFERROR(SUMIF(Nutzungsprofile!$B$6:$B$11,"Halle",Nutzungsprofile!$G$6:$G$11)*Kalender!D122/SUM(Kalender!$D$5:$D$370),0)+IFERROR(SUMIF(Nutzungsprofile!$B$6:$B$11,"Individuell",Nutzungsprofile!$G$6:$G$11)*Kalender!E122/SUM(Kalender!$E$5:$E$370),0))*Szenarien!$E$20,0)</f>
        <v>2.352</v>
      </c>
      <c r="D3416" s="13" t="n">
        <f aca="false">IF(Szenarien!$H$20="OK",(IFERROR(SUMIF(Nutzungsprofile!$B$17:$B$22,"Schulbetrieb",Nutzungsprofile!$G$17:$G$22)*Kalender!C122/SUM(Kalender!$C$5:$C$370),0)+IFERROR(SUMIF(Nutzungsprofile!$B$17:$B$22,"Halle",Nutzungsprofile!$G$17:$G$22)*Kalender!D122/SUM(Kalender!$D$5:$D$370),0)+IFERROR(SUMIF(Nutzungsprofile!$B$17:$B$22,"Individuell",Nutzungsprofile!$G$17:$G$22)*Kalender!E122/SUM(Kalender!$E$5:$E$370),0))*Szenarien!$D$20,0)</f>
        <v>4.94</v>
      </c>
      <c r="E3416" s="13" t="n">
        <f aca="false">IFERROR(MIN(C3416,Eingaben!$B$17)*Eingaben!$B$16,0)</f>
        <v>2.2344</v>
      </c>
      <c r="F3416" s="13" t="n">
        <f aca="false">IFERROR(E3416*Eingaben!$B$15,0)</f>
        <v>2.01096</v>
      </c>
      <c r="G3416" s="13" t="n">
        <f aca="false">IFERROR(IF(Kalender!A122="",0,J3415*(1-Eingaben!$B$20)),0)</f>
        <v>0.59122224</v>
      </c>
      <c r="H3416" s="13" t="n">
        <f aca="false">MIN(G3416,D3416)</f>
        <v>0.59122224</v>
      </c>
      <c r="I3416" s="13" t="n">
        <f aca="false">IFERROR(MIN(F3416*Eingaben!$B$19,MAX(0,D3416-H3416)),0)</f>
        <v>1.407672</v>
      </c>
      <c r="J3416" s="13" t="n">
        <f aca="false">IFERROR(MIN(Eingaben!$B$18,MAX(0,F3416-I3416)),0)</f>
        <v>0.603288</v>
      </c>
      <c r="K3416" s="13" t="n">
        <f aca="false">H3416+I3416</f>
        <v>1.99889424</v>
      </c>
      <c r="L3416" s="13" t="n">
        <f aca="false">MAX(0,D3416-K3416)</f>
        <v>2.94110576</v>
      </c>
      <c r="M3416" s="13" t="n">
        <f aca="false">MAX(0,F3416-I3416-J3416)</f>
        <v>0</v>
      </c>
      <c r="N3416" s="13" t="n">
        <f aca="false">IF(Kalender!A122="",0,J3415-H3416)</f>
        <v>0.01206576</v>
      </c>
    </row>
    <row r="3417" customFormat="false" ht="16.4" hidden="false" customHeight="false" outlineLevel="0" collapsed="false">
      <c r="A3417" s="13" t="str">
        <f aca="false">""</f>
        <v/>
      </c>
      <c r="B3417" s="13" t="n">
        <f aca="false">119</f>
        <v>119</v>
      </c>
      <c r="C3417" s="13" t="n">
        <f aca="false">IF(Szenarien!$H$20="OK",(IFERROR(SUMIF(Nutzungsprofile!$B$6:$B$11,"Schulbetrieb",Nutzungsprofile!$G$6:$G$11)*Kalender!C123/SUM(Kalender!$C$5:$C$370),0)+IFERROR(SUMIF(Nutzungsprofile!$B$6:$B$11,"Halle",Nutzungsprofile!$G$6:$G$11)*Kalender!D123/SUM(Kalender!$D$5:$D$370),0)+IFERROR(SUMIF(Nutzungsprofile!$B$6:$B$11,"Individuell",Nutzungsprofile!$G$6:$G$11)*Kalender!E123/SUM(Kalender!$E$5:$E$370),0))*Szenarien!$E$20,0)</f>
        <v>2.352</v>
      </c>
      <c r="D3417" s="13" t="n">
        <f aca="false">IF(Szenarien!$H$20="OK",(IFERROR(SUMIF(Nutzungsprofile!$B$17:$B$22,"Schulbetrieb",Nutzungsprofile!$G$17:$G$22)*Kalender!C123/SUM(Kalender!$C$5:$C$370),0)+IFERROR(SUMIF(Nutzungsprofile!$B$17:$B$22,"Halle",Nutzungsprofile!$G$17:$G$22)*Kalender!D123/SUM(Kalender!$D$5:$D$370),0)+IFERROR(SUMIF(Nutzungsprofile!$B$17:$B$22,"Individuell",Nutzungsprofile!$G$17:$G$22)*Kalender!E123/SUM(Kalender!$E$5:$E$370),0))*Szenarien!$D$20,0)</f>
        <v>4.94</v>
      </c>
      <c r="E3417" s="13" t="n">
        <f aca="false">IFERROR(MIN(C3417,Eingaben!$B$17)*Eingaben!$B$16,0)</f>
        <v>2.2344</v>
      </c>
      <c r="F3417" s="13" t="n">
        <f aca="false">IFERROR(E3417*Eingaben!$B$15,0)</f>
        <v>2.01096</v>
      </c>
      <c r="G3417" s="13" t="n">
        <f aca="false">IFERROR(IF(Kalender!A123="",0,J3416*(1-Eingaben!$B$20)),0)</f>
        <v>0.59122224</v>
      </c>
      <c r="H3417" s="13" t="n">
        <f aca="false">MIN(G3417,D3417)</f>
        <v>0.59122224</v>
      </c>
      <c r="I3417" s="13" t="n">
        <f aca="false">IFERROR(MIN(F3417*Eingaben!$B$19,MAX(0,D3417-H3417)),0)</f>
        <v>1.407672</v>
      </c>
      <c r="J3417" s="13" t="n">
        <f aca="false">IFERROR(MIN(Eingaben!$B$18,MAX(0,F3417-I3417)),0)</f>
        <v>0.603288</v>
      </c>
      <c r="K3417" s="13" t="n">
        <f aca="false">H3417+I3417</f>
        <v>1.99889424</v>
      </c>
      <c r="L3417" s="13" t="n">
        <f aca="false">MAX(0,D3417-K3417)</f>
        <v>2.94110576</v>
      </c>
      <c r="M3417" s="13" t="n">
        <f aca="false">MAX(0,F3417-I3417-J3417)</f>
        <v>0</v>
      </c>
      <c r="N3417" s="13" t="n">
        <f aca="false">IF(Kalender!A123="",0,J3416-H3417)</f>
        <v>0.01206576</v>
      </c>
    </row>
    <row r="3418" customFormat="false" ht="16.4" hidden="false" customHeight="false" outlineLevel="0" collapsed="false">
      <c r="A3418" s="13" t="str">
        <f aca="false">""</f>
        <v/>
      </c>
      <c r="B3418" s="13" t="n">
        <f aca="false">120</f>
        <v>120</v>
      </c>
      <c r="C3418" s="13" t="n">
        <f aca="false">IF(Szenarien!$H$20="OK",(IFERROR(SUMIF(Nutzungsprofile!$B$6:$B$11,"Schulbetrieb",Nutzungsprofile!$G$6:$G$11)*Kalender!C124/SUM(Kalender!$C$5:$C$370),0)+IFERROR(SUMIF(Nutzungsprofile!$B$6:$B$11,"Halle",Nutzungsprofile!$G$6:$G$11)*Kalender!D124/SUM(Kalender!$D$5:$D$370),0)+IFERROR(SUMIF(Nutzungsprofile!$B$6:$B$11,"Individuell",Nutzungsprofile!$G$6:$G$11)*Kalender!E124/SUM(Kalender!$E$5:$E$370),0))*Szenarien!$E$20,0)</f>
        <v>2.352</v>
      </c>
      <c r="D3418" s="13" t="n">
        <f aca="false">IF(Szenarien!$H$20="OK",(IFERROR(SUMIF(Nutzungsprofile!$B$17:$B$22,"Schulbetrieb",Nutzungsprofile!$G$17:$G$22)*Kalender!C124/SUM(Kalender!$C$5:$C$370),0)+IFERROR(SUMIF(Nutzungsprofile!$B$17:$B$22,"Halle",Nutzungsprofile!$G$17:$G$22)*Kalender!D124/SUM(Kalender!$D$5:$D$370),0)+IFERROR(SUMIF(Nutzungsprofile!$B$17:$B$22,"Individuell",Nutzungsprofile!$G$17:$G$22)*Kalender!E124/SUM(Kalender!$E$5:$E$370),0))*Szenarien!$D$20,0)</f>
        <v>4.94</v>
      </c>
      <c r="E3418" s="13" t="n">
        <f aca="false">IFERROR(MIN(C3418,Eingaben!$B$17)*Eingaben!$B$16,0)</f>
        <v>2.2344</v>
      </c>
      <c r="F3418" s="13" t="n">
        <f aca="false">IFERROR(E3418*Eingaben!$B$15,0)</f>
        <v>2.01096</v>
      </c>
      <c r="G3418" s="13" t="n">
        <f aca="false">IFERROR(IF(Kalender!A124="",0,J3417*(1-Eingaben!$B$20)),0)</f>
        <v>0.59122224</v>
      </c>
      <c r="H3418" s="13" t="n">
        <f aca="false">MIN(G3418,D3418)</f>
        <v>0.59122224</v>
      </c>
      <c r="I3418" s="13" t="n">
        <f aca="false">IFERROR(MIN(F3418*Eingaben!$B$19,MAX(0,D3418-H3418)),0)</f>
        <v>1.407672</v>
      </c>
      <c r="J3418" s="13" t="n">
        <f aca="false">IFERROR(MIN(Eingaben!$B$18,MAX(0,F3418-I3418)),0)</f>
        <v>0.603288</v>
      </c>
      <c r="K3418" s="13" t="n">
        <f aca="false">H3418+I3418</f>
        <v>1.99889424</v>
      </c>
      <c r="L3418" s="13" t="n">
        <f aca="false">MAX(0,D3418-K3418)</f>
        <v>2.94110576</v>
      </c>
      <c r="M3418" s="13" t="n">
        <f aca="false">MAX(0,F3418-I3418-J3418)</f>
        <v>0</v>
      </c>
      <c r="N3418" s="13" t="n">
        <f aca="false">IF(Kalender!A124="",0,J3417-H3418)</f>
        <v>0.01206576</v>
      </c>
    </row>
    <row r="3419" customFormat="false" ht="16.4" hidden="false" customHeight="false" outlineLevel="0" collapsed="false">
      <c r="A3419" s="13" t="str">
        <f aca="false">""</f>
        <v/>
      </c>
      <c r="B3419" s="13" t="n">
        <f aca="false">121</f>
        <v>121</v>
      </c>
      <c r="C3419" s="13" t="n">
        <f aca="false">IF(Szenarien!$H$20="OK",(IFERROR(SUMIF(Nutzungsprofile!$B$6:$B$11,"Schulbetrieb",Nutzungsprofile!$G$6:$G$11)*Kalender!C125/SUM(Kalender!$C$5:$C$370),0)+IFERROR(SUMIF(Nutzungsprofile!$B$6:$B$11,"Halle",Nutzungsprofile!$G$6:$G$11)*Kalender!D125/SUM(Kalender!$D$5:$D$370),0)+IFERROR(SUMIF(Nutzungsprofile!$B$6:$B$11,"Individuell",Nutzungsprofile!$G$6:$G$11)*Kalender!E125/SUM(Kalender!$E$5:$E$370),0))*Szenarien!$E$20,0)</f>
        <v>2.352</v>
      </c>
      <c r="D3419" s="13" t="n">
        <f aca="false">IF(Szenarien!$H$20="OK",(IFERROR(SUMIF(Nutzungsprofile!$B$17:$B$22,"Schulbetrieb",Nutzungsprofile!$G$17:$G$22)*Kalender!C125/SUM(Kalender!$C$5:$C$370),0)+IFERROR(SUMIF(Nutzungsprofile!$B$17:$B$22,"Halle",Nutzungsprofile!$G$17:$G$22)*Kalender!D125/SUM(Kalender!$D$5:$D$370),0)+IFERROR(SUMIF(Nutzungsprofile!$B$17:$B$22,"Individuell",Nutzungsprofile!$G$17:$G$22)*Kalender!E125/SUM(Kalender!$E$5:$E$370),0))*Szenarien!$D$20,0)</f>
        <v>4.94</v>
      </c>
      <c r="E3419" s="13" t="n">
        <f aca="false">IFERROR(MIN(C3419,Eingaben!$B$17)*Eingaben!$B$16,0)</f>
        <v>2.2344</v>
      </c>
      <c r="F3419" s="13" t="n">
        <f aca="false">IFERROR(E3419*Eingaben!$B$15,0)</f>
        <v>2.01096</v>
      </c>
      <c r="G3419" s="13" t="n">
        <f aca="false">IFERROR(IF(Kalender!A125="",0,J3418*(1-Eingaben!$B$20)),0)</f>
        <v>0.59122224</v>
      </c>
      <c r="H3419" s="13" t="n">
        <f aca="false">MIN(G3419,D3419)</f>
        <v>0.59122224</v>
      </c>
      <c r="I3419" s="13" t="n">
        <f aca="false">IFERROR(MIN(F3419*Eingaben!$B$19,MAX(0,D3419-H3419)),0)</f>
        <v>1.407672</v>
      </c>
      <c r="J3419" s="13" t="n">
        <f aca="false">IFERROR(MIN(Eingaben!$B$18,MAX(0,F3419-I3419)),0)</f>
        <v>0.603288</v>
      </c>
      <c r="K3419" s="13" t="n">
        <f aca="false">H3419+I3419</f>
        <v>1.99889424</v>
      </c>
      <c r="L3419" s="13" t="n">
        <f aca="false">MAX(0,D3419-K3419)</f>
        <v>2.94110576</v>
      </c>
      <c r="M3419" s="13" t="n">
        <f aca="false">MAX(0,F3419-I3419-J3419)</f>
        <v>0</v>
      </c>
      <c r="N3419" s="13" t="n">
        <f aca="false">IF(Kalender!A125="",0,J3418-H3419)</f>
        <v>0.01206576</v>
      </c>
    </row>
    <row r="3420" customFormat="false" ht="16.4" hidden="false" customHeight="false" outlineLevel="0" collapsed="false">
      <c r="A3420" s="13" t="str">
        <f aca="false">""</f>
        <v/>
      </c>
      <c r="B3420" s="13" t="n">
        <f aca="false">122</f>
        <v>122</v>
      </c>
      <c r="C3420" s="13" t="n">
        <f aca="false">IF(Szenarien!$H$20="OK",(IFERROR(SUMIF(Nutzungsprofile!$B$6:$B$11,"Schulbetrieb",Nutzungsprofile!$G$6:$G$11)*Kalender!C126/SUM(Kalender!$C$5:$C$370),0)+IFERROR(SUMIF(Nutzungsprofile!$B$6:$B$11,"Halle",Nutzungsprofile!$G$6:$G$11)*Kalender!D126/SUM(Kalender!$D$5:$D$370),0)+IFERROR(SUMIF(Nutzungsprofile!$B$6:$B$11,"Individuell",Nutzungsprofile!$G$6:$G$11)*Kalender!E126/SUM(Kalender!$E$5:$E$370),0))*Szenarien!$E$20,0)</f>
        <v>1.632</v>
      </c>
      <c r="D3420" s="13" t="n">
        <f aca="false">IF(Szenarien!$H$20="OK",(IFERROR(SUMIF(Nutzungsprofile!$B$17:$B$22,"Schulbetrieb",Nutzungsprofile!$G$17:$G$22)*Kalender!C126/SUM(Kalender!$C$5:$C$370),0)+IFERROR(SUMIF(Nutzungsprofile!$B$17:$B$22,"Halle",Nutzungsprofile!$G$17:$G$22)*Kalender!D126/SUM(Kalender!$D$5:$D$370),0)+IFERROR(SUMIF(Nutzungsprofile!$B$17:$B$22,"Individuell",Nutzungsprofile!$G$17:$G$22)*Kalender!E126/SUM(Kalender!$E$5:$E$370),0))*Szenarien!$D$20,0)</f>
        <v>0.89</v>
      </c>
      <c r="E3420" s="13" t="n">
        <f aca="false">IFERROR(MIN(C3420,Eingaben!$B$17)*Eingaben!$B$16,0)</f>
        <v>1.5504</v>
      </c>
      <c r="F3420" s="13" t="n">
        <f aca="false">IFERROR(E3420*Eingaben!$B$15,0)</f>
        <v>1.39536</v>
      </c>
      <c r="G3420" s="13" t="n">
        <f aca="false">IFERROR(IF(Kalender!A126="",0,J3419*(1-Eingaben!$B$20)),0)</f>
        <v>0.59122224</v>
      </c>
      <c r="H3420" s="13" t="n">
        <f aca="false">MIN(G3420,D3420)</f>
        <v>0.59122224</v>
      </c>
      <c r="I3420" s="13" t="n">
        <f aca="false">IFERROR(MIN(F3420*Eingaben!$B$19,MAX(0,D3420-H3420)),0)</f>
        <v>0.29877776</v>
      </c>
      <c r="J3420" s="13" t="n">
        <f aca="false">IFERROR(MIN(Eingaben!$B$18,MAX(0,F3420-I3420)),0)</f>
        <v>1.09658224</v>
      </c>
      <c r="K3420" s="13" t="n">
        <f aca="false">H3420+I3420</f>
        <v>0.89</v>
      </c>
      <c r="L3420" s="13" t="n">
        <f aca="false">MAX(0,D3420-K3420)</f>
        <v>0</v>
      </c>
      <c r="M3420" s="13" t="n">
        <f aca="false">MAX(0,F3420-I3420-J3420)</f>
        <v>0</v>
      </c>
      <c r="N3420" s="13" t="n">
        <f aca="false">IF(Kalender!A126="",0,J3419-H3420)</f>
        <v>0.01206576</v>
      </c>
    </row>
    <row r="3421" customFormat="false" ht="16.4" hidden="false" customHeight="false" outlineLevel="0" collapsed="false">
      <c r="A3421" s="13" t="str">
        <f aca="false">""</f>
        <v/>
      </c>
      <c r="B3421" s="13" t="n">
        <f aca="false">123</f>
        <v>123</v>
      </c>
      <c r="C3421" s="13" t="n">
        <f aca="false">IF(Szenarien!$H$20="OK",(IFERROR(SUMIF(Nutzungsprofile!$B$6:$B$11,"Schulbetrieb",Nutzungsprofile!$G$6:$G$11)*Kalender!C127/SUM(Kalender!$C$5:$C$370),0)+IFERROR(SUMIF(Nutzungsprofile!$B$6:$B$11,"Halle",Nutzungsprofile!$G$6:$G$11)*Kalender!D127/SUM(Kalender!$D$5:$D$370),0)+IFERROR(SUMIF(Nutzungsprofile!$B$6:$B$11,"Individuell",Nutzungsprofile!$G$6:$G$11)*Kalender!E127/SUM(Kalender!$E$5:$E$370),0))*Szenarien!$E$20,0)</f>
        <v>1.632</v>
      </c>
      <c r="D3421" s="13" t="n">
        <f aca="false">IF(Szenarien!$H$20="OK",(IFERROR(SUMIF(Nutzungsprofile!$B$17:$B$22,"Schulbetrieb",Nutzungsprofile!$G$17:$G$22)*Kalender!C127/SUM(Kalender!$C$5:$C$370),0)+IFERROR(SUMIF(Nutzungsprofile!$B$17:$B$22,"Halle",Nutzungsprofile!$G$17:$G$22)*Kalender!D127/SUM(Kalender!$D$5:$D$370),0)+IFERROR(SUMIF(Nutzungsprofile!$B$17:$B$22,"Individuell",Nutzungsprofile!$G$17:$G$22)*Kalender!E127/SUM(Kalender!$E$5:$E$370),0))*Szenarien!$D$20,0)</f>
        <v>0.89</v>
      </c>
      <c r="E3421" s="13" t="n">
        <f aca="false">IFERROR(MIN(C3421,Eingaben!$B$17)*Eingaben!$B$16,0)</f>
        <v>1.5504</v>
      </c>
      <c r="F3421" s="13" t="n">
        <f aca="false">IFERROR(E3421*Eingaben!$B$15,0)</f>
        <v>1.39536</v>
      </c>
      <c r="G3421" s="13" t="n">
        <f aca="false">IFERROR(IF(Kalender!A127="",0,J3420*(1-Eingaben!$B$20)),0)</f>
        <v>1.0746505952</v>
      </c>
      <c r="H3421" s="13" t="n">
        <f aca="false">MIN(G3421,D3421)</f>
        <v>0.89</v>
      </c>
      <c r="I3421" s="13" t="n">
        <f aca="false">IFERROR(MIN(F3421*Eingaben!$B$19,MAX(0,D3421-H3421)),0)</f>
        <v>0</v>
      </c>
      <c r="J3421" s="13" t="n">
        <f aca="false">IFERROR(MIN(Eingaben!$B$18,MAX(0,F3421-I3421)),0)</f>
        <v>1.39536</v>
      </c>
      <c r="K3421" s="13" t="n">
        <f aca="false">H3421+I3421</f>
        <v>0.89</v>
      </c>
      <c r="L3421" s="13" t="n">
        <f aca="false">MAX(0,D3421-K3421)</f>
        <v>0</v>
      </c>
      <c r="M3421" s="13" t="n">
        <f aca="false">MAX(0,F3421-I3421-J3421)</f>
        <v>0</v>
      </c>
      <c r="N3421" s="13" t="n">
        <f aca="false">IF(Kalender!A127="",0,J3420-H3421)</f>
        <v>0.20658224</v>
      </c>
    </row>
    <row r="3422" customFormat="false" ht="16.4" hidden="false" customHeight="false" outlineLevel="0" collapsed="false">
      <c r="A3422" s="13" t="str">
        <f aca="false">""</f>
        <v/>
      </c>
      <c r="B3422" s="13" t="n">
        <f aca="false">124</f>
        <v>124</v>
      </c>
      <c r="C3422" s="13" t="n">
        <f aca="false">IF(Szenarien!$H$20="OK",(IFERROR(SUMIF(Nutzungsprofile!$B$6:$B$11,"Schulbetrieb",Nutzungsprofile!$G$6:$G$11)*Kalender!C128/SUM(Kalender!$C$5:$C$370),0)+IFERROR(SUMIF(Nutzungsprofile!$B$6:$B$11,"Halle",Nutzungsprofile!$G$6:$G$11)*Kalender!D128/SUM(Kalender!$D$5:$D$370),0)+IFERROR(SUMIF(Nutzungsprofile!$B$6:$B$11,"Individuell",Nutzungsprofile!$G$6:$G$11)*Kalender!E128/SUM(Kalender!$E$5:$E$370),0))*Szenarien!$E$20,0)</f>
        <v>2.352</v>
      </c>
      <c r="D3422" s="13" t="n">
        <f aca="false">IF(Szenarien!$H$20="OK",(IFERROR(SUMIF(Nutzungsprofile!$B$17:$B$22,"Schulbetrieb",Nutzungsprofile!$G$17:$G$22)*Kalender!C128/SUM(Kalender!$C$5:$C$370),0)+IFERROR(SUMIF(Nutzungsprofile!$B$17:$B$22,"Halle",Nutzungsprofile!$G$17:$G$22)*Kalender!D128/SUM(Kalender!$D$5:$D$370),0)+IFERROR(SUMIF(Nutzungsprofile!$B$17:$B$22,"Individuell",Nutzungsprofile!$G$17:$G$22)*Kalender!E128/SUM(Kalender!$E$5:$E$370),0))*Szenarien!$D$20,0)</f>
        <v>4.94</v>
      </c>
      <c r="E3422" s="13" t="n">
        <f aca="false">IFERROR(MIN(C3422,Eingaben!$B$17)*Eingaben!$B$16,0)</f>
        <v>2.2344</v>
      </c>
      <c r="F3422" s="13" t="n">
        <f aca="false">IFERROR(E3422*Eingaben!$B$15,0)</f>
        <v>2.01096</v>
      </c>
      <c r="G3422" s="13" t="n">
        <f aca="false">IFERROR(IF(Kalender!A128="",0,J3421*(1-Eingaben!$B$20)),0)</f>
        <v>1.3674528</v>
      </c>
      <c r="H3422" s="13" t="n">
        <f aca="false">MIN(G3422,D3422)</f>
        <v>1.3674528</v>
      </c>
      <c r="I3422" s="13" t="n">
        <f aca="false">IFERROR(MIN(F3422*Eingaben!$B$19,MAX(0,D3422-H3422)),0)</f>
        <v>1.407672</v>
      </c>
      <c r="J3422" s="13" t="n">
        <f aca="false">IFERROR(MIN(Eingaben!$B$18,MAX(0,F3422-I3422)),0)</f>
        <v>0.603288</v>
      </c>
      <c r="K3422" s="13" t="n">
        <f aca="false">H3422+I3422</f>
        <v>2.7751248</v>
      </c>
      <c r="L3422" s="13" t="n">
        <f aca="false">MAX(0,D3422-K3422)</f>
        <v>2.1648752</v>
      </c>
      <c r="M3422" s="13" t="n">
        <f aca="false">MAX(0,F3422-I3422-J3422)</f>
        <v>0</v>
      </c>
      <c r="N3422" s="13" t="n">
        <f aca="false">IF(Kalender!A128="",0,J3421-H3422)</f>
        <v>0.0279072</v>
      </c>
    </row>
    <row r="3423" customFormat="false" ht="16.4" hidden="false" customHeight="false" outlineLevel="0" collapsed="false">
      <c r="A3423" s="13" t="str">
        <f aca="false">""</f>
        <v/>
      </c>
      <c r="B3423" s="13" t="n">
        <f aca="false">125</f>
        <v>125</v>
      </c>
      <c r="C3423" s="13" t="n">
        <f aca="false">IF(Szenarien!$H$20="OK",(IFERROR(SUMIF(Nutzungsprofile!$B$6:$B$11,"Schulbetrieb",Nutzungsprofile!$G$6:$G$11)*Kalender!C129/SUM(Kalender!$C$5:$C$370),0)+IFERROR(SUMIF(Nutzungsprofile!$B$6:$B$11,"Halle",Nutzungsprofile!$G$6:$G$11)*Kalender!D129/SUM(Kalender!$D$5:$D$370),0)+IFERROR(SUMIF(Nutzungsprofile!$B$6:$B$11,"Individuell",Nutzungsprofile!$G$6:$G$11)*Kalender!E129/SUM(Kalender!$E$5:$E$370),0))*Szenarien!$E$20,0)</f>
        <v>2.352</v>
      </c>
      <c r="D3423" s="13" t="n">
        <f aca="false">IF(Szenarien!$H$20="OK",(IFERROR(SUMIF(Nutzungsprofile!$B$17:$B$22,"Schulbetrieb",Nutzungsprofile!$G$17:$G$22)*Kalender!C129/SUM(Kalender!$C$5:$C$370),0)+IFERROR(SUMIF(Nutzungsprofile!$B$17:$B$22,"Halle",Nutzungsprofile!$G$17:$G$22)*Kalender!D129/SUM(Kalender!$D$5:$D$370),0)+IFERROR(SUMIF(Nutzungsprofile!$B$17:$B$22,"Individuell",Nutzungsprofile!$G$17:$G$22)*Kalender!E129/SUM(Kalender!$E$5:$E$370),0))*Szenarien!$D$20,0)</f>
        <v>4.94</v>
      </c>
      <c r="E3423" s="13" t="n">
        <f aca="false">IFERROR(MIN(C3423,Eingaben!$B$17)*Eingaben!$B$16,0)</f>
        <v>2.2344</v>
      </c>
      <c r="F3423" s="13" t="n">
        <f aca="false">IFERROR(E3423*Eingaben!$B$15,0)</f>
        <v>2.01096</v>
      </c>
      <c r="G3423" s="13" t="n">
        <f aca="false">IFERROR(IF(Kalender!A129="",0,J3422*(1-Eingaben!$B$20)),0)</f>
        <v>0.59122224</v>
      </c>
      <c r="H3423" s="13" t="n">
        <f aca="false">MIN(G3423,D3423)</f>
        <v>0.59122224</v>
      </c>
      <c r="I3423" s="13" t="n">
        <f aca="false">IFERROR(MIN(F3423*Eingaben!$B$19,MAX(0,D3423-H3423)),0)</f>
        <v>1.407672</v>
      </c>
      <c r="J3423" s="13" t="n">
        <f aca="false">IFERROR(MIN(Eingaben!$B$18,MAX(0,F3423-I3423)),0)</f>
        <v>0.603288</v>
      </c>
      <c r="K3423" s="13" t="n">
        <f aca="false">H3423+I3423</f>
        <v>1.99889424</v>
      </c>
      <c r="L3423" s="13" t="n">
        <f aca="false">MAX(0,D3423-K3423)</f>
        <v>2.94110576</v>
      </c>
      <c r="M3423" s="13" t="n">
        <f aca="false">MAX(0,F3423-I3423-J3423)</f>
        <v>0</v>
      </c>
      <c r="N3423" s="13" t="n">
        <f aca="false">IF(Kalender!A129="",0,J3422-H3423)</f>
        <v>0.01206576</v>
      </c>
    </row>
    <row r="3424" customFormat="false" ht="16.4" hidden="false" customHeight="false" outlineLevel="0" collapsed="false">
      <c r="A3424" s="13" t="str">
        <f aca="false">""</f>
        <v/>
      </c>
      <c r="B3424" s="13" t="n">
        <f aca="false">126</f>
        <v>126</v>
      </c>
      <c r="C3424" s="13" t="n">
        <f aca="false">IF(Szenarien!$H$20="OK",(IFERROR(SUMIF(Nutzungsprofile!$B$6:$B$11,"Schulbetrieb",Nutzungsprofile!$G$6:$G$11)*Kalender!C130/SUM(Kalender!$C$5:$C$370),0)+IFERROR(SUMIF(Nutzungsprofile!$B$6:$B$11,"Halle",Nutzungsprofile!$G$6:$G$11)*Kalender!D130/SUM(Kalender!$D$5:$D$370),0)+IFERROR(SUMIF(Nutzungsprofile!$B$6:$B$11,"Individuell",Nutzungsprofile!$G$6:$G$11)*Kalender!E130/SUM(Kalender!$E$5:$E$370),0))*Szenarien!$E$20,0)</f>
        <v>2.352</v>
      </c>
      <c r="D3424" s="13" t="n">
        <f aca="false">IF(Szenarien!$H$20="OK",(IFERROR(SUMIF(Nutzungsprofile!$B$17:$B$22,"Schulbetrieb",Nutzungsprofile!$G$17:$G$22)*Kalender!C130/SUM(Kalender!$C$5:$C$370),0)+IFERROR(SUMIF(Nutzungsprofile!$B$17:$B$22,"Halle",Nutzungsprofile!$G$17:$G$22)*Kalender!D130/SUM(Kalender!$D$5:$D$370),0)+IFERROR(SUMIF(Nutzungsprofile!$B$17:$B$22,"Individuell",Nutzungsprofile!$G$17:$G$22)*Kalender!E130/SUM(Kalender!$E$5:$E$370),0))*Szenarien!$D$20,0)</f>
        <v>4.94</v>
      </c>
      <c r="E3424" s="13" t="n">
        <f aca="false">IFERROR(MIN(C3424,Eingaben!$B$17)*Eingaben!$B$16,0)</f>
        <v>2.2344</v>
      </c>
      <c r="F3424" s="13" t="n">
        <f aca="false">IFERROR(E3424*Eingaben!$B$15,0)</f>
        <v>2.01096</v>
      </c>
      <c r="G3424" s="13" t="n">
        <f aca="false">IFERROR(IF(Kalender!A130="",0,J3423*(1-Eingaben!$B$20)),0)</f>
        <v>0.59122224</v>
      </c>
      <c r="H3424" s="13" t="n">
        <f aca="false">MIN(G3424,D3424)</f>
        <v>0.59122224</v>
      </c>
      <c r="I3424" s="13" t="n">
        <f aca="false">IFERROR(MIN(F3424*Eingaben!$B$19,MAX(0,D3424-H3424)),0)</f>
        <v>1.407672</v>
      </c>
      <c r="J3424" s="13" t="n">
        <f aca="false">IFERROR(MIN(Eingaben!$B$18,MAX(0,F3424-I3424)),0)</f>
        <v>0.603288</v>
      </c>
      <c r="K3424" s="13" t="n">
        <f aca="false">H3424+I3424</f>
        <v>1.99889424</v>
      </c>
      <c r="L3424" s="13" t="n">
        <f aca="false">MAX(0,D3424-K3424)</f>
        <v>2.94110576</v>
      </c>
      <c r="M3424" s="13" t="n">
        <f aca="false">MAX(0,F3424-I3424-J3424)</f>
        <v>0</v>
      </c>
      <c r="N3424" s="13" t="n">
        <f aca="false">IF(Kalender!A130="",0,J3423-H3424)</f>
        <v>0.01206576</v>
      </c>
    </row>
    <row r="3425" customFormat="false" ht="16.4" hidden="false" customHeight="false" outlineLevel="0" collapsed="false">
      <c r="A3425" s="13" t="str">
        <f aca="false">""</f>
        <v/>
      </c>
      <c r="B3425" s="13" t="n">
        <f aca="false">127</f>
        <v>127</v>
      </c>
      <c r="C3425" s="13" t="n">
        <f aca="false">IF(Szenarien!$H$20="OK",(IFERROR(SUMIF(Nutzungsprofile!$B$6:$B$11,"Schulbetrieb",Nutzungsprofile!$G$6:$G$11)*Kalender!C131/SUM(Kalender!$C$5:$C$370),0)+IFERROR(SUMIF(Nutzungsprofile!$B$6:$B$11,"Halle",Nutzungsprofile!$G$6:$G$11)*Kalender!D131/SUM(Kalender!$D$5:$D$370),0)+IFERROR(SUMIF(Nutzungsprofile!$B$6:$B$11,"Individuell",Nutzungsprofile!$G$6:$G$11)*Kalender!E131/SUM(Kalender!$E$5:$E$370),0))*Szenarien!$E$20,0)</f>
        <v>2.352</v>
      </c>
      <c r="D3425" s="13" t="n">
        <f aca="false">IF(Szenarien!$H$20="OK",(IFERROR(SUMIF(Nutzungsprofile!$B$17:$B$22,"Schulbetrieb",Nutzungsprofile!$G$17:$G$22)*Kalender!C131/SUM(Kalender!$C$5:$C$370),0)+IFERROR(SUMIF(Nutzungsprofile!$B$17:$B$22,"Halle",Nutzungsprofile!$G$17:$G$22)*Kalender!D131/SUM(Kalender!$D$5:$D$370),0)+IFERROR(SUMIF(Nutzungsprofile!$B$17:$B$22,"Individuell",Nutzungsprofile!$G$17:$G$22)*Kalender!E131/SUM(Kalender!$E$5:$E$370),0))*Szenarien!$D$20,0)</f>
        <v>4.94</v>
      </c>
      <c r="E3425" s="13" t="n">
        <f aca="false">IFERROR(MIN(C3425,Eingaben!$B$17)*Eingaben!$B$16,0)</f>
        <v>2.2344</v>
      </c>
      <c r="F3425" s="13" t="n">
        <f aca="false">IFERROR(E3425*Eingaben!$B$15,0)</f>
        <v>2.01096</v>
      </c>
      <c r="G3425" s="13" t="n">
        <f aca="false">IFERROR(IF(Kalender!A131="",0,J3424*(1-Eingaben!$B$20)),0)</f>
        <v>0.59122224</v>
      </c>
      <c r="H3425" s="13" t="n">
        <f aca="false">MIN(G3425,D3425)</f>
        <v>0.59122224</v>
      </c>
      <c r="I3425" s="13" t="n">
        <f aca="false">IFERROR(MIN(F3425*Eingaben!$B$19,MAX(0,D3425-H3425)),0)</f>
        <v>1.407672</v>
      </c>
      <c r="J3425" s="13" t="n">
        <f aca="false">IFERROR(MIN(Eingaben!$B$18,MAX(0,F3425-I3425)),0)</f>
        <v>0.603288</v>
      </c>
      <c r="K3425" s="13" t="n">
        <f aca="false">H3425+I3425</f>
        <v>1.99889424</v>
      </c>
      <c r="L3425" s="13" t="n">
        <f aca="false">MAX(0,D3425-K3425)</f>
        <v>2.94110576</v>
      </c>
      <c r="M3425" s="13" t="n">
        <f aca="false">MAX(0,F3425-I3425-J3425)</f>
        <v>0</v>
      </c>
      <c r="N3425" s="13" t="n">
        <f aca="false">IF(Kalender!A131="",0,J3424-H3425)</f>
        <v>0.01206576</v>
      </c>
    </row>
    <row r="3426" customFormat="false" ht="16.4" hidden="false" customHeight="false" outlineLevel="0" collapsed="false">
      <c r="A3426" s="13" t="str">
        <f aca="false">""</f>
        <v/>
      </c>
      <c r="B3426" s="13" t="n">
        <f aca="false">128</f>
        <v>128</v>
      </c>
      <c r="C3426" s="13" t="n">
        <f aca="false">IF(Szenarien!$H$20="OK",(IFERROR(SUMIF(Nutzungsprofile!$B$6:$B$11,"Schulbetrieb",Nutzungsprofile!$G$6:$G$11)*Kalender!C132/SUM(Kalender!$C$5:$C$370),0)+IFERROR(SUMIF(Nutzungsprofile!$B$6:$B$11,"Halle",Nutzungsprofile!$G$6:$G$11)*Kalender!D132/SUM(Kalender!$D$5:$D$370),0)+IFERROR(SUMIF(Nutzungsprofile!$B$6:$B$11,"Individuell",Nutzungsprofile!$G$6:$G$11)*Kalender!E132/SUM(Kalender!$E$5:$E$370),0))*Szenarien!$E$20,0)</f>
        <v>2.352</v>
      </c>
      <c r="D3426" s="13" t="n">
        <f aca="false">IF(Szenarien!$H$20="OK",(IFERROR(SUMIF(Nutzungsprofile!$B$17:$B$22,"Schulbetrieb",Nutzungsprofile!$G$17:$G$22)*Kalender!C132/SUM(Kalender!$C$5:$C$370),0)+IFERROR(SUMIF(Nutzungsprofile!$B$17:$B$22,"Halle",Nutzungsprofile!$G$17:$G$22)*Kalender!D132/SUM(Kalender!$D$5:$D$370),0)+IFERROR(SUMIF(Nutzungsprofile!$B$17:$B$22,"Individuell",Nutzungsprofile!$G$17:$G$22)*Kalender!E132/SUM(Kalender!$E$5:$E$370),0))*Szenarien!$D$20,0)</f>
        <v>4.94</v>
      </c>
      <c r="E3426" s="13" t="n">
        <f aca="false">IFERROR(MIN(C3426,Eingaben!$B$17)*Eingaben!$B$16,0)</f>
        <v>2.2344</v>
      </c>
      <c r="F3426" s="13" t="n">
        <f aca="false">IFERROR(E3426*Eingaben!$B$15,0)</f>
        <v>2.01096</v>
      </c>
      <c r="G3426" s="13" t="n">
        <f aca="false">IFERROR(IF(Kalender!A132="",0,J3425*(1-Eingaben!$B$20)),0)</f>
        <v>0.59122224</v>
      </c>
      <c r="H3426" s="13" t="n">
        <f aca="false">MIN(G3426,D3426)</f>
        <v>0.59122224</v>
      </c>
      <c r="I3426" s="13" t="n">
        <f aca="false">IFERROR(MIN(F3426*Eingaben!$B$19,MAX(0,D3426-H3426)),0)</f>
        <v>1.407672</v>
      </c>
      <c r="J3426" s="13" t="n">
        <f aca="false">IFERROR(MIN(Eingaben!$B$18,MAX(0,F3426-I3426)),0)</f>
        <v>0.603288</v>
      </c>
      <c r="K3426" s="13" t="n">
        <f aca="false">H3426+I3426</f>
        <v>1.99889424</v>
      </c>
      <c r="L3426" s="13" t="n">
        <f aca="false">MAX(0,D3426-K3426)</f>
        <v>2.94110576</v>
      </c>
      <c r="M3426" s="13" t="n">
        <f aca="false">MAX(0,F3426-I3426-J3426)</f>
        <v>0</v>
      </c>
      <c r="N3426" s="13" t="n">
        <f aca="false">IF(Kalender!A132="",0,J3425-H3426)</f>
        <v>0.01206576</v>
      </c>
    </row>
    <row r="3427" customFormat="false" ht="16.4" hidden="false" customHeight="false" outlineLevel="0" collapsed="false">
      <c r="A3427" s="13" t="str">
        <f aca="false">""</f>
        <v/>
      </c>
      <c r="B3427" s="13" t="n">
        <f aca="false">129</f>
        <v>129</v>
      </c>
      <c r="C3427" s="13" t="n">
        <f aca="false">IF(Szenarien!$H$20="OK",(IFERROR(SUMIF(Nutzungsprofile!$B$6:$B$11,"Schulbetrieb",Nutzungsprofile!$G$6:$G$11)*Kalender!C133/SUM(Kalender!$C$5:$C$370),0)+IFERROR(SUMIF(Nutzungsprofile!$B$6:$B$11,"Halle",Nutzungsprofile!$G$6:$G$11)*Kalender!D133/SUM(Kalender!$D$5:$D$370),0)+IFERROR(SUMIF(Nutzungsprofile!$B$6:$B$11,"Individuell",Nutzungsprofile!$G$6:$G$11)*Kalender!E133/SUM(Kalender!$E$5:$E$370),0))*Szenarien!$E$20,0)</f>
        <v>1.632</v>
      </c>
      <c r="D3427" s="13" t="n">
        <f aca="false">IF(Szenarien!$H$20="OK",(IFERROR(SUMIF(Nutzungsprofile!$B$17:$B$22,"Schulbetrieb",Nutzungsprofile!$G$17:$G$22)*Kalender!C133/SUM(Kalender!$C$5:$C$370),0)+IFERROR(SUMIF(Nutzungsprofile!$B$17:$B$22,"Halle",Nutzungsprofile!$G$17:$G$22)*Kalender!D133/SUM(Kalender!$D$5:$D$370),0)+IFERROR(SUMIF(Nutzungsprofile!$B$17:$B$22,"Individuell",Nutzungsprofile!$G$17:$G$22)*Kalender!E133/SUM(Kalender!$E$5:$E$370),0))*Szenarien!$D$20,0)</f>
        <v>0.89</v>
      </c>
      <c r="E3427" s="13" t="n">
        <f aca="false">IFERROR(MIN(C3427,Eingaben!$B$17)*Eingaben!$B$16,0)</f>
        <v>1.5504</v>
      </c>
      <c r="F3427" s="13" t="n">
        <f aca="false">IFERROR(E3427*Eingaben!$B$15,0)</f>
        <v>1.39536</v>
      </c>
      <c r="G3427" s="13" t="n">
        <f aca="false">IFERROR(IF(Kalender!A133="",0,J3426*(1-Eingaben!$B$20)),0)</f>
        <v>0.59122224</v>
      </c>
      <c r="H3427" s="13" t="n">
        <f aca="false">MIN(G3427,D3427)</f>
        <v>0.59122224</v>
      </c>
      <c r="I3427" s="13" t="n">
        <f aca="false">IFERROR(MIN(F3427*Eingaben!$B$19,MAX(0,D3427-H3427)),0)</f>
        <v>0.29877776</v>
      </c>
      <c r="J3427" s="13" t="n">
        <f aca="false">IFERROR(MIN(Eingaben!$B$18,MAX(0,F3427-I3427)),0)</f>
        <v>1.09658224</v>
      </c>
      <c r="K3427" s="13" t="n">
        <f aca="false">H3427+I3427</f>
        <v>0.89</v>
      </c>
      <c r="L3427" s="13" t="n">
        <f aca="false">MAX(0,D3427-K3427)</f>
        <v>0</v>
      </c>
      <c r="M3427" s="13" t="n">
        <f aca="false">MAX(0,F3427-I3427-J3427)</f>
        <v>0</v>
      </c>
      <c r="N3427" s="13" t="n">
        <f aca="false">IF(Kalender!A133="",0,J3426-H3427)</f>
        <v>0.01206576</v>
      </c>
    </row>
    <row r="3428" customFormat="false" ht="16.4" hidden="false" customHeight="false" outlineLevel="0" collapsed="false">
      <c r="A3428" s="13" t="str">
        <f aca="false">""</f>
        <v/>
      </c>
      <c r="B3428" s="13" t="n">
        <f aca="false">130</f>
        <v>130</v>
      </c>
      <c r="C3428" s="13" t="n">
        <f aca="false">IF(Szenarien!$H$20="OK",(IFERROR(SUMIF(Nutzungsprofile!$B$6:$B$11,"Schulbetrieb",Nutzungsprofile!$G$6:$G$11)*Kalender!C134/SUM(Kalender!$C$5:$C$370),0)+IFERROR(SUMIF(Nutzungsprofile!$B$6:$B$11,"Halle",Nutzungsprofile!$G$6:$G$11)*Kalender!D134/SUM(Kalender!$D$5:$D$370),0)+IFERROR(SUMIF(Nutzungsprofile!$B$6:$B$11,"Individuell",Nutzungsprofile!$G$6:$G$11)*Kalender!E134/SUM(Kalender!$E$5:$E$370),0))*Szenarien!$E$20,0)</f>
        <v>1.632</v>
      </c>
      <c r="D3428" s="13" t="n">
        <f aca="false">IF(Szenarien!$H$20="OK",(IFERROR(SUMIF(Nutzungsprofile!$B$17:$B$22,"Schulbetrieb",Nutzungsprofile!$G$17:$G$22)*Kalender!C134/SUM(Kalender!$C$5:$C$370),0)+IFERROR(SUMIF(Nutzungsprofile!$B$17:$B$22,"Halle",Nutzungsprofile!$G$17:$G$22)*Kalender!D134/SUM(Kalender!$D$5:$D$370),0)+IFERROR(SUMIF(Nutzungsprofile!$B$17:$B$22,"Individuell",Nutzungsprofile!$G$17:$G$22)*Kalender!E134/SUM(Kalender!$E$5:$E$370),0))*Szenarien!$D$20,0)</f>
        <v>0.89</v>
      </c>
      <c r="E3428" s="13" t="n">
        <f aca="false">IFERROR(MIN(C3428,Eingaben!$B$17)*Eingaben!$B$16,0)</f>
        <v>1.5504</v>
      </c>
      <c r="F3428" s="13" t="n">
        <f aca="false">IFERROR(E3428*Eingaben!$B$15,0)</f>
        <v>1.39536</v>
      </c>
      <c r="G3428" s="13" t="n">
        <f aca="false">IFERROR(IF(Kalender!A134="",0,J3427*(1-Eingaben!$B$20)),0)</f>
        <v>1.0746505952</v>
      </c>
      <c r="H3428" s="13" t="n">
        <f aca="false">MIN(G3428,D3428)</f>
        <v>0.89</v>
      </c>
      <c r="I3428" s="13" t="n">
        <f aca="false">IFERROR(MIN(F3428*Eingaben!$B$19,MAX(0,D3428-H3428)),0)</f>
        <v>0</v>
      </c>
      <c r="J3428" s="13" t="n">
        <f aca="false">IFERROR(MIN(Eingaben!$B$18,MAX(0,F3428-I3428)),0)</f>
        <v>1.39536</v>
      </c>
      <c r="K3428" s="13" t="n">
        <f aca="false">H3428+I3428</f>
        <v>0.89</v>
      </c>
      <c r="L3428" s="13" t="n">
        <f aca="false">MAX(0,D3428-K3428)</f>
        <v>0</v>
      </c>
      <c r="M3428" s="13" t="n">
        <f aca="false">MAX(0,F3428-I3428-J3428)</f>
        <v>0</v>
      </c>
      <c r="N3428" s="13" t="n">
        <f aca="false">IF(Kalender!A134="",0,J3427-H3428)</f>
        <v>0.20658224</v>
      </c>
    </row>
    <row r="3429" customFormat="false" ht="16.4" hidden="false" customHeight="false" outlineLevel="0" collapsed="false">
      <c r="A3429" s="13" t="str">
        <f aca="false">""</f>
        <v/>
      </c>
      <c r="B3429" s="13" t="n">
        <f aca="false">131</f>
        <v>131</v>
      </c>
      <c r="C3429" s="13" t="n">
        <f aca="false">IF(Szenarien!$H$20="OK",(IFERROR(SUMIF(Nutzungsprofile!$B$6:$B$11,"Schulbetrieb",Nutzungsprofile!$G$6:$G$11)*Kalender!C135/SUM(Kalender!$C$5:$C$370),0)+IFERROR(SUMIF(Nutzungsprofile!$B$6:$B$11,"Halle",Nutzungsprofile!$G$6:$G$11)*Kalender!D135/SUM(Kalender!$D$5:$D$370),0)+IFERROR(SUMIF(Nutzungsprofile!$B$6:$B$11,"Individuell",Nutzungsprofile!$G$6:$G$11)*Kalender!E135/SUM(Kalender!$E$5:$E$370),0))*Szenarien!$E$20,0)</f>
        <v>2.352</v>
      </c>
      <c r="D3429" s="13" t="n">
        <f aca="false">IF(Szenarien!$H$20="OK",(IFERROR(SUMIF(Nutzungsprofile!$B$17:$B$22,"Schulbetrieb",Nutzungsprofile!$G$17:$G$22)*Kalender!C135/SUM(Kalender!$C$5:$C$370),0)+IFERROR(SUMIF(Nutzungsprofile!$B$17:$B$22,"Halle",Nutzungsprofile!$G$17:$G$22)*Kalender!D135/SUM(Kalender!$D$5:$D$370),0)+IFERROR(SUMIF(Nutzungsprofile!$B$17:$B$22,"Individuell",Nutzungsprofile!$G$17:$G$22)*Kalender!E135/SUM(Kalender!$E$5:$E$370),0))*Szenarien!$D$20,0)</f>
        <v>4.94</v>
      </c>
      <c r="E3429" s="13" t="n">
        <f aca="false">IFERROR(MIN(C3429,Eingaben!$B$17)*Eingaben!$B$16,0)</f>
        <v>2.2344</v>
      </c>
      <c r="F3429" s="13" t="n">
        <f aca="false">IFERROR(E3429*Eingaben!$B$15,0)</f>
        <v>2.01096</v>
      </c>
      <c r="G3429" s="13" t="n">
        <f aca="false">IFERROR(IF(Kalender!A135="",0,J3428*(1-Eingaben!$B$20)),0)</f>
        <v>1.3674528</v>
      </c>
      <c r="H3429" s="13" t="n">
        <f aca="false">MIN(G3429,D3429)</f>
        <v>1.3674528</v>
      </c>
      <c r="I3429" s="13" t="n">
        <f aca="false">IFERROR(MIN(F3429*Eingaben!$B$19,MAX(0,D3429-H3429)),0)</f>
        <v>1.407672</v>
      </c>
      <c r="J3429" s="13" t="n">
        <f aca="false">IFERROR(MIN(Eingaben!$B$18,MAX(0,F3429-I3429)),0)</f>
        <v>0.603288</v>
      </c>
      <c r="K3429" s="13" t="n">
        <f aca="false">H3429+I3429</f>
        <v>2.7751248</v>
      </c>
      <c r="L3429" s="13" t="n">
        <f aca="false">MAX(0,D3429-K3429)</f>
        <v>2.1648752</v>
      </c>
      <c r="M3429" s="13" t="n">
        <f aca="false">MAX(0,F3429-I3429-J3429)</f>
        <v>0</v>
      </c>
      <c r="N3429" s="13" t="n">
        <f aca="false">IF(Kalender!A135="",0,J3428-H3429)</f>
        <v>0.0279072</v>
      </c>
    </row>
    <row r="3430" customFormat="false" ht="16.4" hidden="false" customHeight="false" outlineLevel="0" collapsed="false">
      <c r="A3430" s="13" t="str">
        <f aca="false">""</f>
        <v/>
      </c>
      <c r="B3430" s="13" t="n">
        <f aca="false">132</f>
        <v>132</v>
      </c>
      <c r="C3430" s="13" t="n">
        <f aca="false">IF(Szenarien!$H$20="OK",(IFERROR(SUMIF(Nutzungsprofile!$B$6:$B$11,"Schulbetrieb",Nutzungsprofile!$G$6:$G$11)*Kalender!C136/SUM(Kalender!$C$5:$C$370),0)+IFERROR(SUMIF(Nutzungsprofile!$B$6:$B$11,"Halle",Nutzungsprofile!$G$6:$G$11)*Kalender!D136/SUM(Kalender!$D$5:$D$370),0)+IFERROR(SUMIF(Nutzungsprofile!$B$6:$B$11,"Individuell",Nutzungsprofile!$G$6:$G$11)*Kalender!E136/SUM(Kalender!$E$5:$E$370),0))*Szenarien!$E$20,0)</f>
        <v>2.352</v>
      </c>
      <c r="D3430" s="13" t="n">
        <f aca="false">IF(Szenarien!$H$20="OK",(IFERROR(SUMIF(Nutzungsprofile!$B$17:$B$22,"Schulbetrieb",Nutzungsprofile!$G$17:$G$22)*Kalender!C136/SUM(Kalender!$C$5:$C$370),0)+IFERROR(SUMIF(Nutzungsprofile!$B$17:$B$22,"Halle",Nutzungsprofile!$G$17:$G$22)*Kalender!D136/SUM(Kalender!$D$5:$D$370),0)+IFERROR(SUMIF(Nutzungsprofile!$B$17:$B$22,"Individuell",Nutzungsprofile!$G$17:$G$22)*Kalender!E136/SUM(Kalender!$E$5:$E$370),0))*Szenarien!$D$20,0)</f>
        <v>4.94</v>
      </c>
      <c r="E3430" s="13" t="n">
        <f aca="false">IFERROR(MIN(C3430,Eingaben!$B$17)*Eingaben!$B$16,0)</f>
        <v>2.2344</v>
      </c>
      <c r="F3430" s="13" t="n">
        <f aca="false">IFERROR(E3430*Eingaben!$B$15,0)</f>
        <v>2.01096</v>
      </c>
      <c r="G3430" s="13" t="n">
        <f aca="false">IFERROR(IF(Kalender!A136="",0,J3429*(1-Eingaben!$B$20)),0)</f>
        <v>0.59122224</v>
      </c>
      <c r="H3430" s="13" t="n">
        <f aca="false">MIN(G3430,D3430)</f>
        <v>0.59122224</v>
      </c>
      <c r="I3430" s="13" t="n">
        <f aca="false">IFERROR(MIN(F3430*Eingaben!$B$19,MAX(0,D3430-H3430)),0)</f>
        <v>1.407672</v>
      </c>
      <c r="J3430" s="13" t="n">
        <f aca="false">IFERROR(MIN(Eingaben!$B$18,MAX(0,F3430-I3430)),0)</f>
        <v>0.603288</v>
      </c>
      <c r="K3430" s="13" t="n">
        <f aca="false">H3430+I3430</f>
        <v>1.99889424</v>
      </c>
      <c r="L3430" s="13" t="n">
        <f aca="false">MAX(0,D3430-K3430)</f>
        <v>2.94110576</v>
      </c>
      <c r="M3430" s="13" t="n">
        <f aca="false">MAX(0,F3430-I3430-J3430)</f>
        <v>0</v>
      </c>
      <c r="N3430" s="13" t="n">
        <f aca="false">IF(Kalender!A136="",0,J3429-H3430)</f>
        <v>0.01206576</v>
      </c>
    </row>
    <row r="3431" customFormat="false" ht="16.4" hidden="false" customHeight="false" outlineLevel="0" collapsed="false">
      <c r="A3431" s="13" t="str">
        <f aca="false">""</f>
        <v/>
      </c>
      <c r="B3431" s="13" t="n">
        <f aca="false">133</f>
        <v>133</v>
      </c>
      <c r="C3431" s="13" t="n">
        <f aca="false">IF(Szenarien!$H$20="OK",(IFERROR(SUMIF(Nutzungsprofile!$B$6:$B$11,"Schulbetrieb",Nutzungsprofile!$G$6:$G$11)*Kalender!C137/SUM(Kalender!$C$5:$C$370),0)+IFERROR(SUMIF(Nutzungsprofile!$B$6:$B$11,"Halle",Nutzungsprofile!$G$6:$G$11)*Kalender!D137/SUM(Kalender!$D$5:$D$370),0)+IFERROR(SUMIF(Nutzungsprofile!$B$6:$B$11,"Individuell",Nutzungsprofile!$G$6:$G$11)*Kalender!E137/SUM(Kalender!$E$5:$E$370),0))*Szenarien!$E$20,0)</f>
        <v>2.352</v>
      </c>
      <c r="D3431" s="13" t="n">
        <f aca="false">IF(Szenarien!$H$20="OK",(IFERROR(SUMIF(Nutzungsprofile!$B$17:$B$22,"Schulbetrieb",Nutzungsprofile!$G$17:$G$22)*Kalender!C137/SUM(Kalender!$C$5:$C$370),0)+IFERROR(SUMIF(Nutzungsprofile!$B$17:$B$22,"Halle",Nutzungsprofile!$G$17:$G$22)*Kalender!D137/SUM(Kalender!$D$5:$D$370),0)+IFERROR(SUMIF(Nutzungsprofile!$B$17:$B$22,"Individuell",Nutzungsprofile!$G$17:$G$22)*Kalender!E137/SUM(Kalender!$E$5:$E$370),0))*Szenarien!$D$20,0)</f>
        <v>4.94</v>
      </c>
      <c r="E3431" s="13" t="n">
        <f aca="false">IFERROR(MIN(C3431,Eingaben!$B$17)*Eingaben!$B$16,0)</f>
        <v>2.2344</v>
      </c>
      <c r="F3431" s="13" t="n">
        <f aca="false">IFERROR(E3431*Eingaben!$B$15,0)</f>
        <v>2.01096</v>
      </c>
      <c r="G3431" s="13" t="n">
        <f aca="false">IFERROR(IF(Kalender!A137="",0,J3430*(1-Eingaben!$B$20)),0)</f>
        <v>0.59122224</v>
      </c>
      <c r="H3431" s="13" t="n">
        <f aca="false">MIN(G3431,D3431)</f>
        <v>0.59122224</v>
      </c>
      <c r="I3431" s="13" t="n">
        <f aca="false">IFERROR(MIN(F3431*Eingaben!$B$19,MAX(0,D3431-H3431)),0)</f>
        <v>1.407672</v>
      </c>
      <c r="J3431" s="13" t="n">
        <f aca="false">IFERROR(MIN(Eingaben!$B$18,MAX(0,F3431-I3431)),0)</f>
        <v>0.603288</v>
      </c>
      <c r="K3431" s="13" t="n">
        <f aca="false">H3431+I3431</f>
        <v>1.99889424</v>
      </c>
      <c r="L3431" s="13" t="n">
        <f aca="false">MAX(0,D3431-K3431)</f>
        <v>2.94110576</v>
      </c>
      <c r="M3431" s="13" t="n">
        <f aca="false">MAX(0,F3431-I3431-J3431)</f>
        <v>0</v>
      </c>
      <c r="N3431" s="13" t="n">
        <f aca="false">IF(Kalender!A137="",0,J3430-H3431)</f>
        <v>0.01206576</v>
      </c>
    </row>
    <row r="3432" customFormat="false" ht="16.4" hidden="false" customHeight="false" outlineLevel="0" collapsed="false">
      <c r="A3432" s="13" t="str">
        <f aca="false">""</f>
        <v/>
      </c>
      <c r="B3432" s="13" t="n">
        <f aca="false">134</f>
        <v>134</v>
      </c>
      <c r="C3432" s="13" t="n">
        <f aca="false">IF(Szenarien!$H$20="OK",(IFERROR(SUMIF(Nutzungsprofile!$B$6:$B$11,"Schulbetrieb",Nutzungsprofile!$G$6:$G$11)*Kalender!C138/SUM(Kalender!$C$5:$C$370),0)+IFERROR(SUMIF(Nutzungsprofile!$B$6:$B$11,"Halle",Nutzungsprofile!$G$6:$G$11)*Kalender!D138/SUM(Kalender!$D$5:$D$370),0)+IFERROR(SUMIF(Nutzungsprofile!$B$6:$B$11,"Individuell",Nutzungsprofile!$G$6:$G$11)*Kalender!E138/SUM(Kalender!$E$5:$E$370),0))*Szenarien!$E$20,0)</f>
        <v>2.352</v>
      </c>
      <c r="D3432" s="13" t="n">
        <f aca="false">IF(Szenarien!$H$20="OK",(IFERROR(SUMIF(Nutzungsprofile!$B$17:$B$22,"Schulbetrieb",Nutzungsprofile!$G$17:$G$22)*Kalender!C138/SUM(Kalender!$C$5:$C$370),0)+IFERROR(SUMIF(Nutzungsprofile!$B$17:$B$22,"Halle",Nutzungsprofile!$G$17:$G$22)*Kalender!D138/SUM(Kalender!$D$5:$D$370),0)+IFERROR(SUMIF(Nutzungsprofile!$B$17:$B$22,"Individuell",Nutzungsprofile!$G$17:$G$22)*Kalender!E138/SUM(Kalender!$E$5:$E$370),0))*Szenarien!$D$20,0)</f>
        <v>4.94</v>
      </c>
      <c r="E3432" s="13" t="n">
        <f aca="false">IFERROR(MIN(C3432,Eingaben!$B$17)*Eingaben!$B$16,0)</f>
        <v>2.2344</v>
      </c>
      <c r="F3432" s="13" t="n">
        <f aca="false">IFERROR(E3432*Eingaben!$B$15,0)</f>
        <v>2.01096</v>
      </c>
      <c r="G3432" s="13" t="n">
        <f aca="false">IFERROR(IF(Kalender!A138="",0,J3431*(1-Eingaben!$B$20)),0)</f>
        <v>0.59122224</v>
      </c>
      <c r="H3432" s="13" t="n">
        <f aca="false">MIN(G3432,D3432)</f>
        <v>0.59122224</v>
      </c>
      <c r="I3432" s="13" t="n">
        <f aca="false">IFERROR(MIN(F3432*Eingaben!$B$19,MAX(0,D3432-H3432)),0)</f>
        <v>1.407672</v>
      </c>
      <c r="J3432" s="13" t="n">
        <f aca="false">IFERROR(MIN(Eingaben!$B$18,MAX(0,F3432-I3432)),0)</f>
        <v>0.603288</v>
      </c>
      <c r="K3432" s="13" t="n">
        <f aca="false">H3432+I3432</f>
        <v>1.99889424</v>
      </c>
      <c r="L3432" s="13" t="n">
        <f aca="false">MAX(0,D3432-K3432)</f>
        <v>2.94110576</v>
      </c>
      <c r="M3432" s="13" t="n">
        <f aca="false">MAX(0,F3432-I3432-J3432)</f>
        <v>0</v>
      </c>
      <c r="N3432" s="13" t="n">
        <f aca="false">IF(Kalender!A138="",0,J3431-H3432)</f>
        <v>0.01206576</v>
      </c>
    </row>
    <row r="3433" customFormat="false" ht="16.4" hidden="false" customHeight="false" outlineLevel="0" collapsed="false">
      <c r="A3433" s="13" t="str">
        <f aca="false">""</f>
        <v/>
      </c>
      <c r="B3433" s="13" t="n">
        <f aca="false">135</f>
        <v>135</v>
      </c>
      <c r="C3433" s="13" t="n">
        <f aca="false">IF(Szenarien!$H$20="OK",(IFERROR(SUMIF(Nutzungsprofile!$B$6:$B$11,"Schulbetrieb",Nutzungsprofile!$G$6:$G$11)*Kalender!C139/SUM(Kalender!$C$5:$C$370),0)+IFERROR(SUMIF(Nutzungsprofile!$B$6:$B$11,"Halle",Nutzungsprofile!$G$6:$G$11)*Kalender!D139/SUM(Kalender!$D$5:$D$370),0)+IFERROR(SUMIF(Nutzungsprofile!$B$6:$B$11,"Individuell",Nutzungsprofile!$G$6:$G$11)*Kalender!E139/SUM(Kalender!$E$5:$E$370),0))*Szenarien!$E$20,0)</f>
        <v>2.352</v>
      </c>
      <c r="D3433" s="13" t="n">
        <f aca="false">IF(Szenarien!$H$20="OK",(IFERROR(SUMIF(Nutzungsprofile!$B$17:$B$22,"Schulbetrieb",Nutzungsprofile!$G$17:$G$22)*Kalender!C139/SUM(Kalender!$C$5:$C$370),0)+IFERROR(SUMIF(Nutzungsprofile!$B$17:$B$22,"Halle",Nutzungsprofile!$G$17:$G$22)*Kalender!D139/SUM(Kalender!$D$5:$D$370),0)+IFERROR(SUMIF(Nutzungsprofile!$B$17:$B$22,"Individuell",Nutzungsprofile!$G$17:$G$22)*Kalender!E139/SUM(Kalender!$E$5:$E$370),0))*Szenarien!$D$20,0)</f>
        <v>4.94</v>
      </c>
      <c r="E3433" s="13" t="n">
        <f aca="false">IFERROR(MIN(C3433,Eingaben!$B$17)*Eingaben!$B$16,0)</f>
        <v>2.2344</v>
      </c>
      <c r="F3433" s="13" t="n">
        <f aca="false">IFERROR(E3433*Eingaben!$B$15,0)</f>
        <v>2.01096</v>
      </c>
      <c r="G3433" s="13" t="n">
        <f aca="false">IFERROR(IF(Kalender!A139="",0,J3432*(1-Eingaben!$B$20)),0)</f>
        <v>0.59122224</v>
      </c>
      <c r="H3433" s="13" t="n">
        <f aca="false">MIN(G3433,D3433)</f>
        <v>0.59122224</v>
      </c>
      <c r="I3433" s="13" t="n">
        <f aca="false">IFERROR(MIN(F3433*Eingaben!$B$19,MAX(0,D3433-H3433)),0)</f>
        <v>1.407672</v>
      </c>
      <c r="J3433" s="13" t="n">
        <f aca="false">IFERROR(MIN(Eingaben!$B$18,MAX(0,F3433-I3433)),0)</f>
        <v>0.603288</v>
      </c>
      <c r="K3433" s="13" t="n">
        <f aca="false">H3433+I3433</f>
        <v>1.99889424</v>
      </c>
      <c r="L3433" s="13" t="n">
        <f aca="false">MAX(0,D3433-K3433)</f>
        <v>2.94110576</v>
      </c>
      <c r="M3433" s="13" t="n">
        <f aca="false">MAX(0,F3433-I3433-J3433)</f>
        <v>0</v>
      </c>
      <c r="N3433" s="13" t="n">
        <f aca="false">IF(Kalender!A139="",0,J3432-H3433)</f>
        <v>0.01206576</v>
      </c>
    </row>
    <row r="3434" customFormat="false" ht="16.4" hidden="false" customHeight="false" outlineLevel="0" collapsed="false">
      <c r="A3434" s="13" t="str">
        <f aca="false">""</f>
        <v/>
      </c>
      <c r="B3434" s="13" t="n">
        <f aca="false">136</f>
        <v>136</v>
      </c>
      <c r="C3434" s="13" t="n">
        <f aca="false">IF(Szenarien!$H$20="OK",(IFERROR(SUMIF(Nutzungsprofile!$B$6:$B$11,"Schulbetrieb",Nutzungsprofile!$G$6:$G$11)*Kalender!C140/SUM(Kalender!$C$5:$C$370),0)+IFERROR(SUMIF(Nutzungsprofile!$B$6:$B$11,"Halle",Nutzungsprofile!$G$6:$G$11)*Kalender!D140/SUM(Kalender!$D$5:$D$370),0)+IFERROR(SUMIF(Nutzungsprofile!$B$6:$B$11,"Individuell",Nutzungsprofile!$G$6:$G$11)*Kalender!E140/SUM(Kalender!$E$5:$E$370),0))*Szenarien!$E$20,0)</f>
        <v>1.632</v>
      </c>
      <c r="D3434" s="13" t="n">
        <f aca="false">IF(Szenarien!$H$20="OK",(IFERROR(SUMIF(Nutzungsprofile!$B$17:$B$22,"Schulbetrieb",Nutzungsprofile!$G$17:$G$22)*Kalender!C140/SUM(Kalender!$C$5:$C$370),0)+IFERROR(SUMIF(Nutzungsprofile!$B$17:$B$22,"Halle",Nutzungsprofile!$G$17:$G$22)*Kalender!D140/SUM(Kalender!$D$5:$D$370),0)+IFERROR(SUMIF(Nutzungsprofile!$B$17:$B$22,"Individuell",Nutzungsprofile!$G$17:$G$22)*Kalender!E140/SUM(Kalender!$E$5:$E$370),0))*Szenarien!$D$20,0)</f>
        <v>0.89</v>
      </c>
      <c r="E3434" s="13" t="n">
        <f aca="false">IFERROR(MIN(C3434,Eingaben!$B$17)*Eingaben!$B$16,0)</f>
        <v>1.5504</v>
      </c>
      <c r="F3434" s="13" t="n">
        <f aca="false">IFERROR(E3434*Eingaben!$B$15,0)</f>
        <v>1.39536</v>
      </c>
      <c r="G3434" s="13" t="n">
        <f aca="false">IFERROR(IF(Kalender!A140="",0,J3433*(1-Eingaben!$B$20)),0)</f>
        <v>0.59122224</v>
      </c>
      <c r="H3434" s="13" t="n">
        <f aca="false">MIN(G3434,D3434)</f>
        <v>0.59122224</v>
      </c>
      <c r="I3434" s="13" t="n">
        <f aca="false">IFERROR(MIN(F3434*Eingaben!$B$19,MAX(0,D3434-H3434)),0)</f>
        <v>0.29877776</v>
      </c>
      <c r="J3434" s="13" t="n">
        <f aca="false">IFERROR(MIN(Eingaben!$B$18,MAX(0,F3434-I3434)),0)</f>
        <v>1.09658224</v>
      </c>
      <c r="K3434" s="13" t="n">
        <f aca="false">H3434+I3434</f>
        <v>0.89</v>
      </c>
      <c r="L3434" s="13" t="n">
        <f aca="false">MAX(0,D3434-K3434)</f>
        <v>0</v>
      </c>
      <c r="M3434" s="13" t="n">
        <f aca="false">MAX(0,F3434-I3434-J3434)</f>
        <v>0</v>
      </c>
      <c r="N3434" s="13" t="n">
        <f aca="false">IF(Kalender!A140="",0,J3433-H3434)</f>
        <v>0.01206576</v>
      </c>
    </row>
    <row r="3435" customFormat="false" ht="16.4" hidden="false" customHeight="false" outlineLevel="0" collapsed="false">
      <c r="A3435" s="13" t="str">
        <f aca="false">""</f>
        <v/>
      </c>
      <c r="B3435" s="13" t="n">
        <f aca="false">137</f>
        <v>137</v>
      </c>
      <c r="C3435" s="13" t="n">
        <f aca="false">IF(Szenarien!$H$20="OK",(IFERROR(SUMIF(Nutzungsprofile!$B$6:$B$11,"Schulbetrieb",Nutzungsprofile!$G$6:$G$11)*Kalender!C141/SUM(Kalender!$C$5:$C$370),0)+IFERROR(SUMIF(Nutzungsprofile!$B$6:$B$11,"Halle",Nutzungsprofile!$G$6:$G$11)*Kalender!D141/SUM(Kalender!$D$5:$D$370),0)+IFERROR(SUMIF(Nutzungsprofile!$B$6:$B$11,"Individuell",Nutzungsprofile!$G$6:$G$11)*Kalender!E141/SUM(Kalender!$E$5:$E$370),0))*Szenarien!$E$20,0)</f>
        <v>1.632</v>
      </c>
      <c r="D3435" s="13" t="n">
        <f aca="false">IF(Szenarien!$H$20="OK",(IFERROR(SUMIF(Nutzungsprofile!$B$17:$B$22,"Schulbetrieb",Nutzungsprofile!$G$17:$G$22)*Kalender!C141/SUM(Kalender!$C$5:$C$370),0)+IFERROR(SUMIF(Nutzungsprofile!$B$17:$B$22,"Halle",Nutzungsprofile!$G$17:$G$22)*Kalender!D141/SUM(Kalender!$D$5:$D$370),0)+IFERROR(SUMIF(Nutzungsprofile!$B$17:$B$22,"Individuell",Nutzungsprofile!$G$17:$G$22)*Kalender!E141/SUM(Kalender!$E$5:$E$370),0))*Szenarien!$D$20,0)</f>
        <v>0.89</v>
      </c>
      <c r="E3435" s="13" t="n">
        <f aca="false">IFERROR(MIN(C3435,Eingaben!$B$17)*Eingaben!$B$16,0)</f>
        <v>1.5504</v>
      </c>
      <c r="F3435" s="13" t="n">
        <f aca="false">IFERROR(E3435*Eingaben!$B$15,0)</f>
        <v>1.39536</v>
      </c>
      <c r="G3435" s="13" t="n">
        <f aca="false">IFERROR(IF(Kalender!A141="",0,J3434*(1-Eingaben!$B$20)),0)</f>
        <v>1.0746505952</v>
      </c>
      <c r="H3435" s="13" t="n">
        <f aca="false">MIN(G3435,D3435)</f>
        <v>0.89</v>
      </c>
      <c r="I3435" s="13" t="n">
        <f aca="false">IFERROR(MIN(F3435*Eingaben!$B$19,MAX(0,D3435-H3435)),0)</f>
        <v>0</v>
      </c>
      <c r="J3435" s="13" t="n">
        <f aca="false">IFERROR(MIN(Eingaben!$B$18,MAX(0,F3435-I3435)),0)</f>
        <v>1.39536</v>
      </c>
      <c r="K3435" s="13" t="n">
        <f aca="false">H3435+I3435</f>
        <v>0.89</v>
      </c>
      <c r="L3435" s="13" t="n">
        <f aca="false">MAX(0,D3435-K3435)</f>
        <v>0</v>
      </c>
      <c r="M3435" s="13" t="n">
        <f aca="false">MAX(0,F3435-I3435-J3435)</f>
        <v>0</v>
      </c>
      <c r="N3435" s="13" t="n">
        <f aca="false">IF(Kalender!A141="",0,J3434-H3435)</f>
        <v>0.20658224</v>
      </c>
    </row>
    <row r="3436" customFormat="false" ht="16.4" hidden="false" customHeight="false" outlineLevel="0" collapsed="false">
      <c r="A3436" s="13" t="str">
        <f aca="false">""</f>
        <v/>
      </c>
      <c r="B3436" s="13" t="n">
        <f aca="false">138</f>
        <v>138</v>
      </c>
      <c r="C3436" s="13" t="n">
        <f aca="false">IF(Szenarien!$H$20="OK",(IFERROR(SUMIF(Nutzungsprofile!$B$6:$B$11,"Schulbetrieb",Nutzungsprofile!$G$6:$G$11)*Kalender!C142/SUM(Kalender!$C$5:$C$370),0)+IFERROR(SUMIF(Nutzungsprofile!$B$6:$B$11,"Halle",Nutzungsprofile!$G$6:$G$11)*Kalender!D142/SUM(Kalender!$D$5:$D$370),0)+IFERROR(SUMIF(Nutzungsprofile!$B$6:$B$11,"Individuell",Nutzungsprofile!$G$6:$G$11)*Kalender!E142/SUM(Kalender!$E$5:$E$370),0))*Szenarien!$E$20,0)</f>
        <v>2.352</v>
      </c>
      <c r="D3436" s="13" t="n">
        <f aca="false">IF(Szenarien!$H$20="OK",(IFERROR(SUMIF(Nutzungsprofile!$B$17:$B$22,"Schulbetrieb",Nutzungsprofile!$G$17:$G$22)*Kalender!C142/SUM(Kalender!$C$5:$C$370),0)+IFERROR(SUMIF(Nutzungsprofile!$B$17:$B$22,"Halle",Nutzungsprofile!$G$17:$G$22)*Kalender!D142/SUM(Kalender!$D$5:$D$370),0)+IFERROR(SUMIF(Nutzungsprofile!$B$17:$B$22,"Individuell",Nutzungsprofile!$G$17:$G$22)*Kalender!E142/SUM(Kalender!$E$5:$E$370),0))*Szenarien!$D$20,0)</f>
        <v>4.94</v>
      </c>
      <c r="E3436" s="13" t="n">
        <f aca="false">IFERROR(MIN(C3436,Eingaben!$B$17)*Eingaben!$B$16,0)</f>
        <v>2.2344</v>
      </c>
      <c r="F3436" s="13" t="n">
        <f aca="false">IFERROR(E3436*Eingaben!$B$15,0)</f>
        <v>2.01096</v>
      </c>
      <c r="G3436" s="13" t="n">
        <f aca="false">IFERROR(IF(Kalender!A142="",0,J3435*(1-Eingaben!$B$20)),0)</f>
        <v>1.3674528</v>
      </c>
      <c r="H3436" s="13" t="n">
        <f aca="false">MIN(G3436,D3436)</f>
        <v>1.3674528</v>
      </c>
      <c r="I3436" s="13" t="n">
        <f aca="false">IFERROR(MIN(F3436*Eingaben!$B$19,MAX(0,D3436-H3436)),0)</f>
        <v>1.407672</v>
      </c>
      <c r="J3436" s="13" t="n">
        <f aca="false">IFERROR(MIN(Eingaben!$B$18,MAX(0,F3436-I3436)),0)</f>
        <v>0.603288</v>
      </c>
      <c r="K3436" s="13" t="n">
        <f aca="false">H3436+I3436</f>
        <v>2.7751248</v>
      </c>
      <c r="L3436" s="13" t="n">
        <f aca="false">MAX(0,D3436-K3436)</f>
        <v>2.1648752</v>
      </c>
      <c r="M3436" s="13" t="n">
        <f aca="false">MAX(0,F3436-I3436-J3436)</f>
        <v>0</v>
      </c>
      <c r="N3436" s="13" t="n">
        <f aca="false">IF(Kalender!A142="",0,J3435-H3436)</f>
        <v>0.0279072</v>
      </c>
    </row>
    <row r="3437" customFormat="false" ht="16.4" hidden="false" customHeight="false" outlineLevel="0" collapsed="false">
      <c r="A3437" s="13" t="str">
        <f aca="false">""</f>
        <v/>
      </c>
      <c r="B3437" s="13" t="n">
        <f aca="false">139</f>
        <v>139</v>
      </c>
      <c r="C3437" s="13" t="n">
        <f aca="false">IF(Szenarien!$H$20="OK",(IFERROR(SUMIF(Nutzungsprofile!$B$6:$B$11,"Schulbetrieb",Nutzungsprofile!$G$6:$G$11)*Kalender!C143/SUM(Kalender!$C$5:$C$370),0)+IFERROR(SUMIF(Nutzungsprofile!$B$6:$B$11,"Halle",Nutzungsprofile!$G$6:$G$11)*Kalender!D143/SUM(Kalender!$D$5:$D$370),0)+IFERROR(SUMIF(Nutzungsprofile!$B$6:$B$11,"Individuell",Nutzungsprofile!$G$6:$G$11)*Kalender!E143/SUM(Kalender!$E$5:$E$370),0))*Szenarien!$E$20,0)</f>
        <v>2.352</v>
      </c>
      <c r="D3437" s="13" t="n">
        <f aca="false">IF(Szenarien!$H$20="OK",(IFERROR(SUMIF(Nutzungsprofile!$B$17:$B$22,"Schulbetrieb",Nutzungsprofile!$G$17:$G$22)*Kalender!C143/SUM(Kalender!$C$5:$C$370),0)+IFERROR(SUMIF(Nutzungsprofile!$B$17:$B$22,"Halle",Nutzungsprofile!$G$17:$G$22)*Kalender!D143/SUM(Kalender!$D$5:$D$370),0)+IFERROR(SUMIF(Nutzungsprofile!$B$17:$B$22,"Individuell",Nutzungsprofile!$G$17:$G$22)*Kalender!E143/SUM(Kalender!$E$5:$E$370),0))*Szenarien!$D$20,0)</f>
        <v>4.94</v>
      </c>
      <c r="E3437" s="13" t="n">
        <f aca="false">IFERROR(MIN(C3437,Eingaben!$B$17)*Eingaben!$B$16,0)</f>
        <v>2.2344</v>
      </c>
      <c r="F3437" s="13" t="n">
        <f aca="false">IFERROR(E3437*Eingaben!$B$15,0)</f>
        <v>2.01096</v>
      </c>
      <c r="G3437" s="13" t="n">
        <f aca="false">IFERROR(IF(Kalender!A143="",0,J3436*(1-Eingaben!$B$20)),0)</f>
        <v>0.59122224</v>
      </c>
      <c r="H3437" s="13" t="n">
        <f aca="false">MIN(G3437,D3437)</f>
        <v>0.59122224</v>
      </c>
      <c r="I3437" s="13" t="n">
        <f aca="false">IFERROR(MIN(F3437*Eingaben!$B$19,MAX(0,D3437-H3437)),0)</f>
        <v>1.407672</v>
      </c>
      <c r="J3437" s="13" t="n">
        <f aca="false">IFERROR(MIN(Eingaben!$B$18,MAX(0,F3437-I3437)),0)</f>
        <v>0.603288</v>
      </c>
      <c r="K3437" s="13" t="n">
        <f aca="false">H3437+I3437</f>
        <v>1.99889424</v>
      </c>
      <c r="L3437" s="13" t="n">
        <f aca="false">MAX(0,D3437-K3437)</f>
        <v>2.94110576</v>
      </c>
      <c r="M3437" s="13" t="n">
        <f aca="false">MAX(0,F3437-I3437-J3437)</f>
        <v>0</v>
      </c>
      <c r="N3437" s="13" t="n">
        <f aca="false">IF(Kalender!A143="",0,J3436-H3437)</f>
        <v>0.01206576</v>
      </c>
    </row>
    <row r="3438" customFormat="false" ht="16.4" hidden="false" customHeight="false" outlineLevel="0" collapsed="false">
      <c r="A3438" s="13" t="str">
        <f aca="false">""</f>
        <v/>
      </c>
      <c r="B3438" s="13" t="n">
        <f aca="false">140</f>
        <v>140</v>
      </c>
      <c r="C3438" s="13" t="n">
        <f aca="false">IF(Szenarien!$H$20="OK",(IFERROR(SUMIF(Nutzungsprofile!$B$6:$B$11,"Schulbetrieb",Nutzungsprofile!$G$6:$G$11)*Kalender!C144/SUM(Kalender!$C$5:$C$370),0)+IFERROR(SUMIF(Nutzungsprofile!$B$6:$B$11,"Halle",Nutzungsprofile!$G$6:$G$11)*Kalender!D144/SUM(Kalender!$D$5:$D$370),0)+IFERROR(SUMIF(Nutzungsprofile!$B$6:$B$11,"Individuell",Nutzungsprofile!$G$6:$G$11)*Kalender!E144/SUM(Kalender!$E$5:$E$370),0))*Szenarien!$E$20,0)</f>
        <v>2.352</v>
      </c>
      <c r="D3438" s="13" t="n">
        <f aca="false">IF(Szenarien!$H$20="OK",(IFERROR(SUMIF(Nutzungsprofile!$B$17:$B$22,"Schulbetrieb",Nutzungsprofile!$G$17:$G$22)*Kalender!C144/SUM(Kalender!$C$5:$C$370),0)+IFERROR(SUMIF(Nutzungsprofile!$B$17:$B$22,"Halle",Nutzungsprofile!$G$17:$G$22)*Kalender!D144/SUM(Kalender!$D$5:$D$370),0)+IFERROR(SUMIF(Nutzungsprofile!$B$17:$B$22,"Individuell",Nutzungsprofile!$G$17:$G$22)*Kalender!E144/SUM(Kalender!$E$5:$E$370),0))*Szenarien!$D$20,0)</f>
        <v>4.94</v>
      </c>
      <c r="E3438" s="13" t="n">
        <f aca="false">IFERROR(MIN(C3438,Eingaben!$B$17)*Eingaben!$B$16,0)</f>
        <v>2.2344</v>
      </c>
      <c r="F3438" s="13" t="n">
        <f aca="false">IFERROR(E3438*Eingaben!$B$15,0)</f>
        <v>2.01096</v>
      </c>
      <c r="G3438" s="13" t="n">
        <f aca="false">IFERROR(IF(Kalender!A144="",0,J3437*(1-Eingaben!$B$20)),0)</f>
        <v>0.59122224</v>
      </c>
      <c r="H3438" s="13" t="n">
        <f aca="false">MIN(G3438,D3438)</f>
        <v>0.59122224</v>
      </c>
      <c r="I3438" s="13" t="n">
        <f aca="false">IFERROR(MIN(F3438*Eingaben!$B$19,MAX(0,D3438-H3438)),0)</f>
        <v>1.407672</v>
      </c>
      <c r="J3438" s="13" t="n">
        <f aca="false">IFERROR(MIN(Eingaben!$B$18,MAX(0,F3438-I3438)),0)</f>
        <v>0.603288</v>
      </c>
      <c r="K3438" s="13" t="n">
        <f aca="false">H3438+I3438</f>
        <v>1.99889424</v>
      </c>
      <c r="L3438" s="13" t="n">
        <f aca="false">MAX(0,D3438-K3438)</f>
        <v>2.94110576</v>
      </c>
      <c r="M3438" s="13" t="n">
        <f aca="false">MAX(0,F3438-I3438-J3438)</f>
        <v>0</v>
      </c>
      <c r="N3438" s="13" t="n">
        <f aca="false">IF(Kalender!A144="",0,J3437-H3438)</f>
        <v>0.01206576</v>
      </c>
    </row>
    <row r="3439" customFormat="false" ht="16.4" hidden="false" customHeight="false" outlineLevel="0" collapsed="false">
      <c r="A3439" s="13" t="str">
        <f aca="false">""</f>
        <v/>
      </c>
      <c r="B3439" s="13" t="n">
        <f aca="false">141</f>
        <v>141</v>
      </c>
      <c r="C3439" s="13" t="n">
        <f aca="false">IF(Szenarien!$H$20="OK",(IFERROR(SUMIF(Nutzungsprofile!$B$6:$B$11,"Schulbetrieb",Nutzungsprofile!$G$6:$G$11)*Kalender!C145/SUM(Kalender!$C$5:$C$370),0)+IFERROR(SUMIF(Nutzungsprofile!$B$6:$B$11,"Halle",Nutzungsprofile!$G$6:$G$11)*Kalender!D145/SUM(Kalender!$D$5:$D$370),0)+IFERROR(SUMIF(Nutzungsprofile!$B$6:$B$11,"Individuell",Nutzungsprofile!$G$6:$G$11)*Kalender!E145/SUM(Kalender!$E$5:$E$370),0))*Szenarien!$E$20,0)</f>
        <v>2.352</v>
      </c>
      <c r="D3439" s="13" t="n">
        <f aca="false">IF(Szenarien!$H$20="OK",(IFERROR(SUMIF(Nutzungsprofile!$B$17:$B$22,"Schulbetrieb",Nutzungsprofile!$G$17:$G$22)*Kalender!C145/SUM(Kalender!$C$5:$C$370),0)+IFERROR(SUMIF(Nutzungsprofile!$B$17:$B$22,"Halle",Nutzungsprofile!$G$17:$G$22)*Kalender!D145/SUM(Kalender!$D$5:$D$370),0)+IFERROR(SUMIF(Nutzungsprofile!$B$17:$B$22,"Individuell",Nutzungsprofile!$G$17:$G$22)*Kalender!E145/SUM(Kalender!$E$5:$E$370),0))*Szenarien!$D$20,0)</f>
        <v>4.94</v>
      </c>
      <c r="E3439" s="13" t="n">
        <f aca="false">IFERROR(MIN(C3439,Eingaben!$B$17)*Eingaben!$B$16,0)</f>
        <v>2.2344</v>
      </c>
      <c r="F3439" s="13" t="n">
        <f aca="false">IFERROR(E3439*Eingaben!$B$15,0)</f>
        <v>2.01096</v>
      </c>
      <c r="G3439" s="13" t="n">
        <f aca="false">IFERROR(IF(Kalender!A145="",0,J3438*(1-Eingaben!$B$20)),0)</f>
        <v>0.59122224</v>
      </c>
      <c r="H3439" s="13" t="n">
        <f aca="false">MIN(G3439,D3439)</f>
        <v>0.59122224</v>
      </c>
      <c r="I3439" s="13" t="n">
        <f aca="false">IFERROR(MIN(F3439*Eingaben!$B$19,MAX(0,D3439-H3439)),0)</f>
        <v>1.407672</v>
      </c>
      <c r="J3439" s="13" t="n">
        <f aca="false">IFERROR(MIN(Eingaben!$B$18,MAX(0,F3439-I3439)),0)</f>
        <v>0.603288</v>
      </c>
      <c r="K3439" s="13" t="n">
        <f aca="false">H3439+I3439</f>
        <v>1.99889424</v>
      </c>
      <c r="L3439" s="13" t="n">
        <f aca="false">MAX(0,D3439-K3439)</f>
        <v>2.94110576</v>
      </c>
      <c r="M3439" s="13" t="n">
        <f aca="false">MAX(0,F3439-I3439-J3439)</f>
        <v>0</v>
      </c>
      <c r="N3439" s="13" t="n">
        <f aca="false">IF(Kalender!A145="",0,J3438-H3439)</f>
        <v>0.01206576</v>
      </c>
    </row>
    <row r="3440" customFormat="false" ht="16.4" hidden="false" customHeight="false" outlineLevel="0" collapsed="false">
      <c r="A3440" s="13" t="str">
        <f aca="false">""</f>
        <v/>
      </c>
      <c r="B3440" s="13" t="n">
        <f aca="false">142</f>
        <v>142</v>
      </c>
      <c r="C3440" s="13" t="n">
        <f aca="false">IF(Szenarien!$H$20="OK",(IFERROR(SUMIF(Nutzungsprofile!$B$6:$B$11,"Schulbetrieb",Nutzungsprofile!$G$6:$G$11)*Kalender!C146/SUM(Kalender!$C$5:$C$370),0)+IFERROR(SUMIF(Nutzungsprofile!$B$6:$B$11,"Halle",Nutzungsprofile!$G$6:$G$11)*Kalender!D146/SUM(Kalender!$D$5:$D$370),0)+IFERROR(SUMIF(Nutzungsprofile!$B$6:$B$11,"Individuell",Nutzungsprofile!$G$6:$G$11)*Kalender!E146/SUM(Kalender!$E$5:$E$370),0))*Szenarien!$E$20,0)</f>
        <v>2.352</v>
      </c>
      <c r="D3440" s="13" t="n">
        <f aca="false">IF(Szenarien!$H$20="OK",(IFERROR(SUMIF(Nutzungsprofile!$B$17:$B$22,"Schulbetrieb",Nutzungsprofile!$G$17:$G$22)*Kalender!C146/SUM(Kalender!$C$5:$C$370),0)+IFERROR(SUMIF(Nutzungsprofile!$B$17:$B$22,"Halle",Nutzungsprofile!$G$17:$G$22)*Kalender!D146/SUM(Kalender!$D$5:$D$370),0)+IFERROR(SUMIF(Nutzungsprofile!$B$17:$B$22,"Individuell",Nutzungsprofile!$G$17:$G$22)*Kalender!E146/SUM(Kalender!$E$5:$E$370),0))*Szenarien!$D$20,0)</f>
        <v>4.94</v>
      </c>
      <c r="E3440" s="13" t="n">
        <f aca="false">IFERROR(MIN(C3440,Eingaben!$B$17)*Eingaben!$B$16,0)</f>
        <v>2.2344</v>
      </c>
      <c r="F3440" s="13" t="n">
        <f aca="false">IFERROR(E3440*Eingaben!$B$15,0)</f>
        <v>2.01096</v>
      </c>
      <c r="G3440" s="13" t="n">
        <f aca="false">IFERROR(IF(Kalender!A146="",0,J3439*(1-Eingaben!$B$20)),0)</f>
        <v>0.59122224</v>
      </c>
      <c r="H3440" s="13" t="n">
        <f aca="false">MIN(G3440,D3440)</f>
        <v>0.59122224</v>
      </c>
      <c r="I3440" s="13" t="n">
        <f aca="false">IFERROR(MIN(F3440*Eingaben!$B$19,MAX(0,D3440-H3440)),0)</f>
        <v>1.407672</v>
      </c>
      <c r="J3440" s="13" t="n">
        <f aca="false">IFERROR(MIN(Eingaben!$B$18,MAX(0,F3440-I3440)),0)</f>
        <v>0.603288</v>
      </c>
      <c r="K3440" s="13" t="n">
        <f aca="false">H3440+I3440</f>
        <v>1.99889424</v>
      </c>
      <c r="L3440" s="13" t="n">
        <f aca="false">MAX(0,D3440-K3440)</f>
        <v>2.94110576</v>
      </c>
      <c r="M3440" s="13" t="n">
        <f aca="false">MAX(0,F3440-I3440-J3440)</f>
        <v>0</v>
      </c>
      <c r="N3440" s="13" t="n">
        <f aca="false">IF(Kalender!A146="",0,J3439-H3440)</f>
        <v>0.01206576</v>
      </c>
    </row>
    <row r="3441" customFormat="false" ht="16.4" hidden="false" customHeight="false" outlineLevel="0" collapsed="false">
      <c r="A3441" s="13" t="str">
        <f aca="false">""</f>
        <v/>
      </c>
      <c r="B3441" s="13" t="n">
        <f aca="false">143</f>
        <v>143</v>
      </c>
      <c r="C3441" s="13" t="n">
        <f aca="false">IF(Szenarien!$H$20="OK",(IFERROR(SUMIF(Nutzungsprofile!$B$6:$B$11,"Schulbetrieb",Nutzungsprofile!$G$6:$G$11)*Kalender!C147/SUM(Kalender!$C$5:$C$370),0)+IFERROR(SUMIF(Nutzungsprofile!$B$6:$B$11,"Halle",Nutzungsprofile!$G$6:$G$11)*Kalender!D147/SUM(Kalender!$D$5:$D$370),0)+IFERROR(SUMIF(Nutzungsprofile!$B$6:$B$11,"Individuell",Nutzungsprofile!$G$6:$G$11)*Kalender!E147/SUM(Kalender!$E$5:$E$370),0))*Szenarien!$E$20,0)</f>
        <v>1.632</v>
      </c>
      <c r="D3441" s="13" t="n">
        <f aca="false">IF(Szenarien!$H$20="OK",(IFERROR(SUMIF(Nutzungsprofile!$B$17:$B$22,"Schulbetrieb",Nutzungsprofile!$G$17:$G$22)*Kalender!C147/SUM(Kalender!$C$5:$C$370),0)+IFERROR(SUMIF(Nutzungsprofile!$B$17:$B$22,"Halle",Nutzungsprofile!$G$17:$G$22)*Kalender!D147/SUM(Kalender!$D$5:$D$370),0)+IFERROR(SUMIF(Nutzungsprofile!$B$17:$B$22,"Individuell",Nutzungsprofile!$G$17:$G$22)*Kalender!E147/SUM(Kalender!$E$5:$E$370),0))*Szenarien!$D$20,0)</f>
        <v>0.89</v>
      </c>
      <c r="E3441" s="13" t="n">
        <f aca="false">IFERROR(MIN(C3441,Eingaben!$B$17)*Eingaben!$B$16,0)</f>
        <v>1.5504</v>
      </c>
      <c r="F3441" s="13" t="n">
        <f aca="false">IFERROR(E3441*Eingaben!$B$15,0)</f>
        <v>1.39536</v>
      </c>
      <c r="G3441" s="13" t="n">
        <f aca="false">IFERROR(IF(Kalender!A147="",0,J3440*(1-Eingaben!$B$20)),0)</f>
        <v>0.59122224</v>
      </c>
      <c r="H3441" s="13" t="n">
        <f aca="false">MIN(G3441,D3441)</f>
        <v>0.59122224</v>
      </c>
      <c r="I3441" s="13" t="n">
        <f aca="false">IFERROR(MIN(F3441*Eingaben!$B$19,MAX(0,D3441-H3441)),0)</f>
        <v>0.29877776</v>
      </c>
      <c r="J3441" s="13" t="n">
        <f aca="false">IFERROR(MIN(Eingaben!$B$18,MAX(0,F3441-I3441)),0)</f>
        <v>1.09658224</v>
      </c>
      <c r="K3441" s="13" t="n">
        <f aca="false">H3441+I3441</f>
        <v>0.89</v>
      </c>
      <c r="L3441" s="13" t="n">
        <f aca="false">MAX(0,D3441-K3441)</f>
        <v>0</v>
      </c>
      <c r="M3441" s="13" t="n">
        <f aca="false">MAX(0,F3441-I3441-J3441)</f>
        <v>0</v>
      </c>
      <c r="N3441" s="13" t="n">
        <f aca="false">IF(Kalender!A147="",0,J3440-H3441)</f>
        <v>0.01206576</v>
      </c>
    </row>
    <row r="3442" customFormat="false" ht="16.4" hidden="false" customHeight="false" outlineLevel="0" collapsed="false">
      <c r="A3442" s="13" t="str">
        <f aca="false">""</f>
        <v/>
      </c>
      <c r="B3442" s="13" t="n">
        <f aca="false">144</f>
        <v>144</v>
      </c>
      <c r="C3442" s="13" t="n">
        <f aca="false">IF(Szenarien!$H$20="OK",(IFERROR(SUMIF(Nutzungsprofile!$B$6:$B$11,"Schulbetrieb",Nutzungsprofile!$G$6:$G$11)*Kalender!C148/SUM(Kalender!$C$5:$C$370),0)+IFERROR(SUMIF(Nutzungsprofile!$B$6:$B$11,"Halle",Nutzungsprofile!$G$6:$G$11)*Kalender!D148/SUM(Kalender!$D$5:$D$370),0)+IFERROR(SUMIF(Nutzungsprofile!$B$6:$B$11,"Individuell",Nutzungsprofile!$G$6:$G$11)*Kalender!E148/SUM(Kalender!$E$5:$E$370),0))*Szenarien!$E$20,0)</f>
        <v>1.632</v>
      </c>
      <c r="D3442" s="13" t="n">
        <f aca="false">IF(Szenarien!$H$20="OK",(IFERROR(SUMIF(Nutzungsprofile!$B$17:$B$22,"Schulbetrieb",Nutzungsprofile!$G$17:$G$22)*Kalender!C148/SUM(Kalender!$C$5:$C$370),0)+IFERROR(SUMIF(Nutzungsprofile!$B$17:$B$22,"Halle",Nutzungsprofile!$G$17:$G$22)*Kalender!D148/SUM(Kalender!$D$5:$D$370),0)+IFERROR(SUMIF(Nutzungsprofile!$B$17:$B$22,"Individuell",Nutzungsprofile!$G$17:$G$22)*Kalender!E148/SUM(Kalender!$E$5:$E$370),0))*Szenarien!$D$20,0)</f>
        <v>0.89</v>
      </c>
      <c r="E3442" s="13" t="n">
        <f aca="false">IFERROR(MIN(C3442,Eingaben!$B$17)*Eingaben!$B$16,0)</f>
        <v>1.5504</v>
      </c>
      <c r="F3442" s="13" t="n">
        <f aca="false">IFERROR(E3442*Eingaben!$B$15,0)</f>
        <v>1.39536</v>
      </c>
      <c r="G3442" s="13" t="n">
        <f aca="false">IFERROR(IF(Kalender!A148="",0,J3441*(1-Eingaben!$B$20)),0)</f>
        <v>1.0746505952</v>
      </c>
      <c r="H3442" s="13" t="n">
        <f aca="false">MIN(G3442,D3442)</f>
        <v>0.89</v>
      </c>
      <c r="I3442" s="13" t="n">
        <f aca="false">IFERROR(MIN(F3442*Eingaben!$B$19,MAX(0,D3442-H3442)),0)</f>
        <v>0</v>
      </c>
      <c r="J3442" s="13" t="n">
        <f aca="false">IFERROR(MIN(Eingaben!$B$18,MAX(0,F3442-I3442)),0)</f>
        <v>1.39536</v>
      </c>
      <c r="K3442" s="13" t="n">
        <f aca="false">H3442+I3442</f>
        <v>0.89</v>
      </c>
      <c r="L3442" s="13" t="n">
        <f aca="false">MAX(0,D3442-K3442)</f>
        <v>0</v>
      </c>
      <c r="M3442" s="13" t="n">
        <f aca="false">MAX(0,F3442-I3442-J3442)</f>
        <v>0</v>
      </c>
      <c r="N3442" s="13" t="n">
        <f aca="false">IF(Kalender!A148="",0,J3441-H3442)</f>
        <v>0.20658224</v>
      </c>
    </row>
    <row r="3443" customFormat="false" ht="16.4" hidden="false" customHeight="false" outlineLevel="0" collapsed="false">
      <c r="A3443" s="13" t="str">
        <f aca="false">""</f>
        <v/>
      </c>
      <c r="B3443" s="13" t="n">
        <f aca="false">145</f>
        <v>145</v>
      </c>
      <c r="C3443" s="13" t="n">
        <f aca="false">IF(Szenarien!$H$20="OK",(IFERROR(SUMIF(Nutzungsprofile!$B$6:$B$11,"Schulbetrieb",Nutzungsprofile!$G$6:$G$11)*Kalender!C149/SUM(Kalender!$C$5:$C$370),0)+IFERROR(SUMIF(Nutzungsprofile!$B$6:$B$11,"Halle",Nutzungsprofile!$G$6:$G$11)*Kalender!D149/SUM(Kalender!$D$5:$D$370),0)+IFERROR(SUMIF(Nutzungsprofile!$B$6:$B$11,"Individuell",Nutzungsprofile!$G$6:$G$11)*Kalender!E149/SUM(Kalender!$E$5:$E$370),0))*Szenarien!$E$20,0)</f>
        <v>2.352</v>
      </c>
      <c r="D3443" s="13" t="n">
        <f aca="false">IF(Szenarien!$H$20="OK",(IFERROR(SUMIF(Nutzungsprofile!$B$17:$B$22,"Schulbetrieb",Nutzungsprofile!$G$17:$G$22)*Kalender!C149/SUM(Kalender!$C$5:$C$370),0)+IFERROR(SUMIF(Nutzungsprofile!$B$17:$B$22,"Halle",Nutzungsprofile!$G$17:$G$22)*Kalender!D149/SUM(Kalender!$D$5:$D$370),0)+IFERROR(SUMIF(Nutzungsprofile!$B$17:$B$22,"Individuell",Nutzungsprofile!$G$17:$G$22)*Kalender!E149/SUM(Kalender!$E$5:$E$370),0))*Szenarien!$D$20,0)</f>
        <v>4.94</v>
      </c>
      <c r="E3443" s="13" t="n">
        <f aca="false">IFERROR(MIN(C3443,Eingaben!$B$17)*Eingaben!$B$16,0)</f>
        <v>2.2344</v>
      </c>
      <c r="F3443" s="13" t="n">
        <f aca="false">IFERROR(E3443*Eingaben!$B$15,0)</f>
        <v>2.01096</v>
      </c>
      <c r="G3443" s="13" t="n">
        <f aca="false">IFERROR(IF(Kalender!A149="",0,J3442*(1-Eingaben!$B$20)),0)</f>
        <v>1.3674528</v>
      </c>
      <c r="H3443" s="13" t="n">
        <f aca="false">MIN(G3443,D3443)</f>
        <v>1.3674528</v>
      </c>
      <c r="I3443" s="13" t="n">
        <f aca="false">IFERROR(MIN(F3443*Eingaben!$B$19,MAX(0,D3443-H3443)),0)</f>
        <v>1.407672</v>
      </c>
      <c r="J3443" s="13" t="n">
        <f aca="false">IFERROR(MIN(Eingaben!$B$18,MAX(0,F3443-I3443)),0)</f>
        <v>0.603288</v>
      </c>
      <c r="K3443" s="13" t="n">
        <f aca="false">H3443+I3443</f>
        <v>2.7751248</v>
      </c>
      <c r="L3443" s="13" t="n">
        <f aca="false">MAX(0,D3443-K3443)</f>
        <v>2.1648752</v>
      </c>
      <c r="M3443" s="13" t="n">
        <f aca="false">MAX(0,F3443-I3443-J3443)</f>
        <v>0</v>
      </c>
      <c r="N3443" s="13" t="n">
        <f aca="false">IF(Kalender!A149="",0,J3442-H3443)</f>
        <v>0.0279072</v>
      </c>
    </row>
    <row r="3444" customFormat="false" ht="16.4" hidden="false" customHeight="false" outlineLevel="0" collapsed="false">
      <c r="A3444" s="13" t="str">
        <f aca="false">""</f>
        <v/>
      </c>
      <c r="B3444" s="13" t="n">
        <f aca="false">146</f>
        <v>146</v>
      </c>
      <c r="C3444" s="13" t="n">
        <f aca="false">IF(Szenarien!$H$20="OK",(IFERROR(SUMIF(Nutzungsprofile!$B$6:$B$11,"Schulbetrieb",Nutzungsprofile!$G$6:$G$11)*Kalender!C150/SUM(Kalender!$C$5:$C$370),0)+IFERROR(SUMIF(Nutzungsprofile!$B$6:$B$11,"Halle",Nutzungsprofile!$G$6:$G$11)*Kalender!D150/SUM(Kalender!$D$5:$D$370),0)+IFERROR(SUMIF(Nutzungsprofile!$B$6:$B$11,"Individuell",Nutzungsprofile!$G$6:$G$11)*Kalender!E150/SUM(Kalender!$E$5:$E$370),0))*Szenarien!$E$20,0)</f>
        <v>2.352</v>
      </c>
      <c r="D3444" s="13" t="n">
        <f aca="false">IF(Szenarien!$H$20="OK",(IFERROR(SUMIF(Nutzungsprofile!$B$17:$B$22,"Schulbetrieb",Nutzungsprofile!$G$17:$G$22)*Kalender!C150/SUM(Kalender!$C$5:$C$370),0)+IFERROR(SUMIF(Nutzungsprofile!$B$17:$B$22,"Halle",Nutzungsprofile!$G$17:$G$22)*Kalender!D150/SUM(Kalender!$D$5:$D$370),0)+IFERROR(SUMIF(Nutzungsprofile!$B$17:$B$22,"Individuell",Nutzungsprofile!$G$17:$G$22)*Kalender!E150/SUM(Kalender!$E$5:$E$370),0))*Szenarien!$D$20,0)</f>
        <v>4.94</v>
      </c>
      <c r="E3444" s="13" t="n">
        <f aca="false">IFERROR(MIN(C3444,Eingaben!$B$17)*Eingaben!$B$16,0)</f>
        <v>2.2344</v>
      </c>
      <c r="F3444" s="13" t="n">
        <f aca="false">IFERROR(E3444*Eingaben!$B$15,0)</f>
        <v>2.01096</v>
      </c>
      <c r="G3444" s="13" t="n">
        <f aca="false">IFERROR(IF(Kalender!A150="",0,J3443*(1-Eingaben!$B$20)),0)</f>
        <v>0.59122224</v>
      </c>
      <c r="H3444" s="13" t="n">
        <f aca="false">MIN(G3444,D3444)</f>
        <v>0.59122224</v>
      </c>
      <c r="I3444" s="13" t="n">
        <f aca="false">IFERROR(MIN(F3444*Eingaben!$B$19,MAX(0,D3444-H3444)),0)</f>
        <v>1.407672</v>
      </c>
      <c r="J3444" s="13" t="n">
        <f aca="false">IFERROR(MIN(Eingaben!$B$18,MAX(0,F3444-I3444)),0)</f>
        <v>0.603288</v>
      </c>
      <c r="K3444" s="13" t="n">
        <f aca="false">H3444+I3444</f>
        <v>1.99889424</v>
      </c>
      <c r="L3444" s="13" t="n">
        <f aca="false">MAX(0,D3444-K3444)</f>
        <v>2.94110576</v>
      </c>
      <c r="M3444" s="13" t="n">
        <f aca="false">MAX(0,F3444-I3444-J3444)</f>
        <v>0</v>
      </c>
      <c r="N3444" s="13" t="n">
        <f aca="false">IF(Kalender!A150="",0,J3443-H3444)</f>
        <v>0.01206576</v>
      </c>
    </row>
    <row r="3445" customFormat="false" ht="16.4" hidden="false" customHeight="false" outlineLevel="0" collapsed="false">
      <c r="A3445" s="13" t="str">
        <f aca="false">""</f>
        <v/>
      </c>
      <c r="B3445" s="13" t="n">
        <f aca="false">147</f>
        <v>147</v>
      </c>
      <c r="C3445" s="13" t="n">
        <f aca="false">IF(Szenarien!$H$20="OK",(IFERROR(SUMIF(Nutzungsprofile!$B$6:$B$11,"Schulbetrieb",Nutzungsprofile!$G$6:$G$11)*Kalender!C151/SUM(Kalender!$C$5:$C$370),0)+IFERROR(SUMIF(Nutzungsprofile!$B$6:$B$11,"Halle",Nutzungsprofile!$G$6:$G$11)*Kalender!D151/SUM(Kalender!$D$5:$D$370),0)+IFERROR(SUMIF(Nutzungsprofile!$B$6:$B$11,"Individuell",Nutzungsprofile!$G$6:$G$11)*Kalender!E151/SUM(Kalender!$E$5:$E$370),0))*Szenarien!$E$20,0)</f>
        <v>2.352</v>
      </c>
      <c r="D3445" s="13" t="n">
        <f aca="false">IF(Szenarien!$H$20="OK",(IFERROR(SUMIF(Nutzungsprofile!$B$17:$B$22,"Schulbetrieb",Nutzungsprofile!$G$17:$G$22)*Kalender!C151/SUM(Kalender!$C$5:$C$370),0)+IFERROR(SUMIF(Nutzungsprofile!$B$17:$B$22,"Halle",Nutzungsprofile!$G$17:$G$22)*Kalender!D151/SUM(Kalender!$D$5:$D$370),0)+IFERROR(SUMIF(Nutzungsprofile!$B$17:$B$22,"Individuell",Nutzungsprofile!$G$17:$G$22)*Kalender!E151/SUM(Kalender!$E$5:$E$370),0))*Szenarien!$D$20,0)</f>
        <v>4.94</v>
      </c>
      <c r="E3445" s="13" t="n">
        <f aca="false">IFERROR(MIN(C3445,Eingaben!$B$17)*Eingaben!$B$16,0)</f>
        <v>2.2344</v>
      </c>
      <c r="F3445" s="13" t="n">
        <f aca="false">IFERROR(E3445*Eingaben!$B$15,0)</f>
        <v>2.01096</v>
      </c>
      <c r="G3445" s="13" t="n">
        <f aca="false">IFERROR(IF(Kalender!A151="",0,J3444*(1-Eingaben!$B$20)),0)</f>
        <v>0.59122224</v>
      </c>
      <c r="H3445" s="13" t="n">
        <f aca="false">MIN(G3445,D3445)</f>
        <v>0.59122224</v>
      </c>
      <c r="I3445" s="13" t="n">
        <f aca="false">IFERROR(MIN(F3445*Eingaben!$B$19,MAX(0,D3445-H3445)),0)</f>
        <v>1.407672</v>
      </c>
      <c r="J3445" s="13" t="n">
        <f aca="false">IFERROR(MIN(Eingaben!$B$18,MAX(0,F3445-I3445)),0)</f>
        <v>0.603288</v>
      </c>
      <c r="K3445" s="13" t="n">
        <f aca="false">H3445+I3445</f>
        <v>1.99889424</v>
      </c>
      <c r="L3445" s="13" t="n">
        <f aca="false">MAX(0,D3445-K3445)</f>
        <v>2.94110576</v>
      </c>
      <c r="M3445" s="13" t="n">
        <f aca="false">MAX(0,F3445-I3445-J3445)</f>
        <v>0</v>
      </c>
      <c r="N3445" s="13" t="n">
        <f aca="false">IF(Kalender!A151="",0,J3444-H3445)</f>
        <v>0.01206576</v>
      </c>
    </row>
    <row r="3446" customFormat="false" ht="16.4" hidden="false" customHeight="false" outlineLevel="0" collapsed="false">
      <c r="A3446" s="13" t="str">
        <f aca="false">""</f>
        <v/>
      </c>
      <c r="B3446" s="13" t="n">
        <f aca="false">148</f>
        <v>148</v>
      </c>
      <c r="C3446" s="13" t="n">
        <f aca="false">IF(Szenarien!$H$20="OK",(IFERROR(SUMIF(Nutzungsprofile!$B$6:$B$11,"Schulbetrieb",Nutzungsprofile!$G$6:$G$11)*Kalender!C152/SUM(Kalender!$C$5:$C$370),0)+IFERROR(SUMIF(Nutzungsprofile!$B$6:$B$11,"Halle",Nutzungsprofile!$G$6:$G$11)*Kalender!D152/SUM(Kalender!$D$5:$D$370),0)+IFERROR(SUMIF(Nutzungsprofile!$B$6:$B$11,"Individuell",Nutzungsprofile!$G$6:$G$11)*Kalender!E152/SUM(Kalender!$E$5:$E$370),0))*Szenarien!$E$20,0)</f>
        <v>2.352</v>
      </c>
      <c r="D3446" s="13" t="n">
        <f aca="false">IF(Szenarien!$H$20="OK",(IFERROR(SUMIF(Nutzungsprofile!$B$17:$B$22,"Schulbetrieb",Nutzungsprofile!$G$17:$G$22)*Kalender!C152/SUM(Kalender!$C$5:$C$370),0)+IFERROR(SUMIF(Nutzungsprofile!$B$17:$B$22,"Halle",Nutzungsprofile!$G$17:$G$22)*Kalender!D152/SUM(Kalender!$D$5:$D$370),0)+IFERROR(SUMIF(Nutzungsprofile!$B$17:$B$22,"Individuell",Nutzungsprofile!$G$17:$G$22)*Kalender!E152/SUM(Kalender!$E$5:$E$370),0))*Szenarien!$D$20,0)</f>
        <v>4.94</v>
      </c>
      <c r="E3446" s="13" t="n">
        <f aca="false">IFERROR(MIN(C3446,Eingaben!$B$17)*Eingaben!$B$16,0)</f>
        <v>2.2344</v>
      </c>
      <c r="F3446" s="13" t="n">
        <f aca="false">IFERROR(E3446*Eingaben!$B$15,0)</f>
        <v>2.01096</v>
      </c>
      <c r="G3446" s="13" t="n">
        <f aca="false">IFERROR(IF(Kalender!A152="",0,J3445*(1-Eingaben!$B$20)),0)</f>
        <v>0.59122224</v>
      </c>
      <c r="H3446" s="13" t="n">
        <f aca="false">MIN(G3446,D3446)</f>
        <v>0.59122224</v>
      </c>
      <c r="I3446" s="13" t="n">
        <f aca="false">IFERROR(MIN(F3446*Eingaben!$B$19,MAX(0,D3446-H3446)),0)</f>
        <v>1.407672</v>
      </c>
      <c r="J3446" s="13" t="n">
        <f aca="false">IFERROR(MIN(Eingaben!$B$18,MAX(0,F3446-I3446)),0)</f>
        <v>0.603288</v>
      </c>
      <c r="K3446" s="13" t="n">
        <f aca="false">H3446+I3446</f>
        <v>1.99889424</v>
      </c>
      <c r="L3446" s="13" t="n">
        <f aca="false">MAX(0,D3446-K3446)</f>
        <v>2.94110576</v>
      </c>
      <c r="M3446" s="13" t="n">
        <f aca="false">MAX(0,F3446-I3446-J3446)</f>
        <v>0</v>
      </c>
      <c r="N3446" s="13" t="n">
        <f aca="false">IF(Kalender!A152="",0,J3445-H3446)</f>
        <v>0.01206576</v>
      </c>
    </row>
    <row r="3447" customFormat="false" ht="16.4" hidden="false" customHeight="false" outlineLevel="0" collapsed="false">
      <c r="A3447" s="13" t="str">
        <f aca="false">""</f>
        <v/>
      </c>
      <c r="B3447" s="13" t="n">
        <f aca="false">149</f>
        <v>149</v>
      </c>
      <c r="C3447" s="13" t="n">
        <f aca="false">IF(Szenarien!$H$20="OK",(IFERROR(SUMIF(Nutzungsprofile!$B$6:$B$11,"Schulbetrieb",Nutzungsprofile!$G$6:$G$11)*Kalender!C153/SUM(Kalender!$C$5:$C$370),0)+IFERROR(SUMIF(Nutzungsprofile!$B$6:$B$11,"Halle",Nutzungsprofile!$G$6:$G$11)*Kalender!D153/SUM(Kalender!$D$5:$D$370),0)+IFERROR(SUMIF(Nutzungsprofile!$B$6:$B$11,"Individuell",Nutzungsprofile!$G$6:$G$11)*Kalender!E153/SUM(Kalender!$E$5:$E$370),0))*Szenarien!$E$20,0)</f>
        <v>2.352</v>
      </c>
      <c r="D3447" s="13" t="n">
        <f aca="false">IF(Szenarien!$H$20="OK",(IFERROR(SUMIF(Nutzungsprofile!$B$17:$B$22,"Schulbetrieb",Nutzungsprofile!$G$17:$G$22)*Kalender!C153/SUM(Kalender!$C$5:$C$370),0)+IFERROR(SUMIF(Nutzungsprofile!$B$17:$B$22,"Halle",Nutzungsprofile!$G$17:$G$22)*Kalender!D153/SUM(Kalender!$D$5:$D$370),0)+IFERROR(SUMIF(Nutzungsprofile!$B$17:$B$22,"Individuell",Nutzungsprofile!$G$17:$G$22)*Kalender!E153/SUM(Kalender!$E$5:$E$370),0))*Szenarien!$D$20,0)</f>
        <v>4.94</v>
      </c>
      <c r="E3447" s="13" t="n">
        <f aca="false">IFERROR(MIN(C3447,Eingaben!$B$17)*Eingaben!$B$16,0)</f>
        <v>2.2344</v>
      </c>
      <c r="F3447" s="13" t="n">
        <f aca="false">IFERROR(E3447*Eingaben!$B$15,0)</f>
        <v>2.01096</v>
      </c>
      <c r="G3447" s="13" t="n">
        <f aca="false">IFERROR(IF(Kalender!A153="",0,J3446*(1-Eingaben!$B$20)),0)</f>
        <v>0.59122224</v>
      </c>
      <c r="H3447" s="13" t="n">
        <f aca="false">MIN(G3447,D3447)</f>
        <v>0.59122224</v>
      </c>
      <c r="I3447" s="13" t="n">
        <f aca="false">IFERROR(MIN(F3447*Eingaben!$B$19,MAX(0,D3447-H3447)),0)</f>
        <v>1.407672</v>
      </c>
      <c r="J3447" s="13" t="n">
        <f aca="false">IFERROR(MIN(Eingaben!$B$18,MAX(0,F3447-I3447)),0)</f>
        <v>0.603288</v>
      </c>
      <c r="K3447" s="13" t="n">
        <f aca="false">H3447+I3447</f>
        <v>1.99889424</v>
      </c>
      <c r="L3447" s="13" t="n">
        <f aca="false">MAX(0,D3447-K3447)</f>
        <v>2.94110576</v>
      </c>
      <c r="M3447" s="13" t="n">
        <f aca="false">MAX(0,F3447-I3447-J3447)</f>
        <v>0</v>
      </c>
      <c r="N3447" s="13" t="n">
        <f aca="false">IF(Kalender!A153="",0,J3446-H3447)</f>
        <v>0.01206576</v>
      </c>
    </row>
    <row r="3448" customFormat="false" ht="16.4" hidden="false" customHeight="false" outlineLevel="0" collapsed="false">
      <c r="A3448" s="13" t="str">
        <f aca="false">""</f>
        <v/>
      </c>
      <c r="B3448" s="13" t="n">
        <f aca="false">150</f>
        <v>150</v>
      </c>
      <c r="C3448" s="13" t="n">
        <f aca="false">IF(Szenarien!$H$20="OK",(IFERROR(SUMIF(Nutzungsprofile!$B$6:$B$11,"Schulbetrieb",Nutzungsprofile!$G$6:$G$11)*Kalender!C154/SUM(Kalender!$C$5:$C$370),0)+IFERROR(SUMIF(Nutzungsprofile!$B$6:$B$11,"Halle",Nutzungsprofile!$G$6:$G$11)*Kalender!D154/SUM(Kalender!$D$5:$D$370),0)+IFERROR(SUMIF(Nutzungsprofile!$B$6:$B$11,"Individuell",Nutzungsprofile!$G$6:$G$11)*Kalender!E154/SUM(Kalender!$E$5:$E$370),0))*Szenarien!$E$20,0)</f>
        <v>1.632</v>
      </c>
      <c r="D3448" s="13" t="n">
        <f aca="false">IF(Szenarien!$H$20="OK",(IFERROR(SUMIF(Nutzungsprofile!$B$17:$B$22,"Schulbetrieb",Nutzungsprofile!$G$17:$G$22)*Kalender!C154/SUM(Kalender!$C$5:$C$370),0)+IFERROR(SUMIF(Nutzungsprofile!$B$17:$B$22,"Halle",Nutzungsprofile!$G$17:$G$22)*Kalender!D154/SUM(Kalender!$D$5:$D$370),0)+IFERROR(SUMIF(Nutzungsprofile!$B$17:$B$22,"Individuell",Nutzungsprofile!$G$17:$G$22)*Kalender!E154/SUM(Kalender!$E$5:$E$370),0))*Szenarien!$D$20,0)</f>
        <v>0.89</v>
      </c>
      <c r="E3448" s="13" t="n">
        <f aca="false">IFERROR(MIN(C3448,Eingaben!$B$17)*Eingaben!$B$16,0)</f>
        <v>1.5504</v>
      </c>
      <c r="F3448" s="13" t="n">
        <f aca="false">IFERROR(E3448*Eingaben!$B$15,0)</f>
        <v>1.39536</v>
      </c>
      <c r="G3448" s="13" t="n">
        <f aca="false">IFERROR(IF(Kalender!A154="",0,J3447*(1-Eingaben!$B$20)),0)</f>
        <v>0.59122224</v>
      </c>
      <c r="H3448" s="13" t="n">
        <f aca="false">MIN(G3448,D3448)</f>
        <v>0.59122224</v>
      </c>
      <c r="I3448" s="13" t="n">
        <f aca="false">IFERROR(MIN(F3448*Eingaben!$B$19,MAX(0,D3448-H3448)),0)</f>
        <v>0.29877776</v>
      </c>
      <c r="J3448" s="13" t="n">
        <f aca="false">IFERROR(MIN(Eingaben!$B$18,MAX(0,F3448-I3448)),0)</f>
        <v>1.09658224</v>
      </c>
      <c r="K3448" s="13" t="n">
        <f aca="false">H3448+I3448</f>
        <v>0.89</v>
      </c>
      <c r="L3448" s="13" t="n">
        <f aca="false">MAX(0,D3448-K3448)</f>
        <v>0</v>
      </c>
      <c r="M3448" s="13" t="n">
        <f aca="false">MAX(0,F3448-I3448-J3448)</f>
        <v>0</v>
      </c>
      <c r="N3448" s="13" t="n">
        <f aca="false">IF(Kalender!A154="",0,J3447-H3448)</f>
        <v>0.01206576</v>
      </c>
    </row>
    <row r="3449" customFormat="false" ht="16.4" hidden="false" customHeight="false" outlineLevel="0" collapsed="false">
      <c r="A3449" s="13" t="str">
        <f aca="false">""</f>
        <v/>
      </c>
      <c r="B3449" s="13" t="n">
        <f aca="false">151</f>
        <v>151</v>
      </c>
      <c r="C3449" s="13" t="n">
        <f aca="false">IF(Szenarien!$H$20="OK",(IFERROR(SUMIF(Nutzungsprofile!$B$6:$B$11,"Schulbetrieb",Nutzungsprofile!$G$6:$G$11)*Kalender!C155/SUM(Kalender!$C$5:$C$370),0)+IFERROR(SUMIF(Nutzungsprofile!$B$6:$B$11,"Halle",Nutzungsprofile!$G$6:$G$11)*Kalender!D155/SUM(Kalender!$D$5:$D$370),0)+IFERROR(SUMIF(Nutzungsprofile!$B$6:$B$11,"Individuell",Nutzungsprofile!$G$6:$G$11)*Kalender!E155/SUM(Kalender!$E$5:$E$370),0))*Szenarien!$E$20,0)</f>
        <v>1.632</v>
      </c>
      <c r="D3449" s="13" t="n">
        <f aca="false">IF(Szenarien!$H$20="OK",(IFERROR(SUMIF(Nutzungsprofile!$B$17:$B$22,"Schulbetrieb",Nutzungsprofile!$G$17:$G$22)*Kalender!C155/SUM(Kalender!$C$5:$C$370),0)+IFERROR(SUMIF(Nutzungsprofile!$B$17:$B$22,"Halle",Nutzungsprofile!$G$17:$G$22)*Kalender!D155/SUM(Kalender!$D$5:$D$370),0)+IFERROR(SUMIF(Nutzungsprofile!$B$17:$B$22,"Individuell",Nutzungsprofile!$G$17:$G$22)*Kalender!E155/SUM(Kalender!$E$5:$E$370),0))*Szenarien!$D$20,0)</f>
        <v>0.89</v>
      </c>
      <c r="E3449" s="13" t="n">
        <f aca="false">IFERROR(MIN(C3449,Eingaben!$B$17)*Eingaben!$B$16,0)</f>
        <v>1.5504</v>
      </c>
      <c r="F3449" s="13" t="n">
        <f aca="false">IFERROR(E3449*Eingaben!$B$15,0)</f>
        <v>1.39536</v>
      </c>
      <c r="G3449" s="13" t="n">
        <f aca="false">IFERROR(IF(Kalender!A155="",0,J3448*(1-Eingaben!$B$20)),0)</f>
        <v>1.0746505952</v>
      </c>
      <c r="H3449" s="13" t="n">
        <f aca="false">MIN(G3449,D3449)</f>
        <v>0.89</v>
      </c>
      <c r="I3449" s="13" t="n">
        <f aca="false">IFERROR(MIN(F3449*Eingaben!$B$19,MAX(0,D3449-H3449)),0)</f>
        <v>0</v>
      </c>
      <c r="J3449" s="13" t="n">
        <f aca="false">IFERROR(MIN(Eingaben!$B$18,MAX(0,F3449-I3449)),0)</f>
        <v>1.39536</v>
      </c>
      <c r="K3449" s="13" t="n">
        <f aca="false">H3449+I3449</f>
        <v>0.89</v>
      </c>
      <c r="L3449" s="13" t="n">
        <f aca="false">MAX(0,D3449-K3449)</f>
        <v>0</v>
      </c>
      <c r="M3449" s="13" t="n">
        <f aca="false">MAX(0,F3449-I3449-J3449)</f>
        <v>0</v>
      </c>
      <c r="N3449" s="13" t="n">
        <f aca="false">IF(Kalender!A155="",0,J3448-H3449)</f>
        <v>0.20658224</v>
      </c>
    </row>
    <row r="3450" customFormat="false" ht="16.4" hidden="false" customHeight="false" outlineLevel="0" collapsed="false">
      <c r="A3450" s="13" t="str">
        <f aca="false">""</f>
        <v/>
      </c>
      <c r="B3450" s="13" t="n">
        <f aca="false">152</f>
        <v>152</v>
      </c>
      <c r="C3450" s="13" t="n">
        <f aca="false">IF(Szenarien!$H$20="OK",(IFERROR(SUMIF(Nutzungsprofile!$B$6:$B$11,"Schulbetrieb",Nutzungsprofile!$G$6:$G$11)*Kalender!C156/SUM(Kalender!$C$5:$C$370),0)+IFERROR(SUMIF(Nutzungsprofile!$B$6:$B$11,"Halle",Nutzungsprofile!$G$6:$G$11)*Kalender!D156/SUM(Kalender!$D$5:$D$370),0)+IFERROR(SUMIF(Nutzungsprofile!$B$6:$B$11,"Individuell",Nutzungsprofile!$G$6:$G$11)*Kalender!E156/SUM(Kalender!$E$5:$E$370),0))*Szenarien!$E$20,0)</f>
        <v>2.352</v>
      </c>
      <c r="D3450" s="13" t="n">
        <f aca="false">IF(Szenarien!$H$20="OK",(IFERROR(SUMIF(Nutzungsprofile!$B$17:$B$22,"Schulbetrieb",Nutzungsprofile!$G$17:$G$22)*Kalender!C156/SUM(Kalender!$C$5:$C$370),0)+IFERROR(SUMIF(Nutzungsprofile!$B$17:$B$22,"Halle",Nutzungsprofile!$G$17:$G$22)*Kalender!D156/SUM(Kalender!$D$5:$D$370),0)+IFERROR(SUMIF(Nutzungsprofile!$B$17:$B$22,"Individuell",Nutzungsprofile!$G$17:$G$22)*Kalender!E156/SUM(Kalender!$E$5:$E$370),0))*Szenarien!$D$20,0)</f>
        <v>4.94</v>
      </c>
      <c r="E3450" s="13" t="n">
        <f aca="false">IFERROR(MIN(C3450,Eingaben!$B$17)*Eingaben!$B$16,0)</f>
        <v>2.2344</v>
      </c>
      <c r="F3450" s="13" t="n">
        <f aca="false">IFERROR(E3450*Eingaben!$B$15,0)</f>
        <v>2.01096</v>
      </c>
      <c r="G3450" s="13" t="n">
        <f aca="false">IFERROR(IF(Kalender!A156="",0,J3449*(1-Eingaben!$B$20)),0)</f>
        <v>1.3674528</v>
      </c>
      <c r="H3450" s="13" t="n">
        <f aca="false">MIN(G3450,D3450)</f>
        <v>1.3674528</v>
      </c>
      <c r="I3450" s="13" t="n">
        <f aca="false">IFERROR(MIN(F3450*Eingaben!$B$19,MAX(0,D3450-H3450)),0)</f>
        <v>1.407672</v>
      </c>
      <c r="J3450" s="13" t="n">
        <f aca="false">IFERROR(MIN(Eingaben!$B$18,MAX(0,F3450-I3450)),0)</f>
        <v>0.603288</v>
      </c>
      <c r="K3450" s="13" t="n">
        <f aca="false">H3450+I3450</f>
        <v>2.7751248</v>
      </c>
      <c r="L3450" s="13" t="n">
        <f aca="false">MAX(0,D3450-K3450)</f>
        <v>2.1648752</v>
      </c>
      <c r="M3450" s="13" t="n">
        <f aca="false">MAX(0,F3450-I3450-J3450)</f>
        <v>0</v>
      </c>
      <c r="N3450" s="13" t="n">
        <f aca="false">IF(Kalender!A156="",0,J3449-H3450)</f>
        <v>0.0279072</v>
      </c>
    </row>
    <row r="3451" customFormat="false" ht="16.4" hidden="false" customHeight="false" outlineLevel="0" collapsed="false">
      <c r="A3451" s="13" t="str">
        <f aca="false">""</f>
        <v/>
      </c>
      <c r="B3451" s="13" t="n">
        <f aca="false">153</f>
        <v>153</v>
      </c>
      <c r="C3451" s="13" t="n">
        <f aca="false">IF(Szenarien!$H$20="OK",(IFERROR(SUMIF(Nutzungsprofile!$B$6:$B$11,"Schulbetrieb",Nutzungsprofile!$G$6:$G$11)*Kalender!C157/SUM(Kalender!$C$5:$C$370),0)+IFERROR(SUMIF(Nutzungsprofile!$B$6:$B$11,"Halle",Nutzungsprofile!$G$6:$G$11)*Kalender!D157/SUM(Kalender!$D$5:$D$370),0)+IFERROR(SUMIF(Nutzungsprofile!$B$6:$B$11,"Individuell",Nutzungsprofile!$G$6:$G$11)*Kalender!E157/SUM(Kalender!$E$5:$E$370),0))*Szenarien!$E$20,0)</f>
        <v>2.352</v>
      </c>
      <c r="D3451" s="13" t="n">
        <f aca="false">IF(Szenarien!$H$20="OK",(IFERROR(SUMIF(Nutzungsprofile!$B$17:$B$22,"Schulbetrieb",Nutzungsprofile!$G$17:$G$22)*Kalender!C157/SUM(Kalender!$C$5:$C$370),0)+IFERROR(SUMIF(Nutzungsprofile!$B$17:$B$22,"Halle",Nutzungsprofile!$G$17:$G$22)*Kalender!D157/SUM(Kalender!$D$5:$D$370),0)+IFERROR(SUMIF(Nutzungsprofile!$B$17:$B$22,"Individuell",Nutzungsprofile!$G$17:$G$22)*Kalender!E157/SUM(Kalender!$E$5:$E$370),0))*Szenarien!$D$20,0)</f>
        <v>4.94</v>
      </c>
      <c r="E3451" s="13" t="n">
        <f aca="false">IFERROR(MIN(C3451,Eingaben!$B$17)*Eingaben!$B$16,0)</f>
        <v>2.2344</v>
      </c>
      <c r="F3451" s="13" t="n">
        <f aca="false">IFERROR(E3451*Eingaben!$B$15,0)</f>
        <v>2.01096</v>
      </c>
      <c r="G3451" s="13" t="n">
        <f aca="false">IFERROR(IF(Kalender!A157="",0,J3450*(1-Eingaben!$B$20)),0)</f>
        <v>0.59122224</v>
      </c>
      <c r="H3451" s="13" t="n">
        <f aca="false">MIN(G3451,D3451)</f>
        <v>0.59122224</v>
      </c>
      <c r="I3451" s="13" t="n">
        <f aca="false">IFERROR(MIN(F3451*Eingaben!$B$19,MAX(0,D3451-H3451)),0)</f>
        <v>1.407672</v>
      </c>
      <c r="J3451" s="13" t="n">
        <f aca="false">IFERROR(MIN(Eingaben!$B$18,MAX(0,F3451-I3451)),0)</f>
        <v>0.603288</v>
      </c>
      <c r="K3451" s="13" t="n">
        <f aca="false">H3451+I3451</f>
        <v>1.99889424</v>
      </c>
      <c r="L3451" s="13" t="n">
        <f aca="false">MAX(0,D3451-K3451)</f>
        <v>2.94110576</v>
      </c>
      <c r="M3451" s="13" t="n">
        <f aca="false">MAX(0,F3451-I3451-J3451)</f>
        <v>0</v>
      </c>
      <c r="N3451" s="13" t="n">
        <f aca="false">IF(Kalender!A157="",0,J3450-H3451)</f>
        <v>0.01206576</v>
      </c>
    </row>
    <row r="3452" customFormat="false" ht="16.4" hidden="false" customHeight="false" outlineLevel="0" collapsed="false">
      <c r="A3452" s="13" t="str">
        <f aca="false">""</f>
        <v/>
      </c>
      <c r="B3452" s="13" t="n">
        <f aca="false">154</f>
        <v>154</v>
      </c>
      <c r="C3452" s="13" t="n">
        <f aca="false">IF(Szenarien!$H$20="OK",(IFERROR(SUMIF(Nutzungsprofile!$B$6:$B$11,"Schulbetrieb",Nutzungsprofile!$G$6:$G$11)*Kalender!C158/SUM(Kalender!$C$5:$C$370),0)+IFERROR(SUMIF(Nutzungsprofile!$B$6:$B$11,"Halle",Nutzungsprofile!$G$6:$G$11)*Kalender!D158/SUM(Kalender!$D$5:$D$370),0)+IFERROR(SUMIF(Nutzungsprofile!$B$6:$B$11,"Individuell",Nutzungsprofile!$G$6:$G$11)*Kalender!E158/SUM(Kalender!$E$5:$E$370),0))*Szenarien!$E$20,0)</f>
        <v>2.352</v>
      </c>
      <c r="D3452" s="13" t="n">
        <f aca="false">IF(Szenarien!$H$20="OK",(IFERROR(SUMIF(Nutzungsprofile!$B$17:$B$22,"Schulbetrieb",Nutzungsprofile!$G$17:$G$22)*Kalender!C158/SUM(Kalender!$C$5:$C$370),0)+IFERROR(SUMIF(Nutzungsprofile!$B$17:$B$22,"Halle",Nutzungsprofile!$G$17:$G$22)*Kalender!D158/SUM(Kalender!$D$5:$D$370),0)+IFERROR(SUMIF(Nutzungsprofile!$B$17:$B$22,"Individuell",Nutzungsprofile!$G$17:$G$22)*Kalender!E158/SUM(Kalender!$E$5:$E$370),0))*Szenarien!$D$20,0)</f>
        <v>4.94</v>
      </c>
      <c r="E3452" s="13" t="n">
        <f aca="false">IFERROR(MIN(C3452,Eingaben!$B$17)*Eingaben!$B$16,0)</f>
        <v>2.2344</v>
      </c>
      <c r="F3452" s="13" t="n">
        <f aca="false">IFERROR(E3452*Eingaben!$B$15,0)</f>
        <v>2.01096</v>
      </c>
      <c r="G3452" s="13" t="n">
        <f aca="false">IFERROR(IF(Kalender!A158="",0,J3451*(1-Eingaben!$B$20)),0)</f>
        <v>0.59122224</v>
      </c>
      <c r="H3452" s="13" t="n">
        <f aca="false">MIN(G3452,D3452)</f>
        <v>0.59122224</v>
      </c>
      <c r="I3452" s="13" t="n">
        <f aca="false">IFERROR(MIN(F3452*Eingaben!$B$19,MAX(0,D3452-H3452)),0)</f>
        <v>1.407672</v>
      </c>
      <c r="J3452" s="13" t="n">
        <f aca="false">IFERROR(MIN(Eingaben!$B$18,MAX(0,F3452-I3452)),0)</f>
        <v>0.603288</v>
      </c>
      <c r="K3452" s="13" t="n">
        <f aca="false">H3452+I3452</f>
        <v>1.99889424</v>
      </c>
      <c r="L3452" s="13" t="n">
        <f aca="false">MAX(0,D3452-K3452)</f>
        <v>2.94110576</v>
      </c>
      <c r="M3452" s="13" t="n">
        <f aca="false">MAX(0,F3452-I3452-J3452)</f>
        <v>0</v>
      </c>
      <c r="N3452" s="13" t="n">
        <f aca="false">IF(Kalender!A158="",0,J3451-H3452)</f>
        <v>0.01206576</v>
      </c>
    </row>
    <row r="3453" customFormat="false" ht="16.4" hidden="false" customHeight="false" outlineLevel="0" collapsed="false">
      <c r="A3453" s="13" t="str">
        <f aca="false">""</f>
        <v/>
      </c>
      <c r="B3453" s="13" t="n">
        <f aca="false">155</f>
        <v>155</v>
      </c>
      <c r="C3453" s="13" t="n">
        <f aca="false">IF(Szenarien!$H$20="OK",(IFERROR(SUMIF(Nutzungsprofile!$B$6:$B$11,"Schulbetrieb",Nutzungsprofile!$G$6:$G$11)*Kalender!C159/SUM(Kalender!$C$5:$C$370),0)+IFERROR(SUMIF(Nutzungsprofile!$B$6:$B$11,"Halle",Nutzungsprofile!$G$6:$G$11)*Kalender!D159/SUM(Kalender!$D$5:$D$370),0)+IFERROR(SUMIF(Nutzungsprofile!$B$6:$B$11,"Individuell",Nutzungsprofile!$G$6:$G$11)*Kalender!E159/SUM(Kalender!$E$5:$E$370),0))*Szenarien!$E$20,0)</f>
        <v>2.352</v>
      </c>
      <c r="D3453" s="13" t="n">
        <f aca="false">IF(Szenarien!$H$20="OK",(IFERROR(SUMIF(Nutzungsprofile!$B$17:$B$22,"Schulbetrieb",Nutzungsprofile!$G$17:$G$22)*Kalender!C159/SUM(Kalender!$C$5:$C$370),0)+IFERROR(SUMIF(Nutzungsprofile!$B$17:$B$22,"Halle",Nutzungsprofile!$G$17:$G$22)*Kalender!D159/SUM(Kalender!$D$5:$D$370),0)+IFERROR(SUMIF(Nutzungsprofile!$B$17:$B$22,"Individuell",Nutzungsprofile!$G$17:$G$22)*Kalender!E159/SUM(Kalender!$E$5:$E$370),0))*Szenarien!$D$20,0)</f>
        <v>4.94</v>
      </c>
      <c r="E3453" s="13" t="n">
        <f aca="false">IFERROR(MIN(C3453,Eingaben!$B$17)*Eingaben!$B$16,0)</f>
        <v>2.2344</v>
      </c>
      <c r="F3453" s="13" t="n">
        <f aca="false">IFERROR(E3453*Eingaben!$B$15,0)</f>
        <v>2.01096</v>
      </c>
      <c r="G3453" s="13" t="n">
        <f aca="false">IFERROR(IF(Kalender!A159="",0,J3452*(1-Eingaben!$B$20)),0)</f>
        <v>0.59122224</v>
      </c>
      <c r="H3453" s="13" t="n">
        <f aca="false">MIN(G3453,D3453)</f>
        <v>0.59122224</v>
      </c>
      <c r="I3453" s="13" t="n">
        <f aca="false">IFERROR(MIN(F3453*Eingaben!$B$19,MAX(0,D3453-H3453)),0)</f>
        <v>1.407672</v>
      </c>
      <c r="J3453" s="13" t="n">
        <f aca="false">IFERROR(MIN(Eingaben!$B$18,MAX(0,F3453-I3453)),0)</f>
        <v>0.603288</v>
      </c>
      <c r="K3453" s="13" t="n">
        <f aca="false">H3453+I3453</f>
        <v>1.99889424</v>
      </c>
      <c r="L3453" s="13" t="n">
        <f aca="false">MAX(0,D3453-K3453)</f>
        <v>2.94110576</v>
      </c>
      <c r="M3453" s="13" t="n">
        <f aca="false">MAX(0,F3453-I3453-J3453)</f>
        <v>0</v>
      </c>
      <c r="N3453" s="13" t="n">
        <f aca="false">IF(Kalender!A159="",0,J3452-H3453)</f>
        <v>0.01206576</v>
      </c>
    </row>
    <row r="3454" customFormat="false" ht="16.4" hidden="false" customHeight="false" outlineLevel="0" collapsed="false">
      <c r="A3454" s="13" t="str">
        <f aca="false">""</f>
        <v/>
      </c>
      <c r="B3454" s="13" t="n">
        <f aca="false">156</f>
        <v>156</v>
      </c>
      <c r="C3454" s="13" t="n">
        <f aca="false">IF(Szenarien!$H$20="OK",(IFERROR(SUMIF(Nutzungsprofile!$B$6:$B$11,"Schulbetrieb",Nutzungsprofile!$G$6:$G$11)*Kalender!C160/SUM(Kalender!$C$5:$C$370),0)+IFERROR(SUMIF(Nutzungsprofile!$B$6:$B$11,"Halle",Nutzungsprofile!$G$6:$G$11)*Kalender!D160/SUM(Kalender!$D$5:$D$370),0)+IFERROR(SUMIF(Nutzungsprofile!$B$6:$B$11,"Individuell",Nutzungsprofile!$G$6:$G$11)*Kalender!E160/SUM(Kalender!$E$5:$E$370),0))*Szenarien!$E$20,0)</f>
        <v>2.352</v>
      </c>
      <c r="D3454" s="13" t="n">
        <f aca="false">IF(Szenarien!$H$20="OK",(IFERROR(SUMIF(Nutzungsprofile!$B$17:$B$22,"Schulbetrieb",Nutzungsprofile!$G$17:$G$22)*Kalender!C160/SUM(Kalender!$C$5:$C$370),0)+IFERROR(SUMIF(Nutzungsprofile!$B$17:$B$22,"Halle",Nutzungsprofile!$G$17:$G$22)*Kalender!D160/SUM(Kalender!$D$5:$D$370),0)+IFERROR(SUMIF(Nutzungsprofile!$B$17:$B$22,"Individuell",Nutzungsprofile!$G$17:$G$22)*Kalender!E160/SUM(Kalender!$E$5:$E$370),0))*Szenarien!$D$20,0)</f>
        <v>4.94</v>
      </c>
      <c r="E3454" s="13" t="n">
        <f aca="false">IFERROR(MIN(C3454,Eingaben!$B$17)*Eingaben!$B$16,0)</f>
        <v>2.2344</v>
      </c>
      <c r="F3454" s="13" t="n">
        <f aca="false">IFERROR(E3454*Eingaben!$B$15,0)</f>
        <v>2.01096</v>
      </c>
      <c r="G3454" s="13" t="n">
        <f aca="false">IFERROR(IF(Kalender!A160="",0,J3453*(1-Eingaben!$B$20)),0)</f>
        <v>0.59122224</v>
      </c>
      <c r="H3454" s="13" t="n">
        <f aca="false">MIN(G3454,D3454)</f>
        <v>0.59122224</v>
      </c>
      <c r="I3454" s="13" t="n">
        <f aca="false">IFERROR(MIN(F3454*Eingaben!$B$19,MAX(0,D3454-H3454)),0)</f>
        <v>1.407672</v>
      </c>
      <c r="J3454" s="13" t="n">
        <f aca="false">IFERROR(MIN(Eingaben!$B$18,MAX(0,F3454-I3454)),0)</f>
        <v>0.603288</v>
      </c>
      <c r="K3454" s="13" t="n">
        <f aca="false">H3454+I3454</f>
        <v>1.99889424</v>
      </c>
      <c r="L3454" s="13" t="n">
        <f aca="false">MAX(0,D3454-K3454)</f>
        <v>2.94110576</v>
      </c>
      <c r="M3454" s="13" t="n">
        <f aca="false">MAX(0,F3454-I3454-J3454)</f>
        <v>0</v>
      </c>
      <c r="N3454" s="13" t="n">
        <f aca="false">IF(Kalender!A160="",0,J3453-H3454)</f>
        <v>0.01206576</v>
      </c>
    </row>
    <row r="3455" customFormat="false" ht="16.4" hidden="false" customHeight="false" outlineLevel="0" collapsed="false">
      <c r="A3455" s="13" t="str">
        <f aca="false">""</f>
        <v/>
      </c>
      <c r="B3455" s="13" t="n">
        <f aca="false">157</f>
        <v>157</v>
      </c>
      <c r="C3455" s="13" t="n">
        <f aca="false">IF(Szenarien!$H$20="OK",(IFERROR(SUMIF(Nutzungsprofile!$B$6:$B$11,"Schulbetrieb",Nutzungsprofile!$G$6:$G$11)*Kalender!C161/SUM(Kalender!$C$5:$C$370),0)+IFERROR(SUMIF(Nutzungsprofile!$B$6:$B$11,"Halle",Nutzungsprofile!$G$6:$G$11)*Kalender!D161/SUM(Kalender!$D$5:$D$370),0)+IFERROR(SUMIF(Nutzungsprofile!$B$6:$B$11,"Individuell",Nutzungsprofile!$G$6:$G$11)*Kalender!E161/SUM(Kalender!$E$5:$E$370),0))*Szenarien!$E$20,0)</f>
        <v>1.632</v>
      </c>
      <c r="D3455" s="13" t="n">
        <f aca="false">IF(Szenarien!$H$20="OK",(IFERROR(SUMIF(Nutzungsprofile!$B$17:$B$22,"Schulbetrieb",Nutzungsprofile!$G$17:$G$22)*Kalender!C161/SUM(Kalender!$C$5:$C$370),0)+IFERROR(SUMIF(Nutzungsprofile!$B$17:$B$22,"Halle",Nutzungsprofile!$G$17:$G$22)*Kalender!D161/SUM(Kalender!$D$5:$D$370),0)+IFERROR(SUMIF(Nutzungsprofile!$B$17:$B$22,"Individuell",Nutzungsprofile!$G$17:$G$22)*Kalender!E161/SUM(Kalender!$E$5:$E$370),0))*Szenarien!$D$20,0)</f>
        <v>0.89</v>
      </c>
      <c r="E3455" s="13" t="n">
        <f aca="false">IFERROR(MIN(C3455,Eingaben!$B$17)*Eingaben!$B$16,0)</f>
        <v>1.5504</v>
      </c>
      <c r="F3455" s="13" t="n">
        <f aca="false">IFERROR(E3455*Eingaben!$B$15,0)</f>
        <v>1.39536</v>
      </c>
      <c r="G3455" s="13" t="n">
        <f aca="false">IFERROR(IF(Kalender!A161="",0,J3454*(1-Eingaben!$B$20)),0)</f>
        <v>0.59122224</v>
      </c>
      <c r="H3455" s="13" t="n">
        <f aca="false">MIN(G3455,D3455)</f>
        <v>0.59122224</v>
      </c>
      <c r="I3455" s="13" t="n">
        <f aca="false">IFERROR(MIN(F3455*Eingaben!$B$19,MAX(0,D3455-H3455)),0)</f>
        <v>0.29877776</v>
      </c>
      <c r="J3455" s="13" t="n">
        <f aca="false">IFERROR(MIN(Eingaben!$B$18,MAX(0,F3455-I3455)),0)</f>
        <v>1.09658224</v>
      </c>
      <c r="K3455" s="13" t="n">
        <f aca="false">H3455+I3455</f>
        <v>0.89</v>
      </c>
      <c r="L3455" s="13" t="n">
        <f aca="false">MAX(0,D3455-K3455)</f>
        <v>0</v>
      </c>
      <c r="M3455" s="13" t="n">
        <f aca="false">MAX(0,F3455-I3455-J3455)</f>
        <v>0</v>
      </c>
      <c r="N3455" s="13" t="n">
        <f aca="false">IF(Kalender!A161="",0,J3454-H3455)</f>
        <v>0.01206576</v>
      </c>
    </row>
    <row r="3456" customFormat="false" ht="16.4" hidden="false" customHeight="false" outlineLevel="0" collapsed="false">
      <c r="A3456" s="13" t="str">
        <f aca="false">""</f>
        <v/>
      </c>
      <c r="B3456" s="13" t="n">
        <f aca="false">158</f>
        <v>158</v>
      </c>
      <c r="C3456" s="13" t="n">
        <f aca="false">IF(Szenarien!$H$20="OK",(IFERROR(SUMIF(Nutzungsprofile!$B$6:$B$11,"Schulbetrieb",Nutzungsprofile!$G$6:$G$11)*Kalender!C162/SUM(Kalender!$C$5:$C$370),0)+IFERROR(SUMIF(Nutzungsprofile!$B$6:$B$11,"Halle",Nutzungsprofile!$G$6:$G$11)*Kalender!D162/SUM(Kalender!$D$5:$D$370),0)+IFERROR(SUMIF(Nutzungsprofile!$B$6:$B$11,"Individuell",Nutzungsprofile!$G$6:$G$11)*Kalender!E162/SUM(Kalender!$E$5:$E$370),0))*Szenarien!$E$20,0)</f>
        <v>1.632</v>
      </c>
      <c r="D3456" s="13" t="n">
        <f aca="false">IF(Szenarien!$H$20="OK",(IFERROR(SUMIF(Nutzungsprofile!$B$17:$B$22,"Schulbetrieb",Nutzungsprofile!$G$17:$G$22)*Kalender!C162/SUM(Kalender!$C$5:$C$370),0)+IFERROR(SUMIF(Nutzungsprofile!$B$17:$B$22,"Halle",Nutzungsprofile!$G$17:$G$22)*Kalender!D162/SUM(Kalender!$D$5:$D$370),0)+IFERROR(SUMIF(Nutzungsprofile!$B$17:$B$22,"Individuell",Nutzungsprofile!$G$17:$G$22)*Kalender!E162/SUM(Kalender!$E$5:$E$370),0))*Szenarien!$D$20,0)</f>
        <v>0.89</v>
      </c>
      <c r="E3456" s="13" t="n">
        <f aca="false">IFERROR(MIN(C3456,Eingaben!$B$17)*Eingaben!$B$16,0)</f>
        <v>1.5504</v>
      </c>
      <c r="F3456" s="13" t="n">
        <f aca="false">IFERROR(E3456*Eingaben!$B$15,0)</f>
        <v>1.39536</v>
      </c>
      <c r="G3456" s="13" t="n">
        <f aca="false">IFERROR(IF(Kalender!A162="",0,J3455*(1-Eingaben!$B$20)),0)</f>
        <v>1.0746505952</v>
      </c>
      <c r="H3456" s="13" t="n">
        <f aca="false">MIN(G3456,D3456)</f>
        <v>0.89</v>
      </c>
      <c r="I3456" s="13" t="n">
        <f aca="false">IFERROR(MIN(F3456*Eingaben!$B$19,MAX(0,D3456-H3456)),0)</f>
        <v>0</v>
      </c>
      <c r="J3456" s="13" t="n">
        <f aca="false">IFERROR(MIN(Eingaben!$B$18,MAX(0,F3456-I3456)),0)</f>
        <v>1.39536</v>
      </c>
      <c r="K3456" s="13" t="n">
        <f aca="false">H3456+I3456</f>
        <v>0.89</v>
      </c>
      <c r="L3456" s="13" t="n">
        <f aca="false">MAX(0,D3456-K3456)</f>
        <v>0</v>
      </c>
      <c r="M3456" s="13" t="n">
        <f aca="false">MAX(0,F3456-I3456-J3456)</f>
        <v>0</v>
      </c>
      <c r="N3456" s="13" t="n">
        <f aca="false">IF(Kalender!A162="",0,J3455-H3456)</f>
        <v>0.20658224</v>
      </c>
    </row>
    <row r="3457" customFormat="false" ht="16.4" hidden="false" customHeight="false" outlineLevel="0" collapsed="false">
      <c r="A3457" s="13" t="str">
        <f aca="false">""</f>
        <v/>
      </c>
      <c r="B3457" s="13" t="n">
        <f aca="false">159</f>
        <v>159</v>
      </c>
      <c r="C3457" s="13" t="n">
        <f aca="false">IF(Szenarien!$H$20="OK",(IFERROR(SUMIF(Nutzungsprofile!$B$6:$B$11,"Schulbetrieb",Nutzungsprofile!$G$6:$G$11)*Kalender!C163/SUM(Kalender!$C$5:$C$370),0)+IFERROR(SUMIF(Nutzungsprofile!$B$6:$B$11,"Halle",Nutzungsprofile!$G$6:$G$11)*Kalender!D163/SUM(Kalender!$D$5:$D$370),0)+IFERROR(SUMIF(Nutzungsprofile!$B$6:$B$11,"Individuell",Nutzungsprofile!$G$6:$G$11)*Kalender!E163/SUM(Kalender!$E$5:$E$370),0))*Szenarien!$E$20,0)</f>
        <v>2.352</v>
      </c>
      <c r="D3457" s="13" t="n">
        <f aca="false">IF(Szenarien!$H$20="OK",(IFERROR(SUMIF(Nutzungsprofile!$B$17:$B$22,"Schulbetrieb",Nutzungsprofile!$G$17:$G$22)*Kalender!C163/SUM(Kalender!$C$5:$C$370),0)+IFERROR(SUMIF(Nutzungsprofile!$B$17:$B$22,"Halle",Nutzungsprofile!$G$17:$G$22)*Kalender!D163/SUM(Kalender!$D$5:$D$370),0)+IFERROR(SUMIF(Nutzungsprofile!$B$17:$B$22,"Individuell",Nutzungsprofile!$G$17:$G$22)*Kalender!E163/SUM(Kalender!$E$5:$E$370),0))*Szenarien!$D$20,0)</f>
        <v>4.94</v>
      </c>
      <c r="E3457" s="13" t="n">
        <f aca="false">IFERROR(MIN(C3457,Eingaben!$B$17)*Eingaben!$B$16,0)</f>
        <v>2.2344</v>
      </c>
      <c r="F3457" s="13" t="n">
        <f aca="false">IFERROR(E3457*Eingaben!$B$15,0)</f>
        <v>2.01096</v>
      </c>
      <c r="G3457" s="13" t="n">
        <f aca="false">IFERROR(IF(Kalender!A163="",0,J3456*(1-Eingaben!$B$20)),0)</f>
        <v>1.3674528</v>
      </c>
      <c r="H3457" s="13" t="n">
        <f aca="false">MIN(G3457,D3457)</f>
        <v>1.3674528</v>
      </c>
      <c r="I3457" s="13" t="n">
        <f aca="false">IFERROR(MIN(F3457*Eingaben!$B$19,MAX(0,D3457-H3457)),0)</f>
        <v>1.407672</v>
      </c>
      <c r="J3457" s="13" t="n">
        <f aca="false">IFERROR(MIN(Eingaben!$B$18,MAX(0,F3457-I3457)),0)</f>
        <v>0.603288</v>
      </c>
      <c r="K3457" s="13" t="n">
        <f aca="false">H3457+I3457</f>
        <v>2.7751248</v>
      </c>
      <c r="L3457" s="13" t="n">
        <f aca="false">MAX(0,D3457-K3457)</f>
        <v>2.1648752</v>
      </c>
      <c r="M3457" s="13" t="n">
        <f aca="false">MAX(0,F3457-I3457-J3457)</f>
        <v>0</v>
      </c>
      <c r="N3457" s="13" t="n">
        <f aca="false">IF(Kalender!A163="",0,J3456-H3457)</f>
        <v>0.0279072</v>
      </c>
    </row>
    <row r="3458" customFormat="false" ht="16.4" hidden="false" customHeight="false" outlineLevel="0" collapsed="false">
      <c r="A3458" s="13" t="str">
        <f aca="false">""</f>
        <v/>
      </c>
      <c r="B3458" s="13" t="n">
        <f aca="false">160</f>
        <v>160</v>
      </c>
      <c r="C3458" s="13" t="n">
        <f aca="false">IF(Szenarien!$H$20="OK",(IFERROR(SUMIF(Nutzungsprofile!$B$6:$B$11,"Schulbetrieb",Nutzungsprofile!$G$6:$G$11)*Kalender!C164/SUM(Kalender!$C$5:$C$370),0)+IFERROR(SUMIF(Nutzungsprofile!$B$6:$B$11,"Halle",Nutzungsprofile!$G$6:$G$11)*Kalender!D164/SUM(Kalender!$D$5:$D$370),0)+IFERROR(SUMIF(Nutzungsprofile!$B$6:$B$11,"Individuell",Nutzungsprofile!$G$6:$G$11)*Kalender!E164/SUM(Kalender!$E$5:$E$370),0))*Szenarien!$E$20,0)</f>
        <v>2.352</v>
      </c>
      <c r="D3458" s="13" t="n">
        <f aca="false">IF(Szenarien!$H$20="OK",(IFERROR(SUMIF(Nutzungsprofile!$B$17:$B$22,"Schulbetrieb",Nutzungsprofile!$G$17:$G$22)*Kalender!C164/SUM(Kalender!$C$5:$C$370),0)+IFERROR(SUMIF(Nutzungsprofile!$B$17:$B$22,"Halle",Nutzungsprofile!$G$17:$G$22)*Kalender!D164/SUM(Kalender!$D$5:$D$370),0)+IFERROR(SUMIF(Nutzungsprofile!$B$17:$B$22,"Individuell",Nutzungsprofile!$G$17:$G$22)*Kalender!E164/SUM(Kalender!$E$5:$E$370),0))*Szenarien!$D$20,0)</f>
        <v>4.94</v>
      </c>
      <c r="E3458" s="13" t="n">
        <f aca="false">IFERROR(MIN(C3458,Eingaben!$B$17)*Eingaben!$B$16,0)</f>
        <v>2.2344</v>
      </c>
      <c r="F3458" s="13" t="n">
        <f aca="false">IFERROR(E3458*Eingaben!$B$15,0)</f>
        <v>2.01096</v>
      </c>
      <c r="G3458" s="13" t="n">
        <f aca="false">IFERROR(IF(Kalender!A164="",0,J3457*(1-Eingaben!$B$20)),0)</f>
        <v>0.59122224</v>
      </c>
      <c r="H3458" s="13" t="n">
        <f aca="false">MIN(G3458,D3458)</f>
        <v>0.59122224</v>
      </c>
      <c r="I3458" s="13" t="n">
        <f aca="false">IFERROR(MIN(F3458*Eingaben!$B$19,MAX(0,D3458-H3458)),0)</f>
        <v>1.407672</v>
      </c>
      <c r="J3458" s="13" t="n">
        <f aca="false">IFERROR(MIN(Eingaben!$B$18,MAX(0,F3458-I3458)),0)</f>
        <v>0.603288</v>
      </c>
      <c r="K3458" s="13" t="n">
        <f aca="false">H3458+I3458</f>
        <v>1.99889424</v>
      </c>
      <c r="L3458" s="13" t="n">
        <f aca="false">MAX(0,D3458-K3458)</f>
        <v>2.94110576</v>
      </c>
      <c r="M3458" s="13" t="n">
        <f aca="false">MAX(0,F3458-I3458-J3458)</f>
        <v>0</v>
      </c>
      <c r="N3458" s="13" t="n">
        <f aca="false">IF(Kalender!A164="",0,J3457-H3458)</f>
        <v>0.01206576</v>
      </c>
    </row>
    <row r="3459" customFormat="false" ht="16.4" hidden="false" customHeight="false" outlineLevel="0" collapsed="false">
      <c r="A3459" s="13" t="str">
        <f aca="false">""</f>
        <v/>
      </c>
      <c r="B3459" s="13" t="n">
        <f aca="false">161</f>
        <v>161</v>
      </c>
      <c r="C3459" s="13" t="n">
        <f aca="false">IF(Szenarien!$H$20="OK",(IFERROR(SUMIF(Nutzungsprofile!$B$6:$B$11,"Schulbetrieb",Nutzungsprofile!$G$6:$G$11)*Kalender!C165/SUM(Kalender!$C$5:$C$370),0)+IFERROR(SUMIF(Nutzungsprofile!$B$6:$B$11,"Halle",Nutzungsprofile!$G$6:$G$11)*Kalender!D165/SUM(Kalender!$D$5:$D$370),0)+IFERROR(SUMIF(Nutzungsprofile!$B$6:$B$11,"Individuell",Nutzungsprofile!$G$6:$G$11)*Kalender!E165/SUM(Kalender!$E$5:$E$370),0))*Szenarien!$E$20,0)</f>
        <v>2.352</v>
      </c>
      <c r="D3459" s="13" t="n">
        <f aca="false">IF(Szenarien!$H$20="OK",(IFERROR(SUMIF(Nutzungsprofile!$B$17:$B$22,"Schulbetrieb",Nutzungsprofile!$G$17:$G$22)*Kalender!C165/SUM(Kalender!$C$5:$C$370),0)+IFERROR(SUMIF(Nutzungsprofile!$B$17:$B$22,"Halle",Nutzungsprofile!$G$17:$G$22)*Kalender!D165/SUM(Kalender!$D$5:$D$370),0)+IFERROR(SUMIF(Nutzungsprofile!$B$17:$B$22,"Individuell",Nutzungsprofile!$G$17:$G$22)*Kalender!E165/SUM(Kalender!$E$5:$E$370),0))*Szenarien!$D$20,0)</f>
        <v>4.94</v>
      </c>
      <c r="E3459" s="13" t="n">
        <f aca="false">IFERROR(MIN(C3459,Eingaben!$B$17)*Eingaben!$B$16,0)</f>
        <v>2.2344</v>
      </c>
      <c r="F3459" s="13" t="n">
        <f aca="false">IFERROR(E3459*Eingaben!$B$15,0)</f>
        <v>2.01096</v>
      </c>
      <c r="G3459" s="13" t="n">
        <f aca="false">IFERROR(IF(Kalender!A165="",0,J3458*(1-Eingaben!$B$20)),0)</f>
        <v>0.59122224</v>
      </c>
      <c r="H3459" s="13" t="n">
        <f aca="false">MIN(G3459,D3459)</f>
        <v>0.59122224</v>
      </c>
      <c r="I3459" s="13" t="n">
        <f aca="false">IFERROR(MIN(F3459*Eingaben!$B$19,MAX(0,D3459-H3459)),0)</f>
        <v>1.407672</v>
      </c>
      <c r="J3459" s="13" t="n">
        <f aca="false">IFERROR(MIN(Eingaben!$B$18,MAX(0,F3459-I3459)),0)</f>
        <v>0.603288</v>
      </c>
      <c r="K3459" s="13" t="n">
        <f aca="false">H3459+I3459</f>
        <v>1.99889424</v>
      </c>
      <c r="L3459" s="13" t="n">
        <f aca="false">MAX(0,D3459-K3459)</f>
        <v>2.94110576</v>
      </c>
      <c r="M3459" s="13" t="n">
        <f aca="false">MAX(0,F3459-I3459-J3459)</f>
        <v>0</v>
      </c>
      <c r="N3459" s="13" t="n">
        <f aca="false">IF(Kalender!A165="",0,J3458-H3459)</f>
        <v>0.01206576</v>
      </c>
    </row>
    <row r="3460" customFormat="false" ht="16.4" hidden="false" customHeight="false" outlineLevel="0" collapsed="false">
      <c r="A3460" s="13" t="str">
        <f aca="false">""</f>
        <v/>
      </c>
      <c r="B3460" s="13" t="n">
        <f aca="false">162</f>
        <v>162</v>
      </c>
      <c r="C3460" s="13" t="n">
        <f aca="false">IF(Szenarien!$H$20="OK",(IFERROR(SUMIF(Nutzungsprofile!$B$6:$B$11,"Schulbetrieb",Nutzungsprofile!$G$6:$G$11)*Kalender!C166/SUM(Kalender!$C$5:$C$370),0)+IFERROR(SUMIF(Nutzungsprofile!$B$6:$B$11,"Halle",Nutzungsprofile!$G$6:$G$11)*Kalender!D166/SUM(Kalender!$D$5:$D$370),0)+IFERROR(SUMIF(Nutzungsprofile!$B$6:$B$11,"Individuell",Nutzungsprofile!$G$6:$G$11)*Kalender!E166/SUM(Kalender!$E$5:$E$370),0))*Szenarien!$E$20,0)</f>
        <v>2.352</v>
      </c>
      <c r="D3460" s="13" t="n">
        <f aca="false">IF(Szenarien!$H$20="OK",(IFERROR(SUMIF(Nutzungsprofile!$B$17:$B$22,"Schulbetrieb",Nutzungsprofile!$G$17:$G$22)*Kalender!C166/SUM(Kalender!$C$5:$C$370),0)+IFERROR(SUMIF(Nutzungsprofile!$B$17:$B$22,"Halle",Nutzungsprofile!$G$17:$G$22)*Kalender!D166/SUM(Kalender!$D$5:$D$370),0)+IFERROR(SUMIF(Nutzungsprofile!$B$17:$B$22,"Individuell",Nutzungsprofile!$G$17:$G$22)*Kalender!E166/SUM(Kalender!$E$5:$E$370),0))*Szenarien!$D$20,0)</f>
        <v>4.94</v>
      </c>
      <c r="E3460" s="13" t="n">
        <f aca="false">IFERROR(MIN(C3460,Eingaben!$B$17)*Eingaben!$B$16,0)</f>
        <v>2.2344</v>
      </c>
      <c r="F3460" s="13" t="n">
        <f aca="false">IFERROR(E3460*Eingaben!$B$15,0)</f>
        <v>2.01096</v>
      </c>
      <c r="G3460" s="13" t="n">
        <f aca="false">IFERROR(IF(Kalender!A166="",0,J3459*(1-Eingaben!$B$20)),0)</f>
        <v>0.59122224</v>
      </c>
      <c r="H3460" s="13" t="n">
        <f aca="false">MIN(G3460,D3460)</f>
        <v>0.59122224</v>
      </c>
      <c r="I3460" s="13" t="n">
        <f aca="false">IFERROR(MIN(F3460*Eingaben!$B$19,MAX(0,D3460-H3460)),0)</f>
        <v>1.407672</v>
      </c>
      <c r="J3460" s="13" t="n">
        <f aca="false">IFERROR(MIN(Eingaben!$B$18,MAX(0,F3460-I3460)),0)</f>
        <v>0.603288</v>
      </c>
      <c r="K3460" s="13" t="n">
        <f aca="false">H3460+I3460</f>
        <v>1.99889424</v>
      </c>
      <c r="L3460" s="13" t="n">
        <f aca="false">MAX(0,D3460-K3460)</f>
        <v>2.94110576</v>
      </c>
      <c r="M3460" s="13" t="n">
        <f aca="false">MAX(0,F3460-I3460-J3460)</f>
        <v>0</v>
      </c>
      <c r="N3460" s="13" t="n">
        <f aca="false">IF(Kalender!A166="",0,J3459-H3460)</f>
        <v>0.01206576</v>
      </c>
    </row>
    <row r="3461" customFormat="false" ht="16.4" hidden="false" customHeight="false" outlineLevel="0" collapsed="false">
      <c r="A3461" s="13" t="str">
        <f aca="false">""</f>
        <v/>
      </c>
      <c r="B3461" s="13" t="n">
        <f aca="false">163</f>
        <v>163</v>
      </c>
      <c r="C3461" s="13" t="n">
        <f aca="false">IF(Szenarien!$H$20="OK",(IFERROR(SUMIF(Nutzungsprofile!$B$6:$B$11,"Schulbetrieb",Nutzungsprofile!$G$6:$G$11)*Kalender!C167/SUM(Kalender!$C$5:$C$370),0)+IFERROR(SUMIF(Nutzungsprofile!$B$6:$B$11,"Halle",Nutzungsprofile!$G$6:$G$11)*Kalender!D167/SUM(Kalender!$D$5:$D$370),0)+IFERROR(SUMIF(Nutzungsprofile!$B$6:$B$11,"Individuell",Nutzungsprofile!$G$6:$G$11)*Kalender!E167/SUM(Kalender!$E$5:$E$370),0))*Szenarien!$E$20,0)</f>
        <v>2.352</v>
      </c>
      <c r="D3461" s="13" t="n">
        <f aca="false">IF(Szenarien!$H$20="OK",(IFERROR(SUMIF(Nutzungsprofile!$B$17:$B$22,"Schulbetrieb",Nutzungsprofile!$G$17:$G$22)*Kalender!C167/SUM(Kalender!$C$5:$C$370),0)+IFERROR(SUMIF(Nutzungsprofile!$B$17:$B$22,"Halle",Nutzungsprofile!$G$17:$G$22)*Kalender!D167/SUM(Kalender!$D$5:$D$370),0)+IFERROR(SUMIF(Nutzungsprofile!$B$17:$B$22,"Individuell",Nutzungsprofile!$G$17:$G$22)*Kalender!E167/SUM(Kalender!$E$5:$E$370),0))*Szenarien!$D$20,0)</f>
        <v>4.94</v>
      </c>
      <c r="E3461" s="13" t="n">
        <f aca="false">IFERROR(MIN(C3461,Eingaben!$B$17)*Eingaben!$B$16,0)</f>
        <v>2.2344</v>
      </c>
      <c r="F3461" s="13" t="n">
        <f aca="false">IFERROR(E3461*Eingaben!$B$15,0)</f>
        <v>2.01096</v>
      </c>
      <c r="G3461" s="13" t="n">
        <f aca="false">IFERROR(IF(Kalender!A167="",0,J3460*(1-Eingaben!$B$20)),0)</f>
        <v>0.59122224</v>
      </c>
      <c r="H3461" s="13" t="n">
        <f aca="false">MIN(G3461,D3461)</f>
        <v>0.59122224</v>
      </c>
      <c r="I3461" s="13" t="n">
        <f aca="false">IFERROR(MIN(F3461*Eingaben!$B$19,MAX(0,D3461-H3461)),0)</f>
        <v>1.407672</v>
      </c>
      <c r="J3461" s="13" t="n">
        <f aca="false">IFERROR(MIN(Eingaben!$B$18,MAX(0,F3461-I3461)),0)</f>
        <v>0.603288</v>
      </c>
      <c r="K3461" s="13" t="n">
        <f aca="false">H3461+I3461</f>
        <v>1.99889424</v>
      </c>
      <c r="L3461" s="13" t="n">
        <f aca="false">MAX(0,D3461-K3461)</f>
        <v>2.94110576</v>
      </c>
      <c r="M3461" s="13" t="n">
        <f aca="false">MAX(0,F3461-I3461-J3461)</f>
        <v>0</v>
      </c>
      <c r="N3461" s="13" t="n">
        <f aca="false">IF(Kalender!A167="",0,J3460-H3461)</f>
        <v>0.01206576</v>
      </c>
    </row>
    <row r="3462" customFormat="false" ht="16.4" hidden="false" customHeight="false" outlineLevel="0" collapsed="false">
      <c r="A3462" s="13" t="str">
        <f aca="false">""</f>
        <v/>
      </c>
      <c r="B3462" s="13" t="n">
        <f aca="false">164</f>
        <v>164</v>
      </c>
      <c r="C3462" s="13" t="n">
        <f aca="false">IF(Szenarien!$H$20="OK",(IFERROR(SUMIF(Nutzungsprofile!$B$6:$B$11,"Schulbetrieb",Nutzungsprofile!$G$6:$G$11)*Kalender!C168/SUM(Kalender!$C$5:$C$370),0)+IFERROR(SUMIF(Nutzungsprofile!$B$6:$B$11,"Halle",Nutzungsprofile!$G$6:$G$11)*Kalender!D168/SUM(Kalender!$D$5:$D$370),0)+IFERROR(SUMIF(Nutzungsprofile!$B$6:$B$11,"Individuell",Nutzungsprofile!$G$6:$G$11)*Kalender!E168/SUM(Kalender!$E$5:$E$370),0))*Szenarien!$E$20,0)</f>
        <v>1.632</v>
      </c>
      <c r="D3462" s="13" t="n">
        <f aca="false">IF(Szenarien!$H$20="OK",(IFERROR(SUMIF(Nutzungsprofile!$B$17:$B$22,"Schulbetrieb",Nutzungsprofile!$G$17:$G$22)*Kalender!C168/SUM(Kalender!$C$5:$C$370),0)+IFERROR(SUMIF(Nutzungsprofile!$B$17:$B$22,"Halle",Nutzungsprofile!$G$17:$G$22)*Kalender!D168/SUM(Kalender!$D$5:$D$370),0)+IFERROR(SUMIF(Nutzungsprofile!$B$17:$B$22,"Individuell",Nutzungsprofile!$G$17:$G$22)*Kalender!E168/SUM(Kalender!$E$5:$E$370),0))*Szenarien!$D$20,0)</f>
        <v>0.89</v>
      </c>
      <c r="E3462" s="13" t="n">
        <f aca="false">IFERROR(MIN(C3462,Eingaben!$B$17)*Eingaben!$B$16,0)</f>
        <v>1.5504</v>
      </c>
      <c r="F3462" s="13" t="n">
        <f aca="false">IFERROR(E3462*Eingaben!$B$15,0)</f>
        <v>1.39536</v>
      </c>
      <c r="G3462" s="13" t="n">
        <f aca="false">IFERROR(IF(Kalender!A168="",0,J3461*(1-Eingaben!$B$20)),0)</f>
        <v>0.59122224</v>
      </c>
      <c r="H3462" s="13" t="n">
        <f aca="false">MIN(G3462,D3462)</f>
        <v>0.59122224</v>
      </c>
      <c r="I3462" s="13" t="n">
        <f aca="false">IFERROR(MIN(F3462*Eingaben!$B$19,MAX(0,D3462-H3462)),0)</f>
        <v>0.29877776</v>
      </c>
      <c r="J3462" s="13" t="n">
        <f aca="false">IFERROR(MIN(Eingaben!$B$18,MAX(0,F3462-I3462)),0)</f>
        <v>1.09658224</v>
      </c>
      <c r="K3462" s="13" t="n">
        <f aca="false">H3462+I3462</f>
        <v>0.89</v>
      </c>
      <c r="L3462" s="13" t="n">
        <f aca="false">MAX(0,D3462-K3462)</f>
        <v>0</v>
      </c>
      <c r="M3462" s="13" t="n">
        <f aca="false">MAX(0,F3462-I3462-J3462)</f>
        <v>0</v>
      </c>
      <c r="N3462" s="13" t="n">
        <f aca="false">IF(Kalender!A168="",0,J3461-H3462)</f>
        <v>0.01206576</v>
      </c>
    </row>
    <row r="3463" customFormat="false" ht="16.4" hidden="false" customHeight="false" outlineLevel="0" collapsed="false">
      <c r="A3463" s="13" t="str">
        <f aca="false">""</f>
        <v/>
      </c>
      <c r="B3463" s="13" t="n">
        <f aca="false">165</f>
        <v>165</v>
      </c>
      <c r="C3463" s="13" t="n">
        <f aca="false">IF(Szenarien!$H$20="OK",(IFERROR(SUMIF(Nutzungsprofile!$B$6:$B$11,"Schulbetrieb",Nutzungsprofile!$G$6:$G$11)*Kalender!C169/SUM(Kalender!$C$5:$C$370),0)+IFERROR(SUMIF(Nutzungsprofile!$B$6:$B$11,"Halle",Nutzungsprofile!$G$6:$G$11)*Kalender!D169/SUM(Kalender!$D$5:$D$370),0)+IFERROR(SUMIF(Nutzungsprofile!$B$6:$B$11,"Individuell",Nutzungsprofile!$G$6:$G$11)*Kalender!E169/SUM(Kalender!$E$5:$E$370),0))*Szenarien!$E$20,0)</f>
        <v>1.632</v>
      </c>
      <c r="D3463" s="13" t="n">
        <f aca="false">IF(Szenarien!$H$20="OK",(IFERROR(SUMIF(Nutzungsprofile!$B$17:$B$22,"Schulbetrieb",Nutzungsprofile!$G$17:$G$22)*Kalender!C169/SUM(Kalender!$C$5:$C$370),0)+IFERROR(SUMIF(Nutzungsprofile!$B$17:$B$22,"Halle",Nutzungsprofile!$G$17:$G$22)*Kalender!D169/SUM(Kalender!$D$5:$D$370),0)+IFERROR(SUMIF(Nutzungsprofile!$B$17:$B$22,"Individuell",Nutzungsprofile!$G$17:$G$22)*Kalender!E169/SUM(Kalender!$E$5:$E$370),0))*Szenarien!$D$20,0)</f>
        <v>0.89</v>
      </c>
      <c r="E3463" s="13" t="n">
        <f aca="false">IFERROR(MIN(C3463,Eingaben!$B$17)*Eingaben!$B$16,0)</f>
        <v>1.5504</v>
      </c>
      <c r="F3463" s="13" t="n">
        <f aca="false">IFERROR(E3463*Eingaben!$B$15,0)</f>
        <v>1.39536</v>
      </c>
      <c r="G3463" s="13" t="n">
        <f aca="false">IFERROR(IF(Kalender!A169="",0,J3462*(1-Eingaben!$B$20)),0)</f>
        <v>1.0746505952</v>
      </c>
      <c r="H3463" s="13" t="n">
        <f aca="false">MIN(G3463,D3463)</f>
        <v>0.89</v>
      </c>
      <c r="I3463" s="13" t="n">
        <f aca="false">IFERROR(MIN(F3463*Eingaben!$B$19,MAX(0,D3463-H3463)),0)</f>
        <v>0</v>
      </c>
      <c r="J3463" s="13" t="n">
        <f aca="false">IFERROR(MIN(Eingaben!$B$18,MAX(0,F3463-I3463)),0)</f>
        <v>1.39536</v>
      </c>
      <c r="K3463" s="13" t="n">
        <f aca="false">H3463+I3463</f>
        <v>0.89</v>
      </c>
      <c r="L3463" s="13" t="n">
        <f aca="false">MAX(0,D3463-K3463)</f>
        <v>0</v>
      </c>
      <c r="M3463" s="13" t="n">
        <f aca="false">MAX(0,F3463-I3463-J3463)</f>
        <v>0</v>
      </c>
      <c r="N3463" s="13" t="n">
        <f aca="false">IF(Kalender!A169="",0,J3462-H3463)</f>
        <v>0.20658224</v>
      </c>
    </row>
    <row r="3464" customFormat="false" ht="16.4" hidden="false" customHeight="false" outlineLevel="0" collapsed="false">
      <c r="A3464" s="13" t="str">
        <f aca="false">""</f>
        <v/>
      </c>
      <c r="B3464" s="13" t="n">
        <f aca="false">166</f>
        <v>166</v>
      </c>
      <c r="C3464" s="13" t="n">
        <f aca="false">IF(Szenarien!$H$20="OK",(IFERROR(SUMIF(Nutzungsprofile!$B$6:$B$11,"Schulbetrieb",Nutzungsprofile!$G$6:$G$11)*Kalender!C170/SUM(Kalender!$C$5:$C$370),0)+IFERROR(SUMIF(Nutzungsprofile!$B$6:$B$11,"Halle",Nutzungsprofile!$G$6:$G$11)*Kalender!D170/SUM(Kalender!$D$5:$D$370),0)+IFERROR(SUMIF(Nutzungsprofile!$B$6:$B$11,"Individuell",Nutzungsprofile!$G$6:$G$11)*Kalender!E170/SUM(Kalender!$E$5:$E$370),0))*Szenarien!$E$20,0)</f>
        <v>2.352</v>
      </c>
      <c r="D3464" s="13" t="n">
        <f aca="false">IF(Szenarien!$H$20="OK",(IFERROR(SUMIF(Nutzungsprofile!$B$17:$B$22,"Schulbetrieb",Nutzungsprofile!$G$17:$G$22)*Kalender!C170/SUM(Kalender!$C$5:$C$370),0)+IFERROR(SUMIF(Nutzungsprofile!$B$17:$B$22,"Halle",Nutzungsprofile!$G$17:$G$22)*Kalender!D170/SUM(Kalender!$D$5:$D$370),0)+IFERROR(SUMIF(Nutzungsprofile!$B$17:$B$22,"Individuell",Nutzungsprofile!$G$17:$G$22)*Kalender!E170/SUM(Kalender!$E$5:$E$370),0))*Szenarien!$D$20,0)</f>
        <v>4.94</v>
      </c>
      <c r="E3464" s="13" t="n">
        <f aca="false">IFERROR(MIN(C3464,Eingaben!$B$17)*Eingaben!$B$16,0)</f>
        <v>2.2344</v>
      </c>
      <c r="F3464" s="13" t="n">
        <f aca="false">IFERROR(E3464*Eingaben!$B$15,0)</f>
        <v>2.01096</v>
      </c>
      <c r="G3464" s="13" t="n">
        <f aca="false">IFERROR(IF(Kalender!A170="",0,J3463*(1-Eingaben!$B$20)),0)</f>
        <v>1.3674528</v>
      </c>
      <c r="H3464" s="13" t="n">
        <f aca="false">MIN(G3464,D3464)</f>
        <v>1.3674528</v>
      </c>
      <c r="I3464" s="13" t="n">
        <f aca="false">IFERROR(MIN(F3464*Eingaben!$B$19,MAX(0,D3464-H3464)),0)</f>
        <v>1.407672</v>
      </c>
      <c r="J3464" s="13" t="n">
        <f aca="false">IFERROR(MIN(Eingaben!$B$18,MAX(0,F3464-I3464)),0)</f>
        <v>0.603288</v>
      </c>
      <c r="K3464" s="13" t="n">
        <f aca="false">H3464+I3464</f>
        <v>2.7751248</v>
      </c>
      <c r="L3464" s="13" t="n">
        <f aca="false">MAX(0,D3464-K3464)</f>
        <v>2.1648752</v>
      </c>
      <c r="M3464" s="13" t="n">
        <f aca="false">MAX(0,F3464-I3464-J3464)</f>
        <v>0</v>
      </c>
      <c r="N3464" s="13" t="n">
        <f aca="false">IF(Kalender!A170="",0,J3463-H3464)</f>
        <v>0.0279072</v>
      </c>
    </row>
    <row r="3465" customFormat="false" ht="16.4" hidden="false" customHeight="false" outlineLevel="0" collapsed="false">
      <c r="A3465" s="13" t="str">
        <f aca="false">""</f>
        <v/>
      </c>
      <c r="B3465" s="13" t="n">
        <f aca="false">167</f>
        <v>167</v>
      </c>
      <c r="C3465" s="13" t="n">
        <f aca="false">IF(Szenarien!$H$20="OK",(IFERROR(SUMIF(Nutzungsprofile!$B$6:$B$11,"Schulbetrieb",Nutzungsprofile!$G$6:$G$11)*Kalender!C171/SUM(Kalender!$C$5:$C$370),0)+IFERROR(SUMIF(Nutzungsprofile!$B$6:$B$11,"Halle",Nutzungsprofile!$G$6:$G$11)*Kalender!D171/SUM(Kalender!$D$5:$D$370),0)+IFERROR(SUMIF(Nutzungsprofile!$B$6:$B$11,"Individuell",Nutzungsprofile!$G$6:$G$11)*Kalender!E171/SUM(Kalender!$E$5:$E$370),0))*Szenarien!$E$20,0)</f>
        <v>2.352</v>
      </c>
      <c r="D3465" s="13" t="n">
        <f aca="false">IF(Szenarien!$H$20="OK",(IFERROR(SUMIF(Nutzungsprofile!$B$17:$B$22,"Schulbetrieb",Nutzungsprofile!$G$17:$G$22)*Kalender!C171/SUM(Kalender!$C$5:$C$370),0)+IFERROR(SUMIF(Nutzungsprofile!$B$17:$B$22,"Halle",Nutzungsprofile!$G$17:$G$22)*Kalender!D171/SUM(Kalender!$D$5:$D$370),0)+IFERROR(SUMIF(Nutzungsprofile!$B$17:$B$22,"Individuell",Nutzungsprofile!$G$17:$G$22)*Kalender!E171/SUM(Kalender!$E$5:$E$370),0))*Szenarien!$D$20,0)</f>
        <v>4.94</v>
      </c>
      <c r="E3465" s="13" t="n">
        <f aca="false">IFERROR(MIN(C3465,Eingaben!$B$17)*Eingaben!$B$16,0)</f>
        <v>2.2344</v>
      </c>
      <c r="F3465" s="13" t="n">
        <f aca="false">IFERROR(E3465*Eingaben!$B$15,0)</f>
        <v>2.01096</v>
      </c>
      <c r="G3465" s="13" t="n">
        <f aca="false">IFERROR(IF(Kalender!A171="",0,J3464*(1-Eingaben!$B$20)),0)</f>
        <v>0.59122224</v>
      </c>
      <c r="H3465" s="13" t="n">
        <f aca="false">MIN(G3465,D3465)</f>
        <v>0.59122224</v>
      </c>
      <c r="I3465" s="13" t="n">
        <f aca="false">IFERROR(MIN(F3465*Eingaben!$B$19,MAX(0,D3465-H3465)),0)</f>
        <v>1.407672</v>
      </c>
      <c r="J3465" s="13" t="n">
        <f aca="false">IFERROR(MIN(Eingaben!$B$18,MAX(0,F3465-I3465)),0)</f>
        <v>0.603288</v>
      </c>
      <c r="K3465" s="13" t="n">
        <f aca="false">H3465+I3465</f>
        <v>1.99889424</v>
      </c>
      <c r="L3465" s="13" t="n">
        <f aca="false">MAX(0,D3465-K3465)</f>
        <v>2.94110576</v>
      </c>
      <c r="M3465" s="13" t="n">
        <f aca="false">MAX(0,F3465-I3465-J3465)</f>
        <v>0</v>
      </c>
      <c r="N3465" s="13" t="n">
        <f aca="false">IF(Kalender!A171="",0,J3464-H3465)</f>
        <v>0.01206576</v>
      </c>
    </row>
    <row r="3466" customFormat="false" ht="16.4" hidden="false" customHeight="false" outlineLevel="0" collapsed="false">
      <c r="A3466" s="13" t="str">
        <f aca="false">""</f>
        <v/>
      </c>
      <c r="B3466" s="13" t="n">
        <f aca="false">168</f>
        <v>168</v>
      </c>
      <c r="C3466" s="13" t="n">
        <f aca="false">IF(Szenarien!$H$20="OK",(IFERROR(SUMIF(Nutzungsprofile!$B$6:$B$11,"Schulbetrieb",Nutzungsprofile!$G$6:$G$11)*Kalender!C172/SUM(Kalender!$C$5:$C$370),0)+IFERROR(SUMIF(Nutzungsprofile!$B$6:$B$11,"Halle",Nutzungsprofile!$G$6:$G$11)*Kalender!D172/SUM(Kalender!$D$5:$D$370),0)+IFERROR(SUMIF(Nutzungsprofile!$B$6:$B$11,"Individuell",Nutzungsprofile!$G$6:$G$11)*Kalender!E172/SUM(Kalender!$E$5:$E$370),0))*Szenarien!$E$20,0)</f>
        <v>2.352</v>
      </c>
      <c r="D3466" s="13" t="n">
        <f aca="false">IF(Szenarien!$H$20="OK",(IFERROR(SUMIF(Nutzungsprofile!$B$17:$B$22,"Schulbetrieb",Nutzungsprofile!$G$17:$G$22)*Kalender!C172/SUM(Kalender!$C$5:$C$370),0)+IFERROR(SUMIF(Nutzungsprofile!$B$17:$B$22,"Halle",Nutzungsprofile!$G$17:$G$22)*Kalender!D172/SUM(Kalender!$D$5:$D$370),0)+IFERROR(SUMIF(Nutzungsprofile!$B$17:$B$22,"Individuell",Nutzungsprofile!$G$17:$G$22)*Kalender!E172/SUM(Kalender!$E$5:$E$370),0))*Szenarien!$D$20,0)</f>
        <v>4.94</v>
      </c>
      <c r="E3466" s="13" t="n">
        <f aca="false">IFERROR(MIN(C3466,Eingaben!$B$17)*Eingaben!$B$16,0)</f>
        <v>2.2344</v>
      </c>
      <c r="F3466" s="13" t="n">
        <f aca="false">IFERROR(E3466*Eingaben!$B$15,0)</f>
        <v>2.01096</v>
      </c>
      <c r="G3466" s="13" t="n">
        <f aca="false">IFERROR(IF(Kalender!A172="",0,J3465*(1-Eingaben!$B$20)),0)</f>
        <v>0.59122224</v>
      </c>
      <c r="H3466" s="13" t="n">
        <f aca="false">MIN(G3466,D3466)</f>
        <v>0.59122224</v>
      </c>
      <c r="I3466" s="13" t="n">
        <f aca="false">IFERROR(MIN(F3466*Eingaben!$B$19,MAX(0,D3466-H3466)),0)</f>
        <v>1.407672</v>
      </c>
      <c r="J3466" s="13" t="n">
        <f aca="false">IFERROR(MIN(Eingaben!$B$18,MAX(0,F3466-I3466)),0)</f>
        <v>0.603288</v>
      </c>
      <c r="K3466" s="13" t="n">
        <f aca="false">H3466+I3466</f>
        <v>1.99889424</v>
      </c>
      <c r="L3466" s="13" t="n">
        <f aca="false">MAX(0,D3466-K3466)</f>
        <v>2.94110576</v>
      </c>
      <c r="M3466" s="13" t="n">
        <f aca="false">MAX(0,F3466-I3466-J3466)</f>
        <v>0</v>
      </c>
      <c r="N3466" s="13" t="n">
        <f aca="false">IF(Kalender!A172="",0,J3465-H3466)</f>
        <v>0.01206576</v>
      </c>
    </row>
    <row r="3467" customFormat="false" ht="16.4" hidden="false" customHeight="false" outlineLevel="0" collapsed="false">
      <c r="A3467" s="13" t="str">
        <f aca="false">""</f>
        <v/>
      </c>
      <c r="B3467" s="13" t="n">
        <f aca="false">169</f>
        <v>169</v>
      </c>
      <c r="C3467" s="13" t="n">
        <f aca="false">IF(Szenarien!$H$20="OK",(IFERROR(SUMIF(Nutzungsprofile!$B$6:$B$11,"Schulbetrieb",Nutzungsprofile!$G$6:$G$11)*Kalender!C173/SUM(Kalender!$C$5:$C$370),0)+IFERROR(SUMIF(Nutzungsprofile!$B$6:$B$11,"Halle",Nutzungsprofile!$G$6:$G$11)*Kalender!D173/SUM(Kalender!$D$5:$D$370),0)+IFERROR(SUMIF(Nutzungsprofile!$B$6:$B$11,"Individuell",Nutzungsprofile!$G$6:$G$11)*Kalender!E173/SUM(Kalender!$E$5:$E$370),0))*Szenarien!$E$20,0)</f>
        <v>2.352</v>
      </c>
      <c r="D3467" s="13" t="n">
        <f aca="false">IF(Szenarien!$H$20="OK",(IFERROR(SUMIF(Nutzungsprofile!$B$17:$B$22,"Schulbetrieb",Nutzungsprofile!$G$17:$G$22)*Kalender!C173/SUM(Kalender!$C$5:$C$370),0)+IFERROR(SUMIF(Nutzungsprofile!$B$17:$B$22,"Halle",Nutzungsprofile!$G$17:$G$22)*Kalender!D173/SUM(Kalender!$D$5:$D$370),0)+IFERROR(SUMIF(Nutzungsprofile!$B$17:$B$22,"Individuell",Nutzungsprofile!$G$17:$G$22)*Kalender!E173/SUM(Kalender!$E$5:$E$370),0))*Szenarien!$D$20,0)</f>
        <v>4.94</v>
      </c>
      <c r="E3467" s="13" t="n">
        <f aca="false">IFERROR(MIN(C3467,Eingaben!$B$17)*Eingaben!$B$16,0)</f>
        <v>2.2344</v>
      </c>
      <c r="F3467" s="13" t="n">
        <f aca="false">IFERROR(E3467*Eingaben!$B$15,0)</f>
        <v>2.01096</v>
      </c>
      <c r="G3467" s="13" t="n">
        <f aca="false">IFERROR(IF(Kalender!A173="",0,J3466*(1-Eingaben!$B$20)),0)</f>
        <v>0.59122224</v>
      </c>
      <c r="H3467" s="13" t="n">
        <f aca="false">MIN(G3467,D3467)</f>
        <v>0.59122224</v>
      </c>
      <c r="I3467" s="13" t="n">
        <f aca="false">IFERROR(MIN(F3467*Eingaben!$B$19,MAX(0,D3467-H3467)),0)</f>
        <v>1.407672</v>
      </c>
      <c r="J3467" s="13" t="n">
        <f aca="false">IFERROR(MIN(Eingaben!$B$18,MAX(0,F3467-I3467)),0)</f>
        <v>0.603288</v>
      </c>
      <c r="K3467" s="13" t="n">
        <f aca="false">H3467+I3467</f>
        <v>1.99889424</v>
      </c>
      <c r="L3467" s="13" t="n">
        <f aca="false">MAX(0,D3467-K3467)</f>
        <v>2.94110576</v>
      </c>
      <c r="M3467" s="13" t="n">
        <f aca="false">MAX(0,F3467-I3467-J3467)</f>
        <v>0</v>
      </c>
      <c r="N3467" s="13" t="n">
        <f aca="false">IF(Kalender!A173="",0,J3466-H3467)</f>
        <v>0.01206576</v>
      </c>
    </row>
    <row r="3468" customFormat="false" ht="16.4" hidden="false" customHeight="false" outlineLevel="0" collapsed="false">
      <c r="A3468" s="13" t="str">
        <f aca="false">""</f>
        <v/>
      </c>
      <c r="B3468" s="13" t="n">
        <f aca="false">170</f>
        <v>170</v>
      </c>
      <c r="C3468" s="13" t="n">
        <f aca="false">IF(Szenarien!$H$20="OK",(IFERROR(SUMIF(Nutzungsprofile!$B$6:$B$11,"Schulbetrieb",Nutzungsprofile!$G$6:$G$11)*Kalender!C174/SUM(Kalender!$C$5:$C$370),0)+IFERROR(SUMIF(Nutzungsprofile!$B$6:$B$11,"Halle",Nutzungsprofile!$G$6:$G$11)*Kalender!D174/SUM(Kalender!$D$5:$D$370),0)+IFERROR(SUMIF(Nutzungsprofile!$B$6:$B$11,"Individuell",Nutzungsprofile!$G$6:$G$11)*Kalender!E174/SUM(Kalender!$E$5:$E$370),0))*Szenarien!$E$20,0)</f>
        <v>2.352</v>
      </c>
      <c r="D3468" s="13" t="n">
        <f aca="false">IF(Szenarien!$H$20="OK",(IFERROR(SUMIF(Nutzungsprofile!$B$17:$B$22,"Schulbetrieb",Nutzungsprofile!$G$17:$G$22)*Kalender!C174/SUM(Kalender!$C$5:$C$370),0)+IFERROR(SUMIF(Nutzungsprofile!$B$17:$B$22,"Halle",Nutzungsprofile!$G$17:$G$22)*Kalender!D174/SUM(Kalender!$D$5:$D$370),0)+IFERROR(SUMIF(Nutzungsprofile!$B$17:$B$22,"Individuell",Nutzungsprofile!$G$17:$G$22)*Kalender!E174/SUM(Kalender!$E$5:$E$370),0))*Szenarien!$D$20,0)</f>
        <v>4.94</v>
      </c>
      <c r="E3468" s="13" t="n">
        <f aca="false">IFERROR(MIN(C3468,Eingaben!$B$17)*Eingaben!$B$16,0)</f>
        <v>2.2344</v>
      </c>
      <c r="F3468" s="13" t="n">
        <f aca="false">IFERROR(E3468*Eingaben!$B$15,0)</f>
        <v>2.01096</v>
      </c>
      <c r="G3468" s="13" t="n">
        <f aca="false">IFERROR(IF(Kalender!A174="",0,J3467*(1-Eingaben!$B$20)),0)</f>
        <v>0.59122224</v>
      </c>
      <c r="H3468" s="13" t="n">
        <f aca="false">MIN(G3468,D3468)</f>
        <v>0.59122224</v>
      </c>
      <c r="I3468" s="13" t="n">
        <f aca="false">IFERROR(MIN(F3468*Eingaben!$B$19,MAX(0,D3468-H3468)),0)</f>
        <v>1.407672</v>
      </c>
      <c r="J3468" s="13" t="n">
        <f aca="false">IFERROR(MIN(Eingaben!$B$18,MAX(0,F3468-I3468)),0)</f>
        <v>0.603288</v>
      </c>
      <c r="K3468" s="13" t="n">
        <f aca="false">H3468+I3468</f>
        <v>1.99889424</v>
      </c>
      <c r="L3468" s="13" t="n">
        <f aca="false">MAX(0,D3468-K3468)</f>
        <v>2.94110576</v>
      </c>
      <c r="M3468" s="13" t="n">
        <f aca="false">MAX(0,F3468-I3468-J3468)</f>
        <v>0</v>
      </c>
      <c r="N3468" s="13" t="n">
        <f aca="false">IF(Kalender!A174="",0,J3467-H3468)</f>
        <v>0.01206576</v>
      </c>
    </row>
    <row r="3469" customFormat="false" ht="16.4" hidden="false" customHeight="false" outlineLevel="0" collapsed="false">
      <c r="A3469" s="13" t="str">
        <f aca="false">""</f>
        <v/>
      </c>
      <c r="B3469" s="13" t="n">
        <f aca="false">171</f>
        <v>171</v>
      </c>
      <c r="C3469" s="13" t="n">
        <f aca="false">IF(Szenarien!$H$20="OK",(IFERROR(SUMIF(Nutzungsprofile!$B$6:$B$11,"Schulbetrieb",Nutzungsprofile!$G$6:$G$11)*Kalender!C175/SUM(Kalender!$C$5:$C$370),0)+IFERROR(SUMIF(Nutzungsprofile!$B$6:$B$11,"Halle",Nutzungsprofile!$G$6:$G$11)*Kalender!D175/SUM(Kalender!$D$5:$D$370),0)+IFERROR(SUMIF(Nutzungsprofile!$B$6:$B$11,"Individuell",Nutzungsprofile!$G$6:$G$11)*Kalender!E175/SUM(Kalender!$E$5:$E$370),0))*Szenarien!$E$20,0)</f>
        <v>1.632</v>
      </c>
      <c r="D3469" s="13" t="n">
        <f aca="false">IF(Szenarien!$H$20="OK",(IFERROR(SUMIF(Nutzungsprofile!$B$17:$B$22,"Schulbetrieb",Nutzungsprofile!$G$17:$G$22)*Kalender!C175/SUM(Kalender!$C$5:$C$370),0)+IFERROR(SUMIF(Nutzungsprofile!$B$17:$B$22,"Halle",Nutzungsprofile!$G$17:$G$22)*Kalender!D175/SUM(Kalender!$D$5:$D$370),0)+IFERROR(SUMIF(Nutzungsprofile!$B$17:$B$22,"Individuell",Nutzungsprofile!$G$17:$G$22)*Kalender!E175/SUM(Kalender!$E$5:$E$370),0))*Szenarien!$D$20,0)</f>
        <v>0.89</v>
      </c>
      <c r="E3469" s="13" t="n">
        <f aca="false">IFERROR(MIN(C3469,Eingaben!$B$17)*Eingaben!$B$16,0)</f>
        <v>1.5504</v>
      </c>
      <c r="F3469" s="13" t="n">
        <f aca="false">IFERROR(E3469*Eingaben!$B$15,0)</f>
        <v>1.39536</v>
      </c>
      <c r="G3469" s="13" t="n">
        <f aca="false">IFERROR(IF(Kalender!A175="",0,J3468*(1-Eingaben!$B$20)),0)</f>
        <v>0.59122224</v>
      </c>
      <c r="H3469" s="13" t="n">
        <f aca="false">MIN(G3469,D3469)</f>
        <v>0.59122224</v>
      </c>
      <c r="I3469" s="13" t="n">
        <f aca="false">IFERROR(MIN(F3469*Eingaben!$B$19,MAX(0,D3469-H3469)),0)</f>
        <v>0.29877776</v>
      </c>
      <c r="J3469" s="13" t="n">
        <f aca="false">IFERROR(MIN(Eingaben!$B$18,MAX(0,F3469-I3469)),0)</f>
        <v>1.09658224</v>
      </c>
      <c r="K3469" s="13" t="n">
        <f aca="false">H3469+I3469</f>
        <v>0.89</v>
      </c>
      <c r="L3469" s="13" t="n">
        <f aca="false">MAX(0,D3469-K3469)</f>
        <v>0</v>
      </c>
      <c r="M3469" s="13" t="n">
        <f aca="false">MAX(0,F3469-I3469-J3469)</f>
        <v>0</v>
      </c>
      <c r="N3469" s="13" t="n">
        <f aca="false">IF(Kalender!A175="",0,J3468-H3469)</f>
        <v>0.01206576</v>
      </c>
    </row>
    <row r="3470" customFormat="false" ht="16.4" hidden="false" customHeight="false" outlineLevel="0" collapsed="false">
      <c r="A3470" s="13" t="str">
        <f aca="false">""</f>
        <v/>
      </c>
      <c r="B3470" s="13" t="n">
        <f aca="false">172</f>
        <v>172</v>
      </c>
      <c r="C3470" s="13" t="n">
        <f aca="false">IF(Szenarien!$H$20="OK",(IFERROR(SUMIF(Nutzungsprofile!$B$6:$B$11,"Schulbetrieb",Nutzungsprofile!$G$6:$G$11)*Kalender!C176/SUM(Kalender!$C$5:$C$370),0)+IFERROR(SUMIF(Nutzungsprofile!$B$6:$B$11,"Halle",Nutzungsprofile!$G$6:$G$11)*Kalender!D176/SUM(Kalender!$D$5:$D$370),0)+IFERROR(SUMIF(Nutzungsprofile!$B$6:$B$11,"Individuell",Nutzungsprofile!$G$6:$G$11)*Kalender!E176/SUM(Kalender!$E$5:$E$370),0))*Szenarien!$E$20,0)</f>
        <v>1.632</v>
      </c>
      <c r="D3470" s="13" t="n">
        <f aca="false">IF(Szenarien!$H$20="OK",(IFERROR(SUMIF(Nutzungsprofile!$B$17:$B$22,"Schulbetrieb",Nutzungsprofile!$G$17:$G$22)*Kalender!C176/SUM(Kalender!$C$5:$C$370),0)+IFERROR(SUMIF(Nutzungsprofile!$B$17:$B$22,"Halle",Nutzungsprofile!$G$17:$G$22)*Kalender!D176/SUM(Kalender!$D$5:$D$370),0)+IFERROR(SUMIF(Nutzungsprofile!$B$17:$B$22,"Individuell",Nutzungsprofile!$G$17:$G$22)*Kalender!E176/SUM(Kalender!$E$5:$E$370),0))*Szenarien!$D$20,0)</f>
        <v>0.89</v>
      </c>
      <c r="E3470" s="13" t="n">
        <f aca="false">IFERROR(MIN(C3470,Eingaben!$B$17)*Eingaben!$B$16,0)</f>
        <v>1.5504</v>
      </c>
      <c r="F3470" s="13" t="n">
        <f aca="false">IFERROR(E3470*Eingaben!$B$15,0)</f>
        <v>1.39536</v>
      </c>
      <c r="G3470" s="13" t="n">
        <f aca="false">IFERROR(IF(Kalender!A176="",0,J3469*(1-Eingaben!$B$20)),0)</f>
        <v>1.0746505952</v>
      </c>
      <c r="H3470" s="13" t="n">
        <f aca="false">MIN(G3470,D3470)</f>
        <v>0.89</v>
      </c>
      <c r="I3470" s="13" t="n">
        <f aca="false">IFERROR(MIN(F3470*Eingaben!$B$19,MAX(0,D3470-H3470)),0)</f>
        <v>0</v>
      </c>
      <c r="J3470" s="13" t="n">
        <f aca="false">IFERROR(MIN(Eingaben!$B$18,MAX(0,F3470-I3470)),0)</f>
        <v>1.39536</v>
      </c>
      <c r="K3470" s="13" t="n">
        <f aca="false">H3470+I3470</f>
        <v>0.89</v>
      </c>
      <c r="L3470" s="13" t="n">
        <f aca="false">MAX(0,D3470-K3470)</f>
        <v>0</v>
      </c>
      <c r="M3470" s="13" t="n">
        <f aca="false">MAX(0,F3470-I3470-J3470)</f>
        <v>0</v>
      </c>
      <c r="N3470" s="13" t="n">
        <f aca="false">IF(Kalender!A176="",0,J3469-H3470)</f>
        <v>0.20658224</v>
      </c>
    </row>
    <row r="3471" customFormat="false" ht="16.4" hidden="false" customHeight="false" outlineLevel="0" collapsed="false">
      <c r="A3471" s="13" t="str">
        <f aca="false">""</f>
        <v/>
      </c>
      <c r="B3471" s="13" t="n">
        <f aca="false">173</f>
        <v>173</v>
      </c>
      <c r="C3471" s="13" t="n">
        <f aca="false">IF(Szenarien!$H$20="OK",(IFERROR(SUMIF(Nutzungsprofile!$B$6:$B$11,"Schulbetrieb",Nutzungsprofile!$G$6:$G$11)*Kalender!C177/SUM(Kalender!$C$5:$C$370),0)+IFERROR(SUMIF(Nutzungsprofile!$B$6:$B$11,"Halle",Nutzungsprofile!$G$6:$G$11)*Kalender!D177/SUM(Kalender!$D$5:$D$370),0)+IFERROR(SUMIF(Nutzungsprofile!$B$6:$B$11,"Individuell",Nutzungsprofile!$G$6:$G$11)*Kalender!E177/SUM(Kalender!$E$5:$E$370),0))*Szenarien!$E$20,0)</f>
        <v>2.352</v>
      </c>
      <c r="D3471" s="13" t="n">
        <f aca="false">IF(Szenarien!$H$20="OK",(IFERROR(SUMIF(Nutzungsprofile!$B$17:$B$22,"Schulbetrieb",Nutzungsprofile!$G$17:$G$22)*Kalender!C177/SUM(Kalender!$C$5:$C$370),0)+IFERROR(SUMIF(Nutzungsprofile!$B$17:$B$22,"Halle",Nutzungsprofile!$G$17:$G$22)*Kalender!D177/SUM(Kalender!$D$5:$D$370),0)+IFERROR(SUMIF(Nutzungsprofile!$B$17:$B$22,"Individuell",Nutzungsprofile!$G$17:$G$22)*Kalender!E177/SUM(Kalender!$E$5:$E$370),0))*Szenarien!$D$20,0)</f>
        <v>4.94</v>
      </c>
      <c r="E3471" s="13" t="n">
        <f aca="false">IFERROR(MIN(C3471,Eingaben!$B$17)*Eingaben!$B$16,0)</f>
        <v>2.2344</v>
      </c>
      <c r="F3471" s="13" t="n">
        <f aca="false">IFERROR(E3471*Eingaben!$B$15,0)</f>
        <v>2.01096</v>
      </c>
      <c r="G3471" s="13" t="n">
        <f aca="false">IFERROR(IF(Kalender!A177="",0,J3470*(1-Eingaben!$B$20)),0)</f>
        <v>1.3674528</v>
      </c>
      <c r="H3471" s="13" t="n">
        <f aca="false">MIN(G3471,D3471)</f>
        <v>1.3674528</v>
      </c>
      <c r="I3471" s="13" t="n">
        <f aca="false">IFERROR(MIN(F3471*Eingaben!$B$19,MAX(0,D3471-H3471)),0)</f>
        <v>1.407672</v>
      </c>
      <c r="J3471" s="13" t="n">
        <f aca="false">IFERROR(MIN(Eingaben!$B$18,MAX(0,F3471-I3471)),0)</f>
        <v>0.603288</v>
      </c>
      <c r="K3471" s="13" t="n">
        <f aca="false">H3471+I3471</f>
        <v>2.7751248</v>
      </c>
      <c r="L3471" s="13" t="n">
        <f aca="false">MAX(0,D3471-K3471)</f>
        <v>2.1648752</v>
      </c>
      <c r="M3471" s="13" t="n">
        <f aca="false">MAX(0,F3471-I3471-J3471)</f>
        <v>0</v>
      </c>
      <c r="N3471" s="13" t="n">
        <f aca="false">IF(Kalender!A177="",0,J3470-H3471)</f>
        <v>0.0279072</v>
      </c>
    </row>
    <row r="3472" customFormat="false" ht="16.4" hidden="false" customHeight="false" outlineLevel="0" collapsed="false">
      <c r="A3472" s="13" t="str">
        <f aca="false">""</f>
        <v/>
      </c>
      <c r="B3472" s="13" t="n">
        <f aca="false">174</f>
        <v>174</v>
      </c>
      <c r="C3472" s="13" t="n">
        <f aca="false">IF(Szenarien!$H$20="OK",(IFERROR(SUMIF(Nutzungsprofile!$B$6:$B$11,"Schulbetrieb",Nutzungsprofile!$G$6:$G$11)*Kalender!C178/SUM(Kalender!$C$5:$C$370),0)+IFERROR(SUMIF(Nutzungsprofile!$B$6:$B$11,"Halle",Nutzungsprofile!$G$6:$G$11)*Kalender!D178/SUM(Kalender!$D$5:$D$370),0)+IFERROR(SUMIF(Nutzungsprofile!$B$6:$B$11,"Individuell",Nutzungsprofile!$G$6:$G$11)*Kalender!E178/SUM(Kalender!$E$5:$E$370),0))*Szenarien!$E$20,0)</f>
        <v>2.352</v>
      </c>
      <c r="D3472" s="13" t="n">
        <f aca="false">IF(Szenarien!$H$20="OK",(IFERROR(SUMIF(Nutzungsprofile!$B$17:$B$22,"Schulbetrieb",Nutzungsprofile!$G$17:$G$22)*Kalender!C178/SUM(Kalender!$C$5:$C$370),0)+IFERROR(SUMIF(Nutzungsprofile!$B$17:$B$22,"Halle",Nutzungsprofile!$G$17:$G$22)*Kalender!D178/SUM(Kalender!$D$5:$D$370),0)+IFERROR(SUMIF(Nutzungsprofile!$B$17:$B$22,"Individuell",Nutzungsprofile!$G$17:$G$22)*Kalender!E178/SUM(Kalender!$E$5:$E$370),0))*Szenarien!$D$20,0)</f>
        <v>4.94</v>
      </c>
      <c r="E3472" s="13" t="n">
        <f aca="false">IFERROR(MIN(C3472,Eingaben!$B$17)*Eingaben!$B$16,0)</f>
        <v>2.2344</v>
      </c>
      <c r="F3472" s="13" t="n">
        <f aca="false">IFERROR(E3472*Eingaben!$B$15,0)</f>
        <v>2.01096</v>
      </c>
      <c r="G3472" s="13" t="n">
        <f aca="false">IFERROR(IF(Kalender!A178="",0,J3471*(1-Eingaben!$B$20)),0)</f>
        <v>0.59122224</v>
      </c>
      <c r="H3472" s="13" t="n">
        <f aca="false">MIN(G3472,D3472)</f>
        <v>0.59122224</v>
      </c>
      <c r="I3472" s="13" t="n">
        <f aca="false">IFERROR(MIN(F3472*Eingaben!$B$19,MAX(0,D3472-H3472)),0)</f>
        <v>1.407672</v>
      </c>
      <c r="J3472" s="13" t="n">
        <f aca="false">IFERROR(MIN(Eingaben!$B$18,MAX(0,F3472-I3472)),0)</f>
        <v>0.603288</v>
      </c>
      <c r="K3472" s="13" t="n">
        <f aca="false">H3472+I3472</f>
        <v>1.99889424</v>
      </c>
      <c r="L3472" s="13" t="n">
        <f aca="false">MAX(0,D3472-K3472)</f>
        <v>2.94110576</v>
      </c>
      <c r="M3472" s="13" t="n">
        <f aca="false">MAX(0,F3472-I3472-J3472)</f>
        <v>0</v>
      </c>
      <c r="N3472" s="13" t="n">
        <f aca="false">IF(Kalender!A178="",0,J3471-H3472)</f>
        <v>0.01206576</v>
      </c>
    </row>
    <row r="3473" customFormat="false" ht="16.4" hidden="false" customHeight="false" outlineLevel="0" collapsed="false">
      <c r="A3473" s="13" t="str">
        <f aca="false">""</f>
        <v/>
      </c>
      <c r="B3473" s="13" t="n">
        <f aca="false">175</f>
        <v>175</v>
      </c>
      <c r="C3473" s="13" t="n">
        <f aca="false">IF(Szenarien!$H$20="OK",(IFERROR(SUMIF(Nutzungsprofile!$B$6:$B$11,"Schulbetrieb",Nutzungsprofile!$G$6:$G$11)*Kalender!C179/SUM(Kalender!$C$5:$C$370),0)+IFERROR(SUMIF(Nutzungsprofile!$B$6:$B$11,"Halle",Nutzungsprofile!$G$6:$G$11)*Kalender!D179/SUM(Kalender!$D$5:$D$370),0)+IFERROR(SUMIF(Nutzungsprofile!$B$6:$B$11,"Individuell",Nutzungsprofile!$G$6:$G$11)*Kalender!E179/SUM(Kalender!$E$5:$E$370),0))*Szenarien!$E$20,0)</f>
        <v>2.352</v>
      </c>
      <c r="D3473" s="13" t="n">
        <f aca="false">IF(Szenarien!$H$20="OK",(IFERROR(SUMIF(Nutzungsprofile!$B$17:$B$22,"Schulbetrieb",Nutzungsprofile!$G$17:$G$22)*Kalender!C179/SUM(Kalender!$C$5:$C$370),0)+IFERROR(SUMIF(Nutzungsprofile!$B$17:$B$22,"Halle",Nutzungsprofile!$G$17:$G$22)*Kalender!D179/SUM(Kalender!$D$5:$D$370),0)+IFERROR(SUMIF(Nutzungsprofile!$B$17:$B$22,"Individuell",Nutzungsprofile!$G$17:$G$22)*Kalender!E179/SUM(Kalender!$E$5:$E$370),0))*Szenarien!$D$20,0)</f>
        <v>4.94</v>
      </c>
      <c r="E3473" s="13" t="n">
        <f aca="false">IFERROR(MIN(C3473,Eingaben!$B$17)*Eingaben!$B$16,0)</f>
        <v>2.2344</v>
      </c>
      <c r="F3473" s="13" t="n">
        <f aca="false">IFERROR(E3473*Eingaben!$B$15,0)</f>
        <v>2.01096</v>
      </c>
      <c r="G3473" s="13" t="n">
        <f aca="false">IFERROR(IF(Kalender!A179="",0,J3472*(1-Eingaben!$B$20)),0)</f>
        <v>0.59122224</v>
      </c>
      <c r="H3473" s="13" t="n">
        <f aca="false">MIN(G3473,D3473)</f>
        <v>0.59122224</v>
      </c>
      <c r="I3473" s="13" t="n">
        <f aca="false">IFERROR(MIN(F3473*Eingaben!$B$19,MAX(0,D3473-H3473)),0)</f>
        <v>1.407672</v>
      </c>
      <c r="J3473" s="13" t="n">
        <f aca="false">IFERROR(MIN(Eingaben!$B$18,MAX(0,F3473-I3473)),0)</f>
        <v>0.603288</v>
      </c>
      <c r="K3473" s="13" t="n">
        <f aca="false">H3473+I3473</f>
        <v>1.99889424</v>
      </c>
      <c r="L3473" s="13" t="n">
        <f aca="false">MAX(0,D3473-K3473)</f>
        <v>2.94110576</v>
      </c>
      <c r="M3473" s="13" t="n">
        <f aca="false">MAX(0,F3473-I3473-J3473)</f>
        <v>0</v>
      </c>
      <c r="N3473" s="13" t="n">
        <f aca="false">IF(Kalender!A179="",0,J3472-H3473)</f>
        <v>0.01206576</v>
      </c>
    </row>
    <row r="3474" customFormat="false" ht="16.4" hidden="false" customHeight="false" outlineLevel="0" collapsed="false">
      <c r="A3474" s="13" t="str">
        <f aca="false">""</f>
        <v/>
      </c>
      <c r="B3474" s="13" t="n">
        <f aca="false">176</f>
        <v>176</v>
      </c>
      <c r="C3474" s="13" t="n">
        <f aca="false">IF(Szenarien!$H$20="OK",(IFERROR(SUMIF(Nutzungsprofile!$B$6:$B$11,"Schulbetrieb",Nutzungsprofile!$G$6:$G$11)*Kalender!C180/SUM(Kalender!$C$5:$C$370),0)+IFERROR(SUMIF(Nutzungsprofile!$B$6:$B$11,"Halle",Nutzungsprofile!$G$6:$G$11)*Kalender!D180/SUM(Kalender!$D$5:$D$370),0)+IFERROR(SUMIF(Nutzungsprofile!$B$6:$B$11,"Individuell",Nutzungsprofile!$G$6:$G$11)*Kalender!E180/SUM(Kalender!$E$5:$E$370),0))*Szenarien!$E$20,0)</f>
        <v>2.352</v>
      </c>
      <c r="D3474" s="13" t="n">
        <f aca="false">IF(Szenarien!$H$20="OK",(IFERROR(SUMIF(Nutzungsprofile!$B$17:$B$22,"Schulbetrieb",Nutzungsprofile!$G$17:$G$22)*Kalender!C180/SUM(Kalender!$C$5:$C$370),0)+IFERROR(SUMIF(Nutzungsprofile!$B$17:$B$22,"Halle",Nutzungsprofile!$G$17:$G$22)*Kalender!D180/SUM(Kalender!$D$5:$D$370),0)+IFERROR(SUMIF(Nutzungsprofile!$B$17:$B$22,"Individuell",Nutzungsprofile!$G$17:$G$22)*Kalender!E180/SUM(Kalender!$E$5:$E$370),0))*Szenarien!$D$20,0)</f>
        <v>4.94</v>
      </c>
      <c r="E3474" s="13" t="n">
        <f aca="false">IFERROR(MIN(C3474,Eingaben!$B$17)*Eingaben!$B$16,0)</f>
        <v>2.2344</v>
      </c>
      <c r="F3474" s="13" t="n">
        <f aca="false">IFERROR(E3474*Eingaben!$B$15,0)</f>
        <v>2.01096</v>
      </c>
      <c r="G3474" s="13" t="n">
        <f aca="false">IFERROR(IF(Kalender!A180="",0,J3473*(1-Eingaben!$B$20)),0)</f>
        <v>0.59122224</v>
      </c>
      <c r="H3474" s="13" t="n">
        <f aca="false">MIN(G3474,D3474)</f>
        <v>0.59122224</v>
      </c>
      <c r="I3474" s="13" t="n">
        <f aca="false">IFERROR(MIN(F3474*Eingaben!$B$19,MAX(0,D3474-H3474)),0)</f>
        <v>1.407672</v>
      </c>
      <c r="J3474" s="13" t="n">
        <f aca="false">IFERROR(MIN(Eingaben!$B$18,MAX(0,F3474-I3474)),0)</f>
        <v>0.603288</v>
      </c>
      <c r="K3474" s="13" t="n">
        <f aca="false">H3474+I3474</f>
        <v>1.99889424</v>
      </c>
      <c r="L3474" s="13" t="n">
        <f aca="false">MAX(0,D3474-K3474)</f>
        <v>2.94110576</v>
      </c>
      <c r="M3474" s="13" t="n">
        <f aca="false">MAX(0,F3474-I3474-J3474)</f>
        <v>0</v>
      </c>
      <c r="N3474" s="13" t="n">
        <f aca="false">IF(Kalender!A180="",0,J3473-H3474)</f>
        <v>0.01206576</v>
      </c>
    </row>
    <row r="3475" customFormat="false" ht="16.4" hidden="false" customHeight="false" outlineLevel="0" collapsed="false">
      <c r="A3475" s="13" t="str">
        <f aca="false">""</f>
        <v/>
      </c>
      <c r="B3475" s="13" t="n">
        <f aca="false">177</f>
        <v>177</v>
      </c>
      <c r="C3475" s="13" t="n">
        <f aca="false">IF(Szenarien!$H$20="OK",(IFERROR(SUMIF(Nutzungsprofile!$B$6:$B$11,"Schulbetrieb",Nutzungsprofile!$G$6:$G$11)*Kalender!C181/SUM(Kalender!$C$5:$C$370),0)+IFERROR(SUMIF(Nutzungsprofile!$B$6:$B$11,"Halle",Nutzungsprofile!$G$6:$G$11)*Kalender!D181/SUM(Kalender!$D$5:$D$370),0)+IFERROR(SUMIF(Nutzungsprofile!$B$6:$B$11,"Individuell",Nutzungsprofile!$G$6:$G$11)*Kalender!E181/SUM(Kalender!$E$5:$E$370),0))*Szenarien!$E$20,0)</f>
        <v>2.352</v>
      </c>
      <c r="D3475" s="13" t="n">
        <f aca="false">IF(Szenarien!$H$20="OK",(IFERROR(SUMIF(Nutzungsprofile!$B$17:$B$22,"Schulbetrieb",Nutzungsprofile!$G$17:$G$22)*Kalender!C181/SUM(Kalender!$C$5:$C$370),0)+IFERROR(SUMIF(Nutzungsprofile!$B$17:$B$22,"Halle",Nutzungsprofile!$G$17:$G$22)*Kalender!D181/SUM(Kalender!$D$5:$D$370),0)+IFERROR(SUMIF(Nutzungsprofile!$B$17:$B$22,"Individuell",Nutzungsprofile!$G$17:$G$22)*Kalender!E181/SUM(Kalender!$E$5:$E$370),0))*Szenarien!$D$20,0)</f>
        <v>4.94</v>
      </c>
      <c r="E3475" s="13" t="n">
        <f aca="false">IFERROR(MIN(C3475,Eingaben!$B$17)*Eingaben!$B$16,0)</f>
        <v>2.2344</v>
      </c>
      <c r="F3475" s="13" t="n">
        <f aca="false">IFERROR(E3475*Eingaben!$B$15,0)</f>
        <v>2.01096</v>
      </c>
      <c r="G3475" s="13" t="n">
        <f aca="false">IFERROR(IF(Kalender!A181="",0,J3474*(1-Eingaben!$B$20)),0)</f>
        <v>0.59122224</v>
      </c>
      <c r="H3475" s="13" t="n">
        <f aca="false">MIN(G3475,D3475)</f>
        <v>0.59122224</v>
      </c>
      <c r="I3475" s="13" t="n">
        <f aca="false">IFERROR(MIN(F3475*Eingaben!$B$19,MAX(0,D3475-H3475)),0)</f>
        <v>1.407672</v>
      </c>
      <c r="J3475" s="13" t="n">
        <f aca="false">IFERROR(MIN(Eingaben!$B$18,MAX(0,F3475-I3475)),0)</f>
        <v>0.603288</v>
      </c>
      <c r="K3475" s="13" t="n">
        <f aca="false">H3475+I3475</f>
        <v>1.99889424</v>
      </c>
      <c r="L3475" s="13" t="n">
        <f aca="false">MAX(0,D3475-K3475)</f>
        <v>2.94110576</v>
      </c>
      <c r="M3475" s="13" t="n">
        <f aca="false">MAX(0,F3475-I3475-J3475)</f>
        <v>0</v>
      </c>
      <c r="N3475" s="13" t="n">
        <f aca="false">IF(Kalender!A181="",0,J3474-H3475)</f>
        <v>0.01206576</v>
      </c>
    </row>
    <row r="3476" customFormat="false" ht="16.4" hidden="false" customHeight="false" outlineLevel="0" collapsed="false">
      <c r="A3476" s="13" t="str">
        <f aca="false">""</f>
        <v/>
      </c>
      <c r="B3476" s="13" t="n">
        <f aca="false">178</f>
        <v>178</v>
      </c>
      <c r="C3476" s="13" t="n">
        <f aca="false">IF(Szenarien!$H$20="OK",(IFERROR(SUMIF(Nutzungsprofile!$B$6:$B$11,"Schulbetrieb",Nutzungsprofile!$G$6:$G$11)*Kalender!C182/SUM(Kalender!$C$5:$C$370),0)+IFERROR(SUMIF(Nutzungsprofile!$B$6:$B$11,"Halle",Nutzungsprofile!$G$6:$G$11)*Kalender!D182/SUM(Kalender!$D$5:$D$370),0)+IFERROR(SUMIF(Nutzungsprofile!$B$6:$B$11,"Individuell",Nutzungsprofile!$G$6:$G$11)*Kalender!E182/SUM(Kalender!$E$5:$E$370),0))*Szenarien!$E$20,0)</f>
        <v>1.632</v>
      </c>
      <c r="D3476" s="13" t="n">
        <f aca="false">IF(Szenarien!$H$20="OK",(IFERROR(SUMIF(Nutzungsprofile!$B$17:$B$22,"Schulbetrieb",Nutzungsprofile!$G$17:$G$22)*Kalender!C182/SUM(Kalender!$C$5:$C$370),0)+IFERROR(SUMIF(Nutzungsprofile!$B$17:$B$22,"Halle",Nutzungsprofile!$G$17:$G$22)*Kalender!D182/SUM(Kalender!$D$5:$D$370),0)+IFERROR(SUMIF(Nutzungsprofile!$B$17:$B$22,"Individuell",Nutzungsprofile!$G$17:$G$22)*Kalender!E182/SUM(Kalender!$E$5:$E$370),0))*Szenarien!$D$20,0)</f>
        <v>0.89</v>
      </c>
      <c r="E3476" s="13" t="n">
        <f aca="false">IFERROR(MIN(C3476,Eingaben!$B$17)*Eingaben!$B$16,0)</f>
        <v>1.5504</v>
      </c>
      <c r="F3476" s="13" t="n">
        <f aca="false">IFERROR(E3476*Eingaben!$B$15,0)</f>
        <v>1.39536</v>
      </c>
      <c r="G3476" s="13" t="n">
        <f aca="false">IFERROR(IF(Kalender!A182="",0,J3475*(1-Eingaben!$B$20)),0)</f>
        <v>0.59122224</v>
      </c>
      <c r="H3476" s="13" t="n">
        <f aca="false">MIN(G3476,D3476)</f>
        <v>0.59122224</v>
      </c>
      <c r="I3476" s="13" t="n">
        <f aca="false">IFERROR(MIN(F3476*Eingaben!$B$19,MAX(0,D3476-H3476)),0)</f>
        <v>0.29877776</v>
      </c>
      <c r="J3476" s="13" t="n">
        <f aca="false">IFERROR(MIN(Eingaben!$B$18,MAX(0,F3476-I3476)),0)</f>
        <v>1.09658224</v>
      </c>
      <c r="K3476" s="13" t="n">
        <f aca="false">H3476+I3476</f>
        <v>0.89</v>
      </c>
      <c r="L3476" s="13" t="n">
        <f aca="false">MAX(0,D3476-K3476)</f>
        <v>0</v>
      </c>
      <c r="M3476" s="13" t="n">
        <f aca="false">MAX(0,F3476-I3476-J3476)</f>
        <v>0</v>
      </c>
      <c r="N3476" s="13" t="n">
        <f aca="false">IF(Kalender!A182="",0,J3475-H3476)</f>
        <v>0.01206576</v>
      </c>
    </row>
    <row r="3477" customFormat="false" ht="16.4" hidden="false" customHeight="false" outlineLevel="0" collapsed="false">
      <c r="A3477" s="13" t="str">
        <f aca="false">""</f>
        <v/>
      </c>
      <c r="B3477" s="13" t="n">
        <f aca="false">179</f>
        <v>179</v>
      </c>
      <c r="C3477" s="13" t="n">
        <f aca="false">IF(Szenarien!$H$20="OK",(IFERROR(SUMIF(Nutzungsprofile!$B$6:$B$11,"Schulbetrieb",Nutzungsprofile!$G$6:$G$11)*Kalender!C183/SUM(Kalender!$C$5:$C$370),0)+IFERROR(SUMIF(Nutzungsprofile!$B$6:$B$11,"Halle",Nutzungsprofile!$G$6:$G$11)*Kalender!D183/SUM(Kalender!$D$5:$D$370),0)+IFERROR(SUMIF(Nutzungsprofile!$B$6:$B$11,"Individuell",Nutzungsprofile!$G$6:$G$11)*Kalender!E183/SUM(Kalender!$E$5:$E$370),0))*Szenarien!$E$20,0)</f>
        <v>1.632</v>
      </c>
      <c r="D3477" s="13" t="n">
        <f aca="false">IF(Szenarien!$H$20="OK",(IFERROR(SUMIF(Nutzungsprofile!$B$17:$B$22,"Schulbetrieb",Nutzungsprofile!$G$17:$G$22)*Kalender!C183/SUM(Kalender!$C$5:$C$370),0)+IFERROR(SUMIF(Nutzungsprofile!$B$17:$B$22,"Halle",Nutzungsprofile!$G$17:$G$22)*Kalender!D183/SUM(Kalender!$D$5:$D$370),0)+IFERROR(SUMIF(Nutzungsprofile!$B$17:$B$22,"Individuell",Nutzungsprofile!$G$17:$G$22)*Kalender!E183/SUM(Kalender!$E$5:$E$370),0))*Szenarien!$D$20,0)</f>
        <v>0.89</v>
      </c>
      <c r="E3477" s="13" t="n">
        <f aca="false">IFERROR(MIN(C3477,Eingaben!$B$17)*Eingaben!$B$16,0)</f>
        <v>1.5504</v>
      </c>
      <c r="F3477" s="13" t="n">
        <f aca="false">IFERROR(E3477*Eingaben!$B$15,0)</f>
        <v>1.39536</v>
      </c>
      <c r="G3477" s="13" t="n">
        <f aca="false">IFERROR(IF(Kalender!A183="",0,J3476*(1-Eingaben!$B$20)),0)</f>
        <v>1.0746505952</v>
      </c>
      <c r="H3477" s="13" t="n">
        <f aca="false">MIN(G3477,D3477)</f>
        <v>0.89</v>
      </c>
      <c r="I3477" s="13" t="n">
        <f aca="false">IFERROR(MIN(F3477*Eingaben!$B$19,MAX(0,D3477-H3477)),0)</f>
        <v>0</v>
      </c>
      <c r="J3477" s="13" t="n">
        <f aca="false">IFERROR(MIN(Eingaben!$B$18,MAX(0,F3477-I3477)),0)</f>
        <v>1.39536</v>
      </c>
      <c r="K3477" s="13" t="n">
        <f aca="false">H3477+I3477</f>
        <v>0.89</v>
      </c>
      <c r="L3477" s="13" t="n">
        <f aca="false">MAX(0,D3477-K3477)</f>
        <v>0</v>
      </c>
      <c r="M3477" s="13" t="n">
        <f aca="false">MAX(0,F3477-I3477-J3477)</f>
        <v>0</v>
      </c>
      <c r="N3477" s="13" t="n">
        <f aca="false">IF(Kalender!A183="",0,J3476-H3477)</f>
        <v>0.20658224</v>
      </c>
    </row>
    <row r="3478" customFormat="false" ht="16.4" hidden="false" customHeight="false" outlineLevel="0" collapsed="false">
      <c r="A3478" s="13" t="str">
        <f aca="false">""</f>
        <v/>
      </c>
      <c r="B3478" s="13" t="n">
        <f aca="false">180</f>
        <v>180</v>
      </c>
      <c r="C3478" s="13" t="n">
        <f aca="false">IF(Szenarien!$H$20="OK",(IFERROR(SUMIF(Nutzungsprofile!$B$6:$B$11,"Schulbetrieb",Nutzungsprofile!$G$6:$G$11)*Kalender!C184/SUM(Kalender!$C$5:$C$370),0)+IFERROR(SUMIF(Nutzungsprofile!$B$6:$B$11,"Halle",Nutzungsprofile!$G$6:$G$11)*Kalender!D184/SUM(Kalender!$D$5:$D$370),0)+IFERROR(SUMIF(Nutzungsprofile!$B$6:$B$11,"Individuell",Nutzungsprofile!$G$6:$G$11)*Kalender!E184/SUM(Kalender!$E$5:$E$370),0))*Szenarien!$E$20,0)</f>
        <v>2.352</v>
      </c>
      <c r="D3478" s="13" t="n">
        <f aca="false">IF(Szenarien!$H$20="OK",(IFERROR(SUMIF(Nutzungsprofile!$B$17:$B$22,"Schulbetrieb",Nutzungsprofile!$G$17:$G$22)*Kalender!C184/SUM(Kalender!$C$5:$C$370),0)+IFERROR(SUMIF(Nutzungsprofile!$B$17:$B$22,"Halle",Nutzungsprofile!$G$17:$G$22)*Kalender!D184/SUM(Kalender!$D$5:$D$370),0)+IFERROR(SUMIF(Nutzungsprofile!$B$17:$B$22,"Individuell",Nutzungsprofile!$G$17:$G$22)*Kalender!E184/SUM(Kalender!$E$5:$E$370),0))*Szenarien!$D$20,0)</f>
        <v>4.94</v>
      </c>
      <c r="E3478" s="13" t="n">
        <f aca="false">IFERROR(MIN(C3478,Eingaben!$B$17)*Eingaben!$B$16,0)</f>
        <v>2.2344</v>
      </c>
      <c r="F3478" s="13" t="n">
        <f aca="false">IFERROR(E3478*Eingaben!$B$15,0)</f>
        <v>2.01096</v>
      </c>
      <c r="G3478" s="13" t="n">
        <f aca="false">IFERROR(IF(Kalender!A184="",0,J3477*(1-Eingaben!$B$20)),0)</f>
        <v>1.3674528</v>
      </c>
      <c r="H3478" s="13" t="n">
        <f aca="false">MIN(G3478,D3478)</f>
        <v>1.3674528</v>
      </c>
      <c r="I3478" s="13" t="n">
        <f aca="false">IFERROR(MIN(F3478*Eingaben!$B$19,MAX(0,D3478-H3478)),0)</f>
        <v>1.407672</v>
      </c>
      <c r="J3478" s="13" t="n">
        <f aca="false">IFERROR(MIN(Eingaben!$B$18,MAX(0,F3478-I3478)),0)</f>
        <v>0.603288</v>
      </c>
      <c r="K3478" s="13" t="n">
        <f aca="false">H3478+I3478</f>
        <v>2.7751248</v>
      </c>
      <c r="L3478" s="13" t="n">
        <f aca="false">MAX(0,D3478-K3478)</f>
        <v>2.1648752</v>
      </c>
      <c r="M3478" s="13" t="n">
        <f aca="false">MAX(0,F3478-I3478-J3478)</f>
        <v>0</v>
      </c>
      <c r="N3478" s="13" t="n">
        <f aca="false">IF(Kalender!A184="",0,J3477-H3478)</f>
        <v>0.0279072</v>
      </c>
    </row>
    <row r="3479" customFormat="false" ht="16.4" hidden="false" customHeight="false" outlineLevel="0" collapsed="false">
      <c r="A3479" s="13" t="str">
        <f aca="false">""</f>
        <v/>
      </c>
      <c r="B3479" s="13" t="n">
        <f aca="false">181</f>
        <v>181</v>
      </c>
      <c r="C3479" s="13" t="n">
        <f aca="false">IF(Szenarien!$H$20="OK",(IFERROR(SUMIF(Nutzungsprofile!$B$6:$B$11,"Schulbetrieb",Nutzungsprofile!$G$6:$G$11)*Kalender!C185/SUM(Kalender!$C$5:$C$370),0)+IFERROR(SUMIF(Nutzungsprofile!$B$6:$B$11,"Halle",Nutzungsprofile!$G$6:$G$11)*Kalender!D185/SUM(Kalender!$D$5:$D$370),0)+IFERROR(SUMIF(Nutzungsprofile!$B$6:$B$11,"Individuell",Nutzungsprofile!$G$6:$G$11)*Kalender!E185/SUM(Kalender!$E$5:$E$370),0))*Szenarien!$E$20,0)</f>
        <v>2.352</v>
      </c>
      <c r="D3479" s="13" t="n">
        <f aca="false">IF(Szenarien!$H$20="OK",(IFERROR(SUMIF(Nutzungsprofile!$B$17:$B$22,"Schulbetrieb",Nutzungsprofile!$G$17:$G$22)*Kalender!C185/SUM(Kalender!$C$5:$C$370),0)+IFERROR(SUMIF(Nutzungsprofile!$B$17:$B$22,"Halle",Nutzungsprofile!$G$17:$G$22)*Kalender!D185/SUM(Kalender!$D$5:$D$370),0)+IFERROR(SUMIF(Nutzungsprofile!$B$17:$B$22,"Individuell",Nutzungsprofile!$G$17:$G$22)*Kalender!E185/SUM(Kalender!$E$5:$E$370),0))*Szenarien!$D$20,0)</f>
        <v>4.94</v>
      </c>
      <c r="E3479" s="13" t="n">
        <f aca="false">IFERROR(MIN(C3479,Eingaben!$B$17)*Eingaben!$B$16,0)</f>
        <v>2.2344</v>
      </c>
      <c r="F3479" s="13" t="n">
        <f aca="false">IFERROR(E3479*Eingaben!$B$15,0)</f>
        <v>2.01096</v>
      </c>
      <c r="G3479" s="13" t="n">
        <f aca="false">IFERROR(IF(Kalender!A185="",0,J3478*(1-Eingaben!$B$20)),0)</f>
        <v>0.59122224</v>
      </c>
      <c r="H3479" s="13" t="n">
        <f aca="false">MIN(G3479,D3479)</f>
        <v>0.59122224</v>
      </c>
      <c r="I3479" s="13" t="n">
        <f aca="false">IFERROR(MIN(F3479*Eingaben!$B$19,MAX(0,D3479-H3479)),0)</f>
        <v>1.407672</v>
      </c>
      <c r="J3479" s="13" t="n">
        <f aca="false">IFERROR(MIN(Eingaben!$B$18,MAX(0,F3479-I3479)),0)</f>
        <v>0.603288</v>
      </c>
      <c r="K3479" s="13" t="n">
        <f aca="false">H3479+I3479</f>
        <v>1.99889424</v>
      </c>
      <c r="L3479" s="13" t="n">
        <f aca="false">MAX(0,D3479-K3479)</f>
        <v>2.94110576</v>
      </c>
      <c r="M3479" s="13" t="n">
        <f aca="false">MAX(0,F3479-I3479-J3479)</f>
        <v>0</v>
      </c>
      <c r="N3479" s="13" t="n">
        <f aca="false">IF(Kalender!A185="",0,J3478-H3479)</f>
        <v>0.01206576</v>
      </c>
    </row>
    <row r="3480" customFormat="false" ht="16.4" hidden="false" customHeight="false" outlineLevel="0" collapsed="false">
      <c r="A3480" s="13" t="str">
        <f aca="false">""</f>
        <v/>
      </c>
      <c r="B3480" s="13" t="n">
        <f aca="false">182</f>
        <v>182</v>
      </c>
      <c r="C3480" s="13" t="n">
        <f aca="false">IF(Szenarien!$H$20="OK",(IFERROR(SUMIF(Nutzungsprofile!$B$6:$B$11,"Schulbetrieb",Nutzungsprofile!$G$6:$G$11)*Kalender!C186/SUM(Kalender!$C$5:$C$370),0)+IFERROR(SUMIF(Nutzungsprofile!$B$6:$B$11,"Halle",Nutzungsprofile!$G$6:$G$11)*Kalender!D186/SUM(Kalender!$D$5:$D$370),0)+IFERROR(SUMIF(Nutzungsprofile!$B$6:$B$11,"Individuell",Nutzungsprofile!$G$6:$G$11)*Kalender!E186/SUM(Kalender!$E$5:$E$370),0))*Szenarien!$E$20,0)</f>
        <v>1.632</v>
      </c>
      <c r="D3480" s="13" t="n">
        <f aca="false">IF(Szenarien!$H$20="OK",(IFERROR(SUMIF(Nutzungsprofile!$B$17:$B$22,"Schulbetrieb",Nutzungsprofile!$G$17:$G$22)*Kalender!C186/SUM(Kalender!$C$5:$C$370),0)+IFERROR(SUMIF(Nutzungsprofile!$B$17:$B$22,"Halle",Nutzungsprofile!$G$17:$G$22)*Kalender!D186/SUM(Kalender!$D$5:$D$370),0)+IFERROR(SUMIF(Nutzungsprofile!$B$17:$B$22,"Individuell",Nutzungsprofile!$G$17:$G$22)*Kalender!E186/SUM(Kalender!$E$5:$E$370),0))*Szenarien!$D$20,0)</f>
        <v>0.89</v>
      </c>
      <c r="E3480" s="13" t="n">
        <f aca="false">IFERROR(MIN(C3480,Eingaben!$B$17)*Eingaben!$B$16,0)</f>
        <v>1.5504</v>
      </c>
      <c r="F3480" s="13" t="n">
        <f aca="false">IFERROR(E3480*Eingaben!$B$15,0)</f>
        <v>1.39536</v>
      </c>
      <c r="G3480" s="13" t="n">
        <f aca="false">IFERROR(IF(Kalender!A186="",0,J3479*(1-Eingaben!$B$20)),0)</f>
        <v>0.59122224</v>
      </c>
      <c r="H3480" s="13" t="n">
        <f aca="false">MIN(G3480,D3480)</f>
        <v>0.59122224</v>
      </c>
      <c r="I3480" s="13" t="n">
        <f aca="false">IFERROR(MIN(F3480*Eingaben!$B$19,MAX(0,D3480-H3480)),0)</f>
        <v>0.29877776</v>
      </c>
      <c r="J3480" s="13" t="n">
        <f aca="false">IFERROR(MIN(Eingaben!$B$18,MAX(0,F3480-I3480)),0)</f>
        <v>1.09658224</v>
      </c>
      <c r="K3480" s="13" t="n">
        <f aca="false">H3480+I3480</f>
        <v>0.89</v>
      </c>
      <c r="L3480" s="13" t="n">
        <f aca="false">MAX(0,D3480-K3480)</f>
        <v>0</v>
      </c>
      <c r="M3480" s="13" t="n">
        <f aca="false">MAX(0,F3480-I3480-J3480)</f>
        <v>0</v>
      </c>
      <c r="N3480" s="13" t="n">
        <f aca="false">IF(Kalender!A186="",0,J3479-H3480)</f>
        <v>0.01206576</v>
      </c>
    </row>
    <row r="3481" customFormat="false" ht="16.4" hidden="false" customHeight="false" outlineLevel="0" collapsed="false">
      <c r="A3481" s="13" t="str">
        <f aca="false">""</f>
        <v/>
      </c>
      <c r="B3481" s="13" t="n">
        <f aca="false">183</f>
        <v>183</v>
      </c>
      <c r="C3481" s="13" t="n">
        <f aca="false">IF(Szenarien!$H$20="OK",(IFERROR(SUMIF(Nutzungsprofile!$B$6:$B$11,"Schulbetrieb",Nutzungsprofile!$G$6:$G$11)*Kalender!C187/SUM(Kalender!$C$5:$C$370),0)+IFERROR(SUMIF(Nutzungsprofile!$B$6:$B$11,"Halle",Nutzungsprofile!$G$6:$G$11)*Kalender!D187/SUM(Kalender!$D$5:$D$370),0)+IFERROR(SUMIF(Nutzungsprofile!$B$6:$B$11,"Individuell",Nutzungsprofile!$G$6:$G$11)*Kalender!E187/SUM(Kalender!$E$5:$E$370),0))*Szenarien!$E$20,0)</f>
        <v>1.632</v>
      </c>
      <c r="D3481" s="13" t="n">
        <f aca="false">IF(Szenarien!$H$20="OK",(IFERROR(SUMIF(Nutzungsprofile!$B$17:$B$22,"Schulbetrieb",Nutzungsprofile!$G$17:$G$22)*Kalender!C187/SUM(Kalender!$C$5:$C$370),0)+IFERROR(SUMIF(Nutzungsprofile!$B$17:$B$22,"Halle",Nutzungsprofile!$G$17:$G$22)*Kalender!D187/SUM(Kalender!$D$5:$D$370),0)+IFERROR(SUMIF(Nutzungsprofile!$B$17:$B$22,"Individuell",Nutzungsprofile!$G$17:$G$22)*Kalender!E187/SUM(Kalender!$E$5:$E$370),0))*Szenarien!$D$20,0)</f>
        <v>0.89</v>
      </c>
      <c r="E3481" s="13" t="n">
        <f aca="false">IFERROR(MIN(C3481,Eingaben!$B$17)*Eingaben!$B$16,0)</f>
        <v>1.5504</v>
      </c>
      <c r="F3481" s="13" t="n">
        <f aca="false">IFERROR(E3481*Eingaben!$B$15,0)</f>
        <v>1.39536</v>
      </c>
      <c r="G3481" s="13" t="n">
        <f aca="false">IFERROR(IF(Kalender!A187="",0,J3480*(1-Eingaben!$B$20)),0)</f>
        <v>1.0746505952</v>
      </c>
      <c r="H3481" s="13" t="n">
        <f aca="false">MIN(G3481,D3481)</f>
        <v>0.89</v>
      </c>
      <c r="I3481" s="13" t="n">
        <f aca="false">IFERROR(MIN(F3481*Eingaben!$B$19,MAX(0,D3481-H3481)),0)</f>
        <v>0</v>
      </c>
      <c r="J3481" s="13" t="n">
        <f aca="false">IFERROR(MIN(Eingaben!$B$18,MAX(0,F3481-I3481)),0)</f>
        <v>1.39536</v>
      </c>
      <c r="K3481" s="13" t="n">
        <f aca="false">H3481+I3481</f>
        <v>0.89</v>
      </c>
      <c r="L3481" s="13" t="n">
        <f aca="false">MAX(0,D3481-K3481)</f>
        <v>0</v>
      </c>
      <c r="M3481" s="13" t="n">
        <f aca="false">MAX(0,F3481-I3481-J3481)</f>
        <v>0</v>
      </c>
      <c r="N3481" s="13" t="n">
        <f aca="false">IF(Kalender!A187="",0,J3480-H3481)</f>
        <v>0.20658224</v>
      </c>
    </row>
    <row r="3482" customFormat="false" ht="16.4" hidden="false" customHeight="false" outlineLevel="0" collapsed="false">
      <c r="A3482" s="13" t="str">
        <f aca="false">""</f>
        <v/>
      </c>
      <c r="B3482" s="13" t="n">
        <f aca="false">184</f>
        <v>184</v>
      </c>
      <c r="C3482" s="13" t="n">
        <f aca="false">IF(Szenarien!$H$20="OK",(IFERROR(SUMIF(Nutzungsprofile!$B$6:$B$11,"Schulbetrieb",Nutzungsprofile!$G$6:$G$11)*Kalender!C188/SUM(Kalender!$C$5:$C$370),0)+IFERROR(SUMIF(Nutzungsprofile!$B$6:$B$11,"Halle",Nutzungsprofile!$G$6:$G$11)*Kalender!D188/SUM(Kalender!$D$5:$D$370),0)+IFERROR(SUMIF(Nutzungsprofile!$B$6:$B$11,"Individuell",Nutzungsprofile!$G$6:$G$11)*Kalender!E188/SUM(Kalender!$E$5:$E$370),0))*Szenarien!$E$20,0)</f>
        <v>1.632</v>
      </c>
      <c r="D3482" s="13" t="n">
        <f aca="false">IF(Szenarien!$H$20="OK",(IFERROR(SUMIF(Nutzungsprofile!$B$17:$B$22,"Schulbetrieb",Nutzungsprofile!$G$17:$G$22)*Kalender!C188/SUM(Kalender!$C$5:$C$370),0)+IFERROR(SUMIF(Nutzungsprofile!$B$17:$B$22,"Halle",Nutzungsprofile!$G$17:$G$22)*Kalender!D188/SUM(Kalender!$D$5:$D$370),0)+IFERROR(SUMIF(Nutzungsprofile!$B$17:$B$22,"Individuell",Nutzungsprofile!$G$17:$G$22)*Kalender!E188/SUM(Kalender!$E$5:$E$370),0))*Szenarien!$D$20,0)</f>
        <v>0.89</v>
      </c>
      <c r="E3482" s="13" t="n">
        <f aca="false">IFERROR(MIN(C3482,Eingaben!$B$17)*Eingaben!$B$16,0)</f>
        <v>1.5504</v>
      </c>
      <c r="F3482" s="13" t="n">
        <f aca="false">IFERROR(E3482*Eingaben!$B$15,0)</f>
        <v>1.39536</v>
      </c>
      <c r="G3482" s="13" t="n">
        <f aca="false">IFERROR(IF(Kalender!A188="",0,J3481*(1-Eingaben!$B$20)),0)</f>
        <v>1.3674528</v>
      </c>
      <c r="H3482" s="13" t="n">
        <f aca="false">MIN(G3482,D3482)</f>
        <v>0.89</v>
      </c>
      <c r="I3482" s="13" t="n">
        <f aca="false">IFERROR(MIN(F3482*Eingaben!$B$19,MAX(0,D3482-H3482)),0)</f>
        <v>0</v>
      </c>
      <c r="J3482" s="13" t="n">
        <f aca="false">IFERROR(MIN(Eingaben!$B$18,MAX(0,F3482-I3482)),0)</f>
        <v>1.39536</v>
      </c>
      <c r="K3482" s="13" t="n">
        <f aca="false">H3482+I3482</f>
        <v>0.89</v>
      </c>
      <c r="L3482" s="13" t="n">
        <f aca="false">MAX(0,D3482-K3482)</f>
        <v>0</v>
      </c>
      <c r="M3482" s="13" t="n">
        <f aca="false">MAX(0,F3482-I3482-J3482)</f>
        <v>0</v>
      </c>
      <c r="N3482" s="13" t="n">
        <f aca="false">IF(Kalender!A188="",0,J3481-H3482)</f>
        <v>0.50536</v>
      </c>
    </row>
    <row r="3483" customFormat="false" ht="16.4" hidden="false" customHeight="false" outlineLevel="0" collapsed="false">
      <c r="A3483" s="13" t="str">
        <f aca="false">""</f>
        <v/>
      </c>
      <c r="B3483" s="13" t="n">
        <f aca="false">185</f>
        <v>185</v>
      </c>
      <c r="C3483" s="13" t="n">
        <f aca="false">IF(Szenarien!$H$20="OK",(IFERROR(SUMIF(Nutzungsprofile!$B$6:$B$11,"Schulbetrieb",Nutzungsprofile!$G$6:$G$11)*Kalender!C189/SUM(Kalender!$C$5:$C$370),0)+IFERROR(SUMIF(Nutzungsprofile!$B$6:$B$11,"Halle",Nutzungsprofile!$G$6:$G$11)*Kalender!D189/SUM(Kalender!$D$5:$D$370),0)+IFERROR(SUMIF(Nutzungsprofile!$B$6:$B$11,"Individuell",Nutzungsprofile!$G$6:$G$11)*Kalender!E189/SUM(Kalender!$E$5:$E$370),0))*Szenarien!$E$20,0)</f>
        <v>1.632</v>
      </c>
      <c r="D3483" s="13" t="n">
        <f aca="false">IF(Szenarien!$H$20="OK",(IFERROR(SUMIF(Nutzungsprofile!$B$17:$B$22,"Schulbetrieb",Nutzungsprofile!$G$17:$G$22)*Kalender!C189/SUM(Kalender!$C$5:$C$370),0)+IFERROR(SUMIF(Nutzungsprofile!$B$17:$B$22,"Halle",Nutzungsprofile!$G$17:$G$22)*Kalender!D189/SUM(Kalender!$D$5:$D$370),0)+IFERROR(SUMIF(Nutzungsprofile!$B$17:$B$22,"Individuell",Nutzungsprofile!$G$17:$G$22)*Kalender!E189/SUM(Kalender!$E$5:$E$370),0))*Szenarien!$D$20,0)</f>
        <v>0.89</v>
      </c>
      <c r="E3483" s="13" t="n">
        <f aca="false">IFERROR(MIN(C3483,Eingaben!$B$17)*Eingaben!$B$16,0)</f>
        <v>1.5504</v>
      </c>
      <c r="F3483" s="13" t="n">
        <f aca="false">IFERROR(E3483*Eingaben!$B$15,0)</f>
        <v>1.39536</v>
      </c>
      <c r="G3483" s="13" t="n">
        <f aca="false">IFERROR(IF(Kalender!A189="",0,J3482*(1-Eingaben!$B$20)),0)</f>
        <v>1.3674528</v>
      </c>
      <c r="H3483" s="13" t="n">
        <f aca="false">MIN(G3483,D3483)</f>
        <v>0.89</v>
      </c>
      <c r="I3483" s="13" t="n">
        <f aca="false">IFERROR(MIN(F3483*Eingaben!$B$19,MAX(0,D3483-H3483)),0)</f>
        <v>0</v>
      </c>
      <c r="J3483" s="13" t="n">
        <f aca="false">IFERROR(MIN(Eingaben!$B$18,MAX(0,F3483-I3483)),0)</f>
        <v>1.39536</v>
      </c>
      <c r="K3483" s="13" t="n">
        <f aca="false">H3483+I3483</f>
        <v>0.89</v>
      </c>
      <c r="L3483" s="13" t="n">
        <f aca="false">MAX(0,D3483-K3483)</f>
        <v>0</v>
      </c>
      <c r="M3483" s="13" t="n">
        <f aca="false">MAX(0,F3483-I3483-J3483)</f>
        <v>0</v>
      </c>
      <c r="N3483" s="13" t="n">
        <f aca="false">IF(Kalender!A189="",0,J3482-H3483)</f>
        <v>0.50536</v>
      </c>
    </row>
    <row r="3484" customFormat="false" ht="16.4" hidden="false" customHeight="false" outlineLevel="0" collapsed="false">
      <c r="A3484" s="13" t="str">
        <f aca="false">""</f>
        <v/>
      </c>
      <c r="B3484" s="13" t="n">
        <f aca="false">186</f>
        <v>186</v>
      </c>
      <c r="C3484" s="13" t="n">
        <f aca="false">IF(Szenarien!$H$20="OK",(IFERROR(SUMIF(Nutzungsprofile!$B$6:$B$11,"Schulbetrieb",Nutzungsprofile!$G$6:$G$11)*Kalender!C190/SUM(Kalender!$C$5:$C$370),0)+IFERROR(SUMIF(Nutzungsprofile!$B$6:$B$11,"Halle",Nutzungsprofile!$G$6:$G$11)*Kalender!D190/SUM(Kalender!$D$5:$D$370),0)+IFERROR(SUMIF(Nutzungsprofile!$B$6:$B$11,"Individuell",Nutzungsprofile!$G$6:$G$11)*Kalender!E190/SUM(Kalender!$E$5:$E$370),0))*Szenarien!$E$20,0)</f>
        <v>1.632</v>
      </c>
      <c r="D3484" s="13" t="n">
        <f aca="false">IF(Szenarien!$H$20="OK",(IFERROR(SUMIF(Nutzungsprofile!$B$17:$B$22,"Schulbetrieb",Nutzungsprofile!$G$17:$G$22)*Kalender!C190/SUM(Kalender!$C$5:$C$370),0)+IFERROR(SUMIF(Nutzungsprofile!$B$17:$B$22,"Halle",Nutzungsprofile!$G$17:$G$22)*Kalender!D190/SUM(Kalender!$D$5:$D$370),0)+IFERROR(SUMIF(Nutzungsprofile!$B$17:$B$22,"Individuell",Nutzungsprofile!$G$17:$G$22)*Kalender!E190/SUM(Kalender!$E$5:$E$370),0))*Szenarien!$D$20,0)</f>
        <v>0.89</v>
      </c>
      <c r="E3484" s="13" t="n">
        <f aca="false">IFERROR(MIN(C3484,Eingaben!$B$17)*Eingaben!$B$16,0)</f>
        <v>1.5504</v>
      </c>
      <c r="F3484" s="13" t="n">
        <f aca="false">IFERROR(E3484*Eingaben!$B$15,0)</f>
        <v>1.39536</v>
      </c>
      <c r="G3484" s="13" t="n">
        <f aca="false">IFERROR(IF(Kalender!A190="",0,J3483*(1-Eingaben!$B$20)),0)</f>
        <v>1.3674528</v>
      </c>
      <c r="H3484" s="13" t="n">
        <f aca="false">MIN(G3484,D3484)</f>
        <v>0.89</v>
      </c>
      <c r="I3484" s="13" t="n">
        <f aca="false">IFERROR(MIN(F3484*Eingaben!$B$19,MAX(0,D3484-H3484)),0)</f>
        <v>0</v>
      </c>
      <c r="J3484" s="13" t="n">
        <f aca="false">IFERROR(MIN(Eingaben!$B$18,MAX(0,F3484-I3484)),0)</f>
        <v>1.39536</v>
      </c>
      <c r="K3484" s="13" t="n">
        <f aca="false">H3484+I3484</f>
        <v>0.89</v>
      </c>
      <c r="L3484" s="13" t="n">
        <f aca="false">MAX(0,D3484-K3484)</f>
        <v>0</v>
      </c>
      <c r="M3484" s="13" t="n">
        <f aca="false">MAX(0,F3484-I3484-J3484)</f>
        <v>0</v>
      </c>
      <c r="N3484" s="13" t="n">
        <f aca="false">IF(Kalender!A190="",0,J3483-H3484)</f>
        <v>0.50536</v>
      </c>
    </row>
    <row r="3485" customFormat="false" ht="16.4" hidden="false" customHeight="false" outlineLevel="0" collapsed="false">
      <c r="A3485" s="13" t="str">
        <f aca="false">""</f>
        <v/>
      </c>
      <c r="B3485" s="13" t="n">
        <f aca="false">187</f>
        <v>187</v>
      </c>
      <c r="C3485" s="13" t="n">
        <f aca="false">IF(Szenarien!$H$20="OK",(IFERROR(SUMIF(Nutzungsprofile!$B$6:$B$11,"Schulbetrieb",Nutzungsprofile!$G$6:$G$11)*Kalender!C191/SUM(Kalender!$C$5:$C$370),0)+IFERROR(SUMIF(Nutzungsprofile!$B$6:$B$11,"Halle",Nutzungsprofile!$G$6:$G$11)*Kalender!D191/SUM(Kalender!$D$5:$D$370),0)+IFERROR(SUMIF(Nutzungsprofile!$B$6:$B$11,"Individuell",Nutzungsprofile!$G$6:$G$11)*Kalender!E191/SUM(Kalender!$E$5:$E$370),0))*Szenarien!$E$20,0)</f>
        <v>1.632</v>
      </c>
      <c r="D3485" s="13" t="n">
        <f aca="false">IF(Szenarien!$H$20="OK",(IFERROR(SUMIF(Nutzungsprofile!$B$17:$B$22,"Schulbetrieb",Nutzungsprofile!$G$17:$G$22)*Kalender!C191/SUM(Kalender!$C$5:$C$370),0)+IFERROR(SUMIF(Nutzungsprofile!$B$17:$B$22,"Halle",Nutzungsprofile!$G$17:$G$22)*Kalender!D191/SUM(Kalender!$D$5:$D$370),0)+IFERROR(SUMIF(Nutzungsprofile!$B$17:$B$22,"Individuell",Nutzungsprofile!$G$17:$G$22)*Kalender!E191/SUM(Kalender!$E$5:$E$370),0))*Szenarien!$D$20,0)</f>
        <v>0.89</v>
      </c>
      <c r="E3485" s="13" t="n">
        <f aca="false">IFERROR(MIN(C3485,Eingaben!$B$17)*Eingaben!$B$16,0)</f>
        <v>1.5504</v>
      </c>
      <c r="F3485" s="13" t="n">
        <f aca="false">IFERROR(E3485*Eingaben!$B$15,0)</f>
        <v>1.39536</v>
      </c>
      <c r="G3485" s="13" t="n">
        <f aca="false">IFERROR(IF(Kalender!A191="",0,J3484*(1-Eingaben!$B$20)),0)</f>
        <v>1.3674528</v>
      </c>
      <c r="H3485" s="13" t="n">
        <f aca="false">MIN(G3485,D3485)</f>
        <v>0.89</v>
      </c>
      <c r="I3485" s="13" t="n">
        <f aca="false">IFERROR(MIN(F3485*Eingaben!$B$19,MAX(0,D3485-H3485)),0)</f>
        <v>0</v>
      </c>
      <c r="J3485" s="13" t="n">
        <f aca="false">IFERROR(MIN(Eingaben!$B$18,MAX(0,F3485-I3485)),0)</f>
        <v>1.39536</v>
      </c>
      <c r="K3485" s="13" t="n">
        <f aca="false">H3485+I3485</f>
        <v>0.89</v>
      </c>
      <c r="L3485" s="13" t="n">
        <f aca="false">MAX(0,D3485-K3485)</f>
        <v>0</v>
      </c>
      <c r="M3485" s="13" t="n">
        <f aca="false">MAX(0,F3485-I3485-J3485)</f>
        <v>0</v>
      </c>
      <c r="N3485" s="13" t="n">
        <f aca="false">IF(Kalender!A191="",0,J3484-H3485)</f>
        <v>0.50536</v>
      </c>
    </row>
    <row r="3486" customFormat="false" ht="16.4" hidden="false" customHeight="false" outlineLevel="0" collapsed="false">
      <c r="A3486" s="13" t="str">
        <f aca="false">""</f>
        <v/>
      </c>
      <c r="B3486" s="13" t="n">
        <f aca="false">188</f>
        <v>188</v>
      </c>
      <c r="C3486" s="13" t="n">
        <f aca="false">IF(Szenarien!$H$20="OK",(IFERROR(SUMIF(Nutzungsprofile!$B$6:$B$11,"Schulbetrieb",Nutzungsprofile!$G$6:$G$11)*Kalender!C192/SUM(Kalender!$C$5:$C$370),0)+IFERROR(SUMIF(Nutzungsprofile!$B$6:$B$11,"Halle",Nutzungsprofile!$G$6:$G$11)*Kalender!D192/SUM(Kalender!$D$5:$D$370),0)+IFERROR(SUMIF(Nutzungsprofile!$B$6:$B$11,"Individuell",Nutzungsprofile!$G$6:$G$11)*Kalender!E192/SUM(Kalender!$E$5:$E$370),0))*Szenarien!$E$20,0)</f>
        <v>1.632</v>
      </c>
      <c r="D3486" s="13" t="n">
        <f aca="false">IF(Szenarien!$H$20="OK",(IFERROR(SUMIF(Nutzungsprofile!$B$17:$B$22,"Schulbetrieb",Nutzungsprofile!$G$17:$G$22)*Kalender!C192/SUM(Kalender!$C$5:$C$370),0)+IFERROR(SUMIF(Nutzungsprofile!$B$17:$B$22,"Halle",Nutzungsprofile!$G$17:$G$22)*Kalender!D192/SUM(Kalender!$D$5:$D$370),0)+IFERROR(SUMIF(Nutzungsprofile!$B$17:$B$22,"Individuell",Nutzungsprofile!$G$17:$G$22)*Kalender!E192/SUM(Kalender!$E$5:$E$370),0))*Szenarien!$D$20,0)</f>
        <v>0.89</v>
      </c>
      <c r="E3486" s="13" t="n">
        <f aca="false">IFERROR(MIN(C3486,Eingaben!$B$17)*Eingaben!$B$16,0)</f>
        <v>1.5504</v>
      </c>
      <c r="F3486" s="13" t="n">
        <f aca="false">IFERROR(E3486*Eingaben!$B$15,0)</f>
        <v>1.39536</v>
      </c>
      <c r="G3486" s="13" t="n">
        <f aca="false">IFERROR(IF(Kalender!A192="",0,J3485*(1-Eingaben!$B$20)),0)</f>
        <v>1.3674528</v>
      </c>
      <c r="H3486" s="13" t="n">
        <f aca="false">MIN(G3486,D3486)</f>
        <v>0.89</v>
      </c>
      <c r="I3486" s="13" t="n">
        <f aca="false">IFERROR(MIN(F3486*Eingaben!$B$19,MAX(0,D3486-H3486)),0)</f>
        <v>0</v>
      </c>
      <c r="J3486" s="13" t="n">
        <f aca="false">IFERROR(MIN(Eingaben!$B$18,MAX(0,F3486-I3486)),0)</f>
        <v>1.39536</v>
      </c>
      <c r="K3486" s="13" t="n">
        <f aca="false">H3486+I3486</f>
        <v>0.89</v>
      </c>
      <c r="L3486" s="13" t="n">
        <f aca="false">MAX(0,D3486-K3486)</f>
        <v>0</v>
      </c>
      <c r="M3486" s="13" t="n">
        <f aca="false">MAX(0,F3486-I3486-J3486)</f>
        <v>0</v>
      </c>
      <c r="N3486" s="13" t="n">
        <f aca="false">IF(Kalender!A192="",0,J3485-H3486)</f>
        <v>0.50536</v>
      </c>
    </row>
    <row r="3487" customFormat="false" ht="16.4" hidden="false" customHeight="false" outlineLevel="0" collapsed="false">
      <c r="A3487" s="13" t="str">
        <f aca="false">""</f>
        <v/>
      </c>
      <c r="B3487" s="13" t="n">
        <f aca="false">189</f>
        <v>189</v>
      </c>
      <c r="C3487" s="13" t="n">
        <f aca="false">IF(Szenarien!$H$20="OK",(IFERROR(SUMIF(Nutzungsprofile!$B$6:$B$11,"Schulbetrieb",Nutzungsprofile!$G$6:$G$11)*Kalender!C193/SUM(Kalender!$C$5:$C$370),0)+IFERROR(SUMIF(Nutzungsprofile!$B$6:$B$11,"Halle",Nutzungsprofile!$G$6:$G$11)*Kalender!D193/SUM(Kalender!$D$5:$D$370),0)+IFERROR(SUMIF(Nutzungsprofile!$B$6:$B$11,"Individuell",Nutzungsprofile!$G$6:$G$11)*Kalender!E193/SUM(Kalender!$E$5:$E$370),0))*Szenarien!$E$20,0)</f>
        <v>1.632</v>
      </c>
      <c r="D3487" s="13" t="n">
        <f aca="false">IF(Szenarien!$H$20="OK",(IFERROR(SUMIF(Nutzungsprofile!$B$17:$B$22,"Schulbetrieb",Nutzungsprofile!$G$17:$G$22)*Kalender!C193/SUM(Kalender!$C$5:$C$370),0)+IFERROR(SUMIF(Nutzungsprofile!$B$17:$B$22,"Halle",Nutzungsprofile!$G$17:$G$22)*Kalender!D193/SUM(Kalender!$D$5:$D$370),0)+IFERROR(SUMIF(Nutzungsprofile!$B$17:$B$22,"Individuell",Nutzungsprofile!$G$17:$G$22)*Kalender!E193/SUM(Kalender!$E$5:$E$370),0))*Szenarien!$D$20,0)</f>
        <v>0.89</v>
      </c>
      <c r="E3487" s="13" t="n">
        <f aca="false">IFERROR(MIN(C3487,Eingaben!$B$17)*Eingaben!$B$16,0)</f>
        <v>1.5504</v>
      </c>
      <c r="F3487" s="13" t="n">
        <f aca="false">IFERROR(E3487*Eingaben!$B$15,0)</f>
        <v>1.39536</v>
      </c>
      <c r="G3487" s="13" t="n">
        <f aca="false">IFERROR(IF(Kalender!A193="",0,J3486*(1-Eingaben!$B$20)),0)</f>
        <v>1.3674528</v>
      </c>
      <c r="H3487" s="13" t="n">
        <f aca="false">MIN(G3487,D3487)</f>
        <v>0.89</v>
      </c>
      <c r="I3487" s="13" t="n">
        <f aca="false">IFERROR(MIN(F3487*Eingaben!$B$19,MAX(0,D3487-H3487)),0)</f>
        <v>0</v>
      </c>
      <c r="J3487" s="13" t="n">
        <f aca="false">IFERROR(MIN(Eingaben!$B$18,MAX(0,F3487-I3487)),0)</f>
        <v>1.39536</v>
      </c>
      <c r="K3487" s="13" t="n">
        <f aca="false">H3487+I3487</f>
        <v>0.89</v>
      </c>
      <c r="L3487" s="13" t="n">
        <f aca="false">MAX(0,D3487-K3487)</f>
        <v>0</v>
      </c>
      <c r="M3487" s="13" t="n">
        <f aca="false">MAX(0,F3487-I3487-J3487)</f>
        <v>0</v>
      </c>
      <c r="N3487" s="13" t="n">
        <f aca="false">IF(Kalender!A193="",0,J3486-H3487)</f>
        <v>0.50536</v>
      </c>
    </row>
    <row r="3488" customFormat="false" ht="16.4" hidden="false" customHeight="false" outlineLevel="0" collapsed="false">
      <c r="A3488" s="13" t="str">
        <f aca="false">""</f>
        <v/>
      </c>
      <c r="B3488" s="13" t="n">
        <f aca="false">190</f>
        <v>190</v>
      </c>
      <c r="C3488" s="13" t="n">
        <f aca="false">IF(Szenarien!$H$20="OK",(IFERROR(SUMIF(Nutzungsprofile!$B$6:$B$11,"Schulbetrieb",Nutzungsprofile!$G$6:$G$11)*Kalender!C194/SUM(Kalender!$C$5:$C$370),0)+IFERROR(SUMIF(Nutzungsprofile!$B$6:$B$11,"Halle",Nutzungsprofile!$G$6:$G$11)*Kalender!D194/SUM(Kalender!$D$5:$D$370),0)+IFERROR(SUMIF(Nutzungsprofile!$B$6:$B$11,"Individuell",Nutzungsprofile!$G$6:$G$11)*Kalender!E194/SUM(Kalender!$E$5:$E$370),0))*Szenarien!$E$20,0)</f>
        <v>1.632</v>
      </c>
      <c r="D3488" s="13" t="n">
        <f aca="false">IF(Szenarien!$H$20="OK",(IFERROR(SUMIF(Nutzungsprofile!$B$17:$B$22,"Schulbetrieb",Nutzungsprofile!$G$17:$G$22)*Kalender!C194/SUM(Kalender!$C$5:$C$370),0)+IFERROR(SUMIF(Nutzungsprofile!$B$17:$B$22,"Halle",Nutzungsprofile!$G$17:$G$22)*Kalender!D194/SUM(Kalender!$D$5:$D$370),0)+IFERROR(SUMIF(Nutzungsprofile!$B$17:$B$22,"Individuell",Nutzungsprofile!$G$17:$G$22)*Kalender!E194/SUM(Kalender!$E$5:$E$370),0))*Szenarien!$D$20,0)</f>
        <v>0.89</v>
      </c>
      <c r="E3488" s="13" t="n">
        <f aca="false">IFERROR(MIN(C3488,Eingaben!$B$17)*Eingaben!$B$16,0)</f>
        <v>1.5504</v>
      </c>
      <c r="F3488" s="13" t="n">
        <f aca="false">IFERROR(E3488*Eingaben!$B$15,0)</f>
        <v>1.39536</v>
      </c>
      <c r="G3488" s="13" t="n">
        <f aca="false">IFERROR(IF(Kalender!A194="",0,J3487*(1-Eingaben!$B$20)),0)</f>
        <v>1.3674528</v>
      </c>
      <c r="H3488" s="13" t="n">
        <f aca="false">MIN(G3488,D3488)</f>
        <v>0.89</v>
      </c>
      <c r="I3488" s="13" t="n">
        <f aca="false">IFERROR(MIN(F3488*Eingaben!$B$19,MAX(0,D3488-H3488)),0)</f>
        <v>0</v>
      </c>
      <c r="J3488" s="13" t="n">
        <f aca="false">IFERROR(MIN(Eingaben!$B$18,MAX(0,F3488-I3488)),0)</f>
        <v>1.39536</v>
      </c>
      <c r="K3488" s="13" t="n">
        <f aca="false">H3488+I3488</f>
        <v>0.89</v>
      </c>
      <c r="L3488" s="13" t="n">
        <f aca="false">MAX(0,D3488-K3488)</f>
        <v>0</v>
      </c>
      <c r="M3488" s="13" t="n">
        <f aca="false">MAX(0,F3488-I3488-J3488)</f>
        <v>0</v>
      </c>
      <c r="N3488" s="13" t="n">
        <f aca="false">IF(Kalender!A194="",0,J3487-H3488)</f>
        <v>0.50536</v>
      </c>
    </row>
    <row r="3489" customFormat="false" ht="16.4" hidden="false" customHeight="false" outlineLevel="0" collapsed="false">
      <c r="A3489" s="13" t="str">
        <f aca="false">""</f>
        <v/>
      </c>
      <c r="B3489" s="13" t="n">
        <f aca="false">191</f>
        <v>191</v>
      </c>
      <c r="C3489" s="13" t="n">
        <f aca="false">IF(Szenarien!$H$20="OK",(IFERROR(SUMIF(Nutzungsprofile!$B$6:$B$11,"Schulbetrieb",Nutzungsprofile!$G$6:$G$11)*Kalender!C195/SUM(Kalender!$C$5:$C$370),0)+IFERROR(SUMIF(Nutzungsprofile!$B$6:$B$11,"Halle",Nutzungsprofile!$G$6:$G$11)*Kalender!D195/SUM(Kalender!$D$5:$D$370),0)+IFERROR(SUMIF(Nutzungsprofile!$B$6:$B$11,"Individuell",Nutzungsprofile!$G$6:$G$11)*Kalender!E195/SUM(Kalender!$E$5:$E$370),0))*Szenarien!$E$20,0)</f>
        <v>1.632</v>
      </c>
      <c r="D3489" s="13" t="n">
        <f aca="false">IF(Szenarien!$H$20="OK",(IFERROR(SUMIF(Nutzungsprofile!$B$17:$B$22,"Schulbetrieb",Nutzungsprofile!$G$17:$G$22)*Kalender!C195/SUM(Kalender!$C$5:$C$370),0)+IFERROR(SUMIF(Nutzungsprofile!$B$17:$B$22,"Halle",Nutzungsprofile!$G$17:$G$22)*Kalender!D195/SUM(Kalender!$D$5:$D$370),0)+IFERROR(SUMIF(Nutzungsprofile!$B$17:$B$22,"Individuell",Nutzungsprofile!$G$17:$G$22)*Kalender!E195/SUM(Kalender!$E$5:$E$370),0))*Szenarien!$D$20,0)</f>
        <v>0.89</v>
      </c>
      <c r="E3489" s="13" t="n">
        <f aca="false">IFERROR(MIN(C3489,Eingaben!$B$17)*Eingaben!$B$16,0)</f>
        <v>1.5504</v>
      </c>
      <c r="F3489" s="13" t="n">
        <f aca="false">IFERROR(E3489*Eingaben!$B$15,0)</f>
        <v>1.39536</v>
      </c>
      <c r="G3489" s="13" t="n">
        <f aca="false">IFERROR(IF(Kalender!A195="",0,J3488*(1-Eingaben!$B$20)),0)</f>
        <v>1.3674528</v>
      </c>
      <c r="H3489" s="13" t="n">
        <f aca="false">MIN(G3489,D3489)</f>
        <v>0.89</v>
      </c>
      <c r="I3489" s="13" t="n">
        <f aca="false">IFERROR(MIN(F3489*Eingaben!$B$19,MAX(0,D3489-H3489)),0)</f>
        <v>0</v>
      </c>
      <c r="J3489" s="13" t="n">
        <f aca="false">IFERROR(MIN(Eingaben!$B$18,MAX(0,F3489-I3489)),0)</f>
        <v>1.39536</v>
      </c>
      <c r="K3489" s="13" t="n">
        <f aca="false">H3489+I3489</f>
        <v>0.89</v>
      </c>
      <c r="L3489" s="13" t="n">
        <f aca="false">MAX(0,D3489-K3489)</f>
        <v>0</v>
      </c>
      <c r="M3489" s="13" t="n">
        <f aca="false">MAX(0,F3489-I3489-J3489)</f>
        <v>0</v>
      </c>
      <c r="N3489" s="13" t="n">
        <f aca="false">IF(Kalender!A195="",0,J3488-H3489)</f>
        <v>0.50536</v>
      </c>
    </row>
    <row r="3490" customFormat="false" ht="16.4" hidden="false" customHeight="false" outlineLevel="0" collapsed="false">
      <c r="A3490" s="13" t="str">
        <f aca="false">""</f>
        <v/>
      </c>
      <c r="B3490" s="13" t="n">
        <f aca="false">192</f>
        <v>192</v>
      </c>
      <c r="C3490" s="13" t="n">
        <f aca="false">IF(Szenarien!$H$20="OK",(IFERROR(SUMIF(Nutzungsprofile!$B$6:$B$11,"Schulbetrieb",Nutzungsprofile!$G$6:$G$11)*Kalender!C196/SUM(Kalender!$C$5:$C$370),0)+IFERROR(SUMIF(Nutzungsprofile!$B$6:$B$11,"Halle",Nutzungsprofile!$G$6:$G$11)*Kalender!D196/SUM(Kalender!$D$5:$D$370),0)+IFERROR(SUMIF(Nutzungsprofile!$B$6:$B$11,"Individuell",Nutzungsprofile!$G$6:$G$11)*Kalender!E196/SUM(Kalender!$E$5:$E$370),0))*Szenarien!$E$20,0)</f>
        <v>1.632</v>
      </c>
      <c r="D3490" s="13" t="n">
        <f aca="false">IF(Szenarien!$H$20="OK",(IFERROR(SUMIF(Nutzungsprofile!$B$17:$B$22,"Schulbetrieb",Nutzungsprofile!$G$17:$G$22)*Kalender!C196/SUM(Kalender!$C$5:$C$370),0)+IFERROR(SUMIF(Nutzungsprofile!$B$17:$B$22,"Halle",Nutzungsprofile!$G$17:$G$22)*Kalender!D196/SUM(Kalender!$D$5:$D$370),0)+IFERROR(SUMIF(Nutzungsprofile!$B$17:$B$22,"Individuell",Nutzungsprofile!$G$17:$G$22)*Kalender!E196/SUM(Kalender!$E$5:$E$370),0))*Szenarien!$D$20,0)</f>
        <v>0.89</v>
      </c>
      <c r="E3490" s="13" t="n">
        <f aca="false">IFERROR(MIN(C3490,Eingaben!$B$17)*Eingaben!$B$16,0)</f>
        <v>1.5504</v>
      </c>
      <c r="F3490" s="13" t="n">
        <f aca="false">IFERROR(E3490*Eingaben!$B$15,0)</f>
        <v>1.39536</v>
      </c>
      <c r="G3490" s="13" t="n">
        <f aca="false">IFERROR(IF(Kalender!A196="",0,J3489*(1-Eingaben!$B$20)),0)</f>
        <v>1.3674528</v>
      </c>
      <c r="H3490" s="13" t="n">
        <f aca="false">MIN(G3490,D3490)</f>
        <v>0.89</v>
      </c>
      <c r="I3490" s="13" t="n">
        <f aca="false">IFERROR(MIN(F3490*Eingaben!$B$19,MAX(0,D3490-H3490)),0)</f>
        <v>0</v>
      </c>
      <c r="J3490" s="13" t="n">
        <f aca="false">IFERROR(MIN(Eingaben!$B$18,MAX(0,F3490-I3490)),0)</f>
        <v>1.39536</v>
      </c>
      <c r="K3490" s="13" t="n">
        <f aca="false">H3490+I3490</f>
        <v>0.89</v>
      </c>
      <c r="L3490" s="13" t="n">
        <f aca="false">MAX(0,D3490-K3490)</f>
        <v>0</v>
      </c>
      <c r="M3490" s="13" t="n">
        <f aca="false">MAX(0,F3490-I3490-J3490)</f>
        <v>0</v>
      </c>
      <c r="N3490" s="13" t="n">
        <f aca="false">IF(Kalender!A196="",0,J3489-H3490)</f>
        <v>0.50536</v>
      </c>
    </row>
    <row r="3491" customFormat="false" ht="16.4" hidden="false" customHeight="false" outlineLevel="0" collapsed="false">
      <c r="A3491" s="13" t="str">
        <f aca="false">""</f>
        <v/>
      </c>
      <c r="B3491" s="13" t="n">
        <f aca="false">193</f>
        <v>193</v>
      </c>
      <c r="C3491" s="13" t="n">
        <f aca="false">IF(Szenarien!$H$20="OK",(IFERROR(SUMIF(Nutzungsprofile!$B$6:$B$11,"Schulbetrieb",Nutzungsprofile!$G$6:$G$11)*Kalender!C197/SUM(Kalender!$C$5:$C$370),0)+IFERROR(SUMIF(Nutzungsprofile!$B$6:$B$11,"Halle",Nutzungsprofile!$G$6:$G$11)*Kalender!D197/SUM(Kalender!$D$5:$D$370),0)+IFERROR(SUMIF(Nutzungsprofile!$B$6:$B$11,"Individuell",Nutzungsprofile!$G$6:$G$11)*Kalender!E197/SUM(Kalender!$E$5:$E$370),0))*Szenarien!$E$20,0)</f>
        <v>1.632</v>
      </c>
      <c r="D3491" s="13" t="n">
        <f aca="false">IF(Szenarien!$H$20="OK",(IFERROR(SUMIF(Nutzungsprofile!$B$17:$B$22,"Schulbetrieb",Nutzungsprofile!$G$17:$G$22)*Kalender!C197/SUM(Kalender!$C$5:$C$370),0)+IFERROR(SUMIF(Nutzungsprofile!$B$17:$B$22,"Halle",Nutzungsprofile!$G$17:$G$22)*Kalender!D197/SUM(Kalender!$D$5:$D$370),0)+IFERROR(SUMIF(Nutzungsprofile!$B$17:$B$22,"Individuell",Nutzungsprofile!$G$17:$G$22)*Kalender!E197/SUM(Kalender!$E$5:$E$370),0))*Szenarien!$D$20,0)</f>
        <v>0.89</v>
      </c>
      <c r="E3491" s="13" t="n">
        <f aca="false">IFERROR(MIN(C3491,Eingaben!$B$17)*Eingaben!$B$16,0)</f>
        <v>1.5504</v>
      </c>
      <c r="F3491" s="13" t="n">
        <f aca="false">IFERROR(E3491*Eingaben!$B$15,0)</f>
        <v>1.39536</v>
      </c>
      <c r="G3491" s="13" t="n">
        <f aca="false">IFERROR(IF(Kalender!A197="",0,J3490*(1-Eingaben!$B$20)),0)</f>
        <v>1.3674528</v>
      </c>
      <c r="H3491" s="13" t="n">
        <f aca="false">MIN(G3491,D3491)</f>
        <v>0.89</v>
      </c>
      <c r="I3491" s="13" t="n">
        <f aca="false">IFERROR(MIN(F3491*Eingaben!$B$19,MAX(0,D3491-H3491)),0)</f>
        <v>0</v>
      </c>
      <c r="J3491" s="13" t="n">
        <f aca="false">IFERROR(MIN(Eingaben!$B$18,MAX(0,F3491-I3491)),0)</f>
        <v>1.39536</v>
      </c>
      <c r="K3491" s="13" t="n">
        <f aca="false">H3491+I3491</f>
        <v>0.89</v>
      </c>
      <c r="L3491" s="13" t="n">
        <f aca="false">MAX(0,D3491-K3491)</f>
        <v>0</v>
      </c>
      <c r="M3491" s="13" t="n">
        <f aca="false">MAX(0,F3491-I3491-J3491)</f>
        <v>0</v>
      </c>
      <c r="N3491" s="13" t="n">
        <f aca="false">IF(Kalender!A197="",0,J3490-H3491)</f>
        <v>0.50536</v>
      </c>
    </row>
    <row r="3492" customFormat="false" ht="16.4" hidden="false" customHeight="false" outlineLevel="0" collapsed="false">
      <c r="A3492" s="13" t="str">
        <f aca="false">""</f>
        <v/>
      </c>
      <c r="B3492" s="13" t="n">
        <f aca="false">194</f>
        <v>194</v>
      </c>
      <c r="C3492" s="13" t="n">
        <f aca="false">IF(Szenarien!$H$20="OK",(IFERROR(SUMIF(Nutzungsprofile!$B$6:$B$11,"Schulbetrieb",Nutzungsprofile!$G$6:$G$11)*Kalender!C198/SUM(Kalender!$C$5:$C$370),0)+IFERROR(SUMIF(Nutzungsprofile!$B$6:$B$11,"Halle",Nutzungsprofile!$G$6:$G$11)*Kalender!D198/SUM(Kalender!$D$5:$D$370),0)+IFERROR(SUMIF(Nutzungsprofile!$B$6:$B$11,"Individuell",Nutzungsprofile!$G$6:$G$11)*Kalender!E198/SUM(Kalender!$E$5:$E$370),0))*Szenarien!$E$20,0)</f>
        <v>1.632</v>
      </c>
      <c r="D3492" s="13" t="n">
        <f aca="false">IF(Szenarien!$H$20="OK",(IFERROR(SUMIF(Nutzungsprofile!$B$17:$B$22,"Schulbetrieb",Nutzungsprofile!$G$17:$G$22)*Kalender!C198/SUM(Kalender!$C$5:$C$370),0)+IFERROR(SUMIF(Nutzungsprofile!$B$17:$B$22,"Halle",Nutzungsprofile!$G$17:$G$22)*Kalender!D198/SUM(Kalender!$D$5:$D$370),0)+IFERROR(SUMIF(Nutzungsprofile!$B$17:$B$22,"Individuell",Nutzungsprofile!$G$17:$G$22)*Kalender!E198/SUM(Kalender!$E$5:$E$370),0))*Szenarien!$D$20,0)</f>
        <v>0.89</v>
      </c>
      <c r="E3492" s="13" t="n">
        <f aca="false">IFERROR(MIN(C3492,Eingaben!$B$17)*Eingaben!$B$16,0)</f>
        <v>1.5504</v>
      </c>
      <c r="F3492" s="13" t="n">
        <f aca="false">IFERROR(E3492*Eingaben!$B$15,0)</f>
        <v>1.39536</v>
      </c>
      <c r="G3492" s="13" t="n">
        <f aca="false">IFERROR(IF(Kalender!A198="",0,J3491*(1-Eingaben!$B$20)),0)</f>
        <v>1.3674528</v>
      </c>
      <c r="H3492" s="13" t="n">
        <f aca="false">MIN(G3492,D3492)</f>
        <v>0.89</v>
      </c>
      <c r="I3492" s="13" t="n">
        <f aca="false">IFERROR(MIN(F3492*Eingaben!$B$19,MAX(0,D3492-H3492)),0)</f>
        <v>0</v>
      </c>
      <c r="J3492" s="13" t="n">
        <f aca="false">IFERROR(MIN(Eingaben!$B$18,MAX(0,F3492-I3492)),0)</f>
        <v>1.39536</v>
      </c>
      <c r="K3492" s="13" t="n">
        <f aca="false">H3492+I3492</f>
        <v>0.89</v>
      </c>
      <c r="L3492" s="13" t="n">
        <f aca="false">MAX(0,D3492-K3492)</f>
        <v>0</v>
      </c>
      <c r="M3492" s="13" t="n">
        <f aca="false">MAX(0,F3492-I3492-J3492)</f>
        <v>0</v>
      </c>
      <c r="N3492" s="13" t="n">
        <f aca="false">IF(Kalender!A198="",0,J3491-H3492)</f>
        <v>0.50536</v>
      </c>
    </row>
    <row r="3493" customFormat="false" ht="16.4" hidden="false" customHeight="false" outlineLevel="0" collapsed="false">
      <c r="A3493" s="13" t="str">
        <f aca="false">""</f>
        <v/>
      </c>
      <c r="B3493" s="13" t="n">
        <f aca="false">195</f>
        <v>195</v>
      </c>
      <c r="C3493" s="13" t="n">
        <f aca="false">IF(Szenarien!$H$20="OK",(IFERROR(SUMIF(Nutzungsprofile!$B$6:$B$11,"Schulbetrieb",Nutzungsprofile!$G$6:$G$11)*Kalender!C199/SUM(Kalender!$C$5:$C$370),0)+IFERROR(SUMIF(Nutzungsprofile!$B$6:$B$11,"Halle",Nutzungsprofile!$G$6:$G$11)*Kalender!D199/SUM(Kalender!$D$5:$D$370),0)+IFERROR(SUMIF(Nutzungsprofile!$B$6:$B$11,"Individuell",Nutzungsprofile!$G$6:$G$11)*Kalender!E199/SUM(Kalender!$E$5:$E$370),0))*Szenarien!$E$20,0)</f>
        <v>1.632</v>
      </c>
      <c r="D3493" s="13" t="n">
        <f aca="false">IF(Szenarien!$H$20="OK",(IFERROR(SUMIF(Nutzungsprofile!$B$17:$B$22,"Schulbetrieb",Nutzungsprofile!$G$17:$G$22)*Kalender!C199/SUM(Kalender!$C$5:$C$370),0)+IFERROR(SUMIF(Nutzungsprofile!$B$17:$B$22,"Halle",Nutzungsprofile!$G$17:$G$22)*Kalender!D199/SUM(Kalender!$D$5:$D$370),0)+IFERROR(SUMIF(Nutzungsprofile!$B$17:$B$22,"Individuell",Nutzungsprofile!$G$17:$G$22)*Kalender!E199/SUM(Kalender!$E$5:$E$370),0))*Szenarien!$D$20,0)</f>
        <v>0.89</v>
      </c>
      <c r="E3493" s="13" t="n">
        <f aca="false">IFERROR(MIN(C3493,Eingaben!$B$17)*Eingaben!$B$16,0)</f>
        <v>1.5504</v>
      </c>
      <c r="F3493" s="13" t="n">
        <f aca="false">IFERROR(E3493*Eingaben!$B$15,0)</f>
        <v>1.39536</v>
      </c>
      <c r="G3493" s="13" t="n">
        <f aca="false">IFERROR(IF(Kalender!A199="",0,J3492*(1-Eingaben!$B$20)),0)</f>
        <v>1.3674528</v>
      </c>
      <c r="H3493" s="13" t="n">
        <f aca="false">MIN(G3493,D3493)</f>
        <v>0.89</v>
      </c>
      <c r="I3493" s="13" t="n">
        <f aca="false">IFERROR(MIN(F3493*Eingaben!$B$19,MAX(0,D3493-H3493)),0)</f>
        <v>0</v>
      </c>
      <c r="J3493" s="13" t="n">
        <f aca="false">IFERROR(MIN(Eingaben!$B$18,MAX(0,F3493-I3493)),0)</f>
        <v>1.39536</v>
      </c>
      <c r="K3493" s="13" t="n">
        <f aca="false">H3493+I3493</f>
        <v>0.89</v>
      </c>
      <c r="L3493" s="13" t="n">
        <f aca="false">MAX(0,D3493-K3493)</f>
        <v>0</v>
      </c>
      <c r="M3493" s="13" t="n">
        <f aca="false">MAX(0,F3493-I3493-J3493)</f>
        <v>0</v>
      </c>
      <c r="N3493" s="13" t="n">
        <f aca="false">IF(Kalender!A199="",0,J3492-H3493)</f>
        <v>0.50536</v>
      </c>
    </row>
    <row r="3494" customFormat="false" ht="16.4" hidden="false" customHeight="false" outlineLevel="0" collapsed="false">
      <c r="A3494" s="13" t="str">
        <f aca="false">""</f>
        <v/>
      </c>
      <c r="B3494" s="13" t="n">
        <f aca="false">196</f>
        <v>196</v>
      </c>
      <c r="C3494" s="13" t="n">
        <f aca="false">IF(Szenarien!$H$20="OK",(IFERROR(SUMIF(Nutzungsprofile!$B$6:$B$11,"Schulbetrieb",Nutzungsprofile!$G$6:$G$11)*Kalender!C200/SUM(Kalender!$C$5:$C$370),0)+IFERROR(SUMIF(Nutzungsprofile!$B$6:$B$11,"Halle",Nutzungsprofile!$G$6:$G$11)*Kalender!D200/SUM(Kalender!$D$5:$D$370),0)+IFERROR(SUMIF(Nutzungsprofile!$B$6:$B$11,"Individuell",Nutzungsprofile!$G$6:$G$11)*Kalender!E200/SUM(Kalender!$E$5:$E$370),0))*Szenarien!$E$20,0)</f>
        <v>1.632</v>
      </c>
      <c r="D3494" s="13" t="n">
        <f aca="false">IF(Szenarien!$H$20="OK",(IFERROR(SUMIF(Nutzungsprofile!$B$17:$B$22,"Schulbetrieb",Nutzungsprofile!$G$17:$G$22)*Kalender!C200/SUM(Kalender!$C$5:$C$370),0)+IFERROR(SUMIF(Nutzungsprofile!$B$17:$B$22,"Halle",Nutzungsprofile!$G$17:$G$22)*Kalender!D200/SUM(Kalender!$D$5:$D$370),0)+IFERROR(SUMIF(Nutzungsprofile!$B$17:$B$22,"Individuell",Nutzungsprofile!$G$17:$G$22)*Kalender!E200/SUM(Kalender!$E$5:$E$370),0))*Szenarien!$D$20,0)</f>
        <v>0.89</v>
      </c>
      <c r="E3494" s="13" t="n">
        <f aca="false">IFERROR(MIN(C3494,Eingaben!$B$17)*Eingaben!$B$16,0)</f>
        <v>1.5504</v>
      </c>
      <c r="F3494" s="13" t="n">
        <f aca="false">IFERROR(E3494*Eingaben!$B$15,0)</f>
        <v>1.39536</v>
      </c>
      <c r="G3494" s="13" t="n">
        <f aca="false">IFERROR(IF(Kalender!A200="",0,J3493*(1-Eingaben!$B$20)),0)</f>
        <v>1.3674528</v>
      </c>
      <c r="H3494" s="13" t="n">
        <f aca="false">MIN(G3494,D3494)</f>
        <v>0.89</v>
      </c>
      <c r="I3494" s="13" t="n">
        <f aca="false">IFERROR(MIN(F3494*Eingaben!$B$19,MAX(0,D3494-H3494)),0)</f>
        <v>0</v>
      </c>
      <c r="J3494" s="13" t="n">
        <f aca="false">IFERROR(MIN(Eingaben!$B$18,MAX(0,F3494-I3494)),0)</f>
        <v>1.39536</v>
      </c>
      <c r="K3494" s="13" t="n">
        <f aca="false">H3494+I3494</f>
        <v>0.89</v>
      </c>
      <c r="L3494" s="13" t="n">
        <f aca="false">MAX(0,D3494-K3494)</f>
        <v>0</v>
      </c>
      <c r="M3494" s="13" t="n">
        <f aca="false">MAX(0,F3494-I3494-J3494)</f>
        <v>0</v>
      </c>
      <c r="N3494" s="13" t="n">
        <f aca="false">IF(Kalender!A200="",0,J3493-H3494)</f>
        <v>0.50536</v>
      </c>
    </row>
    <row r="3495" customFormat="false" ht="16.4" hidden="false" customHeight="false" outlineLevel="0" collapsed="false">
      <c r="A3495" s="13" t="str">
        <f aca="false">""</f>
        <v/>
      </c>
      <c r="B3495" s="13" t="n">
        <f aca="false">197</f>
        <v>197</v>
      </c>
      <c r="C3495" s="13" t="n">
        <f aca="false">IF(Szenarien!$H$20="OK",(IFERROR(SUMIF(Nutzungsprofile!$B$6:$B$11,"Schulbetrieb",Nutzungsprofile!$G$6:$G$11)*Kalender!C201/SUM(Kalender!$C$5:$C$370),0)+IFERROR(SUMIF(Nutzungsprofile!$B$6:$B$11,"Halle",Nutzungsprofile!$G$6:$G$11)*Kalender!D201/SUM(Kalender!$D$5:$D$370),0)+IFERROR(SUMIF(Nutzungsprofile!$B$6:$B$11,"Individuell",Nutzungsprofile!$G$6:$G$11)*Kalender!E201/SUM(Kalender!$E$5:$E$370),0))*Szenarien!$E$20,0)</f>
        <v>1.632</v>
      </c>
      <c r="D3495" s="13" t="n">
        <f aca="false">IF(Szenarien!$H$20="OK",(IFERROR(SUMIF(Nutzungsprofile!$B$17:$B$22,"Schulbetrieb",Nutzungsprofile!$G$17:$G$22)*Kalender!C201/SUM(Kalender!$C$5:$C$370),0)+IFERROR(SUMIF(Nutzungsprofile!$B$17:$B$22,"Halle",Nutzungsprofile!$G$17:$G$22)*Kalender!D201/SUM(Kalender!$D$5:$D$370),0)+IFERROR(SUMIF(Nutzungsprofile!$B$17:$B$22,"Individuell",Nutzungsprofile!$G$17:$G$22)*Kalender!E201/SUM(Kalender!$E$5:$E$370),0))*Szenarien!$D$20,0)</f>
        <v>0.89</v>
      </c>
      <c r="E3495" s="13" t="n">
        <f aca="false">IFERROR(MIN(C3495,Eingaben!$B$17)*Eingaben!$B$16,0)</f>
        <v>1.5504</v>
      </c>
      <c r="F3495" s="13" t="n">
        <f aca="false">IFERROR(E3495*Eingaben!$B$15,0)</f>
        <v>1.39536</v>
      </c>
      <c r="G3495" s="13" t="n">
        <f aca="false">IFERROR(IF(Kalender!A201="",0,J3494*(1-Eingaben!$B$20)),0)</f>
        <v>1.3674528</v>
      </c>
      <c r="H3495" s="13" t="n">
        <f aca="false">MIN(G3495,D3495)</f>
        <v>0.89</v>
      </c>
      <c r="I3495" s="13" t="n">
        <f aca="false">IFERROR(MIN(F3495*Eingaben!$B$19,MAX(0,D3495-H3495)),0)</f>
        <v>0</v>
      </c>
      <c r="J3495" s="13" t="n">
        <f aca="false">IFERROR(MIN(Eingaben!$B$18,MAX(0,F3495-I3495)),0)</f>
        <v>1.39536</v>
      </c>
      <c r="K3495" s="13" t="n">
        <f aca="false">H3495+I3495</f>
        <v>0.89</v>
      </c>
      <c r="L3495" s="13" t="n">
        <f aca="false">MAX(0,D3495-K3495)</f>
        <v>0</v>
      </c>
      <c r="M3495" s="13" t="n">
        <f aca="false">MAX(0,F3495-I3495-J3495)</f>
        <v>0</v>
      </c>
      <c r="N3495" s="13" t="n">
        <f aca="false">IF(Kalender!A201="",0,J3494-H3495)</f>
        <v>0.50536</v>
      </c>
    </row>
    <row r="3496" customFormat="false" ht="16.4" hidden="false" customHeight="false" outlineLevel="0" collapsed="false">
      <c r="A3496" s="13" t="str">
        <f aca="false">""</f>
        <v/>
      </c>
      <c r="B3496" s="13" t="n">
        <f aca="false">198</f>
        <v>198</v>
      </c>
      <c r="C3496" s="13" t="n">
        <f aca="false">IF(Szenarien!$H$20="OK",(IFERROR(SUMIF(Nutzungsprofile!$B$6:$B$11,"Schulbetrieb",Nutzungsprofile!$G$6:$G$11)*Kalender!C202/SUM(Kalender!$C$5:$C$370),0)+IFERROR(SUMIF(Nutzungsprofile!$B$6:$B$11,"Halle",Nutzungsprofile!$G$6:$G$11)*Kalender!D202/SUM(Kalender!$D$5:$D$370),0)+IFERROR(SUMIF(Nutzungsprofile!$B$6:$B$11,"Individuell",Nutzungsprofile!$G$6:$G$11)*Kalender!E202/SUM(Kalender!$E$5:$E$370),0))*Szenarien!$E$20,0)</f>
        <v>1.632</v>
      </c>
      <c r="D3496" s="13" t="n">
        <f aca="false">IF(Szenarien!$H$20="OK",(IFERROR(SUMIF(Nutzungsprofile!$B$17:$B$22,"Schulbetrieb",Nutzungsprofile!$G$17:$G$22)*Kalender!C202/SUM(Kalender!$C$5:$C$370),0)+IFERROR(SUMIF(Nutzungsprofile!$B$17:$B$22,"Halle",Nutzungsprofile!$G$17:$G$22)*Kalender!D202/SUM(Kalender!$D$5:$D$370),0)+IFERROR(SUMIF(Nutzungsprofile!$B$17:$B$22,"Individuell",Nutzungsprofile!$G$17:$G$22)*Kalender!E202/SUM(Kalender!$E$5:$E$370),0))*Szenarien!$D$20,0)</f>
        <v>0.89</v>
      </c>
      <c r="E3496" s="13" t="n">
        <f aca="false">IFERROR(MIN(C3496,Eingaben!$B$17)*Eingaben!$B$16,0)</f>
        <v>1.5504</v>
      </c>
      <c r="F3496" s="13" t="n">
        <f aca="false">IFERROR(E3496*Eingaben!$B$15,0)</f>
        <v>1.39536</v>
      </c>
      <c r="G3496" s="13" t="n">
        <f aca="false">IFERROR(IF(Kalender!A202="",0,J3495*(1-Eingaben!$B$20)),0)</f>
        <v>1.3674528</v>
      </c>
      <c r="H3496" s="13" t="n">
        <f aca="false">MIN(G3496,D3496)</f>
        <v>0.89</v>
      </c>
      <c r="I3496" s="13" t="n">
        <f aca="false">IFERROR(MIN(F3496*Eingaben!$B$19,MAX(0,D3496-H3496)),0)</f>
        <v>0</v>
      </c>
      <c r="J3496" s="13" t="n">
        <f aca="false">IFERROR(MIN(Eingaben!$B$18,MAX(0,F3496-I3496)),0)</f>
        <v>1.39536</v>
      </c>
      <c r="K3496" s="13" t="n">
        <f aca="false">H3496+I3496</f>
        <v>0.89</v>
      </c>
      <c r="L3496" s="13" t="n">
        <f aca="false">MAX(0,D3496-K3496)</f>
        <v>0</v>
      </c>
      <c r="M3496" s="13" t="n">
        <f aca="false">MAX(0,F3496-I3496-J3496)</f>
        <v>0</v>
      </c>
      <c r="N3496" s="13" t="n">
        <f aca="false">IF(Kalender!A202="",0,J3495-H3496)</f>
        <v>0.50536</v>
      </c>
    </row>
    <row r="3497" customFormat="false" ht="16.4" hidden="false" customHeight="false" outlineLevel="0" collapsed="false">
      <c r="A3497" s="13" t="str">
        <f aca="false">""</f>
        <v/>
      </c>
      <c r="B3497" s="13" t="n">
        <f aca="false">199</f>
        <v>199</v>
      </c>
      <c r="C3497" s="13" t="n">
        <f aca="false">IF(Szenarien!$H$20="OK",(IFERROR(SUMIF(Nutzungsprofile!$B$6:$B$11,"Schulbetrieb",Nutzungsprofile!$G$6:$G$11)*Kalender!C203/SUM(Kalender!$C$5:$C$370),0)+IFERROR(SUMIF(Nutzungsprofile!$B$6:$B$11,"Halle",Nutzungsprofile!$G$6:$G$11)*Kalender!D203/SUM(Kalender!$D$5:$D$370),0)+IFERROR(SUMIF(Nutzungsprofile!$B$6:$B$11,"Individuell",Nutzungsprofile!$G$6:$G$11)*Kalender!E203/SUM(Kalender!$E$5:$E$370),0))*Szenarien!$E$20,0)</f>
        <v>1.632</v>
      </c>
      <c r="D3497" s="13" t="n">
        <f aca="false">IF(Szenarien!$H$20="OK",(IFERROR(SUMIF(Nutzungsprofile!$B$17:$B$22,"Schulbetrieb",Nutzungsprofile!$G$17:$G$22)*Kalender!C203/SUM(Kalender!$C$5:$C$370),0)+IFERROR(SUMIF(Nutzungsprofile!$B$17:$B$22,"Halle",Nutzungsprofile!$G$17:$G$22)*Kalender!D203/SUM(Kalender!$D$5:$D$370),0)+IFERROR(SUMIF(Nutzungsprofile!$B$17:$B$22,"Individuell",Nutzungsprofile!$G$17:$G$22)*Kalender!E203/SUM(Kalender!$E$5:$E$370),0))*Szenarien!$D$20,0)</f>
        <v>0.89</v>
      </c>
      <c r="E3497" s="13" t="n">
        <f aca="false">IFERROR(MIN(C3497,Eingaben!$B$17)*Eingaben!$B$16,0)</f>
        <v>1.5504</v>
      </c>
      <c r="F3497" s="13" t="n">
        <f aca="false">IFERROR(E3497*Eingaben!$B$15,0)</f>
        <v>1.39536</v>
      </c>
      <c r="G3497" s="13" t="n">
        <f aca="false">IFERROR(IF(Kalender!A203="",0,J3496*(1-Eingaben!$B$20)),0)</f>
        <v>1.3674528</v>
      </c>
      <c r="H3497" s="13" t="n">
        <f aca="false">MIN(G3497,D3497)</f>
        <v>0.89</v>
      </c>
      <c r="I3497" s="13" t="n">
        <f aca="false">IFERROR(MIN(F3497*Eingaben!$B$19,MAX(0,D3497-H3497)),0)</f>
        <v>0</v>
      </c>
      <c r="J3497" s="13" t="n">
        <f aca="false">IFERROR(MIN(Eingaben!$B$18,MAX(0,F3497-I3497)),0)</f>
        <v>1.39536</v>
      </c>
      <c r="K3497" s="13" t="n">
        <f aca="false">H3497+I3497</f>
        <v>0.89</v>
      </c>
      <c r="L3497" s="13" t="n">
        <f aca="false">MAX(0,D3497-K3497)</f>
        <v>0</v>
      </c>
      <c r="M3497" s="13" t="n">
        <f aca="false">MAX(0,F3497-I3497-J3497)</f>
        <v>0</v>
      </c>
      <c r="N3497" s="13" t="n">
        <f aca="false">IF(Kalender!A203="",0,J3496-H3497)</f>
        <v>0.50536</v>
      </c>
    </row>
    <row r="3498" customFormat="false" ht="16.4" hidden="false" customHeight="false" outlineLevel="0" collapsed="false">
      <c r="A3498" s="13" t="str">
        <f aca="false">""</f>
        <v/>
      </c>
      <c r="B3498" s="13" t="n">
        <f aca="false">200</f>
        <v>200</v>
      </c>
      <c r="C3498" s="13" t="n">
        <f aca="false">IF(Szenarien!$H$20="OK",(IFERROR(SUMIF(Nutzungsprofile!$B$6:$B$11,"Schulbetrieb",Nutzungsprofile!$G$6:$G$11)*Kalender!C204/SUM(Kalender!$C$5:$C$370),0)+IFERROR(SUMIF(Nutzungsprofile!$B$6:$B$11,"Halle",Nutzungsprofile!$G$6:$G$11)*Kalender!D204/SUM(Kalender!$D$5:$D$370),0)+IFERROR(SUMIF(Nutzungsprofile!$B$6:$B$11,"Individuell",Nutzungsprofile!$G$6:$G$11)*Kalender!E204/SUM(Kalender!$E$5:$E$370),0))*Szenarien!$E$20,0)</f>
        <v>1.632</v>
      </c>
      <c r="D3498" s="13" t="n">
        <f aca="false">IF(Szenarien!$H$20="OK",(IFERROR(SUMIF(Nutzungsprofile!$B$17:$B$22,"Schulbetrieb",Nutzungsprofile!$G$17:$G$22)*Kalender!C204/SUM(Kalender!$C$5:$C$370),0)+IFERROR(SUMIF(Nutzungsprofile!$B$17:$B$22,"Halle",Nutzungsprofile!$G$17:$G$22)*Kalender!D204/SUM(Kalender!$D$5:$D$370),0)+IFERROR(SUMIF(Nutzungsprofile!$B$17:$B$22,"Individuell",Nutzungsprofile!$G$17:$G$22)*Kalender!E204/SUM(Kalender!$E$5:$E$370),0))*Szenarien!$D$20,0)</f>
        <v>0.89</v>
      </c>
      <c r="E3498" s="13" t="n">
        <f aca="false">IFERROR(MIN(C3498,Eingaben!$B$17)*Eingaben!$B$16,0)</f>
        <v>1.5504</v>
      </c>
      <c r="F3498" s="13" t="n">
        <f aca="false">IFERROR(E3498*Eingaben!$B$15,0)</f>
        <v>1.39536</v>
      </c>
      <c r="G3498" s="13" t="n">
        <f aca="false">IFERROR(IF(Kalender!A204="",0,J3497*(1-Eingaben!$B$20)),0)</f>
        <v>1.3674528</v>
      </c>
      <c r="H3498" s="13" t="n">
        <f aca="false">MIN(G3498,D3498)</f>
        <v>0.89</v>
      </c>
      <c r="I3498" s="13" t="n">
        <f aca="false">IFERROR(MIN(F3498*Eingaben!$B$19,MAX(0,D3498-H3498)),0)</f>
        <v>0</v>
      </c>
      <c r="J3498" s="13" t="n">
        <f aca="false">IFERROR(MIN(Eingaben!$B$18,MAX(0,F3498-I3498)),0)</f>
        <v>1.39536</v>
      </c>
      <c r="K3498" s="13" t="n">
        <f aca="false">H3498+I3498</f>
        <v>0.89</v>
      </c>
      <c r="L3498" s="13" t="n">
        <f aca="false">MAX(0,D3498-K3498)</f>
        <v>0</v>
      </c>
      <c r="M3498" s="13" t="n">
        <f aca="false">MAX(0,F3498-I3498-J3498)</f>
        <v>0</v>
      </c>
      <c r="N3498" s="13" t="n">
        <f aca="false">IF(Kalender!A204="",0,J3497-H3498)</f>
        <v>0.50536</v>
      </c>
    </row>
    <row r="3499" customFormat="false" ht="16.4" hidden="false" customHeight="false" outlineLevel="0" collapsed="false">
      <c r="A3499" s="13" t="str">
        <f aca="false">""</f>
        <v/>
      </c>
      <c r="B3499" s="13" t="n">
        <f aca="false">201</f>
        <v>201</v>
      </c>
      <c r="C3499" s="13" t="n">
        <f aca="false">IF(Szenarien!$H$20="OK",(IFERROR(SUMIF(Nutzungsprofile!$B$6:$B$11,"Schulbetrieb",Nutzungsprofile!$G$6:$G$11)*Kalender!C205/SUM(Kalender!$C$5:$C$370),0)+IFERROR(SUMIF(Nutzungsprofile!$B$6:$B$11,"Halle",Nutzungsprofile!$G$6:$G$11)*Kalender!D205/SUM(Kalender!$D$5:$D$370),0)+IFERROR(SUMIF(Nutzungsprofile!$B$6:$B$11,"Individuell",Nutzungsprofile!$G$6:$G$11)*Kalender!E205/SUM(Kalender!$E$5:$E$370),0))*Szenarien!$E$20,0)</f>
        <v>1.632</v>
      </c>
      <c r="D3499" s="13" t="n">
        <f aca="false">IF(Szenarien!$H$20="OK",(IFERROR(SUMIF(Nutzungsprofile!$B$17:$B$22,"Schulbetrieb",Nutzungsprofile!$G$17:$G$22)*Kalender!C205/SUM(Kalender!$C$5:$C$370),0)+IFERROR(SUMIF(Nutzungsprofile!$B$17:$B$22,"Halle",Nutzungsprofile!$G$17:$G$22)*Kalender!D205/SUM(Kalender!$D$5:$D$370),0)+IFERROR(SUMIF(Nutzungsprofile!$B$17:$B$22,"Individuell",Nutzungsprofile!$G$17:$G$22)*Kalender!E205/SUM(Kalender!$E$5:$E$370),0))*Szenarien!$D$20,0)</f>
        <v>0.89</v>
      </c>
      <c r="E3499" s="13" t="n">
        <f aca="false">IFERROR(MIN(C3499,Eingaben!$B$17)*Eingaben!$B$16,0)</f>
        <v>1.5504</v>
      </c>
      <c r="F3499" s="13" t="n">
        <f aca="false">IFERROR(E3499*Eingaben!$B$15,0)</f>
        <v>1.39536</v>
      </c>
      <c r="G3499" s="13" t="n">
        <f aca="false">IFERROR(IF(Kalender!A205="",0,J3498*(1-Eingaben!$B$20)),0)</f>
        <v>1.3674528</v>
      </c>
      <c r="H3499" s="13" t="n">
        <f aca="false">MIN(G3499,D3499)</f>
        <v>0.89</v>
      </c>
      <c r="I3499" s="13" t="n">
        <f aca="false">IFERROR(MIN(F3499*Eingaben!$B$19,MAX(0,D3499-H3499)),0)</f>
        <v>0</v>
      </c>
      <c r="J3499" s="13" t="n">
        <f aca="false">IFERROR(MIN(Eingaben!$B$18,MAX(0,F3499-I3499)),0)</f>
        <v>1.39536</v>
      </c>
      <c r="K3499" s="13" t="n">
        <f aca="false">H3499+I3499</f>
        <v>0.89</v>
      </c>
      <c r="L3499" s="13" t="n">
        <f aca="false">MAX(0,D3499-K3499)</f>
        <v>0</v>
      </c>
      <c r="M3499" s="13" t="n">
        <f aca="false">MAX(0,F3499-I3499-J3499)</f>
        <v>0</v>
      </c>
      <c r="N3499" s="13" t="n">
        <f aca="false">IF(Kalender!A205="",0,J3498-H3499)</f>
        <v>0.50536</v>
      </c>
    </row>
    <row r="3500" customFormat="false" ht="16.4" hidden="false" customHeight="false" outlineLevel="0" collapsed="false">
      <c r="A3500" s="13" t="str">
        <f aca="false">""</f>
        <v/>
      </c>
      <c r="B3500" s="13" t="n">
        <f aca="false">202</f>
        <v>202</v>
      </c>
      <c r="C3500" s="13" t="n">
        <f aca="false">IF(Szenarien!$H$20="OK",(IFERROR(SUMIF(Nutzungsprofile!$B$6:$B$11,"Schulbetrieb",Nutzungsprofile!$G$6:$G$11)*Kalender!C206/SUM(Kalender!$C$5:$C$370),0)+IFERROR(SUMIF(Nutzungsprofile!$B$6:$B$11,"Halle",Nutzungsprofile!$G$6:$G$11)*Kalender!D206/SUM(Kalender!$D$5:$D$370),0)+IFERROR(SUMIF(Nutzungsprofile!$B$6:$B$11,"Individuell",Nutzungsprofile!$G$6:$G$11)*Kalender!E206/SUM(Kalender!$E$5:$E$370),0))*Szenarien!$E$20,0)</f>
        <v>1.632</v>
      </c>
      <c r="D3500" s="13" t="n">
        <f aca="false">IF(Szenarien!$H$20="OK",(IFERROR(SUMIF(Nutzungsprofile!$B$17:$B$22,"Schulbetrieb",Nutzungsprofile!$G$17:$G$22)*Kalender!C206/SUM(Kalender!$C$5:$C$370),0)+IFERROR(SUMIF(Nutzungsprofile!$B$17:$B$22,"Halle",Nutzungsprofile!$G$17:$G$22)*Kalender!D206/SUM(Kalender!$D$5:$D$370),0)+IFERROR(SUMIF(Nutzungsprofile!$B$17:$B$22,"Individuell",Nutzungsprofile!$G$17:$G$22)*Kalender!E206/SUM(Kalender!$E$5:$E$370),0))*Szenarien!$D$20,0)</f>
        <v>0.89</v>
      </c>
      <c r="E3500" s="13" t="n">
        <f aca="false">IFERROR(MIN(C3500,Eingaben!$B$17)*Eingaben!$B$16,0)</f>
        <v>1.5504</v>
      </c>
      <c r="F3500" s="13" t="n">
        <f aca="false">IFERROR(E3500*Eingaben!$B$15,0)</f>
        <v>1.39536</v>
      </c>
      <c r="G3500" s="13" t="n">
        <f aca="false">IFERROR(IF(Kalender!A206="",0,J3499*(1-Eingaben!$B$20)),0)</f>
        <v>1.3674528</v>
      </c>
      <c r="H3500" s="13" t="n">
        <f aca="false">MIN(G3500,D3500)</f>
        <v>0.89</v>
      </c>
      <c r="I3500" s="13" t="n">
        <f aca="false">IFERROR(MIN(F3500*Eingaben!$B$19,MAX(0,D3500-H3500)),0)</f>
        <v>0</v>
      </c>
      <c r="J3500" s="13" t="n">
        <f aca="false">IFERROR(MIN(Eingaben!$B$18,MAX(0,F3500-I3500)),0)</f>
        <v>1.39536</v>
      </c>
      <c r="K3500" s="13" t="n">
        <f aca="false">H3500+I3500</f>
        <v>0.89</v>
      </c>
      <c r="L3500" s="13" t="n">
        <f aca="false">MAX(0,D3500-K3500)</f>
        <v>0</v>
      </c>
      <c r="M3500" s="13" t="n">
        <f aca="false">MAX(0,F3500-I3500-J3500)</f>
        <v>0</v>
      </c>
      <c r="N3500" s="13" t="n">
        <f aca="false">IF(Kalender!A206="",0,J3499-H3500)</f>
        <v>0.50536</v>
      </c>
    </row>
    <row r="3501" customFormat="false" ht="16.4" hidden="false" customHeight="false" outlineLevel="0" collapsed="false">
      <c r="A3501" s="13" t="str">
        <f aca="false">""</f>
        <v/>
      </c>
      <c r="B3501" s="13" t="n">
        <f aca="false">203</f>
        <v>203</v>
      </c>
      <c r="C3501" s="13" t="n">
        <f aca="false">IF(Szenarien!$H$20="OK",(IFERROR(SUMIF(Nutzungsprofile!$B$6:$B$11,"Schulbetrieb",Nutzungsprofile!$G$6:$G$11)*Kalender!C207/SUM(Kalender!$C$5:$C$370),0)+IFERROR(SUMIF(Nutzungsprofile!$B$6:$B$11,"Halle",Nutzungsprofile!$G$6:$G$11)*Kalender!D207/SUM(Kalender!$D$5:$D$370),0)+IFERROR(SUMIF(Nutzungsprofile!$B$6:$B$11,"Individuell",Nutzungsprofile!$G$6:$G$11)*Kalender!E207/SUM(Kalender!$E$5:$E$370),0))*Szenarien!$E$20,0)</f>
        <v>1.632</v>
      </c>
      <c r="D3501" s="13" t="n">
        <f aca="false">IF(Szenarien!$H$20="OK",(IFERROR(SUMIF(Nutzungsprofile!$B$17:$B$22,"Schulbetrieb",Nutzungsprofile!$G$17:$G$22)*Kalender!C207/SUM(Kalender!$C$5:$C$370),0)+IFERROR(SUMIF(Nutzungsprofile!$B$17:$B$22,"Halle",Nutzungsprofile!$G$17:$G$22)*Kalender!D207/SUM(Kalender!$D$5:$D$370),0)+IFERROR(SUMIF(Nutzungsprofile!$B$17:$B$22,"Individuell",Nutzungsprofile!$G$17:$G$22)*Kalender!E207/SUM(Kalender!$E$5:$E$370),0))*Szenarien!$D$20,0)</f>
        <v>0.89</v>
      </c>
      <c r="E3501" s="13" t="n">
        <f aca="false">IFERROR(MIN(C3501,Eingaben!$B$17)*Eingaben!$B$16,0)</f>
        <v>1.5504</v>
      </c>
      <c r="F3501" s="13" t="n">
        <f aca="false">IFERROR(E3501*Eingaben!$B$15,0)</f>
        <v>1.39536</v>
      </c>
      <c r="G3501" s="13" t="n">
        <f aca="false">IFERROR(IF(Kalender!A207="",0,J3500*(1-Eingaben!$B$20)),0)</f>
        <v>1.3674528</v>
      </c>
      <c r="H3501" s="13" t="n">
        <f aca="false">MIN(G3501,D3501)</f>
        <v>0.89</v>
      </c>
      <c r="I3501" s="13" t="n">
        <f aca="false">IFERROR(MIN(F3501*Eingaben!$B$19,MAX(0,D3501-H3501)),0)</f>
        <v>0</v>
      </c>
      <c r="J3501" s="13" t="n">
        <f aca="false">IFERROR(MIN(Eingaben!$B$18,MAX(0,F3501-I3501)),0)</f>
        <v>1.39536</v>
      </c>
      <c r="K3501" s="13" t="n">
        <f aca="false">H3501+I3501</f>
        <v>0.89</v>
      </c>
      <c r="L3501" s="13" t="n">
        <f aca="false">MAX(0,D3501-K3501)</f>
        <v>0</v>
      </c>
      <c r="M3501" s="13" t="n">
        <f aca="false">MAX(0,F3501-I3501-J3501)</f>
        <v>0</v>
      </c>
      <c r="N3501" s="13" t="n">
        <f aca="false">IF(Kalender!A207="",0,J3500-H3501)</f>
        <v>0.50536</v>
      </c>
    </row>
    <row r="3502" customFormat="false" ht="16.4" hidden="false" customHeight="false" outlineLevel="0" collapsed="false">
      <c r="A3502" s="13" t="str">
        <f aca="false">""</f>
        <v/>
      </c>
      <c r="B3502" s="13" t="n">
        <f aca="false">204</f>
        <v>204</v>
      </c>
      <c r="C3502" s="13" t="n">
        <f aca="false">IF(Szenarien!$H$20="OK",(IFERROR(SUMIF(Nutzungsprofile!$B$6:$B$11,"Schulbetrieb",Nutzungsprofile!$G$6:$G$11)*Kalender!C208/SUM(Kalender!$C$5:$C$370),0)+IFERROR(SUMIF(Nutzungsprofile!$B$6:$B$11,"Halle",Nutzungsprofile!$G$6:$G$11)*Kalender!D208/SUM(Kalender!$D$5:$D$370),0)+IFERROR(SUMIF(Nutzungsprofile!$B$6:$B$11,"Individuell",Nutzungsprofile!$G$6:$G$11)*Kalender!E208/SUM(Kalender!$E$5:$E$370),0))*Szenarien!$E$20,0)</f>
        <v>1.632</v>
      </c>
      <c r="D3502" s="13" t="n">
        <f aca="false">IF(Szenarien!$H$20="OK",(IFERROR(SUMIF(Nutzungsprofile!$B$17:$B$22,"Schulbetrieb",Nutzungsprofile!$G$17:$G$22)*Kalender!C208/SUM(Kalender!$C$5:$C$370),0)+IFERROR(SUMIF(Nutzungsprofile!$B$17:$B$22,"Halle",Nutzungsprofile!$G$17:$G$22)*Kalender!D208/SUM(Kalender!$D$5:$D$370),0)+IFERROR(SUMIF(Nutzungsprofile!$B$17:$B$22,"Individuell",Nutzungsprofile!$G$17:$G$22)*Kalender!E208/SUM(Kalender!$E$5:$E$370),0))*Szenarien!$D$20,0)</f>
        <v>0.89</v>
      </c>
      <c r="E3502" s="13" t="n">
        <f aca="false">IFERROR(MIN(C3502,Eingaben!$B$17)*Eingaben!$B$16,0)</f>
        <v>1.5504</v>
      </c>
      <c r="F3502" s="13" t="n">
        <f aca="false">IFERROR(E3502*Eingaben!$B$15,0)</f>
        <v>1.39536</v>
      </c>
      <c r="G3502" s="13" t="n">
        <f aca="false">IFERROR(IF(Kalender!A208="",0,J3501*(1-Eingaben!$B$20)),0)</f>
        <v>1.3674528</v>
      </c>
      <c r="H3502" s="13" t="n">
        <f aca="false">MIN(G3502,D3502)</f>
        <v>0.89</v>
      </c>
      <c r="I3502" s="13" t="n">
        <f aca="false">IFERROR(MIN(F3502*Eingaben!$B$19,MAX(0,D3502-H3502)),0)</f>
        <v>0</v>
      </c>
      <c r="J3502" s="13" t="n">
        <f aca="false">IFERROR(MIN(Eingaben!$B$18,MAX(0,F3502-I3502)),0)</f>
        <v>1.39536</v>
      </c>
      <c r="K3502" s="13" t="n">
        <f aca="false">H3502+I3502</f>
        <v>0.89</v>
      </c>
      <c r="L3502" s="13" t="n">
        <f aca="false">MAX(0,D3502-K3502)</f>
        <v>0</v>
      </c>
      <c r="M3502" s="13" t="n">
        <f aca="false">MAX(0,F3502-I3502-J3502)</f>
        <v>0</v>
      </c>
      <c r="N3502" s="13" t="n">
        <f aca="false">IF(Kalender!A208="",0,J3501-H3502)</f>
        <v>0.50536</v>
      </c>
    </row>
    <row r="3503" customFormat="false" ht="16.4" hidden="false" customHeight="false" outlineLevel="0" collapsed="false">
      <c r="A3503" s="13" t="str">
        <f aca="false">""</f>
        <v/>
      </c>
      <c r="B3503" s="13" t="n">
        <f aca="false">205</f>
        <v>205</v>
      </c>
      <c r="C3503" s="13" t="n">
        <f aca="false">IF(Szenarien!$H$20="OK",(IFERROR(SUMIF(Nutzungsprofile!$B$6:$B$11,"Schulbetrieb",Nutzungsprofile!$G$6:$G$11)*Kalender!C209/SUM(Kalender!$C$5:$C$370),0)+IFERROR(SUMIF(Nutzungsprofile!$B$6:$B$11,"Halle",Nutzungsprofile!$G$6:$G$11)*Kalender!D209/SUM(Kalender!$D$5:$D$370),0)+IFERROR(SUMIF(Nutzungsprofile!$B$6:$B$11,"Individuell",Nutzungsprofile!$G$6:$G$11)*Kalender!E209/SUM(Kalender!$E$5:$E$370),0))*Szenarien!$E$20,0)</f>
        <v>1.632</v>
      </c>
      <c r="D3503" s="13" t="n">
        <f aca="false">IF(Szenarien!$H$20="OK",(IFERROR(SUMIF(Nutzungsprofile!$B$17:$B$22,"Schulbetrieb",Nutzungsprofile!$G$17:$G$22)*Kalender!C209/SUM(Kalender!$C$5:$C$370),0)+IFERROR(SUMIF(Nutzungsprofile!$B$17:$B$22,"Halle",Nutzungsprofile!$G$17:$G$22)*Kalender!D209/SUM(Kalender!$D$5:$D$370),0)+IFERROR(SUMIF(Nutzungsprofile!$B$17:$B$22,"Individuell",Nutzungsprofile!$G$17:$G$22)*Kalender!E209/SUM(Kalender!$E$5:$E$370),0))*Szenarien!$D$20,0)</f>
        <v>0.89</v>
      </c>
      <c r="E3503" s="13" t="n">
        <f aca="false">IFERROR(MIN(C3503,Eingaben!$B$17)*Eingaben!$B$16,0)</f>
        <v>1.5504</v>
      </c>
      <c r="F3503" s="13" t="n">
        <f aca="false">IFERROR(E3503*Eingaben!$B$15,0)</f>
        <v>1.39536</v>
      </c>
      <c r="G3503" s="13" t="n">
        <f aca="false">IFERROR(IF(Kalender!A209="",0,J3502*(1-Eingaben!$B$20)),0)</f>
        <v>1.3674528</v>
      </c>
      <c r="H3503" s="13" t="n">
        <f aca="false">MIN(G3503,D3503)</f>
        <v>0.89</v>
      </c>
      <c r="I3503" s="13" t="n">
        <f aca="false">IFERROR(MIN(F3503*Eingaben!$B$19,MAX(0,D3503-H3503)),0)</f>
        <v>0</v>
      </c>
      <c r="J3503" s="13" t="n">
        <f aca="false">IFERROR(MIN(Eingaben!$B$18,MAX(0,F3503-I3503)),0)</f>
        <v>1.39536</v>
      </c>
      <c r="K3503" s="13" t="n">
        <f aca="false">H3503+I3503</f>
        <v>0.89</v>
      </c>
      <c r="L3503" s="13" t="n">
        <f aca="false">MAX(0,D3503-K3503)</f>
        <v>0</v>
      </c>
      <c r="M3503" s="13" t="n">
        <f aca="false">MAX(0,F3503-I3503-J3503)</f>
        <v>0</v>
      </c>
      <c r="N3503" s="13" t="n">
        <f aca="false">IF(Kalender!A209="",0,J3502-H3503)</f>
        <v>0.50536</v>
      </c>
    </row>
    <row r="3504" customFormat="false" ht="16.4" hidden="false" customHeight="false" outlineLevel="0" collapsed="false">
      <c r="A3504" s="13" t="str">
        <f aca="false">""</f>
        <v/>
      </c>
      <c r="B3504" s="13" t="n">
        <f aca="false">206</f>
        <v>206</v>
      </c>
      <c r="C3504" s="13" t="n">
        <f aca="false">IF(Szenarien!$H$20="OK",(IFERROR(SUMIF(Nutzungsprofile!$B$6:$B$11,"Schulbetrieb",Nutzungsprofile!$G$6:$G$11)*Kalender!C210/SUM(Kalender!$C$5:$C$370),0)+IFERROR(SUMIF(Nutzungsprofile!$B$6:$B$11,"Halle",Nutzungsprofile!$G$6:$G$11)*Kalender!D210/SUM(Kalender!$D$5:$D$370),0)+IFERROR(SUMIF(Nutzungsprofile!$B$6:$B$11,"Individuell",Nutzungsprofile!$G$6:$G$11)*Kalender!E210/SUM(Kalender!$E$5:$E$370),0))*Szenarien!$E$20,0)</f>
        <v>1.632</v>
      </c>
      <c r="D3504" s="13" t="n">
        <f aca="false">IF(Szenarien!$H$20="OK",(IFERROR(SUMIF(Nutzungsprofile!$B$17:$B$22,"Schulbetrieb",Nutzungsprofile!$G$17:$G$22)*Kalender!C210/SUM(Kalender!$C$5:$C$370),0)+IFERROR(SUMIF(Nutzungsprofile!$B$17:$B$22,"Halle",Nutzungsprofile!$G$17:$G$22)*Kalender!D210/SUM(Kalender!$D$5:$D$370),0)+IFERROR(SUMIF(Nutzungsprofile!$B$17:$B$22,"Individuell",Nutzungsprofile!$G$17:$G$22)*Kalender!E210/SUM(Kalender!$E$5:$E$370),0))*Szenarien!$D$20,0)</f>
        <v>0.89</v>
      </c>
      <c r="E3504" s="13" t="n">
        <f aca="false">IFERROR(MIN(C3504,Eingaben!$B$17)*Eingaben!$B$16,0)</f>
        <v>1.5504</v>
      </c>
      <c r="F3504" s="13" t="n">
        <f aca="false">IFERROR(E3504*Eingaben!$B$15,0)</f>
        <v>1.39536</v>
      </c>
      <c r="G3504" s="13" t="n">
        <f aca="false">IFERROR(IF(Kalender!A210="",0,J3503*(1-Eingaben!$B$20)),0)</f>
        <v>1.3674528</v>
      </c>
      <c r="H3504" s="13" t="n">
        <f aca="false">MIN(G3504,D3504)</f>
        <v>0.89</v>
      </c>
      <c r="I3504" s="13" t="n">
        <f aca="false">IFERROR(MIN(F3504*Eingaben!$B$19,MAX(0,D3504-H3504)),0)</f>
        <v>0</v>
      </c>
      <c r="J3504" s="13" t="n">
        <f aca="false">IFERROR(MIN(Eingaben!$B$18,MAX(0,F3504-I3504)),0)</f>
        <v>1.39536</v>
      </c>
      <c r="K3504" s="13" t="n">
        <f aca="false">H3504+I3504</f>
        <v>0.89</v>
      </c>
      <c r="L3504" s="13" t="n">
        <f aca="false">MAX(0,D3504-K3504)</f>
        <v>0</v>
      </c>
      <c r="M3504" s="13" t="n">
        <f aca="false">MAX(0,F3504-I3504-J3504)</f>
        <v>0</v>
      </c>
      <c r="N3504" s="13" t="n">
        <f aca="false">IF(Kalender!A210="",0,J3503-H3504)</f>
        <v>0.50536</v>
      </c>
    </row>
    <row r="3505" customFormat="false" ht="16.4" hidden="false" customHeight="false" outlineLevel="0" collapsed="false">
      <c r="A3505" s="13" t="str">
        <f aca="false">""</f>
        <v/>
      </c>
      <c r="B3505" s="13" t="n">
        <f aca="false">207</f>
        <v>207</v>
      </c>
      <c r="C3505" s="13" t="n">
        <f aca="false">IF(Szenarien!$H$20="OK",(IFERROR(SUMIF(Nutzungsprofile!$B$6:$B$11,"Schulbetrieb",Nutzungsprofile!$G$6:$G$11)*Kalender!C211/SUM(Kalender!$C$5:$C$370),0)+IFERROR(SUMIF(Nutzungsprofile!$B$6:$B$11,"Halle",Nutzungsprofile!$G$6:$G$11)*Kalender!D211/SUM(Kalender!$D$5:$D$370),0)+IFERROR(SUMIF(Nutzungsprofile!$B$6:$B$11,"Individuell",Nutzungsprofile!$G$6:$G$11)*Kalender!E211/SUM(Kalender!$E$5:$E$370),0))*Szenarien!$E$20,0)</f>
        <v>1.632</v>
      </c>
      <c r="D3505" s="13" t="n">
        <f aca="false">IF(Szenarien!$H$20="OK",(IFERROR(SUMIF(Nutzungsprofile!$B$17:$B$22,"Schulbetrieb",Nutzungsprofile!$G$17:$G$22)*Kalender!C211/SUM(Kalender!$C$5:$C$370),0)+IFERROR(SUMIF(Nutzungsprofile!$B$17:$B$22,"Halle",Nutzungsprofile!$G$17:$G$22)*Kalender!D211/SUM(Kalender!$D$5:$D$370),0)+IFERROR(SUMIF(Nutzungsprofile!$B$17:$B$22,"Individuell",Nutzungsprofile!$G$17:$G$22)*Kalender!E211/SUM(Kalender!$E$5:$E$370),0))*Szenarien!$D$20,0)</f>
        <v>0.89</v>
      </c>
      <c r="E3505" s="13" t="n">
        <f aca="false">IFERROR(MIN(C3505,Eingaben!$B$17)*Eingaben!$B$16,0)</f>
        <v>1.5504</v>
      </c>
      <c r="F3505" s="13" t="n">
        <f aca="false">IFERROR(E3505*Eingaben!$B$15,0)</f>
        <v>1.39536</v>
      </c>
      <c r="G3505" s="13" t="n">
        <f aca="false">IFERROR(IF(Kalender!A211="",0,J3504*(1-Eingaben!$B$20)),0)</f>
        <v>1.3674528</v>
      </c>
      <c r="H3505" s="13" t="n">
        <f aca="false">MIN(G3505,D3505)</f>
        <v>0.89</v>
      </c>
      <c r="I3505" s="13" t="n">
        <f aca="false">IFERROR(MIN(F3505*Eingaben!$B$19,MAX(0,D3505-H3505)),0)</f>
        <v>0</v>
      </c>
      <c r="J3505" s="13" t="n">
        <f aca="false">IFERROR(MIN(Eingaben!$B$18,MAX(0,F3505-I3505)),0)</f>
        <v>1.39536</v>
      </c>
      <c r="K3505" s="13" t="n">
        <f aca="false">H3505+I3505</f>
        <v>0.89</v>
      </c>
      <c r="L3505" s="13" t="n">
        <f aca="false">MAX(0,D3505-K3505)</f>
        <v>0</v>
      </c>
      <c r="M3505" s="13" t="n">
        <f aca="false">MAX(0,F3505-I3505-J3505)</f>
        <v>0</v>
      </c>
      <c r="N3505" s="13" t="n">
        <f aca="false">IF(Kalender!A211="",0,J3504-H3505)</f>
        <v>0.50536</v>
      </c>
    </row>
    <row r="3506" customFormat="false" ht="16.4" hidden="false" customHeight="false" outlineLevel="0" collapsed="false">
      <c r="A3506" s="13" t="str">
        <f aca="false">""</f>
        <v/>
      </c>
      <c r="B3506" s="13" t="n">
        <f aca="false">208</f>
        <v>208</v>
      </c>
      <c r="C3506" s="13" t="n">
        <f aca="false">IF(Szenarien!$H$20="OK",(IFERROR(SUMIF(Nutzungsprofile!$B$6:$B$11,"Schulbetrieb",Nutzungsprofile!$G$6:$G$11)*Kalender!C212/SUM(Kalender!$C$5:$C$370),0)+IFERROR(SUMIF(Nutzungsprofile!$B$6:$B$11,"Halle",Nutzungsprofile!$G$6:$G$11)*Kalender!D212/SUM(Kalender!$D$5:$D$370),0)+IFERROR(SUMIF(Nutzungsprofile!$B$6:$B$11,"Individuell",Nutzungsprofile!$G$6:$G$11)*Kalender!E212/SUM(Kalender!$E$5:$E$370),0))*Szenarien!$E$20,0)</f>
        <v>1.632</v>
      </c>
      <c r="D3506" s="13" t="n">
        <f aca="false">IF(Szenarien!$H$20="OK",(IFERROR(SUMIF(Nutzungsprofile!$B$17:$B$22,"Schulbetrieb",Nutzungsprofile!$G$17:$G$22)*Kalender!C212/SUM(Kalender!$C$5:$C$370),0)+IFERROR(SUMIF(Nutzungsprofile!$B$17:$B$22,"Halle",Nutzungsprofile!$G$17:$G$22)*Kalender!D212/SUM(Kalender!$D$5:$D$370),0)+IFERROR(SUMIF(Nutzungsprofile!$B$17:$B$22,"Individuell",Nutzungsprofile!$G$17:$G$22)*Kalender!E212/SUM(Kalender!$E$5:$E$370),0))*Szenarien!$D$20,0)</f>
        <v>0.89</v>
      </c>
      <c r="E3506" s="13" t="n">
        <f aca="false">IFERROR(MIN(C3506,Eingaben!$B$17)*Eingaben!$B$16,0)</f>
        <v>1.5504</v>
      </c>
      <c r="F3506" s="13" t="n">
        <f aca="false">IFERROR(E3506*Eingaben!$B$15,0)</f>
        <v>1.39536</v>
      </c>
      <c r="G3506" s="13" t="n">
        <f aca="false">IFERROR(IF(Kalender!A212="",0,J3505*(1-Eingaben!$B$20)),0)</f>
        <v>1.3674528</v>
      </c>
      <c r="H3506" s="13" t="n">
        <f aca="false">MIN(G3506,D3506)</f>
        <v>0.89</v>
      </c>
      <c r="I3506" s="13" t="n">
        <f aca="false">IFERROR(MIN(F3506*Eingaben!$B$19,MAX(0,D3506-H3506)),0)</f>
        <v>0</v>
      </c>
      <c r="J3506" s="13" t="n">
        <f aca="false">IFERROR(MIN(Eingaben!$B$18,MAX(0,F3506-I3506)),0)</f>
        <v>1.39536</v>
      </c>
      <c r="K3506" s="13" t="n">
        <f aca="false">H3506+I3506</f>
        <v>0.89</v>
      </c>
      <c r="L3506" s="13" t="n">
        <f aca="false">MAX(0,D3506-K3506)</f>
        <v>0</v>
      </c>
      <c r="M3506" s="13" t="n">
        <f aca="false">MAX(0,F3506-I3506-J3506)</f>
        <v>0</v>
      </c>
      <c r="N3506" s="13" t="n">
        <f aca="false">IF(Kalender!A212="",0,J3505-H3506)</f>
        <v>0.50536</v>
      </c>
    </row>
    <row r="3507" customFormat="false" ht="16.4" hidden="false" customHeight="false" outlineLevel="0" collapsed="false">
      <c r="A3507" s="13" t="str">
        <f aca="false">""</f>
        <v/>
      </c>
      <c r="B3507" s="13" t="n">
        <f aca="false">209</f>
        <v>209</v>
      </c>
      <c r="C3507" s="13" t="n">
        <f aca="false">IF(Szenarien!$H$20="OK",(IFERROR(SUMIF(Nutzungsprofile!$B$6:$B$11,"Schulbetrieb",Nutzungsprofile!$G$6:$G$11)*Kalender!C213/SUM(Kalender!$C$5:$C$370),0)+IFERROR(SUMIF(Nutzungsprofile!$B$6:$B$11,"Halle",Nutzungsprofile!$G$6:$G$11)*Kalender!D213/SUM(Kalender!$D$5:$D$370),0)+IFERROR(SUMIF(Nutzungsprofile!$B$6:$B$11,"Individuell",Nutzungsprofile!$G$6:$G$11)*Kalender!E213/SUM(Kalender!$E$5:$E$370),0))*Szenarien!$E$20,0)</f>
        <v>1.632</v>
      </c>
      <c r="D3507" s="13" t="n">
        <f aca="false">IF(Szenarien!$H$20="OK",(IFERROR(SUMIF(Nutzungsprofile!$B$17:$B$22,"Schulbetrieb",Nutzungsprofile!$G$17:$G$22)*Kalender!C213/SUM(Kalender!$C$5:$C$370),0)+IFERROR(SUMIF(Nutzungsprofile!$B$17:$B$22,"Halle",Nutzungsprofile!$G$17:$G$22)*Kalender!D213/SUM(Kalender!$D$5:$D$370),0)+IFERROR(SUMIF(Nutzungsprofile!$B$17:$B$22,"Individuell",Nutzungsprofile!$G$17:$G$22)*Kalender!E213/SUM(Kalender!$E$5:$E$370),0))*Szenarien!$D$20,0)</f>
        <v>0.89</v>
      </c>
      <c r="E3507" s="13" t="n">
        <f aca="false">IFERROR(MIN(C3507,Eingaben!$B$17)*Eingaben!$B$16,0)</f>
        <v>1.5504</v>
      </c>
      <c r="F3507" s="13" t="n">
        <f aca="false">IFERROR(E3507*Eingaben!$B$15,0)</f>
        <v>1.39536</v>
      </c>
      <c r="G3507" s="13" t="n">
        <f aca="false">IFERROR(IF(Kalender!A213="",0,J3506*(1-Eingaben!$B$20)),0)</f>
        <v>1.3674528</v>
      </c>
      <c r="H3507" s="13" t="n">
        <f aca="false">MIN(G3507,D3507)</f>
        <v>0.89</v>
      </c>
      <c r="I3507" s="13" t="n">
        <f aca="false">IFERROR(MIN(F3507*Eingaben!$B$19,MAX(0,D3507-H3507)),0)</f>
        <v>0</v>
      </c>
      <c r="J3507" s="13" t="n">
        <f aca="false">IFERROR(MIN(Eingaben!$B$18,MAX(0,F3507-I3507)),0)</f>
        <v>1.39536</v>
      </c>
      <c r="K3507" s="13" t="n">
        <f aca="false">H3507+I3507</f>
        <v>0.89</v>
      </c>
      <c r="L3507" s="13" t="n">
        <f aca="false">MAX(0,D3507-K3507)</f>
        <v>0</v>
      </c>
      <c r="M3507" s="13" t="n">
        <f aca="false">MAX(0,F3507-I3507-J3507)</f>
        <v>0</v>
      </c>
      <c r="N3507" s="13" t="n">
        <f aca="false">IF(Kalender!A213="",0,J3506-H3507)</f>
        <v>0.50536</v>
      </c>
    </row>
    <row r="3508" customFormat="false" ht="16.4" hidden="false" customHeight="false" outlineLevel="0" collapsed="false">
      <c r="A3508" s="13" t="str">
        <f aca="false">""</f>
        <v/>
      </c>
      <c r="B3508" s="13" t="n">
        <f aca="false">210</f>
        <v>210</v>
      </c>
      <c r="C3508" s="13" t="n">
        <f aca="false">IF(Szenarien!$H$20="OK",(IFERROR(SUMIF(Nutzungsprofile!$B$6:$B$11,"Schulbetrieb",Nutzungsprofile!$G$6:$G$11)*Kalender!C214/SUM(Kalender!$C$5:$C$370),0)+IFERROR(SUMIF(Nutzungsprofile!$B$6:$B$11,"Halle",Nutzungsprofile!$G$6:$G$11)*Kalender!D214/SUM(Kalender!$D$5:$D$370),0)+IFERROR(SUMIF(Nutzungsprofile!$B$6:$B$11,"Individuell",Nutzungsprofile!$G$6:$G$11)*Kalender!E214/SUM(Kalender!$E$5:$E$370),0))*Szenarien!$E$20,0)</f>
        <v>1.632</v>
      </c>
      <c r="D3508" s="13" t="n">
        <f aca="false">IF(Szenarien!$H$20="OK",(IFERROR(SUMIF(Nutzungsprofile!$B$17:$B$22,"Schulbetrieb",Nutzungsprofile!$G$17:$G$22)*Kalender!C214/SUM(Kalender!$C$5:$C$370),0)+IFERROR(SUMIF(Nutzungsprofile!$B$17:$B$22,"Halle",Nutzungsprofile!$G$17:$G$22)*Kalender!D214/SUM(Kalender!$D$5:$D$370),0)+IFERROR(SUMIF(Nutzungsprofile!$B$17:$B$22,"Individuell",Nutzungsprofile!$G$17:$G$22)*Kalender!E214/SUM(Kalender!$E$5:$E$370),0))*Szenarien!$D$20,0)</f>
        <v>0.89</v>
      </c>
      <c r="E3508" s="13" t="n">
        <f aca="false">IFERROR(MIN(C3508,Eingaben!$B$17)*Eingaben!$B$16,0)</f>
        <v>1.5504</v>
      </c>
      <c r="F3508" s="13" t="n">
        <f aca="false">IFERROR(E3508*Eingaben!$B$15,0)</f>
        <v>1.39536</v>
      </c>
      <c r="G3508" s="13" t="n">
        <f aca="false">IFERROR(IF(Kalender!A214="",0,J3507*(1-Eingaben!$B$20)),0)</f>
        <v>1.3674528</v>
      </c>
      <c r="H3508" s="13" t="n">
        <f aca="false">MIN(G3508,D3508)</f>
        <v>0.89</v>
      </c>
      <c r="I3508" s="13" t="n">
        <f aca="false">IFERROR(MIN(F3508*Eingaben!$B$19,MAX(0,D3508-H3508)),0)</f>
        <v>0</v>
      </c>
      <c r="J3508" s="13" t="n">
        <f aca="false">IFERROR(MIN(Eingaben!$B$18,MAX(0,F3508-I3508)),0)</f>
        <v>1.39536</v>
      </c>
      <c r="K3508" s="13" t="n">
        <f aca="false">H3508+I3508</f>
        <v>0.89</v>
      </c>
      <c r="L3508" s="13" t="n">
        <f aca="false">MAX(0,D3508-K3508)</f>
        <v>0</v>
      </c>
      <c r="M3508" s="13" t="n">
        <f aca="false">MAX(0,F3508-I3508-J3508)</f>
        <v>0</v>
      </c>
      <c r="N3508" s="13" t="n">
        <f aca="false">IF(Kalender!A214="",0,J3507-H3508)</f>
        <v>0.50536</v>
      </c>
    </row>
    <row r="3509" customFormat="false" ht="16.4" hidden="false" customHeight="false" outlineLevel="0" collapsed="false">
      <c r="A3509" s="13" t="str">
        <f aca="false">""</f>
        <v/>
      </c>
      <c r="B3509" s="13" t="n">
        <f aca="false">211</f>
        <v>211</v>
      </c>
      <c r="C3509" s="13" t="n">
        <f aca="false">IF(Szenarien!$H$20="OK",(IFERROR(SUMIF(Nutzungsprofile!$B$6:$B$11,"Schulbetrieb",Nutzungsprofile!$G$6:$G$11)*Kalender!C215/SUM(Kalender!$C$5:$C$370),0)+IFERROR(SUMIF(Nutzungsprofile!$B$6:$B$11,"Halle",Nutzungsprofile!$G$6:$G$11)*Kalender!D215/SUM(Kalender!$D$5:$D$370),0)+IFERROR(SUMIF(Nutzungsprofile!$B$6:$B$11,"Individuell",Nutzungsprofile!$G$6:$G$11)*Kalender!E215/SUM(Kalender!$E$5:$E$370),0))*Szenarien!$E$20,0)</f>
        <v>1.632</v>
      </c>
      <c r="D3509" s="13" t="n">
        <f aca="false">IF(Szenarien!$H$20="OK",(IFERROR(SUMIF(Nutzungsprofile!$B$17:$B$22,"Schulbetrieb",Nutzungsprofile!$G$17:$G$22)*Kalender!C215/SUM(Kalender!$C$5:$C$370),0)+IFERROR(SUMIF(Nutzungsprofile!$B$17:$B$22,"Halle",Nutzungsprofile!$G$17:$G$22)*Kalender!D215/SUM(Kalender!$D$5:$D$370),0)+IFERROR(SUMIF(Nutzungsprofile!$B$17:$B$22,"Individuell",Nutzungsprofile!$G$17:$G$22)*Kalender!E215/SUM(Kalender!$E$5:$E$370),0))*Szenarien!$D$20,0)</f>
        <v>0.89</v>
      </c>
      <c r="E3509" s="13" t="n">
        <f aca="false">IFERROR(MIN(C3509,Eingaben!$B$17)*Eingaben!$B$16,0)</f>
        <v>1.5504</v>
      </c>
      <c r="F3509" s="13" t="n">
        <f aca="false">IFERROR(E3509*Eingaben!$B$15,0)</f>
        <v>1.39536</v>
      </c>
      <c r="G3509" s="13" t="n">
        <f aca="false">IFERROR(IF(Kalender!A215="",0,J3508*(1-Eingaben!$B$20)),0)</f>
        <v>1.3674528</v>
      </c>
      <c r="H3509" s="13" t="n">
        <f aca="false">MIN(G3509,D3509)</f>
        <v>0.89</v>
      </c>
      <c r="I3509" s="13" t="n">
        <f aca="false">IFERROR(MIN(F3509*Eingaben!$B$19,MAX(0,D3509-H3509)),0)</f>
        <v>0</v>
      </c>
      <c r="J3509" s="13" t="n">
        <f aca="false">IFERROR(MIN(Eingaben!$B$18,MAX(0,F3509-I3509)),0)</f>
        <v>1.39536</v>
      </c>
      <c r="K3509" s="13" t="n">
        <f aca="false">H3509+I3509</f>
        <v>0.89</v>
      </c>
      <c r="L3509" s="13" t="n">
        <f aca="false">MAX(0,D3509-K3509)</f>
        <v>0</v>
      </c>
      <c r="M3509" s="13" t="n">
        <f aca="false">MAX(0,F3509-I3509-J3509)</f>
        <v>0</v>
      </c>
      <c r="N3509" s="13" t="n">
        <f aca="false">IF(Kalender!A215="",0,J3508-H3509)</f>
        <v>0.50536</v>
      </c>
    </row>
    <row r="3510" customFormat="false" ht="16.4" hidden="false" customHeight="false" outlineLevel="0" collapsed="false">
      <c r="A3510" s="13" t="str">
        <f aca="false">""</f>
        <v/>
      </c>
      <c r="B3510" s="13" t="n">
        <f aca="false">212</f>
        <v>212</v>
      </c>
      <c r="C3510" s="13" t="n">
        <f aca="false">IF(Szenarien!$H$20="OK",(IFERROR(SUMIF(Nutzungsprofile!$B$6:$B$11,"Schulbetrieb",Nutzungsprofile!$G$6:$G$11)*Kalender!C216/SUM(Kalender!$C$5:$C$370),0)+IFERROR(SUMIF(Nutzungsprofile!$B$6:$B$11,"Halle",Nutzungsprofile!$G$6:$G$11)*Kalender!D216/SUM(Kalender!$D$5:$D$370),0)+IFERROR(SUMIF(Nutzungsprofile!$B$6:$B$11,"Individuell",Nutzungsprofile!$G$6:$G$11)*Kalender!E216/SUM(Kalender!$E$5:$E$370),0))*Szenarien!$E$20,0)</f>
        <v>1.632</v>
      </c>
      <c r="D3510" s="13" t="n">
        <f aca="false">IF(Szenarien!$H$20="OK",(IFERROR(SUMIF(Nutzungsprofile!$B$17:$B$22,"Schulbetrieb",Nutzungsprofile!$G$17:$G$22)*Kalender!C216/SUM(Kalender!$C$5:$C$370),0)+IFERROR(SUMIF(Nutzungsprofile!$B$17:$B$22,"Halle",Nutzungsprofile!$G$17:$G$22)*Kalender!D216/SUM(Kalender!$D$5:$D$370),0)+IFERROR(SUMIF(Nutzungsprofile!$B$17:$B$22,"Individuell",Nutzungsprofile!$G$17:$G$22)*Kalender!E216/SUM(Kalender!$E$5:$E$370),0))*Szenarien!$D$20,0)</f>
        <v>0.89</v>
      </c>
      <c r="E3510" s="13" t="n">
        <f aca="false">IFERROR(MIN(C3510,Eingaben!$B$17)*Eingaben!$B$16,0)</f>
        <v>1.5504</v>
      </c>
      <c r="F3510" s="13" t="n">
        <f aca="false">IFERROR(E3510*Eingaben!$B$15,0)</f>
        <v>1.39536</v>
      </c>
      <c r="G3510" s="13" t="n">
        <f aca="false">IFERROR(IF(Kalender!A216="",0,J3509*(1-Eingaben!$B$20)),0)</f>
        <v>1.3674528</v>
      </c>
      <c r="H3510" s="13" t="n">
        <f aca="false">MIN(G3510,D3510)</f>
        <v>0.89</v>
      </c>
      <c r="I3510" s="13" t="n">
        <f aca="false">IFERROR(MIN(F3510*Eingaben!$B$19,MAX(0,D3510-H3510)),0)</f>
        <v>0</v>
      </c>
      <c r="J3510" s="13" t="n">
        <f aca="false">IFERROR(MIN(Eingaben!$B$18,MAX(0,F3510-I3510)),0)</f>
        <v>1.39536</v>
      </c>
      <c r="K3510" s="13" t="n">
        <f aca="false">H3510+I3510</f>
        <v>0.89</v>
      </c>
      <c r="L3510" s="13" t="n">
        <f aca="false">MAX(0,D3510-K3510)</f>
        <v>0</v>
      </c>
      <c r="M3510" s="13" t="n">
        <f aca="false">MAX(0,F3510-I3510-J3510)</f>
        <v>0</v>
      </c>
      <c r="N3510" s="13" t="n">
        <f aca="false">IF(Kalender!A216="",0,J3509-H3510)</f>
        <v>0.50536</v>
      </c>
    </row>
    <row r="3511" customFormat="false" ht="16.4" hidden="false" customHeight="false" outlineLevel="0" collapsed="false">
      <c r="A3511" s="13" t="str">
        <f aca="false">""</f>
        <v/>
      </c>
      <c r="B3511" s="13" t="n">
        <f aca="false">213</f>
        <v>213</v>
      </c>
      <c r="C3511" s="13" t="n">
        <f aca="false">IF(Szenarien!$H$20="OK",(IFERROR(SUMIF(Nutzungsprofile!$B$6:$B$11,"Schulbetrieb",Nutzungsprofile!$G$6:$G$11)*Kalender!C217/SUM(Kalender!$C$5:$C$370),0)+IFERROR(SUMIF(Nutzungsprofile!$B$6:$B$11,"Halle",Nutzungsprofile!$G$6:$G$11)*Kalender!D217/SUM(Kalender!$D$5:$D$370),0)+IFERROR(SUMIF(Nutzungsprofile!$B$6:$B$11,"Individuell",Nutzungsprofile!$G$6:$G$11)*Kalender!E217/SUM(Kalender!$E$5:$E$370),0))*Szenarien!$E$20,0)</f>
        <v>1.632</v>
      </c>
      <c r="D3511" s="13" t="n">
        <f aca="false">IF(Szenarien!$H$20="OK",(IFERROR(SUMIF(Nutzungsprofile!$B$17:$B$22,"Schulbetrieb",Nutzungsprofile!$G$17:$G$22)*Kalender!C217/SUM(Kalender!$C$5:$C$370),0)+IFERROR(SUMIF(Nutzungsprofile!$B$17:$B$22,"Halle",Nutzungsprofile!$G$17:$G$22)*Kalender!D217/SUM(Kalender!$D$5:$D$370),0)+IFERROR(SUMIF(Nutzungsprofile!$B$17:$B$22,"Individuell",Nutzungsprofile!$G$17:$G$22)*Kalender!E217/SUM(Kalender!$E$5:$E$370),0))*Szenarien!$D$20,0)</f>
        <v>0.89</v>
      </c>
      <c r="E3511" s="13" t="n">
        <f aca="false">IFERROR(MIN(C3511,Eingaben!$B$17)*Eingaben!$B$16,0)</f>
        <v>1.5504</v>
      </c>
      <c r="F3511" s="13" t="n">
        <f aca="false">IFERROR(E3511*Eingaben!$B$15,0)</f>
        <v>1.39536</v>
      </c>
      <c r="G3511" s="13" t="n">
        <f aca="false">IFERROR(IF(Kalender!A217="",0,J3510*(1-Eingaben!$B$20)),0)</f>
        <v>1.3674528</v>
      </c>
      <c r="H3511" s="13" t="n">
        <f aca="false">MIN(G3511,D3511)</f>
        <v>0.89</v>
      </c>
      <c r="I3511" s="13" t="n">
        <f aca="false">IFERROR(MIN(F3511*Eingaben!$B$19,MAX(0,D3511-H3511)),0)</f>
        <v>0</v>
      </c>
      <c r="J3511" s="13" t="n">
        <f aca="false">IFERROR(MIN(Eingaben!$B$18,MAX(0,F3511-I3511)),0)</f>
        <v>1.39536</v>
      </c>
      <c r="K3511" s="13" t="n">
        <f aca="false">H3511+I3511</f>
        <v>0.89</v>
      </c>
      <c r="L3511" s="13" t="n">
        <f aca="false">MAX(0,D3511-K3511)</f>
        <v>0</v>
      </c>
      <c r="M3511" s="13" t="n">
        <f aca="false">MAX(0,F3511-I3511-J3511)</f>
        <v>0</v>
      </c>
      <c r="N3511" s="13" t="n">
        <f aca="false">IF(Kalender!A217="",0,J3510-H3511)</f>
        <v>0.50536</v>
      </c>
    </row>
    <row r="3512" customFormat="false" ht="16.4" hidden="false" customHeight="false" outlineLevel="0" collapsed="false">
      <c r="A3512" s="13" t="str">
        <f aca="false">""</f>
        <v/>
      </c>
      <c r="B3512" s="13" t="n">
        <f aca="false">214</f>
        <v>214</v>
      </c>
      <c r="C3512" s="13" t="n">
        <f aca="false">IF(Szenarien!$H$20="OK",(IFERROR(SUMIF(Nutzungsprofile!$B$6:$B$11,"Schulbetrieb",Nutzungsprofile!$G$6:$G$11)*Kalender!C218/SUM(Kalender!$C$5:$C$370),0)+IFERROR(SUMIF(Nutzungsprofile!$B$6:$B$11,"Halle",Nutzungsprofile!$G$6:$G$11)*Kalender!D218/SUM(Kalender!$D$5:$D$370),0)+IFERROR(SUMIF(Nutzungsprofile!$B$6:$B$11,"Individuell",Nutzungsprofile!$G$6:$G$11)*Kalender!E218/SUM(Kalender!$E$5:$E$370),0))*Szenarien!$E$20,0)</f>
        <v>1.632</v>
      </c>
      <c r="D3512" s="13" t="n">
        <f aca="false">IF(Szenarien!$H$20="OK",(IFERROR(SUMIF(Nutzungsprofile!$B$17:$B$22,"Schulbetrieb",Nutzungsprofile!$G$17:$G$22)*Kalender!C218/SUM(Kalender!$C$5:$C$370),0)+IFERROR(SUMIF(Nutzungsprofile!$B$17:$B$22,"Halle",Nutzungsprofile!$G$17:$G$22)*Kalender!D218/SUM(Kalender!$D$5:$D$370),0)+IFERROR(SUMIF(Nutzungsprofile!$B$17:$B$22,"Individuell",Nutzungsprofile!$G$17:$G$22)*Kalender!E218/SUM(Kalender!$E$5:$E$370),0))*Szenarien!$D$20,0)</f>
        <v>0.89</v>
      </c>
      <c r="E3512" s="13" t="n">
        <f aca="false">IFERROR(MIN(C3512,Eingaben!$B$17)*Eingaben!$B$16,0)</f>
        <v>1.5504</v>
      </c>
      <c r="F3512" s="13" t="n">
        <f aca="false">IFERROR(E3512*Eingaben!$B$15,0)</f>
        <v>1.39536</v>
      </c>
      <c r="G3512" s="13" t="n">
        <f aca="false">IFERROR(IF(Kalender!A218="",0,J3511*(1-Eingaben!$B$20)),0)</f>
        <v>1.3674528</v>
      </c>
      <c r="H3512" s="13" t="n">
        <f aca="false">MIN(G3512,D3512)</f>
        <v>0.89</v>
      </c>
      <c r="I3512" s="13" t="n">
        <f aca="false">IFERROR(MIN(F3512*Eingaben!$B$19,MAX(0,D3512-H3512)),0)</f>
        <v>0</v>
      </c>
      <c r="J3512" s="13" t="n">
        <f aca="false">IFERROR(MIN(Eingaben!$B$18,MAX(0,F3512-I3512)),0)</f>
        <v>1.39536</v>
      </c>
      <c r="K3512" s="13" t="n">
        <f aca="false">H3512+I3512</f>
        <v>0.89</v>
      </c>
      <c r="L3512" s="13" t="n">
        <f aca="false">MAX(0,D3512-K3512)</f>
        <v>0</v>
      </c>
      <c r="M3512" s="13" t="n">
        <f aca="false">MAX(0,F3512-I3512-J3512)</f>
        <v>0</v>
      </c>
      <c r="N3512" s="13" t="n">
        <f aca="false">IF(Kalender!A218="",0,J3511-H3512)</f>
        <v>0.50536</v>
      </c>
    </row>
    <row r="3513" customFormat="false" ht="16.4" hidden="false" customHeight="false" outlineLevel="0" collapsed="false">
      <c r="A3513" s="13" t="str">
        <f aca="false">""</f>
        <v/>
      </c>
      <c r="B3513" s="13" t="n">
        <f aca="false">215</f>
        <v>215</v>
      </c>
      <c r="C3513" s="13" t="n">
        <f aca="false">IF(Szenarien!$H$20="OK",(IFERROR(SUMIF(Nutzungsprofile!$B$6:$B$11,"Schulbetrieb",Nutzungsprofile!$G$6:$G$11)*Kalender!C219/SUM(Kalender!$C$5:$C$370),0)+IFERROR(SUMIF(Nutzungsprofile!$B$6:$B$11,"Halle",Nutzungsprofile!$G$6:$G$11)*Kalender!D219/SUM(Kalender!$D$5:$D$370),0)+IFERROR(SUMIF(Nutzungsprofile!$B$6:$B$11,"Individuell",Nutzungsprofile!$G$6:$G$11)*Kalender!E219/SUM(Kalender!$E$5:$E$370),0))*Szenarien!$E$20,0)</f>
        <v>1.632</v>
      </c>
      <c r="D3513" s="13" t="n">
        <f aca="false">IF(Szenarien!$H$20="OK",(IFERROR(SUMIF(Nutzungsprofile!$B$17:$B$22,"Schulbetrieb",Nutzungsprofile!$G$17:$G$22)*Kalender!C219/SUM(Kalender!$C$5:$C$370),0)+IFERROR(SUMIF(Nutzungsprofile!$B$17:$B$22,"Halle",Nutzungsprofile!$G$17:$G$22)*Kalender!D219/SUM(Kalender!$D$5:$D$370),0)+IFERROR(SUMIF(Nutzungsprofile!$B$17:$B$22,"Individuell",Nutzungsprofile!$G$17:$G$22)*Kalender!E219/SUM(Kalender!$E$5:$E$370),0))*Szenarien!$D$20,0)</f>
        <v>0.89</v>
      </c>
      <c r="E3513" s="13" t="n">
        <f aca="false">IFERROR(MIN(C3513,Eingaben!$B$17)*Eingaben!$B$16,0)</f>
        <v>1.5504</v>
      </c>
      <c r="F3513" s="13" t="n">
        <f aca="false">IFERROR(E3513*Eingaben!$B$15,0)</f>
        <v>1.39536</v>
      </c>
      <c r="G3513" s="13" t="n">
        <f aca="false">IFERROR(IF(Kalender!A219="",0,J3512*(1-Eingaben!$B$20)),0)</f>
        <v>1.3674528</v>
      </c>
      <c r="H3513" s="13" t="n">
        <f aca="false">MIN(G3513,D3513)</f>
        <v>0.89</v>
      </c>
      <c r="I3513" s="13" t="n">
        <f aca="false">IFERROR(MIN(F3513*Eingaben!$B$19,MAX(0,D3513-H3513)),0)</f>
        <v>0</v>
      </c>
      <c r="J3513" s="13" t="n">
        <f aca="false">IFERROR(MIN(Eingaben!$B$18,MAX(0,F3513-I3513)),0)</f>
        <v>1.39536</v>
      </c>
      <c r="K3513" s="13" t="n">
        <f aca="false">H3513+I3513</f>
        <v>0.89</v>
      </c>
      <c r="L3513" s="13" t="n">
        <f aca="false">MAX(0,D3513-K3513)</f>
        <v>0</v>
      </c>
      <c r="M3513" s="13" t="n">
        <f aca="false">MAX(0,F3513-I3513-J3513)</f>
        <v>0</v>
      </c>
      <c r="N3513" s="13" t="n">
        <f aca="false">IF(Kalender!A219="",0,J3512-H3513)</f>
        <v>0.50536</v>
      </c>
    </row>
    <row r="3514" customFormat="false" ht="16.4" hidden="false" customHeight="false" outlineLevel="0" collapsed="false">
      <c r="A3514" s="13" t="str">
        <f aca="false">""</f>
        <v/>
      </c>
      <c r="B3514" s="13" t="n">
        <f aca="false">216</f>
        <v>216</v>
      </c>
      <c r="C3514" s="13" t="n">
        <f aca="false">IF(Szenarien!$H$20="OK",(IFERROR(SUMIF(Nutzungsprofile!$B$6:$B$11,"Schulbetrieb",Nutzungsprofile!$G$6:$G$11)*Kalender!C220/SUM(Kalender!$C$5:$C$370),0)+IFERROR(SUMIF(Nutzungsprofile!$B$6:$B$11,"Halle",Nutzungsprofile!$G$6:$G$11)*Kalender!D220/SUM(Kalender!$D$5:$D$370),0)+IFERROR(SUMIF(Nutzungsprofile!$B$6:$B$11,"Individuell",Nutzungsprofile!$G$6:$G$11)*Kalender!E220/SUM(Kalender!$E$5:$E$370),0))*Szenarien!$E$20,0)</f>
        <v>1.632</v>
      </c>
      <c r="D3514" s="13" t="n">
        <f aca="false">IF(Szenarien!$H$20="OK",(IFERROR(SUMIF(Nutzungsprofile!$B$17:$B$22,"Schulbetrieb",Nutzungsprofile!$G$17:$G$22)*Kalender!C220/SUM(Kalender!$C$5:$C$370),0)+IFERROR(SUMIF(Nutzungsprofile!$B$17:$B$22,"Halle",Nutzungsprofile!$G$17:$G$22)*Kalender!D220/SUM(Kalender!$D$5:$D$370),0)+IFERROR(SUMIF(Nutzungsprofile!$B$17:$B$22,"Individuell",Nutzungsprofile!$G$17:$G$22)*Kalender!E220/SUM(Kalender!$E$5:$E$370),0))*Szenarien!$D$20,0)</f>
        <v>0.89</v>
      </c>
      <c r="E3514" s="13" t="n">
        <f aca="false">IFERROR(MIN(C3514,Eingaben!$B$17)*Eingaben!$B$16,0)</f>
        <v>1.5504</v>
      </c>
      <c r="F3514" s="13" t="n">
        <f aca="false">IFERROR(E3514*Eingaben!$B$15,0)</f>
        <v>1.39536</v>
      </c>
      <c r="G3514" s="13" t="n">
        <f aca="false">IFERROR(IF(Kalender!A220="",0,J3513*(1-Eingaben!$B$20)),0)</f>
        <v>1.3674528</v>
      </c>
      <c r="H3514" s="13" t="n">
        <f aca="false">MIN(G3514,D3514)</f>
        <v>0.89</v>
      </c>
      <c r="I3514" s="13" t="n">
        <f aca="false">IFERROR(MIN(F3514*Eingaben!$B$19,MAX(0,D3514-H3514)),0)</f>
        <v>0</v>
      </c>
      <c r="J3514" s="13" t="n">
        <f aca="false">IFERROR(MIN(Eingaben!$B$18,MAX(0,F3514-I3514)),0)</f>
        <v>1.39536</v>
      </c>
      <c r="K3514" s="13" t="n">
        <f aca="false">H3514+I3514</f>
        <v>0.89</v>
      </c>
      <c r="L3514" s="13" t="n">
        <f aca="false">MAX(0,D3514-K3514)</f>
        <v>0</v>
      </c>
      <c r="M3514" s="13" t="n">
        <f aca="false">MAX(0,F3514-I3514-J3514)</f>
        <v>0</v>
      </c>
      <c r="N3514" s="13" t="n">
        <f aca="false">IF(Kalender!A220="",0,J3513-H3514)</f>
        <v>0.50536</v>
      </c>
    </row>
    <row r="3515" customFormat="false" ht="16.4" hidden="false" customHeight="false" outlineLevel="0" collapsed="false">
      <c r="A3515" s="13" t="str">
        <f aca="false">""</f>
        <v/>
      </c>
      <c r="B3515" s="13" t="n">
        <f aca="false">217</f>
        <v>217</v>
      </c>
      <c r="C3515" s="13" t="n">
        <f aca="false">IF(Szenarien!$H$20="OK",(IFERROR(SUMIF(Nutzungsprofile!$B$6:$B$11,"Schulbetrieb",Nutzungsprofile!$G$6:$G$11)*Kalender!C221/SUM(Kalender!$C$5:$C$370),0)+IFERROR(SUMIF(Nutzungsprofile!$B$6:$B$11,"Halle",Nutzungsprofile!$G$6:$G$11)*Kalender!D221/SUM(Kalender!$D$5:$D$370),0)+IFERROR(SUMIF(Nutzungsprofile!$B$6:$B$11,"Individuell",Nutzungsprofile!$G$6:$G$11)*Kalender!E221/SUM(Kalender!$E$5:$E$370),0))*Szenarien!$E$20,0)</f>
        <v>1.632</v>
      </c>
      <c r="D3515" s="13" t="n">
        <f aca="false">IF(Szenarien!$H$20="OK",(IFERROR(SUMIF(Nutzungsprofile!$B$17:$B$22,"Schulbetrieb",Nutzungsprofile!$G$17:$G$22)*Kalender!C221/SUM(Kalender!$C$5:$C$370),0)+IFERROR(SUMIF(Nutzungsprofile!$B$17:$B$22,"Halle",Nutzungsprofile!$G$17:$G$22)*Kalender!D221/SUM(Kalender!$D$5:$D$370),0)+IFERROR(SUMIF(Nutzungsprofile!$B$17:$B$22,"Individuell",Nutzungsprofile!$G$17:$G$22)*Kalender!E221/SUM(Kalender!$E$5:$E$370),0))*Szenarien!$D$20,0)</f>
        <v>0.89</v>
      </c>
      <c r="E3515" s="13" t="n">
        <f aca="false">IFERROR(MIN(C3515,Eingaben!$B$17)*Eingaben!$B$16,0)</f>
        <v>1.5504</v>
      </c>
      <c r="F3515" s="13" t="n">
        <f aca="false">IFERROR(E3515*Eingaben!$B$15,0)</f>
        <v>1.39536</v>
      </c>
      <c r="G3515" s="13" t="n">
        <f aca="false">IFERROR(IF(Kalender!A221="",0,J3514*(1-Eingaben!$B$20)),0)</f>
        <v>1.3674528</v>
      </c>
      <c r="H3515" s="13" t="n">
        <f aca="false">MIN(G3515,D3515)</f>
        <v>0.89</v>
      </c>
      <c r="I3515" s="13" t="n">
        <f aca="false">IFERROR(MIN(F3515*Eingaben!$B$19,MAX(0,D3515-H3515)),0)</f>
        <v>0</v>
      </c>
      <c r="J3515" s="13" t="n">
        <f aca="false">IFERROR(MIN(Eingaben!$B$18,MAX(0,F3515-I3515)),0)</f>
        <v>1.39536</v>
      </c>
      <c r="K3515" s="13" t="n">
        <f aca="false">H3515+I3515</f>
        <v>0.89</v>
      </c>
      <c r="L3515" s="13" t="n">
        <f aca="false">MAX(0,D3515-K3515)</f>
        <v>0</v>
      </c>
      <c r="M3515" s="13" t="n">
        <f aca="false">MAX(0,F3515-I3515-J3515)</f>
        <v>0</v>
      </c>
      <c r="N3515" s="13" t="n">
        <f aca="false">IF(Kalender!A221="",0,J3514-H3515)</f>
        <v>0.50536</v>
      </c>
    </row>
    <row r="3516" customFormat="false" ht="16.4" hidden="false" customHeight="false" outlineLevel="0" collapsed="false">
      <c r="A3516" s="13" t="str">
        <f aca="false">""</f>
        <v/>
      </c>
      <c r="B3516" s="13" t="n">
        <f aca="false">218</f>
        <v>218</v>
      </c>
      <c r="C3516" s="13" t="n">
        <f aca="false">IF(Szenarien!$H$20="OK",(IFERROR(SUMIF(Nutzungsprofile!$B$6:$B$11,"Schulbetrieb",Nutzungsprofile!$G$6:$G$11)*Kalender!C222/SUM(Kalender!$C$5:$C$370),0)+IFERROR(SUMIF(Nutzungsprofile!$B$6:$B$11,"Halle",Nutzungsprofile!$G$6:$G$11)*Kalender!D222/SUM(Kalender!$D$5:$D$370),0)+IFERROR(SUMIF(Nutzungsprofile!$B$6:$B$11,"Individuell",Nutzungsprofile!$G$6:$G$11)*Kalender!E222/SUM(Kalender!$E$5:$E$370),0))*Szenarien!$E$20,0)</f>
        <v>1.632</v>
      </c>
      <c r="D3516" s="13" t="n">
        <f aca="false">IF(Szenarien!$H$20="OK",(IFERROR(SUMIF(Nutzungsprofile!$B$17:$B$22,"Schulbetrieb",Nutzungsprofile!$G$17:$G$22)*Kalender!C222/SUM(Kalender!$C$5:$C$370),0)+IFERROR(SUMIF(Nutzungsprofile!$B$17:$B$22,"Halle",Nutzungsprofile!$G$17:$G$22)*Kalender!D222/SUM(Kalender!$D$5:$D$370),0)+IFERROR(SUMIF(Nutzungsprofile!$B$17:$B$22,"Individuell",Nutzungsprofile!$G$17:$G$22)*Kalender!E222/SUM(Kalender!$E$5:$E$370),0))*Szenarien!$D$20,0)</f>
        <v>0.89</v>
      </c>
      <c r="E3516" s="13" t="n">
        <f aca="false">IFERROR(MIN(C3516,Eingaben!$B$17)*Eingaben!$B$16,0)</f>
        <v>1.5504</v>
      </c>
      <c r="F3516" s="13" t="n">
        <f aca="false">IFERROR(E3516*Eingaben!$B$15,0)</f>
        <v>1.39536</v>
      </c>
      <c r="G3516" s="13" t="n">
        <f aca="false">IFERROR(IF(Kalender!A222="",0,J3515*(1-Eingaben!$B$20)),0)</f>
        <v>1.3674528</v>
      </c>
      <c r="H3516" s="13" t="n">
        <f aca="false">MIN(G3516,D3516)</f>
        <v>0.89</v>
      </c>
      <c r="I3516" s="13" t="n">
        <f aca="false">IFERROR(MIN(F3516*Eingaben!$B$19,MAX(0,D3516-H3516)),0)</f>
        <v>0</v>
      </c>
      <c r="J3516" s="13" t="n">
        <f aca="false">IFERROR(MIN(Eingaben!$B$18,MAX(0,F3516-I3516)),0)</f>
        <v>1.39536</v>
      </c>
      <c r="K3516" s="13" t="n">
        <f aca="false">H3516+I3516</f>
        <v>0.89</v>
      </c>
      <c r="L3516" s="13" t="n">
        <f aca="false">MAX(0,D3516-K3516)</f>
        <v>0</v>
      </c>
      <c r="M3516" s="13" t="n">
        <f aca="false">MAX(0,F3516-I3516-J3516)</f>
        <v>0</v>
      </c>
      <c r="N3516" s="13" t="n">
        <f aca="false">IF(Kalender!A222="",0,J3515-H3516)</f>
        <v>0.50536</v>
      </c>
    </row>
    <row r="3517" customFormat="false" ht="16.4" hidden="false" customHeight="false" outlineLevel="0" collapsed="false">
      <c r="A3517" s="13" t="str">
        <f aca="false">""</f>
        <v/>
      </c>
      <c r="B3517" s="13" t="n">
        <f aca="false">219</f>
        <v>219</v>
      </c>
      <c r="C3517" s="13" t="n">
        <f aca="false">IF(Szenarien!$H$20="OK",(IFERROR(SUMIF(Nutzungsprofile!$B$6:$B$11,"Schulbetrieb",Nutzungsprofile!$G$6:$G$11)*Kalender!C223/SUM(Kalender!$C$5:$C$370),0)+IFERROR(SUMIF(Nutzungsprofile!$B$6:$B$11,"Halle",Nutzungsprofile!$G$6:$G$11)*Kalender!D223/SUM(Kalender!$D$5:$D$370),0)+IFERROR(SUMIF(Nutzungsprofile!$B$6:$B$11,"Individuell",Nutzungsprofile!$G$6:$G$11)*Kalender!E223/SUM(Kalender!$E$5:$E$370),0))*Szenarien!$E$20,0)</f>
        <v>1.632</v>
      </c>
      <c r="D3517" s="13" t="n">
        <f aca="false">IF(Szenarien!$H$20="OK",(IFERROR(SUMIF(Nutzungsprofile!$B$17:$B$22,"Schulbetrieb",Nutzungsprofile!$G$17:$G$22)*Kalender!C223/SUM(Kalender!$C$5:$C$370),0)+IFERROR(SUMIF(Nutzungsprofile!$B$17:$B$22,"Halle",Nutzungsprofile!$G$17:$G$22)*Kalender!D223/SUM(Kalender!$D$5:$D$370),0)+IFERROR(SUMIF(Nutzungsprofile!$B$17:$B$22,"Individuell",Nutzungsprofile!$G$17:$G$22)*Kalender!E223/SUM(Kalender!$E$5:$E$370),0))*Szenarien!$D$20,0)</f>
        <v>0.89</v>
      </c>
      <c r="E3517" s="13" t="n">
        <f aca="false">IFERROR(MIN(C3517,Eingaben!$B$17)*Eingaben!$B$16,0)</f>
        <v>1.5504</v>
      </c>
      <c r="F3517" s="13" t="n">
        <f aca="false">IFERROR(E3517*Eingaben!$B$15,0)</f>
        <v>1.39536</v>
      </c>
      <c r="G3517" s="13" t="n">
        <f aca="false">IFERROR(IF(Kalender!A223="",0,J3516*(1-Eingaben!$B$20)),0)</f>
        <v>1.3674528</v>
      </c>
      <c r="H3517" s="13" t="n">
        <f aca="false">MIN(G3517,D3517)</f>
        <v>0.89</v>
      </c>
      <c r="I3517" s="13" t="n">
        <f aca="false">IFERROR(MIN(F3517*Eingaben!$B$19,MAX(0,D3517-H3517)),0)</f>
        <v>0</v>
      </c>
      <c r="J3517" s="13" t="n">
        <f aca="false">IFERROR(MIN(Eingaben!$B$18,MAX(0,F3517-I3517)),0)</f>
        <v>1.39536</v>
      </c>
      <c r="K3517" s="13" t="n">
        <f aca="false">H3517+I3517</f>
        <v>0.89</v>
      </c>
      <c r="L3517" s="13" t="n">
        <f aca="false">MAX(0,D3517-K3517)</f>
        <v>0</v>
      </c>
      <c r="M3517" s="13" t="n">
        <f aca="false">MAX(0,F3517-I3517-J3517)</f>
        <v>0</v>
      </c>
      <c r="N3517" s="13" t="n">
        <f aca="false">IF(Kalender!A223="",0,J3516-H3517)</f>
        <v>0.50536</v>
      </c>
    </row>
    <row r="3518" customFormat="false" ht="16.4" hidden="false" customHeight="false" outlineLevel="0" collapsed="false">
      <c r="A3518" s="13" t="str">
        <f aca="false">""</f>
        <v/>
      </c>
      <c r="B3518" s="13" t="n">
        <f aca="false">220</f>
        <v>220</v>
      </c>
      <c r="C3518" s="13" t="n">
        <f aca="false">IF(Szenarien!$H$20="OK",(IFERROR(SUMIF(Nutzungsprofile!$B$6:$B$11,"Schulbetrieb",Nutzungsprofile!$G$6:$G$11)*Kalender!C224/SUM(Kalender!$C$5:$C$370),0)+IFERROR(SUMIF(Nutzungsprofile!$B$6:$B$11,"Halle",Nutzungsprofile!$G$6:$G$11)*Kalender!D224/SUM(Kalender!$D$5:$D$370),0)+IFERROR(SUMIF(Nutzungsprofile!$B$6:$B$11,"Individuell",Nutzungsprofile!$G$6:$G$11)*Kalender!E224/SUM(Kalender!$E$5:$E$370),0))*Szenarien!$E$20,0)</f>
        <v>1.632</v>
      </c>
      <c r="D3518" s="13" t="n">
        <f aca="false">IF(Szenarien!$H$20="OK",(IFERROR(SUMIF(Nutzungsprofile!$B$17:$B$22,"Schulbetrieb",Nutzungsprofile!$G$17:$G$22)*Kalender!C224/SUM(Kalender!$C$5:$C$370),0)+IFERROR(SUMIF(Nutzungsprofile!$B$17:$B$22,"Halle",Nutzungsprofile!$G$17:$G$22)*Kalender!D224/SUM(Kalender!$D$5:$D$370),0)+IFERROR(SUMIF(Nutzungsprofile!$B$17:$B$22,"Individuell",Nutzungsprofile!$G$17:$G$22)*Kalender!E224/SUM(Kalender!$E$5:$E$370),0))*Szenarien!$D$20,0)</f>
        <v>0.89</v>
      </c>
      <c r="E3518" s="13" t="n">
        <f aca="false">IFERROR(MIN(C3518,Eingaben!$B$17)*Eingaben!$B$16,0)</f>
        <v>1.5504</v>
      </c>
      <c r="F3518" s="13" t="n">
        <f aca="false">IFERROR(E3518*Eingaben!$B$15,0)</f>
        <v>1.39536</v>
      </c>
      <c r="G3518" s="13" t="n">
        <f aca="false">IFERROR(IF(Kalender!A224="",0,J3517*(1-Eingaben!$B$20)),0)</f>
        <v>1.3674528</v>
      </c>
      <c r="H3518" s="13" t="n">
        <f aca="false">MIN(G3518,D3518)</f>
        <v>0.89</v>
      </c>
      <c r="I3518" s="13" t="n">
        <f aca="false">IFERROR(MIN(F3518*Eingaben!$B$19,MAX(0,D3518-H3518)),0)</f>
        <v>0</v>
      </c>
      <c r="J3518" s="13" t="n">
        <f aca="false">IFERROR(MIN(Eingaben!$B$18,MAX(0,F3518-I3518)),0)</f>
        <v>1.39536</v>
      </c>
      <c r="K3518" s="13" t="n">
        <f aca="false">H3518+I3518</f>
        <v>0.89</v>
      </c>
      <c r="L3518" s="13" t="n">
        <f aca="false">MAX(0,D3518-K3518)</f>
        <v>0</v>
      </c>
      <c r="M3518" s="13" t="n">
        <f aca="false">MAX(0,F3518-I3518-J3518)</f>
        <v>0</v>
      </c>
      <c r="N3518" s="13" t="n">
        <f aca="false">IF(Kalender!A224="",0,J3517-H3518)</f>
        <v>0.50536</v>
      </c>
    </row>
    <row r="3519" customFormat="false" ht="16.4" hidden="false" customHeight="false" outlineLevel="0" collapsed="false">
      <c r="A3519" s="13" t="str">
        <f aca="false">""</f>
        <v/>
      </c>
      <c r="B3519" s="13" t="n">
        <f aca="false">221</f>
        <v>221</v>
      </c>
      <c r="C3519" s="13" t="n">
        <f aca="false">IF(Szenarien!$H$20="OK",(IFERROR(SUMIF(Nutzungsprofile!$B$6:$B$11,"Schulbetrieb",Nutzungsprofile!$G$6:$G$11)*Kalender!C225/SUM(Kalender!$C$5:$C$370),0)+IFERROR(SUMIF(Nutzungsprofile!$B$6:$B$11,"Halle",Nutzungsprofile!$G$6:$G$11)*Kalender!D225/SUM(Kalender!$D$5:$D$370),0)+IFERROR(SUMIF(Nutzungsprofile!$B$6:$B$11,"Individuell",Nutzungsprofile!$G$6:$G$11)*Kalender!E225/SUM(Kalender!$E$5:$E$370),0))*Szenarien!$E$20,0)</f>
        <v>1.632</v>
      </c>
      <c r="D3519" s="13" t="n">
        <f aca="false">IF(Szenarien!$H$20="OK",(IFERROR(SUMIF(Nutzungsprofile!$B$17:$B$22,"Schulbetrieb",Nutzungsprofile!$G$17:$G$22)*Kalender!C225/SUM(Kalender!$C$5:$C$370),0)+IFERROR(SUMIF(Nutzungsprofile!$B$17:$B$22,"Halle",Nutzungsprofile!$G$17:$G$22)*Kalender!D225/SUM(Kalender!$D$5:$D$370),0)+IFERROR(SUMIF(Nutzungsprofile!$B$17:$B$22,"Individuell",Nutzungsprofile!$G$17:$G$22)*Kalender!E225/SUM(Kalender!$E$5:$E$370),0))*Szenarien!$D$20,0)</f>
        <v>0.89</v>
      </c>
      <c r="E3519" s="13" t="n">
        <f aca="false">IFERROR(MIN(C3519,Eingaben!$B$17)*Eingaben!$B$16,0)</f>
        <v>1.5504</v>
      </c>
      <c r="F3519" s="13" t="n">
        <f aca="false">IFERROR(E3519*Eingaben!$B$15,0)</f>
        <v>1.39536</v>
      </c>
      <c r="G3519" s="13" t="n">
        <f aca="false">IFERROR(IF(Kalender!A225="",0,J3518*(1-Eingaben!$B$20)),0)</f>
        <v>1.3674528</v>
      </c>
      <c r="H3519" s="13" t="n">
        <f aca="false">MIN(G3519,D3519)</f>
        <v>0.89</v>
      </c>
      <c r="I3519" s="13" t="n">
        <f aca="false">IFERROR(MIN(F3519*Eingaben!$B$19,MAX(0,D3519-H3519)),0)</f>
        <v>0</v>
      </c>
      <c r="J3519" s="13" t="n">
        <f aca="false">IFERROR(MIN(Eingaben!$B$18,MAX(0,F3519-I3519)),0)</f>
        <v>1.39536</v>
      </c>
      <c r="K3519" s="13" t="n">
        <f aca="false">H3519+I3519</f>
        <v>0.89</v>
      </c>
      <c r="L3519" s="13" t="n">
        <f aca="false">MAX(0,D3519-K3519)</f>
        <v>0</v>
      </c>
      <c r="M3519" s="13" t="n">
        <f aca="false">MAX(0,F3519-I3519-J3519)</f>
        <v>0</v>
      </c>
      <c r="N3519" s="13" t="n">
        <f aca="false">IF(Kalender!A225="",0,J3518-H3519)</f>
        <v>0.50536</v>
      </c>
    </row>
    <row r="3520" customFormat="false" ht="16.4" hidden="false" customHeight="false" outlineLevel="0" collapsed="false">
      <c r="A3520" s="13" t="str">
        <f aca="false">""</f>
        <v/>
      </c>
      <c r="B3520" s="13" t="n">
        <f aca="false">222</f>
        <v>222</v>
      </c>
      <c r="C3520" s="13" t="n">
        <f aca="false">IF(Szenarien!$H$20="OK",(IFERROR(SUMIF(Nutzungsprofile!$B$6:$B$11,"Schulbetrieb",Nutzungsprofile!$G$6:$G$11)*Kalender!C226/SUM(Kalender!$C$5:$C$370),0)+IFERROR(SUMIF(Nutzungsprofile!$B$6:$B$11,"Halle",Nutzungsprofile!$G$6:$G$11)*Kalender!D226/SUM(Kalender!$D$5:$D$370),0)+IFERROR(SUMIF(Nutzungsprofile!$B$6:$B$11,"Individuell",Nutzungsprofile!$G$6:$G$11)*Kalender!E226/SUM(Kalender!$E$5:$E$370),0))*Szenarien!$E$20,0)</f>
        <v>1.632</v>
      </c>
      <c r="D3520" s="13" t="n">
        <f aca="false">IF(Szenarien!$H$20="OK",(IFERROR(SUMIF(Nutzungsprofile!$B$17:$B$22,"Schulbetrieb",Nutzungsprofile!$G$17:$G$22)*Kalender!C226/SUM(Kalender!$C$5:$C$370),0)+IFERROR(SUMIF(Nutzungsprofile!$B$17:$B$22,"Halle",Nutzungsprofile!$G$17:$G$22)*Kalender!D226/SUM(Kalender!$D$5:$D$370),0)+IFERROR(SUMIF(Nutzungsprofile!$B$17:$B$22,"Individuell",Nutzungsprofile!$G$17:$G$22)*Kalender!E226/SUM(Kalender!$E$5:$E$370),0))*Szenarien!$D$20,0)</f>
        <v>0.89</v>
      </c>
      <c r="E3520" s="13" t="n">
        <f aca="false">IFERROR(MIN(C3520,Eingaben!$B$17)*Eingaben!$B$16,0)</f>
        <v>1.5504</v>
      </c>
      <c r="F3520" s="13" t="n">
        <f aca="false">IFERROR(E3520*Eingaben!$B$15,0)</f>
        <v>1.39536</v>
      </c>
      <c r="G3520" s="13" t="n">
        <f aca="false">IFERROR(IF(Kalender!A226="",0,J3519*(1-Eingaben!$B$20)),0)</f>
        <v>1.3674528</v>
      </c>
      <c r="H3520" s="13" t="n">
        <f aca="false">MIN(G3520,D3520)</f>
        <v>0.89</v>
      </c>
      <c r="I3520" s="13" t="n">
        <f aca="false">IFERROR(MIN(F3520*Eingaben!$B$19,MAX(0,D3520-H3520)),0)</f>
        <v>0</v>
      </c>
      <c r="J3520" s="13" t="n">
        <f aca="false">IFERROR(MIN(Eingaben!$B$18,MAX(0,F3520-I3520)),0)</f>
        <v>1.39536</v>
      </c>
      <c r="K3520" s="13" t="n">
        <f aca="false">H3520+I3520</f>
        <v>0.89</v>
      </c>
      <c r="L3520" s="13" t="n">
        <f aca="false">MAX(0,D3520-K3520)</f>
        <v>0</v>
      </c>
      <c r="M3520" s="13" t="n">
        <f aca="false">MAX(0,F3520-I3520-J3520)</f>
        <v>0</v>
      </c>
      <c r="N3520" s="13" t="n">
        <f aca="false">IF(Kalender!A226="",0,J3519-H3520)</f>
        <v>0.50536</v>
      </c>
    </row>
    <row r="3521" customFormat="false" ht="16.4" hidden="false" customHeight="false" outlineLevel="0" collapsed="false">
      <c r="A3521" s="13" t="str">
        <f aca="false">""</f>
        <v/>
      </c>
      <c r="B3521" s="13" t="n">
        <f aca="false">223</f>
        <v>223</v>
      </c>
      <c r="C3521" s="13" t="n">
        <f aca="false">IF(Szenarien!$H$20="OK",(IFERROR(SUMIF(Nutzungsprofile!$B$6:$B$11,"Schulbetrieb",Nutzungsprofile!$G$6:$G$11)*Kalender!C227/SUM(Kalender!$C$5:$C$370),0)+IFERROR(SUMIF(Nutzungsprofile!$B$6:$B$11,"Halle",Nutzungsprofile!$G$6:$G$11)*Kalender!D227/SUM(Kalender!$D$5:$D$370),0)+IFERROR(SUMIF(Nutzungsprofile!$B$6:$B$11,"Individuell",Nutzungsprofile!$G$6:$G$11)*Kalender!E227/SUM(Kalender!$E$5:$E$370),0))*Szenarien!$E$20,0)</f>
        <v>1.632</v>
      </c>
      <c r="D3521" s="13" t="n">
        <f aca="false">IF(Szenarien!$H$20="OK",(IFERROR(SUMIF(Nutzungsprofile!$B$17:$B$22,"Schulbetrieb",Nutzungsprofile!$G$17:$G$22)*Kalender!C227/SUM(Kalender!$C$5:$C$370),0)+IFERROR(SUMIF(Nutzungsprofile!$B$17:$B$22,"Halle",Nutzungsprofile!$G$17:$G$22)*Kalender!D227/SUM(Kalender!$D$5:$D$370),0)+IFERROR(SUMIF(Nutzungsprofile!$B$17:$B$22,"Individuell",Nutzungsprofile!$G$17:$G$22)*Kalender!E227/SUM(Kalender!$E$5:$E$370),0))*Szenarien!$D$20,0)</f>
        <v>0.89</v>
      </c>
      <c r="E3521" s="13" t="n">
        <f aca="false">IFERROR(MIN(C3521,Eingaben!$B$17)*Eingaben!$B$16,0)</f>
        <v>1.5504</v>
      </c>
      <c r="F3521" s="13" t="n">
        <f aca="false">IFERROR(E3521*Eingaben!$B$15,0)</f>
        <v>1.39536</v>
      </c>
      <c r="G3521" s="13" t="n">
        <f aca="false">IFERROR(IF(Kalender!A227="",0,J3520*(1-Eingaben!$B$20)),0)</f>
        <v>1.3674528</v>
      </c>
      <c r="H3521" s="13" t="n">
        <f aca="false">MIN(G3521,D3521)</f>
        <v>0.89</v>
      </c>
      <c r="I3521" s="13" t="n">
        <f aca="false">IFERROR(MIN(F3521*Eingaben!$B$19,MAX(0,D3521-H3521)),0)</f>
        <v>0</v>
      </c>
      <c r="J3521" s="13" t="n">
        <f aca="false">IFERROR(MIN(Eingaben!$B$18,MAX(0,F3521-I3521)),0)</f>
        <v>1.39536</v>
      </c>
      <c r="K3521" s="13" t="n">
        <f aca="false">H3521+I3521</f>
        <v>0.89</v>
      </c>
      <c r="L3521" s="13" t="n">
        <f aca="false">MAX(0,D3521-K3521)</f>
        <v>0</v>
      </c>
      <c r="M3521" s="13" t="n">
        <f aca="false">MAX(0,F3521-I3521-J3521)</f>
        <v>0</v>
      </c>
      <c r="N3521" s="13" t="n">
        <f aca="false">IF(Kalender!A227="",0,J3520-H3521)</f>
        <v>0.50536</v>
      </c>
    </row>
    <row r="3522" customFormat="false" ht="16.4" hidden="false" customHeight="false" outlineLevel="0" collapsed="false">
      <c r="A3522" s="13" t="str">
        <f aca="false">""</f>
        <v/>
      </c>
      <c r="B3522" s="13" t="n">
        <f aca="false">224</f>
        <v>224</v>
      </c>
      <c r="C3522" s="13" t="n">
        <f aca="false">IF(Szenarien!$H$20="OK",(IFERROR(SUMIF(Nutzungsprofile!$B$6:$B$11,"Schulbetrieb",Nutzungsprofile!$G$6:$G$11)*Kalender!C228/SUM(Kalender!$C$5:$C$370),0)+IFERROR(SUMIF(Nutzungsprofile!$B$6:$B$11,"Halle",Nutzungsprofile!$G$6:$G$11)*Kalender!D228/SUM(Kalender!$D$5:$D$370),0)+IFERROR(SUMIF(Nutzungsprofile!$B$6:$B$11,"Individuell",Nutzungsprofile!$G$6:$G$11)*Kalender!E228/SUM(Kalender!$E$5:$E$370),0))*Szenarien!$E$20,0)</f>
        <v>1.632</v>
      </c>
      <c r="D3522" s="13" t="n">
        <f aca="false">IF(Szenarien!$H$20="OK",(IFERROR(SUMIF(Nutzungsprofile!$B$17:$B$22,"Schulbetrieb",Nutzungsprofile!$G$17:$G$22)*Kalender!C228/SUM(Kalender!$C$5:$C$370),0)+IFERROR(SUMIF(Nutzungsprofile!$B$17:$B$22,"Halle",Nutzungsprofile!$G$17:$G$22)*Kalender!D228/SUM(Kalender!$D$5:$D$370),0)+IFERROR(SUMIF(Nutzungsprofile!$B$17:$B$22,"Individuell",Nutzungsprofile!$G$17:$G$22)*Kalender!E228/SUM(Kalender!$E$5:$E$370),0))*Szenarien!$D$20,0)</f>
        <v>0.89</v>
      </c>
      <c r="E3522" s="13" t="n">
        <f aca="false">IFERROR(MIN(C3522,Eingaben!$B$17)*Eingaben!$B$16,0)</f>
        <v>1.5504</v>
      </c>
      <c r="F3522" s="13" t="n">
        <f aca="false">IFERROR(E3522*Eingaben!$B$15,0)</f>
        <v>1.39536</v>
      </c>
      <c r="G3522" s="13" t="n">
        <f aca="false">IFERROR(IF(Kalender!A228="",0,J3521*(1-Eingaben!$B$20)),0)</f>
        <v>1.3674528</v>
      </c>
      <c r="H3522" s="13" t="n">
        <f aca="false">MIN(G3522,D3522)</f>
        <v>0.89</v>
      </c>
      <c r="I3522" s="13" t="n">
        <f aca="false">IFERROR(MIN(F3522*Eingaben!$B$19,MAX(0,D3522-H3522)),0)</f>
        <v>0</v>
      </c>
      <c r="J3522" s="13" t="n">
        <f aca="false">IFERROR(MIN(Eingaben!$B$18,MAX(0,F3522-I3522)),0)</f>
        <v>1.39536</v>
      </c>
      <c r="K3522" s="13" t="n">
        <f aca="false">H3522+I3522</f>
        <v>0.89</v>
      </c>
      <c r="L3522" s="13" t="n">
        <f aca="false">MAX(0,D3522-K3522)</f>
        <v>0</v>
      </c>
      <c r="M3522" s="13" t="n">
        <f aca="false">MAX(0,F3522-I3522-J3522)</f>
        <v>0</v>
      </c>
      <c r="N3522" s="13" t="n">
        <f aca="false">IF(Kalender!A228="",0,J3521-H3522)</f>
        <v>0.50536</v>
      </c>
    </row>
    <row r="3523" customFormat="false" ht="16.4" hidden="false" customHeight="false" outlineLevel="0" collapsed="false">
      <c r="A3523" s="13" t="str">
        <f aca="false">""</f>
        <v/>
      </c>
      <c r="B3523" s="13" t="n">
        <f aca="false">225</f>
        <v>225</v>
      </c>
      <c r="C3523" s="13" t="n">
        <f aca="false">IF(Szenarien!$H$20="OK",(IFERROR(SUMIF(Nutzungsprofile!$B$6:$B$11,"Schulbetrieb",Nutzungsprofile!$G$6:$G$11)*Kalender!C229/SUM(Kalender!$C$5:$C$370),0)+IFERROR(SUMIF(Nutzungsprofile!$B$6:$B$11,"Halle",Nutzungsprofile!$G$6:$G$11)*Kalender!D229/SUM(Kalender!$D$5:$D$370),0)+IFERROR(SUMIF(Nutzungsprofile!$B$6:$B$11,"Individuell",Nutzungsprofile!$G$6:$G$11)*Kalender!E229/SUM(Kalender!$E$5:$E$370),0))*Szenarien!$E$20,0)</f>
        <v>1.632</v>
      </c>
      <c r="D3523" s="13" t="n">
        <f aca="false">IF(Szenarien!$H$20="OK",(IFERROR(SUMIF(Nutzungsprofile!$B$17:$B$22,"Schulbetrieb",Nutzungsprofile!$G$17:$G$22)*Kalender!C229/SUM(Kalender!$C$5:$C$370),0)+IFERROR(SUMIF(Nutzungsprofile!$B$17:$B$22,"Halle",Nutzungsprofile!$G$17:$G$22)*Kalender!D229/SUM(Kalender!$D$5:$D$370),0)+IFERROR(SUMIF(Nutzungsprofile!$B$17:$B$22,"Individuell",Nutzungsprofile!$G$17:$G$22)*Kalender!E229/SUM(Kalender!$E$5:$E$370),0))*Szenarien!$D$20,0)</f>
        <v>0.89</v>
      </c>
      <c r="E3523" s="13" t="n">
        <f aca="false">IFERROR(MIN(C3523,Eingaben!$B$17)*Eingaben!$B$16,0)</f>
        <v>1.5504</v>
      </c>
      <c r="F3523" s="13" t="n">
        <f aca="false">IFERROR(E3523*Eingaben!$B$15,0)</f>
        <v>1.39536</v>
      </c>
      <c r="G3523" s="13" t="n">
        <f aca="false">IFERROR(IF(Kalender!A229="",0,J3522*(1-Eingaben!$B$20)),0)</f>
        <v>1.3674528</v>
      </c>
      <c r="H3523" s="13" t="n">
        <f aca="false">MIN(G3523,D3523)</f>
        <v>0.89</v>
      </c>
      <c r="I3523" s="13" t="n">
        <f aca="false">IFERROR(MIN(F3523*Eingaben!$B$19,MAX(0,D3523-H3523)),0)</f>
        <v>0</v>
      </c>
      <c r="J3523" s="13" t="n">
        <f aca="false">IFERROR(MIN(Eingaben!$B$18,MAX(0,F3523-I3523)),0)</f>
        <v>1.39536</v>
      </c>
      <c r="K3523" s="13" t="n">
        <f aca="false">H3523+I3523</f>
        <v>0.89</v>
      </c>
      <c r="L3523" s="13" t="n">
        <f aca="false">MAX(0,D3523-K3523)</f>
        <v>0</v>
      </c>
      <c r="M3523" s="13" t="n">
        <f aca="false">MAX(0,F3523-I3523-J3523)</f>
        <v>0</v>
      </c>
      <c r="N3523" s="13" t="n">
        <f aca="false">IF(Kalender!A229="",0,J3522-H3523)</f>
        <v>0.50536</v>
      </c>
    </row>
    <row r="3524" customFormat="false" ht="16.4" hidden="false" customHeight="false" outlineLevel="0" collapsed="false">
      <c r="A3524" s="13" t="str">
        <f aca="false">""</f>
        <v/>
      </c>
      <c r="B3524" s="13" t="n">
        <f aca="false">226</f>
        <v>226</v>
      </c>
      <c r="C3524" s="13" t="n">
        <f aca="false">IF(Szenarien!$H$20="OK",(IFERROR(SUMIF(Nutzungsprofile!$B$6:$B$11,"Schulbetrieb",Nutzungsprofile!$G$6:$G$11)*Kalender!C230/SUM(Kalender!$C$5:$C$370),0)+IFERROR(SUMIF(Nutzungsprofile!$B$6:$B$11,"Halle",Nutzungsprofile!$G$6:$G$11)*Kalender!D230/SUM(Kalender!$D$5:$D$370),0)+IFERROR(SUMIF(Nutzungsprofile!$B$6:$B$11,"Individuell",Nutzungsprofile!$G$6:$G$11)*Kalender!E230/SUM(Kalender!$E$5:$E$370),0))*Szenarien!$E$20,0)</f>
        <v>1.632</v>
      </c>
      <c r="D3524" s="13" t="n">
        <f aca="false">IF(Szenarien!$H$20="OK",(IFERROR(SUMIF(Nutzungsprofile!$B$17:$B$22,"Schulbetrieb",Nutzungsprofile!$G$17:$G$22)*Kalender!C230/SUM(Kalender!$C$5:$C$370),0)+IFERROR(SUMIF(Nutzungsprofile!$B$17:$B$22,"Halle",Nutzungsprofile!$G$17:$G$22)*Kalender!D230/SUM(Kalender!$D$5:$D$370),0)+IFERROR(SUMIF(Nutzungsprofile!$B$17:$B$22,"Individuell",Nutzungsprofile!$G$17:$G$22)*Kalender!E230/SUM(Kalender!$E$5:$E$370),0))*Szenarien!$D$20,0)</f>
        <v>0.89</v>
      </c>
      <c r="E3524" s="13" t="n">
        <f aca="false">IFERROR(MIN(C3524,Eingaben!$B$17)*Eingaben!$B$16,0)</f>
        <v>1.5504</v>
      </c>
      <c r="F3524" s="13" t="n">
        <f aca="false">IFERROR(E3524*Eingaben!$B$15,0)</f>
        <v>1.39536</v>
      </c>
      <c r="G3524" s="13" t="n">
        <f aca="false">IFERROR(IF(Kalender!A230="",0,J3523*(1-Eingaben!$B$20)),0)</f>
        <v>1.3674528</v>
      </c>
      <c r="H3524" s="13" t="n">
        <f aca="false">MIN(G3524,D3524)</f>
        <v>0.89</v>
      </c>
      <c r="I3524" s="13" t="n">
        <f aca="false">IFERROR(MIN(F3524*Eingaben!$B$19,MAX(0,D3524-H3524)),0)</f>
        <v>0</v>
      </c>
      <c r="J3524" s="13" t="n">
        <f aca="false">IFERROR(MIN(Eingaben!$B$18,MAX(0,F3524-I3524)),0)</f>
        <v>1.39536</v>
      </c>
      <c r="K3524" s="13" t="n">
        <f aca="false">H3524+I3524</f>
        <v>0.89</v>
      </c>
      <c r="L3524" s="13" t="n">
        <f aca="false">MAX(0,D3524-K3524)</f>
        <v>0</v>
      </c>
      <c r="M3524" s="13" t="n">
        <f aca="false">MAX(0,F3524-I3524-J3524)</f>
        <v>0</v>
      </c>
      <c r="N3524" s="13" t="n">
        <f aca="false">IF(Kalender!A230="",0,J3523-H3524)</f>
        <v>0.50536</v>
      </c>
    </row>
    <row r="3525" customFormat="false" ht="16.4" hidden="false" customHeight="false" outlineLevel="0" collapsed="false">
      <c r="A3525" s="13" t="str">
        <f aca="false">""</f>
        <v/>
      </c>
      <c r="B3525" s="13" t="n">
        <f aca="false">227</f>
        <v>227</v>
      </c>
      <c r="C3525" s="13" t="n">
        <f aca="false">IF(Szenarien!$H$20="OK",(IFERROR(SUMIF(Nutzungsprofile!$B$6:$B$11,"Schulbetrieb",Nutzungsprofile!$G$6:$G$11)*Kalender!C231/SUM(Kalender!$C$5:$C$370),0)+IFERROR(SUMIF(Nutzungsprofile!$B$6:$B$11,"Halle",Nutzungsprofile!$G$6:$G$11)*Kalender!D231/SUM(Kalender!$D$5:$D$370),0)+IFERROR(SUMIF(Nutzungsprofile!$B$6:$B$11,"Individuell",Nutzungsprofile!$G$6:$G$11)*Kalender!E231/SUM(Kalender!$E$5:$E$370),0))*Szenarien!$E$20,0)</f>
        <v>1.632</v>
      </c>
      <c r="D3525" s="13" t="n">
        <f aca="false">IF(Szenarien!$H$20="OK",(IFERROR(SUMIF(Nutzungsprofile!$B$17:$B$22,"Schulbetrieb",Nutzungsprofile!$G$17:$G$22)*Kalender!C231/SUM(Kalender!$C$5:$C$370),0)+IFERROR(SUMIF(Nutzungsprofile!$B$17:$B$22,"Halle",Nutzungsprofile!$G$17:$G$22)*Kalender!D231/SUM(Kalender!$D$5:$D$370),0)+IFERROR(SUMIF(Nutzungsprofile!$B$17:$B$22,"Individuell",Nutzungsprofile!$G$17:$G$22)*Kalender!E231/SUM(Kalender!$E$5:$E$370),0))*Szenarien!$D$20,0)</f>
        <v>0.89</v>
      </c>
      <c r="E3525" s="13" t="n">
        <f aca="false">IFERROR(MIN(C3525,Eingaben!$B$17)*Eingaben!$B$16,0)</f>
        <v>1.5504</v>
      </c>
      <c r="F3525" s="13" t="n">
        <f aca="false">IFERROR(E3525*Eingaben!$B$15,0)</f>
        <v>1.39536</v>
      </c>
      <c r="G3525" s="13" t="n">
        <f aca="false">IFERROR(IF(Kalender!A231="",0,J3524*(1-Eingaben!$B$20)),0)</f>
        <v>1.3674528</v>
      </c>
      <c r="H3525" s="13" t="n">
        <f aca="false">MIN(G3525,D3525)</f>
        <v>0.89</v>
      </c>
      <c r="I3525" s="13" t="n">
        <f aca="false">IFERROR(MIN(F3525*Eingaben!$B$19,MAX(0,D3525-H3525)),0)</f>
        <v>0</v>
      </c>
      <c r="J3525" s="13" t="n">
        <f aca="false">IFERROR(MIN(Eingaben!$B$18,MAX(0,F3525-I3525)),0)</f>
        <v>1.39536</v>
      </c>
      <c r="K3525" s="13" t="n">
        <f aca="false">H3525+I3525</f>
        <v>0.89</v>
      </c>
      <c r="L3525" s="13" t="n">
        <f aca="false">MAX(0,D3525-K3525)</f>
        <v>0</v>
      </c>
      <c r="M3525" s="13" t="n">
        <f aca="false">MAX(0,F3525-I3525-J3525)</f>
        <v>0</v>
      </c>
      <c r="N3525" s="13" t="n">
        <f aca="false">IF(Kalender!A231="",0,J3524-H3525)</f>
        <v>0.50536</v>
      </c>
    </row>
    <row r="3526" customFormat="false" ht="16.4" hidden="false" customHeight="false" outlineLevel="0" collapsed="false">
      <c r="A3526" s="13" t="str">
        <f aca="false">""</f>
        <v/>
      </c>
      <c r="B3526" s="13" t="n">
        <f aca="false">228</f>
        <v>228</v>
      </c>
      <c r="C3526" s="13" t="n">
        <f aca="false">IF(Szenarien!$H$20="OK",(IFERROR(SUMIF(Nutzungsprofile!$B$6:$B$11,"Schulbetrieb",Nutzungsprofile!$G$6:$G$11)*Kalender!C232/SUM(Kalender!$C$5:$C$370),0)+IFERROR(SUMIF(Nutzungsprofile!$B$6:$B$11,"Halle",Nutzungsprofile!$G$6:$G$11)*Kalender!D232/SUM(Kalender!$D$5:$D$370),0)+IFERROR(SUMIF(Nutzungsprofile!$B$6:$B$11,"Individuell",Nutzungsprofile!$G$6:$G$11)*Kalender!E232/SUM(Kalender!$E$5:$E$370),0))*Szenarien!$E$20,0)</f>
        <v>1.632</v>
      </c>
      <c r="D3526" s="13" t="n">
        <f aca="false">IF(Szenarien!$H$20="OK",(IFERROR(SUMIF(Nutzungsprofile!$B$17:$B$22,"Schulbetrieb",Nutzungsprofile!$G$17:$G$22)*Kalender!C232/SUM(Kalender!$C$5:$C$370),0)+IFERROR(SUMIF(Nutzungsprofile!$B$17:$B$22,"Halle",Nutzungsprofile!$G$17:$G$22)*Kalender!D232/SUM(Kalender!$D$5:$D$370),0)+IFERROR(SUMIF(Nutzungsprofile!$B$17:$B$22,"Individuell",Nutzungsprofile!$G$17:$G$22)*Kalender!E232/SUM(Kalender!$E$5:$E$370),0))*Szenarien!$D$20,0)</f>
        <v>0.89</v>
      </c>
      <c r="E3526" s="13" t="n">
        <f aca="false">IFERROR(MIN(C3526,Eingaben!$B$17)*Eingaben!$B$16,0)</f>
        <v>1.5504</v>
      </c>
      <c r="F3526" s="13" t="n">
        <f aca="false">IFERROR(E3526*Eingaben!$B$15,0)</f>
        <v>1.39536</v>
      </c>
      <c r="G3526" s="13" t="n">
        <f aca="false">IFERROR(IF(Kalender!A232="",0,J3525*(1-Eingaben!$B$20)),0)</f>
        <v>1.3674528</v>
      </c>
      <c r="H3526" s="13" t="n">
        <f aca="false">MIN(G3526,D3526)</f>
        <v>0.89</v>
      </c>
      <c r="I3526" s="13" t="n">
        <f aca="false">IFERROR(MIN(F3526*Eingaben!$B$19,MAX(0,D3526-H3526)),0)</f>
        <v>0</v>
      </c>
      <c r="J3526" s="13" t="n">
        <f aca="false">IFERROR(MIN(Eingaben!$B$18,MAX(0,F3526-I3526)),0)</f>
        <v>1.39536</v>
      </c>
      <c r="K3526" s="13" t="n">
        <f aca="false">H3526+I3526</f>
        <v>0.89</v>
      </c>
      <c r="L3526" s="13" t="n">
        <f aca="false">MAX(0,D3526-K3526)</f>
        <v>0</v>
      </c>
      <c r="M3526" s="13" t="n">
        <f aca="false">MAX(0,F3526-I3526-J3526)</f>
        <v>0</v>
      </c>
      <c r="N3526" s="13" t="n">
        <f aca="false">IF(Kalender!A232="",0,J3525-H3526)</f>
        <v>0.50536</v>
      </c>
    </row>
    <row r="3527" customFormat="false" ht="16.4" hidden="false" customHeight="false" outlineLevel="0" collapsed="false">
      <c r="A3527" s="13" t="str">
        <f aca="false">""</f>
        <v/>
      </c>
      <c r="B3527" s="13" t="n">
        <f aca="false">229</f>
        <v>229</v>
      </c>
      <c r="C3527" s="13" t="n">
        <f aca="false">IF(Szenarien!$H$20="OK",(IFERROR(SUMIF(Nutzungsprofile!$B$6:$B$11,"Schulbetrieb",Nutzungsprofile!$G$6:$G$11)*Kalender!C233/SUM(Kalender!$C$5:$C$370),0)+IFERROR(SUMIF(Nutzungsprofile!$B$6:$B$11,"Halle",Nutzungsprofile!$G$6:$G$11)*Kalender!D233/SUM(Kalender!$D$5:$D$370),0)+IFERROR(SUMIF(Nutzungsprofile!$B$6:$B$11,"Individuell",Nutzungsprofile!$G$6:$G$11)*Kalender!E233/SUM(Kalender!$E$5:$E$370),0))*Szenarien!$E$20,0)</f>
        <v>1.632</v>
      </c>
      <c r="D3527" s="13" t="n">
        <f aca="false">IF(Szenarien!$H$20="OK",(IFERROR(SUMIF(Nutzungsprofile!$B$17:$B$22,"Schulbetrieb",Nutzungsprofile!$G$17:$G$22)*Kalender!C233/SUM(Kalender!$C$5:$C$370),0)+IFERROR(SUMIF(Nutzungsprofile!$B$17:$B$22,"Halle",Nutzungsprofile!$G$17:$G$22)*Kalender!D233/SUM(Kalender!$D$5:$D$370),0)+IFERROR(SUMIF(Nutzungsprofile!$B$17:$B$22,"Individuell",Nutzungsprofile!$G$17:$G$22)*Kalender!E233/SUM(Kalender!$E$5:$E$370),0))*Szenarien!$D$20,0)</f>
        <v>0.89</v>
      </c>
      <c r="E3527" s="13" t="n">
        <f aca="false">IFERROR(MIN(C3527,Eingaben!$B$17)*Eingaben!$B$16,0)</f>
        <v>1.5504</v>
      </c>
      <c r="F3527" s="13" t="n">
        <f aca="false">IFERROR(E3527*Eingaben!$B$15,0)</f>
        <v>1.39536</v>
      </c>
      <c r="G3527" s="13" t="n">
        <f aca="false">IFERROR(IF(Kalender!A233="",0,J3526*(1-Eingaben!$B$20)),0)</f>
        <v>1.3674528</v>
      </c>
      <c r="H3527" s="13" t="n">
        <f aca="false">MIN(G3527,D3527)</f>
        <v>0.89</v>
      </c>
      <c r="I3527" s="13" t="n">
        <f aca="false">IFERROR(MIN(F3527*Eingaben!$B$19,MAX(0,D3527-H3527)),0)</f>
        <v>0</v>
      </c>
      <c r="J3527" s="13" t="n">
        <f aca="false">IFERROR(MIN(Eingaben!$B$18,MAX(0,F3527-I3527)),0)</f>
        <v>1.39536</v>
      </c>
      <c r="K3527" s="13" t="n">
        <f aca="false">H3527+I3527</f>
        <v>0.89</v>
      </c>
      <c r="L3527" s="13" t="n">
        <f aca="false">MAX(0,D3527-K3527)</f>
        <v>0</v>
      </c>
      <c r="M3527" s="13" t="n">
        <f aca="false">MAX(0,F3527-I3527-J3527)</f>
        <v>0</v>
      </c>
      <c r="N3527" s="13" t="n">
        <f aca="false">IF(Kalender!A233="",0,J3526-H3527)</f>
        <v>0.50536</v>
      </c>
    </row>
    <row r="3528" customFormat="false" ht="16.4" hidden="false" customHeight="false" outlineLevel="0" collapsed="false">
      <c r="A3528" s="13" t="str">
        <f aca="false">""</f>
        <v/>
      </c>
      <c r="B3528" s="13" t="n">
        <f aca="false">230</f>
        <v>230</v>
      </c>
      <c r="C3528" s="13" t="n">
        <f aca="false">IF(Szenarien!$H$20="OK",(IFERROR(SUMIF(Nutzungsprofile!$B$6:$B$11,"Schulbetrieb",Nutzungsprofile!$G$6:$G$11)*Kalender!C234/SUM(Kalender!$C$5:$C$370),0)+IFERROR(SUMIF(Nutzungsprofile!$B$6:$B$11,"Halle",Nutzungsprofile!$G$6:$G$11)*Kalender!D234/SUM(Kalender!$D$5:$D$370),0)+IFERROR(SUMIF(Nutzungsprofile!$B$6:$B$11,"Individuell",Nutzungsprofile!$G$6:$G$11)*Kalender!E234/SUM(Kalender!$E$5:$E$370),0))*Szenarien!$E$20,0)</f>
        <v>1.632</v>
      </c>
      <c r="D3528" s="13" t="n">
        <f aca="false">IF(Szenarien!$H$20="OK",(IFERROR(SUMIF(Nutzungsprofile!$B$17:$B$22,"Schulbetrieb",Nutzungsprofile!$G$17:$G$22)*Kalender!C234/SUM(Kalender!$C$5:$C$370),0)+IFERROR(SUMIF(Nutzungsprofile!$B$17:$B$22,"Halle",Nutzungsprofile!$G$17:$G$22)*Kalender!D234/SUM(Kalender!$D$5:$D$370),0)+IFERROR(SUMIF(Nutzungsprofile!$B$17:$B$22,"Individuell",Nutzungsprofile!$G$17:$G$22)*Kalender!E234/SUM(Kalender!$E$5:$E$370),0))*Szenarien!$D$20,0)</f>
        <v>0.89</v>
      </c>
      <c r="E3528" s="13" t="n">
        <f aca="false">IFERROR(MIN(C3528,Eingaben!$B$17)*Eingaben!$B$16,0)</f>
        <v>1.5504</v>
      </c>
      <c r="F3528" s="13" t="n">
        <f aca="false">IFERROR(E3528*Eingaben!$B$15,0)</f>
        <v>1.39536</v>
      </c>
      <c r="G3528" s="13" t="n">
        <f aca="false">IFERROR(IF(Kalender!A234="",0,J3527*(1-Eingaben!$B$20)),0)</f>
        <v>1.3674528</v>
      </c>
      <c r="H3528" s="13" t="n">
        <f aca="false">MIN(G3528,D3528)</f>
        <v>0.89</v>
      </c>
      <c r="I3528" s="13" t="n">
        <f aca="false">IFERROR(MIN(F3528*Eingaben!$B$19,MAX(0,D3528-H3528)),0)</f>
        <v>0</v>
      </c>
      <c r="J3528" s="13" t="n">
        <f aca="false">IFERROR(MIN(Eingaben!$B$18,MAX(0,F3528-I3528)),0)</f>
        <v>1.39536</v>
      </c>
      <c r="K3528" s="13" t="n">
        <f aca="false">H3528+I3528</f>
        <v>0.89</v>
      </c>
      <c r="L3528" s="13" t="n">
        <f aca="false">MAX(0,D3528-K3528)</f>
        <v>0</v>
      </c>
      <c r="M3528" s="13" t="n">
        <f aca="false">MAX(0,F3528-I3528-J3528)</f>
        <v>0</v>
      </c>
      <c r="N3528" s="13" t="n">
        <f aca="false">IF(Kalender!A234="",0,J3527-H3528)</f>
        <v>0.50536</v>
      </c>
    </row>
    <row r="3529" customFormat="false" ht="16.4" hidden="false" customHeight="false" outlineLevel="0" collapsed="false">
      <c r="A3529" s="13" t="str">
        <f aca="false">""</f>
        <v/>
      </c>
      <c r="B3529" s="13" t="n">
        <f aca="false">231</f>
        <v>231</v>
      </c>
      <c r="C3529" s="13" t="n">
        <f aca="false">IF(Szenarien!$H$20="OK",(IFERROR(SUMIF(Nutzungsprofile!$B$6:$B$11,"Schulbetrieb",Nutzungsprofile!$G$6:$G$11)*Kalender!C235/SUM(Kalender!$C$5:$C$370),0)+IFERROR(SUMIF(Nutzungsprofile!$B$6:$B$11,"Halle",Nutzungsprofile!$G$6:$G$11)*Kalender!D235/SUM(Kalender!$D$5:$D$370),0)+IFERROR(SUMIF(Nutzungsprofile!$B$6:$B$11,"Individuell",Nutzungsprofile!$G$6:$G$11)*Kalender!E235/SUM(Kalender!$E$5:$E$370),0))*Szenarien!$E$20,0)</f>
        <v>1.632</v>
      </c>
      <c r="D3529" s="13" t="n">
        <f aca="false">IF(Szenarien!$H$20="OK",(IFERROR(SUMIF(Nutzungsprofile!$B$17:$B$22,"Schulbetrieb",Nutzungsprofile!$G$17:$G$22)*Kalender!C235/SUM(Kalender!$C$5:$C$370),0)+IFERROR(SUMIF(Nutzungsprofile!$B$17:$B$22,"Halle",Nutzungsprofile!$G$17:$G$22)*Kalender!D235/SUM(Kalender!$D$5:$D$370),0)+IFERROR(SUMIF(Nutzungsprofile!$B$17:$B$22,"Individuell",Nutzungsprofile!$G$17:$G$22)*Kalender!E235/SUM(Kalender!$E$5:$E$370),0))*Szenarien!$D$20,0)</f>
        <v>0.89</v>
      </c>
      <c r="E3529" s="13" t="n">
        <f aca="false">IFERROR(MIN(C3529,Eingaben!$B$17)*Eingaben!$B$16,0)</f>
        <v>1.5504</v>
      </c>
      <c r="F3529" s="13" t="n">
        <f aca="false">IFERROR(E3529*Eingaben!$B$15,0)</f>
        <v>1.39536</v>
      </c>
      <c r="G3529" s="13" t="n">
        <f aca="false">IFERROR(IF(Kalender!A235="",0,J3528*(1-Eingaben!$B$20)),0)</f>
        <v>1.3674528</v>
      </c>
      <c r="H3529" s="13" t="n">
        <f aca="false">MIN(G3529,D3529)</f>
        <v>0.89</v>
      </c>
      <c r="I3529" s="13" t="n">
        <f aca="false">IFERROR(MIN(F3529*Eingaben!$B$19,MAX(0,D3529-H3529)),0)</f>
        <v>0</v>
      </c>
      <c r="J3529" s="13" t="n">
        <f aca="false">IFERROR(MIN(Eingaben!$B$18,MAX(0,F3529-I3529)),0)</f>
        <v>1.39536</v>
      </c>
      <c r="K3529" s="13" t="n">
        <f aca="false">H3529+I3529</f>
        <v>0.89</v>
      </c>
      <c r="L3529" s="13" t="n">
        <f aca="false">MAX(0,D3529-K3529)</f>
        <v>0</v>
      </c>
      <c r="M3529" s="13" t="n">
        <f aca="false">MAX(0,F3529-I3529-J3529)</f>
        <v>0</v>
      </c>
      <c r="N3529" s="13" t="n">
        <f aca="false">IF(Kalender!A235="",0,J3528-H3529)</f>
        <v>0.50536</v>
      </c>
    </row>
    <row r="3530" customFormat="false" ht="16.4" hidden="false" customHeight="false" outlineLevel="0" collapsed="false">
      <c r="A3530" s="13" t="str">
        <f aca="false">""</f>
        <v/>
      </c>
      <c r="B3530" s="13" t="n">
        <f aca="false">232</f>
        <v>232</v>
      </c>
      <c r="C3530" s="13" t="n">
        <f aca="false">IF(Szenarien!$H$20="OK",(IFERROR(SUMIF(Nutzungsprofile!$B$6:$B$11,"Schulbetrieb",Nutzungsprofile!$G$6:$G$11)*Kalender!C236/SUM(Kalender!$C$5:$C$370),0)+IFERROR(SUMIF(Nutzungsprofile!$B$6:$B$11,"Halle",Nutzungsprofile!$G$6:$G$11)*Kalender!D236/SUM(Kalender!$D$5:$D$370),0)+IFERROR(SUMIF(Nutzungsprofile!$B$6:$B$11,"Individuell",Nutzungsprofile!$G$6:$G$11)*Kalender!E236/SUM(Kalender!$E$5:$E$370),0))*Szenarien!$E$20,0)</f>
        <v>1.632</v>
      </c>
      <c r="D3530" s="13" t="n">
        <f aca="false">IF(Szenarien!$H$20="OK",(IFERROR(SUMIF(Nutzungsprofile!$B$17:$B$22,"Schulbetrieb",Nutzungsprofile!$G$17:$G$22)*Kalender!C236/SUM(Kalender!$C$5:$C$370),0)+IFERROR(SUMIF(Nutzungsprofile!$B$17:$B$22,"Halle",Nutzungsprofile!$G$17:$G$22)*Kalender!D236/SUM(Kalender!$D$5:$D$370),0)+IFERROR(SUMIF(Nutzungsprofile!$B$17:$B$22,"Individuell",Nutzungsprofile!$G$17:$G$22)*Kalender!E236/SUM(Kalender!$E$5:$E$370),0))*Szenarien!$D$20,0)</f>
        <v>0.89</v>
      </c>
      <c r="E3530" s="13" t="n">
        <f aca="false">IFERROR(MIN(C3530,Eingaben!$B$17)*Eingaben!$B$16,0)</f>
        <v>1.5504</v>
      </c>
      <c r="F3530" s="13" t="n">
        <f aca="false">IFERROR(E3530*Eingaben!$B$15,0)</f>
        <v>1.39536</v>
      </c>
      <c r="G3530" s="13" t="n">
        <f aca="false">IFERROR(IF(Kalender!A236="",0,J3529*(1-Eingaben!$B$20)),0)</f>
        <v>1.3674528</v>
      </c>
      <c r="H3530" s="13" t="n">
        <f aca="false">MIN(G3530,D3530)</f>
        <v>0.89</v>
      </c>
      <c r="I3530" s="13" t="n">
        <f aca="false">IFERROR(MIN(F3530*Eingaben!$B$19,MAX(0,D3530-H3530)),0)</f>
        <v>0</v>
      </c>
      <c r="J3530" s="13" t="n">
        <f aca="false">IFERROR(MIN(Eingaben!$B$18,MAX(0,F3530-I3530)),0)</f>
        <v>1.39536</v>
      </c>
      <c r="K3530" s="13" t="n">
        <f aca="false">H3530+I3530</f>
        <v>0.89</v>
      </c>
      <c r="L3530" s="13" t="n">
        <f aca="false">MAX(0,D3530-K3530)</f>
        <v>0</v>
      </c>
      <c r="M3530" s="13" t="n">
        <f aca="false">MAX(0,F3530-I3530-J3530)</f>
        <v>0</v>
      </c>
      <c r="N3530" s="13" t="n">
        <f aca="false">IF(Kalender!A236="",0,J3529-H3530)</f>
        <v>0.50536</v>
      </c>
    </row>
    <row r="3531" customFormat="false" ht="16.4" hidden="false" customHeight="false" outlineLevel="0" collapsed="false">
      <c r="A3531" s="13" t="str">
        <f aca="false">""</f>
        <v/>
      </c>
      <c r="B3531" s="13" t="n">
        <f aca="false">233</f>
        <v>233</v>
      </c>
      <c r="C3531" s="13" t="n">
        <f aca="false">IF(Szenarien!$H$20="OK",(IFERROR(SUMIF(Nutzungsprofile!$B$6:$B$11,"Schulbetrieb",Nutzungsprofile!$G$6:$G$11)*Kalender!C237/SUM(Kalender!$C$5:$C$370),0)+IFERROR(SUMIF(Nutzungsprofile!$B$6:$B$11,"Halle",Nutzungsprofile!$G$6:$G$11)*Kalender!D237/SUM(Kalender!$D$5:$D$370),0)+IFERROR(SUMIF(Nutzungsprofile!$B$6:$B$11,"Individuell",Nutzungsprofile!$G$6:$G$11)*Kalender!E237/SUM(Kalender!$E$5:$E$370),0))*Szenarien!$E$20,0)</f>
        <v>1.632</v>
      </c>
      <c r="D3531" s="13" t="n">
        <f aca="false">IF(Szenarien!$H$20="OK",(IFERROR(SUMIF(Nutzungsprofile!$B$17:$B$22,"Schulbetrieb",Nutzungsprofile!$G$17:$G$22)*Kalender!C237/SUM(Kalender!$C$5:$C$370),0)+IFERROR(SUMIF(Nutzungsprofile!$B$17:$B$22,"Halle",Nutzungsprofile!$G$17:$G$22)*Kalender!D237/SUM(Kalender!$D$5:$D$370),0)+IFERROR(SUMIF(Nutzungsprofile!$B$17:$B$22,"Individuell",Nutzungsprofile!$G$17:$G$22)*Kalender!E237/SUM(Kalender!$E$5:$E$370),0))*Szenarien!$D$20,0)</f>
        <v>0.89</v>
      </c>
      <c r="E3531" s="13" t="n">
        <f aca="false">IFERROR(MIN(C3531,Eingaben!$B$17)*Eingaben!$B$16,0)</f>
        <v>1.5504</v>
      </c>
      <c r="F3531" s="13" t="n">
        <f aca="false">IFERROR(E3531*Eingaben!$B$15,0)</f>
        <v>1.39536</v>
      </c>
      <c r="G3531" s="13" t="n">
        <f aca="false">IFERROR(IF(Kalender!A237="",0,J3530*(1-Eingaben!$B$20)),0)</f>
        <v>1.3674528</v>
      </c>
      <c r="H3531" s="13" t="n">
        <f aca="false">MIN(G3531,D3531)</f>
        <v>0.89</v>
      </c>
      <c r="I3531" s="13" t="n">
        <f aca="false">IFERROR(MIN(F3531*Eingaben!$B$19,MAX(0,D3531-H3531)),0)</f>
        <v>0</v>
      </c>
      <c r="J3531" s="13" t="n">
        <f aca="false">IFERROR(MIN(Eingaben!$B$18,MAX(0,F3531-I3531)),0)</f>
        <v>1.39536</v>
      </c>
      <c r="K3531" s="13" t="n">
        <f aca="false">H3531+I3531</f>
        <v>0.89</v>
      </c>
      <c r="L3531" s="13" t="n">
        <f aca="false">MAX(0,D3531-K3531)</f>
        <v>0</v>
      </c>
      <c r="M3531" s="13" t="n">
        <f aca="false">MAX(0,F3531-I3531-J3531)</f>
        <v>0</v>
      </c>
      <c r="N3531" s="13" t="n">
        <f aca="false">IF(Kalender!A237="",0,J3530-H3531)</f>
        <v>0.50536</v>
      </c>
    </row>
    <row r="3532" customFormat="false" ht="16.4" hidden="false" customHeight="false" outlineLevel="0" collapsed="false">
      <c r="A3532" s="13" t="str">
        <f aca="false">""</f>
        <v/>
      </c>
      <c r="B3532" s="13" t="n">
        <f aca="false">234</f>
        <v>234</v>
      </c>
      <c r="C3532" s="13" t="n">
        <f aca="false">IF(Szenarien!$H$20="OK",(IFERROR(SUMIF(Nutzungsprofile!$B$6:$B$11,"Schulbetrieb",Nutzungsprofile!$G$6:$G$11)*Kalender!C238/SUM(Kalender!$C$5:$C$370),0)+IFERROR(SUMIF(Nutzungsprofile!$B$6:$B$11,"Halle",Nutzungsprofile!$G$6:$G$11)*Kalender!D238/SUM(Kalender!$D$5:$D$370),0)+IFERROR(SUMIF(Nutzungsprofile!$B$6:$B$11,"Individuell",Nutzungsprofile!$G$6:$G$11)*Kalender!E238/SUM(Kalender!$E$5:$E$370),0))*Szenarien!$E$20,0)</f>
        <v>1.632</v>
      </c>
      <c r="D3532" s="13" t="n">
        <f aca="false">IF(Szenarien!$H$20="OK",(IFERROR(SUMIF(Nutzungsprofile!$B$17:$B$22,"Schulbetrieb",Nutzungsprofile!$G$17:$G$22)*Kalender!C238/SUM(Kalender!$C$5:$C$370),0)+IFERROR(SUMIF(Nutzungsprofile!$B$17:$B$22,"Halle",Nutzungsprofile!$G$17:$G$22)*Kalender!D238/SUM(Kalender!$D$5:$D$370),0)+IFERROR(SUMIF(Nutzungsprofile!$B$17:$B$22,"Individuell",Nutzungsprofile!$G$17:$G$22)*Kalender!E238/SUM(Kalender!$E$5:$E$370),0))*Szenarien!$D$20,0)</f>
        <v>0.89</v>
      </c>
      <c r="E3532" s="13" t="n">
        <f aca="false">IFERROR(MIN(C3532,Eingaben!$B$17)*Eingaben!$B$16,0)</f>
        <v>1.5504</v>
      </c>
      <c r="F3532" s="13" t="n">
        <f aca="false">IFERROR(E3532*Eingaben!$B$15,0)</f>
        <v>1.39536</v>
      </c>
      <c r="G3532" s="13" t="n">
        <f aca="false">IFERROR(IF(Kalender!A238="",0,J3531*(1-Eingaben!$B$20)),0)</f>
        <v>1.3674528</v>
      </c>
      <c r="H3532" s="13" t="n">
        <f aca="false">MIN(G3532,D3532)</f>
        <v>0.89</v>
      </c>
      <c r="I3532" s="13" t="n">
        <f aca="false">IFERROR(MIN(F3532*Eingaben!$B$19,MAX(0,D3532-H3532)),0)</f>
        <v>0</v>
      </c>
      <c r="J3532" s="13" t="n">
        <f aca="false">IFERROR(MIN(Eingaben!$B$18,MAX(0,F3532-I3532)),0)</f>
        <v>1.39536</v>
      </c>
      <c r="K3532" s="13" t="n">
        <f aca="false">H3532+I3532</f>
        <v>0.89</v>
      </c>
      <c r="L3532" s="13" t="n">
        <f aca="false">MAX(0,D3532-K3532)</f>
        <v>0</v>
      </c>
      <c r="M3532" s="13" t="n">
        <f aca="false">MAX(0,F3532-I3532-J3532)</f>
        <v>0</v>
      </c>
      <c r="N3532" s="13" t="n">
        <f aca="false">IF(Kalender!A238="",0,J3531-H3532)</f>
        <v>0.50536</v>
      </c>
    </row>
    <row r="3533" customFormat="false" ht="16.4" hidden="false" customHeight="false" outlineLevel="0" collapsed="false">
      <c r="A3533" s="13" t="str">
        <f aca="false">""</f>
        <v/>
      </c>
      <c r="B3533" s="13" t="n">
        <f aca="false">235</f>
        <v>235</v>
      </c>
      <c r="C3533" s="13" t="n">
        <f aca="false">IF(Szenarien!$H$20="OK",(IFERROR(SUMIF(Nutzungsprofile!$B$6:$B$11,"Schulbetrieb",Nutzungsprofile!$G$6:$G$11)*Kalender!C239/SUM(Kalender!$C$5:$C$370),0)+IFERROR(SUMIF(Nutzungsprofile!$B$6:$B$11,"Halle",Nutzungsprofile!$G$6:$G$11)*Kalender!D239/SUM(Kalender!$D$5:$D$370),0)+IFERROR(SUMIF(Nutzungsprofile!$B$6:$B$11,"Individuell",Nutzungsprofile!$G$6:$G$11)*Kalender!E239/SUM(Kalender!$E$5:$E$370),0))*Szenarien!$E$20,0)</f>
        <v>1.632</v>
      </c>
      <c r="D3533" s="13" t="n">
        <f aca="false">IF(Szenarien!$H$20="OK",(IFERROR(SUMIF(Nutzungsprofile!$B$17:$B$22,"Schulbetrieb",Nutzungsprofile!$G$17:$G$22)*Kalender!C239/SUM(Kalender!$C$5:$C$370),0)+IFERROR(SUMIF(Nutzungsprofile!$B$17:$B$22,"Halle",Nutzungsprofile!$G$17:$G$22)*Kalender!D239/SUM(Kalender!$D$5:$D$370),0)+IFERROR(SUMIF(Nutzungsprofile!$B$17:$B$22,"Individuell",Nutzungsprofile!$G$17:$G$22)*Kalender!E239/SUM(Kalender!$E$5:$E$370),0))*Szenarien!$D$20,0)</f>
        <v>0.89</v>
      </c>
      <c r="E3533" s="13" t="n">
        <f aca="false">IFERROR(MIN(C3533,Eingaben!$B$17)*Eingaben!$B$16,0)</f>
        <v>1.5504</v>
      </c>
      <c r="F3533" s="13" t="n">
        <f aca="false">IFERROR(E3533*Eingaben!$B$15,0)</f>
        <v>1.39536</v>
      </c>
      <c r="G3533" s="13" t="n">
        <f aca="false">IFERROR(IF(Kalender!A239="",0,J3532*(1-Eingaben!$B$20)),0)</f>
        <v>1.3674528</v>
      </c>
      <c r="H3533" s="13" t="n">
        <f aca="false">MIN(G3533,D3533)</f>
        <v>0.89</v>
      </c>
      <c r="I3533" s="13" t="n">
        <f aca="false">IFERROR(MIN(F3533*Eingaben!$B$19,MAX(0,D3533-H3533)),0)</f>
        <v>0</v>
      </c>
      <c r="J3533" s="13" t="n">
        <f aca="false">IFERROR(MIN(Eingaben!$B$18,MAX(0,F3533-I3533)),0)</f>
        <v>1.39536</v>
      </c>
      <c r="K3533" s="13" t="n">
        <f aca="false">H3533+I3533</f>
        <v>0.89</v>
      </c>
      <c r="L3533" s="13" t="n">
        <f aca="false">MAX(0,D3533-K3533)</f>
        <v>0</v>
      </c>
      <c r="M3533" s="13" t="n">
        <f aca="false">MAX(0,F3533-I3533-J3533)</f>
        <v>0</v>
      </c>
      <c r="N3533" s="13" t="n">
        <f aca="false">IF(Kalender!A239="",0,J3532-H3533)</f>
        <v>0.50536</v>
      </c>
    </row>
    <row r="3534" customFormat="false" ht="16.4" hidden="false" customHeight="false" outlineLevel="0" collapsed="false">
      <c r="A3534" s="13" t="str">
        <f aca="false">""</f>
        <v/>
      </c>
      <c r="B3534" s="13" t="n">
        <f aca="false">236</f>
        <v>236</v>
      </c>
      <c r="C3534" s="13" t="n">
        <f aca="false">IF(Szenarien!$H$20="OK",(IFERROR(SUMIF(Nutzungsprofile!$B$6:$B$11,"Schulbetrieb",Nutzungsprofile!$G$6:$G$11)*Kalender!C240/SUM(Kalender!$C$5:$C$370),0)+IFERROR(SUMIF(Nutzungsprofile!$B$6:$B$11,"Halle",Nutzungsprofile!$G$6:$G$11)*Kalender!D240/SUM(Kalender!$D$5:$D$370),0)+IFERROR(SUMIF(Nutzungsprofile!$B$6:$B$11,"Individuell",Nutzungsprofile!$G$6:$G$11)*Kalender!E240/SUM(Kalender!$E$5:$E$370),0))*Szenarien!$E$20,0)</f>
        <v>1.632</v>
      </c>
      <c r="D3534" s="13" t="n">
        <f aca="false">IF(Szenarien!$H$20="OK",(IFERROR(SUMIF(Nutzungsprofile!$B$17:$B$22,"Schulbetrieb",Nutzungsprofile!$G$17:$G$22)*Kalender!C240/SUM(Kalender!$C$5:$C$370),0)+IFERROR(SUMIF(Nutzungsprofile!$B$17:$B$22,"Halle",Nutzungsprofile!$G$17:$G$22)*Kalender!D240/SUM(Kalender!$D$5:$D$370),0)+IFERROR(SUMIF(Nutzungsprofile!$B$17:$B$22,"Individuell",Nutzungsprofile!$G$17:$G$22)*Kalender!E240/SUM(Kalender!$E$5:$E$370),0))*Szenarien!$D$20,0)</f>
        <v>0.89</v>
      </c>
      <c r="E3534" s="13" t="n">
        <f aca="false">IFERROR(MIN(C3534,Eingaben!$B$17)*Eingaben!$B$16,0)</f>
        <v>1.5504</v>
      </c>
      <c r="F3534" s="13" t="n">
        <f aca="false">IFERROR(E3534*Eingaben!$B$15,0)</f>
        <v>1.39536</v>
      </c>
      <c r="G3534" s="13" t="n">
        <f aca="false">IFERROR(IF(Kalender!A240="",0,J3533*(1-Eingaben!$B$20)),0)</f>
        <v>1.3674528</v>
      </c>
      <c r="H3534" s="13" t="n">
        <f aca="false">MIN(G3534,D3534)</f>
        <v>0.89</v>
      </c>
      <c r="I3534" s="13" t="n">
        <f aca="false">IFERROR(MIN(F3534*Eingaben!$B$19,MAX(0,D3534-H3534)),0)</f>
        <v>0</v>
      </c>
      <c r="J3534" s="13" t="n">
        <f aca="false">IFERROR(MIN(Eingaben!$B$18,MAX(0,F3534-I3534)),0)</f>
        <v>1.39536</v>
      </c>
      <c r="K3534" s="13" t="n">
        <f aca="false">H3534+I3534</f>
        <v>0.89</v>
      </c>
      <c r="L3534" s="13" t="n">
        <f aca="false">MAX(0,D3534-K3534)</f>
        <v>0</v>
      </c>
      <c r="M3534" s="13" t="n">
        <f aca="false">MAX(0,F3534-I3534-J3534)</f>
        <v>0</v>
      </c>
      <c r="N3534" s="13" t="n">
        <f aca="false">IF(Kalender!A240="",0,J3533-H3534)</f>
        <v>0.50536</v>
      </c>
    </row>
    <row r="3535" customFormat="false" ht="16.4" hidden="false" customHeight="false" outlineLevel="0" collapsed="false">
      <c r="A3535" s="13" t="str">
        <f aca="false">""</f>
        <v/>
      </c>
      <c r="B3535" s="13" t="n">
        <f aca="false">237</f>
        <v>237</v>
      </c>
      <c r="C3535" s="13" t="n">
        <f aca="false">IF(Szenarien!$H$20="OK",(IFERROR(SUMIF(Nutzungsprofile!$B$6:$B$11,"Schulbetrieb",Nutzungsprofile!$G$6:$G$11)*Kalender!C241/SUM(Kalender!$C$5:$C$370),0)+IFERROR(SUMIF(Nutzungsprofile!$B$6:$B$11,"Halle",Nutzungsprofile!$G$6:$G$11)*Kalender!D241/SUM(Kalender!$D$5:$D$370),0)+IFERROR(SUMIF(Nutzungsprofile!$B$6:$B$11,"Individuell",Nutzungsprofile!$G$6:$G$11)*Kalender!E241/SUM(Kalender!$E$5:$E$370),0))*Szenarien!$E$20,0)</f>
        <v>1.632</v>
      </c>
      <c r="D3535" s="13" t="n">
        <f aca="false">IF(Szenarien!$H$20="OK",(IFERROR(SUMIF(Nutzungsprofile!$B$17:$B$22,"Schulbetrieb",Nutzungsprofile!$G$17:$G$22)*Kalender!C241/SUM(Kalender!$C$5:$C$370),0)+IFERROR(SUMIF(Nutzungsprofile!$B$17:$B$22,"Halle",Nutzungsprofile!$G$17:$G$22)*Kalender!D241/SUM(Kalender!$D$5:$D$370),0)+IFERROR(SUMIF(Nutzungsprofile!$B$17:$B$22,"Individuell",Nutzungsprofile!$G$17:$G$22)*Kalender!E241/SUM(Kalender!$E$5:$E$370),0))*Szenarien!$D$20,0)</f>
        <v>0.89</v>
      </c>
      <c r="E3535" s="13" t="n">
        <f aca="false">IFERROR(MIN(C3535,Eingaben!$B$17)*Eingaben!$B$16,0)</f>
        <v>1.5504</v>
      </c>
      <c r="F3535" s="13" t="n">
        <f aca="false">IFERROR(E3535*Eingaben!$B$15,0)</f>
        <v>1.39536</v>
      </c>
      <c r="G3535" s="13" t="n">
        <f aca="false">IFERROR(IF(Kalender!A241="",0,J3534*(1-Eingaben!$B$20)),0)</f>
        <v>1.3674528</v>
      </c>
      <c r="H3535" s="13" t="n">
        <f aca="false">MIN(G3535,D3535)</f>
        <v>0.89</v>
      </c>
      <c r="I3535" s="13" t="n">
        <f aca="false">IFERROR(MIN(F3535*Eingaben!$B$19,MAX(0,D3535-H3535)),0)</f>
        <v>0</v>
      </c>
      <c r="J3535" s="13" t="n">
        <f aca="false">IFERROR(MIN(Eingaben!$B$18,MAX(0,F3535-I3535)),0)</f>
        <v>1.39536</v>
      </c>
      <c r="K3535" s="13" t="n">
        <f aca="false">H3535+I3535</f>
        <v>0.89</v>
      </c>
      <c r="L3535" s="13" t="n">
        <f aca="false">MAX(0,D3535-K3535)</f>
        <v>0</v>
      </c>
      <c r="M3535" s="13" t="n">
        <f aca="false">MAX(0,F3535-I3535-J3535)</f>
        <v>0</v>
      </c>
      <c r="N3535" s="13" t="n">
        <f aca="false">IF(Kalender!A241="",0,J3534-H3535)</f>
        <v>0.50536</v>
      </c>
    </row>
    <row r="3536" customFormat="false" ht="16.4" hidden="false" customHeight="false" outlineLevel="0" collapsed="false">
      <c r="A3536" s="13" t="str">
        <f aca="false">""</f>
        <v/>
      </c>
      <c r="B3536" s="13" t="n">
        <f aca="false">238</f>
        <v>238</v>
      </c>
      <c r="C3536" s="13" t="n">
        <f aca="false">IF(Szenarien!$H$20="OK",(IFERROR(SUMIF(Nutzungsprofile!$B$6:$B$11,"Schulbetrieb",Nutzungsprofile!$G$6:$G$11)*Kalender!C242/SUM(Kalender!$C$5:$C$370),0)+IFERROR(SUMIF(Nutzungsprofile!$B$6:$B$11,"Halle",Nutzungsprofile!$G$6:$G$11)*Kalender!D242/SUM(Kalender!$D$5:$D$370),0)+IFERROR(SUMIF(Nutzungsprofile!$B$6:$B$11,"Individuell",Nutzungsprofile!$G$6:$G$11)*Kalender!E242/SUM(Kalender!$E$5:$E$370),0))*Szenarien!$E$20,0)</f>
        <v>1.632</v>
      </c>
      <c r="D3536" s="13" t="n">
        <f aca="false">IF(Szenarien!$H$20="OK",(IFERROR(SUMIF(Nutzungsprofile!$B$17:$B$22,"Schulbetrieb",Nutzungsprofile!$G$17:$G$22)*Kalender!C242/SUM(Kalender!$C$5:$C$370),0)+IFERROR(SUMIF(Nutzungsprofile!$B$17:$B$22,"Halle",Nutzungsprofile!$G$17:$G$22)*Kalender!D242/SUM(Kalender!$D$5:$D$370),0)+IFERROR(SUMIF(Nutzungsprofile!$B$17:$B$22,"Individuell",Nutzungsprofile!$G$17:$G$22)*Kalender!E242/SUM(Kalender!$E$5:$E$370),0))*Szenarien!$D$20,0)</f>
        <v>0.89</v>
      </c>
      <c r="E3536" s="13" t="n">
        <f aca="false">IFERROR(MIN(C3536,Eingaben!$B$17)*Eingaben!$B$16,0)</f>
        <v>1.5504</v>
      </c>
      <c r="F3536" s="13" t="n">
        <f aca="false">IFERROR(E3536*Eingaben!$B$15,0)</f>
        <v>1.39536</v>
      </c>
      <c r="G3536" s="13" t="n">
        <f aca="false">IFERROR(IF(Kalender!A242="",0,J3535*(1-Eingaben!$B$20)),0)</f>
        <v>1.3674528</v>
      </c>
      <c r="H3536" s="13" t="n">
        <f aca="false">MIN(G3536,D3536)</f>
        <v>0.89</v>
      </c>
      <c r="I3536" s="13" t="n">
        <f aca="false">IFERROR(MIN(F3536*Eingaben!$B$19,MAX(0,D3536-H3536)),0)</f>
        <v>0</v>
      </c>
      <c r="J3536" s="13" t="n">
        <f aca="false">IFERROR(MIN(Eingaben!$B$18,MAX(0,F3536-I3536)),0)</f>
        <v>1.39536</v>
      </c>
      <c r="K3536" s="13" t="n">
        <f aca="false">H3536+I3536</f>
        <v>0.89</v>
      </c>
      <c r="L3536" s="13" t="n">
        <f aca="false">MAX(0,D3536-K3536)</f>
        <v>0</v>
      </c>
      <c r="M3536" s="13" t="n">
        <f aca="false">MAX(0,F3536-I3536-J3536)</f>
        <v>0</v>
      </c>
      <c r="N3536" s="13" t="n">
        <f aca="false">IF(Kalender!A242="",0,J3535-H3536)</f>
        <v>0.50536</v>
      </c>
    </row>
    <row r="3537" customFormat="false" ht="16.4" hidden="false" customHeight="false" outlineLevel="0" collapsed="false">
      <c r="A3537" s="13" t="str">
        <f aca="false">""</f>
        <v/>
      </c>
      <c r="B3537" s="13" t="n">
        <f aca="false">239</f>
        <v>239</v>
      </c>
      <c r="C3537" s="13" t="n">
        <f aca="false">IF(Szenarien!$H$20="OK",(IFERROR(SUMIF(Nutzungsprofile!$B$6:$B$11,"Schulbetrieb",Nutzungsprofile!$G$6:$G$11)*Kalender!C243/SUM(Kalender!$C$5:$C$370),0)+IFERROR(SUMIF(Nutzungsprofile!$B$6:$B$11,"Halle",Nutzungsprofile!$G$6:$G$11)*Kalender!D243/SUM(Kalender!$D$5:$D$370),0)+IFERROR(SUMIF(Nutzungsprofile!$B$6:$B$11,"Individuell",Nutzungsprofile!$G$6:$G$11)*Kalender!E243/SUM(Kalender!$E$5:$E$370),0))*Szenarien!$E$20,0)</f>
        <v>1.632</v>
      </c>
      <c r="D3537" s="13" t="n">
        <f aca="false">IF(Szenarien!$H$20="OK",(IFERROR(SUMIF(Nutzungsprofile!$B$17:$B$22,"Schulbetrieb",Nutzungsprofile!$G$17:$G$22)*Kalender!C243/SUM(Kalender!$C$5:$C$370),0)+IFERROR(SUMIF(Nutzungsprofile!$B$17:$B$22,"Halle",Nutzungsprofile!$G$17:$G$22)*Kalender!D243/SUM(Kalender!$D$5:$D$370),0)+IFERROR(SUMIF(Nutzungsprofile!$B$17:$B$22,"Individuell",Nutzungsprofile!$G$17:$G$22)*Kalender!E243/SUM(Kalender!$E$5:$E$370),0))*Szenarien!$D$20,0)</f>
        <v>0.89</v>
      </c>
      <c r="E3537" s="13" t="n">
        <f aca="false">IFERROR(MIN(C3537,Eingaben!$B$17)*Eingaben!$B$16,0)</f>
        <v>1.5504</v>
      </c>
      <c r="F3537" s="13" t="n">
        <f aca="false">IFERROR(E3537*Eingaben!$B$15,0)</f>
        <v>1.39536</v>
      </c>
      <c r="G3537" s="13" t="n">
        <f aca="false">IFERROR(IF(Kalender!A243="",0,J3536*(1-Eingaben!$B$20)),0)</f>
        <v>1.3674528</v>
      </c>
      <c r="H3537" s="13" t="n">
        <f aca="false">MIN(G3537,D3537)</f>
        <v>0.89</v>
      </c>
      <c r="I3537" s="13" t="n">
        <f aca="false">IFERROR(MIN(F3537*Eingaben!$B$19,MAX(0,D3537-H3537)),0)</f>
        <v>0</v>
      </c>
      <c r="J3537" s="13" t="n">
        <f aca="false">IFERROR(MIN(Eingaben!$B$18,MAX(0,F3537-I3537)),0)</f>
        <v>1.39536</v>
      </c>
      <c r="K3537" s="13" t="n">
        <f aca="false">H3537+I3537</f>
        <v>0.89</v>
      </c>
      <c r="L3537" s="13" t="n">
        <f aca="false">MAX(0,D3537-K3537)</f>
        <v>0</v>
      </c>
      <c r="M3537" s="13" t="n">
        <f aca="false">MAX(0,F3537-I3537-J3537)</f>
        <v>0</v>
      </c>
      <c r="N3537" s="13" t="n">
        <f aca="false">IF(Kalender!A243="",0,J3536-H3537)</f>
        <v>0.50536</v>
      </c>
    </row>
    <row r="3538" customFormat="false" ht="16.4" hidden="false" customHeight="false" outlineLevel="0" collapsed="false">
      <c r="A3538" s="13" t="str">
        <f aca="false">""</f>
        <v/>
      </c>
      <c r="B3538" s="13" t="n">
        <f aca="false">240</f>
        <v>240</v>
      </c>
      <c r="C3538" s="13" t="n">
        <f aca="false">IF(Szenarien!$H$20="OK",(IFERROR(SUMIF(Nutzungsprofile!$B$6:$B$11,"Schulbetrieb",Nutzungsprofile!$G$6:$G$11)*Kalender!C244/SUM(Kalender!$C$5:$C$370),0)+IFERROR(SUMIF(Nutzungsprofile!$B$6:$B$11,"Halle",Nutzungsprofile!$G$6:$G$11)*Kalender!D244/SUM(Kalender!$D$5:$D$370),0)+IFERROR(SUMIF(Nutzungsprofile!$B$6:$B$11,"Individuell",Nutzungsprofile!$G$6:$G$11)*Kalender!E244/SUM(Kalender!$E$5:$E$370),0))*Szenarien!$E$20,0)</f>
        <v>1.632</v>
      </c>
      <c r="D3538" s="13" t="n">
        <f aca="false">IF(Szenarien!$H$20="OK",(IFERROR(SUMIF(Nutzungsprofile!$B$17:$B$22,"Schulbetrieb",Nutzungsprofile!$G$17:$G$22)*Kalender!C244/SUM(Kalender!$C$5:$C$370),0)+IFERROR(SUMIF(Nutzungsprofile!$B$17:$B$22,"Halle",Nutzungsprofile!$G$17:$G$22)*Kalender!D244/SUM(Kalender!$D$5:$D$370),0)+IFERROR(SUMIF(Nutzungsprofile!$B$17:$B$22,"Individuell",Nutzungsprofile!$G$17:$G$22)*Kalender!E244/SUM(Kalender!$E$5:$E$370),0))*Szenarien!$D$20,0)</f>
        <v>0.89</v>
      </c>
      <c r="E3538" s="13" t="n">
        <f aca="false">IFERROR(MIN(C3538,Eingaben!$B$17)*Eingaben!$B$16,0)</f>
        <v>1.5504</v>
      </c>
      <c r="F3538" s="13" t="n">
        <f aca="false">IFERROR(E3538*Eingaben!$B$15,0)</f>
        <v>1.39536</v>
      </c>
      <c r="G3538" s="13" t="n">
        <f aca="false">IFERROR(IF(Kalender!A244="",0,J3537*(1-Eingaben!$B$20)),0)</f>
        <v>1.3674528</v>
      </c>
      <c r="H3538" s="13" t="n">
        <f aca="false">MIN(G3538,D3538)</f>
        <v>0.89</v>
      </c>
      <c r="I3538" s="13" t="n">
        <f aca="false">IFERROR(MIN(F3538*Eingaben!$B$19,MAX(0,D3538-H3538)),0)</f>
        <v>0</v>
      </c>
      <c r="J3538" s="13" t="n">
        <f aca="false">IFERROR(MIN(Eingaben!$B$18,MAX(0,F3538-I3538)),0)</f>
        <v>1.39536</v>
      </c>
      <c r="K3538" s="13" t="n">
        <f aca="false">H3538+I3538</f>
        <v>0.89</v>
      </c>
      <c r="L3538" s="13" t="n">
        <f aca="false">MAX(0,D3538-K3538)</f>
        <v>0</v>
      </c>
      <c r="M3538" s="13" t="n">
        <f aca="false">MAX(0,F3538-I3538-J3538)</f>
        <v>0</v>
      </c>
      <c r="N3538" s="13" t="n">
        <f aca="false">IF(Kalender!A244="",0,J3537-H3538)</f>
        <v>0.50536</v>
      </c>
    </row>
    <row r="3539" customFormat="false" ht="16.4" hidden="false" customHeight="false" outlineLevel="0" collapsed="false">
      <c r="A3539" s="13" t="str">
        <f aca="false">""</f>
        <v/>
      </c>
      <c r="B3539" s="13" t="n">
        <f aca="false">241</f>
        <v>241</v>
      </c>
      <c r="C3539" s="13" t="n">
        <f aca="false">IF(Szenarien!$H$20="OK",(IFERROR(SUMIF(Nutzungsprofile!$B$6:$B$11,"Schulbetrieb",Nutzungsprofile!$G$6:$G$11)*Kalender!C245/SUM(Kalender!$C$5:$C$370),0)+IFERROR(SUMIF(Nutzungsprofile!$B$6:$B$11,"Halle",Nutzungsprofile!$G$6:$G$11)*Kalender!D245/SUM(Kalender!$D$5:$D$370),0)+IFERROR(SUMIF(Nutzungsprofile!$B$6:$B$11,"Individuell",Nutzungsprofile!$G$6:$G$11)*Kalender!E245/SUM(Kalender!$E$5:$E$370),0))*Szenarien!$E$20,0)</f>
        <v>1.632</v>
      </c>
      <c r="D3539" s="13" t="n">
        <f aca="false">IF(Szenarien!$H$20="OK",(IFERROR(SUMIF(Nutzungsprofile!$B$17:$B$22,"Schulbetrieb",Nutzungsprofile!$G$17:$G$22)*Kalender!C245/SUM(Kalender!$C$5:$C$370),0)+IFERROR(SUMIF(Nutzungsprofile!$B$17:$B$22,"Halle",Nutzungsprofile!$G$17:$G$22)*Kalender!D245/SUM(Kalender!$D$5:$D$370),0)+IFERROR(SUMIF(Nutzungsprofile!$B$17:$B$22,"Individuell",Nutzungsprofile!$G$17:$G$22)*Kalender!E245/SUM(Kalender!$E$5:$E$370),0))*Szenarien!$D$20,0)</f>
        <v>0.89</v>
      </c>
      <c r="E3539" s="13" t="n">
        <f aca="false">IFERROR(MIN(C3539,Eingaben!$B$17)*Eingaben!$B$16,0)</f>
        <v>1.5504</v>
      </c>
      <c r="F3539" s="13" t="n">
        <f aca="false">IFERROR(E3539*Eingaben!$B$15,0)</f>
        <v>1.39536</v>
      </c>
      <c r="G3539" s="13" t="n">
        <f aca="false">IFERROR(IF(Kalender!A245="",0,J3538*(1-Eingaben!$B$20)),0)</f>
        <v>1.3674528</v>
      </c>
      <c r="H3539" s="13" t="n">
        <f aca="false">MIN(G3539,D3539)</f>
        <v>0.89</v>
      </c>
      <c r="I3539" s="13" t="n">
        <f aca="false">IFERROR(MIN(F3539*Eingaben!$B$19,MAX(0,D3539-H3539)),0)</f>
        <v>0</v>
      </c>
      <c r="J3539" s="13" t="n">
        <f aca="false">IFERROR(MIN(Eingaben!$B$18,MAX(0,F3539-I3539)),0)</f>
        <v>1.39536</v>
      </c>
      <c r="K3539" s="13" t="n">
        <f aca="false">H3539+I3539</f>
        <v>0.89</v>
      </c>
      <c r="L3539" s="13" t="n">
        <f aca="false">MAX(0,D3539-K3539)</f>
        <v>0</v>
      </c>
      <c r="M3539" s="13" t="n">
        <f aca="false">MAX(0,F3539-I3539-J3539)</f>
        <v>0</v>
      </c>
      <c r="N3539" s="13" t="n">
        <f aca="false">IF(Kalender!A245="",0,J3538-H3539)</f>
        <v>0.50536</v>
      </c>
    </row>
    <row r="3540" customFormat="false" ht="16.4" hidden="false" customHeight="false" outlineLevel="0" collapsed="false">
      <c r="A3540" s="13" t="str">
        <f aca="false">""</f>
        <v/>
      </c>
      <c r="B3540" s="13" t="n">
        <f aca="false">242</f>
        <v>242</v>
      </c>
      <c r="C3540" s="13" t="n">
        <f aca="false">IF(Szenarien!$H$20="OK",(IFERROR(SUMIF(Nutzungsprofile!$B$6:$B$11,"Schulbetrieb",Nutzungsprofile!$G$6:$G$11)*Kalender!C246/SUM(Kalender!$C$5:$C$370),0)+IFERROR(SUMIF(Nutzungsprofile!$B$6:$B$11,"Halle",Nutzungsprofile!$G$6:$G$11)*Kalender!D246/SUM(Kalender!$D$5:$D$370),0)+IFERROR(SUMIF(Nutzungsprofile!$B$6:$B$11,"Individuell",Nutzungsprofile!$G$6:$G$11)*Kalender!E246/SUM(Kalender!$E$5:$E$370),0))*Szenarien!$E$20,0)</f>
        <v>1.632</v>
      </c>
      <c r="D3540" s="13" t="n">
        <f aca="false">IF(Szenarien!$H$20="OK",(IFERROR(SUMIF(Nutzungsprofile!$B$17:$B$22,"Schulbetrieb",Nutzungsprofile!$G$17:$G$22)*Kalender!C246/SUM(Kalender!$C$5:$C$370),0)+IFERROR(SUMIF(Nutzungsprofile!$B$17:$B$22,"Halle",Nutzungsprofile!$G$17:$G$22)*Kalender!D246/SUM(Kalender!$D$5:$D$370),0)+IFERROR(SUMIF(Nutzungsprofile!$B$17:$B$22,"Individuell",Nutzungsprofile!$G$17:$G$22)*Kalender!E246/SUM(Kalender!$E$5:$E$370),0))*Szenarien!$D$20,0)</f>
        <v>0.89</v>
      </c>
      <c r="E3540" s="13" t="n">
        <f aca="false">IFERROR(MIN(C3540,Eingaben!$B$17)*Eingaben!$B$16,0)</f>
        <v>1.5504</v>
      </c>
      <c r="F3540" s="13" t="n">
        <f aca="false">IFERROR(E3540*Eingaben!$B$15,0)</f>
        <v>1.39536</v>
      </c>
      <c r="G3540" s="13" t="n">
        <f aca="false">IFERROR(IF(Kalender!A246="",0,J3539*(1-Eingaben!$B$20)),0)</f>
        <v>1.3674528</v>
      </c>
      <c r="H3540" s="13" t="n">
        <f aca="false">MIN(G3540,D3540)</f>
        <v>0.89</v>
      </c>
      <c r="I3540" s="13" t="n">
        <f aca="false">IFERROR(MIN(F3540*Eingaben!$B$19,MAX(0,D3540-H3540)),0)</f>
        <v>0</v>
      </c>
      <c r="J3540" s="13" t="n">
        <f aca="false">IFERROR(MIN(Eingaben!$B$18,MAX(0,F3540-I3540)),0)</f>
        <v>1.39536</v>
      </c>
      <c r="K3540" s="13" t="n">
        <f aca="false">H3540+I3540</f>
        <v>0.89</v>
      </c>
      <c r="L3540" s="13" t="n">
        <f aca="false">MAX(0,D3540-K3540)</f>
        <v>0</v>
      </c>
      <c r="M3540" s="13" t="n">
        <f aca="false">MAX(0,F3540-I3540-J3540)</f>
        <v>0</v>
      </c>
      <c r="N3540" s="13" t="n">
        <f aca="false">IF(Kalender!A246="",0,J3539-H3540)</f>
        <v>0.50536</v>
      </c>
    </row>
    <row r="3541" customFormat="false" ht="16.4" hidden="false" customHeight="false" outlineLevel="0" collapsed="false">
      <c r="A3541" s="13" t="str">
        <f aca="false">""</f>
        <v/>
      </c>
      <c r="B3541" s="13" t="n">
        <f aca="false">243</f>
        <v>243</v>
      </c>
      <c r="C3541" s="13" t="n">
        <f aca="false">IF(Szenarien!$H$20="OK",(IFERROR(SUMIF(Nutzungsprofile!$B$6:$B$11,"Schulbetrieb",Nutzungsprofile!$G$6:$G$11)*Kalender!C247/SUM(Kalender!$C$5:$C$370),0)+IFERROR(SUMIF(Nutzungsprofile!$B$6:$B$11,"Halle",Nutzungsprofile!$G$6:$G$11)*Kalender!D247/SUM(Kalender!$D$5:$D$370),0)+IFERROR(SUMIF(Nutzungsprofile!$B$6:$B$11,"Individuell",Nutzungsprofile!$G$6:$G$11)*Kalender!E247/SUM(Kalender!$E$5:$E$370),0))*Szenarien!$E$20,0)</f>
        <v>1.632</v>
      </c>
      <c r="D3541" s="13" t="n">
        <f aca="false">IF(Szenarien!$H$20="OK",(IFERROR(SUMIF(Nutzungsprofile!$B$17:$B$22,"Schulbetrieb",Nutzungsprofile!$G$17:$G$22)*Kalender!C247/SUM(Kalender!$C$5:$C$370),0)+IFERROR(SUMIF(Nutzungsprofile!$B$17:$B$22,"Halle",Nutzungsprofile!$G$17:$G$22)*Kalender!D247/SUM(Kalender!$D$5:$D$370),0)+IFERROR(SUMIF(Nutzungsprofile!$B$17:$B$22,"Individuell",Nutzungsprofile!$G$17:$G$22)*Kalender!E247/SUM(Kalender!$E$5:$E$370),0))*Szenarien!$D$20,0)</f>
        <v>0.89</v>
      </c>
      <c r="E3541" s="13" t="n">
        <f aca="false">IFERROR(MIN(C3541,Eingaben!$B$17)*Eingaben!$B$16,0)</f>
        <v>1.5504</v>
      </c>
      <c r="F3541" s="13" t="n">
        <f aca="false">IFERROR(E3541*Eingaben!$B$15,0)</f>
        <v>1.39536</v>
      </c>
      <c r="G3541" s="13" t="n">
        <f aca="false">IFERROR(IF(Kalender!A247="",0,J3540*(1-Eingaben!$B$20)),0)</f>
        <v>1.3674528</v>
      </c>
      <c r="H3541" s="13" t="n">
        <f aca="false">MIN(G3541,D3541)</f>
        <v>0.89</v>
      </c>
      <c r="I3541" s="13" t="n">
        <f aca="false">IFERROR(MIN(F3541*Eingaben!$B$19,MAX(0,D3541-H3541)),0)</f>
        <v>0</v>
      </c>
      <c r="J3541" s="13" t="n">
        <f aca="false">IFERROR(MIN(Eingaben!$B$18,MAX(0,F3541-I3541)),0)</f>
        <v>1.39536</v>
      </c>
      <c r="K3541" s="13" t="n">
        <f aca="false">H3541+I3541</f>
        <v>0.89</v>
      </c>
      <c r="L3541" s="13" t="n">
        <f aca="false">MAX(0,D3541-K3541)</f>
        <v>0</v>
      </c>
      <c r="M3541" s="13" t="n">
        <f aca="false">MAX(0,F3541-I3541-J3541)</f>
        <v>0</v>
      </c>
      <c r="N3541" s="13" t="n">
        <f aca="false">IF(Kalender!A247="",0,J3540-H3541)</f>
        <v>0.50536</v>
      </c>
    </row>
    <row r="3542" customFormat="false" ht="16.4" hidden="false" customHeight="false" outlineLevel="0" collapsed="false">
      <c r="A3542" s="13" t="str">
        <f aca="false">""</f>
        <v/>
      </c>
      <c r="B3542" s="13" t="n">
        <f aca="false">244</f>
        <v>244</v>
      </c>
      <c r="C3542" s="13" t="n">
        <f aca="false">IF(Szenarien!$H$20="OK",(IFERROR(SUMIF(Nutzungsprofile!$B$6:$B$11,"Schulbetrieb",Nutzungsprofile!$G$6:$G$11)*Kalender!C248/SUM(Kalender!$C$5:$C$370),0)+IFERROR(SUMIF(Nutzungsprofile!$B$6:$B$11,"Halle",Nutzungsprofile!$G$6:$G$11)*Kalender!D248/SUM(Kalender!$D$5:$D$370),0)+IFERROR(SUMIF(Nutzungsprofile!$B$6:$B$11,"Individuell",Nutzungsprofile!$G$6:$G$11)*Kalender!E248/SUM(Kalender!$E$5:$E$370),0))*Szenarien!$E$20,0)</f>
        <v>2.352</v>
      </c>
      <c r="D3542" s="13" t="n">
        <f aca="false">IF(Szenarien!$H$20="OK",(IFERROR(SUMIF(Nutzungsprofile!$B$17:$B$22,"Schulbetrieb",Nutzungsprofile!$G$17:$G$22)*Kalender!C248/SUM(Kalender!$C$5:$C$370),0)+IFERROR(SUMIF(Nutzungsprofile!$B$17:$B$22,"Halle",Nutzungsprofile!$G$17:$G$22)*Kalender!D248/SUM(Kalender!$D$5:$D$370),0)+IFERROR(SUMIF(Nutzungsprofile!$B$17:$B$22,"Individuell",Nutzungsprofile!$G$17:$G$22)*Kalender!E248/SUM(Kalender!$E$5:$E$370),0))*Szenarien!$D$20,0)</f>
        <v>4.94</v>
      </c>
      <c r="E3542" s="13" t="n">
        <f aca="false">IFERROR(MIN(C3542,Eingaben!$B$17)*Eingaben!$B$16,0)</f>
        <v>2.2344</v>
      </c>
      <c r="F3542" s="13" t="n">
        <f aca="false">IFERROR(E3542*Eingaben!$B$15,0)</f>
        <v>2.01096</v>
      </c>
      <c r="G3542" s="13" t="n">
        <f aca="false">IFERROR(IF(Kalender!A248="",0,J3541*(1-Eingaben!$B$20)),0)</f>
        <v>1.3674528</v>
      </c>
      <c r="H3542" s="13" t="n">
        <f aca="false">MIN(G3542,D3542)</f>
        <v>1.3674528</v>
      </c>
      <c r="I3542" s="13" t="n">
        <f aca="false">IFERROR(MIN(F3542*Eingaben!$B$19,MAX(0,D3542-H3542)),0)</f>
        <v>1.407672</v>
      </c>
      <c r="J3542" s="13" t="n">
        <f aca="false">IFERROR(MIN(Eingaben!$B$18,MAX(0,F3542-I3542)),0)</f>
        <v>0.603288</v>
      </c>
      <c r="K3542" s="13" t="n">
        <f aca="false">H3542+I3542</f>
        <v>2.7751248</v>
      </c>
      <c r="L3542" s="13" t="n">
        <f aca="false">MAX(0,D3542-K3542)</f>
        <v>2.1648752</v>
      </c>
      <c r="M3542" s="13" t="n">
        <f aca="false">MAX(0,F3542-I3542-J3542)</f>
        <v>0</v>
      </c>
      <c r="N3542" s="13" t="n">
        <f aca="false">IF(Kalender!A248="",0,J3541-H3542)</f>
        <v>0.0279072</v>
      </c>
    </row>
    <row r="3543" customFormat="false" ht="16.4" hidden="false" customHeight="false" outlineLevel="0" collapsed="false">
      <c r="A3543" s="13" t="str">
        <f aca="false">""</f>
        <v/>
      </c>
      <c r="B3543" s="13" t="n">
        <f aca="false">245</f>
        <v>245</v>
      </c>
      <c r="C3543" s="13" t="n">
        <f aca="false">IF(Szenarien!$H$20="OK",(IFERROR(SUMIF(Nutzungsprofile!$B$6:$B$11,"Schulbetrieb",Nutzungsprofile!$G$6:$G$11)*Kalender!C249/SUM(Kalender!$C$5:$C$370),0)+IFERROR(SUMIF(Nutzungsprofile!$B$6:$B$11,"Halle",Nutzungsprofile!$G$6:$G$11)*Kalender!D249/SUM(Kalender!$D$5:$D$370),0)+IFERROR(SUMIF(Nutzungsprofile!$B$6:$B$11,"Individuell",Nutzungsprofile!$G$6:$G$11)*Kalender!E249/SUM(Kalender!$E$5:$E$370),0))*Szenarien!$E$20,0)</f>
        <v>2.352</v>
      </c>
      <c r="D3543" s="13" t="n">
        <f aca="false">IF(Szenarien!$H$20="OK",(IFERROR(SUMIF(Nutzungsprofile!$B$17:$B$22,"Schulbetrieb",Nutzungsprofile!$G$17:$G$22)*Kalender!C249/SUM(Kalender!$C$5:$C$370),0)+IFERROR(SUMIF(Nutzungsprofile!$B$17:$B$22,"Halle",Nutzungsprofile!$G$17:$G$22)*Kalender!D249/SUM(Kalender!$D$5:$D$370),0)+IFERROR(SUMIF(Nutzungsprofile!$B$17:$B$22,"Individuell",Nutzungsprofile!$G$17:$G$22)*Kalender!E249/SUM(Kalender!$E$5:$E$370),0))*Szenarien!$D$20,0)</f>
        <v>4.94</v>
      </c>
      <c r="E3543" s="13" t="n">
        <f aca="false">IFERROR(MIN(C3543,Eingaben!$B$17)*Eingaben!$B$16,0)</f>
        <v>2.2344</v>
      </c>
      <c r="F3543" s="13" t="n">
        <f aca="false">IFERROR(E3543*Eingaben!$B$15,0)</f>
        <v>2.01096</v>
      </c>
      <c r="G3543" s="13" t="n">
        <f aca="false">IFERROR(IF(Kalender!A249="",0,J3542*(1-Eingaben!$B$20)),0)</f>
        <v>0.59122224</v>
      </c>
      <c r="H3543" s="13" t="n">
        <f aca="false">MIN(G3543,D3543)</f>
        <v>0.59122224</v>
      </c>
      <c r="I3543" s="13" t="n">
        <f aca="false">IFERROR(MIN(F3543*Eingaben!$B$19,MAX(0,D3543-H3543)),0)</f>
        <v>1.407672</v>
      </c>
      <c r="J3543" s="13" t="n">
        <f aca="false">IFERROR(MIN(Eingaben!$B$18,MAX(0,F3543-I3543)),0)</f>
        <v>0.603288</v>
      </c>
      <c r="K3543" s="13" t="n">
        <f aca="false">H3543+I3543</f>
        <v>1.99889424</v>
      </c>
      <c r="L3543" s="13" t="n">
        <f aca="false">MAX(0,D3543-K3543)</f>
        <v>2.94110576</v>
      </c>
      <c r="M3543" s="13" t="n">
        <f aca="false">MAX(0,F3543-I3543-J3543)</f>
        <v>0</v>
      </c>
      <c r="N3543" s="13" t="n">
        <f aca="false">IF(Kalender!A249="",0,J3542-H3543)</f>
        <v>0.01206576</v>
      </c>
    </row>
    <row r="3544" customFormat="false" ht="16.4" hidden="false" customHeight="false" outlineLevel="0" collapsed="false">
      <c r="A3544" s="13" t="str">
        <f aca="false">""</f>
        <v/>
      </c>
      <c r="B3544" s="13" t="n">
        <f aca="false">246</f>
        <v>246</v>
      </c>
      <c r="C3544" s="13" t="n">
        <f aca="false">IF(Szenarien!$H$20="OK",(IFERROR(SUMIF(Nutzungsprofile!$B$6:$B$11,"Schulbetrieb",Nutzungsprofile!$G$6:$G$11)*Kalender!C250/SUM(Kalender!$C$5:$C$370),0)+IFERROR(SUMIF(Nutzungsprofile!$B$6:$B$11,"Halle",Nutzungsprofile!$G$6:$G$11)*Kalender!D250/SUM(Kalender!$D$5:$D$370),0)+IFERROR(SUMIF(Nutzungsprofile!$B$6:$B$11,"Individuell",Nutzungsprofile!$G$6:$G$11)*Kalender!E250/SUM(Kalender!$E$5:$E$370),0))*Szenarien!$E$20,0)</f>
        <v>2.352</v>
      </c>
      <c r="D3544" s="13" t="n">
        <f aca="false">IF(Szenarien!$H$20="OK",(IFERROR(SUMIF(Nutzungsprofile!$B$17:$B$22,"Schulbetrieb",Nutzungsprofile!$G$17:$G$22)*Kalender!C250/SUM(Kalender!$C$5:$C$370),0)+IFERROR(SUMIF(Nutzungsprofile!$B$17:$B$22,"Halle",Nutzungsprofile!$G$17:$G$22)*Kalender!D250/SUM(Kalender!$D$5:$D$370),0)+IFERROR(SUMIF(Nutzungsprofile!$B$17:$B$22,"Individuell",Nutzungsprofile!$G$17:$G$22)*Kalender!E250/SUM(Kalender!$E$5:$E$370),0))*Szenarien!$D$20,0)</f>
        <v>4.94</v>
      </c>
      <c r="E3544" s="13" t="n">
        <f aca="false">IFERROR(MIN(C3544,Eingaben!$B$17)*Eingaben!$B$16,0)</f>
        <v>2.2344</v>
      </c>
      <c r="F3544" s="13" t="n">
        <f aca="false">IFERROR(E3544*Eingaben!$B$15,0)</f>
        <v>2.01096</v>
      </c>
      <c r="G3544" s="13" t="n">
        <f aca="false">IFERROR(IF(Kalender!A250="",0,J3543*(1-Eingaben!$B$20)),0)</f>
        <v>0.59122224</v>
      </c>
      <c r="H3544" s="13" t="n">
        <f aca="false">MIN(G3544,D3544)</f>
        <v>0.59122224</v>
      </c>
      <c r="I3544" s="13" t="n">
        <f aca="false">IFERROR(MIN(F3544*Eingaben!$B$19,MAX(0,D3544-H3544)),0)</f>
        <v>1.407672</v>
      </c>
      <c r="J3544" s="13" t="n">
        <f aca="false">IFERROR(MIN(Eingaben!$B$18,MAX(0,F3544-I3544)),0)</f>
        <v>0.603288</v>
      </c>
      <c r="K3544" s="13" t="n">
        <f aca="false">H3544+I3544</f>
        <v>1.99889424</v>
      </c>
      <c r="L3544" s="13" t="n">
        <f aca="false">MAX(0,D3544-K3544)</f>
        <v>2.94110576</v>
      </c>
      <c r="M3544" s="13" t="n">
        <f aca="false">MAX(0,F3544-I3544-J3544)</f>
        <v>0</v>
      </c>
      <c r="N3544" s="13" t="n">
        <f aca="false">IF(Kalender!A250="",0,J3543-H3544)</f>
        <v>0.01206576</v>
      </c>
    </row>
    <row r="3545" customFormat="false" ht="16.4" hidden="false" customHeight="false" outlineLevel="0" collapsed="false">
      <c r="A3545" s="13" t="str">
        <f aca="false">""</f>
        <v/>
      </c>
      <c r="B3545" s="13" t="n">
        <f aca="false">247</f>
        <v>247</v>
      </c>
      <c r="C3545" s="13" t="n">
        <f aca="false">IF(Szenarien!$H$20="OK",(IFERROR(SUMIF(Nutzungsprofile!$B$6:$B$11,"Schulbetrieb",Nutzungsprofile!$G$6:$G$11)*Kalender!C251/SUM(Kalender!$C$5:$C$370),0)+IFERROR(SUMIF(Nutzungsprofile!$B$6:$B$11,"Halle",Nutzungsprofile!$G$6:$G$11)*Kalender!D251/SUM(Kalender!$D$5:$D$370),0)+IFERROR(SUMIF(Nutzungsprofile!$B$6:$B$11,"Individuell",Nutzungsprofile!$G$6:$G$11)*Kalender!E251/SUM(Kalender!$E$5:$E$370),0))*Szenarien!$E$20,0)</f>
        <v>2.352</v>
      </c>
      <c r="D3545" s="13" t="n">
        <f aca="false">IF(Szenarien!$H$20="OK",(IFERROR(SUMIF(Nutzungsprofile!$B$17:$B$22,"Schulbetrieb",Nutzungsprofile!$G$17:$G$22)*Kalender!C251/SUM(Kalender!$C$5:$C$370),0)+IFERROR(SUMIF(Nutzungsprofile!$B$17:$B$22,"Halle",Nutzungsprofile!$G$17:$G$22)*Kalender!D251/SUM(Kalender!$D$5:$D$370),0)+IFERROR(SUMIF(Nutzungsprofile!$B$17:$B$22,"Individuell",Nutzungsprofile!$G$17:$G$22)*Kalender!E251/SUM(Kalender!$E$5:$E$370),0))*Szenarien!$D$20,0)</f>
        <v>4.94</v>
      </c>
      <c r="E3545" s="13" t="n">
        <f aca="false">IFERROR(MIN(C3545,Eingaben!$B$17)*Eingaben!$B$16,0)</f>
        <v>2.2344</v>
      </c>
      <c r="F3545" s="13" t="n">
        <f aca="false">IFERROR(E3545*Eingaben!$B$15,0)</f>
        <v>2.01096</v>
      </c>
      <c r="G3545" s="13" t="n">
        <f aca="false">IFERROR(IF(Kalender!A251="",0,J3544*(1-Eingaben!$B$20)),0)</f>
        <v>0.59122224</v>
      </c>
      <c r="H3545" s="13" t="n">
        <f aca="false">MIN(G3545,D3545)</f>
        <v>0.59122224</v>
      </c>
      <c r="I3545" s="13" t="n">
        <f aca="false">IFERROR(MIN(F3545*Eingaben!$B$19,MAX(0,D3545-H3545)),0)</f>
        <v>1.407672</v>
      </c>
      <c r="J3545" s="13" t="n">
        <f aca="false">IFERROR(MIN(Eingaben!$B$18,MAX(0,F3545-I3545)),0)</f>
        <v>0.603288</v>
      </c>
      <c r="K3545" s="13" t="n">
        <f aca="false">H3545+I3545</f>
        <v>1.99889424</v>
      </c>
      <c r="L3545" s="13" t="n">
        <f aca="false">MAX(0,D3545-K3545)</f>
        <v>2.94110576</v>
      </c>
      <c r="M3545" s="13" t="n">
        <f aca="false">MAX(0,F3545-I3545-J3545)</f>
        <v>0</v>
      </c>
      <c r="N3545" s="13" t="n">
        <f aca="false">IF(Kalender!A251="",0,J3544-H3545)</f>
        <v>0.01206576</v>
      </c>
    </row>
    <row r="3546" customFormat="false" ht="16.4" hidden="false" customHeight="false" outlineLevel="0" collapsed="false">
      <c r="A3546" s="13" t="str">
        <f aca="false">""</f>
        <v/>
      </c>
      <c r="B3546" s="13" t="n">
        <f aca="false">248</f>
        <v>248</v>
      </c>
      <c r="C3546" s="13" t="n">
        <f aca="false">IF(Szenarien!$H$20="OK",(IFERROR(SUMIF(Nutzungsprofile!$B$6:$B$11,"Schulbetrieb",Nutzungsprofile!$G$6:$G$11)*Kalender!C252/SUM(Kalender!$C$5:$C$370),0)+IFERROR(SUMIF(Nutzungsprofile!$B$6:$B$11,"Halle",Nutzungsprofile!$G$6:$G$11)*Kalender!D252/SUM(Kalender!$D$5:$D$370),0)+IFERROR(SUMIF(Nutzungsprofile!$B$6:$B$11,"Individuell",Nutzungsprofile!$G$6:$G$11)*Kalender!E252/SUM(Kalender!$E$5:$E$370),0))*Szenarien!$E$20,0)</f>
        <v>1.632</v>
      </c>
      <c r="D3546" s="13" t="n">
        <f aca="false">IF(Szenarien!$H$20="OK",(IFERROR(SUMIF(Nutzungsprofile!$B$17:$B$22,"Schulbetrieb",Nutzungsprofile!$G$17:$G$22)*Kalender!C252/SUM(Kalender!$C$5:$C$370),0)+IFERROR(SUMIF(Nutzungsprofile!$B$17:$B$22,"Halle",Nutzungsprofile!$G$17:$G$22)*Kalender!D252/SUM(Kalender!$D$5:$D$370),0)+IFERROR(SUMIF(Nutzungsprofile!$B$17:$B$22,"Individuell",Nutzungsprofile!$G$17:$G$22)*Kalender!E252/SUM(Kalender!$E$5:$E$370),0))*Szenarien!$D$20,0)</f>
        <v>0.89</v>
      </c>
      <c r="E3546" s="13" t="n">
        <f aca="false">IFERROR(MIN(C3546,Eingaben!$B$17)*Eingaben!$B$16,0)</f>
        <v>1.5504</v>
      </c>
      <c r="F3546" s="13" t="n">
        <f aca="false">IFERROR(E3546*Eingaben!$B$15,0)</f>
        <v>1.39536</v>
      </c>
      <c r="G3546" s="13" t="n">
        <f aca="false">IFERROR(IF(Kalender!A252="",0,J3545*(1-Eingaben!$B$20)),0)</f>
        <v>0.59122224</v>
      </c>
      <c r="H3546" s="13" t="n">
        <f aca="false">MIN(G3546,D3546)</f>
        <v>0.59122224</v>
      </c>
      <c r="I3546" s="13" t="n">
        <f aca="false">IFERROR(MIN(F3546*Eingaben!$B$19,MAX(0,D3546-H3546)),0)</f>
        <v>0.29877776</v>
      </c>
      <c r="J3546" s="13" t="n">
        <f aca="false">IFERROR(MIN(Eingaben!$B$18,MAX(0,F3546-I3546)),0)</f>
        <v>1.09658224</v>
      </c>
      <c r="K3546" s="13" t="n">
        <f aca="false">H3546+I3546</f>
        <v>0.89</v>
      </c>
      <c r="L3546" s="13" t="n">
        <f aca="false">MAX(0,D3546-K3546)</f>
        <v>0</v>
      </c>
      <c r="M3546" s="13" t="n">
        <f aca="false">MAX(0,F3546-I3546-J3546)</f>
        <v>0</v>
      </c>
      <c r="N3546" s="13" t="n">
        <f aca="false">IF(Kalender!A252="",0,J3545-H3546)</f>
        <v>0.01206576</v>
      </c>
    </row>
    <row r="3547" customFormat="false" ht="16.4" hidden="false" customHeight="false" outlineLevel="0" collapsed="false">
      <c r="A3547" s="13" t="str">
        <f aca="false">""</f>
        <v/>
      </c>
      <c r="B3547" s="13" t="n">
        <f aca="false">249</f>
        <v>249</v>
      </c>
      <c r="C3547" s="13" t="n">
        <f aca="false">IF(Szenarien!$H$20="OK",(IFERROR(SUMIF(Nutzungsprofile!$B$6:$B$11,"Schulbetrieb",Nutzungsprofile!$G$6:$G$11)*Kalender!C253/SUM(Kalender!$C$5:$C$370),0)+IFERROR(SUMIF(Nutzungsprofile!$B$6:$B$11,"Halle",Nutzungsprofile!$G$6:$G$11)*Kalender!D253/SUM(Kalender!$D$5:$D$370),0)+IFERROR(SUMIF(Nutzungsprofile!$B$6:$B$11,"Individuell",Nutzungsprofile!$G$6:$G$11)*Kalender!E253/SUM(Kalender!$E$5:$E$370),0))*Szenarien!$E$20,0)</f>
        <v>1.632</v>
      </c>
      <c r="D3547" s="13" t="n">
        <f aca="false">IF(Szenarien!$H$20="OK",(IFERROR(SUMIF(Nutzungsprofile!$B$17:$B$22,"Schulbetrieb",Nutzungsprofile!$G$17:$G$22)*Kalender!C253/SUM(Kalender!$C$5:$C$370),0)+IFERROR(SUMIF(Nutzungsprofile!$B$17:$B$22,"Halle",Nutzungsprofile!$G$17:$G$22)*Kalender!D253/SUM(Kalender!$D$5:$D$370),0)+IFERROR(SUMIF(Nutzungsprofile!$B$17:$B$22,"Individuell",Nutzungsprofile!$G$17:$G$22)*Kalender!E253/SUM(Kalender!$E$5:$E$370),0))*Szenarien!$D$20,0)</f>
        <v>0.89</v>
      </c>
      <c r="E3547" s="13" t="n">
        <f aca="false">IFERROR(MIN(C3547,Eingaben!$B$17)*Eingaben!$B$16,0)</f>
        <v>1.5504</v>
      </c>
      <c r="F3547" s="13" t="n">
        <f aca="false">IFERROR(E3547*Eingaben!$B$15,0)</f>
        <v>1.39536</v>
      </c>
      <c r="G3547" s="13" t="n">
        <f aca="false">IFERROR(IF(Kalender!A253="",0,J3546*(1-Eingaben!$B$20)),0)</f>
        <v>1.0746505952</v>
      </c>
      <c r="H3547" s="13" t="n">
        <f aca="false">MIN(G3547,D3547)</f>
        <v>0.89</v>
      </c>
      <c r="I3547" s="13" t="n">
        <f aca="false">IFERROR(MIN(F3547*Eingaben!$B$19,MAX(0,D3547-H3547)),0)</f>
        <v>0</v>
      </c>
      <c r="J3547" s="13" t="n">
        <f aca="false">IFERROR(MIN(Eingaben!$B$18,MAX(0,F3547-I3547)),0)</f>
        <v>1.39536</v>
      </c>
      <c r="K3547" s="13" t="n">
        <f aca="false">H3547+I3547</f>
        <v>0.89</v>
      </c>
      <c r="L3547" s="13" t="n">
        <f aca="false">MAX(0,D3547-K3547)</f>
        <v>0</v>
      </c>
      <c r="M3547" s="13" t="n">
        <f aca="false">MAX(0,F3547-I3547-J3547)</f>
        <v>0</v>
      </c>
      <c r="N3547" s="13" t="n">
        <f aca="false">IF(Kalender!A253="",0,J3546-H3547)</f>
        <v>0.20658224</v>
      </c>
    </row>
    <row r="3548" customFormat="false" ht="16.4" hidden="false" customHeight="false" outlineLevel="0" collapsed="false">
      <c r="A3548" s="13" t="str">
        <f aca="false">""</f>
        <v/>
      </c>
      <c r="B3548" s="13" t="n">
        <f aca="false">250</f>
        <v>250</v>
      </c>
      <c r="C3548" s="13" t="n">
        <f aca="false">IF(Szenarien!$H$20="OK",(IFERROR(SUMIF(Nutzungsprofile!$B$6:$B$11,"Schulbetrieb",Nutzungsprofile!$G$6:$G$11)*Kalender!C254/SUM(Kalender!$C$5:$C$370),0)+IFERROR(SUMIF(Nutzungsprofile!$B$6:$B$11,"Halle",Nutzungsprofile!$G$6:$G$11)*Kalender!D254/SUM(Kalender!$D$5:$D$370),0)+IFERROR(SUMIF(Nutzungsprofile!$B$6:$B$11,"Individuell",Nutzungsprofile!$G$6:$G$11)*Kalender!E254/SUM(Kalender!$E$5:$E$370),0))*Szenarien!$E$20,0)</f>
        <v>2.352</v>
      </c>
      <c r="D3548" s="13" t="n">
        <f aca="false">IF(Szenarien!$H$20="OK",(IFERROR(SUMIF(Nutzungsprofile!$B$17:$B$22,"Schulbetrieb",Nutzungsprofile!$G$17:$G$22)*Kalender!C254/SUM(Kalender!$C$5:$C$370),0)+IFERROR(SUMIF(Nutzungsprofile!$B$17:$B$22,"Halle",Nutzungsprofile!$G$17:$G$22)*Kalender!D254/SUM(Kalender!$D$5:$D$370),0)+IFERROR(SUMIF(Nutzungsprofile!$B$17:$B$22,"Individuell",Nutzungsprofile!$G$17:$G$22)*Kalender!E254/SUM(Kalender!$E$5:$E$370),0))*Szenarien!$D$20,0)</f>
        <v>4.94</v>
      </c>
      <c r="E3548" s="13" t="n">
        <f aca="false">IFERROR(MIN(C3548,Eingaben!$B$17)*Eingaben!$B$16,0)</f>
        <v>2.2344</v>
      </c>
      <c r="F3548" s="13" t="n">
        <f aca="false">IFERROR(E3548*Eingaben!$B$15,0)</f>
        <v>2.01096</v>
      </c>
      <c r="G3548" s="13" t="n">
        <f aca="false">IFERROR(IF(Kalender!A254="",0,J3547*(1-Eingaben!$B$20)),0)</f>
        <v>1.3674528</v>
      </c>
      <c r="H3548" s="13" t="n">
        <f aca="false">MIN(G3548,D3548)</f>
        <v>1.3674528</v>
      </c>
      <c r="I3548" s="13" t="n">
        <f aca="false">IFERROR(MIN(F3548*Eingaben!$B$19,MAX(0,D3548-H3548)),0)</f>
        <v>1.407672</v>
      </c>
      <c r="J3548" s="13" t="n">
        <f aca="false">IFERROR(MIN(Eingaben!$B$18,MAX(0,F3548-I3548)),0)</f>
        <v>0.603288</v>
      </c>
      <c r="K3548" s="13" t="n">
        <f aca="false">H3548+I3548</f>
        <v>2.7751248</v>
      </c>
      <c r="L3548" s="13" t="n">
        <f aca="false">MAX(0,D3548-K3548)</f>
        <v>2.1648752</v>
      </c>
      <c r="M3548" s="13" t="n">
        <f aca="false">MAX(0,F3548-I3548-J3548)</f>
        <v>0</v>
      </c>
      <c r="N3548" s="13" t="n">
        <f aca="false">IF(Kalender!A254="",0,J3547-H3548)</f>
        <v>0.0279072</v>
      </c>
    </row>
    <row r="3549" customFormat="false" ht="16.4" hidden="false" customHeight="false" outlineLevel="0" collapsed="false">
      <c r="A3549" s="13" t="str">
        <f aca="false">""</f>
        <v/>
      </c>
      <c r="B3549" s="13" t="n">
        <f aca="false">251</f>
        <v>251</v>
      </c>
      <c r="C3549" s="13" t="n">
        <f aca="false">IF(Szenarien!$H$20="OK",(IFERROR(SUMIF(Nutzungsprofile!$B$6:$B$11,"Schulbetrieb",Nutzungsprofile!$G$6:$G$11)*Kalender!C255/SUM(Kalender!$C$5:$C$370),0)+IFERROR(SUMIF(Nutzungsprofile!$B$6:$B$11,"Halle",Nutzungsprofile!$G$6:$G$11)*Kalender!D255/SUM(Kalender!$D$5:$D$370),0)+IFERROR(SUMIF(Nutzungsprofile!$B$6:$B$11,"Individuell",Nutzungsprofile!$G$6:$G$11)*Kalender!E255/SUM(Kalender!$E$5:$E$370),0))*Szenarien!$E$20,0)</f>
        <v>2.352</v>
      </c>
      <c r="D3549" s="13" t="n">
        <f aca="false">IF(Szenarien!$H$20="OK",(IFERROR(SUMIF(Nutzungsprofile!$B$17:$B$22,"Schulbetrieb",Nutzungsprofile!$G$17:$G$22)*Kalender!C255/SUM(Kalender!$C$5:$C$370),0)+IFERROR(SUMIF(Nutzungsprofile!$B$17:$B$22,"Halle",Nutzungsprofile!$G$17:$G$22)*Kalender!D255/SUM(Kalender!$D$5:$D$370),0)+IFERROR(SUMIF(Nutzungsprofile!$B$17:$B$22,"Individuell",Nutzungsprofile!$G$17:$G$22)*Kalender!E255/SUM(Kalender!$E$5:$E$370),0))*Szenarien!$D$20,0)</f>
        <v>4.94</v>
      </c>
      <c r="E3549" s="13" t="n">
        <f aca="false">IFERROR(MIN(C3549,Eingaben!$B$17)*Eingaben!$B$16,0)</f>
        <v>2.2344</v>
      </c>
      <c r="F3549" s="13" t="n">
        <f aca="false">IFERROR(E3549*Eingaben!$B$15,0)</f>
        <v>2.01096</v>
      </c>
      <c r="G3549" s="13" t="n">
        <f aca="false">IFERROR(IF(Kalender!A255="",0,J3548*(1-Eingaben!$B$20)),0)</f>
        <v>0.59122224</v>
      </c>
      <c r="H3549" s="13" t="n">
        <f aca="false">MIN(G3549,D3549)</f>
        <v>0.59122224</v>
      </c>
      <c r="I3549" s="13" t="n">
        <f aca="false">IFERROR(MIN(F3549*Eingaben!$B$19,MAX(0,D3549-H3549)),0)</f>
        <v>1.407672</v>
      </c>
      <c r="J3549" s="13" t="n">
        <f aca="false">IFERROR(MIN(Eingaben!$B$18,MAX(0,F3549-I3549)),0)</f>
        <v>0.603288</v>
      </c>
      <c r="K3549" s="13" t="n">
        <f aca="false">H3549+I3549</f>
        <v>1.99889424</v>
      </c>
      <c r="L3549" s="13" t="n">
        <f aca="false">MAX(0,D3549-K3549)</f>
        <v>2.94110576</v>
      </c>
      <c r="M3549" s="13" t="n">
        <f aca="false">MAX(0,F3549-I3549-J3549)</f>
        <v>0</v>
      </c>
      <c r="N3549" s="13" t="n">
        <f aca="false">IF(Kalender!A255="",0,J3548-H3549)</f>
        <v>0.01206576</v>
      </c>
    </row>
    <row r="3550" customFormat="false" ht="16.4" hidden="false" customHeight="false" outlineLevel="0" collapsed="false">
      <c r="A3550" s="13" t="str">
        <f aca="false">""</f>
        <v/>
      </c>
      <c r="B3550" s="13" t="n">
        <f aca="false">252</f>
        <v>252</v>
      </c>
      <c r="C3550" s="13" t="n">
        <f aca="false">IF(Szenarien!$H$20="OK",(IFERROR(SUMIF(Nutzungsprofile!$B$6:$B$11,"Schulbetrieb",Nutzungsprofile!$G$6:$G$11)*Kalender!C256/SUM(Kalender!$C$5:$C$370),0)+IFERROR(SUMIF(Nutzungsprofile!$B$6:$B$11,"Halle",Nutzungsprofile!$G$6:$G$11)*Kalender!D256/SUM(Kalender!$D$5:$D$370),0)+IFERROR(SUMIF(Nutzungsprofile!$B$6:$B$11,"Individuell",Nutzungsprofile!$G$6:$G$11)*Kalender!E256/SUM(Kalender!$E$5:$E$370),0))*Szenarien!$E$20,0)</f>
        <v>2.352</v>
      </c>
      <c r="D3550" s="13" t="n">
        <f aca="false">IF(Szenarien!$H$20="OK",(IFERROR(SUMIF(Nutzungsprofile!$B$17:$B$22,"Schulbetrieb",Nutzungsprofile!$G$17:$G$22)*Kalender!C256/SUM(Kalender!$C$5:$C$370),0)+IFERROR(SUMIF(Nutzungsprofile!$B$17:$B$22,"Halle",Nutzungsprofile!$G$17:$G$22)*Kalender!D256/SUM(Kalender!$D$5:$D$370),0)+IFERROR(SUMIF(Nutzungsprofile!$B$17:$B$22,"Individuell",Nutzungsprofile!$G$17:$G$22)*Kalender!E256/SUM(Kalender!$E$5:$E$370),0))*Szenarien!$D$20,0)</f>
        <v>4.94</v>
      </c>
      <c r="E3550" s="13" t="n">
        <f aca="false">IFERROR(MIN(C3550,Eingaben!$B$17)*Eingaben!$B$16,0)</f>
        <v>2.2344</v>
      </c>
      <c r="F3550" s="13" t="n">
        <f aca="false">IFERROR(E3550*Eingaben!$B$15,0)</f>
        <v>2.01096</v>
      </c>
      <c r="G3550" s="13" t="n">
        <f aca="false">IFERROR(IF(Kalender!A256="",0,J3549*(1-Eingaben!$B$20)),0)</f>
        <v>0.59122224</v>
      </c>
      <c r="H3550" s="13" t="n">
        <f aca="false">MIN(G3550,D3550)</f>
        <v>0.59122224</v>
      </c>
      <c r="I3550" s="13" t="n">
        <f aca="false">IFERROR(MIN(F3550*Eingaben!$B$19,MAX(0,D3550-H3550)),0)</f>
        <v>1.407672</v>
      </c>
      <c r="J3550" s="13" t="n">
        <f aca="false">IFERROR(MIN(Eingaben!$B$18,MAX(0,F3550-I3550)),0)</f>
        <v>0.603288</v>
      </c>
      <c r="K3550" s="13" t="n">
        <f aca="false">H3550+I3550</f>
        <v>1.99889424</v>
      </c>
      <c r="L3550" s="13" t="n">
        <f aca="false">MAX(0,D3550-K3550)</f>
        <v>2.94110576</v>
      </c>
      <c r="M3550" s="13" t="n">
        <f aca="false">MAX(0,F3550-I3550-J3550)</f>
        <v>0</v>
      </c>
      <c r="N3550" s="13" t="n">
        <f aca="false">IF(Kalender!A256="",0,J3549-H3550)</f>
        <v>0.01206576</v>
      </c>
    </row>
    <row r="3551" customFormat="false" ht="16.4" hidden="false" customHeight="false" outlineLevel="0" collapsed="false">
      <c r="A3551" s="13" t="str">
        <f aca="false">""</f>
        <v/>
      </c>
      <c r="B3551" s="13" t="n">
        <f aca="false">253</f>
        <v>253</v>
      </c>
      <c r="C3551" s="13" t="n">
        <f aca="false">IF(Szenarien!$H$20="OK",(IFERROR(SUMIF(Nutzungsprofile!$B$6:$B$11,"Schulbetrieb",Nutzungsprofile!$G$6:$G$11)*Kalender!C257/SUM(Kalender!$C$5:$C$370),0)+IFERROR(SUMIF(Nutzungsprofile!$B$6:$B$11,"Halle",Nutzungsprofile!$G$6:$G$11)*Kalender!D257/SUM(Kalender!$D$5:$D$370),0)+IFERROR(SUMIF(Nutzungsprofile!$B$6:$B$11,"Individuell",Nutzungsprofile!$G$6:$G$11)*Kalender!E257/SUM(Kalender!$E$5:$E$370),0))*Szenarien!$E$20,0)</f>
        <v>2.352</v>
      </c>
      <c r="D3551" s="13" t="n">
        <f aca="false">IF(Szenarien!$H$20="OK",(IFERROR(SUMIF(Nutzungsprofile!$B$17:$B$22,"Schulbetrieb",Nutzungsprofile!$G$17:$G$22)*Kalender!C257/SUM(Kalender!$C$5:$C$370),0)+IFERROR(SUMIF(Nutzungsprofile!$B$17:$B$22,"Halle",Nutzungsprofile!$G$17:$G$22)*Kalender!D257/SUM(Kalender!$D$5:$D$370),0)+IFERROR(SUMIF(Nutzungsprofile!$B$17:$B$22,"Individuell",Nutzungsprofile!$G$17:$G$22)*Kalender!E257/SUM(Kalender!$E$5:$E$370),0))*Szenarien!$D$20,0)</f>
        <v>4.94</v>
      </c>
      <c r="E3551" s="13" t="n">
        <f aca="false">IFERROR(MIN(C3551,Eingaben!$B$17)*Eingaben!$B$16,0)</f>
        <v>2.2344</v>
      </c>
      <c r="F3551" s="13" t="n">
        <f aca="false">IFERROR(E3551*Eingaben!$B$15,0)</f>
        <v>2.01096</v>
      </c>
      <c r="G3551" s="13" t="n">
        <f aca="false">IFERROR(IF(Kalender!A257="",0,J3550*(1-Eingaben!$B$20)),0)</f>
        <v>0.59122224</v>
      </c>
      <c r="H3551" s="13" t="n">
        <f aca="false">MIN(G3551,D3551)</f>
        <v>0.59122224</v>
      </c>
      <c r="I3551" s="13" t="n">
        <f aca="false">IFERROR(MIN(F3551*Eingaben!$B$19,MAX(0,D3551-H3551)),0)</f>
        <v>1.407672</v>
      </c>
      <c r="J3551" s="13" t="n">
        <f aca="false">IFERROR(MIN(Eingaben!$B$18,MAX(0,F3551-I3551)),0)</f>
        <v>0.603288</v>
      </c>
      <c r="K3551" s="13" t="n">
        <f aca="false">H3551+I3551</f>
        <v>1.99889424</v>
      </c>
      <c r="L3551" s="13" t="n">
        <f aca="false">MAX(0,D3551-K3551)</f>
        <v>2.94110576</v>
      </c>
      <c r="M3551" s="13" t="n">
        <f aca="false">MAX(0,F3551-I3551-J3551)</f>
        <v>0</v>
      </c>
      <c r="N3551" s="13" t="n">
        <f aca="false">IF(Kalender!A257="",0,J3550-H3551)</f>
        <v>0.01206576</v>
      </c>
    </row>
    <row r="3552" customFormat="false" ht="16.4" hidden="false" customHeight="false" outlineLevel="0" collapsed="false">
      <c r="A3552" s="13" t="str">
        <f aca="false">""</f>
        <v/>
      </c>
      <c r="B3552" s="13" t="n">
        <f aca="false">254</f>
        <v>254</v>
      </c>
      <c r="C3552" s="13" t="n">
        <f aca="false">IF(Szenarien!$H$20="OK",(IFERROR(SUMIF(Nutzungsprofile!$B$6:$B$11,"Schulbetrieb",Nutzungsprofile!$G$6:$G$11)*Kalender!C258/SUM(Kalender!$C$5:$C$370),0)+IFERROR(SUMIF(Nutzungsprofile!$B$6:$B$11,"Halle",Nutzungsprofile!$G$6:$G$11)*Kalender!D258/SUM(Kalender!$D$5:$D$370),0)+IFERROR(SUMIF(Nutzungsprofile!$B$6:$B$11,"Individuell",Nutzungsprofile!$G$6:$G$11)*Kalender!E258/SUM(Kalender!$E$5:$E$370),0))*Szenarien!$E$20,0)</f>
        <v>2.352</v>
      </c>
      <c r="D3552" s="13" t="n">
        <f aca="false">IF(Szenarien!$H$20="OK",(IFERROR(SUMIF(Nutzungsprofile!$B$17:$B$22,"Schulbetrieb",Nutzungsprofile!$G$17:$G$22)*Kalender!C258/SUM(Kalender!$C$5:$C$370),0)+IFERROR(SUMIF(Nutzungsprofile!$B$17:$B$22,"Halle",Nutzungsprofile!$G$17:$G$22)*Kalender!D258/SUM(Kalender!$D$5:$D$370),0)+IFERROR(SUMIF(Nutzungsprofile!$B$17:$B$22,"Individuell",Nutzungsprofile!$G$17:$G$22)*Kalender!E258/SUM(Kalender!$E$5:$E$370),0))*Szenarien!$D$20,0)</f>
        <v>4.94</v>
      </c>
      <c r="E3552" s="13" t="n">
        <f aca="false">IFERROR(MIN(C3552,Eingaben!$B$17)*Eingaben!$B$16,0)</f>
        <v>2.2344</v>
      </c>
      <c r="F3552" s="13" t="n">
        <f aca="false">IFERROR(E3552*Eingaben!$B$15,0)</f>
        <v>2.01096</v>
      </c>
      <c r="G3552" s="13" t="n">
        <f aca="false">IFERROR(IF(Kalender!A258="",0,J3551*(1-Eingaben!$B$20)),0)</f>
        <v>0.59122224</v>
      </c>
      <c r="H3552" s="13" t="n">
        <f aca="false">MIN(G3552,D3552)</f>
        <v>0.59122224</v>
      </c>
      <c r="I3552" s="13" t="n">
        <f aca="false">IFERROR(MIN(F3552*Eingaben!$B$19,MAX(0,D3552-H3552)),0)</f>
        <v>1.407672</v>
      </c>
      <c r="J3552" s="13" t="n">
        <f aca="false">IFERROR(MIN(Eingaben!$B$18,MAX(0,F3552-I3552)),0)</f>
        <v>0.603288</v>
      </c>
      <c r="K3552" s="13" t="n">
        <f aca="false">H3552+I3552</f>
        <v>1.99889424</v>
      </c>
      <c r="L3552" s="13" t="n">
        <f aca="false">MAX(0,D3552-K3552)</f>
        <v>2.94110576</v>
      </c>
      <c r="M3552" s="13" t="n">
        <f aca="false">MAX(0,F3552-I3552-J3552)</f>
        <v>0</v>
      </c>
      <c r="N3552" s="13" t="n">
        <f aca="false">IF(Kalender!A258="",0,J3551-H3552)</f>
        <v>0.01206576</v>
      </c>
    </row>
    <row r="3553" customFormat="false" ht="16.4" hidden="false" customHeight="false" outlineLevel="0" collapsed="false">
      <c r="A3553" s="13" t="str">
        <f aca="false">""</f>
        <v/>
      </c>
      <c r="B3553" s="13" t="n">
        <f aca="false">255</f>
        <v>255</v>
      </c>
      <c r="C3553" s="13" t="n">
        <f aca="false">IF(Szenarien!$H$20="OK",(IFERROR(SUMIF(Nutzungsprofile!$B$6:$B$11,"Schulbetrieb",Nutzungsprofile!$G$6:$G$11)*Kalender!C259/SUM(Kalender!$C$5:$C$370),0)+IFERROR(SUMIF(Nutzungsprofile!$B$6:$B$11,"Halle",Nutzungsprofile!$G$6:$G$11)*Kalender!D259/SUM(Kalender!$D$5:$D$370),0)+IFERROR(SUMIF(Nutzungsprofile!$B$6:$B$11,"Individuell",Nutzungsprofile!$G$6:$G$11)*Kalender!E259/SUM(Kalender!$E$5:$E$370),0))*Szenarien!$E$20,0)</f>
        <v>1.632</v>
      </c>
      <c r="D3553" s="13" t="n">
        <f aca="false">IF(Szenarien!$H$20="OK",(IFERROR(SUMIF(Nutzungsprofile!$B$17:$B$22,"Schulbetrieb",Nutzungsprofile!$G$17:$G$22)*Kalender!C259/SUM(Kalender!$C$5:$C$370),0)+IFERROR(SUMIF(Nutzungsprofile!$B$17:$B$22,"Halle",Nutzungsprofile!$G$17:$G$22)*Kalender!D259/SUM(Kalender!$D$5:$D$370),0)+IFERROR(SUMIF(Nutzungsprofile!$B$17:$B$22,"Individuell",Nutzungsprofile!$G$17:$G$22)*Kalender!E259/SUM(Kalender!$E$5:$E$370),0))*Szenarien!$D$20,0)</f>
        <v>0.89</v>
      </c>
      <c r="E3553" s="13" t="n">
        <f aca="false">IFERROR(MIN(C3553,Eingaben!$B$17)*Eingaben!$B$16,0)</f>
        <v>1.5504</v>
      </c>
      <c r="F3553" s="13" t="n">
        <f aca="false">IFERROR(E3553*Eingaben!$B$15,0)</f>
        <v>1.39536</v>
      </c>
      <c r="G3553" s="13" t="n">
        <f aca="false">IFERROR(IF(Kalender!A259="",0,J3552*(1-Eingaben!$B$20)),0)</f>
        <v>0.59122224</v>
      </c>
      <c r="H3553" s="13" t="n">
        <f aca="false">MIN(G3553,D3553)</f>
        <v>0.59122224</v>
      </c>
      <c r="I3553" s="13" t="n">
        <f aca="false">IFERROR(MIN(F3553*Eingaben!$B$19,MAX(0,D3553-H3553)),0)</f>
        <v>0.29877776</v>
      </c>
      <c r="J3553" s="13" t="n">
        <f aca="false">IFERROR(MIN(Eingaben!$B$18,MAX(0,F3553-I3553)),0)</f>
        <v>1.09658224</v>
      </c>
      <c r="K3553" s="13" t="n">
        <f aca="false">H3553+I3553</f>
        <v>0.89</v>
      </c>
      <c r="L3553" s="13" t="n">
        <f aca="false">MAX(0,D3553-K3553)</f>
        <v>0</v>
      </c>
      <c r="M3553" s="13" t="n">
        <f aca="false">MAX(0,F3553-I3553-J3553)</f>
        <v>0</v>
      </c>
      <c r="N3553" s="13" t="n">
        <f aca="false">IF(Kalender!A259="",0,J3552-H3553)</f>
        <v>0.01206576</v>
      </c>
    </row>
    <row r="3554" customFormat="false" ht="16.4" hidden="false" customHeight="false" outlineLevel="0" collapsed="false">
      <c r="A3554" s="13" t="str">
        <f aca="false">""</f>
        <v/>
      </c>
      <c r="B3554" s="13" t="n">
        <f aca="false">256</f>
        <v>256</v>
      </c>
      <c r="C3554" s="13" t="n">
        <f aca="false">IF(Szenarien!$H$20="OK",(IFERROR(SUMIF(Nutzungsprofile!$B$6:$B$11,"Schulbetrieb",Nutzungsprofile!$G$6:$G$11)*Kalender!C260/SUM(Kalender!$C$5:$C$370),0)+IFERROR(SUMIF(Nutzungsprofile!$B$6:$B$11,"Halle",Nutzungsprofile!$G$6:$G$11)*Kalender!D260/SUM(Kalender!$D$5:$D$370),0)+IFERROR(SUMIF(Nutzungsprofile!$B$6:$B$11,"Individuell",Nutzungsprofile!$G$6:$G$11)*Kalender!E260/SUM(Kalender!$E$5:$E$370),0))*Szenarien!$E$20,0)</f>
        <v>1.632</v>
      </c>
      <c r="D3554" s="13" t="n">
        <f aca="false">IF(Szenarien!$H$20="OK",(IFERROR(SUMIF(Nutzungsprofile!$B$17:$B$22,"Schulbetrieb",Nutzungsprofile!$G$17:$G$22)*Kalender!C260/SUM(Kalender!$C$5:$C$370),0)+IFERROR(SUMIF(Nutzungsprofile!$B$17:$B$22,"Halle",Nutzungsprofile!$G$17:$G$22)*Kalender!D260/SUM(Kalender!$D$5:$D$370),0)+IFERROR(SUMIF(Nutzungsprofile!$B$17:$B$22,"Individuell",Nutzungsprofile!$G$17:$G$22)*Kalender!E260/SUM(Kalender!$E$5:$E$370),0))*Szenarien!$D$20,0)</f>
        <v>0.89</v>
      </c>
      <c r="E3554" s="13" t="n">
        <f aca="false">IFERROR(MIN(C3554,Eingaben!$B$17)*Eingaben!$B$16,0)</f>
        <v>1.5504</v>
      </c>
      <c r="F3554" s="13" t="n">
        <f aca="false">IFERROR(E3554*Eingaben!$B$15,0)</f>
        <v>1.39536</v>
      </c>
      <c r="G3554" s="13" t="n">
        <f aca="false">IFERROR(IF(Kalender!A260="",0,J3553*(1-Eingaben!$B$20)),0)</f>
        <v>1.0746505952</v>
      </c>
      <c r="H3554" s="13" t="n">
        <f aca="false">MIN(G3554,D3554)</f>
        <v>0.89</v>
      </c>
      <c r="I3554" s="13" t="n">
        <f aca="false">IFERROR(MIN(F3554*Eingaben!$B$19,MAX(0,D3554-H3554)),0)</f>
        <v>0</v>
      </c>
      <c r="J3554" s="13" t="n">
        <f aca="false">IFERROR(MIN(Eingaben!$B$18,MAX(0,F3554-I3554)),0)</f>
        <v>1.39536</v>
      </c>
      <c r="K3554" s="13" t="n">
        <f aca="false">H3554+I3554</f>
        <v>0.89</v>
      </c>
      <c r="L3554" s="13" t="n">
        <f aca="false">MAX(0,D3554-K3554)</f>
        <v>0</v>
      </c>
      <c r="M3554" s="13" t="n">
        <f aca="false">MAX(0,F3554-I3554-J3554)</f>
        <v>0</v>
      </c>
      <c r="N3554" s="13" t="n">
        <f aca="false">IF(Kalender!A260="",0,J3553-H3554)</f>
        <v>0.20658224</v>
      </c>
    </row>
    <row r="3555" customFormat="false" ht="16.4" hidden="false" customHeight="false" outlineLevel="0" collapsed="false">
      <c r="A3555" s="13" t="str">
        <f aca="false">""</f>
        <v/>
      </c>
      <c r="B3555" s="13" t="n">
        <f aca="false">257</f>
        <v>257</v>
      </c>
      <c r="C3555" s="13" t="n">
        <f aca="false">IF(Szenarien!$H$20="OK",(IFERROR(SUMIF(Nutzungsprofile!$B$6:$B$11,"Schulbetrieb",Nutzungsprofile!$G$6:$G$11)*Kalender!C261/SUM(Kalender!$C$5:$C$370),0)+IFERROR(SUMIF(Nutzungsprofile!$B$6:$B$11,"Halle",Nutzungsprofile!$G$6:$G$11)*Kalender!D261/SUM(Kalender!$D$5:$D$370),0)+IFERROR(SUMIF(Nutzungsprofile!$B$6:$B$11,"Individuell",Nutzungsprofile!$G$6:$G$11)*Kalender!E261/SUM(Kalender!$E$5:$E$370),0))*Szenarien!$E$20,0)</f>
        <v>2.352</v>
      </c>
      <c r="D3555" s="13" t="n">
        <f aca="false">IF(Szenarien!$H$20="OK",(IFERROR(SUMIF(Nutzungsprofile!$B$17:$B$22,"Schulbetrieb",Nutzungsprofile!$G$17:$G$22)*Kalender!C261/SUM(Kalender!$C$5:$C$370),0)+IFERROR(SUMIF(Nutzungsprofile!$B$17:$B$22,"Halle",Nutzungsprofile!$G$17:$G$22)*Kalender!D261/SUM(Kalender!$D$5:$D$370),0)+IFERROR(SUMIF(Nutzungsprofile!$B$17:$B$22,"Individuell",Nutzungsprofile!$G$17:$G$22)*Kalender!E261/SUM(Kalender!$E$5:$E$370),0))*Szenarien!$D$20,0)</f>
        <v>4.94</v>
      </c>
      <c r="E3555" s="13" t="n">
        <f aca="false">IFERROR(MIN(C3555,Eingaben!$B$17)*Eingaben!$B$16,0)</f>
        <v>2.2344</v>
      </c>
      <c r="F3555" s="13" t="n">
        <f aca="false">IFERROR(E3555*Eingaben!$B$15,0)</f>
        <v>2.01096</v>
      </c>
      <c r="G3555" s="13" t="n">
        <f aca="false">IFERROR(IF(Kalender!A261="",0,J3554*(1-Eingaben!$B$20)),0)</f>
        <v>1.3674528</v>
      </c>
      <c r="H3555" s="13" t="n">
        <f aca="false">MIN(G3555,D3555)</f>
        <v>1.3674528</v>
      </c>
      <c r="I3555" s="13" t="n">
        <f aca="false">IFERROR(MIN(F3555*Eingaben!$B$19,MAX(0,D3555-H3555)),0)</f>
        <v>1.407672</v>
      </c>
      <c r="J3555" s="13" t="n">
        <f aca="false">IFERROR(MIN(Eingaben!$B$18,MAX(0,F3555-I3555)),0)</f>
        <v>0.603288</v>
      </c>
      <c r="K3555" s="13" t="n">
        <f aca="false">H3555+I3555</f>
        <v>2.7751248</v>
      </c>
      <c r="L3555" s="13" t="n">
        <f aca="false">MAX(0,D3555-K3555)</f>
        <v>2.1648752</v>
      </c>
      <c r="M3555" s="13" t="n">
        <f aca="false">MAX(0,F3555-I3555-J3555)</f>
        <v>0</v>
      </c>
      <c r="N3555" s="13" t="n">
        <f aca="false">IF(Kalender!A261="",0,J3554-H3555)</f>
        <v>0.0279072</v>
      </c>
    </row>
    <row r="3556" customFormat="false" ht="16.4" hidden="false" customHeight="false" outlineLevel="0" collapsed="false">
      <c r="A3556" s="13" t="str">
        <f aca="false">""</f>
        <v/>
      </c>
      <c r="B3556" s="13" t="n">
        <f aca="false">258</f>
        <v>258</v>
      </c>
      <c r="C3556" s="13" t="n">
        <f aca="false">IF(Szenarien!$H$20="OK",(IFERROR(SUMIF(Nutzungsprofile!$B$6:$B$11,"Schulbetrieb",Nutzungsprofile!$G$6:$G$11)*Kalender!C262/SUM(Kalender!$C$5:$C$370),0)+IFERROR(SUMIF(Nutzungsprofile!$B$6:$B$11,"Halle",Nutzungsprofile!$G$6:$G$11)*Kalender!D262/SUM(Kalender!$D$5:$D$370),0)+IFERROR(SUMIF(Nutzungsprofile!$B$6:$B$11,"Individuell",Nutzungsprofile!$G$6:$G$11)*Kalender!E262/SUM(Kalender!$E$5:$E$370),0))*Szenarien!$E$20,0)</f>
        <v>2.352</v>
      </c>
      <c r="D3556" s="13" t="n">
        <f aca="false">IF(Szenarien!$H$20="OK",(IFERROR(SUMIF(Nutzungsprofile!$B$17:$B$22,"Schulbetrieb",Nutzungsprofile!$G$17:$G$22)*Kalender!C262/SUM(Kalender!$C$5:$C$370),0)+IFERROR(SUMIF(Nutzungsprofile!$B$17:$B$22,"Halle",Nutzungsprofile!$G$17:$G$22)*Kalender!D262/SUM(Kalender!$D$5:$D$370),0)+IFERROR(SUMIF(Nutzungsprofile!$B$17:$B$22,"Individuell",Nutzungsprofile!$G$17:$G$22)*Kalender!E262/SUM(Kalender!$E$5:$E$370),0))*Szenarien!$D$20,0)</f>
        <v>4.94</v>
      </c>
      <c r="E3556" s="13" t="n">
        <f aca="false">IFERROR(MIN(C3556,Eingaben!$B$17)*Eingaben!$B$16,0)</f>
        <v>2.2344</v>
      </c>
      <c r="F3556" s="13" t="n">
        <f aca="false">IFERROR(E3556*Eingaben!$B$15,0)</f>
        <v>2.01096</v>
      </c>
      <c r="G3556" s="13" t="n">
        <f aca="false">IFERROR(IF(Kalender!A262="",0,J3555*(1-Eingaben!$B$20)),0)</f>
        <v>0.59122224</v>
      </c>
      <c r="H3556" s="13" t="n">
        <f aca="false">MIN(G3556,D3556)</f>
        <v>0.59122224</v>
      </c>
      <c r="I3556" s="13" t="n">
        <f aca="false">IFERROR(MIN(F3556*Eingaben!$B$19,MAX(0,D3556-H3556)),0)</f>
        <v>1.407672</v>
      </c>
      <c r="J3556" s="13" t="n">
        <f aca="false">IFERROR(MIN(Eingaben!$B$18,MAX(0,F3556-I3556)),0)</f>
        <v>0.603288</v>
      </c>
      <c r="K3556" s="13" t="n">
        <f aca="false">H3556+I3556</f>
        <v>1.99889424</v>
      </c>
      <c r="L3556" s="13" t="n">
        <f aca="false">MAX(0,D3556-K3556)</f>
        <v>2.94110576</v>
      </c>
      <c r="M3556" s="13" t="n">
        <f aca="false">MAX(0,F3556-I3556-J3556)</f>
        <v>0</v>
      </c>
      <c r="N3556" s="13" t="n">
        <f aca="false">IF(Kalender!A262="",0,J3555-H3556)</f>
        <v>0.01206576</v>
      </c>
    </row>
    <row r="3557" customFormat="false" ht="16.4" hidden="false" customHeight="false" outlineLevel="0" collapsed="false">
      <c r="A3557" s="13" t="str">
        <f aca="false">""</f>
        <v/>
      </c>
      <c r="B3557" s="13" t="n">
        <f aca="false">259</f>
        <v>259</v>
      </c>
      <c r="C3557" s="13" t="n">
        <f aca="false">IF(Szenarien!$H$20="OK",(IFERROR(SUMIF(Nutzungsprofile!$B$6:$B$11,"Schulbetrieb",Nutzungsprofile!$G$6:$G$11)*Kalender!C263/SUM(Kalender!$C$5:$C$370),0)+IFERROR(SUMIF(Nutzungsprofile!$B$6:$B$11,"Halle",Nutzungsprofile!$G$6:$G$11)*Kalender!D263/SUM(Kalender!$D$5:$D$370),0)+IFERROR(SUMIF(Nutzungsprofile!$B$6:$B$11,"Individuell",Nutzungsprofile!$G$6:$G$11)*Kalender!E263/SUM(Kalender!$E$5:$E$370),0))*Szenarien!$E$20,0)</f>
        <v>2.352</v>
      </c>
      <c r="D3557" s="13" t="n">
        <f aca="false">IF(Szenarien!$H$20="OK",(IFERROR(SUMIF(Nutzungsprofile!$B$17:$B$22,"Schulbetrieb",Nutzungsprofile!$G$17:$G$22)*Kalender!C263/SUM(Kalender!$C$5:$C$370),0)+IFERROR(SUMIF(Nutzungsprofile!$B$17:$B$22,"Halle",Nutzungsprofile!$G$17:$G$22)*Kalender!D263/SUM(Kalender!$D$5:$D$370),0)+IFERROR(SUMIF(Nutzungsprofile!$B$17:$B$22,"Individuell",Nutzungsprofile!$G$17:$G$22)*Kalender!E263/SUM(Kalender!$E$5:$E$370),0))*Szenarien!$D$20,0)</f>
        <v>4.94</v>
      </c>
      <c r="E3557" s="13" t="n">
        <f aca="false">IFERROR(MIN(C3557,Eingaben!$B$17)*Eingaben!$B$16,0)</f>
        <v>2.2344</v>
      </c>
      <c r="F3557" s="13" t="n">
        <f aca="false">IFERROR(E3557*Eingaben!$B$15,0)</f>
        <v>2.01096</v>
      </c>
      <c r="G3557" s="13" t="n">
        <f aca="false">IFERROR(IF(Kalender!A263="",0,J3556*(1-Eingaben!$B$20)),0)</f>
        <v>0.59122224</v>
      </c>
      <c r="H3557" s="13" t="n">
        <f aca="false">MIN(G3557,D3557)</f>
        <v>0.59122224</v>
      </c>
      <c r="I3557" s="13" t="n">
        <f aca="false">IFERROR(MIN(F3557*Eingaben!$B$19,MAX(0,D3557-H3557)),0)</f>
        <v>1.407672</v>
      </c>
      <c r="J3557" s="13" t="n">
        <f aca="false">IFERROR(MIN(Eingaben!$B$18,MAX(0,F3557-I3557)),0)</f>
        <v>0.603288</v>
      </c>
      <c r="K3557" s="13" t="n">
        <f aca="false">H3557+I3557</f>
        <v>1.99889424</v>
      </c>
      <c r="L3557" s="13" t="n">
        <f aca="false">MAX(0,D3557-K3557)</f>
        <v>2.94110576</v>
      </c>
      <c r="M3557" s="13" t="n">
        <f aca="false">MAX(0,F3557-I3557-J3557)</f>
        <v>0</v>
      </c>
      <c r="N3557" s="13" t="n">
        <f aca="false">IF(Kalender!A263="",0,J3556-H3557)</f>
        <v>0.01206576</v>
      </c>
    </row>
    <row r="3558" customFormat="false" ht="16.4" hidden="false" customHeight="false" outlineLevel="0" collapsed="false">
      <c r="A3558" s="13" t="str">
        <f aca="false">""</f>
        <v/>
      </c>
      <c r="B3558" s="13" t="n">
        <f aca="false">260</f>
        <v>260</v>
      </c>
      <c r="C3558" s="13" t="n">
        <f aca="false">IF(Szenarien!$H$20="OK",(IFERROR(SUMIF(Nutzungsprofile!$B$6:$B$11,"Schulbetrieb",Nutzungsprofile!$G$6:$G$11)*Kalender!C264/SUM(Kalender!$C$5:$C$370),0)+IFERROR(SUMIF(Nutzungsprofile!$B$6:$B$11,"Halle",Nutzungsprofile!$G$6:$G$11)*Kalender!D264/SUM(Kalender!$D$5:$D$370),0)+IFERROR(SUMIF(Nutzungsprofile!$B$6:$B$11,"Individuell",Nutzungsprofile!$G$6:$G$11)*Kalender!E264/SUM(Kalender!$E$5:$E$370),0))*Szenarien!$E$20,0)</f>
        <v>2.352</v>
      </c>
      <c r="D3558" s="13" t="n">
        <f aca="false">IF(Szenarien!$H$20="OK",(IFERROR(SUMIF(Nutzungsprofile!$B$17:$B$22,"Schulbetrieb",Nutzungsprofile!$G$17:$G$22)*Kalender!C264/SUM(Kalender!$C$5:$C$370),0)+IFERROR(SUMIF(Nutzungsprofile!$B$17:$B$22,"Halle",Nutzungsprofile!$G$17:$G$22)*Kalender!D264/SUM(Kalender!$D$5:$D$370),0)+IFERROR(SUMIF(Nutzungsprofile!$B$17:$B$22,"Individuell",Nutzungsprofile!$G$17:$G$22)*Kalender!E264/SUM(Kalender!$E$5:$E$370),0))*Szenarien!$D$20,0)</f>
        <v>4.94</v>
      </c>
      <c r="E3558" s="13" t="n">
        <f aca="false">IFERROR(MIN(C3558,Eingaben!$B$17)*Eingaben!$B$16,0)</f>
        <v>2.2344</v>
      </c>
      <c r="F3558" s="13" t="n">
        <f aca="false">IFERROR(E3558*Eingaben!$B$15,0)</f>
        <v>2.01096</v>
      </c>
      <c r="G3558" s="13" t="n">
        <f aca="false">IFERROR(IF(Kalender!A264="",0,J3557*(1-Eingaben!$B$20)),0)</f>
        <v>0.59122224</v>
      </c>
      <c r="H3558" s="13" t="n">
        <f aca="false">MIN(G3558,D3558)</f>
        <v>0.59122224</v>
      </c>
      <c r="I3558" s="13" t="n">
        <f aca="false">IFERROR(MIN(F3558*Eingaben!$B$19,MAX(0,D3558-H3558)),0)</f>
        <v>1.407672</v>
      </c>
      <c r="J3558" s="13" t="n">
        <f aca="false">IFERROR(MIN(Eingaben!$B$18,MAX(0,F3558-I3558)),0)</f>
        <v>0.603288</v>
      </c>
      <c r="K3558" s="13" t="n">
        <f aca="false">H3558+I3558</f>
        <v>1.99889424</v>
      </c>
      <c r="L3558" s="13" t="n">
        <f aca="false">MAX(0,D3558-K3558)</f>
        <v>2.94110576</v>
      </c>
      <c r="M3558" s="13" t="n">
        <f aca="false">MAX(0,F3558-I3558-J3558)</f>
        <v>0</v>
      </c>
      <c r="N3558" s="13" t="n">
        <f aca="false">IF(Kalender!A264="",0,J3557-H3558)</f>
        <v>0.01206576</v>
      </c>
    </row>
    <row r="3559" customFormat="false" ht="16.4" hidden="false" customHeight="false" outlineLevel="0" collapsed="false">
      <c r="A3559" s="13" t="str">
        <f aca="false">""</f>
        <v/>
      </c>
      <c r="B3559" s="13" t="n">
        <f aca="false">261</f>
        <v>261</v>
      </c>
      <c r="C3559" s="13" t="n">
        <f aca="false">IF(Szenarien!$H$20="OK",(IFERROR(SUMIF(Nutzungsprofile!$B$6:$B$11,"Schulbetrieb",Nutzungsprofile!$G$6:$G$11)*Kalender!C265/SUM(Kalender!$C$5:$C$370),0)+IFERROR(SUMIF(Nutzungsprofile!$B$6:$B$11,"Halle",Nutzungsprofile!$G$6:$G$11)*Kalender!D265/SUM(Kalender!$D$5:$D$370),0)+IFERROR(SUMIF(Nutzungsprofile!$B$6:$B$11,"Individuell",Nutzungsprofile!$G$6:$G$11)*Kalender!E265/SUM(Kalender!$E$5:$E$370),0))*Szenarien!$E$20,0)</f>
        <v>2.352</v>
      </c>
      <c r="D3559" s="13" t="n">
        <f aca="false">IF(Szenarien!$H$20="OK",(IFERROR(SUMIF(Nutzungsprofile!$B$17:$B$22,"Schulbetrieb",Nutzungsprofile!$G$17:$G$22)*Kalender!C265/SUM(Kalender!$C$5:$C$370),0)+IFERROR(SUMIF(Nutzungsprofile!$B$17:$B$22,"Halle",Nutzungsprofile!$G$17:$G$22)*Kalender!D265/SUM(Kalender!$D$5:$D$370),0)+IFERROR(SUMIF(Nutzungsprofile!$B$17:$B$22,"Individuell",Nutzungsprofile!$G$17:$G$22)*Kalender!E265/SUM(Kalender!$E$5:$E$370),0))*Szenarien!$D$20,0)</f>
        <v>4.94</v>
      </c>
      <c r="E3559" s="13" t="n">
        <f aca="false">IFERROR(MIN(C3559,Eingaben!$B$17)*Eingaben!$B$16,0)</f>
        <v>2.2344</v>
      </c>
      <c r="F3559" s="13" t="n">
        <f aca="false">IFERROR(E3559*Eingaben!$B$15,0)</f>
        <v>2.01096</v>
      </c>
      <c r="G3559" s="13" t="n">
        <f aca="false">IFERROR(IF(Kalender!A265="",0,J3558*(1-Eingaben!$B$20)),0)</f>
        <v>0.59122224</v>
      </c>
      <c r="H3559" s="13" t="n">
        <f aca="false">MIN(G3559,D3559)</f>
        <v>0.59122224</v>
      </c>
      <c r="I3559" s="13" t="n">
        <f aca="false">IFERROR(MIN(F3559*Eingaben!$B$19,MAX(0,D3559-H3559)),0)</f>
        <v>1.407672</v>
      </c>
      <c r="J3559" s="13" t="n">
        <f aca="false">IFERROR(MIN(Eingaben!$B$18,MAX(0,F3559-I3559)),0)</f>
        <v>0.603288</v>
      </c>
      <c r="K3559" s="13" t="n">
        <f aca="false">H3559+I3559</f>
        <v>1.99889424</v>
      </c>
      <c r="L3559" s="13" t="n">
        <f aca="false">MAX(0,D3559-K3559)</f>
        <v>2.94110576</v>
      </c>
      <c r="M3559" s="13" t="n">
        <f aca="false">MAX(0,F3559-I3559-J3559)</f>
        <v>0</v>
      </c>
      <c r="N3559" s="13" t="n">
        <f aca="false">IF(Kalender!A265="",0,J3558-H3559)</f>
        <v>0.01206576</v>
      </c>
    </row>
    <row r="3560" customFormat="false" ht="16.4" hidden="false" customHeight="false" outlineLevel="0" collapsed="false">
      <c r="A3560" s="13" t="str">
        <f aca="false">""</f>
        <v/>
      </c>
      <c r="B3560" s="13" t="n">
        <f aca="false">262</f>
        <v>262</v>
      </c>
      <c r="C3560" s="13" t="n">
        <f aca="false">IF(Szenarien!$H$20="OK",(IFERROR(SUMIF(Nutzungsprofile!$B$6:$B$11,"Schulbetrieb",Nutzungsprofile!$G$6:$G$11)*Kalender!C266/SUM(Kalender!$C$5:$C$370),0)+IFERROR(SUMIF(Nutzungsprofile!$B$6:$B$11,"Halle",Nutzungsprofile!$G$6:$G$11)*Kalender!D266/SUM(Kalender!$D$5:$D$370),0)+IFERROR(SUMIF(Nutzungsprofile!$B$6:$B$11,"Individuell",Nutzungsprofile!$G$6:$G$11)*Kalender!E266/SUM(Kalender!$E$5:$E$370),0))*Szenarien!$E$20,0)</f>
        <v>1.632</v>
      </c>
      <c r="D3560" s="13" t="n">
        <f aca="false">IF(Szenarien!$H$20="OK",(IFERROR(SUMIF(Nutzungsprofile!$B$17:$B$22,"Schulbetrieb",Nutzungsprofile!$G$17:$G$22)*Kalender!C266/SUM(Kalender!$C$5:$C$370),0)+IFERROR(SUMIF(Nutzungsprofile!$B$17:$B$22,"Halle",Nutzungsprofile!$G$17:$G$22)*Kalender!D266/SUM(Kalender!$D$5:$D$370),0)+IFERROR(SUMIF(Nutzungsprofile!$B$17:$B$22,"Individuell",Nutzungsprofile!$G$17:$G$22)*Kalender!E266/SUM(Kalender!$E$5:$E$370),0))*Szenarien!$D$20,0)</f>
        <v>0.89</v>
      </c>
      <c r="E3560" s="13" t="n">
        <f aca="false">IFERROR(MIN(C3560,Eingaben!$B$17)*Eingaben!$B$16,0)</f>
        <v>1.5504</v>
      </c>
      <c r="F3560" s="13" t="n">
        <f aca="false">IFERROR(E3560*Eingaben!$B$15,0)</f>
        <v>1.39536</v>
      </c>
      <c r="G3560" s="13" t="n">
        <f aca="false">IFERROR(IF(Kalender!A266="",0,J3559*(1-Eingaben!$B$20)),0)</f>
        <v>0.59122224</v>
      </c>
      <c r="H3560" s="13" t="n">
        <f aca="false">MIN(G3560,D3560)</f>
        <v>0.59122224</v>
      </c>
      <c r="I3560" s="13" t="n">
        <f aca="false">IFERROR(MIN(F3560*Eingaben!$B$19,MAX(0,D3560-H3560)),0)</f>
        <v>0.29877776</v>
      </c>
      <c r="J3560" s="13" t="n">
        <f aca="false">IFERROR(MIN(Eingaben!$B$18,MAX(0,F3560-I3560)),0)</f>
        <v>1.09658224</v>
      </c>
      <c r="K3560" s="13" t="n">
        <f aca="false">H3560+I3560</f>
        <v>0.89</v>
      </c>
      <c r="L3560" s="13" t="n">
        <f aca="false">MAX(0,D3560-K3560)</f>
        <v>0</v>
      </c>
      <c r="M3560" s="13" t="n">
        <f aca="false">MAX(0,F3560-I3560-J3560)</f>
        <v>0</v>
      </c>
      <c r="N3560" s="13" t="n">
        <f aca="false">IF(Kalender!A266="",0,J3559-H3560)</f>
        <v>0.01206576</v>
      </c>
    </row>
    <row r="3561" customFormat="false" ht="16.4" hidden="false" customHeight="false" outlineLevel="0" collapsed="false">
      <c r="A3561" s="13" t="str">
        <f aca="false">""</f>
        <v/>
      </c>
      <c r="B3561" s="13" t="n">
        <f aca="false">263</f>
        <v>263</v>
      </c>
      <c r="C3561" s="13" t="n">
        <f aca="false">IF(Szenarien!$H$20="OK",(IFERROR(SUMIF(Nutzungsprofile!$B$6:$B$11,"Schulbetrieb",Nutzungsprofile!$G$6:$G$11)*Kalender!C267/SUM(Kalender!$C$5:$C$370),0)+IFERROR(SUMIF(Nutzungsprofile!$B$6:$B$11,"Halle",Nutzungsprofile!$G$6:$G$11)*Kalender!D267/SUM(Kalender!$D$5:$D$370),0)+IFERROR(SUMIF(Nutzungsprofile!$B$6:$B$11,"Individuell",Nutzungsprofile!$G$6:$G$11)*Kalender!E267/SUM(Kalender!$E$5:$E$370),0))*Szenarien!$E$20,0)</f>
        <v>1.632</v>
      </c>
      <c r="D3561" s="13" t="n">
        <f aca="false">IF(Szenarien!$H$20="OK",(IFERROR(SUMIF(Nutzungsprofile!$B$17:$B$22,"Schulbetrieb",Nutzungsprofile!$G$17:$G$22)*Kalender!C267/SUM(Kalender!$C$5:$C$370),0)+IFERROR(SUMIF(Nutzungsprofile!$B$17:$B$22,"Halle",Nutzungsprofile!$G$17:$G$22)*Kalender!D267/SUM(Kalender!$D$5:$D$370),0)+IFERROR(SUMIF(Nutzungsprofile!$B$17:$B$22,"Individuell",Nutzungsprofile!$G$17:$G$22)*Kalender!E267/SUM(Kalender!$E$5:$E$370),0))*Szenarien!$D$20,0)</f>
        <v>0.89</v>
      </c>
      <c r="E3561" s="13" t="n">
        <f aca="false">IFERROR(MIN(C3561,Eingaben!$B$17)*Eingaben!$B$16,0)</f>
        <v>1.5504</v>
      </c>
      <c r="F3561" s="13" t="n">
        <f aca="false">IFERROR(E3561*Eingaben!$B$15,0)</f>
        <v>1.39536</v>
      </c>
      <c r="G3561" s="13" t="n">
        <f aca="false">IFERROR(IF(Kalender!A267="",0,J3560*(1-Eingaben!$B$20)),0)</f>
        <v>1.0746505952</v>
      </c>
      <c r="H3561" s="13" t="n">
        <f aca="false">MIN(G3561,D3561)</f>
        <v>0.89</v>
      </c>
      <c r="I3561" s="13" t="n">
        <f aca="false">IFERROR(MIN(F3561*Eingaben!$B$19,MAX(0,D3561-H3561)),0)</f>
        <v>0</v>
      </c>
      <c r="J3561" s="13" t="n">
        <f aca="false">IFERROR(MIN(Eingaben!$B$18,MAX(0,F3561-I3561)),0)</f>
        <v>1.39536</v>
      </c>
      <c r="K3561" s="13" t="n">
        <f aca="false">H3561+I3561</f>
        <v>0.89</v>
      </c>
      <c r="L3561" s="13" t="n">
        <f aca="false">MAX(0,D3561-K3561)</f>
        <v>0</v>
      </c>
      <c r="M3561" s="13" t="n">
        <f aca="false">MAX(0,F3561-I3561-J3561)</f>
        <v>0</v>
      </c>
      <c r="N3561" s="13" t="n">
        <f aca="false">IF(Kalender!A267="",0,J3560-H3561)</f>
        <v>0.20658224</v>
      </c>
    </row>
    <row r="3562" customFormat="false" ht="16.4" hidden="false" customHeight="false" outlineLevel="0" collapsed="false">
      <c r="A3562" s="13" t="str">
        <f aca="false">""</f>
        <v/>
      </c>
      <c r="B3562" s="13" t="n">
        <f aca="false">264</f>
        <v>264</v>
      </c>
      <c r="C3562" s="13" t="n">
        <f aca="false">IF(Szenarien!$H$20="OK",(IFERROR(SUMIF(Nutzungsprofile!$B$6:$B$11,"Schulbetrieb",Nutzungsprofile!$G$6:$G$11)*Kalender!C268/SUM(Kalender!$C$5:$C$370),0)+IFERROR(SUMIF(Nutzungsprofile!$B$6:$B$11,"Halle",Nutzungsprofile!$G$6:$G$11)*Kalender!D268/SUM(Kalender!$D$5:$D$370),0)+IFERROR(SUMIF(Nutzungsprofile!$B$6:$B$11,"Individuell",Nutzungsprofile!$G$6:$G$11)*Kalender!E268/SUM(Kalender!$E$5:$E$370),0))*Szenarien!$E$20,0)</f>
        <v>2.352</v>
      </c>
      <c r="D3562" s="13" t="n">
        <f aca="false">IF(Szenarien!$H$20="OK",(IFERROR(SUMIF(Nutzungsprofile!$B$17:$B$22,"Schulbetrieb",Nutzungsprofile!$G$17:$G$22)*Kalender!C268/SUM(Kalender!$C$5:$C$370),0)+IFERROR(SUMIF(Nutzungsprofile!$B$17:$B$22,"Halle",Nutzungsprofile!$G$17:$G$22)*Kalender!D268/SUM(Kalender!$D$5:$D$370),0)+IFERROR(SUMIF(Nutzungsprofile!$B$17:$B$22,"Individuell",Nutzungsprofile!$G$17:$G$22)*Kalender!E268/SUM(Kalender!$E$5:$E$370),0))*Szenarien!$D$20,0)</f>
        <v>4.94</v>
      </c>
      <c r="E3562" s="13" t="n">
        <f aca="false">IFERROR(MIN(C3562,Eingaben!$B$17)*Eingaben!$B$16,0)</f>
        <v>2.2344</v>
      </c>
      <c r="F3562" s="13" t="n">
        <f aca="false">IFERROR(E3562*Eingaben!$B$15,0)</f>
        <v>2.01096</v>
      </c>
      <c r="G3562" s="13" t="n">
        <f aca="false">IFERROR(IF(Kalender!A268="",0,J3561*(1-Eingaben!$B$20)),0)</f>
        <v>1.3674528</v>
      </c>
      <c r="H3562" s="13" t="n">
        <f aca="false">MIN(G3562,D3562)</f>
        <v>1.3674528</v>
      </c>
      <c r="I3562" s="13" t="n">
        <f aca="false">IFERROR(MIN(F3562*Eingaben!$B$19,MAX(0,D3562-H3562)),0)</f>
        <v>1.407672</v>
      </c>
      <c r="J3562" s="13" t="n">
        <f aca="false">IFERROR(MIN(Eingaben!$B$18,MAX(0,F3562-I3562)),0)</f>
        <v>0.603288</v>
      </c>
      <c r="K3562" s="13" t="n">
        <f aca="false">H3562+I3562</f>
        <v>2.7751248</v>
      </c>
      <c r="L3562" s="13" t="n">
        <f aca="false">MAX(0,D3562-K3562)</f>
        <v>2.1648752</v>
      </c>
      <c r="M3562" s="13" t="n">
        <f aca="false">MAX(0,F3562-I3562-J3562)</f>
        <v>0</v>
      </c>
      <c r="N3562" s="13" t="n">
        <f aca="false">IF(Kalender!A268="",0,J3561-H3562)</f>
        <v>0.0279072</v>
      </c>
    </row>
    <row r="3563" customFormat="false" ht="16.4" hidden="false" customHeight="false" outlineLevel="0" collapsed="false">
      <c r="A3563" s="13" t="str">
        <f aca="false">""</f>
        <v/>
      </c>
      <c r="B3563" s="13" t="n">
        <f aca="false">265</f>
        <v>265</v>
      </c>
      <c r="C3563" s="13" t="n">
        <f aca="false">IF(Szenarien!$H$20="OK",(IFERROR(SUMIF(Nutzungsprofile!$B$6:$B$11,"Schulbetrieb",Nutzungsprofile!$G$6:$G$11)*Kalender!C269/SUM(Kalender!$C$5:$C$370),0)+IFERROR(SUMIF(Nutzungsprofile!$B$6:$B$11,"Halle",Nutzungsprofile!$G$6:$G$11)*Kalender!D269/SUM(Kalender!$D$5:$D$370),0)+IFERROR(SUMIF(Nutzungsprofile!$B$6:$B$11,"Individuell",Nutzungsprofile!$G$6:$G$11)*Kalender!E269/SUM(Kalender!$E$5:$E$370),0))*Szenarien!$E$20,0)</f>
        <v>2.352</v>
      </c>
      <c r="D3563" s="13" t="n">
        <f aca="false">IF(Szenarien!$H$20="OK",(IFERROR(SUMIF(Nutzungsprofile!$B$17:$B$22,"Schulbetrieb",Nutzungsprofile!$G$17:$G$22)*Kalender!C269/SUM(Kalender!$C$5:$C$370),0)+IFERROR(SUMIF(Nutzungsprofile!$B$17:$B$22,"Halle",Nutzungsprofile!$G$17:$G$22)*Kalender!D269/SUM(Kalender!$D$5:$D$370),0)+IFERROR(SUMIF(Nutzungsprofile!$B$17:$B$22,"Individuell",Nutzungsprofile!$G$17:$G$22)*Kalender!E269/SUM(Kalender!$E$5:$E$370),0))*Szenarien!$D$20,0)</f>
        <v>4.94</v>
      </c>
      <c r="E3563" s="13" t="n">
        <f aca="false">IFERROR(MIN(C3563,Eingaben!$B$17)*Eingaben!$B$16,0)</f>
        <v>2.2344</v>
      </c>
      <c r="F3563" s="13" t="n">
        <f aca="false">IFERROR(E3563*Eingaben!$B$15,0)</f>
        <v>2.01096</v>
      </c>
      <c r="G3563" s="13" t="n">
        <f aca="false">IFERROR(IF(Kalender!A269="",0,J3562*(1-Eingaben!$B$20)),0)</f>
        <v>0.59122224</v>
      </c>
      <c r="H3563" s="13" t="n">
        <f aca="false">MIN(G3563,D3563)</f>
        <v>0.59122224</v>
      </c>
      <c r="I3563" s="13" t="n">
        <f aca="false">IFERROR(MIN(F3563*Eingaben!$B$19,MAX(0,D3563-H3563)),0)</f>
        <v>1.407672</v>
      </c>
      <c r="J3563" s="13" t="n">
        <f aca="false">IFERROR(MIN(Eingaben!$B$18,MAX(0,F3563-I3563)),0)</f>
        <v>0.603288</v>
      </c>
      <c r="K3563" s="13" t="n">
        <f aca="false">H3563+I3563</f>
        <v>1.99889424</v>
      </c>
      <c r="L3563" s="13" t="n">
        <f aca="false">MAX(0,D3563-K3563)</f>
        <v>2.94110576</v>
      </c>
      <c r="M3563" s="13" t="n">
        <f aca="false">MAX(0,F3563-I3563-J3563)</f>
        <v>0</v>
      </c>
      <c r="N3563" s="13" t="n">
        <f aca="false">IF(Kalender!A269="",0,J3562-H3563)</f>
        <v>0.01206576</v>
      </c>
    </row>
    <row r="3564" customFormat="false" ht="16.4" hidden="false" customHeight="false" outlineLevel="0" collapsed="false">
      <c r="A3564" s="13" t="str">
        <f aca="false">""</f>
        <v/>
      </c>
      <c r="B3564" s="13" t="n">
        <f aca="false">266</f>
        <v>266</v>
      </c>
      <c r="C3564" s="13" t="n">
        <f aca="false">IF(Szenarien!$H$20="OK",(IFERROR(SUMIF(Nutzungsprofile!$B$6:$B$11,"Schulbetrieb",Nutzungsprofile!$G$6:$G$11)*Kalender!C270/SUM(Kalender!$C$5:$C$370),0)+IFERROR(SUMIF(Nutzungsprofile!$B$6:$B$11,"Halle",Nutzungsprofile!$G$6:$G$11)*Kalender!D270/SUM(Kalender!$D$5:$D$370),0)+IFERROR(SUMIF(Nutzungsprofile!$B$6:$B$11,"Individuell",Nutzungsprofile!$G$6:$G$11)*Kalender!E270/SUM(Kalender!$E$5:$E$370),0))*Szenarien!$E$20,0)</f>
        <v>2.352</v>
      </c>
      <c r="D3564" s="13" t="n">
        <f aca="false">IF(Szenarien!$H$20="OK",(IFERROR(SUMIF(Nutzungsprofile!$B$17:$B$22,"Schulbetrieb",Nutzungsprofile!$G$17:$G$22)*Kalender!C270/SUM(Kalender!$C$5:$C$370),0)+IFERROR(SUMIF(Nutzungsprofile!$B$17:$B$22,"Halle",Nutzungsprofile!$G$17:$G$22)*Kalender!D270/SUM(Kalender!$D$5:$D$370),0)+IFERROR(SUMIF(Nutzungsprofile!$B$17:$B$22,"Individuell",Nutzungsprofile!$G$17:$G$22)*Kalender!E270/SUM(Kalender!$E$5:$E$370),0))*Szenarien!$D$20,0)</f>
        <v>4.94</v>
      </c>
      <c r="E3564" s="13" t="n">
        <f aca="false">IFERROR(MIN(C3564,Eingaben!$B$17)*Eingaben!$B$16,0)</f>
        <v>2.2344</v>
      </c>
      <c r="F3564" s="13" t="n">
        <f aca="false">IFERROR(E3564*Eingaben!$B$15,0)</f>
        <v>2.01096</v>
      </c>
      <c r="G3564" s="13" t="n">
        <f aca="false">IFERROR(IF(Kalender!A270="",0,J3563*(1-Eingaben!$B$20)),0)</f>
        <v>0.59122224</v>
      </c>
      <c r="H3564" s="13" t="n">
        <f aca="false">MIN(G3564,D3564)</f>
        <v>0.59122224</v>
      </c>
      <c r="I3564" s="13" t="n">
        <f aca="false">IFERROR(MIN(F3564*Eingaben!$B$19,MAX(0,D3564-H3564)),0)</f>
        <v>1.407672</v>
      </c>
      <c r="J3564" s="13" t="n">
        <f aca="false">IFERROR(MIN(Eingaben!$B$18,MAX(0,F3564-I3564)),0)</f>
        <v>0.603288</v>
      </c>
      <c r="K3564" s="13" t="n">
        <f aca="false">H3564+I3564</f>
        <v>1.99889424</v>
      </c>
      <c r="L3564" s="13" t="n">
        <f aca="false">MAX(0,D3564-K3564)</f>
        <v>2.94110576</v>
      </c>
      <c r="M3564" s="13" t="n">
        <f aca="false">MAX(0,F3564-I3564-J3564)</f>
        <v>0</v>
      </c>
      <c r="N3564" s="13" t="n">
        <f aca="false">IF(Kalender!A270="",0,J3563-H3564)</f>
        <v>0.01206576</v>
      </c>
    </row>
    <row r="3565" customFormat="false" ht="16.4" hidden="false" customHeight="false" outlineLevel="0" collapsed="false">
      <c r="A3565" s="13" t="str">
        <f aca="false">""</f>
        <v/>
      </c>
      <c r="B3565" s="13" t="n">
        <f aca="false">267</f>
        <v>267</v>
      </c>
      <c r="C3565" s="13" t="n">
        <f aca="false">IF(Szenarien!$H$20="OK",(IFERROR(SUMIF(Nutzungsprofile!$B$6:$B$11,"Schulbetrieb",Nutzungsprofile!$G$6:$G$11)*Kalender!C271/SUM(Kalender!$C$5:$C$370),0)+IFERROR(SUMIF(Nutzungsprofile!$B$6:$B$11,"Halle",Nutzungsprofile!$G$6:$G$11)*Kalender!D271/SUM(Kalender!$D$5:$D$370),0)+IFERROR(SUMIF(Nutzungsprofile!$B$6:$B$11,"Individuell",Nutzungsprofile!$G$6:$G$11)*Kalender!E271/SUM(Kalender!$E$5:$E$370),0))*Szenarien!$E$20,0)</f>
        <v>2.352</v>
      </c>
      <c r="D3565" s="13" t="n">
        <f aca="false">IF(Szenarien!$H$20="OK",(IFERROR(SUMIF(Nutzungsprofile!$B$17:$B$22,"Schulbetrieb",Nutzungsprofile!$G$17:$G$22)*Kalender!C271/SUM(Kalender!$C$5:$C$370),0)+IFERROR(SUMIF(Nutzungsprofile!$B$17:$B$22,"Halle",Nutzungsprofile!$G$17:$G$22)*Kalender!D271/SUM(Kalender!$D$5:$D$370),0)+IFERROR(SUMIF(Nutzungsprofile!$B$17:$B$22,"Individuell",Nutzungsprofile!$G$17:$G$22)*Kalender!E271/SUM(Kalender!$E$5:$E$370),0))*Szenarien!$D$20,0)</f>
        <v>4.94</v>
      </c>
      <c r="E3565" s="13" t="n">
        <f aca="false">IFERROR(MIN(C3565,Eingaben!$B$17)*Eingaben!$B$16,0)</f>
        <v>2.2344</v>
      </c>
      <c r="F3565" s="13" t="n">
        <f aca="false">IFERROR(E3565*Eingaben!$B$15,0)</f>
        <v>2.01096</v>
      </c>
      <c r="G3565" s="13" t="n">
        <f aca="false">IFERROR(IF(Kalender!A271="",0,J3564*(1-Eingaben!$B$20)),0)</f>
        <v>0.59122224</v>
      </c>
      <c r="H3565" s="13" t="n">
        <f aca="false">MIN(G3565,D3565)</f>
        <v>0.59122224</v>
      </c>
      <c r="I3565" s="13" t="n">
        <f aca="false">IFERROR(MIN(F3565*Eingaben!$B$19,MAX(0,D3565-H3565)),0)</f>
        <v>1.407672</v>
      </c>
      <c r="J3565" s="13" t="n">
        <f aca="false">IFERROR(MIN(Eingaben!$B$18,MAX(0,F3565-I3565)),0)</f>
        <v>0.603288</v>
      </c>
      <c r="K3565" s="13" t="n">
        <f aca="false">H3565+I3565</f>
        <v>1.99889424</v>
      </c>
      <c r="L3565" s="13" t="n">
        <f aca="false">MAX(0,D3565-K3565)</f>
        <v>2.94110576</v>
      </c>
      <c r="M3565" s="13" t="n">
        <f aca="false">MAX(0,F3565-I3565-J3565)</f>
        <v>0</v>
      </c>
      <c r="N3565" s="13" t="n">
        <f aca="false">IF(Kalender!A271="",0,J3564-H3565)</f>
        <v>0.01206576</v>
      </c>
    </row>
    <row r="3566" customFormat="false" ht="16.4" hidden="false" customHeight="false" outlineLevel="0" collapsed="false">
      <c r="A3566" s="13" t="str">
        <f aca="false">""</f>
        <v/>
      </c>
      <c r="B3566" s="13" t="n">
        <f aca="false">268</f>
        <v>268</v>
      </c>
      <c r="C3566" s="13" t="n">
        <f aca="false">IF(Szenarien!$H$20="OK",(IFERROR(SUMIF(Nutzungsprofile!$B$6:$B$11,"Schulbetrieb",Nutzungsprofile!$G$6:$G$11)*Kalender!C272/SUM(Kalender!$C$5:$C$370),0)+IFERROR(SUMIF(Nutzungsprofile!$B$6:$B$11,"Halle",Nutzungsprofile!$G$6:$G$11)*Kalender!D272/SUM(Kalender!$D$5:$D$370),0)+IFERROR(SUMIF(Nutzungsprofile!$B$6:$B$11,"Individuell",Nutzungsprofile!$G$6:$G$11)*Kalender!E272/SUM(Kalender!$E$5:$E$370),0))*Szenarien!$E$20,0)</f>
        <v>2.352</v>
      </c>
      <c r="D3566" s="13" t="n">
        <f aca="false">IF(Szenarien!$H$20="OK",(IFERROR(SUMIF(Nutzungsprofile!$B$17:$B$22,"Schulbetrieb",Nutzungsprofile!$G$17:$G$22)*Kalender!C272/SUM(Kalender!$C$5:$C$370),0)+IFERROR(SUMIF(Nutzungsprofile!$B$17:$B$22,"Halle",Nutzungsprofile!$G$17:$G$22)*Kalender!D272/SUM(Kalender!$D$5:$D$370),0)+IFERROR(SUMIF(Nutzungsprofile!$B$17:$B$22,"Individuell",Nutzungsprofile!$G$17:$G$22)*Kalender!E272/SUM(Kalender!$E$5:$E$370),0))*Szenarien!$D$20,0)</f>
        <v>4.94</v>
      </c>
      <c r="E3566" s="13" t="n">
        <f aca="false">IFERROR(MIN(C3566,Eingaben!$B$17)*Eingaben!$B$16,0)</f>
        <v>2.2344</v>
      </c>
      <c r="F3566" s="13" t="n">
        <f aca="false">IFERROR(E3566*Eingaben!$B$15,0)</f>
        <v>2.01096</v>
      </c>
      <c r="G3566" s="13" t="n">
        <f aca="false">IFERROR(IF(Kalender!A272="",0,J3565*(1-Eingaben!$B$20)),0)</f>
        <v>0.59122224</v>
      </c>
      <c r="H3566" s="13" t="n">
        <f aca="false">MIN(G3566,D3566)</f>
        <v>0.59122224</v>
      </c>
      <c r="I3566" s="13" t="n">
        <f aca="false">IFERROR(MIN(F3566*Eingaben!$B$19,MAX(0,D3566-H3566)),0)</f>
        <v>1.407672</v>
      </c>
      <c r="J3566" s="13" t="n">
        <f aca="false">IFERROR(MIN(Eingaben!$B$18,MAX(0,F3566-I3566)),0)</f>
        <v>0.603288</v>
      </c>
      <c r="K3566" s="13" t="n">
        <f aca="false">H3566+I3566</f>
        <v>1.99889424</v>
      </c>
      <c r="L3566" s="13" t="n">
        <f aca="false">MAX(0,D3566-K3566)</f>
        <v>2.94110576</v>
      </c>
      <c r="M3566" s="13" t="n">
        <f aca="false">MAX(0,F3566-I3566-J3566)</f>
        <v>0</v>
      </c>
      <c r="N3566" s="13" t="n">
        <f aca="false">IF(Kalender!A272="",0,J3565-H3566)</f>
        <v>0.01206576</v>
      </c>
    </row>
    <row r="3567" customFormat="false" ht="16.4" hidden="false" customHeight="false" outlineLevel="0" collapsed="false">
      <c r="A3567" s="13" t="str">
        <f aca="false">""</f>
        <v/>
      </c>
      <c r="B3567" s="13" t="n">
        <f aca="false">269</f>
        <v>269</v>
      </c>
      <c r="C3567" s="13" t="n">
        <f aca="false">IF(Szenarien!$H$20="OK",(IFERROR(SUMIF(Nutzungsprofile!$B$6:$B$11,"Schulbetrieb",Nutzungsprofile!$G$6:$G$11)*Kalender!C273/SUM(Kalender!$C$5:$C$370),0)+IFERROR(SUMIF(Nutzungsprofile!$B$6:$B$11,"Halle",Nutzungsprofile!$G$6:$G$11)*Kalender!D273/SUM(Kalender!$D$5:$D$370),0)+IFERROR(SUMIF(Nutzungsprofile!$B$6:$B$11,"Individuell",Nutzungsprofile!$G$6:$G$11)*Kalender!E273/SUM(Kalender!$E$5:$E$370),0))*Szenarien!$E$20,0)</f>
        <v>1.632</v>
      </c>
      <c r="D3567" s="13" t="n">
        <f aca="false">IF(Szenarien!$H$20="OK",(IFERROR(SUMIF(Nutzungsprofile!$B$17:$B$22,"Schulbetrieb",Nutzungsprofile!$G$17:$G$22)*Kalender!C273/SUM(Kalender!$C$5:$C$370),0)+IFERROR(SUMIF(Nutzungsprofile!$B$17:$B$22,"Halle",Nutzungsprofile!$G$17:$G$22)*Kalender!D273/SUM(Kalender!$D$5:$D$370),0)+IFERROR(SUMIF(Nutzungsprofile!$B$17:$B$22,"Individuell",Nutzungsprofile!$G$17:$G$22)*Kalender!E273/SUM(Kalender!$E$5:$E$370),0))*Szenarien!$D$20,0)</f>
        <v>0.89</v>
      </c>
      <c r="E3567" s="13" t="n">
        <f aca="false">IFERROR(MIN(C3567,Eingaben!$B$17)*Eingaben!$B$16,0)</f>
        <v>1.5504</v>
      </c>
      <c r="F3567" s="13" t="n">
        <f aca="false">IFERROR(E3567*Eingaben!$B$15,0)</f>
        <v>1.39536</v>
      </c>
      <c r="G3567" s="13" t="n">
        <f aca="false">IFERROR(IF(Kalender!A273="",0,J3566*(1-Eingaben!$B$20)),0)</f>
        <v>0.59122224</v>
      </c>
      <c r="H3567" s="13" t="n">
        <f aca="false">MIN(G3567,D3567)</f>
        <v>0.59122224</v>
      </c>
      <c r="I3567" s="13" t="n">
        <f aca="false">IFERROR(MIN(F3567*Eingaben!$B$19,MAX(0,D3567-H3567)),0)</f>
        <v>0.29877776</v>
      </c>
      <c r="J3567" s="13" t="n">
        <f aca="false">IFERROR(MIN(Eingaben!$B$18,MAX(0,F3567-I3567)),0)</f>
        <v>1.09658224</v>
      </c>
      <c r="K3567" s="13" t="n">
        <f aca="false">H3567+I3567</f>
        <v>0.89</v>
      </c>
      <c r="L3567" s="13" t="n">
        <f aca="false">MAX(0,D3567-K3567)</f>
        <v>0</v>
      </c>
      <c r="M3567" s="13" t="n">
        <f aca="false">MAX(0,F3567-I3567-J3567)</f>
        <v>0</v>
      </c>
      <c r="N3567" s="13" t="n">
        <f aca="false">IF(Kalender!A273="",0,J3566-H3567)</f>
        <v>0.01206576</v>
      </c>
    </row>
    <row r="3568" customFormat="false" ht="16.4" hidden="false" customHeight="false" outlineLevel="0" collapsed="false">
      <c r="A3568" s="13" t="str">
        <f aca="false">""</f>
        <v/>
      </c>
      <c r="B3568" s="13" t="n">
        <f aca="false">270</f>
        <v>270</v>
      </c>
      <c r="C3568" s="13" t="n">
        <f aca="false">IF(Szenarien!$H$20="OK",(IFERROR(SUMIF(Nutzungsprofile!$B$6:$B$11,"Schulbetrieb",Nutzungsprofile!$G$6:$G$11)*Kalender!C274/SUM(Kalender!$C$5:$C$370),0)+IFERROR(SUMIF(Nutzungsprofile!$B$6:$B$11,"Halle",Nutzungsprofile!$G$6:$G$11)*Kalender!D274/SUM(Kalender!$D$5:$D$370),0)+IFERROR(SUMIF(Nutzungsprofile!$B$6:$B$11,"Individuell",Nutzungsprofile!$G$6:$G$11)*Kalender!E274/SUM(Kalender!$E$5:$E$370),0))*Szenarien!$E$20,0)</f>
        <v>1.632</v>
      </c>
      <c r="D3568" s="13" t="n">
        <f aca="false">IF(Szenarien!$H$20="OK",(IFERROR(SUMIF(Nutzungsprofile!$B$17:$B$22,"Schulbetrieb",Nutzungsprofile!$G$17:$G$22)*Kalender!C274/SUM(Kalender!$C$5:$C$370),0)+IFERROR(SUMIF(Nutzungsprofile!$B$17:$B$22,"Halle",Nutzungsprofile!$G$17:$G$22)*Kalender!D274/SUM(Kalender!$D$5:$D$370),0)+IFERROR(SUMIF(Nutzungsprofile!$B$17:$B$22,"Individuell",Nutzungsprofile!$G$17:$G$22)*Kalender!E274/SUM(Kalender!$E$5:$E$370),0))*Szenarien!$D$20,0)</f>
        <v>0.89</v>
      </c>
      <c r="E3568" s="13" t="n">
        <f aca="false">IFERROR(MIN(C3568,Eingaben!$B$17)*Eingaben!$B$16,0)</f>
        <v>1.5504</v>
      </c>
      <c r="F3568" s="13" t="n">
        <f aca="false">IFERROR(E3568*Eingaben!$B$15,0)</f>
        <v>1.39536</v>
      </c>
      <c r="G3568" s="13" t="n">
        <f aca="false">IFERROR(IF(Kalender!A274="",0,J3567*(1-Eingaben!$B$20)),0)</f>
        <v>1.0746505952</v>
      </c>
      <c r="H3568" s="13" t="n">
        <f aca="false">MIN(G3568,D3568)</f>
        <v>0.89</v>
      </c>
      <c r="I3568" s="13" t="n">
        <f aca="false">IFERROR(MIN(F3568*Eingaben!$B$19,MAX(0,D3568-H3568)),0)</f>
        <v>0</v>
      </c>
      <c r="J3568" s="13" t="n">
        <f aca="false">IFERROR(MIN(Eingaben!$B$18,MAX(0,F3568-I3568)),0)</f>
        <v>1.39536</v>
      </c>
      <c r="K3568" s="13" t="n">
        <f aca="false">H3568+I3568</f>
        <v>0.89</v>
      </c>
      <c r="L3568" s="13" t="n">
        <f aca="false">MAX(0,D3568-K3568)</f>
        <v>0</v>
      </c>
      <c r="M3568" s="13" t="n">
        <f aca="false">MAX(0,F3568-I3568-J3568)</f>
        <v>0</v>
      </c>
      <c r="N3568" s="13" t="n">
        <f aca="false">IF(Kalender!A274="",0,J3567-H3568)</f>
        <v>0.20658224</v>
      </c>
    </row>
    <row r="3569" customFormat="false" ht="16.4" hidden="false" customHeight="false" outlineLevel="0" collapsed="false">
      <c r="A3569" s="13" t="str">
        <f aca="false">""</f>
        <v/>
      </c>
      <c r="B3569" s="13" t="n">
        <f aca="false">271</f>
        <v>271</v>
      </c>
      <c r="C3569" s="13" t="n">
        <f aca="false">IF(Szenarien!$H$20="OK",(IFERROR(SUMIF(Nutzungsprofile!$B$6:$B$11,"Schulbetrieb",Nutzungsprofile!$G$6:$G$11)*Kalender!C275/SUM(Kalender!$C$5:$C$370),0)+IFERROR(SUMIF(Nutzungsprofile!$B$6:$B$11,"Halle",Nutzungsprofile!$G$6:$G$11)*Kalender!D275/SUM(Kalender!$D$5:$D$370),0)+IFERROR(SUMIF(Nutzungsprofile!$B$6:$B$11,"Individuell",Nutzungsprofile!$G$6:$G$11)*Kalender!E275/SUM(Kalender!$E$5:$E$370),0))*Szenarien!$E$20,0)</f>
        <v>2.352</v>
      </c>
      <c r="D3569" s="13" t="n">
        <f aca="false">IF(Szenarien!$H$20="OK",(IFERROR(SUMIF(Nutzungsprofile!$B$17:$B$22,"Schulbetrieb",Nutzungsprofile!$G$17:$G$22)*Kalender!C275/SUM(Kalender!$C$5:$C$370),0)+IFERROR(SUMIF(Nutzungsprofile!$B$17:$B$22,"Halle",Nutzungsprofile!$G$17:$G$22)*Kalender!D275/SUM(Kalender!$D$5:$D$370),0)+IFERROR(SUMIF(Nutzungsprofile!$B$17:$B$22,"Individuell",Nutzungsprofile!$G$17:$G$22)*Kalender!E275/SUM(Kalender!$E$5:$E$370),0))*Szenarien!$D$20,0)</f>
        <v>4.94</v>
      </c>
      <c r="E3569" s="13" t="n">
        <f aca="false">IFERROR(MIN(C3569,Eingaben!$B$17)*Eingaben!$B$16,0)</f>
        <v>2.2344</v>
      </c>
      <c r="F3569" s="13" t="n">
        <f aca="false">IFERROR(E3569*Eingaben!$B$15,0)</f>
        <v>2.01096</v>
      </c>
      <c r="G3569" s="13" t="n">
        <f aca="false">IFERROR(IF(Kalender!A275="",0,J3568*(1-Eingaben!$B$20)),0)</f>
        <v>1.3674528</v>
      </c>
      <c r="H3569" s="13" t="n">
        <f aca="false">MIN(G3569,D3569)</f>
        <v>1.3674528</v>
      </c>
      <c r="I3569" s="13" t="n">
        <f aca="false">IFERROR(MIN(F3569*Eingaben!$B$19,MAX(0,D3569-H3569)),0)</f>
        <v>1.407672</v>
      </c>
      <c r="J3569" s="13" t="n">
        <f aca="false">IFERROR(MIN(Eingaben!$B$18,MAX(0,F3569-I3569)),0)</f>
        <v>0.603288</v>
      </c>
      <c r="K3569" s="13" t="n">
        <f aca="false">H3569+I3569</f>
        <v>2.7751248</v>
      </c>
      <c r="L3569" s="13" t="n">
        <f aca="false">MAX(0,D3569-K3569)</f>
        <v>2.1648752</v>
      </c>
      <c r="M3569" s="13" t="n">
        <f aca="false">MAX(0,F3569-I3569-J3569)</f>
        <v>0</v>
      </c>
      <c r="N3569" s="13" t="n">
        <f aca="false">IF(Kalender!A275="",0,J3568-H3569)</f>
        <v>0.0279072</v>
      </c>
    </row>
    <row r="3570" customFormat="false" ht="16.4" hidden="false" customHeight="false" outlineLevel="0" collapsed="false">
      <c r="A3570" s="13" t="str">
        <f aca="false">""</f>
        <v/>
      </c>
      <c r="B3570" s="13" t="n">
        <f aca="false">272</f>
        <v>272</v>
      </c>
      <c r="C3570" s="13" t="n">
        <f aca="false">IF(Szenarien!$H$20="OK",(IFERROR(SUMIF(Nutzungsprofile!$B$6:$B$11,"Schulbetrieb",Nutzungsprofile!$G$6:$G$11)*Kalender!C276/SUM(Kalender!$C$5:$C$370),0)+IFERROR(SUMIF(Nutzungsprofile!$B$6:$B$11,"Halle",Nutzungsprofile!$G$6:$G$11)*Kalender!D276/SUM(Kalender!$D$5:$D$370),0)+IFERROR(SUMIF(Nutzungsprofile!$B$6:$B$11,"Individuell",Nutzungsprofile!$G$6:$G$11)*Kalender!E276/SUM(Kalender!$E$5:$E$370),0))*Szenarien!$E$20,0)</f>
        <v>2.352</v>
      </c>
      <c r="D3570" s="13" t="n">
        <f aca="false">IF(Szenarien!$H$20="OK",(IFERROR(SUMIF(Nutzungsprofile!$B$17:$B$22,"Schulbetrieb",Nutzungsprofile!$G$17:$G$22)*Kalender!C276/SUM(Kalender!$C$5:$C$370),0)+IFERROR(SUMIF(Nutzungsprofile!$B$17:$B$22,"Halle",Nutzungsprofile!$G$17:$G$22)*Kalender!D276/SUM(Kalender!$D$5:$D$370),0)+IFERROR(SUMIF(Nutzungsprofile!$B$17:$B$22,"Individuell",Nutzungsprofile!$G$17:$G$22)*Kalender!E276/SUM(Kalender!$E$5:$E$370),0))*Szenarien!$D$20,0)</f>
        <v>4.94</v>
      </c>
      <c r="E3570" s="13" t="n">
        <f aca="false">IFERROR(MIN(C3570,Eingaben!$B$17)*Eingaben!$B$16,0)</f>
        <v>2.2344</v>
      </c>
      <c r="F3570" s="13" t="n">
        <f aca="false">IFERROR(E3570*Eingaben!$B$15,0)</f>
        <v>2.01096</v>
      </c>
      <c r="G3570" s="13" t="n">
        <f aca="false">IFERROR(IF(Kalender!A276="",0,J3569*(1-Eingaben!$B$20)),0)</f>
        <v>0.59122224</v>
      </c>
      <c r="H3570" s="13" t="n">
        <f aca="false">MIN(G3570,D3570)</f>
        <v>0.59122224</v>
      </c>
      <c r="I3570" s="13" t="n">
        <f aca="false">IFERROR(MIN(F3570*Eingaben!$B$19,MAX(0,D3570-H3570)),0)</f>
        <v>1.407672</v>
      </c>
      <c r="J3570" s="13" t="n">
        <f aca="false">IFERROR(MIN(Eingaben!$B$18,MAX(0,F3570-I3570)),0)</f>
        <v>0.603288</v>
      </c>
      <c r="K3570" s="13" t="n">
        <f aca="false">H3570+I3570</f>
        <v>1.99889424</v>
      </c>
      <c r="L3570" s="13" t="n">
        <f aca="false">MAX(0,D3570-K3570)</f>
        <v>2.94110576</v>
      </c>
      <c r="M3570" s="13" t="n">
        <f aca="false">MAX(0,F3570-I3570-J3570)</f>
        <v>0</v>
      </c>
      <c r="N3570" s="13" t="n">
        <f aca="false">IF(Kalender!A276="",0,J3569-H3570)</f>
        <v>0.01206576</v>
      </c>
    </row>
    <row r="3571" customFormat="false" ht="16.4" hidden="false" customHeight="false" outlineLevel="0" collapsed="false">
      <c r="A3571" s="13" t="str">
        <f aca="false">""</f>
        <v/>
      </c>
      <c r="B3571" s="13" t="n">
        <f aca="false">273</f>
        <v>273</v>
      </c>
      <c r="C3571" s="13" t="n">
        <f aca="false">IF(Szenarien!$H$20="OK",(IFERROR(SUMIF(Nutzungsprofile!$B$6:$B$11,"Schulbetrieb",Nutzungsprofile!$G$6:$G$11)*Kalender!C277/SUM(Kalender!$C$5:$C$370),0)+IFERROR(SUMIF(Nutzungsprofile!$B$6:$B$11,"Halle",Nutzungsprofile!$G$6:$G$11)*Kalender!D277/SUM(Kalender!$D$5:$D$370),0)+IFERROR(SUMIF(Nutzungsprofile!$B$6:$B$11,"Individuell",Nutzungsprofile!$G$6:$G$11)*Kalender!E277/SUM(Kalender!$E$5:$E$370),0))*Szenarien!$E$20,0)</f>
        <v>2.352</v>
      </c>
      <c r="D3571" s="13" t="n">
        <f aca="false">IF(Szenarien!$H$20="OK",(IFERROR(SUMIF(Nutzungsprofile!$B$17:$B$22,"Schulbetrieb",Nutzungsprofile!$G$17:$G$22)*Kalender!C277/SUM(Kalender!$C$5:$C$370),0)+IFERROR(SUMIF(Nutzungsprofile!$B$17:$B$22,"Halle",Nutzungsprofile!$G$17:$G$22)*Kalender!D277/SUM(Kalender!$D$5:$D$370),0)+IFERROR(SUMIF(Nutzungsprofile!$B$17:$B$22,"Individuell",Nutzungsprofile!$G$17:$G$22)*Kalender!E277/SUM(Kalender!$E$5:$E$370),0))*Szenarien!$D$20,0)</f>
        <v>4.94</v>
      </c>
      <c r="E3571" s="13" t="n">
        <f aca="false">IFERROR(MIN(C3571,Eingaben!$B$17)*Eingaben!$B$16,0)</f>
        <v>2.2344</v>
      </c>
      <c r="F3571" s="13" t="n">
        <f aca="false">IFERROR(E3571*Eingaben!$B$15,0)</f>
        <v>2.01096</v>
      </c>
      <c r="G3571" s="13" t="n">
        <f aca="false">IFERROR(IF(Kalender!A277="",0,J3570*(1-Eingaben!$B$20)),0)</f>
        <v>0.59122224</v>
      </c>
      <c r="H3571" s="13" t="n">
        <f aca="false">MIN(G3571,D3571)</f>
        <v>0.59122224</v>
      </c>
      <c r="I3571" s="13" t="n">
        <f aca="false">IFERROR(MIN(F3571*Eingaben!$B$19,MAX(0,D3571-H3571)),0)</f>
        <v>1.407672</v>
      </c>
      <c r="J3571" s="13" t="n">
        <f aca="false">IFERROR(MIN(Eingaben!$B$18,MAX(0,F3571-I3571)),0)</f>
        <v>0.603288</v>
      </c>
      <c r="K3571" s="13" t="n">
        <f aca="false">H3571+I3571</f>
        <v>1.99889424</v>
      </c>
      <c r="L3571" s="13" t="n">
        <f aca="false">MAX(0,D3571-K3571)</f>
        <v>2.94110576</v>
      </c>
      <c r="M3571" s="13" t="n">
        <f aca="false">MAX(0,F3571-I3571-J3571)</f>
        <v>0</v>
      </c>
      <c r="N3571" s="13" t="n">
        <f aca="false">IF(Kalender!A277="",0,J3570-H3571)</f>
        <v>0.01206576</v>
      </c>
    </row>
    <row r="3572" customFormat="false" ht="16.4" hidden="false" customHeight="false" outlineLevel="0" collapsed="false">
      <c r="A3572" s="13" t="str">
        <f aca="false">""</f>
        <v/>
      </c>
      <c r="B3572" s="13" t="n">
        <f aca="false">274</f>
        <v>274</v>
      </c>
      <c r="C3572" s="13" t="n">
        <f aca="false">IF(Szenarien!$H$20="OK",(IFERROR(SUMIF(Nutzungsprofile!$B$6:$B$11,"Schulbetrieb",Nutzungsprofile!$G$6:$G$11)*Kalender!C278/SUM(Kalender!$C$5:$C$370),0)+IFERROR(SUMIF(Nutzungsprofile!$B$6:$B$11,"Halle",Nutzungsprofile!$G$6:$G$11)*Kalender!D278/SUM(Kalender!$D$5:$D$370),0)+IFERROR(SUMIF(Nutzungsprofile!$B$6:$B$11,"Individuell",Nutzungsprofile!$G$6:$G$11)*Kalender!E278/SUM(Kalender!$E$5:$E$370),0))*Szenarien!$E$20,0)</f>
        <v>2.352</v>
      </c>
      <c r="D3572" s="13" t="n">
        <f aca="false">IF(Szenarien!$H$20="OK",(IFERROR(SUMIF(Nutzungsprofile!$B$17:$B$22,"Schulbetrieb",Nutzungsprofile!$G$17:$G$22)*Kalender!C278/SUM(Kalender!$C$5:$C$370),0)+IFERROR(SUMIF(Nutzungsprofile!$B$17:$B$22,"Halle",Nutzungsprofile!$G$17:$G$22)*Kalender!D278/SUM(Kalender!$D$5:$D$370),0)+IFERROR(SUMIF(Nutzungsprofile!$B$17:$B$22,"Individuell",Nutzungsprofile!$G$17:$G$22)*Kalender!E278/SUM(Kalender!$E$5:$E$370),0))*Szenarien!$D$20,0)</f>
        <v>4.94</v>
      </c>
      <c r="E3572" s="13" t="n">
        <f aca="false">IFERROR(MIN(C3572,Eingaben!$B$17)*Eingaben!$B$16,0)</f>
        <v>2.2344</v>
      </c>
      <c r="F3572" s="13" t="n">
        <f aca="false">IFERROR(E3572*Eingaben!$B$15,0)</f>
        <v>2.01096</v>
      </c>
      <c r="G3572" s="13" t="n">
        <f aca="false">IFERROR(IF(Kalender!A278="",0,J3571*(1-Eingaben!$B$20)),0)</f>
        <v>0.59122224</v>
      </c>
      <c r="H3572" s="13" t="n">
        <f aca="false">MIN(G3572,D3572)</f>
        <v>0.59122224</v>
      </c>
      <c r="I3572" s="13" t="n">
        <f aca="false">IFERROR(MIN(F3572*Eingaben!$B$19,MAX(0,D3572-H3572)),0)</f>
        <v>1.407672</v>
      </c>
      <c r="J3572" s="13" t="n">
        <f aca="false">IFERROR(MIN(Eingaben!$B$18,MAX(0,F3572-I3572)),0)</f>
        <v>0.603288</v>
      </c>
      <c r="K3572" s="13" t="n">
        <f aca="false">H3572+I3572</f>
        <v>1.99889424</v>
      </c>
      <c r="L3572" s="13" t="n">
        <f aca="false">MAX(0,D3572-K3572)</f>
        <v>2.94110576</v>
      </c>
      <c r="M3572" s="13" t="n">
        <f aca="false">MAX(0,F3572-I3572-J3572)</f>
        <v>0</v>
      </c>
      <c r="N3572" s="13" t="n">
        <f aca="false">IF(Kalender!A278="",0,J3571-H3572)</f>
        <v>0.01206576</v>
      </c>
    </row>
    <row r="3573" customFormat="false" ht="16.4" hidden="false" customHeight="false" outlineLevel="0" collapsed="false">
      <c r="A3573" s="13" t="str">
        <f aca="false">""</f>
        <v/>
      </c>
      <c r="B3573" s="13" t="n">
        <f aca="false">275</f>
        <v>275</v>
      </c>
      <c r="C3573" s="13" t="n">
        <f aca="false">IF(Szenarien!$H$20="OK",(IFERROR(SUMIF(Nutzungsprofile!$B$6:$B$11,"Schulbetrieb",Nutzungsprofile!$G$6:$G$11)*Kalender!C279/SUM(Kalender!$C$5:$C$370),0)+IFERROR(SUMIF(Nutzungsprofile!$B$6:$B$11,"Halle",Nutzungsprofile!$G$6:$G$11)*Kalender!D279/SUM(Kalender!$D$5:$D$370),0)+IFERROR(SUMIF(Nutzungsprofile!$B$6:$B$11,"Individuell",Nutzungsprofile!$G$6:$G$11)*Kalender!E279/SUM(Kalender!$E$5:$E$370),0))*Szenarien!$E$20,0)</f>
        <v>2.352</v>
      </c>
      <c r="D3573" s="13" t="n">
        <f aca="false">IF(Szenarien!$H$20="OK",(IFERROR(SUMIF(Nutzungsprofile!$B$17:$B$22,"Schulbetrieb",Nutzungsprofile!$G$17:$G$22)*Kalender!C279/SUM(Kalender!$C$5:$C$370),0)+IFERROR(SUMIF(Nutzungsprofile!$B$17:$B$22,"Halle",Nutzungsprofile!$G$17:$G$22)*Kalender!D279/SUM(Kalender!$D$5:$D$370),0)+IFERROR(SUMIF(Nutzungsprofile!$B$17:$B$22,"Individuell",Nutzungsprofile!$G$17:$G$22)*Kalender!E279/SUM(Kalender!$E$5:$E$370),0))*Szenarien!$D$20,0)</f>
        <v>4.94</v>
      </c>
      <c r="E3573" s="13" t="n">
        <f aca="false">IFERROR(MIN(C3573,Eingaben!$B$17)*Eingaben!$B$16,0)</f>
        <v>2.2344</v>
      </c>
      <c r="F3573" s="13" t="n">
        <f aca="false">IFERROR(E3573*Eingaben!$B$15,0)</f>
        <v>2.01096</v>
      </c>
      <c r="G3573" s="13" t="n">
        <f aca="false">IFERROR(IF(Kalender!A279="",0,J3572*(1-Eingaben!$B$20)),0)</f>
        <v>0.59122224</v>
      </c>
      <c r="H3573" s="13" t="n">
        <f aca="false">MIN(G3573,D3573)</f>
        <v>0.59122224</v>
      </c>
      <c r="I3573" s="13" t="n">
        <f aca="false">IFERROR(MIN(F3573*Eingaben!$B$19,MAX(0,D3573-H3573)),0)</f>
        <v>1.407672</v>
      </c>
      <c r="J3573" s="13" t="n">
        <f aca="false">IFERROR(MIN(Eingaben!$B$18,MAX(0,F3573-I3573)),0)</f>
        <v>0.603288</v>
      </c>
      <c r="K3573" s="13" t="n">
        <f aca="false">H3573+I3573</f>
        <v>1.99889424</v>
      </c>
      <c r="L3573" s="13" t="n">
        <f aca="false">MAX(0,D3573-K3573)</f>
        <v>2.94110576</v>
      </c>
      <c r="M3573" s="13" t="n">
        <f aca="false">MAX(0,F3573-I3573-J3573)</f>
        <v>0</v>
      </c>
      <c r="N3573" s="13" t="n">
        <f aca="false">IF(Kalender!A279="",0,J3572-H3573)</f>
        <v>0.01206576</v>
      </c>
    </row>
    <row r="3574" customFormat="false" ht="16.4" hidden="false" customHeight="false" outlineLevel="0" collapsed="false">
      <c r="A3574" s="13" t="str">
        <f aca="false">""</f>
        <v/>
      </c>
      <c r="B3574" s="13" t="n">
        <f aca="false">276</f>
        <v>276</v>
      </c>
      <c r="C3574" s="13" t="n">
        <f aca="false">IF(Szenarien!$H$20="OK",(IFERROR(SUMIF(Nutzungsprofile!$B$6:$B$11,"Schulbetrieb",Nutzungsprofile!$G$6:$G$11)*Kalender!C280/SUM(Kalender!$C$5:$C$370),0)+IFERROR(SUMIF(Nutzungsprofile!$B$6:$B$11,"Halle",Nutzungsprofile!$G$6:$G$11)*Kalender!D280/SUM(Kalender!$D$5:$D$370),0)+IFERROR(SUMIF(Nutzungsprofile!$B$6:$B$11,"Individuell",Nutzungsprofile!$G$6:$G$11)*Kalender!E280/SUM(Kalender!$E$5:$E$370),0))*Szenarien!$E$20,0)</f>
        <v>1.632</v>
      </c>
      <c r="D3574" s="13" t="n">
        <f aca="false">IF(Szenarien!$H$20="OK",(IFERROR(SUMIF(Nutzungsprofile!$B$17:$B$22,"Schulbetrieb",Nutzungsprofile!$G$17:$G$22)*Kalender!C280/SUM(Kalender!$C$5:$C$370),0)+IFERROR(SUMIF(Nutzungsprofile!$B$17:$B$22,"Halle",Nutzungsprofile!$G$17:$G$22)*Kalender!D280/SUM(Kalender!$D$5:$D$370),0)+IFERROR(SUMIF(Nutzungsprofile!$B$17:$B$22,"Individuell",Nutzungsprofile!$G$17:$G$22)*Kalender!E280/SUM(Kalender!$E$5:$E$370),0))*Szenarien!$D$20,0)</f>
        <v>0.89</v>
      </c>
      <c r="E3574" s="13" t="n">
        <f aca="false">IFERROR(MIN(C3574,Eingaben!$B$17)*Eingaben!$B$16,0)</f>
        <v>1.5504</v>
      </c>
      <c r="F3574" s="13" t="n">
        <f aca="false">IFERROR(E3574*Eingaben!$B$15,0)</f>
        <v>1.39536</v>
      </c>
      <c r="G3574" s="13" t="n">
        <f aca="false">IFERROR(IF(Kalender!A280="",0,J3573*(1-Eingaben!$B$20)),0)</f>
        <v>0.59122224</v>
      </c>
      <c r="H3574" s="13" t="n">
        <f aca="false">MIN(G3574,D3574)</f>
        <v>0.59122224</v>
      </c>
      <c r="I3574" s="13" t="n">
        <f aca="false">IFERROR(MIN(F3574*Eingaben!$B$19,MAX(0,D3574-H3574)),0)</f>
        <v>0.29877776</v>
      </c>
      <c r="J3574" s="13" t="n">
        <f aca="false">IFERROR(MIN(Eingaben!$B$18,MAX(0,F3574-I3574)),0)</f>
        <v>1.09658224</v>
      </c>
      <c r="K3574" s="13" t="n">
        <f aca="false">H3574+I3574</f>
        <v>0.89</v>
      </c>
      <c r="L3574" s="13" t="n">
        <f aca="false">MAX(0,D3574-K3574)</f>
        <v>0</v>
      </c>
      <c r="M3574" s="13" t="n">
        <f aca="false">MAX(0,F3574-I3574-J3574)</f>
        <v>0</v>
      </c>
      <c r="N3574" s="13" t="n">
        <f aca="false">IF(Kalender!A280="",0,J3573-H3574)</f>
        <v>0.01206576</v>
      </c>
    </row>
    <row r="3575" customFormat="false" ht="16.4" hidden="false" customHeight="false" outlineLevel="0" collapsed="false">
      <c r="A3575" s="13" t="str">
        <f aca="false">""</f>
        <v/>
      </c>
      <c r="B3575" s="13" t="n">
        <f aca="false">277</f>
        <v>277</v>
      </c>
      <c r="C3575" s="13" t="n">
        <f aca="false">IF(Szenarien!$H$20="OK",(IFERROR(SUMIF(Nutzungsprofile!$B$6:$B$11,"Schulbetrieb",Nutzungsprofile!$G$6:$G$11)*Kalender!C281/SUM(Kalender!$C$5:$C$370),0)+IFERROR(SUMIF(Nutzungsprofile!$B$6:$B$11,"Halle",Nutzungsprofile!$G$6:$G$11)*Kalender!D281/SUM(Kalender!$D$5:$D$370),0)+IFERROR(SUMIF(Nutzungsprofile!$B$6:$B$11,"Individuell",Nutzungsprofile!$G$6:$G$11)*Kalender!E281/SUM(Kalender!$E$5:$E$370),0))*Szenarien!$E$20,0)</f>
        <v>1.632</v>
      </c>
      <c r="D3575" s="13" t="n">
        <f aca="false">IF(Szenarien!$H$20="OK",(IFERROR(SUMIF(Nutzungsprofile!$B$17:$B$22,"Schulbetrieb",Nutzungsprofile!$G$17:$G$22)*Kalender!C281/SUM(Kalender!$C$5:$C$370),0)+IFERROR(SUMIF(Nutzungsprofile!$B$17:$B$22,"Halle",Nutzungsprofile!$G$17:$G$22)*Kalender!D281/SUM(Kalender!$D$5:$D$370),0)+IFERROR(SUMIF(Nutzungsprofile!$B$17:$B$22,"Individuell",Nutzungsprofile!$G$17:$G$22)*Kalender!E281/SUM(Kalender!$E$5:$E$370),0))*Szenarien!$D$20,0)</f>
        <v>0.89</v>
      </c>
      <c r="E3575" s="13" t="n">
        <f aca="false">IFERROR(MIN(C3575,Eingaben!$B$17)*Eingaben!$B$16,0)</f>
        <v>1.5504</v>
      </c>
      <c r="F3575" s="13" t="n">
        <f aca="false">IFERROR(E3575*Eingaben!$B$15,0)</f>
        <v>1.39536</v>
      </c>
      <c r="G3575" s="13" t="n">
        <f aca="false">IFERROR(IF(Kalender!A281="",0,J3574*(1-Eingaben!$B$20)),0)</f>
        <v>1.0746505952</v>
      </c>
      <c r="H3575" s="13" t="n">
        <f aca="false">MIN(G3575,D3575)</f>
        <v>0.89</v>
      </c>
      <c r="I3575" s="13" t="n">
        <f aca="false">IFERROR(MIN(F3575*Eingaben!$B$19,MAX(0,D3575-H3575)),0)</f>
        <v>0</v>
      </c>
      <c r="J3575" s="13" t="n">
        <f aca="false">IFERROR(MIN(Eingaben!$B$18,MAX(0,F3575-I3575)),0)</f>
        <v>1.39536</v>
      </c>
      <c r="K3575" s="13" t="n">
        <f aca="false">H3575+I3575</f>
        <v>0.89</v>
      </c>
      <c r="L3575" s="13" t="n">
        <f aca="false">MAX(0,D3575-K3575)</f>
        <v>0</v>
      </c>
      <c r="M3575" s="13" t="n">
        <f aca="false">MAX(0,F3575-I3575-J3575)</f>
        <v>0</v>
      </c>
      <c r="N3575" s="13" t="n">
        <f aca="false">IF(Kalender!A281="",0,J3574-H3575)</f>
        <v>0.20658224</v>
      </c>
    </row>
    <row r="3576" customFormat="false" ht="16.4" hidden="false" customHeight="false" outlineLevel="0" collapsed="false">
      <c r="A3576" s="13" t="str">
        <f aca="false">""</f>
        <v/>
      </c>
      <c r="B3576" s="13" t="n">
        <f aca="false">278</f>
        <v>278</v>
      </c>
      <c r="C3576" s="13" t="n">
        <f aca="false">IF(Szenarien!$H$20="OK",(IFERROR(SUMIF(Nutzungsprofile!$B$6:$B$11,"Schulbetrieb",Nutzungsprofile!$G$6:$G$11)*Kalender!C282/SUM(Kalender!$C$5:$C$370),0)+IFERROR(SUMIF(Nutzungsprofile!$B$6:$B$11,"Halle",Nutzungsprofile!$G$6:$G$11)*Kalender!D282/SUM(Kalender!$D$5:$D$370),0)+IFERROR(SUMIF(Nutzungsprofile!$B$6:$B$11,"Individuell",Nutzungsprofile!$G$6:$G$11)*Kalender!E282/SUM(Kalender!$E$5:$E$370),0))*Szenarien!$E$20,0)</f>
        <v>2.352</v>
      </c>
      <c r="D3576" s="13" t="n">
        <f aca="false">IF(Szenarien!$H$20="OK",(IFERROR(SUMIF(Nutzungsprofile!$B$17:$B$22,"Schulbetrieb",Nutzungsprofile!$G$17:$G$22)*Kalender!C282/SUM(Kalender!$C$5:$C$370),0)+IFERROR(SUMIF(Nutzungsprofile!$B$17:$B$22,"Halle",Nutzungsprofile!$G$17:$G$22)*Kalender!D282/SUM(Kalender!$D$5:$D$370),0)+IFERROR(SUMIF(Nutzungsprofile!$B$17:$B$22,"Individuell",Nutzungsprofile!$G$17:$G$22)*Kalender!E282/SUM(Kalender!$E$5:$E$370),0))*Szenarien!$D$20,0)</f>
        <v>4.94</v>
      </c>
      <c r="E3576" s="13" t="n">
        <f aca="false">IFERROR(MIN(C3576,Eingaben!$B$17)*Eingaben!$B$16,0)</f>
        <v>2.2344</v>
      </c>
      <c r="F3576" s="13" t="n">
        <f aca="false">IFERROR(E3576*Eingaben!$B$15,0)</f>
        <v>2.01096</v>
      </c>
      <c r="G3576" s="13" t="n">
        <f aca="false">IFERROR(IF(Kalender!A282="",0,J3575*(1-Eingaben!$B$20)),0)</f>
        <v>1.3674528</v>
      </c>
      <c r="H3576" s="13" t="n">
        <f aca="false">MIN(G3576,D3576)</f>
        <v>1.3674528</v>
      </c>
      <c r="I3576" s="13" t="n">
        <f aca="false">IFERROR(MIN(F3576*Eingaben!$B$19,MAX(0,D3576-H3576)),0)</f>
        <v>1.407672</v>
      </c>
      <c r="J3576" s="13" t="n">
        <f aca="false">IFERROR(MIN(Eingaben!$B$18,MAX(0,F3576-I3576)),0)</f>
        <v>0.603288</v>
      </c>
      <c r="K3576" s="13" t="n">
        <f aca="false">H3576+I3576</f>
        <v>2.7751248</v>
      </c>
      <c r="L3576" s="13" t="n">
        <f aca="false">MAX(0,D3576-K3576)</f>
        <v>2.1648752</v>
      </c>
      <c r="M3576" s="13" t="n">
        <f aca="false">MAX(0,F3576-I3576-J3576)</f>
        <v>0</v>
      </c>
      <c r="N3576" s="13" t="n">
        <f aca="false">IF(Kalender!A282="",0,J3575-H3576)</f>
        <v>0.0279072</v>
      </c>
    </row>
    <row r="3577" customFormat="false" ht="16.4" hidden="false" customHeight="false" outlineLevel="0" collapsed="false">
      <c r="A3577" s="13" t="str">
        <f aca="false">""</f>
        <v/>
      </c>
      <c r="B3577" s="13" t="n">
        <f aca="false">279</f>
        <v>279</v>
      </c>
      <c r="C3577" s="13" t="n">
        <f aca="false">IF(Szenarien!$H$20="OK",(IFERROR(SUMIF(Nutzungsprofile!$B$6:$B$11,"Schulbetrieb",Nutzungsprofile!$G$6:$G$11)*Kalender!C283/SUM(Kalender!$C$5:$C$370),0)+IFERROR(SUMIF(Nutzungsprofile!$B$6:$B$11,"Halle",Nutzungsprofile!$G$6:$G$11)*Kalender!D283/SUM(Kalender!$D$5:$D$370),0)+IFERROR(SUMIF(Nutzungsprofile!$B$6:$B$11,"Individuell",Nutzungsprofile!$G$6:$G$11)*Kalender!E283/SUM(Kalender!$E$5:$E$370),0))*Szenarien!$E$20,0)</f>
        <v>2.352</v>
      </c>
      <c r="D3577" s="13" t="n">
        <f aca="false">IF(Szenarien!$H$20="OK",(IFERROR(SUMIF(Nutzungsprofile!$B$17:$B$22,"Schulbetrieb",Nutzungsprofile!$G$17:$G$22)*Kalender!C283/SUM(Kalender!$C$5:$C$370),0)+IFERROR(SUMIF(Nutzungsprofile!$B$17:$B$22,"Halle",Nutzungsprofile!$G$17:$G$22)*Kalender!D283/SUM(Kalender!$D$5:$D$370),0)+IFERROR(SUMIF(Nutzungsprofile!$B$17:$B$22,"Individuell",Nutzungsprofile!$G$17:$G$22)*Kalender!E283/SUM(Kalender!$E$5:$E$370),0))*Szenarien!$D$20,0)</f>
        <v>4.94</v>
      </c>
      <c r="E3577" s="13" t="n">
        <f aca="false">IFERROR(MIN(C3577,Eingaben!$B$17)*Eingaben!$B$16,0)</f>
        <v>2.2344</v>
      </c>
      <c r="F3577" s="13" t="n">
        <f aca="false">IFERROR(E3577*Eingaben!$B$15,0)</f>
        <v>2.01096</v>
      </c>
      <c r="G3577" s="13" t="n">
        <f aca="false">IFERROR(IF(Kalender!A283="",0,J3576*(1-Eingaben!$B$20)),0)</f>
        <v>0.59122224</v>
      </c>
      <c r="H3577" s="13" t="n">
        <f aca="false">MIN(G3577,D3577)</f>
        <v>0.59122224</v>
      </c>
      <c r="I3577" s="13" t="n">
        <f aca="false">IFERROR(MIN(F3577*Eingaben!$B$19,MAX(0,D3577-H3577)),0)</f>
        <v>1.407672</v>
      </c>
      <c r="J3577" s="13" t="n">
        <f aca="false">IFERROR(MIN(Eingaben!$B$18,MAX(0,F3577-I3577)),0)</f>
        <v>0.603288</v>
      </c>
      <c r="K3577" s="13" t="n">
        <f aca="false">H3577+I3577</f>
        <v>1.99889424</v>
      </c>
      <c r="L3577" s="13" t="n">
        <f aca="false">MAX(0,D3577-K3577)</f>
        <v>2.94110576</v>
      </c>
      <c r="M3577" s="13" t="n">
        <f aca="false">MAX(0,F3577-I3577-J3577)</f>
        <v>0</v>
      </c>
      <c r="N3577" s="13" t="n">
        <f aca="false">IF(Kalender!A283="",0,J3576-H3577)</f>
        <v>0.01206576</v>
      </c>
    </row>
    <row r="3578" customFormat="false" ht="16.4" hidden="false" customHeight="false" outlineLevel="0" collapsed="false">
      <c r="A3578" s="13" t="str">
        <f aca="false">""</f>
        <v/>
      </c>
      <c r="B3578" s="13" t="n">
        <f aca="false">280</f>
        <v>280</v>
      </c>
      <c r="C3578" s="13" t="n">
        <f aca="false">IF(Szenarien!$H$20="OK",(IFERROR(SUMIF(Nutzungsprofile!$B$6:$B$11,"Schulbetrieb",Nutzungsprofile!$G$6:$G$11)*Kalender!C284/SUM(Kalender!$C$5:$C$370),0)+IFERROR(SUMIF(Nutzungsprofile!$B$6:$B$11,"Halle",Nutzungsprofile!$G$6:$G$11)*Kalender!D284/SUM(Kalender!$D$5:$D$370),0)+IFERROR(SUMIF(Nutzungsprofile!$B$6:$B$11,"Individuell",Nutzungsprofile!$G$6:$G$11)*Kalender!E284/SUM(Kalender!$E$5:$E$370),0))*Szenarien!$E$20,0)</f>
        <v>2.352</v>
      </c>
      <c r="D3578" s="13" t="n">
        <f aca="false">IF(Szenarien!$H$20="OK",(IFERROR(SUMIF(Nutzungsprofile!$B$17:$B$22,"Schulbetrieb",Nutzungsprofile!$G$17:$G$22)*Kalender!C284/SUM(Kalender!$C$5:$C$370),0)+IFERROR(SUMIF(Nutzungsprofile!$B$17:$B$22,"Halle",Nutzungsprofile!$G$17:$G$22)*Kalender!D284/SUM(Kalender!$D$5:$D$370),0)+IFERROR(SUMIF(Nutzungsprofile!$B$17:$B$22,"Individuell",Nutzungsprofile!$G$17:$G$22)*Kalender!E284/SUM(Kalender!$E$5:$E$370),0))*Szenarien!$D$20,0)</f>
        <v>4.94</v>
      </c>
      <c r="E3578" s="13" t="n">
        <f aca="false">IFERROR(MIN(C3578,Eingaben!$B$17)*Eingaben!$B$16,0)</f>
        <v>2.2344</v>
      </c>
      <c r="F3578" s="13" t="n">
        <f aca="false">IFERROR(E3578*Eingaben!$B$15,0)</f>
        <v>2.01096</v>
      </c>
      <c r="G3578" s="13" t="n">
        <f aca="false">IFERROR(IF(Kalender!A284="",0,J3577*(1-Eingaben!$B$20)),0)</f>
        <v>0.59122224</v>
      </c>
      <c r="H3578" s="13" t="n">
        <f aca="false">MIN(G3578,D3578)</f>
        <v>0.59122224</v>
      </c>
      <c r="I3578" s="13" t="n">
        <f aca="false">IFERROR(MIN(F3578*Eingaben!$B$19,MAX(0,D3578-H3578)),0)</f>
        <v>1.407672</v>
      </c>
      <c r="J3578" s="13" t="n">
        <f aca="false">IFERROR(MIN(Eingaben!$B$18,MAX(0,F3578-I3578)),0)</f>
        <v>0.603288</v>
      </c>
      <c r="K3578" s="13" t="n">
        <f aca="false">H3578+I3578</f>
        <v>1.99889424</v>
      </c>
      <c r="L3578" s="13" t="n">
        <f aca="false">MAX(0,D3578-K3578)</f>
        <v>2.94110576</v>
      </c>
      <c r="M3578" s="13" t="n">
        <f aca="false">MAX(0,F3578-I3578-J3578)</f>
        <v>0</v>
      </c>
      <c r="N3578" s="13" t="n">
        <f aca="false">IF(Kalender!A284="",0,J3577-H3578)</f>
        <v>0.01206576</v>
      </c>
    </row>
    <row r="3579" customFormat="false" ht="16.4" hidden="false" customHeight="false" outlineLevel="0" collapsed="false">
      <c r="A3579" s="13" t="str">
        <f aca="false">""</f>
        <v/>
      </c>
      <c r="B3579" s="13" t="n">
        <f aca="false">281</f>
        <v>281</v>
      </c>
      <c r="C3579" s="13" t="n">
        <f aca="false">IF(Szenarien!$H$20="OK",(IFERROR(SUMIF(Nutzungsprofile!$B$6:$B$11,"Schulbetrieb",Nutzungsprofile!$G$6:$G$11)*Kalender!C285/SUM(Kalender!$C$5:$C$370),0)+IFERROR(SUMIF(Nutzungsprofile!$B$6:$B$11,"Halle",Nutzungsprofile!$G$6:$G$11)*Kalender!D285/SUM(Kalender!$D$5:$D$370),0)+IFERROR(SUMIF(Nutzungsprofile!$B$6:$B$11,"Individuell",Nutzungsprofile!$G$6:$G$11)*Kalender!E285/SUM(Kalender!$E$5:$E$370),0))*Szenarien!$E$20,0)</f>
        <v>0.72</v>
      </c>
      <c r="D3579" s="13" t="n">
        <f aca="false">IF(Szenarien!$H$20="OK",(IFERROR(SUMIF(Nutzungsprofile!$B$17:$B$22,"Schulbetrieb",Nutzungsprofile!$G$17:$G$22)*Kalender!C285/SUM(Kalender!$C$5:$C$370),0)+IFERROR(SUMIF(Nutzungsprofile!$B$17:$B$22,"Halle",Nutzungsprofile!$G$17:$G$22)*Kalender!D285/SUM(Kalender!$D$5:$D$370),0)+IFERROR(SUMIF(Nutzungsprofile!$B$17:$B$22,"Individuell",Nutzungsprofile!$G$17:$G$22)*Kalender!E285/SUM(Kalender!$E$5:$E$370),0))*Szenarien!$D$20,0)</f>
        <v>4.05</v>
      </c>
      <c r="E3579" s="13" t="n">
        <f aca="false">IFERROR(MIN(C3579,Eingaben!$B$17)*Eingaben!$B$16,0)</f>
        <v>0.684</v>
      </c>
      <c r="F3579" s="13" t="n">
        <f aca="false">IFERROR(E3579*Eingaben!$B$15,0)</f>
        <v>0.6156</v>
      </c>
      <c r="G3579" s="13" t="n">
        <f aca="false">IFERROR(IF(Kalender!A285="",0,J3578*(1-Eingaben!$B$20)),0)</f>
        <v>0.59122224</v>
      </c>
      <c r="H3579" s="13" t="n">
        <f aca="false">MIN(G3579,D3579)</f>
        <v>0.59122224</v>
      </c>
      <c r="I3579" s="13" t="n">
        <f aca="false">IFERROR(MIN(F3579*Eingaben!$B$19,MAX(0,D3579-H3579)),0)</f>
        <v>0.43092</v>
      </c>
      <c r="J3579" s="13" t="n">
        <f aca="false">IFERROR(MIN(Eingaben!$B$18,MAX(0,F3579-I3579)),0)</f>
        <v>0.18468</v>
      </c>
      <c r="K3579" s="13" t="n">
        <f aca="false">H3579+I3579</f>
        <v>1.02214224</v>
      </c>
      <c r="L3579" s="13" t="n">
        <f aca="false">MAX(0,D3579-K3579)</f>
        <v>3.02785776</v>
      </c>
      <c r="M3579" s="13" t="n">
        <f aca="false">MAX(0,F3579-I3579-J3579)</f>
        <v>0</v>
      </c>
      <c r="N3579" s="13" t="n">
        <f aca="false">IF(Kalender!A285="",0,J3578-H3579)</f>
        <v>0.01206576</v>
      </c>
    </row>
    <row r="3580" customFormat="false" ht="16.4" hidden="false" customHeight="false" outlineLevel="0" collapsed="false">
      <c r="A3580" s="13" t="str">
        <f aca="false">""</f>
        <v/>
      </c>
      <c r="B3580" s="13" t="n">
        <f aca="false">282</f>
        <v>282</v>
      </c>
      <c r="C3580" s="13" t="n">
        <f aca="false">IF(Szenarien!$H$20="OK",(IFERROR(SUMIF(Nutzungsprofile!$B$6:$B$11,"Schulbetrieb",Nutzungsprofile!$G$6:$G$11)*Kalender!C286/SUM(Kalender!$C$5:$C$370),0)+IFERROR(SUMIF(Nutzungsprofile!$B$6:$B$11,"Halle",Nutzungsprofile!$G$6:$G$11)*Kalender!D286/SUM(Kalender!$D$5:$D$370),0)+IFERROR(SUMIF(Nutzungsprofile!$B$6:$B$11,"Individuell",Nutzungsprofile!$G$6:$G$11)*Kalender!E286/SUM(Kalender!$E$5:$E$370),0))*Szenarien!$E$20,0)</f>
        <v>0.72</v>
      </c>
      <c r="D3580" s="13" t="n">
        <f aca="false">IF(Szenarien!$H$20="OK",(IFERROR(SUMIF(Nutzungsprofile!$B$17:$B$22,"Schulbetrieb",Nutzungsprofile!$G$17:$G$22)*Kalender!C286/SUM(Kalender!$C$5:$C$370),0)+IFERROR(SUMIF(Nutzungsprofile!$B$17:$B$22,"Halle",Nutzungsprofile!$G$17:$G$22)*Kalender!D286/SUM(Kalender!$D$5:$D$370),0)+IFERROR(SUMIF(Nutzungsprofile!$B$17:$B$22,"Individuell",Nutzungsprofile!$G$17:$G$22)*Kalender!E286/SUM(Kalender!$E$5:$E$370),0))*Szenarien!$D$20,0)</f>
        <v>4.05</v>
      </c>
      <c r="E3580" s="13" t="n">
        <f aca="false">IFERROR(MIN(C3580,Eingaben!$B$17)*Eingaben!$B$16,0)</f>
        <v>0.684</v>
      </c>
      <c r="F3580" s="13" t="n">
        <f aca="false">IFERROR(E3580*Eingaben!$B$15,0)</f>
        <v>0.6156</v>
      </c>
      <c r="G3580" s="13" t="n">
        <f aca="false">IFERROR(IF(Kalender!A286="",0,J3579*(1-Eingaben!$B$20)),0)</f>
        <v>0.1809864</v>
      </c>
      <c r="H3580" s="13" t="n">
        <f aca="false">MIN(G3580,D3580)</f>
        <v>0.1809864</v>
      </c>
      <c r="I3580" s="13" t="n">
        <f aca="false">IFERROR(MIN(F3580*Eingaben!$B$19,MAX(0,D3580-H3580)),0)</f>
        <v>0.43092</v>
      </c>
      <c r="J3580" s="13" t="n">
        <f aca="false">IFERROR(MIN(Eingaben!$B$18,MAX(0,F3580-I3580)),0)</f>
        <v>0.18468</v>
      </c>
      <c r="K3580" s="13" t="n">
        <f aca="false">H3580+I3580</f>
        <v>0.6119064</v>
      </c>
      <c r="L3580" s="13" t="n">
        <f aca="false">MAX(0,D3580-K3580)</f>
        <v>3.4380936</v>
      </c>
      <c r="M3580" s="13" t="n">
        <f aca="false">MAX(0,F3580-I3580-J3580)</f>
        <v>0</v>
      </c>
      <c r="N3580" s="13" t="n">
        <f aca="false">IF(Kalender!A286="",0,J3579-H3580)</f>
        <v>0.00369359999999999</v>
      </c>
    </row>
    <row r="3581" customFormat="false" ht="16.4" hidden="false" customHeight="false" outlineLevel="0" collapsed="false">
      <c r="A3581" s="13" t="str">
        <f aca="false">""</f>
        <v/>
      </c>
      <c r="B3581" s="13" t="n">
        <f aca="false">283</f>
        <v>283</v>
      </c>
      <c r="C3581" s="13" t="n">
        <f aca="false">IF(Szenarien!$H$20="OK",(IFERROR(SUMIF(Nutzungsprofile!$B$6:$B$11,"Schulbetrieb",Nutzungsprofile!$G$6:$G$11)*Kalender!C287/SUM(Kalender!$C$5:$C$370),0)+IFERROR(SUMIF(Nutzungsprofile!$B$6:$B$11,"Halle",Nutzungsprofile!$G$6:$G$11)*Kalender!D287/SUM(Kalender!$D$5:$D$370),0)+IFERROR(SUMIF(Nutzungsprofile!$B$6:$B$11,"Individuell",Nutzungsprofile!$G$6:$G$11)*Kalender!E287/SUM(Kalender!$E$5:$E$370),0))*Szenarien!$E$20,0)</f>
        <v>0</v>
      </c>
      <c r="D3581" s="13" t="n">
        <f aca="false">IF(Szenarien!$H$20="OK",(IFERROR(SUMIF(Nutzungsprofile!$B$17:$B$22,"Schulbetrieb",Nutzungsprofile!$G$17:$G$22)*Kalender!C287/SUM(Kalender!$C$5:$C$370),0)+IFERROR(SUMIF(Nutzungsprofile!$B$17:$B$22,"Halle",Nutzungsprofile!$G$17:$G$22)*Kalender!D287/SUM(Kalender!$D$5:$D$370),0)+IFERROR(SUMIF(Nutzungsprofile!$B$17:$B$22,"Individuell",Nutzungsprofile!$G$17:$G$22)*Kalender!E287/SUM(Kalender!$E$5:$E$370),0))*Szenarien!$D$20,0)</f>
        <v>0</v>
      </c>
      <c r="E3581" s="13" t="n">
        <f aca="false">IFERROR(MIN(C3581,Eingaben!$B$17)*Eingaben!$B$16,0)</f>
        <v>0</v>
      </c>
      <c r="F3581" s="13" t="n">
        <f aca="false">IFERROR(E3581*Eingaben!$B$15,0)</f>
        <v>0</v>
      </c>
      <c r="G3581" s="13" t="n">
        <f aca="false">IFERROR(IF(Kalender!A287="",0,J3580*(1-Eingaben!$B$20)),0)</f>
        <v>0.1809864</v>
      </c>
      <c r="H3581" s="13" t="n">
        <f aca="false">MIN(G3581,D3581)</f>
        <v>0</v>
      </c>
      <c r="I3581" s="13" t="n">
        <f aca="false">IFERROR(MIN(F3581*Eingaben!$B$19,MAX(0,D3581-H3581)),0)</f>
        <v>0</v>
      </c>
      <c r="J3581" s="13" t="n">
        <f aca="false">IFERROR(MIN(Eingaben!$B$18,MAX(0,F3581-I3581)),0)</f>
        <v>0</v>
      </c>
      <c r="K3581" s="13" t="n">
        <f aca="false">H3581+I3581</f>
        <v>0</v>
      </c>
      <c r="L3581" s="13" t="n">
        <f aca="false">MAX(0,D3581-K3581)</f>
        <v>0</v>
      </c>
      <c r="M3581" s="13" t="n">
        <f aca="false">MAX(0,F3581-I3581-J3581)</f>
        <v>0</v>
      </c>
      <c r="N3581" s="13" t="n">
        <f aca="false">IF(Kalender!A287="",0,J3580-H3581)</f>
        <v>0.18468</v>
      </c>
    </row>
    <row r="3582" customFormat="false" ht="16.4" hidden="false" customHeight="false" outlineLevel="0" collapsed="false">
      <c r="A3582" s="13" t="str">
        <f aca="false">""</f>
        <v/>
      </c>
      <c r="B3582" s="13" t="n">
        <f aca="false">284</f>
        <v>284</v>
      </c>
      <c r="C3582" s="13" t="n">
        <f aca="false">IF(Szenarien!$H$20="OK",(IFERROR(SUMIF(Nutzungsprofile!$B$6:$B$11,"Schulbetrieb",Nutzungsprofile!$G$6:$G$11)*Kalender!C288/SUM(Kalender!$C$5:$C$370),0)+IFERROR(SUMIF(Nutzungsprofile!$B$6:$B$11,"Halle",Nutzungsprofile!$G$6:$G$11)*Kalender!D288/SUM(Kalender!$D$5:$D$370),0)+IFERROR(SUMIF(Nutzungsprofile!$B$6:$B$11,"Individuell",Nutzungsprofile!$G$6:$G$11)*Kalender!E288/SUM(Kalender!$E$5:$E$370),0))*Szenarien!$E$20,0)</f>
        <v>0</v>
      </c>
      <c r="D3582" s="13" t="n">
        <f aca="false">IF(Szenarien!$H$20="OK",(IFERROR(SUMIF(Nutzungsprofile!$B$17:$B$22,"Schulbetrieb",Nutzungsprofile!$G$17:$G$22)*Kalender!C288/SUM(Kalender!$C$5:$C$370),0)+IFERROR(SUMIF(Nutzungsprofile!$B$17:$B$22,"Halle",Nutzungsprofile!$G$17:$G$22)*Kalender!D288/SUM(Kalender!$D$5:$D$370),0)+IFERROR(SUMIF(Nutzungsprofile!$B$17:$B$22,"Individuell",Nutzungsprofile!$G$17:$G$22)*Kalender!E288/SUM(Kalender!$E$5:$E$370),0))*Szenarien!$D$20,0)</f>
        <v>0</v>
      </c>
      <c r="E3582" s="13" t="n">
        <f aca="false">IFERROR(MIN(C3582,Eingaben!$B$17)*Eingaben!$B$16,0)</f>
        <v>0</v>
      </c>
      <c r="F3582" s="13" t="n">
        <f aca="false">IFERROR(E3582*Eingaben!$B$15,0)</f>
        <v>0</v>
      </c>
      <c r="G3582" s="13" t="n">
        <f aca="false">IFERROR(IF(Kalender!A288="",0,J3581*(1-Eingaben!$B$20)),0)</f>
        <v>0</v>
      </c>
      <c r="H3582" s="13" t="n">
        <f aca="false">MIN(G3582,D3582)</f>
        <v>0</v>
      </c>
      <c r="I3582" s="13" t="n">
        <f aca="false">IFERROR(MIN(F3582*Eingaben!$B$19,MAX(0,D3582-H3582)),0)</f>
        <v>0</v>
      </c>
      <c r="J3582" s="13" t="n">
        <f aca="false">IFERROR(MIN(Eingaben!$B$18,MAX(0,F3582-I3582)),0)</f>
        <v>0</v>
      </c>
      <c r="K3582" s="13" t="n">
        <f aca="false">H3582+I3582</f>
        <v>0</v>
      </c>
      <c r="L3582" s="13" t="n">
        <f aca="false">MAX(0,D3582-K3582)</f>
        <v>0</v>
      </c>
      <c r="M3582" s="13" t="n">
        <f aca="false">MAX(0,F3582-I3582-J3582)</f>
        <v>0</v>
      </c>
      <c r="N3582" s="13" t="n">
        <f aca="false">IF(Kalender!A288="",0,J3581-H3582)</f>
        <v>0</v>
      </c>
    </row>
    <row r="3583" customFormat="false" ht="16.4" hidden="false" customHeight="false" outlineLevel="0" collapsed="false">
      <c r="A3583" s="13" t="str">
        <f aca="false">""</f>
        <v/>
      </c>
      <c r="B3583" s="13" t="n">
        <f aca="false">285</f>
        <v>285</v>
      </c>
      <c r="C3583" s="13" t="n">
        <f aca="false">IF(Szenarien!$H$20="OK",(IFERROR(SUMIF(Nutzungsprofile!$B$6:$B$11,"Schulbetrieb",Nutzungsprofile!$G$6:$G$11)*Kalender!C289/SUM(Kalender!$C$5:$C$370),0)+IFERROR(SUMIF(Nutzungsprofile!$B$6:$B$11,"Halle",Nutzungsprofile!$G$6:$G$11)*Kalender!D289/SUM(Kalender!$D$5:$D$370),0)+IFERROR(SUMIF(Nutzungsprofile!$B$6:$B$11,"Individuell",Nutzungsprofile!$G$6:$G$11)*Kalender!E289/SUM(Kalender!$E$5:$E$370),0))*Szenarien!$E$20,0)</f>
        <v>0.72</v>
      </c>
      <c r="D3583" s="13" t="n">
        <f aca="false">IF(Szenarien!$H$20="OK",(IFERROR(SUMIF(Nutzungsprofile!$B$17:$B$22,"Schulbetrieb",Nutzungsprofile!$G$17:$G$22)*Kalender!C289/SUM(Kalender!$C$5:$C$370),0)+IFERROR(SUMIF(Nutzungsprofile!$B$17:$B$22,"Halle",Nutzungsprofile!$G$17:$G$22)*Kalender!D289/SUM(Kalender!$D$5:$D$370),0)+IFERROR(SUMIF(Nutzungsprofile!$B$17:$B$22,"Individuell",Nutzungsprofile!$G$17:$G$22)*Kalender!E289/SUM(Kalender!$E$5:$E$370),0))*Szenarien!$D$20,0)</f>
        <v>4.05</v>
      </c>
      <c r="E3583" s="13" t="n">
        <f aca="false">IFERROR(MIN(C3583,Eingaben!$B$17)*Eingaben!$B$16,0)</f>
        <v>0.684</v>
      </c>
      <c r="F3583" s="13" t="n">
        <f aca="false">IFERROR(E3583*Eingaben!$B$15,0)</f>
        <v>0.6156</v>
      </c>
      <c r="G3583" s="13" t="n">
        <f aca="false">IFERROR(IF(Kalender!A289="",0,J3582*(1-Eingaben!$B$20)),0)</f>
        <v>0</v>
      </c>
      <c r="H3583" s="13" t="n">
        <f aca="false">MIN(G3583,D3583)</f>
        <v>0</v>
      </c>
      <c r="I3583" s="13" t="n">
        <f aca="false">IFERROR(MIN(F3583*Eingaben!$B$19,MAX(0,D3583-H3583)),0)</f>
        <v>0.43092</v>
      </c>
      <c r="J3583" s="13" t="n">
        <f aca="false">IFERROR(MIN(Eingaben!$B$18,MAX(0,F3583-I3583)),0)</f>
        <v>0.18468</v>
      </c>
      <c r="K3583" s="13" t="n">
        <f aca="false">H3583+I3583</f>
        <v>0.43092</v>
      </c>
      <c r="L3583" s="13" t="n">
        <f aca="false">MAX(0,D3583-K3583)</f>
        <v>3.61908</v>
      </c>
      <c r="M3583" s="13" t="n">
        <f aca="false">MAX(0,F3583-I3583-J3583)</f>
        <v>0</v>
      </c>
      <c r="N3583" s="13" t="n">
        <f aca="false">IF(Kalender!A289="",0,J3582-H3583)</f>
        <v>0</v>
      </c>
    </row>
    <row r="3584" customFormat="false" ht="16.4" hidden="false" customHeight="false" outlineLevel="0" collapsed="false">
      <c r="A3584" s="13" t="str">
        <f aca="false">""</f>
        <v/>
      </c>
      <c r="B3584" s="13" t="n">
        <f aca="false">286</f>
        <v>286</v>
      </c>
      <c r="C3584" s="13" t="n">
        <f aca="false">IF(Szenarien!$H$20="OK",(IFERROR(SUMIF(Nutzungsprofile!$B$6:$B$11,"Schulbetrieb",Nutzungsprofile!$G$6:$G$11)*Kalender!C290/SUM(Kalender!$C$5:$C$370),0)+IFERROR(SUMIF(Nutzungsprofile!$B$6:$B$11,"Halle",Nutzungsprofile!$G$6:$G$11)*Kalender!D290/SUM(Kalender!$D$5:$D$370),0)+IFERROR(SUMIF(Nutzungsprofile!$B$6:$B$11,"Individuell",Nutzungsprofile!$G$6:$G$11)*Kalender!E290/SUM(Kalender!$E$5:$E$370),0))*Szenarien!$E$20,0)</f>
        <v>0.72</v>
      </c>
      <c r="D3584" s="13" t="n">
        <f aca="false">IF(Szenarien!$H$20="OK",(IFERROR(SUMIF(Nutzungsprofile!$B$17:$B$22,"Schulbetrieb",Nutzungsprofile!$G$17:$G$22)*Kalender!C290/SUM(Kalender!$C$5:$C$370),0)+IFERROR(SUMIF(Nutzungsprofile!$B$17:$B$22,"Halle",Nutzungsprofile!$G$17:$G$22)*Kalender!D290/SUM(Kalender!$D$5:$D$370),0)+IFERROR(SUMIF(Nutzungsprofile!$B$17:$B$22,"Individuell",Nutzungsprofile!$G$17:$G$22)*Kalender!E290/SUM(Kalender!$E$5:$E$370),0))*Szenarien!$D$20,0)</f>
        <v>4.05</v>
      </c>
      <c r="E3584" s="13" t="n">
        <f aca="false">IFERROR(MIN(C3584,Eingaben!$B$17)*Eingaben!$B$16,0)</f>
        <v>0.684</v>
      </c>
      <c r="F3584" s="13" t="n">
        <f aca="false">IFERROR(E3584*Eingaben!$B$15,0)</f>
        <v>0.6156</v>
      </c>
      <c r="G3584" s="13" t="n">
        <f aca="false">IFERROR(IF(Kalender!A290="",0,J3583*(1-Eingaben!$B$20)),0)</f>
        <v>0.1809864</v>
      </c>
      <c r="H3584" s="13" t="n">
        <f aca="false">MIN(G3584,D3584)</f>
        <v>0.1809864</v>
      </c>
      <c r="I3584" s="13" t="n">
        <f aca="false">IFERROR(MIN(F3584*Eingaben!$B$19,MAX(0,D3584-H3584)),0)</f>
        <v>0.43092</v>
      </c>
      <c r="J3584" s="13" t="n">
        <f aca="false">IFERROR(MIN(Eingaben!$B$18,MAX(0,F3584-I3584)),0)</f>
        <v>0.18468</v>
      </c>
      <c r="K3584" s="13" t="n">
        <f aca="false">H3584+I3584</f>
        <v>0.6119064</v>
      </c>
      <c r="L3584" s="13" t="n">
        <f aca="false">MAX(0,D3584-K3584)</f>
        <v>3.4380936</v>
      </c>
      <c r="M3584" s="13" t="n">
        <f aca="false">MAX(0,F3584-I3584-J3584)</f>
        <v>0</v>
      </c>
      <c r="N3584" s="13" t="n">
        <f aca="false">IF(Kalender!A290="",0,J3583-H3584)</f>
        <v>0.00369359999999999</v>
      </c>
    </row>
    <row r="3585" customFormat="false" ht="16.4" hidden="false" customHeight="false" outlineLevel="0" collapsed="false">
      <c r="A3585" s="13" t="str">
        <f aca="false">""</f>
        <v/>
      </c>
      <c r="B3585" s="13" t="n">
        <f aca="false">287</f>
        <v>287</v>
      </c>
      <c r="C3585" s="13" t="n">
        <f aca="false">IF(Szenarien!$H$20="OK",(IFERROR(SUMIF(Nutzungsprofile!$B$6:$B$11,"Schulbetrieb",Nutzungsprofile!$G$6:$G$11)*Kalender!C291/SUM(Kalender!$C$5:$C$370),0)+IFERROR(SUMIF(Nutzungsprofile!$B$6:$B$11,"Halle",Nutzungsprofile!$G$6:$G$11)*Kalender!D291/SUM(Kalender!$D$5:$D$370),0)+IFERROR(SUMIF(Nutzungsprofile!$B$6:$B$11,"Individuell",Nutzungsprofile!$G$6:$G$11)*Kalender!E291/SUM(Kalender!$E$5:$E$370),0))*Szenarien!$E$20,0)</f>
        <v>0.72</v>
      </c>
      <c r="D3585" s="13" t="n">
        <f aca="false">IF(Szenarien!$H$20="OK",(IFERROR(SUMIF(Nutzungsprofile!$B$17:$B$22,"Schulbetrieb",Nutzungsprofile!$G$17:$G$22)*Kalender!C291/SUM(Kalender!$C$5:$C$370),0)+IFERROR(SUMIF(Nutzungsprofile!$B$17:$B$22,"Halle",Nutzungsprofile!$G$17:$G$22)*Kalender!D291/SUM(Kalender!$D$5:$D$370),0)+IFERROR(SUMIF(Nutzungsprofile!$B$17:$B$22,"Individuell",Nutzungsprofile!$G$17:$G$22)*Kalender!E291/SUM(Kalender!$E$5:$E$370),0))*Szenarien!$D$20,0)</f>
        <v>4.05</v>
      </c>
      <c r="E3585" s="13" t="n">
        <f aca="false">IFERROR(MIN(C3585,Eingaben!$B$17)*Eingaben!$B$16,0)</f>
        <v>0.684</v>
      </c>
      <c r="F3585" s="13" t="n">
        <f aca="false">IFERROR(E3585*Eingaben!$B$15,0)</f>
        <v>0.6156</v>
      </c>
      <c r="G3585" s="13" t="n">
        <f aca="false">IFERROR(IF(Kalender!A291="",0,J3584*(1-Eingaben!$B$20)),0)</f>
        <v>0.1809864</v>
      </c>
      <c r="H3585" s="13" t="n">
        <f aca="false">MIN(G3585,D3585)</f>
        <v>0.1809864</v>
      </c>
      <c r="I3585" s="13" t="n">
        <f aca="false">IFERROR(MIN(F3585*Eingaben!$B$19,MAX(0,D3585-H3585)),0)</f>
        <v>0.43092</v>
      </c>
      <c r="J3585" s="13" t="n">
        <f aca="false">IFERROR(MIN(Eingaben!$B$18,MAX(0,F3585-I3585)),0)</f>
        <v>0.18468</v>
      </c>
      <c r="K3585" s="13" t="n">
        <f aca="false">H3585+I3585</f>
        <v>0.6119064</v>
      </c>
      <c r="L3585" s="13" t="n">
        <f aca="false">MAX(0,D3585-K3585)</f>
        <v>3.4380936</v>
      </c>
      <c r="M3585" s="13" t="n">
        <f aca="false">MAX(0,F3585-I3585-J3585)</f>
        <v>0</v>
      </c>
      <c r="N3585" s="13" t="n">
        <f aca="false">IF(Kalender!A291="",0,J3584-H3585)</f>
        <v>0.00369359999999999</v>
      </c>
    </row>
    <row r="3586" customFormat="false" ht="16.4" hidden="false" customHeight="false" outlineLevel="0" collapsed="false">
      <c r="A3586" s="13" t="str">
        <f aca="false">""</f>
        <v/>
      </c>
      <c r="B3586" s="13" t="n">
        <f aca="false">288</f>
        <v>288</v>
      </c>
      <c r="C3586" s="13" t="n">
        <f aca="false">IF(Szenarien!$H$20="OK",(IFERROR(SUMIF(Nutzungsprofile!$B$6:$B$11,"Schulbetrieb",Nutzungsprofile!$G$6:$G$11)*Kalender!C292/SUM(Kalender!$C$5:$C$370),0)+IFERROR(SUMIF(Nutzungsprofile!$B$6:$B$11,"Halle",Nutzungsprofile!$G$6:$G$11)*Kalender!D292/SUM(Kalender!$D$5:$D$370),0)+IFERROR(SUMIF(Nutzungsprofile!$B$6:$B$11,"Individuell",Nutzungsprofile!$G$6:$G$11)*Kalender!E292/SUM(Kalender!$E$5:$E$370),0))*Szenarien!$E$20,0)</f>
        <v>0.72</v>
      </c>
      <c r="D3586" s="13" t="n">
        <f aca="false">IF(Szenarien!$H$20="OK",(IFERROR(SUMIF(Nutzungsprofile!$B$17:$B$22,"Schulbetrieb",Nutzungsprofile!$G$17:$G$22)*Kalender!C292/SUM(Kalender!$C$5:$C$370),0)+IFERROR(SUMIF(Nutzungsprofile!$B$17:$B$22,"Halle",Nutzungsprofile!$G$17:$G$22)*Kalender!D292/SUM(Kalender!$D$5:$D$370),0)+IFERROR(SUMIF(Nutzungsprofile!$B$17:$B$22,"Individuell",Nutzungsprofile!$G$17:$G$22)*Kalender!E292/SUM(Kalender!$E$5:$E$370),0))*Szenarien!$D$20,0)</f>
        <v>4.05</v>
      </c>
      <c r="E3586" s="13" t="n">
        <f aca="false">IFERROR(MIN(C3586,Eingaben!$B$17)*Eingaben!$B$16,0)</f>
        <v>0.684</v>
      </c>
      <c r="F3586" s="13" t="n">
        <f aca="false">IFERROR(E3586*Eingaben!$B$15,0)</f>
        <v>0.6156</v>
      </c>
      <c r="G3586" s="13" t="n">
        <f aca="false">IFERROR(IF(Kalender!A292="",0,J3585*(1-Eingaben!$B$20)),0)</f>
        <v>0.1809864</v>
      </c>
      <c r="H3586" s="13" t="n">
        <f aca="false">MIN(G3586,D3586)</f>
        <v>0.1809864</v>
      </c>
      <c r="I3586" s="13" t="n">
        <f aca="false">IFERROR(MIN(F3586*Eingaben!$B$19,MAX(0,D3586-H3586)),0)</f>
        <v>0.43092</v>
      </c>
      <c r="J3586" s="13" t="n">
        <f aca="false">IFERROR(MIN(Eingaben!$B$18,MAX(0,F3586-I3586)),0)</f>
        <v>0.18468</v>
      </c>
      <c r="K3586" s="13" t="n">
        <f aca="false">H3586+I3586</f>
        <v>0.6119064</v>
      </c>
      <c r="L3586" s="13" t="n">
        <f aca="false">MAX(0,D3586-K3586)</f>
        <v>3.4380936</v>
      </c>
      <c r="M3586" s="13" t="n">
        <f aca="false">MAX(0,F3586-I3586-J3586)</f>
        <v>0</v>
      </c>
      <c r="N3586" s="13" t="n">
        <f aca="false">IF(Kalender!A292="",0,J3585-H3586)</f>
        <v>0.00369359999999999</v>
      </c>
    </row>
    <row r="3587" customFormat="false" ht="16.4" hidden="false" customHeight="false" outlineLevel="0" collapsed="false">
      <c r="A3587" s="13" t="str">
        <f aca="false">""</f>
        <v/>
      </c>
      <c r="B3587" s="13" t="n">
        <f aca="false">289</f>
        <v>289</v>
      </c>
      <c r="C3587" s="13" t="n">
        <f aca="false">IF(Szenarien!$H$20="OK",(IFERROR(SUMIF(Nutzungsprofile!$B$6:$B$11,"Schulbetrieb",Nutzungsprofile!$G$6:$G$11)*Kalender!C293/SUM(Kalender!$C$5:$C$370),0)+IFERROR(SUMIF(Nutzungsprofile!$B$6:$B$11,"Halle",Nutzungsprofile!$G$6:$G$11)*Kalender!D293/SUM(Kalender!$D$5:$D$370),0)+IFERROR(SUMIF(Nutzungsprofile!$B$6:$B$11,"Individuell",Nutzungsprofile!$G$6:$G$11)*Kalender!E293/SUM(Kalender!$E$5:$E$370),0))*Szenarien!$E$20,0)</f>
        <v>0.72</v>
      </c>
      <c r="D3587" s="13" t="n">
        <f aca="false">IF(Szenarien!$H$20="OK",(IFERROR(SUMIF(Nutzungsprofile!$B$17:$B$22,"Schulbetrieb",Nutzungsprofile!$G$17:$G$22)*Kalender!C293/SUM(Kalender!$C$5:$C$370),0)+IFERROR(SUMIF(Nutzungsprofile!$B$17:$B$22,"Halle",Nutzungsprofile!$G$17:$G$22)*Kalender!D293/SUM(Kalender!$D$5:$D$370),0)+IFERROR(SUMIF(Nutzungsprofile!$B$17:$B$22,"Individuell",Nutzungsprofile!$G$17:$G$22)*Kalender!E293/SUM(Kalender!$E$5:$E$370),0))*Szenarien!$D$20,0)</f>
        <v>4.05</v>
      </c>
      <c r="E3587" s="13" t="n">
        <f aca="false">IFERROR(MIN(C3587,Eingaben!$B$17)*Eingaben!$B$16,0)</f>
        <v>0.684</v>
      </c>
      <c r="F3587" s="13" t="n">
        <f aca="false">IFERROR(E3587*Eingaben!$B$15,0)</f>
        <v>0.6156</v>
      </c>
      <c r="G3587" s="13" t="n">
        <f aca="false">IFERROR(IF(Kalender!A293="",0,J3586*(1-Eingaben!$B$20)),0)</f>
        <v>0.1809864</v>
      </c>
      <c r="H3587" s="13" t="n">
        <f aca="false">MIN(G3587,D3587)</f>
        <v>0.1809864</v>
      </c>
      <c r="I3587" s="13" t="n">
        <f aca="false">IFERROR(MIN(F3587*Eingaben!$B$19,MAX(0,D3587-H3587)),0)</f>
        <v>0.43092</v>
      </c>
      <c r="J3587" s="13" t="n">
        <f aca="false">IFERROR(MIN(Eingaben!$B$18,MAX(0,F3587-I3587)),0)</f>
        <v>0.18468</v>
      </c>
      <c r="K3587" s="13" t="n">
        <f aca="false">H3587+I3587</f>
        <v>0.6119064</v>
      </c>
      <c r="L3587" s="13" t="n">
        <f aca="false">MAX(0,D3587-K3587)</f>
        <v>3.4380936</v>
      </c>
      <c r="M3587" s="13" t="n">
        <f aca="false">MAX(0,F3587-I3587-J3587)</f>
        <v>0</v>
      </c>
      <c r="N3587" s="13" t="n">
        <f aca="false">IF(Kalender!A293="",0,J3586-H3587)</f>
        <v>0.00369359999999999</v>
      </c>
    </row>
    <row r="3588" customFormat="false" ht="16.4" hidden="false" customHeight="false" outlineLevel="0" collapsed="false">
      <c r="A3588" s="13" t="str">
        <f aca="false">""</f>
        <v/>
      </c>
      <c r="B3588" s="13" t="n">
        <f aca="false">290</f>
        <v>290</v>
      </c>
      <c r="C3588" s="13" t="n">
        <f aca="false">IF(Szenarien!$H$20="OK",(IFERROR(SUMIF(Nutzungsprofile!$B$6:$B$11,"Schulbetrieb",Nutzungsprofile!$G$6:$G$11)*Kalender!C294/SUM(Kalender!$C$5:$C$370),0)+IFERROR(SUMIF(Nutzungsprofile!$B$6:$B$11,"Halle",Nutzungsprofile!$G$6:$G$11)*Kalender!D294/SUM(Kalender!$D$5:$D$370),0)+IFERROR(SUMIF(Nutzungsprofile!$B$6:$B$11,"Individuell",Nutzungsprofile!$G$6:$G$11)*Kalender!E294/SUM(Kalender!$E$5:$E$370),0))*Szenarien!$E$20,0)</f>
        <v>0</v>
      </c>
      <c r="D3588" s="13" t="n">
        <f aca="false">IF(Szenarien!$H$20="OK",(IFERROR(SUMIF(Nutzungsprofile!$B$17:$B$22,"Schulbetrieb",Nutzungsprofile!$G$17:$G$22)*Kalender!C294/SUM(Kalender!$C$5:$C$370),0)+IFERROR(SUMIF(Nutzungsprofile!$B$17:$B$22,"Halle",Nutzungsprofile!$G$17:$G$22)*Kalender!D294/SUM(Kalender!$D$5:$D$370),0)+IFERROR(SUMIF(Nutzungsprofile!$B$17:$B$22,"Individuell",Nutzungsprofile!$G$17:$G$22)*Kalender!E294/SUM(Kalender!$E$5:$E$370),0))*Szenarien!$D$20,0)</f>
        <v>0</v>
      </c>
      <c r="E3588" s="13" t="n">
        <f aca="false">IFERROR(MIN(C3588,Eingaben!$B$17)*Eingaben!$B$16,0)</f>
        <v>0</v>
      </c>
      <c r="F3588" s="13" t="n">
        <f aca="false">IFERROR(E3588*Eingaben!$B$15,0)</f>
        <v>0</v>
      </c>
      <c r="G3588" s="13" t="n">
        <f aca="false">IFERROR(IF(Kalender!A294="",0,J3587*(1-Eingaben!$B$20)),0)</f>
        <v>0.1809864</v>
      </c>
      <c r="H3588" s="13" t="n">
        <f aca="false">MIN(G3588,D3588)</f>
        <v>0</v>
      </c>
      <c r="I3588" s="13" t="n">
        <f aca="false">IFERROR(MIN(F3588*Eingaben!$B$19,MAX(0,D3588-H3588)),0)</f>
        <v>0</v>
      </c>
      <c r="J3588" s="13" t="n">
        <f aca="false">IFERROR(MIN(Eingaben!$B$18,MAX(0,F3588-I3588)),0)</f>
        <v>0</v>
      </c>
      <c r="K3588" s="13" t="n">
        <f aca="false">H3588+I3588</f>
        <v>0</v>
      </c>
      <c r="L3588" s="13" t="n">
        <f aca="false">MAX(0,D3588-K3588)</f>
        <v>0</v>
      </c>
      <c r="M3588" s="13" t="n">
        <f aca="false">MAX(0,F3588-I3588-J3588)</f>
        <v>0</v>
      </c>
      <c r="N3588" s="13" t="n">
        <f aca="false">IF(Kalender!A294="",0,J3587-H3588)</f>
        <v>0.18468</v>
      </c>
    </row>
    <row r="3589" customFormat="false" ht="16.4" hidden="false" customHeight="false" outlineLevel="0" collapsed="false">
      <c r="A3589" s="13" t="str">
        <f aca="false">""</f>
        <v/>
      </c>
      <c r="B3589" s="13" t="n">
        <f aca="false">291</f>
        <v>291</v>
      </c>
      <c r="C3589" s="13" t="n">
        <f aca="false">IF(Szenarien!$H$20="OK",(IFERROR(SUMIF(Nutzungsprofile!$B$6:$B$11,"Schulbetrieb",Nutzungsprofile!$G$6:$G$11)*Kalender!C295/SUM(Kalender!$C$5:$C$370),0)+IFERROR(SUMIF(Nutzungsprofile!$B$6:$B$11,"Halle",Nutzungsprofile!$G$6:$G$11)*Kalender!D295/SUM(Kalender!$D$5:$D$370),0)+IFERROR(SUMIF(Nutzungsprofile!$B$6:$B$11,"Individuell",Nutzungsprofile!$G$6:$G$11)*Kalender!E295/SUM(Kalender!$E$5:$E$370),0))*Szenarien!$E$20,0)</f>
        <v>0</v>
      </c>
      <c r="D3589" s="13" t="n">
        <f aca="false">IF(Szenarien!$H$20="OK",(IFERROR(SUMIF(Nutzungsprofile!$B$17:$B$22,"Schulbetrieb",Nutzungsprofile!$G$17:$G$22)*Kalender!C295/SUM(Kalender!$C$5:$C$370),0)+IFERROR(SUMIF(Nutzungsprofile!$B$17:$B$22,"Halle",Nutzungsprofile!$G$17:$G$22)*Kalender!D295/SUM(Kalender!$D$5:$D$370),0)+IFERROR(SUMIF(Nutzungsprofile!$B$17:$B$22,"Individuell",Nutzungsprofile!$G$17:$G$22)*Kalender!E295/SUM(Kalender!$E$5:$E$370),0))*Szenarien!$D$20,0)</f>
        <v>0</v>
      </c>
      <c r="E3589" s="13" t="n">
        <f aca="false">IFERROR(MIN(C3589,Eingaben!$B$17)*Eingaben!$B$16,0)</f>
        <v>0</v>
      </c>
      <c r="F3589" s="13" t="n">
        <f aca="false">IFERROR(E3589*Eingaben!$B$15,0)</f>
        <v>0</v>
      </c>
      <c r="G3589" s="13" t="n">
        <f aca="false">IFERROR(IF(Kalender!A295="",0,J3588*(1-Eingaben!$B$20)),0)</f>
        <v>0</v>
      </c>
      <c r="H3589" s="13" t="n">
        <f aca="false">MIN(G3589,D3589)</f>
        <v>0</v>
      </c>
      <c r="I3589" s="13" t="n">
        <f aca="false">IFERROR(MIN(F3589*Eingaben!$B$19,MAX(0,D3589-H3589)),0)</f>
        <v>0</v>
      </c>
      <c r="J3589" s="13" t="n">
        <f aca="false">IFERROR(MIN(Eingaben!$B$18,MAX(0,F3589-I3589)),0)</f>
        <v>0</v>
      </c>
      <c r="K3589" s="13" t="n">
        <f aca="false">H3589+I3589</f>
        <v>0</v>
      </c>
      <c r="L3589" s="13" t="n">
        <f aca="false">MAX(0,D3589-K3589)</f>
        <v>0</v>
      </c>
      <c r="M3589" s="13" t="n">
        <f aca="false">MAX(0,F3589-I3589-J3589)</f>
        <v>0</v>
      </c>
      <c r="N3589" s="13" t="n">
        <f aca="false">IF(Kalender!A295="",0,J3588-H3589)</f>
        <v>0</v>
      </c>
    </row>
    <row r="3590" customFormat="false" ht="16.4" hidden="false" customHeight="false" outlineLevel="0" collapsed="false">
      <c r="A3590" s="13" t="str">
        <f aca="false">""</f>
        <v/>
      </c>
      <c r="B3590" s="13" t="n">
        <f aca="false">292</f>
        <v>292</v>
      </c>
      <c r="C3590" s="13" t="n">
        <f aca="false">IF(Szenarien!$H$20="OK",(IFERROR(SUMIF(Nutzungsprofile!$B$6:$B$11,"Schulbetrieb",Nutzungsprofile!$G$6:$G$11)*Kalender!C296/SUM(Kalender!$C$5:$C$370),0)+IFERROR(SUMIF(Nutzungsprofile!$B$6:$B$11,"Halle",Nutzungsprofile!$G$6:$G$11)*Kalender!D296/SUM(Kalender!$D$5:$D$370),0)+IFERROR(SUMIF(Nutzungsprofile!$B$6:$B$11,"Individuell",Nutzungsprofile!$G$6:$G$11)*Kalender!E296/SUM(Kalender!$E$5:$E$370),0))*Szenarien!$E$20,0)</f>
        <v>0.72</v>
      </c>
      <c r="D3590" s="13" t="n">
        <f aca="false">IF(Szenarien!$H$20="OK",(IFERROR(SUMIF(Nutzungsprofile!$B$17:$B$22,"Schulbetrieb",Nutzungsprofile!$G$17:$G$22)*Kalender!C296/SUM(Kalender!$C$5:$C$370),0)+IFERROR(SUMIF(Nutzungsprofile!$B$17:$B$22,"Halle",Nutzungsprofile!$G$17:$G$22)*Kalender!D296/SUM(Kalender!$D$5:$D$370),0)+IFERROR(SUMIF(Nutzungsprofile!$B$17:$B$22,"Individuell",Nutzungsprofile!$G$17:$G$22)*Kalender!E296/SUM(Kalender!$E$5:$E$370),0))*Szenarien!$D$20,0)</f>
        <v>4.05</v>
      </c>
      <c r="E3590" s="13" t="n">
        <f aca="false">IFERROR(MIN(C3590,Eingaben!$B$17)*Eingaben!$B$16,0)</f>
        <v>0.684</v>
      </c>
      <c r="F3590" s="13" t="n">
        <f aca="false">IFERROR(E3590*Eingaben!$B$15,0)</f>
        <v>0.6156</v>
      </c>
      <c r="G3590" s="13" t="n">
        <f aca="false">IFERROR(IF(Kalender!A296="",0,J3589*(1-Eingaben!$B$20)),0)</f>
        <v>0</v>
      </c>
      <c r="H3590" s="13" t="n">
        <f aca="false">MIN(G3590,D3590)</f>
        <v>0</v>
      </c>
      <c r="I3590" s="13" t="n">
        <f aca="false">IFERROR(MIN(F3590*Eingaben!$B$19,MAX(0,D3590-H3590)),0)</f>
        <v>0.43092</v>
      </c>
      <c r="J3590" s="13" t="n">
        <f aca="false">IFERROR(MIN(Eingaben!$B$18,MAX(0,F3590-I3590)),0)</f>
        <v>0.18468</v>
      </c>
      <c r="K3590" s="13" t="n">
        <f aca="false">H3590+I3590</f>
        <v>0.43092</v>
      </c>
      <c r="L3590" s="13" t="n">
        <f aca="false">MAX(0,D3590-K3590)</f>
        <v>3.61908</v>
      </c>
      <c r="M3590" s="13" t="n">
        <f aca="false">MAX(0,F3590-I3590-J3590)</f>
        <v>0</v>
      </c>
      <c r="N3590" s="13" t="n">
        <f aca="false">IF(Kalender!A296="",0,J3589-H3590)</f>
        <v>0</v>
      </c>
    </row>
    <row r="3591" customFormat="false" ht="16.4" hidden="false" customHeight="false" outlineLevel="0" collapsed="false">
      <c r="A3591" s="13" t="str">
        <f aca="false">""</f>
        <v/>
      </c>
      <c r="B3591" s="13" t="n">
        <f aca="false">293</f>
        <v>293</v>
      </c>
      <c r="C3591" s="13" t="n">
        <f aca="false">IF(Szenarien!$H$20="OK",(IFERROR(SUMIF(Nutzungsprofile!$B$6:$B$11,"Schulbetrieb",Nutzungsprofile!$G$6:$G$11)*Kalender!C297/SUM(Kalender!$C$5:$C$370),0)+IFERROR(SUMIF(Nutzungsprofile!$B$6:$B$11,"Halle",Nutzungsprofile!$G$6:$G$11)*Kalender!D297/SUM(Kalender!$D$5:$D$370),0)+IFERROR(SUMIF(Nutzungsprofile!$B$6:$B$11,"Individuell",Nutzungsprofile!$G$6:$G$11)*Kalender!E297/SUM(Kalender!$E$5:$E$370),0))*Szenarien!$E$20,0)</f>
        <v>0.72</v>
      </c>
      <c r="D3591" s="13" t="n">
        <f aca="false">IF(Szenarien!$H$20="OK",(IFERROR(SUMIF(Nutzungsprofile!$B$17:$B$22,"Schulbetrieb",Nutzungsprofile!$G$17:$G$22)*Kalender!C297/SUM(Kalender!$C$5:$C$370),0)+IFERROR(SUMIF(Nutzungsprofile!$B$17:$B$22,"Halle",Nutzungsprofile!$G$17:$G$22)*Kalender!D297/SUM(Kalender!$D$5:$D$370),0)+IFERROR(SUMIF(Nutzungsprofile!$B$17:$B$22,"Individuell",Nutzungsprofile!$G$17:$G$22)*Kalender!E297/SUM(Kalender!$E$5:$E$370),0))*Szenarien!$D$20,0)</f>
        <v>4.05</v>
      </c>
      <c r="E3591" s="13" t="n">
        <f aca="false">IFERROR(MIN(C3591,Eingaben!$B$17)*Eingaben!$B$16,0)</f>
        <v>0.684</v>
      </c>
      <c r="F3591" s="13" t="n">
        <f aca="false">IFERROR(E3591*Eingaben!$B$15,0)</f>
        <v>0.6156</v>
      </c>
      <c r="G3591" s="13" t="n">
        <f aca="false">IFERROR(IF(Kalender!A297="",0,J3590*(1-Eingaben!$B$20)),0)</f>
        <v>0.1809864</v>
      </c>
      <c r="H3591" s="13" t="n">
        <f aca="false">MIN(G3591,D3591)</f>
        <v>0.1809864</v>
      </c>
      <c r="I3591" s="13" t="n">
        <f aca="false">IFERROR(MIN(F3591*Eingaben!$B$19,MAX(0,D3591-H3591)),0)</f>
        <v>0.43092</v>
      </c>
      <c r="J3591" s="13" t="n">
        <f aca="false">IFERROR(MIN(Eingaben!$B$18,MAX(0,F3591-I3591)),0)</f>
        <v>0.18468</v>
      </c>
      <c r="K3591" s="13" t="n">
        <f aca="false">H3591+I3591</f>
        <v>0.6119064</v>
      </c>
      <c r="L3591" s="13" t="n">
        <f aca="false">MAX(0,D3591-K3591)</f>
        <v>3.4380936</v>
      </c>
      <c r="M3591" s="13" t="n">
        <f aca="false">MAX(0,F3591-I3591-J3591)</f>
        <v>0</v>
      </c>
      <c r="N3591" s="13" t="n">
        <f aca="false">IF(Kalender!A297="",0,J3590-H3591)</f>
        <v>0.00369359999999999</v>
      </c>
    </row>
    <row r="3592" customFormat="false" ht="16.4" hidden="false" customHeight="false" outlineLevel="0" collapsed="false">
      <c r="A3592" s="13" t="str">
        <f aca="false">""</f>
        <v/>
      </c>
      <c r="B3592" s="13" t="n">
        <f aca="false">294</f>
        <v>294</v>
      </c>
      <c r="C3592" s="13" t="n">
        <f aca="false">IF(Szenarien!$H$20="OK",(IFERROR(SUMIF(Nutzungsprofile!$B$6:$B$11,"Schulbetrieb",Nutzungsprofile!$G$6:$G$11)*Kalender!C298/SUM(Kalender!$C$5:$C$370),0)+IFERROR(SUMIF(Nutzungsprofile!$B$6:$B$11,"Halle",Nutzungsprofile!$G$6:$G$11)*Kalender!D298/SUM(Kalender!$D$5:$D$370),0)+IFERROR(SUMIF(Nutzungsprofile!$B$6:$B$11,"Individuell",Nutzungsprofile!$G$6:$G$11)*Kalender!E298/SUM(Kalender!$E$5:$E$370),0))*Szenarien!$E$20,0)</f>
        <v>0.72</v>
      </c>
      <c r="D3592" s="13" t="n">
        <f aca="false">IF(Szenarien!$H$20="OK",(IFERROR(SUMIF(Nutzungsprofile!$B$17:$B$22,"Schulbetrieb",Nutzungsprofile!$G$17:$G$22)*Kalender!C298/SUM(Kalender!$C$5:$C$370),0)+IFERROR(SUMIF(Nutzungsprofile!$B$17:$B$22,"Halle",Nutzungsprofile!$G$17:$G$22)*Kalender!D298/SUM(Kalender!$D$5:$D$370),0)+IFERROR(SUMIF(Nutzungsprofile!$B$17:$B$22,"Individuell",Nutzungsprofile!$G$17:$G$22)*Kalender!E298/SUM(Kalender!$E$5:$E$370),0))*Szenarien!$D$20,0)</f>
        <v>4.05</v>
      </c>
      <c r="E3592" s="13" t="n">
        <f aca="false">IFERROR(MIN(C3592,Eingaben!$B$17)*Eingaben!$B$16,0)</f>
        <v>0.684</v>
      </c>
      <c r="F3592" s="13" t="n">
        <f aca="false">IFERROR(E3592*Eingaben!$B$15,0)</f>
        <v>0.6156</v>
      </c>
      <c r="G3592" s="13" t="n">
        <f aca="false">IFERROR(IF(Kalender!A298="",0,J3591*(1-Eingaben!$B$20)),0)</f>
        <v>0.1809864</v>
      </c>
      <c r="H3592" s="13" t="n">
        <f aca="false">MIN(G3592,D3592)</f>
        <v>0.1809864</v>
      </c>
      <c r="I3592" s="13" t="n">
        <f aca="false">IFERROR(MIN(F3592*Eingaben!$B$19,MAX(0,D3592-H3592)),0)</f>
        <v>0.43092</v>
      </c>
      <c r="J3592" s="13" t="n">
        <f aca="false">IFERROR(MIN(Eingaben!$B$18,MAX(0,F3592-I3592)),0)</f>
        <v>0.18468</v>
      </c>
      <c r="K3592" s="13" t="n">
        <f aca="false">H3592+I3592</f>
        <v>0.6119064</v>
      </c>
      <c r="L3592" s="13" t="n">
        <f aca="false">MAX(0,D3592-K3592)</f>
        <v>3.4380936</v>
      </c>
      <c r="M3592" s="13" t="n">
        <f aca="false">MAX(0,F3592-I3592-J3592)</f>
        <v>0</v>
      </c>
      <c r="N3592" s="13" t="n">
        <f aca="false">IF(Kalender!A298="",0,J3591-H3592)</f>
        <v>0.00369359999999999</v>
      </c>
    </row>
    <row r="3593" customFormat="false" ht="16.4" hidden="false" customHeight="false" outlineLevel="0" collapsed="false">
      <c r="A3593" s="13" t="str">
        <f aca="false">""</f>
        <v/>
      </c>
      <c r="B3593" s="13" t="n">
        <f aca="false">295</f>
        <v>295</v>
      </c>
      <c r="C3593" s="13" t="n">
        <f aca="false">IF(Szenarien!$H$20="OK",(IFERROR(SUMIF(Nutzungsprofile!$B$6:$B$11,"Schulbetrieb",Nutzungsprofile!$G$6:$G$11)*Kalender!C299/SUM(Kalender!$C$5:$C$370),0)+IFERROR(SUMIF(Nutzungsprofile!$B$6:$B$11,"Halle",Nutzungsprofile!$G$6:$G$11)*Kalender!D299/SUM(Kalender!$D$5:$D$370),0)+IFERROR(SUMIF(Nutzungsprofile!$B$6:$B$11,"Individuell",Nutzungsprofile!$G$6:$G$11)*Kalender!E299/SUM(Kalender!$E$5:$E$370),0))*Szenarien!$E$20,0)</f>
        <v>0.72</v>
      </c>
      <c r="D3593" s="13" t="n">
        <f aca="false">IF(Szenarien!$H$20="OK",(IFERROR(SUMIF(Nutzungsprofile!$B$17:$B$22,"Schulbetrieb",Nutzungsprofile!$G$17:$G$22)*Kalender!C299/SUM(Kalender!$C$5:$C$370),0)+IFERROR(SUMIF(Nutzungsprofile!$B$17:$B$22,"Halle",Nutzungsprofile!$G$17:$G$22)*Kalender!D299/SUM(Kalender!$D$5:$D$370),0)+IFERROR(SUMIF(Nutzungsprofile!$B$17:$B$22,"Individuell",Nutzungsprofile!$G$17:$G$22)*Kalender!E299/SUM(Kalender!$E$5:$E$370),0))*Szenarien!$D$20,0)</f>
        <v>4.05</v>
      </c>
      <c r="E3593" s="13" t="n">
        <f aca="false">IFERROR(MIN(C3593,Eingaben!$B$17)*Eingaben!$B$16,0)</f>
        <v>0.684</v>
      </c>
      <c r="F3593" s="13" t="n">
        <f aca="false">IFERROR(E3593*Eingaben!$B$15,0)</f>
        <v>0.6156</v>
      </c>
      <c r="G3593" s="13" t="n">
        <f aca="false">IFERROR(IF(Kalender!A299="",0,J3592*(1-Eingaben!$B$20)),0)</f>
        <v>0.1809864</v>
      </c>
      <c r="H3593" s="13" t="n">
        <f aca="false">MIN(G3593,D3593)</f>
        <v>0.1809864</v>
      </c>
      <c r="I3593" s="13" t="n">
        <f aca="false">IFERROR(MIN(F3593*Eingaben!$B$19,MAX(0,D3593-H3593)),0)</f>
        <v>0.43092</v>
      </c>
      <c r="J3593" s="13" t="n">
        <f aca="false">IFERROR(MIN(Eingaben!$B$18,MAX(0,F3593-I3593)),0)</f>
        <v>0.18468</v>
      </c>
      <c r="K3593" s="13" t="n">
        <f aca="false">H3593+I3593</f>
        <v>0.6119064</v>
      </c>
      <c r="L3593" s="13" t="n">
        <f aca="false">MAX(0,D3593-K3593)</f>
        <v>3.4380936</v>
      </c>
      <c r="M3593" s="13" t="n">
        <f aca="false">MAX(0,F3593-I3593-J3593)</f>
        <v>0</v>
      </c>
      <c r="N3593" s="13" t="n">
        <f aca="false">IF(Kalender!A299="",0,J3592-H3593)</f>
        <v>0.00369359999999999</v>
      </c>
    </row>
    <row r="3594" customFormat="false" ht="16.4" hidden="false" customHeight="false" outlineLevel="0" collapsed="false">
      <c r="A3594" s="13" t="str">
        <f aca="false">""</f>
        <v/>
      </c>
      <c r="B3594" s="13" t="n">
        <f aca="false">296</f>
        <v>296</v>
      </c>
      <c r="C3594" s="13" t="n">
        <f aca="false">IF(Szenarien!$H$20="OK",(IFERROR(SUMIF(Nutzungsprofile!$B$6:$B$11,"Schulbetrieb",Nutzungsprofile!$G$6:$G$11)*Kalender!C300/SUM(Kalender!$C$5:$C$370),0)+IFERROR(SUMIF(Nutzungsprofile!$B$6:$B$11,"Halle",Nutzungsprofile!$G$6:$G$11)*Kalender!D300/SUM(Kalender!$D$5:$D$370),0)+IFERROR(SUMIF(Nutzungsprofile!$B$6:$B$11,"Individuell",Nutzungsprofile!$G$6:$G$11)*Kalender!E300/SUM(Kalender!$E$5:$E$370),0))*Szenarien!$E$20,0)</f>
        <v>0.72</v>
      </c>
      <c r="D3594" s="13" t="n">
        <f aca="false">IF(Szenarien!$H$20="OK",(IFERROR(SUMIF(Nutzungsprofile!$B$17:$B$22,"Schulbetrieb",Nutzungsprofile!$G$17:$G$22)*Kalender!C300/SUM(Kalender!$C$5:$C$370),0)+IFERROR(SUMIF(Nutzungsprofile!$B$17:$B$22,"Halle",Nutzungsprofile!$G$17:$G$22)*Kalender!D300/SUM(Kalender!$D$5:$D$370),0)+IFERROR(SUMIF(Nutzungsprofile!$B$17:$B$22,"Individuell",Nutzungsprofile!$G$17:$G$22)*Kalender!E300/SUM(Kalender!$E$5:$E$370),0))*Szenarien!$D$20,0)</f>
        <v>4.05</v>
      </c>
      <c r="E3594" s="13" t="n">
        <f aca="false">IFERROR(MIN(C3594,Eingaben!$B$17)*Eingaben!$B$16,0)</f>
        <v>0.684</v>
      </c>
      <c r="F3594" s="13" t="n">
        <f aca="false">IFERROR(E3594*Eingaben!$B$15,0)</f>
        <v>0.6156</v>
      </c>
      <c r="G3594" s="13" t="n">
        <f aca="false">IFERROR(IF(Kalender!A300="",0,J3593*(1-Eingaben!$B$20)),0)</f>
        <v>0.1809864</v>
      </c>
      <c r="H3594" s="13" t="n">
        <f aca="false">MIN(G3594,D3594)</f>
        <v>0.1809864</v>
      </c>
      <c r="I3594" s="13" t="n">
        <f aca="false">IFERROR(MIN(F3594*Eingaben!$B$19,MAX(0,D3594-H3594)),0)</f>
        <v>0.43092</v>
      </c>
      <c r="J3594" s="13" t="n">
        <f aca="false">IFERROR(MIN(Eingaben!$B$18,MAX(0,F3594-I3594)),0)</f>
        <v>0.18468</v>
      </c>
      <c r="K3594" s="13" t="n">
        <f aca="false">H3594+I3594</f>
        <v>0.6119064</v>
      </c>
      <c r="L3594" s="13" t="n">
        <f aca="false">MAX(0,D3594-K3594)</f>
        <v>3.4380936</v>
      </c>
      <c r="M3594" s="13" t="n">
        <f aca="false">MAX(0,F3594-I3594-J3594)</f>
        <v>0</v>
      </c>
      <c r="N3594" s="13" t="n">
        <f aca="false">IF(Kalender!A300="",0,J3593-H3594)</f>
        <v>0.00369359999999999</v>
      </c>
    </row>
    <row r="3595" customFormat="false" ht="16.4" hidden="false" customHeight="false" outlineLevel="0" collapsed="false">
      <c r="A3595" s="13" t="str">
        <f aca="false">""</f>
        <v/>
      </c>
      <c r="B3595" s="13" t="n">
        <f aca="false">297</f>
        <v>297</v>
      </c>
      <c r="C3595" s="13" t="n">
        <f aca="false">IF(Szenarien!$H$20="OK",(IFERROR(SUMIF(Nutzungsprofile!$B$6:$B$11,"Schulbetrieb",Nutzungsprofile!$G$6:$G$11)*Kalender!C301/SUM(Kalender!$C$5:$C$370),0)+IFERROR(SUMIF(Nutzungsprofile!$B$6:$B$11,"Halle",Nutzungsprofile!$G$6:$G$11)*Kalender!D301/SUM(Kalender!$D$5:$D$370),0)+IFERROR(SUMIF(Nutzungsprofile!$B$6:$B$11,"Individuell",Nutzungsprofile!$G$6:$G$11)*Kalender!E301/SUM(Kalender!$E$5:$E$370),0))*Szenarien!$E$20,0)</f>
        <v>0</v>
      </c>
      <c r="D3595" s="13" t="n">
        <f aca="false">IF(Szenarien!$H$20="OK",(IFERROR(SUMIF(Nutzungsprofile!$B$17:$B$22,"Schulbetrieb",Nutzungsprofile!$G$17:$G$22)*Kalender!C301/SUM(Kalender!$C$5:$C$370),0)+IFERROR(SUMIF(Nutzungsprofile!$B$17:$B$22,"Halle",Nutzungsprofile!$G$17:$G$22)*Kalender!D301/SUM(Kalender!$D$5:$D$370),0)+IFERROR(SUMIF(Nutzungsprofile!$B$17:$B$22,"Individuell",Nutzungsprofile!$G$17:$G$22)*Kalender!E301/SUM(Kalender!$E$5:$E$370),0))*Szenarien!$D$20,0)</f>
        <v>0</v>
      </c>
      <c r="E3595" s="13" t="n">
        <f aca="false">IFERROR(MIN(C3595,Eingaben!$B$17)*Eingaben!$B$16,0)</f>
        <v>0</v>
      </c>
      <c r="F3595" s="13" t="n">
        <f aca="false">IFERROR(E3595*Eingaben!$B$15,0)</f>
        <v>0</v>
      </c>
      <c r="G3595" s="13" t="n">
        <f aca="false">IFERROR(IF(Kalender!A301="",0,J3594*(1-Eingaben!$B$20)),0)</f>
        <v>0.1809864</v>
      </c>
      <c r="H3595" s="13" t="n">
        <f aca="false">MIN(G3595,D3595)</f>
        <v>0</v>
      </c>
      <c r="I3595" s="13" t="n">
        <f aca="false">IFERROR(MIN(F3595*Eingaben!$B$19,MAX(0,D3595-H3595)),0)</f>
        <v>0</v>
      </c>
      <c r="J3595" s="13" t="n">
        <f aca="false">IFERROR(MIN(Eingaben!$B$18,MAX(0,F3595-I3595)),0)</f>
        <v>0</v>
      </c>
      <c r="K3595" s="13" t="n">
        <f aca="false">H3595+I3595</f>
        <v>0</v>
      </c>
      <c r="L3595" s="13" t="n">
        <f aca="false">MAX(0,D3595-K3595)</f>
        <v>0</v>
      </c>
      <c r="M3595" s="13" t="n">
        <f aca="false">MAX(0,F3595-I3595-J3595)</f>
        <v>0</v>
      </c>
      <c r="N3595" s="13" t="n">
        <f aca="false">IF(Kalender!A301="",0,J3594-H3595)</f>
        <v>0.18468</v>
      </c>
    </row>
    <row r="3596" customFormat="false" ht="16.4" hidden="false" customHeight="false" outlineLevel="0" collapsed="false">
      <c r="A3596" s="13" t="str">
        <f aca="false">""</f>
        <v/>
      </c>
      <c r="B3596" s="13" t="n">
        <f aca="false">298</f>
        <v>298</v>
      </c>
      <c r="C3596" s="13" t="n">
        <f aca="false">IF(Szenarien!$H$20="OK",(IFERROR(SUMIF(Nutzungsprofile!$B$6:$B$11,"Schulbetrieb",Nutzungsprofile!$G$6:$G$11)*Kalender!C302/SUM(Kalender!$C$5:$C$370),0)+IFERROR(SUMIF(Nutzungsprofile!$B$6:$B$11,"Halle",Nutzungsprofile!$G$6:$G$11)*Kalender!D302/SUM(Kalender!$D$5:$D$370),0)+IFERROR(SUMIF(Nutzungsprofile!$B$6:$B$11,"Individuell",Nutzungsprofile!$G$6:$G$11)*Kalender!E302/SUM(Kalender!$E$5:$E$370),0))*Szenarien!$E$20,0)</f>
        <v>0</v>
      </c>
      <c r="D3596" s="13" t="n">
        <f aca="false">IF(Szenarien!$H$20="OK",(IFERROR(SUMIF(Nutzungsprofile!$B$17:$B$22,"Schulbetrieb",Nutzungsprofile!$G$17:$G$22)*Kalender!C302/SUM(Kalender!$C$5:$C$370),0)+IFERROR(SUMIF(Nutzungsprofile!$B$17:$B$22,"Halle",Nutzungsprofile!$G$17:$G$22)*Kalender!D302/SUM(Kalender!$D$5:$D$370),0)+IFERROR(SUMIF(Nutzungsprofile!$B$17:$B$22,"Individuell",Nutzungsprofile!$G$17:$G$22)*Kalender!E302/SUM(Kalender!$E$5:$E$370),0))*Szenarien!$D$20,0)</f>
        <v>0</v>
      </c>
      <c r="E3596" s="13" t="n">
        <f aca="false">IFERROR(MIN(C3596,Eingaben!$B$17)*Eingaben!$B$16,0)</f>
        <v>0</v>
      </c>
      <c r="F3596" s="13" t="n">
        <f aca="false">IFERROR(E3596*Eingaben!$B$15,0)</f>
        <v>0</v>
      </c>
      <c r="G3596" s="13" t="n">
        <f aca="false">IFERROR(IF(Kalender!A302="",0,J3595*(1-Eingaben!$B$20)),0)</f>
        <v>0</v>
      </c>
      <c r="H3596" s="13" t="n">
        <f aca="false">MIN(G3596,D3596)</f>
        <v>0</v>
      </c>
      <c r="I3596" s="13" t="n">
        <f aca="false">IFERROR(MIN(F3596*Eingaben!$B$19,MAX(0,D3596-H3596)),0)</f>
        <v>0</v>
      </c>
      <c r="J3596" s="13" t="n">
        <f aca="false">IFERROR(MIN(Eingaben!$B$18,MAX(0,F3596-I3596)),0)</f>
        <v>0</v>
      </c>
      <c r="K3596" s="13" t="n">
        <f aca="false">H3596+I3596</f>
        <v>0</v>
      </c>
      <c r="L3596" s="13" t="n">
        <f aca="false">MAX(0,D3596-K3596)</f>
        <v>0</v>
      </c>
      <c r="M3596" s="13" t="n">
        <f aca="false">MAX(0,F3596-I3596-J3596)</f>
        <v>0</v>
      </c>
      <c r="N3596" s="13" t="n">
        <f aca="false">IF(Kalender!A302="",0,J3595-H3596)</f>
        <v>0</v>
      </c>
    </row>
    <row r="3597" customFormat="false" ht="16.4" hidden="false" customHeight="false" outlineLevel="0" collapsed="false">
      <c r="A3597" s="13" t="str">
        <f aca="false">""</f>
        <v/>
      </c>
      <c r="B3597" s="13" t="n">
        <f aca="false">299</f>
        <v>299</v>
      </c>
      <c r="C3597" s="13" t="n">
        <f aca="false">IF(Szenarien!$H$20="OK",(IFERROR(SUMIF(Nutzungsprofile!$B$6:$B$11,"Schulbetrieb",Nutzungsprofile!$G$6:$G$11)*Kalender!C303/SUM(Kalender!$C$5:$C$370),0)+IFERROR(SUMIF(Nutzungsprofile!$B$6:$B$11,"Halle",Nutzungsprofile!$G$6:$G$11)*Kalender!D303/SUM(Kalender!$D$5:$D$370),0)+IFERROR(SUMIF(Nutzungsprofile!$B$6:$B$11,"Individuell",Nutzungsprofile!$G$6:$G$11)*Kalender!E303/SUM(Kalender!$E$5:$E$370),0))*Szenarien!$E$20,0)</f>
        <v>0.72</v>
      </c>
      <c r="D3597" s="13" t="n">
        <f aca="false">IF(Szenarien!$H$20="OK",(IFERROR(SUMIF(Nutzungsprofile!$B$17:$B$22,"Schulbetrieb",Nutzungsprofile!$G$17:$G$22)*Kalender!C303/SUM(Kalender!$C$5:$C$370),0)+IFERROR(SUMIF(Nutzungsprofile!$B$17:$B$22,"Halle",Nutzungsprofile!$G$17:$G$22)*Kalender!D303/SUM(Kalender!$D$5:$D$370),0)+IFERROR(SUMIF(Nutzungsprofile!$B$17:$B$22,"Individuell",Nutzungsprofile!$G$17:$G$22)*Kalender!E303/SUM(Kalender!$E$5:$E$370),0))*Szenarien!$D$20,0)</f>
        <v>4.05</v>
      </c>
      <c r="E3597" s="13" t="n">
        <f aca="false">IFERROR(MIN(C3597,Eingaben!$B$17)*Eingaben!$B$16,0)</f>
        <v>0.684</v>
      </c>
      <c r="F3597" s="13" t="n">
        <f aca="false">IFERROR(E3597*Eingaben!$B$15,0)</f>
        <v>0.6156</v>
      </c>
      <c r="G3597" s="13" t="n">
        <f aca="false">IFERROR(IF(Kalender!A303="",0,J3596*(1-Eingaben!$B$20)),0)</f>
        <v>0</v>
      </c>
      <c r="H3597" s="13" t="n">
        <f aca="false">MIN(G3597,D3597)</f>
        <v>0</v>
      </c>
      <c r="I3597" s="13" t="n">
        <f aca="false">IFERROR(MIN(F3597*Eingaben!$B$19,MAX(0,D3597-H3597)),0)</f>
        <v>0.43092</v>
      </c>
      <c r="J3597" s="13" t="n">
        <f aca="false">IFERROR(MIN(Eingaben!$B$18,MAX(0,F3597-I3597)),0)</f>
        <v>0.18468</v>
      </c>
      <c r="K3597" s="13" t="n">
        <f aca="false">H3597+I3597</f>
        <v>0.43092</v>
      </c>
      <c r="L3597" s="13" t="n">
        <f aca="false">MAX(0,D3597-K3597)</f>
        <v>3.61908</v>
      </c>
      <c r="M3597" s="13" t="n">
        <f aca="false">MAX(0,F3597-I3597-J3597)</f>
        <v>0</v>
      </c>
      <c r="N3597" s="13" t="n">
        <f aca="false">IF(Kalender!A303="",0,J3596-H3597)</f>
        <v>0</v>
      </c>
    </row>
    <row r="3598" customFormat="false" ht="16.4" hidden="false" customHeight="false" outlineLevel="0" collapsed="false">
      <c r="A3598" s="13" t="str">
        <f aca="false">""</f>
        <v/>
      </c>
      <c r="B3598" s="13" t="n">
        <f aca="false">300</f>
        <v>300</v>
      </c>
      <c r="C3598" s="13" t="n">
        <f aca="false">IF(Szenarien!$H$20="OK",(IFERROR(SUMIF(Nutzungsprofile!$B$6:$B$11,"Schulbetrieb",Nutzungsprofile!$G$6:$G$11)*Kalender!C304/SUM(Kalender!$C$5:$C$370),0)+IFERROR(SUMIF(Nutzungsprofile!$B$6:$B$11,"Halle",Nutzungsprofile!$G$6:$G$11)*Kalender!D304/SUM(Kalender!$D$5:$D$370),0)+IFERROR(SUMIF(Nutzungsprofile!$B$6:$B$11,"Individuell",Nutzungsprofile!$G$6:$G$11)*Kalender!E304/SUM(Kalender!$E$5:$E$370),0))*Szenarien!$E$20,0)</f>
        <v>0.72</v>
      </c>
      <c r="D3598" s="13" t="n">
        <f aca="false">IF(Szenarien!$H$20="OK",(IFERROR(SUMIF(Nutzungsprofile!$B$17:$B$22,"Schulbetrieb",Nutzungsprofile!$G$17:$G$22)*Kalender!C304/SUM(Kalender!$C$5:$C$370),0)+IFERROR(SUMIF(Nutzungsprofile!$B$17:$B$22,"Halle",Nutzungsprofile!$G$17:$G$22)*Kalender!D304/SUM(Kalender!$D$5:$D$370),0)+IFERROR(SUMIF(Nutzungsprofile!$B$17:$B$22,"Individuell",Nutzungsprofile!$G$17:$G$22)*Kalender!E304/SUM(Kalender!$E$5:$E$370),0))*Szenarien!$D$20,0)</f>
        <v>4.05</v>
      </c>
      <c r="E3598" s="13" t="n">
        <f aca="false">IFERROR(MIN(C3598,Eingaben!$B$17)*Eingaben!$B$16,0)</f>
        <v>0.684</v>
      </c>
      <c r="F3598" s="13" t="n">
        <f aca="false">IFERROR(E3598*Eingaben!$B$15,0)</f>
        <v>0.6156</v>
      </c>
      <c r="G3598" s="13" t="n">
        <f aca="false">IFERROR(IF(Kalender!A304="",0,J3597*(1-Eingaben!$B$20)),0)</f>
        <v>0.1809864</v>
      </c>
      <c r="H3598" s="13" t="n">
        <f aca="false">MIN(G3598,D3598)</f>
        <v>0.1809864</v>
      </c>
      <c r="I3598" s="13" t="n">
        <f aca="false">IFERROR(MIN(F3598*Eingaben!$B$19,MAX(0,D3598-H3598)),0)</f>
        <v>0.43092</v>
      </c>
      <c r="J3598" s="13" t="n">
        <f aca="false">IFERROR(MIN(Eingaben!$B$18,MAX(0,F3598-I3598)),0)</f>
        <v>0.18468</v>
      </c>
      <c r="K3598" s="13" t="n">
        <f aca="false">H3598+I3598</f>
        <v>0.6119064</v>
      </c>
      <c r="L3598" s="13" t="n">
        <f aca="false">MAX(0,D3598-K3598)</f>
        <v>3.4380936</v>
      </c>
      <c r="M3598" s="13" t="n">
        <f aca="false">MAX(0,F3598-I3598-J3598)</f>
        <v>0</v>
      </c>
      <c r="N3598" s="13" t="n">
        <f aca="false">IF(Kalender!A304="",0,J3597-H3598)</f>
        <v>0.00369359999999999</v>
      </c>
    </row>
    <row r="3599" customFormat="false" ht="16.4" hidden="false" customHeight="false" outlineLevel="0" collapsed="false">
      <c r="A3599" s="13" t="str">
        <f aca="false">""</f>
        <v/>
      </c>
      <c r="B3599" s="13" t="n">
        <f aca="false">301</f>
        <v>301</v>
      </c>
      <c r="C3599" s="13" t="n">
        <f aca="false">IF(Szenarien!$H$20="OK",(IFERROR(SUMIF(Nutzungsprofile!$B$6:$B$11,"Schulbetrieb",Nutzungsprofile!$G$6:$G$11)*Kalender!C305/SUM(Kalender!$C$5:$C$370),0)+IFERROR(SUMIF(Nutzungsprofile!$B$6:$B$11,"Halle",Nutzungsprofile!$G$6:$G$11)*Kalender!D305/SUM(Kalender!$D$5:$D$370),0)+IFERROR(SUMIF(Nutzungsprofile!$B$6:$B$11,"Individuell",Nutzungsprofile!$G$6:$G$11)*Kalender!E305/SUM(Kalender!$E$5:$E$370),0))*Szenarien!$E$20,0)</f>
        <v>0.72</v>
      </c>
      <c r="D3599" s="13" t="n">
        <f aca="false">IF(Szenarien!$H$20="OK",(IFERROR(SUMIF(Nutzungsprofile!$B$17:$B$22,"Schulbetrieb",Nutzungsprofile!$G$17:$G$22)*Kalender!C305/SUM(Kalender!$C$5:$C$370),0)+IFERROR(SUMIF(Nutzungsprofile!$B$17:$B$22,"Halle",Nutzungsprofile!$G$17:$G$22)*Kalender!D305/SUM(Kalender!$D$5:$D$370),0)+IFERROR(SUMIF(Nutzungsprofile!$B$17:$B$22,"Individuell",Nutzungsprofile!$G$17:$G$22)*Kalender!E305/SUM(Kalender!$E$5:$E$370),0))*Szenarien!$D$20,0)</f>
        <v>4.05</v>
      </c>
      <c r="E3599" s="13" t="n">
        <f aca="false">IFERROR(MIN(C3599,Eingaben!$B$17)*Eingaben!$B$16,0)</f>
        <v>0.684</v>
      </c>
      <c r="F3599" s="13" t="n">
        <f aca="false">IFERROR(E3599*Eingaben!$B$15,0)</f>
        <v>0.6156</v>
      </c>
      <c r="G3599" s="13" t="n">
        <f aca="false">IFERROR(IF(Kalender!A305="",0,J3598*(1-Eingaben!$B$20)),0)</f>
        <v>0.1809864</v>
      </c>
      <c r="H3599" s="13" t="n">
        <f aca="false">MIN(G3599,D3599)</f>
        <v>0.1809864</v>
      </c>
      <c r="I3599" s="13" t="n">
        <f aca="false">IFERROR(MIN(F3599*Eingaben!$B$19,MAX(0,D3599-H3599)),0)</f>
        <v>0.43092</v>
      </c>
      <c r="J3599" s="13" t="n">
        <f aca="false">IFERROR(MIN(Eingaben!$B$18,MAX(0,F3599-I3599)),0)</f>
        <v>0.18468</v>
      </c>
      <c r="K3599" s="13" t="n">
        <f aca="false">H3599+I3599</f>
        <v>0.6119064</v>
      </c>
      <c r="L3599" s="13" t="n">
        <f aca="false">MAX(0,D3599-K3599)</f>
        <v>3.4380936</v>
      </c>
      <c r="M3599" s="13" t="n">
        <f aca="false">MAX(0,F3599-I3599-J3599)</f>
        <v>0</v>
      </c>
      <c r="N3599" s="13" t="n">
        <f aca="false">IF(Kalender!A305="",0,J3598-H3599)</f>
        <v>0.00369359999999999</v>
      </c>
    </row>
    <row r="3600" customFormat="false" ht="16.4" hidden="false" customHeight="false" outlineLevel="0" collapsed="false">
      <c r="A3600" s="13" t="str">
        <f aca="false">""</f>
        <v/>
      </c>
      <c r="B3600" s="13" t="n">
        <f aca="false">302</f>
        <v>302</v>
      </c>
      <c r="C3600" s="13" t="n">
        <f aca="false">IF(Szenarien!$H$20="OK",(IFERROR(SUMIF(Nutzungsprofile!$B$6:$B$11,"Schulbetrieb",Nutzungsprofile!$G$6:$G$11)*Kalender!C306/SUM(Kalender!$C$5:$C$370),0)+IFERROR(SUMIF(Nutzungsprofile!$B$6:$B$11,"Halle",Nutzungsprofile!$G$6:$G$11)*Kalender!D306/SUM(Kalender!$D$5:$D$370),0)+IFERROR(SUMIF(Nutzungsprofile!$B$6:$B$11,"Individuell",Nutzungsprofile!$G$6:$G$11)*Kalender!E306/SUM(Kalender!$E$5:$E$370),0))*Szenarien!$E$20,0)</f>
        <v>0.72</v>
      </c>
      <c r="D3600" s="13" t="n">
        <f aca="false">IF(Szenarien!$H$20="OK",(IFERROR(SUMIF(Nutzungsprofile!$B$17:$B$22,"Schulbetrieb",Nutzungsprofile!$G$17:$G$22)*Kalender!C306/SUM(Kalender!$C$5:$C$370),0)+IFERROR(SUMIF(Nutzungsprofile!$B$17:$B$22,"Halle",Nutzungsprofile!$G$17:$G$22)*Kalender!D306/SUM(Kalender!$D$5:$D$370),0)+IFERROR(SUMIF(Nutzungsprofile!$B$17:$B$22,"Individuell",Nutzungsprofile!$G$17:$G$22)*Kalender!E306/SUM(Kalender!$E$5:$E$370),0))*Szenarien!$D$20,0)</f>
        <v>4.05</v>
      </c>
      <c r="E3600" s="13" t="n">
        <f aca="false">IFERROR(MIN(C3600,Eingaben!$B$17)*Eingaben!$B$16,0)</f>
        <v>0.684</v>
      </c>
      <c r="F3600" s="13" t="n">
        <f aca="false">IFERROR(E3600*Eingaben!$B$15,0)</f>
        <v>0.6156</v>
      </c>
      <c r="G3600" s="13" t="n">
        <f aca="false">IFERROR(IF(Kalender!A306="",0,J3599*(1-Eingaben!$B$20)),0)</f>
        <v>0.1809864</v>
      </c>
      <c r="H3600" s="13" t="n">
        <f aca="false">MIN(G3600,D3600)</f>
        <v>0.1809864</v>
      </c>
      <c r="I3600" s="13" t="n">
        <f aca="false">IFERROR(MIN(F3600*Eingaben!$B$19,MAX(0,D3600-H3600)),0)</f>
        <v>0.43092</v>
      </c>
      <c r="J3600" s="13" t="n">
        <f aca="false">IFERROR(MIN(Eingaben!$B$18,MAX(0,F3600-I3600)),0)</f>
        <v>0.18468</v>
      </c>
      <c r="K3600" s="13" t="n">
        <f aca="false">H3600+I3600</f>
        <v>0.6119064</v>
      </c>
      <c r="L3600" s="13" t="n">
        <f aca="false">MAX(0,D3600-K3600)</f>
        <v>3.4380936</v>
      </c>
      <c r="M3600" s="13" t="n">
        <f aca="false">MAX(0,F3600-I3600-J3600)</f>
        <v>0</v>
      </c>
      <c r="N3600" s="13" t="n">
        <f aca="false">IF(Kalender!A306="",0,J3599-H3600)</f>
        <v>0.00369359999999999</v>
      </c>
    </row>
    <row r="3601" customFormat="false" ht="16.4" hidden="false" customHeight="false" outlineLevel="0" collapsed="false">
      <c r="A3601" s="13" t="str">
        <f aca="false">""</f>
        <v/>
      </c>
      <c r="B3601" s="13" t="n">
        <f aca="false">303</f>
        <v>303</v>
      </c>
      <c r="C3601" s="13" t="n">
        <f aca="false">IF(Szenarien!$H$20="OK",(IFERROR(SUMIF(Nutzungsprofile!$B$6:$B$11,"Schulbetrieb",Nutzungsprofile!$G$6:$G$11)*Kalender!C307/SUM(Kalender!$C$5:$C$370),0)+IFERROR(SUMIF(Nutzungsprofile!$B$6:$B$11,"Halle",Nutzungsprofile!$G$6:$G$11)*Kalender!D307/SUM(Kalender!$D$5:$D$370),0)+IFERROR(SUMIF(Nutzungsprofile!$B$6:$B$11,"Individuell",Nutzungsprofile!$G$6:$G$11)*Kalender!E307/SUM(Kalender!$E$5:$E$370),0))*Szenarien!$E$20,0)</f>
        <v>0.72</v>
      </c>
      <c r="D3601" s="13" t="n">
        <f aca="false">IF(Szenarien!$H$20="OK",(IFERROR(SUMIF(Nutzungsprofile!$B$17:$B$22,"Schulbetrieb",Nutzungsprofile!$G$17:$G$22)*Kalender!C307/SUM(Kalender!$C$5:$C$370),0)+IFERROR(SUMIF(Nutzungsprofile!$B$17:$B$22,"Halle",Nutzungsprofile!$G$17:$G$22)*Kalender!D307/SUM(Kalender!$D$5:$D$370),0)+IFERROR(SUMIF(Nutzungsprofile!$B$17:$B$22,"Individuell",Nutzungsprofile!$G$17:$G$22)*Kalender!E307/SUM(Kalender!$E$5:$E$370),0))*Szenarien!$D$20,0)</f>
        <v>4.05</v>
      </c>
      <c r="E3601" s="13" t="n">
        <f aca="false">IFERROR(MIN(C3601,Eingaben!$B$17)*Eingaben!$B$16,0)</f>
        <v>0.684</v>
      </c>
      <c r="F3601" s="13" t="n">
        <f aca="false">IFERROR(E3601*Eingaben!$B$15,0)</f>
        <v>0.6156</v>
      </c>
      <c r="G3601" s="13" t="n">
        <f aca="false">IFERROR(IF(Kalender!A307="",0,J3600*(1-Eingaben!$B$20)),0)</f>
        <v>0.1809864</v>
      </c>
      <c r="H3601" s="13" t="n">
        <f aca="false">MIN(G3601,D3601)</f>
        <v>0.1809864</v>
      </c>
      <c r="I3601" s="13" t="n">
        <f aca="false">IFERROR(MIN(F3601*Eingaben!$B$19,MAX(0,D3601-H3601)),0)</f>
        <v>0.43092</v>
      </c>
      <c r="J3601" s="13" t="n">
        <f aca="false">IFERROR(MIN(Eingaben!$B$18,MAX(0,F3601-I3601)),0)</f>
        <v>0.18468</v>
      </c>
      <c r="K3601" s="13" t="n">
        <f aca="false">H3601+I3601</f>
        <v>0.6119064</v>
      </c>
      <c r="L3601" s="13" t="n">
        <f aca="false">MAX(0,D3601-K3601)</f>
        <v>3.4380936</v>
      </c>
      <c r="M3601" s="13" t="n">
        <f aca="false">MAX(0,F3601-I3601-J3601)</f>
        <v>0</v>
      </c>
      <c r="N3601" s="13" t="n">
        <f aca="false">IF(Kalender!A307="",0,J3600-H3601)</f>
        <v>0.00369359999999999</v>
      </c>
    </row>
    <row r="3602" customFormat="false" ht="16.4" hidden="false" customHeight="false" outlineLevel="0" collapsed="false">
      <c r="A3602" s="13" t="str">
        <f aca="false">""</f>
        <v/>
      </c>
      <c r="B3602" s="13" t="n">
        <f aca="false">304</f>
        <v>304</v>
      </c>
      <c r="C3602" s="13" t="n">
        <f aca="false">IF(Szenarien!$H$20="OK",(IFERROR(SUMIF(Nutzungsprofile!$B$6:$B$11,"Schulbetrieb",Nutzungsprofile!$G$6:$G$11)*Kalender!C308/SUM(Kalender!$C$5:$C$370),0)+IFERROR(SUMIF(Nutzungsprofile!$B$6:$B$11,"Halle",Nutzungsprofile!$G$6:$G$11)*Kalender!D308/SUM(Kalender!$D$5:$D$370),0)+IFERROR(SUMIF(Nutzungsprofile!$B$6:$B$11,"Individuell",Nutzungsprofile!$G$6:$G$11)*Kalender!E308/SUM(Kalender!$E$5:$E$370),0))*Szenarien!$E$20,0)</f>
        <v>0</v>
      </c>
      <c r="D3602" s="13" t="n">
        <f aca="false">IF(Szenarien!$H$20="OK",(IFERROR(SUMIF(Nutzungsprofile!$B$17:$B$22,"Schulbetrieb",Nutzungsprofile!$G$17:$G$22)*Kalender!C308/SUM(Kalender!$C$5:$C$370),0)+IFERROR(SUMIF(Nutzungsprofile!$B$17:$B$22,"Halle",Nutzungsprofile!$G$17:$G$22)*Kalender!D308/SUM(Kalender!$D$5:$D$370),0)+IFERROR(SUMIF(Nutzungsprofile!$B$17:$B$22,"Individuell",Nutzungsprofile!$G$17:$G$22)*Kalender!E308/SUM(Kalender!$E$5:$E$370),0))*Szenarien!$D$20,0)</f>
        <v>0</v>
      </c>
      <c r="E3602" s="13" t="n">
        <f aca="false">IFERROR(MIN(C3602,Eingaben!$B$17)*Eingaben!$B$16,0)</f>
        <v>0</v>
      </c>
      <c r="F3602" s="13" t="n">
        <f aca="false">IFERROR(E3602*Eingaben!$B$15,0)</f>
        <v>0</v>
      </c>
      <c r="G3602" s="13" t="n">
        <f aca="false">IFERROR(IF(Kalender!A308="",0,J3601*(1-Eingaben!$B$20)),0)</f>
        <v>0.1809864</v>
      </c>
      <c r="H3602" s="13" t="n">
        <f aca="false">MIN(G3602,D3602)</f>
        <v>0</v>
      </c>
      <c r="I3602" s="13" t="n">
        <f aca="false">IFERROR(MIN(F3602*Eingaben!$B$19,MAX(0,D3602-H3602)),0)</f>
        <v>0</v>
      </c>
      <c r="J3602" s="13" t="n">
        <f aca="false">IFERROR(MIN(Eingaben!$B$18,MAX(0,F3602-I3602)),0)</f>
        <v>0</v>
      </c>
      <c r="K3602" s="13" t="n">
        <f aca="false">H3602+I3602</f>
        <v>0</v>
      </c>
      <c r="L3602" s="13" t="n">
        <f aca="false">MAX(0,D3602-K3602)</f>
        <v>0</v>
      </c>
      <c r="M3602" s="13" t="n">
        <f aca="false">MAX(0,F3602-I3602-J3602)</f>
        <v>0</v>
      </c>
      <c r="N3602" s="13" t="n">
        <f aca="false">IF(Kalender!A308="",0,J3601-H3602)</f>
        <v>0.18468</v>
      </c>
    </row>
    <row r="3603" customFormat="false" ht="16.4" hidden="false" customHeight="false" outlineLevel="0" collapsed="false">
      <c r="A3603" s="13" t="str">
        <f aca="false">""</f>
        <v/>
      </c>
      <c r="B3603" s="13" t="n">
        <f aca="false">305</f>
        <v>305</v>
      </c>
      <c r="C3603" s="13" t="n">
        <f aca="false">IF(Szenarien!$H$20="OK",(IFERROR(SUMIF(Nutzungsprofile!$B$6:$B$11,"Schulbetrieb",Nutzungsprofile!$G$6:$G$11)*Kalender!C309/SUM(Kalender!$C$5:$C$370),0)+IFERROR(SUMIF(Nutzungsprofile!$B$6:$B$11,"Halle",Nutzungsprofile!$G$6:$G$11)*Kalender!D309/SUM(Kalender!$D$5:$D$370),0)+IFERROR(SUMIF(Nutzungsprofile!$B$6:$B$11,"Individuell",Nutzungsprofile!$G$6:$G$11)*Kalender!E309/SUM(Kalender!$E$5:$E$370),0))*Szenarien!$E$20,0)</f>
        <v>0</v>
      </c>
      <c r="D3603" s="13" t="n">
        <f aca="false">IF(Szenarien!$H$20="OK",(IFERROR(SUMIF(Nutzungsprofile!$B$17:$B$22,"Schulbetrieb",Nutzungsprofile!$G$17:$G$22)*Kalender!C309/SUM(Kalender!$C$5:$C$370),0)+IFERROR(SUMIF(Nutzungsprofile!$B$17:$B$22,"Halle",Nutzungsprofile!$G$17:$G$22)*Kalender!D309/SUM(Kalender!$D$5:$D$370),0)+IFERROR(SUMIF(Nutzungsprofile!$B$17:$B$22,"Individuell",Nutzungsprofile!$G$17:$G$22)*Kalender!E309/SUM(Kalender!$E$5:$E$370),0))*Szenarien!$D$20,0)</f>
        <v>0</v>
      </c>
      <c r="E3603" s="13" t="n">
        <f aca="false">IFERROR(MIN(C3603,Eingaben!$B$17)*Eingaben!$B$16,0)</f>
        <v>0</v>
      </c>
      <c r="F3603" s="13" t="n">
        <f aca="false">IFERROR(E3603*Eingaben!$B$15,0)</f>
        <v>0</v>
      </c>
      <c r="G3603" s="13" t="n">
        <f aca="false">IFERROR(IF(Kalender!A309="",0,J3602*(1-Eingaben!$B$20)),0)</f>
        <v>0</v>
      </c>
      <c r="H3603" s="13" t="n">
        <f aca="false">MIN(G3603,D3603)</f>
        <v>0</v>
      </c>
      <c r="I3603" s="13" t="n">
        <f aca="false">IFERROR(MIN(F3603*Eingaben!$B$19,MAX(0,D3603-H3603)),0)</f>
        <v>0</v>
      </c>
      <c r="J3603" s="13" t="n">
        <f aca="false">IFERROR(MIN(Eingaben!$B$18,MAX(0,F3603-I3603)),0)</f>
        <v>0</v>
      </c>
      <c r="K3603" s="13" t="n">
        <f aca="false">H3603+I3603</f>
        <v>0</v>
      </c>
      <c r="L3603" s="13" t="n">
        <f aca="false">MAX(0,D3603-K3603)</f>
        <v>0</v>
      </c>
      <c r="M3603" s="13" t="n">
        <f aca="false">MAX(0,F3603-I3603-J3603)</f>
        <v>0</v>
      </c>
      <c r="N3603" s="13" t="n">
        <f aca="false">IF(Kalender!A309="",0,J3602-H3603)</f>
        <v>0</v>
      </c>
    </row>
    <row r="3604" customFormat="false" ht="16.4" hidden="false" customHeight="false" outlineLevel="0" collapsed="false">
      <c r="A3604" s="13" t="str">
        <f aca="false">""</f>
        <v/>
      </c>
      <c r="B3604" s="13" t="n">
        <f aca="false">306</f>
        <v>306</v>
      </c>
      <c r="C3604" s="13" t="n">
        <f aca="false">IF(Szenarien!$H$20="OK",(IFERROR(SUMIF(Nutzungsprofile!$B$6:$B$11,"Schulbetrieb",Nutzungsprofile!$G$6:$G$11)*Kalender!C310/SUM(Kalender!$C$5:$C$370),0)+IFERROR(SUMIF(Nutzungsprofile!$B$6:$B$11,"Halle",Nutzungsprofile!$G$6:$G$11)*Kalender!D310/SUM(Kalender!$D$5:$D$370),0)+IFERROR(SUMIF(Nutzungsprofile!$B$6:$B$11,"Individuell",Nutzungsprofile!$G$6:$G$11)*Kalender!E310/SUM(Kalender!$E$5:$E$370),0))*Szenarien!$E$20,0)</f>
        <v>0.72</v>
      </c>
      <c r="D3604" s="13" t="n">
        <f aca="false">IF(Szenarien!$H$20="OK",(IFERROR(SUMIF(Nutzungsprofile!$B$17:$B$22,"Schulbetrieb",Nutzungsprofile!$G$17:$G$22)*Kalender!C310/SUM(Kalender!$C$5:$C$370),0)+IFERROR(SUMIF(Nutzungsprofile!$B$17:$B$22,"Halle",Nutzungsprofile!$G$17:$G$22)*Kalender!D310/SUM(Kalender!$D$5:$D$370),0)+IFERROR(SUMIF(Nutzungsprofile!$B$17:$B$22,"Individuell",Nutzungsprofile!$G$17:$G$22)*Kalender!E310/SUM(Kalender!$E$5:$E$370),0))*Szenarien!$D$20,0)</f>
        <v>4.05</v>
      </c>
      <c r="E3604" s="13" t="n">
        <f aca="false">IFERROR(MIN(C3604,Eingaben!$B$17)*Eingaben!$B$16,0)</f>
        <v>0.684</v>
      </c>
      <c r="F3604" s="13" t="n">
        <f aca="false">IFERROR(E3604*Eingaben!$B$15,0)</f>
        <v>0.6156</v>
      </c>
      <c r="G3604" s="13" t="n">
        <f aca="false">IFERROR(IF(Kalender!A310="",0,J3603*(1-Eingaben!$B$20)),0)</f>
        <v>0</v>
      </c>
      <c r="H3604" s="13" t="n">
        <f aca="false">MIN(G3604,D3604)</f>
        <v>0</v>
      </c>
      <c r="I3604" s="13" t="n">
        <f aca="false">IFERROR(MIN(F3604*Eingaben!$B$19,MAX(0,D3604-H3604)),0)</f>
        <v>0.43092</v>
      </c>
      <c r="J3604" s="13" t="n">
        <f aca="false">IFERROR(MIN(Eingaben!$B$18,MAX(0,F3604-I3604)),0)</f>
        <v>0.18468</v>
      </c>
      <c r="K3604" s="13" t="n">
        <f aca="false">H3604+I3604</f>
        <v>0.43092</v>
      </c>
      <c r="L3604" s="13" t="n">
        <f aca="false">MAX(0,D3604-K3604)</f>
        <v>3.61908</v>
      </c>
      <c r="M3604" s="13" t="n">
        <f aca="false">MAX(0,F3604-I3604-J3604)</f>
        <v>0</v>
      </c>
      <c r="N3604" s="13" t="n">
        <f aca="false">IF(Kalender!A310="",0,J3603-H3604)</f>
        <v>0</v>
      </c>
    </row>
    <row r="3605" customFormat="false" ht="16.4" hidden="false" customHeight="false" outlineLevel="0" collapsed="false">
      <c r="A3605" s="13" t="str">
        <f aca="false">""</f>
        <v/>
      </c>
      <c r="B3605" s="13" t="n">
        <f aca="false">307</f>
        <v>307</v>
      </c>
      <c r="C3605" s="13" t="n">
        <f aca="false">IF(Szenarien!$H$20="OK",(IFERROR(SUMIF(Nutzungsprofile!$B$6:$B$11,"Schulbetrieb",Nutzungsprofile!$G$6:$G$11)*Kalender!C311/SUM(Kalender!$C$5:$C$370),0)+IFERROR(SUMIF(Nutzungsprofile!$B$6:$B$11,"Halle",Nutzungsprofile!$G$6:$G$11)*Kalender!D311/SUM(Kalender!$D$5:$D$370),0)+IFERROR(SUMIF(Nutzungsprofile!$B$6:$B$11,"Individuell",Nutzungsprofile!$G$6:$G$11)*Kalender!E311/SUM(Kalender!$E$5:$E$370),0))*Szenarien!$E$20,0)</f>
        <v>0.72</v>
      </c>
      <c r="D3605" s="13" t="n">
        <f aca="false">IF(Szenarien!$H$20="OK",(IFERROR(SUMIF(Nutzungsprofile!$B$17:$B$22,"Schulbetrieb",Nutzungsprofile!$G$17:$G$22)*Kalender!C311/SUM(Kalender!$C$5:$C$370),0)+IFERROR(SUMIF(Nutzungsprofile!$B$17:$B$22,"Halle",Nutzungsprofile!$G$17:$G$22)*Kalender!D311/SUM(Kalender!$D$5:$D$370),0)+IFERROR(SUMIF(Nutzungsprofile!$B$17:$B$22,"Individuell",Nutzungsprofile!$G$17:$G$22)*Kalender!E311/SUM(Kalender!$E$5:$E$370),0))*Szenarien!$D$20,0)</f>
        <v>4.05</v>
      </c>
      <c r="E3605" s="13" t="n">
        <f aca="false">IFERROR(MIN(C3605,Eingaben!$B$17)*Eingaben!$B$16,0)</f>
        <v>0.684</v>
      </c>
      <c r="F3605" s="13" t="n">
        <f aca="false">IFERROR(E3605*Eingaben!$B$15,0)</f>
        <v>0.6156</v>
      </c>
      <c r="G3605" s="13" t="n">
        <f aca="false">IFERROR(IF(Kalender!A311="",0,J3604*(1-Eingaben!$B$20)),0)</f>
        <v>0.1809864</v>
      </c>
      <c r="H3605" s="13" t="n">
        <f aca="false">MIN(G3605,D3605)</f>
        <v>0.1809864</v>
      </c>
      <c r="I3605" s="13" t="n">
        <f aca="false">IFERROR(MIN(F3605*Eingaben!$B$19,MAX(0,D3605-H3605)),0)</f>
        <v>0.43092</v>
      </c>
      <c r="J3605" s="13" t="n">
        <f aca="false">IFERROR(MIN(Eingaben!$B$18,MAX(0,F3605-I3605)),0)</f>
        <v>0.18468</v>
      </c>
      <c r="K3605" s="13" t="n">
        <f aca="false">H3605+I3605</f>
        <v>0.6119064</v>
      </c>
      <c r="L3605" s="13" t="n">
        <f aca="false">MAX(0,D3605-K3605)</f>
        <v>3.4380936</v>
      </c>
      <c r="M3605" s="13" t="n">
        <f aca="false">MAX(0,F3605-I3605-J3605)</f>
        <v>0</v>
      </c>
      <c r="N3605" s="13" t="n">
        <f aca="false">IF(Kalender!A311="",0,J3604-H3605)</f>
        <v>0.00369359999999999</v>
      </c>
    </row>
    <row r="3606" customFormat="false" ht="16.4" hidden="false" customHeight="false" outlineLevel="0" collapsed="false">
      <c r="A3606" s="13" t="str">
        <f aca="false">""</f>
        <v/>
      </c>
      <c r="B3606" s="13" t="n">
        <f aca="false">308</f>
        <v>308</v>
      </c>
      <c r="C3606" s="13" t="n">
        <f aca="false">IF(Szenarien!$H$20="OK",(IFERROR(SUMIF(Nutzungsprofile!$B$6:$B$11,"Schulbetrieb",Nutzungsprofile!$G$6:$G$11)*Kalender!C312/SUM(Kalender!$C$5:$C$370),0)+IFERROR(SUMIF(Nutzungsprofile!$B$6:$B$11,"Halle",Nutzungsprofile!$G$6:$G$11)*Kalender!D312/SUM(Kalender!$D$5:$D$370),0)+IFERROR(SUMIF(Nutzungsprofile!$B$6:$B$11,"Individuell",Nutzungsprofile!$G$6:$G$11)*Kalender!E312/SUM(Kalender!$E$5:$E$370),0))*Szenarien!$E$20,0)</f>
        <v>0.72</v>
      </c>
      <c r="D3606" s="13" t="n">
        <f aca="false">IF(Szenarien!$H$20="OK",(IFERROR(SUMIF(Nutzungsprofile!$B$17:$B$22,"Schulbetrieb",Nutzungsprofile!$G$17:$G$22)*Kalender!C312/SUM(Kalender!$C$5:$C$370),0)+IFERROR(SUMIF(Nutzungsprofile!$B$17:$B$22,"Halle",Nutzungsprofile!$G$17:$G$22)*Kalender!D312/SUM(Kalender!$D$5:$D$370),0)+IFERROR(SUMIF(Nutzungsprofile!$B$17:$B$22,"Individuell",Nutzungsprofile!$G$17:$G$22)*Kalender!E312/SUM(Kalender!$E$5:$E$370),0))*Szenarien!$D$20,0)</f>
        <v>4.05</v>
      </c>
      <c r="E3606" s="13" t="n">
        <f aca="false">IFERROR(MIN(C3606,Eingaben!$B$17)*Eingaben!$B$16,0)</f>
        <v>0.684</v>
      </c>
      <c r="F3606" s="13" t="n">
        <f aca="false">IFERROR(E3606*Eingaben!$B$15,0)</f>
        <v>0.6156</v>
      </c>
      <c r="G3606" s="13" t="n">
        <f aca="false">IFERROR(IF(Kalender!A312="",0,J3605*(1-Eingaben!$B$20)),0)</f>
        <v>0.1809864</v>
      </c>
      <c r="H3606" s="13" t="n">
        <f aca="false">MIN(G3606,D3606)</f>
        <v>0.1809864</v>
      </c>
      <c r="I3606" s="13" t="n">
        <f aca="false">IFERROR(MIN(F3606*Eingaben!$B$19,MAX(0,D3606-H3606)),0)</f>
        <v>0.43092</v>
      </c>
      <c r="J3606" s="13" t="n">
        <f aca="false">IFERROR(MIN(Eingaben!$B$18,MAX(0,F3606-I3606)),0)</f>
        <v>0.18468</v>
      </c>
      <c r="K3606" s="13" t="n">
        <f aca="false">H3606+I3606</f>
        <v>0.6119064</v>
      </c>
      <c r="L3606" s="13" t="n">
        <f aca="false">MAX(0,D3606-K3606)</f>
        <v>3.4380936</v>
      </c>
      <c r="M3606" s="13" t="n">
        <f aca="false">MAX(0,F3606-I3606-J3606)</f>
        <v>0</v>
      </c>
      <c r="N3606" s="13" t="n">
        <f aca="false">IF(Kalender!A312="",0,J3605-H3606)</f>
        <v>0.00369359999999999</v>
      </c>
    </row>
    <row r="3607" customFormat="false" ht="16.4" hidden="false" customHeight="false" outlineLevel="0" collapsed="false">
      <c r="A3607" s="13" t="str">
        <f aca="false">""</f>
        <v/>
      </c>
      <c r="B3607" s="13" t="n">
        <f aca="false">309</f>
        <v>309</v>
      </c>
      <c r="C3607" s="13" t="n">
        <f aca="false">IF(Szenarien!$H$20="OK",(IFERROR(SUMIF(Nutzungsprofile!$B$6:$B$11,"Schulbetrieb",Nutzungsprofile!$G$6:$G$11)*Kalender!C313/SUM(Kalender!$C$5:$C$370),0)+IFERROR(SUMIF(Nutzungsprofile!$B$6:$B$11,"Halle",Nutzungsprofile!$G$6:$G$11)*Kalender!D313/SUM(Kalender!$D$5:$D$370),0)+IFERROR(SUMIF(Nutzungsprofile!$B$6:$B$11,"Individuell",Nutzungsprofile!$G$6:$G$11)*Kalender!E313/SUM(Kalender!$E$5:$E$370),0))*Szenarien!$E$20,0)</f>
        <v>0.72</v>
      </c>
      <c r="D3607" s="13" t="n">
        <f aca="false">IF(Szenarien!$H$20="OK",(IFERROR(SUMIF(Nutzungsprofile!$B$17:$B$22,"Schulbetrieb",Nutzungsprofile!$G$17:$G$22)*Kalender!C313/SUM(Kalender!$C$5:$C$370),0)+IFERROR(SUMIF(Nutzungsprofile!$B$17:$B$22,"Halle",Nutzungsprofile!$G$17:$G$22)*Kalender!D313/SUM(Kalender!$D$5:$D$370),0)+IFERROR(SUMIF(Nutzungsprofile!$B$17:$B$22,"Individuell",Nutzungsprofile!$G$17:$G$22)*Kalender!E313/SUM(Kalender!$E$5:$E$370),0))*Szenarien!$D$20,0)</f>
        <v>4.05</v>
      </c>
      <c r="E3607" s="13" t="n">
        <f aca="false">IFERROR(MIN(C3607,Eingaben!$B$17)*Eingaben!$B$16,0)</f>
        <v>0.684</v>
      </c>
      <c r="F3607" s="13" t="n">
        <f aca="false">IFERROR(E3607*Eingaben!$B$15,0)</f>
        <v>0.6156</v>
      </c>
      <c r="G3607" s="13" t="n">
        <f aca="false">IFERROR(IF(Kalender!A313="",0,J3606*(1-Eingaben!$B$20)),0)</f>
        <v>0.1809864</v>
      </c>
      <c r="H3607" s="13" t="n">
        <f aca="false">MIN(G3607,D3607)</f>
        <v>0.1809864</v>
      </c>
      <c r="I3607" s="13" t="n">
        <f aca="false">IFERROR(MIN(F3607*Eingaben!$B$19,MAX(0,D3607-H3607)),0)</f>
        <v>0.43092</v>
      </c>
      <c r="J3607" s="13" t="n">
        <f aca="false">IFERROR(MIN(Eingaben!$B$18,MAX(0,F3607-I3607)),0)</f>
        <v>0.18468</v>
      </c>
      <c r="K3607" s="13" t="n">
        <f aca="false">H3607+I3607</f>
        <v>0.6119064</v>
      </c>
      <c r="L3607" s="13" t="n">
        <f aca="false">MAX(0,D3607-K3607)</f>
        <v>3.4380936</v>
      </c>
      <c r="M3607" s="13" t="n">
        <f aca="false">MAX(0,F3607-I3607-J3607)</f>
        <v>0</v>
      </c>
      <c r="N3607" s="13" t="n">
        <f aca="false">IF(Kalender!A313="",0,J3606-H3607)</f>
        <v>0.00369359999999999</v>
      </c>
    </row>
    <row r="3608" customFormat="false" ht="16.4" hidden="false" customHeight="false" outlineLevel="0" collapsed="false">
      <c r="A3608" s="13" t="str">
        <f aca="false">""</f>
        <v/>
      </c>
      <c r="B3608" s="13" t="n">
        <f aca="false">310</f>
        <v>310</v>
      </c>
      <c r="C3608" s="13" t="n">
        <f aca="false">IF(Szenarien!$H$20="OK",(IFERROR(SUMIF(Nutzungsprofile!$B$6:$B$11,"Schulbetrieb",Nutzungsprofile!$G$6:$G$11)*Kalender!C314/SUM(Kalender!$C$5:$C$370),0)+IFERROR(SUMIF(Nutzungsprofile!$B$6:$B$11,"Halle",Nutzungsprofile!$G$6:$G$11)*Kalender!D314/SUM(Kalender!$D$5:$D$370),0)+IFERROR(SUMIF(Nutzungsprofile!$B$6:$B$11,"Individuell",Nutzungsprofile!$G$6:$G$11)*Kalender!E314/SUM(Kalender!$E$5:$E$370),0))*Szenarien!$E$20,0)</f>
        <v>0.72</v>
      </c>
      <c r="D3608" s="13" t="n">
        <f aca="false">IF(Szenarien!$H$20="OK",(IFERROR(SUMIF(Nutzungsprofile!$B$17:$B$22,"Schulbetrieb",Nutzungsprofile!$G$17:$G$22)*Kalender!C314/SUM(Kalender!$C$5:$C$370),0)+IFERROR(SUMIF(Nutzungsprofile!$B$17:$B$22,"Halle",Nutzungsprofile!$G$17:$G$22)*Kalender!D314/SUM(Kalender!$D$5:$D$370),0)+IFERROR(SUMIF(Nutzungsprofile!$B$17:$B$22,"Individuell",Nutzungsprofile!$G$17:$G$22)*Kalender!E314/SUM(Kalender!$E$5:$E$370),0))*Szenarien!$D$20,0)</f>
        <v>4.05</v>
      </c>
      <c r="E3608" s="13" t="n">
        <f aca="false">IFERROR(MIN(C3608,Eingaben!$B$17)*Eingaben!$B$16,0)</f>
        <v>0.684</v>
      </c>
      <c r="F3608" s="13" t="n">
        <f aca="false">IFERROR(E3608*Eingaben!$B$15,0)</f>
        <v>0.6156</v>
      </c>
      <c r="G3608" s="13" t="n">
        <f aca="false">IFERROR(IF(Kalender!A314="",0,J3607*(1-Eingaben!$B$20)),0)</f>
        <v>0.1809864</v>
      </c>
      <c r="H3608" s="13" t="n">
        <f aca="false">MIN(G3608,D3608)</f>
        <v>0.1809864</v>
      </c>
      <c r="I3608" s="13" t="n">
        <f aca="false">IFERROR(MIN(F3608*Eingaben!$B$19,MAX(0,D3608-H3608)),0)</f>
        <v>0.43092</v>
      </c>
      <c r="J3608" s="13" t="n">
        <f aca="false">IFERROR(MIN(Eingaben!$B$18,MAX(0,F3608-I3608)),0)</f>
        <v>0.18468</v>
      </c>
      <c r="K3608" s="13" t="n">
        <f aca="false">H3608+I3608</f>
        <v>0.6119064</v>
      </c>
      <c r="L3608" s="13" t="n">
        <f aca="false">MAX(0,D3608-K3608)</f>
        <v>3.4380936</v>
      </c>
      <c r="M3608" s="13" t="n">
        <f aca="false">MAX(0,F3608-I3608-J3608)</f>
        <v>0</v>
      </c>
      <c r="N3608" s="13" t="n">
        <f aca="false">IF(Kalender!A314="",0,J3607-H3608)</f>
        <v>0.00369359999999999</v>
      </c>
    </row>
    <row r="3609" customFormat="false" ht="16.4" hidden="false" customHeight="false" outlineLevel="0" collapsed="false">
      <c r="A3609" s="13" t="str">
        <f aca="false">""</f>
        <v/>
      </c>
      <c r="B3609" s="13" t="n">
        <f aca="false">311</f>
        <v>311</v>
      </c>
      <c r="C3609" s="13" t="n">
        <f aca="false">IF(Szenarien!$H$20="OK",(IFERROR(SUMIF(Nutzungsprofile!$B$6:$B$11,"Schulbetrieb",Nutzungsprofile!$G$6:$G$11)*Kalender!C315/SUM(Kalender!$C$5:$C$370),0)+IFERROR(SUMIF(Nutzungsprofile!$B$6:$B$11,"Halle",Nutzungsprofile!$G$6:$G$11)*Kalender!D315/SUM(Kalender!$D$5:$D$370),0)+IFERROR(SUMIF(Nutzungsprofile!$B$6:$B$11,"Individuell",Nutzungsprofile!$G$6:$G$11)*Kalender!E315/SUM(Kalender!$E$5:$E$370),0))*Szenarien!$E$20,0)</f>
        <v>0</v>
      </c>
      <c r="D3609" s="13" t="n">
        <f aca="false">IF(Szenarien!$H$20="OK",(IFERROR(SUMIF(Nutzungsprofile!$B$17:$B$22,"Schulbetrieb",Nutzungsprofile!$G$17:$G$22)*Kalender!C315/SUM(Kalender!$C$5:$C$370),0)+IFERROR(SUMIF(Nutzungsprofile!$B$17:$B$22,"Halle",Nutzungsprofile!$G$17:$G$22)*Kalender!D315/SUM(Kalender!$D$5:$D$370),0)+IFERROR(SUMIF(Nutzungsprofile!$B$17:$B$22,"Individuell",Nutzungsprofile!$G$17:$G$22)*Kalender!E315/SUM(Kalender!$E$5:$E$370),0))*Szenarien!$D$20,0)</f>
        <v>0</v>
      </c>
      <c r="E3609" s="13" t="n">
        <f aca="false">IFERROR(MIN(C3609,Eingaben!$B$17)*Eingaben!$B$16,0)</f>
        <v>0</v>
      </c>
      <c r="F3609" s="13" t="n">
        <f aca="false">IFERROR(E3609*Eingaben!$B$15,0)</f>
        <v>0</v>
      </c>
      <c r="G3609" s="13" t="n">
        <f aca="false">IFERROR(IF(Kalender!A315="",0,J3608*(1-Eingaben!$B$20)),0)</f>
        <v>0.1809864</v>
      </c>
      <c r="H3609" s="13" t="n">
        <f aca="false">MIN(G3609,D3609)</f>
        <v>0</v>
      </c>
      <c r="I3609" s="13" t="n">
        <f aca="false">IFERROR(MIN(F3609*Eingaben!$B$19,MAX(0,D3609-H3609)),0)</f>
        <v>0</v>
      </c>
      <c r="J3609" s="13" t="n">
        <f aca="false">IFERROR(MIN(Eingaben!$B$18,MAX(0,F3609-I3609)),0)</f>
        <v>0</v>
      </c>
      <c r="K3609" s="13" t="n">
        <f aca="false">H3609+I3609</f>
        <v>0</v>
      </c>
      <c r="L3609" s="13" t="n">
        <f aca="false">MAX(0,D3609-K3609)</f>
        <v>0</v>
      </c>
      <c r="M3609" s="13" t="n">
        <f aca="false">MAX(0,F3609-I3609-J3609)</f>
        <v>0</v>
      </c>
      <c r="N3609" s="13" t="n">
        <f aca="false">IF(Kalender!A315="",0,J3608-H3609)</f>
        <v>0.18468</v>
      </c>
    </row>
    <row r="3610" customFormat="false" ht="16.4" hidden="false" customHeight="false" outlineLevel="0" collapsed="false">
      <c r="A3610" s="13" t="str">
        <f aca="false">""</f>
        <v/>
      </c>
      <c r="B3610" s="13" t="n">
        <f aca="false">312</f>
        <v>312</v>
      </c>
      <c r="C3610" s="13" t="n">
        <f aca="false">IF(Szenarien!$H$20="OK",(IFERROR(SUMIF(Nutzungsprofile!$B$6:$B$11,"Schulbetrieb",Nutzungsprofile!$G$6:$G$11)*Kalender!C316/SUM(Kalender!$C$5:$C$370),0)+IFERROR(SUMIF(Nutzungsprofile!$B$6:$B$11,"Halle",Nutzungsprofile!$G$6:$G$11)*Kalender!D316/SUM(Kalender!$D$5:$D$370),0)+IFERROR(SUMIF(Nutzungsprofile!$B$6:$B$11,"Individuell",Nutzungsprofile!$G$6:$G$11)*Kalender!E316/SUM(Kalender!$E$5:$E$370),0))*Szenarien!$E$20,0)</f>
        <v>0</v>
      </c>
      <c r="D3610" s="13" t="n">
        <f aca="false">IF(Szenarien!$H$20="OK",(IFERROR(SUMIF(Nutzungsprofile!$B$17:$B$22,"Schulbetrieb",Nutzungsprofile!$G$17:$G$22)*Kalender!C316/SUM(Kalender!$C$5:$C$370),0)+IFERROR(SUMIF(Nutzungsprofile!$B$17:$B$22,"Halle",Nutzungsprofile!$G$17:$G$22)*Kalender!D316/SUM(Kalender!$D$5:$D$370),0)+IFERROR(SUMIF(Nutzungsprofile!$B$17:$B$22,"Individuell",Nutzungsprofile!$G$17:$G$22)*Kalender!E316/SUM(Kalender!$E$5:$E$370),0))*Szenarien!$D$20,0)</f>
        <v>0</v>
      </c>
      <c r="E3610" s="13" t="n">
        <f aca="false">IFERROR(MIN(C3610,Eingaben!$B$17)*Eingaben!$B$16,0)</f>
        <v>0</v>
      </c>
      <c r="F3610" s="13" t="n">
        <f aca="false">IFERROR(E3610*Eingaben!$B$15,0)</f>
        <v>0</v>
      </c>
      <c r="G3610" s="13" t="n">
        <f aca="false">IFERROR(IF(Kalender!A316="",0,J3609*(1-Eingaben!$B$20)),0)</f>
        <v>0</v>
      </c>
      <c r="H3610" s="13" t="n">
        <f aca="false">MIN(G3610,D3610)</f>
        <v>0</v>
      </c>
      <c r="I3610" s="13" t="n">
        <f aca="false">IFERROR(MIN(F3610*Eingaben!$B$19,MAX(0,D3610-H3610)),0)</f>
        <v>0</v>
      </c>
      <c r="J3610" s="13" t="n">
        <f aca="false">IFERROR(MIN(Eingaben!$B$18,MAX(0,F3610-I3610)),0)</f>
        <v>0</v>
      </c>
      <c r="K3610" s="13" t="n">
        <f aca="false">H3610+I3610</f>
        <v>0</v>
      </c>
      <c r="L3610" s="13" t="n">
        <f aca="false">MAX(0,D3610-K3610)</f>
        <v>0</v>
      </c>
      <c r="M3610" s="13" t="n">
        <f aca="false">MAX(0,F3610-I3610-J3610)</f>
        <v>0</v>
      </c>
      <c r="N3610" s="13" t="n">
        <f aca="false">IF(Kalender!A316="",0,J3609-H3610)</f>
        <v>0</v>
      </c>
    </row>
    <row r="3611" customFormat="false" ht="16.4" hidden="false" customHeight="false" outlineLevel="0" collapsed="false">
      <c r="A3611" s="13" t="str">
        <f aca="false">""</f>
        <v/>
      </c>
      <c r="B3611" s="13" t="n">
        <f aca="false">313</f>
        <v>313</v>
      </c>
      <c r="C3611" s="13" t="n">
        <f aca="false">IF(Szenarien!$H$20="OK",(IFERROR(SUMIF(Nutzungsprofile!$B$6:$B$11,"Schulbetrieb",Nutzungsprofile!$G$6:$G$11)*Kalender!C317/SUM(Kalender!$C$5:$C$370),0)+IFERROR(SUMIF(Nutzungsprofile!$B$6:$B$11,"Halle",Nutzungsprofile!$G$6:$G$11)*Kalender!D317/SUM(Kalender!$D$5:$D$370),0)+IFERROR(SUMIF(Nutzungsprofile!$B$6:$B$11,"Individuell",Nutzungsprofile!$G$6:$G$11)*Kalender!E317/SUM(Kalender!$E$5:$E$370),0))*Szenarien!$E$20,0)</f>
        <v>0.72</v>
      </c>
      <c r="D3611" s="13" t="n">
        <f aca="false">IF(Szenarien!$H$20="OK",(IFERROR(SUMIF(Nutzungsprofile!$B$17:$B$22,"Schulbetrieb",Nutzungsprofile!$G$17:$G$22)*Kalender!C317/SUM(Kalender!$C$5:$C$370),0)+IFERROR(SUMIF(Nutzungsprofile!$B$17:$B$22,"Halle",Nutzungsprofile!$G$17:$G$22)*Kalender!D317/SUM(Kalender!$D$5:$D$370),0)+IFERROR(SUMIF(Nutzungsprofile!$B$17:$B$22,"Individuell",Nutzungsprofile!$G$17:$G$22)*Kalender!E317/SUM(Kalender!$E$5:$E$370),0))*Szenarien!$D$20,0)</f>
        <v>4.05</v>
      </c>
      <c r="E3611" s="13" t="n">
        <f aca="false">IFERROR(MIN(C3611,Eingaben!$B$17)*Eingaben!$B$16,0)</f>
        <v>0.684</v>
      </c>
      <c r="F3611" s="13" t="n">
        <f aca="false">IFERROR(E3611*Eingaben!$B$15,0)</f>
        <v>0.6156</v>
      </c>
      <c r="G3611" s="13" t="n">
        <f aca="false">IFERROR(IF(Kalender!A317="",0,J3610*(1-Eingaben!$B$20)),0)</f>
        <v>0</v>
      </c>
      <c r="H3611" s="13" t="n">
        <f aca="false">MIN(G3611,D3611)</f>
        <v>0</v>
      </c>
      <c r="I3611" s="13" t="n">
        <f aca="false">IFERROR(MIN(F3611*Eingaben!$B$19,MAX(0,D3611-H3611)),0)</f>
        <v>0.43092</v>
      </c>
      <c r="J3611" s="13" t="n">
        <f aca="false">IFERROR(MIN(Eingaben!$B$18,MAX(0,F3611-I3611)),0)</f>
        <v>0.18468</v>
      </c>
      <c r="K3611" s="13" t="n">
        <f aca="false">H3611+I3611</f>
        <v>0.43092</v>
      </c>
      <c r="L3611" s="13" t="n">
        <f aca="false">MAX(0,D3611-K3611)</f>
        <v>3.61908</v>
      </c>
      <c r="M3611" s="13" t="n">
        <f aca="false">MAX(0,F3611-I3611-J3611)</f>
        <v>0</v>
      </c>
      <c r="N3611" s="13" t="n">
        <f aca="false">IF(Kalender!A317="",0,J3610-H3611)</f>
        <v>0</v>
      </c>
    </row>
    <row r="3612" customFormat="false" ht="16.4" hidden="false" customHeight="false" outlineLevel="0" collapsed="false">
      <c r="A3612" s="13" t="str">
        <f aca="false">""</f>
        <v/>
      </c>
      <c r="B3612" s="13" t="n">
        <f aca="false">314</f>
        <v>314</v>
      </c>
      <c r="C3612" s="13" t="n">
        <f aca="false">IF(Szenarien!$H$20="OK",(IFERROR(SUMIF(Nutzungsprofile!$B$6:$B$11,"Schulbetrieb",Nutzungsprofile!$G$6:$G$11)*Kalender!C318/SUM(Kalender!$C$5:$C$370),0)+IFERROR(SUMIF(Nutzungsprofile!$B$6:$B$11,"Halle",Nutzungsprofile!$G$6:$G$11)*Kalender!D318/SUM(Kalender!$D$5:$D$370),0)+IFERROR(SUMIF(Nutzungsprofile!$B$6:$B$11,"Individuell",Nutzungsprofile!$G$6:$G$11)*Kalender!E318/SUM(Kalender!$E$5:$E$370),0))*Szenarien!$E$20,0)</f>
        <v>0.72</v>
      </c>
      <c r="D3612" s="13" t="n">
        <f aca="false">IF(Szenarien!$H$20="OK",(IFERROR(SUMIF(Nutzungsprofile!$B$17:$B$22,"Schulbetrieb",Nutzungsprofile!$G$17:$G$22)*Kalender!C318/SUM(Kalender!$C$5:$C$370),0)+IFERROR(SUMIF(Nutzungsprofile!$B$17:$B$22,"Halle",Nutzungsprofile!$G$17:$G$22)*Kalender!D318/SUM(Kalender!$D$5:$D$370),0)+IFERROR(SUMIF(Nutzungsprofile!$B$17:$B$22,"Individuell",Nutzungsprofile!$G$17:$G$22)*Kalender!E318/SUM(Kalender!$E$5:$E$370),0))*Szenarien!$D$20,0)</f>
        <v>4.05</v>
      </c>
      <c r="E3612" s="13" t="n">
        <f aca="false">IFERROR(MIN(C3612,Eingaben!$B$17)*Eingaben!$B$16,0)</f>
        <v>0.684</v>
      </c>
      <c r="F3612" s="13" t="n">
        <f aca="false">IFERROR(E3612*Eingaben!$B$15,0)</f>
        <v>0.6156</v>
      </c>
      <c r="G3612" s="13" t="n">
        <f aca="false">IFERROR(IF(Kalender!A318="",0,J3611*(1-Eingaben!$B$20)),0)</f>
        <v>0.1809864</v>
      </c>
      <c r="H3612" s="13" t="n">
        <f aca="false">MIN(G3612,D3612)</f>
        <v>0.1809864</v>
      </c>
      <c r="I3612" s="13" t="n">
        <f aca="false">IFERROR(MIN(F3612*Eingaben!$B$19,MAX(0,D3612-H3612)),0)</f>
        <v>0.43092</v>
      </c>
      <c r="J3612" s="13" t="n">
        <f aca="false">IFERROR(MIN(Eingaben!$B$18,MAX(0,F3612-I3612)),0)</f>
        <v>0.18468</v>
      </c>
      <c r="K3612" s="13" t="n">
        <f aca="false">H3612+I3612</f>
        <v>0.6119064</v>
      </c>
      <c r="L3612" s="13" t="n">
        <f aca="false">MAX(0,D3612-K3612)</f>
        <v>3.4380936</v>
      </c>
      <c r="M3612" s="13" t="n">
        <f aca="false">MAX(0,F3612-I3612-J3612)</f>
        <v>0</v>
      </c>
      <c r="N3612" s="13" t="n">
        <f aca="false">IF(Kalender!A318="",0,J3611-H3612)</f>
        <v>0.00369359999999999</v>
      </c>
    </row>
    <row r="3613" customFormat="false" ht="16.4" hidden="false" customHeight="false" outlineLevel="0" collapsed="false">
      <c r="A3613" s="13" t="str">
        <f aca="false">""</f>
        <v/>
      </c>
      <c r="B3613" s="13" t="n">
        <f aca="false">315</f>
        <v>315</v>
      </c>
      <c r="C3613" s="13" t="n">
        <f aca="false">IF(Szenarien!$H$20="OK",(IFERROR(SUMIF(Nutzungsprofile!$B$6:$B$11,"Schulbetrieb",Nutzungsprofile!$G$6:$G$11)*Kalender!C319/SUM(Kalender!$C$5:$C$370),0)+IFERROR(SUMIF(Nutzungsprofile!$B$6:$B$11,"Halle",Nutzungsprofile!$G$6:$G$11)*Kalender!D319/SUM(Kalender!$D$5:$D$370),0)+IFERROR(SUMIF(Nutzungsprofile!$B$6:$B$11,"Individuell",Nutzungsprofile!$G$6:$G$11)*Kalender!E319/SUM(Kalender!$E$5:$E$370),0))*Szenarien!$E$20,0)</f>
        <v>0.72</v>
      </c>
      <c r="D3613" s="13" t="n">
        <f aca="false">IF(Szenarien!$H$20="OK",(IFERROR(SUMIF(Nutzungsprofile!$B$17:$B$22,"Schulbetrieb",Nutzungsprofile!$G$17:$G$22)*Kalender!C319/SUM(Kalender!$C$5:$C$370),0)+IFERROR(SUMIF(Nutzungsprofile!$B$17:$B$22,"Halle",Nutzungsprofile!$G$17:$G$22)*Kalender!D319/SUM(Kalender!$D$5:$D$370),0)+IFERROR(SUMIF(Nutzungsprofile!$B$17:$B$22,"Individuell",Nutzungsprofile!$G$17:$G$22)*Kalender!E319/SUM(Kalender!$E$5:$E$370),0))*Szenarien!$D$20,0)</f>
        <v>4.05</v>
      </c>
      <c r="E3613" s="13" t="n">
        <f aca="false">IFERROR(MIN(C3613,Eingaben!$B$17)*Eingaben!$B$16,0)</f>
        <v>0.684</v>
      </c>
      <c r="F3613" s="13" t="n">
        <f aca="false">IFERROR(E3613*Eingaben!$B$15,0)</f>
        <v>0.6156</v>
      </c>
      <c r="G3613" s="13" t="n">
        <f aca="false">IFERROR(IF(Kalender!A319="",0,J3612*(1-Eingaben!$B$20)),0)</f>
        <v>0.1809864</v>
      </c>
      <c r="H3613" s="13" t="n">
        <f aca="false">MIN(G3613,D3613)</f>
        <v>0.1809864</v>
      </c>
      <c r="I3613" s="13" t="n">
        <f aca="false">IFERROR(MIN(F3613*Eingaben!$B$19,MAX(0,D3613-H3613)),0)</f>
        <v>0.43092</v>
      </c>
      <c r="J3613" s="13" t="n">
        <f aca="false">IFERROR(MIN(Eingaben!$B$18,MAX(0,F3613-I3613)),0)</f>
        <v>0.18468</v>
      </c>
      <c r="K3613" s="13" t="n">
        <f aca="false">H3613+I3613</f>
        <v>0.6119064</v>
      </c>
      <c r="L3613" s="13" t="n">
        <f aca="false">MAX(0,D3613-K3613)</f>
        <v>3.4380936</v>
      </c>
      <c r="M3613" s="13" t="n">
        <f aca="false">MAX(0,F3613-I3613-J3613)</f>
        <v>0</v>
      </c>
      <c r="N3613" s="13" t="n">
        <f aca="false">IF(Kalender!A319="",0,J3612-H3613)</f>
        <v>0.00369359999999999</v>
      </c>
    </row>
    <row r="3614" customFormat="false" ht="16.4" hidden="false" customHeight="false" outlineLevel="0" collapsed="false">
      <c r="A3614" s="13" t="str">
        <f aca="false">""</f>
        <v/>
      </c>
      <c r="B3614" s="13" t="n">
        <f aca="false">316</f>
        <v>316</v>
      </c>
      <c r="C3614" s="13" t="n">
        <f aca="false">IF(Szenarien!$H$20="OK",(IFERROR(SUMIF(Nutzungsprofile!$B$6:$B$11,"Schulbetrieb",Nutzungsprofile!$G$6:$G$11)*Kalender!C320/SUM(Kalender!$C$5:$C$370),0)+IFERROR(SUMIF(Nutzungsprofile!$B$6:$B$11,"Halle",Nutzungsprofile!$G$6:$G$11)*Kalender!D320/SUM(Kalender!$D$5:$D$370),0)+IFERROR(SUMIF(Nutzungsprofile!$B$6:$B$11,"Individuell",Nutzungsprofile!$G$6:$G$11)*Kalender!E320/SUM(Kalender!$E$5:$E$370),0))*Szenarien!$E$20,0)</f>
        <v>0.72</v>
      </c>
      <c r="D3614" s="13" t="n">
        <f aca="false">IF(Szenarien!$H$20="OK",(IFERROR(SUMIF(Nutzungsprofile!$B$17:$B$22,"Schulbetrieb",Nutzungsprofile!$G$17:$G$22)*Kalender!C320/SUM(Kalender!$C$5:$C$370),0)+IFERROR(SUMIF(Nutzungsprofile!$B$17:$B$22,"Halle",Nutzungsprofile!$G$17:$G$22)*Kalender!D320/SUM(Kalender!$D$5:$D$370),0)+IFERROR(SUMIF(Nutzungsprofile!$B$17:$B$22,"Individuell",Nutzungsprofile!$G$17:$G$22)*Kalender!E320/SUM(Kalender!$E$5:$E$370),0))*Szenarien!$D$20,0)</f>
        <v>4.05</v>
      </c>
      <c r="E3614" s="13" t="n">
        <f aca="false">IFERROR(MIN(C3614,Eingaben!$B$17)*Eingaben!$B$16,0)</f>
        <v>0.684</v>
      </c>
      <c r="F3614" s="13" t="n">
        <f aca="false">IFERROR(E3614*Eingaben!$B$15,0)</f>
        <v>0.6156</v>
      </c>
      <c r="G3614" s="13" t="n">
        <f aca="false">IFERROR(IF(Kalender!A320="",0,J3613*(1-Eingaben!$B$20)),0)</f>
        <v>0.1809864</v>
      </c>
      <c r="H3614" s="13" t="n">
        <f aca="false">MIN(G3614,D3614)</f>
        <v>0.1809864</v>
      </c>
      <c r="I3614" s="13" t="n">
        <f aca="false">IFERROR(MIN(F3614*Eingaben!$B$19,MAX(0,D3614-H3614)),0)</f>
        <v>0.43092</v>
      </c>
      <c r="J3614" s="13" t="n">
        <f aca="false">IFERROR(MIN(Eingaben!$B$18,MAX(0,F3614-I3614)),0)</f>
        <v>0.18468</v>
      </c>
      <c r="K3614" s="13" t="n">
        <f aca="false">H3614+I3614</f>
        <v>0.6119064</v>
      </c>
      <c r="L3614" s="13" t="n">
        <f aca="false">MAX(0,D3614-K3614)</f>
        <v>3.4380936</v>
      </c>
      <c r="M3614" s="13" t="n">
        <f aca="false">MAX(0,F3614-I3614-J3614)</f>
        <v>0</v>
      </c>
      <c r="N3614" s="13" t="n">
        <f aca="false">IF(Kalender!A320="",0,J3613-H3614)</f>
        <v>0.00369359999999999</v>
      </c>
    </row>
    <row r="3615" customFormat="false" ht="16.4" hidden="false" customHeight="false" outlineLevel="0" collapsed="false">
      <c r="A3615" s="13" t="str">
        <f aca="false">""</f>
        <v/>
      </c>
      <c r="B3615" s="13" t="n">
        <f aca="false">317</f>
        <v>317</v>
      </c>
      <c r="C3615" s="13" t="n">
        <f aca="false">IF(Szenarien!$H$20="OK",(IFERROR(SUMIF(Nutzungsprofile!$B$6:$B$11,"Schulbetrieb",Nutzungsprofile!$G$6:$G$11)*Kalender!C321/SUM(Kalender!$C$5:$C$370),0)+IFERROR(SUMIF(Nutzungsprofile!$B$6:$B$11,"Halle",Nutzungsprofile!$G$6:$G$11)*Kalender!D321/SUM(Kalender!$D$5:$D$370),0)+IFERROR(SUMIF(Nutzungsprofile!$B$6:$B$11,"Individuell",Nutzungsprofile!$G$6:$G$11)*Kalender!E321/SUM(Kalender!$E$5:$E$370),0))*Szenarien!$E$20,0)</f>
        <v>0.72</v>
      </c>
      <c r="D3615" s="13" t="n">
        <f aca="false">IF(Szenarien!$H$20="OK",(IFERROR(SUMIF(Nutzungsprofile!$B$17:$B$22,"Schulbetrieb",Nutzungsprofile!$G$17:$G$22)*Kalender!C321/SUM(Kalender!$C$5:$C$370),0)+IFERROR(SUMIF(Nutzungsprofile!$B$17:$B$22,"Halle",Nutzungsprofile!$G$17:$G$22)*Kalender!D321/SUM(Kalender!$D$5:$D$370),0)+IFERROR(SUMIF(Nutzungsprofile!$B$17:$B$22,"Individuell",Nutzungsprofile!$G$17:$G$22)*Kalender!E321/SUM(Kalender!$E$5:$E$370),0))*Szenarien!$D$20,0)</f>
        <v>4.05</v>
      </c>
      <c r="E3615" s="13" t="n">
        <f aca="false">IFERROR(MIN(C3615,Eingaben!$B$17)*Eingaben!$B$16,0)</f>
        <v>0.684</v>
      </c>
      <c r="F3615" s="13" t="n">
        <f aca="false">IFERROR(E3615*Eingaben!$B$15,0)</f>
        <v>0.6156</v>
      </c>
      <c r="G3615" s="13" t="n">
        <f aca="false">IFERROR(IF(Kalender!A321="",0,J3614*(1-Eingaben!$B$20)),0)</f>
        <v>0.1809864</v>
      </c>
      <c r="H3615" s="13" t="n">
        <f aca="false">MIN(G3615,D3615)</f>
        <v>0.1809864</v>
      </c>
      <c r="I3615" s="13" t="n">
        <f aca="false">IFERROR(MIN(F3615*Eingaben!$B$19,MAX(0,D3615-H3615)),0)</f>
        <v>0.43092</v>
      </c>
      <c r="J3615" s="13" t="n">
        <f aca="false">IFERROR(MIN(Eingaben!$B$18,MAX(0,F3615-I3615)),0)</f>
        <v>0.18468</v>
      </c>
      <c r="K3615" s="13" t="n">
        <f aca="false">H3615+I3615</f>
        <v>0.6119064</v>
      </c>
      <c r="L3615" s="13" t="n">
        <f aca="false">MAX(0,D3615-K3615)</f>
        <v>3.4380936</v>
      </c>
      <c r="M3615" s="13" t="n">
        <f aca="false">MAX(0,F3615-I3615-J3615)</f>
        <v>0</v>
      </c>
      <c r="N3615" s="13" t="n">
        <f aca="false">IF(Kalender!A321="",0,J3614-H3615)</f>
        <v>0.00369359999999999</v>
      </c>
    </row>
    <row r="3616" customFormat="false" ht="16.4" hidden="false" customHeight="false" outlineLevel="0" collapsed="false">
      <c r="A3616" s="13" t="str">
        <f aca="false">""</f>
        <v/>
      </c>
      <c r="B3616" s="13" t="n">
        <f aca="false">318</f>
        <v>318</v>
      </c>
      <c r="C3616" s="13" t="n">
        <f aca="false">IF(Szenarien!$H$20="OK",(IFERROR(SUMIF(Nutzungsprofile!$B$6:$B$11,"Schulbetrieb",Nutzungsprofile!$G$6:$G$11)*Kalender!C322/SUM(Kalender!$C$5:$C$370),0)+IFERROR(SUMIF(Nutzungsprofile!$B$6:$B$11,"Halle",Nutzungsprofile!$G$6:$G$11)*Kalender!D322/SUM(Kalender!$D$5:$D$370),0)+IFERROR(SUMIF(Nutzungsprofile!$B$6:$B$11,"Individuell",Nutzungsprofile!$G$6:$G$11)*Kalender!E322/SUM(Kalender!$E$5:$E$370),0))*Szenarien!$E$20,0)</f>
        <v>0</v>
      </c>
      <c r="D3616" s="13" t="n">
        <f aca="false">IF(Szenarien!$H$20="OK",(IFERROR(SUMIF(Nutzungsprofile!$B$17:$B$22,"Schulbetrieb",Nutzungsprofile!$G$17:$G$22)*Kalender!C322/SUM(Kalender!$C$5:$C$370),0)+IFERROR(SUMIF(Nutzungsprofile!$B$17:$B$22,"Halle",Nutzungsprofile!$G$17:$G$22)*Kalender!D322/SUM(Kalender!$D$5:$D$370),0)+IFERROR(SUMIF(Nutzungsprofile!$B$17:$B$22,"Individuell",Nutzungsprofile!$G$17:$G$22)*Kalender!E322/SUM(Kalender!$E$5:$E$370),0))*Szenarien!$D$20,0)</f>
        <v>0</v>
      </c>
      <c r="E3616" s="13" t="n">
        <f aca="false">IFERROR(MIN(C3616,Eingaben!$B$17)*Eingaben!$B$16,0)</f>
        <v>0</v>
      </c>
      <c r="F3616" s="13" t="n">
        <f aca="false">IFERROR(E3616*Eingaben!$B$15,0)</f>
        <v>0</v>
      </c>
      <c r="G3616" s="13" t="n">
        <f aca="false">IFERROR(IF(Kalender!A322="",0,J3615*(1-Eingaben!$B$20)),0)</f>
        <v>0.1809864</v>
      </c>
      <c r="H3616" s="13" t="n">
        <f aca="false">MIN(G3616,D3616)</f>
        <v>0</v>
      </c>
      <c r="I3616" s="13" t="n">
        <f aca="false">IFERROR(MIN(F3616*Eingaben!$B$19,MAX(0,D3616-H3616)),0)</f>
        <v>0</v>
      </c>
      <c r="J3616" s="13" t="n">
        <f aca="false">IFERROR(MIN(Eingaben!$B$18,MAX(0,F3616-I3616)),0)</f>
        <v>0</v>
      </c>
      <c r="K3616" s="13" t="n">
        <f aca="false">H3616+I3616</f>
        <v>0</v>
      </c>
      <c r="L3616" s="13" t="n">
        <f aca="false">MAX(0,D3616-K3616)</f>
        <v>0</v>
      </c>
      <c r="M3616" s="13" t="n">
        <f aca="false">MAX(0,F3616-I3616-J3616)</f>
        <v>0</v>
      </c>
      <c r="N3616" s="13" t="n">
        <f aca="false">IF(Kalender!A322="",0,J3615-H3616)</f>
        <v>0.18468</v>
      </c>
    </row>
    <row r="3617" customFormat="false" ht="16.4" hidden="false" customHeight="false" outlineLevel="0" collapsed="false">
      <c r="A3617" s="13" t="str">
        <f aca="false">""</f>
        <v/>
      </c>
      <c r="B3617" s="13" t="n">
        <f aca="false">319</f>
        <v>319</v>
      </c>
      <c r="C3617" s="13" t="n">
        <f aca="false">IF(Szenarien!$H$20="OK",(IFERROR(SUMIF(Nutzungsprofile!$B$6:$B$11,"Schulbetrieb",Nutzungsprofile!$G$6:$G$11)*Kalender!C323/SUM(Kalender!$C$5:$C$370),0)+IFERROR(SUMIF(Nutzungsprofile!$B$6:$B$11,"Halle",Nutzungsprofile!$G$6:$G$11)*Kalender!D323/SUM(Kalender!$D$5:$D$370),0)+IFERROR(SUMIF(Nutzungsprofile!$B$6:$B$11,"Individuell",Nutzungsprofile!$G$6:$G$11)*Kalender!E323/SUM(Kalender!$E$5:$E$370),0))*Szenarien!$E$20,0)</f>
        <v>0</v>
      </c>
      <c r="D3617" s="13" t="n">
        <f aca="false">IF(Szenarien!$H$20="OK",(IFERROR(SUMIF(Nutzungsprofile!$B$17:$B$22,"Schulbetrieb",Nutzungsprofile!$G$17:$G$22)*Kalender!C323/SUM(Kalender!$C$5:$C$370),0)+IFERROR(SUMIF(Nutzungsprofile!$B$17:$B$22,"Halle",Nutzungsprofile!$G$17:$G$22)*Kalender!D323/SUM(Kalender!$D$5:$D$370),0)+IFERROR(SUMIF(Nutzungsprofile!$B$17:$B$22,"Individuell",Nutzungsprofile!$G$17:$G$22)*Kalender!E323/SUM(Kalender!$E$5:$E$370),0))*Szenarien!$D$20,0)</f>
        <v>0</v>
      </c>
      <c r="E3617" s="13" t="n">
        <f aca="false">IFERROR(MIN(C3617,Eingaben!$B$17)*Eingaben!$B$16,0)</f>
        <v>0</v>
      </c>
      <c r="F3617" s="13" t="n">
        <f aca="false">IFERROR(E3617*Eingaben!$B$15,0)</f>
        <v>0</v>
      </c>
      <c r="G3617" s="13" t="n">
        <f aca="false">IFERROR(IF(Kalender!A323="",0,J3616*(1-Eingaben!$B$20)),0)</f>
        <v>0</v>
      </c>
      <c r="H3617" s="13" t="n">
        <f aca="false">MIN(G3617,D3617)</f>
        <v>0</v>
      </c>
      <c r="I3617" s="13" t="n">
        <f aca="false">IFERROR(MIN(F3617*Eingaben!$B$19,MAX(0,D3617-H3617)),0)</f>
        <v>0</v>
      </c>
      <c r="J3617" s="13" t="n">
        <f aca="false">IFERROR(MIN(Eingaben!$B$18,MAX(0,F3617-I3617)),0)</f>
        <v>0</v>
      </c>
      <c r="K3617" s="13" t="n">
        <f aca="false">H3617+I3617</f>
        <v>0</v>
      </c>
      <c r="L3617" s="13" t="n">
        <f aca="false">MAX(0,D3617-K3617)</f>
        <v>0</v>
      </c>
      <c r="M3617" s="13" t="n">
        <f aca="false">MAX(0,F3617-I3617-J3617)</f>
        <v>0</v>
      </c>
      <c r="N3617" s="13" t="n">
        <f aca="false">IF(Kalender!A323="",0,J3616-H3617)</f>
        <v>0</v>
      </c>
    </row>
    <row r="3618" customFormat="false" ht="16.4" hidden="false" customHeight="false" outlineLevel="0" collapsed="false">
      <c r="A3618" s="13" t="str">
        <f aca="false">""</f>
        <v/>
      </c>
      <c r="B3618" s="13" t="n">
        <f aca="false">320</f>
        <v>320</v>
      </c>
      <c r="C3618" s="13" t="n">
        <f aca="false">IF(Szenarien!$H$20="OK",(IFERROR(SUMIF(Nutzungsprofile!$B$6:$B$11,"Schulbetrieb",Nutzungsprofile!$G$6:$G$11)*Kalender!C324/SUM(Kalender!$C$5:$C$370),0)+IFERROR(SUMIF(Nutzungsprofile!$B$6:$B$11,"Halle",Nutzungsprofile!$G$6:$G$11)*Kalender!D324/SUM(Kalender!$D$5:$D$370),0)+IFERROR(SUMIF(Nutzungsprofile!$B$6:$B$11,"Individuell",Nutzungsprofile!$G$6:$G$11)*Kalender!E324/SUM(Kalender!$E$5:$E$370),0))*Szenarien!$E$20,0)</f>
        <v>0.72</v>
      </c>
      <c r="D3618" s="13" t="n">
        <f aca="false">IF(Szenarien!$H$20="OK",(IFERROR(SUMIF(Nutzungsprofile!$B$17:$B$22,"Schulbetrieb",Nutzungsprofile!$G$17:$G$22)*Kalender!C324/SUM(Kalender!$C$5:$C$370),0)+IFERROR(SUMIF(Nutzungsprofile!$B$17:$B$22,"Halle",Nutzungsprofile!$G$17:$G$22)*Kalender!D324/SUM(Kalender!$D$5:$D$370),0)+IFERROR(SUMIF(Nutzungsprofile!$B$17:$B$22,"Individuell",Nutzungsprofile!$G$17:$G$22)*Kalender!E324/SUM(Kalender!$E$5:$E$370),0))*Szenarien!$D$20,0)</f>
        <v>4.05</v>
      </c>
      <c r="E3618" s="13" t="n">
        <f aca="false">IFERROR(MIN(C3618,Eingaben!$B$17)*Eingaben!$B$16,0)</f>
        <v>0.684</v>
      </c>
      <c r="F3618" s="13" t="n">
        <f aca="false">IFERROR(E3618*Eingaben!$B$15,0)</f>
        <v>0.6156</v>
      </c>
      <c r="G3618" s="13" t="n">
        <f aca="false">IFERROR(IF(Kalender!A324="",0,J3617*(1-Eingaben!$B$20)),0)</f>
        <v>0</v>
      </c>
      <c r="H3618" s="13" t="n">
        <f aca="false">MIN(G3618,D3618)</f>
        <v>0</v>
      </c>
      <c r="I3618" s="13" t="n">
        <f aca="false">IFERROR(MIN(F3618*Eingaben!$B$19,MAX(0,D3618-H3618)),0)</f>
        <v>0.43092</v>
      </c>
      <c r="J3618" s="13" t="n">
        <f aca="false">IFERROR(MIN(Eingaben!$B$18,MAX(0,F3618-I3618)),0)</f>
        <v>0.18468</v>
      </c>
      <c r="K3618" s="13" t="n">
        <f aca="false">H3618+I3618</f>
        <v>0.43092</v>
      </c>
      <c r="L3618" s="13" t="n">
        <f aca="false">MAX(0,D3618-K3618)</f>
        <v>3.61908</v>
      </c>
      <c r="M3618" s="13" t="n">
        <f aca="false">MAX(0,F3618-I3618-J3618)</f>
        <v>0</v>
      </c>
      <c r="N3618" s="13" t="n">
        <f aca="false">IF(Kalender!A324="",0,J3617-H3618)</f>
        <v>0</v>
      </c>
    </row>
    <row r="3619" customFormat="false" ht="16.4" hidden="false" customHeight="false" outlineLevel="0" collapsed="false">
      <c r="A3619" s="13" t="str">
        <f aca="false">""</f>
        <v/>
      </c>
      <c r="B3619" s="13" t="n">
        <f aca="false">321</f>
        <v>321</v>
      </c>
      <c r="C3619" s="13" t="n">
        <f aca="false">IF(Szenarien!$H$20="OK",(IFERROR(SUMIF(Nutzungsprofile!$B$6:$B$11,"Schulbetrieb",Nutzungsprofile!$G$6:$G$11)*Kalender!C325/SUM(Kalender!$C$5:$C$370),0)+IFERROR(SUMIF(Nutzungsprofile!$B$6:$B$11,"Halle",Nutzungsprofile!$G$6:$G$11)*Kalender!D325/SUM(Kalender!$D$5:$D$370),0)+IFERROR(SUMIF(Nutzungsprofile!$B$6:$B$11,"Individuell",Nutzungsprofile!$G$6:$G$11)*Kalender!E325/SUM(Kalender!$E$5:$E$370),0))*Szenarien!$E$20,0)</f>
        <v>0.72</v>
      </c>
      <c r="D3619" s="13" t="n">
        <f aca="false">IF(Szenarien!$H$20="OK",(IFERROR(SUMIF(Nutzungsprofile!$B$17:$B$22,"Schulbetrieb",Nutzungsprofile!$G$17:$G$22)*Kalender!C325/SUM(Kalender!$C$5:$C$370),0)+IFERROR(SUMIF(Nutzungsprofile!$B$17:$B$22,"Halle",Nutzungsprofile!$G$17:$G$22)*Kalender!D325/SUM(Kalender!$D$5:$D$370),0)+IFERROR(SUMIF(Nutzungsprofile!$B$17:$B$22,"Individuell",Nutzungsprofile!$G$17:$G$22)*Kalender!E325/SUM(Kalender!$E$5:$E$370),0))*Szenarien!$D$20,0)</f>
        <v>4.05</v>
      </c>
      <c r="E3619" s="13" t="n">
        <f aca="false">IFERROR(MIN(C3619,Eingaben!$B$17)*Eingaben!$B$16,0)</f>
        <v>0.684</v>
      </c>
      <c r="F3619" s="13" t="n">
        <f aca="false">IFERROR(E3619*Eingaben!$B$15,0)</f>
        <v>0.6156</v>
      </c>
      <c r="G3619" s="13" t="n">
        <f aca="false">IFERROR(IF(Kalender!A325="",0,J3618*(1-Eingaben!$B$20)),0)</f>
        <v>0.1809864</v>
      </c>
      <c r="H3619" s="13" t="n">
        <f aca="false">MIN(G3619,D3619)</f>
        <v>0.1809864</v>
      </c>
      <c r="I3619" s="13" t="n">
        <f aca="false">IFERROR(MIN(F3619*Eingaben!$B$19,MAX(0,D3619-H3619)),0)</f>
        <v>0.43092</v>
      </c>
      <c r="J3619" s="13" t="n">
        <f aca="false">IFERROR(MIN(Eingaben!$B$18,MAX(0,F3619-I3619)),0)</f>
        <v>0.18468</v>
      </c>
      <c r="K3619" s="13" t="n">
        <f aca="false">H3619+I3619</f>
        <v>0.6119064</v>
      </c>
      <c r="L3619" s="13" t="n">
        <f aca="false">MAX(0,D3619-K3619)</f>
        <v>3.4380936</v>
      </c>
      <c r="M3619" s="13" t="n">
        <f aca="false">MAX(0,F3619-I3619-J3619)</f>
        <v>0</v>
      </c>
      <c r="N3619" s="13" t="n">
        <f aca="false">IF(Kalender!A325="",0,J3618-H3619)</f>
        <v>0.00369359999999999</v>
      </c>
    </row>
    <row r="3620" customFormat="false" ht="16.4" hidden="false" customHeight="false" outlineLevel="0" collapsed="false">
      <c r="A3620" s="13" t="str">
        <f aca="false">""</f>
        <v/>
      </c>
      <c r="B3620" s="13" t="n">
        <f aca="false">322</f>
        <v>322</v>
      </c>
      <c r="C3620" s="13" t="n">
        <f aca="false">IF(Szenarien!$H$20="OK",(IFERROR(SUMIF(Nutzungsprofile!$B$6:$B$11,"Schulbetrieb",Nutzungsprofile!$G$6:$G$11)*Kalender!C326/SUM(Kalender!$C$5:$C$370),0)+IFERROR(SUMIF(Nutzungsprofile!$B$6:$B$11,"Halle",Nutzungsprofile!$G$6:$G$11)*Kalender!D326/SUM(Kalender!$D$5:$D$370),0)+IFERROR(SUMIF(Nutzungsprofile!$B$6:$B$11,"Individuell",Nutzungsprofile!$G$6:$G$11)*Kalender!E326/SUM(Kalender!$E$5:$E$370),0))*Szenarien!$E$20,0)</f>
        <v>0.72</v>
      </c>
      <c r="D3620" s="13" t="n">
        <f aca="false">IF(Szenarien!$H$20="OK",(IFERROR(SUMIF(Nutzungsprofile!$B$17:$B$22,"Schulbetrieb",Nutzungsprofile!$G$17:$G$22)*Kalender!C326/SUM(Kalender!$C$5:$C$370),0)+IFERROR(SUMIF(Nutzungsprofile!$B$17:$B$22,"Halle",Nutzungsprofile!$G$17:$G$22)*Kalender!D326/SUM(Kalender!$D$5:$D$370),0)+IFERROR(SUMIF(Nutzungsprofile!$B$17:$B$22,"Individuell",Nutzungsprofile!$G$17:$G$22)*Kalender!E326/SUM(Kalender!$E$5:$E$370),0))*Szenarien!$D$20,0)</f>
        <v>4.05</v>
      </c>
      <c r="E3620" s="13" t="n">
        <f aca="false">IFERROR(MIN(C3620,Eingaben!$B$17)*Eingaben!$B$16,0)</f>
        <v>0.684</v>
      </c>
      <c r="F3620" s="13" t="n">
        <f aca="false">IFERROR(E3620*Eingaben!$B$15,0)</f>
        <v>0.6156</v>
      </c>
      <c r="G3620" s="13" t="n">
        <f aca="false">IFERROR(IF(Kalender!A326="",0,J3619*(1-Eingaben!$B$20)),0)</f>
        <v>0.1809864</v>
      </c>
      <c r="H3620" s="13" t="n">
        <f aca="false">MIN(G3620,D3620)</f>
        <v>0.1809864</v>
      </c>
      <c r="I3620" s="13" t="n">
        <f aca="false">IFERROR(MIN(F3620*Eingaben!$B$19,MAX(0,D3620-H3620)),0)</f>
        <v>0.43092</v>
      </c>
      <c r="J3620" s="13" t="n">
        <f aca="false">IFERROR(MIN(Eingaben!$B$18,MAX(0,F3620-I3620)),0)</f>
        <v>0.18468</v>
      </c>
      <c r="K3620" s="13" t="n">
        <f aca="false">H3620+I3620</f>
        <v>0.6119064</v>
      </c>
      <c r="L3620" s="13" t="n">
        <f aca="false">MAX(0,D3620-K3620)</f>
        <v>3.4380936</v>
      </c>
      <c r="M3620" s="13" t="n">
        <f aca="false">MAX(0,F3620-I3620-J3620)</f>
        <v>0</v>
      </c>
      <c r="N3620" s="13" t="n">
        <f aca="false">IF(Kalender!A326="",0,J3619-H3620)</f>
        <v>0.00369359999999999</v>
      </c>
    </row>
    <row r="3621" customFormat="false" ht="16.4" hidden="false" customHeight="false" outlineLevel="0" collapsed="false">
      <c r="A3621" s="13" t="str">
        <f aca="false">""</f>
        <v/>
      </c>
      <c r="B3621" s="13" t="n">
        <f aca="false">323</f>
        <v>323</v>
      </c>
      <c r="C3621" s="13" t="n">
        <f aca="false">IF(Szenarien!$H$20="OK",(IFERROR(SUMIF(Nutzungsprofile!$B$6:$B$11,"Schulbetrieb",Nutzungsprofile!$G$6:$G$11)*Kalender!C327/SUM(Kalender!$C$5:$C$370),0)+IFERROR(SUMIF(Nutzungsprofile!$B$6:$B$11,"Halle",Nutzungsprofile!$G$6:$G$11)*Kalender!D327/SUM(Kalender!$D$5:$D$370),0)+IFERROR(SUMIF(Nutzungsprofile!$B$6:$B$11,"Individuell",Nutzungsprofile!$G$6:$G$11)*Kalender!E327/SUM(Kalender!$E$5:$E$370),0))*Szenarien!$E$20,0)</f>
        <v>0.72</v>
      </c>
      <c r="D3621" s="13" t="n">
        <f aca="false">IF(Szenarien!$H$20="OK",(IFERROR(SUMIF(Nutzungsprofile!$B$17:$B$22,"Schulbetrieb",Nutzungsprofile!$G$17:$G$22)*Kalender!C327/SUM(Kalender!$C$5:$C$370),0)+IFERROR(SUMIF(Nutzungsprofile!$B$17:$B$22,"Halle",Nutzungsprofile!$G$17:$G$22)*Kalender!D327/SUM(Kalender!$D$5:$D$370),0)+IFERROR(SUMIF(Nutzungsprofile!$B$17:$B$22,"Individuell",Nutzungsprofile!$G$17:$G$22)*Kalender!E327/SUM(Kalender!$E$5:$E$370),0))*Szenarien!$D$20,0)</f>
        <v>4.05</v>
      </c>
      <c r="E3621" s="13" t="n">
        <f aca="false">IFERROR(MIN(C3621,Eingaben!$B$17)*Eingaben!$B$16,0)</f>
        <v>0.684</v>
      </c>
      <c r="F3621" s="13" t="n">
        <f aca="false">IFERROR(E3621*Eingaben!$B$15,0)</f>
        <v>0.6156</v>
      </c>
      <c r="G3621" s="13" t="n">
        <f aca="false">IFERROR(IF(Kalender!A327="",0,J3620*(1-Eingaben!$B$20)),0)</f>
        <v>0.1809864</v>
      </c>
      <c r="H3621" s="13" t="n">
        <f aca="false">MIN(G3621,D3621)</f>
        <v>0.1809864</v>
      </c>
      <c r="I3621" s="13" t="n">
        <f aca="false">IFERROR(MIN(F3621*Eingaben!$B$19,MAX(0,D3621-H3621)),0)</f>
        <v>0.43092</v>
      </c>
      <c r="J3621" s="13" t="n">
        <f aca="false">IFERROR(MIN(Eingaben!$B$18,MAX(0,F3621-I3621)),0)</f>
        <v>0.18468</v>
      </c>
      <c r="K3621" s="13" t="n">
        <f aca="false">H3621+I3621</f>
        <v>0.6119064</v>
      </c>
      <c r="L3621" s="13" t="n">
        <f aca="false">MAX(0,D3621-K3621)</f>
        <v>3.4380936</v>
      </c>
      <c r="M3621" s="13" t="n">
        <f aca="false">MAX(0,F3621-I3621-J3621)</f>
        <v>0</v>
      </c>
      <c r="N3621" s="13" t="n">
        <f aca="false">IF(Kalender!A327="",0,J3620-H3621)</f>
        <v>0.00369359999999999</v>
      </c>
    </row>
    <row r="3622" customFormat="false" ht="16.4" hidden="false" customHeight="false" outlineLevel="0" collapsed="false">
      <c r="A3622" s="13" t="str">
        <f aca="false">""</f>
        <v/>
      </c>
      <c r="B3622" s="13" t="n">
        <f aca="false">324</f>
        <v>324</v>
      </c>
      <c r="C3622" s="13" t="n">
        <f aca="false">IF(Szenarien!$H$20="OK",(IFERROR(SUMIF(Nutzungsprofile!$B$6:$B$11,"Schulbetrieb",Nutzungsprofile!$G$6:$G$11)*Kalender!C328/SUM(Kalender!$C$5:$C$370),0)+IFERROR(SUMIF(Nutzungsprofile!$B$6:$B$11,"Halle",Nutzungsprofile!$G$6:$G$11)*Kalender!D328/SUM(Kalender!$D$5:$D$370),0)+IFERROR(SUMIF(Nutzungsprofile!$B$6:$B$11,"Individuell",Nutzungsprofile!$G$6:$G$11)*Kalender!E328/SUM(Kalender!$E$5:$E$370),0))*Szenarien!$E$20,0)</f>
        <v>0.72</v>
      </c>
      <c r="D3622" s="13" t="n">
        <f aca="false">IF(Szenarien!$H$20="OK",(IFERROR(SUMIF(Nutzungsprofile!$B$17:$B$22,"Schulbetrieb",Nutzungsprofile!$G$17:$G$22)*Kalender!C328/SUM(Kalender!$C$5:$C$370),0)+IFERROR(SUMIF(Nutzungsprofile!$B$17:$B$22,"Halle",Nutzungsprofile!$G$17:$G$22)*Kalender!D328/SUM(Kalender!$D$5:$D$370),0)+IFERROR(SUMIF(Nutzungsprofile!$B$17:$B$22,"Individuell",Nutzungsprofile!$G$17:$G$22)*Kalender!E328/SUM(Kalender!$E$5:$E$370),0))*Szenarien!$D$20,0)</f>
        <v>4.05</v>
      </c>
      <c r="E3622" s="13" t="n">
        <f aca="false">IFERROR(MIN(C3622,Eingaben!$B$17)*Eingaben!$B$16,0)</f>
        <v>0.684</v>
      </c>
      <c r="F3622" s="13" t="n">
        <f aca="false">IFERROR(E3622*Eingaben!$B$15,0)</f>
        <v>0.6156</v>
      </c>
      <c r="G3622" s="13" t="n">
        <f aca="false">IFERROR(IF(Kalender!A328="",0,J3621*(1-Eingaben!$B$20)),0)</f>
        <v>0.1809864</v>
      </c>
      <c r="H3622" s="13" t="n">
        <f aca="false">MIN(G3622,D3622)</f>
        <v>0.1809864</v>
      </c>
      <c r="I3622" s="13" t="n">
        <f aca="false">IFERROR(MIN(F3622*Eingaben!$B$19,MAX(0,D3622-H3622)),0)</f>
        <v>0.43092</v>
      </c>
      <c r="J3622" s="13" t="n">
        <f aca="false">IFERROR(MIN(Eingaben!$B$18,MAX(0,F3622-I3622)),0)</f>
        <v>0.18468</v>
      </c>
      <c r="K3622" s="13" t="n">
        <f aca="false">H3622+I3622</f>
        <v>0.6119064</v>
      </c>
      <c r="L3622" s="13" t="n">
        <f aca="false">MAX(0,D3622-K3622)</f>
        <v>3.4380936</v>
      </c>
      <c r="M3622" s="13" t="n">
        <f aca="false">MAX(0,F3622-I3622-J3622)</f>
        <v>0</v>
      </c>
      <c r="N3622" s="13" t="n">
        <f aca="false">IF(Kalender!A328="",0,J3621-H3622)</f>
        <v>0.00369359999999999</v>
      </c>
    </row>
    <row r="3623" customFormat="false" ht="16.4" hidden="false" customHeight="false" outlineLevel="0" collapsed="false">
      <c r="A3623" s="13" t="str">
        <f aca="false">""</f>
        <v/>
      </c>
      <c r="B3623" s="13" t="n">
        <f aca="false">325</f>
        <v>325</v>
      </c>
      <c r="C3623" s="13" t="n">
        <f aca="false">IF(Szenarien!$H$20="OK",(IFERROR(SUMIF(Nutzungsprofile!$B$6:$B$11,"Schulbetrieb",Nutzungsprofile!$G$6:$G$11)*Kalender!C329/SUM(Kalender!$C$5:$C$370),0)+IFERROR(SUMIF(Nutzungsprofile!$B$6:$B$11,"Halle",Nutzungsprofile!$G$6:$G$11)*Kalender!D329/SUM(Kalender!$D$5:$D$370),0)+IFERROR(SUMIF(Nutzungsprofile!$B$6:$B$11,"Individuell",Nutzungsprofile!$G$6:$G$11)*Kalender!E329/SUM(Kalender!$E$5:$E$370),0))*Szenarien!$E$20,0)</f>
        <v>0</v>
      </c>
      <c r="D3623" s="13" t="n">
        <f aca="false">IF(Szenarien!$H$20="OK",(IFERROR(SUMIF(Nutzungsprofile!$B$17:$B$22,"Schulbetrieb",Nutzungsprofile!$G$17:$G$22)*Kalender!C329/SUM(Kalender!$C$5:$C$370),0)+IFERROR(SUMIF(Nutzungsprofile!$B$17:$B$22,"Halle",Nutzungsprofile!$G$17:$G$22)*Kalender!D329/SUM(Kalender!$D$5:$D$370),0)+IFERROR(SUMIF(Nutzungsprofile!$B$17:$B$22,"Individuell",Nutzungsprofile!$G$17:$G$22)*Kalender!E329/SUM(Kalender!$E$5:$E$370),0))*Szenarien!$D$20,0)</f>
        <v>0</v>
      </c>
      <c r="E3623" s="13" t="n">
        <f aca="false">IFERROR(MIN(C3623,Eingaben!$B$17)*Eingaben!$B$16,0)</f>
        <v>0</v>
      </c>
      <c r="F3623" s="13" t="n">
        <f aca="false">IFERROR(E3623*Eingaben!$B$15,0)</f>
        <v>0</v>
      </c>
      <c r="G3623" s="13" t="n">
        <f aca="false">IFERROR(IF(Kalender!A329="",0,J3622*(1-Eingaben!$B$20)),0)</f>
        <v>0.1809864</v>
      </c>
      <c r="H3623" s="13" t="n">
        <f aca="false">MIN(G3623,D3623)</f>
        <v>0</v>
      </c>
      <c r="I3623" s="13" t="n">
        <f aca="false">IFERROR(MIN(F3623*Eingaben!$B$19,MAX(0,D3623-H3623)),0)</f>
        <v>0</v>
      </c>
      <c r="J3623" s="13" t="n">
        <f aca="false">IFERROR(MIN(Eingaben!$B$18,MAX(0,F3623-I3623)),0)</f>
        <v>0</v>
      </c>
      <c r="K3623" s="13" t="n">
        <f aca="false">H3623+I3623</f>
        <v>0</v>
      </c>
      <c r="L3623" s="13" t="n">
        <f aca="false">MAX(0,D3623-K3623)</f>
        <v>0</v>
      </c>
      <c r="M3623" s="13" t="n">
        <f aca="false">MAX(0,F3623-I3623-J3623)</f>
        <v>0</v>
      </c>
      <c r="N3623" s="13" t="n">
        <f aca="false">IF(Kalender!A329="",0,J3622-H3623)</f>
        <v>0.18468</v>
      </c>
    </row>
    <row r="3624" customFormat="false" ht="16.4" hidden="false" customHeight="false" outlineLevel="0" collapsed="false">
      <c r="A3624" s="13" t="str">
        <f aca="false">""</f>
        <v/>
      </c>
      <c r="B3624" s="13" t="n">
        <f aca="false">326</f>
        <v>326</v>
      </c>
      <c r="C3624" s="13" t="n">
        <f aca="false">IF(Szenarien!$H$20="OK",(IFERROR(SUMIF(Nutzungsprofile!$B$6:$B$11,"Schulbetrieb",Nutzungsprofile!$G$6:$G$11)*Kalender!C330/SUM(Kalender!$C$5:$C$370),0)+IFERROR(SUMIF(Nutzungsprofile!$B$6:$B$11,"Halle",Nutzungsprofile!$G$6:$G$11)*Kalender!D330/SUM(Kalender!$D$5:$D$370),0)+IFERROR(SUMIF(Nutzungsprofile!$B$6:$B$11,"Individuell",Nutzungsprofile!$G$6:$G$11)*Kalender!E330/SUM(Kalender!$E$5:$E$370),0))*Szenarien!$E$20,0)</f>
        <v>0</v>
      </c>
      <c r="D3624" s="13" t="n">
        <f aca="false">IF(Szenarien!$H$20="OK",(IFERROR(SUMIF(Nutzungsprofile!$B$17:$B$22,"Schulbetrieb",Nutzungsprofile!$G$17:$G$22)*Kalender!C330/SUM(Kalender!$C$5:$C$370),0)+IFERROR(SUMIF(Nutzungsprofile!$B$17:$B$22,"Halle",Nutzungsprofile!$G$17:$G$22)*Kalender!D330/SUM(Kalender!$D$5:$D$370),0)+IFERROR(SUMIF(Nutzungsprofile!$B$17:$B$22,"Individuell",Nutzungsprofile!$G$17:$G$22)*Kalender!E330/SUM(Kalender!$E$5:$E$370),0))*Szenarien!$D$20,0)</f>
        <v>0</v>
      </c>
      <c r="E3624" s="13" t="n">
        <f aca="false">IFERROR(MIN(C3624,Eingaben!$B$17)*Eingaben!$B$16,0)</f>
        <v>0</v>
      </c>
      <c r="F3624" s="13" t="n">
        <f aca="false">IFERROR(E3624*Eingaben!$B$15,0)</f>
        <v>0</v>
      </c>
      <c r="G3624" s="13" t="n">
        <f aca="false">IFERROR(IF(Kalender!A330="",0,J3623*(1-Eingaben!$B$20)),0)</f>
        <v>0</v>
      </c>
      <c r="H3624" s="13" t="n">
        <f aca="false">MIN(G3624,D3624)</f>
        <v>0</v>
      </c>
      <c r="I3624" s="13" t="n">
        <f aca="false">IFERROR(MIN(F3624*Eingaben!$B$19,MAX(0,D3624-H3624)),0)</f>
        <v>0</v>
      </c>
      <c r="J3624" s="13" t="n">
        <f aca="false">IFERROR(MIN(Eingaben!$B$18,MAX(0,F3624-I3624)),0)</f>
        <v>0</v>
      </c>
      <c r="K3624" s="13" t="n">
        <f aca="false">H3624+I3624</f>
        <v>0</v>
      </c>
      <c r="L3624" s="13" t="n">
        <f aca="false">MAX(0,D3624-K3624)</f>
        <v>0</v>
      </c>
      <c r="M3624" s="13" t="n">
        <f aca="false">MAX(0,F3624-I3624-J3624)</f>
        <v>0</v>
      </c>
      <c r="N3624" s="13" t="n">
        <f aca="false">IF(Kalender!A330="",0,J3623-H3624)</f>
        <v>0</v>
      </c>
    </row>
    <row r="3625" customFormat="false" ht="16.4" hidden="false" customHeight="false" outlineLevel="0" collapsed="false">
      <c r="A3625" s="13" t="str">
        <f aca="false">""</f>
        <v/>
      </c>
      <c r="B3625" s="13" t="n">
        <f aca="false">327</f>
        <v>327</v>
      </c>
      <c r="C3625" s="13" t="n">
        <f aca="false">IF(Szenarien!$H$20="OK",(IFERROR(SUMIF(Nutzungsprofile!$B$6:$B$11,"Schulbetrieb",Nutzungsprofile!$G$6:$G$11)*Kalender!C331/SUM(Kalender!$C$5:$C$370),0)+IFERROR(SUMIF(Nutzungsprofile!$B$6:$B$11,"Halle",Nutzungsprofile!$G$6:$G$11)*Kalender!D331/SUM(Kalender!$D$5:$D$370),0)+IFERROR(SUMIF(Nutzungsprofile!$B$6:$B$11,"Individuell",Nutzungsprofile!$G$6:$G$11)*Kalender!E331/SUM(Kalender!$E$5:$E$370),0))*Szenarien!$E$20,0)</f>
        <v>0.72</v>
      </c>
      <c r="D3625" s="13" t="n">
        <f aca="false">IF(Szenarien!$H$20="OK",(IFERROR(SUMIF(Nutzungsprofile!$B$17:$B$22,"Schulbetrieb",Nutzungsprofile!$G$17:$G$22)*Kalender!C331/SUM(Kalender!$C$5:$C$370),0)+IFERROR(SUMIF(Nutzungsprofile!$B$17:$B$22,"Halle",Nutzungsprofile!$G$17:$G$22)*Kalender!D331/SUM(Kalender!$D$5:$D$370),0)+IFERROR(SUMIF(Nutzungsprofile!$B$17:$B$22,"Individuell",Nutzungsprofile!$G$17:$G$22)*Kalender!E331/SUM(Kalender!$E$5:$E$370),0))*Szenarien!$D$20,0)</f>
        <v>4.05</v>
      </c>
      <c r="E3625" s="13" t="n">
        <f aca="false">IFERROR(MIN(C3625,Eingaben!$B$17)*Eingaben!$B$16,0)</f>
        <v>0.684</v>
      </c>
      <c r="F3625" s="13" t="n">
        <f aca="false">IFERROR(E3625*Eingaben!$B$15,0)</f>
        <v>0.6156</v>
      </c>
      <c r="G3625" s="13" t="n">
        <f aca="false">IFERROR(IF(Kalender!A331="",0,J3624*(1-Eingaben!$B$20)),0)</f>
        <v>0</v>
      </c>
      <c r="H3625" s="13" t="n">
        <f aca="false">MIN(G3625,D3625)</f>
        <v>0</v>
      </c>
      <c r="I3625" s="13" t="n">
        <f aca="false">IFERROR(MIN(F3625*Eingaben!$B$19,MAX(0,D3625-H3625)),0)</f>
        <v>0.43092</v>
      </c>
      <c r="J3625" s="13" t="n">
        <f aca="false">IFERROR(MIN(Eingaben!$B$18,MAX(0,F3625-I3625)),0)</f>
        <v>0.18468</v>
      </c>
      <c r="K3625" s="13" t="n">
        <f aca="false">H3625+I3625</f>
        <v>0.43092</v>
      </c>
      <c r="L3625" s="13" t="n">
        <f aca="false">MAX(0,D3625-K3625)</f>
        <v>3.61908</v>
      </c>
      <c r="M3625" s="13" t="n">
        <f aca="false">MAX(0,F3625-I3625-J3625)</f>
        <v>0</v>
      </c>
      <c r="N3625" s="13" t="n">
        <f aca="false">IF(Kalender!A331="",0,J3624-H3625)</f>
        <v>0</v>
      </c>
    </row>
    <row r="3626" customFormat="false" ht="16.4" hidden="false" customHeight="false" outlineLevel="0" collapsed="false">
      <c r="A3626" s="13" t="str">
        <f aca="false">""</f>
        <v/>
      </c>
      <c r="B3626" s="13" t="n">
        <f aca="false">328</f>
        <v>328</v>
      </c>
      <c r="C3626" s="13" t="n">
        <f aca="false">IF(Szenarien!$H$20="OK",(IFERROR(SUMIF(Nutzungsprofile!$B$6:$B$11,"Schulbetrieb",Nutzungsprofile!$G$6:$G$11)*Kalender!C332/SUM(Kalender!$C$5:$C$370),0)+IFERROR(SUMIF(Nutzungsprofile!$B$6:$B$11,"Halle",Nutzungsprofile!$G$6:$G$11)*Kalender!D332/SUM(Kalender!$D$5:$D$370),0)+IFERROR(SUMIF(Nutzungsprofile!$B$6:$B$11,"Individuell",Nutzungsprofile!$G$6:$G$11)*Kalender!E332/SUM(Kalender!$E$5:$E$370),0))*Szenarien!$E$20,0)</f>
        <v>0.72</v>
      </c>
      <c r="D3626" s="13" t="n">
        <f aca="false">IF(Szenarien!$H$20="OK",(IFERROR(SUMIF(Nutzungsprofile!$B$17:$B$22,"Schulbetrieb",Nutzungsprofile!$G$17:$G$22)*Kalender!C332/SUM(Kalender!$C$5:$C$370),0)+IFERROR(SUMIF(Nutzungsprofile!$B$17:$B$22,"Halle",Nutzungsprofile!$G$17:$G$22)*Kalender!D332/SUM(Kalender!$D$5:$D$370),0)+IFERROR(SUMIF(Nutzungsprofile!$B$17:$B$22,"Individuell",Nutzungsprofile!$G$17:$G$22)*Kalender!E332/SUM(Kalender!$E$5:$E$370),0))*Szenarien!$D$20,0)</f>
        <v>4.05</v>
      </c>
      <c r="E3626" s="13" t="n">
        <f aca="false">IFERROR(MIN(C3626,Eingaben!$B$17)*Eingaben!$B$16,0)</f>
        <v>0.684</v>
      </c>
      <c r="F3626" s="13" t="n">
        <f aca="false">IFERROR(E3626*Eingaben!$B$15,0)</f>
        <v>0.6156</v>
      </c>
      <c r="G3626" s="13" t="n">
        <f aca="false">IFERROR(IF(Kalender!A332="",0,J3625*(1-Eingaben!$B$20)),0)</f>
        <v>0.1809864</v>
      </c>
      <c r="H3626" s="13" t="n">
        <f aca="false">MIN(G3626,D3626)</f>
        <v>0.1809864</v>
      </c>
      <c r="I3626" s="13" t="n">
        <f aca="false">IFERROR(MIN(F3626*Eingaben!$B$19,MAX(0,D3626-H3626)),0)</f>
        <v>0.43092</v>
      </c>
      <c r="J3626" s="13" t="n">
        <f aca="false">IFERROR(MIN(Eingaben!$B$18,MAX(0,F3626-I3626)),0)</f>
        <v>0.18468</v>
      </c>
      <c r="K3626" s="13" t="n">
        <f aca="false">H3626+I3626</f>
        <v>0.6119064</v>
      </c>
      <c r="L3626" s="13" t="n">
        <f aca="false">MAX(0,D3626-K3626)</f>
        <v>3.4380936</v>
      </c>
      <c r="M3626" s="13" t="n">
        <f aca="false">MAX(0,F3626-I3626-J3626)</f>
        <v>0</v>
      </c>
      <c r="N3626" s="13" t="n">
        <f aca="false">IF(Kalender!A332="",0,J3625-H3626)</f>
        <v>0.00369359999999999</v>
      </c>
    </row>
    <row r="3627" customFormat="false" ht="16.4" hidden="false" customHeight="false" outlineLevel="0" collapsed="false">
      <c r="A3627" s="13" t="str">
        <f aca="false">""</f>
        <v/>
      </c>
      <c r="B3627" s="13" t="n">
        <f aca="false">329</f>
        <v>329</v>
      </c>
      <c r="C3627" s="13" t="n">
        <f aca="false">IF(Szenarien!$H$20="OK",(IFERROR(SUMIF(Nutzungsprofile!$B$6:$B$11,"Schulbetrieb",Nutzungsprofile!$G$6:$G$11)*Kalender!C333/SUM(Kalender!$C$5:$C$370),0)+IFERROR(SUMIF(Nutzungsprofile!$B$6:$B$11,"Halle",Nutzungsprofile!$G$6:$G$11)*Kalender!D333/SUM(Kalender!$D$5:$D$370),0)+IFERROR(SUMIF(Nutzungsprofile!$B$6:$B$11,"Individuell",Nutzungsprofile!$G$6:$G$11)*Kalender!E333/SUM(Kalender!$E$5:$E$370),0))*Szenarien!$E$20,0)</f>
        <v>0</v>
      </c>
      <c r="D3627" s="13" t="n">
        <f aca="false">IF(Szenarien!$H$20="OK",(IFERROR(SUMIF(Nutzungsprofile!$B$17:$B$22,"Schulbetrieb",Nutzungsprofile!$G$17:$G$22)*Kalender!C333/SUM(Kalender!$C$5:$C$370),0)+IFERROR(SUMIF(Nutzungsprofile!$B$17:$B$22,"Halle",Nutzungsprofile!$G$17:$G$22)*Kalender!D333/SUM(Kalender!$D$5:$D$370),0)+IFERROR(SUMIF(Nutzungsprofile!$B$17:$B$22,"Individuell",Nutzungsprofile!$G$17:$G$22)*Kalender!E333/SUM(Kalender!$E$5:$E$370),0))*Szenarien!$D$20,0)</f>
        <v>0</v>
      </c>
      <c r="E3627" s="13" t="n">
        <f aca="false">IFERROR(MIN(C3627,Eingaben!$B$17)*Eingaben!$B$16,0)</f>
        <v>0</v>
      </c>
      <c r="F3627" s="13" t="n">
        <f aca="false">IFERROR(E3627*Eingaben!$B$15,0)</f>
        <v>0</v>
      </c>
      <c r="G3627" s="13" t="n">
        <f aca="false">IFERROR(IF(Kalender!A333="",0,J3626*(1-Eingaben!$B$20)),0)</f>
        <v>0.1809864</v>
      </c>
      <c r="H3627" s="13" t="n">
        <f aca="false">MIN(G3627,D3627)</f>
        <v>0</v>
      </c>
      <c r="I3627" s="13" t="n">
        <f aca="false">IFERROR(MIN(F3627*Eingaben!$B$19,MAX(0,D3627-H3627)),0)</f>
        <v>0</v>
      </c>
      <c r="J3627" s="13" t="n">
        <f aca="false">IFERROR(MIN(Eingaben!$B$18,MAX(0,F3627-I3627)),0)</f>
        <v>0</v>
      </c>
      <c r="K3627" s="13" t="n">
        <f aca="false">H3627+I3627</f>
        <v>0</v>
      </c>
      <c r="L3627" s="13" t="n">
        <f aca="false">MAX(0,D3627-K3627)</f>
        <v>0</v>
      </c>
      <c r="M3627" s="13" t="n">
        <f aca="false">MAX(0,F3627-I3627-J3627)</f>
        <v>0</v>
      </c>
      <c r="N3627" s="13" t="n">
        <f aca="false">IF(Kalender!A333="",0,J3626-H3627)</f>
        <v>0.18468</v>
      </c>
    </row>
    <row r="3628" customFormat="false" ht="16.4" hidden="false" customHeight="false" outlineLevel="0" collapsed="false">
      <c r="A3628" s="13" t="str">
        <f aca="false">""</f>
        <v/>
      </c>
      <c r="B3628" s="13" t="n">
        <f aca="false">330</f>
        <v>330</v>
      </c>
      <c r="C3628" s="13" t="n">
        <f aca="false">IF(Szenarien!$H$20="OK",(IFERROR(SUMIF(Nutzungsprofile!$B$6:$B$11,"Schulbetrieb",Nutzungsprofile!$G$6:$G$11)*Kalender!C334/SUM(Kalender!$C$5:$C$370),0)+IFERROR(SUMIF(Nutzungsprofile!$B$6:$B$11,"Halle",Nutzungsprofile!$G$6:$G$11)*Kalender!D334/SUM(Kalender!$D$5:$D$370),0)+IFERROR(SUMIF(Nutzungsprofile!$B$6:$B$11,"Individuell",Nutzungsprofile!$G$6:$G$11)*Kalender!E334/SUM(Kalender!$E$5:$E$370),0))*Szenarien!$E$20,0)</f>
        <v>0</v>
      </c>
      <c r="D3628" s="13" t="n">
        <f aca="false">IF(Szenarien!$H$20="OK",(IFERROR(SUMIF(Nutzungsprofile!$B$17:$B$22,"Schulbetrieb",Nutzungsprofile!$G$17:$G$22)*Kalender!C334/SUM(Kalender!$C$5:$C$370),0)+IFERROR(SUMIF(Nutzungsprofile!$B$17:$B$22,"Halle",Nutzungsprofile!$G$17:$G$22)*Kalender!D334/SUM(Kalender!$D$5:$D$370),0)+IFERROR(SUMIF(Nutzungsprofile!$B$17:$B$22,"Individuell",Nutzungsprofile!$G$17:$G$22)*Kalender!E334/SUM(Kalender!$E$5:$E$370),0))*Szenarien!$D$20,0)</f>
        <v>0</v>
      </c>
      <c r="E3628" s="13" t="n">
        <f aca="false">IFERROR(MIN(C3628,Eingaben!$B$17)*Eingaben!$B$16,0)</f>
        <v>0</v>
      </c>
      <c r="F3628" s="13" t="n">
        <f aca="false">IFERROR(E3628*Eingaben!$B$15,0)</f>
        <v>0</v>
      </c>
      <c r="G3628" s="13" t="n">
        <f aca="false">IFERROR(IF(Kalender!A334="",0,J3627*(1-Eingaben!$B$20)),0)</f>
        <v>0</v>
      </c>
      <c r="H3628" s="13" t="n">
        <f aca="false">MIN(G3628,D3628)</f>
        <v>0</v>
      </c>
      <c r="I3628" s="13" t="n">
        <f aca="false">IFERROR(MIN(F3628*Eingaben!$B$19,MAX(0,D3628-H3628)),0)</f>
        <v>0</v>
      </c>
      <c r="J3628" s="13" t="n">
        <f aca="false">IFERROR(MIN(Eingaben!$B$18,MAX(0,F3628-I3628)),0)</f>
        <v>0</v>
      </c>
      <c r="K3628" s="13" t="n">
        <f aca="false">H3628+I3628</f>
        <v>0</v>
      </c>
      <c r="L3628" s="13" t="n">
        <f aca="false">MAX(0,D3628-K3628)</f>
        <v>0</v>
      </c>
      <c r="M3628" s="13" t="n">
        <f aca="false">MAX(0,F3628-I3628-J3628)</f>
        <v>0</v>
      </c>
      <c r="N3628" s="13" t="n">
        <f aca="false">IF(Kalender!A334="",0,J3627-H3628)</f>
        <v>0</v>
      </c>
    </row>
    <row r="3629" customFormat="false" ht="16.4" hidden="false" customHeight="false" outlineLevel="0" collapsed="false">
      <c r="A3629" s="13" t="str">
        <f aca="false">""</f>
        <v/>
      </c>
      <c r="B3629" s="13" t="n">
        <f aca="false">331</f>
        <v>331</v>
      </c>
      <c r="C3629" s="13" t="n">
        <f aca="false">IF(Szenarien!$H$20="OK",(IFERROR(SUMIF(Nutzungsprofile!$B$6:$B$11,"Schulbetrieb",Nutzungsprofile!$G$6:$G$11)*Kalender!C335/SUM(Kalender!$C$5:$C$370),0)+IFERROR(SUMIF(Nutzungsprofile!$B$6:$B$11,"Halle",Nutzungsprofile!$G$6:$G$11)*Kalender!D335/SUM(Kalender!$D$5:$D$370),0)+IFERROR(SUMIF(Nutzungsprofile!$B$6:$B$11,"Individuell",Nutzungsprofile!$G$6:$G$11)*Kalender!E335/SUM(Kalender!$E$5:$E$370),0))*Szenarien!$E$20,0)</f>
        <v>0</v>
      </c>
      <c r="D3629" s="13" t="n">
        <f aca="false">IF(Szenarien!$H$20="OK",(IFERROR(SUMIF(Nutzungsprofile!$B$17:$B$22,"Schulbetrieb",Nutzungsprofile!$G$17:$G$22)*Kalender!C335/SUM(Kalender!$C$5:$C$370),0)+IFERROR(SUMIF(Nutzungsprofile!$B$17:$B$22,"Halle",Nutzungsprofile!$G$17:$G$22)*Kalender!D335/SUM(Kalender!$D$5:$D$370),0)+IFERROR(SUMIF(Nutzungsprofile!$B$17:$B$22,"Individuell",Nutzungsprofile!$G$17:$G$22)*Kalender!E335/SUM(Kalender!$E$5:$E$370),0))*Szenarien!$D$20,0)</f>
        <v>0</v>
      </c>
      <c r="E3629" s="13" t="n">
        <f aca="false">IFERROR(MIN(C3629,Eingaben!$B$17)*Eingaben!$B$16,0)</f>
        <v>0</v>
      </c>
      <c r="F3629" s="13" t="n">
        <f aca="false">IFERROR(E3629*Eingaben!$B$15,0)</f>
        <v>0</v>
      </c>
      <c r="G3629" s="13" t="n">
        <f aca="false">IFERROR(IF(Kalender!A335="",0,J3628*(1-Eingaben!$B$20)),0)</f>
        <v>0</v>
      </c>
      <c r="H3629" s="13" t="n">
        <f aca="false">MIN(G3629,D3629)</f>
        <v>0</v>
      </c>
      <c r="I3629" s="13" t="n">
        <f aca="false">IFERROR(MIN(F3629*Eingaben!$B$19,MAX(0,D3629-H3629)),0)</f>
        <v>0</v>
      </c>
      <c r="J3629" s="13" t="n">
        <f aca="false">IFERROR(MIN(Eingaben!$B$18,MAX(0,F3629-I3629)),0)</f>
        <v>0</v>
      </c>
      <c r="K3629" s="13" t="n">
        <f aca="false">H3629+I3629</f>
        <v>0</v>
      </c>
      <c r="L3629" s="13" t="n">
        <f aca="false">MAX(0,D3629-K3629)</f>
        <v>0</v>
      </c>
      <c r="M3629" s="13" t="n">
        <f aca="false">MAX(0,F3629-I3629-J3629)</f>
        <v>0</v>
      </c>
      <c r="N3629" s="13" t="n">
        <f aca="false">IF(Kalender!A335="",0,J3628-H3629)</f>
        <v>0</v>
      </c>
    </row>
    <row r="3630" customFormat="false" ht="16.4" hidden="false" customHeight="false" outlineLevel="0" collapsed="false">
      <c r="A3630" s="13" t="str">
        <f aca="false">""</f>
        <v/>
      </c>
      <c r="B3630" s="13" t="n">
        <f aca="false">332</f>
        <v>332</v>
      </c>
      <c r="C3630" s="13" t="n">
        <f aca="false">IF(Szenarien!$H$20="OK",(IFERROR(SUMIF(Nutzungsprofile!$B$6:$B$11,"Schulbetrieb",Nutzungsprofile!$G$6:$G$11)*Kalender!C336/SUM(Kalender!$C$5:$C$370),0)+IFERROR(SUMIF(Nutzungsprofile!$B$6:$B$11,"Halle",Nutzungsprofile!$G$6:$G$11)*Kalender!D336/SUM(Kalender!$D$5:$D$370),0)+IFERROR(SUMIF(Nutzungsprofile!$B$6:$B$11,"Individuell",Nutzungsprofile!$G$6:$G$11)*Kalender!E336/SUM(Kalender!$E$5:$E$370),0))*Szenarien!$E$20,0)</f>
        <v>0</v>
      </c>
      <c r="D3630" s="13" t="n">
        <f aca="false">IF(Szenarien!$H$20="OK",(IFERROR(SUMIF(Nutzungsprofile!$B$17:$B$22,"Schulbetrieb",Nutzungsprofile!$G$17:$G$22)*Kalender!C336/SUM(Kalender!$C$5:$C$370),0)+IFERROR(SUMIF(Nutzungsprofile!$B$17:$B$22,"Halle",Nutzungsprofile!$G$17:$G$22)*Kalender!D336/SUM(Kalender!$D$5:$D$370),0)+IFERROR(SUMIF(Nutzungsprofile!$B$17:$B$22,"Individuell",Nutzungsprofile!$G$17:$G$22)*Kalender!E336/SUM(Kalender!$E$5:$E$370),0))*Szenarien!$D$20,0)</f>
        <v>0</v>
      </c>
      <c r="E3630" s="13" t="n">
        <f aca="false">IFERROR(MIN(C3630,Eingaben!$B$17)*Eingaben!$B$16,0)</f>
        <v>0</v>
      </c>
      <c r="F3630" s="13" t="n">
        <f aca="false">IFERROR(E3630*Eingaben!$B$15,0)</f>
        <v>0</v>
      </c>
      <c r="G3630" s="13" t="n">
        <f aca="false">IFERROR(IF(Kalender!A336="",0,J3629*(1-Eingaben!$B$20)),0)</f>
        <v>0</v>
      </c>
      <c r="H3630" s="13" t="n">
        <f aca="false">MIN(G3630,D3630)</f>
        <v>0</v>
      </c>
      <c r="I3630" s="13" t="n">
        <f aca="false">IFERROR(MIN(F3630*Eingaben!$B$19,MAX(0,D3630-H3630)),0)</f>
        <v>0</v>
      </c>
      <c r="J3630" s="13" t="n">
        <f aca="false">IFERROR(MIN(Eingaben!$B$18,MAX(0,F3630-I3630)),0)</f>
        <v>0</v>
      </c>
      <c r="K3630" s="13" t="n">
        <f aca="false">H3630+I3630</f>
        <v>0</v>
      </c>
      <c r="L3630" s="13" t="n">
        <f aca="false">MAX(0,D3630-K3630)</f>
        <v>0</v>
      </c>
      <c r="M3630" s="13" t="n">
        <f aca="false">MAX(0,F3630-I3630-J3630)</f>
        <v>0</v>
      </c>
      <c r="N3630" s="13" t="n">
        <f aca="false">IF(Kalender!A336="",0,J3629-H3630)</f>
        <v>0</v>
      </c>
    </row>
    <row r="3631" customFormat="false" ht="16.4" hidden="false" customHeight="false" outlineLevel="0" collapsed="false">
      <c r="A3631" s="13" t="str">
        <f aca="false">""</f>
        <v/>
      </c>
      <c r="B3631" s="13" t="n">
        <f aca="false">333</f>
        <v>333</v>
      </c>
      <c r="C3631" s="13" t="n">
        <f aca="false">IF(Szenarien!$H$20="OK",(IFERROR(SUMIF(Nutzungsprofile!$B$6:$B$11,"Schulbetrieb",Nutzungsprofile!$G$6:$G$11)*Kalender!C337/SUM(Kalender!$C$5:$C$370),0)+IFERROR(SUMIF(Nutzungsprofile!$B$6:$B$11,"Halle",Nutzungsprofile!$G$6:$G$11)*Kalender!D337/SUM(Kalender!$D$5:$D$370),0)+IFERROR(SUMIF(Nutzungsprofile!$B$6:$B$11,"Individuell",Nutzungsprofile!$G$6:$G$11)*Kalender!E337/SUM(Kalender!$E$5:$E$370),0))*Szenarien!$E$20,0)</f>
        <v>0</v>
      </c>
      <c r="D3631" s="13" t="n">
        <f aca="false">IF(Szenarien!$H$20="OK",(IFERROR(SUMIF(Nutzungsprofile!$B$17:$B$22,"Schulbetrieb",Nutzungsprofile!$G$17:$G$22)*Kalender!C337/SUM(Kalender!$C$5:$C$370),0)+IFERROR(SUMIF(Nutzungsprofile!$B$17:$B$22,"Halle",Nutzungsprofile!$G$17:$G$22)*Kalender!D337/SUM(Kalender!$D$5:$D$370),0)+IFERROR(SUMIF(Nutzungsprofile!$B$17:$B$22,"Individuell",Nutzungsprofile!$G$17:$G$22)*Kalender!E337/SUM(Kalender!$E$5:$E$370),0))*Szenarien!$D$20,0)</f>
        <v>0</v>
      </c>
      <c r="E3631" s="13" t="n">
        <f aca="false">IFERROR(MIN(C3631,Eingaben!$B$17)*Eingaben!$B$16,0)</f>
        <v>0</v>
      </c>
      <c r="F3631" s="13" t="n">
        <f aca="false">IFERROR(E3631*Eingaben!$B$15,0)</f>
        <v>0</v>
      </c>
      <c r="G3631" s="13" t="n">
        <f aca="false">IFERROR(IF(Kalender!A337="",0,J3630*(1-Eingaben!$B$20)),0)</f>
        <v>0</v>
      </c>
      <c r="H3631" s="13" t="n">
        <f aca="false">MIN(G3631,D3631)</f>
        <v>0</v>
      </c>
      <c r="I3631" s="13" t="n">
        <f aca="false">IFERROR(MIN(F3631*Eingaben!$B$19,MAX(0,D3631-H3631)),0)</f>
        <v>0</v>
      </c>
      <c r="J3631" s="13" t="n">
        <f aca="false">IFERROR(MIN(Eingaben!$B$18,MAX(0,F3631-I3631)),0)</f>
        <v>0</v>
      </c>
      <c r="K3631" s="13" t="n">
        <f aca="false">H3631+I3631</f>
        <v>0</v>
      </c>
      <c r="L3631" s="13" t="n">
        <f aca="false">MAX(0,D3631-K3631)</f>
        <v>0</v>
      </c>
      <c r="M3631" s="13" t="n">
        <f aca="false">MAX(0,F3631-I3631-J3631)</f>
        <v>0</v>
      </c>
      <c r="N3631" s="13" t="n">
        <f aca="false">IF(Kalender!A337="",0,J3630-H3631)</f>
        <v>0</v>
      </c>
    </row>
    <row r="3632" customFormat="false" ht="16.4" hidden="false" customHeight="false" outlineLevel="0" collapsed="false">
      <c r="A3632" s="13" t="str">
        <f aca="false">""</f>
        <v/>
      </c>
      <c r="B3632" s="13" t="n">
        <f aca="false">334</f>
        <v>334</v>
      </c>
      <c r="C3632" s="13" t="n">
        <f aca="false">IF(Szenarien!$H$20="OK",(IFERROR(SUMIF(Nutzungsprofile!$B$6:$B$11,"Schulbetrieb",Nutzungsprofile!$G$6:$G$11)*Kalender!C338/SUM(Kalender!$C$5:$C$370),0)+IFERROR(SUMIF(Nutzungsprofile!$B$6:$B$11,"Halle",Nutzungsprofile!$G$6:$G$11)*Kalender!D338/SUM(Kalender!$D$5:$D$370),0)+IFERROR(SUMIF(Nutzungsprofile!$B$6:$B$11,"Individuell",Nutzungsprofile!$G$6:$G$11)*Kalender!E338/SUM(Kalender!$E$5:$E$370),0))*Szenarien!$E$20,0)</f>
        <v>0</v>
      </c>
      <c r="D3632" s="13" t="n">
        <f aca="false">IF(Szenarien!$H$20="OK",(IFERROR(SUMIF(Nutzungsprofile!$B$17:$B$22,"Schulbetrieb",Nutzungsprofile!$G$17:$G$22)*Kalender!C338/SUM(Kalender!$C$5:$C$370),0)+IFERROR(SUMIF(Nutzungsprofile!$B$17:$B$22,"Halle",Nutzungsprofile!$G$17:$G$22)*Kalender!D338/SUM(Kalender!$D$5:$D$370),0)+IFERROR(SUMIF(Nutzungsprofile!$B$17:$B$22,"Individuell",Nutzungsprofile!$G$17:$G$22)*Kalender!E338/SUM(Kalender!$E$5:$E$370),0))*Szenarien!$D$20,0)</f>
        <v>0</v>
      </c>
      <c r="E3632" s="13" t="n">
        <f aca="false">IFERROR(MIN(C3632,Eingaben!$B$17)*Eingaben!$B$16,0)</f>
        <v>0</v>
      </c>
      <c r="F3632" s="13" t="n">
        <f aca="false">IFERROR(E3632*Eingaben!$B$15,0)</f>
        <v>0</v>
      </c>
      <c r="G3632" s="13" t="n">
        <f aca="false">IFERROR(IF(Kalender!A338="",0,J3631*(1-Eingaben!$B$20)),0)</f>
        <v>0</v>
      </c>
      <c r="H3632" s="13" t="n">
        <f aca="false">MIN(G3632,D3632)</f>
        <v>0</v>
      </c>
      <c r="I3632" s="13" t="n">
        <f aca="false">IFERROR(MIN(F3632*Eingaben!$B$19,MAX(0,D3632-H3632)),0)</f>
        <v>0</v>
      </c>
      <c r="J3632" s="13" t="n">
        <f aca="false">IFERROR(MIN(Eingaben!$B$18,MAX(0,F3632-I3632)),0)</f>
        <v>0</v>
      </c>
      <c r="K3632" s="13" t="n">
        <f aca="false">H3632+I3632</f>
        <v>0</v>
      </c>
      <c r="L3632" s="13" t="n">
        <f aca="false">MAX(0,D3632-K3632)</f>
        <v>0</v>
      </c>
      <c r="M3632" s="13" t="n">
        <f aca="false">MAX(0,F3632-I3632-J3632)</f>
        <v>0</v>
      </c>
      <c r="N3632" s="13" t="n">
        <f aca="false">IF(Kalender!A338="",0,J3631-H3632)</f>
        <v>0</v>
      </c>
    </row>
    <row r="3633" customFormat="false" ht="16.4" hidden="false" customHeight="false" outlineLevel="0" collapsed="false">
      <c r="A3633" s="13" t="str">
        <f aca="false">""</f>
        <v/>
      </c>
      <c r="B3633" s="13" t="n">
        <f aca="false">335</f>
        <v>335</v>
      </c>
      <c r="C3633" s="13" t="n">
        <f aca="false">IF(Szenarien!$H$20="OK",(IFERROR(SUMIF(Nutzungsprofile!$B$6:$B$11,"Schulbetrieb",Nutzungsprofile!$G$6:$G$11)*Kalender!C339/SUM(Kalender!$C$5:$C$370),0)+IFERROR(SUMIF(Nutzungsprofile!$B$6:$B$11,"Halle",Nutzungsprofile!$G$6:$G$11)*Kalender!D339/SUM(Kalender!$D$5:$D$370),0)+IFERROR(SUMIF(Nutzungsprofile!$B$6:$B$11,"Individuell",Nutzungsprofile!$G$6:$G$11)*Kalender!E339/SUM(Kalender!$E$5:$E$370),0))*Szenarien!$E$20,0)</f>
        <v>0</v>
      </c>
      <c r="D3633" s="13" t="n">
        <f aca="false">IF(Szenarien!$H$20="OK",(IFERROR(SUMIF(Nutzungsprofile!$B$17:$B$22,"Schulbetrieb",Nutzungsprofile!$G$17:$G$22)*Kalender!C339/SUM(Kalender!$C$5:$C$370),0)+IFERROR(SUMIF(Nutzungsprofile!$B$17:$B$22,"Halle",Nutzungsprofile!$G$17:$G$22)*Kalender!D339/SUM(Kalender!$D$5:$D$370),0)+IFERROR(SUMIF(Nutzungsprofile!$B$17:$B$22,"Individuell",Nutzungsprofile!$G$17:$G$22)*Kalender!E339/SUM(Kalender!$E$5:$E$370),0))*Szenarien!$D$20,0)</f>
        <v>0</v>
      </c>
      <c r="E3633" s="13" t="n">
        <f aca="false">IFERROR(MIN(C3633,Eingaben!$B$17)*Eingaben!$B$16,0)</f>
        <v>0</v>
      </c>
      <c r="F3633" s="13" t="n">
        <f aca="false">IFERROR(E3633*Eingaben!$B$15,0)</f>
        <v>0</v>
      </c>
      <c r="G3633" s="13" t="n">
        <f aca="false">IFERROR(IF(Kalender!A339="",0,J3632*(1-Eingaben!$B$20)),0)</f>
        <v>0</v>
      </c>
      <c r="H3633" s="13" t="n">
        <f aca="false">MIN(G3633,D3633)</f>
        <v>0</v>
      </c>
      <c r="I3633" s="13" t="n">
        <f aca="false">IFERROR(MIN(F3633*Eingaben!$B$19,MAX(0,D3633-H3633)),0)</f>
        <v>0</v>
      </c>
      <c r="J3633" s="13" t="n">
        <f aca="false">IFERROR(MIN(Eingaben!$B$18,MAX(0,F3633-I3633)),0)</f>
        <v>0</v>
      </c>
      <c r="K3633" s="13" t="n">
        <f aca="false">H3633+I3633</f>
        <v>0</v>
      </c>
      <c r="L3633" s="13" t="n">
        <f aca="false">MAX(0,D3633-K3633)</f>
        <v>0</v>
      </c>
      <c r="M3633" s="13" t="n">
        <f aca="false">MAX(0,F3633-I3633-J3633)</f>
        <v>0</v>
      </c>
      <c r="N3633" s="13" t="n">
        <f aca="false">IF(Kalender!A339="",0,J3632-H3633)</f>
        <v>0</v>
      </c>
    </row>
    <row r="3634" customFormat="false" ht="16.4" hidden="false" customHeight="false" outlineLevel="0" collapsed="false">
      <c r="A3634" s="13" t="str">
        <f aca="false">""</f>
        <v/>
      </c>
      <c r="B3634" s="13" t="n">
        <f aca="false">336</f>
        <v>336</v>
      </c>
      <c r="C3634" s="13" t="n">
        <f aca="false">IF(Szenarien!$H$20="OK",(IFERROR(SUMIF(Nutzungsprofile!$B$6:$B$11,"Schulbetrieb",Nutzungsprofile!$G$6:$G$11)*Kalender!C340/SUM(Kalender!$C$5:$C$370),0)+IFERROR(SUMIF(Nutzungsprofile!$B$6:$B$11,"Halle",Nutzungsprofile!$G$6:$G$11)*Kalender!D340/SUM(Kalender!$D$5:$D$370),0)+IFERROR(SUMIF(Nutzungsprofile!$B$6:$B$11,"Individuell",Nutzungsprofile!$G$6:$G$11)*Kalender!E340/SUM(Kalender!$E$5:$E$370),0))*Szenarien!$E$20,0)</f>
        <v>0</v>
      </c>
      <c r="D3634" s="13" t="n">
        <f aca="false">IF(Szenarien!$H$20="OK",(IFERROR(SUMIF(Nutzungsprofile!$B$17:$B$22,"Schulbetrieb",Nutzungsprofile!$G$17:$G$22)*Kalender!C340/SUM(Kalender!$C$5:$C$370),0)+IFERROR(SUMIF(Nutzungsprofile!$B$17:$B$22,"Halle",Nutzungsprofile!$G$17:$G$22)*Kalender!D340/SUM(Kalender!$D$5:$D$370),0)+IFERROR(SUMIF(Nutzungsprofile!$B$17:$B$22,"Individuell",Nutzungsprofile!$G$17:$G$22)*Kalender!E340/SUM(Kalender!$E$5:$E$370),0))*Szenarien!$D$20,0)</f>
        <v>0</v>
      </c>
      <c r="E3634" s="13" t="n">
        <f aca="false">IFERROR(MIN(C3634,Eingaben!$B$17)*Eingaben!$B$16,0)</f>
        <v>0</v>
      </c>
      <c r="F3634" s="13" t="n">
        <f aca="false">IFERROR(E3634*Eingaben!$B$15,0)</f>
        <v>0</v>
      </c>
      <c r="G3634" s="13" t="n">
        <f aca="false">IFERROR(IF(Kalender!A340="",0,J3633*(1-Eingaben!$B$20)),0)</f>
        <v>0</v>
      </c>
      <c r="H3634" s="13" t="n">
        <f aca="false">MIN(G3634,D3634)</f>
        <v>0</v>
      </c>
      <c r="I3634" s="13" t="n">
        <f aca="false">IFERROR(MIN(F3634*Eingaben!$B$19,MAX(0,D3634-H3634)),0)</f>
        <v>0</v>
      </c>
      <c r="J3634" s="13" t="n">
        <f aca="false">IFERROR(MIN(Eingaben!$B$18,MAX(0,F3634-I3634)),0)</f>
        <v>0</v>
      </c>
      <c r="K3634" s="13" t="n">
        <f aca="false">H3634+I3634</f>
        <v>0</v>
      </c>
      <c r="L3634" s="13" t="n">
        <f aca="false">MAX(0,D3634-K3634)</f>
        <v>0</v>
      </c>
      <c r="M3634" s="13" t="n">
        <f aca="false">MAX(0,F3634-I3634-J3634)</f>
        <v>0</v>
      </c>
      <c r="N3634" s="13" t="n">
        <f aca="false">IF(Kalender!A340="",0,J3633-H3634)</f>
        <v>0</v>
      </c>
    </row>
    <row r="3635" customFormat="false" ht="16.4" hidden="false" customHeight="false" outlineLevel="0" collapsed="false">
      <c r="A3635" s="13" t="str">
        <f aca="false">""</f>
        <v/>
      </c>
      <c r="B3635" s="13" t="n">
        <f aca="false">337</f>
        <v>337</v>
      </c>
      <c r="C3635" s="13" t="n">
        <f aca="false">IF(Szenarien!$H$20="OK",(IFERROR(SUMIF(Nutzungsprofile!$B$6:$B$11,"Schulbetrieb",Nutzungsprofile!$G$6:$G$11)*Kalender!C341/SUM(Kalender!$C$5:$C$370),0)+IFERROR(SUMIF(Nutzungsprofile!$B$6:$B$11,"Halle",Nutzungsprofile!$G$6:$G$11)*Kalender!D341/SUM(Kalender!$D$5:$D$370),0)+IFERROR(SUMIF(Nutzungsprofile!$B$6:$B$11,"Individuell",Nutzungsprofile!$G$6:$G$11)*Kalender!E341/SUM(Kalender!$E$5:$E$370),0))*Szenarien!$E$20,0)</f>
        <v>0</v>
      </c>
      <c r="D3635" s="13" t="n">
        <f aca="false">IF(Szenarien!$H$20="OK",(IFERROR(SUMIF(Nutzungsprofile!$B$17:$B$22,"Schulbetrieb",Nutzungsprofile!$G$17:$G$22)*Kalender!C341/SUM(Kalender!$C$5:$C$370),0)+IFERROR(SUMIF(Nutzungsprofile!$B$17:$B$22,"Halle",Nutzungsprofile!$G$17:$G$22)*Kalender!D341/SUM(Kalender!$D$5:$D$370),0)+IFERROR(SUMIF(Nutzungsprofile!$B$17:$B$22,"Individuell",Nutzungsprofile!$G$17:$G$22)*Kalender!E341/SUM(Kalender!$E$5:$E$370),0))*Szenarien!$D$20,0)</f>
        <v>0</v>
      </c>
      <c r="E3635" s="13" t="n">
        <f aca="false">IFERROR(MIN(C3635,Eingaben!$B$17)*Eingaben!$B$16,0)</f>
        <v>0</v>
      </c>
      <c r="F3635" s="13" t="n">
        <f aca="false">IFERROR(E3635*Eingaben!$B$15,0)</f>
        <v>0</v>
      </c>
      <c r="G3635" s="13" t="n">
        <f aca="false">IFERROR(IF(Kalender!A341="",0,J3634*(1-Eingaben!$B$20)),0)</f>
        <v>0</v>
      </c>
      <c r="H3635" s="13" t="n">
        <f aca="false">MIN(G3635,D3635)</f>
        <v>0</v>
      </c>
      <c r="I3635" s="13" t="n">
        <f aca="false">IFERROR(MIN(F3635*Eingaben!$B$19,MAX(0,D3635-H3635)),0)</f>
        <v>0</v>
      </c>
      <c r="J3635" s="13" t="n">
        <f aca="false">IFERROR(MIN(Eingaben!$B$18,MAX(0,F3635-I3635)),0)</f>
        <v>0</v>
      </c>
      <c r="K3635" s="13" t="n">
        <f aca="false">H3635+I3635</f>
        <v>0</v>
      </c>
      <c r="L3635" s="13" t="n">
        <f aca="false">MAX(0,D3635-K3635)</f>
        <v>0</v>
      </c>
      <c r="M3635" s="13" t="n">
        <f aca="false">MAX(0,F3635-I3635-J3635)</f>
        <v>0</v>
      </c>
      <c r="N3635" s="13" t="n">
        <f aca="false">IF(Kalender!A341="",0,J3634-H3635)</f>
        <v>0</v>
      </c>
    </row>
    <row r="3636" customFormat="false" ht="16.4" hidden="false" customHeight="false" outlineLevel="0" collapsed="false">
      <c r="A3636" s="13" t="str">
        <f aca="false">""</f>
        <v/>
      </c>
      <c r="B3636" s="13" t="n">
        <f aca="false">338</f>
        <v>338</v>
      </c>
      <c r="C3636" s="13" t="n">
        <f aca="false">IF(Szenarien!$H$20="OK",(IFERROR(SUMIF(Nutzungsprofile!$B$6:$B$11,"Schulbetrieb",Nutzungsprofile!$G$6:$G$11)*Kalender!C342/SUM(Kalender!$C$5:$C$370),0)+IFERROR(SUMIF(Nutzungsprofile!$B$6:$B$11,"Halle",Nutzungsprofile!$G$6:$G$11)*Kalender!D342/SUM(Kalender!$D$5:$D$370),0)+IFERROR(SUMIF(Nutzungsprofile!$B$6:$B$11,"Individuell",Nutzungsprofile!$G$6:$G$11)*Kalender!E342/SUM(Kalender!$E$5:$E$370),0))*Szenarien!$E$20,0)</f>
        <v>0</v>
      </c>
      <c r="D3636" s="13" t="n">
        <f aca="false">IF(Szenarien!$H$20="OK",(IFERROR(SUMIF(Nutzungsprofile!$B$17:$B$22,"Schulbetrieb",Nutzungsprofile!$G$17:$G$22)*Kalender!C342/SUM(Kalender!$C$5:$C$370),0)+IFERROR(SUMIF(Nutzungsprofile!$B$17:$B$22,"Halle",Nutzungsprofile!$G$17:$G$22)*Kalender!D342/SUM(Kalender!$D$5:$D$370),0)+IFERROR(SUMIF(Nutzungsprofile!$B$17:$B$22,"Individuell",Nutzungsprofile!$G$17:$G$22)*Kalender!E342/SUM(Kalender!$E$5:$E$370),0))*Szenarien!$D$20,0)</f>
        <v>0</v>
      </c>
      <c r="E3636" s="13" t="n">
        <f aca="false">IFERROR(MIN(C3636,Eingaben!$B$17)*Eingaben!$B$16,0)</f>
        <v>0</v>
      </c>
      <c r="F3636" s="13" t="n">
        <f aca="false">IFERROR(E3636*Eingaben!$B$15,0)</f>
        <v>0</v>
      </c>
      <c r="G3636" s="13" t="n">
        <f aca="false">IFERROR(IF(Kalender!A342="",0,J3635*(1-Eingaben!$B$20)),0)</f>
        <v>0</v>
      </c>
      <c r="H3636" s="13" t="n">
        <f aca="false">MIN(G3636,D3636)</f>
        <v>0</v>
      </c>
      <c r="I3636" s="13" t="n">
        <f aca="false">IFERROR(MIN(F3636*Eingaben!$B$19,MAX(0,D3636-H3636)),0)</f>
        <v>0</v>
      </c>
      <c r="J3636" s="13" t="n">
        <f aca="false">IFERROR(MIN(Eingaben!$B$18,MAX(0,F3636-I3636)),0)</f>
        <v>0</v>
      </c>
      <c r="K3636" s="13" t="n">
        <f aca="false">H3636+I3636</f>
        <v>0</v>
      </c>
      <c r="L3636" s="13" t="n">
        <f aca="false">MAX(0,D3636-K3636)</f>
        <v>0</v>
      </c>
      <c r="M3636" s="13" t="n">
        <f aca="false">MAX(0,F3636-I3636-J3636)</f>
        <v>0</v>
      </c>
      <c r="N3636" s="13" t="n">
        <f aca="false">IF(Kalender!A342="",0,J3635-H3636)</f>
        <v>0</v>
      </c>
    </row>
    <row r="3637" customFormat="false" ht="16.4" hidden="false" customHeight="false" outlineLevel="0" collapsed="false">
      <c r="A3637" s="13" t="str">
        <f aca="false">""</f>
        <v/>
      </c>
      <c r="B3637" s="13" t="n">
        <f aca="false">339</f>
        <v>339</v>
      </c>
      <c r="C3637" s="13" t="n">
        <f aca="false">IF(Szenarien!$H$20="OK",(IFERROR(SUMIF(Nutzungsprofile!$B$6:$B$11,"Schulbetrieb",Nutzungsprofile!$G$6:$G$11)*Kalender!C343/SUM(Kalender!$C$5:$C$370),0)+IFERROR(SUMIF(Nutzungsprofile!$B$6:$B$11,"Halle",Nutzungsprofile!$G$6:$G$11)*Kalender!D343/SUM(Kalender!$D$5:$D$370),0)+IFERROR(SUMIF(Nutzungsprofile!$B$6:$B$11,"Individuell",Nutzungsprofile!$G$6:$G$11)*Kalender!E343/SUM(Kalender!$E$5:$E$370),0))*Szenarien!$E$20,0)</f>
        <v>0</v>
      </c>
      <c r="D3637" s="13" t="n">
        <f aca="false">IF(Szenarien!$H$20="OK",(IFERROR(SUMIF(Nutzungsprofile!$B$17:$B$22,"Schulbetrieb",Nutzungsprofile!$G$17:$G$22)*Kalender!C343/SUM(Kalender!$C$5:$C$370),0)+IFERROR(SUMIF(Nutzungsprofile!$B$17:$B$22,"Halle",Nutzungsprofile!$G$17:$G$22)*Kalender!D343/SUM(Kalender!$D$5:$D$370),0)+IFERROR(SUMIF(Nutzungsprofile!$B$17:$B$22,"Individuell",Nutzungsprofile!$G$17:$G$22)*Kalender!E343/SUM(Kalender!$E$5:$E$370),0))*Szenarien!$D$20,0)</f>
        <v>0</v>
      </c>
      <c r="E3637" s="13" t="n">
        <f aca="false">IFERROR(MIN(C3637,Eingaben!$B$17)*Eingaben!$B$16,0)</f>
        <v>0</v>
      </c>
      <c r="F3637" s="13" t="n">
        <f aca="false">IFERROR(E3637*Eingaben!$B$15,0)</f>
        <v>0</v>
      </c>
      <c r="G3637" s="13" t="n">
        <f aca="false">IFERROR(IF(Kalender!A343="",0,J3636*(1-Eingaben!$B$20)),0)</f>
        <v>0</v>
      </c>
      <c r="H3637" s="13" t="n">
        <f aca="false">MIN(G3637,D3637)</f>
        <v>0</v>
      </c>
      <c r="I3637" s="13" t="n">
        <f aca="false">IFERROR(MIN(F3637*Eingaben!$B$19,MAX(0,D3637-H3637)),0)</f>
        <v>0</v>
      </c>
      <c r="J3637" s="13" t="n">
        <f aca="false">IFERROR(MIN(Eingaben!$B$18,MAX(0,F3637-I3637)),0)</f>
        <v>0</v>
      </c>
      <c r="K3637" s="13" t="n">
        <f aca="false">H3637+I3637</f>
        <v>0</v>
      </c>
      <c r="L3637" s="13" t="n">
        <f aca="false">MAX(0,D3637-K3637)</f>
        <v>0</v>
      </c>
      <c r="M3637" s="13" t="n">
        <f aca="false">MAX(0,F3637-I3637-J3637)</f>
        <v>0</v>
      </c>
      <c r="N3637" s="13" t="n">
        <f aca="false">IF(Kalender!A343="",0,J3636-H3637)</f>
        <v>0</v>
      </c>
    </row>
    <row r="3638" customFormat="false" ht="16.4" hidden="false" customHeight="false" outlineLevel="0" collapsed="false">
      <c r="A3638" s="13" t="str">
        <f aca="false">""</f>
        <v/>
      </c>
      <c r="B3638" s="13" t="n">
        <f aca="false">340</f>
        <v>340</v>
      </c>
      <c r="C3638" s="13" t="n">
        <f aca="false">IF(Szenarien!$H$20="OK",(IFERROR(SUMIF(Nutzungsprofile!$B$6:$B$11,"Schulbetrieb",Nutzungsprofile!$G$6:$G$11)*Kalender!C344/SUM(Kalender!$C$5:$C$370),0)+IFERROR(SUMIF(Nutzungsprofile!$B$6:$B$11,"Halle",Nutzungsprofile!$G$6:$G$11)*Kalender!D344/SUM(Kalender!$D$5:$D$370),0)+IFERROR(SUMIF(Nutzungsprofile!$B$6:$B$11,"Individuell",Nutzungsprofile!$G$6:$G$11)*Kalender!E344/SUM(Kalender!$E$5:$E$370),0))*Szenarien!$E$20,0)</f>
        <v>0</v>
      </c>
      <c r="D3638" s="13" t="n">
        <f aca="false">IF(Szenarien!$H$20="OK",(IFERROR(SUMIF(Nutzungsprofile!$B$17:$B$22,"Schulbetrieb",Nutzungsprofile!$G$17:$G$22)*Kalender!C344/SUM(Kalender!$C$5:$C$370),0)+IFERROR(SUMIF(Nutzungsprofile!$B$17:$B$22,"Halle",Nutzungsprofile!$G$17:$G$22)*Kalender!D344/SUM(Kalender!$D$5:$D$370),0)+IFERROR(SUMIF(Nutzungsprofile!$B$17:$B$22,"Individuell",Nutzungsprofile!$G$17:$G$22)*Kalender!E344/SUM(Kalender!$E$5:$E$370),0))*Szenarien!$D$20,0)</f>
        <v>0</v>
      </c>
      <c r="E3638" s="13" t="n">
        <f aca="false">IFERROR(MIN(C3638,Eingaben!$B$17)*Eingaben!$B$16,0)</f>
        <v>0</v>
      </c>
      <c r="F3638" s="13" t="n">
        <f aca="false">IFERROR(E3638*Eingaben!$B$15,0)</f>
        <v>0</v>
      </c>
      <c r="G3638" s="13" t="n">
        <f aca="false">IFERROR(IF(Kalender!A344="",0,J3637*(1-Eingaben!$B$20)),0)</f>
        <v>0</v>
      </c>
      <c r="H3638" s="13" t="n">
        <f aca="false">MIN(G3638,D3638)</f>
        <v>0</v>
      </c>
      <c r="I3638" s="13" t="n">
        <f aca="false">IFERROR(MIN(F3638*Eingaben!$B$19,MAX(0,D3638-H3638)),0)</f>
        <v>0</v>
      </c>
      <c r="J3638" s="13" t="n">
        <f aca="false">IFERROR(MIN(Eingaben!$B$18,MAX(0,F3638-I3638)),0)</f>
        <v>0</v>
      </c>
      <c r="K3638" s="13" t="n">
        <f aca="false">H3638+I3638</f>
        <v>0</v>
      </c>
      <c r="L3638" s="13" t="n">
        <f aca="false">MAX(0,D3638-K3638)</f>
        <v>0</v>
      </c>
      <c r="M3638" s="13" t="n">
        <f aca="false">MAX(0,F3638-I3638-J3638)</f>
        <v>0</v>
      </c>
      <c r="N3638" s="13" t="n">
        <f aca="false">IF(Kalender!A344="",0,J3637-H3638)</f>
        <v>0</v>
      </c>
    </row>
    <row r="3639" customFormat="false" ht="16.4" hidden="false" customHeight="false" outlineLevel="0" collapsed="false">
      <c r="A3639" s="13" t="str">
        <f aca="false">""</f>
        <v/>
      </c>
      <c r="B3639" s="13" t="n">
        <f aca="false">341</f>
        <v>341</v>
      </c>
      <c r="C3639" s="13" t="n">
        <f aca="false">IF(Szenarien!$H$20="OK",(IFERROR(SUMIF(Nutzungsprofile!$B$6:$B$11,"Schulbetrieb",Nutzungsprofile!$G$6:$G$11)*Kalender!C345/SUM(Kalender!$C$5:$C$370),0)+IFERROR(SUMIF(Nutzungsprofile!$B$6:$B$11,"Halle",Nutzungsprofile!$G$6:$G$11)*Kalender!D345/SUM(Kalender!$D$5:$D$370),0)+IFERROR(SUMIF(Nutzungsprofile!$B$6:$B$11,"Individuell",Nutzungsprofile!$G$6:$G$11)*Kalender!E345/SUM(Kalender!$E$5:$E$370),0))*Szenarien!$E$20,0)</f>
        <v>0</v>
      </c>
      <c r="D3639" s="13" t="n">
        <f aca="false">IF(Szenarien!$H$20="OK",(IFERROR(SUMIF(Nutzungsprofile!$B$17:$B$22,"Schulbetrieb",Nutzungsprofile!$G$17:$G$22)*Kalender!C345/SUM(Kalender!$C$5:$C$370),0)+IFERROR(SUMIF(Nutzungsprofile!$B$17:$B$22,"Halle",Nutzungsprofile!$G$17:$G$22)*Kalender!D345/SUM(Kalender!$D$5:$D$370),0)+IFERROR(SUMIF(Nutzungsprofile!$B$17:$B$22,"Individuell",Nutzungsprofile!$G$17:$G$22)*Kalender!E345/SUM(Kalender!$E$5:$E$370),0))*Szenarien!$D$20,0)</f>
        <v>0</v>
      </c>
      <c r="E3639" s="13" t="n">
        <f aca="false">IFERROR(MIN(C3639,Eingaben!$B$17)*Eingaben!$B$16,0)</f>
        <v>0</v>
      </c>
      <c r="F3639" s="13" t="n">
        <f aca="false">IFERROR(E3639*Eingaben!$B$15,0)</f>
        <v>0</v>
      </c>
      <c r="G3639" s="13" t="n">
        <f aca="false">IFERROR(IF(Kalender!A345="",0,J3638*(1-Eingaben!$B$20)),0)</f>
        <v>0</v>
      </c>
      <c r="H3639" s="13" t="n">
        <f aca="false">MIN(G3639,D3639)</f>
        <v>0</v>
      </c>
      <c r="I3639" s="13" t="n">
        <f aca="false">IFERROR(MIN(F3639*Eingaben!$B$19,MAX(0,D3639-H3639)),0)</f>
        <v>0</v>
      </c>
      <c r="J3639" s="13" t="n">
        <f aca="false">IFERROR(MIN(Eingaben!$B$18,MAX(0,F3639-I3639)),0)</f>
        <v>0</v>
      </c>
      <c r="K3639" s="13" t="n">
        <f aca="false">H3639+I3639</f>
        <v>0</v>
      </c>
      <c r="L3639" s="13" t="n">
        <f aca="false">MAX(0,D3639-K3639)</f>
        <v>0</v>
      </c>
      <c r="M3639" s="13" t="n">
        <f aca="false">MAX(0,F3639-I3639-J3639)</f>
        <v>0</v>
      </c>
      <c r="N3639" s="13" t="n">
        <f aca="false">IF(Kalender!A345="",0,J3638-H3639)</f>
        <v>0</v>
      </c>
    </row>
    <row r="3640" customFormat="false" ht="16.4" hidden="false" customHeight="false" outlineLevel="0" collapsed="false">
      <c r="A3640" s="13" t="str">
        <f aca="false">""</f>
        <v/>
      </c>
      <c r="B3640" s="13" t="n">
        <f aca="false">342</f>
        <v>342</v>
      </c>
      <c r="C3640" s="13" t="n">
        <f aca="false">IF(Szenarien!$H$20="OK",(IFERROR(SUMIF(Nutzungsprofile!$B$6:$B$11,"Schulbetrieb",Nutzungsprofile!$G$6:$G$11)*Kalender!C346/SUM(Kalender!$C$5:$C$370),0)+IFERROR(SUMIF(Nutzungsprofile!$B$6:$B$11,"Halle",Nutzungsprofile!$G$6:$G$11)*Kalender!D346/SUM(Kalender!$D$5:$D$370),0)+IFERROR(SUMIF(Nutzungsprofile!$B$6:$B$11,"Individuell",Nutzungsprofile!$G$6:$G$11)*Kalender!E346/SUM(Kalender!$E$5:$E$370),0))*Szenarien!$E$20,0)</f>
        <v>0</v>
      </c>
      <c r="D3640" s="13" t="n">
        <f aca="false">IF(Szenarien!$H$20="OK",(IFERROR(SUMIF(Nutzungsprofile!$B$17:$B$22,"Schulbetrieb",Nutzungsprofile!$G$17:$G$22)*Kalender!C346/SUM(Kalender!$C$5:$C$370),0)+IFERROR(SUMIF(Nutzungsprofile!$B$17:$B$22,"Halle",Nutzungsprofile!$G$17:$G$22)*Kalender!D346/SUM(Kalender!$D$5:$D$370),0)+IFERROR(SUMIF(Nutzungsprofile!$B$17:$B$22,"Individuell",Nutzungsprofile!$G$17:$G$22)*Kalender!E346/SUM(Kalender!$E$5:$E$370),0))*Szenarien!$D$20,0)</f>
        <v>0</v>
      </c>
      <c r="E3640" s="13" t="n">
        <f aca="false">IFERROR(MIN(C3640,Eingaben!$B$17)*Eingaben!$B$16,0)</f>
        <v>0</v>
      </c>
      <c r="F3640" s="13" t="n">
        <f aca="false">IFERROR(E3640*Eingaben!$B$15,0)</f>
        <v>0</v>
      </c>
      <c r="G3640" s="13" t="n">
        <f aca="false">IFERROR(IF(Kalender!A346="",0,J3639*(1-Eingaben!$B$20)),0)</f>
        <v>0</v>
      </c>
      <c r="H3640" s="13" t="n">
        <f aca="false">MIN(G3640,D3640)</f>
        <v>0</v>
      </c>
      <c r="I3640" s="13" t="n">
        <f aca="false">IFERROR(MIN(F3640*Eingaben!$B$19,MAX(0,D3640-H3640)),0)</f>
        <v>0</v>
      </c>
      <c r="J3640" s="13" t="n">
        <f aca="false">IFERROR(MIN(Eingaben!$B$18,MAX(0,F3640-I3640)),0)</f>
        <v>0</v>
      </c>
      <c r="K3640" s="13" t="n">
        <f aca="false">H3640+I3640</f>
        <v>0</v>
      </c>
      <c r="L3640" s="13" t="n">
        <f aca="false">MAX(0,D3640-K3640)</f>
        <v>0</v>
      </c>
      <c r="M3640" s="13" t="n">
        <f aca="false">MAX(0,F3640-I3640-J3640)</f>
        <v>0</v>
      </c>
      <c r="N3640" s="13" t="n">
        <f aca="false">IF(Kalender!A346="",0,J3639-H3640)</f>
        <v>0</v>
      </c>
    </row>
    <row r="3641" customFormat="false" ht="16.4" hidden="false" customHeight="false" outlineLevel="0" collapsed="false">
      <c r="A3641" s="13" t="str">
        <f aca="false">""</f>
        <v/>
      </c>
      <c r="B3641" s="13" t="n">
        <f aca="false">343</f>
        <v>343</v>
      </c>
      <c r="C3641" s="13" t="n">
        <f aca="false">IF(Szenarien!$H$20="OK",(IFERROR(SUMIF(Nutzungsprofile!$B$6:$B$11,"Schulbetrieb",Nutzungsprofile!$G$6:$G$11)*Kalender!C347/SUM(Kalender!$C$5:$C$370),0)+IFERROR(SUMIF(Nutzungsprofile!$B$6:$B$11,"Halle",Nutzungsprofile!$G$6:$G$11)*Kalender!D347/SUM(Kalender!$D$5:$D$370),0)+IFERROR(SUMIF(Nutzungsprofile!$B$6:$B$11,"Individuell",Nutzungsprofile!$G$6:$G$11)*Kalender!E347/SUM(Kalender!$E$5:$E$370),0))*Szenarien!$E$20,0)</f>
        <v>0</v>
      </c>
      <c r="D3641" s="13" t="n">
        <f aca="false">IF(Szenarien!$H$20="OK",(IFERROR(SUMIF(Nutzungsprofile!$B$17:$B$22,"Schulbetrieb",Nutzungsprofile!$G$17:$G$22)*Kalender!C347/SUM(Kalender!$C$5:$C$370),0)+IFERROR(SUMIF(Nutzungsprofile!$B$17:$B$22,"Halle",Nutzungsprofile!$G$17:$G$22)*Kalender!D347/SUM(Kalender!$D$5:$D$370),0)+IFERROR(SUMIF(Nutzungsprofile!$B$17:$B$22,"Individuell",Nutzungsprofile!$G$17:$G$22)*Kalender!E347/SUM(Kalender!$E$5:$E$370),0))*Szenarien!$D$20,0)</f>
        <v>0</v>
      </c>
      <c r="E3641" s="13" t="n">
        <f aca="false">IFERROR(MIN(C3641,Eingaben!$B$17)*Eingaben!$B$16,0)</f>
        <v>0</v>
      </c>
      <c r="F3641" s="13" t="n">
        <f aca="false">IFERROR(E3641*Eingaben!$B$15,0)</f>
        <v>0</v>
      </c>
      <c r="G3641" s="13" t="n">
        <f aca="false">IFERROR(IF(Kalender!A347="",0,J3640*(1-Eingaben!$B$20)),0)</f>
        <v>0</v>
      </c>
      <c r="H3641" s="13" t="n">
        <f aca="false">MIN(G3641,D3641)</f>
        <v>0</v>
      </c>
      <c r="I3641" s="13" t="n">
        <f aca="false">IFERROR(MIN(F3641*Eingaben!$B$19,MAX(0,D3641-H3641)),0)</f>
        <v>0</v>
      </c>
      <c r="J3641" s="13" t="n">
        <f aca="false">IFERROR(MIN(Eingaben!$B$18,MAX(0,F3641-I3641)),0)</f>
        <v>0</v>
      </c>
      <c r="K3641" s="13" t="n">
        <f aca="false">H3641+I3641</f>
        <v>0</v>
      </c>
      <c r="L3641" s="13" t="n">
        <f aca="false">MAX(0,D3641-K3641)</f>
        <v>0</v>
      </c>
      <c r="M3641" s="13" t="n">
        <f aca="false">MAX(0,F3641-I3641-J3641)</f>
        <v>0</v>
      </c>
      <c r="N3641" s="13" t="n">
        <f aca="false">IF(Kalender!A347="",0,J3640-H3641)</f>
        <v>0</v>
      </c>
    </row>
    <row r="3642" customFormat="false" ht="16.4" hidden="false" customHeight="false" outlineLevel="0" collapsed="false">
      <c r="A3642" s="13" t="str">
        <f aca="false">""</f>
        <v/>
      </c>
      <c r="B3642" s="13" t="n">
        <f aca="false">344</f>
        <v>344</v>
      </c>
      <c r="C3642" s="13" t="n">
        <f aca="false">IF(Szenarien!$H$20="OK",(IFERROR(SUMIF(Nutzungsprofile!$B$6:$B$11,"Schulbetrieb",Nutzungsprofile!$G$6:$G$11)*Kalender!C348/SUM(Kalender!$C$5:$C$370),0)+IFERROR(SUMIF(Nutzungsprofile!$B$6:$B$11,"Halle",Nutzungsprofile!$G$6:$G$11)*Kalender!D348/SUM(Kalender!$D$5:$D$370),0)+IFERROR(SUMIF(Nutzungsprofile!$B$6:$B$11,"Individuell",Nutzungsprofile!$G$6:$G$11)*Kalender!E348/SUM(Kalender!$E$5:$E$370),0))*Szenarien!$E$20,0)</f>
        <v>0</v>
      </c>
      <c r="D3642" s="13" t="n">
        <f aca="false">IF(Szenarien!$H$20="OK",(IFERROR(SUMIF(Nutzungsprofile!$B$17:$B$22,"Schulbetrieb",Nutzungsprofile!$G$17:$G$22)*Kalender!C348/SUM(Kalender!$C$5:$C$370),0)+IFERROR(SUMIF(Nutzungsprofile!$B$17:$B$22,"Halle",Nutzungsprofile!$G$17:$G$22)*Kalender!D348/SUM(Kalender!$D$5:$D$370),0)+IFERROR(SUMIF(Nutzungsprofile!$B$17:$B$22,"Individuell",Nutzungsprofile!$G$17:$G$22)*Kalender!E348/SUM(Kalender!$E$5:$E$370),0))*Szenarien!$D$20,0)</f>
        <v>0</v>
      </c>
      <c r="E3642" s="13" t="n">
        <f aca="false">IFERROR(MIN(C3642,Eingaben!$B$17)*Eingaben!$B$16,0)</f>
        <v>0</v>
      </c>
      <c r="F3642" s="13" t="n">
        <f aca="false">IFERROR(E3642*Eingaben!$B$15,0)</f>
        <v>0</v>
      </c>
      <c r="G3642" s="13" t="n">
        <f aca="false">IFERROR(IF(Kalender!A348="",0,J3641*(1-Eingaben!$B$20)),0)</f>
        <v>0</v>
      </c>
      <c r="H3642" s="13" t="n">
        <f aca="false">MIN(G3642,D3642)</f>
        <v>0</v>
      </c>
      <c r="I3642" s="13" t="n">
        <f aca="false">IFERROR(MIN(F3642*Eingaben!$B$19,MAX(0,D3642-H3642)),0)</f>
        <v>0</v>
      </c>
      <c r="J3642" s="13" t="n">
        <f aca="false">IFERROR(MIN(Eingaben!$B$18,MAX(0,F3642-I3642)),0)</f>
        <v>0</v>
      </c>
      <c r="K3642" s="13" t="n">
        <f aca="false">H3642+I3642</f>
        <v>0</v>
      </c>
      <c r="L3642" s="13" t="n">
        <f aca="false">MAX(0,D3642-K3642)</f>
        <v>0</v>
      </c>
      <c r="M3642" s="13" t="n">
        <f aca="false">MAX(0,F3642-I3642-J3642)</f>
        <v>0</v>
      </c>
      <c r="N3642" s="13" t="n">
        <f aca="false">IF(Kalender!A348="",0,J3641-H3642)</f>
        <v>0</v>
      </c>
    </row>
    <row r="3643" customFormat="false" ht="16.4" hidden="false" customHeight="false" outlineLevel="0" collapsed="false">
      <c r="A3643" s="13" t="str">
        <f aca="false">""</f>
        <v/>
      </c>
      <c r="B3643" s="13" t="n">
        <f aca="false">345</f>
        <v>345</v>
      </c>
      <c r="C3643" s="13" t="n">
        <f aca="false">IF(Szenarien!$H$20="OK",(IFERROR(SUMIF(Nutzungsprofile!$B$6:$B$11,"Schulbetrieb",Nutzungsprofile!$G$6:$G$11)*Kalender!C349/SUM(Kalender!$C$5:$C$370),0)+IFERROR(SUMIF(Nutzungsprofile!$B$6:$B$11,"Halle",Nutzungsprofile!$G$6:$G$11)*Kalender!D349/SUM(Kalender!$D$5:$D$370),0)+IFERROR(SUMIF(Nutzungsprofile!$B$6:$B$11,"Individuell",Nutzungsprofile!$G$6:$G$11)*Kalender!E349/SUM(Kalender!$E$5:$E$370),0))*Szenarien!$E$20,0)</f>
        <v>0</v>
      </c>
      <c r="D3643" s="13" t="n">
        <f aca="false">IF(Szenarien!$H$20="OK",(IFERROR(SUMIF(Nutzungsprofile!$B$17:$B$22,"Schulbetrieb",Nutzungsprofile!$G$17:$G$22)*Kalender!C349/SUM(Kalender!$C$5:$C$370),0)+IFERROR(SUMIF(Nutzungsprofile!$B$17:$B$22,"Halle",Nutzungsprofile!$G$17:$G$22)*Kalender!D349/SUM(Kalender!$D$5:$D$370),0)+IFERROR(SUMIF(Nutzungsprofile!$B$17:$B$22,"Individuell",Nutzungsprofile!$G$17:$G$22)*Kalender!E349/SUM(Kalender!$E$5:$E$370),0))*Szenarien!$D$20,0)</f>
        <v>0</v>
      </c>
      <c r="E3643" s="13" t="n">
        <f aca="false">IFERROR(MIN(C3643,Eingaben!$B$17)*Eingaben!$B$16,0)</f>
        <v>0</v>
      </c>
      <c r="F3643" s="13" t="n">
        <f aca="false">IFERROR(E3643*Eingaben!$B$15,0)</f>
        <v>0</v>
      </c>
      <c r="G3643" s="13" t="n">
        <f aca="false">IFERROR(IF(Kalender!A349="",0,J3642*(1-Eingaben!$B$20)),0)</f>
        <v>0</v>
      </c>
      <c r="H3643" s="13" t="n">
        <f aca="false">MIN(G3643,D3643)</f>
        <v>0</v>
      </c>
      <c r="I3643" s="13" t="n">
        <f aca="false">IFERROR(MIN(F3643*Eingaben!$B$19,MAX(0,D3643-H3643)),0)</f>
        <v>0</v>
      </c>
      <c r="J3643" s="13" t="n">
        <f aca="false">IFERROR(MIN(Eingaben!$B$18,MAX(0,F3643-I3643)),0)</f>
        <v>0</v>
      </c>
      <c r="K3643" s="13" t="n">
        <f aca="false">H3643+I3643</f>
        <v>0</v>
      </c>
      <c r="L3643" s="13" t="n">
        <f aca="false">MAX(0,D3643-K3643)</f>
        <v>0</v>
      </c>
      <c r="M3643" s="13" t="n">
        <f aca="false">MAX(0,F3643-I3643-J3643)</f>
        <v>0</v>
      </c>
      <c r="N3643" s="13" t="n">
        <f aca="false">IF(Kalender!A349="",0,J3642-H3643)</f>
        <v>0</v>
      </c>
    </row>
    <row r="3644" customFormat="false" ht="16.4" hidden="false" customHeight="false" outlineLevel="0" collapsed="false">
      <c r="A3644" s="13" t="str">
        <f aca="false">""</f>
        <v/>
      </c>
      <c r="B3644" s="13" t="n">
        <f aca="false">346</f>
        <v>346</v>
      </c>
      <c r="C3644" s="13" t="n">
        <f aca="false">IF(Szenarien!$H$20="OK",(IFERROR(SUMIF(Nutzungsprofile!$B$6:$B$11,"Schulbetrieb",Nutzungsprofile!$G$6:$G$11)*Kalender!C350/SUM(Kalender!$C$5:$C$370),0)+IFERROR(SUMIF(Nutzungsprofile!$B$6:$B$11,"Halle",Nutzungsprofile!$G$6:$G$11)*Kalender!D350/SUM(Kalender!$D$5:$D$370),0)+IFERROR(SUMIF(Nutzungsprofile!$B$6:$B$11,"Individuell",Nutzungsprofile!$G$6:$G$11)*Kalender!E350/SUM(Kalender!$E$5:$E$370),0))*Szenarien!$E$20,0)</f>
        <v>0</v>
      </c>
      <c r="D3644" s="13" t="n">
        <f aca="false">IF(Szenarien!$H$20="OK",(IFERROR(SUMIF(Nutzungsprofile!$B$17:$B$22,"Schulbetrieb",Nutzungsprofile!$G$17:$G$22)*Kalender!C350/SUM(Kalender!$C$5:$C$370),0)+IFERROR(SUMIF(Nutzungsprofile!$B$17:$B$22,"Halle",Nutzungsprofile!$G$17:$G$22)*Kalender!D350/SUM(Kalender!$D$5:$D$370),0)+IFERROR(SUMIF(Nutzungsprofile!$B$17:$B$22,"Individuell",Nutzungsprofile!$G$17:$G$22)*Kalender!E350/SUM(Kalender!$E$5:$E$370),0))*Szenarien!$D$20,0)</f>
        <v>0</v>
      </c>
      <c r="E3644" s="13" t="n">
        <f aca="false">IFERROR(MIN(C3644,Eingaben!$B$17)*Eingaben!$B$16,0)</f>
        <v>0</v>
      </c>
      <c r="F3644" s="13" t="n">
        <f aca="false">IFERROR(E3644*Eingaben!$B$15,0)</f>
        <v>0</v>
      </c>
      <c r="G3644" s="13" t="n">
        <f aca="false">IFERROR(IF(Kalender!A350="",0,J3643*(1-Eingaben!$B$20)),0)</f>
        <v>0</v>
      </c>
      <c r="H3644" s="13" t="n">
        <f aca="false">MIN(G3644,D3644)</f>
        <v>0</v>
      </c>
      <c r="I3644" s="13" t="n">
        <f aca="false">IFERROR(MIN(F3644*Eingaben!$B$19,MAX(0,D3644-H3644)),0)</f>
        <v>0</v>
      </c>
      <c r="J3644" s="13" t="n">
        <f aca="false">IFERROR(MIN(Eingaben!$B$18,MAX(0,F3644-I3644)),0)</f>
        <v>0</v>
      </c>
      <c r="K3644" s="13" t="n">
        <f aca="false">H3644+I3644</f>
        <v>0</v>
      </c>
      <c r="L3644" s="13" t="n">
        <f aca="false">MAX(0,D3644-K3644)</f>
        <v>0</v>
      </c>
      <c r="M3644" s="13" t="n">
        <f aca="false">MAX(0,F3644-I3644-J3644)</f>
        <v>0</v>
      </c>
      <c r="N3644" s="13" t="n">
        <f aca="false">IF(Kalender!A350="",0,J3643-H3644)</f>
        <v>0</v>
      </c>
    </row>
    <row r="3645" customFormat="false" ht="16.4" hidden="false" customHeight="false" outlineLevel="0" collapsed="false">
      <c r="A3645" s="13" t="str">
        <f aca="false">""</f>
        <v/>
      </c>
      <c r="B3645" s="13" t="n">
        <f aca="false">347</f>
        <v>347</v>
      </c>
      <c r="C3645" s="13" t="n">
        <f aca="false">IF(Szenarien!$H$20="OK",(IFERROR(SUMIF(Nutzungsprofile!$B$6:$B$11,"Schulbetrieb",Nutzungsprofile!$G$6:$G$11)*Kalender!C351/SUM(Kalender!$C$5:$C$370),0)+IFERROR(SUMIF(Nutzungsprofile!$B$6:$B$11,"Halle",Nutzungsprofile!$G$6:$G$11)*Kalender!D351/SUM(Kalender!$D$5:$D$370),0)+IFERROR(SUMIF(Nutzungsprofile!$B$6:$B$11,"Individuell",Nutzungsprofile!$G$6:$G$11)*Kalender!E351/SUM(Kalender!$E$5:$E$370),0))*Szenarien!$E$20,0)</f>
        <v>0</v>
      </c>
      <c r="D3645" s="13" t="n">
        <f aca="false">IF(Szenarien!$H$20="OK",(IFERROR(SUMIF(Nutzungsprofile!$B$17:$B$22,"Schulbetrieb",Nutzungsprofile!$G$17:$G$22)*Kalender!C351/SUM(Kalender!$C$5:$C$370),0)+IFERROR(SUMIF(Nutzungsprofile!$B$17:$B$22,"Halle",Nutzungsprofile!$G$17:$G$22)*Kalender!D351/SUM(Kalender!$D$5:$D$370),0)+IFERROR(SUMIF(Nutzungsprofile!$B$17:$B$22,"Individuell",Nutzungsprofile!$G$17:$G$22)*Kalender!E351/SUM(Kalender!$E$5:$E$370),0))*Szenarien!$D$20,0)</f>
        <v>0</v>
      </c>
      <c r="E3645" s="13" t="n">
        <f aca="false">IFERROR(MIN(C3645,Eingaben!$B$17)*Eingaben!$B$16,0)</f>
        <v>0</v>
      </c>
      <c r="F3645" s="13" t="n">
        <f aca="false">IFERROR(E3645*Eingaben!$B$15,0)</f>
        <v>0</v>
      </c>
      <c r="G3645" s="13" t="n">
        <f aca="false">IFERROR(IF(Kalender!A351="",0,J3644*(1-Eingaben!$B$20)),0)</f>
        <v>0</v>
      </c>
      <c r="H3645" s="13" t="n">
        <f aca="false">MIN(G3645,D3645)</f>
        <v>0</v>
      </c>
      <c r="I3645" s="13" t="n">
        <f aca="false">IFERROR(MIN(F3645*Eingaben!$B$19,MAX(0,D3645-H3645)),0)</f>
        <v>0</v>
      </c>
      <c r="J3645" s="13" t="n">
        <f aca="false">IFERROR(MIN(Eingaben!$B$18,MAX(0,F3645-I3645)),0)</f>
        <v>0</v>
      </c>
      <c r="K3645" s="13" t="n">
        <f aca="false">H3645+I3645</f>
        <v>0</v>
      </c>
      <c r="L3645" s="13" t="n">
        <f aca="false">MAX(0,D3645-K3645)</f>
        <v>0</v>
      </c>
      <c r="M3645" s="13" t="n">
        <f aca="false">MAX(0,F3645-I3645-J3645)</f>
        <v>0</v>
      </c>
      <c r="N3645" s="13" t="n">
        <f aca="false">IF(Kalender!A351="",0,J3644-H3645)</f>
        <v>0</v>
      </c>
    </row>
    <row r="3646" customFormat="false" ht="16.4" hidden="false" customHeight="false" outlineLevel="0" collapsed="false">
      <c r="A3646" s="13" t="str">
        <f aca="false">""</f>
        <v/>
      </c>
      <c r="B3646" s="13" t="n">
        <f aca="false">348</f>
        <v>348</v>
      </c>
      <c r="C3646" s="13" t="n">
        <f aca="false">IF(Szenarien!$H$20="OK",(IFERROR(SUMIF(Nutzungsprofile!$B$6:$B$11,"Schulbetrieb",Nutzungsprofile!$G$6:$G$11)*Kalender!C352/SUM(Kalender!$C$5:$C$370),0)+IFERROR(SUMIF(Nutzungsprofile!$B$6:$B$11,"Halle",Nutzungsprofile!$G$6:$G$11)*Kalender!D352/SUM(Kalender!$D$5:$D$370),0)+IFERROR(SUMIF(Nutzungsprofile!$B$6:$B$11,"Individuell",Nutzungsprofile!$G$6:$G$11)*Kalender!E352/SUM(Kalender!$E$5:$E$370),0))*Szenarien!$E$20,0)</f>
        <v>0</v>
      </c>
      <c r="D3646" s="13" t="n">
        <f aca="false">IF(Szenarien!$H$20="OK",(IFERROR(SUMIF(Nutzungsprofile!$B$17:$B$22,"Schulbetrieb",Nutzungsprofile!$G$17:$G$22)*Kalender!C352/SUM(Kalender!$C$5:$C$370),0)+IFERROR(SUMIF(Nutzungsprofile!$B$17:$B$22,"Halle",Nutzungsprofile!$G$17:$G$22)*Kalender!D352/SUM(Kalender!$D$5:$D$370),0)+IFERROR(SUMIF(Nutzungsprofile!$B$17:$B$22,"Individuell",Nutzungsprofile!$G$17:$G$22)*Kalender!E352/SUM(Kalender!$E$5:$E$370),0))*Szenarien!$D$20,0)</f>
        <v>0</v>
      </c>
      <c r="E3646" s="13" t="n">
        <f aca="false">IFERROR(MIN(C3646,Eingaben!$B$17)*Eingaben!$B$16,0)</f>
        <v>0</v>
      </c>
      <c r="F3646" s="13" t="n">
        <f aca="false">IFERROR(E3646*Eingaben!$B$15,0)</f>
        <v>0</v>
      </c>
      <c r="G3646" s="13" t="n">
        <f aca="false">IFERROR(IF(Kalender!A352="",0,J3645*(1-Eingaben!$B$20)),0)</f>
        <v>0</v>
      </c>
      <c r="H3646" s="13" t="n">
        <f aca="false">MIN(G3646,D3646)</f>
        <v>0</v>
      </c>
      <c r="I3646" s="13" t="n">
        <f aca="false">IFERROR(MIN(F3646*Eingaben!$B$19,MAX(0,D3646-H3646)),0)</f>
        <v>0</v>
      </c>
      <c r="J3646" s="13" t="n">
        <f aca="false">IFERROR(MIN(Eingaben!$B$18,MAX(0,F3646-I3646)),0)</f>
        <v>0</v>
      </c>
      <c r="K3646" s="13" t="n">
        <f aca="false">H3646+I3646</f>
        <v>0</v>
      </c>
      <c r="L3646" s="13" t="n">
        <f aca="false">MAX(0,D3646-K3646)</f>
        <v>0</v>
      </c>
      <c r="M3646" s="13" t="n">
        <f aca="false">MAX(0,F3646-I3646-J3646)</f>
        <v>0</v>
      </c>
      <c r="N3646" s="13" t="n">
        <f aca="false">IF(Kalender!A352="",0,J3645-H3646)</f>
        <v>0</v>
      </c>
    </row>
    <row r="3647" customFormat="false" ht="16.4" hidden="false" customHeight="false" outlineLevel="0" collapsed="false">
      <c r="A3647" s="13" t="str">
        <f aca="false">""</f>
        <v/>
      </c>
      <c r="B3647" s="13" t="n">
        <f aca="false">349</f>
        <v>349</v>
      </c>
      <c r="C3647" s="13" t="n">
        <f aca="false">IF(Szenarien!$H$20="OK",(IFERROR(SUMIF(Nutzungsprofile!$B$6:$B$11,"Schulbetrieb",Nutzungsprofile!$G$6:$G$11)*Kalender!C353/SUM(Kalender!$C$5:$C$370),0)+IFERROR(SUMIF(Nutzungsprofile!$B$6:$B$11,"Halle",Nutzungsprofile!$G$6:$G$11)*Kalender!D353/SUM(Kalender!$D$5:$D$370),0)+IFERROR(SUMIF(Nutzungsprofile!$B$6:$B$11,"Individuell",Nutzungsprofile!$G$6:$G$11)*Kalender!E353/SUM(Kalender!$E$5:$E$370),0))*Szenarien!$E$20,0)</f>
        <v>0</v>
      </c>
      <c r="D3647" s="13" t="n">
        <f aca="false">IF(Szenarien!$H$20="OK",(IFERROR(SUMIF(Nutzungsprofile!$B$17:$B$22,"Schulbetrieb",Nutzungsprofile!$G$17:$G$22)*Kalender!C353/SUM(Kalender!$C$5:$C$370),0)+IFERROR(SUMIF(Nutzungsprofile!$B$17:$B$22,"Halle",Nutzungsprofile!$G$17:$G$22)*Kalender!D353/SUM(Kalender!$D$5:$D$370),0)+IFERROR(SUMIF(Nutzungsprofile!$B$17:$B$22,"Individuell",Nutzungsprofile!$G$17:$G$22)*Kalender!E353/SUM(Kalender!$E$5:$E$370),0))*Szenarien!$D$20,0)</f>
        <v>0</v>
      </c>
      <c r="E3647" s="13" t="n">
        <f aca="false">IFERROR(MIN(C3647,Eingaben!$B$17)*Eingaben!$B$16,0)</f>
        <v>0</v>
      </c>
      <c r="F3647" s="13" t="n">
        <f aca="false">IFERROR(E3647*Eingaben!$B$15,0)</f>
        <v>0</v>
      </c>
      <c r="G3647" s="13" t="n">
        <f aca="false">IFERROR(IF(Kalender!A353="",0,J3646*(1-Eingaben!$B$20)),0)</f>
        <v>0</v>
      </c>
      <c r="H3647" s="13" t="n">
        <f aca="false">MIN(G3647,D3647)</f>
        <v>0</v>
      </c>
      <c r="I3647" s="13" t="n">
        <f aca="false">IFERROR(MIN(F3647*Eingaben!$B$19,MAX(0,D3647-H3647)),0)</f>
        <v>0</v>
      </c>
      <c r="J3647" s="13" t="n">
        <f aca="false">IFERROR(MIN(Eingaben!$B$18,MAX(0,F3647-I3647)),0)</f>
        <v>0</v>
      </c>
      <c r="K3647" s="13" t="n">
        <f aca="false">H3647+I3647</f>
        <v>0</v>
      </c>
      <c r="L3647" s="13" t="n">
        <f aca="false">MAX(0,D3647-K3647)</f>
        <v>0</v>
      </c>
      <c r="M3647" s="13" t="n">
        <f aca="false">MAX(0,F3647-I3647-J3647)</f>
        <v>0</v>
      </c>
      <c r="N3647" s="13" t="n">
        <f aca="false">IF(Kalender!A353="",0,J3646-H3647)</f>
        <v>0</v>
      </c>
    </row>
    <row r="3648" customFormat="false" ht="16.4" hidden="false" customHeight="false" outlineLevel="0" collapsed="false">
      <c r="A3648" s="13" t="str">
        <f aca="false">""</f>
        <v/>
      </c>
      <c r="B3648" s="13" t="n">
        <f aca="false">350</f>
        <v>350</v>
      </c>
      <c r="C3648" s="13" t="n">
        <f aca="false">IF(Szenarien!$H$20="OK",(IFERROR(SUMIF(Nutzungsprofile!$B$6:$B$11,"Schulbetrieb",Nutzungsprofile!$G$6:$G$11)*Kalender!C354/SUM(Kalender!$C$5:$C$370),0)+IFERROR(SUMIF(Nutzungsprofile!$B$6:$B$11,"Halle",Nutzungsprofile!$G$6:$G$11)*Kalender!D354/SUM(Kalender!$D$5:$D$370),0)+IFERROR(SUMIF(Nutzungsprofile!$B$6:$B$11,"Individuell",Nutzungsprofile!$G$6:$G$11)*Kalender!E354/SUM(Kalender!$E$5:$E$370),0))*Szenarien!$E$20,0)</f>
        <v>0</v>
      </c>
      <c r="D3648" s="13" t="n">
        <f aca="false">IF(Szenarien!$H$20="OK",(IFERROR(SUMIF(Nutzungsprofile!$B$17:$B$22,"Schulbetrieb",Nutzungsprofile!$G$17:$G$22)*Kalender!C354/SUM(Kalender!$C$5:$C$370),0)+IFERROR(SUMIF(Nutzungsprofile!$B$17:$B$22,"Halle",Nutzungsprofile!$G$17:$G$22)*Kalender!D354/SUM(Kalender!$D$5:$D$370),0)+IFERROR(SUMIF(Nutzungsprofile!$B$17:$B$22,"Individuell",Nutzungsprofile!$G$17:$G$22)*Kalender!E354/SUM(Kalender!$E$5:$E$370),0))*Szenarien!$D$20,0)</f>
        <v>0</v>
      </c>
      <c r="E3648" s="13" t="n">
        <f aca="false">IFERROR(MIN(C3648,Eingaben!$B$17)*Eingaben!$B$16,0)</f>
        <v>0</v>
      </c>
      <c r="F3648" s="13" t="n">
        <f aca="false">IFERROR(E3648*Eingaben!$B$15,0)</f>
        <v>0</v>
      </c>
      <c r="G3648" s="13" t="n">
        <f aca="false">IFERROR(IF(Kalender!A354="",0,J3647*(1-Eingaben!$B$20)),0)</f>
        <v>0</v>
      </c>
      <c r="H3648" s="13" t="n">
        <f aca="false">MIN(G3648,D3648)</f>
        <v>0</v>
      </c>
      <c r="I3648" s="13" t="n">
        <f aca="false">IFERROR(MIN(F3648*Eingaben!$B$19,MAX(0,D3648-H3648)),0)</f>
        <v>0</v>
      </c>
      <c r="J3648" s="13" t="n">
        <f aca="false">IFERROR(MIN(Eingaben!$B$18,MAX(0,F3648-I3648)),0)</f>
        <v>0</v>
      </c>
      <c r="K3648" s="13" t="n">
        <f aca="false">H3648+I3648</f>
        <v>0</v>
      </c>
      <c r="L3648" s="13" t="n">
        <f aca="false">MAX(0,D3648-K3648)</f>
        <v>0</v>
      </c>
      <c r="M3648" s="13" t="n">
        <f aca="false">MAX(0,F3648-I3648-J3648)</f>
        <v>0</v>
      </c>
      <c r="N3648" s="13" t="n">
        <f aca="false">IF(Kalender!A354="",0,J3647-H3648)</f>
        <v>0</v>
      </c>
    </row>
    <row r="3649" customFormat="false" ht="16.4" hidden="false" customHeight="false" outlineLevel="0" collapsed="false">
      <c r="A3649" s="13" t="str">
        <f aca="false">""</f>
        <v/>
      </c>
      <c r="B3649" s="13" t="n">
        <f aca="false">351</f>
        <v>351</v>
      </c>
      <c r="C3649" s="13" t="n">
        <f aca="false">IF(Szenarien!$H$20="OK",(IFERROR(SUMIF(Nutzungsprofile!$B$6:$B$11,"Schulbetrieb",Nutzungsprofile!$G$6:$G$11)*Kalender!C355/SUM(Kalender!$C$5:$C$370),0)+IFERROR(SUMIF(Nutzungsprofile!$B$6:$B$11,"Halle",Nutzungsprofile!$G$6:$G$11)*Kalender!D355/SUM(Kalender!$D$5:$D$370),0)+IFERROR(SUMIF(Nutzungsprofile!$B$6:$B$11,"Individuell",Nutzungsprofile!$G$6:$G$11)*Kalender!E355/SUM(Kalender!$E$5:$E$370),0))*Szenarien!$E$20,0)</f>
        <v>0</v>
      </c>
      <c r="D3649" s="13" t="n">
        <f aca="false">IF(Szenarien!$H$20="OK",(IFERROR(SUMIF(Nutzungsprofile!$B$17:$B$22,"Schulbetrieb",Nutzungsprofile!$G$17:$G$22)*Kalender!C355/SUM(Kalender!$C$5:$C$370),0)+IFERROR(SUMIF(Nutzungsprofile!$B$17:$B$22,"Halle",Nutzungsprofile!$G$17:$G$22)*Kalender!D355/SUM(Kalender!$D$5:$D$370),0)+IFERROR(SUMIF(Nutzungsprofile!$B$17:$B$22,"Individuell",Nutzungsprofile!$G$17:$G$22)*Kalender!E355/SUM(Kalender!$E$5:$E$370),0))*Szenarien!$D$20,0)</f>
        <v>0</v>
      </c>
      <c r="E3649" s="13" t="n">
        <f aca="false">IFERROR(MIN(C3649,Eingaben!$B$17)*Eingaben!$B$16,0)</f>
        <v>0</v>
      </c>
      <c r="F3649" s="13" t="n">
        <f aca="false">IFERROR(E3649*Eingaben!$B$15,0)</f>
        <v>0</v>
      </c>
      <c r="G3649" s="13" t="n">
        <f aca="false">IFERROR(IF(Kalender!A355="",0,J3648*(1-Eingaben!$B$20)),0)</f>
        <v>0</v>
      </c>
      <c r="H3649" s="13" t="n">
        <f aca="false">MIN(G3649,D3649)</f>
        <v>0</v>
      </c>
      <c r="I3649" s="13" t="n">
        <f aca="false">IFERROR(MIN(F3649*Eingaben!$B$19,MAX(0,D3649-H3649)),0)</f>
        <v>0</v>
      </c>
      <c r="J3649" s="13" t="n">
        <f aca="false">IFERROR(MIN(Eingaben!$B$18,MAX(0,F3649-I3649)),0)</f>
        <v>0</v>
      </c>
      <c r="K3649" s="13" t="n">
        <f aca="false">H3649+I3649</f>
        <v>0</v>
      </c>
      <c r="L3649" s="13" t="n">
        <f aca="false">MAX(0,D3649-K3649)</f>
        <v>0</v>
      </c>
      <c r="M3649" s="13" t="n">
        <f aca="false">MAX(0,F3649-I3649-J3649)</f>
        <v>0</v>
      </c>
      <c r="N3649" s="13" t="n">
        <f aca="false">IF(Kalender!A355="",0,J3648-H3649)</f>
        <v>0</v>
      </c>
    </row>
    <row r="3650" customFormat="false" ht="16.4" hidden="false" customHeight="false" outlineLevel="0" collapsed="false">
      <c r="A3650" s="13" t="str">
        <f aca="false">""</f>
        <v/>
      </c>
      <c r="B3650" s="13" t="n">
        <f aca="false">352</f>
        <v>352</v>
      </c>
      <c r="C3650" s="13" t="n">
        <f aca="false">IF(Szenarien!$H$20="OK",(IFERROR(SUMIF(Nutzungsprofile!$B$6:$B$11,"Schulbetrieb",Nutzungsprofile!$G$6:$G$11)*Kalender!C356/SUM(Kalender!$C$5:$C$370),0)+IFERROR(SUMIF(Nutzungsprofile!$B$6:$B$11,"Halle",Nutzungsprofile!$G$6:$G$11)*Kalender!D356/SUM(Kalender!$D$5:$D$370),0)+IFERROR(SUMIF(Nutzungsprofile!$B$6:$B$11,"Individuell",Nutzungsprofile!$G$6:$G$11)*Kalender!E356/SUM(Kalender!$E$5:$E$370),0))*Szenarien!$E$20,0)</f>
        <v>0</v>
      </c>
      <c r="D3650" s="13" t="n">
        <f aca="false">IF(Szenarien!$H$20="OK",(IFERROR(SUMIF(Nutzungsprofile!$B$17:$B$22,"Schulbetrieb",Nutzungsprofile!$G$17:$G$22)*Kalender!C356/SUM(Kalender!$C$5:$C$370),0)+IFERROR(SUMIF(Nutzungsprofile!$B$17:$B$22,"Halle",Nutzungsprofile!$G$17:$G$22)*Kalender!D356/SUM(Kalender!$D$5:$D$370),0)+IFERROR(SUMIF(Nutzungsprofile!$B$17:$B$22,"Individuell",Nutzungsprofile!$G$17:$G$22)*Kalender!E356/SUM(Kalender!$E$5:$E$370),0))*Szenarien!$D$20,0)</f>
        <v>0</v>
      </c>
      <c r="E3650" s="13" t="n">
        <f aca="false">IFERROR(MIN(C3650,Eingaben!$B$17)*Eingaben!$B$16,0)</f>
        <v>0</v>
      </c>
      <c r="F3650" s="13" t="n">
        <f aca="false">IFERROR(E3650*Eingaben!$B$15,0)</f>
        <v>0</v>
      </c>
      <c r="G3650" s="13" t="n">
        <f aca="false">IFERROR(IF(Kalender!A356="",0,J3649*(1-Eingaben!$B$20)),0)</f>
        <v>0</v>
      </c>
      <c r="H3650" s="13" t="n">
        <f aca="false">MIN(G3650,D3650)</f>
        <v>0</v>
      </c>
      <c r="I3650" s="13" t="n">
        <f aca="false">IFERROR(MIN(F3650*Eingaben!$B$19,MAX(0,D3650-H3650)),0)</f>
        <v>0</v>
      </c>
      <c r="J3650" s="13" t="n">
        <f aca="false">IFERROR(MIN(Eingaben!$B$18,MAX(0,F3650-I3650)),0)</f>
        <v>0</v>
      </c>
      <c r="K3650" s="13" t="n">
        <f aca="false">H3650+I3650</f>
        <v>0</v>
      </c>
      <c r="L3650" s="13" t="n">
        <f aca="false">MAX(0,D3650-K3650)</f>
        <v>0</v>
      </c>
      <c r="M3650" s="13" t="n">
        <f aca="false">MAX(0,F3650-I3650-J3650)</f>
        <v>0</v>
      </c>
      <c r="N3650" s="13" t="n">
        <f aca="false">IF(Kalender!A356="",0,J3649-H3650)</f>
        <v>0</v>
      </c>
    </row>
    <row r="3651" customFormat="false" ht="16.4" hidden="false" customHeight="false" outlineLevel="0" collapsed="false">
      <c r="A3651" s="13" t="str">
        <f aca="false">""</f>
        <v/>
      </c>
      <c r="B3651" s="13" t="n">
        <f aca="false">353</f>
        <v>353</v>
      </c>
      <c r="C3651" s="13" t="n">
        <f aca="false">IF(Szenarien!$H$20="OK",(IFERROR(SUMIF(Nutzungsprofile!$B$6:$B$11,"Schulbetrieb",Nutzungsprofile!$G$6:$G$11)*Kalender!C357/SUM(Kalender!$C$5:$C$370),0)+IFERROR(SUMIF(Nutzungsprofile!$B$6:$B$11,"Halle",Nutzungsprofile!$G$6:$G$11)*Kalender!D357/SUM(Kalender!$D$5:$D$370),0)+IFERROR(SUMIF(Nutzungsprofile!$B$6:$B$11,"Individuell",Nutzungsprofile!$G$6:$G$11)*Kalender!E357/SUM(Kalender!$E$5:$E$370),0))*Szenarien!$E$20,0)</f>
        <v>0</v>
      </c>
      <c r="D3651" s="13" t="n">
        <f aca="false">IF(Szenarien!$H$20="OK",(IFERROR(SUMIF(Nutzungsprofile!$B$17:$B$22,"Schulbetrieb",Nutzungsprofile!$G$17:$G$22)*Kalender!C357/SUM(Kalender!$C$5:$C$370),0)+IFERROR(SUMIF(Nutzungsprofile!$B$17:$B$22,"Halle",Nutzungsprofile!$G$17:$G$22)*Kalender!D357/SUM(Kalender!$D$5:$D$370),0)+IFERROR(SUMIF(Nutzungsprofile!$B$17:$B$22,"Individuell",Nutzungsprofile!$G$17:$G$22)*Kalender!E357/SUM(Kalender!$E$5:$E$370),0))*Szenarien!$D$20,0)</f>
        <v>0</v>
      </c>
      <c r="E3651" s="13" t="n">
        <f aca="false">IFERROR(MIN(C3651,Eingaben!$B$17)*Eingaben!$B$16,0)</f>
        <v>0</v>
      </c>
      <c r="F3651" s="13" t="n">
        <f aca="false">IFERROR(E3651*Eingaben!$B$15,0)</f>
        <v>0</v>
      </c>
      <c r="G3651" s="13" t="n">
        <f aca="false">IFERROR(IF(Kalender!A357="",0,J3650*(1-Eingaben!$B$20)),0)</f>
        <v>0</v>
      </c>
      <c r="H3651" s="13" t="n">
        <f aca="false">MIN(G3651,D3651)</f>
        <v>0</v>
      </c>
      <c r="I3651" s="13" t="n">
        <f aca="false">IFERROR(MIN(F3651*Eingaben!$B$19,MAX(0,D3651-H3651)),0)</f>
        <v>0</v>
      </c>
      <c r="J3651" s="13" t="n">
        <f aca="false">IFERROR(MIN(Eingaben!$B$18,MAX(0,F3651-I3651)),0)</f>
        <v>0</v>
      </c>
      <c r="K3651" s="13" t="n">
        <f aca="false">H3651+I3651</f>
        <v>0</v>
      </c>
      <c r="L3651" s="13" t="n">
        <f aca="false">MAX(0,D3651-K3651)</f>
        <v>0</v>
      </c>
      <c r="M3651" s="13" t="n">
        <f aca="false">MAX(0,F3651-I3651-J3651)</f>
        <v>0</v>
      </c>
      <c r="N3651" s="13" t="n">
        <f aca="false">IF(Kalender!A357="",0,J3650-H3651)</f>
        <v>0</v>
      </c>
    </row>
    <row r="3652" customFormat="false" ht="16.4" hidden="false" customHeight="false" outlineLevel="0" collapsed="false">
      <c r="A3652" s="13" t="str">
        <f aca="false">""</f>
        <v/>
      </c>
      <c r="B3652" s="13" t="n">
        <f aca="false">354</f>
        <v>354</v>
      </c>
      <c r="C3652" s="13" t="n">
        <f aca="false">IF(Szenarien!$H$20="OK",(IFERROR(SUMIF(Nutzungsprofile!$B$6:$B$11,"Schulbetrieb",Nutzungsprofile!$G$6:$G$11)*Kalender!C358/SUM(Kalender!$C$5:$C$370),0)+IFERROR(SUMIF(Nutzungsprofile!$B$6:$B$11,"Halle",Nutzungsprofile!$G$6:$G$11)*Kalender!D358/SUM(Kalender!$D$5:$D$370),0)+IFERROR(SUMIF(Nutzungsprofile!$B$6:$B$11,"Individuell",Nutzungsprofile!$G$6:$G$11)*Kalender!E358/SUM(Kalender!$E$5:$E$370),0))*Szenarien!$E$20,0)</f>
        <v>0</v>
      </c>
      <c r="D3652" s="13" t="n">
        <f aca="false">IF(Szenarien!$H$20="OK",(IFERROR(SUMIF(Nutzungsprofile!$B$17:$B$22,"Schulbetrieb",Nutzungsprofile!$G$17:$G$22)*Kalender!C358/SUM(Kalender!$C$5:$C$370),0)+IFERROR(SUMIF(Nutzungsprofile!$B$17:$B$22,"Halle",Nutzungsprofile!$G$17:$G$22)*Kalender!D358/SUM(Kalender!$D$5:$D$370),0)+IFERROR(SUMIF(Nutzungsprofile!$B$17:$B$22,"Individuell",Nutzungsprofile!$G$17:$G$22)*Kalender!E358/SUM(Kalender!$E$5:$E$370),0))*Szenarien!$D$20,0)</f>
        <v>0</v>
      </c>
      <c r="E3652" s="13" t="n">
        <f aca="false">IFERROR(MIN(C3652,Eingaben!$B$17)*Eingaben!$B$16,0)</f>
        <v>0</v>
      </c>
      <c r="F3652" s="13" t="n">
        <f aca="false">IFERROR(E3652*Eingaben!$B$15,0)</f>
        <v>0</v>
      </c>
      <c r="G3652" s="13" t="n">
        <f aca="false">IFERROR(IF(Kalender!A358="",0,J3651*(1-Eingaben!$B$20)),0)</f>
        <v>0</v>
      </c>
      <c r="H3652" s="13" t="n">
        <f aca="false">MIN(G3652,D3652)</f>
        <v>0</v>
      </c>
      <c r="I3652" s="13" t="n">
        <f aca="false">IFERROR(MIN(F3652*Eingaben!$B$19,MAX(0,D3652-H3652)),0)</f>
        <v>0</v>
      </c>
      <c r="J3652" s="13" t="n">
        <f aca="false">IFERROR(MIN(Eingaben!$B$18,MAX(0,F3652-I3652)),0)</f>
        <v>0</v>
      </c>
      <c r="K3652" s="13" t="n">
        <f aca="false">H3652+I3652</f>
        <v>0</v>
      </c>
      <c r="L3652" s="13" t="n">
        <f aca="false">MAX(0,D3652-K3652)</f>
        <v>0</v>
      </c>
      <c r="M3652" s="13" t="n">
        <f aca="false">MAX(0,F3652-I3652-J3652)</f>
        <v>0</v>
      </c>
      <c r="N3652" s="13" t="n">
        <f aca="false">IF(Kalender!A358="",0,J3651-H3652)</f>
        <v>0</v>
      </c>
    </row>
    <row r="3653" customFormat="false" ht="16.4" hidden="false" customHeight="false" outlineLevel="0" collapsed="false">
      <c r="A3653" s="13" t="str">
        <f aca="false">""</f>
        <v/>
      </c>
      <c r="B3653" s="13" t="n">
        <f aca="false">355</f>
        <v>355</v>
      </c>
      <c r="C3653" s="13" t="n">
        <f aca="false">IF(Szenarien!$H$20="OK",(IFERROR(SUMIF(Nutzungsprofile!$B$6:$B$11,"Schulbetrieb",Nutzungsprofile!$G$6:$G$11)*Kalender!C359/SUM(Kalender!$C$5:$C$370),0)+IFERROR(SUMIF(Nutzungsprofile!$B$6:$B$11,"Halle",Nutzungsprofile!$G$6:$G$11)*Kalender!D359/SUM(Kalender!$D$5:$D$370),0)+IFERROR(SUMIF(Nutzungsprofile!$B$6:$B$11,"Individuell",Nutzungsprofile!$G$6:$G$11)*Kalender!E359/SUM(Kalender!$E$5:$E$370),0))*Szenarien!$E$20,0)</f>
        <v>0</v>
      </c>
      <c r="D3653" s="13" t="n">
        <f aca="false">IF(Szenarien!$H$20="OK",(IFERROR(SUMIF(Nutzungsprofile!$B$17:$B$22,"Schulbetrieb",Nutzungsprofile!$G$17:$G$22)*Kalender!C359/SUM(Kalender!$C$5:$C$370),0)+IFERROR(SUMIF(Nutzungsprofile!$B$17:$B$22,"Halle",Nutzungsprofile!$G$17:$G$22)*Kalender!D359/SUM(Kalender!$D$5:$D$370),0)+IFERROR(SUMIF(Nutzungsprofile!$B$17:$B$22,"Individuell",Nutzungsprofile!$G$17:$G$22)*Kalender!E359/SUM(Kalender!$E$5:$E$370),0))*Szenarien!$D$20,0)</f>
        <v>0</v>
      </c>
      <c r="E3653" s="13" t="n">
        <f aca="false">IFERROR(MIN(C3653,Eingaben!$B$17)*Eingaben!$B$16,0)</f>
        <v>0</v>
      </c>
      <c r="F3653" s="13" t="n">
        <f aca="false">IFERROR(E3653*Eingaben!$B$15,0)</f>
        <v>0</v>
      </c>
      <c r="G3653" s="13" t="n">
        <f aca="false">IFERROR(IF(Kalender!A359="",0,J3652*(1-Eingaben!$B$20)),0)</f>
        <v>0</v>
      </c>
      <c r="H3653" s="13" t="n">
        <f aca="false">MIN(G3653,D3653)</f>
        <v>0</v>
      </c>
      <c r="I3653" s="13" t="n">
        <f aca="false">IFERROR(MIN(F3653*Eingaben!$B$19,MAX(0,D3653-H3653)),0)</f>
        <v>0</v>
      </c>
      <c r="J3653" s="13" t="n">
        <f aca="false">IFERROR(MIN(Eingaben!$B$18,MAX(0,F3653-I3653)),0)</f>
        <v>0</v>
      </c>
      <c r="K3653" s="13" t="n">
        <f aca="false">H3653+I3653</f>
        <v>0</v>
      </c>
      <c r="L3653" s="13" t="n">
        <f aca="false">MAX(0,D3653-K3653)</f>
        <v>0</v>
      </c>
      <c r="M3653" s="13" t="n">
        <f aca="false">MAX(0,F3653-I3653-J3653)</f>
        <v>0</v>
      </c>
      <c r="N3653" s="13" t="n">
        <f aca="false">IF(Kalender!A359="",0,J3652-H3653)</f>
        <v>0</v>
      </c>
    </row>
    <row r="3654" customFormat="false" ht="16.4" hidden="false" customHeight="false" outlineLevel="0" collapsed="false">
      <c r="A3654" s="13" t="str">
        <f aca="false">""</f>
        <v/>
      </c>
      <c r="B3654" s="13" t="n">
        <f aca="false">356</f>
        <v>356</v>
      </c>
      <c r="C3654" s="13" t="n">
        <f aca="false">IF(Szenarien!$H$20="OK",(IFERROR(SUMIF(Nutzungsprofile!$B$6:$B$11,"Schulbetrieb",Nutzungsprofile!$G$6:$G$11)*Kalender!C360/SUM(Kalender!$C$5:$C$370),0)+IFERROR(SUMIF(Nutzungsprofile!$B$6:$B$11,"Halle",Nutzungsprofile!$G$6:$G$11)*Kalender!D360/SUM(Kalender!$D$5:$D$370),0)+IFERROR(SUMIF(Nutzungsprofile!$B$6:$B$11,"Individuell",Nutzungsprofile!$G$6:$G$11)*Kalender!E360/SUM(Kalender!$E$5:$E$370),0))*Szenarien!$E$20,0)</f>
        <v>0</v>
      </c>
      <c r="D3654" s="13" t="n">
        <f aca="false">IF(Szenarien!$H$20="OK",(IFERROR(SUMIF(Nutzungsprofile!$B$17:$B$22,"Schulbetrieb",Nutzungsprofile!$G$17:$G$22)*Kalender!C360/SUM(Kalender!$C$5:$C$370),0)+IFERROR(SUMIF(Nutzungsprofile!$B$17:$B$22,"Halle",Nutzungsprofile!$G$17:$G$22)*Kalender!D360/SUM(Kalender!$D$5:$D$370),0)+IFERROR(SUMIF(Nutzungsprofile!$B$17:$B$22,"Individuell",Nutzungsprofile!$G$17:$G$22)*Kalender!E360/SUM(Kalender!$E$5:$E$370),0))*Szenarien!$D$20,0)</f>
        <v>0</v>
      </c>
      <c r="E3654" s="13" t="n">
        <f aca="false">IFERROR(MIN(C3654,Eingaben!$B$17)*Eingaben!$B$16,0)</f>
        <v>0</v>
      </c>
      <c r="F3654" s="13" t="n">
        <f aca="false">IFERROR(E3654*Eingaben!$B$15,0)</f>
        <v>0</v>
      </c>
      <c r="G3654" s="13" t="n">
        <f aca="false">IFERROR(IF(Kalender!A360="",0,J3653*(1-Eingaben!$B$20)),0)</f>
        <v>0</v>
      </c>
      <c r="H3654" s="13" t="n">
        <f aca="false">MIN(G3654,D3654)</f>
        <v>0</v>
      </c>
      <c r="I3654" s="13" t="n">
        <f aca="false">IFERROR(MIN(F3654*Eingaben!$B$19,MAX(0,D3654-H3654)),0)</f>
        <v>0</v>
      </c>
      <c r="J3654" s="13" t="n">
        <f aca="false">IFERROR(MIN(Eingaben!$B$18,MAX(0,F3654-I3654)),0)</f>
        <v>0</v>
      </c>
      <c r="K3654" s="13" t="n">
        <f aca="false">H3654+I3654</f>
        <v>0</v>
      </c>
      <c r="L3654" s="13" t="n">
        <f aca="false">MAX(0,D3654-K3654)</f>
        <v>0</v>
      </c>
      <c r="M3654" s="13" t="n">
        <f aca="false">MAX(0,F3654-I3654-J3654)</f>
        <v>0</v>
      </c>
      <c r="N3654" s="13" t="n">
        <f aca="false">IF(Kalender!A360="",0,J3653-H3654)</f>
        <v>0</v>
      </c>
    </row>
    <row r="3655" customFormat="false" ht="16.4" hidden="false" customHeight="false" outlineLevel="0" collapsed="false">
      <c r="A3655" s="13" t="str">
        <f aca="false">""</f>
        <v/>
      </c>
      <c r="B3655" s="13" t="n">
        <f aca="false">357</f>
        <v>357</v>
      </c>
      <c r="C3655" s="13" t="n">
        <f aca="false">IF(Szenarien!$H$20="OK",(IFERROR(SUMIF(Nutzungsprofile!$B$6:$B$11,"Schulbetrieb",Nutzungsprofile!$G$6:$G$11)*Kalender!C361/SUM(Kalender!$C$5:$C$370),0)+IFERROR(SUMIF(Nutzungsprofile!$B$6:$B$11,"Halle",Nutzungsprofile!$G$6:$G$11)*Kalender!D361/SUM(Kalender!$D$5:$D$370),0)+IFERROR(SUMIF(Nutzungsprofile!$B$6:$B$11,"Individuell",Nutzungsprofile!$G$6:$G$11)*Kalender!E361/SUM(Kalender!$E$5:$E$370),0))*Szenarien!$E$20,0)</f>
        <v>0</v>
      </c>
      <c r="D3655" s="13" t="n">
        <f aca="false">IF(Szenarien!$H$20="OK",(IFERROR(SUMIF(Nutzungsprofile!$B$17:$B$22,"Schulbetrieb",Nutzungsprofile!$G$17:$G$22)*Kalender!C361/SUM(Kalender!$C$5:$C$370),0)+IFERROR(SUMIF(Nutzungsprofile!$B$17:$B$22,"Halle",Nutzungsprofile!$G$17:$G$22)*Kalender!D361/SUM(Kalender!$D$5:$D$370),0)+IFERROR(SUMIF(Nutzungsprofile!$B$17:$B$22,"Individuell",Nutzungsprofile!$G$17:$G$22)*Kalender!E361/SUM(Kalender!$E$5:$E$370),0))*Szenarien!$D$20,0)</f>
        <v>0</v>
      </c>
      <c r="E3655" s="13" t="n">
        <f aca="false">IFERROR(MIN(C3655,Eingaben!$B$17)*Eingaben!$B$16,0)</f>
        <v>0</v>
      </c>
      <c r="F3655" s="13" t="n">
        <f aca="false">IFERROR(E3655*Eingaben!$B$15,0)</f>
        <v>0</v>
      </c>
      <c r="G3655" s="13" t="n">
        <f aca="false">IFERROR(IF(Kalender!A361="",0,J3654*(1-Eingaben!$B$20)),0)</f>
        <v>0</v>
      </c>
      <c r="H3655" s="13" t="n">
        <f aca="false">MIN(G3655,D3655)</f>
        <v>0</v>
      </c>
      <c r="I3655" s="13" t="n">
        <f aca="false">IFERROR(MIN(F3655*Eingaben!$B$19,MAX(0,D3655-H3655)),0)</f>
        <v>0</v>
      </c>
      <c r="J3655" s="13" t="n">
        <f aca="false">IFERROR(MIN(Eingaben!$B$18,MAX(0,F3655-I3655)),0)</f>
        <v>0</v>
      </c>
      <c r="K3655" s="13" t="n">
        <f aca="false">H3655+I3655</f>
        <v>0</v>
      </c>
      <c r="L3655" s="13" t="n">
        <f aca="false">MAX(0,D3655-K3655)</f>
        <v>0</v>
      </c>
      <c r="M3655" s="13" t="n">
        <f aca="false">MAX(0,F3655-I3655-J3655)</f>
        <v>0</v>
      </c>
      <c r="N3655" s="13" t="n">
        <f aca="false">IF(Kalender!A361="",0,J3654-H3655)</f>
        <v>0</v>
      </c>
    </row>
    <row r="3656" customFormat="false" ht="16.4" hidden="false" customHeight="false" outlineLevel="0" collapsed="false">
      <c r="A3656" s="13" t="str">
        <f aca="false">""</f>
        <v/>
      </c>
      <c r="B3656" s="13" t="n">
        <f aca="false">358</f>
        <v>358</v>
      </c>
      <c r="C3656" s="13" t="n">
        <f aca="false">IF(Szenarien!$H$20="OK",(IFERROR(SUMIF(Nutzungsprofile!$B$6:$B$11,"Schulbetrieb",Nutzungsprofile!$G$6:$G$11)*Kalender!C362/SUM(Kalender!$C$5:$C$370),0)+IFERROR(SUMIF(Nutzungsprofile!$B$6:$B$11,"Halle",Nutzungsprofile!$G$6:$G$11)*Kalender!D362/SUM(Kalender!$D$5:$D$370),0)+IFERROR(SUMIF(Nutzungsprofile!$B$6:$B$11,"Individuell",Nutzungsprofile!$G$6:$G$11)*Kalender!E362/SUM(Kalender!$E$5:$E$370),0))*Szenarien!$E$20,0)</f>
        <v>0</v>
      </c>
      <c r="D3656" s="13" t="n">
        <f aca="false">IF(Szenarien!$H$20="OK",(IFERROR(SUMIF(Nutzungsprofile!$B$17:$B$22,"Schulbetrieb",Nutzungsprofile!$G$17:$G$22)*Kalender!C362/SUM(Kalender!$C$5:$C$370),0)+IFERROR(SUMIF(Nutzungsprofile!$B$17:$B$22,"Halle",Nutzungsprofile!$G$17:$G$22)*Kalender!D362/SUM(Kalender!$D$5:$D$370),0)+IFERROR(SUMIF(Nutzungsprofile!$B$17:$B$22,"Individuell",Nutzungsprofile!$G$17:$G$22)*Kalender!E362/SUM(Kalender!$E$5:$E$370),0))*Szenarien!$D$20,0)</f>
        <v>0</v>
      </c>
      <c r="E3656" s="13" t="n">
        <f aca="false">IFERROR(MIN(C3656,Eingaben!$B$17)*Eingaben!$B$16,0)</f>
        <v>0</v>
      </c>
      <c r="F3656" s="13" t="n">
        <f aca="false">IFERROR(E3656*Eingaben!$B$15,0)</f>
        <v>0</v>
      </c>
      <c r="G3656" s="13" t="n">
        <f aca="false">IFERROR(IF(Kalender!A362="",0,J3655*(1-Eingaben!$B$20)),0)</f>
        <v>0</v>
      </c>
      <c r="H3656" s="13" t="n">
        <f aca="false">MIN(G3656,D3656)</f>
        <v>0</v>
      </c>
      <c r="I3656" s="13" t="n">
        <f aca="false">IFERROR(MIN(F3656*Eingaben!$B$19,MAX(0,D3656-H3656)),0)</f>
        <v>0</v>
      </c>
      <c r="J3656" s="13" t="n">
        <f aca="false">IFERROR(MIN(Eingaben!$B$18,MAX(0,F3656-I3656)),0)</f>
        <v>0</v>
      </c>
      <c r="K3656" s="13" t="n">
        <f aca="false">H3656+I3656</f>
        <v>0</v>
      </c>
      <c r="L3656" s="13" t="n">
        <f aca="false">MAX(0,D3656-K3656)</f>
        <v>0</v>
      </c>
      <c r="M3656" s="13" t="n">
        <f aca="false">MAX(0,F3656-I3656-J3656)</f>
        <v>0</v>
      </c>
      <c r="N3656" s="13" t="n">
        <f aca="false">IF(Kalender!A362="",0,J3655-H3656)</f>
        <v>0</v>
      </c>
    </row>
    <row r="3657" customFormat="false" ht="16.4" hidden="false" customHeight="false" outlineLevel="0" collapsed="false">
      <c r="A3657" s="13" t="str">
        <f aca="false">""</f>
        <v/>
      </c>
      <c r="B3657" s="13" t="n">
        <f aca="false">359</f>
        <v>359</v>
      </c>
      <c r="C3657" s="13" t="n">
        <f aca="false">IF(Szenarien!$H$20="OK",(IFERROR(SUMIF(Nutzungsprofile!$B$6:$B$11,"Schulbetrieb",Nutzungsprofile!$G$6:$G$11)*Kalender!C363/SUM(Kalender!$C$5:$C$370),0)+IFERROR(SUMIF(Nutzungsprofile!$B$6:$B$11,"Halle",Nutzungsprofile!$G$6:$G$11)*Kalender!D363/SUM(Kalender!$D$5:$D$370),0)+IFERROR(SUMIF(Nutzungsprofile!$B$6:$B$11,"Individuell",Nutzungsprofile!$G$6:$G$11)*Kalender!E363/SUM(Kalender!$E$5:$E$370),0))*Szenarien!$E$20,0)</f>
        <v>0</v>
      </c>
      <c r="D3657" s="13" t="n">
        <f aca="false">IF(Szenarien!$H$20="OK",(IFERROR(SUMIF(Nutzungsprofile!$B$17:$B$22,"Schulbetrieb",Nutzungsprofile!$G$17:$G$22)*Kalender!C363/SUM(Kalender!$C$5:$C$370),0)+IFERROR(SUMIF(Nutzungsprofile!$B$17:$B$22,"Halle",Nutzungsprofile!$G$17:$G$22)*Kalender!D363/SUM(Kalender!$D$5:$D$370),0)+IFERROR(SUMIF(Nutzungsprofile!$B$17:$B$22,"Individuell",Nutzungsprofile!$G$17:$G$22)*Kalender!E363/SUM(Kalender!$E$5:$E$370),0))*Szenarien!$D$20,0)</f>
        <v>0</v>
      </c>
      <c r="E3657" s="13" t="n">
        <f aca="false">IFERROR(MIN(C3657,Eingaben!$B$17)*Eingaben!$B$16,0)</f>
        <v>0</v>
      </c>
      <c r="F3657" s="13" t="n">
        <f aca="false">IFERROR(E3657*Eingaben!$B$15,0)</f>
        <v>0</v>
      </c>
      <c r="G3657" s="13" t="n">
        <f aca="false">IFERROR(IF(Kalender!A363="",0,J3656*(1-Eingaben!$B$20)),0)</f>
        <v>0</v>
      </c>
      <c r="H3657" s="13" t="n">
        <f aca="false">MIN(G3657,D3657)</f>
        <v>0</v>
      </c>
      <c r="I3657" s="13" t="n">
        <f aca="false">IFERROR(MIN(F3657*Eingaben!$B$19,MAX(0,D3657-H3657)),0)</f>
        <v>0</v>
      </c>
      <c r="J3657" s="13" t="n">
        <f aca="false">IFERROR(MIN(Eingaben!$B$18,MAX(0,F3657-I3657)),0)</f>
        <v>0</v>
      </c>
      <c r="K3657" s="13" t="n">
        <f aca="false">H3657+I3657</f>
        <v>0</v>
      </c>
      <c r="L3657" s="13" t="n">
        <f aca="false">MAX(0,D3657-K3657)</f>
        <v>0</v>
      </c>
      <c r="M3657" s="13" t="n">
        <f aca="false">MAX(0,F3657-I3657-J3657)</f>
        <v>0</v>
      </c>
      <c r="N3657" s="13" t="n">
        <f aca="false">IF(Kalender!A363="",0,J3656-H3657)</f>
        <v>0</v>
      </c>
    </row>
    <row r="3658" customFormat="false" ht="16.4" hidden="false" customHeight="false" outlineLevel="0" collapsed="false">
      <c r="A3658" s="13" t="str">
        <f aca="false">""</f>
        <v/>
      </c>
      <c r="B3658" s="13" t="n">
        <f aca="false">360</f>
        <v>360</v>
      </c>
      <c r="C3658" s="13" t="n">
        <f aca="false">IF(Szenarien!$H$20="OK",(IFERROR(SUMIF(Nutzungsprofile!$B$6:$B$11,"Schulbetrieb",Nutzungsprofile!$G$6:$G$11)*Kalender!C364/SUM(Kalender!$C$5:$C$370),0)+IFERROR(SUMIF(Nutzungsprofile!$B$6:$B$11,"Halle",Nutzungsprofile!$G$6:$G$11)*Kalender!D364/SUM(Kalender!$D$5:$D$370),0)+IFERROR(SUMIF(Nutzungsprofile!$B$6:$B$11,"Individuell",Nutzungsprofile!$G$6:$G$11)*Kalender!E364/SUM(Kalender!$E$5:$E$370),0))*Szenarien!$E$20,0)</f>
        <v>0</v>
      </c>
      <c r="D3658" s="13" t="n">
        <f aca="false">IF(Szenarien!$H$20="OK",(IFERROR(SUMIF(Nutzungsprofile!$B$17:$B$22,"Schulbetrieb",Nutzungsprofile!$G$17:$G$22)*Kalender!C364/SUM(Kalender!$C$5:$C$370),0)+IFERROR(SUMIF(Nutzungsprofile!$B$17:$B$22,"Halle",Nutzungsprofile!$G$17:$G$22)*Kalender!D364/SUM(Kalender!$D$5:$D$370),0)+IFERROR(SUMIF(Nutzungsprofile!$B$17:$B$22,"Individuell",Nutzungsprofile!$G$17:$G$22)*Kalender!E364/SUM(Kalender!$E$5:$E$370),0))*Szenarien!$D$20,0)</f>
        <v>0</v>
      </c>
      <c r="E3658" s="13" t="n">
        <f aca="false">IFERROR(MIN(C3658,Eingaben!$B$17)*Eingaben!$B$16,0)</f>
        <v>0</v>
      </c>
      <c r="F3658" s="13" t="n">
        <f aca="false">IFERROR(E3658*Eingaben!$B$15,0)</f>
        <v>0</v>
      </c>
      <c r="G3658" s="13" t="n">
        <f aca="false">IFERROR(IF(Kalender!A364="",0,J3657*(1-Eingaben!$B$20)),0)</f>
        <v>0</v>
      </c>
      <c r="H3658" s="13" t="n">
        <f aca="false">MIN(G3658,D3658)</f>
        <v>0</v>
      </c>
      <c r="I3658" s="13" t="n">
        <f aca="false">IFERROR(MIN(F3658*Eingaben!$B$19,MAX(0,D3658-H3658)),0)</f>
        <v>0</v>
      </c>
      <c r="J3658" s="13" t="n">
        <f aca="false">IFERROR(MIN(Eingaben!$B$18,MAX(0,F3658-I3658)),0)</f>
        <v>0</v>
      </c>
      <c r="K3658" s="13" t="n">
        <f aca="false">H3658+I3658</f>
        <v>0</v>
      </c>
      <c r="L3658" s="13" t="n">
        <f aca="false">MAX(0,D3658-K3658)</f>
        <v>0</v>
      </c>
      <c r="M3658" s="13" t="n">
        <f aca="false">MAX(0,F3658-I3658-J3658)</f>
        <v>0</v>
      </c>
      <c r="N3658" s="13" t="n">
        <f aca="false">IF(Kalender!A364="",0,J3657-H3658)</f>
        <v>0</v>
      </c>
    </row>
    <row r="3659" customFormat="false" ht="16.4" hidden="false" customHeight="false" outlineLevel="0" collapsed="false">
      <c r="A3659" s="13" t="str">
        <f aca="false">""</f>
        <v/>
      </c>
      <c r="B3659" s="13" t="n">
        <f aca="false">361</f>
        <v>361</v>
      </c>
      <c r="C3659" s="13" t="n">
        <f aca="false">IF(Szenarien!$H$20="OK",(IFERROR(SUMIF(Nutzungsprofile!$B$6:$B$11,"Schulbetrieb",Nutzungsprofile!$G$6:$G$11)*Kalender!C365/SUM(Kalender!$C$5:$C$370),0)+IFERROR(SUMIF(Nutzungsprofile!$B$6:$B$11,"Halle",Nutzungsprofile!$G$6:$G$11)*Kalender!D365/SUM(Kalender!$D$5:$D$370),0)+IFERROR(SUMIF(Nutzungsprofile!$B$6:$B$11,"Individuell",Nutzungsprofile!$G$6:$G$11)*Kalender!E365/SUM(Kalender!$E$5:$E$370),0))*Szenarien!$E$20,0)</f>
        <v>0</v>
      </c>
      <c r="D3659" s="13" t="n">
        <f aca="false">IF(Szenarien!$H$20="OK",(IFERROR(SUMIF(Nutzungsprofile!$B$17:$B$22,"Schulbetrieb",Nutzungsprofile!$G$17:$G$22)*Kalender!C365/SUM(Kalender!$C$5:$C$370),0)+IFERROR(SUMIF(Nutzungsprofile!$B$17:$B$22,"Halle",Nutzungsprofile!$G$17:$G$22)*Kalender!D365/SUM(Kalender!$D$5:$D$370),0)+IFERROR(SUMIF(Nutzungsprofile!$B$17:$B$22,"Individuell",Nutzungsprofile!$G$17:$G$22)*Kalender!E365/SUM(Kalender!$E$5:$E$370),0))*Szenarien!$D$20,0)</f>
        <v>0</v>
      </c>
      <c r="E3659" s="13" t="n">
        <f aca="false">IFERROR(MIN(C3659,Eingaben!$B$17)*Eingaben!$B$16,0)</f>
        <v>0</v>
      </c>
      <c r="F3659" s="13" t="n">
        <f aca="false">IFERROR(E3659*Eingaben!$B$15,0)</f>
        <v>0</v>
      </c>
      <c r="G3659" s="13" t="n">
        <f aca="false">IFERROR(IF(Kalender!A365="",0,J3658*(1-Eingaben!$B$20)),0)</f>
        <v>0</v>
      </c>
      <c r="H3659" s="13" t="n">
        <f aca="false">MIN(G3659,D3659)</f>
        <v>0</v>
      </c>
      <c r="I3659" s="13" t="n">
        <f aca="false">IFERROR(MIN(F3659*Eingaben!$B$19,MAX(0,D3659-H3659)),0)</f>
        <v>0</v>
      </c>
      <c r="J3659" s="13" t="n">
        <f aca="false">IFERROR(MIN(Eingaben!$B$18,MAX(0,F3659-I3659)),0)</f>
        <v>0</v>
      </c>
      <c r="K3659" s="13" t="n">
        <f aca="false">H3659+I3659</f>
        <v>0</v>
      </c>
      <c r="L3659" s="13" t="n">
        <f aca="false">MAX(0,D3659-K3659)</f>
        <v>0</v>
      </c>
      <c r="M3659" s="13" t="n">
        <f aca="false">MAX(0,F3659-I3659-J3659)</f>
        <v>0</v>
      </c>
      <c r="N3659" s="13" t="n">
        <f aca="false">IF(Kalender!A365="",0,J3658-H3659)</f>
        <v>0</v>
      </c>
    </row>
    <row r="3660" customFormat="false" ht="16.4" hidden="false" customHeight="false" outlineLevel="0" collapsed="false">
      <c r="A3660" s="13" t="str">
        <f aca="false">""</f>
        <v/>
      </c>
      <c r="B3660" s="13" t="n">
        <f aca="false">362</f>
        <v>362</v>
      </c>
      <c r="C3660" s="13" t="n">
        <f aca="false">IF(Szenarien!$H$20="OK",(IFERROR(SUMIF(Nutzungsprofile!$B$6:$B$11,"Schulbetrieb",Nutzungsprofile!$G$6:$G$11)*Kalender!C366/SUM(Kalender!$C$5:$C$370),0)+IFERROR(SUMIF(Nutzungsprofile!$B$6:$B$11,"Halle",Nutzungsprofile!$G$6:$G$11)*Kalender!D366/SUM(Kalender!$D$5:$D$370),0)+IFERROR(SUMIF(Nutzungsprofile!$B$6:$B$11,"Individuell",Nutzungsprofile!$G$6:$G$11)*Kalender!E366/SUM(Kalender!$E$5:$E$370),0))*Szenarien!$E$20,0)</f>
        <v>0</v>
      </c>
      <c r="D3660" s="13" t="n">
        <f aca="false">IF(Szenarien!$H$20="OK",(IFERROR(SUMIF(Nutzungsprofile!$B$17:$B$22,"Schulbetrieb",Nutzungsprofile!$G$17:$G$22)*Kalender!C366/SUM(Kalender!$C$5:$C$370),0)+IFERROR(SUMIF(Nutzungsprofile!$B$17:$B$22,"Halle",Nutzungsprofile!$G$17:$G$22)*Kalender!D366/SUM(Kalender!$D$5:$D$370),0)+IFERROR(SUMIF(Nutzungsprofile!$B$17:$B$22,"Individuell",Nutzungsprofile!$G$17:$G$22)*Kalender!E366/SUM(Kalender!$E$5:$E$370),0))*Szenarien!$D$20,0)</f>
        <v>0</v>
      </c>
      <c r="E3660" s="13" t="n">
        <f aca="false">IFERROR(MIN(C3660,Eingaben!$B$17)*Eingaben!$B$16,0)</f>
        <v>0</v>
      </c>
      <c r="F3660" s="13" t="n">
        <f aca="false">IFERROR(E3660*Eingaben!$B$15,0)</f>
        <v>0</v>
      </c>
      <c r="G3660" s="13" t="n">
        <f aca="false">IFERROR(IF(Kalender!A366="",0,J3659*(1-Eingaben!$B$20)),0)</f>
        <v>0</v>
      </c>
      <c r="H3660" s="13" t="n">
        <f aca="false">MIN(G3660,D3660)</f>
        <v>0</v>
      </c>
      <c r="I3660" s="13" t="n">
        <f aca="false">IFERROR(MIN(F3660*Eingaben!$B$19,MAX(0,D3660-H3660)),0)</f>
        <v>0</v>
      </c>
      <c r="J3660" s="13" t="n">
        <f aca="false">IFERROR(MIN(Eingaben!$B$18,MAX(0,F3660-I3660)),0)</f>
        <v>0</v>
      </c>
      <c r="K3660" s="13" t="n">
        <f aca="false">H3660+I3660</f>
        <v>0</v>
      </c>
      <c r="L3660" s="13" t="n">
        <f aca="false">MAX(0,D3660-K3660)</f>
        <v>0</v>
      </c>
      <c r="M3660" s="13" t="n">
        <f aca="false">MAX(0,F3660-I3660-J3660)</f>
        <v>0</v>
      </c>
      <c r="N3660" s="13" t="n">
        <f aca="false">IF(Kalender!A366="",0,J3659-H3660)</f>
        <v>0</v>
      </c>
    </row>
    <row r="3661" customFormat="false" ht="16.4" hidden="false" customHeight="false" outlineLevel="0" collapsed="false">
      <c r="A3661" s="13" t="str">
        <f aca="false">""</f>
        <v/>
      </c>
      <c r="B3661" s="13" t="n">
        <f aca="false">363</f>
        <v>363</v>
      </c>
      <c r="C3661" s="13" t="n">
        <f aca="false">IF(Szenarien!$H$20="OK",(IFERROR(SUMIF(Nutzungsprofile!$B$6:$B$11,"Schulbetrieb",Nutzungsprofile!$G$6:$G$11)*Kalender!C367/SUM(Kalender!$C$5:$C$370),0)+IFERROR(SUMIF(Nutzungsprofile!$B$6:$B$11,"Halle",Nutzungsprofile!$G$6:$G$11)*Kalender!D367/SUM(Kalender!$D$5:$D$370),0)+IFERROR(SUMIF(Nutzungsprofile!$B$6:$B$11,"Individuell",Nutzungsprofile!$G$6:$G$11)*Kalender!E367/SUM(Kalender!$E$5:$E$370),0))*Szenarien!$E$20,0)</f>
        <v>0</v>
      </c>
      <c r="D3661" s="13" t="n">
        <f aca="false">IF(Szenarien!$H$20="OK",(IFERROR(SUMIF(Nutzungsprofile!$B$17:$B$22,"Schulbetrieb",Nutzungsprofile!$G$17:$G$22)*Kalender!C367/SUM(Kalender!$C$5:$C$370),0)+IFERROR(SUMIF(Nutzungsprofile!$B$17:$B$22,"Halle",Nutzungsprofile!$G$17:$G$22)*Kalender!D367/SUM(Kalender!$D$5:$D$370),0)+IFERROR(SUMIF(Nutzungsprofile!$B$17:$B$22,"Individuell",Nutzungsprofile!$G$17:$G$22)*Kalender!E367/SUM(Kalender!$E$5:$E$370),0))*Szenarien!$D$20,0)</f>
        <v>0</v>
      </c>
      <c r="E3661" s="13" t="n">
        <f aca="false">IFERROR(MIN(C3661,Eingaben!$B$17)*Eingaben!$B$16,0)</f>
        <v>0</v>
      </c>
      <c r="F3661" s="13" t="n">
        <f aca="false">IFERROR(E3661*Eingaben!$B$15,0)</f>
        <v>0</v>
      </c>
      <c r="G3661" s="13" t="n">
        <f aca="false">IFERROR(IF(Kalender!A367="",0,J3660*(1-Eingaben!$B$20)),0)</f>
        <v>0</v>
      </c>
      <c r="H3661" s="13" t="n">
        <f aca="false">MIN(G3661,D3661)</f>
        <v>0</v>
      </c>
      <c r="I3661" s="13" t="n">
        <f aca="false">IFERROR(MIN(F3661*Eingaben!$B$19,MAX(0,D3661-H3661)),0)</f>
        <v>0</v>
      </c>
      <c r="J3661" s="13" t="n">
        <f aca="false">IFERROR(MIN(Eingaben!$B$18,MAX(0,F3661-I3661)),0)</f>
        <v>0</v>
      </c>
      <c r="K3661" s="13" t="n">
        <f aca="false">H3661+I3661</f>
        <v>0</v>
      </c>
      <c r="L3661" s="13" t="n">
        <f aca="false">MAX(0,D3661-K3661)</f>
        <v>0</v>
      </c>
      <c r="M3661" s="13" t="n">
        <f aca="false">MAX(0,F3661-I3661-J3661)</f>
        <v>0</v>
      </c>
      <c r="N3661" s="13" t="n">
        <f aca="false">IF(Kalender!A367="",0,J3660-H3661)</f>
        <v>0</v>
      </c>
    </row>
    <row r="3662" customFormat="false" ht="16.4" hidden="false" customHeight="false" outlineLevel="0" collapsed="false">
      <c r="A3662" s="13" t="str">
        <f aca="false">""</f>
        <v/>
      </c>
      <c r="B3662" s="13" t="n">
        <f aca="false">364</f>
        <v>364</v>
      </c>
      <c r="C3662" s="13" t="n">
        <f aca="false">IF(Szenarien!$H$20="OK",(IFERROR(SUMIF(Nutzungsprofile!$B$6:$B$11,"Schulbetrieb",Nutzungsprofile!$G$6:$G$11)*Kalender!C368/SUM(Kalender!$C$5:$C$370),0)+IFERROR(SUMIF(Nutzungsprofile!$B$6:$B$11,"Halle",Nutzungsprofile!$G$6:$G$11)*Kalender!D368/SUM(Kalender!$D$5:$D$370),0)+IFERROR(SUMIF(Nutzungsprofile!$B$6:$B$11,"Individuell",Nutzungsprofile!$G$6:$G$11)*Kalender!E368/SUM(Kalender!$E$5:$E$370),0))*Szenarien!$E$20,0)</f>
        <v>0</v>
      </c>
      <c r="D3662" s="13" t="n">
        <f aca="false">IF(Szenarien!$H$20="OK",(IFERROR(SUMIF(Nutzungsprofile!$B$17:$B$22,"Schulbetrieb",Nutzungsprofile!$G$17:$G$22)*Kalender!C368/SUM(Kalender!$C$5:$C$370),0)+IFERROR(SUMIF(Nutzungsprofile!$B$17:$B$22,"Halle",Nutzungsprofile!$G$17:$G$22)*Kalender!D368/SUM(Kalender!$D$5:$D$370),0)+IFERROR(SUMIF(Nutzungsprofile!$B$17:$B$22,"Individuell",Nutzungsprofile!$G$17:$G$22)*Kalender!E368/SUM(Kalender!$E$5:$E$370),0))*Szenarien!$D$20,0)</f>
        <v>0</v>
      </c>
      <c r="E3662" s="13" t="n">
        <f aca="false">IFERROR(MIN(C3662,Eingaben!$B$17)*Eingaben!$B$16,0)</f>
        <v>0</v>
      </c>
      <c r="F3662" s="13" t="n">
        <f aca="false">IFERROR(E3662*Eingaben!$B$15,0)</f>
        <v>0</v>
      </c>
      <c r="G3662" s="13" t="n">
        <f aca="false">IFERROR(IF(Kalender!A368="",0,J3661*(1-Eingaben!$B$20)),0)</f>
        <v>0</v>
      </c>
      <c r="H3662" s="13" t="n">
        <f aca="false">MIN(G3662,D3662)</f>
        <v>0</v>
      </c>
      <c r="I3662" s="13" t="n">
        <f aca="false">IFERROR(MIN(F3662*Eingaben!$B$19,MAX(0,D3662-H3662)),0)</f>
        <v>0</v>
      </c>
      <c r="J3662" s="13" t="n">
        <f aca="false">IFERROR(MIN(Eingaben!$B$18,MAX(0,F3662-I3662)),0)</f>
        <v>0</v>
      </c>
      <c r="K3662" s="13" t="n">
        <f aca="false">H3662+I3662</f>
        <v>0</v>
      </c>
      <c r="L3662" s="13" t="n">
        <f aca="false">MAX(0,D3662-K3662)</f>
        <v>0</v>
      </c>
      <c r="M3662" s="13" t="n">
        <f aca="false">MAX(0,F3662-I3662-J3662)</f>
        <v>0</v>
      </c>
      <c r="N3662" s="13" t="n">
        <f aca="false">IF(Kalender!A368="",0,J3661-H3662)</f>
        <v>0</v>
      </c>
    </row>
    <row r="3663" customFormat="false" ht="16.4" hidden="false" customHeight="false" outlineLevel="0" collapsed="false">
      <c r="A3663" s="13" t="str">
        <f aca="false">""</f>
        <v/>
      </c>
      <c r="B3663" s="13" t="n">
        <f aca="false">365</f>
        <v>365</v>
      </c>
      <c r="C3663" s="13" t="n">
        <f aca="false">IF(Szenarien!$H$20="OK",(IFERROR(SUMIF(Nutzungsprofile!$B$6:$B$11,"Schulbetrieb",Nutzungsprofile!$G$6:$G$11)*Kalender!C369/SUM(Kalender!$C$5:$C$370),0)+IFERROR(SUMIF(Nutzungsprofile!$B$6:$B$11,"Halle",Nutzungsprofile!$G$6:$G$11)*Kalender!D369/SUM(Kalender!$D$5:$D$370),0)+IFERROR(SUMIF(Nutzungsprofile!$B$6:$B$11,"Individuell",Nutzungsprofile!$G$6:$G$11)*Kalender!E369/SUM(Kalender!$E$5:$E$370),0))*Szenarien!$E$20,0)</f>
        <v>0</v>
      </c>
      <c r="D3663" s="13" t="n">
        <f aca="false">IF(Szenarien!$H$20="OK",(IFERROR(SUMIF(Nutzungsprofile!$B$17:$B$22,"Schulbetrieb",Nutzungsprofile!$G$17:$G$22)*Kalender!C369/SUM(Kalender!$C$5:$C$370),0)+IFERROR(SUMIF(Nutzungsprofile!$B$17:$B$22,"Halle",Nutzungsprofile!$G$17:$G$22)*Kalender!D369/SUM(Kalender!$D$5:$D$370),0)+IFERROR(SUMIF(Nutzungsprofile!$B$17:$B$22,"Individuell",Nutzungsprofile!$G$17:$G$22)*Kalender!E369/SUM(Kalender!$E$5:$E$370),0))*Szenarien!$D$20,0)</f>
        <v>0</v>
      </c>
      <c r="E3663" s="13" t="n">
        <f aca="false">IFERROR(MIN(C3663,Eingaben!$B$17)*Eingaben!$B$16,0)</f>
        <v>0</v>
      </c>
      <c r="F3663" s="13" t="n">
        <f aca="false">IFERROR(E3663*Eingaben!$B$15,0)</f>
        <v>0</v>
      </c>
      <c r="G3663" s="13" t="n">
        <f aca="false">IFERROR(IF(Kalender!A369="",0,J3662*(1-Eingaben!$B$20)),0)</f>
        <v>0</v>
      </c>
      <c r="H3663" s="13" t="n">
        <f aca="false">MIN(G3663,D3663)</f>
        <v>0</v>
      </c>
      <c r="I3663" s="13" t="n">
        <f aca="false">IFERROR(MIN(F3663*Eingaben!$B$19,MAX(0,D3663-H3663)),0)</f>
        <v>0</v>
      </c>
      <c r="J3663" s="13" t="n">
        <f aca="false">IFERROR(MIN(Eingaben!$B$18,MAX(0,F3663-I3663)),0)</f>
        <v>0</v>
      </c>
      <c r="K3663" s="13" t="n">
        <f aca="false">H3663+I3663</f>
        <v>0</v>
      </c>
      <c r="L3663" s="13" t="n">
        <f aca="false">MAX(0,D3663-K3663)</f>
        <v>0</v>
      </c>
      <c r="M3663" s="13" t="n">
        <f aca="false">MAX(0,F3663-I3663-J3663)</f>
        <v>0</v>
      </c>
      <c r="N3663" s="13" t="n">
        <f aca="false">IF(Kalender!A369="",0,J3662-H3663)</f>
        <v>0</v>
      </c>
    </row>
    <row r="3664" customFormat="false" ht="16.4" hidden="false" customHeight="false" outlineLevel="0" collapsed="false">
      <c r="A3664" s="13" t="str">
        <f aca="false">""</f>
        <v/>
      </c>
      <c r="B3664" s="13" t="n">
        <f aca="false">366</f>
        <v>366</v>
      </c>
      <c r="C3664" s="13" t="n">
        <f aca="false">IF(Szenarien!$H$20="OK",(IFERROR(SUMIF(Nutzungsprofile!$B$6:$B$11,"Schulbetrieb",Nutzungsprofile!$G$6:$G$11)*Kalender!C370/SUM(Kalender!$C$5:$C$370),0)+IFERROR(SUMIF(Nutzungsprofile!$B$6:$B$11,"Halle",Nutzungsprofile!$G$6:$G$11)*Kalender!D370/SUM(Kalender!$D$5:$D$370),0)+IFERROR(SUMIF(Nutzungsprofile!$B$6:$B$11,"Individuell",Nutzungsprofile!$G$6:$G$11)*Kalender!E370/SUM(Kalender!$E$5:$E$370),0))*Szenarien!$E$20,0)</f>
        <v>0</v>
      </c>
      <c r="D3664" s="13" t="n">
        <f aca="false">IF(Szenarien!$H$20="OK",(IFERROR(SUMIF(Nutzungsprofile!$B$17:$B$22,"Schulbetrieb",Nutzungsprofile!$G$17:$G$22)*Kalender!C370/SUM(Kalender!$C$5:$C$370),0)+IFERROR(SUMIF(Nutzungsprofile!$B$17:$B$22,"Halle",Nutzungsprofile!$G$17:$G$22)*Kalender!D370/SUM(Kalender!$D$5:$D$370),0)+IFERROR(SUMIF(Nutzungsprofile!$B$17:$B$22,"Individuell",Nutzungsprofile!$G$17:$G$22)*Kalender!E370/SUM(Kalender!$E$5:$E$370),0))*Szenarien!$D$20,0)</f>
        <v>0</v>
      </c>
      <c r="E3664" s="13" t="n">
        <f aca="false">IFERROR(MIN(C3664,Eingaben!$B$17)*Eingaben!$B$16,0)</f>
        <v>0</v>
      </c>
      <c r="F3664" s="13" t="n">
        <f aca="false">IFERROR(E3664*Eingaben!$B$15,0)</f>
        <v>0</v>
      </c>
      <c r="G3664" s="13" t="n">
        <f aca="false">IFERROR(IF(Kalender!A370="",0,J3663*(1-Eingaben!$B$20)),0)</f>
        <v>0</v>
      </c>
      <c r="H3664" s="13" t="n">
        <f aca="false">MIN(G3664,D3664)</f>
        <v>0</v>
      </c>
      <c r="I3664" s="13" t="n">
        <f aca="false">IFERROR(MIN(F3664*Eingaben!$B$19,MAX(0,D3664-H3664)),0)</f>
        <v>0</v>
      </c>
      <c r="J3664" s="13" t="n">
        <f aca="false">IFERROR(MIN(Eingaben!$B$18,MAX(0,F3664-I3664)),0)</f>
        <v>0</v>
      </c>
      <c r="K3664" s="13" t="n">
        <f aca="false">H3664+I3664</f>
        <v>0</v>
      </c>
      <c r="L3664" s="13" t="n">
        <f aca="false">MAX(0,D3664-K3664)</f>
        <v>0</v>
      </c>
      <c r="M3664" s="13" t="n">
        <f aca="false">MAX(0,F3664-I3664-J3664)</f>
        <v>0</v>
      </c>
      <c r="N3664" s="13" t="n">
        <f aca="false">IF(Kalender!A370="",0,J3663-H3664)</f>
        <v>0</v>
      </c>
    </row>
    <row r="3665" customFormat="false" ht="31.3" hidden="false" customHeight="false" outlineLevel="0" collapsed="false">
      <c r="A3665" s="13" t="str">
        <f aca="false">"Grauwasseranfall +20 %"</f>
        <v>Grauwasseranfall +20 %</v>
      </c>
      <c r="B3665" s="13" t="n">
        <f aca="false">1</f>
        <v>1</v>
      </c>
      <c r="C3665" s="13" t="n">
        <f aca="false">IF(Szenarien!$H$21="OK",(IFERROR(SUMIF(Nutzungsprofile!$B$6:$B$11,"Schulbetrieb",Nutzungsprofile!$G$6:$G$11)*Kalender!C5/SUM(Kalender!$C$5:$C$370),0)+IFERROR(SUMIF(Nutzungsprofile!$B$6:$B$11,"Halle",Nutzungsprofile!$G$6:$G$11)*Kalender!D5/SUM(Kalender!$D$5:$D$370),0)+IFERROR(SUMIF(Nutzungsprofile!$B$6:$B$11,"Individuell",Nutzungsprofile!$G$6:$G$11)*Kalender!E5/SUM(Kalender!$E$5:$E$370),0))*Szenarien!$E$21,0)</f>
        <v>3.528</v>
      </c>
      <c r="D3665" s="13" t="n">
        <f aca="false">IF(Szenarien!$H$21="OK",(IFERROR(SUMIF(Nutzungsprofile!$B$17:$B$22,"Schulbetrieb",Nutzungsprofile!$G$17:$G$22)*Kalender!C5/SUM(Kalender!$C$5:$C$370),0)+IFERROR(SUMIF(Nutzungsprofile!$B$17:$B$22,"Halle",Nutzungsprofile!$G$17:$G$22)*Kalender!D5/SUM(Kalender!$D$5:$D$370),0)+IFERROR(SUMIF(Nutzungsprofile!$B$17:$B$22,"Individuell",Nutzungsprofile!$G$17:$G$22)*Kalender!E5/SUM(Kalender!$E$5:$E$370),0))*Szenarien!$D$21,0)</f>
        <v>4.94</v>
      </c>
      <c r="E3665" s="13" t="n">
        <f aca="false">IFERROR(MIN(C3665,Eingaben!$B$17)*Eingaben!$B$16,0)</f>
        <v>3.3516</v>
      </c>
      <c r="F3665" s="13" t="n">
        <f aca="false">IFERROR(E3665*Eingaben!$B$15,0)</f>
        <v>3.01644</v>
      </c>
      <c r="G3665" s="13" t="n">
        <f aca="false">0</f>
        <v>0</v>
      </c>
      <c r="H3665" s="13" t="n">
        <f aca="false">MIN(G3665,D3665)</f>
        <v>0</v>
      </c>
      <c r="I3665" s="13" t="n">
        <f aca="false">IFERROR(MIN(F3665*Eingaben!$B$19,MAX(0,D3665-H3665)),0)</f>
        <v>2.111508</v>
      </c>
      <c r="J3665" s="13" t="n">
        <f aca="false">IFERROR(MIN(Eingaben!$B$18,MAX(0,F3665-I3665)),0)</f>
        <v>0.904932</v>
      </c>
      <c r="K3665" s="13" t="n">
        <f aca="false">H3665+I3665</f>
        <v>2.111508</v>
      </c>
      <c r="L3665" s="13" t="n">
        <f aca="false">MAX(0,D3665-K3665)</f>
        <v>2.828492</v>
      </c>
      <c r="M3665" s="13" t="n">
        <f aca="false">MAX(0,F3665-I3665-J3665)</f>
        <v>0</v>
      </c>
      <c r="N3665" s="13" t="n">
        <f aca="false">0</f>
        <v>0</v>
      </c>
    </row>
    <row r="3666" customFormat="false" ht="16.4" hidden="false" customHeight="false" outlineLevel="0" collapsed="false">
      <c r="A3666" s="13" t="str">
        <f aca="false">""</f>
        <v/>
      </c>
      <c r="B3666" s="13" t="n">
        <f aca="false">2</f>
        <v>2</v>
      </c>
      <c r="C3666" s="13" t="n">
        <f aca="false">IF(Szenarien!$H$21="OK",(IFERROR(SUMIF(Nutzungsprofile!$B$6:$B$11,"Schulbetrieb",Nutzungsprofile!$G$6:$G$11)*Kalender!C6/SUM(Kalender!$C$5:$C$370),0)+IFERROR(SUMIF(Nutzungsprofile!$B$6:$B$11,"Halle",Nutzungsprofile!$G$6:$G$11)*Kalender!D6/SUM(Kalender!$D$5:$D$370),0)+IFERROR(SUMIF(Nutzungsprofile!$B$6:$B$11,"Individuell",Nutzungsprofile!$G$6:$G$11)*Kalender!E6/SUM(Kalender!$E$5:$E$370),0))*Szenarien!$E$21,0)</f>
        <v>3.528</v>
      </c>
      <c r="D3666" s="13" t="n">
        <f aca="false">IF(Szenarien!$H$21="OK",(IFERROR(SUMIF(Nutzungsprofile!$B$17:$B$22,"Schulbetrieb",Nutzungsprofile!$G$17:$G$22)*Kalender!C6/SUM(Kalender!$C$5:$C$370),0)+IFERROR(SUMIF(Nutzungsprofile!$B$17:$B$22,"Halle",Nutzungsprofile!$G$17:$G$22)*Kalender!D6/SUM(Kalender!$D$5:$D$370),0)+IFERROR(SUMIF(Nutzungsprofile!$B$17:$B$22,"Individuell",Nutzungsprofile!$G$17:$G$22)*Kalender!E6/SUM(Kalender!$E$5:$E$370),0))*Szenarien!$D$21,0)</f>
        <v>4.94</v>
      </c>
      <c r="E3666" s="13" t="n">
        <f aca="false">IFERROR(MIN(C3666,Eingaben!$B$17)*Eingaben!$B$16,0)</f>
        <v>3.3516</v>
      </c>
      <c r="F3666" s="13" t="n">
        <f aca="false">IFERROR(E3666*Eingaben!$B$15,0)</f>
        <v>3.01644</v>
      </c>
      <c r="G3666" s="13" t="n">
        <f aca="false">IFERROR(IF(Kalender!A6="",0,J3665*(1-Eingaben!$B$20)),0)</f>
        <v>0.88683336</v>
      </c>
      <c r="H3666" s="13" t="n">
        <f aca="false">MIN(G3666,D3666)</f>
        <v>0.88683336</v>
      </c>
      <c r="I3666" s="13" t="n">
        <f aca="false">IFERROR(MIN(F3666*Eingaben!$B$19,MAX(0,D3666-H3666)),0)</f>
        <v>2.111508</v>
      </c>
      <c r="J3666" s="13" t="n">
        <f aca="false">IFERROR(MIN(Eingaben!$B$18,MAX(0,F3666-I3666)),0)</f>
        <v>0.904932</v>
      </c>
      <c r="K3666" s="13" t="n">
        <f aca="false">H3666+I3666</f>
        <v>2.99834136</v>
      </c>
      <c r="L3666" s="13" t="n">
        <f aca="false">MAX(0,D3666-K3666)</f>
        <v>1.94165864</v>
      </c>
      <c r="M3666" s="13" t="n">
        <f aca="false">MAX(0,F3666-I3666-J3666)</f>
        <v>0</v>
      </c>
      <c r="N3666" s="13" t="n">
        <f aca="false">IF(Kalender!A6="",0,J3665-H3666)</f>
        <v>0.0180986400000001</v>
      </c>
    </row>
    <row r="3667" customFormat="false" ht="16.4" hidden="false" customHeight="false" outlineLevel="0" collapsed="false">
      <c r="A3667" s="13" t="str">
        <f aca="false">""</f>
        <v/>
      </c>
      <c r="B3667" s="13" t="n">
        <f aca="false">3</f>
        <v>3</v>
      </c>
      <c r="C3667" s="13" t="n">
        <f aca="false">IF(Szenarien!$H$21="OK",(IFERROR(SUMIF(Nutzungsprofile!$B$6:$B$11,"Schulbetrieb",Nutzungsprofile!$G$6:$G$11)*Kalender!C7/SUM(Kalender!$C$5:$C$370),0)+IFERROR(SUMIF(Nutzungsprofile!$B$6:$B$11,"Halle",Nutzungsprofile!$G$6:$G$11)*Kalender!D7/SUM(Kalender!$D$5:$D$370),0)+IFERROR(SUMIF(Nutzungsprofile!$B$6:$B$11,"Individuell",Nutzungsprofile!$G$6:$G$11)*Kalender!E7/SUM(Kalender!$E$5:$E$370),0))*Szenarien!$E$21,0)</f>
        <v>2.448</v>
      </c>
      <c r="D3667" s="13" t="n">
        <f aca="false">IF(Szenarien!$H$21="OK",(IFERROR(SUMIF(Nutzungsprofile!$B$17:$B$22,"Schulbetrieb",Nutzungsprofile!$G$17:$G$22)*Kalender!C7/SUM(Kalender!$C$5:$C$370),0)+IFERROR(SUMIF(Nutzungsprofile!$B$17:$B$22,"Halle",Nutzungsprofile!$G$17:$G$22)*Kalender!D7/SUM(Kalender!$D$5:$D$370),0)+IFERROR(SUMIF(Nutzungsprofile!$B$17:$B$22,"Individuell",Nutzungsprofile!$G$17:$G$22)*Kalender!E7/SUM(Kalender!$E$5:$E$370),0))*Szenarien!$D$21,0)</f>
        <v>0.89</v>
      </c>
      <c r="E3667" s="13" t="n">
        <f aca="false">IFERROR(MIN(C3667,Eingaben!$B$17)*Eingaben!$B$16,0)</f>
        <v>2.3256</v>
      </c>
      <c r="F3667" s="13" t="n">
        <f aca="false">IFERROR(E3667*Eingaben!$B$15,0)</f>
        <v>2.09304</v>
      </c>
      <c r="G3667" s="13" t="n">
        <f aca="false">IFERROR(IF(Kalender!A7="",0,J3666*(1-Eingaben!$B$20)),0)</f>
        <v>0.88683336</v>
      </c>
      <c r="H3667" s="13" t="n">
        <f aca="false">MIN(G3667,D3667)</f>
        <v>0.88683336</v>
      </c>
      <c r="I3667" s="13" t="n">
        <f aca="false">IFERROR(MIN(F3667*Eingaben!$B$19,MAX(0,D3667-H3667)),0)</f>
        <v>0.00316664</v>
      </c>
      <c r="J3667" s="13" t="n">
        <f aca="false">IFERROR(MIN(Eingaben!$B$18,MAX(0,F3667-I3667)),0)</f>
        <v>2</v>
      </c>
      <c r="K3667" s="13" t="n">
        <f aca="false">H3667+I3667</f>
        <v>0.89</v>
      </c>
      <c r="L3667" s="13" t="n">
        <f aca="false">MAX(0,D3667-K3667)</f>
        <v>0</v>
      </c>
      <c r="M3667" s="13" t="n">
        <f aca="false">MAX(0,F3667-I3667-J3667)</f>
        <v>0.0898733599999999</v>
      </c>
      <c r="N3667" s="13" t="n">
        <f aca="false">IF(Kalender!A7="",0,J3666-H3667)</f>
        <v>0.0180986400000001</v>
      </c>
    </row>
    <row r="3668" customFormat="false" ht="16.4" hidden="false" customHeight="false" outlineLevel="0" collapsed="false">
      <c r="A3668" s="13" t="str">
        <f aca="false">""</f>
        <v/>
      </c>
      <c r="B3668" s="13" t="n">
        <f aca="false">4</f>
        <v>4</v>
      </c>
      <c r="C3668" s="13" t="n">
        <f aca="false">IF(Szenarien!$H$21="OK",(IFERROR(SUMIF(Nutzungsprofile!$B$6:$B$11,"Schulbetrieb",Nutzungsprofile!$G$6:$G$11)*Kalender!C8/SUM(Kalender!$C$5:$C$370),0)+IFERROR(SUMIF(Nutzungsprofile!$B$6:$B$11,"Halle",Nutzungsprofile!$G$6:$G$11)*Kalender!D8/SUM(Kalender!$D$5:$D$370),0)+IFERROR(SUMIF(Nutzungsprofile!$B$6:$B$11,"Individuell",Nutzungsprofile!$G$6:$G$11)*Kalender!E8/SUM(Kalender!$E$5:$E$370),0))*Szenarien!$E$21,0)</f>
        <v>2.448</v>
      </c>
      <c r="D3668" s="13" t="n">
        <f aca="false">IF(Szenarien!$H$21="OK",(IFERROR(SUMIF(Nutzungsprofile!$B$17:$B$22,"Schulbetrieb",Nutzungsprofile!$G$17:$G$22)*Kalender!C8/SUM(Kalender!$C$5:$C$370),0)+IFERROR(SUMIF(Nutzungsprofile!$B$17:$B$22,"Halle",Nutzungsprofile!$G$17:$G$22)*Kalender!D8/SUM(Kalender!$D$5:$D$370),0)+IFERROR(SUMIF(Nutzungsprofile!$B$17:$B$22,"Individuell",Nutzungsprofile!$G$17:$G$22)*Kalender!E8/SUM(Kalender!$E$5:$E$370),0))*Szenarien!$D$21,0)</f>
        <v>0.89</v>
      </c>
      <c r="E3668" s="13" t="n">
        <f aca="false">IFERROR(MIN(C3668,Eingaben!$B$17)*Eingaben!$B$16,0)</f>
        <v>2.3256</v>
      </c>
      <c r="F3668" s="13" t="n">
        <f aca="false">IFERROR(E3668*Eingaben!$B$15,0)</f>
        <v>2.09304</v>
      </c>
      <c r="G3668" s="13" t="n">
        <f aca="false">IFERROR(IF(Kalender!A8="",0,J3667*(1-Eingaben!$B$20)),0)</f>
        <v>1.96</v>
      </c>
      <c r="H3668" s="13" t="n">
        <f aca="false">MIN(G3668,D3668)</f>
        <v>0.89</v>
      </c>
      <c r="I3668" s="13" t="n">
        <f aca="false">IFERROR(MIN(F3668*Eingaben!$B$19,MAX(0,D3668-H3668)),0)</f>
        <v>0</v>
      </c>
      <c r="J3668" s="13" t="n">
        <f aca="false">IFERROR(MIN(Eingaben!$B$18,MAX(0,F3668-I3668)),0)</f>
        <v>2</v>
      </c>
      <c r="K3668" s="13" t="n">
        <f aca="false">H3668+I3668</f>
        <v>0.89</v>
      </c>
      <c r="L3668" s="13" t="n">
        <f aca="false">MAX(0,D3668-K3668)</f>
        <v>0</v>
      </c>
      <c r="M3668" s="13" t="n">
        <f aca="false">MAX(0,F3668-I3668-J3668)</f>
        <v>0.0930399999999998</v>
      </c>
      <c r="N3668" s="13" t="n">
        <f aca="false">IF(Kalender!A8="",0,J3667-H3668)</f>
        <v>1.11</v>
      </c>
    </row>
    <row r="3669" customFormat="false" ht="16.4" hidden="false" customHeight="false" outlineLevel="0" collapsed="false">
      <c r="A3669" s="13" t="str">
        <f aca="false">""</f>
        <v/>
      </c>
      <c r="B3669" s="13" t="n">
        <f aca="false">5</f>
        <v>5</v>
      </c>
      <c r="C3669" s="13" t="n">
        <f aca="false">IF(Szenarien!$H$21="OK",(IFERROR(SUMIF(Nutzungsprofile!$B$6:$B$11,"Schulbetrieb",Nutzungsprofile!$G$6:$G$11)*Kalender!C9/SUM(Kalender!$C$5:$C$370),0)+IFERROR(SUMIF(Nutzungsprofile!$B$6:$B$11,"Halle",Nutzungsprofile!$G$6:$G$11)*Kalender!D9/SUM(Kalender!$D$5:$D$370),0)+IFERROR(SUMIF(Nutzungsprofile!$B$6:$B$11,"Individuell",Nutzungsprofile!$G$6:$G$11)*Kalender!E9/SUM(Kalender!$E$5:$E$370),0))*Szenarien!$E$21,0)</f>
        <v>3.528</v>
      </c>
      <c r="D3669" s="13" t="n">
        <f aca="false">IF(Szenarien!$H$21="OK",(IFERROR(SUMIF(Nutzungsprofile!$B$17:$B$22,"Schulbetrieb",Nutzungsprofile!$G$17:$G$22)*Kalender!C9/SUM(Kalender!$C$5:$C$370),0)+IFERROR(SUMIF(Nutzungsprofile!$B$17:$B$22,"Halle",Nutzungsprofile!$G$17:$G$22)*Kalender!D9/SUM(Kalender!$D$5:$D$370),0)+IFERROR(SUMIF(Nutzungsprofile!$B$17:$B$22,"Individuell",Nutzungsprofile!$G$17:$G$22)*Kalender!E9/SUM(Kalender!$E$5:$E$370),0))*Szenarien!$D$21,0)</f>
        <v>4.94</v>
      </c>
      <c r="E3669" s="13" t="n">
        <f aca="false">IFERROR(MIN(C3669,Eingaben!$B$17)*Eingaben!$B$16,0)</f>
        <v>3.3516</v>
      </c>
      <c r="F3669" s="13" t="n">
        <f aca="false">IFERROR(E3669*Eingaben!$B$15,0)</f>
        <v>3.01644</v>
      </c>
      <c r="G3669" s="13" t="n">
        <f aca="false">IFERROR(IF(Kalender!A9="",0,J3668*(1-Eingaben!$B$20)),0)</f>
        <v>1.96</v>
      </c>
      <c r="H3669" s="13" t="n">
        <f aca="false">MIN(G3669,D3669)</f>
        <v>1.96</v>
      </c>
      <c r="I3669" s="13" t="n">
        <f aca="false">IFERROR(MIN(F3669*Eingaben!$B$19,MAX(0,D3669-H3669)),0)</f>
        <v>2.111508</v>
      </c>
      <c r="J3669" s="13" t="n">
        <f aca="false">IFERROR(MIN(Eingaben!$B$18,MAX(0,F3669-I3669)),0)</f>
        <v>0.904932</v>
      </c>
      <c r="K3669" s="13" t="n">
        <f aca="false">H3669+I3669</f>
        <v>4.071508</v>
      </c>
      <c r="L3669" s="13" t="n">
        <f aca="false">MAX(0,D3669-K3669)</f>
        <v>0.868492</v>
      </c>
      <c r="M3669" s="13" t="n">
        <f aca="false">MAX(0,F3669-I3669-J3669)</f>
        <v>0</v>
      </c>
      <c r="N3669" s="13" t="n">
        <f aca="false">IF(Kalender!A9="",0,J3668-H3669)</f>
        <v>0.04</v>
      </c>
    </row>
    <row r="3670" customFormat="false" ht="16.4" hidden="false" customHeight="false" outlineLevel="0" collapsed="false">
      <c r="A3670" s="13" t="str">
        <f aca="false">""</f>
        <v/>
      </c>
      <c r="B3670" s="13" t="n">
        <f aca="false">6</f>
        <v>6</v>
      </c>
      <c r="C3670" s="13" t="n">
        <f aca="false">IF(Szenarien!$H$21="OK",(IFERROR(SUMIF(Nutzungsprofile!$B$6:$B$11,"Schulbetrieb",Nutzungsprofile!$G$6:$G$11)*Kalender!C10/SUM(Kalender!$C$5:$C$370),0)+IFERROR(SUMIF(Nutzungsprofile!$B$6:$B$11,"Halle",Nutzungsprofile!$G$6:$G$11)*Kalender!D10/SUM(Kalender!$D$5:$D$370),0)+IFERROR(SUMIF(Nutzungsprofile!$B$6:$B$11,"Individuell",Nutzungsprofile!$G$6:$G$11)*Kalender!E10/SUM(Kalender!$E$5:$E$370),0))*Szenarien!$E$21,0)</f>
        <v>3.528</v>
      </c>
      <c r="D3670" s="13" t="n">
        <f aca="false">IF(Szenarien!$H$21="OK",(IFERROR(SUMIF(Nutzungsprofile!$B$17:$B$22,"Schulbetrieb",Nutzungsprofile!$G$17:$G$22)*Kalender!C10/SUM(Kalender!$C$5:$C$370),0)+IFERROR(SUMIF(Nutzungsprofile!$B$17:$B$22,"Halle",Nutzungsprofile!$G$17:$G$22)*Kalender!D10/SUM(Kalender!$D$5:$D$370),0)+IFERROR(SUMIF(Nutzungsprofile!$B$17:$B$22,"Individuell",Nutzungsprofile!$G$17:$G$22)*Kalender!E10/SUM(Kalender!$E$5:$E$370),0))*Szenarien!$D$21,0)</f>
        <v>4.94</v>
      </c>
      <c r="E3670" s="13" t="n">
        <f aca="false">IFERROR(MIN(C3670,Eingaben!$B$17)*Eingaben!$B$16,0)</f>
        <v>3.3516</v>
      </c>
      <c r="F3670" s="13" t="n">
        <f aca="false">IFERROR(E3670*Eingaben!$B$15,0)</f>
        <v>3.01644</v>
      </c>
      <c r="G3670" s="13" t="n">
        <f aca="false">IFERROR(IF(Kalender!A10="",0,J3669*(1-Eingaben!$B$20)),0)</f>
        <v>0.88683336</v>
      </c>
      <c r="H3670" s="13" t="n">
        <f aca="false">MIN(G3670,D3670)</f>
        <v>0.88683336</v>
      </c>
      <c r="I3670" s="13" t="n">
        <f aca="false">IFERROR(MIN(F3670*Eingaben!$B$19,MAX(0,D3670-H3670)),0)</f>
        <v>2.111508</v>
      </c>
      <c r="J3670" s="13" t="n">
        <f aca="false">IFERROR(MIN(Eingaben!$B$18,MAX(0,F3670-I3670)),0)</f>
        <v>0.904932</v>
      </c>
      <c r="K3670" s="13" t="n">
        <f aca="false">H3670+I3670</f>
        <v>2.99834136</v>
      </c>
      <c r="L3670" s="13" t="n">
        <f aca="false">MAX(0,D3670-K3670)</f>
        <v>1.94165864</v>
      </c>
      <c r="M3670" s="13" t="n">
        <f aca="false">MAX(0,F3670-I3670-J3670)</f>
        <v>0</v>
      </c>
      <c r="N3670" s="13" t="n">
        <f aca="false">IF(Kalender!A10="",0,J3669-H3670)</f>
        <v>0.0180986400000001</v>
      </c>
    </row>
    <row r="3671" customFormat="false" ht="16.4" hidden="false" customHeight="false" outlineLevel="0" collapsed="false">
      <c r="A3671" s="13" t="str">
        <f aca="false">""</f>
        <v/>
      </c>
      <c r="B3671" s="13" t="n">
        <f aca="false">7</f>
        <v>7</v>
      </c>
      <c r="C3671" s="13" t="n">
        <f aca="false">IF(Szenarien!$H$21="OK",(IFERROR(SUMIF(Nutzungsprofile!$B$6:$B$11,"Schulbetrieb",Nutzungsprofile!$G$6:$G$11)*Kalender!C11/SUM(Kalender!$C$5:$C$370),0)+IFERROR(SUMIF(Nutzungsprofile!$B$6:$B$11,"Halle",Nutzungsprofile!$G$6:$G$11)*Kalender!D11/SUM(Kalender!$D$5:$D$370),0)+IFERROR(SUMIF(Nutzungsprofile!$B$6:$B$11,"Individuell",Nutzungsprofile!$G$6:$G$11)*Kalender!E11/SUM(Kalender!$E$5:$E$370),0))*Szenarien!$E$21,0)</f>
        <v>3.528</v>
      </c>
      <c r="D3671" s="13" t="n">
        <f aca="false">IF(Szenarien!$H$21="OK",(IFERROR(SUMIF(Nutzungsprofile!$B$17:$B$22,"Schulbetrieb",Nutzungsprofile!$G$17:$G$22)*Kalender!C11/SUM(Kalender!$C$5:$C$370),0)+IFERROR(SUMIF(Nutzungsprofile!$B$17:$B$22,"Halle",Nutzungsprofile!$G$17:$G$22)*Kalender!D11/SUM(Kalender!$D$5:$D$370),0)+IFERROR(SUMIF(Nutzungsprofile!$B$17:$B$22,"Individuell",Nutzungsprofile!$G$17:$G$22)*Kalender!E11/SUM(Kalender!$E$5:$E$370),0))*Szenarien!$D$21,0)</f>
        <v>4.94</v>
      </c>
      <c r="E3671" s="13" t="n">
        <f aca="false">IFERROR(MIN(C3671,Eingaben!$B$17)*Eingaben!$B$16,0)</f>
        <v>3.3516</v>
      </c>
      <c r="F3671" s="13" t="n">
        <f aca="false">IFERROR(E3671*Eingaben!$B$15,0)</f>
        <v>3.01644</v>
      </c>
      <c r="G3671" s="13" t="n">
        <f aca="false">IFERROR(IF(Kalender!A11="",0,J3670*(1-Eingaben!$B$20)),0)</f>
        <v>0.88683336</v>
      </c>
      <c r="H3671" s="13" t="n">
        <f aca="false">MIN(G3671,D3671)</f>
        <v>0.88683336</v>
      </c>
      <c r="I3671" s="13" t="n">
        <f aca="false">IFERROR(MIN(F3671*Eingaben!$B$19,MAX(0,D3671-H3671)),0)</f>
        <v>2.111508</v>
      </c>
      <c r="J3671" s="13" t="n">
        <f aca="false">IFERROR(MIN(Eingaben!$B$18,MAX(0,F3671-I3671)),0)</f>
        <v>0.904932</v>
      </c>
      <c r="K3671" s="13" t="n">
        <f aca="false">H3671+I3671</f>
        <v>2.99834136</v>
      </c>
      <c r="L3671" s="13" t="n">
        <f aca="false">MAX(0,D3671-K3671)</f>
        <v>1.94165864</v>
      </c>
      <c r="M3671" s="13" t="n">
        <f aca="false">MAX(0,F3671-I3671-J3671)</f>
        <v>0</v>
      </c>
      <c r="N3671" s="13" t="n">
        <f aca="false">IF(Kalender!A11="",0,J3670-H3671)</f>
        <v>0.0180986400000001</v>
      </c>
    </row>
    <row r="3672" customFormat="false" ht="16.4" hidden="false" customHeight="false" outlineLevel="0" collapsed="false">
      <c r="A3672" s="13" t="str">
        <f aca="false">""</f>
        <v/>
      </c>
      <c r="B3672" s="13" t="n">
        <f aca="false">8</f>
        <v>8</v>
      </c>
      <c r="C3672" s="13" t="n">
        <f aca="false">IF(Szenarien!$H$21="OK",(IFERROR(SUMIF(Nutzungsprofile!$B$6:$B$11,"Schulbetrieb",Nutzungsprofile!$G$6:$G$11)*Kalender!C12/SUM(Kalender!$C$5:$C$370),0)+IFERROR(SUMIF(Nutzungsprofile!$B$6:$B$11,"Halle",Nutzungsprofile!$G$6:$G$11)*Kalender!D12/SUM(Kalender!$D$5:$D$370),0)+IFERROR(SUMIF(Nutzungsprofile!$B$6:$B$11,"Individuell",Nutzungsprofile!$G$6:$G$11)*Kalender!E12/SUM(Kalender!$E$5:$E$370),0))*Szenarien!$E$21,0)</f>
        <v>3.528</v>
      </c>
      <c r="D3672" s="13" t="n">
        <f aca="false">IF(Szenarien!$H$21="OK",(IFERROR(SUMIF(Nutzungsprofile!$B$17:$B$22,"Schulbetrieb",Nutzungsprofile!$G$17:$G$22)*Kalender!C12/SUM(Kalender!$C$5:$C$370),0)+IFERROR(SUMIF(Nutzungsprofile!$B$17:$B$22,"Halle",Nutzungsprofile!$G$17:$G$22)*Kalender!D12/SUM(Kalender!$D$5:$D$370),0)+IFERROR(SUMIF(Nutzungsprofile!$B$17:$B$22,"Individuell",Nutzungsprofile!$G$17:$G$22)*Kalender!E12/SUM(Kalender!$E$5:$E$370),0))*Szenarien!$D$21,0)</f>
        <v>4.94</v>
      </c>
      <c r="E3672" s="13" t="n">
        <f aca="false">IFERROR(MIN(C3672,Eingaben!$B$17)*Eingaben!$B$16,0)</f>
        <v>3.3516</v>
      </c>
      <c r="F3672" s="13" t="n">
        <f aca="false">IFERROR(E3672*Eingaben!$B$15,0)</f>
        <v>3.01644</v>
      </c>
      <c r="G3672" s="13" t="n">
        <f aca="false">IFERROR(IF(Kalender!A12="",0,J3671*(1-Eingaben!$B$20)),0)</f>
        <v>0.88683336</v>
      </c>
      <c r="H3672" s="13" t="n">
        <f aca="false">MIN(G3672,D3672)</f>
        <v>0.88683336</v>
      </c>
      <c r="I3672" s="13" t="n">
        <f aca="false">IFERROR(MIN(F3672*Eingaben!$B$19,MAX(0,D3672-H3672)),0)</f>
        <v>2.111508</v>
      </c>
      <c r="J3672" s="13" t="n">
        <f aca="false">IFERROR(MIN(Eingaben!$B$18,MAX(0,F3672-I3672)),0)</f>
        <v>0.904932</v>
      </c>
      <c r="K3672" s="13" t="n">
        <f aca="false">H3672+I3672</f>
        <v>2.99834136</v>
      </c>
      <c r="L3672" s="13" t="n">
        <f aca="false">MAX(0,D3672-K3672)</f>
        <v>1.94165864</v>
      </c>
      <c r="M3672" s="13" t="n">
        <f aca="false">MAX(0,F3672-I3672-J3672)</f>
        <v>0</v>
      </c>
      <c r="N3672" s="13" t="n">
        <f aca="false">IF(Kalender!A12="",0,J3671-H3672)</f>
        <v>0.0180986400000001</v>
      </c>
    </row>
    <row r="3673" customFormat="false" ht="16.4" hidden="false" customHeight="false" outlineLevel="0" collapsed="false">
      <c r="A3673" s="13" t="str">
        <f aca="false">""</f>
        <v/>
      </c>
      <c r="B3673" s="13" t="n">
        <f aca="false">9</f>
        <v>9</v>
      </c>
      <c r="C3673" s="13" t="n">
        <f aca="false">IF(Szenarien!$H$21="OK",(IFERROR(SUMIF(Nutzungsprofile!$B$6:$B$11,"Schulbetrieb",Nutzungsprofile!$G$6:$G$11)*Kalender!C13/SUM(Kalender!$C$5:$C$370),0)+IFERROR(SUMIF(Nutzungsprofile!$B$6:$B$11,"Halle",Nutzungsprofile!$G$6:$G$11)*Kalender!D13/SUM(Kalender!$D$5:$D$370),0)+IFERROR(SUMIF(Nutzungsprofile!$B$6:$B$11,"Individuell",Nutzungsprofile!$G$6:$G$11)*Kalender!E13/SUM(Kalender!$E$5:$E$370),0))*Szenarien!$E$21,0)</f>
        <v>3.528</v>
      </c>
      <c r="D3673" s="13" t="n">
        <f aca="false">IF(Szenarien!$H$21="OK",(IFERROR(SUMIF(Nutzungsprofile!$B$17:$B$22,"Schulbetrieb",Nutzungsprofile!$G$17:$G$22)*Kalender!C13/SUM(Kalender!$C$5:$C$370),0)+IFERROR(SUMIF(Nutzungsprofile!$B$17:$B$22,"Halle",Nutzungsprofile!$G$17:$G$22)*Kalender!D13/SUM(Kalender!$D$5:$D$370),0)+IFERROR(SUMIF(Nutzungsprofile!$B$17:$B$22,"Individuell",Nutzungsprofile!$G$17:$G$22)*Kalender!E13/SUM(Kalender!$E$5:$E$370),0))*Szenarien!$D$21,0)</f>
        <v>4.94</v>
      </c>
      <c r="E3673" s="13" t="n">
        <f aca="false">IFERROR(MIN(C3673,Eingaben!$B$17)*Eingaben!$B$16,0)</f>
        <v>3.3516</v>
      </c>
      <c r="F3673" s="13" t="n">
        <f aca="false">IFERROR(E3673*Eingaben!$B$15,0)</f>
        <v>3.01644</v>
      </c>
      <c r="G3673" s="13" t="n">
        <f aca="false">IFERROR(IF(Kalender!A13="",0,J3672*(1-Eingaben!$B$20)),0)</f>
        <v>0.88683336</v>
      </c>
      <c r="H3673" s="13" t="n">
        <f aca="false">MIN(G3673,D3673)</f>
        <v>0.88683336</v>
      </c>
      <c r="I3673" s="13" t="n">
        <f aca="false">IFERROR(MIN(F3673*Eingaben!$B$19,MAX(0,D3673-H3673)),0)</f>
        <v>2.111508</v>
      </c>
      <c r="J3673" s="13" t="n">
        <f aca="false">IFERROR(MIN(Eingaben!$B$18,MAX(0,F3673-I3673)),0)</f>
        <v>0.904932</v>
      </c>
      <c r="K3673" s="13" t="n">
        <f aca="false">H3673+I3673</f>
        <v>2.99834136</v>
      </c>
      <c r="L3673" s="13" t="n">
        <f aca="false">MAX(0,D3673-K3673)</f>
        <v>1.94165864</v>
      </c>
      <c r="M3673" s="13" t="n">
        <f aca="false">MAX(0,F3673-I3673-J3673)</f>
        <v>0</v>
      </c>
      <c r="N3673" s="13" t="n">
        <f aca="false">IF(Kalender!A13="",0,J3672-H3673)</f>
        <v>0.0180986400000001</v>
      </c>
    </row>
    <row r="3674" customFormat="false" ht="16.4" hidden="false" customHeight="false" outlineLevel="0" collapsed="false">
      <c r="A3674" s="13" t="str">
        <f aca="false">""</f>
        <v/>
      </c>
      <c r="B3674" s="13" t="n">
        <f aca="false">10</f>
        <v>10</v>
      </c>
      <c r="C3674" s="13" t="n">
        <f aca="false">IF(Szenarien!$H$21="OK",(IFERROR(SUMIF(Nutzungsprofile!$B$6:$B$11,"Schulbetrieb",Nutzungsprofile!$G$6:$G$11)*Kalender!C14/SUM(Kalender!$C$5:$C$370),0)+IFERROR(SUMIF(Nutzungsprofile!$B$6:$B$11,"Halle",Nutzungsprofile!$G$6:$G$11)*Kalender!D14/SUM(Kalender!$D$5:$D$370),0)+IFERROR(SUMIF(Nutzungsprofile!$B$6:$B$11,"Individuell",Nutzungsprofile!$G$6:$G$11)*Kalender!E14/SUM(Kalender!$E$5:$E$370),0))*Szenarien!$E$21,0)</f>
        <v>2.448</v>
      </c>
      <c r="D3674" s="13" t="n">
        <f aca="false">IF(Szenarien!$H$21="OK",(IFERROR(SUMIF(Nutzungsprofile!$B$17:$B$22,"Schulbetrieb",Nutzungsprofile!$G$17:$G$22)*Kalender!C14/SUM(Kalender!$C$5:$C$370),0)+IFERROR(SUMIF(Nutzungsprofile!$B$17:$B$22,"Halle",Nutzungsprofile!$G$17:$G$22)*Kalender!D14/SUM(Kalender!$D$5:$D$370),0)+IFERROR(SUMIF(Nutzungsprofile!$B$17:$B$22,"Individuell",Nutzungsprofile!$G$17:$G$22)*Kalender!E14/SUM(Kalender!$E$5:$E$370),0))*Szenarien!$D$21,0)</f>
        <v>0.89</v>
      </c>
      <c r="E3674" s="13" t="n">
        <f aca="false">IFERROR(MIN(C3674,Eingaben!$B$17)*Eingaben!$B$16,0)</f>
        <v>2.3256</v>
      </c>
      <c r="F3674" s="13" t="n">
        <f aca="false">IFERROR(E3674*Eingaben!$B$15,0)</f>
        <v>2.09304</v>
      </c>
      <c r="G3674" s="13" t="n">
        <f aca="false">IFERROR(IF(Kalender!A14="",0,J3673*(1-Eingaben!$B$20)),0)</f>
        <v>0.88683336</v>
      </c>
      <c r="H3674" s="13" t="n">
        <f aca="false">MIN(G3674,D3674)</f>
        <v>0.88683336</v>
      </c>
      <c r="I3674" s="13" t="n">
        <f aca="false">IFERROR(MIN(F3674*Eingaben!$B$19,MAX(0,D3674-H3674)),0)</f>
        <v>0.00316664</v>
      </c>
      <c r="J3674" s="13" t="n">
        <f aca="false">IFERROR(MIN(Eingaben!$B$18,MAX(0,F3674-I3674)),0)</f>
        <v>2</v>
      </c>
      <c r="K3674" s="13" t="n">
        <f aca="false">H3674+I3674</f>
        <v>0.89</v>
      </c>
      <c r="L3674" s="13" t="n">
        <f aca="false">MAX(0,D3674-K3674)</f>
        <v>0</v>
      </c>
      <c r="M3674" s="13" t="n">
        <f aca="false">MAX(0,F3674-I3674-J3674)</f>
        <v>0.0898733599999999</v>
      </c>
      <c r="N3674" s="13" t="n">
        <f aca="false">IF(Kalender!A14="",0,J3673-H3674)</f>
        <v>0.0180986400000001</v>
      </c>
    </row>
    <row r="3675" customFormat="false" ht="16.4" hidden="false" customHeight="false" outlineLevel="0" collapsed="false">
      <c r="A3675" s="13" t="str">
        <f aca="false">""</f>
        <v/>
      </c>
      <c r="B3675" s="13" t="n">
        <f aca="false">11</f>
        <v>11</v>
      </c>
      <c r="C3675" s="13" t="n">
        <f aca="false">IF(Szenarien!$H$21="OK",(IFERROR(SUMIF(Nutzungsprofile!$B$6:$B$11,"Schulbetrieb",Nutzungsprofile!$G$6:$G$11)*Kalender!C15/SUM(Kalender!$C$5:$C$370),0)+IFERROR(SUMIF(Nutzungsprofile!$B$6:$B$11,"Halle",Nutzungsprofile!$G$6:$G$11)*Kalender!D15/SUM(Kalender!$D$5:$D$370),0)+IFERROR(SUMIF(Nutzungsprofile!$B$6:$B$11,"Individuell",Nutzungsprofile!$G$6:$G$11)*Kalender!E15/SUM(Kalender!$E$5:$E$370),0))*Szenarien!$E$21,0)</f>
        <v>2.448</v>
      </c>
      <c r="D3675" s="13" t="n">
        <f aca="false">IF(Szenarien!$H$21="OK",(IFERROR(SUMIF(Nutzungsprofile!$B$17:$B$22,"Schulbetrieb",Nutzungsprofile!$G$17:$G$22)*Kalender!C15/SUM(Kalender!$C$5:$C$370),0)+IFERROR(SUMIF(Nutzungsprofile!$B$17:$B$22,"Halle",Nutzungsprofile!$G$17:$G$22)*Kalender!D15/SUM(Kalender!$D$5:$D$370),0)+IFERROR(SUMIF(Nutzungsprofile!$B$17:$B$22,"Individuell",Nutzungsprofile!$G$17:$G$22)*Kalender!E15/SUM(Kalender!$E$5:$E$370),0))*Szenarien!$D$21,0)</f>
        <v>0.89</v>
      </c>
      <c r="E3675" s="13" t="n">
        <f aca="false">IFERROR(MIN(C3675,Eingaben!$B$17)*Eingaben!$B$16,0)</f>
        <v>2.3256</v>
      </c>
      <c r="F3675" s="13" t="n">
        <f aca="false">IFERROR(E3675*Eingaben!$B$15,0)</f>
        <v>2.09304</v>
      </c>
      <c r="G3675" s="13" t="n">
        <f aca="false">IFERROR(IF(Kalender!A15="",0,J3674*(1-Eingaben!$B$20)),0)</f>
        <v>1.96</v>
      </c>
      <c r="H3675" s="13" t="n">
        <f aca="false">MIN(G3675,D3675)</f>
        <v>0.89</v>
      </c>
      <c r="I3675" s="13" t="n">
        <f aca="false">IFERROR(MIN(F3675*Eingaben!$B$19,MAX(0,D3675-H3675)),0)</f>
        <v>0</v>
      </c>
      <c r="J3675" s="13" t="n">
        <f aca="false">IFERROR(MIN(Eingaben!$B$18,MAX(0,F3675-I3675)),0)</f>
        <v>2</v>
      </c>
      <c r="K3675" s="13" t="n">
        <f aca="false">H3675+I3675</f>
        <v>0.89</v>
      </c>
      <c r="L3675" s="13" t="n">
        <f aca="false">MAX(0,D3675-K3675)</f>
        <v>0</v>
      </c>
      <c r="M3675" s="13" t="n">
        <f aca="false">MAX(0,F3675-I3675-J3675)</f>
        <v>0.0930399999999998</v>
      </c>
      <c r="N3675" s="13" t="n">
        <f aca="false">IF(Kalender!A15="",0,J3674-H3675)</f>
        <v>1.11</v>
      </c>
    </row>
    <row r="3676" customFormat="false" ht="16.4" hidden="false" customHeight="false" outlineLevel="0" collapsed="false">
      <c r="A3676" s="13" t="str">
        <f aca="false">""</f>
        <v/>
      </c>
      <c r="B3676" s="13" t="n">
        <f aca="false">12</f>
        <v>12</v>
      </c>
      <c r="C3676" s="13" t="n">
        <f aca="false">IF(Szenarien!$H$21="OK",(IFERROR(SUMIF(Nutzungsprofile!$B$6:$B$11,"Schulbetrieb",Nutzungsprofile!$G$6:$G$11)*Kalender!C16/SUM(Kalender!$C$5:$C$370),0)+IFERROR(SUMIF(Nutzungsprofile!$B$6:$B$11,"Halle",Nutzungsprofile!$G$6:$G$11)*Kalender!D16/SUM(Kalender!$D$5:$D$370),0)+IFERROR(SUMIF(Nutzungsprofile!$B$6:$B$11,"Individuell",Nutzungsprofile!$G$6:$G$11)*Kalender!E16/SUM(Kalender!$E$5:$E$370),0))*Szenarien!$E$21,0)</f>
        <v>3.528</v>
      </c>
      <c r="D3676" s="13" t="n">
        <f aca="false">IF(Szenarien!$H$21="OK",(IFERROR(SUMIF(Nutzungsprofile!$B$17:$B$22,"Schulbetrieb",Nutzungsprofile!$G$17:$G$22)*Kalender!C16/SUM(Kalender!$C$5:$C$370),0)+IFERROR(SUMIF(Nutzungsprofile!$B$17:$B$22,"Halle",Nutzungsprofile!$G$17:$G$22)*Kalender!D16/SUM(Kalender!$D$5:$D$370),0)+IFERROR(SUMIF(Nutzungsprofile!$B$17:$B$22,"Individuell",Nutzungsprofile!$G$17:$G$22)*Kalender!E16/SUM(Kalender!$E$5:$E$370),0))*Szenarien!$D$21,0)</f>
        <v>4.94</v>
      </c>
      <c r="E3676" s="13" t="n">
        <f aca="false">IFERROR(MIN(C3676,Eingaben!$B$17)*Eingaben!$B$16,0)</f>
        <v>3.3516</v>
      </c>
      <c r="F3676" s="13" t="n">
        <f aca="false">IFERROR(E3676*Eingaben!$B$15,0)</f>
        <v>3.01644</v>
      </c>
      <c r="G3676" s="13" t="n">
        <f aca="false">IFERROR(IF(Kalender!A16="",0,J3675*(1-Eingaben!$B$20)),0)</f>
        <v>1.96</v>
      </c>
      <c r="H3676" s="13" t="n">
        <f aca="false">MIN(G3676,D3676)</f>
        <v>1.96</v>
      </c>
      <c r="I3676" s="13" t="n">
        <f aca="false">IFERROR(MIN(F3676*Eingaben!$B$19,MAX(0,D3676-H3676)),0)</f>
        <v>2.111508</v>
      </c>
      <c r="J3676" s="13" t="n">
        <f aca="false">IFERROR(MIN(Eingaben!$B$18,MAX(0,F3676-I3676)),0)</f>
        <v>0.904932</v>
      </c>
      <c r="K3676" s="13" t="n">
        <f aca="false">H3676+I3676</f>
        <v>4.071508</v>
      </c>
      <c r="L3676" s="13" t="n">
        <f aca="false">MAX(0,D3676-K3676)</f>
        <v>0.868492</v>
      </c>
      <c r="M3676" s="13" t="n">
        <f aca="false">MAX(0,F3676-I3676-J3676)</f>
        <v>0</v>
      </c>
      <c r="N3676" s="13" t="n">
        <f aca="false">IF(Kalender!A16="",0,J3675-H3676)</f>
        <v>0.04</v>
      </c>
    </row>
    <row r="3677" customFormat="false" ht="16.4" hidden="false" customHeight="false" outlineLevel="0" collapsed="false">
      <c r="A3677" s="13" t="str">
        <f aca="false">""</f>
        <v/>
      </c>
      <c r="B3677" s="13" t="n">
        <f aca="false">13</f>
        <v>13</v>
      </c>
      <c r="C3677" s="13" t="n">
        <f aca="false">IF(Szenarien!$H$21="OK",(IFERROR(SUMIF(Nutzungsprofile!$B$6:$B$11,"Schulbetrieb",Nutzungsprofile!$G$6:$G$11)*Kalender!C17/SUM(Kalender!$C$5:$C$370),0)+IFERROR(SUMIF(Nutzungsprofile!$B$6:$B$11,"Halle",Nutzungsprofile!$G$6:$G$11)*Kalender!D17/SUM(Kalender!$D$5:$D$370),0)+IFERROR(SUMIF(Nutzungsprofile!$B$6:$B$11,"Individuell",Nutzungsprofile!$G$6:$G$11)*Kalender!E17/SUM(Kalender!$E$5:$E$370),0))*Szenarien!$E$21,0)</f>
        <v>3.528</v>
      </c>
      <c r="D3677" s="13" t="n">
        <f aca="false">IF(Szenarien!$H$21="OK",(IFERROR(SUMIF(Nutzungsprofile!$B$17:$B$22,"Schulbetrieb",Nutzungsprofile!$G$17:$G$22)*Kalender!C17/SUM(Kalender!$C$5:$C$370),0)+IFERROR(SUMIF(Nutzungsprofile!$B$17:$B$22,"Halle",Nutzungsprofile!$G$17:$G$22)*Kalender!D17/SUM(Kalender!$D$5:$D$370),0)+IFERROR(SUMIF(Nutzungsprofile!$B$17:$B$22,"Individuell",Nutzungsprofile!$G$17:$G$22)*Kalender!E17/SUM(Kalender!$E$5:$E$370),0))*Szenarien!$D$21,0)</f>
        <v>4.94</v>
      </c>
      <c r="E3677" s="13" t="n">
        <f aca="false">IFERROR(MIN(C3677,Eingaben!$B$17)*Eingaben!$B$16,0)</f>
        <v>3.3516</v>
      </c>
      <c r="F3677" s="13" t="n">
        <f aca="false">IFERROR(E3677*Eingaben!$B$15,0)</f>
        <v>3.01644</v>
      </c>
      <c r="G3677" s="13" t="n">
        <f aca="false">IFERROR(IF(Kalender!A17="",0,J3676*(1-Eingaben!$B$20)),0)</f>
        <v>0.88683336</v>
      </c>
      <c r="H3677" s="13" t="n">
        <f aca="false">MIN(G3677,D3677)</f>
        <v>0.88683336</v>
      </c>
      <c r="I3677" s="13" t="n">
        <f aca="false">IFERROR(MIN(F3677*Eingaben!$B$19,MAX(0,D3677-H3677)),0)</f>
        <v>2.111508</v>
      </c>
      <c r="J3677" s="13" t="n">
        <f aca="false">IFERROR(MIN(Eingaben!$B$18,MAX(0,F3677-I3677)),0)</f>
        <v>0.904932</v>
      </c>
      <c r="K3677" s="13" t="n">
        <f aca="false">H3677+I3677</f>
        <v>2.99834136</v>
      </c>
      <c r="L3677" s="13" t="n">
        <f aca="false">MAX(0,D3677-K3677)</f>
        <v>1.94165864</v>
      </c>
      <c r="M3677" s="13" t="n">
        <f aca="false">MAX(0,F3677-I3677-J3677)</f>
        <v>0</v>
      </c>
      <c r="N3677" s="13" t="n">
        <f aca="false">IF(Kalender!A17="",0,J3676-H3677)</f>
        <v>0.0180986400000001</v>
      </c>
    </row>
    <row r="3678" customFormat="false" ht="16.4" hidden="false" customHeight="false" outlineLevel="0" collapsed="false">
      <c r="A3678" s="13" t="str">
        <f aca="false">""</f>
        <v/>
      </c>
      <c r="B3678" s="13" t="n">
        <f aca="false">14</f>
        <v>14</v>
      </c>
      <c r="C3678" s="13" t="n">
        <f aca="false">IF(Szenarien!$H$21="OK",(IFERROR(SUMIF(Nutzungsprofile!$B$6:$B$11,"Schulbetrieb",Nutzungsprofile!$G$6:$G$11)*Kalender!C18/SUM(Kalender!$C$5:$C$370),0)+IFERROR(SUMIF(Nutzungsprofile!$B$6:$B$11,"Halle",Nutzungsprofile!$G$6:$G$11)*Kalender!D18/SUM(Kalender!$D$5:$D$370),0)+IFERROR(SUMIF(Nutzungsprofile!$B$6:$B$11,"Individuell",Nutzungsprofile!$G$6:$G$11)*Kalender!E18/SUM(Kalender!$E$5:$E$370),0))*Szenarien!$E$21,0)</f>
        <v>3.528</v>
      </c>
      <c r="D3678" s="13" t="n">
        <f aca="false">IF(Szenarien!$H$21="OK",(IFERROR(SUMIF(Nutzungsprofile!$B$17:$B$22,"Schulbetrieb",Nutzungsprofile!$G$17:$G$22)*Kalender!C18/SUM(Kalender!$C$5:$C$370),0)+IFERROR(SUMIF(Nutzungsprofile!$B$17:$B$22,"Halle",Nutzungsprofile!$G$17:$G$22)*Kalender!D18/SUM(Kalender!$D$5:$D$370),0)+IFERROR(SUMIF(Nutzungsprofile!$B$17:$B$22,"Individuell",Nutzungsprofile!$G$17:$G$22)*Kalender!E18/SUM(Kalender!$E$5:$E$370),0))*Szenarien!$D$21,0)</f>
        <v>4.94</v>
      </c>
      <c r="E3678" s="13" t="n">
        <f aca="false">IFERROR(MIN(C3678,Eingaben!$B$17)*Eingaben!$B$16,0)</f>
        <v>3.3516</v>
      </c>
      <c r="F3678" s="13" t="n">
        <f aca="false">IFERROR(E3678*Eingaben!$B$15,0)</f>
        <v>3.01644</v>
      </c>
      <c r="G3678" s="13" t="n">
        <f aca="false">IFERROR(IF(Kalender!A18="",0,J3677*(1-Eingaben!$B$20)),0)</f>
        <v>0.88683336</v>
      </c>
      <c r="H3678" s="13" t="n">
        <f aca="false">MIN(G3678,D3678)</f>
        <v>0.88683336</v>
      </c>
      <c r="I3678" s="13" t="n">
        <f aca="false">IFERROR(MIN(F3678*Eingaben!$B$19,MAX(0,D3678-H3678)),0)</f>
        <v>2.111508</v>
      </c>
      <c r="J3678" s="13" t="n">
        <f aca="false">IFERROR(MIN(Eingaben!$B$18,MAX(0,F3678-I3678)),0)</f>
        <v>0.904932</v>
      </c>
      <c r="K3678" s="13" t="n">
        <f aca="false">H3678+I3678</f>
        <v>2.99834136</v>
      </c>
      <c r="L3678" s="13" t="n">
        <f aca="false">MAX(0,D3678-K3678)</f>
        <v>1.94165864</v>
      </c>
      <c r="M3678" s="13" t="n">
        <f aca="false">MAX(0,F3678-I3678-J3678)</f>
        <v>0</v>
      </c>
      <c r="N3678" s="13" t="n">
        <f aca="false">IF(Kalender!A18="",0,J3677-H3678)</f>
        <v>0.0180986400000001</v>
      </c>
    </row>
    <row r="3679" customFormat="false" ht="16.4" hidden="false" customHeight="false" outlineLevel="0" collapsed="false">
      <c r="A3679" s="13" t="str">
        <f aca="false">""</f>
        <v/>
      </c>
      <c r="B3679" s="13" t="n">
        <f aca="false">15</f>
        <v>15</v>
      </c>
      <c r="C3679" s="13" t="n">
        <f aca="false">IF(Szenarien!$H$21="OK",(IFERROR(SUMIF(Nutzungsprofile!$B$6:$B$11,"Schulbetrieb",Nutzungsprofile!$G$6:$G$11)*Kalender!C19/SUM(Kalender!$C$5:$C$370),0)+IFERROR(SUMIF(Nutzungsprofile!$B$6:$B$11,"Halle",Nutzungsprofile!$G$6:$G$11)*Kalender!D19/SUM(Kalender!$D$5:$D$370),0)+IFERROR(SUMIF(Nutzungsprofile!$B$6:$B$11,"Individuell",Nutzungsprofile!$G$6:$G$11)*Kalender!E19/SUM(Kalender!$E$5:$E$370),0))*Szenarien!$E$21,0)</f>
        <v>3.528</v>
      </c>
      <c r="D3679" s="13" t="n">
        <f aca="false">IF(Szenarien!$H$21="OK",(IFERROR(SUMIF(Nutzungsprofile!$B$17:$B$22,"Schulbetrieb",Nutzungsprofile!$G$17:$G$22)*Kalender!C19/SUM(Kalender!$C$5:$C$370),0)+IFERROR(SUMIF(Nutzungsprofile!$B$17:$B$22,"Halle",Nutzungsprofile!$G$17:$G$22)*Kalender!D19/SUM(Kalender!$D$5:$D$370),0)+IFERROR(SUMIF(Nutzungsprofile!$B$17:$B$22,"Individuell",Nutzungsprofile!$G$17:$G$22)*Kalender!E19/SUM(Kalender!$E$5:$E$370),0))*Szenarien!$D$21,0)</f>
        <v>4.94</v>
      </c>
      <c r="E3679" s="13" t="n">
        <f aca="false">IFERROR(MIN(C3679,Eingaben!$B$17)*Eingaben!$B$16,0)</f>
        <v>3.3516</v>
      </c>
      <c r="F3679" s="13" t="n">
        <f aca="false">IFERROR(E3679*Eingaben!$B$15,0)</f>
        <v>3.01644</v>
      </c>
      <c r="G3679" s="13" t="n">
        <f aca="false">IFERROR(IF(Kalender!A19="",0,J3678*(1-Eingaben!$B$20)),0)</f>
        <v>0.88683336</v>
      </c>
      <c r="H3679" s="13" t="n">
        <f aca="false">MIN(G3679,D3679)</f>
        <v>0.88683336</v>
      </c>
      <c r="I3679" s="13" t="n">
        <f aca="false">IFERROR(MIN(F3679*Eingaben!$B$19,MAX(0,D3679-H3679)),0)</f>
        <v>2.111508</v>
      </c>
      <c r="J3679" s="13" t="n">
        <f aca="false">IFERROR(MIN(Eingaben!$B$18,MAX(0,F3679-I3679)),0)</f>
        <v>0.904932</v>
      </c>
      <c r="K3679" s="13" t="n">
        <f aca="false">H3679+I3679</f>
        <v>2.99834136</v>
      </c>
      <c r="L3679" s="13" t="n">
        <f aca="false">MAX(0,D3679-K3679)</f>
        <v>1.94165864</v>
      </c>
      <c r="M3679" s="13" t="n">
        <f aca="false">MAX(0,F3679-I3679-J3679)</f>
        <v>0</v>
      </c>
      <c r="N3679" s="13" t="n">
        <f aca="false">IF(Kalender!A19="",0,J3678-H3679)</f>
        <v>0.0180986400000001</v>
      </c>
    </row>
    <row r="3680" customFormat="false" ht="16.4" hidden="false" customHeight="false" outlineLevel="0" collapsed="false">
      <c r="A3680" s="13" t="str">
        <f aca="false">""</f>
        <v/>
      </c>
      <c r="B3680" s="13" t="n">
        <f aca="false">16</f>
        <v>16</v>
      </c>
      <c r="C3680" s="13" t="n">
        <f aca="false">IF(Szenarien!$H$21="OK",(IFERROR(SUMIF(Nutzungsprofile!$B$6:$B$11,"Schulbetrieb",Nutzungsprofile!$G$6:$G$11)*Kalender!C20/SUM(Kalender!$C$5:$C$370),0)+IFERROR(SUMIF(Nutzungsprofile!$B$6:$B$11,"Halle",Nutzungsprofile!$G$6:$G$11)*Kalender!D20/SUM(Kalender!$D$5:$D$370),0)+IFERROR(SUMIF(Nutzungsprofile!$B$6:$B$11,"Individuell",Nutzungsprofile!$G$6:$G$11)*Kalender!E20/SUM(Kalender!$E$5:$E$370),0))*Szenarien!$E$21,0)</f>
        <v>3.528</v>
      </c>
      <c r="D3680" s="13" t="n">
        <f aca="false">IF(Szenarien!$H$21="OK",(IFERROR(SUMIF(Nutzungsprofile!$B$17:$B$22,"Schulbetrieb",Nutzungsprofile!$G$17:$G$22)*Kalender!C20/SUM(Kalender!$C$5:$C$370),0)+IFERROR(SUMIF(Nutzungsprofile!$B$17:$B$22,"Halle",Nutzungsprofile!$G$17:$G$22)*Kalender!D20/SUM(Kalender!$D$5:$D$370),0)+IFERROR(SUMIF(Nutzungsprofile!$B$17:$B$22,"Individuell",Nutzungsprofile!$G$17:$G$22)*Kalender!E20/SUM(Kalender!$E$5:$E$370),0))*Szenarien!$D$21,0)</f>
        <v>4.94</v>
      </c>
      <c r="E3680" s="13" t="n">
        <f aca="false">IFERROR(MIN(C3680,Eingaben!$B$17)*Eingaben!$B$16,0)</f>
        <v>3.3516</v>
      </c>
      <c r="F3680" s="13" t="n">
        <f aca="false">IFERROR(E3680*Eingaben!$B$15,0)</f>
        <v>3.01644</v>
      </c>
      <c r="G3680" s="13" t="n">
        <f aca="false">IFERROR(IF(Kalender!A20="",0,J3679*(1-Eingaben!$B$20)),0)</f>
        <v>0.88683336</v>
      </c>
      <c r="H3680" s="13" t="n">
        <f aca="false">MIN(G3680,D3680)</f>
        <v>0.88683336</v>
      </c>
      <c r="I3680" s="13" t="n">
        <f aca="false">IFERROR(MIN(F3680*Eingaben!$B$19,MAX(0,D3680-H3680)),0)</f>
        <v>2.111508</v>
      </c>
      <c r="J3680" s="13" t="n">
        <f aca="false">IFERROR(MIN(Eingaben!$B$18,MAX(0,F3680-I3680)),0)</f>
        <v>0.904932</v>
      </c>
      <c r="K3680" s="13" t="n">
        <f aca="false">H3680+I3680</f>
        <v>2.99834136</v>
      </c>
      <c r="L3680" s="13" t="n">
        <f aca="false">MAX(0,D3680-K3680)</f>
        <v>1.94165864</v>
      </c>
      <c r="M3680" s="13" t="n">
        <f aca="false">MAX(0,F3680-I3680-J3680)</f>
        <v>0</v>
      </c>
      <c r="N3680" s="13" t="n">
        <f aca="false">IF(Kalender!A20="",0,J3679-H3680)</f>
        <v>0.0180986400000001</v>
      </c>
    </row>
    <row r="3681" customFormat="false" ht="16.4" hidden="false" customHeight="false" outlineLevel="0" collapsed="false">
      <c r="A3681" s="13" t="str">
        <f aca="false">""</f>
        <v/>
      </c>
      <c r="B3681" s="13" t="n">
        <f aca="false">17</f>
        <v>17</v>
      </c>
      <c r="C3681" s="13" t="n">
        <f aca="false">IF(Szenarien!$H$21="OK",(IFERROR(SUMIF(Nutzungsprofile!$B$6:$B$11,"Schulbetrieb",Nutzungsprofile!$G$6:$G$11)*Kalender!C21/SUM(Kalender!$C$5:$C$370),0)+IFERROR(SUMIF(Nutzungsprofile!$B$6:$B$11,"Halle",Nutzungsprofile!$G$6:$G$11)*Kalender!D21/SUM(Kalender!$D$5:$D$370),0)+IFERROR(SUMIF(Nutzungsprofile!$B$6:$B$11,"Individuell",Nutzungsprofile!$G$6:$G$11)*Kalender!E21/SUM(Kalender!$E$5:$E$370),0))*Szenarien!$E$21,0)</f>
        <v>2.448</v>
      </c>
      <c r="D3681" s="13" t="n">
        <f aca="false">IF(Szenarien!$H$21="OK",(IFERROR(SUMIF(Nutzungsprofile!$B$17:$B$22,"Schulbetrieb",Nutzungsprofile!$G$17:$G$22)*Kalender!C21/SUM(Kalender!$C$5:$C$370),0)+IFERROR(SUMIF(Nutzungsprofile!$B$17:$B$22,"Halle",Nutzungsprofile!$G$17:$G$22)*Kalender!D21/SUM(Kalender!$D$5:$D$370),0)+IFERROR(SUMIF(Nutzungsprofile!$B$17:$B$22,"Individuell",Nutzungsprofile!$G$17:$G$22)*Kalender!E21/SUM(Kalender!$E$5:$E$370),0))*Szenarien!$D$21,0)</f>
        <v>0.89</v>
      </c>
      <c r="E3681" s="13" t="n">
        <f aca="false">IFERROR(MIN(C3681,Eingaben!$B$17)*Eingaben!$B$16,0)</f>
        <v>2.3256</v>
      </c>
      <c r="F3681" s="13" t="n">
        <f aca="false">IFERROR(E3681*Eingaben!$B$15,0)</f>
        <v>2.09304</v>
      </c>
      <c r="G3681" s="13" t="n">
        <f aca="false">IFERROR(IF(Kalender!A21="",0,J3680*(1-Eingaben!$B$20)),0)</f>
        <v>0.88683336</v>
      </c>
      <c r="H3681" s="13" t="n">
        <f aca="false">MIN(G3681,D3681)</f>
        <v>0.88683336</v>
      </c>
      <c r="I3681" s="13" t="n">
        <f aca="false">IFERROR(MIN(F3681*Eingaben!$B$19,MAX(0,D3681-H3681)),0)</f>
        <v>0.00316664</v>
      </c>
      <c r="J3681" s="13" t="n">
        <f aca="false">IFERROR(MIN(Eingaben!$B$18,MAX(0,F3681-I3681)),0)</f>
        <v>2</v>
      </c>
      <c r="K3681" s="13" t="n">
        <f aca="false">H3681+I3681</f>
        <v>0.89</v>
      </c>
      <c r="L3681" s="13" t="n">
        <f aca="false">MAX(0,D3681-K3681)</f>
        <v>0</v>
      </c>
      <c r="M3681" s="13" t="n">
        <f aca="false">MAX(0,F3681-I3681-J3681)</f>
        <v>0.0898733599999999</v>
      </c>
      <c r="N3681" s="13" t="n">
        <f aca="false">IF(Kalender!A21="",0,J3680-H3681)</f>
        <v>0.0180986400000001</v>
      </c>
    </row>
    <row r="3682" customFormat="false" ht="16.4" hidden="false" customHeight="false" outlineLevel="0" collapsed="false">
      <c r="A3682" s="13" t="str">
        <f aca="false">""</f>
        <v/>
      </c>
      <c r="B3682" s="13" t="n">
        <f aca="false">18</f>
        <v>18</v>
      </c>
      <c r="C3682" s="13" t="n">
        <f aca="false">IF(Szenarien!$H$21="OK",(IFERROR(SUMIF(Nutzungsprofile!$B$6:$B$11,"Schulbetrieb",Nutzungsprofile!$G$6:$G$11)*Kalender!C22/SUM(Kalender!$C$5:$C$370),0)+IFERROR(SUMIF(Nutzungsprofile!$B$6:$B$11,"Halle",Nutzungsprofile!$G$6:$G$11)*Kalender!D22/SUM(Kalender!$D$5:$D$370),0)+IFERROR(SUMIF(Nutzungsprofile!$B$6:$B$11,"Individuell",Nutzungsprofile!$G$6:$G$11)*Kalender!E22/SUM(Kalender!$E$5:$E$370),0))*Szenarien!$E$21,0)</f>
        <v>2.448</v>
      </c>
      <c r="D3682" s="13" t="n">
        <f aca="false">IF(Szenarien!$H$21="OK",(IFERROR(SUMIF(Nutzungsprofile!$B$17:$B$22,"Schulbetrieb",Nutzungsprofile!$G$17:$G$22)*Kalender!C22/SUM(Kalender!$C$5:$C$370),0)+IFERROR(SUMIF(Nutzungsprofile!$B$17:$B$22,"Halle",Nutzungsprofile!$G$17:$G$22)*Kalender!D22/SUM(Kalender!$D$5:$D$370),0)+IFERROR(SUMIF(Nutzungsprofile!$B$17:$B$22,"Individuell",Nutzungsprofile!$G$17:$G$22)*Kalender!E22/SUM(Kalender!$E$5:$E$370),0))*Szenarien!$D$21,0)</f>
        <v>0.89</v>
      </c>
      <c r="E3682" s="13" t="n">
        <f aca="false">IFERROR(MIN(C3682,Eingaben!$B$17)*Eingaben!$B$16,0)</f>
        <v>2.3256</v>
      </c>
      <c r="F3682" s="13" t="n">
        <f aca="false">IFERROR(E3682*Eingaben!$B$15,0)</f>
        <v>2.09304</v>
      </c>
      <c r="G3682" s="13" t="n">
        <f aca="false">IFERROR(IF(Kalender!A22="",0,J3681*(1-Eingaben!$B$20)),0)</f>
        <v>1.96</v>
      </c>
      <c r="H3682" s="13" t="n">
        <f aca="false">MIN(G3682,D3682)</f>
        <v>0.89</v>
      </c>
      <c r="I3682" s="13" t="n">
        <f aca="false">IFERROR(MIN(F3682*Eingaben!$B$19,MAX(0,D3682-H3682)),0)</f>
        <v>0</v>
      </c>
      <c r="J3682" s="13" t="n">
        <f aca="false">IFERROR(MIN(Eingaben!$B$18,MAX(0,F3682-I3682)),0)</f>
        <v>2</v>
      </c>
      <c r="K3682" s="13" t="n">
        <f aca="false">H3682+I3682</f>
        <v>0.89</v>
      </c>
      <c r="L3682" s="13" t="n">
        <f aca="false">MAX(0,D3682-K3682)</f>
        <v>0</v>
      </c>
      <c r="M3682" s="13" t="n">
        <f aca="false">MAX(0,F3682-I3682-J3682)</f>
        <v>0.0930399999999998</v>
      </c>
      <c r="N3682" s="13" t="n">
        <f aca="false">IF(Kalender!A22="",0,J3681-H3682)</f>
        <v>1.11</v>
      </c>
    </row>
    <row r="3683" customFormat="false" ht="16.4" hidden="false" customHeight="false" outlineLevel="0" collapsed="false">
      <c r="A3683" s="13" t="str">
        <f aca="false">""</f>
        <v/>
      </c>
      <c r="B3683" s="13" t="n">
        <f aca="false">19</f>
        <v>19</v>
      </c>
      <c r="C3683" s="13" t="n">
        <f aca="false">IF(Szenarien!$H$21="OK",(IFERROR(SUMIF(Nutzungsprofile!$B$6:$B$11,"Schulbetrieb",Nutzungsprofile!$G$6:$G$11)*Kalender!C23/SUM(Kalender!$C$5:$C$370),0)+IFERROR(SUMIF(Nutzungsprofile!$B$6:$B$11,"Halle",Nutzungsprofile!$G$6:$G$11)*Kalender!D23/SUM(Kalender!$D$5:$D$370),0)+IFERROR(SUMIF(Nutzungsprofile!$B$6:$B$11,"Individuell",Nutzungsprofile!$G$6:$G$11)*Kalender!E23/SUM(Kalender!$E$5:$E$370),0))*Szenarien!$E$21,0)</f>
        <v>3.528</v>
      </c>
      <c r="D3683" s="13" t="n">
        <f aca="false">IF(Szenarien!$H$21="OK",(IFERROR(SUMIF(Nutzungsprofile!$B$17:$B$22,"Schulbetrieb",Nutzungsprofile!$G$17:$G$22)*Kalender!C23/SUM(Kalender!$C$5:$C$370),0)+IFERROR(SUMIF(Nutzungsprofile!$B$17:$B$22,"Halle",Nutzungsprofile!$G$17:$G$22)*Kalender!D23/SUM(Kalender!$D$5:$D$370),0)+IFERROR(SUMIF(Nutzungsprofile!$B$17:$B$22,"Individuell",Nutzungsprofile!$G$17:$G$22)*Kalender!E23/SUM(Kalender!$E$5:$E$370),0))*Szenarien!$D$21,0)</f>
        <v>4.94</v>
      </c>
      <c r="E3683" s="13" t="n">
        <f aca="false">IFERROR(MIN(C3683,Eingaben!$B$17)*Eingaben!$B$16,0)</f>
        <v>3.3516</v>
      </c>
      <c r="F3683" s="13" t="n">
        <f aca="false">IFERROR(E3683*Eingaben!$B$15,0)</f>
        <v>3.01644</v>
      </c>
      <c r="G3683" s="13" t="n">
        <f aca="false">IFERROR(IF(Kalender!A23="",0,J3682*(1-Eingaben!$B$20)),0)</f>
        <v>1.96</v>
      </c>
      <c r="H3683" s="13" t="n">
        <f aca="false">MIN(G3683,D3683)</f>
        <v>1.96</v>
      </c>
      <c r="I3683" s="13" t="n">
        <f aca="false">IFERROR(MIN(F3683*Eingaben!$B$19,MAX(0,D3683-H3683)),0)</f>
        <v>2.111508</v>
      </c>
      <c r="J3683" s="13" t="n">
        <f aca="false">IFERROR(MIN(Eingaben!$B$18,MAX(0,F3683-I3683)),0)</f>
        <v>0.904932</v>
      </c>
      <c r="K3683" s="13" t="n">
        <f aca="false">H3683+I3683</f>
        <v>4.071508</v>
      </c>
      <c r="L3683" s="13" t="n">
        <f aca="false">MAX(0,D3683-K3683)</f>
        <v>0.868492</v>
      </c>
      <c r="M3683" s="13" t="n">
        <f aca="false">MAX(0,F3683-I3683-J3683)</f>
        <v>0</v>
      </c>
      <c r="N3683" s="13" t="n">
        <f aca="false">IF(Kalender!A23="",0,J3682-H3683)</f>
        <v>0.04</v>
      </c>
    </row>
    <row r="3684" customFormat="false" ht="16.4" hidden="false" customHeight="false" outlineLevel="0" collapsed="false">
      <c r="A3684" s="13" t="str">
        <f aca="false">""</f>
        <v/>
      </c>
      <c r="B3684" s="13" t="n">
        <f aca="false">20</f>
        <v>20</v>
      </c>
      <c r="C3684" s="13" t="n">
        <f aca="false">IF(Szenarien!$H$21="OK",(IFERROR(SUMIF(Nutzungsprofile!$B$6:$B$11,"Schulbetrieb",Nutzungsprofile!$G$6:$G$11)*Kalender!C24/SUM(Kalender!$C$5:$C$370),0)+IFERROR(SUMIF(Nutzungsprofile!$B$6:$B$11,"Halle",Nutzungsprofile!$G$6:$G$11)*Kalender!D24/SUM(Kalender!$D$5:$D$370),0)+IFERROR(SUMIF(Nutzungsprofile!$B$6:$B$11,"Individuell",Nutzungsprofile!$G$6:$G$11)*Kalender!E24/SUM(Kalender!$E$5:$E$370),0))*Szenarien!$E$21,0)</f>
        <v>3.528</v>
      </c>
      <c r="D3684" s="13" t="n">
        <f aca="false">IF(Szenarien!$H$21="OK",(IFERROR(SUMIF(Nutzungsprofile!$B$17:$B$22,"Schulbetrieb",Nutzungsprofile!$G$17:$G$22)*Kalender!C24/SUM(Kalender!$C$5:$C$370),0)+IFERROR(SUMIF(Nutzungsprofile!$B$17:$B$22,"Halle",Nutzungsprofile!$G$17:$G$22)*Kalender!D24/SUM(Kalender!$D$5:$D$370),0)+IFERROR(SUMIF(Nutzungsprofile!$B$17:$B$22,"Individuell",Nutzungsprofile!$G$17:$G$22)*Kalender!E24/SUM(Kalender!$E$5:$E$370),0))*Szenarien!$D$21,0)</f>
        <v>4.94</v>
      </c>
      <c r="E3684" s="13" t="n">
        <f aca="false">IFERROR(MIN(C3684,Eingaben!$B$17)*Eingaben!$B$16,0)</f>
        <v>3.3516</v>
      </c>
      <c r="F3684" s="13" t="n">
        <f aca="false">IFERROR(E3684*Eingaben!$B$15,0)</f>
        <v>3.01644</v>
      </c>
      <c r="G3684" s="13" t="n">
        <f aca="false">IFERROR(IF(Kalender!A24="",0,J3683*(1-Eingaben!$B$20)),0)</f>
        <v>0.88683336</v>
      </c>
      <c r="H3684" s="13" t="n">
        <f aca="false">MIN(G3684,D3684)</f>
        <v>0.88683336</v>
      </c>
      <c r="I3684" s="13" t="n">
        <f aca="false">IFERROR(MIN(F3684*Eingaben!$B$19,MAX(0,D3684-H3684)),0)</f>
        <v>2.111508</v>
      </c>
      <c r="J3684" s="13" t="n">
        <f aca="false">IFERROR(MIN(Eingaben!$B$18,MAX(0,F3684-I3684)),0)</f>
        <v>0.904932</v>
      </c>
      <c r="K3684" s="13" t="n">
        <f aca="false">H3684+I3684</f>
        <v>2.99834136</v>
      </c>
      <c r="L3684" s="13" t="n">
        <f aca="false">MAX(0,D3684-K3684)</f>
        <v>1.94165864</v>
      </c>
      <c r="M3684" s="13" t="n">
        <f aca="false">MAX(0,F3684-I3684-J3684)</f>
        <v>0</v>
      </c>
      <c r="N3684" s="13" t="n">
        <f aca="false">IF(Kalender!A24="",0,J3683-H3684)</f>
        <v>0.0180986400000001</v>
      </c>
    </row>
    <row r="3685" customFormat="false" ht="16.4" hidden="false" customHeight="false" outlineLevel="0" collapsed="false">
      <c r="A3685" s="13" t="str">
        <f aca="false">""</f>
        <v/>
      </c>
      <c r="B3685" s="13" t="n">
        <f aca="false">21</f>
        <v>21</v>
      </c>
      <c r="C3685" s="13" t="n">
        <f aca="false">IF(Szenarien!$H$21="OK",(IFERROR(SUMIF(Nutzungsprofile!$B$6:$B$11,"Schulbetrieb",Nutzungsprofile!$G$6:$G$11)*Kalender!C25/SUM(Kalender!$C$5:$C$370),0)+IFERROR(SUMIF(Nutzungsprofile!$B$6:$B$11,"Halle",Nutzungsprofile!$G$6:$G$11)*Kalender!D25/SUM(Kalender!$D$5:$D$370),0)+IFERROR(SUMIF(Nutzungsprofile!$B$6:$B$11,"Individuell",Nutzungsprofile!$G$6:$G$11)*Kalender!E25/SUM(Kalender!$E$5:$E$370),0))*Szenarien!$E$21,0)</f>
        <v>3.528</v>
      </c>
      <c r="D3685" s="13" t="n">
        <f aca="false">IF(Szenarien!$H$21="OK",(IFERROR(SUMIF(Nutzungsprofile!$B$17:$B$22,"Schulbetrieb",Nutzungsprofile!$G$17:$G$22)*Kalender!C25/SUM(Kalender!$C$5:$C$370),0)+IFERROR(SUMIF(Nutzungsprofile!$B$17:$B$22,"Halle",Nutzungsprofile!$G$17:$G$22)*Kalender!D25/SUM(Kalender!$D$5:$D$370),0)+IFERROR(SUMIF(Nutzungsprofile!$B$17:$B$22,"Individuell",Nutzungsprofile!$G$17:$G$22)*Kalender!E25/SUM(Kalender!$E$5:$E$370),0))*Szenarien!$D$21,0)</f>
        <v>4.94</v>
      </c>
      <c r="E3685" s="13" t="n">
        <f aca="false">IFERROR(MIN(C3685,Eingaben!$B$17)*Eingaben!$B$16,0)</f>
        <v>3.3516</v>
      </c>
      <c r="F3685" s="13" t="n">
        <f aca="false">IFERROR(E3685*Eingaben!$B$15,0)</f>
        <v>3.01644</v>
      </c>
      <c r="G3685" s="13" t="n">
        <f aca="false">IFERROR(IF(Kalender!A25="",0,J3684*(1-Eingaben!$B$20)),0)</f>
        <v>0.88683336</v>
      </c>
      <c r="H3685" s="13" t="n">
        <f aca="false">MIN(G3685,D3685)</f>
        <v>0.88683336</v>
      </c>
      <c r="I3685" s="13" t="n">
        <f aca="false">IFERROR(MIN(F3685*Eingaben!$B$19,MAX(0,D3685-H3685)),0)</f>
        <v>2.111508</v>
      </c>
      <c r="J3685" s="13" t="n">
        <f aca="false">IFERROR(MIN(Eingaben!$B$18,MAX(0,F3685-I3685)),0)</f>
        <v>0.904932</v>
      </c>
      <c r="K3685" s="13" t="n">
        <f aca="false">H3685+I3685</f>
        <v>2.99834136</v>
      </c>
      <c r="L3685" s="13" t="n">
        <f aca="false">MAX(0,D3685-K3685)</f>
        <v>1.94165864</v>
      </c>
      <c r="M3685" s="13" t="n">
        <f aca="false">MAX(0,F3685-I3685-J3685)</f>
        <v>0</v>
      </c>
      <c r="N3685" s="13" t="n">
        <f aca="false">IF(Kalender!A25="",0,J3684-H3685)</f>
        <v>0.0180986400000001</v>
      </c>
    </row>
    <row r="3686" customFormat="false" ht="16.4" hidden="false" customHeight="false" outlineLevel="0" collapsed="false">
      <c r="A3686" s="13" t="str">
        <f aca="false">""</f>
        <v/>
      </c>
      <c r="B3686" s="13" t="n">
        <f aca="false">22</f>
        <v>22</v>
      </c>
      <c r="C3686" s="13" t="n">
        <f aca="false">IF(Szenarien!$H$21="OK",(IFERROR(SUMIF(Nutzungsprofile!$B$6:$B$11,"Schulbetrieb",Nutzungsprofile!$G$6:$G$11)*Kalender!C26/SUM(Kalender!$C$5:$C$370),0)+IFERROR(SUMIF(Nutzungsprofile!$B$6:$B$11,"Halle",Nutzungsprofile!$G$6:$G$11)*Kalender!D26/SUM(Kalender!$D$5:$D$370),0)+IFERROR(SUMIF(Nutzungsprofile!$B$6:$B$11,"Individuell",Nutzungsprofile!$G$6:$G$11)*Kalender!E26/SUM(Kalender!$E$5:$E$370),0))*Szenarien!$E$21,0)</f>
        <v>3.528</v>
      </c>
      <c r="D3686" s="13" t="n">
        <f aca="false">IF(Szenarien!$H$21="OK",(IFERROR(SUMIF(Nutzungsprofile!$B$17:$B$22,"Schulbetrieb",Nutzungsprofile!$G$17:$G$22)*Kalender!C26/SUM(Kalender!$C$5:$C$370),0)+IFERROR(SUMIF(Nutzungsprofile!$B$17:$B$22,"Halle",Nutzungsprofile!$G$17:$G$22)*Kalender!D26/SUM(Kalender!$D$5:$D$370),0)+IFERROR(SUMIF(Nutzungsprofile!$B$17:$B$22,"Individuell",Nutzungsprofile!$G$17:$G$22)*Kalender!E26/SUM(Kalender!$E$5:$E$370),0))*Szenarien!$D$21,0)</f>
        <v>4.94</v>
      </c>
      <c r="E3686" s="13" t="n">
        <f aca="false">IFERROR(MIN(C3686,Eingaben!$B$17)*Eingaben!$B$16,0)</f>
        <v>3.3516</v>
      </c>
      <c r="F3686" s="13" t="n">
        <f aca="false">IFERROR(E3686*Eingaben!$B$15,0)</f>
        <v>3.01644</v>
      </c>
      <c r="G3686" s="13" t="n">
        <f aca="false">IFERROR(IF(Kalender!A26="",0,J3685*(1-Eingaben!$B$20)),0)</f>
        <v>0.88683336</v>
      </c>
      <c r="H3686" s="13" t="n">
        <f aca="false">MIN(G3686,D3686)</f>
        <v>0.88683336</v>
      </c>
      <c r="I3686" s="13" t="n">
        <f aca="false">IFERROR(MIN(F3686*Eingaben!$B$19,MAX(0,D3686-H3686)),0)</f>
        <v>2.111508</v>
      </c>
      <c r="J3686" s="13" t="n">
        <f aca="false">IFERROR(MIN(Eingaben!$B$18,MAX(0,F3686-I3686)),0)</f>
        <v>0.904932</v>
      </c>
      <c r="K3686" s="13" t="n">
        <f aca="false">H3686+I3686</f>
        <v>2.99834136</v>
      </c>
      <c r="L3686" s="13" t="n">
        <f aca="false">MAX(0,D3686-K3686)</f>
        <v>1.94165864</v>
      </c>
      <c r="M3686" s="13" t="n">
        <f aca="false">MAX(0,F3686-I3686-J3686)</f>
        <v>0</v>
      </c>
      <c r="N3686" s="13" t="n">
        <f aca="false">IF(Kalender!A26="",0,J3685-H3686)</f>
        <v>0.0180986400000001</v>
      </c>
    </row>
    <row r="3687" customFormat="false" ht="16.4" hidden="false" customHeight="false" outlineLevel="0" collapsed="false">
      <c r="A3687" s="13" t="str">
        <f aca="false">""</f>
        <v/>
      </c>
      <c r="B3687" s="13" t="n">
        <f aca="false">23</f>
        <v>23</v>
      </c>
      <c r="C3687" s="13" t="n">
        <f aca="false">IF(Szenarien!$H$21="OK",(IFERROR(SUMIF(Nutzungsprofile!$B$6:$B$11,"Schulbetrieb",Nutzungsprofile!$G$6:$G$11)*Kalender!C27/SUM(Kalender!$C$5:$C$370),0)+IFERROR(SUMIF(Nutzungsprofile!$B$6:$B$11,"Halle",Nutzungsprofile!$G$6:$G$11)*Kalender!D27/SUM(Kalender!$D$5:$D$370),0)+IFERROR(SUMIF(Nutzungsprofile!$B$6:$B$11,"Individuell",Nutzungsprofile!$G$6:$G$11)*Kalender!E27/SUM(Kalender!$E$5:$E$370),0))*Szenarien!$E$21,0)</f>
        <v>3.528</v>
      </c>
      <c r="D3687" s="13" t="n">
        <f aca="false">IF(Szenarien!$H$21="OK",(IFERROR(SUMIF(Nutzungsprofile!$B$17:$B$22,"Schulbetrieb",Nutzungsprofile!$G$17:$G$22)*Kalender!C27/SUM(Kalender!$C$5:$C$370),0)+IFERROR(SUMIF(Nutzungsprofile!$B$17:$B$22,"Halle",Nutzungsprofile!$G$17:$G$22)*Kalender!D27/SUM(Kalender!$D$5:$D$370),0)+IFERROR(SUMIF(Nutzungsprofile!$B$17:$B$22,"Individuell",Nutzungsprofile!$G$17:$G$22)*Kalender!E27/SUM(Kalender!$E$5:$E$370),0))*Szenarien!$D$21,0)</f>
        <v>4.94</v>
      </c>
      <c r="E3687" s="13" t="n">
        <f aca="false">IFERROR(MIN(C3687,Eingaben!$B$17)*Eingaben!$B$16,0)</f>
        <v>3.3516</v>
      </c>
      <c r="F3687" s="13" t="n">
        <f aca="false">IFERROR(E3687*Eingaben!$B$15,0)</f>
        <v>3.01644</v>
      </c>
      <c r="G3687" s="13" t="n">
        <f aca="false">IFERROR(IF(Kalender!A27="",0,J3686*(1-Eingaben!$B$20)),0)</f>
        <v>0.88683336</v>
      </c>
      <c r="H3687" s="13" t="n">
        <f aca="false">MIN(G3687,D3687)</f>
        <v>0.88683336</v>
      </c>
      <c r="I3687" s="13" t="n">
        <f aca="false">IFERROR(MIN(F3687*Eingaben!$B$19,MAX(0,D3687-H3687)),0)</f>
        <v>2.111508</v>
      </c>
      <c r="J3687" s="13" t="n">
        <f aca="false">IFERROR(MIN(Eingaben!$B$18,MAX(0,F3687-I3687)),0)</f>
        <v>0.904932</v>
      </c>
      <c r="K3687" s="13" t="n">
        <f aca="false">H3687+I3687</f>
        <v>2.99834136</v>
      </c>
      <c r="L3687" s="13" t="n">
        <f aca="false">MAX(0,D3687-K3687)</f>
        <v>1.94165864</v>
      </c>
      <c r="M3687" s="13" t="n">
        <f aca="false">MAX(0,F3687-I3687-J3687)</f>
        <v>0</v>
      </c>
      <c r="N3687" s="13" t="n">
        <f aca="false">IF(Kalender!A27="",0,J3686-H3687)</f>
        <v>0.0180986400000001</v>
      </c>
    </row>
    <row r="3688" customFormat="false" ht="16.4" hidden="false" customHeight="false" outlineLevel="0" collapsed="false">
      <c r="A3688" s="13" t="str">
        <f aca="false">""</f>
        <v/>
      </c>
      <c r="B3688" s="13" t="n">
        <f aca="false">24</f>
        <v>24</v>
      </c>
      <c r="C3688" s="13" t="n">
        <f aca="false">IF(Szenarien!$H$21="OK",(IFERROR(SUMIF(Nutzungsprofile!$B$6:$B$11,"Schulbetrieb",Nutzungsprofile!$G$6:$G$11)*Kalender!C28/SUM(Kalender!$C$5:$C$370),0)+IFERROR(SUMIF(Nutzungsprofile!$B$6:$B$11,"Halle",Nutzungsprofile!$G$6:$G$11)*Kalender!D28/SUM(Kalender!$D$5:$D$370),0)+IFERROR(SUMIF(Nutzungsprofile!$B$6:$B$11,"Individuell",Nutzungsprofile!$G$6:$G$11)*Kalender!E28/SUM(Kalender!$E$5:$E$370),0))*Szenarien!$E$21,0)</f>
        <v>2.448</v>
      </c>
      <c r="D3688" s="13" t="n">
        <f aca="false">IF(Szenarien!$H$21="OK",(IFERROR(SUMIF(Nutzungsprofile!$B$17:$B$22,"Schulbetrieb",Nutzungsprofile!$G$17:$G$22)*Kalender!C28/SUM(Kalender!$C$5:$C$370),0)+IFERROR(SUMIF(Nutzungsprofile!$B$17:$B$22,"Halle",Nutzungsprofile!$G$17:$G$22)*Kalender!D28/SUM(Kalender!$D$5:$D$370),0)+IFERROR(SUMIF(Nutzungsprofile!$B$17:$B$22,"Individuell",Nutzungsprofile!$G$17:$G$22)*Kalender!E28/SUM(Kalender!$E$5:$E$370),0))*Szenarien!$D$21,0)</f>
        <v>0.89</v>
      </c>
      <c r="E3688" s="13" t="n">
        <f aca="false">IFERROR(MIN(C3688,Eingaben!$B$17)*Eingaben!$B$16,0)</f>
        <v>2.3256</v>
      </c>
      <c r="F3688" s="13" t="n">
        <f aca="false">IFERROR(E3688*Eingaben!$B$15,0)</f>
        <v>2.09304</v>
      </c>
      <c r="G3688" s="13" t="n">
        <f aca="false">IFERROR(IF(Kalender!A28="",0,J3687*(1-Eingaben!$B$20)),0)</f>
        <v>0.88683336</v>
      </c>
      <c r="H3688" s="13" t="n">
        <f aca="false">MIN(G3688,D3688)</f>
        <v>0.88683336</v>
      </c>
      <c r="I3688" s="13" t="n">
        <f aca="false">IFERROR(MIN(F3688*Eingaben!$B$19,MAX(0,D3688-H3688)),0)</f>
        <v>0.00316664</v>
      </c>
      <c r="J3688" s="13" t="n">
        <f aca="false">IFERROR(MIN(Eingaben!$B$18,MAX(0,F3688-I3688)),0)</f>
        <v>2</v>
      </c>
      <c r="K3688" s="13" t="n">
        <f aca="false">H3688+I3688</f>
        <v>0.89</v>
      </c>
      <c r="L3688" s="13" t="n">
        <f aca="false">MAX(0,D3688-K3688)</f>
        <v>0</v>
      </c>
      <c r="M3688" s="13" t="n">
        <f aca="false">MAX(0,F3688-I3688-J3688)</f>
        <v>0.0898733599999999</v>
      </c>
      <c r="N3688" s="13" t="n">
        <f aca="false">IF(Kalender!A28="",0,J3687-H3688)</f>
        <v>0.0180986400000001</v>
      </c>
    </row>
    <row r="3689" customFormat="false" ht="16.4" hidden="false" customHeight="false" outlineLevel="0" collapsed="false">
      <c r="A3689" s="13" t="str">
        <f aca="false">""</f>
        <v/>
      </c>
      <c r="B3689" s="13" t="n">
        <f aca="false">25</f>
        <v>25</v>
      </c>
      <c r="C3689" s="13" t="n">
        <f aca="false">IF(Szenarien!$H$21="OK",(IFERROR(SUMIF(Nutzungsprofile!$B$6:$B$11,"Schulbetrieb",Nutzungsprofile!$G$6:$G$11)*Kalender!C29/SUM(Kalender!$C$5:$C$370),0)+IFERROR(SUMIF(Nutzungsprofile!$B$6:$B$11,"Halle",Nutzungsprofile!$G$6:$G$11)*Kalender!D29/SUM(Kalender!$D$5:$D$370),0)+IFERROR(SUMIF(Nutzungsprofile!$B$6:$B$11,"Individuell",Nutzungsprofile!$G$6:$G$11)*Kalender!E29/SUM(Kalender!$E$5:$E$370),0))*Szenarien!$E$21,0)</f>
        <v>2.448</v>
      </c>
      <c r="D3689" s="13" t="n">
        <f aca="false">IF(Szenarien!$H$21="OK",(IFERROR(SUMIF(Nutzungsprofile!$B$17:$B$22,"Schulbetrieb",Nutzungsprofile!$G$17:$G$22)*Kalender!C29/SUM(Kalender!$C$5:$C$370),0)+IFERROR(SUMIF(Nutzungsprofile!$B$17:$B$22,"Halle",Nutzungsprofile!$G$17:$G$22)*Kalender!D29/SUM(Kalender!$D$5:$D$370),0)+IFERROR(SUMIF(Nutzungsprofile!$B$17:$B$22,"Individuell",Nutzungsprofile!$G$17:$G$22)*Kalender!E29/SUM(Kalender!$E$5:$E$370),0))*Szenarien!$D$21,0)</f>
        <v>0.89</v>
      </c>
      <c r="E3689" s="13" t="n">
        <f aca="false">IFERROR(MIN(C3689,Eingaben!$B$17)*Eingaben!$B$16,0)</f>
        <v>2.3256</v>
      </c>
      <c r="F3689" s="13" t="n">
        <f aca="false">IFERROR(E3689*Eingaben!$B$15,0)</f>
        <v>2.09304</v>
      </c>
      <c r="G3689" s="13" t="n">
        <f aca="false">IFERROR(IF(Kalender!A29="",0,J3688*(1-Eingaben!$B$20)),0)</f>
        <v>1.96</v>
      </c>
      <c r="H3689" s="13" t="n">
        <f aca="false">MIN(G3689,D3689)</f>
        <v>0.89</v>
      </c>
      <c r="I3689" s="13" t="n">
        <f aca="false">IFERROR(MIN(F3689*Eingaben!$B$19,MAX(0,D3689-H3689)),0)</f>
        <v>0</v>
      </c>
      <c r="J3689" s="13" t="n">
        <f aca="false">IFERROR(MIN(Eingaben!$B$18,MAX(0,F3689-I3689)),0)</f>
        <v>2</v>
      </c>
      <c r="K3689" s="13" t="n">
        <f aca="false">H3689+I3689</f>
        <v>0.89</v>
      </c>
      <c r="L3689" s="13" t="n">
        <f aca="false">MAX(0,D3689-K3689)</f>
        <v>0</v>
      </c>
      <c r="M3689" s="13" t="n">
        <f aca="false">MAX(0,F3689-I3689-J3689)</f>
        <v>0.0930399999999998</v>
      </c>
      <c r="N3689" s="13" t="n">
        <f aca="false">IF(Kalender!A29="",0,J3688-H3689)</f>
        <v>1.11</v>
      </c>
    </row>
    <row r="3690" customFormat="false" ht="16.4" hidden="false" customHeight="false" outlineLevel="0" collapsed="false">
      <c r="A3690" s="13" t="str">
        <f aca="false">""</f>
        <v/>
      </c>
      <c r="B3690" s="13" t="n">
        <f aca="false">26</f>
        <v>26</v>
      </c>
      <c r="C3690" s="13" t="n">
        <f aca="false">IF(Szenarien!$H$21="OK",(IFERROR(SUMIF(Nutzungsprofile!$B$6:$B$11,"Schulbetrieb",Nutzungsprofile!$G$6:$G$11)*Kalender!C30/SUM(Kalender!$C$5:$C$370),0)+IFERROR(SUMIF(Nutzungsprofile!$B$6:$B$11,"Halle",Nutzungsprofile!$G$6:$G$11)*Kalender!D30/SUM(Kalender!$D$5:$D$370),0)+IFERROR(SUMIF(Nutzungsprofile!$B$6:$B$11,"Individuell",Nutzungsprofile!$G$6:$G$11)*Kalender!E30/SUM(Kalender!$E$5:$E$370),0))*Szenarien!$E$21,0)</f>
        <v>3.528</v>
      </c>
      <c r="D3690" s="13" t="n">
        <f aca="false">IF(Szenarien!$H$21="OK",(IFERROR(SUMIF(Nutzungsprofile!$B$17:$B$22,"Schulbetrieb",Nutzungsprofile!$G$17:$G$22)*Kalender!C30/SUM(Kalender!$C$5:$C$370),0)+IFERROR(SUMIF(Nutzungsprofile!$B$17:$B$22,"Halle",Nutzungsprofile!$G$17:$G$22)*Kalender!D30/SUM(Kalender!$D$5:$D$370),0)+IFERROR(SUMIF(Nutzungsprofile!$B$17:$B$22,"Individuell",Nutzungsprofile!$G$17:$G$22)*Kalender!E30/SUM(Kalender!$E$5:$E$370),0))*Szenarien!$D$21,0)</f>
        <v>4.94</v>
      </c>
      <c r="E3690" s="13" t="n">
        <f aca="false">IFERROR(MIN(C3690,Eingaben!$B$17)*Eingaben!$B$16,0)</f>
        <v>3.3516</v>
      </c>
      <c r="F3690" s="13" t="n">
        <f aca="false">IFERROR(E3690*Eingaben!$B$15,0)</f>
        <v>3.01644</v>
      </c>
      <c r="G3690" s="13" t="n">
        <f aca="false">IFERROR(IF(Kalender!A30="",0,J3689*(1-Eingaben!$B$20)),0)</f>
        <v>1.96</v>
      </c>
      <c r="H3690" s="13" t="n">
        <f aca="false">MIN(G3690,D3690)</f>
        <v>1.96</v>
      </c>
      <c r="I3690" s="13" t="n">
        <f aca="false">IFERROR(MIN(F3690*Eingaben!$B$19,MAX(0,D3690-H3690)),0)</f>
        <v>2.111508</v>
      </c>
      <c r="J3690" s="13" t="n">
        <f aca="false">IFERROR(MIN(Eingaben!$B$18,MAX(0,F3690-I3690)),0)</f>
        <v>0.904932</v>
      </c>
      <c r="K3690" s="13" t="n">
        <f aca="false">H3690+I3690</f>
        <v>4.071508</v>
      </c>
      <c r="L3690" s="13" t="n">
        <f aca="false">MAX(0,D3690-K3690)</f>
        <v>0.868492</v>
      </c>
      <c r="M3690" s="13" t="n">
        <f aca="false">MAX(0,F3690-I3690-J3690)</f>
        <v>0</v>
      </c>
      <c r="N3690" s="13" t="n">
        <f aca="false">IF(Kalender!A30="",0,J3689-H3690)</f>
        <v>0.04</v>
      </c>
    </row>
    <row r="3691" customFormat="false" ht="16.4" hidden="false" customHeight="false" outlineLevel="0" collapsed="false">
      <c r="A3691" s="13" t="str">
        <f aca="false">""</f>
        <v/>
      </c>
      <c r="B3691" s="13" t="n">
        <f aca="false">27</f>
        <v>27</v>
      </c>
      <c r="C3691" s="13" t="n">
        <f aca="false">IF(Szenarien!$H$21="OK",(IFERROR(SUMIF(Nutzungsprofile!$B$6:$B$11,"Schulbetrieb",Nutzungsprofile!$G$6:$G$11)*Kalender!C31/SUM(Kalender!$C$5:$C$370),0)+IFERROR(SUMIF(Nutzungsprofile!$B$6:$B$11,"Halle",Nutzungsprofile!$G$6:$G$11)*Kalender!D31/SUM(Kalender!$D$5:$D$370),0)+IFERROR(SUMIF(Nutzungsprofile!$B$6:$B$11,"Individuell",Nutzungsprofile!$G$6:$G$11)*Kalender!E31/SUM(Kalender!$E$5:$E$370),0))*Szenarien!$E$21,0)</f>
        <v>3.528</v>
      </c>
      <c r="D3691" s="13" t="n">
        <f aca="false">IF(Szenarien!$H$21="OK",(IFERROR(SUMIF(Nutzungsprofile!$B$17:$B$22,"Schulbetrieb",Nutzungsprofile!$G$17:$G$22)*Kalender!C31/SUM(Kalender!$C$5:$C$370),0)+IFERROR(SUMIF(Nutzungsprofile!$B$17:$B$22,"Halle",Nutzungsprofile!$G$17:$G$22)*Kalender!D31/SUM(Kalender!$D$5:$D$370),0)+IFERROR(SUMIF(Nutzungsprofile!$B$17:$B$22,"Individuell",Nutzungsprofile!$G$17:$G$22)*Kalender!E31/SUM(Kalender!$E$5:$E$370),0))*Szenarien!$D$21,0)</f>
        <v>4.94</v>
      </c>
      <c r="E3691" s="13" t="n">
        <f aca="false">IFERROR(MIN(C3691,Eingaben!$B$17)*Eingaben!$B$16,0)</f>
        <v>3.3516</v>
      </c>
      <c r="F3691" s="13" t="n">
        <f aca="false">IFERROR(E3691*Eingaben!$B$15,0)</f>
        <v>3.01644</v>
      </c>
      <c r="G3691" s="13" t="n">
        <f aca="false">IFERROR(IF(Kalender!A31="",0,J3690*(1-Eingaben!$B$20)),0)</f>
        <v>0.88683336</v>
      </c>
      <c r="H3691" s="13" t="n">
        <f aca="false">MIN(G3691,D3691)</f>
        <v>0.88683336</v>
      </c>
      <c r="I3691" s="13" t="n">
        <f aca="false">IFERROR(MIN(F3691*Eingaben!$B$19,MAX(0,D3691-H3691)),0)</f>
        <v>2.111508</v>
      </c>
      <c r="J3691" s="13" t="n">
        <f aca="false">IFERROR(MIN(Eingaben!$B$18,MAX(0,F3691-I3691)),0)</f>
        <v>0.904932</v>
      </c>
      <c r="K3691" s="13" t="n">
        <f aca="false">H3691+I3691</f>
        <v>2.99834136</v>
      </c>
      <c r="L3691" s="13" t="n">
        <f aca="false">MAX(0,D3691-K3691)</f>
        <v>1.94165864</v>
      </c>
      <c r="M3691" s="13" t="n">
        <f aca="false">MAX(0,F3691-I3691-J3691)</f>
        <v>0</v>
      </c>
      <c r="N3691" s="13" t="n">
        <f aca="false">IF(Kalender!A31="",0,J3690-H3691)</f>
        <v>0.0180986400000001</v>
      </c>
    </row>
    <row r="3692" customFormat="false" ht="16.4" hidden="false" customHeight="false" outlineLevel="0" collapsed="false">
      <c r="A3692" s="13" t="str">
        <f aca="false">""</f>
        <v/>
      </c>
      <c r="B3692" s="13" t="n">
        <f aca="false">28</f>
        <v>28</v>
      </c>
      <c r="C3692" s="13" t="n">
        <f aca="false">IF(Szenarien!$H$21="OK",(IFERROR(SUMIF(Nutzungsprofile!$B$6:$B$11,"Schulbetrieb",Nutzungsprofile!$G$6:$G$11)*Kalender!C32/SUM(Kalender!$C$5:$C$370),0)+IFERROR(SUMIF(Nutzungsprofile!$B$6:$B$11,"Halle",Nutzungsprofile!$G$6:$G$11)*Kalender!D32/SUM(Kalender!$D$5:$D$370),0)+IFERROR(SUMIF(Nutzungsprofile!$B$6:$B$11,"Individuell",Nutzungsprofile!$G$6:$G$11)*Kalender!E32/SUM(Kalender!$E$5:$E$370),0))*Szenarien!$E$21,0)</f>
        <v>3.528</v>
      </c>
      <c r="D3692" s="13" t="n">
        <f aca="false">IF(Szenarien!$H$21="OK",(IFERROR(SUMIF(Nutzungsprofile!$B$17:$B$22,"Schulbetrieb",Nutzungsprofile!$G$17:$G$22)*Kalender!C32/SUM(Kalender!$C$5:$C$370),0)+IFERROR(SUMIF(Nutzungsprofile!$B$17:$B$22,"Halle",Nutzungsprofile!$G$17:$G$22)*Kalender!D32/SUM(Kalender!$D$5:$D$370),0)+IFERROR(SUMIF(Nutzungsprofile!$B$17:$B$22,"Individuell",Nutzungsprofile!$G$17:$G$22)*Kalender!E32/SUM(Kalender!$E$5:$E$370),0))*Szenarien!$D$21,0)</f>
        <v>4.94</v>
      </c>
      <c r="E3692" s="13" t="n">
        <f aca="false">IFERROR(MIN(C3692,Eingaben!$B$17)*Eingaben!$B$16,0)</f>
        <v>3.3516</v>
      </c>
      <c r="F3692" s="13" t="n">
        <f aca="false">IFERROR(E3692*Eingaben!$B$15,0)</f>
        <v>3.01644</v>
      </c>
      <c r="G3692" s="13" t="n">
        <f aca="false">IFERROR(IF(Kalender!A32="",0,J3691*(1-Eingaben!$B$20)),0)</f>
        <v>0.88683336</v>
      </c>
      <c r="H3692" s="13" t="n">
        <f aca="false">MIN(G3692,D3692)</f>
        <v>0.88683336</v>
      </c>
      <c r="I3692" s="13" t="n">
        <f aca="false">IFERROR(MIN(F3692*Eingaben!$B$19,MAX(0,D3692-H3692)),0)</f>
        <v>2.111508</v>
      </c>
      <c r="J3692" s="13" t="n">
        <f aca="false">IFERROR(MIN(Eingaben!$B$18,MAX(0,F3692-I3692)),0)</f>
        <v>0.904932</v>
      </c>
      <c r="K3692" s="13" t="n">
        <f aca="false">H3692+I3692</f>
        <v>2.99834136</v>
      </c>
      <c r="L3692" s="13" t="n">
        <f aca="false">MAX(0,D3692-K3692)</f>
        <v>1.94165864</v>
      </c>
      <c r="M3692" s="13" t="n">
        <f aca="false">MAX(0,F3692-I3692-J3692)</f>
        <v>0</v>
      </c>
      <c r="N3692" s="13" t="n">
        <f aca="false">IF(Kalender!A32="",0,J3691-H3692)</f>
        <v>0.0180986400000001</v>
      </c>
    </row>
    <row r="3693" customFormat="false" ht="16.4" hidden="false" customHeight="false" outlineLevel="0" collapsed="false">
      <c r="A3693" s="13" t="str">
        <f aca="false">""</f>
        <v/>
      </c>
      <c r="B3693" s="13" t="n">
        <f aca="false">29</f>
        <v>29</v>
      </c>
      <c r="C3693" s="13" t="n">
        <f aca="false">IF(Szenarien!$H$21="OK",(IFERROR(SUMIF(Nutzungsprofile!$B$6:$B$11,"Schulbetrieb",Nutzungsprofile!$G$6:$G$11)*Kalender!C33/SUM(Kalender!$C$5:$C$370),0)+IFERROR(SUMIF(Nutzungsprofile!$B$6:$B$11,"Halle",Nutzungsprofile!$G$6:$G$11)*Kalender!D33/SUM(Kalender!$D$5:$D$370),0)+IFERROR(SUMIF(Nutzungsprofile!$B$6:$B$11,"Individuell",Nutzungsprofile!$G$6:$G$11)*Kalender!E33/SUM(Kalender!$E$5:$E$370),0))*Szenarien!$E$21,0)</f>
        <v>3.528</v>
      </c>
      <c r="D3693" s="13" t="n">
        <f aca="false">IF(Szenarien!$H$21="OK",(IFERROR(SUMIF(Nutzungsprofile!$B$17:$B$22,"Schulbetrieb",Nutzungsprofile!$G$17:$G$22)*Kalender!C33/SUM(Kalender!$C$5:$C$370),0)+IFERROR(SUMIF(Nutzungsprofile!$B$17:$B$22,"Halle",Nutzungsprofile!$G$17:$G$22)*Kalender!D33/SUM(Kalender!$D$5:$D$370),0)+IFERROR(SUMIF(Nutzungsprofile!$B$17:$B$22,"Individuell",Nutzungsprofile!$G$17:$G$22)*Kalender!E33/SUM(Kalender!$E$5:$E$370),0))*Szenarien!$D$21,0)</f>
        <v>4.94</v>
      </c>
      <c r="E3693" s="13" t="n">
        <f aca="false">IFERROR(MIN(C3693,Eingaben!$B$17)*Eingaben!$B$16,0)</f>
        <v>3.3516</v>
      </c>
      <c r="F3693" s="13" t="n">
        <f aca="false">IFERROR(E3693*Eingaben!$B$15,0)</f>
        <v>3.01644</v>
      </c>
      <c r="G3693" s="13" t="n">
        <f aca="false">IFERROR(IF(Kalender!A33="",0,J3692*(1-Eingaben!$B$20)),0)</f>
        <v>0.88683336</v>
      </c>
      <c r="H3693" s="13" t="n">
        <f aca="false">MIN(G3693,D3693)</f>
        <v>0.88683336</v>
      </c>
      <c r="I3693" s="13" t="n">
        <f aca="false">IFERROR(MIN(F3693*Eingaben!$B$19,MAX(0,D3693-H3693)),0)</f>
        <v>2.111508</v>
      </c>
      <c r="J3693" s="13" t="n">
        <f aca="false">IFERROR(MIN(Eingaben!$B$18,MAX(0,F3693-I3693)),0)</f>
        <v>0.904932</v>
      </c>
      <c r="K3693" s="13" t="n">
        <f aca="false">H3693+I3693</f>
        <v>2.99834136</v>
      </c>
      <c r="L3693" s="13" t="n">
        <f aca="false">MAX(0,D3693-K3693)</f>
        <v>1.94165864</v>
      </c>
      <c r="M3693" s="13" t="n">
        <f aca="false">MAX(0,F3693-I3693-J3693)</f>
        <v>0</v>
      </c>
      <c r="N3693" s="13" t="n">
        <f aca="false">IF(Kalender!A33="",0,J3692-H3693)</f>
        <v>0.0180986400000001</v>
      </c>
    </row>
    <row r="3694" customFormat="false" ht="16.4" hidden="false" customHeight="false" outlineLevel="0" collapsed="false">
      <c r="A3694" s="13" t="str">
        <f aca="false">""</f>
        <v/>
      </c>
      <c r="B3694" s="13" t="n">
        <f aca="false">30</f>
        <v>30</v>
      </c>
      <c r="C3694" s="13" t="n">
        <f aca="false">IF(Szenarien!$H$21="OK",(IFERROR(SUMIF(Nutzungsprofile!$B$6:$B$11,"Schulbetrieb",Nutzungsprofile!$G$6:$G$11)*Kalender!C34/SUM(Kalender!$C$5:$C$370),0)+IFERROR(SUMIF(Nutzungsprofile!$B$6:$B$11,"Halle",Nutzungsprofile!$G$6:$G$11)*Kalender!D34/SUM(Kalender!$D$5:$D$370),0)+IFERROR(SUMIF(Nutzungsprofile!$B$6:$B$11,"Individuell",Nutzungsprofile!$G$6:$G$11)*Kalender!E34/SUM(Kalender!$E$5:$E$370),0))*Szenarien!$E$21,0)</f>
        <v>3.528</v>
      </c>
      <c r="D3694" s="13" t="n">
        <f aca="false">IF(Szenarien!$H$21="OK",(IFERROR(SUMIF(Nutzungsprofile!$B$17:$B$22,"Schulbetrieb",Nutzungsprofile!$G$17:$G$22)*Kalender!C34/SUM(Kalender!$C$5:$C$370),0)+IFERROR(SUMIF(Nutzungsprofile!$B$17:$B$22,"Halle",Nutzungsprofile!$G$17:$G$22)*Kalender!D34/SUM(Kalender!$D$5:$D$370),0)+IFERROR(SUMIF(Nutzungsprofile!$B$17:$B$22,"Individuell",Nutzungsprofile!$G$17:$G$22)*Kalender!E34/SUM(Kalender!$E$5:$E$370),0))*Szenarien!$D$21,0)</f>
        <v>4.94</v>
      </c>
      <c r="E3694" s="13" t="n">
        <f aca="false">IFERROR(MIN(C3694,Eingaben!$B$17)*Eingaben!$B$16,0)</f>
        <v>3.3516</v>
      </c>
      <c r="F3694" s="13" t="n">
        <f aca="false">IFERROR(E3694*Eingaben!$B$15,0)</f>
        <v>3.01644</v>
      </c>
      <c r="G3694" s="13" t="n">
        <f aca="false">IFERROR(IF(Kalender!A34="",0,J3693*(1-Eingaben!$B$20)),0)</f>
        <v>0.88683336</v>
      </c>
      <c r="H3694" s="13" t="n">
        <f aca="false">MIN(G3694,D3694)</f>
        <v>0.88683336</v>
      </c>
      <c r="I3694" s="13" t="n">
        <f aca="false">IFERROR(MIN(F3694*Eingaben!$B$19,MAX(0,D3694-H3694)),0)</f>
        <v>2.111508</v>
      </c>
      <c r="J3694" s="13" t="n">
        <f aca="false">IFERROR(MIN(Eingaben!$B$18,MAX(0,F3694-I3694)),0)</f>
        <v>0.904932</v>
      </c>
      <c r="K3694" s="13" t="n">
        <f aca="false">H3694+I3694</f>
        <v>2.99834136</v>
      </c>
      <c r="L3694" s="13" t="n">
        <f aca="false">MAX(0,D3694-K3694)</f>
        <v>1.94165864</v>
      </c>
      <c r="M3694" s="13" t="n">
        <f aca="false">MAX(0,F3694-I3694-J3694)</f>
        <v>0</v>
      </c>
      <c r="N3694" s="13" t="n">
        <f aca="false">IF(Kalender!A34="",0,J3693-H3694)</f>
        <v>0.0180986400000001</v>
      </c>
    </row>
    <row r="3695" customFormat="false" ht="16.4" hidden="false" customHeight="false" outlineLevel="0" collapsed="false">
      <c r="A3695" s="13" t="str">
        <f aca="false">""</f>
        <v/>
      </c>
      <c r="B3695" s="13" t="n">
        <f aca="false">31</f>
        <v>31</v>
      </c>
      <c r="C3695" s="13" t="n">
        <f aca="false">IF(Szenarien!$H$21="OK",(IFERROR(SUMIF(Nutzungsprofile!$B$6:$B$11,"Schulbetrieb",Nutzungsprofile!$G$6:$G$11)*Kalender!C35/SUM(Kalender!$C$5:$C$370),0)+IFERROR(SUMIF(Nutzungsprofile!$B$6:$B$11,"Halle",Nutzungsprofile!$G$6:$G$11)*Kalender!D35/SUM(Kalender!$D$5:$D$370),0)+IFERROR(SUMIF(Nutzungsprofile!$B$6:$B$11,"Individuell",Nutzungsprofile!$G$6:$G$11)*Kalender!E35/SUM(Kalender!$E$5:$E$370),0))*Szenarien!$E$21,0)</f>
        <v>2.448</v>
      </c>
      <c r="D3695" s="13" t="n">
        <f aca="false">IF(Szenarien!$H$21="OK",(IFERROR(SUMIF(Nutzungsprofile!$B$17:$B$22,"Schulbetrieb",Nutzungsprofile!$G$17:$G$22)*Kalender!C35/SUM(Kalender!$C$5:$C$370),0)+IFERROR(SUMIF(Nutzungsprofile!$B$17:$B$22,"Halle",Nutzungsprofile!$G$17:$G$22)*Kalender!D35/SUM(Kalender!$D$5:$D$370),0)+IFERROR(SUMIF(Nutzungsprofile!$B$17:$B$22,"Individuell",Nutzungsprofile!$G$17:$G$22)*Kalender!E35/SUM(Kalender!$E$5:$E$370),0))*Szenarien!$D$21,0)</f>
        <v>0.89</v>
      </c>
      <c r="E3695" s="13" t="n">
        <f aca="false">IFERROR(MIN(C3695,Eingaben!$B$17)*Eingaben!$B$16,0)</f>
        <v>2.3256</v>
      </c>
      <c r="F3695" s="13" t="n">
        <f aca="false">IFERROR(E3695*Eingaben!$B$15,0)</f>
        <v>2.09304</v>
      </c>
      <c r="G3695" s="13" t="n">
        <f aca="false">IFERROR(IF(Kalender!A35="",0,J3694*(1-Eingaben!$B$20)),0)</f>
        <v>0.88683336</v>
      </c>
      <c r="H3695" s="13" t="n">
        <f aca="false">MIN(G3695,D3695)</f>
        <v>0.88683336</v>
      </c>
      <c r="I3695" s="13" t="n">
        <f aca="false">IFERROR(MIN(F3695*Eingaben!$B$19,MAX(0,D3695-H3695)),0)</f>
        <v>0.00316664</v>
      </c>
      <c r="J3695" s="13" t="n">
        <f aca="false">IFERROR(MIN(Eingaben!$B$18,MAX(0,F3695-I3695)),0)</f>
        <v>2</v>
      </c>
      <c r="K3695" s="13" t="n">
        <f aca="false">H3695+I3695</f>
        <v>0.89</v>
      </c>
      <c r="L3695" s="13" t="n">
        <f aca="false">MAX(0,D3695-K3695)</f>
        <v>0</v>
      </c>
      <c r="M3695" s="13" t="n">
        <f aca="false">MAX(0,F3695-I3695-J3695)</f>
        <v>0.0898733599999999</v>
      </c>
      <c r="N3695" s="13" t="n">
        <f aca="false">IF(Kalender!A35="",0,J3694-H3695)</f>
        <v>0.0180986400000001</v>
      </c>
    </row>
    <row r="3696" customFormat="false" ht="16.4" hidden="false" customHeight="false" outlineLevel="0" collapsed="false">
      <c r="A3696" s="13" t="str">
        <f aca="false">""</f>
        <v/>
      </c>
      <c r="B3696" s="13" t="n">
        <f aca="false">32</f>
        <v>32</v>
      </c>
      <c r="C3696" s="13" t="n">
        <f aca="false">IF(Szenarien!$H$21="OK",(IFERROR(SUMIF(Nutzungsprofile!$B$6:$B$11,"Schulbetrieb",Nutzungsprofile!$G$6:$G$11)*Kalender!C36/SUM(Kalender!$C$5:$C$370),0)+IFERROR(SUMIF(Nutzungsprofile!$B$6:$B$11,"Halle",Nutzungsprofile!$G$6:$G$11)*Kalender!D36/SUM(Kalender!$D$5:$D$370),0)+IFERROR(SUMIF(Nutzungsprofile!$B$6:$B$11,"Individuell",Nutzungsprofile!$G$6:$G$11)*Kalender!E36/SUM(Kalender!$E$5:$E$370),0))*Szenarien!$E$21,0)</f>
        <v>2.448</v>
      </c>
      <c r="D3696" s="13" t="n">
        <f aca="false">IF(Szenarien!$H$21="OK",(IFERROR(SUMIF(Nutzungsprofile!$B$17:$B$22,"Schulbetrieb",Nutzungsprofile!$G$17:$G$22)*Kalender!C36/SUM(Kalender!$C$5:$C$370),0)+IFERROR(SUMIF(Nutzungsprofile!$B$17:$B$22,"Halle",Nutzungsprofile!$G$17:$G$22)*Kalender!D36/SUM(Kalender!$D$5:$D$370),0)+IFERROR(SUMIF(Nutzungsprofile!$B$17:$B$22,"Individuell",Nutzungsprofile!$G$17:$G$22)*Kalender!E36/SUM(Kalender!$E$5:$E$370),0))*Szenarien!$D$21,0)</f>
        <v>0.89</v>
      </c>
      <c r="E3696" s="13" t="n">
        <f aca="false">IFERROR(MIN(C3696,Eingaben!$B$17)*Eingaben!$B$16,0)</f>
        <v>2.3256</v>
      </c>
      <c r="F3696" s="13" t="n">
        <f aca="false">IFERROR(E3696*Eingaben!$B$15,0)</f>
        <v>2.09304</v>
      </c>
      <c r="G3696" s="13" t="n">
        <f aca="false">IFERROR(IF(Kalender!A36="",0,J3695*(1-Eingaben!$B$20)),0)</f>
        <v>1.96</v>
      </c>
      <c r="H3696" s="13" t="n">
        <f aca="false">MIN(G3696,D3696)</f>
        <v>0.89</v>
      </c>
      <c r="I3696" s="13" t="n">
        <f aca="false">IFERROR(MIN(F3696*Eingaben!$B$19,MAX(0,D3696-H3696)),0)</f>
        <v>0</v>
      </c>
      <c r="J3696" s="13" t="n">
        <f aca="false">IFERROR(MIN(Eingaben!$B$18,MAX(0,F3696-I3696)),0)</f>
        <v>2</v>
      </c>
      <c r="K3696" s="13" t="n">
        <f aca="false">H3696+I3696</f>
        <v>0.89</v>
      </c>
      <c r="L3696" s="13" t="n">
        <f aca="false">MAX(0,D3696-K3696)</f>
        <v>0</v>
      </c>
      <c r="M3696" s="13" t="n">
        <f aca="false">MAX(0,F3696-I3696-J3696)</f>
        <v>0.0930399999999998</v>
      </c>
      <c r="N3696" s="13" t="n">
        <f aca="false">IF(Kalender!A36="",0,J3695-H3696)</f>
        <v>1.11</v>
      </c>
    </row>
    <row r="3697" customFormat="false" ht="16.4" hidden="false" customHeight="false" outlineLevel="0" collapsed="false">
      <c r="A3697" s="13" t="str">
        <f aca="false">""</f>
        <v/>
      </c>
      <c r="B3697" s="13" t="n">
        <f aca="false">33</f>
        <v>33</v>
      </c>
      <c r="C3697" s="13" t="n">
        <f aca="false">IF(Szenarien!$H$21="OK",(IFERROR(SUMIF(Nutzungsprofile!$B$6:$B$11,"Schulbetrieb",Nutzungsprofile!$G$6:$G$11)*Kalender!C37/SUM(Kalender!$C$5:$C$370),0)+IFERROR(SUMIF(Nutzungsprofile!$B$6:$B$11,"Halle",Nutzungsprofile!$G$6:$G$11)*Kalender!D37/SUM(Kalender!$D$5:$D$370),0)+IFERROR(SUMIF(Nutzungsprofile!$B$6:$B$11,"Individuell",Nutzungsprofile!$G$6:$G$11)*Kalender!E37/SUM(Kalender!$E$5:$E$370),0))*Szenarien!$E$21,0)</f>
        <v>3.528</v>
      </c>
      <c r="D3697" s="13" t="n">
        <f aca="false">IF(Szenarien!$H$21="OK",(IFERROR(SUMIF(Nutzungsprofile!$B$17:$B$22,"Schulbetrieb",Nutzungsprofile!$G$17:$G$22)*Kalender!C37/SUM(Kalender!$C$5:$C$370),0)+IFERROR(SUMIF(Nutzungsprofile!$B$17:$B$22,"Halle",Nutzungsprofile!$G$17:$G$22)*Kalender!D37/SUM(Kalender!$D$5:$D$370),0)+IFERROR(SUMIF(Nutzungsprofile!$B$17:$B$22,"Individuell",Nutzungsprofile!$G$17:$G$22)*Kalender!E37/SUM(Kalender!$E$5:$E$370),0))*Szenarien!$D$21,0)</f>
        <v>4.94</v>
      </c>
      <c r="E3697" s="13" t="n">
        <f aca="false">IFERROR(MIN(C3697,Eingaben!$B$17)*Eingaben!$B$16,0)</f>
        <v>3.3516</v>
      </c>
      <c r="F3697" s="13" t="n">
        <f aca="false">IFERROR(E3697*Eingaben!$B$15,0)</f>
        <v>3.01644</v>
      </c>
      <c r="G3697" s="13" t="n">
        <f aca="false">IFERROR(IF(Kalender!A37="",0,J3696*(1-Eingaben!$B$20)),0)</f>
        <v>1.96</v>
      </c>
      <c r="H3697" s="13" t="n">
        <f aca="false">MIN(G3697,D3697)</f>
        <v>1.96</v>
      </c>
      <c r="I3697" s="13" t="n">
        <f aca="false">IFERROR(MIN(F3697*Eingaben!$B$19,MAX(0,D3697-H3697)),0)</f>
        <v>2.111508</v>
      </c>
      <c r="J3697" s="13" t="n">
        <f aca="false">IFERROR(MIN(Eingaben!$B$18,MAX(0,F3697-I3697)),0)</f>
        <v>0.904932</v>
      </c>
      <c r="K3697" s="13" t="n">
        <f aca="false">H3697+I3697</f>
        <v>4.071508</v>
      </c>
      <c r="L3697" s="13" t="n">
        <f aca="false">MAX(0,D3697-K3697)</f>
        <v>0.868492</v>
      </c>
      <c r="M3697" s="13" t="n">
        <f aca="false">MAX(0,F3697-I3697-J3697)</f>
        <v>0</v>
      </c>
      <c r="N3697" s="13" t="n">
        <f aca="false">IF(Kalender!A37="",0,J3696-H3697)</f>
        <v>0.04</v>
      </c>
    </row>
    <row r="3698" customFormat="false" ht="16.4" hidden="false" customHeight="false" outlineLevel="0" collapsed="false">
      <c r="A3698" s="13" t="str">
        <f aca="false">""</f>
        <v/>
      </c>
      <c r="B3698" s="13" t="n">
        <f aca="false">34</f>
        <v>34</v>
      </c>
      <c r="C3698" s="13" t="n">
        <f aca="false">IF(Szenarien!$H$21="OK",(IFERROR(SUMIF(Nutzungsprofile!$B$6:$B$11,"Schulbetrieb",Nutzungsprofile!$G$6:$G$11)*Kalender!C38/SUM(Kalender!$C$5:$C$370),0)+IFERROR(SUMIF(Nutzungsprofile!$B$6:$B$11,"Halle",Nutzungsprofile!$G$6:$G$11)*Kalender!D38/SUM(Kalender!$D$5:$D$370),0)+IFERROR(SUMIF(Nutzungsprofile!$B$6:$B$11,"Individuell",Nutzungsprofile!$G$6:$G$11)*Kalender!E38/SUM(Kalender!$E$5:$E$370),0))*Szenarien!$E$21,0)</f>
        <v>3.528</v>
      </c>
      <c r="D3698" s="13" t="n">
        <f aca="false">IF(Szenarien!$H$21="OK",(IFERROR(SUMIF(Nutzungsprofile!$B$17:$B$22,"Schulbetrieb",Nutzungsprofile!$G$17:$G$22)*Kalender!C38/SUM(Kalender!$C$5:$C$370),0)+IFERROR(SUMIF(Nutzungsprofile!$B$17:$B$22,"Halle",Nutzungsprofile!$G$17:$G$22)*Kalender!D38/SUM(Kalender!$D$5:$D$370),0)+IFERROR(SUMIF(Nutzungsprofile!$B$17:$B$22,"Individuell",Nutzungsprofile!$G$17:$G$22)*Kalender!E38/SUM(Kalender!$E$5:$E$370),0))*Szenarien!$D$21,0)</f>
        <v>4.94</v>
      </c>
      <c r="E3698" s="13" t="n">
        <f aca="false">IFERROR(MIN(C3698,Eingaben!$B$17)*Eingaben!$B$16,0)</f>
        <v>3.3516</v>
      </c>
      <c r="F3698" s="13" t="n">
        <f aca="false">IFERROR(E3698*Eingaben!$B$15,0)</f>
        <v>3.01644</v>
      </c>
      <c r="G3698" s="13" t="n">
        <f aca="false">IFERROR(IF(Kalender!A38="",0,J3697*(1-Eingaben!$B$20)),0)</f>
        <v>0.88683336</v>
      </c>
      <c r="H3698" s="13" t="n">
        <f aca="false">MIN(G3698,D3698)</f>
        <v>0.88683336</v>
      </c>
      <c r="I3698" s="13" t="n">
        <f aca="false">IFERROR(MIN(F3698*Eingaben!$B$19,MAX(0,D3698-H3698)),0)</f>
        <v>2.111508</v>
      </c>
      <c r="J3698" s="13" t="n">
        <f aca="false">IFERROR(MIN(Eingaben!$B$18,MAX(0,F3698-I3698)),0)</f>
        <v>0.904932</v>
      </c>
      <c r="K3698" s="13" t="n">
        <f aca="false">H3698+I3698</f>
        <v>2.99834136</v>
      </c>
      <c r="L3698" s="13" t="n">
        <f aca="false">MAX(0,D3698-K3698)</f>
        <v>1.94165864</v>
      </c>
      <c r="M3698" s="13" t="n">
        <f aca="false">MAX(0,F3698-I3698-J3698)</f>
        <v>0</v>
      </c>
      <c r="N3698" s="13" t="n">
        <f aca="false">IF(Kalender!A38="",0,J3697-H3698)</f>
        <v>0.0180986400000001</v>
      </c>
    </row>
    <row r="3699" customFormat="false" ht="16.4" hidden="false" customHeight="false" outlineLevel="0" collapsed="false">
      <c r="A3699" s="13" t="str">
        <f aca="false">""</f>
        <v/>
      </c>
      <c r="B3699" s="13" t="n">
        <f aca="false">35</f>
        <v>35</v>
      </c>
      <c r="C3699" s="13" t="n">
        <f aca="false">IF(Szenarien!$H$21="OK",(IFERROR(SUMIF(Nutzungsprofile!$B$6:$B$11,"Schulbetrieb",Nutzungsprofile!$G$6:$G$11)*Kalender!C39/SUM(Kalender!$C$5:$C$370),0)+IFERROR(SUMIF(Nutzungsprofile!$B$6:$B$11,"Halle",Nutzungsprofile!$G$6:$G$11)*Kalender!D39/SUM(Kalender!$D$5:$D$370),0)+IFERROR(SUMIF(Nutzungsprofile!$B$6:$B$11,"Individuell",Nutzungsprofile!$G$6:$G$11)*Kalender!E39/SUM(Kalender!$E$5:$E$370),0))*Szenarien!$E$21,0)</f>
        <v>3.528</v>
      </c>
      <c r="D3699" s="13" t="n">
        <f aca="false">IF(Szenarien!$H$21="OK",(IFERROR(SUMIF(Nutzungsprofile!$B$17:$B$22,"Schulbetrieb",Nutzungsprofile!$G$17:$G$22)*Kalender!C39/SUM(Kalender!$C$5:$C$370),0)+IFERROR(SUMIF(Nutzungsprofile!$B$17:$B$22,"Halle",Nutzungsprofile!$G$17:$G$22)*Kalender!D39/SUM(Kalender!$D$5:$D$370),0)+IFERROR(SUMIF(Nutzungsprofile!$B$17:$B$22,"Individuell",Nutzungsprofile!$G$17:$G$22)*Kalender!E39/SUM(Kalender!$E$5:$E$370),0))*Szenarien!$D$21,0)</f>
        <v>4.94</v>
      </c>
      <c r="E3699" s="13" t="n">
        <f aca="false">IFERROR(MIN(C3699,Eingaben!$B$17)*Eingaben!$B$16,0)</f>
        <v>3.3516</v>
      </c>
      <c r="F3699" s="13" t="n">
        <f aca="false">IFERROR(E3699*Eingaben!$B$15,0)</f>
        <v>3.01644</v>
      </c>
      <c r="G3699" s="13" t="n">
        <f aca="false">IFERROR(IF(Kalender!A39="",0,J3698*(1-Eingaben!$B$20)),0)</f>
        <v>0.88683336</v>
      </c>
      <c r="H3699" s="13" t="n">
        <f aca="false">MIN(G3699,D3699)</f>
        <v>0.88683336</v>
      </c>
      <c r="I3699" s="13" t="n">
        <f aca="false">IFERROR(MIN(F3699*Eingaben!$B$19,MAX(0,D3699-H3699)),0)</f>
        <v>2.111508</v>
      </c>
      <c r="J3699" s="13" t="n">
        <f aca="false">IFERROR(MIN(Eingaben!$B$18,MAX(0,F3699-I3699)),0)</f>
        <v>0.904932</v>
      </c>
      <c r="K3699" s="13" t="n">
        <f aca="false">H3699+I3699</f>
        <v>2.99834136</v>
      </c>
      <c r="L3699" s="13" t="n">
        <f aca="false">MAX(0,D3699-K3699)</f>
        <v>1.94165864</v>
      </c>
      <c r="M3699" s="13" t="n">
        <f aca="false">MAX(0,F3699-I3699-J3699)</f>
        <v>0</v>
      </c>
      <c r="N3699" s="13" t="n">
        <f aca="false">IF(Kalender!A39="",0,J3698-H3699)</f>
        <v>0.0180986400000001</v>
      </c>
    </row>
    <row r="3700" customFormat="false" ht="16.4" hidden="false" customHeight="false" outlineLevel="0" collapsed="false">
      <c r="A3700" s="13" t="str">
        <f aca="false">""</f>
        <v/>
      </c>
      <c r="B3700" s="13" t="n">
        <f aca="false">36</f>
        <v>36</v>
      </c>
      <c r="C3700" s="13" t="n">
        <f aca="false">IF(Szenarien!$H$21="OK",(IFERROR(SUMIF(Nutzungsprofile!$B$6:$B$11,"Schulbetrieb",Nutzungsprofile!$G$6:$G$11)*Kalender!C40/SUM(Kalender!$C$5:$C$370),0)+IFERROR(SUMIF(Nutzungsprofile!$B$6:$B$11,"Halle",Nutzungsprofile!$G$6:$G$11)*Kalender!D40/SUM(Kalender!$D$5:$D$370),0)+IFERROR(SUMIF(Nutzungsprofile!$B$6:$B$11,"Individuell",Nutzungsprofile!$G$6:$G$11)*Kalender!E40/SUM(Kalender!$E$5:$E$370),0))*Szenarien!$E$21,0)</f>
        <v>3.528</v>
      </c>
      <c r="D3700" s="13" t="n">
        <f aca="false">IF(Szenarien!$H$21="OK",(IFERROR(SUMIF(Nutzungsprofile!$B$17:$B$22,"Schulbetrieb",Nutzungsprofile!$G$17:$G$22)*Kalender!C40/SUM(Kalender!$C$5:$C$370),0)+IFERROR(SUMIF(Nutzungsprofile!$B$17:$B$22,"Halle",Nutzungsprofile!$G$17:$G$22)*Kalender!D40/SUM(Kalender!$D$5:$D$370),0)+IFERROR(SUMIF(Nutzungsprofile!$B$17:$B$22,"Individuell",Nutzungsprofile!$G$17:$G$22)*Kalender!E40/SUM(Kalender!$E$5:$E$370),0))*Szenarien!$D$21,0)</f>
        <v>4.94</v>
      </c>
      <c r="E3700" s="13" t="n">
        <f aca="false">IFERROR(MIN(C3700,Eingaben!$B$17)*Eingaben!$B$16,0)</f>
        <v>3.3516</v>
      </c>
      <c r="F3700" s="13" t="n">
        <f aca="false">IFERROR(E3700*Eingaben!$B$15,0)</f>
        <v>3.01644</v>
      </c>
      <c r="G3700" s="13" t="n">
        <f aca="false">IFERROR(IF(Kalender!A40="",0,J3699*(1-Eingaben!$B$20)),0)</f>
        <v>0.88683336</v>
      </c>
      <c r="H3700" s="13" t="n">
        <f aca="false">MIN(G3700,D3700)</f>
        <v>0.88683336</v>
      </c>
      <c r="I3700" s="13" t="n">
        <f aca="false">IFERROR(MIN(F3700*Eingaben!$B$19,MAX(0,D3700-H3700)),0)</f>
        <v>2.111508</v>
      </c>
      <c r="J3700" s="13" t="n">
        <f aca="false">IFERROR(MIN(Eingaben!$B$18,MAX(0,F3700-I3700)),0)</f>
        <v>0.904932</v>
      </c>
      <c r="K3700" s="13" t="n">
        <f aca="false">H3700+I3700</f>
        <v>2.99834136</v>
      </c>
      <c r="L3700" s="13" t="n">
        <f aca="false">MAX(0,D3700-K3700)</f>
        <v>1.94165864</v>
      </c>
      <c r="M3700" s="13" t="n">
        <f aca="false">MAX(0,F3700-I3700-J3700)</f>
        <v>0</v>
      </c>
      <c r="N3700" s="13" t="n">
        <f aca="false">IF(Kalender!A40="",0,J3699-H3700)</f>
        <v>0.0180986400000001</v>
      </c>
    </row>
    <row r="3701" customFormat="false" ht="16.4" hidden="false" customHeight="false" outlineLevel="0" collapsed="false">
      <c r="A3701" s="13" t="str">
        <f aca="false">""</f>
        <v/>
      </c>
      <c r="B3701" s="13" t="n">
        <f aca="false">37</f>
        <v>37</v>
      </c>
      <c r="C3701" s="13" t="n">
        <f aca="false">IF(Szenarien!$H$21="OK",(IFERROR(SUMIF(Nutzungsprofile!$B$6:$B$11,"Schulbetrieb",Nutzungsprofile!$G$6:$G$11)*Kalender!C41/SUM(Kalender!$C$5:$C$370),0)+IFERROR(SUMIF(Nutzungsprofile!$B$6:$B$11,"Halle",Nutzungsprofile!$G$6:$G$11)*Kalender!D41/SUM(Kalender!$D$5:$D$370),0)+IFERROR(SUMIF(Nutzungsprofile!$B$6:$B$11,"Individuell",Nutzungsprofile!$G$6:$G$11)*Kalender!E41/SUM(Kalender!$E$5:$E$370),0))*Szenarien!$E$21,0)</f>
        <v>3.528</v>
      </c>
      <c r="D3701" s="13" t="n">
        <f aca="false">IF(Szenarien!$H$21="OK",(IFERROR(SUMIF(Nutzungsprofile!$B$17:$B$22,"Schulbetrieb",Nutzungsprofile!$G$17:$G$22)*Kalender!C41/SUM(Kalender!$C$5:$C$370),0)+IFERROR(SUMIF(Nutzungsprofile!$B$17:$B$22,"Halle",Nutzungsprofile!$G$17:$G$22)*Kalender!D41/SUM(Kalender!$D$5:$D$370),0)+IFERROR(SUMIF(Nutzungsprofile!$B$17:$B$22,"Individuell",Nutzungsprofile!$G$17:$G$22)*Kalender!E41/SUM(Kalender!$E$5:$E$370),0))*Szenarien!$D$21,0)</f>
        <v>4.94</v>
      </c>
      <c r="E3701" s="13" t="n">
        <f aca="false">IFERROR(MIN(C3701,Eingaben!$B$17)*Eingaben!$B$16,0)</f>
        <v>3.3516</v>
      </c>
      <c r="F3701" s="13" t="n">
        <f aca="false">IFERROR(E3701*Eingaben!$B$15,0)</f>
        <v>3.01644</v>
      </c>
      <c r="G3701" s="13" t="n">
        <f aca="false">IFERROR(IF(Kalender!A41="",0,J3700*(1-Eingaben!$B$20)),0)</f>
        <v>0.88683336</v>
      </c>
      <c r="H3701" s="13" t="n">
        <f aca="false">MIN(G3701,D3701)</f>
        <v>0.88683336</v>
      </c>
      <c r="I3701" s="13" t="n">
        <f aca="false">IFERROR(MIN(F3701*Eingaben!$B$19,MAX(0,D3701-H3701)),0)</f>
        <v>2.111508</v>
      </c>
      <c r="J3701" s="13" t="n">
        <f aca="false">IFERROR(MIN(Eingaben!$B$18,MAX(0,F3701-I3701)),0)</f>
        <v>0.904932</v>
      </c>
      <c r="K3701" s="13" t="n">
        <f aca="false">H3701+I3701</f>
        <v>2.99834136</v>
      </c>
      <c r="L3701" s="13" t="n">
        <f aca="false">MAX(0,D3701-K3701)</f>
        <v>1.94165864</v>
      </c>
      <c r="M3701" s="13" t="n">
        <f aca="false">MAX(0,F3701-I3701-J3701)</f>
        <v>0</v>
      </c>
      <c r="N3701" s="13" t="n">
        <f aca="false">IF(Kalender!A41="",0,J3700-H3701)</f>
        <v>0.0180986400000001</v>
      </c>
    </row>
    <row r="3702" customFormat="false" ht="16.4" hidden="false" customHeight="false" outlineLevel="0" collapsed="false">
      <c r="A3702" s="13" t="str">
        <f aca="false">""</f>
        <v/>
      </c>
      <c r="B3702" s="13" t="n">
        <f aca="false">38</f>
        <v>38</v>
      </c>
      <c r="C3702" s="13" t="n">
        <f aca="false">IF(Szenarien!$H$21="OK",(IFERROR(SUMIF(Nutzungsprofile!$B$6:$B$11,"Schulbetrieb",Nutzungsprofile!$G$6:$G$11)*Kalender!C42/SUM(Kalender!$C$5:$C$370),0)+IFERROR(SUMIF(Nutzungsprofile!$B$6:$B$11,"Halle",Nutzungsprofile!$G$6:$G$11)*Kalender!D42/SUM(Kalender!$D$5:$D$370),0)+IFERROR(SUMIF(Nutzungsprofile!$B$6:$B$11,"Individuell",Nutzungsprofile!$G$6:$G$11)*Kalender!E42/SUM(Kalender!$E$5:$E$370),0))*Szenarien!$E$21,0)</f>
        <v>2.448</v>
      </c>
      <c r="D3702" s="13" t="n">
        <f aca="false">IF(Szenarien!$H$21="OK",(IFERROR(SUMIF(Nutzungsprofile!$B$17:$B$22,"Schulbetrieb",Nutzungsprofile!$G$17:$G$22)*Kalender!C42/SUM(Kalender!$C$5:$C$370),0)+IFERROR(SUMIF(Nutzungsprofile!$B$17:$B$22,"Halle",Nutzungsprofile!$G$17:$G$22)*Kalender!D42/SUM(Kalender!$D$5:$D$370),0)+IFERROR(SUMIF(Nutzungsprofile!$B$17:$B$22,"Individuell",Nutzungsprofile!$G$17:$G$22)*Kalender!E42/SUM(Kalender!$E$5:$E$370),0))*Szenarien!$D$21,0)</f>
        <v>0.89</v>
      </c>
      <c r="E3702" s="13" t="n">
        <f aca="false">IFERROR(MIN(C3702,Eingaben!$B$17)*Eingaben!$B$16,0)</f>
        <v>2.3256</v>
      </c>
      <c r="F3702" s="13" t="n">
        <f aca="false">IFERROR(E3702*Eingaben!$B$15,0)</f>
        <v>2.09304</v>
      </c>
      <c r="G3702" s="13" t="n">
        <f aca="false">IFERROR(IF(Kalender!A42="",0,J3701*(1-Eingaben!$B$20)),0)</f>
        <v>0.88683336</v>
      </c>
      <c r="H3702" s="13" t="n">
        <f aca="false">MIN(G3702,D3702)</f>
        <v>0.88683336</v>
      </c>
      <c r="I3702" s="13" t="n">
        <f aca="false">IFERROR(MIN(F3702*Eingaben!$B$19,MAX(0,D3702-H3702)),0)</f>
        <v>0.00316664</v>
      </c>
      <c r="J3702" s="13" t="n">
        <f aca="false">IFERROR(MIN(Eingaben!$B$18,MAX(0,F3702-I3702)),0)</f>
        <v>2</v>
      </c>
      <c r="K3702" s="13" t="n">
        <f aca="false">H3702+I3702</f>
        <v>0.89</v>
      </c>
      <c r="L3702" s="13" t="n">
        <f aca="false">MAX(0,D3702-K3702)</f>
        <v>0</v>
      </c>
      <c r="M3702" s="13" t="n">
        <f aca="false">MAX(0,F3702-I3702-J3702)</f>
        <v>0.0898733599999999</v>
      </c>
      <c r="N3702" s="13" t="n">
        <f aca="false">IF(Kalender!A42="",0,J3701-H3702)</f>
        <v>0.0180986400000001</v>
      </c>
    </row>
    <row r="3703" customFormat="false" ht="16.4" hidden="false" customHeight="false" outlineLevel="0" collapsed="false">
      <c r="A3703" s="13" t="str">
        <f aca="false">""</f>
        <v/>
      </c>
      <c r="B3703" s="13" t="n">
        <f aca="false">39</f>
        <v>39</v>
      </c>
      <c r="C3703" s="13" t="n">
        <f aca="false">IF(Szenarien!$H$21="OK",(IFERROR(SUMIF(Nutzungsprofile!$B$6:$B$11,"Schulbetrieb",Nutzungsprofile!$G$6:$G$11)*Kalender!C43/SUM(Kalender!$C$5:$C$370),0)+IFERROR(SUMIF(Nutzungsprofile!$B$6:$B$11,"Halle",Nutzungsprofile!$G$6:$G$11)*Kalender!D43/SUM(Kalender!$D$5:$D$370),0)+IFERROR(SUMIF(Nutzungsprofile!$B$6:$B$11,"Individuell",Nutzungsprofile!$G$6:$G$11)*Kalender!E43/SUM(Kalender!$E$5:$E$370),0))*Szenarien!$E$21,0)</f>
        <v>2.448</v>
      </c>
      <c r="D3703" s="13" t="n">
        <f aca="false">IF(Szenarien!$H$21="OK",(IFERROR(SUMIF(Nutzungsprofile!$B$17:$B$22,"Schulbetrieb",Nutzungsprofile!$G$17:$G$22)*Kalender!C43/SUM(Kalender!$C$5:$C$370),0)+IFERROR(SUMIF(Nutzungsprofile!$B$17:$B$22,"Halle",Nutzungsprofile!$G$17:$G$22)*Kalender!D43/SUM(Kalender!$D$5:$D$370),0)+IFERROR(SUMIF(Nutzungsprofile!$B$17:$B$22,"Individuell",Nutzungsprofile!$G$17:$G$22)*Kalender!E43/SUM(Kalender!$E$5:$E$370),0))*Szenarien!$D$21,0)</f>
        <v>0.89</v>
      </c>
      <c r="E3703" s="13" t="n">
        <f aca="false">IFERROR(MIN(C3703,Eingaben!$B$17)*Eingaben!$B$16,0)</f>
        <v>2.3256</v>
      </c>
      <c r="F3703" s="13" t="n">
        <f aca="false">IFERROR(E3703*Eingaben!$B$15,0)</f>
        <v>2.09304</v>
      </c>
      <c r="G3703" s="13" t="n">
        <f aca="false">IFERROR(IF(Kalender!A43="",0,J3702*(1-Eingaben!$B$20)),0)</f>
        <v>1.96</v>
      </c>
      <c r="H3703" s="13" t="n">
        <f aca="false">MIN(G3703,D3703)</f>
        <v>0.89</v>
      </c>
      <c r="I3703" s="13" t="n">
        <f aca="false">IFERROR(MIN(F3703*Eingaben!$B$19,MAX(0,D3703-H3703)),0)</f>
        <v>0</v>
      </c>
      <c r="J3703" s="13" t="n">
        <f aca="false">IFERROR(MIN(Eingaben!$B$18,MAX(0,F3703-I3703)),0)</f>
        <v>2</v>
      </c>
      <c r="K3703" s="13" t="n">
        <f aca="false">H3703+I3703</f>
        <v>0.89</v>
      </c>
      <c r="L3703" s="13" t="n">
        <f aca="false">MAX(0,D3703-K3703)</f>
        <v>0</v>
      </c>
      <c r="M3703" s="13" t="n">
        <f aca="false">MAX(0,F3703-I3703-J3703)</f>
        <v>0.0930399999999998</v>
      </c>
      <c r="N3703" s="13" t="n">
        <f aca="false">IF(Kalender!A43="",0,J3702-H3703)</f>
        <v>1.11</v>
      </c>
    </row>
    <row r="3704" customFormat="false" ht="16.4" hidden="false" customHeight="false" outlineLevel="0" collapsed="false">
      <c r="A3704" s="13" t="str">
        <f aca="false">""</f>
        <v/>
      </c>
      <c r="B3704" s="13" t="n">
        <f aca="false">40</f>
        <v>40</v>
      </c>
      <c r="C3704" s="13" t="n">
        <f aca="false">IF(Szenarien!$H$21="OK",(IFERROR(SUMIF(Nutzungsprofile!$B$6:$B$11,"Schulbetrieb",Nutzungsprofile!$G$6:$G$11)*Kalender!C44/SUM(Kalender!$C$5:$C$370),0)+IFERROR(SUMIF(Nutzungsprofile!$B$6:$B$11,"Halle",Nutzungsprofile!$G$6:$G$11)*Kalender!D44/SUM(Kalender!$D$5:$D$370),0)+IFERROR(SUMIF(Nutzungsprofile!$B$6:$B$11,"Individuell",Nutzungsprofile!$G$6:$G$11)*Kalender!E44/SUM(Kalender!$E$5:$E$370),0))*Szenarien!$E$21,0)</f>
        <v>3.528</v>
      </c>
      <c r="D3704" s="13" t="n">
        <f aca="false">IF(Szenarien!$H$21="OK",(IFERROR(SUMIF(Nutzungsprofile!$B$17:$B$22,"Schulbetrieb",Nutzungsprofile!$G$17:$G$22)*Kalender!C44/SUM(Kalender!$C$5:$C$370),0)+IFERROR(SUMIF(Nutzungsprofile!$B$17:$B$22,"Halle",Nutzungsprofile!$G$17:$G$22)*Kalender!D44/SUM(Kalender!$D$5:$D$370),0)+IFERROR(SUMIF(Nutzungsprofile!$B$17:$B$22,"Individuell",Nutzungsprofile!$G$17:$G$22)*Kalender!E44/SUM(Kalender!$E$5:$E$370),0))*Szenarien!$D$21,0)</f>
        <v>4.94</v>
      </c>
      <c r="E3704" s="13" t="n">
        <f aca="false">IFERROR(MIN(C3704,Eingaben!$B$17)*Eingaben!$B$16,0)</f>
        <v>3.3516</v>
      </c>
      <c r="F3704" s="13" t="n">
        <f aca="false">IFERROR(E3704*Eingaben!$B$15,0)</f>
        <v>3.01644</v>
      </c>
      <c r="G3704" s="13" t="n">
        <f aca="false">IFERROR(IF(Kalender!A44="",0,J3703*(1-Eingaben!$B$20)),0)</f>
        <v>1.96</v>
      </c>
      <c r="H3704" s="13" t="n">
        <f aca="false">MIN(G3704,D3704)</f>
        <v>1.96</v>
      </c>
      <c r="I3704" s="13" t="n">
        <f aca="false">IFERROR(MIN(F3704*Eingaben!$B$19,MAX(0,D3704-H3704)),0)</f>
        <v>2.111508</v>
      </c>
      <c r="J3704" s="13" t="n">
        <f aca="false">IFERROR(MIN(Eingaben!$B$18,MAX(0,F3704-I3704)),0)</f>
        <v>0.904932</v>
      </c>
      <c r="K3704" s="13" t="n">
        <f aca="false">H3704+I3704</f>
        <v>4.071508</v>
      </c>
      <c r="L3704" s="13" t="n">
        <f aca="false">MAX(0,D3704-K3704)</f>
        <v>0.868492</v>
      </c>
      <c r="M3704" s="13" t="n">
        <f aca="false">MAX(0,F3704-I3704-J3704)</f>
        <v>0</v>
      </c>
      <c r="N3704" s="13" t="n">
        <f aca="false">IF(Kalender!A44="",0,J3703-H3704)</f>
        <v>0.04</v>
      </c>
    </row>
    <row r="3705" customFormat="false" ht="16.4" hidden="false" customHeight="false" outlineLevel="0" collapsed="false">
      <c r="A3705" s="13" t="str">
        <f aca="false">""</f>
        <v/>
      </c>
      <c r="B3705" s="13" t="n">
        <f aca="false">41</f>
        <v>41</v>
      </c>
      <c r="C3705" s="13" t="n">
        <f aca="false">IF(Szenarien!$H$21="OK",(IFERROR(SUMIF(Nutzungsprofile!$B$6:$B$11,"Schulbetrieb",Nutzungsprofile!$G$6:$G$11)*Kalender!C45/SUM(Kalender!$C$5:$C$370),0)+IFERROR(SUMIF(Nutzungsprofile!$B$6:$B$11,"Halle",Nutzungsprofile!$G$6:$G$11)*Kalender!D45/SUM(Kalender!$D$5:$D$370),0)+IFERROR(SUMIF(Nutzungsprofile!$B$6:$B$11,"Individuell",Nutzungsprofile!$G$6:$G$11)*Kalender!E45/SUM(Kalender!$E$5:$E$370),0))*Szenarien!$E$21,0)</f>
        <v>3.528</v>
      </c>
      <c r="D3705" s="13" t="n">
        <f aca="false">IF(Szenarien!$H$21="OK",(IFERROR(SUMIF(Nutzungsprofile!$B$17:$B$22,"Schulbetrieb",Nutzungsprofile!$G$17:$G$22)*Kalender!C45/SUM(Kalender!$C$5:$C$370),0)+IFERROR(SUMIF(Nutzungsprofile!$B$17:$B$22,"Halle",Nutzungsprofile!$G$17:$G$22)*Kalender!D45/SUM(Kalender!$D$5:$D$370),0)+IFERROR(SUMIF(Nutzungsprofile!$B$17:$B$22,"Individuell",Nutzungsprofile!$G$17:$G$22)*Kalender!E45/SUM(Kalender!$E$5:$E$370),0))*Szenarien!$D$21,0)</f>
        <v>4.94</v>
      </c>
      <c r="E3705" s="13" t="n">
        <f aca="false">IFERROR(MIN(C3705,Eingaben!$B$17)*Eingaben!$B$16,0)</f>
        <v>3.3516</v>
      </c>
      <c r="F3705" s="13" t="n">
        <f aca="false">IFERROR(E3705*Eingaben!$B$15,0)</f>
        <v>3.01644</v>
      </c>
      <c r="G3705" s="13" t="n">
        <f aca="false">IFERROR(IF(Kalender!A45="",0,J3704*(1-Eingaben!$B$20)),0)</f>
        <v>0.88683336</v>
      </c>
      <c r="H3705" s="13" t="n">
        <f aca="false">MIN(G3705,D3705)</f>
        <v>0.88683336</v>
      </c>
      <c r="I3705" s="13" t="n">
        <f aca="false">IFERROR(MIN(F3705*Eingaben!$B$19,MAX(0,D3705-H3705)),0)</f>
        <v>2.111508</v>
      </c>
      <c r="J3705" s="13" t="n">
        <f aca="false">IFERROR(MIN(Eingaben!$B$18,MAX(0,F3705-I3705)),0)</f>
        <v>0.904932</v>
      </c>
      <c r="K3705" s="13" t="n">
        <f aca="false">H3705+I3705</f>
        <v>2.99834136</v>
      </c>
      <c r="L3705" s="13" t="n">
        <f aca="false">MAX(0,D3705-K3705)</f>
        <v>1.94165864</v>
      </c>
      <c r="M3705" s="13" t="n">
        <f aca="false">MAX(0,F3705-I3705-J3705)</f>
        <v>0</v>
      </c>
      <c r="N3705" s="13" t="n">
        <f aca="false">IF(Kalender!A45="",0,J3704-H3705)</f>
        <v>0.0180986400000001</v>
      </c>
    </row>
    <row r="3706" customFormat="false" ht="16.4" hidden="false" customHeight="false" outlineLevel="0" collapsed="false">
      <c r="A3706" s="13" t="str">
        <f aca="false">""</f>
        <v/>
      </c>
      <c r="B3706" s="13" t="n">
        <f aca="false">42</f>
        <v>42</v>
      </c>
      <c r="C3706" s="13" t="n">
        <f aca="false">IF(Szenarien!$H$21="OK",(IFERROR(SUMIF(Nutzungsprofile!$B$6:$B$11,"Schulbetrieb",Nutzungsprofile!$G$6:$G$11)*Kalender!C46/SUM(Kalender!$C$5:$C$370),0)+IFERROR(SUMIF(Nutzungsprofile!$B$6:$B$11,"Halle",Nutzungsprofile!$G$6:$G$11)*Kalender!D46/SUM(Kalender!$D$5:$D$370),0)+IFERROR(SUMIF(Nutzungsprofile!$B$6:$B$11,"Individuell",Nutzungsprofile!$G$6:$G$11)*Kalender!E46/SUM(Kalender!$E$5:$E$370),0))*Szenarien!$E$21,0)</f>
        <v>3.528</v>
      </c>
      <c r="D3706" s="13" t="n">
        <f aca="false">IF(Szenarien!$H$21="OK",(IFERROR(SUMIF(Nutzungsprofile!$B$17:$B$22,"Schulbetrieb",Nutzungsprofile!$G$17:$G$22)*Kalender!C46/SUM(Kalender!$C$5:$C$370),0)+IFERROR(SUMIF(Nutzungsprofile!$B$17:$B$22,"Halle",Nutzungsprofile!$G$17:$G$22)*Kalender!D46/SUM(Kalender!$D$5:$D$370),0)+IFERROR(SUMIF(Nutzungsprofile!$B$17:$B$22,"Individuell",Nutzungsprofile!$G$17:$G$22)*Kalender!E46/SUM(Kalender!$E$5:$E$370),0))*Szenarien!$D$21,0)</f>
        <v>4.94</v>
      </c>
      <c r="E3706" s="13" t="n">
        <f aca="false">IFERROR(MIN(C3706,Eingaben!$B$17)*Eingaben!$B$16,0)</f>
        <v>3.3516</v>
      </c>
      <c r="F3706" s="13" t="n">
        <f aca="false">IFERROR(E3706*Eingaben!$B$15,0)</f>
        <v>3.01644</v>
      </c>
      <c r="G3706" s="13" t="n">
        <f aca="false">IFERROR(IF(Kalender!A46="",0,J3705*(1-Eingaben!$B$20)),0)</f>
        <v>0.88683336</v>
      </c>
      <c r="H3706" s="13" t="n">
        <f aca="false">MIN(G3706,D3706)</f>
        <v>0.88683336</v>
      </c>
      <c r="I3706" s="13" t="n">
        <f aca="false">IFERROR(MIN(F3706*Eingaben!$B$19,MAX(0,D3706-H3706)),0)</f>
        <v>2.111508</v>
      </c>
      <c r="J3706" s="13" t="n">
        <f aca="false">IFERROR(MIN(Eingaben!$B$18,MAX(0,F3706-I3706)),0)</f>
        <v>0.904932</v>
      </c>
      <c r="K3706" s="13" t="n">
        <f aca="false">H3706+I3706</f>
        <v>2.99834136</v>
      </c>
      <c r="L3706" s="13" t="n">
        <f aca="false">MAX(0,D3706-K3706)</f>
        <v>1.94165864</v>
      </c>
      <c r="M3706" s="13" t="n">
        <f aca="false">MAX(0,F3706-I3706-J3706)</f>
        <v>0</v>
      </c>
      <c r="N3706" s="13" t="n">
        <f aca="false">IF(Kalender!A46="",0,J3705-H3706)</f>
        <v>0.0180986400000001</v>
      </c>
    </row>
    <row r="3707" customFormat="false" ht="16.4" hidden="false" customHeight="false" outlineLevel="0" collapsed="false">
      <c r="A3707" s="13" t="str">
        <f aca="false">""</f>
        <v/>
      </c>
      <c r="B3707" s="13" t="n">
        <f aca="false">43</f>
        <v>43</v>
      </c>
      <c r="C3707" s="13" t="n">
        <f aca="false">IF(Szenarien!$H$21="OK",(IFERROR(SUMIF(Nutzungsprofile!$B$6:$B$11,"Schulbetrieb",Nutzungsprofile!$G$6:$G$11)*Kalender!C47/SUM(Kalender!$C$5:$C$370),0)+IFERROR(SUMIF(Nutzungsprofile!$B$6:$B$11,"Halle",Nutzungsprofile!$G$6:$G$11)*Kalender!D47/SUM(Kalender!$D$5:$D$370),0)+IFERROR(SUMIF(Nutzungsprofile!$B$6:$B$11,"Individuell",Nutzungsprofile!$G$6:$G$11)*Kalender!E47/SUM(Kalender!$E$5:$E$370),0))*Szenarien!$E$21,0)</f>
        <v>3.528</v>
      </c>
      <c r="D3707" s="13" t="n">
        <f aca="false">IF(Szenarien!$H$21="OK",(IFERROR(SUMIF(Nutzungsprofile!$B$17:$B$22,"Schulbetrieb",Nutzungsprofile!$G$17:$G$22)*Kalender!C47/SUM(Kalender!$C$5:$C$370),0)+IFERROR(SUMIF(Nutzungsprofile!$B$17:$B$22,"Halle",Nutzungsprofile!$G$17:$G$22)*Kalender!D47/SUM(Kalender!$D$5:$D$370),0)+IFERROR(SUMIF(Nutzungsprofile!$B$17:$B$22,"Individuell",Nutzungsprofile!$G$17:$G$22)*Kalender!E47/SUM(Kalender!$E$5:$E$370),0))*Szenarien!$D$21,0)</f>
        <v>4.94</v>
      </c>
      <c r="E3707" s="13" t="n">
        <f aca="false">IFERROR(MIN(C3707,Eingaben!$B$17)*Eingaben!$B$16,0)</f>
        <v>3.3516</v>
      </c>
      <c r="F3707" s="13" t="n">
        <f aca="false">IFERROR(E3707*Eingaben!$B$15,0)</f>
        <v>3.01644</v>
      </c>
      <c r="G3707" s="13" t="n">
        <f aca="false">IFERROR(IF(Kalender!A47="",0,J3706*(1-Eingaben!$B$20)),0)</f>
        <v>0.88683336</v>
      </c>
      <c r="H3707" s="13" t="n">
        <f aca="false">MIN(G3707,D3707)</f>
        <v>0.88683336</v>
      </c>
      <c r="I3707" s="13" t="n">
        <f aca="false">IFERROR(MIN(F3707*Eingaben!$B$19,MAX(0,D3707-H3707)),0)</f>
        <v>2.111508</v>
      </c>
      <c r="J3707" s="13" t="n">
        <f aca="false">IFERROR(MIN(Eingaben!$B$18,MAX(0,F3707-I3707)),0)</f>
        <v>0.904932</v>
      </c>
      <c r="K3707" s="13" t="n">
        <f aca="false">H3707+I3707</f>
        <v>2.99834136</v>
      </c>
      <c r="L3707" s="13" t="n">
        <f aca="false">MAX(0,D3707-K3707)</f>
        <v>1.94165864</v>
      </c>
      <c r="M3707" s="13" t="n">
        <f aca="false">MAX(0,F3707-I3707-J3707)</f>
        <v>0</v>
      </c>
      <c r="N3707" s="13" t="n">
        <f aca="false">IF(Kalender!A47="",0,J3706-H3707)</f>
        <v>0.0180986400000001</v>
      </c>
    </row>
    <row r="3708" customFormat="false" ht="16.4" hidden="false" customHeight="false" outlineLevel="0" collapsed="false">
      <c r="A3708" s="13" t="str">
        <f aca="false">""</f>
        <v/>
      </c>
      <c r="B3708" s="13" t="n">
        <f aca="false">44</f>
        <v>44</v>
      </c>
      <c r="C3708" s="13" t="n">
        <f aca="false">IF(Szenarien!$H$21="OK",(IFERROR(SUMIF(Nutzungsprofile!$B$6:$B$11,"Schulbetrieb",Nutzungsprofile!$G$6:$G$11)*Kalender!C48/SUM(Kalender!$C$5:$C$370),0)+IFERROR(SUMIF(Nutzungsprofile!$B$6:$B$11,"Halle",Nutzungsprofile!$G$6:$G$11)*Kalender!D48/SUM(Kalender!$D$5:$D$370),0)+IFERROR(SUMIF(Nutzungsprofile!$B$6:$B$11,"Individuell",Nutzungsprofile!$G$6:$G$11)*Kalender!E48/SUM(Kalender!$E$5:$E$370),0))*Szenarien!$E$21,0)</f>
        <v>3.528</v>
      </c>
      <c r="D3708" s="13" t="n">
        <f aca="false">IF(Szenarien!$H$21="OK",(IFERROR(SUMIF(Nutzungsprofile!$B$17:$B$22,"Schulbetrieb",Nutzungsprofile!$G$17:$G$22)*Kalender!C48/SUM(Kalender!$C$5:$C$370),0)+IFERROR(SUMIF(Nutzungsprofile!$B$17:$B$22,"Halle",Nutzungsprofile!$G$17:$G$22)*Kalender!D48/SUM(Kalender!$D$5:$D$370),0)+IFERROR(SUMIF(Nutzungsprofile!$B$17:$B$22,"Individuell",Nutzungsprofile!$G$17:$G$22)*Kalender!E48/SUM(Kalender!$E$5:$E$370),0))*Szenarien!$D$21,0)</f>
        <v>4.94</v>
      </c>
      <c r="E3708" s="13" t="n">
        <f aca="false">IFERROR(MIN(C3708,Eingaben!$B$17)*Eingaben!$B$16,0)</f>
        <v>3.3516</v>
      </c>
      <c r="F3708" s="13" t="n">
        <f aca="false">IFERROR(E3708*Eingaben!$B$15,0)</f>
        <v>3.01644</v>
      </c>
      <c r="G3708" s="13" t="n">
        <f aca="false">IFERROR(IF(Kalender!A48="",0,J3707*(1-Eingaben!$B$20)),0)</f>
        <v>0.88683336</v>
      </c>
      <c r="H3708" s="13" t="n">
        <f aca="false">MIN(G3708,D3708)</f>
        <v>0.88683336</v>
      </c>
      <c r="I3708" s="13" t="n">
        <f aca="false">IFERROR(MIN(F3708*Eingaben!$B$19,MAX(0,D3708-H3708)),0)</f>
        <v>2.111508</v>
      </c>
      <c r="J3708" s="13" t="n">
        <f aca="false">IFERROR(MIN(Eingaben!$B$18,MAX(0,F3708-I3708)),0)</f>
        <v>0.904932</v>
      </c>
      <c r="K3708" s="13" t="n">
        <f aca="false">H3708+I3708</f>
        <v>2.99834136</v>
      </c>
      <c r="L3708" s="13" t="n">
        <f aca="false">MAX(0,D3708-K3708)</f>
        <v>1.94165864</v>
      </c>
      <c r="M3708" s="13" t="n">
        <f aca="false">MAX(0,F3708-I3708-J3708)</f>
        <v>0</v>
      </c>
      <c r="N3708" s="13" t="n">
        <f aca="false">IF(Kalender!A48="",0,J3707-H3708)</f>
        <v>0.0180986400000001</v>
      </c>
    </row>
    <row r="3709" customFormat="false" ht="16.4" hidden="false" customHeight="false" outlineLevel="0" collapsed="false">
      <c r="A3709" s="13" t="str">
        <f aca="false">""</f>
        <v/>
      </c>
      <c r="B3709" s="13" t="n">
        <f aca="false">45</f>
        <v>45</v>
      </c>
      <c r="C3709" s="13" t="n">
        <f aca="false">IF(Szenarien!$H$21="OK",(IFERROR(SUMIF(Nutzungsprofile!$B$6:$B$11,"Schulbetrieb",Nutzungsprofile!$G$6:$G$11)*Kalender!C49/SUM(Kalender!$C$5:$C$370),0)+IFERROR(SUMIF(Nutzungsprofile!$B$6:$B$11,"Halle",Nutzungsprofile!$G$6:$G$11)*Kalender!D49/SUM(Kalender!$D$5:$D$370),0)+IFERROR(SUMIF(Nutzungsprofile!$B$6:$B$11,"Individuell",Nutzungsprofile!$G$6:$G$11)*Kalender!E49/SUM(Kalender!$E$5:$E$370),0))*Szenarien!$E$21,0)</f>
        <v>2.448</v>
      </c>
      <c r="D3709" s="13" t="n">
        <f aca="false">IF(Szenarien!$H$21="OK",(IFERROR(SUMIF(Nutzungsprofile!$B$17:$B$22,"Schulbetrieb",Nutzungsprofile!$G$17:$G$22)*Kalender!C49/SUM(Kalender!$C$5:$C$370),0)+IFERROR(SUMIF(Nutzungsprofile!$B$17:$B$22,"Halle",Nutzungsprofile!$G$17:$G$22)*Kalender!D49/SUM(Kalender!$D$5:$D$370),0)+IFERROR(SUMIF(Nutzungsprofile!$B$17:$B$22,"Individuell",Nutzungsprofile!$G$17:$G$22)*Kalender!E49/SUM(Kalender!$E$5:$E$370),0))*Szenarien!$D$21,0)</f>
        <v>0.89</v>
      </c>
      <c r="E3709" s="13" t="n">
        <f aca="false">IFERROR(MIN(C3709,Eingaben!$B$17)*Eingaben!$B$16,0)</f>
        <v>2.3256</v>
      </c>
      <c r="F3709" s="13" t="n">
        <f aca="false">IFERROR(E3709*Eingaben!$B$15,0)</f>
        <v>2.09304</v>
      </c>
      <c r="G3709" s="13" t="n">
        <f aca="false">IFERROR(IF(Kalender!A49="",0,J3708*(1-Eingaben!$B$20)),0)</f>
        <v>0.88683336</v>
      </c>
      <c r="H3709" s="13" t="n">
        <f aca="false">MIN(G3709,D3709)</f>
        <v>0.88683336</v>
      </c>
      <c r="I3709" s="13" t="n">
        <f aca="false">IFERROR(MIN(F3709*Eingaben!$B$19,MAX(0,D3709-H3709)),0)</f>
        <v>0.00316664</v>
      </c>
      <c r="J3709" s="13" t="n">
        <f aca="false">IFERROR(MIN(Eingaben!$B$18,MAX(0,F3709-I3709)),0)</f>
        <v>2</v>
      </c>
      <c r="K3709" s="13" t="n">
        <f aca="false">H3709+I3709</f>
        <v>0.89</v>
      </c>
      <c r="L3709" s="13" t="n">
        <f aca="false">MAX(0,D3709-K3709)</f>
        <v>0</v>
      </c>
      <c r="M3709" s="13" t="n">
        <f aca="false">MAX(0,F3709-I3709-J3709)</f>
        <v>0.0898733599999999</v>
      </c>
      <c r="N3709" s="13" t="n">
        <f aca="false">IF(Kalender!A49="",0,J3708-H3709)</f>
        <v>0.0180986400000001</v>
      </c>
    </row>
    <row r="3710" customFormat="false" ht="16.4" hidden="false" customHeight="false" outlineLevel="0" collapsed="false">
      <c r="A3710" s="13" t="str">
        <f aca="false">""</f>
        <v/>
      </c>
      <c r="B3710" s="13" t="n">
        <f aca="false">46</f>
        <v>46</v>
      </c>
      <c r="C3710" s="13" t="n">
        <f aca="false">IF(Szenarien!$H$21="OK",(IFERROR(SUMIF(Nutzungsprofile!$B$6:$B$11,"Schulbetrieb",Nutzungsprofile!$G$6:$G$11)*Kalender!C50/SUM(Kalender!$C$5:$C$370),0)+IFERROR(SUMIF(Nutzungsprofile!$B$6:$B$11,"Halle",Nutzungsprofile!$G$6:$G$11)*Kalender!D50/SUM(Kalender!$D$5:$D$370),0)+IFERROR(SUMIF(Nutzungsprofile!$B$6:$B$11,"Individuell",Nutzungsprofile!$G$6:$G$11)*Kalender!E50/SUM(Kalender!$E$5:$E$370),0))*Szenarien!$E$21,0)</f>
        <v>2.448</v>
      </c>
      <c r="D3710" s="13" t="n">
        <f aca="false">IF(Szenarien!$H$21="OK",(IFERROR(SUMIF(Nutzungsprofile!$B$17:$B$22,"Schulbetrieb",Nutzungsprofile!$G$17:$G$22)*Kalender!C50/SUM(Kalender!$C$5:$C$370),0)+IFERROR(SUMIF(Nutzungsprofile!$B$17:$B$22,"Halle",Nutzungsprofile!$G$17:$G$22)*Kalender!D50/SUM(Kalender!$D$5:$D$370),0)+IFERROR(SUMIF(Nutzungsprofile!$B$17:$B$22,"Individuell",Nutzungsprofile!$G$17:$G$22)*Kalender!E50/SUM(Kalender!$E$5:$E$370),0))*Szenarien!$D$21,0)</f>
        <v>0.89</v>
      </c>
      <c r="E3710" s="13" t="n">
        <f aca="false">IFERROR(MIN(C3710,Eingaben!$B$17)*Eingaben!$B$16,0)</f>
        <v>2.3256</v>
      </c>
      <c r="F3710" s="13" t="n">
        <f aca="false">IFERROR(E3710*Eingaben!$B$15,0)</f>
        <v>2.09304</v>
      </c>
      <c r="G3710" s="13" t="n">
        <f aca="false">IFERROR(IF(Kalender!A50="",0,J3709*(1-Eingaben!$B$20)),0)</f>
        <v>1.96</v>
      </c>
      <c r="H3710" s="13" t="n">
        <f aca="false">MIN(G3710,D3710)</f>
        <v>0.89</v>
      </c>
      <c r="I3710" s="13" t="n">
        <f aca="false">IFERROR(MIN(F3710*Eingaben!$B$19,MAX(0,D3710-H3710)),0)</f>
        <v>0</v>
      </c>
      <c r="J3710" s="13" t="n">
        <f aca="false">IFERROR(MIN(Eingaben!$B$18,MAX(0,F3710-I3710)),0)</f>
        <v>2</v>
      </c>
      <c r="K3710" s="13" t="n">
        <f aca="false">H3710+I3710</f>
        <v>0.89</v>
      </c>
      <c r="L3710" s="13" t="n">
        <f aca="false">MAX(0,D3710-K3710)</f>
        <v>0</v>
      </c>
      <c r="M3710" s="13" t="n">
        <f aca="false">MAX(0,F3710-I3710-J3710)</f>
        <v>0.0930399999999998</v>
      </c>
      <c r="N3710" s="13" t="n">
        <f aca="false">IF(Kalender!A50="",0,J3709-H3710)</f>
        <v>1.11</v>
      </c>
    </row>
    <row r="3711" customFormat="false" ht="16.4" hidden="false" customHeight="false" outlineLevel="0" collapsed="false">
      <c r="A3711" s="13" t="str">
        <f aca="false">""</f>
        <v/>
      </c>
      <c r="B3711" s="13" t="n">
        <f aca="false">47</f>
        <v>47</v>
      </c>
      <c r="C3711" s="13" t="n">
        <f aca="false">IF(Szenarien!$H$21="OK",(IFERROR(SUMIF(Nutzungsprofile!$B$6:$B$11,"Schulbetrieb",Nutzungsprofile!$G$6:$G$11)*Kalender!C51/SUM(Kalender!$C$5:$C$370),0)+IFERROR(SUMIF(Nutzungsprofile!$B$6:$B$11,"Halle",Nutzungsprofile!$G$6:$G$11)*Kalender!D51/SUM(Kalender!$D$5:$D$370),0)+IFERROR(SUMIF(Nutzungsprofile!$B$6:$B$11,"Individuell",Nutzungsprofile!$G$6:$G$11)*Kalender!E51/SUM(Kalender!$E$5:$E$370),0))*Szenarien!$E$21,0)</f>
        <v>3.528</v>
      </c>
      <c r="D3711" s="13" t="n">
        <f aca="false">IF(Szenarien!$H$21="OK",(IFERROR(SUMIF(Nutzungsprofile!$B$17:$B$22,"Schulbetrieb",Nutzungsprofile!$G$17:$G$22)*Kalender!C51/SUM(Kalender!$C$5:$C$370),0)+IFERROR(SUMIF(Nutzungsprofile!$B$17:$B$22,"Halle",Nutzungsprofile!$G$17:$G$22)*Kalender!D51/SUM(Kalender!$D$5:$D$370),0)+IFERROR(SUMIF(Nutzungsprofile!$B$17:$B$22,"Individuell",Nutzungsprofile!$G$17:$G$22)*Kalender!E51/SUM(Kalender!$E$5:$E$370),0))*Szenarien!$D$21,0)</f>
        <v>4.94</v>
      </c>
      <c r="E3711" s="13" t="n">
        <f aca="false">IFERROR(MIN(C3711,Eingaben!$B$17)*Eingaben!$B$16,0)</f>
        <v>3.3516</v>
      </c>
      <c r="F3711" s="13" t="n">
        <f aca="false">IFERROR(E3711*Eingaben!$B$15,0)</f>
        <v>3.01644</v>
      </c>
      <c r="G3711" s="13" t="n">
        <f aca="false">IFERROR(IF(Kalender!A51="",0,J3710*(1-Eingaben!$B$20)),0)</f>
        <v>1.96</v>
      </c>
      <c r="H3711" s="13" t="n">
        <f aca="false">MIN(G3711,D3711)</f>
        <v>1.96</v>
      </c>
      <c r="I3711" s="13" t="n">
        <f aca="false">IFERROR(MIN(F3711*Eingaben!$B$19,MAX(0,D3711-H3711)),0)</f>
        <v>2.111508</v>
      </c>
      <c r="J3711" s="13" t="n">
        <f aca="false">IFERROR(MIN(Eingaben!$B$18,MAX(0,F3711-I3711)),0)</f>
        <v>0.904932</v>
      </c>
      <c r="K3711" s="13" t="n">
        <f aca="false">H3711+I3711</f>
        <v>4.071508</v>
      </c>
      <c r="L3711" s="13" t="n">
        <f aca="false">MAX(0,D3711-K3711)</f>
        <v>0.868492</v>
      </c>
      <c r="M3711" s="13" t="n">
        <f aca="false">MAX(0,F3711-I3711-J3711)</f>
        <v>0</v>
      </c>
      <c r="N3711" s="13" t="n">
        <f aca="false">IF(Kalender!A51="",0,J3710-H3711)</f>
        <v>0.04</v>
      </c>
    </row>
    <row r="3712" customFormat="false" ht="16.4" hidden="false" customHeight="false" outlineLevel="0" collapsed="false">
      <c r="A3712" s="13" t="str">
        <f aca="false">""</f>
        <v/>
      </c>
      <c r="B3712" s="13" t="n">
        <f aca="false">48</f>
        <v>48</v>
      </c>
      <c r="C3712" s="13" t="n">
        <f aca="false">IF(Szenarien!$H$21="OK",(IFERROR(SUMIF(Nutzungsprofile!$B$6:$B$11,"Schulbetrieb",Nutzungsprofile!$G$6:$G$11)*Kalender!C52/SUM(Kalender!$C$5:$C$370),0)+IFERROR(SUMIF(Nutzungsprofile!$B$6:$B$11,"Halle",Nutzungsprofile!$G$6:$G$11)*Kalender!D52/SUM(Kalender!$D$5:$D$370),0)+IFERROR(SUMIF(Nutzungsprofile!$B$6:$B$11,"Individuell",Nutzungsprofile!$G$6:$G$11)*Kalender!E52/SUM(Kalender!$E$5:$E$370),0))*Szenarien!$E$21,0)</f>
        <v>3.528</v>
      </c>
      <c r="D3712" s="13" t="n">
        <f aca="false">IF(Szenarien!$H$21="OK",(IFERROR(SUMIF(Nutzungsprofile!$B$17:$B$22,"Schulbetrieb",Nutzungsprofile!$G$17:$G$22)*Kalender!C52/SUM(Kalender!$C$5:$C$370),0)+IFERROR(SUMIF(Nutzungsprofile!$B$17:$B$22,"Halle",Nutzungsprofile!$G$17:$G$22)*Kalender!D52/SUM(Kalender!$D$5:$D$370),0)+IFERROR(SUMIF(Nutzungsprofile!$B$17:$B$22,"Individuell",Nutzungsprofile!$G$17:$G$22)*Kalender!E52/SUM(Kalender!$E$5:$E$370),0))*Szenarien!$D$21,0)</f>
        <v>4.94</v>
      </c>
      <c r="E3712" s="13" t="n">
        <f aca="false">IFERROR(MIN(C3712,Eingaben!$B$17)*Eingaben!$B$16,0)</f>
        <v>3.3516</v>
      </c>
      <c r="F3712" s="13" t="n">
        <f aca="false">IFERROR(E3712*Eingaben!$B$15,0)</f>
        <v>3.01644</v>
      </c>
      <c r="G3712" s="13" t="n">
        <f aca="false">IFERROR(IF(Kalender!A52="",0,J3711*(1-Eingaben!$B$20)),0)</f>
        <v>0.88683336</v>
      </c>
      <c r="H3712" s="13" t="n">
        <f aca="false">MIN(G3712,D3712)</f>
        <v>0.88683336</v>
      </c>
      <c r="I3712" s="13" t="n">
        <f aca="false">IFERROR(MIN(F3712*Eingaben!$B$19,MAX(0,D3712-H3712)),0)</f>
        <v>2.111508</v>
      </c>
      <c r="J3712" s="13" t="n">
        <f aca="false">IFERROR(MIN(Eingaben!$B$18,MAX(0,F3712-I3712)),0)</f>
        <v>0.904932</v>
      </c>
      <c r="K3712" s="13" t="n">
        <f aca="false">H3712+I3712</f>
        <v>2.99834136</v>
      </c>
      <c r="L3712" s="13" t="n">
        <f aca="false">MAX(0,D3712-K3712)</f>
        <v>1.94165864</v>
      </c>
      <c r="M3712" s="13" t="n">
        <f aca="false">MAX(0,F3712-I3712-J3712)</f>
        <v>0</v>
      </c>
      <c r="N3712" s="13" t="n">
        <f aca="false">IF(Kalender!A52="",0,J3711-H3712)</f>
        <v>0.0180986400000001</v>
      </c>
    </row>
    <row r="3713" customFormat="false" ht="16.4" hidden="false" customHeight="false" outlineLevel="0" collapsed="false">
      <c r="A3713" s="13" t="str">
        <f aca="false">""</f>
        <v/>
      </c>
      <c r="B3713" s="13" t="n">
        <f aca="false">49</f>
        <v>49</v>
      </c>
      <c r="C3713" s="13" t="n">
        <f aca="false">IF(Szenarien!$H$21="OK",(IFERROR(SUMIF(Nutzungsprofile!$B$6:$B$11,"Schulbetrieb",Nutzungsprofile!$G$6:$G$11)*Kalender!C53/SUM(Kalender!$C$5:$C$370),0)+IFERROR(SUMIF(Nutzungsprofile!$B$6:$B$11,"Halle",Nutzungsprofile!$G$6:$G$11)*Kalender!D53/SUM(Kalender!$D$5:$D$370),0)+IFERROR(SUMIF(Nutzungsprofile!$B$6:$B$11,"Individuell",Nutzungsprofile!$G$6:$G$11)*Kalender!E53/SUM(Kalender!$E$5:$E$370),0))*Szenarien!$E$21,0)</f>
        <v>3.528</v>
      </c>
      <c r="D3713" s="13" t="n">
        <f aca="false">IF(Szenarien!$H$21="OK",(IFERROR(SUMIF(Nutzungsprofile!$B$17:$B$22,"Schulbetrieb",Nutzungsprofile!$G$17:$G$22)*Kalender!C53/SUM(Kalender!$C$5:$C$370),0)+IFERROR(SUMIF(Nutzungsprofile!$B$17:$B$22,"Halle",Nutzungsprofile!$G$17:$G$22)*Kalender!D53/SUM(Kalender!$D$5:$D$370),0)+IFERROR(SUMIF(Nutzungsprofile!$B$17:$B$22,"Individuell",Nutzungsprofile!$G$17:$G$22)*Kalender!E53/SUM(Kalender!$E$5:$E$370),0))*Szenarien!$D$21,0)</f>
        <v>4.94</v>
      </c>
      <c r="E3713" s="13" t="n">
        <f aca="false">IFERROR(MIN(C3713,Eingaben!$B$17)*Eingaben!$B$16,0)</f>
        <v>3.3516</v>
      </c>
      <c r="F3713" s="13" t="n">
        <f aca="false">IFERROR(E3713*Eingaben!$B$15,0)</f>
        <v>3.01644</v>
      </c>
      <c r="G3713" s="13" t="n">
        <f aca="false">IFERROR(IF(Kalender!A53="",0,J3712*(1-Eingaben!$B$20)),0)</f>
        <v>0.88683336</v>
      </c>
      <c r="H3713" s="13" t="n">
        <f aca="false">MIN(G3713,D3713)</f>
        <v>0.88683336</v>
      </c>
      <c r="I3713" s="13" t="n">
        <f aca="false">IFERROR(MIN(F3713*Eingaben!$B$19,MAX(0,D3713-H3713)),0)</f>
        <v>2.111508</v>
      </c>
      <c r="J3713" s="13" t="n">
        <f aca="false">IFERROR(MIN(Eingaben!$B$18,MAX(0,F3713-I3713)),0)</f>
        <v>0.904932</v>
      </c>
      <c r="K3713" s="13" t="n">
        <f aca="false">H3713+I3713</f>
        <v>2.99834136</v>
      </c>
      <c r="L3713" s="13" t="n">
        <f aca="false">MAX(0,D3713-K3713)</f>
        <v>1.94165864</v>
      </c>
      <c r="M3713" s="13" t="n">
        <f aca="false">MAX(0,F3713-I3713-J3713)</f>
        <v>0</v>
      </c>
      <c r="N3713" s="13" t="n">
        <f aca="false">IF(Kalender!A53="",0,J3712-H3713)</f>
        <v>0.0180986400000001</v>
      </c>
    </row>
    <row r="3714" customFormat="false" ht="16.4" hidden="false" customHeight="false" outlineLevel="0" collapsed="false">
      <c r="A3714" s="13" t="str">
        <f aca="false">""</f>
        <v/>
      </c>
      <c r="B3714" s="13" t="n">
        <f aca="false">50</f>
        <v>50</v>
      </c>
      <c r="C3714" s="13" t="n">
        <f aca="false">IF(Szenarien!$H$21="OK",(IFERROR(SUMIF(Nutzungsprofile!$B$6:$B$11,"Schulbetrieb",Nutzungsprofile!$G$6:$G$11)*Kalender!C54/SUM(Kalender!$C$5:$C$370),0)+IFERROR(SUMIF(Nutzungsprofile!$B$6:$B$11,"Halle",Nutzungsprofile!$G$6:$G$11)*Kalender!D54/SUM(Kalender!$D$5:$D$370),0)+IFERROR(SUMIF(Nutzungsprofile!$B$6:$B$11,"Individuell",Nutzungsprofile!$G$6:$G$11)*Kalender!E54/SUM(Kalender!$E$5:$E$370),0))*Szenarien!$E$21,0)</f>
        <v>3.528</v>
      </c>
      <c r="D3714" s="13" t="n">
        <f aca="false">IF(Szenarien!$H$21="OK",(IFERROR(SUMIF(Nutzungsprofile!$B$17:$B$22,"Schulbetrieb",Nutzungsprofile!$G$17:$G$22)*Kalender!C54/SUM(Kalender!$C$5:$C$370),0)+IFERROR(SUMIF(Nutzungsprofile!$B$17:$B$22,"Halle",Nutzungsprofile!$G$17:$G$22)*Kalender!D54/SUM(Kalender!$D$5:$D$370),0)+IFERROR(SUMIF(Nutzungsprofile!$B$17:$B$22,"Individuell",Nutzungsprofile!$G$17:$G$22)*Kalender!E54/SUM(Kalender!$E$5:$E$370),0))*Szenarien!$D$21,0)</f>
        <v>4.94</v>
      </c>
      <c r="E3714" s="13" t="n">
        <f aca="false">IFERROR(MIN(C3714,Eingaben!$B$17)*Eingaben!$B$16,0)</f>
        <v>3.3516</v>
      </c>
      <c r="F3714" s="13" t="n">
        <f aca="false">IFERROR(E3714*Eingaben!$B$15,0)</f>
        <v>3.01644</v>
      </c>
      <c r="G3714" s="13" t="n">
        <f aca="false">IFERROR(IF(Kalender!A54="",0,J3713*(1-Eingaben!$B$20)),0)</f>
        <v>0.88683336</v>
      </c>
      <c r="H3714" s="13" t="n">
        <f aca="false">MIN(G3714,D3714)</f>
        <v>0.88683336</v>
      </c>
      <c r="I3714" s="13" t="n">
        <f aca="false">IFERROR(MIN(F3714*Eingaben!$B$19,MAX(0,D3714-H3714)),0)</f>
        <v>2.111508</v>
      </c>
      <c r="J3714" s="13" t="n">
        <f aca="false">IFERROR(MIN(Eingaben!$B$18,MAX(0,F3714-I3714)),0)</f>
        <v>0.904932</v>
      </c>
      <c r="K3714" s="13" t="n">
        <f aca="false">H3714+I3714</f>
        <v>2.99834136</v>
      </c>
      <c r="L3714" s="13" t="n">
        <f aca="false">MAX(0,D3714-K3714)</f>
        <v>1.94165864</v>
      </c>
      <c r="M3714" s="13" t="n">
        <f aca="false">MAX(0,F3714-I3714-J3714)</f>
        <v>0</v>
      </c>
      <c r="N3714" s="13" t="n">
        <f aca="false">IF(Kalender!A54="",0,J3713-H3714)</f>
        <v>0.0180986400000001</v>
      </c>
    </row>
    <row r="3715" customFormat="false" ht="16.4" hidden="false" customHeight="false" outlineLevel="0" collapsed="false">
      <c r="A3715" s="13" t="str">
        <f aca="false">""</f>
        <v/>
      </c>
      <c r="B3715" s="13" t="n">
        <f aca="false">51</f>
        <v>51</v>
      </c>
      <c r="C3715" s="13" t="n">
        <f aca="false">IF(Szenarien!$H$21="OK",(IFERROR(SUMIF(Nutzungsprofile!$B$6:$B$11,"Schulbetrieb",Nutzungsprofile!$G$6:$G$11)*Kalender!C55/SUM(Kalender!$C$5:$C$370),0)+IFERROR(SUMIF(Nutzungsprofile!$B$6:$B$11,"Halle",Nutzungsprofile!$G$6:$G$11)*Kalender!D55/SUM(Kalender!$D$5:$D$370),0)+IFERROR(SUMIF(Nutzungsprofile!$B$6:$B$11,"Individuell",Nutzungsprofile!$G$6:$G$11)*Kalender!E55/SUM(Kalender!$E$5:$E$370),0))*Szenarien!$E$21,0)</f>
        <v>3.528</v>
      </c>
      <c r="D3715" s="13" t="n">
        <f aca="false">IF(Szenarien!$H$21="OK",(IFERROR(SUMIF(Nutzungsprofile!$B$17:$B$22,"Schulbetrieb",Nutzungsprofile!$G$17:$G$22)*Kalender!C55/SUM(Kalender!$C$5:$C$370),0)+IFERROR(SUMIF(Nutzungsprofile!$B$17:$B$22,"Halle",Nutzungsprofile!$G$17:$G$22)*Kalender!D55/SUM(Kalender!$D$5:$D$370),0)+IFERROR(SUMIF(Nutzungsprofile!$B$17:$B$22,"Individuell",Nutzungsprofile!$G$17:$G$22)*Kalender!E55/SUM(Kalender!$E$5:$E$370),0))*Szenarien!$D$21,0)</f>
        <v>4.94</v>
      </c>
      <c r="E3715" s="13" t="n">
        <f aca="false">IFERROR(MIN(C3715,Eingaben!$B$17)*Eingaben!$B$16,0)</f>
        <v>3.3516</v>
      </c>
      <c r="F3715" s="13" t="n">
        <f aca="false">IFERROR(E3715*Eingaben!$B$15,0)</f>
        <v>3.01644</v>
      </c>
      <c r="G3715" s="13" t="n">
        <f aca="false">IFERROR(IF(Kalender!A55="",0,J3714*(1-Eingaben!$B$20)),0)</f>
        <v>0.88683336</v>
      </c>
      <c r="H3715" s="13" t="n">
        <f aca="false">MIN(G3715,D3715)</f>
        <v>0.88683336</v>
      </c>
      <c r="I3715" s="13" t="n">
        <f aca="false">IFERROR(MIN(F3715*Eingaben!$B$19,MAX(0,D3715-H3715)),0)</f>
        <v>2.111508</v>
      </c>
      <c r="J3715" s="13" t="n">
        <f aca="false">IFERROR(MIN(Eingaben!$B$18,MAX(0,F3715-I3715)),0)</f>
        <v>0.904932</v>
      </c>
      <c r="K3715" s="13" t="n">
        <f aca="false">H3715+I3715</f>
        <v>2.99834136</v>
      </c>
      <c r="L3715" s="13" t="n">
        <f aca="false">MAX(0,D3715-K3715)</f>
        <v>1.94165864</v>
      </c>
      <c r="M3715" s="13" t="n">
        <f aca="false">MAX(0,F3715-I3715-J3715)</f>
        <v>0</v>
      </c>
      <c r="N3715" s="13" t="n">
        <f aca="false">IF(Kalender!A55="",0,J3714-H3715)</f>
        <v>0.0180986400000001</v>
      </c>
    </row>
    <row r="3716" customFormat="false" ht="16.4" hidden="false" customHeight="false" outlineLevel="0" collapsed="false">
      <c r="A3716" s="13" t="str">
        <f aca="false">""</f>
        <v/>
      </c>
      <c r="B3716" s="13" t="n">
        <f aca="false">52</f>
        <v>52</v>
      </c>
      <c r="C3716" s="13" t="n">
        <f aca="false">IF(Szenarien!$H$21="OK",(IFERROR(SUMIF(Nutzungsprofile!$B$6:$B$11,"Schulbetrieb",Nutzungsprofile!$G$6:$G$11)*Kalender!C56/SUM(Kalender!$C$5:$C$370),0)+IFERROR(SUMIF(Nutzungsprofile!$B$6:$B$11,"Halle",Nutzungsprofile!$G$6:$G$11)*Kalender!D56/SUM(Kalender!$D$5:$D$370),0)+IFERROR(SUMIF(Nutzungsprofile!$B$6:$B$11,"Individuell",Nutzungsprofile!$G$6:$G$11)*Kalender!E56/SUM(Kalender!$E$5:$E$370),0))*Szenarien!$E$21,0)</f>
        <v>2.448</v>
      </c>
      <c r="D3716" s="13" t="n">
        <f aca="false">IF(Szenarien!$H$21="OK",(IFERROR(SUMIF(Nutzungsprofile!$B$17:$B$22,"Schulbetrieb",Nutzungsprofile!$G$17:$G$22)*Kalender!C56/SUM(Kalender!$C$5:$C$370),0)+IFERROR(SUMIF(Nutzungsprofile!$B$17:$B$22,"Halle",Nutzungsprofile!$G$17:$G$22)*Kalender!D56/SUM(Kalender!$D$5:$D$370),0)+IFERROR(SUMIF(Nutzungsprofile!$B$17:$B$22,"Individuell",Nutzungsprofile!$G$17:$G$22)*Kalender!E56/SUM(Kalender!$E$5:$E$370),0))*Szenarien!$D$21,0)</f>
        <v>0.89</v>
      </c>
      <c r="E3716" s="13" t="n">
        <f aca="false">IFERROR(MIN(C3716,Eingaben!$B$17)*Eingaben!$B$16,0)</f>
        <v>2.3256</v>
      </c>
      <c r="F3716" s="13" t="n">
        <f aca="false">IFERROR(E3716*Eingaben!$B$15,0)</f>
        <v>2.09304</v>
      </c>
      <c r="G3716" s="13" t="n">
        <f aca="false">IFERROR(IF(Kalender!A56="",0,J3715*(1-Eingaben!$B$20)),0)</f>
        <v>0.88683336</v>
      </c>
      <c r="H3716" s="13" t="n">
        <f aca="false">MIN(G3716,D3716)</f>
        <v>0.88683336</v>
      </c>
      <c r="I3716" s="13" t="n">
        <f aca="false">IFERROR(MIN(F3716*Eingaben!$B$19,MAX(0,D3716-H3716)),0)</f>
        <v>0.00316664</v>
      </c>
      <c r="J3716" s="13" t="n">
        <f aca="false">IFERROR(MIN(Eingaben!$B$18,MAX(0,F3716-I3716)),0)</f>
        <v>2</v>
      </c>
      <c r="K3716" s="13" t="n">
        <f aca="false">H3716+I3716</f>
        <v>0.89</v>
      </c>
      <c r="L3716" s="13" t="n">
        <f aca="false">MAX(0,D3716-K3716)</f>
        <v>0</v>
      </c>
      <c r="M3716" s="13" t="n">
        <f aca="false">MAX(0,F3716-I3716-J3716)</f>
        <v>0.0898733599999999</v>
      </c>
      <c r="N3716" s="13" t="n">
        <f aca="false">IF(Kalender!A56="",0,J3715-H3716)</f>
        <v>0.0180986400000001</v>
      </c>
    </row>
    <row r="3717" customFormat="false" ht="16.4" hidden="false" customHeight="false" outlineLevel="0" collapsed="false">
      <c r="A3717" s="13" t="str">
        <f aca="false">""</f>
        <v/>
      </c>
      <c r="B3717" s="13" t="n">
        <f aca="false">53</f>
        <v>53</v>
      </c>
      <c r="C3717" s="13" t="n">
        <f aca="false">IF(Szenarien!$H$21="OK",(IFERROR(SUMIF(Nutzungsprofile!$B$6:$B$11,"Schulbetrieb",Nutzungsprofile!$G$6:$G$11)*Kalender!C57/SUM(Kalender!$C$5:$C$370),0)+IFERROR(SUMIF(Nutzungsprofile!$B$6:$B$11,"Halle",Nutzungsprofile!$G$6:$G$11)*Kalender!D57/SUM(Kalender!$D$5:$D$370),0)+IFERROR(SUMIF(Nutzungsprofile!$B$6:$B$11,"Individuell",Nutzungsprofile!$G$6:$G$11)*Kalender!E57/SUM(Kalender!$E$5:$E$370),0))*Szenarien!$E$21,0)</f>
        <v>2.448</v>
      </c>
      <c r="D3717" s="13" t="n">
        <f aca="false">IF(Szenarien!$H$21="OK",(IFERROR(SUMIF(Nutzungsprofile!$B$17:$B$22,"Schulbetrieb",Nutzungsprofile!$G$17:$G$22)*Kalender!C57/SUM(Kalender!$C$5:$C$370),0)+IFERROR(SUMIF(Nutzungsprofile!$B$17:$B$22,"Halle",Nutzungsprofile!$G$17:$G$22)*Kalender!D57/SUM(Kalender!$D$5:$D$370),0)+IFERROR(SUMIF(Nutzungsprofile!$B$17:$B$22,"Individuell",Nutzungsprofile!$G$17:$G$22)*Kalender!E57/SUM(Kalender!$E$5:$E$370),0))*Szenarien!$D$21,0)</f>
        <v>0.89</v>
      </c>
      <c r="E3717" s="13" t="n">
        <f aca="false">IFERROR(MIN(C3717,Eingaben!$B$17)*Eingaben!$B$16,0)</f>
        <v>2.3256</v>
      </c>
      <c r="F3717" s="13" t="n">
        <f aca="false">IFERROR(E3717*Eingaben!$B$15,0)</f>
        <v>2.09304</v>
      </c>
      <c r="G3717" s="13" t="n">
        <f aca="false">IFERROR(IF(Kalender!A57="",0,J3716*(1-Eingaben!$B$20)),0)</f>
        <v>1.96</v>
      </c>
      <c r="H3717" s="13" t="n">
        <f aca="false">MIN(G3717,D3717)</f>
        <v>0.89</v>
      </c>
      <c r="I3717" s="13" t="n">
        <f aca="false">IFERROR(MIN(F3717*Eingaben!$B$19,MAX(0,D3717-H3717)),0)</f>
        <v>0</v>
      </c>
      <c r="J3717" s="13" t="n">
        <f aca="false">IFERROR(MIN(Eingaben!$B$18,MAX(0,F3717-I3717)),0)</f>
        <v>2</v>
      </c>
      <c r="K3717" s="13" t="n">
        <f aca="false">H3717+I3717</f>
        <v>0.89</v>
      </c>
      <c r="L3717" s="13" t="n">
        <f aca="false">MAX(0,D3717-K3717)</f>
        <v>0</v>
      </c>
      <c r="M3717" s="13" t="n">
        <f aca="false">MAX(0,F3717-I3717-J3717)</f>
        <v>0.0930399999999998</v>
      </c>
      <c r="N3717" s="13" t="n">
        <f aca="false">IF(Kalender!A57="",0,J3716-H3717)</f>
        <v>1.11</v>
      </c>
    </row>
    <row r="3718" customFormat="false" ht="16.4" hidden="false" customHeight="false" outlineLevel="0" collapsed="false">
      <c r="A3718" s="13" t="str">
        <f aca="false">""</f>
        <v/>
      </c>
      <c r="B3718" s="13" t="n">
        <f aca="false">54</f>
        <v>54</v>
      </c>
      <c r="C3718" s="13" t="n">
        <f aca="false">IF(Szenarien!$H$21="OK",(IFERROR(SUMIF(Nutzungsprofile!$B$6:$B$11,"Schulbetrieb",Nutzungsprofile!$G$6:$G$11)*Kalender!C58/SUM(Kalender!$C$5:$C$370),0)+IFERROR(SUMIF(Nutzungsprofile!$B$6:$B$11,"Halle",Nutzungsprofile!$G$6:$G$11)*Kalender!D58/SUM(Kalender!$D$5:$D$370),0)+IFERROR(SUMIF(Nutzungsprofile!$B$6:$B$11,"Individuell",Nutzungsprofile!$G$6:$G$11)*Kalender!E58/SUM(Kalender!$E$5:$E$370),0))*Szenarien!$E$21,0)</f>
        <v>3.528</v>
      </c>
      <c r="D3718" s="13" t="n">
        <f aca="false">IF(Szenarien!$H$21="OK",(IFERROR(SUMIF(Nutzungsprofile!$B$17:$B$22,"Schulbetrieb",Nutzungsprofile!$G$17:$G$22)*Kalender!C58/SUM(Kalender!$C$5:$C$370),0)+IFERROR(SUMIF(Nutzungsprofile!$B$17:$B$22,"Halle",Nutzungsprofile!$G$17:$G$22)*Kalender!D58/SUM(Kalender!$D$5:$D$370),0)+IFERROR(SUMIF(Nutzungsprofile!$B$17:$B$22,"Individuell",Nutzungsprofile!$G$17:$G$22)*Kalender!E58/SUM(Kalender!$E$5:$E$370),0))*Szenarien!$D$21,0)</f>
        <v>4.94</v>
      </c>
      <c r="E3718" s="13" t="n">
        <f aca="false">IFERROR(MIN(C3718,Eingaben!$B$17)*Eingaben!$B$16,0)</f>
        <v>3.3516</v>
      </c>
      <c r="F3718" s="13" t="n">
        <f aca="false">IFERROR(E3718*Eingaben!$B$15,0)</f>
        <v>3.01644</v>
      </c>
      <c r="G3718" s="13" t="n">
        <f aca="false">IFERROR(IF(Kalender!A58="",0,J3717*(1-Eingaben!$B$20)),0)</f>
        <v>1.96</v>
      </c>
      <c r="H3718" s="13" t="n">
        <f aca="false">MIN(G3718,D3718)</f>
        <v>1.96</v>
      </c>
      <c r="I3718" s="13" t="n">
        <f aca="false">IFERROR(MIN(F3718*Eingaben!$B$19,MAX(0,D3718-H3718)),0)</f>
        <v>2.111508</v>
      </c>
      <c r="J3718" s="13" t="n">
        <f aca="false">IFERROR(MIN(Eingaben!$B$18,MAX(0,F3718-I3718)),0)</f>
        <v>0.904932</v>
      </c>
      <c r="K3718" s="13" t="n">
        <f aca="false">H3718+I3718</f>
        <v>4.071508</v>
      </c>
      <c r="L3718" s="13" t="n">
        <f aca="false">MAX(0,D3718-K3718)</f>
        <v>0.868492</v>
      </c>
      <c r="M3718" s="13" t="n">
        <f aca="false">MAX(0,F3718-I3718-J3718)</f>
        <v>0</v>
      </c>
      <c r="N3718" s="13" t="n">
        <f aca="false">IF(Kalender!A58="",0,J3717-H3718)</f>
        <v>0.04</v>
      </c>
    </row>
    <row r="3719" customFormat="false" ht="16.4" hidden="false" customHeight="false" outlineLevel="0" collapsed="false">
      <c r="A3719" s="13" t="str">
        <f aca="false">""</f>
        <v/>
      </c>
      <c r="B3719" s="13" t="n">
        <f aca="false">55</f>
        <v>55</v>
      </c>
      <c r="C3719" s="13" t="n">
        <f aca="false">IF(Szenarien!$H$21="OK",(IFERROR(SUMIF(Nutzungsprofile!$B$6:$B$11,"Schulbetrieb",Nutzungsprofile!$G$6:$G$11)*Kalender!C59/SUM(Kalender!$C$5:$C$370),0)+IFERROR(SUMIF(Nutzungsprofile!$B$6:$B$11,"Halle",Nutzungsprofile!$G$6:$G$11)*Kalender!D59/SUM(Kalender!$D$5:$D$370),0)+IFERROR(SUMIF(Nutzungsprofile!$B$6:$B$11,"Individuell",Nutzungsprofile!$G$6:$G$11)*Kalender!E59/SUM(Kalender!$E$5:$E$370),0))*Szenarien!$E$21,0)</f>
        <v>3.528</v>
      </c>
      <c r="D3719" s="13" t="n">
        <f aca="false">IF(Szenarien!$H$21="OK",(IFERROR(SUMIF(Nutzungsprofile!$B$17:$B$22,"Schulbetrieb",Nutzungsprofile!$G$17:$G$22)*Kalender!C59/SUM(Kalender!$C$5:$C$370),0)+IFERROR(SUMIF(Nutzungsprofile!$B$17:$B$22,"Halle",Nutzungsprofile!$G$17:$G$22)*Kalender!D59/SUM(Kalender!$D$5:$D$370),0)+IFERROR(SUMIF(Nutzungsprofile!$B$17:$B$22,"Individuell",Nutzungsprofile!$G$17:$G$22)*Kalender!E59/SUM(Kalender!$E$5:$E$370),0))*Szenarien!$D$21,0)</f>
        <v>4.94</v>
      </c>
      <c r="E3719" s="13" t="n">
        <f aca="false">IFERROR(MIN(C3719,Eingaben!$B$17)*Eingaben!$B$16,0)</f>
        <v>3.3516</v>
      </c>
      <c r="F3719" s="13" t="n">
        <f aca="false">IFERROR(E3719*Eingaben!$B$15,0)</f>
        <v>3.01644</v>
      </c>
      <c r="G3719" s="13" t="n">
        <f aca="false">IFERROR(IF(Kalender!A59="",0,J3718*(1-Eingaben!$B$20)),0)</f>
        <v>0.88683336</v>
      </c>
      <c r="H3719" s="13" t="n">
        <f aca="false">MIN(G3719,D3719)</f>
        <v>0.88683336</v>
      </c>
      <c r="I3719" s="13" t="n">
        <f aca="false">IFERROR(MIN(F3719*Eingaben!$B$19,MAX(0,D3719-H3719)),0)</f>
        <v>2.111508</v>
      </c>
      <c r="J3719" s="13" t="n">
        <f aca="false">IFERROR(MIN(Eingaben!$B$18,MAX(0,F3719-I3719)),0)</f>
        <v>0.904932</v>
      </c>
      <c r="K3719" s="13" t="n">
        <f aca="false">H3719+I3719</f>
        <v>2.99834136</v>
      </c>
      <c r="L3719" s="13" t="n">
        <f aca="false">MAX(0,D3719-K3719)</f>
        <v>1.94165864</v>
      </c>
      <c r="M3719" s="13" t="n">
        <f aca="false">MAX(0,F3719-I3719-J3719)</f>
        <v>0</v>
      </c>
      <c r="N3719" s="13" t="n">
        <f aca="false">IF(Kalender!A59="",0,J3718-H3719)</f>
        <v>0.0180986400000001</v>
      </c>
    </row>
    <row r="3720" customFormat="false" ht="16.4" hidden="false" customHeight="false" outlineLevel="0" collapsed="false">
      <c r="A3720" s="13" t="str">
        <f aca="false">""</f>
        <v/>
      </c>
      <c r="B3720" s="13" t="n">
        <f aca="false">56</f>
        <v>56</v>
      </c>
      <c r="C3720" s="13" t="n">
        <f aca="false">IF(Szenarien!$H$21="OK",(IFERROR(SUMIF(Nutzungsprofile!$B$6:$B$11,"Schulbetrieb",Nutzungsprofile!$G$6:$G$11)*Kalender!C60/SUM(Kalender!$C$5:$C$370),0)+IFERROR(SUMIF(Nutzungsprofile!$B$6:$B$11,"Halle",Nutzungsprofile!$G$6:$G$11)*Kalender!D60/SUM(Kalender!$D$5:$D$370),0)+IFERROR(SUMIF(Nutzungsprofile!$B$6:$B$11,"Individuell",Nutzungsprofile!$G$6:$G$11)*Kalender!E60/SUM(Kalender!$E$5:$E$370),0))*Szenarien!$E$21,0)</f>
        <v>3.528</v>
      </c>
      <c r="D3720" s="13" t="n">
        <f aca="false">IF(Szenarien!$H$21="OK",(IFERROR(SUMIF(Nutzungsprofile!$B$17:$B$22,"Schulbetrieb",Nutzungsprofile!$G$17:$G$22)*Kalender!C60/SUM(Kalender!$C$5:$C$370),0)+IFERROR(SUMIF(Nutzungsprofile!$B$17:$B$22,"Halle",Nutzungsprofile!$G$17:$G$22)*Kalender!D60/SUM(Kalender!$D$5:$D$370),0)+IFERROR(SUMIF(Nutzungsprofile!$B$17:$B$22,"Individuell",Nutzungsprofile!$G$17:$G$22)*Kalender!E60/SUM(Kalender!$E$5:$E$370),0))*Szenarien!$D$21,0)</f>
        <v>4.94</v>
      </c>
      <c r="E3720" s="13" t="n">
        <f aca="false">IFERROR(MIN(C3720,Eingaben!$B$17)*Eingaben!$B$16,0)</f>
        <v>3.3516</v>
      </c>
      <c r="F3720" s="13" t="n">
        <f aca="false">IFERROR(E3720*Eingaben!$B$15,0)</f>
        <v>3.01644</v>
      </c>
      <c r="G3720" s="13" t="n">
        <f aca="false">IFERROR(IF(Kalender!A60="",0,J3719*(1-Eingaben!$B$20)),0)</f>
        <v>0.88683336</v>
      </c>
      <c r="H3720" s="13" t="n">
        <f aca="false">MIN(G3720,D3720)</f>
        <v>0.88683336</v>
      </c>
      <c r="I3720" s="13" t="n">
        <f aca="false">IFERROR(MIN(F3720*Eingaben!$B$19,MAX(0,D3720-H3720)),0)</f>
        <v>2.111508</v>
      </c>
      <c r="J3720" s="13" t="n">
        <f aca="false">IFERROR(MIN(Eingaben!$B$18,MAX(0,F3720-I3720)),0)</f>
        <v>0.904932</v>
      </c>
      <c r="K3720" s="13" t="n">
        <f aca="false">H3720+I3720</f>
        <v>2.99834136</v>
      </c>
      <c r="L3720" s="13" t="n">
        <f aca="false">MAX(0,D3720-K3720)</f>
        <v>1.94165864</v>
      </c>
      <c r="M3720" s="13" t="n">
        <f aca="false">MAX(0,F3720-I3720-J3720)</f>
        <v>0</v>
      </c>
      <c r="N3720" s="13" t="n">
        <f aca="false">IF(Kalender!A60="",0,J3719-H3720)</f>
        <v>0.0180986400000001</v>
      </c>
    </row>
    <row r="3721" customFormat="false" ht="16.4" hidden="false" customHeight="false" outlineLevel="0" collapsed="false">
      <c r="A3721" s="13" t="str">
        <f aca="false">""</f>
        <v/>
      </c>
      <c r="B3721" s="13" t="n">
        <f aca="false">57</f>
        <v>57</v>
      </c>
      <c r="C3721" s="13" t="n">
        <f aca="false">IF(Szenarien!$H$21="OK",(IFERROR(SUMIF(Nutzungsprofile!$B$6:$B$11,"Schulbetrieb",Nutzungsprofile!$G$6:$G$11)*Kalender!C61/SUM(Kalender!$C$5:$C$370),0)+IFERROR(SUMIF(Nutzungsprofile!$B$6:$B$11,"Halle",Nutzungsprofile!$G$6:$G$11)*Kalender!D61/SUM(Kalender!$D$5:$D$370),0)+IFERROR(SUMIF(Nutzungsprofile!$B$6:$B$11,"Individuell",Nutzungsprofile!$G$6:$G$11)*Kalender!E61/SUM(Kalender!$E$5:$E$370),0))*Szenarien!$E$21,0)</f>
        <v>3.528</v>
      </c>
      <c r="D3721" s="13" t="n">
        <f aca="false">IF(Szenarien!$H$21="OK",(IFERROR(SUMIF(Nutzungsprofile!$B$17:$B$22,"Schulbetrieb",Nutzungsprofile!$G$17:$G$22)*Kalender!C61/SUM(Kalender!$C$5:$C$370),0)+IFERROR(SUMIF(Nutzungsprofile!$B$17:$B$22,"Halle",Nutzungsprofile!$G$17:$G$22)*Kalender!D61/SUM(Kalender!$D$5:$D$370),0)+IFERROR(SUMIF(Nutzungsprofile!$B$17:$B$22,"Individuell",Nutzungsprofile!$G$17:$G$22)*Kalender!E61/SUM(Kalender!$E$5:$E$370),0))*Szenarien!$D$21,0)</f>
        <v>4.94</v>
      </c>
      <c r="E3721" s="13" t="n">
        <f aca="false">IFERROR(MIN(C3721,Eingaben!$B$17)*Eingaben!$B$16,0)</f>
        <v>3.3516</v>
      </c>
      <c r="F3721" s="13" t="n">
        <f aca="false">IFERROR(E3721*Eingaben!$B$15,0)</f>
        <v>3.01644</v>
      </c>
      <c r="G3721" s="13" t="n">
        <f aca="false">IFERROR(IF(Kalender!A61="",0,J3720*(1-Eingaben!$B$20)),0)</f>
        <v>0.88683336</v>
      </c>
      <c r="H3721" s="13" t="n">
        <f aca="false">MIN(G3721,D3721)</f>
        <v>0.88683336</v>
      </c>
      <c r="I3721" s="13" t="n">
        <f aca="false">IFERROR(MIN(F3721*Eingaben!$B$19,MAX(0,D3721-H3721)),0)</f>
        <v>2.111508</v>
      </c>
      <c r="J3721" s="13" t="n">
        <f aca="false">IFERROR(MIN(Eingaben!$B$18,MAX(0,F3721-I3721)),0)</f>
        <v>0.904932</v>
      </c>
      <c r="K3721" s="13" t="n">
        <f aca="false">H3721+I3721</f>
        <v>2.99834136</v>
      </c>
      <c r="L3721" s="13" t="n">
        <f aca="false">MAX(0,D3721-K3721)</f>
        <v>1.94165864</v>
      </c>
      <c r="M3721" s="13" t="n">
        <f aca="false">MAX(0,F3721-I3721-J3721)</f>
        <v>0</v>
      </c>
      <c r="N3721" s="13" t="n">
        <f aca="false">IF(Kalender!A61="",0,J3720-H3721)</f>
        <v>0.0180986400000001</v>
      </c>
    </row>
    <row r="3722" customFormat="false" ht="16.4" hidden="false" customHeight="false" outlineLevel="0" collapsed="false">
      <c r="A3722" s="13" t="str">
        <f aca="false">""</f>
        <v/>
      </c>
      <c r="B3722" s="13" t="n">
        <f aca="false">58</f>
        <v>58</v>
      </c>
      <c r="C3722" s="13" t="n">
        <f aca="false">IF(Szenarien!$H$21="OK",(IFERROR(SUMIF(Nutzungsprofile!$B$6:$B$11,"Schulbetrieb",Nutzungsprofile!$G$6:$G$11)*Kalender!C62/SUM(Kalender!$C$5:$C$370),0)+IFERROR(SUMIF(Nutzungsprofile!$B$6:$B$11,"Halle",Nutzungsprofile!$G$6:$G$11)*Kalender!D62/SUM(Kalender!$D$5:$D$370),0)+IFERROR(SUMIF(Nutzungsprofile!$B$6:$B$11,"Individuell",Nutzungsprofile!$G$6:$G$11)*Kalender!E62/SUM(Kalender!$E$5:$E$370),0))*Szenarien!$E$21,0)</f>
        <v>3.528</v>
      </c>
      <c r="D3722" s="13" t="n">
        <f aca="false">IF(Szenarien!$H$21="OK",(IFERROR(SUMIF(Nutzungsprofile!$B$17:$B$22,"Schulbetrieb",Nutzungsprofile!$G$17:$G$22)*Kalender!C62/SUM(Kalender!$C$5:$C$370),0)+IFERROR(SUMIF(Nutzungsprofile!$B$17:$B$22,"Halle",Nutzungsprofile!$G$17:$G$22)*Kalender!D62/SUM(Kalender!$D$5:$D$370),0)+IFERROR(SUMIF(Nutzungsprofile!$B$17:$B$22,"Individuell",Nutzungsprofile!$G$17:$G$22)*Kalender!E62/SUM(Kalender!$E$5:$E$370),0))*Szenarien!$D$21,0)</f>
        <v>4.94</v>
      </c>
      <c r="E3722" s="13" t="n">
        <f aca="false">IFERROR(MIN(C3722,Eingaben!$B$17)*Eingaben!$B$16,0)</f>
        <v>3.3516</v>
      </c>
      <c r="F3722" s="13" t="n">
        <f aca="false">IFERROR(E3722*Eingaben!$B$15,0)</f>
        <v>3.01644</v>
      </c>
      <c r="G3722" s="13" t="n">
        <f aca="false">IFERROR(IF(Kalender!A62="",0,J3721*(1-Eingaben!$B$20)),0)</f>
        <v>0.88683336</v>
      </c>
      <c r="H3722" s="13" t="n">
        <f aca="false">MIN(G3722,D3722)</f>
        <v>0.88683336</v>
      </c>
      <c r="I3722" s="13" t="n">
        <f aca="false">IFERROR(MIN(F3722*Eingaben!$B$19,MAX(0,D3722-H3722)),0)</f>
        <v>2.111508</v>
      </c>
      <c r="J3722" s="13" t="n">
        <f aca="false">IFERROR(MIN(Eingaben!$B$18,MAX(0,F3722-I3722)),0)</f>
        <v>0.904932</v>
      </c>
      <c r="K3722" s="13" t="n">
        <f aca="false">H3722+I3722</f>
        <v>2.99834136</v>
      </c>
      <c r="L3722" s="13" t="n">
        <f aca="false">MAX(0,D3722-K3722)</f>
        <v>1.94165864</v>
      </c>
      <c r="M3722" s="13" t="n">
        <f aca="false">MAX(0,F3722-I3722-J3722)</f>
        <v>0</v>
      </c>
      <c r="N3722" s="13" t="n">
        <f aca="false">IF(Kalender!A62="",0,J3721-H3722)</f>
        <v>0.0180986400000001</v>
      </c>
    </row>
    <row r="3723" customFormat="false" ht="16.4" hidden="false" customHeight="false" outlineLevel="0" collapsed="false">
      <c r="A3723" s="13" t="str">
        <f aca="false">""</f>
        <v/>
      </c>
      <c r="B3723" s="13" t="n">
        <f aca="false">59</f>
        <v>59</v>
      </c>
      <c r="C3723" s="13" t="n">
        <f aca="false">IF(Szenarien!$H$21="OK",(IFERROR(SUMIF(Nutzungsprofile!$B$6:$B$11,"Schulbetrieb",Nutzungsprofile!$G$6:$G$11)*Kalender!C63/SUM(Kalender!$C$5:$C$370),0)+IFERROR(SUMIF(Nutzungsprofile!$B$6:$B$11,"Halle",Nutzungsprofile!$G$6:$G$11)*Kalender!D63/SUM(Kalender!$D$5:$D$370),0)+IFERROR(SUMIF(Nutzungsprofile!$B$6:$B$11,"Individuell",Nutzungsprofile!$G$6:$G$11)*Kalender!E63/SUM(Kalender!$E$5:$E$370),0))*Szenarien!$E$21,0)</f>
        <v>2.448</v>
      </c>
      <c r="D3723" s="13" t="n">
        <f aca="false">IF(Szenarien!$H$21="OK",(IFERROR(SUMIF(Nutzungsprofile!$B$17:$B$22,"Schulbetrieb",Nutzungsprofile!$G$17:$G$22)*Kalender!C63/SUM(Kalender!$C$5:$C$370),0)+IFERROR(SUMIF(Nutzungsprofile!$B$17:$B$22,"Halle",Nutzungsprofile!$G$17:$G$22)*Kalender!D63/SUM(Kalender!$D$5:$D$370),0)+IFERROR(SUMIF(Nutzungsprofile!$B$17:$B$22,"Individuell",Nutzungsprofile!$G$17:$G$22)*Kalender!E63/SUM(Kalender!$E$5:$E$370),0))*Szenarien!$D$21,0)</f>
        <v>0.89</v>
      </c>
      <c r="E3723" s="13" t="n">
        <f aca="false">IFERROR(MIN(C3723,Eingaben!$B$17)*Eingaben!$B$16,0)</f>
        <v>2.3256</v>
      </c>
      <c r="F3723" s="13" t="n">
        <f aca="false">IFERROR(E3723*Eingaben!$B$15,0)</f>
        <v>2.09304</v>
      </c>
      <c r="G3723" s="13" t="n">
        <f aca="false">IFERROR(IF(Kalender!A63="",0,J3722*(1-Eingaben!$B$20)),0)</f>
        <v>0.88683336</v>
      </c>
      <c r="H3723" s="13" t="n">
        <f aca="false">MIN(G3723,D3723)</f>
        <v>0.88683336</v>
      </c>
      <c r="I3723" s="13" t="n">
        <f aca="false">IFERROR(MIN(F3723*Eingaben!$B$19,MAX(0,D3723-H3723)),0)</f>
        <v>0.00316664</v>
      </c>
      <c r="J3723" s="13" t="n">
        <f aca="false">IFERROR(MIN(Eingaben!$B$18,MAX(0,F3723-I3723)),0)</f>
        <v>2</v>
      </c>
      <c r="K3723" s="13" t="n">
        <f aca="false">H3723+I3723</f>
        <v>0.89</v>
      </c>
      <c r="L3723" s="13" t="n">
        <f aca="false">MAX(0,D3723-K3723)</f>
        <v>0</v>
      </c>
      <c r="M3723" s="13" t="n">
        <f aca="false">MAX(0,F3723-I3723-J3723)</f>
        <v>0.0898733599999999</v>
      </c>
      <c r="N3723" s="13" t="n">
        <f aca="false">IF(Kalender!A63="",0,J3722-H3723)</f>
        <v>0.0180986400000001</v>
      </c>
    </row>
    <row r="3724" customFormat="false" ht="16.4" hidden="false" customHeight="false" outlineLevel="0" collapsed="false">
      <c r="A3724" s="13" t="str">
        <f aca="false">""</f>
        <v/>
      </c>
      <c r="B3724" s="13" t="n">
        <f aca="false">60</f>
        <v>60</v>
      </c>
      <c r="C3724" s="13" t="n">
        <f aca="false">IF(Szenarien!$H$21="OK",(IFERROR(SUMIF(Nutzungsprofile!$B$6:$B$11,"Schulbetrieb",Nutzungsprofile!$G$6:$G$11)*Kalender!C64/SUM(Kalender!$C$5:$C$370),0)+IFERROR(SUMIF(Nutzungsprofile!$B$6:$B$11,"Halle",Nutzungsprofile!$G$6:$G$11)*Kalender!D64/SUM(Kalender!$D$5:$D$370),0)+IFERROR(SUMIF(Nutzungsprofile!$B$6:$B$11,"Individuell",Nutzungsprofile!$G$6:$G$11)*Kalender!E64/SUM(Kalender!$E$5:$E$370),0))*Szenarien!$E$21,0)</f>
        <v>2.448</v>
      </c>
      <c r="D3724" s="13" t="n">
        <f aca="false">IF(Szenarien!$H$21="OK",(IFERROR(SUMIF(Nutzungsprofile!$B$17:$B$22,"Schulbetrieb",Nutzungsprofile!$G$17:$G$22)*Kalender!C64/SUM(Kalender!$C$5:$C$370),0)+IFERROR(SUMIF(Nutzungsprofile!$B$17:$B$22,"Halle",Nutzungsprofile!$G$17:$G$22)*Kalender!D64/SUM(Kalender!$D$5:$D$370),0)+IFERROR(SUMIF(Nutzungsprofile!$B$17:$B$22,"Individuell",Nutzungsprofile!$G$17:$G$22)*Kalender!E64/SUM(Kalender!$E$5:$E$370),0))*Szenarien!$D$21,0)</f>
        <v>0.89</v>
      </c>
      <c r="E3724" s="13" t="n">
        <f aca="false">IFERROR(MIN(C3724,Eingaben!$B$17)*Eingaben!$B$16,0)</f>
        <v>2.3256</v>
      </c>
      <c r="F3724" s="13" t="n">
        <f aca="false">IFERROR(E3724*Eingaben!$B$15,0)</f>
        <v>2.09304</v>
      </c>
      <c r="G3724" s="13" t="n">
        <f aca="false">IFERROR(IF(Kalender!A64="",0,J3723*(1-Eingaben!$B$20)),0)</f>
        <v>1.96</v>
      </c>
      <c r="H3724" s="13" t="n">
        <f aca="false">MIN(G3724,D3724)</f>
        <v>0.89</v>
      </c>
      <c r="I3724" s="13" t="n">
        <f aca="false">IFERROR(MIN(F3724*Eingaben!$B$19,MAX(0,D3724-H3724)),0)</f>
        <v>0</v>
      </c>
      <c r="J3724" s="13" t="n">
        <f aca="false">IFERROR(MIN(Eingaben!$B$18,MAX(0,F3724-I3724)),0)</f>
        <v>2</v>
      </c>
      <c r="K3724" s="13" t="n">
        <f aca="false">H3724+I3724</f>
        <v>0.89</v>
      </c>
      <c r="L3724" s="13" t="n">
        <f aca="false">MAX(0,D3724-K3724)</f>
        <v>0</v>
      </c>
      <c r="M3724" s="13" t="n">
        <f aca="false">MAX(0,F3724-I3724-J3724)</f>
        <v>0.0930399999999998</v>
      </c>
      <c r="N3724" s="13" t="n">
        <f aca="false">IF(Kalender!A64="",0,J3723-H3724)</f>
        <v>1.11</v>
      </c>
    </row>
    <row r="3725" customFormat="false" ht="16.4" hidden="false" customHeight="false" outlineLevel="0" collapsed="false">
      <c r="A3725" s="13" t="str">
        <f aca="false">""</f>
        <v/>
      </c>
      <c r="B3725" s="13" t="n">
        <f aca="false">61</f>
        <v>61</v>
      </c>
      <c r="C3725" s="13" t="n">
        <f aca="false">IF(Szenarien!$H$21="OK",(IFERROR(SUMIF(Nutzungsprofile!$B$6:$B$11,"Schulbetrieb",Nutzungsprofile!$G$6:$G$11)*Kalender!C65/SUM(Kalender!$C$5:$C$370),0)+IFERROR(SUMIF(Nutzungsprofile!$B$6:$B$11,"Halle",Nutzungsprofile!$G$6:$G$11)*Kalender!D65/SUM(Kalender!$D$5:$D$370),0)+IFERROR(SUMIF(Nutzungsprofile!$B$6:$B$11,"Individuell",Nutzungsprofile!$G$6:$G$11)*Kalender!E65/SUM(Kalender!$E$5:$E$370),0))*Szenarien!$E$21,0)</f>
        <v>3.528</v>
      </c>
      <c r="D3725" s="13" t="n">
        <f aca="false">IF(Szenarien!$H$21="OK",(IFERROR(SUMIF(Nutzungsprofile!$B$17:$B$22,"Schulbetrieb",Nutzungsprofile!$G$17:$G$22)*Kalender!C65/SUM(Kalender!$C$5:$C$370),0)+IFERROR(SUMIF(Nutzungsprofile!$B$17:$B$22,"Halle",Nutzungsprofile!$G$17:$G$22)*Kalender!D65/SUM(Kalender!$D$5:$D$370),0)+IFERROR(SUMIF(Nutzungsprofile!$B$17:$B$22,"Individuell",Nutzungsprofile!$G$17:$G$22)*Kalender!E65/SUM(Kalender!$E$5:$E$370),0))*Szenarien!$D$21,0)</f>
        <v>4.94</v>
      </c>
      <c r="E3725" s="13" t="n">
        <f aca="false">IFERROR(MIN(C3725,Eingaben!$B$17)*Eingaben!$B$16,0)</f>
        <v>3.3516</v>
      </c>
      <c r="F3725" s="13" t="n">
        <f aca="false">IFERROR(E3725*Eingaben!$B$15,0)</f>
        <v>3.01644</v>
      </c>
      <c r="G3725" s="13" t="n">
        <f aca="false">IFERROR(IF(Kalender!A65="",0,J3724*(1-Eingaben!$B$20)),0)</f>
        <v>1.96</v>
      </c>
      <c r="H3725" s="13" t="n">
        <f aca="false">MIN(G3725,D3725)</f>
        <v>1.96</v>
      </c>
      <c r="I3725" s="13" t="n">
        <f aca="false">IFERROR(MIN(F3725*Eingaben!$B$19,MAX(0,D3725-H3725)),0)</f>
        <v>2.111508</v>
      </c>
      <c r="J3725" s="13" t="n">
        <f aca="false">IFERROR(MIN(Eingaben!$B$18,MAX(0,F3725-I3725)),0)</f>
        <v>0.904932</v>
      </c>
      <c r="K3725" s="13" t="n">
        <f aca="false">H3725+I3725</f>
        <v>4.071508</v>
      </c>
      <c r="L3725" s="13" t="n">
        <f aca="false">MAX(0,D3725-K3725)</f>
        <v>0.868492</v>
      </c>
      <c r="M3725" s="13" t="n">
        <f aca="false">MAX(0,F3725-I3725-J3725)</f>
        <v>0</v>
      </c>
      <c r="N3725" s="13" t="n">
        <f aca="false">IF(Kalender!A65="",0,J3724-H3725)</f>
        <v>0.04</v>
      </c>
    </row>
    <row r="3726" customFormat="false" ht="16.4" hidden="false" customHeight="false" outlineLevel="0" collapsed="false">
      <c r="A3726" s="13" t="str">
        <f aca="false">""</f>
        <v/>
      </c>
      <c r="B3726" s="13" t="n">
        <f aca="false">62</f>
        <v>62</v>
      </c>
      <c r="C3726" s="13" t="n">
        <f aca="false">IF(Szenarien!$H$21="OK",(IFERROR(SUMIF(Nutzungsprofile!$B$6:$B$11,"Schulbetrieb",Nutzungsprofile!$G$6:$G$11)*Kalender!C66/SUM(Kalender!$C$5:$C$370),0)+IFERROR(SUMIF(Nutzungsprofile!$B$6:$B$11,"Halle",Nutzungsprofile!$G$6:$G$11)*Kalender!D66/SUM(Kalender!$D$5:$D$370),0)+IFERROR(SUMIF(Nutzungsprofile!$B$6:$B$11,"Individuell",Nutzungsprofile!$G$6:$G$11)*Kalender!E66/SUM(Kalender!$E$5:$E$370),0))*Szenarien!$E$21,0)</f>
        <v>3.528</v>
      </c>
      <c r="D3726" s="13" t="n">
        <f aca="false">IF(Szenarien!$H$21="OK",(IFERROR(SUMIF(Nutzungsprofile!$B$17:$B$22,"Schulbetrieb",Nutzungsprofile!$G$17:$G$22)*Kalender!C66/SUM(Kalender!$C$5:$C$370),0)+IFERROR(SUMIF(Nutzungsprofile!$B$17:$B$22,"Halle",Nutzungsprofile!$G$17:$G$22)*Kalender!D66/SUM(Kalender!$D$5:$D$370),0)+IFERROR(SUMIF(Nutzungsprofile!$B$17:$B$22,"Individuell",Nutzungsprofile!$G$17:$G$22)*Kalender!E66/SUM(Kalender!$E$5:$E$370),0))*Szenarien!$D$21,0)</f>
        <v>4.94</v>
      </c>
      <c r="E3726" s="13" t="n">
        <f aca="false">IFERROR(MIN(C3726,Eingaben!$B$17)*Eingaben!$B$16,0)</f>
        <v>3.3516</v>
      </c>
      <c r="F3726" s="13" t="n">
        <f aca="false">IFERROR(E3726*Eingaben!$B$15,0)</f>
        <v>3.01644</v>
      </c>
      <c r="G3726" s="13" t="n">
        <f aca="false">IFERROR(IF(Kalender!A66="",0,J3725*(1-Eingaben!$B$20)),0)</f>
        <v>0.88683336</v>
      </c>
      <c r="H3726" s="13" t="n">
        <f aca="false">MIN(G3726,D3726)</f>
        <v>0.88683336</v>
      </c>
      <c r="I3726" s="13" t="n">
        <f aca="false">IFERROR(MIN(F3726*Eingaben!$B$19,MAX(0,D3726-H3726)),0)</f>
        <v>2.111508</v>
      </c>
      <c r="J3726" s="13" t="n">
        <f aca="false">IFERROR(MIN(Eingaben!$B$18,MAX(0,F3726-I3726)),0)</f>
        <v>0.904932</v>
      </c>
      <c r="K3726" s="13" t="n">
        <f aca="false">H3726+I3726</f>
        <v>2.99834136</v>
      </c>
      <c r="L3726" s="13" t="n">
        <f aca="false">MAX(0,D3726-K3726)</f>
        <v>1.94165864</v>
      </c>
      <c r="M3726" s="13" t="n">
        <f aca="false">MAX(0,F3726-I3726-J3726)</f>
        <v>0</v>
      </c>
      <c r="N3726" s="13" t="n">
        <f aca="false">IF(Kalender!A66="",0,J3725-H3726)</f>
        <v>0.0180986400000001</v>
      </c>
    </row>
    <row r="3727" customFormat="false" ht="16.4" hidden="false" customHeight="false" outlineLevel="0" collapsed="false">
      <c r="A3727" s="13" t="str">
        <f aca="false">""</f>
        <v/>
      </c>
      <c r="B3727" s="13" t="n">
        <f aca="false">63</f>
        <v>63</v>
      </c>
      <c r="C3727" s="13" t="n">
        <f aca="false">IF(Szenarien!$H$21="OK",(IFERROR(SUMIF(Nutzungsprofile!$B$6:$B$11,"Schulbetrieb",Nutzungsprofile!$G$6:$G$11)*Kalender!C67/SUM(Kalender!$C$5:$C$370),0)+IFERROR(SUMIF(Nutzungsprofile!$B$6:$B$11,"Halle",Nutzungsprofile!$G$6:$G$11)*Kalender!D67/SUM(Kalender!$D$5:$D$370),0)+IFERROR(SUMIF(Nutzungsprofile!$B$6:$B$11,"Individuell",Nutzungsprofile!$G$6:$G$11)*Kalender!E67/SUM(Kalender!$E$5:$E$370),0))*Szenarien!$E$21,0)</f>
        <v>3.528</v>
      </c>
      <c r="D3727" s="13" t="n">
        <f aca="false">IF(Szenarien!$H$21="OK",(IFERROR(SUMIF(Nutzungsprofile!$B$17:$B$22,"Schulbetrieb",Nutzungsprofile!$G$17:$G$22)*Kalender!C67/SUM(Kalender!$C$5:$C$370),0)+IFERROR(SUMIF(Nutzungsprofile!$B$17:$B$22,"Halle",Nutzungsprofile!$G$17:$G$22)*Kalender!D67/SUM(Kalender!$D$5:$D$370),0)+IFERROR(SUMIF(Nutzungsprofile!$B$17:$B$22,"Individuell",Nutzungsprofile!$G$17:$G$22)*Kalender!E67/SUM(Kalender!$E$5:$E$370),0))*Szenarien!$D$21,0)</f>
        <v>4.94</v>
      </c>
      <c r="E3727" s="13" t="n">
        <f aca="false">IFERROR(MIN(C3727,Eingaben!$B$17)*Eingaben!$B$16,0)</f>
        <v>3.3516</v>
      </c>
      <c r="F3727" s="13" t="n">
        <f aca="false">IFERROR(E3727*Eingaben!$B$15,0)</f>
        <v>3.01644</v>
      </c>
      <c r="G3727" s="13" t="n">
        <f aca="false">IFERROR(IF(Kalender!A67="",0,J3726*(1-Eingaben!$B$20)),0)</f>
        <v>0.88683336</v>
      </c>
      <c r="H3727" s="13" t="n">
        <f aca="false">MIN(G3727,D3727)</f>
        <v>0.88683336</v>
      </c>
      <c r="I3727" s="13" t="n">
        <f aca="false">IFERROR(MIN(F3727*Eingaben!$B$19,MAX(0,D3727-H3727)),0)</f>
        <v>2.111508</v>
      </c>
      <c r="J3727" s="13" t="n">
        <f aca="false">IFERROR(MIN(Eingaben!$B$18,MAX(0,F3727-I3727)),0)</f>
        <v>0.904932</v>
      </c>
      <c r="K3727" s="13" t="n">
        <f aca="false">H3727+I3727</f>
        <v>2.99834136</v>
      </c>
      <c r="L3727" s="13" t="n">
        <f aca="false">MAX(0,D3727-K3727)</f>
        <v>1.94165864</v>
      </c>
      <c r="M3727" s="13" t="n">
        <f aca="false">MAX(0,F3727-I3727-J3727)</f>
        <v>0</v>
      </c>
      <c r="N3727" s="13" t="n">
        <f aca="false">IF(Kalender!A67="",0,J3726-H3727)</f>
        <v>0.0180986400000001</v>
      </c>
    </row>
    <row r="3728" customFormat="false" ht="16.4" hidden="false" customHeight="false" outlineLevel="0" collapsed="false">
      <c r="A3728" s="13" t="str">
        <f aca="false">""</f>
        <v/>
      </c>
      <c r="B3728" s="13" t="n">
        <f aca="false">64</f>
        <v>64</v>
      </c>
      <c r="C3728" s="13" t="n">
        <f aca="false">IF(Szenarien!$H$21="OK",(IFERROR(SUMIF(Nutzungsprofile!$B$6:$B$11,"Schulbetrieb",Nutzungsprofile!$G$6:$G$11)*Kalender!C68/SUM(Kalender!$C$5:$C$370),0)+IFERROR(SUMIF(Nutzungsprofile!$B$6:$B$11,"Halle",Nutzungsprofile!$G$6:$G$11)*Kalender!D68/SUM(Kalender!$D$5:$D$370),0)+IFERROR(SUMIF(Nutzungsprofile!$B$6:$B$11,"Individuell",Nutzungsprofile!$G$6:$G$11)*Kalender!E68/SUM(Kalender!$E$5:$E$370),0))*Szenarien!$E$21,0)</f>
        <v>3.528</v>
      </c>
      <c r="D3728" s="13" t="n">
        <f aca="false">IF(Szenarien!$H$21="OK",(IFERROR(SUMIF(Nutzungsprofile!$B$17:$B$22,"Schulbetrieb",Nutzungsprofile!$G$17:$G$22)*Kalender!C68/SUM(Kalender!$C$5:$C$370),0)+IFERROR(SUMIF(Nutzungsprofile!$B$17:$B$22,"Halle",Nutzungsprofile!$G$17:$G$22)*Kalender!D68/SUM(Kalender!$D$5:$D$370),0)+IFERROR(SUMIF(Nutzungsprofile!$B$17:$B$22,"Individuell",Nutzungsprofile!$G$17:$G$22)*Kalender!E68/SUM(Kalender!$E$5:$E$370),0))*Szenarien!$D$21,0)</f>
        <v>4.94</v>
      </c>
      <c r="E3728" s="13" t="n">
        <f aca="false">IFERROR(MIN(C3728,Eingaben!$B$17)*Eingaben!$B$16,0)</f>
        <v>3.3516</v>
      </c>
      <c r="F3728" s="13" t="n">
        <f aca="false">IFERROR(E3728*Eingaben!$B$15,0)</f>
        <v>3.01644</v>
      </c>
      <c r="G3728" s="13" t="n">
        <f aca="false">IFERROR(IF(Kalender!A68="",0,J3727*(1-Eingaben!$B$20)),0)</f>
        <v>0.88683336</v>
      </c>
      <c r="H3728" s="13" t="n">
        <f aca="false">MIN(G3728,D3728)</f>
        <v>0.88683336</v>
      </c>
      <c r="I3728" s="13" t="n">
        <f aca="false">IFERROR(MIN(F3728*Eingaben!$B$19,MAX(0,D3728-H3728)),0)</f>
        <v>2.111508</v>
      </c>
      <c r="J3728" s="13" t="n">
        <f aca="false">IFERROR(MIN(Eingaben!$B$18,MAX(0,F3728-I3728)),0)</f>
        <v>0.904932</v>
      </c>
      <c r="K3728" s="13" t="n">
        <f aca="false">H3728+I3728</f>
        <v>2.99834136</v>
      </c>
      <c r="L3728" s="13" t="n">
        <f aca="false">MAX(0,D3728-K3728)</f>
        <v>1.94165864</v>
      </c>
      <c r="M3728" s="13" t="n">
        <f aca="false">MAX(0,F3728-I3728-J3728)</f>
        <v>0</v>
      </c>
      <c r="N3728" s="13" t="n">
        <f aca="false">IF(Kalender!A68="",0,J3727-H3728)</f>
        <v>0.0180986400000001</v>
      </c>
    </row>
    <row r="3729" customFormat="false" ht="16.4" hidden="false" customHeight="false" outlineLevel="0" collapsed="false">
      <c r="A3729" s="13" t="str">
        <f aca="false">""</f>
        <v/>
      </c>
      <c r="B3729" s="13" t="n">
        <f aca="false">65</f>
        <v>65</v>
      </c>
      <c r="C3729" s="13" t="n">
        <f aca="false">IF(Szenarien!$H$21="OK",(IFERROR(SUMIF(Nutzungsprofile!$B$6:$B$11,"Schulbetrieb",Nutzungsprofile!$G$6:$G$11)*Kalender!C69/SUM(Kalender!$C$5:$C$370),0)+IFERROR(SUMIF(Nutzungsprofile!$B$6:$B$11,"Halle",Nutzungsprofile!$G$6:$G$11)*Kalender!D69/SUM(Kalender!$D$5:$D$370),0)+IFERROR(SUMIF(Nutzungsprofile!$B$6:$B$11,"Individuell",Nutzungsprofile!$G$6:$G$11)*Kalender!E69/SUM(Kalender!$E$5:$E$370),0))*Szenarien!$E$21,0)</f>
        <v>3.528</v>
      </c>
      <c r="D3729" s="13" t="n">
        <f aca="false">IF(Szenarien!$H$21="OK",(IFERROR(SUMIF(Nutzungsprofile!$B$17:$B$22,"Schulbetrieb",Nutzungsprofile!$G$17:$G$22)*Kalender!C69/SUM(Kalender!$C$5:$C$370),0)+IFERROR(SUMIF(Nutzungsprofile!$B$17:$B$22,"Halle",Nutzungsprofile!$G$17:$G$22)*Kalender!D69/SUM(Kalender!$D$5:$D$370),0)+IFERROR(SUMIF(Nutzungsprofile!$B$17:$B$22,"Individuell",Nutzungsprofile!$G$17:$G$22)*Kalender!E69/SUM(Kalender!$E$5:$E$370),0))*Szenarien!$D$21,0)</f>
        <v>4.94</v>
      </c>
      <c r="E3729" s="13" t="n">
        <f aca="false">IFERROR(MIN(C3729,Eingaben!$B$17)*Eingaben!$B$16,0)</f>
        <v>3.3516</v>
      </c>
      <c r="F3729" s="13" t="n">
        <f aca="false">IFERROR(E3729*Eingaben!$B$15,0)</f>
        <v>3.01644</v>
      </c>
      <c r="G3729" s="13" t="n">
        <f aca="false">IFERROR(IF(Kalender!A69="",0,J3728*(1-Eingaben!$B$20)),0)</f>
        <v>0.88683336</v>
      </c>
      <c r="H3729" s="13" t="n">
        <f aca="false">MIN(G3729,D3729)</f>
        <v>0.88683336</v>
      </c>
      <c r="I3729" s="13" t="n">
        <f aca="false">IFERROR(MIN(F3729*Eingaben!$B$19,MAX(0,D3729-H3729)),0)</f>
        <v>2.111508</v>
      </c>
      <c r="J3729" s="13" t="n">
        <f aca="false">IFERROR(MIN(Eingaben!$B$18,MAX(0,F3729-I3729)),0)</f>
        <v>0.904932</v>
      </c>
      <c r="K3729" s="13" t="n">
        <f aca="false">H3729+I3729</f>
        <v>2.99834136</v>
      </c>
      <c r="L3729" s="13" t="n">
        <f aca="false">MAX(0,D3729-K3729)</f>
        <v>1.94165864</v>
      </c>
      <c r="M3729" s="13" t="n">
        <f aca="false">MAX(0,F3729-I3729-J3729)</f>
        <v>0</v>
      </c>
      <c r="N3729" s="13" t="n">
        <f aca="false">IF(Kalender!A69="",0,J3728-H3729)</f>
        <v>0.0180986400000001</v>
      </c>
    </row>
    <row r="3730" customFormat="false" ht="16.4" hidden="false" customHeight="false" outlineLevel="0" collapsed="false">
      <c r="A3730" s="13" t="str">
        <f aca="false">""</f>
        <v/>
      </c>
      <c r="B3730" s="13" t="n">
        <f aca="false">66</f>
        <v>66</v>
      </c>
      <c r="C3730" s="13" t="n">
        <f aca="false">IF(Szenarien!$H$21="OK",(IFERROR(SUMIF(Nutzungsprofile!$B$6:$B$11,"Schulbetrieb",Nutzungsprofile!$G$6:$G$11)*Kalender!C70/SUM(Kalender!$C$5:$C$370),0)+IFERROR(SUMIF(Nutzungsprofile!$B$6:$B$11,"Halle",Nutzungsprofile!$G$6:$G$11)*Kalender!D70/SUM(Kalender!$D$5:$D$370),0)+IFERROR(SUMIF(Nutzungsprofile!$B$6:$B$11,"Individuell",Nutzungsprofile!$G$6:$G$11)*Kalender!E70/SUM(Kalender!$E$5:$E$370),0))*Szenarien!$E$21,0)</f>
        <v>2.448</v>
      </c>
      <c r="D3730" s="13" t="n">
        <f aca="false">IF(Szenarien!$H$21="OK",(IFERROR(SUMIF(Nutzungsprofile!$B$17:$B$22,"Schulbetrieb",Nutzungsprofile!$G$17:$G$22)*Kalender!C70/SUM(Kalender!$C$5:$C$370),0)+IFERROR(SUMIF(Nutzungsprofile!$B$17:$B$22,"Halle",Nutzungsprofile!$G$17:$G$22)*Kalender!D70/SUM(Kalender!$D$5:$D$370),0)+IFERROR(SUMIF(Nutzungsprofile!$B$17:$B$22,"Individuell",Nutzungsprofile!$G$17:$G$22)*Kalender!E70/SUM(Kalender!$E$5:$E$370),0))*Szenarien!$D$21,0)</f>
        <v>0.89</v>
      </c>
      <c r="E3730" s="13" t="n">
        <f aca="false">IFERROR(MIN(C3730,Eingaben!$B$17)*Eingaben!$B$16,0)</f>
        <v>2.3256</v>
      </c>
      <c r="F3730" s="13" t="n">
        <f aca="false">IFERROR(E3730*Eingaben!$B$15,0)</f>
        <v>2.09304</v>
      </c>
      <c r="G3730" s="13" t="n">
        <f aca="false">IFERROR(IF(Kalender!A70="",0,J3729*(1-Eingaben!$B$20)),0)</f>
        <v>0.88683336</v>
      </c>
      <c r="H3730" s="13" t="n">
        <f aca="false">MIN(G3730,D3730)</f>
        <v>0.88683336</v>
      </c>
      <c r="I3730" s="13" t="n">
        <f aca="false">IFERROR(MIN(F3730*Eingaben!$B$19,MAX(0,D3730-H3730)),0)</f>
        <v>0.00316664</v>
      </c>
      <c r="J3730" s="13" t="n">
        <f aca="false">IFERROR(MIN(Eingaben!$B$18,MAX(0,F3730-I3730)),0)</f>
        <v>2</v>
      </c>
      <c r="K3730" s="13" t="n">
        <f aca="false">H3730+I3730</f>
        <v>0.89</v>
      </c>
      <c r="L3730" s="13" t="n">
        <f aca="false">MAX(0,D3730-K3730)</f>
        <v>0</v>
      </c>
      <c r="M3730" s="13" t="n">
        <f aca="false">MAX(0,F3730-I3730-J3730)</f>
        <v>0.0898733599999999</v>
      </c>
      <c r="N3730" s="13" t="n">
        <f aca="false">IF(Kalender!A70="",0,J3729-H3730)</f>
        <v>0.0180986400000001</v>
      </c>
    </row>
    <row r="3731" customFormat="false" ht="16.4" hidden="false" customHeight="false" outlineLevel="0" collapsed="false">
      <c r="A3731" s="13" t="str">
        <f aca="false">""</f>
        <v/>
      </c>
      <c r="B3731" s="13" t="n">
        <f aca="false">67</f>
        <v>67</v>
      </c>
      <c r="C3731" s="13" t="n">
        <f aca="false">IF(Szenarien!$H$21="OK",(IFERROR(SUMIF(Nutzungsprofile!$B$6:$B$11,"Schulbetrieb",Nutzungsprofile!$G$6:$G$11)*Kalender!C71/SUM(Kalender!$C$5:$C$370),0)+IFERROR(SUMIF(Nutzungsprofile!$B$6:$B$11,"Halle",Nutzungsprofile!$G$6:$G$11)*Kalender!D71/SUM(Kalender!$D$5:$D$370),0)+IFERROR(SUMIF(Nutzungsprofile!$B$6:$B$11,"Individuell",Nutzungsprofile!$G$6:$G$11)*Kalender!E71/SUM(Kalender!$E$5:$E$370),0))*Szenarien!$E$21,0)</f>
        <v>2.448</v>
      </c>
      <c r="D3731" s="13" t="n">
        <f aca="false">IF(Szenarien!$H$21="OK",(IFERROR(SUMIF(Nutzungsprofile!$B$17:$B$22,"Schulbetrieb",Nutzungsprofile!$G$17:$G$22)*Kalender!C71/SUM(Kalender!$C$5:$C$370),0)+IFERROR(SUMIF(Nutzungsprofile!$B$17:$B$22,"Halle",Nutzungsprofile!$G$17:$G$22)*Kalender!D71/SUM(Kalender!$D$5:$D$370),0)+IFERROR(SUMIF(Nutzungsprofile!$B$17:$B$22,"Individuell",Nutzungsprofile!$G$17:$G$22)*Kalender!E71/SUM(Kalender!$E$5:$E$370),0))*Szenarien!$D$21,0)</f>
        <v>0.89</v>
      </c>
      <c r="E3731" s="13" t="n">
        <f aca="false">IFERROR(MIN(C3731,Eingaben!$B$17)*Eingaben!$B$16,0)</f>
        <v>2.3256</v>
      </c>
      <c r="F3731" s="13" t="n">
        <f aca="false">IFERROR(E3731*Eingaben!$B$15,0)</f>
        <v>2.09304</v>
      </c>
      <c r="G3731" s="13" t="n">
        <f aca="false">IFERROR(IF(Kalender!A71="",0,J3730*(1-Eingaben!$B$20)),0)</f>
        <v>1.96</v>
      </c>
      <c r="H3731" s="13" t="n">
        <f aca="false">MIN(G3731,D3731)</f>
        <v>0.89</v>
      </c>
      <c r="I3731" s="13" t="n">
        <f aca="false">IFERROR(MIN(F3731*Eingaben!$B$19,MAX(0,D3731-H3731)),0)</f>
        <v>0</v>
      </c>
      <c r="J3731" s="13" t="n">
        <f aca="false">IFERROR(MIN(Eingaben!$B$18,MAX(0,F3731-I3731)),0)</f>
        <v>2</v>
      </c>
      <c r="K3731" s="13" t="n">
        <f aca="false">H3731+I3731</f>
        <v>0.89</v>
      </c>
      <c r="L3731" s="13" t="n">
        <f aca="false">MAX(0,D3731-K3731)</f>
        <v>0</v>
      </c>
      <c r="M3731" s="13" t="n">
        <f aca="false">MAX(0,F3731-I3731-J3731)</f>
        <v>0.0930399999999998</v>
      </c>
      <c r="N3731" s="13" t="n">
        <f aca="false">IF(Kalender!A71="",0,J3730-H3731)</f>
        <v>1.11</v>
      </c>
    </row>
    <row r="3732" customFormat="false" ht="16.4" hidden="false" customHeight="false" outlineLevel="0" collapsed="false">
      <c r="A3732" s="13" t="str">
        <f aca="false">""</f>
        <v/>
      </c>
      <c r="B3732" s="13" t="n">
        <f aca="false">68</f>
        <v>68</v>
      </c>
      <c r="C3732" s="13" t="n">
        <f aca="false">IF(Szenarien!$H$21="OK",(IFERROR(SUMIF(Nutzungsprofile!$B$6:$B$11,"Schulbetrieb",Nutzungsprofile!$G$6:$G$11)*Kalender!C72/SUM(Kalender!$C$5:$C$370),0)+IFERROR(SUMIF(Nutzungsprofile!$B$6:$B$11,"Halle",Nutzungsprofile!$G$6:$G$11)*Kalender!D72/SUM(Kalender!$D$5:$D$370),0)+IFERROR(SUMIF(Nutzungsprofile!$B$6:$B$11,"Individuell",Nutzungsprofile!$G$6:$G$11)*Kalender!E72/SUM(Kalender!$E$5:$E$370),0))*Szenarien!$E$21,0)</f>
        <v>3.528</v>
      </c>
      <c r="D3732" s="13" t="n">
        <f aca="false">IF(Szenarien!$H$21="OK",(IFERROR(SUMIF(Nutzungsprofile!$B$17:$B$22,"Schulbetrieb",Nutzungsprofile!$G$17:$G$22)*Kalender!C72/SUM(Kalender!$C$5:$C$370),0)+IFERROR(SUMIF(Nutzungsprofile!$B$17:$B$22,"Halle",Nutzungsprofile!$G$17:$G$22)*Kalender!D72/SUM(Kalender!$D$5:$D$370),0)+IFERROR(SUMIF(Nutzungsprofile!$B$17:$B$22,"Individuell",Nutzungsprofile!$G$17:$G$22)*Kalender!E72/SUM(Kalender!$E$5:$E$370),0))*Szenarien!$D$21,0)</f>
        <v>4.94</v>
      </c>
      <c r="E3732" s="13" t="n">
        <f aca="false">IFERROR(MIN(C3732,Eingaben!$B$17)*Eingaben!$B$16,0)</f>
        <v>3.3516</v>
      </c>
      <c r="F3732" s="13" t="n">
        <f aca="false">IFERROR(E3732*Eingaben!$B$15,0)</f>
        <v>3.01644</v>
      </c>
      <c r="G3732" s="13" t="n">
        <f aca="false">IFERROR(IF(Kalender!A72="",0,J3731*(1-Eingaben!$B$20)),0)</f>
        <v>1.96</v>
      </c>
      <c r="H3732" s="13" t="n">
        <f aca="false">MIN(G3732,D3732)</f>
        <v>1.96</v>
      </c>
      <c r="I3732" s="13" t="n">
        <f aca="false">IFERROR(MIN(F3732*Eingaben!$B$19,MAX(0,D3732-H3732)),0)</f>
        <v>2.111508</v>
      </c>
      <c r="J3732" s="13" t="n">
        <f aca="false">IFERROR(MIN(Eingaben!$B$18,MAX(0,F3732-I3732)),0)</f>
        <v>0.904932</v>
      </c>
      <c r="K3732" s="13" t="n">
        <f aca="false">H3732+I3732</f>
        <v>4.071508</v>
      </c>
      <c r="L3732" s="13" t="n">
        <f aca="false">MAX(0,D3732-K3732)</f>
        <v>0.868492</v>
      </c>
      <c r="M3732" s="13" t="n">
        <f aca="false">MAX(0,F3732-I3732-J3732)</f>
        <v>0</v>
      </c>
      <c r="N3732" s="13" t="n">
        <f aca="false">IF(Kalender!A72="",0,J3731-H3732)</f>
        <v>0.04</v>
      </c>
    </row>
    <row r="3733" customFormat="false" ht="16.4" hidden="false" customHeight="false" outlineLevel="0" collapsed="false">
      <c r="A3733" s="13" t="str">
        <f aca="false">""</f>
        <v/>
      </c>
      <c r="B3733" s="13" t="n">
        <f aca="false">69</f>
        <v>69</v>
      </c>
      <c r="C3733" s="13" t="n">
        <f aca="false">IF(Szenarien!$H$21="OK",(IFERROR(SUMIF(Nutzungsprofile!$B$6:$B$11,"Schulbetrieb",Nutzungsprofile!$G$6:$G$11)*Kalender!C73/SUM(Kalender!$C$5:$C$370),0)+IFERROR(SUMIF(Nutzungsprofile!$B$6:$B$11,"Halle",Nutzungsprofile!$G$6:$G$11)*Kalender!D73/SUM(Kalender!$D$5:$D$370),0)+IFERROR(SUMIF(Nutzungsprofile!$B$6:$B$11,"Individuell",Nutzungsprofile!$G$6:$G$11)*Kalender!E73/SUM(Kalender!$E$5:$E$370),0))*Szenarien!$E$21,0)</f>
        <v>3.528</v>
      </c>
      <c r="D3733" s="13" t="n">
        <f aca="false">IF(Szenarien!$H$21="OK",(IFERROR(SUMIF(Nutzungsprofile!$B$17:$B$22,"Schulbetrieb",Nutzungsprofile!$G$17:$G$22)*Kalender!C73/SUM(Kalender!$C$5:$C$370),0)+IFERROR(SUMIF(Nutzungsprofile!$B$17:$B$22,"Halle",Nutzungsprofile!$G$17:$G$22)*Kalender!D73/SUM(Kalender!$D$5:$D$370),0)+IFERROR(SUMIF(Nutzungsprofile!$B$17:$B$22,"Individuell",Nutzungsprofile!$G$17:$G$22)*Kalender!E73/SUM(Kalender!$E$5:$E$370),0))*Szenarien!$D$21,0)</f>
        <v>4.94</v>
      </c>
      <c r="E3733" s="13" t="n">
        <f aca="false">IFERROR(MIN(C3733,Eingaben!$B$17)*Eingaben!$B$16,0)</f>
        <v>3.3516</v>
      </c>
      <c r="F3733" s="13" t="n">
        <f aca="false">IFERROR(E3733*Eingaben!$B$15,0)</f>
        <v>3.01644</v>
      </c>
      <c r="G3733" s="13" t="n">
        <f aca="false">IFERROR(IF(Kalender!A73="",0,J3732*(1-Eingaben!$B$20)),0)</f>
        <v>0.88683336</v>
      </c>
      <c r="H3733" s="13" t="n">
        <f aca="false">MIN(G3733,D3733)</f>
        <v>0.88683336</v>
      </c>
      <c r="I3733" s="13" t="n">
        <f aca="false">IFERROR(MIN(F3733*Eingaben!$B$19,MAX(0,D3733-H3733)),0)</f>
        <v>2.111508</v>
      </c>
      <c r="J3733" s="13" t="n">
        <f aca="false">IFERROR(MIN(Eingaben!$B$18,MAX(0,F3733-I3733)),0)</f>
        <v>0.904932</v>
      </c>
      <c r="K3733" s="13" t="n">
        <f aca="false">H3733+I3733</f>
        <v>2.99834136</v>
      </c>
      <c r="L3733" s="13" t="n">
        <f aca="false">MAX(0,D3733-K3733)</f>
        <v>1.94165864</v>
      </c>
      <c r="M3733" s="13" t="n">
        <f aca="false">MAX(0,F3733-I3733-J3733)</f>
        <v>0</v>
      </c>
      <c r="N3733" s="13" t="n">
        <f aca="false">IF(Kalender!A73="",0,J3732-H3733)</f>
        <v>0.0180986400000001</v>
      </c>
    </row>
    <row r="3734" customFormat="false" ht="16.4" hidden="false" customHeight="false" outlineLevel="0" collapsed="false">
      <c r="A3734" s="13" t="str">
        <f aca="false">""</f>
        <v/>
      </c>
      <c r="B3734" s="13" t="n">
        <f aca="false">70</f>
        <v>70</v>
      </c>
      <c r="C3734" s="13" t="n">
        <f aca="false">IF(Szenarien!$H$21="OK",(IFERROR(SUMIF(Nutzungsprofile!$B$6:$B$11,"Schulbetrieb",Nutzungsprofile!$G$6:$G$11)*Kalender!C74/SUM(Kalender!$C$5:$C$370),0)+IFERROR(SUMIF(Nutzungsprofile!$B$6:$B$11,"Halle",Nutzungsprofile!$G$6:$G$11)*Kalender!D74/SUM(Kalender!$D$5:$D$370),0)+IFERROR(SUMIF(Nutzungsprofile!$B$6:$B$11,"Individuell",Nutzungsprofile!$G$6:$G$11)*Kalender!E74/SUM(Kalender!$E$5:$E$370),0))*Szenarien!$E$21,0)</f>
        <v>3.528</v>
      </c>
      <c r="D3734" s="13" t="n">
        <f aca="false">IF(Szenarien!$H$21="OK",(IFERROR(SUMIF(Nutzungsprofile!$B$17:$B$22,"Schulbetrieb",Nutzungsprofile!$G$17:$G$22)*Kalender!C74/SUM(Kalender!$C$5:$C$370),0)+IFERROR(SUMIF(Nutzungsprofile!$B$17:$B$22,"Halle",Nutzungsprofile!$G$17:$G$22)*Kalender!D74/SUM(Kalender!$D$5:$D$370),0)+IFERROR(SUMIF(Nutzungsprofile!$B$17:$B$22,"Individuell",Nutzungsprofile!$G$17:$G$22)*Kalender!E74/SUM(Kalender!$E$5:$E$370),0))*Szenarien!$D$21,0)</f>
        <v>4.94</v>
      </c>
      <c r="E3734" s="13" t="n">
        <f aca="false">IFERROR(MIN(C3734,Eingaben!$B$17)*Eingaben!$B$16,0)</f>
        <v>3.3516</v>
      </c>
      <c r="F3734" s="13" t="n">
        <f aca="false">IFERROR(E3734*Eingaben!$B$15,0)</f>
        <v>3.01644</v>
      </c>
      <c r="G3734" s="13" t="n">
        <f aca="false">IFERROR(IF(Kalender!A74="",0,J3733*(1-Eingaben!$B$20)),0)</f>
        <v>0.88683336</v>
      </c>
      <c r="H3734" s="13" t="n">
        <f aca="false">MIN(G3734,D3734)</f>
        <v>0.88683336</v>
      </c>
      <c r="I3734" s="13" t="n">
        <f aca="false">IFERROR(MIN(F3734*Eingaben!$B$19,MAX(0,D3734-H3734)),0)</f>
        <v>2.111508</v>
      </c>
      <c r="J3734" s="13" t="n">
        <f aca="false">IFERROR(MIN(Eingaben!$B$18,MAX(0,F3734-I3734)),0)</f>
        <v>0.904932</v>
      </c>
      <c r="K3734" s="13" t="n">
        <f aca="false">H3734+I3734</f>
        <v>2.99834136</v>
      </c>
      <c r="L3734" s="13" t="n">
        <f aca="false">MAX(0,D3734-K3734)</f>
        <v>1.94165864</v>
      </c>
      <c r="M3734" s="13" t="n">
        <f aca="false">MAX(0,F3734-I3734-J3734)</f>
        <v>0</v>
      </c>
      <c r="N3734" s="13" t="n">
        <f aca="false">IF(Kalender!A74="",0,J3733-H3734)</f>
        <v>0.0180986400000001</v>
      </c>
    </row>
    <row r="3735" customFormat="false" ht="16.4" hidden="false" customHeight="false" outlineLevel="0" collapsed="false">
      <c r="A3735" s="13" t="str">
        <f aca="false">""</f>
        <v/>
      </c>
      <c r="B3735" s="13" t="n">
        <f aca="false">71</f>
        <v>71</v>
      </c>
      <c r="C3735" s="13" t="n">
        <f aca="false">IF(Szenarien!$H$21="OK",(IFERROR(SUMIF(Nutzungsprofile!$B$6:$B$11,"Schulbetrieb",Nutzungsprofile!$G$6:$G$11)*Kalender!C75/SUM(Kalender!$C$5:$C$370),0)+IFERROR(SUMIF(Nutzungsprofile!$B$6:$B$11,"Halle",Nutzungsprofile!$G$6:$G$11)*Kalender!D75/SUM(Kalender!$D$5:$D$370),0)+IFERROR(SUMIF(Nutzungsprofile!$B$6:$B$11,"Individuell",Nutzungsprofile!$G$6:$G$11)*Kalender!E75/SUM(Kalender!$E$5:$E$370),0))*Szenarien!$E$21,0)</f>
        <v>3.528</v>
      </c>
      <c r="D3735" s="13" t="n">
        <f aca="false">IF(Szenarien!$H$21="OK",(IFERROR(SUMIF(Nutzungsprofile!$B$17:$B$22,"Schulbetrieb",Nutzungsprofile!$G$17:$G$22)*Kalender!C75/SUM(Kalender!$C$5:$C$370),0)+IFERROR(SUMIF(Nutzungsprofile!$B$17:$B$22,"Halle",Nutzungsprofile!$G$17:$G$22)*Kalender!D75/SUM(Kalender!$D$5:$D$370),0)+IFERROR(SUMIF(Nutzungsprofile!$B$17:$B$22,"Individuell",Nutzungsprofile!$G$17:$G$22)*Kalender!E75/SUM(Kalender!$E$5:$E$370),0))*Szenarien!$D$21,0)</f>
        <v>4.94</v>
      </c>
      <c r="E3735" s="13" t="n">
        <f aca="false">IFERROR(MIN(C3735,Eingaben!$B$17)*Eingaben!$B$16,0)</f>
        <v>3.3516</v>
      </c>
      <c r="F3735" s="13" t="n">
        <f aca="false">IFERROR(E3735*Eingaben!$B$15,0)</f>
        <v>3.01644</v>
      </c>
      <c r="G3735" s="13" t="n">
        <f aca="false">IFERROR(IF(Kalender!A75="",0,J3734*(1-Eingaben!$B$20)),0)</f>
        <v>0.88683336</v>
      </c>
      <c r="H3735" s="13" t="n">
        <f aca="false">MIN(G3735,D3735)</f>
        <v>0.88683336</v>
      </c>
      <c r="I3735" s="13" t="n">
        <f aca="false">IFERROR(MIN(F3735*Eingaben!$B$19,MAX(0,D3735-H3735)),0)</f>
        <v>2.111508</v>
      </c>
      <c r="J3735" s="13" t="n">
        <f aca="false">IFERROR(MIN(Eingaben!$B$18,MAX(0,F3735-I3735)),0)</f>
        <v>0.904932</v>
      </c>
      <c r="K3735" s="13" t="n">
        <f aca="false">H3735+I3735</f>
        <v>2.99834136</v>
      </c>
      <c r="L3735" s="13" t="n">
        <f aca="false">MAX(0,D3735-K3735)</f>
        <v>1.94165864</v>
      </c>
      <c r="M3735" s="13" t="n">
        <f aca="false">MAX(0,F3735-I3735-J3735)</f>
        <v>0</v>
      </c>
      <c r="N3735" s="13" t="n">
        <f aca="false">IF(Kalender!A75="",0,J3734-H3735)</f>
        <v>0.0180986400000001</v>
      </c>
    </row>
    <row r="3736" customFormat="false" ht="16.4" hidden="false" customHeight="false" outlineLevel="0" collapsed="false">
      <c r="A3736" s="13" t="str">
        <f aca="false">""</f>
        <v/>
      </c>
      <c r="B3736" s="13" t="n">
        <f aca="false">72</f>
        <v>72</v>
      </c>
      <c r="C3736" s="13" t="n">
        <f aca="false">IF(Szenarien!$H$21="OK",(IFERROR(SUMIF(Nutzungsprofile!$B$6:$B$11,"Schulbetrieb",Nutzungsprofile!$G$6:$G$11)*Kalender!C76/SUM(Kalender!$C$5:$C$370),0)+IFERROR(SUMIF(Nutzungsprofile!$B$6:$B$11,"Halle",Nutzungsprofile!$G$6:$G$11)*Kalender!D76/SUM(Kalender!$D$5:$D$370),0)+IFERROR(SUMIF(Nutzungsprofile!$B$6:$B$11,"Individuell",Nutzungsprofile!$G$6:$G$11)*Kalender!E76/SUM(Kalender!$E$5:$E$370),0))*Szenarien!$E$21,0)</f>
        <v>3.528</v>
      </c>
      <c r="D3736" s="13" t="n">
        <f aca="false">IF(Szenarien!$H$21="OK",(IFERROR(SUMIF(Nutzungsprofile!$B$17:$B$22,"Schulbetrieb",Nutzungsprofile!$G$17:$G$22)*Kalender!C76/SUM(Kalender!$C$5:$C$370),0)+IFERROR(SUMIF(Nutzungsprofile!$B$17:$B$22,"Halle",Nutzungsprofile!$G$17:$G$22)*Kalender!D76/SUM(Kalender!$D$5:$D$370),0)+IFERROR(SUMIF(Nutzungsprofile!$B$17:$B$22,"Individuell",Nutzungsprofile!$G$17:$G$22)*Kalender!E76/SUM(Kalender!$E$5:$E$370),0))*Szenarien!$D$21,0)</f>
        <v>4.94</v>
      </c>
      <c r="E3736" s="13" t="n">
        <f aca="false">IFERROR(MIN(C3736,Eingaben!$B$17)*Eingaben!$B$16,0)</f>
        <v>3.3516</v>
      </c>
      <c r="F3736" s="13" t="n">
        <f aca="false">IFERROR(E3736*Eingaben!$B$15,0)</f>
        <v>3.01644</v>
      </c>
      <c r="G3736" s="13" t="n">
        <f aca="false">IFERROR(IF(Kalender!A76="",0,J3735*(1-Eingaben!$B$20)),0)</f>
        <v>0.88683336</v>
      </c>
      <c r="H3736" s="13" t="n">
        <f aca="false">MIN(G3736,D3736)</f>
        <v>0.88683336</v>
      </c>
      <c r="I3736" s="13" t="n">
        <f aca="false">IFERROR(MIN(F3736*Eingaben!$B$19,MAX(0,D3736-H3736)),0)</f>
        <v>2.111508</v>
      </c>
      <c r="J3736" s="13" t="n">
        <f aca="false">IFERROR(MIN(Eingaben!$B$18,MAX(0,F3736-I3736)),0)</f>
        <v>0.904932</v>
      </c>
      <c r="K3736" s="13" t="n">
        <f aca="false">H3736+I3736</f>
        <v>2.99834136</v>
      </c>
      <c r="L3736" s="13" t="n">
        <f aca="false">MAX(0,D3736-K3736)</f>
        <v>1.94165864</v>
      </c>
      <c r="M3736" s="13" t="n">
        <f aca="false">MAX(0,F3736-I3736-J3736)</f>
        <v>0</v>
      </c>
      <c r="N3736" s="13" t="n">
        <f aca="false">IF(Kalender!A76="",0,J3735-H3736)</f>
        <v>0.0180986400000001</v>
      </c>
    </row>
    <row r="3737" customFormat="false" ht="16.4" hidden="false" customHeight="false" outlineLevel="0" collapsed="false">
      <c r="A3737" s="13" t="str">
        <f aca="false">""</f>
        <v/>
      </c>
      <c r="B3737" s="13" t="n">
        <f aca="false">73</f>
        <v>73</v>
      </c>
      <c r="C3737" s="13" t="n">
        <f aca="false">IF(Szenarien!$H$21="OK",(IFERROR(SUMIF(Nutzungsprofile!$B$6:$B$11,"Schulbetrieb",Nutzungsprofile!$G$6:$G$11)*Kalender!C77/SUM(Kalender!$C$5:$C$370),0)+IFERROR(SUMIF(Nutzungsprofile!$B$6:$B$11,"Halle",Nutzungsprofile!$G$6:$G$11)*Kalender!D77/SUM(Kalender!$D$5:$D$370),0)+IFERROR(SUMIF(Nutzungsprofile!$B$6:$B$11,"Individuell",Nutzungsprofile!$G$6:$G$11)*Kalender!E77/SUM(Kalender!$E$5:$E$370),0))*Szenarien!$E$21,0)</f>
        <v>2.448</v>
      </c>
      <c r="D3737" s="13" t="n">
        <f aca="false">IF(Szenarien!$H$21="OK",(IFERROR(SUMIF(Nutzungsprofile!$B$17:$B$22,"Schulbetrieb",Nutzungsprofile!$G$17:$G$22)*Kalender!C77/SUM(Kalender!$C$5:$C$370),0)+IFERROR(SUMIF(Nutzungsprofile!$B$17:$B$22,"Halle",Nutzungsprofile!$G$17:$G$22)*Kalender!D77/SUM(Kalender!$D$5:$D$370),0)+IFERROR(SUMIF(Nutzungsprofile!$B$17:$B$22,"Individuell",Nutzungsprofile!$G$17:$G$22)*Kalender!E77/SUM(Kalender!$E$5:$E$370),0))*Szenarien!$D$21,0)</f>
        <v>0.89</v>
      </c>
      <c r="E3737" s="13" t="n">
        <f aca="false">IFERROR(MIN(C3737,Eingaben!$B$17)*Eingaben!$B$16,0)</f>
        <v>2.3256</v>
      </c>
      <c r="F3737" s="13" t="n">
        <f aca="false">IFERROR(E3737*Eingaben!$B$15,0)</f>
        <v>2.09304</v>
      </c>
      <c r="G3737" s="13" t="n">
        <f aca="false">IFERROR(IF(Kalender!A77="",0,J3736*(1-Eingaben!$B$20)),0)</f>
        <v>0.88683336</v>
      </c>
      <c r="H3737" s="13" t="n">
        <f aca="false">MIN(G3737,D3737)</f>
        <v>0.88683336</v>
      </c>
      <c r="I3737" s="13" t="n">
        <f aca="false">IFERROR(MIN(F3737*Eingaben!$B$19,MAX(0,D3737-H3737)),0)</f>
        <v>0.00316664</v>
      </c>
      <c r="J3737" s="13" t="n">
        <f aca="false">IFERROR(MIN(Eingaben!$B$18,MAX(0,F3737-I3737)),0)</f>
        <v>2</v>
      </c>
      <c r="K3737" s="13" t="n">
        <f aca="false">H3737+I3737</f>
        <v>0.89</v>
      </c>
      <c r="L3737" s="13" t="n">
        <f aca="false">MAX(0,D3737-K3737)</f>
        <v>0</v>
      </c>
      <c r="M3737" s="13" t="n">
        <f aca="false">MAX(0,F3737-I3737-J3737)</f>
        <v>0.0898733599999999</v>
      </c>
      <c r="N3737" s="13" t="n">
        <f aca="false">IF(Kalender!A77="",0,J3736-H3737)</f>
        <v>0.0180986400000001</v>
      </c>
    </row>
    <row r="3738" customFormat="false" ht="16.4" hidden="false" customHeight="false" outlineLevel="0" collapsed="false">
      <c r="A3738" s="13" t="str">
        <f aca="false">""</f>
        <v/>
      </c>
      <c r="B3738" s="13" t="n">
        <f aca="false">74</f>
        <v>74</v>
      </c>
      <c r="C3738" s="13" t="n">
        <f aca="false">IF(Szenarien!$H$21="OK",(IFERROR(SUMIF(Nutzungsprofile!$B$6:$B$11,"Schulbetrieb",Nutzungsprofile!$G$6:$G$11)*Kalender!C78/SUM(Kalender!$C$5:$C$370),0)+IFERROR(SUMIF(Nutzungsprofile!$B$6:$B$11,"Halle",Nutzungsprofile!$G$6:$G$11)*Kalender!D78/SUM(Kalender!$D$5:$D$370),0)+IFERROR(SUMIF(Nutzungsprofile!$B$6:$B$11,"Individuell",Nutzungsprofile!$G$6:$G$11)*Kalender!E78/SUM(Kalender!$E$5:$E$370),0))*Szenarien!$E$21,0)</f>
        <v>2.448</v>
      </c>
      <c r="D3738" s="13" t="n">
        <f aca="false">IF(Szenarien!$H$21="OK",(IFERROR(SUMIF(Nutzungsprofile!$B$17:$B$22,"Schulbetrieb",Nutzungsprofile!$G$17:$G$22)*Kalender!C78/SUM(Kalender!$C$5:$C$370),0)+IFERROR(SUMIF(Nutzungsprofile!$B$17:$B$22,"Halle",Nutzungsprofile!$G$17:$G$22)*Kalender!D78/SUM(Kalender!$D$5:$D$370),0)+IFERROR(SUMIF(Nutzungsprofile!$B$17:$B$22,"Individuell",Nutzungsprofile!$G$17:$G$22)*Kalender!E78/SUM(Kalender!$E$5:$E$370),0))*Szenarien!$D$21,0)</f>
        <v>0.89</v>
      </c>
      <c r="E3738" s="13" t="n">
        <f aca="false">IFERROR(MIN(C3738,Eingaben!$B$17)*Eingaben!$B$16,0)</f>
        <v>2.3256</v>
      </c>
      <c r="F3738" s="13" t="n">
        <f aca="false">IFERROR(E3738*Eingaben!$B$15,0)</f>
        <v>2.09304</v>
      </c>
      <c r="G3738" s="13" t="n">
        <f aca="false">IFERROR(IF(Kalender!A78="",0,J3737*(1-Eingaben!$B$20)),0)</f>
        <v>1.96</v>
      </c>
      <c r="H3738" s="13" t="n">
        <f aca="false">MIN(G3738,D3738)</f>
        <v>0.89</v>
      </c>
      <c r="I3738" s="13" t="n">
        <f aca="false">IFERROR(MIN(F3738*Eingaben!$B$19,MAX(0,D3738-H3738)),0)</f>
        <v>0</v>
      </c>
      <c r="J3738" s="13" t="n">
        <f aca="false">IFERROR(MIN(Eingaben!$B$18,MAX(0,F3738-I3738)),0)</f>
        <v>2</v>
      </c>
      <c r="K3738" s="13" t="n">
        <f aca="false">H3738+I3738</f>
        <v>0.89</v>
      </c>
      <c r="L3738" s="13" t="n">
        <f aca="false">MAX(0,D3738-K3738)</f>
        <v>0</v>
      </c>
      <c r="M3738" s="13" t="n">
        <f aca="false">MAX(0,F3738-I3738-J3738)</f>
        <v>0.0930399999999998</v>
      </c>
      <c r="N3738" s="13" t="n">
        <f aca="false">IF(Kalender!A78="",0,J3737-H3738)</f>
        <v>1.11</v>
      </c>
    </row>
    <row r="3739" customFormat="false" ht="16.4" hidden="false" customHeight="false" outlineLevel="0" collapsed="false">
      <c r="A3739" s="13" t="str">
        <f aca="false">""</f>
        <v/>
      </c>
      <c r="B3739" s="13" t="n">
        <f aca="false">75</f>
        <v>75</v>
      </c>
      <c r="C3739" s="13" t="n">
        <f aca="false">IF(Szenarien!$H$21="OK",(IFERROR(SUMIF(Nutzungsprofile!$B$6:$B$11,"Schulbetrieb",Nutzungsprofile!$G$6:$G$11)*Kalender!C79/SUM(Kalender!$C$5:$C$370),0)+IFERROR(SUMIF(Nutzungsprofile!$B$6:$B$11,"Halle",Nutzungsprofile!$G$6:$G$11)*Kalender!D79/SUM(Kalender!$D$5:$D$370),0)+IFERROR(SUMIF(Nutzungsprofile!$B$6:$B$11,"Individuell",Nutzungsprofile!$G$6:$G$11)*Kalender!E79/SUM(Kalender!$E$5:$E$370),0))*Szenarien!$E$21,0)</f>
        <v>3.528</v>
      </c>
      <c r="D3739" s="13" t="n">
        <f aca="false">IF(Szenarien!$H$21="OK",(IFERROR(SUMIF(Nutzungsprofile!$B$17:$B$22,"Schulbetrieb",Nutzungsprofile!$G$17:$G$22)*Kalender!C79/SUM(Kalender!$C$5:$C$370),0)+IFERROR(SUMIF(Nutzungsprofile!$B$17:$B$22,"Halle",Nutzungsprofile!$G$17:$G$22)*Kalender!D79/SUM(Kalender!$D$5:$D$370),0)+IFERROR(SUMIF(Nutzungsprofile!$B$17:$B$22,"Individuell",Nutzungsprofile!$G$17:$G$22)*Kalender!E79/SUM(Kalender!$E$5:$E$370),0))*Szenarien!$D$21,0)</f>
        <v>4.94</v>
      </c>
      <c r="E3739" s="13" t="n">
        <f aca="false">IFERROR(MIN(C3739,Eingaben!$B$17)*Eingaben!$B$16,0)</f>
        <v>3.3516</v>
      </c>
      <c r="F3739" s="13" t="n">
        <f aca="false">IFERROR(E3739*Eingaben!$B$15,0)</f>
        <v>3.01644</v>
      </c>
      <c r="G3739" s="13" t="n">
        <f aca="false">IFERROR(IF(Kalender!A79="",0,J3738*(1-Eingaben!$B$20)),0)</f>
        <v>1.96</v>
      </c>
      <c r="H3739" s="13" t="n">
        <f aca="false">MIN(G3739,D3739)</f>
        <v>1.96</v>
      </c>
      <c r="I3739" s="13" t="n">
        <f aca="false">IFERROR(MIN(F3739*Eingaben!$B$19,MAX(0,D3739-H3739)),0)</f>
        <v>2.111508</v>
      </c>
      <c r="J3739" s="13" t="n">
        <f aca="false">IFERROR(MIN(Eingaben!$B$18,MAX(0,F3739-I3739)),0)</f>
        <v>0.904932</v>
      </c>
      <c r="K3739" s="13" t="n">
        <f aca="false">H3739+I3739</f>
        <v>4.071508</v>
      </c>
      <c r="L3739" s="13" t="n">
        <f aca="false">MAX(0,D3739-K3739)</f>
        <v>0.868492</v>
      </c>
      <c r="M3739" s="13" t="n">
        <f aca="false">MAX(0,F3739-I3739-J3739)</f>
        <v>0</v>
      </c>
      <c r="N3739" s="13" t="n">
        <f aca="false">IF(Kalender!A79="",0,J3738-H3739)</f>
        <v>0.04</v>
      </c>
    </row>
    <row r="3740" customFormat="false" ht="16.4" hidden="false" customHeight="false" outlineLevel="0" collapsed="false">
      <c r="A3740" s="13" t="str">
        <f aca="false">""</f>
        <v/>
      </c>
      <c r="B3740" s="13" t="n">
        <f aca="false">76</f>
        <v>76</v>
      </c>
      <c r="C3740" s="13" t="n">
        <f aca="false">IF(Szenarien!$H$21="OK",(IFERROR(SUMIF(Nutzungsprofile!$B$6:$B$11,"Schulbetrieb",Nutzungsprofile!$G$6:$G$11)*Kalender!C80/SUM(Kalender!$C$5:$C$370),0)+IFERROR(SUMIF(Nutzungsprofile!$B$6:$B$11,"Halle",Nutzungsprofile!$G$6:$G$11)*Kalender!D80/SUM(Kalender!$D$5:$D$370),0)+IFERROR(SUMIF(Nutzungsprofile!$B$6:$B$11,"Individuell",Nutzungsprofile!$G$6:$G$11)*Kalender!E80/SUM(Kalender!$E$5:$E$370),0))*Szenarien!$E$21,0)</f>
        <v>3.528</v>
      </c>
      <c r="D3740" s="13" t="n">
        <f aca="false">IF(Szenarien!$H$21="OK",(IFERROR(SUMIF(Nutzungsprofile!$B$17:$B$22,"Schulbetrieb",Nutzungsprofile!$G$17:$G$22)*Kalender!C80/SUM(Kalender!$C$5:$C$370),0)+IFERROR(SUMIF(Nutzungsprofile!$B$17:$B$22,"Halle",Nutzungsprofile!$G$17:$G$22)*Kalender!D80/SUM(Kalender!$D$5:$D$370),0)+IFERROR(SUMIF(Nutzungsprofile!$B$17:$B$22,"Individuell",Nutzungsprofile!$G$17:$G$22)*Kalender!E80/SUM(Kalender!$E$5:$E$370),0))*Szenarien!$D$21,0)</f>
        <v>4.94</v>
      </c>
      <c r="E3740" s="13" t="n">
        <f aca="false">IFERROR(MIN(C3740,Eingaben!$B$17)*Eingaben!$B$16,0)</f>
        <v>3.3516</v>
      </c>
      <c r="F3740" s="13" t="n">
        <f aca="false">IFERROR(E3740*Eingaben!$B$15,0)</f>
        <v>3.01644</v>
      </c>
      <c r="G3740" s="13" t="n">
        <f aca="false">IFERROR(IF(Kalender!A80="",0,J3739*(1-Eingaben!$B$20)),0)</f>
        <v>0.88683336</v>
      </c>
      <c r="H3740" s="13" t="n">
        <f aca="false">MIN(G3740,D3740)</f>
        <v>0.88683336</v>
      </c>
      <c r="I3740" s="13" t="n">
        <f aca="false">IFERROR(MIN(F3740*Eingaben!$B$19,MAX(0,D3740-H3740)),0)</f>
        <v>2.111508</v>
      </c>
      <c r="J3740" s="13" t="n">
        <f aca="false">IFERROR(MIN(Eingaben!$B$18,MAX(0,F3740-I3740)),0)</f>
        <v>0.904932</v>
      </c>
      <c r="K3740" s="13" t="n">
        <f aca="false">H3740+I3740</f>
        <v>2.99834136</v>
      </c>
      <c r="L3740" s="13" t="n">
        <f aca="false">MAX(0,D3740-K3740)</f>
        <v>1.94165864</v>
      </c>
      <c r="M3740" s="13" t="n">
        <f aca="false">MAX(0,F3740-I3740-J3740)</f>
        <v>0</v>
      </c>
      <c r="N3740" s="13" t="n">
        <f aca="false">IF(Kalender!A80="",0,J3739-H3740)</f>
        <v>0.0180986400000001</v>
      </c>
    </row>
    <row r="3741" customFormat="false" ht="16.4" hidden="false" customHeight="false" outlineLevel="0" collapsed="false">
      <c r="A3741" s="13" t="str">
        <f aca="false">""</f>
        <v/>
      </c>
      <c r="B3741" s="13" t="n">
        <f aca="false">77</f>
        <v>77</v>
      </c>
      <c r="C3741" s="13" t="n">
        <f aca="false">IF(Szenarien!$H$21="OK",(IFERROR(SUMIF(Nutzungsprofile!$B$6:$B$11,"Schulbetrieb",Nutzungsprofile!$G$6:$G$11)*Kalender!C81/SUM(Kalender!$C$5:$C$370),0)+IFERROR(SUMIF(Nutzungsprofile!$B$6:$B$11,"Halle",Nutzungsprofile!$G$6:$G$11)*Kalender!D81/SUM(Kalender!$D$5:$D$370),0)+IFERROR(SUMIF(Nutzungsprofile!$B$6:$B$11,"Individuell",Nutzungsprofile!$G$6:$G$11)*Kalender!E81/SUM(Kalender!$E$5:$E$370),0))*Szenarien!$E$21,0)</f>
        <v>3.528</v>
      </c>
      <c r="D3741" s="13" t="n">
        <f aca="false">IF(Szenarien!$H$21="OK",(IFERROR(SUMIF(Nutzungsprofile!$B$17:$B$22,"Schulbetrieb",Nutzungsprofile!$G$17:$G$22)*Kalender!C81/SUM(Kalender!$C$5:$C$370),0)+IFERROR(SUMIF(Nutzungsprofile!$B$17:$B$22,"Halle",Nutzungsprofile!$G$17:$G$22)*Kalender!D81/SUM(Kalender!$D$5:$D$370),0)+IFERROR(SUMIF(Nutzungsprofile!$B$17:$B$22,"Individuell",Nutzungsprofile!$G$17:$G$22)*Kalender!E81/SUM(Kalender!$E$5:$E$370),0))*Szenarien!$D$21,0)</f>
        <v>4.94</v>
      </c>
      <c r="E3741" s="13" t="n">
        <f aca="false">IFERROR(MIN(C3741,Eingaben!$B$17)*Eingaben!$B$16,0)</f>
        <v>3.3516</v>
      </c>
      <c r="F3741" s="13" t="n">
        <f aca="false">IFERROR(E3741*Eingaben!$B$15,0)</f>
        <v>3.01644</v>
      </c>
      <c r="G3741" s="13" t="n">
        <f aca="false">IFERROR(IF(Kalender!A81="",0,J3740*(1-Eingaben!$B$20)),0)</f>
        <v>0.88683336</v>
      </c>
      <c r="H3741" s="13" t="n">
        <f aca="false">MIN(G3741,D3741)</f>
        <v>0.88683336</v>
      </c>
      <c r="I3741" s="13" t="n">
        <f aca="false">IFERROR(MIN(F3741*Eingaben!$B$19,MAX(0,D3741-H3741)),0)</f>
        <v>2.111508</v>
      </c>
      <c r="J3741" s="13" t="n">
        <f aca="false">IFERROR(MIN(Eingaben!$B$18,MAX(0,F3741-I3741)),0)</f>
        <v>0.904932</v>
      </c>
      <c r="K3741" s="13" t="n">
        <f aca="false">H3741+I3741</f>
        <v>2.99834136</v>
      </c>
      <c r="L3741" s="13" t="n">
        <f aca="false">MAX(0,D3741-K3741)</f>
        <v>1.94165864</v>
      </c>
      <c r="M3741" s="13" t="n">
        <f aca="false">MAX(0,F3741-I3741-J3741)</f>
        <v>0</v>
      </c>
      <c r="N3741" s="13" t="n">
        <f aca="false">IF(Kalender!A81="",0,J3740-H3741)</f>
        <v>0.0180986400000001</v>
      </c>
    </row>
    <row r="3742" customFormat="false" ht="16.4" hidden="false" customHeight="false" outlineLevel="0" collapsed="false">
      <c r="A3742" s="13" t="str">
        <f aca="false">""</f>
        <v/>
      </c>
      <c r="B3742" s="13" t="n">
        <f aca="false">78</f>
        <v>78</v>
      </c>
      <c r="C3742" s="13" t="n">
        <f aca="false">IF(Szenarien!$H$21="OK",(IFERROR(SUMIF(Nutzungsprofile!$B$6:$B$11,"Schulbetrieb",Nutzungsprofile!$G$6:$G$11)*Kalender!C82/SUM(Kalender!$C$5:$C$370),0)+IFERROR(SUMIF(Nutzungsprofile!$B$6:$B$11,"Halle",Nutzungsprofile!$G$6:$G$11)*Kalender!D82/SUM(Kalender!$D$5:$D$370),0)+IFERROR(SUMIF(Nutzungsprofile!$B$6:$B$11,"Individuell",Nutzungsprofile!$G$6:$G$11)*Kalender!E82/SUM(Kalender!$E$5:$E$370),0))*Szenarien!$E$21,0)</f>
        <v>3.528</v>
      </c>
      <c r="D3742" s="13" t="n">
        <f aca="false">IF(Szenarien!$H$21="OK",(IFERROR(SUMIF(Nutzungsprofile!$B$17:$B$22,"Schulbetrieb",Nutzungsprofile!$G$17:$G$22)*Kalender!C82/SUM(Kalender!$C$5:$C$370),0)+IFERROR(SUMIF(Nutzungsprofile!$B$17:$B$22,"Halle",Nutzungsprofile!$G$17:$G$22)*Kalender!D82/SUM(Kalender!$D$5:$D$370),0)+IFERROR(SUMIF(Nutzungsprofile!$B$17:$B$22,"Individuell",Nutzungsprofile!$G$17:$G$22)*Kalender!E82/SUM(Kalender!$E$5:$E$370),0))*Szenarien!$D$21,0)</f>
        <v>4.94</v>
      </c>
      <c r="E3742" s="13" t="n">
        <f aca="false">IFERROR(MIN(C3742,Eingaben!$B$17)*Eingaben!$B$16,0)</f>
        <v>3.3516</v>
      </c>
      <c r="F3742" s="13" t="n">
        <f aca="false">IFERROR(E3742*Eingaben!$B$15,0)</f>
        <v>3.01644</v>
      </c>
      <c r="G3742" s="13" t="n">
        <f aca="false">IFERROR(IF(Kalender!A82="",0,J3741*(1-Eingaben!$B$20)),0)</f>
        <v>0.88683336</v>
      </c>
      <c r="H3742" s="13" t="n">
        <f aca="false">MIN(G3742,D3742)</f>
        <v>0.88683336</v>
      </c>
      <c r="I3742" s="13" t="n">
        <f aca="false">IFERROR(MIN(F3742*Eingaben!$B$19,MAX(0,D3742-H3742)),0)</f>
        <v>2.111508</v>
      </c>
      <c r="J3742" s="13" t="n">
        <f aca="false">IFERROR(MIN(Eingaben!$B$18,MAX(0,F3742-I3742)),0)</f>
        <v>0.904932</v>
      </c>
      <c r="K3742" s="13" t="n">
        <f aca="false">H3742+I3742</f>
        <v>2.99834136</v>
      </c>
      <c r="L3742" s="13" t="n">
        <f aca="false">MAX(0,D3742-K3742)</f>
        <v>1.94165864</v>
      </c>
      <c r="M3742" s="13" t="n">
        <f aca="false">MAX(0,F3742-I3742-J3742)</f>
        <v>0</v>
      </c>
      <c r="N3742" s="13" t="n">
        <f aca="false">IF(Kalender!A82="",0,J3741-H3742)</f>
        <v>0.0180986400000001</v>
      </c>
    </row>
    <row r="3743" customFormat="false" ht="16.4" hidden="false" customHeight="false" outlineLevel="0" collapsed="false">
      <c r="A3743" s="13" t="str">
        <f aca="false">""</f>
        <v/>
      </c>
      <c r="B3743" s="13" t="n">
        <f aca="false">79</f>
        <v>79</v>
      </c>
      <c r="C3743" s="13" t="n">
        <f aca="false">IF(Szenarien!$H$21="OK",(IFERROR(SUMIF(Nutzungsprofile!$B$6:$B$11,"Schulbetrieb",Nutzungsprofile!$G$6:$G$11)*Kalender!C83/SUM(Kalender!$C$5:$C$370),0)+IFERROR(SUMIF(Nutzungsprofile!$B$6:$B$11,"Halle",Nutzungsprofile!$G$6:$G$11)*Kalender!D83/SUM(Kalender!$D$5:$D$370),0)+IFERROR(SUMIF(Nutzungsprofile!$B$6:$B$11,"Individuell",Nutzungsprofile!$G$6:$G$11)*Kalender!E83/SUM(Kalender!$E$5:$E$370),0))*Szenarien!$E$21,0)</f>
        <v>3.528</v>
      </c>
      <c r="D3743" s="13" t="n">
        <f aca="false">IF(Szenarien!$H$21="OK",(IFERROR(SUMIF(Nutzungsprofile!$B$17:$B$22,"Schulbetrieb",Nutzungsprofile!$G$17:$G$22)*Kalender!C83/SUM(Kalender!$C$5:$C$370),0)+IFERROR(SUMIF(Nutzungsprofile!$B$17:$B$22,"Halle",Nutzungsprofile!$G$17:$G$22)*Kalender!D83/SUM(Kalender!$D$5:$D$370),0)+IFERROR(SUMIF(Nutzungsprofile!$B$17:$B$22,"Individuell",Nutzungsprofile!$G$17:$G$22)*Kalender!E83/SUM(Kalender!$E$5:$E$370),0))*Szenarien!$D$21,0)</f>
        <v>4.94</v>
      </c>
      <c r="E3743" s="13" t="n">
        <f aca="false">IFERROR(MIN(C3743,Eingaben!$B$17)*Eingaben!$B$16,0)</f>
        <v>3.3516</v>
      </c>
      <c r="F3743" s="13" t="n">
        <f aca="false">IFERROR(E3743*Eingaben!$B$15,0)</f>
        <v>3.01644</v>
      </c>
      <c r="G3743" s="13" t="n">
        <f aca="false">IFERROR(IF(Kalender!A83="",0,J3742*(1-Eingaben!$B$20)),0)</f>
        <v>0.88683336</v>
      </c>
      <c r="H3743" s="13" t="n">
        <f aca="false">MIN(G3743,D3743)</f>
        <v>0.88683336</v>
      </c>
      <c r="I3743" s="13" t="n">
        <f aca="false">IFERROR(MIN(F3743*Eingaben!$B$19,MAX(0,D3743-H3743)),0)</f>
        <v>2.111508</v>
      </c>
      <c r="J3743" s="13" t="n">
        <f aca="false">IFERROR(MIN(Eingaben!$B$18,MAX(0,F3743-I3743)),0)</f>
        <v>0.904932</v>
      </c>
      <c r="K3743" s="13" t="n">
        <f aca="false">H3743+I3743</f>
        <v>2.99834136</v>
      </c>
      <c r="L3743" s="13" t="n">
        <f aca="false">MAX(0,D3743-K3743)</f>
        <v>1.94165864</v>
      </c>
      <c r="M3743" s="13" t="n">
        <f aca="false">MAX(0,F3743-I3743-J3743)</f>
        <v>0</v>
      </c>
      <c r="N3743" s="13" t="n">
        <f aca="false">IF(Kalender!A83="",0,J3742-H3743)</f>
        <v>0.0180986400000001</v>
      </c>
    </row>
    <row r="3744" customFormat="false" ht="16.4" hidden="false" customHeight="false" outlineLevel="0" collapsed="false">
      <c r="A3744" s="13" t="str">
        <f aca="false">""</f>
        <v/>
      </c>
      <c r="B3744" s="13" t="n">
        <f aca="false">80</f>
        <v>80</v>
      </c>
      <c r="C3744" s="13" t="n">
        <f aca="false">IF(Szenarien!$H$21="OK",(IFERROR(SUMIF(Nutzungsprofile!$B$6:$B$11,"Schulbetrieb",Nutzungsprofile!$G$6:$G$11)*Kalender!C84/SUM(Kalender!$C$5:$C$370),0)+IFERROR(SUMIF(Nutzungsprofile!$B$6:$B$11,"Halle",Nutzungsprofile!$G$6:$G$11)*Kalender!D84/SUM(Kalender!$D$5:$D$370),0)+IFERROR(SUMIF(Nutzungsprofile!$B$6:$B$11,"Individuell",Nutzungsprofile!$G$6:$G$11)*Kalender!E84/SUM(Kalender!$E$5:$E$370),0))*Szenarien!$E$21,0)</f>
        <v>2.448</v>
      </c>
      <c r="D3744" s="13" t="n">
        <f aca="false">IF(Szenarien!$H$21="OK",(IFERROR(SUMIF(Nutzungsprofile!$B$17:$B$22,"Schulbetrieb",Nutzungsprofile!$G$17:$G$22)*Kalender!C84/SUM(Kalender!$C$5:$C$370),0)+IFERROR(SUMIF(Nutzungsprofile!$B$17:$B$22,"Halle",Nutzungsprofile!$G$17:$G$22)*Kalender!D84/SUM(Kalender!$D$5:$D$370),0)+IFERROR(SUMIF(Nutzungsprofile!$B$17:$B$22,"Individuell",Nutzungsprofile!$G$17:$G$22)*Kalender!E84/SUM(Kalender!$E$5:$E$370),0))*Szenarien!$D$21,0)</f>
        <v>0.89</v>
      </c>
      <c r="E3744" s="13" t="n">
        <f aca="false">IFERROR(MIN(C3744,Eingaben!$B$17)*Eingaben!$B$16,0)</f>
        <v>2.3256</v>
      </c>
      <c r="F3744" s="13" t="n">
        <f aca="false">IFERROR(E3744*Eingaben!$B$15,0)</f>
        <v>2.09304</v>
      </c>
      <c r="G3744" s="13" t="n">
        <f aca="false">IFERROR(IF(Kalender!A84="",0,J3743*(1-Eingaben!$B$20)),0)</f>
        <v>0.88683336</v>
      </c>
      <c r="H3744" s="13" t="n">
        <f aca="false">MIN(G3744,D3744)</f>
        <v>0.88683336</v>
      </c>
      <c r="I3744" s="13" t="n">
        <f aca="false">IFERROR(MIN(F3744*Eingaben!$B$19,MAX(0,D3744-H3744)),0)</f>
        <v>0.00316664</v>
      </c>
      <c r="J3744" s="13" t="n">
        <f aca="false">IFERROR(MIN(Eingaben!$B$18,MAX(0,F3744-I3744)),0)</f>
        <v>2</v>
      </c>
      <c r="K3744" s="13" t="n">
        <f aca="false">H3744+I3744</f>
        <v>0.89</v>
      </c>
      <c r="L3744" s="13" t="n">
        <f aca="false">MAX(0,D3744-K3744)</f>
        <v>0</v>
      </c>
      <c r="M3744" s="13" t="n">
        <f aca="false">MAX(0,F3744-I3744-J3744)</f>
        <v>0.0898733599999999</v>
      </c>
      <c r="N3744" s="13" t="n">
        <f aca="false">IF(Kalender!A84="",0,J3743-H3744)</f>
        <v>0.0180986400000001</v>
      </c>
    </row>
    <row r="3745" customFormat="false" ht="16.4" hidden="false" customHeight="false" outlineLevel="0" collapsed="false">
      <c r="A3745" s="13" t="str">
        <f aca="false">""</f>
        <v/>
      </c>
      <c r="B3745" s="13" t="n">
        <f aca="false">81</f>
        <v>81</v>
      </c>
      <c r="C3745" s="13" t="n">
        <f aca="false">IF(Szenarien!$H$21="OK",(IFERROR(SUMIF(Nutzungsprofile!$B$6:$B$11,"Schulbetrieb",Nutzungsprofile!$G$6:$G$11)*Kalender!C85/SUM(Kalender!$C$5:$C$370),0)+IFERROR(SUMIF(Nutzungsprofile!$B$6:$B$11,"Halle",Nutzungsprofile!$G$6:$G$11)*Kalender!D85/SUM(Kalender!$D$5:$D$370),0)+IFERROR(SUMIF(Nutzungsprofile!$B$6:$B$11,"Individuell",Nutzungsprofile!$G$6:$G$11)*Kalender!E85/SUM(Kalender!$E$5:$E$370),0))*Szenarien!$E$21,0)</f>
        <v>2.448</v>
      </c>
      <c r="D3745" s="13" t="n">
        <f aca="false">IF(Szenarien!$H$21="OK",(IFERROR(SUMIF(Nutzungsprofile!$B$17:$B$22,"Schulbetrieb",Nutzungsprofile!$G$17:$G$22)*Kalender!C85/SUM(Kalender!$C$5:$C$370),0)+IFERROR(SUMIF(Nutzungsprofile!$B$17:$B$22,"Halle",Nutzungsprofile!$G$17:$G$22)*Kalender!D85/SUM(Kalender!$D$5:$D$370),0)+IFERROR(SUMIF(Nutzungsprofile!$B$17:$B$22,"Individuell",Nutzungsprofile!$G$17:$G$22)*Kalender!E85/SUM(Kalender!$E$5:$E$370),0))*Szenarien!$D$21,0)</f>
        <v>0.89</v>
      </c>
      <c r="E3745" s="13" t="n">
        <f aca="false">IFERROR(MIN(C3745,Eingaben!$B$17)*Eingaben!$B$16,0)</f>
        <v>2.3256</v>
      </c>
      <c r="F3745" s="13" t="n">
        <f aca="false">IFERROR(E3745*Eingaben!$B$15,0)</f>
        <v>2.09304</v>
      </c>
      <c r="G3745" s="13" t="n">
        <f aca="false">IFERROR(IF(Kalender!A85="",0,J3744*(1-Eingaben!$B$20)),0)</f>
        <v>1.96</v>
      </c>
      <c r="H3745" s="13" t="n">
        <f aca="false">MIN(G3745,D3745)</f>
        <v>0.89</v>
      </c>
      <c r="I3745" s="13" t="n">
        <f aca="false">IFERROR(MIN(F3745*Eingaben!$B$19,MAX(0,D3745-H3745)),0)</f>
        <v>0</v>
      </c>
      <c r="J3745" s="13" t="n">
        <f aca="false">IFERROR(MIN(Eingaben!$B$18,MAX(0,F3745-I3745)),0)</f>
        <v>2</v>
      </c>
      <c r="K3745" s="13" t="n">
        <f aca="false">H3745+I3745</f>
        <v>0.89</v>
      </c>
      <c r="L3745" s="13" t="n">
        <f aca="false">MAX(0,D3745-K3745)</f>
        <v>0</v>
      </c>
      <c r="M3745" s="13" t="n">
        <f aca="false">MAX(0,F3745-I3745-J3745)</f>
        <v>0.0930399999999998</v>
      </c>
      <c r="N3745" s="13" t="n">
        <f aca="false">IF(Kalender!A85="",0,J3744-H3745)</f>
        <v>1.11</v>
      </c>
    </row>
    <row r="3746" customFormat="false" ht="16.4" hidden="false" customHeight="false" outlineLevel="0" collapsed="false">
      <c r="A3746" s="13" t="str">
        <f aca="false">""</f>
        <v/>
      </c>
      <c r="B3746" s="13" t="n">
        <f aca="false">82</f>
        <v>82</v>
      </c>
      <c r="C3746" s="13" t="n">
        <f aca="false">IF(Szenarien!$H$21="OK",(IFERROR(SUMIF(Nutzungsprofile!$B$6:$B$11,"Schulbetrieb",Nutzungsprofile!$G$6:$G$11)*Kalender!C86/SUM(Kalender!$C$5:$C$370),0)+IFERROR(SUMIF(Nutzungsprofile!$B$6:$B$11,"Halle",Nutzungsprofile!$G$6:$G$11)*Kalender!D86/SUM(Kalender!$D$5:$D$370),0)+IFERROR(SUMIF(Nutzungsprofile!$B$6:$B$11,"Individuell",Nutzungsprofile!$G$6:$G$11)*Kalender!E86/SUM(Kalender!$E$5:$E$370),0))*Szenarien!$E$21,0)</f>
        <v>3.528</v>
      </c>
      <c r="D3746" s="13" t="n">
        <f aca="false">IF(Szenarien!$H$21="OK",(IFERROR(SUMIF(Nutzungsprofile!$B$17:$B$22,"Schulbetrieb",Nutzungsprofile!$G$17:$G$22)*Kalender!C86/SUM(Kalender!$C$5:$C$370),0)+IFERROR(SUMIF(Nutzungsprofile!$B$17:$B$22,"Halle",Nutzungsprofile!$G$17:$G$22)*Kalender!D86/SUM(Kalender!$D$5:$D$370),0)+IFERROR(SUMIF(Nutzungsprofile!$B$17:$B$22,"Individuell",Nutzungsprofile!$G$17:$G$22)*Kalender!E86/SUM(Kalender!$E$5:$E$370),0))*Szenarien!$D$21,0)</f>
        <v>4.94</v>
      </c>
      <c r="E3746" s="13" t="n">
        <f aca="false">IFERROR(MIN(C3746,Eingaben!$B$17)*Eingaben!$B$16,0)</f>
        <v>3.3516</v>
      </c>
      <c r="F3746" s="13" t="n">
        <f aca="false">IFERROR(E3746*Eingaben!$B$15,0)</f>
        <v>3.01644</v>
      </c>
      <c r="G3746" s="13" t="n">
        <f aca="false">IFERROR(IF(Kalender!A86="",0,J3745*(1-Eingaben!$B$20)),0)</f>
        <v>1.96</v>
      </c>
      <c r="H3746" s="13" t="n">
        <f aca="false">MIN(G3746,D3746)</f>
        <v>1.96</v>
      </c>
      <c r="I3746" s="13" t="n">
        <f aca="false">IFERROR(MIN(F3746*Eingaben!$B$19,MAX(0,D3746-H3746)),0)</f>
        <v>2.111508</v>
      </c>
      <c r="J3746" s="13" t="n">
        <f aca="false">IFERROR(MIN(Eingaben!$B$18,MAX(0,F3746-I3746)),0)</f>
        <v>0.904932</v>
      </c>
      <c r="K3746" s="13" t="n">
        <f aca="false">H3746+I3746</f>
        <v>4.071508</v>
      </c>
      <c r="L3746" s="13" t="n">
        <f aca="false">MAX(0,D3746-K3746)</f>
        <v>0.868492</v>
      </c>
      <c r="M3746" s="13" t="n">
        <f aca="false">MAX(0,F3746-I3746-J3746)</f>
        <v>0</v>
      </c>
      <c r="N3746" s="13" t="n">
        <f aca="false">IF(Kalender!A86="",0,J3745-H3746)</f>
        <v>0.04</v>
      </c>
    </row>
    <row r="3747" customFormat="false" ht="16.4" hidden="false" customHeight="false" outlineLevel="0" collapsed="false">
      <c r="A3747" s="13" t="str">
        <f aca="false">""</f>
        <v/>
      </c>
      <c r="B3747" s="13" t="n">
        <f aca="false">83</f>
        <v>83</v>
      </c>
      <c r="C3747" s="13" t="n">
        <f aca="false">IF(Szenarien!$H$21="OK",(IFERROR(SUMIF(Nutzungsprofile!$B$6:$B$11,"Schulbetrieb",Nutzungsprofile!$G$6:$G$11)*Kalender!C87/SUM(Kalender!$C$5:$C$370),0)+IFERROR(SUMIF(Nutzungsprofile!$B$6:$B$11,"Halle",Nutzungsprofile!$G$6:$G$11)*Kalender!D87/SUM(Kalender!$D$5:$D$370),0)+IFERROR(SUMIF(Nutzungsprofile!$B$6:$B$11,"Individuell",Nutzungsprofile!$G$6:$G$11)*Kalender!E87/SUM(Kalender!$E$5:$E$370),0))*Szenarien!$E$21,0)</f>
        <v>3.528</v>
      </c>
      <c r="D3747" s="13" t="n">
        <f aca="false">IF(Szenarien!$H$21="OK",(IFERROR(SUMIF(Nutzungsprofile!$B$17:$B$22,"Schulbetrieb",Nutzungsprofile!$G$17:$G$22)*Kalender!C87/SUM(Kalender!$C$5:$C$370),0)+IFERROR(SUMIF(Nutzungsprofile!$B$17:$B$22,"Halle",Nutzungsprofile!$G$17:$G$22)*Kalender!D87/SUM(Kalender!$D$5:$D$370),0)+IFERROR(SUMIF(Nutzungsprofile!$B$17:$B$22,"Individuell",Nutzungsprofile!$G$17:$G$22)*Kalender!E87/SUM(Kalender!$E$5:$E$370),0))*Szenarien!$D$21,0)</f>
        <v>4.94</v>
      </c>
      <c r="E3747" s="13" t="n">
        <f aca="false">IFERROR(MIN(C3747,Eingaben!$B$17)*Eingaben!$B$16,0)</f>
        <v>3.3516</v>
      </c>
      <c r="F3747" s="13" t="n">
        <f aca="false">IFERROR(E3747*Eingaben!$B$15,0)</f>
        <v>3.01644</v>
      </c>
      <c r="G3747" s="13" t="n">
        <f aca="false">IFERROR(IF(Kalender!A87="",0,J3746*(1-Eingaben!$B$20)),0)</f>
        <v>0.88683336</v>
      </c>
      <c r="H3747" s="13" t="n">
        <f aca="false">MIN(G3747,D3747)</f>
        <v>0.88683336</v>
      </c>
      <c r="I3747" s="13" t="n">
        <f aca="false">IFERROR(MIN(F3747*Eingaben!$B$19,MAX(0,D3747-H3747)),0)</f>
        <v>2.111508</v>
      </c>
      <c r="J3747" s="13" t="n">
        <f aca="false">IFERROR(MIN(Eingaben!$B$18,MAX(0,F3747-I3747)),0)</f>
        <v>0.904932</v>
      </c>
      <c r="K3747" s="13" t="n">
        <f aca="false">H3747+I3747</f>
        <v>2.99834136</v>
      </c>
      <c r="L3747" s="13" t="n">
        <f aca="false">MAX(0,D3747-K3747)</f>
        <v>1.94165864</v>
      </c>
      <c r="M3747" s="13" t="n">
        <f aca="false">MAX(0,F3747-I3747-J3747)</f>
        <v>0</v>
      </c>
      <c r="N3747" s="13" t="n">
        <f aca="false">IF(Kalender!A87="",0,J3746-H3747)</f>
        <v>0.0180986400000001</v>
      </c>
    </row>
    <row r="3748" customFormat="false" ht="16.4" hidden="false" customHeight="false" outlineLevel="0" collapsed="false">
      <c r="A3748" s="13" t="str">
        <f aca="false">""</f>
        <v/>
      </c>
      <c r="B3748" s="13" t="n">
        <f aca="false">84</f>
        <v>84</v>
      </c>
      <c r="C3748" s="13" t="n">
        <f aca="false">IF(Szenarien!$H$21="OK",(IFERROR(SUMIF(Nutzungsprofile!$B$6:$B$11,"Schulbetrieb",Nutzungsprofile!$G$6:$G$11)*Kalender!C88/SUM(Kalender!$C$5:$C$370),0)+IFERROR(SUMIF(Nutzungsprofile!$B$6:$B$11,"Halle",Nutzungsprofile!$G$6:$G$11)*Kalender!D88/SUM(Kalender!$D$5:$D$370),0)+IFERROR(SUMIF(Nutzungsprofile!$B$6:$B$11,"Individuell",Nutzungsprofile!$G$6:$G$11)*Kalender!E88/SUM(Kalender!$E$5:$E$370),0))*Szenarien!$E$21,0)</f>
        <v>3.528</v>
      </c>
      <c r="D3748" s="13" t="n">
        <f aca="false">IF(Szenarien!$H$21="OK",(IFERROR(SUMIF(Nutzungsprofile!$B$17:$B$22,"Schulbetrieb",Nutzungsprofile!$G$17:$G$22)*Kalender!C88/SUM(Kalender!$C$5:$C$370),0)+IFERROR(SUMIF(Nutzungsprofile!$B$17:$B$22,"Halle",Nutzungsprofile!$G$17:$G$22)*Kalender!D88/SUM(Kalender!$D$5:$D$370),0)+IFERROR(SUMIF(Nutzungsprofile!$B$17:$B$22,"Individuell",Nutzungsprofile!$G$17:$G$22)*Kalender!E88/SUM(Kalender!$E$5:$E$370),0))*Szenarien!$D$21,0)</f>
        <v>4.94</v>
      </c>
      <c r="E3748" s="13" t="n">
        <f aca="false">IFERROR(MIN(C3748,Eingaben!$B$17)*Eingaben!$B$16,0)</f>
        <v>3.3516</v>
      </c>
      <c r="F3748" s="13" t="n">
        <f aca="false">IFERROR(E3748*Eingaben!$B$15,0)</f>
        <v>3.01644</v>
      </c>
      <c r="G3748" s="13" t="n">
        <f aca="false">IFERROR(IF(Kalender!A88="",0,J3747*(1-Eingaben!$B$20)),0)</f>
        <v>0.88683336</v>
      </c>
      <c r="H3748" s="13" t="n">
        <f aca="false">MIN(G3748,D3748)</f>
        <v>0.88683336</v>
      </c>
      <c r="I3748" s="13" t="n">
        <f aca="false">IFERROR(MIN(F3748*Eingaben!$B$19,MAX(0,D3748-H3748)),0)</f>
        <v>2.111508</v>
      </c>
      <c r="J3748" s="13" t="n">
        <f aca="false">IFERROR(MIN(Eingaben!$B$18,MAX(0,F3748-I3748)),0)</f>
        <v>0.904932</v>
      </c>
      <c r="K3748" s="13" t="n">
        <f aca="false">H3748+I3748</f>
        <v>2.99834136</v>
      </c>
      <c r="L3748" s="13" t="n">
        <f aca="false">MAX(0,D3748-K3748)</f>
        <v>1.94165864</v>
      </c>
      <c r="M3748" s="13" t="n">
        <f aca="false">MAX(0,F3748-I3748-J3748)</f>
        <v>0</v>
      </c>
      <c r="N3748" s="13" t="n">
        <f aca="false">IF(Kalender!A88="",0,J3747-H3748)</f>
        <v>0.0180986400000001</v>
      </c>
    </row>
    <row r="3749" customFormat="false" ht="16.4" hidden="false" customHeight="false" outlineLevel="0" collapsed="false">
      <c r="A3749" s="13" t="str">
        <f aca="false">""</f>
        <v/>
      </c>
      <c r="B3749" s="13" t="n">
        <f aca="false">85</f>
        <v>85</v>
      </c>
      <c r="C3749" s="13" t="n">
        <f aca="false">IF(Szenarien!$H$21="OK",(IFERROR(SUMIF(Nutzungsprofile!$B$6:$B$11,"Schulbetrieb",Nutzungsprofile!$G$6:$G$11)*Kalender!C89/SUM(Kalender!$C$5:$C$370),0)+IFERROR(SUMIF(Nutzungsprofile!$B$6:$B$11,"Halle",Nutzungsprofile!$G$6:$G$11)*Kalender!D89/SUM(Kalender!$D$5:$D$370),0)+IFERROR(SUMIF(Nutzungsprofile!$B$6:$B$11,"Individuell",Nutzungsprofile!$G$6:$G$11)*Kalender!E89/SUM(Kalender!$E$5:$E$370),0))*Szenarien!$E$21,0)</f>
        <v>3.528</v>
      </c>
      <c r="D3749" s="13" t="n">
        <f aca="false">IF(Szenarien!$H$21="OK",(IFERROR(SUMIF(Nutzungsprofile!$B$17:$B$22,"Schulbetrieb",Nutzungsprofile!$G$17:$G$22)*Kalender!C89/SUM(Kalender!$C$5:$C$370),0)+IFERROR(SUMIF(Nutzungsprofile!$B$17:$B$22,"Halle",Nutzungsprofile!$G$17:$G$22)*Kalender!D89/SUM(Kalender!$D$5:$D$370),0)+IFERROR(SUMIF(Nutzungsprofile!$B$17:$B$22,"Individuell",Nutzungsprofile!$G$17:$G$22)*Kalender!E89/SUM(Kalender!$E$5:$E$370),0))*Szenarien!$D$21,0)</f>
        <v>4.94</v>
      </c>
      <c r="E3749" s="13" t="n">
        <f aca="false">IFERROR(MIN(C3749,Eingaben!$B$17)*Eingaben!$B$16,0)</f>
        <v>3.3516</v>
      </c>
      <c r="F3749" s="13" t="n">
        <f aca="false">IFERROR(E3749*Eingaben!$B$15,0)</f>
        <v>3.01644</v>
      </c>
      <c r="G3749" s="13" t="n">
        <f aca="false">IFERROR(IF(Kalender!A89="",0,J3748*(1-Eingaben!$B$20)),0)</f>
        <v>0.88683336</v>
      </c>
      <c r="H3749" s="13" t="n">
        <f aca="false">MIN(G3749,D3749)</f>
        <v>0.88683336</v>
      </c>
      <c r="I3749" s="13" t="n">
        <f aca="false">IFERROR(MIN(F3749*Eingaben!$B$19,MAX(0,D3749-H3749)),0)</f>
        <v>2.111508</v>
      </c>
      <c r="J3749" s="13" t="n">
        <f aca="false">IFERROR(MIN(Eingaben!$B$18,MAX(0,F3749-I3749)),0)</f>
        <v>0.904932</v>
      </c>
      <c r="K3749" s="13" t="n">
        <f aca="false">H3749+I3749</f>
        <v>2.99834136</v>
      </c>
      <c r="L3749" s="13" t="n">
        <f aca="false">MAX(0,D3749-K3749)</f>
        <v>1.94165864</v>
      </c>
      <c r="M3749" s="13" t="n">
        <f aca="false">MAX(0,F3749-I3749-J3749)</f>
        <v>0</v>
      </c>
      <c r="N3749" s="13" t="n">
        <f aca="false">IF(Kalender!A89="",0,J3748-H3749)</f>
        <v>0.0180986400000001</v>
      </c>
    </row>
    <row r="3750" customFormat="false" ht="16.4" hidden="false" customHeight="false" outlineLevel="0" collapsed="false">
      <c r="A3750" s="13" t="str">
        <f aca="false">""</f>
        <v/>
      </c>
      <c r="B3750" s="13" t="n">
        <f aca="false">86</f>
        <v>86</v>
      </c>
      <c r="C3750" s="13" t="n">
        <f aca="false">IF(Szenarien!$H$21="OK",(IFERROR(SUMIF(Nutzungsprofile!$B$6:$B$11,"Schulbetrieb",Nutzungsprofile!$G$6:$G$11)*Kalender!C90/SUM(Kalender!$C$5:$C$370),0)+IFERROR(SUMIF(Nutzungsprofile!$B$6:$B$11,"Halle",Nutzungsprofile!$G$6:$G$11)*Kalender!D90/SUM(Kalender!$D$5:$D$370),0)+IFERROR(SUMIF(Nutzungsprofile!$B$6:$B$11,"Individuell",Nutzungsprofile!$G$6:$G$11)*Kalender!E90/SUM(Kalender!$E$5:$E$370),0))*Szenarien!$E$21,0)</f>
        <v>3.528</v>
      </c>
      <c r="D3750" s="13" t="n">
        <f aca="false">IF(Szenarien!$H$21="OK",(IFERROR(SUMIF(Nutzungsprofile!$B$17:$B$22,"Schulbetrieb",Nutzungsprofile!$G$17:$G$22)*Kalender!C90/SUM(Kalender!$C$5:$C$370),0)+IFERROR(SUMIF(Nutzungsprofile!$B$17:$B$22,"Halle",Nutzungsprofile!$G$17:$G$22)*Kalender!D90/SUM(Kalender!$D$5:$D$370),0)+IFERROR(SUMIF(Nutzungsprofile!$B$17:$B$22,"Individuell",Nutzungsprofile!$G$17:$G$22)*Kalender!E90/SUM(Kalender!$E$5:$E$370),0))*Szenarien!$D$21,0)</f>
        <v>4.94</v>
      </c>
      <c r="E3750" s="13" t="n">
        <f aca="false">IFERROR(MIN(C3750,Eingaben!$B$17)*Eingaben!$B$16,0)</f>
        <v>3.3516</v>
      </c>
      <c r="F3750" s="13" t="n">
        <f aca="false">IFERROR(E3750*Eingaben!$B$15,0)</f>
        <v>3.01644</v>
      </c>
      <c r="G3750" s="13" t="n">
        <f aca="false">IFERROR(IF(Kalender!A90="",0,J3749*(1-Eingaben!$B$20)),0)</f>
        <v>0.88683336</v>
      </c>
      <c r="H3750" s="13" t="n">
        <f aca="false">MIN(G3750,D3750)</f>
        <v>0.88683336</v>
      </c>
      <c r="I3750" s="13" t="n">
        <f aca="false">IFERROR(MIN(F3750*Eingaben!$B$19,MAX(0,D3750-H3750)),0)</f>
        <v>2.111508</v>
      </c>
      <c r="J3750" s="13" t="n">
        <f aca="false">IFERROR(MIN(Eingaben!$B$18,MAX(0,F3750-I3750)),0)</f>
        <v>0.904932</v>
      </c>
      <c r="K3750" s="13" t="n">
        <f aca="false">H3750+I3750</f>
        <v>2.99834136</v>
      </c>
      <c r="L3750" s="13" t="n">
        <f aca="false">MAX(0,D3750-K3750)</f>
        <v>1.94165864</v>
      </c>
      <c r="M3750" s="13" t="n">
        <f aca="false">MAX(0,F3750-I3750-J3750)</f>
        <v>0</v>
      </c>
      <c r="N3750" s="13" t="n">
        <f aca="false">IF(Kalender!A90="",0,J3749-H3750)</f>
        <v>0.0180986400000001</v>
      </c>
    </row>
    <row r="3751" customFormat="false" ht="16.4" hidden="false" customHeight="false" outlineLevel="0" collapsed="false">
      <c r="A3751" s="13" t="str">
        <f aca="false">""</f>
        <v/>
      </c>
      <c r="B3751" s="13" t="n">
        <f aca="false">87</f>
        <v>87</v>
      </c>
      <c r="C3751" s="13" t="n">
        <f aca="false">IF(Szenarien!$H$21="OK",(IFERROR(SUMIF(Nutzungsprofile!$B$6:$B$11,"Schulbetrieb",Nutzungsprofile!$G$6:$G$11)*Kalender!C91/SUM(Kalender!$C$5:$C$370),0)+IFERROR(SUMIF(Nutzungsprofile!$B$6:$B$11,"Halle",Nutzungsprofile!$G$6:$G$11)*Kalender!D91/SUM(Kalender!$D$5:$D$370),0)+IFERROR(SUMIF(Nutzungsprofile!$B$6:$B$11,"Individuell",Nutzungsprofile!$G$6:$G$11)*Kalender!E91/SUM(Kalender!$E$5:$E$370),0))*Szenarien!$E$21,0)</f>
        <v>2.448</v>
      </c>
      <c r="D3751" s="13" t="n">
        <f aca="false">IF(Szenarien!$H$21="OK",(IFERROR(SUMIF(Nutzungsprofile!$B$17:$B$22,"Schulbetrieb",Nutzungsprofile!$G$17:$G$22)*Kalender!C91/SUM(Kalender!$C$5:$C$370),0)+IFERROR(SUMIF(Nutzungsprofile!$B$17:$B$22,"Halle",Nutzungsprofile!$G$17:$G$22)*Kalender!D91/SUM(Kalender!$D$5:$D$370),0)+IFERROR(SUMIF(Nutzungsprofile!$B$17:$B$22,"Individuell",Nutzungsprofile!$G$17:$G$22)*Kalender!E91/SUM(Kalender!$E$5:$E$370),0))*Szenarien!$D$21,0)</f>
        <v>0.89</v>
      </c>
      <c r="E3751" s="13" t="n">
        <f aca="false">IFERROR(MIN(C3751,Eingaben!$B$17)*Eingaben!$B$16,0)</f>
        <v>2.3256</v>
      </c>
      <c r="F3751" s="13" t="n">
        <f aca="false">IFERROR(E3751*Eingaben!$B$15,0)</f>
        <v>2.09304</v>
      </c>
      <c r="G3751" s="13" t="n">
        <f aca="false">IFERROR(IF(Kalender!A91="",0,J3750*(1-Eingaben!$B$20)),0)</f>
        <v>0.88683336</v>
      </c>
      <c r="H3751" s="13" t="n">
        <f aca="false">MIN(G3751,D3751)</f>
        <v>0.88683336</v>
      </c>
      <c r="I3751" s="13" t="n">
        <f aca="false">IFERROR(MIN(F3751*Eingaben!$B$19,MAX(0,D3751-H3751)),0)</f>
        <v>0.00316664</v>
      </c>
      <c r="J3751" s="13" t="n">
        <f aca="false">IFERROR(MIN(Eingaben!$B$18,MAX(0,F3751-I3751)),0)</f>
        <v>2</v>
      </c>
      <c r="K3751" s="13" t="n">
        <f aca="false">H3751+I3751</f>
        <v>0.89</v>
      </c>
      <c r="L3751" s="13" t="n">
        <f aca="false">MAX(0,D3751-K3751)</f>
        <v>0</v>
      </c>
      <c r="M3751" s="13" t="n">
        <f aca="false">MAX(0,F3751-I3751-J3751)</f>
        <v>0.0898733599999999</v>
      </c>
      <c r="N3751" s="13" t="n">
        <f aca="false">IF(Kalender!A91="",0,J3750-H3751)</f>
        <v>0.0180986400000001</v>
      </c>
    </row>
    <row r="3752" customFormat="false" ht="16.4" hidden="false" customHeight="false" outlineLevel="0" collapsed="false">
      <c r="A3752" s="13" t="str">
        <f aca="false">""</f>
        <v/>
      </c>
      <c r="B3752" s="13" t="n">
        <f aca="false">88</f>
        <v>88</v>
      </c>
      <c r="C3752" s="13" t="n">
        <f aca="false">IF(Szenarien!$H$21="OK",(IFERROR(SUMIF(Nutzungsprofile!$B$6:$B$11,"Schulbetrieb",Nutzungsprofile!$G$6:$G$11)*Kalender!C92/SUM(Kalender!$C$5:$C$370),0)+IFERROR(SUMIF(Nutzungsprofile!$B$6:$B$11,"Halle",Nutzungsprofile!$G$6:$G$11)*Kalender!D92/SUM(Kalender!$D$5:$D$370),0)+IFERROR(SUMIF(Nutzungsprofile!$B$6:$B$11,"Individuell",Nutzungsprofile!$G$6:$G$11)*Kalender!E92/SUM(Kalender!$E$5:$E$370),0))*Szenarien!$E$21,0)</f>
        <v>2.448</v>
      </c>
      <c r="D3752" s="13" t="n">
        <f aca="false">IF(Szenarien!$H$21="OK",(IFERROR(SUMIF(Nutzungsprofile!$B$17:$B$22,"Schulbetrieb",Nutzungsprofile!$G$17:$G$22)*Kalender!C92/SUM(Kalender!$C$5:$C$370),0)+IFERROR(SUMIF(Nutzungsprofile!$B$17:$B$22,"Halle",Nutzungsprofile!$G$17:$G$22)*Kalender!D92/SUM(Kalender!$D$5:$D$370),0)+IFERROR(SUMIF(Nutzungsprofile!$B$17:$B$22,"Individuell",Nutzungsprofile!$G$17:$G$22)*Kalender!E92/SUM(Kalender!$E$5:$E$370),0))*Szenarien!$D$21,0)</f>
        <v>0.89</v>
      </c>
      <c r="E3752" s="13" t="n">
        <f aca="false">IFERROR(MIN(C3752,Eingaben!$B$17)*Eingaben!$B$16,0)</f>
        <v>2.3256</v>
      </c>
      <c r="F3752" s="13" t="n">
        <f aca="false">IFERROR(E3752*Eingaben!$B$15,0)</f>
        <v>2.09304</v>
      </c>
      <c r="G3752" s="13" t="n">
        <f aca="false">IFERROR(IF(Kalender!A92="",0,J3751*(1-Eingaben!$B$20)),0)</f>
        <v>1.96</v>
      </c>
      <c r="H3752" s="13" t="n">
        <f aca="false">MIN(G3752,D3752)</f>
        <v>0.89</v>
      </c>
      <c r="I3752" s="13" t="n">
        <f aca="false">IFERROR(MIN(F3752*Eingaben!$B$19,MAX(0,D3752-H3752)),0)</f>
        <v>0</v>
      </c>
      <c r="J3752" s="13" t="n">
        <f aca="false">IFERROR(MIN(Eingaben!$B$18,MAX(0,F3752-I3752)),0)</f>
        <v>2</v>
      </c>
      <c r="K3752" s="13" t="n">
        <f aca="false">H3752+I3752</f>
        <v>0.89</v>
      </c>
      <c r="L3752" s="13" t="n">
        <f aca="false">MAX(0,D3752-K3752)</f>
        <v>0</v>
      </c>
      <c r="M3752" s="13" t="n">
        <f aca="false">MAX(0,F3752-I3752-J3752)</f>
        <v>0.0930399999999998</v>
      </c>
      <c r="N3752" s="13" t="n">
        <f aca="false">IF(Kalender!A92="",0,J3751-H3752)</f>
        <v>1.11</v>
      </c>
    </row>
    <row r="3753" customFormat="false" ht="16.4" hidden="false" customHeight="false" outlineLevel="0" collapsed="false">
      <c r="A3753" s="13" t="str">
        <f aca="false">""</f>
        <v/>
      </c>
      <c r="B3753" s="13" t="n">
        <f aca="false">89</f>
        <v>89</v>
      </c>
      <c r="C3753" s="13" t="n">
        <f aca="false">IF(Szenarien!$H$21="OK",(IFERROR(SUMIF(Nutzungsprofile!$B$6:$B$11,"Schulbetrieb",Nutzungsprofile!$G$6:$G$11)*Kalender!C93/SUM(Kalender!$C$5:$C$370),0)+IFERROR(SUMIF(Nutzungsprofile!$B$6:$B$11,"Halle",Nutzungsprofile!$G$6:$G$11)*Kalender!D93/SUM(Kalender!$D$5:$D$370),0)+IFERROR(SUMIF(Nutzungsprofile!$B$6:$B$11,"Individuell",Nutzungsprofile!$G$6:$G$11)*Kalender!E93/SUM(Kalender!$E$5:$E$370),0))*Szenarien!$E$21,0)</f>
        <v>3.528</v>
      </c>
      <c r="D3753" s="13" t="n">
        <f aca="false">IF(Szenarien!$H$21="OK",(IFERROR(SUMIF(Nutzungsprofile!$B$17:$B$22,"Schulbetrieb",Nutzungsprofile!$G$17:$G$22)*Kalender!C93/SUM(Kalender!$C$5:$C$370),0)+IFERROR(SUMIF(Nutzungsprofile!$B$17:$B$22,"Halle",Nutzungsprofile!$G$17:$G$22)*Kalender!D93/SUM(Kalender!$D$5:$D$370),0)+IFERROR(SUMIF(Nutzungsprofile!$B$17:$B$22,"Individuell",Nutzungsprofile!$G$17:$G$22)*Kalender!E93/SUM(Kalender!$E$5:$E$370),0))*Szenarien!$D$21,0)</f>
        <v>4.94</v>
      </c>
      <c r="E3753" s="13" t="n">
        <f aca="false">IFERROR(MIN(C3753,Eingaben!$B$17)*Eingaben!$B$16,0)</f>
        <v>3.3516</v>
      </c>
      <c r="F3753" s="13" t="n">
        <f aca="false">IFERROR(E3753*Eingaben!$B$15,0)</f>
        <v>3.01644</v>
      </c>
      <c r="G3753" s="13" t="n">
        <f aca="false">IFERROR(IF(Kalender!A93="",0,J3752*(1-Eingaben!$B$20)),0)</f>
        <v>1.96</v>
      </c>
      <c r="H3753" s="13" t="n">
        <f aca="false">MIN(G3753,D3753)</f>
        <v>1.96</v>
      </c>
      <c r="I3753" s="13" t="n">
        <f aca="false">IFERROR(MIN(F3753*Eingaben!$B$19,MAX(0,D3753-H3753)),0)</f>
        <v>2.111508</v>
      </c>
      <c r="J3753" s="13" t="n">
        <f aca="false">IFERROR(MIN(Eingaben!$B$18,MAX(0,F3753-I3753)),0)</f>
        <v>0.904932</v>
      </c>
      <c r="K3753" s="13" t="n">
        <f aca="false">H3753+I3753</f>
        <v>4.071508</v>
      </c>
      <c r="L3753" s="13" t="n">
        <f aca="false">MAX(0,D3753-K3753)</f>
        <v>0.868492</v>
      </c>
      <c r="M3753" s="13" t="n">
        <f aca="false">MAX(0,F3753-I3753-J3753)</f>
        <v>0</v>
      </c>
      <c r="N3753" s="13" t="n">
        <f aca="false">IF(Kalender!A93="",0,J3752-H3753)</f>
        <v>0.04</v>
      </c>
    </row>
    <row r="3754" customFormat="false" ht="16.4" hidden="false" customHeight="false" outlineLevel="0" collapsed="false">
      <c r="A3754" s="13" t="str">
        <f aca="false">""</f>
        <v/>
      </c>
      <c r="B3754" s="13" t="n">
        <f aca="false">90</f>
        <v>90</v>
      </c>
      <c r="C3754" s="13" t="n">
        <f aca="false">IF(Szenarien!$H$21="OK",(IFERROR(SUMIF(Nutzungsprofile!$B$6:$B$11,"Schulbetrieb",Nutzungsprofile!$G$6:$G$11)*Kalender!C94/SUM(Kalender!$C$5:$C$370),0)+IFERROR(SUMIF(Nutzungsprofile!$B$6:$B$11,"Halle",Nutzungsprofile!$G$6:$G$11)*Kalender!D94/SUM(Kalender!$D$5:$D$370),0)+IFERROR(SUMIF(Nutzungsprofile!$B$6:$B$11,"Individuell",Nutzungsprofile!$G$6:$G$11)*Kalender!E94/SUM(Kalender!$E$5:$E$370),0))*Szenarien!$E$21,0)</f>
        <v>3.528</v>
      </c>
      <c r="D3754" s="13" t="n">
        <f aca="false">IF(Szenarien!$H$21="OK",(IFERROR(SUMIF(Nutzungsprofile!$B$17:$B$22,"Schulbetrieb",Nutzungsprofile!$G$17:$G$22)*Kalender!C94/SUM(Kalender!$C$5:$C$370),0)+IFERROR(SUMIF(Nutzungsprofile!$B$17:$B$22,"Halle",Nutzungsprofile!$G$17:$G$22)*Kalender!D94/SUM(Kalender!$D$5:$D$370),0)+IFERROR(SUMIF(Nutzungsprofile!$B$17:$B$22,"Individuell",Nutzungsprofile!$G$17:$G$22)*Kalender!E94/SUM(Kalender!$E$5:$E$370),0))*Szenarien!$D$21,0)</f>
        <v>4.94</v>
      </c>
      <c r="E3754" s="13" t="n">
        <f aca="false">IFERROR(MIN(C3754,Eingaben!$B$17)*Eingaben!$B$16,0)</f>
        <v>3.3516</v>
      </c>
      <c r="F3754" s="13" t="n">
        <f aca="false">IFERROR(E3754*Eingaben!$B$15,0)</f>
        <v>3.01644</v>
      </c>
      <c r="G3754" s="13" t="n">
        <f aca="false">IFERROR(IF(Kalender!A94="",0,J3753*(1-Eingaben!$B$20)),0)</f>
        <v>0.88683336</v>
      </c>
      <c r="H3754" s="13" t="n">
        <f aca="false">MIN(G3754,D3754)</f>
        <v>0.88683336</v>
      </c>
      <c r="I3754" s="13" t="n">
        <f aca="false">IFERROR(MIN(F3754*Eingaben!$B$19,MAX(0,D3754-H3754)),0)</f>
        <v>2.111508</v>
      </c>
      <c r="J3754" s="13" t="n">
        <f aca="false">IFERROR(MIN(Eingaben!$B$18,MAX(0,F3754-I3754)),0)</f>
        <v>0.904932</v>
      </c>
      <c r="K3754" s="13" t="n">
        <f aca="false">H3754+I3754</f>
        <v>2.99834136</v>
      </c>
      <c r="L3754" s="13" t="n">
        <f aca="false">MAX(0,D3754-K3754)</f>
        <v>1.94165864</v>
      </c>
      <c r="M3754" s="13" t="n">
        <f aca="false">MAX(0,F3754-I3754-J3754)</f>
        <v>0</v>
      </c>
      <c r="N3754" s="13" t="n">
        <f aca="false">IF(Kalender!A94="",0,J3753-H3754)</f>
        <v>0.0180986400000001</v>
      </c>
    </row>
    <row r="3755" customFormat="false" ht="16.4" hidden="false" customHeight="false" outlineLevel="0" collapsed="false">
      <c r="A3755" s="13" t="str">
        <f aca="false">""</f>
        <v/>
      </c>
      <c r="B3755" s="13" t="n">
        <f aca="false">91</f>
        <v>91</v>
      </c>
      <c r="C3755" s="13" t="n">
        <f aca="false">IF(Szenarien!$H$21="OK",(IFERROR(SUMIF(Nutzungsprofile!$B$6:$B$11,"Schulbetrieb",Nutzungsprofile!$G$6:$G$11)*Kalender!C95/SUM(Kalender!$C$5:$C$370),0)+IFERROR(SUMIF(Nutzungsprofile!$B$6:$B$11,"Halle",Nutzungsprofile!$G$6:$G$11)*Kalender!D95/SUM(Kalender!$D$5:$D$370),0)+IFERROR(SUMIF(Nutzungsprofile!$B$6:$B$11,"Individuell",Nutzungsprofile!$G$6:$G$11)*Kalender!E95/SUM(Kalender!$E$5:$E$370),0))*Szenarien!$E$21,0)</f>
        <v>3.528</v>
      </c>
      <c r="D3755" s="13" t="n">
        <f aca="false">IF(Szenarien!$H$21="OK",(IFERROR(SUMIF(Nutzungsprofile!$B$17:$B$22,"Schulbetrieb",Nutzungsprofile!$G$17:$G$22)*Kalender!C95/SUM(Kalender!$C$5:$C$370),0)+IFERROR(SUMIF(Nutzungsprofile!$B$17:$B$22,"Halle",Nutzungsprofile!$G$17:$G$22)*Kalender!D95/SUM(Kalender!$D$5:$D$370),0)+IFERROR(SUMIF(Nutzungsprofile!$B$17:$B$22,"Individuell",Nutzungsprofile!$G$17:$G$22)*Kalender!E95/SUM(Kalender!$E$5:$E$370),0))*Szenarien!$D$21,0)</f>
        <v>4.94</v>
      </c>
      <c r="E3755" s="13" t="n">
        <f aca="false">IFERROR(MIN(C3755,Eingaben!$B$17)*Eingaben!$B$16,0)</f>
        <v>3.3516</v>
      </c>
      <c r="F3755" s="13" t="n">
        <f aca="false">IFERROR(E3755*Eingaben!$B$15,0)</f>
        <v>3.01644</v>
      </c>
      <c r="G3755" s="13" t="n">
        <f aca="false">IFERROR(IF(Kalender!A95="",0,J3754*(1-Eingaben!$B$20)),0)</f>
        <v>0.88683336</v>
      </c>
      <c r="H3755" s="13" t="n">
        <f aca="false">MIN(G3755,D3755)</f>
        <v>0.88683336</v>
      </c>
      <c r="I3755" s="13" t="n">
        <f aca="false">IFERROR(MIN(F3755*Eingaben!$B$19,MAX(0,D3755-H3755)),0)</f>
        <v>2.111508</v>
      </c>
      <c r="J3755" s="13" t="n">
        <f aca="false">IFERROR(MIN(Eingaben!$B$18,MAX(0,F3755-I3755)),0)</f>
        <v>0.904932</v>
      </c>
      <c r="K3755" s="13" t="n">
        <f aca="false">H3755+I3755</f>
        <v>2.99834136</v>
      </c>
      <c r="L3755" s="13" t="n">
        <f aca="false">MAX(0,D3755-K3755)</f>
        <v>1.94165864</v>
      </c>
      <c r="M3755" s="13" t="n">
        <f aca="false">MAX(0,F3755-I3755-J3755)</f>
        <v>0</v>
      </c>
      <c r="N3755" s="13" t="n">
        <f aca="false">IF(Kalender!A95="",0,J3754-H3755)</f>
        <v>0.0180986400000001</v>
      </c>
    </row>
    <row r="3756" customFormat="false" ht="16.4" hidden="false" customHeight="false" outlineLevel="0" collapsed="false">
      <c r="A3756" s="13" t="str">
        <f aca="false">""</f>
        <v/>
      </c>
      <c r="B3756" s="13" t="n">
        <f aca="false">92</f>
        <v>92</v>
      </c>
      <c r="C3756" s="13" t="n">
        <f aca="false">IF(Szenarien!$H$21="OK",(IFERROR(SUMIF(Nutzungsprofile!$B$6:$B$11,"Schulbetrieb",Nutzungsprofile!$G$6:$G$11)*Kalender!C96/SUM(Kalender!$C$5:$C$370),0)+IFERROR(SUMIF(Nutzungsprofile!$B$6:$B$11,"Halle",Nutzungsprofile!$G$6:$G$11)*Kalender!D96/SUM(Kalender!$D$5:$D$370),0)+IFERROR(SUMIF(Nutzungsprofile!$B$6:$B$11,"Individuell",Nutzungsprofile!$G$6:$G$11)*Kalender!E96/SUM(Kalender!$E$5:$E$370),0))*Szenarien!$E$21,0)</f>
        <v>3.528</v>
      </c>
      <c r="D3756" s="13" t="n">
        <f aca="false">IF(Szenarien!$H$21="OK",(IFERROR(SUMIF(Nutzungsprofile!$B$17:$B$22,"Schulbetrieb",Nutzungsprofile!$G$17:$G$22)*Kalender!C96/SUM(Kalender!$C$5:$C$370),0)+IFERROR(SUMIF(Nutzungsprofile!$B$17:$B$22,"Halle",Nutzungsprofile!$G$17:$G$22)*Kalender!D96/SUM(Kalender!$D$5:$D$370),0)+IFERROR(SUMIF(Nutzungsprofile!$B$17:$B$22,"Individuell",Nutzungsprofile!$G$17:$G$22)*Kalender!E96/SUM(Kalender!$E$5:$E$370),0))*Szenarien!$D$21,0)</f>
        <v>4.94</v>
      </c>
      <c r="E3756" s="13" t="n">
        <f aca="false">IFERROR(MIN(C3756,Eingaben!$B$17)*Eingaben!$B$16,0)</f>
        <v>3.3516</v>
      </c>
      <c r="F3756" s="13" t="n">
        <f aca="false">IFERROR(E3756*Eingaben!$B$15,0)</f>
        <v>3.01644</v>
      </c>
      <c r="G3756" s="13" t="n">
        <f aca="false">IFERROR(IF(Kalender!A96="",0,J3755*(1-Eingaben!$B$20)),0)</f>
        <v>0.88683336</v>
      </c>
      <c r="H3756" s="13" t="n">
        <f aca="false">MIN(G3756,D3756)</f>
        <v>0.88683336</v>
      </c>
      <c r="I3756" s="13" t="n">
        <f aca="false">IFERROR(MIN(F3756*Eingaben!$B$19,MAX(0,D3756-H3756)),0)</f>
        <v>2.111508</v>
      </c>
      <c r="J3756" s="13" t="n">
        <f aca="false">IFERROR(MIN(Eingaben!$B$18,MAX(0,F3756-I3756)),0)</f>
        <v>0.904932</v>
      </c>
      <c r="K3756" s="13" t="n">
        <f aca="false">H3756+I3756</f>
        <v>2.99834136</v>
      </c>
      <c r="L3756" s="13" t="n">
        <f aca="false">MAX(0,D3756-K3756)</f>
        <v>1.94165864</v>
      </c>
      <c r="M3756" s="13" t="n">
        <f aca="false">MAX(0,F3756-I3756-J3756)</f>
        <v>0</v>
      </c>
      <c r="N3756" s="13" t="n">
        <f aca="false">IF(Kalender!A96="",0,J3755-H3756)</f>
        <v>0.0180986400000001</v>
      </c>
    </row>
    <row r="3757" customFormat="false" ht="16.4" hidden="false" customHeight="false" outlineLevel="0" collapsed="false">
      <c r="A3757" s="13" t="str">
        <f aca="false">""</f>
        <v/>
      </c>
      <c r="B3757" s="13" t="n">
        <f aca="false">93</f>
        <v>93</v>
      </c>
      <c r="C3757" s="13" t="n">
        <f aca="false">IF(Szenarien!$H$21="OK",(IFERROR(SUMIF(Nutzungsprofile!$B$6:$B$11,"Schulbetrieb",Nutzungsprofile!$G$6:$G$11)*Kalender!C97/SUM(Kalender!$C$5:$C$370),0)+IFERROR(SUMIF(Nutzungsprofile!$B$6:$B$11,"Halle",Nutzungsprofile!$G$6:$G$11)*Kalender!D97/SUM(Kalender!$D$5:$D$370),0)+IFERROR(SUMIF(Nutzungsprofile!$B$6:$B$11,"Individuell",Nutzungsprofile!$G$6:$G$11)*Kalender!E97/SUM(Kalender!$E$5:$E$370),0))*Szenarien!$E$21,0)</f>
        <v>3.528</v>
      </c>
      <c r="D3757" s="13" t="n">
        <f aca="false">IF(Szenarien!$H$21="OK",(IFERROR(SUMIF(Nutzungsprofile!$B$17:$B$22,"Schulbetrieb",Nutzungsprofile!$G$17:$G$22)*Kalender!C97/SUM(Kalender!$C$5:$C$370),0)+IFERROR(SUMIF(Nutzungsprofile!$B$17:$B$22,"Halle",Nutzungsprofile!$G$17:$G$22)*Kalender!D97/SUM(Kalender!$D$5:$D$370),0)+IFERROR(SUMIF(Nutzungsprofile!$B$17:$B$22,"Individuell",Nutzungsprofile!$G$17:$G$22)*Kalender!E97/SUM(Kalender!$E$5:$E$370),0))*Szenarien!$D$21,0)</f>
        <v>4.94</v>
      </c>
      <c r="E3757" s="13" t="n">
        <f aca="false">IFERROR(MIN(C3757,Eingaben!$B$17)*Eingaben!$B$16,0)</f>
        <v>3.3516</v>
      </c>
      <c r="F3757" s="13" t="n">
        <f aca="false">IFERROR(E3757*Eingaben!$B$15,0)</f>
        <v>3.01644</v>
      </c>
      <c r="G3757" s="13" t="n">
        <f aca="false">IFERROR(IF(Kalender!A97="",0,J3756*(1-Eingaben!$B$20)),0)</f>
        <v>0.88683336</v>
      </c>
      <c r="H3757" s="13" t="n">
        <f aca="false">MIN(G3757,D3757)</f>
        <v>0.88683336</v>
      </c>
      <c r="I3757" s="13" t="n">
        <f aca="false">IFERROR(MIN(F3757*Eingaben!$B$19,MAX(0,D3757-H3757)),0)</f>
        <v>2.111508</v>
      </c>
      <c r="J3757" s="13" t="n">
        <f aca="false">IFERROR(MIN(Eingaben!$B$18,MAX(0,F3757-I3757)),0)</f>
        <v>0.904932</v>
      </c>
      <c r="K3757" s="13" t="n">
        <f aca="false">H3757+I3757</f>
        <v>2.99834136</v>
      </c>
      <c r="L3757" s="13" t="n">
        <f aca="false">MAX(0,D3757-K3757)</f>
        <v>1.94165864</v>
      </c>
      <c r="M3757" s="13" t="n">
        <f aca="false">MAX(0,F3757-I3757-J3757)</f>
        <v>0</v>
      </c>
      <c r="N3757" s="13" t="n">
        <f aca="false">IF(Kalender!A97="",0,J3756-H3757)</f>
        <v>0.0180986400000001</v>
      </c>
    </row>
    <row r="3758" customFormat="false" ht="16.4" hidden="false" customHeight="false" outlineLevel="0" collapsed="false">
      <c r="A3758" s="13" t="str">
        <f aca="false">""</f>
        <v/>
      </c>
      <c r="B3758" s="13" t="n">
        <f aca="false">94</f>
        <v>94</v>
      </c>
      <c r="C3758" s="13" t="n">
        <f aca="false">IF(Szenarien!$H$21="OK",(IFERROR(SUMIF(Nutzungsprofile!$B$6:$B$11,"Schulbetrieb",Nutzungsprofile!$G$6:$G$11)*Kalender!C98/SUM(Kalender!$C$5:$C$370),0)+IFERROR(SUMIF(Nutzungsprofile!$B$6:$B$11,"Halle",Nutzungsprofile!$G$6:$G$11)*Kalender!D98/SUM(Kalender!$D$5:$D$370),0)+IFERROR(SUMIF(Nutzungsprofile!$B$6:$B$11,"Individuell",Nutzungsprofile!$G$6:$G$11)*Kalender!E98/SUM(Kalender!$E$5:$E$370),0))*Szenarien!$E$21,0)</f>
        <v>2.448</v>
      </c>
      <c r="D3758" s="13" t="n">
        <f aca="false">IF(Szenarien!$H$21="OK",(IFERROR(SUMIF(Nutzungsprofile!$B$17:$B$22,"Schulbetrieb",Nutzungsprofile!$G$17:$G$22)*Kalender!C98/SUM(Kalender!$C$5:$C$370),0)+IFERROR(SUMIF(Nutzungsprofile!$B$17:$B$22,"Halle",Nutzungsprofile!$G$17:$G$22)*Kalender!D98/SUM(Kalender!$D$5:$D$370),0)+IFERROR(SUMIF(Nutzungsprofile!$B$17:$B$22,"Individuell",Nutzungsprofile!$G$17:$G$22)*Kalender!E98/SUM(Kalender!$E$5:$E$370),0))*Szenarien!$D$21,0)</f>
        <v>0.89</v>
      </c>
      <c r="E3758" s="13" t="n">
        <f aca="false">IFERROR(MIN(C3758,Eingaben!$B$17)*Eingaben!$B$16,0)</f>
        <v>2.3256</v>
      </c>
      <c r="F3758" s="13" t="n">
        <f aca="false">IFERROR(E3758*Eingaben!$B$15,0)</f>
        <v>2.09304</v>
      </c>
      <c r="G3758" s="13" t="n">
        <f aca="false">IFERROR(IF(Kalender!A98="",0,J3757*(1-Eingaben!$B$20)),0)</f>
        <v>0.88683336</v>
      </c>
      <c r="H3758" s="13" t="n">
        <f aca="false">MIN(G3758,D3758)</f>
        <v>0.88683336</v>
      </c>
      <c r="I3758" s="13" t="n">
        <f aca="false">IFERROR(MIN(F3758*Eingaben!$B$19,MAX(0,D3758-H3758)),0)</f>
        <v>0.00316664</v>
      </c>
      <c r="J3758" s="13" t="n">
        <f aca="false">IFERROR(MIN(Eingaben!$B$18,MAX(0,F3758-I3758)),0)</f>
        <v>2</v>
      </c>
      <c r="K3758" s="13" t="n">
        <f aca="false">H3758+I3758</f>
        <v>0.89</v>
      </c>
      <c r="L3758" s="13" t="n">
        <f aca="false">MAX(0,D3758-K3758)</f>
        <v>0</v>
      </c>
      <c r="M3758" s="13" t="n">
        <f aca="false">MAX(0,F3758-I3758-J3758)</f>
        <v>0.0898733599999999</v>
      </c>
      <c r="N3758" s="13" t="n">
        <f aca="false">IF(Kalender!A98="",0,J3757-H3758)</f>
        <v>0.0180986400000001</v>
      </c>
    </row>
    <row r="3759" customFormat="false" ht="16.4" hidden="false" customHeight="false" outlineLevel="0" collapsed="false">
      <c r="A3759" s="13" t="str">
        <f aca="false">""</f>
        <v/>
      </c>
      <c r="B3759" s="13" t="n">
        <f aca="false">95</f>
        <v>95</v>
      </c>
      <c r="C3759" s="13" t="n">
        <f aca="false">IF(Szenarien!$H$21="OK",(IFERROR(SUMIF(Nutzungsprofile!$B$6:$B$11,"Schulbetrieb",Nutzungsprofile!$G$6:$G$11)*Kalender!C99/SUM(Kalender!$C$5:$C$370),0)+IFERROR(SUMIF(Nutzungsprofile!$B$6:$B$11,"Halle",Nutzungsprofile!$G$6:$G$11)*Kalender!D99/SUM(Kalender!$D$5:$D$370),0)+IFERROR(SUMIF(Nutzungsprofile!$B$6:$B$11,"Individuell",Nutzungsprofile!$G$6:$G$11)*Kalender!E99/SUM(Kalender!$E$5:$E$370),0))*Szenarien!$E$21,0)</f>
        <v>2.448</v>
      </c>
      <c r="D3759" s="13" t="n">
        <f aca="false">IF(Szenarien!$H$21="OK",(IFERROR(SUMIF(Nutzungsprofile!$B$17:$B$22,"Schulbetrieb",Nutzungsprofile!$G$17:$G$22)*Kalender!C99/SUM(Kalender!$C$5:$C$370),0)+IFERROR(SUMIF(Nutzungsprofile!$B$17:$B$22,"Halle",Nutzungsprofile!$G$17:$G$22)*Kalender!D99/SUM(Kalender!$D$5:$D$370),0)+IFERROR(SUMIF(Nutzungsprofile!$B$17:$B$22,"Individuell",Nutzungsprofile!$G$17:$G$22)*Kalender!E99/SUM(Kalender!$E$5:$E$370),0))*Szenarien!$D$21,0)</f>
        <v>0.89</v>
      </c>
      <c r="E3759" s="13" t="n">
        <f aca="false">IFERROR(MIN(C3759,Eingaben!$B$17)*Eingaben!$B$16,0)</f>
        <v>2.3256</v>
      </c>
      <c r="F3759" s="13" t="n">
        <f aca="false">IFERROR(E3759*Eingaben!$B$15,0)</f>
        <v>2.09304</v>
      </c>
      <c r="G3759" s="13" t="n">
        <f aca="false">IFERROR(IF(Kalender!A99="",0,J3758*(1-Eingaben!$B$20)),0)</f>
        <v>1.96</v>
      </c>
      <c r="H3759" s="13" t="n">
        <f aca="false">MIN(G3759,D3759)</f>
        <v>0.89</v>
      </c>
      <c r="I3759" s="13" t="n">
        <f aca="false">IFERROR(MIN(F3759*Eingaben!$B$19,MAX(0,D3759-H3759)),0)</f>
        <v>0</v>
      </c>
      <c r="J3759" s="13" t="n">
        <f aca="false">IFERROR(MIN(Eingaben!$B$18,MAX(0,F3759-I3759)),0)</f>
        <v>2</v>
      </c>
      <c r="K3759" s="13" t="n">
        <f aca="false">H3759+I3759</f>
        <v>0.89</v>
      </c>
      <c r="L3759" s="13" t="n">
        <f aca="false">MAX(0,D3759-K3759)</f>
        <v>0</v>
      </c>
      <c r="M3759" s="13" t="n">
        <f aca="false">MAX(0,F3759-I3759-J3759)</f>
        <v>0.0930399999999998</v>
      </c>
      <c r="N3759" s="13" t="n">
        <f aca="false">IF(Kalender!A99="",0,J3758-H3759)</f>
        <v>1.11</v>
      </c>
    </row>
    <row r="3760" customFormat="false" ht="16.4" hidden="false" customHeight="false" outlineLevel="0" collapsed="false">
      <c r="A3760" s="13" t="str">
        <f aca="false">""</f>
        <v/>
      </c>
      <c r="B3760" s="13" t="n">
        <f aca="false">96</f>
        <v>96</v>
      </c>
      <c r="C3760" s="13" t="n">
        <f aca="false">IF(Szenarien!$H$21="OK",(IFERROR(SUMIF(Nutzungsprofile!$B$6:$B$11,"Schulbetrieb",Nutzungsprofile!$G$6:$G$11)*Kalender!C100/SUM(Kalender!$C$5:$C$370),0)+IFERROR(SUMIF(Nutzungsprofile!$B$6:$B$11,"Halle",Nutzungsprofile!$G$6:$G$11)*Kalender!D100/SUM(Kalender!$D$5:$D$370),0)+IFERROR(SUMIF(Nutzungsprofile!$B$6:$B$11,"Individuell",Nutzungsprofile!$G$6:$G$11)*Kalender!E100/SUM(Kalender!$E$5:$E$370),0))*Szenarien!$E$21,0)</f>
        <v>3.528</v>
      </c>
      <c r="D3760" s="13" t="n">
        <f aca="false">IF(Szenarien!$H$21="OK",(IFERROR(SUMIF(Nutzungsprofile!$B$17:$B$22,"Schulbetrieb",Nutzungsprofile!$G$17:$G$22)*Kalender!C100/SUM(Kalender!$C$5:$C$370),0)+IFERROR(SUMIF(Nutzungsprofile!$B$17:$B$22,"Halle",Nutzungsprofile!$G$17:$G$22)*Kalender!D100/SUM(Kalender!$D$5:$D$370),0)+IFERROR(SUMIF(Nutzungsprofile!$B$17:$B$22,"Individuell",Nutzungsprofile!$G$17:$G$22)*Kalender!E100/SUM(Kalender!$E$5:$E$370),0))*Szenarien!$D$21,0)</f>
        <v>4.94</v>
      </c>
      <c r="E3760" s="13" t="n">
        <f aca="false">IFERROR(MIN(C3760,Eingaben!$B$17)*Eingaben!$B$16,0)</f>
        <v>3.3516</v>
      </c>
      <c r="F3760" s="13" t="n">
        <f aca="false">IFERROR(E3760*Eingaben!$B$15,0)</f>
        <v>3.01644</v>
      </c>
      <c r="G3760" s="13" t="n">
        <f aca="false">IFERROR(IF(Kalender!A100="",0,J3759*(1-Eingaben!$B$20)),0)</f>
        <v>1.96</v>
      </c>
      <c r="H3760" s="13" t="n">
        <f aca="false">MIN(G3760,D3760)</f>
        <v>1.96</v>
      </c>
      <c r="I3760" s="13" t="n">
        <f aca="false">IFERROR(MIN(F3760*Eingaben!$B$19,MAX(0,D3760-H3760)),0)</f>
        <v>2.111508</v>
      </c>
      <c r="J3760" s="13" t="n">
        <f aca="false">IFERROR(MIN(Eingaben!$B$18,MAX(0,F3760-I3760)),0)</f>
        <v>0.904932</v>
      </c>
      <c r="K3760" s="13" t="n">
        <f aca="false">H3760+I3760</f>
        <v>4.071508</v>
      </c>
      <c r="L3760" s="13" t="n">
        <f aca="false">MAX(0,D3760-K3760)</f>
        <v>0.868492</v>
      </c>
      <c r="M3760" s="13" t="n">
        <f aca="false">MAX(0,F3760-I3760-J3760)</f>
        <v>0</v>
      </c>
      <c r="N3760" s="13" t="n">
        <f aca="false">IF(Kalender!A100="",0,J3759-H3760)</f>
        <v>0.04</v>
      </c>
    </row>
    <row r="3761" customFormat="false" ht="16.4" hidden="false" customHeight="false" outlineLevel="0" collapsed="false">
      <c r="A3761" s="13" t="str">
        <f aca="false">""</f>
        <v/>
      </c>
      <c r="B3761" s="13" t="n">
        <f aca="false">97</f>
        <v>97</v>
      </c>
      <c r="C3761" s="13" t="n">
        <f aca="false">IF(Szenarien!$H$21="OK",(IFERROR(SUMIF(Nutzungsprofile!$B$6:$B$11,"Schulbetrieb",Nutzungsprofile!$G$6:$G$11)*Kalender!C101/SUM(Kalender!$C$5:$C$370),0)+IFERROR(SUMIF(Nutzungsprofile!$B$6:$B$11,"Halle",Nutzungsprofile!$G$6:$G$11)*Kalender!D101/SUM(Kalender!$D$5:$D$370),0)+IFERROR(SUMIF(Nutzungsprofile!$B$6:$B$11,"Individuell",Nutzungsprofile!$G$6:$G$11)*Kalender!E101/SUM(Kalender!$E$5:$E$370),0))*Szenarien!$E$21,0)</f>
        <v>3.528</v>
      </c>
      <c r="D3761" s="13" t="n">
        <f aca="false">IF(Szenarien!$H$21="OK",(IFERROR(SUMIF(Nutzungsprofile!$B$17:$B$22,"Schulbetrieb",Nutzungsprofile!$G$17:$G$22)*Kalender!C101/SUM(Kalender!$C$5:$C$370),0)+IFERROR(SUMIF(Nutzungsprofile!$B$17:$B$22,"Halle",Nutzungsprofile!$G$17:$G$22)*Kalender!D101/SUM(Kalender!$D$5:$D$370),0)+IFERROR(SUMIF(Nutzungsprofile!$B$17:$B$22,"Individuell",Nutzungsprofile!$G$17:$G$22)*Kalender!E101/SUM(Kalender!$E$5:$E$370),0))*Szenarien!$D$21,0)</f>
        <v>4.94</v>
      </c>
      <c r="E3761" s="13" t="n">
        <f aca="false">IFERROR(MIN(C3761,Eingaben!$B$17)*Eingaben!$B$16,0)</f>
        <v>3.3516</v>
      </c>
      <c r="F3761" s="13" t="n">
        <f aca="false">IFERROR(E3761*Eingaben!$B$15,0)</f>
        <v>3.01644</v>
      </c>
      <c r="G3761" s="13" t="n">
        <f aca="false">IFERROR(IF(Kalender!A101="",0,J3760*(1-Eingaben!$B$20)),0)</f>
        <v>0.88683336</v>
      </c>
      <c r="H3761" s="13" t="n">
        <f aca="false">MIN(G3761,D3761)</f>
        <v>0.88683336</v>
      </c>
      <c r="I3761" s="13" t="n">
        <f aca="false">IFERROR(MIN(F3761*Eingaben!$B$19,MAX(0,D3761-H3761)),0)</f>
        <v>2.111508</v>
      </c>
      <c r="J3761" s="13" t="n">
        <f aca="false">IFERROR(MIN(Eingaben!$B$18,MAX(0,F3761-I3761)),0)</f>
        <v>0.904932</v>
      </c>
      <c r="K3761" s="13" t="n">
        <f aca="false">H3761+I3761</f>
        <v>2.99834136</v>
      </c>
      <c r="L3761" s="13" t="n">
        <f aca="false">MAX(0,D3761-K3761)</f>
        <v>1.94165864</v>
      </c>
      <c r="M3761" s="13" t="n">
        <f aca="false">MAX(0,F3761-I3761-J3761)</f>
        <v>0</v>
      </c>
      <c r="N3761" s="13" t="n">
        <f aca="false">IF(Kalender!A101="",0,J3760-H3761)</f>
        <v>0.0180986400000001</v>
      </c>
    </row>
    <row r="3762" customFormat="false" ht="16.4" hidden="false" customHeight="false" outlineLevel="0" collapsed="false">
      <c r="A3762" s="13" t="str">
        <f aca="false">""</f>
        <v/>
      </c>
      <c r="B3762" s="13" t="n">
        <f aca="false">98</f>
        <v>98</v>
      </c>
      <c r="C3762" s="13" t="n">
        <f aca="false">IF(Szenarien!$H$21="OK",(IFERROR(SUMIF(Nutzungsprofile!$B$6:$B$11,"Schulbetrieb",Nutzungsprofile!$G$6:$G$11)*Kalender!C102/SUM(Kalender!$C$5:$C$370),0)+IFERROR(SUMIF(Nutzungsprofile!$B$6:$B$11,"Halle",Nutzungsprofile!$G$6:$G$11)*Kalender!D102/SUM(Kalender!$D$5:$D$370),0)+IFERROR(SUMIF(Nutzungsprofile!$B$6:$B$11,"Individuell",Nutzungsprofile!$G$6:$G$11)*Kalender!E102/SUM(Kalender!$E$5:$E$370),0))*Szenarien!$E$21,0)</f>
        <v>3.528</v>
      </c>
      <c r="D3762" s="13" t="n">
        <f aca="false">IF(Szenarien!$H$21="OK",(IFERROR(SUMIF(Nutzungsprofile!$B$17:$B$22,"Schulbetrieb",Nutzungsprofile!$G$17:$G$22)*Kalender!C102/SUM(Kalender!$C$5:$C$370),0)+IFERROR(SUMIF(Nutzungsprofile!$B$17:$B$22,"Halle",Nutzungsprofile!$G$17:$G$22)*Kalender!D102/SUM(Kalender!$D$5:$D$370),0)+IFERROR(SUMIF(Nutzungsprofile!$B$17:$B$22,"Individuell",Nutzungsprofile!$G$17:$G$22)*Kalender!E102/SUM(Kalender!$E$5:$E$370),0))*Szenarien!$D$21,0)</f>
        <v>4.94</v>
      </c>
      <c r="E3762" s="13" t="n">
        <f aca="false">IFERROR(MIN(C3762,Eingaben!$B$17)*Eingaben!$B$16,0)</f>
        <v>3.3516</v>
      </c>
      <c r="F3762" s="13" t="n">
        <f aca="false">IFERROR(E3762*Eingaben!$B$15,0)</f>
        <v>3.01644</v>
      </c>
      <c r="G3762" s="13" t="n">
        <f aca="false">IFERROR(IF(Kalender!A102="",0,J3761*(1-Eingaben!$B$20)),0)</f>
        <v>0.88683336</v>
      </c>
      <c r="H3762" s="13" t="n">
        <f aca="false">MIN(G3762,D3762)</f>
        <v>0.88683336</v>
      </c>
      <c r="I3762" s="13" t="n">
        <f aca="false">IFERROR(MIN(F3762*Eingaben!$B$19,MAX(0,D3762-H3762)),0)</f>
        <v>2.111508</v>
      </c>
      <c r="J3762" s="13" t="n">
        <f aca="false">IFERROR(MIN(Eingaben!$B$18,MAX(0,F3762-I3762)),0)</f>
        <v>0.904932</v>
      </c>
      <c r="K3762" s="13" t="n">
        <f aca="false">H3762+I3762</f>
        <v>2.99834136</v>
      </c>
      <c r="L3762" s="13" t="n">
        <f aca="false">MAX(0,D3762-K3762)</f>
        <v>1.94165864</v>
      </c>
      <c r="M3762" s="13" t="n">
        <f aca="false">MAX(0,F3762-I3762-J3762)</f>
        <v>0</v>
      </c>
      <c r="N3762" s="13" t="n">
        <f aca="false">IF(Kalender!A102="",0,J3761-H3762)</f>
        <v>0.0180986400000001</v>
      </c>
    </row>
    <row r="3763" customFormat="false" ht="16.4" hidden="false" customHeight="false" outlineLevel="0" collapsed="false">
      <c r="A3763" s="13" t="str">
        <f aca="false">""</f>
        <v/>
      </c>
      <c r="B3763" s="13" t="n">
        <f aca="false">99</f>
        <v>99</v>
      </c>
      <c r="C3763" s="13" t="n">
        <f aca="false">IF(Szenarien!$H$21="OK",(IFERROR(SUMIF(Nutzungsprofile!$B$6:$B$11,"Schulbetrieb",Nutzungsprofile!$G$6:$G$11)*Kalender!C103/SUM(Kalender!$C$5:$C$370),0)+IFERROR(SUMIF(Nutzungsprofile!$B$6:$B$11,"Halle",Nutzungsprofile!$G$6:$G$11)*Kalender!D103/SUM(Kalender!$D$5:$D$370),0)+IFERROR(SUMIF(Nutzungsprofile!$B$6:$B$11,"Individuell",Nutzungsprofile!$G$6:$G$11)*Kalender!E103/SUM(Kalender!$E$5:$E$370),0))*Szenarien!$E$21,0)</f>
        <v>3.528</v>
      </c>
      <c r="D3763" s="13" t="n">
        <f aca="false">IF(Szenarien!$H$21="OK",(IFERROR(SUMIF(Nutzungsprofile!$B$17:$B$22,"Schulbetrieb",Nutzungsprofile!$G$17:$G$22)*Kalender!C103/SUM(Kalender!$C$5:$C$370),0)+IFERROR(SUMIF(Nutzungsprofile!$B$17:$B$22,"Halle",Nutzungsprofile!$G$17:$G$22)*Kalender!D103/SUM(Kalender!$D$5:$D$370),0)+IFERROR(SUMIF(Nutzungsprofile!$B$17:$B$22,"Individuell",Nutzungsprofile!$G$17:$G$22)*Kalender!E103/SUM(Kalender!$E$5:$E$370),0))*Szenarien!$D$21,0)</f>
        <v>4.94</v>
      </c>
      <c r="E3763" s="13" t="n">
        <f aca="false">IFERROR(MIN(C3763,Eingaben!$B$17)*Eingaben!$B$16,0)</f>
        <v>3.3516</v>
      </c>
      <c r="F3763" s="13" t="n">
        <f aca="false">IFERROR(E3763*Eingaben!$B$15,0)</f>
        <v>3.01644</v>
      </c>
      <c r="G3763" s="13" t="n">
        <f aca="false">IFERROR(IF(Kalender!A103="",0,J3762*(1-Eingaben!$B$20)),0)</f>
        <v>0.88683336</v>
      </c>
      <c r="H3763" s="13" t="n">
        <f aca="false">MIN(G3763,D3763)</f>
        <v>0.88683336</v>
      </c>
      <c r="I3763" s="13" t="n">
        <f aca="false">IFERROR(MIN(F3763*Eingaben!$B$19,MAX(0,D3763-H3763)),0)</f>
        <v>2.111508</v>
      </c>
      <c r="J3763" s="13" t="n">
        <f aca="false">IFERROR(MIN(Eingaben!$B$18,MAX(0,F3763-I3763)),0)</f>
        <v>0.904932</v>
      </c>
      <c r="K3763" s="13" t="n">
        <f aca="false">H3763+I3763</f>
        <v>2.99834136</v>
      </c>
      <c r="L3763" s="13" t="n">
        <f aca="false">MAX(0,D3763-K3763)</f>
        <v>1.94165864</v>
      </c>
      <c r="M3763" s="13" t="n">
        <f aca="false">MAX(0,F3763-I3763-J3763)</f>
        <v>0</v>
      </c>
      <c r="N3763" s="13" t="n">
        <f aca="false">IF(Kalender!A103="",0,J3762-H3763)</f>
        <v>0.0180986400000001</v>
      </c>
    </row>
    <row r="3764" customFormat="false" ht="16.4" hidden="false" customHeight="false" outlineLevel="0" collapsed="false">
      <c r="A3764" s="13" t="str">
        <f aca="false">""</f>
        <v/>
      </c>
      <c r="B3764" s="13" t="n">
        <f aca="false">100</f>
        <v>100</v>
      </c>
      <c r="C3764" s="13" t="n">
        <f aca="false">IF(Szenarien!$H$21="OK",(IFERROR(SUMIF(Nutzungsprofile!$B$6:$B$11,"Schulbetrieb",Nutzungsprofile!$G$6:$G$11)*Kalender!C104/SUM(Kalender!$C$5:$C$370),0)+IFERROR(SUMIF(Nutzungsprofile!$B$6:$B$11,"Halle",Nutzungsprofile!$G$6:$G$11)*Kalender!D104/SUM(Kalender!$D$5:$D$370),0)+IFERROR(SUMIF(Nutzungsprofile!$B$6:$B$11,"Individuell",Nutzungsprofile!$G$6:$G$11)*Kalender!E104/SUM(Kalender!$E$5:$E$370),0))*Szenarien!$E$21,0)</f>
        <v>3.528</v>
      </c>
      <c r="D3764" s="13" t="n">
        <f aca="false">IF(Szenarien!$H$21="OK",(IFERROR(SUMIF(Nutzungsprofile!$B$17:$B$22,"Schulbetrieb",Nutzungsprofile!$G$17:$G$22)*Kalender!C104/SUM(Kalender!$C$5:$C$370),0)+IFERROR(SUMIF(Nutzungsprofile!$B$17:$B$22,"Halle",Nutzungsprofile!$G$17:$G$22)*Kalender!D104/SUM(Kalender!$D$5:$D$370),0)+IFERROR(SUMIF(Nutzungsprofile!$B$17:$B$22,"Individuell",Nutzungsprofile!$G$17:$G$22)*Kalender!E104/SUM(Kalender!$E$5:$E$370),0))*Szenarien!$D$21,0)</f>
        <v>4.94</v>
      </c>
      <c r="E3764" s="13" t="n">
        <f aca="false">IFERROR(MIN(C3764,Eingaben!$B$17)*Eingaben!$B$16,0)</f>
        <v>3.3516</v>
      </c>
      <c r="F3764" s="13" t="n">
        <f aca="false">IFERROR(E3764*Eingaben!$B$15,0)</f>
        <v>3.01644</v>
      </c>
      <c r="G3764" s="13" t="n">
        <f aca="false">IFERROR(IF(Kalender!A104="",0,J3763*(1-Eingaben!$B$20)),0)</f>
        <v>0.88683336</v>
      </c>
      <c r="H3764" s="13" t="n">
        <f aca="false">MIN(G3764,D3764)</f>
        <v>0.88683336</v>
      </c>
      <c r="I3764" s="13" t="n">
        <f aca="false">IFERROR(MIN(F3764*Eingaben!$B$19,MAX(0,D3764-H3764)),0)</f>
        <v>2.111508</v>
      </c>
      <c r="J3764" s="13" t="n">
        <f aca="false">IFERROR(MIN(Eingaben!$B$18,MAX(0,F3764-I3764)),0)</f>
        <v>0.904932</v>
      </c>
      <c r="K3764" s="13" t="n">
        <f aca="false">H3764+I3764</f>
        <v>2.99834136</v>
      </c>
      <c r="L3764" s="13" t="n">
        <f aca="false">MAX(0,D3764-K3764)</f>
        <v>1.94165864</v>
      </c>
      <c r="M3764" s="13" t="n">
        <f aca="false">MAX(0,F3764-I3764-J3764)</f>
        <v>0</v>
      </c>
      <c r="N3764" s="13" t="n">
        <f aca="false">IF(Kalender!A104="",0,J3763-H3764)</f>
        <v>0.0180986400000001</v>
      </c>
    </row>
    <row r="3765" customFormat="false" ht="16.4" hidden="false" customHeight="false" outlineLevel="0" collapsed="false">
      <c r="A3765" s="13" t="str">
        <f aca="false">""</f>
        <v/>
      </c>
      <c r="B3765" s="13" t="n">
        <f aca="false">101</f>
        <v>101</v>
      </c>
      <c r="C3765" s="13" t="n">
        <f aca="false">IF(Szenarien!$H$21="OK",(IFERROR(SUMIF(Nutzungsprofile!$B$6:$B$11,"Schulbetrieb",Nutzungsprofile!$G$6:$G$11)*Kalender!C105/SUM(Kalender!$C$5:$C$370),0)+IFERROR(SUMIF(Nutzungsprofile!$B$6:$B$11,"Halle",Nutzungsprofile!$G$6:$G$11)*Kalender!D105/SUM(Kalender!$D$5:$D$370),0)+IFERROR(SUMIF(Nutzungsprofile!$B$6:$B$11,"Individuell",Nutzungsprofile!$G$6:$G$11)*Kalender!E105/SUM(Kalender!$E$5:$E$370),0))*Szenarien!$E$21,0)</f>
        <v>2.448</v>
      </c>
      <c r="D3765" s="13" t="n">
        <f aca="false">IF(Szenarien!$H$21="OK",(IFERROR(SUMIF(Nutzungsprofile!$B$17:$B$22,"Schulbetrieb",Nutzungsprofile!$G$17:$G$22)*Kalender!C105/SUM(Kalender!$C$5:$C$370),0)+IFERROR(SUMIF(Nutzungsprofile!$B$17:$B$22,"Halle",Nutzungsprofile!$G$17:$G$22)*Kalender!D105/SUM(Kalender!$D$5:$D$370),0)+IFERROR(SUMIF(Nutzungsprofile!$B$17:$B$22,"Individuell",Nutzungsprofile!$G$17:$G$22)*Kalender!E105/SUM(Kalender!$E$5:$E$370),0))*Szenarien!$D$21,0)</f>
        <v>0.89</v>
      </c>
      <c r="E3765" s="13" t="n">
        <f aca="false">IFERROR(MIN(C3765,Eingaben!$B$17)*Eingaben!$B$16,0)</f>
        <v>2.3256</v>
      </c>
      <c r="F3765" s="13" t="n">
        <f aca="false">IFERROR(E3765*Eingaben!$B$15,0)</f>
        <v>2.09304</v>
      </c>
      <c r="G3765" s="13" t="n">
        <f aca="false">IFERROR(IF(Kalender!A105="",0,J3764*(1-Eingaben!$B$20)),0)</f>
        <v>0.88683336</v>
      </c>
      <c r="H3765" s="13" t="n">
        <f aca="false">MIN(G3765,D3765)</f>
        <v>0.88683336</v>
      </c>
      <c r="I3765" s="13" t="n">
        <f aca="false">IFERROR(MIN(F3765*Eingaben!$B$19,MAX(0,D3765-H3765)),0)</f>
        <v>0.00316664</v>
      </c>
      <c r="J3765" s="13" t="n">
        <f aca="false">IFERROR(MIN(Eingaben!$B$18,MAX(0,F3765-I3765)),0)</f>
        <v>2</v>
      </c>
      <c r="K3765" s="13" t="n">
        <f aca="false">H3765+I3765</f>
        <v>0.89</v>
      </c>
      <c r="L3765" s="13" t="n">
        <f aca="false">MAX(0,D3765-K3765)</f>
        <v>0</v>
      </c>
      <c r="M3765" s="13" t="n">
        <f aca="false">MAX(0,F3765-I3765-J3765)</f>
        <v>0.0898733599999999</v>
      </c>
      <c r="N3765" s="13" t="n">
        <f aca="false">IF(Kalender!A105="",0,J3764-H3765)</f>
        <v>0.0180986400000001</v>
      </c>
    </row>
    <row r="3766" customFormat="false" ht="16.4" hidden="false" customHeight="false" outlineLevel="0" collapsed="false">
      <c r="A3766" s="13" t="str">
        <f aca="false">""</f>
        <v/>
      </c>
      <c r="B3766" s="13" t="n">
        <f aca="false">102</f>
        <v>102</v>
      </c>
      <c r="C3766" s="13" t="n">
        <f aca="false">IF(Szenarien!$H$21="OK",(IFERROR(SUMIF(Nutzungsprofile!$B$6:$B$11,"Schulbetrieb",Nutzungsprofile!$G$6:$G$11)*Kalender!C106/SUM(Kalender!$C$5:$C$370),0)+IFERROR(SUMIF(Nutzungsprofile!$B$6:$B$11,"Halle",Nutzungsprofile!$G$6:$G$11)*Kalender!D106/SUM(Kalender!$D$5:$D$370),0)+IFERROR(SUMIF(Nutzungsprofile!$B$6:$B$11,"Individuell",Nutzungsprofile!$G$6:$G$11)*Kalender!E106/SUM(Kalender!$E$5:$E$370),0))*Szenarien!$E$21,0)</f>
        <v>2.448</v>
      </c>
      <c r="D3766" s="13" t="n">
        <f aca="false">IF(Szenarien!$H$21="OK",(IFERROR(SUMIF(Nutzungsprofile!$B$17:$B$22,"Schulbetrieb",Nutzungsprofile!$G$17:$G$22)*Kalender!C106/SUM(Kalender!$C$5:$C$370),0)+IFERROR(SUMIF(Nutzungsprofile!$B$17:$B$22,"Halle",Nutzungsprofile!$G$17:$G$22)*Kalender!D106/SUM(Kalender!$D$5:$D$370),0)+IFERROR(SUMIF(Nutzungsprofile!$B$17:$B$22,"Individuell",Nutzungsprofile!$G$17:$G$22)*Kalender!E106/SUM(Kalender!$E$5:$E$370),0))*Szenarien!$D$21,0)</f>
        <v>0.89</v>
      </c>
      <c r="E3766" s="13" t="n">
        <f aca="false">IFERROR(MIN(C3766,Eingaben!$B$17)*Eingaben!$B$16,0)</f>
        <v>2.3256</v>
      </c>
      <c r="F3766" s="13" t="n">
        <f aca="false">IFERROR(E3766*Eingaben!$B$15,0)</f>
        <v>2.09304</v>
      </c>
      <c r="G3766" s="13" t="n">
        <f aca="false">IFERROR(IF(Kalender!A106="",0,J3765*(1-Eingaben!$B$20)),0)</f>
        <v>1.96</v>
      </c>
      <c r="H3766" s="13" t="n">
        <f aca="false">MIN(G3766,D3766)</f>
        <v>0.89</v>
      </c>
      <c r="I3766" s="13" t="n">
        <f aca="false">IFERROR(MIN(F3766*Eingaben!$B$19,MAX(0,D3766-H3766)),0)</f>
        <v>0</v>
      </c>
      <c r="J3766" s="13" t="n">
        <f aca="false">IFERROR(MIN(Eingaben!$B$18,MAX(0,F3766-I3766)),0)</f>
        <v>2</v>
      </c>
      <c r="K3766" s="13" t="n">
        <f aca="false">H3766+I3766</f>
        <v>0.89</v>
      </c>
      <c r="L3766" s="13" t="n">
        <f aca="false">MAX(0,D3766-K3766)</f>
        <v>0</v>
      </c>
      <c r="M3766" s="13" t="n">
        <f aca="false">MAX(0,F3766-I3766-J3766)</f>
        <v>0.0930399999999998</v>
      </c>
      <c r="N3766" s="13" t="n">
        <f aca="false">IF(Kalender!A106="",0,J3765-H3766)</f>
        <v>1.11</v>
      </c>
    </row>
    <row r="3767" customFormat="false" ht="16.4" hidden="false" customHeight="false" outlineLevel="0" collapsed="false">
      <c r="A3767" s="13" t="str">
        <f aca="false">""</f>
        <v/>
      </c>
      <c r="B3767" s="13" t="n">
        <f aca="false">103</f>
        <v>103</v>
      </c>
      <c r="C3767" s="13" t="n">
        <f aca="false">IF(Szenarien!$H$21="OK",(IFERROR(SUMIF(Nutzungsprofile!$B$6:$B$11,"Schulbetrieb",Nutzungsprofile!$G$6:$G$11)*Kalender!C107/SUM(Kalender!$C$5:$C$370),0)+IFERROR(SUMIF(Nutzungsprofile!$B$6:$B$11,"Halle",Nutzungsprofile!$G$6:$G$11)*Kalender!D107/SUM(Kalender!$D$5:$D$370),0)+IFERROR(SUMIF(Nutzungsprofile!$B$6:$B$11,"Individuell",Nutzungsprofile!$G$6:$G$11)*Kalender!E107/SUM(Kalender!$E$5:$E$370),0))*Szenarien!$E$21,0)</f>
        <v>3.528</v>
      </c>
      <c r="D3767" s="13" t="n">
        <f aca="false">IF(Szenarien!$H$21="OK",(IFERROR(SUMIF(Nutzungsprofile!$B$17:$B$22,"Schulbetrieb",Nutzungsprofile!$G$17:$G$22)*Kalender!C107/SUM(Kalender!$C$5:$C$370),0)+IFERROR(SUMIF(Nutzungsprofile!$B$17:$B$22,"Halle",Nutzungsprofile!$G$17:$G$22)*Kalender!D107/SUM(Kalender!$D$5:$D$370),0)+IFERROR(SUMIF(Nutzungsprofile!$B$17:$B$22,"Individuell",Nutzungsprofile!$G$17:$G$22)*Kalender!E107/SUM(Kalender!$E$5:$E$370),0))*Szenarien!$D$21,0)</f>
        <v>4.94</v>
      </c>
      <c r="E3767" s="13" t="n">
        <f aca="false">IFERROR(MIN(C3767,Eingaben!$B$17)*Eingaben!$B$16,0)</f>
        <v>3.3516</v>
      </c>
      <c r="F3767" s="13" t="n">
        <f aca="false">IFERROR(E3767*Eingaben!$B$15,0)</f>
        <v>3.01644</v>
      </c>
      <c r="G3767" s="13" t="n">
        <f aca="false">IFERROR(IF(Kalender!A107="",0,J3766*(1-Eingaben!$B$20)),0)</f>
        <v>1.96</v>
      </c>
      <c r="H3767" s="13" t="n">
        <f aca="false">MIN(G3767,D3767)</f>
        <v>1.96</v>
      </c>
      <c r="I3767" s="13" t="n">
        <f aca="false">IFERROR(MIN(F3767*Eingaben!$B$19,MAX(0,D3767-H3767)),0)</f>
        <v>2.111508</v>
      </c>
      <c r="J3767" s="13" t="n">
        <f aca="false">IFERROR(MIN(Eingaben!$B$18,MAX(0,F3767-I3767)),0)</f>
        <v>0.904932</v>
      </c>
      <c r="K3767" s="13" t="n">
        <f aca="false">H3767+I3767</f>
        <v>4.071508</v>
      </c>
      <c r="L3767" s="13" t="n">
        <f aca="false">MAX(0,D3767-K3767)</f>
        <v>0.868492</v>
      </c>
      <c r="M3767" s="13" t="n">
        <f aca="false">MAX(0,F3767-I3767-J3767)</f>
        <v>0</v>
      </c>
      <c r="N3767" s="13" t="n">
        <f aca="false">IF(Kalender!A107="",0,J3766-H3767)</f>
        <v>0.04</v>
      </c>
    </row>
    <row r="3768" customFormat="false" ht="16.4" hidden="false" customHeight="false" outlineLevel="0" collapsed="false">
      <c r="A3768" s="13" t="str">
        <f aca="false">""</f>
        <v/>
      </c>
      <c r="B3768" s="13" t="n">
        <f aca="false">104</f>
        <v>104</v>
      </c>
      <c r="C3768" s="13" t="n">
        <f aca="false">IF(Szenarien!$H$21="OK",(IFERROR(SUMIF(Nutzungsprofile!$B$6:$B$11,"Schulbetrieb",Nutzungsprofile!$G$6:$G$11)*Kalender!C108/SUM(Kalender!$C$5:$C$370),0)+IFERROR(SUMIF(Nutzungsprofile!$B$6:$B$11,"Halle",Nutzungsprofile!$G$6:$G$11)*Kalender!D108/SUM(Kalender!$D$5:$D$370),0)+IFERROR(SUMIF(Nutzungsprofile!$B$6:$B$11,"Individuell",Nutzungsprofile!$G$6:$G$11)*Kalender!E108/SUM(Kalender!$E$5:$E$370),0))*Szenarien!$E$21,0)</f>
        <v>3.528</v>
      </c>
      <c r="D3768" s="13" t="n">
        <f aca="false">IF(Szenarien!$H$21="OK",(IFERROR(SUMIF(Nutzungsprofile!$B$17:$B$22,"Schulbetrieb",Nutzungsprofile!$G$17:$G$22)*Kalender!C108/SUM(Kalender!$C$5:$C$370),0)+IFERROR(SUMIF(Nutzungsprofile!$B$17:$B$22,"Halle",Nutzungsprofile!$G$17:$G$22)*Kalender!D108/SUM(Kalender!$D$5:$D$370),0)+IFERROR(SUMIF(Nutzungsprofile!$B$17:$B$22,"Individuell",Nutzungsprofile!$G$17:$G$22)*Kalender!E108/SUM(Kalender!$E$5:$E$370),0))*Szenarien!$D$21,0)</f>
        <v>4.94</v>
      </c>
      <c r="E3768" s="13" t="n">
        <f aca="false">IFERROR(MIN(C3768,Eingaben!$B$17)*Eingaben!$B$16,0)</f>
        <v>3.3516</v>
      </c>
      <c r="F3768" s="13" t="n">
        <f aca="false">IFERROR(E3768*Eingaben!$B$15,0)</f>
        <v>3.01644</v>
      </c>
      <c r="G3768" s="13" t="n">
        <f aca="false">IFERROR(IF(Kalender!A108="",0,J3767*(1-Eingaben!$B$20)),0)</f>
        <v>0.88683336</v>
      </c>
      <c r="H3768" s="13" t="n">
        <f aca="false">MIN(G3768,D3768)</f>
        <v>0.88683336</v>
      </c>
      <c r="I3768" s="13" t="n">
        <f aca="false">IFERROR(MIN(F3768*Eingaben!$B$19,MAX(0,D3768-H3768)),0)</f>
        <v>2.111508</v>
      </c>
      <c r="J3768" s="13" t="n">
        <f aca="false">IFERROR(MIN(Eingaben!$B$18,MAX(0,F3768-I3768)),0)</f>
        <v>0.904932</v>
      </c>
      <c r="K3768" s="13" t="n">
        <f aca="false">H3768+I3768</f>
        <v>2.99834136</v>
      </c>
      <c r="L3768" s="13" t="n">
        <f aca="false">MAX(0,D3768-K3768)</f>
        <v>1.94165864</v>
      </c>
      <c r="M3768" s="13" t="n">
        <f aca="false">MAX(0,F3768-I3768-J3768)</f>
        <v>0</v>
      </c>
      <c r="N3768" s="13" t="n">
        <f aca="false">IF(Kalender!A108="",0,J3767-H3768)</f>
        <v>0.0180986400000001</v>
      </c>
    </row>
    <row r="3769" customFormat="false" ht="16.4" hidden="false" customHeight="false" outlineLevel="0" collapsed="false">
      <c r="A3769" s="13" t="str">
        <f aca="false">""</f>
        <v/>
      </c>
      <c r="B3769" s="13" t="n">
        <f aca="false">105</f>
        <v>105</v>
      </c>
      <c r="C3769" s="13" t="n">
        <f aca="false">IF(Szenarien!$H$21="OK",(IFERROR(SUMIF(Nutzungsprofile!$B$6:$B$11,"Schulbetrieb",Nutzungsprofile!$G$6:$G$11)*Kalender!C109/SUM(Kalender!$C$5:$C$370),0)+IFERROR(SUMIF(Nutzungsprofile!$B$6:$B$11,"Halle",Nutzungsprofile!$G$6:$G$11)*Kalender!D109/SUM(Kalender!$D$5:$D$370),0)+IFERROR(SUMIF(Nutzungsprofile!$B$6:$B$11,"Individuell",Nutzungsprofile!$G$6:$G$11)*Kalender!E109/SUM(Kalender!$E$5:$E$370),0))*Szenarien!$E$21,0)</f>
        <v>3.528</v>
      </c>
      <c r="D3769" s="13" t="n">
        <f aca="false">IF(Szenarien!$H$21="OK",(IFERROR(SUMIF(Nutzungsprofile!$B$17:$B$22,"Schulbetrieb",Nutzungsprofile!$G$17:$G$22)*Kalender!C109/SUM(Kalender!$C$5:$C$370),0)+IFERROR(SUMIF(Nutzungsprofile!$B$17:$B$22,"Halle",Nutzungsprofile!$G$17:$G$22)*Kalender!D109/SUM(Kalender!$D$5:$D$370),0)+IFERROR(SUMIF(Nutzungsprofile!$B$17:$B$22,"Individuell",Nutzungsprofile!$G$17:$G$22)*Kalender!E109/SUM(Kalender!$E$5:$E$370),0))*Szenarien!$D$21,0)</f>
        <v>4.94</v>
      </c>
      <c r="E3769" s="13" t="n">
        <f aca="false">IFERROR(MIN(C3769,Eingaben!$B$17)*Eingaben!$B$16,0)</f>
        <v>3.3516</v>
      </c>
      <c r="F3769" s="13" t="n">
        <f aca="false">IFERROR(E3769*Eingaben!$B$15,0)</f>
        <v>3.01644</v>
      </c>
      <c r="G3769" s="13" t="n">
        <f aca="false">IFERROR(IF(Kalender!A109="",0,J3768*(1-Eingaben!$B$20)),0)</f>
        <v>0.88683336</v>
      </c>
      <c r="H3769" s="13" t="n">
        <f aca="false">MIN(G3769,D3769)</f>
        <v>0.88683336</v>
      </c>
      <c r="I3769" s="13" t="n">
        <f aca="false">IFERROR(MIN(F3769*Eingaben!$B$19,MAX(0,D3769-H3769)),0)</f>
        <v>2.111508</v>
      </c>
      <c r="J3769" s="13" t="n">
        <f aca="false">IFERROR(MIN(Eingaben!$B$18,MAX(0,F3769-I3769)),0)</f>
        <v>0.904932</v>
      </c>
      <c r="K3769" s="13" t="n">
        <f aca="false">H3769+I3769</f>
        <v>2.99834136</v>
      </c>
      <c r="L3769" s="13" t="n">
        <f aca="false">MAX(0,D3769-K3769)</f>
        <v>1.94165864</v>
      </c>
      <c r="M3769" s="13" t="n">
        <f aca="false">MAX(0,F3769-I3769-J3769)</f>
        <v>0</v>
      </c>
      <c r="N3769" s="13" t="n">
        <f aca="false">IF(Kalender!A109="",0,J3768-H3769)</f>
        <v>0.0180986400000001</v>
      </c>
    </row>
    <row r="3770" customFormat="false" ht="16.4" hidden="false" customHeight="false" outlineLevel="0" collapsed="false">
      <c r="A3770" s="13" t="str">
        <f aca="false">""</f>
        <v/>
      </c>
      <c r="B3770" s="13" t="n">
        <f aca="false">106</f>
        <v>106</v>
      </c>
      <c r="C3770" s="13" t="n">
        <f aca="false">IF(Szenarien!$H$21="OK",(IFERROR(SUMIF(Nutzungsprofile!$B$6:$B$11,"Schulbetrieb",Nutzungsprofile!$G$6:$G$11)*Kalender!C110/SUM(Kalender!$C$5:$C$370),0)+IFERROR(SUMIF(Nutzungsprofile!$B$6:$B$11,"Halle",Nutzungsprofile!$G$6:$G$11)*Kalender!D110/SUM(Kalender!$D$5:$D$370),0)+IFERROR(SUMIF(Nutzungsprofile!$B$6:$B$11,"Individuell",Nutzungsprofile!$G$6:$G$11)*Kalender!E110/SUM(Kalender!$E$5:$E$370),0))*Szenarien!$E$21,0)</f>
        <v>3.528</v>
      </c>
      <c r="D3770" s="13" t="n">
        <f aca="false">IF(Szenarien!$H$21="OK",(IFERROR(SUMIF(Nutzungsprofile!$B$17:$B$22,"Schulbetrieb",Nutzungsprofile!$G$17:$G$22)*Kalender!C110/SUM(Kalender!$C$5:$C$370),0)+IFERROR(SUMIF(Nutzungsprofile!$B$17:$B$22,"Halle",Nutzungsprofile!$G$17:$G$22)*Kalender!D110/SUM(Kalender!$D$5:$D$370),0)+IFERROR(SUMIF(Nutzungsprofile!$B$17:$B$22,"Individuell",Nutzungsprofile!$G$17:$G$22)*Kalender!E110/SUM(Kalender!$E$5:$E$370),0))*Szenarien!$D$21,0)</f>
        <v>4.94</v>
      </c>
      <c r="E3770" s="13" t="n">
        <f aca="false">IFERROR(MIN(C3770,Eingaben!$B$17)*Eingaben!$B$16,0)</f>
        <v>3.3516</v>
      </c>
      <c r="F3770" s="13" t="n">
        <f aca="false">IFERROR(E3770*Eingaben!$B$15,0)</f>
        <v>3.01644</v>
      </c>
      <c r="G3770" s="13" t="n">
        <f aca="false">IFERROR(IF(Kalender!A110="",0,J3769*(1-Eingaben!$B$20)),0)</f>
        <v>0.88683336</v>
      </c>
      <c r="H3770" s="13" t="n">
        <f aca="false">MIN(G3770,D3770)</f>
        <v>0.88683336</v>
      </c>
      <c r="I3770" s="13" t="n">
        <f aca="false">IFERROR(MIN(F3770*Eingaben!$B$19,MAX(0,D3770-H3770)),0)</f>
        <v>2.111508</v>
      </c>
      <c r="J3770" s="13" t="n">
        <f aca="false">IFERROR(MIN(Eingaben!$B$18,MAX(0,F3770-I3770)),0)</f>
        <v>0.904932</v>
      </c>
      <c r="K3770" s="13" t="n">
        <f aca="false">H3770+I3770</f>
        <v>2.99834136</v>
      </c>
      <c r="L3770" s="13" t="n">
        <f aca="false">MAX(0,D3770-K3770)</f>
        <v>1.94165864</v>
      </c>
      <c r="M3770" s="13" t="n">
        <f aca="false">MAX(0,F3770-I3770-J3770)</f>
        <v>0</v>
      </c>
      <c r="N3770" s="13" t="n">
        <f aca="false">IF(Kalender!A110="",0,J3769-H3770)</f>
        <v>0.0180986400000001</v>
      </c>
    </row>
    <row r="3771" customFormat="false" ht="16.4" hidden="false" customHeight="false" outlineLevel="0" collapsed="false">
      <c r="A3771" s="13" t="str">
        <f aca="false">""</f>
        <v/>
      </c>
      <c r="B3771" s="13" t="n">
        <f aca="false">107</f>
        <v>107</v>
      </c>
      <c r="C3771" s="13" t="n">
        <f aca="false">IF(Szenarien!$H$21="OK",(IFERROR(SUMIF(Nutzungsprofile!$B$6:$B$11,"Schulbetrieb",Nutzungsprofile!$G$6:$G$11)*Kalender!C111/SUM(Kalender!$C$5:$C$370),0)+IFERROR(SUMIF(Nutzungsprofile!$B$6:$B$11,"Halle",Nutzungsprofile!$G$6:$G$11)*Kalender!D111/SUM(Kalender!$D$5:$D$370),0)+IFERROR(SUMIF(Nutzungsprofile!$B$6:$B$11,"Individuell",Nutzungsprofile!$G$6:$G$11)*Kalender!E111/SUM(Kalender!$E$5:$E$370),0))*Szenarien!$E$21,0)</f>
        <v>3.528</v>
      </c>
      <c r="D3771" s="13" t="n">
        <f aca="false">IF(Szenarien!$H$21="OK",(IFERROR(SUMIF(Nutzungsprofile!$B$17:$B$22,"Schulbetrieb",Nutzungsprofile!$G$17:$G$22)*Kalender!C111/SUM(Kalender!$C$5:$C$370),0)+IFERROR(SUMIF(Nutzungsprofile!$B$17:$B$22,"Halle",Nutzungsprofile!$G$17:$G$22)*Kalender!D111/SUM(Kalender!$D$5:$D$370),0)+IFERROR(SUMIF(Nutzungsprofile!$B$17:$B$22,"Individuell",Nutzungsprofile!$G$17:$G$22)*Kalender!E111/SUM(Kalender!$E$5:$E$370),0))*Szenarien!$D$21,0)</f>
        <v>4.94</v>
      </c>
      <c r="E3771" s="13" t="n">
        <f aca="false">IFERROR(MIN(C3771,Eingaben!$B$17)*Eingaben!$B$16,0)</f>
        <v>3.3516</v>
      </c>
      <c r="F3771" s="13" t="n">
        <f aca="false">IFERROR(E3771*Eingaben!$B$15,0)</f>
        <v>3.01644</v>
      </c>
      <c r="G3771" s="13" t="n">
        <f aca="false">IFERROR(IF(Kalender!A111="",0,J3770*(1-Eingaben!$B$20)),0)</f>
        <v>0.88683336</v>
      </c>
      <c r="H3771" s="13" t="n">
        <f aca="false">MIN(G3771,D3771)</f>
        <v>0.88683336</v>
      </c>
      <c r="I3771" s="13" t="n">
        <f aca="false">IFERROR(MIN(F3771*Eingaben!$B$19,MAX(0,D3771-H3771)),0)</f>
        <v>2.111508</v>
      </c>
      <c r="J3771" s="13" t="n">
        <f aca="false">IFERROR(MIN(Eingaben!$B$18,MAX(0,F3771-I3771)),0)</f>
        <v>0.904932</v>
      </c>
      <c r="K3771" s="13" t="n">
        <f aca="false">H3771+I3771</f>
        <v>2.99834136</v>
      </c>
      <c r="L3771" s="13" t="n">
        <f aca="false">MAX(0,D3771-K3771)</f>
        <v>1.94165864</v>
      </c>
      <c r="M3771" s="13" t="n">
        <f aca="false">MAX(0,F3771-I3771-J3771)</f>
        <v>0</v>
      </c>
      <c r="N3771" s="13" t="n">
        <f aca="false">IF(Kalender!A111="",0,J3770-H3771)</f>
        <v>0.0180986400000001</v>
      </c>
    </row>
    <row r="3772" customFormat="false" ht="16.4" hidden="false" customHeight="false" outlineLevel="0" collapsed="false">
      <c r="A3772" s="13" t="str">
        <f aca="false">""</f>
        <v/>
      </c>
      <c r="B3772" s="13" t="n">
        <f aca="false">108</f>
        <v>108</v>
      </c>
      <c r="C3772" s="13" t="n">
        <f aca="false">IF(Szenarien!$H$21="OK",(IFERROR(SUMIF(Nutzungsprofile!$B$6:$B$11,"Schulbetrieb",Nutzungsprofile!$G$6:$G$11)*Kalender!C112/SUM(Kalender!$C$5:$C$370),0)+IFERROR(SUMIF(Nutzungsprofile!$B$6:$B$11,"Halle",Nutzungsprofile!$G$6:$G$11)*Kalender!D112/SUM(Kalender!$D$5:$D$370),0)+IFERROR(SUMIF(Nutzungsprofile!$B$6:$B$11,"Individuell",Nutzungsprofile!$G$6:$G$11)*Kalender!E112/SUM(Kalender!$E$5:$E$370),0))*Szenarien!$E$21,0)</f>
        <v>2.448</v>
      </c>
      <c r="D3772" s="13" t="n">
        <f aca="false">IF(Szenarien!$H$21="OK",(IFERROR(SUMIF(Nutzungsprofile!$B$17:$B$22,"Schulbetrieb",Nutzungsprofile!$G$17:$G$22)*Kalender!C112/SUM(Kalender!$C$5:$C$370),0)+IFERROR(SUMIF(Nutzungsprofile!$B$17:$B$22,"Halle",Nutzungsprofile!$G$17:$G$22)*Kalender!D112/SUM(Kalender!$D$5:$D$370),0)+IFERROR(SUMIF(Nutzungsprofile!$B$17:$B$22,"Individuell",Nutzungsprofile!$G$17:$G$22)*Kalender!E112/SUM(Kalender!$E$5:$E$370),0))*Szenarien!$D$21,0)</f>
        <v>0.89</v>
      </c>
      <c r="E3772" s="13" t="n">
        <f aca="false">IFERROR(MIN(C3772,Eingaben!$B$17)*Eingaben!$B$16,0)</f>
        <v>2.3256</v>
      </c>
      <c r="F3772" s="13" t="n">
        <f aca="false">IFERROR(E3772*Eingaben!$B$15,0)</f>
        <v>2.09304</v>
      </c>
      <c r="G3772" s="13" t="n">
        <f aca="false">IFERROR(IF(Kalender!A112="",0,J3771*(1-Eingaben!$B$20)),0)</f>
        <v>0.88683336</v>
      </c>
      <c r="H3772" s="13" t="n">
        <f aca="false">MIN(G3772,D3772)</f>
        <v>0.88683336</v>
      </c>
      <c r="I3772" s="13" t="n">
        <f aca="false">IFERROR(MIN(F3772*Eingaben!$B$19,MAX(0,D3772-H3772)),0)</f>
        <v>0.00316664</v>
      </c>
      <c r="J3772" s="13" t="n">
        <f aca="false">IFERROR(MIN(Eingaben!$B$18,MAX(0,F3772-I3772)),0)</f>
        <v>2</v>
      </c>
      <c r="K3772" s="13" t="n">
        <f aca="false">H3772+I3772</f>
        <v>0.89</v>
      </c>
      <c r="L3772" s="13" t="n">
        <f aca="false">MAX(0,D3772-K3772)</f>
        <v>0</v>
      </c>
      <c r="M3772" s="13" t="n">
        <f aca="false">MAX(0,F3772-I3772-J3772)</f>
        <v>0.0898733599999999</v>
      </c>
      <c r="N3772" s="13" t="n">
        <f aca="false">IF(Kalender!A112="",0,J3771-H3772)</f>
        <v>0.0180986400000001</v>
      </c>
    </row>
    <row r="3773" customFormat="false" ht="16.4" hidden="false" customHeight="false" outlineLevel="0" collapsed="false">
      <c r="A3773" s="13" t="str">
        <f aca="false">""</f>
        <v/>
      </c>
      <c r="B3773" s="13" t="n">
        <f aca="false">109</f>
        <v>109</v>
      </c>
      <c r="C3773" s="13" t="n">
        <f aca="false">IF(Szenarien!$H$21="OK",(IFERROR(SUMIF(Nutzungsprofile!$B$6:$B$11,"Schulbetrieb",Nutzungsprofile!$G$6:$G$11)*Kalender!C113/SUM(Kalender!$C$5:$C$370),0)+IFERROR(SUMIF(Nutzungsprofile!$B$6:$B$11,"Halle",Nutzungsprofile!$G$6:$G$11)*Kalender!D113/SUM(Kalender!$D$5:$D$370),0)+IFERROR(SUMIF(Nutzungsprofile!$B$6:$B$11,"Individuell",Nutzungsprofile!$G$6:$G$11)*Kalender!E113/SUM(Kalender!$E$5:$E$370),0))*Szenarien!$E$21,0)</f>
        <v>2.448</v>
      </c>
      <c r="D3773" s="13" t="n">
        <f aca="false">IF(Szenarien!$H$21="OK",(IFERROR(SUMIF(Nutzungsprofile!$B$17:$B$22,"Schulbetrieb",Nutzungsprofile!$G$17:$G$22)*Kalender!C113/SUM(Kalender!$C$5:$C$370),0)+IFERROR(SUMIF(Nutzungsprofile!$B$17:$B$22,"Halle",Nutzungsprofile!$G$17:$G$22)*Kalender!D113/SUM(Kalender!$D$5:$D$370),0)+IFERROR(SUMIF(Nutzungsprofile!$B$17:$B$22,"Individuell",Nutzungsprofile!$G$17:$G$22)*Kalender!E113/SUM(Kalender!$E$5:$E$370),0))*Szenarien!$D$21,0)</f>
        <v>0.89</v>
      </c>
      <c r="E3773" s="13" t="n">
        <f aca="false">IFERROR(MIN(C3773,Eingaben!$B$17)*Eingaben!$B$16,0)</f>
        <v>2.3256</v>
      </c>
      <c r="F3773" s="13" t="n">
        <f aca="false">IFERROR(E3773*Eingaben!$B$15,0)</f>
        <v>2.09304</v>
      </c>
      <c r="G3773" s="13" t="n">
        <f aca="false">IFERROR(IF(Kalender!A113="",0,J3772*(1-Eingaben!$B$20)),0)</f>
        <v>1.96</v>
      </c>
      <c r="H3773" s="13" t="n">
        <f aca="false">MIN(G3773,D3773)</f>
        <v>0.89</v>
      </c>
      <c r="I3773" s="13" t="n">
        <f aca="false">IFERROR(MIN(F3773*Eingaben!$B$19,MAX(0,D3773-H3773)),0)</f>
        <v>0</v>
      </c>
      <c r="J3773" s="13" t="n">
        <f aca="false">IFERROR(MIN(Eingaben!$B$18,MAX(0,F3773-I3773)),0)</f>
        <v>2</v>
      </c>
      <c r="K3773" s="13" t="n">
        <f aca="false">H3773+I3773</f>
        <v>0.89</v>
      </c>
      <c r="L3773" s="13" t="n">
        <f aca="false">MAX(0,D3773-K3773)</f>
        <v>0</v>
      </c>
      <c r="M3773" s="13" t="n">
        <f aca="false">MAX(0,F3773-I3773-J3773)</f>
        <v>0.0930399999999998</v>
      </c>
      <c r="N3773" s="13" t="n">
        <f aca="false">IF(Kalender!A113="",0,J3772-H3773)</f>
        <v>1.11</v>
      </c>
    </row>
    <row r="3774" customFormat="false" ht="16.4" hidden="false" customHeight="false" outlineLevel="0" collapsed="false">
      <c r="A3774" s="13" t="str">
        <f aca="false">""</f>
        <v/>
      </c>
      <c r="B3774" s="13" t="n">
        <f aca="false">110</f>
        <v>110</v>
      </c>
      <c r="C3774" s="13" t="n">
        <f aca="false">IF(Szenarien!$H$21="OK",(IFERROR(SUMIF(Nutzungsprofile!$B$6:$B$11,"Schulbetrieb",Nutzungsprofile!$G$6:$G$11)*Kalender!C114/SUM(Kalender!$C$5:$C$370),0)+IFERROR(SUMIF(Nutzungsprofile!$B$6:$B$11,"Halle",Nutzungsprofile!$G$6:$G$11)*Kalender!D114/SUM(Kalender!$D$5:$D$370),0)+IFERROR(SUMIF(Nutzungsprofile!$B$6:$B$11,"Individuell",Nutzungsprofile!$G$6:$G$11)*Kalender!E114/SUM(Kalender!$E$5:$E$370),0))*Szenarien!$E$21,0)</f>
        <v>3.528</v>
      </c>
      <c r="D3774" s="13" t="n">
        <f aca="false">IF(Szenarien!$H$21="OK",(IFERROR(SUMIF(Nutzungsprofile!$B$17:$B$22,"Schulbetrieb",Nutzungsprofile!$G$17:$G$22)*Kalender!C114/SUM(Kalender!$C$5:$C$370),0)+IFERROR(SUMIF(Nutzungsprofile!$B$17:$B$22,"Halle",Nutzungsprofile!$G$17:$G$22)*Kalender!D114/SUM(Kalender!$D$5:$D$370),0)+IFERROR(SUMIF(Nutzungsprofile!$B$17:$B$22,"Individuell",Nutzungsprofile!$G$17:$G$22)*Kalender!E114/SUM(Kalender!$E$5:$E$370),0))*Szenarien!$D$21,0)</f>
        <v>4.94</v>
      </c>
      <c r="E3774" s="13" t="n">
        <f aca="false">IFERROR(MIN(C3774,Eingaben!$B$17)*Eingaben!$B$16,0)</f>
        <v>3.3516</v>
      </c>
      <c r="F3774" s="13" t="n">
        <f aca="false">IFERROR(E3774*Eingaben!$B$15,0)</f>
        <v>3.01644</v>
      </c>
      <c r="G3774" s="13" t="n">
        <f aca="false">IFERROR(IF(Kalender!A114="",0,J3773*(1-Eingaben!$B$20)),0)</f>
        <v>1.96</v>
      </c>
      <c r="H3774" s="13" t="n">
        <f aca="false">MIN(G3774,D3774)</f>
        <v>1.96</v>
      </c>
      <c r="I3774" s="13" t="n">
        <f aca="false">IFERROR(MIN(F3774*Eingaben!$B$19,MAX(0,D3774-H3774)),0)</f>
        <v>2.111508</v>
      </c>
      <c r="J3774" s="13" t="n">
        <f aca="false">IFERROR(MIN(Eingaben!$B$18,MAX(0,F3774-I3774)),0)</f>
        <v>0.904932</v>
      </c>
      <c r="K3774" s="13" t="n">
        <f aca="false">H3774+I3774</f>
        <v>4.071508</v>
      </c>
      <c r="L3774" s="13" t="n">
        <f aca="false">MAX(0,D3774-K3774)</f>
        <v>0.868492</v>
      </c>
      <c r="M3774" s="13" t="n">
        <f aca="false">MAX(0,F3774-I3774-J3774)</f>
        <v>0</v>
      </c>
      <c r="N3774" s="13" t="n">
        <f aca="false">IF(Kalender!A114="",0,J3773-H3774)</f>
        <v>0.04</v>
      </c>
    </row>
    <row r="3775" customFormat="false" ht="16.4" hidden="false" customHeight="false" outlineLevel="0" collapsed="false">
      <c r="A3775" s="13" t="str">
        <f aca="false">""</f>
        <v/>
      </c>
      <c r="B3775" s="13" t="n">
        <f aca="false">111</f>
        <v>111</v>
      </c>
      <c r="C3775" s="13" t="n">
        <f aca="false">IF(Szenarien!$H$21="OK",(IFERROR(SUMIF(Nutzungsprofile!$B$6:$B$11,"Schulbetrieb",Nutzungsprofile!$G$6:$G$11)*Kalender!C115/SUM(Kalender!$C$5:$C$370),0)+IFERROR(SUMIF(Nutzungsprofile!$B$6:$B$11,"Halle",Nutzungsprofile!$G$6:$G$11)*Kalender!D115/SUM(Kalender!$D$5:$D$370),0)+IFERROR(SUMIF(Nutzungsprofile!$B$6:$B$11,"Individuell",Nutzungsprofile!$G$6:$G$11)*Kalender!E115/SUM(Kalender!$E$5:$E$370),0))*Szenarien!$E$21,0)</f>
        <v>3.528</v>
      </c>
      <c r="D3775" s="13" t="n">
        <f aca="false">IF(Szenarien!$H$21="OK",(IFERROR(SUMIF(Nutzungsprofile!$B$17:$B$22,"Schulbetrieb",Nutzungsprofile!$G$17:$G$22)*Kalender!C115/SUM(Kalender!$C$5:$C$370),0)+IFERROR(SUMIF(Nutzungsprofile!$B$17:$B$22,"Halle",Nutzungsprofile!$G$17:$G$22)*Kalender!D115/SUM(Kalender!$D$5:$D$370),0)+IFERROR(SUMIF(Nutzungsprofile!$B$17:$B$22,"Individuell",Nutzungsprofile!$G$17:$G$22)*Kalender!E115/SUM(Kalender!$E$5:$E$370),0))*Szenarien!$D$21,0)</f>
        <v>4.94</v>
      </c>
      <c r="E3775" s="13" t="n">
        <f aca="false">IFERROR(MIN(C3775,Eingaben!$B$17)*Eingaben!$B$16,0)</f>
        <v>3.3516</v>
      </c>
      <c r="F3775" s="13" t="n">
        <f aca="false">IFERROR(E3775*Eingaben!$B$15,0)</f>
        <v>3.01644</v>
      </c>
      <c r="G3775" s="13" t="n">
        <f aca="false">IFERROR(IF(Kalender!A115="",0,J3774*(1-Eingaben!$B$20)),0)</f>
        <v>0.88683336</v>
      </c>
      <c r="H3775" s="13" t="n">
        <f aca="false">MIN(G3775,D3775)</f>
        <v>0.88683336</v>
      </c>
      <c r="I3775" s="13" t="n">
        <f aca="false">IFERROR(MIN(F3775*Eingaben!$B$19,MAX(0,D3775-H3775)),0)</f>
        <v>2.111508</v>
      </c>
      <c r="J3775" s="13" t="n">
        <f aca="false">IFERROR(MIN(Eingaben!$B$18,MAX(0,F3775-I3775)),0)</f>
        <v>0.904932</v>
      </c>
      <c r="K3775" s="13" t="n">
        <f aca="false">H3775+I3775</f>
        <v>2.99834136</v>
      </c>
      <c r="L3775" s="13" t="n">
        <f aca="false">MAX(0,D3775-K3775)</f>
        <v>1.94165864</v>
      </c>
      <c r="M3775" s="13" t="n">
        <f aca="false">MAX(0,F3775-I3775-J3775)</f>
        <v>0</v>
      </c>
      <c r="N3775" s="13" t="n">
        <f aca="false">IF(Kalender!A115="",0,J3774-H3775)</f>
        <v>0.0180986400000001</v>
      </c>
    </row>
    <row r="3776" customFormat="false" ht="16.4" hidden="false" customHeight="false" outlineLevel="0" collapsed="false">
      <c r="A3776" s="13" t="str">
        <f aca="false">""</f>
        <v/>
      </c>
      <c r="B3776" s="13" t="n">
        <f aca="false">112</f>
        <v>112</v>
      </c>
      <c r="C3776" s="13" t="n">
        <f aca="false">IF(Szenarien!$H$21="OK",(IFERROR(SUMIF(Nutzungsprofile!$B$6:$B$11,"Schulbetrieb",Nutzungsprofile!$G$6:$G$11)*Kalender!C116/SUM(Kalender!$C$5:$C$370),0)+IFERROR(SUMIF(Nutzungsprofile!$B$6:$B$11,"Halle",Nutzungsprofile!$G$6:$G$11)*Kalender!D116/SUM(Kalender!$D$5:$D$370),0)+IFERROR(SUMIF(Nutzungsprofile!$B$6:$B$11,"Individuell",Nutzungsprofile!$G$6:$G$11)*Kalender!E116/SUM(Kalender!$E$5:$E$370),0))*Szenarien!$E$21,0)</f>
        <v>3.528</v>
      </c>
      <c r="D3776" s="13" t="n">
        <f aca="false">IF(Szenarien!$H$21="OK",(IFERROR(SUMIF(Nutzungsprofile!$B$17:$B$22,"Schulbetrieb",Nutzungsprofile!$G$17:$G$22)*Kalender!C116/SUM(Kalender!$C$5:$C$370),0)+IFERROR(SUMIF(Nutzungsprofile!$B$17:$B$22,"Halle",Nutzungsprofile!$G$17:$G$22)*Kalender!D116/SUM(Kalender!$D$5:$D$370),0)+IFERROR(SUMIF(Nutzungsprofile!$B$17:$B$22,"Individuell",Nutzungsprofile!$G$17:$G$22)*Kalender!E116/SUM(Kalender!$E$5:$E$370),0))*Szenarien!$D$21,0)</f>
        <v>4.94</v>
      </c>
      <c r="E3776" s="13" t="n">
        <f aca="false">IFERROR(MIN(C3776,Eingaben!$B$17)*Eingaben!$B$16,0)</f>
        <v>3.3516</v>
      </c>
      <c r="F3776" s="13" t="n">
        <f aca="false">IFERROR(E3776*Eingaben!$B$15,0)</f>
        <v>3.01644</v>
      </c>
      <c r="G3776" s="13" t="n">
        <f aca="false">IFERROR(IF(Kalender!A116="",0,J3775*(1-Eingaben!$B$20)),0)</f>
        <v>0.88683336</v>
      </c>
      <c r="H3776" s="13" t="n">
        <f aca="false">MIN(G3776,D3776)</f>
        <v>0.88683336</v>
      </c>
      <c r="I3776" s="13" t="n">
        <f aca="false">IFERROR(MIN(F3776*Eingaben!$B$19,MAX(0,D3776-H3776)),0)</f>
        <v>2.111508</v>
      </c>
      <c r="J3776" s="13" t="n">
        <f aca="false">IFERROR(MIN(Eingaben!$B$18,MAX(0,F3776-I3776)),0)</f>
        <v>0.904932</v>
      </c>
      <c r="K3776" s="13" t="n">
        <f aca="false">H3776+I3776</f>
        <v>2.99834136</v>
      </c>
      <c r="L3776" s="13" t="n">
        <f aca="false">MAX(0,D3776-K3776)</f>
        <v>1.94165864</v>
      </c>
      <c r="M3776" s="13" t="n">
        <f aca="false">MAX(0,F3776-I3776-J3776)</f>
        <v>0</v>
      </c>
      <c r="N3776" s="13" t="n">
        <f aca="false">IF(Kalender!A116="",0,J3775-H3776)</f>
        <v>0.0180986400000001</v>
      </c>
    </row>
    <row r="3777" customFormat="false" ht="16.4" hidden="false" customHeight="false" outlineLevel="0" collapsed="false">
      <c r="A3777" s="13" t="str">
        <f aca="false">""</f>
        <v/>
      </c>
      <c r="B3777" s="13" t="n">
        <f aca="false">113</f>
        <v>113</v>
      </c>
      <c r="C3777" s="13" t="n">
        <f aca="false">IF(Szenarien!$H$21="OK",(IFERROR(SUMIF(Nutzungsprofile!$B$6:$B$11,"Schulbetrieb",Nutzungsprofile!$G$6:$G$11)*Kalender!C117/SUM(Kalender!$C$5:$C$370),0)+IFERROR(SUMIF(Nutzungsprofile!$B$6:$B$11,"Halle",Nutzungsprofile!$G$6:$G$11)*Kalender!D117/SUM(Kalender!$D$5:$D$370),0)+IFERROR(SUMIF(Nutzungsprofile!$B$6:$B$11,"Individuell",Nutzungsprofile!$G$6:$G$11)*Kalender!E117/SUM(Kalender!$E$5:$E$370),0))*Szenarien!$E$21,0)</f>
        <v>3.528</v>
      </c>
      <c r="D3777" s="13" t="n">
        <f aca="false">IF(Szenarien!$H$21="OK",(IFERROR(SUMIF(Nutzungsprofile!$B$17:$B$22,"Schulbetrieb",Nutzungsprofile!$G$17:$G$22)*Kalender!C117/SUM(Kalender!$C$5:$C$370),0)+IFERROR(SUMIF(Nutzungsprofile!$B$17:$B$22,"Halle",Nutzungsprofile!$G$17:$G$22)*Kalender!D117/SUM(Kalender!$D$5:$D$370),0)+IFERROR(SUMIF(Nutzungsprofile!$B$17:$B$22,"Individuell",Nutzungsprofile!$G$17:$G$22)*Kalender!E117/SUM(Kalender!$E$5:$E$370),0))*Szenarien!$D$21,0)</f>
        <v>4.94</v>
      </c>
      <c r="E3777" s="13" t="n">
        <f aca="false">IFERROR(MIN(C3777,Eingaben!$B$17)*Eingaben!$B$16,0)</f>
        <v>3.3516</v>
      </c>
      <c r="F3777" s="13" t="n">
        <f aca="false">IFERROR(E3777*Eingaben!$B$15,0)</f>
        <v>3.01644</v>
      </c>
      <c r="G3777" s="13" t="n">
        <f aca="false">IFERROR(IF(Kalender!A117="",0,J3776*(1-Eingaben!$B$20)),0)</f>
        <v>0.88683336</v>
      </c>
      <c r="H3777" s="13" t="n">
        <f aca="false">MIN(G3777,D3777)</f>
        <v>0.88683336</v>
      </c>
      <c r="I3777" s="13" t="n">
        <f aca="false">IFERROR(MIN(F3777*Eingaben!$B$19,MAX(0,D3777-H3777)),0)</f>
        <v>2.111508</v>
      </c>
      <c r="J3777" s="13" t="n">
        <f aca="false">IFERROR(MIN(Eingaben!$B$18,MAX(0,F3777-I3777)),0)</f>
        <v>0.904932</v>
      </c>
      <c r="K3777" s="13" t="n">
        <f aca="false">H3777+I3777</f>
        <v>2.99834136</v>
      </c>
      <c r="L3777" s="13" t="n">
        <f aca="false">MAX(0,D3777-K3777)</f>
        <v>1.94165864</v>
      </c>
      <c r="M3777" s="13" t="n">
        <f aca="false">MAX(0,F3777-I3777-J3777)</f>
        <v>0</v>
      </c>
      <c r="N3777" s="13" t="n">
        <f aca="false">IF(Kalender!A117="",0,J3776-H3777)</f>
        <v>0.0180986400000001</v>
      </c>
    </row>
    <row r="3778" customFormat="false" ht="16.4" hidden="false" customHeight="false" outlineLevel="0" collapsed="false">
      <c r="A3778" s="13" t="str">
        <f aca="false">""</f>
        <v/>
      </c>
      <c r="B3778" s="13" t="n">
        <f aca="false">114</f>
        <v>114</v>
      </c>
      <c r="C3778" s="13" t="n">
        <f aca="false">IF(Szenarien!$H$21="OK",(IFERROR(SUMIF(Nutzungsprofile!$B$6:$B$11,"Schulbetrieb",Nutzungsprofile!$G$6:$G$11)*Kalender!C118/SUM(Kalender!$C$5:$C$370),0)+IFERROR(SUMIF(Nutzungsprofile!$B$6:$B$11,"Halle",Nutzungsprofile!$G$6:$G$11)*Kalender!D118/SUM(Kalender!$D$5:$D$370),0)+IFERROR(SUMIF(Nutzungsprofile!$B$6:$B$11,"Individuell",Nutzungsprofile!$G$6:$G$11)*Kalender!E118/SUM(Kalender!$E$5:$E$370),0))*Szenarien!$E$21,0)</f>
        <v>3.528</v>
      </c>
      <c r="D3778" s="13" t="n">
        <f aca="false">IF(Szenarien!$H$21="OK",(IFERROR(SUMIF(Nutzungsprofile!$B$17:$B$22,"Schulbetrieb",Nutzungsprofile!$G$17:$G$22)*Kalender!C118/SUM(Kalender!$C$5:$C$370),0)+IFERROR(SUMIF(Nutzungsprofile!$B$17:$B$22,"Halle",Nutzungsprofile!$G$17:$G$22)*Kalender!D118/SUM(Kalender!$D$5:$D$370),0)+IFERROR(SUMIF(Nutzungsprofile!$B$17:$B$22,"Individuell",Nutzungsprofile!$G$17:$G$22)*Kalender!E118/SUM(Kalender!$E$5:$E$370),0))*Szenarien!$D$21,0)</f>
        <v>4.94</v>
      </c>
      <c r="E3778" s="13" t="n">
        <f aca="false">IFERROR(MIN(C3778,Eingaben!$B$17)*Eingaben!$B$16,0)</f>
        <v>3.3516</v>
      </c>
      <c r="F3778" s="13" t="n">
        <f aca="false">IFERROR(E3778*Eingaben!$B$15,0)</f>
        <v>3.01644</v>
      </c>
      <c r="G3778" s="13" t="n">
        <f aca="false">IFERROR(IF(Kalender!A118="",0,J3777*(1-Eingaben!$B$20)),0)</f>
        <v>0.88683336</v>
      </c>
      <c r="H3778" s="13" t="n">
        <f aca="false">MIN(G3778,D3778)</f>
        <v>0.88683336</v>
      </c>
      <c r="I3778" s="13" t="n">
        <f aca="false">IFERROR(MIN(F3778*Eingaben!$B$19,MAX(0,D3778-H3778)),0)</f>
        <v>2.111508</v>
      </c>
      <c r="J3778" s="13" t="n">
        <f aca="false">IFERROR(MIN(Eingaben!$B$18,MAX(0,F3778-I3778)),0)</f>
        <v>0.904932</v>
      </c>
      <c r="K3778" s="13" t="n">
        <f aca="false">H3778+I3778</f>
        <v>2.99834136</v>
      </c>
      <c r="L3778" s="13" t="n">
        <f aca="false">MAX(0,D3778-K3778)</f>
        <v>1.94165864</v>
      </c>
      <c r="M3778" s="13" t="n">
        <f aca="false">MAX(0,F3778-I3778-J3778)</f>
        <v>0</v>
      </c>
      <c r="N3778" s="13" t="n">
        <f aca="false">IF(Kalender!A118="",0,J3777-H3778)</f>
        <v>0.0180986400000001</v>
      </c>
    </row>
    <row r="3779" customFormat="false" ht="16.4" hidden="false" customHeight="false" outlineLevel="0" collapsed="false">
      <c r="A3779" s="13" t="str">
        <f aca="false">""</f>
        <v/>
      </c>
      <c r="B3779" s="13" t="n">
        <f aca="false">115</f>
        <v>115</v>
      </c>
      <c r="C3779" s="13" t="n">
        <f aca="false">IF(Szenarien!$H$21="OK",(IFERROR(SUMIF(Nutzungsprofile!$B$6:$B$11,"Schulbetrieb",Nutzungsprofile!$G$6:$G$11)*Kalender!C119/SUM(Kalender!$C$5:$C$370),0)+IFERROR(SUMIF(Nutzungsprofile!$B$6:$B$11,"Halle",Nutzungsprofile!$G$6:$G$11)*Kalender!D119/SUM(Kalender!$D$5:$D$370),0)+IFERROR(SUMIF(Nutzungsprofile!$B$6:$B$11,"Individuell",Nutzungsprofile!$G$6:$G$11)*Kalender!E119/SUM(Kalender!$E$5:$E$370),0))*Szenarien!$E$21,0)</f>
        <v>2.448</v>
      </c>
      <c r="D3779" s="13" t="n">
        <f aca="false">IF(Szenarien!$H$21="OK",(IFERROR(SUMIF(Nutzungsprofile!$B$17:$B$22,"Schulbetrieb",Nutzungsprofile!$G$17:$G$22)*Kalender!C119/SUM(Kalender!$C$5:$C$370),0)+IFERROR(SUMIF(Nutzungsprofile!$B$17:$B$22,"Halle",Nutzungsprofile!$G$17:$G$22)*Kalender!D119/SUM(Kalender!$D$5:$D$370),0)+IFERROR(SUMIF(Nutzungsprofile!$B$17:$B$22,"Individuell",Nutzungsprofile!$G$17:$G$22)*Kalender!E119/SUM(Kalender!$E$5:$E$370),0))*Szenarien!$D$21,0)</f>
        <v>0.89</v>
      </c>
      <c r="E3779" s="13" t="n">
        <f aca="false">IFERROR(MIN(C3779,Eingaben!$B$17)*Eingaben!$B$16,0)</f>
        <v>2.3256</v>
      </c>
      <c r="F3779" s="13" t="n">
        <f aca="false">IFERROR(E3779*Eingaben!$B$15,0)</f>
        <v>2.09304</v>
      </c>
      <c r="G3779" s="13" t="n">
        <f aca="false">IFERROR(IF(Kalender!A119="",0,J3778*(1-Eingaben!$B$20)),0)</f>
        <v>0.88683336</v>
      </c>
      <c r="H3779" s="13" t="n">
        <f aca="false">MIN(G3779,D3779)</f>
        <v>0.88683336</v>
      </c>
      <c r="I3779" s="13" t="n">
        <f aca="false">IFERROR(MIN(F3779*Eingaben!$B$19,MAX(0,D3779-H3779)),0)</f>
        <v>0.00316664</v>
      </c>
      <c r="J3779" s="13" t="n">
        <f aca="false">IFERROR(MIN(Eingaben!$B$18,MAX(0,F3779-I3779)),0)</f>
        <v>2</v>
      </c>
      <c r="K3779" s="13" t="n">
        <f aca="false">H3779+I3779</f>
        <v>0.89</v>
      </c>
      <c r="L3779" s="13" t="n">
        <f aca="false">MAX(0,D3779-K3779)</f>
        <v>0</v>
      </c>
      <c r="M3779" s="13" t="n">
        <f aca="false">MAX(0,F3779-I3779-J3779)</f>
        <v>0.0898733599999999</v>
      </c>
      <c r="N3779" s="13" t="n">
        <f aca="false">IF(Kalender!A119="",0,J3778-H3779)</f>
        <v>0.0180986400000001</v>
      </c>
    </row>
    <row r="3780" customFormat="false" ht="16.4" hidden="false" customHeight="false" outlineLevel="0" collapsed="false">
      <c r="A3780" s="13" t="str">
        <f aca="false">""</f>
        <v/>
      </c>
      <c r="B3780" s="13" t="n">
        <f aca="false">116</f>
        <v>116</v>
      </c>
      <c r="C3780" s="13" t="n">
        <f aca="false">IF(Szenarien!$H$21="OK",(IFERROR(SUMIF(Nutzungsprofile!$B$6:$B$11,"Schulbetrieb",Nutzungsprofile!$G$6:$G$11)*Kalender!C120/SUM(Kalender!$C$5:$C$370),0)+IFERROR(SUMIF(Nutzungsprofile!$B$6:$B$11,"Halle",Nutzungsprofile!$G$6:$G$11)*Kalender!D120/SUM(Kalender!$D$5:$D$370),0)+IFERROR(SUMIF(Nutzungsprofile!$B$6:$B$11,"Individuell",Nutzungsprofile!$G$6:$G$11)*Kalender!E120/SUM(Kalender!$E$5:$E$370),0))*Szenarien!$E$21,0)</f>
        <v>2.448</v>
      </c>
      <c r="D3780" s="13" t="n">
        <f aca="false">IF(Szenarien!$H$21="OK",(IFERROR(SUMIF(Nutzungsprofile!$B$17:$B$22,"Schulbetrieb",Nutzungsprofile!$G$17:$G$22)*Kalender!C120/SUM(Kalender!$C$5:$C$370),0)+IFERROR(SUMIF(Nutzungsprofile!$B$17:$B$22,"Halle",Nutzungsprofile!$G$17:$G$22)*Kalender!D120/SUM(Kalender!$D$5:$D$370),0)+IFERROR(SUMIF(Nutzungsprofile!$B$17:$B$22,"Individuell",Nutzungsprofile!$G$17:$G$22)*Kalender!E120/SUM(Kalender!$E$5:$E$370),0))*Szenarien!$D$21,0)</f>
        <v>0.89</v>
      </c>
      <c r="E3780" s="13" t="n">
        <f aca="false">IFERROR(MIN(C3780,Eingaben!$B$17)*Eingaben!$B$16,0)</f>
        <v>2.3256</v>
      </c>
      <c r="F3780" s="13" t="n">
        <f aca="false">IFERROR(E3780*Eingaben!$B$15,0)</f>
        <v>2.09304</v>
      </c>
      <c r="G3780" s="13" t="n">
        <f aca="false">IFERROR(IF(Kalender!A120="",0,J3779*(1-Eingaben!$B$20)),0)</f>
        <v>1.96</v>
      </c>
      <c r="H3780" s="13" t="n">
        <f aca="false">MIN(G3780,D3780)</f>
        <v>0.89</v>
      </c>
      <c r="I3780" s="13" t="n">
        <f aca="false">IFERROR(MIN(F3780*Eingaben!$B$19,MAX(0,D3780-H3780)),0)</f>
        <v>0</v>
      </c>
      <c r="J3780" s="13" t="n">
        <f aca="false">IFERROR(MIN(Eingaben!$B$18,MAX(0,F3780-I3780)),0)</f>
        <v>2</v>
      </c>
      <c r="K3780" s="13" t="n">
        <f aca="false">H3780+I3780</f>
        <v>0.89</v>
      </c>
      <c r="L3780" s="13" t="n">
        <f aca="false">MAX(0,D3780-K3780)</f>
        <v>0</v>
      </c>
      <c r="M3780" s="13" t="n">
        <f aca="false">MAX(0,F3780-I3780-J3780)</f>
        <v>0.0930399999999998</v>
      </c>
      <c r="N3780" s="13" t="n">
        <f aca="false">IF(Kalender!A120="",0,J3779-H3780)</f>
        <v>1.11</v>
      </c>
    </row>
    <row r="3781" customFormat="false" ht="16.4" hidden="false" customHeight="false" outlineLevel="0" collapsed="false">
      <c r="A3781" s="13" t="str">
        <f aca="false">""</f>
        <v/>
      </c>
      <c r="B3781" s="13" t="n">
        <f aca="false">117</f>
        <v>117</v>
      </c>
      <c r="C3781" s="13" t="n">
        <f aca="false">IF(Szenarien!$H$21="OK",(IFERROR(SUMIF(Nutzungsprofile!$B$6:$B$11,"Schulbetrieb",Nutzungsprofile!$G$6:$G$11)*Kalender!C121/SUM(Kalender!$C$5:$C$370),0)+IFERROR(SUMIF(Nutzungsprofile!$B$6:$B$11,"Halle",Nutzungsprofile!$G$6:$G$11)*Kalender!D121/SUM(Kalender!$D$5:$D$370),0)+IFERROR(SUMIF(Nutzungsprofile!$B$6:$B$11,"Individuell",Nutzungsprofile!$G$6:$G$11)*Kalender!E121/SUM(Kalender!$E$5:$E$370),0))*Szenarien!$E$21,0)</f>
        <v>3.528</v>
      </c>
      <c r="D3781" s="13" t="n">
        <f aca="false">IF(Szenarien!$H$21="OK",(IFERROR(SUMIF(Nutzungsprofile!$B$17:$B$22,"Schulbetrieb",Nutzungsprofile!$G$17:$G$22)*Kalender!C121/SUM(Kalender!$C$5:$C$370),0)+IFERROR(SUMIF(Nutzungsprofile!$B$17:$B$22,"Halle",Nutzungsprofile!$G$17:$G$22)*Kalender!D121/SUM(Kalender!$D$5:$D$370),0)+IFERROR(SUMIF(Nutzungsprofile!$B$17:$B$22,"Individuell",Nutzungsprofile!$G$17:$G$22)*Kalender!E121/SUM(Kalender!$E$5:$E$370),0))*Szenarien!$D$21,0)</f>
        <v>4.94</v>
      </c>
      <c r="E3781" s="13" t="n">
        <f aca="false">IFERROR(MIN(C3781,Eingaben!$B$17)*Eingaben!$B$16,0)</f>
        <v>3.3516</v>
      </c>
      <c r="F3781" s="13" t="n">
        <f aca="false">IFERROR(E3781*Eingaben!$B$15,0)</f>
        <v>3.01644</v>
      </c>
      <c r="G3781" s="13" t="n">
        <f aca="false">IFERROR(IF(Kalender!A121="",0,J3780*(1-Eingaben!$B$20)),0)</f>
        <v>1.96</v>
      </c>
      <c r="H3781" s="13" t="n">
        <f aca="false">MIN(G3781,D3781)</f>
        <v>1.96</v>
      </c>
      <c r="I3781" s="13" t="n">
        <f aca="false">IFERROR(MIN(F3781*Eingaben!$B$19,MAX(0,D3781-H3781)),0)</f>
        <v>2.111508</v>
      </c>
      <c r="J3781" s="13" t="n">
        <f aca="false">IFERROR(MIN(Eingaben!$B$18,MAX(0,F3781-I3781)),0)</f>
        <v>0.904932</v>
      </c>
      <c r="K3781" s="13" t="n">
        <f aca="false">H3781+I3781</f>
        <v>4.071508</v>
      </c>
      <c r="L3781" s="13" t="n">
        <f aca="false">MAX(0,D3781-K3781)</f>
        <v>0.868492</v>
      </c>
      <c r="M3781" s="13" t="n">
        <f aca="false">MAX(0,F3781-I3781-J3781)</f>
        <v>0</v>
      </c>
      <c r="N3781" s="13" t="n">
        <f aca="false">IF(Kalender!A121="",0,J3780-H3781)</f>
        <v>0.04</v>
      </c>
    </row>
    <row r="3782" customFormat="false" ht="16.4" hidden="false" customHeight="false" outlineLevel="0" collapsed="false">
      <c r="A3782" s="13" t="str">
        <f aca="false">""</f>
        <v/>
      </c>
      <c r="B3782" s="13" t="n">
        <f aca="false">118</f>
        <v>118</v>
      </c>
      <c r="C3782" s="13" t="n">
        <f aca="false">IF(Szenarien!$H$21="OK",(IFERROR(SUMIF(Nutzungsprofile!$B$6:$B$11,"Schulbetrieb",Nutzungsprofile!$G$6:$G$11)*Kalender!C122/SUM(Kalender!$C$5:$C$370),0)+IFERROR(SUMIF(Nutzungsprofile!$B$6:$B$11,"Halle",Nutzungsprofile!$G$6:$G$11)*Kalender!D122/SUM(Kalender!$D$5:$D$370),0)+IFERROR(SUMIF(Nutzungsprofile!$B$6:$B$11,"Individuell",Nutzungsprofile!$G$6:$G$11)*Kalender!E122/SUM(Kalender!$E$5:$E$370),0))*Szenarien!$E$21,0)</f>
        <v>3.528</v>
      </c>
      <c r="D3782" s="13" t="n">
        <f aca="false">IF(Szenarien!$H$21="OK",(IFERROR(SUMIF(Nutzungsprofile!$B$17:$B$22,"Schulbetrieb",Nutzungsprofile!$G$17:$G$22)*Kalender!C122/SUM(Kalender!$C$5:$C$370),0)+IFERROR(SUMIF(Nutzungsprofile!$B$17:$B$22,"Halle",Nutzungsprofile!$G$17:$G$22)*Kalender!D122/SUM(Kalender!$D$5:$D$370),0)+IFERROR(SUMIF(Nutzungsprofile!$B$17:$B$22,"Individuell",Nutzungsprofile!$G$17:$G$22)*Kalender!E122/SUM(Kalender!$E$5:$E$370),0))*Szenarien!$D$21,0)</f>
        <v>4.94</v>
      </c>
      <c r="E3782" s="13" t="n">
        <f aca="false">IFERROR(MIN(C3782,Eingaben!$B$17)*Eingaben!$B$16,0)</f>
        <v>3.3516</v>
      </c>
      <c r="F3782" s="13" t="n">
        <f aca="false">IFERROR(E3782*Eingaben!$B$15,0)</f>
        <v>3.01644</v>
      </c>
      <c r="G3782" s="13" t="n">
        <f aca="false">IFERROR(IF(Kalender!A122="",0,J3781*(1-Eingaben!$B$20)),0)</f>
        <v>0.88683336</v>
      </c>
      <c r="H3782" s="13" t="n">
        <f aca="false">MIN(G3782,D3782)</f>
        <v>0.88683336</v>
      </c>
      <c r="I3782" s="13" t="n">
        <f aca="false">IFERROR(MIN(F3782*Eingaben!$B$19,MAX(0,D3782-H3782)),0)</f>
        <v>2.111508</v>
      </c>
      <c r="J3782" s="13" t="n">
        <f aca="false">IFERROR(MIN(Eingaben!$B$18,MAX(0,F3782-I3782)),0)</f>
        <v>0.904932</v>
      </c>
      <c r="K3782" s="13" t="n">
        <f aca="false">H3782+I3782</f>
        <v>2.99834136</v>
      </c>
      <c r="L3782" s="13" t="n">
        <f aca="false">MAX(0,D3782-K3782)</f>
        <v>1.94165864</v>
      </c>
      <c r="M3782" s="13" t="n">
        <f aca="false">MAX(0,F3782-I3782-J3782)</f>
        <v>0</v>
      </c>
      <c r="N3782" s="13" t="n">
        <f aca="false">IF(Kalender!A122="",0,J3781-H3782)</f>
        <v>0.0180986400000001</v>
      </c>
    </row>
    <row r="3783" customFormat="false" ht="16.4" hidden="false" customHeight="false" outlineLevel="0" collapsed="false">
      <c r="A3783" s="13" t="str">
        <f aca="false">""</f>
        <v/>
      </c>
      <c r="B3783" s="13" t="n">
        <f aca="false">119</f>
        <v>119</v>
      </c>
      <c r="C3783" s="13" t="n">
        <f aca="false">IF(Szenarien!$H$21="OK",(IFERROR(SUMIF(Nutzungsprofile!$B$6:$B$11,"Schulbetrieb",Nutzungsprofile!$G$6:$G$11)*Kalender!C123/SUM(Kalender!$C$5:$C$370),0)+IFERROR(SUMIF(Nutzungsprofile!$B$6:$B$11,"Halle",Nutzungsprofile!$G$6:$G$11)*Kalender!D123/SUM(Kalender!$D$5:$D$370),0)+IFERROR(SUMIF(Nutzungsprofile!$B$6:$B$11,"Individuell",Nutzungsprofile!$G$6:$G$11)*Kalender!E123/SUM(Kalender!$E$5:$E$370),0))*Szenarien!$E$21,0)</f>
        <v>3.528</v>
      </c>
      <c r="D3783" s="13" t="n">
        <f aca="false">IF(Szenarien!$H$21="OK",(IFERROR(SUMIF(Nutzungsprofile!$B$17:$B$22,"Schulbetrieb",Nutzungsprofile!$G$17:$G$22)*Kalender!C123/SUM(Kalender!$C$5:$C$370),0)+IFERROR(SUMIF(Nutzungsprofile!$B$17:$B$22,"Halle",Nutzungsprofile!$G$17:$G$22)*Kalender!D123/SUM(Kalender!$D$5:$D$370),0)+IFERROR(SUMIF(Nutzungsprofile!$B$17:$B$22,"Individuell",Nutzungsprofile!$G$17:$G$22)*Kalender!E123/SUM(Kalender!$E$5:$E$370),0))*Szenarien!$D$21,0)</f>
        <v>4.94</v>
      </c>
      <c r="E3783" s="13" t="n">
        <f aca="false">IFERROR(MIN(C3783,Eingaben!$B$17)*Eingaben!$B$16,0)</f>
        <v>3.3516</v>
      </c>
      <c r="F3783" s="13" t="n">
        <f aca="false">IFERROR(E3783*Eingaben!$B$15,0)</f>
        <v>3.01644</v>
      </c>
      <c r="G3783" s="13" t="n">
        <f aca="false">IFERROR(IF(Kalender!A123="",0,J3782*(1-Eingaben!$B$20)),0)</f>
        <v>0.88683336</v>
      </c>
      <c r="H3783" s="13" t="n">
        <f aca="false">MIN(G3783,D3783)</f>
        <v>0.88683336</v>
      </c>
      <c r="I3783" s="13" t="n">
        <f aca="false">IFERROR(MIN(F3783*Eingaben!$B$19,MAX(0,D3783-H3783)),0)</f>
        <v>2.111508</v>
      </c>
      <c r="J3783" s="13" t="n">
        <f aca="false">IFERROR(MIN(Eingaben!$B$18,MAX(0,F3783-I3783)),0)</f>
        <v>0.904932</v>
      </c>
      <c r="K3783" s="13" t="n">
        <f aca="false">H3783+I3783</f>
        <v>2.99834136</v>
      </c>
      <c r="L3783" s="13" t="n">
        <f aca="false">MAX(0,D3783-K3783)</f>
        <v>1.94165864</v>
      </c>
      <c r="M3783" s="13" t="n">
        <f aca="false">MAX(0,F3783-I3783-J3783)</f>
        <v>0</v>
      </c>
      <c r="N3783" s="13" t="n">
        <f aca="false">IF(Kalender!A123="",0,J3782-H3783)</f>
        <v>0.0180986400000001</v>
      </c>
    </row>
    <row r="3784" customFormat="false" ht="16.4" hidden="false" customHeight="false" outlineLevel="0" collapsed="false">
      <c r="A3784" s="13" t="str">
        <f aca="false">""</f>
        <v/>
      </c>
      <c r="B3784" s="13" t="n">
        <f aca="false">120</f>
        <v>120</v>
      </c>
      <c r="C3784" s="13" t="n">
        <f aca="false">IF(Szenarien!$H$21="OK",(IFERROR(SUMIF(Nutzungsprofile!$B$6:$B$11,"Schulbetrieb",Nutzungsprofile!$G$6:$G$11)*Kalender!C124/SUM(Kalender!$C$5:$C$370),0)+IFERROR(SUMIF(Nutzungsprofile!$B$6:$B$11,"Halle",Nutzungsprofile!$G$6:$G$11)*Kalender!D124/SUM(Kalender!$D$5:$D$370),0)+IFERROR(SUMIF(Nutzungsprofile!$B$6:$B$11,"Individuell",Nutzungsprofile!$G$6:$G$11)*Kalender!E124/SUM(Kalender!$E$5:$E$370),0))*Szenarien!$E$21,0)</f>
        <v>3.528</v>
      </c>
      <c r="D3784" s="13" t="n">
        <f aca="false">IF(Szenarien!$H$21="OK",(IFERROR(SUMIF(Nutzungsprofile!$B$17:$B$22,"Schulbetrieb",Nutzungsprofile!$G$17:$G$22)*Kalender!C124/SUM(Kalender!$C$5:$C$370),0)+IFERROR(SUMIF(Nutzungsprofile!$B$17:$B$22,"Halle",Nutzungsprofile!$G$17:$G$22)*Kalender!D124/SUM(Kalender!$D$5:$D$370),0)+IFERROR(SUMIF(Nutzungsprofile!$B$17:$B$22,"Individuell",Nutzungsprofile!$G$17:$G$22)*Kalender!E124/SUM(Kalender!$E$5:$E$370),0))*Szenarien!$D$21,0)</f>
        <v>4.94</v>
      </c>
      <c r="E3784" s="13" t="n">
        <f aca="false">IFERROR(MIN(C3784,Eingaben!$B$17)*Eingaben!$B$16,0)</f>
        <v>3.3516</v>
      </c>
      <c r="F3784" s="13" t="n">
        <f aca="false">IFERROR(E3784*Eingaben!$B$15,0)</f>
        <v>3.01644</v>
      </c>
      <c r="G3784" s="13" t="n">
        <f aca="false">IFERROR(IF(Kalender!A124="",0,J3783*(1-Eingaben!$B$20)),0)</f>
        <v>0.88683336</v>
      </c>
      <c r="H3784" s="13" t="n">
        <f aca="false">MIN(G3784,D3784)</f>
        <v>0.88683336</v>
      </c>
      <c r="I3784" s="13" t="n">
        <f aca="false">IFERROR(MIN(F3784*Eingaben!$B$19,MAX(0,D3784-H3784)),0)</f>
        <v>2.111508</v>
      </c>
      <c r="J3784" s="13" t="n">
        <f aca="false">IFERROR(MIN(Eingaben!$B$18,MAX(0,F3784-I3784)),0)</f>
        <v>0.904932</v>
      </c>
      <c r="K3784" s="13" t="n">
        <f aca="false">H3784+I3784</f>
        <v>2.99834136</v>
      </c>
      <c r="L3784" s="13" t="n">
        <f aca="false">MAX(0,D3784-K3784)</f>
        <v>1.94165864</v>
      </c>
      <c r="M3784" s="13" t="n">
        <f aca="false">MAX(0,F3784-I3784-J3784)</f>
        <v>0</v>
      </c>
      <c r="N3784" s="13" t="n">
        <f aca="false">IF(Kalender!A124="",0,J3783-H3784)</f>
        <v>0.0180986400000001</v>
      </c>
    </row>
    <row r="3785" customFormat="false" ht="16.4" hidden="false" customHeight="false" outlineLevel="0" collapsed="false">
      <c r="A3785" s="13" t="str">
        <f aca="false">""</f>
        <v/>
      </c>
      <c r="B3785" s="13" t="n">
        <f aca="false">121</f>
        <v>121</v>
      </c>
      <c r="C3785" s="13" t="n">
        <f aca="false">IF(Szenarien!$H$21="OK",(IFERROR(SUMIF(Nutzungsprofile!$B$6:$B$11,"Schulbetrieb",Nutzungsprofile!$G$6:$G$11)*Kalender!C125/SUM(Kalender!$C$5:$C$370),0)+IFERROR(SUMIF(Nutzungsprofile!$B$6:$B$11,"Halle",Nutzungsprofile!$G$6:$G$11)*Kalender!D125/SUM(Kalender!$D$5:$D$370),0)+IFERROR(SUMIF(Nutzungsprofile!$B$6:$B$11,"Individuell",Nutzungsprofile!$G$6:$G$11)*Kalender!E125/SUM(Kalender!$E$5:$E$370),0))*Szenarien!$E$21,0)</f>
        <v>3.528</v>
      </c>
      <c r="D3785" s="13" t="n">
        <f aca="false">IF(Szenarien!$H$21="OK",(IFERROR(SUMIF(Nutzungsprofile!$B$17:$B$22,"Schulbetrieb",Nutzungsprofile!$G$17:$G$22)*Kalender!C125/SUM(Kalender!$C$5:$C$370),0)+IFERROR(SUMIF(Nutzungsprofile!$B$17:$B$22,"Halle",Nutzungsprofile!$G$17:$G$22)*Kalender!D125/SUM(Kalender!$D$5:$D$370),0)+IFERROR(SUMIF(Nutzungsprofile!$B$17:$B$22,"Individuell",Nutzungsprofile!$G$17:$G$22)*Kalender!E125/SUM(Kalender!$E$5:$E$370),0))*Szenarien!$D$21,0)</f>
        <v>4.94</v>
      </c>
      <c r="E3785" s="13" t="n">
        <f aca="false">IFERROR(MIN(C3785,Eingaben!$B$17)*Eingaben!$B$16,0)</f>
        <v>3.3516</v>
      </c>
      <c r="F3785" s="13" t="n">
        <f aca="false">IFERROR(E3785*Eingaben!$B$15,0)</f>
        <v>3.01644</v>
      </c>
      <c r="G3785" s="13" t="n">
        <f aca="false">IFERROR(IF(Kalender!A125="",0,J3784*(1-Eingaben!$B$20)),0)</f>
        <v>0.88683336</v>
      </c>
      <c r="H3785" s="13" t="n">
        <f aca="false">MIN(G3785,D3785)</f>
        <v>0.88683336</v>
      </c>
      <c r="I3785" s="13" t="n">
        <f aca="false">IFERROR(MIN(F3785*Eingaben!$B$19,MAX(0,D3785-H3785)),0)</f>
        <v>2.111508</v>
      </c>
      <c r="J3785" s="13" t="n">
        <f aca="false">IFERROR(MIN(Eingaben!$B$18,MAX(0,F3785-I3785)),0)</f>
        <v>0.904932</v>
      </c>
      <c r="K3785" s="13" t="n">
        <f aca="false">H3785+I3785</f>
        <v>2.99834136</v>
      </c>
      <c r="L3785" s="13" t="n">
        <f aca="false">MAX(0,D3785-K3785)</f>
        <v>1.94165864</v>
      </c>
      <c r="M3785" s="13" t="n">
        <f aca="false">MAX(0,F3785-I3785-J3785)</f>
        <v>0</v>
      </c>
      <c r="N3785" s="13" t="n">
        <f aca="false">IF(Kalender!A125="",0,J3784-H3785)</f>
        <v>0.0180986400000001</v>
      </c>
    </row>
    <row r="3786" customFormat="false" ht="16.4" hidden="false" customHeight="false" outlineLevel="0" collapsed="false">
      <c r="A3786" s="13" t="str">
        <f aca="false">""</f>
        <v/>
      </c>
      <c r="B3786" s="13" t="n">
        <f aca="false">122</f>
        <v>122</v>
      </c>
      <c r="C3786" s="13" t="n">
        <f aca="false">IF(Szenarien!$H$21="OK",(IFERROR(SUMIF(Nutzungsprofile!$B$6:$B$11,"Schulbetrieb",Nutzungsprofile!$G$6:$G$11)*Kalender!C126/SUM(Kalender!$C$5:$C$370),0)+IFERROR(SUMIF(Nutzungsprofile!$B$6:$B$11,"Halle",Nutzungsprofile!$G$6:$G$11)*Kalender!D126/SUM(Kalender!$D$5:$D$370),0)+IFERROR(SUMIF(Nutzungsprofile!$B$6:$B$11,"Individuell",Nutzungsprofile!$G$6:$G$11)*Kalender!E126/SUM(Kalender!$E$5:$E$370),0))*Szenarien!$E$21,0)</f>
        <v>2.448</v>
      </c>
      <c r="D3786" s="13" t="n">
        <f aca="false">IF(Szenarien!$H$21="OK",(IFERROR(SUMIF(Nutzungsprofile!$B$17:$B$22,"Schulbetrieb",Nutzungsprofile!$G$17:$G$22)*Kalender!C126/SUM(Kalender!$C$5:$C$370),0)+IFERROR(SUMIF(Nutzungsprofile!$B$17:$B$22,"Halle",Nutzungsprofile!$G$17:$G$22)*Kalender!D126/SUM(Kalender!$D$5:$D$370),0)+IFERROR(SUMIF(Nutzungsprofile!$B$17:$B$22,"Individuell",Nutzungsprofile!$G$17:$G$22)*Kalender!E126/SUM(Kalender!$E$5:$E$370),0))*Szenarien!$D$21,0)</f>
        <v>0.89</v>
      </c>
      <c r="E3786" s="13" t="n">
        <f aca="false">IFERROR(MIN(C3786,Eingaben!$B$17)*Eingaben!$B$16,0)</f>
        <v>2.3256</v>
      </c>
      <c r="F3786" s="13" t="n">
        <f aca="false">IFERROR(E3786*Eingaben!$B$15,0)</f>
        <v>2.09304</v>
      </c>
      <c r="G3786" s="13" t="n">
        <f aca="false">IFERROR(IF(Kalender!A126="",0,J3785*(1-Eingaben!$B$20)),0)</f>
        <v>0.88683336</v>
      </c>
      <c r="H3786" s="13" t="n">
        <f aca="false">MIN(G3786,D3786)</f>
        <v>0.88683336</v>
      </c>
      <c r="I3786" s="13" t="n">
        <f aca="false">IFERROR(MIN(F3786*Eingaben!$B$19,MAX(0,D3786-H3786)),0)</f>
        <v>0.00316664</v>
      </c>
      <c r="J3786" s="13" t="n">
        <f aca="false">IFERROR(MIN(Eingaben!$B$18,MAX(0,F3786-I3786)),0)</f>
        <v>2</v>
      </c>
      <c r="K3786" s="13" t="n">
        <f aca="false">H3786+I3786</f>
        <v>0.89</v>
      </c>
      <c r="L3786" s="13" t="n">
        <f aca="false">MAX(0,D3786-K3786)</f>
        <v>0</v>
      </c>
      <c r="M3786" s="13" t="n">
        <f aca="false">MAX(0,F3786-I3786-J3786)</f>
        <v>0.0898733599999999</v>
      </c>
      <c r="N3786" s="13" t="n">
        <f aca="false">IF(Kalender!A126="",0,J3785-H3786)</f>
        <v>0.0180986400000001</v>
      </c>
    </row>
    <row r="3787" customFormat="false" ht="16.4" hidden="false" customHeight="false" outlineLevel="0" collapsed="false">
      <c r="A3787" s="13" t="str">
        <f aca="false">""</f>
        <v/>
      </c>
      <c r="B3787" s="13" t="n">
        <f aca="false">123</f>
        <v>123</v>
      </c>
      <c r="C3787" s="13" t="n">
        <f aca="false">IF(Szenarien!$H$21="OK",(IFERROR(SUMIF(Nutzungsprofile!$B$6:$B$11,"Schulbetrieb",Nutzungsprofile!$G$6:$G$11)*Kalender!C127/SUM(Kalender!$C$5:$C$370),0)+IFERROR(SUMIF(Nutzungsprofile!$B$6:$B$11,"Halle",Nutzungsprofile!$G$6:$G$11)*Kalender!D127/SUM(Kalender!$D$5:$D$370),0)+IFERROR(SUMIF(Nutzungsprofile!$B$6:$B$11,"Individuell",Nutzungsprofile!$G$6:$G$11)*Kalender!E127/SUM(Kalender!$E$5:$E$370),0))*Szenarien!$E$21,0)</f>
        <v>2.448</v>
      </c>
      <c r="D3787" s="13" t="n">
        <f aca="false">IF(Szenarien!$H$21="OK",(IFERROR(SUMIF(Nutzungsprofile!$B$17:$B$22,"Schulbetrieb",Nutzungsprofile!$G$17:$G$22)*Kalender!C127/SUM(Kalender!$C$5:$C$370),0)+IFERROR(SUMIF(Nutzungsprofile!$B$17:$B$22,"Halle",Nutzungsprofile!$G$17:$G$22)*Kalender!D127/SUM(Kalender!$D$5:$D$370),0)+IFERROR(SUMIF(Nutzungsprofile!$B$17:$B$22,"Individuell",Nutzungsprofile!$G$17:$G$22)*Kalender!E127/SUM(Kalender!$E$5:$E$370),0))*Szenarien!$D$21,0)</f>
        <v>0.89</v>
      </c>
      <c r="E3787" s="13" t="n">
        <f aca="false">IFERROR(MIN(C3787,Eingaben!$B$17)*Eingaben!$B$16,0)</f>
        <v>2.3256</v>
      </c>
      <c r="F3787" s="13" t="n">
        <f aca="false">IFERROR(E3787*Eingaben!$B$15,0)</f>
        <v>2.09304</v>
      </c>
      <c r="G3787" s="13" t="n">
        <f aca="false">IFERROR(IF(Kalender!A127="",0,J3786*(1-Eingaben!$B$20)),0)</f>
        <v>1.96</v>
      </c>
      <c r="H3787" s="13" t="n">
        <f aca="false">MIN(G3787,D3787)</f>
        <v>0.89</v>
      </c>
      <c r="I3787" s="13" t="n">
        <f aca="false">IFERROR(MIN(F3787*Eingaben!$B$19,MAX(0,D3787-H3787)),0)</f>
        <v>0</v>
      </c>
      <c r="J3787" s="13" t="n">
        <f aca="false">IFERROR(MIN(Eingaben!$B$18,MAX(0,F3787-I3787)),0)</f>
        <v>2</v>
      </c>
      <c r="K3787" s="13" t="n">
        <f aca="false">H3787+I3787</f>
        <v>0.89</v>
      </c>
      <c r="L3787" s="13" t="n">
        <f aca="false">MAX(0,D3787-K3787)</f>
        <v>0</v>
      </c>
      <c r="M3787" s="13" t="n">
        <f aca="false">MAX(0,F3787-I3787-J3787)</f>
        <v>0.0930399999999998</v>
      </c>
      <c r="N3787" s="13" t="n">
        <f aca="false">IF(Kalender!A127="",0,J3786-H3787)</f>
        <v>1.11</v>
      </c>
    </row>
    <row r="3788" customFormat="false" ht="16.4" hidden="false" customHeight="false" outlineLevel="0" collapsed="false">
      <c r="A3788" s="13" t="str">
        <f aca="false">""</f>
        <v/>
      </c>
      <c r="B3788" s="13" t="n">
        <f aca="false">124</f>
        <v>124</v>
      </c>
      <c r="C3788" s="13" t="n">
        <f aca="false">IF(Szenarien!$H$21="OK",(IFERROR(SUMIF(Nutzungsprofile!$B$6:$B$11,"Schulbetrieb",Nutzungsprofile!$G$6:$G$11)*Kalender!C128/SUM(Kalender!$C$5:$C$370),0)+IFERROR(SUMIF(Nutzungsprofile!$B$6:$B$11,"Halle",Nutzungsprofile!$G$6:$G$11)*Kalender!D128/SUM(Kalender!$D$5:$D$370),0)+IFERROR(SUMIF(Nutzungsprofile!$B$6:$B$11,"Individuell",Nutzungsprofile!$G$6:$G$11)*Kalender!E128/SUM(Kalender!$E$5:$E$370),0))*Szenarien!$E$21,0)</f>
        <v>3.528</v>
      </c>
      <c r="D3788" s="13" t="n">
        <f aca="false">IF(Szenarien!$H$21="OK",(IFERROR(SUMIF(Nutzungsprofile!$B$17:$B$22,"Schulbetrieb",Nutzungsprofile!$G$17:$G$22)*Kalender!C128/SUM(Kalender!$C$5:$C$370),0)+IFERROR(SUMIF(Nutzungsprofile!$B$17:$B$22,"Halle",Nutzungsprofile!$G$17:$G$22)*Kalender!D128/SUM(Kalender!$D$5:$D$370),0)+IFERROR(SUMIF(Nutzungsprofile!$B$17:$B$22,"Individuell",Nutzungsprofile!$G$17:$G$22)*Kalender!E128/SUM(Kalender!$E$5:$E$370),0))*Szenarien!$D$21,0)</f>
        <v>4.94</v>
      </c>
      <c r="E3788" s="13" t="n">
        <f aca="false">IFERROR(MIN(C3788,Eingaben!$B$17)*Eingaben!$B$16,0)</f>
        <v>3.3516</v>
      </c>
      <c r="F3788" s="13" t="n">
        <f aca="false">IFERROR(E3788*Eingaben!$B$15,0)</f>
        <v>3.01644</v>
      </c>
      <c r="G3788" s="13" t="n">
        <f aca="false">IFERROR(IF(Kalender!A128="",0,J3787*(1-Eingaben!$B$20)),0)</f>
        <v>1.96</v>
      </c>
      <c r="H3788" s="13" t="n">
        <f aca="false">MIN(G3788,D3788)</f>
        <v>1.96</v>
      </c>
      <c r="I3788" s="13" t="n">
        <f aca="false">IFERROR(MIN(F3788*Eingaben!$B$19,MAX(0,D3788-H3788)),0)</f>
        <v>2.111508</v>
      </c>
      <c r="J3788" s="13" t="n">
        <f aca="false">IFERROR(MIN(Eingaben!$B$18,MAX(0,F3788-I3788)),0)</f>
        <v>0.904932</v>
      </c>
      <c r="K3788" s="13" t="n">
        <f aca="false">H3788+I3788</f>
        <v>4.071508</v>
      </c>
      <c r="L3788" s="13" t="n">
        <f aca="false">MAX(0,D3788-K3788)</f>
        <v>0.868492</v>
      </c>
      <c r="M3788" s="13" t="n">
        <f aca="false">MAX(0,F3788-I3788-J3788)</f>
        <v>0</v>
      </c>
      <c r="N3788" s="13" t="n">
        <f aca="false">IF(Kalender!A128="",0,J3787-H3788)</f>
        <v>0.04</v>
      </c>
    </row>
    <row r="3789" customFormat="false" ht="16.4" hidden="false" customHeight="false" outlineLevel="0" collapsed="false">
      <c r="A3789" s="13" t="str">
        <f aca="false">""</f>
        <v/>
      </c>
      <c r="B3789" s="13" t="n">
        <f aca="false">125</f>
        <v>125</v>
      </c>
      <c r="C3789" s="13" t="n">
        <f aca="false">IF(Szenarien!$H$21="OK",(IFERROR(SUMIF(Nutzungsprofile!$B$6:$B$11,"Schulbetrieb",Nutzungsprofile!$G$6:$G$11)*Kalender!C129/SUM(Kalender!$C$5:$C$370),0)+IFERROR(SUMIF(Nutzungsprofile!$B$6:$B$11,"Halle",Nutzungsprofile!$G$6:$G$11)*Kalender!D129/SUM(Kalender!$D$5:$D$370),0)+IFERROR(SUMIF(Nutzungsprofile!$B$6:$B$11,"Individuell",Nutzungsprofile!$G$6:$G$11)*Kalender!E129/SUM(Kalender!$E$5:$E$370),0))*Szenarien!$E$21,0)</f>
        <v>3.528</v>
      </c>
      <c r="D3789" s="13" t="n">
        <f aca="false">IF(Szenarien!$H$21="OK",(IFERROR(SUMIF(Nutzungsprofile!$B$17:$B$22,"Schulbetrieb",Nutzungsprofile!$G$17:$G$22)*Kalender!C129/SUM(Kalender!$C$5:$C$370),0)+IFERROR(SUMIF(Nutzungsprofile!$B$17:$B$22,"Halle",Nutzungsprofile!$G$17:$G$22)*Kalender!D129/SUM(Kalender!$D$5:$D$370),0)+IFERROR(SUMIF(Nutzungsprofile!$B$17:$B$22,"Individuell",Nutzungsprofile!$G$17:$G$22)*Kalender!E129/SUM(Kalender!$E$5:$E$370),0))*Szenarien!$D$21,0)</f>
        <v>4.94</v>
      </c>
      <c r="E3789" s="13" t="n">
        <f aca="false">IFERROR(MIN(C3789,Eingaben!$B$17)*Eingaben!$B$16,0)</f>
        <v>3.3516</v>
      </c>
      <c r="F3789" s="13" t="n">
        <f aca="false">IFERROR(E3789*Eingaben!$B$15,0)</f>
        <v>3.01644</v>
      </c>
      <c r="G3789" s="13" t="n">
        <f aca="false">IFERROR(IF(Kalender!A129="",0,J3788*(1-Eingaben!$B$20)),0)</f>
        <v>0.88683336</v>
      </c>
      <c r="H3789" s="13" t="n">
        <f aca="false">MIN(G3789,D3789)</f>
        <v>0.88683336</v>
      </c>
      <c r="I3789" s="13" t="n">
        <f aca="false">IFERROR(MIN(F3789*Eingaben!$B$19,MAX(0,D3789-H3789)),0)</f>
        <v>2.111508</v>
      </c>
      <c r="J3789" s="13" t="n">
        <f aca="false">IFERROR(MIN(Eingaben!$B$18,MAX(0,F3789-I3789)),0)</f>
        <v>0.904932</v>
      </c>
      <c r="K3789" s="13" t="n">
        <f aca="false">H3789+I3789</f>
        <v>2.99834136</v>
      </c>
      <c r="L3789" s="13" t="n">
        <f aca="false">MAX(0,D3789-K3789)</f>
        <v>1.94165864</v>
      </c>
      <c r="M3789" s="13" t="n">
        <f aca="false">MAX(0,F3789-I3789-J3789)</f>
        <v>0</v>
      </c>
      <c r="N3789" s="13" t="n">
        <f aca="false">IF(Kalender!A129="",0,J3788-H3789)</f>
        <v>0.0180986400000001</v>
      </c>
    </row>
    <row r="3790" customFormat="false" ht="16.4" hidden="false" customHeight="false" outlineLevel="0" collapsed="false">
      <c r="A3790" s="13" t="str">
        <f aca="false">""</f>
        <v/>
      </c>
      <c r="B3790" s="13" t="n">
        <f aca="false">126</f>
        <v>126</v>
      </c>
      <c r="C3790" s="13" t="n">
        <f aca="false">IF(Szenarien!$H$21="OK",(IFERROR(SUMIF(Nutzungsprofile!$B$6:$B$11,"Schulbetrieb",Nutzungsprofile!$G$6:$G$11)*Kalender!C130/SUM(Kalender!$C$5:$C$370),0)+IFERROR(SUMIF(Nutzungsprofile!$B$6:$B$11,"Halle",Nutzungsprofile!$G$6:$G$11)*Kalender!D130/SUM(Kalender!$D$5:$D$370),0)+IFERROR(SUMIF(Nutzungsprofile!$B$6:$B$11,"Individuell",Nutzungsprofile!$G$6:$G$11)*Kalender!E130/SUM(Kalender!$E$5:$E$370),0))*Szenarien!$E$21,0)</f>
        <v>3.528</v>
      </c>
      <c r="D3790" s="13" t="n">
        <f aca="false">IF(Szenarien!$H$21="OK",(IFERROR(SUMIF(Nutzungsprofile!$B$17:$B$22,"Schulbetrieb",Nutzungsprofile!$G$17:$G$22)*Kalender!C130/SUM(Kalender!$C$5:$C$370),0)+IFERROR(SUMIF(Nutzungsprofile!$B$17:$B$22,"Halle",Nutzungsprofile!$G$17:$G$22)*Kalender!D130/SUM(Kalender!$D$5:$D$370),0)+IFERROR(SUMIF(Nutzungsprofile!$B$17:$B$22,"Individuell",Nutzungsprofile!$G$17:$G$22)*Kalender!E130/SUM(Kalender!$E$5:$E$370),0))*Szenarien!$D$21,0)</f>
        <v>4.94</v>
      </c>
      <c r="E3790" s="13" t="n">
        <f aca="false">IFERROR(MIN(C3790,Eingaben!$B$17)*Eingaben!$B$16,0)</f>
        <v>3.3516</v>
      </c>
      <c r="F3790" s="13" t="n">
        <f aca="false">IFERROR(E3790*Eingaben!$B$15,0)</f>
        <v>3.01644</v>
      </c>
      <c r="G3790" s="13" t="n">
        <f aca="false">IFERROR(IF(Kalender!A130="",0,J3789*(1-Eingaben!$B$20)),0)</f>
        <v>0.88683336</v>
      </c>
      <c r="H3790" s="13" t="n">
        <f aca="false">MIN(G3790,D3790)</f>
        <v>0.88683336</v>
      </c>
      <c r="I3790" s="13" t="n">
        <f aca="false">IFERROR(MIN(F3790*Eingaben!$B$19,MAX(0,D3790-H3790)),0)</f>
        <v>2.111508</v>
      </c>
      <c r="J3790" s="13" t="n">
        <f aca="false">IFERROR(MIN(Eingaben!$B$18,MAX(0,F3790-I3790)),0)</f>
        <v>0.904932</v>
      </c>
      <c r="K3790" s="13" t="n">
        <f aca="false">H3790+I3790</f>
        <v>2.99834136</v>
      </c>
      <c r="L3790" s="13" t="n">
        <f aca="false">MAX(0,D3790-K3790)</f>
        <v>1.94165864</v>
      </c>
      <c r="M3790" s="13" t="n">
        <f aca="false">MAX(0,F3790-I3790-J3790)</f>
        <v>0</v>
      </c>
      <c r="N3790" s="13" t="n">
        <f aca="false">IF(Kalender!A130="",0,J3789-H3790)</f>
        <v>0.0180986400000001</v>
      </c>
    </row>
    <row r="3791" customFormat="false" ht="16.4" hidden="false" customHeight="false" outlineLevel="0" collapsed="false">
      <c r="A3791" s="13" t="str">
        <f aca="false">""</f>
        <v/>
      </c>
      <c r="B3791" s="13" t="n">
        <f aca="false">127</f>
        <v>127</v>
      </c>
      <c r="C3791" s="13" t="n">
        <f aca="false">IF(Szenarien!$H$21="OK",(IFERROR(SUMIF(Nutzungsprofile!$B$6:$B$11,"Schulbetrieb",Nutzungsprofile!$G$6:$G$11)*Kalender!C131/SUM(Kalender!$C$5:$C$370),0)+IFERROR(SUMIF(Nutzungsprofile!$B$6:$B$11,"Halle",Nutzungsprofile!$G$6:$G$11)*Kalender!D131/SUM(Kalender!$D$5:$D$370),0)+IFERROR(SUMIF(Nutzungsprofile!$B$6:$B$11,"Individuell",Nutzungsprofile!$G$6:$G$11)*Kalender!E131/SUM(Kalender!$E$5:$E$370),0))*Szenarien!$E$21,0)</f>
        <v>3.528</v>
      </c>
      <c r="D3791" s="13" t="n">
        <f aca="false">IF(Szenarien!$H$21="OK",(IFERROR(SUMIF(Nutzungsprofile!$B$17:$B$22,"Schulbetrieb",Nutzungsprofile!$G$17:$G$22)*Kalender!C131/SUM(Kalender!$C$5:$C$370),0)+IFERROR(SUMIF(Nutzungsprofile!$B$17:$B$22,"Halle",Nutzungsprofile!$G$17:$G$22)*Kalender!D131/SUM(Kalender!$D$5:$D$370),0)+IFERROR(SUMIF(Nutzungsprofile!$B$17:$B$22,"Individuell",Nutzungsprofile!$G$17:$G$22)*Kalender!E131/SUM(Kalender!$E$5:$E$370),0))*Szenarien!$D$21,0)</f>
        <v>4.94</v>
      </c>
      <c r="E3791" s="13" t="n">
        <f aca="false">IFERROR(MIN(C3791,Eingaben!$B$17)*Eingaben!$B$16,0)</f>
        <v>3.3516</v>
      </c>
      <c r="F3791" s="13" t="n">
        <f aca="false">IFERROR(E3791*Eingaben!$B$15,0)</f>
        <v>3.01644</v>
      </c>
      <c r="G3791" s="13" t="n">
        <f aca="false">IFERROR(IF(Kalender!A131="",0,J3790*(1-Eingaben!$B$20)),0)</f>
        <v>0.88683336</v>
      </c>
      <c r="H3791" s="13" t="n">
        <f aca="false">MIN(G3791,D3791)</f>
        <v>0.88683336</v>
      </c>
      <c r="I3791" s="13" t="n">
        <f aca="false">IFERROR(MIN(F3791*Eingaben!$B$19,MAX(0,D3791-H3791)),0)</f>
        <v>2.111508</v>
      </c>
      <c r="J3791" s="13" t="n">
        <f aca="false">IFERROR(MIN(Eingaben!$B$18,MAX(0,F3791-I3791)),0)</f>
        <v>0.904932</v>
      </c>
      <c r="K3791" s="13" t="n">
        <f aca="false">H3791+I3791</f>
        <v>2.99834136</v>
      </c>
      <c r="L3791" s="13" t="n">
        <f aca="false">MAX(0,D3791-K3791)</f>
        <v>1.94165864</v>
      </c>
      <c r="M3791" s="13" t="n">
        <f aca="false">MAX(0,F3791-I3791-J3791)</f>
        <v>0</v>
      </c>
      <c r="N3791" s="13" t="n">
        <f aca="false">IF(Kalender!A131="",0,J3790-H3791)</f>
        <v>0.0180986400000001</v>
      </c>
    </row>
    <row r="3792" customFormat="false" ht="16.4" hidden="false" customHeight="false" outlineLevel="0" collapsed="false">
      <c r="A3792" s="13" t="str">
        <f aca="false">""</f>
        <v/>
      </c>
      <c r="B3792" s="13" t="n">
        <f aca="false">128</f>
        <v>128</v>
      </c>
      <c r="C3792" s="13" t="n">
        <f aca="false">IF(Szenarien!$H$21="OK",(IFERROR(SUMIF(Nutzungsprofile!$B$6:$B$11,"Schulbetrieb",Nutzungsprofile!$G$6:$G$11)*Kalender!C132/SUM(Kalender!$C$5:$C$370),0)+IFERROR(SUMIF(Nutzungsprofile!$B$6:$B$11,"Halle",Nutzungsprofile!$G$6:$G$11)*Kalender!D132/SUM(Kalender!$D$5:$D$370),0)+IFERROR(SUMIF(Nutzungsprofile!$B$6:$B$11,"Individuell",Nutzungsprofile!$G$6:$G$11)*Kalender!E132/SUM(Kalender!$E$5:$E$370),0))*Szenarien!$E$21,0)</f>
        <v>3.528</v>
      </c>
      <c r="D3792" s="13" t="n">
        <f aca="false">IF(Szenarien!$H$21="OK",(IFERROR(SUMIF(Nutzungsprofile!$B$17:$B$22,"Schulbetrieb",Nutzungsprofile!$G$17:$G$22)*Kalender!C132/SUM(Kalender!$C$5:$C$370),0)+IFERROR(SUMIF(Nutzungsprofile!$B$17:$B$22,"Halle",Nutzungsprofile!$G$17:$G$22)*Kalender!D132/SUM(Kalender!$D$5:$D$370),0)+IFERROR(SUMIF(Nutzungsprofile!$B$17:$B$22,"Individuell",Nutzungsprofile!$G$17:$G$22)*Kalender!E132/SUM(Kalender!$E$5:$E$370),0))*Szenarien!$D$21,0)</f>
        <v>4.94</v>
      </c>
      <c r="E3792" s="13" t="n">
        <f aca="false">IFERROR(MIN(C3792,Eingaben!$B$17)*Eingaben!$B$16,0)</f>
        <v>3.3516</v>
      </c>
      <c r="F3792" s="13" t="n">
        <f aca="false">IFERROR(E3792*Eingaben!$B$15,0)</f>
        <v>3.01644</v>
      </c>
      <c r="G3792" s="13" t="n">
        <f aca="false">IFERROR(IF(Kalender!A132="",0,J3791*(1-Eingaben!$B$20)),0)</f>
        <v>0.88683336</v>
      </c>
      <c r="H3792" s="13" t="n">
        <f aca="false">MIN(G3792,D3792)</f>
        <v>0.88683336</v>
      </c>
      <c r="I3792" s="13" t="n">
        <f aca="false">IFERROR(MIN(F3792*Eingaben!$B$19,MAX(0,D3792-H3792)),0)</f>
        <v>2.111508</v>
      </c>
      <c r="J3792" s="13" t="n">
        <f aca="false">IFERROR(MIN(Eingaben!$B$18,MAX(0,F3792-I3792)),0)</f>
        <v>0.904932</v>
      </c>
      <c r="K3792" s="13" t="n">
        <f aca="false">H3792+I3792</f>
        <v>2.99834136</v>
      </c>
      <c r="L3792" s="13" t="n">
        <f aca="false">MAX(0,D3792-K3792)</f>
        <v>1.94165864</v>
      </c>
      <c r="M3792" s="13" t="n">
        <f aca="false">MAX(0,F3792-I3792-J3792)</f>
        <v>0</v>
      </c>
      <c r="N3792" s="13" t="n">
        <f aca="false">IF(Kalender!A132="",0,J3791-H3792)</f>
        <v>0.0180986400000001</v>
      </c>
    </row>
    <row r="3793" customFormat="false" ht="16.4" hidden="false" customHeight="false" outlineLevel="0" collapsed="false">
      <c r="A3793" s="13" t="str">
        <f aca="false">""</f>
        <v/>
      </c>
      <c r="B3793" s="13" t="n">
        <f aca="false">129</f>
        <v>129</v>
      </c>
      <c r="C3793" s="13" t="n">
        <f aca="false">IF(Szenarien!$H$21="OK",(IFERROR(SUMIF(Nutzungsprofile!$B$6:$B$11,"Schulbetrieb",Nutzungsprofile!$G$6:$G$11)*Kalender!C133/SUM(Kalender!$C$5:$C$370),0)+IFERROR(SUMIF(Nutzungsprofile!$B$6:$B$11,"Halle",Nutzungsprofile!$G$6:$G$11)*Kalender!D133/SUM(Kalender!$D$5:$D$370),0)+IFERROR(SUMIF(Nutzungsprofile!$B$6:$B$11,"Individuell",Nutzungsprofile!$G$6:$G$11)*Kalender!E133/SUM(Kalender!$E$5:$E$370),0))*Szenarien!$E$21,0)</f>
        <v>2.448</v>
      </c>
      <c r="D3793" s="13" t="n">
        <f aca="false">IF(Szenarien!$H$21="OK",(IFERROR(SUMIF(Nutzungsprofile!$B$17:$B$22,"Schulbetrieb",Nutzungsprofile!$G$17:$G$22)*Kalender!C133/SUM(Kalender!$C$5:$C$370),0)+IFERROR(SUMIF(Nutzungsprofile!$B$17:$B$22,"Halle",Nutzungsprofile!$G$17:$G$22)*Kalender!D133/SUM(Kalender!$D$5:$D$370),0)+IFERROR(SUMIF(Nutzungsprofile!$B$17:$B$22,"Individuell",Nutzungsprofile!$G$17:$G$22)*Kalender!E133/SUM(Kalender!$E$5:$E$370),0))*Szenarien!$D$21,0)</f>
        <v>0.89</v>
      </c>
      <c r="E3793" s="13" t="n">
        <f aca="false">IFERROR(MIN(C3793,Eingaben!$B$17)*Eingaben!$B$16,0)</f>
        <v>2.3256</v>
      </c>
      <c r="F3793" s="13" t="n">
        <f aca="false">IFERROR(E3793*Eingaben!$B$15,0)</f>
        <v>2.09304</v>
      </c>
      <c r="G3793" s="13" t="n">
        <f aca="false">IFERROR(IF(Kalender!A133="",0,J3792*(1-Eingaben!$B$20)),0)</f>
        <v>0.88683336</v>
      </c>
      <c r="H3793" s="13" t="n">
        <f aca="false">MIN(G3793,D3793)</f>
        <v>0.88683336</v>
      </c>
      <c r="I3793" s="13" t="n">
        <f aca="false">IFERROR(MIN(F3793*Eingaben!$B$19,MAX(0,D3793-H3793)),0)</f>
        <v>0.00316664</v>
      </c>
      <c r="J3793" s="13" t="n">
        <f aca="false">IFERROR(MIN(Eingaben!$B$18,MAX(0,F3793-I3793)),0)</f>
        <v>2</v>
      </c>
      <c r="K3793" s="13" t="n">
        <f aca="false">H3793+I3793</f>
        <v>0.89</v>
      </c>
      <c r="L3793" s="13" t="n">
        <f aca="false">MAX(0,D3793-K3793)</f>
        <v>0</v>
      </c>
      <c r="M3793" s="13" t="n">
        <f aca="false">MAX(0,F3793-I3793-J3793)</f>
        <v>0.0898733599999999</v>
      </c>
      <c r="N3793" s="13" t="n">
        <f aca="false">IF(Kalender!A133="",0,J3792-H3793)</f>
        <v>0.0180986400000001</v>
      </c>
    </row>
    <row r="3794" customFormat="false" ht="16.4" hidden="false" customHeight="false" outlineLevel="0" collapsed="false">
      <c r="A3794" s="13" t="str">
        <f aca="false">""</f>
        <v/>
      </c>
      <c r="B3794" s="13" t="n">
        <f aca="false">130</f>
        <v>130</v>
      </c>
      <c r="C3794" s="13" t="n">
        <f aca="false">IF(Szenarien!$H$21="OK",(IFERROR(SUMIF(Nutzungsprofile!$B$6:$B$11,"Schulbetrieb",Nutzungsprofile!$G$6:$G$11)*Kalender!C134/SUM(Kalender!$C$5:$C$370),0)+IFERROR(SUMIF(Nutzungsprofile!$B$6:$B$11,"Halle",Nutzungsprofile!$G$6:$G$11)*Kalender!D134/SUM(Kalender!$D$5:$D$370),0)+IFERROR(SUMIF(Nutzungsprofile!$B$6:$B$11,"Individuell",Nutzungsprofile!$G$6:$G$11)*Kalender!E134/SUM(Kalender!$E$5:$E$370),0))*Szenarien!$E$21,0)</f>
        <v>2.448</v>
      </c>
      <c r="D3794" s="13" t="n">
        <f aca="false">IF(Szenarien!$H$21="OK",(IFERROR(SUMIF(Nutzungsprofile!$B$17:$B$22,"Schulbetrieb",Nutzungsprofile!$G$17:$G$22)*Kalender!C134/SUM(Kalender!$C$5:$C$370),0)+IFERROR(SUMIF(Nutzungsprofile!$B$17:$B$22,"Halle",Nutzungsprofile!$G$17:$G$22)*Kalender!D134/SUM(Kalender!$D$5:$D$370),0)+IFERROR(SUMIF(Nutzungsprofile!$B$17:$B$22,"Individuell",Nutzungsprofile!$G$17:$G$22)*Kalender!E134/SUM(Kalender!$E$5:$E$370),0))*Szenarien!$D$21,0)</f>
        <v>0.89</v>
      </c>
      <c r="E3794" s="13" t="n">
        <f aca="false">IFERROR(MIN(C3794,Eingaben!$B$17)*Eingaben!$B$16,0)</f>
        <v>2.3256</v>
      </c>
      <c r="F3794" s="13" t="n">
        <f aca="false">IFERROR(E3794*Eingaben!$B$15,0)</f>
        <v>2.09304</v>
      </c>
      <c r="G3794" s="13" t="n">
        <f aca="false">IFERROR(IF(Kalender!A134="",0,J3793*(1-Eingaben!$B$20)),0)</f>
        <v>1.96</v>
      </c>
      <c r="H3794" s="13" t="n">
        <f aca="false">MIN(G3794,D3794)</f>
        <v>0.89</v>
      </c>
      <c r="I3794" s="13" t="n">
        <f aca="false">IFERROR(MIN(F3794*Eingaben!$B$19,MAX(0,D3794-H3794)),0)</f>
        <v>0</v>
      </c>
      <c r="J3794" s="13" t="n">
        <f aca="false">IFERROR(MIN(Eingaben!$B$18,MAX(0,F3794-I3794)),0)</f>
        <v>2</v>
      </c>
      <c r="K3794" s="13" t="n">
        <f aca="false">H3794+I3794</f>
        <v>0.89</v>
      </c>
      <c r="L3794" s="13" t="n">
        <f aca="false">MAX(0,D3794-K3794)</f>
        <v>0</v>
      </c>
      <c r="M3794" s="13" t="n">
        <f aca="false">MAX(0,F3794-I3794-J3794)</f>
        <v>0.0930399999999998</v>
      </c>
      <c r="N3794" s="13" t="n">
        <f aca="false">IF(Kalender!A134="",0,J3793-H3794)</f>
        <v>1.11</v>
      </c>
    </row>
    <row r="3795" customFormat="false" ht="16.4" hidden="false" customHeight="false" outlineLevel="0" collapsed="false">
      <c r="A3795" s="13" t="str">
        <f aca="false">""</f>
        <v/>
      </c>
      <c r="B3795" s="13" t="n">
        <f aca="false">131</f>
        <v>131</v>
      </c>
      <c r="C3795" s="13" t="n">
        <f aca="false">IF(Szenarien!$H$21="OK",(IFERROR(SUMIF(Nutzungsprofile!$B$6:$B$11,"Schulbetrieb",Nutzungsprofile!$G$6:$G$11)*Kalender!C135/SUM(Kalender!$C$5:$C$370),0)+IFERROR(SUMIF(Nutzungsprofile!$B$6:$B$11,"Halle",Nutzungsprofile!$G$6:$G$11)*Kalender!D135/SUM(Kalender!$D$5:$D$370),0)+IFERROR(SUMIF(Nutzungsprofile!$B$6:$B$11,"Individuell",Nutzungsprofile!$G$6:$G$11)*Kalender!E135/SUM(Kalender!$E$5:$E$370),0))*Szenarien!$E$21,0)</f>
        <v>3.528</v>
      </c>
      <c r="D3795" s="13" t="n">
        <f aca="false">IF(Szenarien!$H$21="OK",(IFERROR(SUMIF(Nutzungsprofile!$B$17:$B$22,"Schulbetrieb",Nutzungsprofile!$G$17:$G$22)*Kalender!C135/SUM(Kalender!$C$5:$C$370),0)+IFERROR(SUMIF(Nutzungsprofile!$B$17:$B$22,"Halle",Nutzungsprofile!$G$17:$G$22)*Kalender!D135/SUM(Kalender!$D$5:$D$370),0)+IFERROR(SUMIF(Nutzungsprofile!$B$17:$B$22,"Individuell",Nutzungsprofile!$G$17:$G$22)*Kalender!E135/SUM(Kalender!$E$5:$E$370),0))*Szenarien!$D$21,0)</f>
        <v>4.94</v>
      </c>
      <c r="E3795" s="13" t="n">
        <f aca="false">IFERROR(MIN(C3795,Eingaben!$B$17)*Eingaben!$B$16,0)</f>
        <v>3.3516</v>
      </c>
      <c r="F3795" s="13" t="n">
        <f aca="false">IFERROR(E3795*Eingaben!$B$15,0)</f>
        <v>3.01644</v>
      </c>
      <c r="G3795" s="13" t="n">
        <f aca="false">IFERROR(IF(Kalender!A135="",0,J3794*(1-Eingaben!$B$20)),0)</f>
        <v>1.96</v>
      </c>
      <c r="H3795" s="13" t="n">
        <f aca="false">MIN(G3795,D3795)</f>
        <v>1.96</v>
      </c>
      <c r="I3795" s="13" t="n">
        <f aca="false">IFERROR(MIN(F3795*Eingaben!$B$19,MAX(0,D3795-H3795)),0)</f>
        <v>2.111508</v>
      </c>
      <c r="J3795" s="13" t="n">
        <f aca="false">IFERROR(MIN(Eingaben!$B$18,MAX(0,F3795-I3795)),0)</f>
        <v>0.904932</v>
      </c>
      <c r="K3795" s="13" t="n">
        <f aca="false">H3795+I3795</f>
        <v>4.071508</v>
      </c>
      <c r="L3795" s="13" t="n">
        <f aca="false">MAX(0,D3795-K3795)</f>
        <v>0.868492</v>
      </c>
      <c r="M3795" s="13" t="n">
        <f aca="false">MAX(0,F3795-I3795-J3795)</f>
        <v>0</v>
      </c>
      <c r="N3795" s="13" t="n">
        <f aca="false">IF(Kalender!A135="",0,J3794-H3795)</f>
        <v>0.04</v>
      </c>
    </row>
    <row r="3796" customFormat="false" ht="16.4" hidden="false" customHeight="false" outlineLevel="0" collapsed="false">
      <c r="A3796" s="13" t="str">
        <f aca="false">""</f>
        <v/>
      </c>
      <c r="B3796" s="13" t="n">
        <f aca="false">132</f>
        <v>132</v>
      </c>
      <c r="C3796" s="13" t="n">
        <f aca="false">IF(Szenarien!$H$21="OK",(IFERROR(SUMIF(Nutzungsprofile!$B$6:$B$11,"Schulbetrieb",Nutzungsprofile!$G$6:$G$11)*Kalender!C136/SUM(Kalender!$C$5:$C$370),0)+IFERROR(SUMIF(Nutzungsprofile!$B$6:$B$11,"Halle",Nutzungsprofile!$G$6:$G$11)*Kalender!D136/SUM(Kalender!$D$5:$D$370),0)+IFERROR(SUMIF(Nutzungsprofile!$B$6:$B$11,"Individuell",Nutzungsprofile!$G$6:$G$11)*Kalender!E136/SUM(Kalender!$E$5:$E$370),0))*Szenarien!$E$21,0)</f>
        <v>3.528</v>
      </c>
      <c r="D3796" s="13" t="n">
        <f aca="false">IF(Szenarien!$H$21="OK",(IFERROR(SUMIF(Nutzungsprofile!$B$17:$B$22,"Schulbetrieb",Nutzungsprofile!$G$17:$G$22)*Kalender!C136/SUM(Kalender!$C$5:$C$370),0)+IFERROR(SUMIF(Nutzungsprofile!$B$17:$B$22,"Halle",Nutzungsprofile!$G$17:$G$22)*Kalender!D136/SUM(Kalender!$D$5:$D$370),0)+IFERROR(SUMIF(Nutzungsprofile!$B$17:$B$22,"Individuell",Nutzungsprofile!$G$17:$G$22)*Kalender!E136/SUM(Kalender!$E$5:$E$370),0))*Szenarien!$D$21,0)</f>
        <v>4.94</v>
      </c>
      <c r="E3796" s="13" t="n">
        <f aca="false">IFERROR(MIN(C3796,Eingaben!$B$17)*Eingaben!$B$16,0)</f>
        <v>3.3516</v>
      </c>
      <c r="F3796" s="13" t="n">
        <f aca="false">IFERROR(E3796*Eingaben!$B$15,0)</f>
        <v>3.01644</v>
      </c>
      <c r="G3796" s="13" t="n">
        <f aca="false">IFERROR(IF(Kalender!A136="",0,J3795*(1-Eingaben!$B$20)),0)</f>
        <v>0.88683336</v>
      </c>
      <c r="H3796" s="13" t="n">
        <f aca="false">MIN(G3796,D3796)</f>
        <v>0.88683336</v>
      </c>
      <c r="I3796" s="13" t="n">
        <f aca="false">IFERROR(MIN(F3796*Eingaben!$B$19,MAX(0,D3796-H3796)),0)</f>
        <v>2.111508</v>
      </c>
      <c r="J3796" s="13" t="n">
        <f aca="false">IFERROR(MIN(Eingaben!$B$18,MAX(0,F3796-I3796)),0)</f>
        <v>0.904932</v>
      </c>
      <c r="K3796" s="13" t="n">
        <f aca="false">H3796+I3796</f>
        <v>2.99834136</v>
      </c>
      <c r="L3796" s="13" t="n">
        <f aca="false">MAX(0,D3796-K3796)</f>
        <v>1.94165864</v>
      </c>
      <c r="M3796" s="13" t="n">
        <f aca="false">MAX(0,F3796-I3796-J3796)</f>
        <v>0</v>
      </c>
      <c r="N3796" s="13" t="n">
        <f aca="false">IF(Kalender!A136="",0,J3795-H3796)</f>
        <v>0.0180986400000001</v>
      </c>
    </row>
    <row r="3797" customFormat="false" ht="16.4" hidden="false" customHeight="false" outlineLevel="0" collapsed="false">
      <c r="A3797" s="13" t="str">
        <f aca="false">""</f>
        <v/>
      </c>
      <c r="B3797" s="13" t="n">
        <f aca="false">133</f>
        <v>133</v>
      </c>
      <c r="C3797" s="13" t="n">
        <f aca="false">IF(Szenarien!$H$21="OK",(IFERROR(SUMIF(Nutzungsprofile!$B$6:$B$11,"Schulbetrieb",Nutzungsprofile!$G$6:$G$11)*Kalender!C137/SUM(Kalender!$C$5:$C$370),0)+IFERROR(SUMIF(Nutzungsprofile!$B$6:$B$11,"Halle",Nutzungsprofile!$G$6:$G$11)*Kalender!D137/SUM(Kalender!$D$5:$D$370),0)+IFERROR(SUMIF(Nutzungsprofile!$B$6:$B$11,"Individuell",Nutzungsprofile!$G$6:$G$11)*Kalender!E137/SUM(Kalender!$E$5:$E$370),0))*Szenarien!$E$21,0)</f>
        <v>3.528</v>
      </c>
      <c r="D3797" s="13" t="n">
        <f aca="false">IF(Szenarien!$H$21="OK",(IFERROR(SUMIF(Nutzungsprofile!$B$17:$B$22,"Schulbetrieb",Nutzungsprofile!$G$17:$G$22)*Kalender!C137/SUM(Kalender!$C$5:$C$370),0)+IFERROR(SUMIF(Nutzungsprofile!$B$17:$B$22,"Halle",Nutzungsprofile!$G$17:$G$22)*Kalender!D137/SUM(Kalender!$D$5:$D$370),0)+IFERROR(SUMIF(Nutzungsprofile!$B$17:$B$22,"Individuell",Nutzungsprofile!$G$17:$G$22)*Kalender!E137/SUM(Kalender!$E$5:$E$370),0))*Szenarien!$D$21,0)</f>
        <v>4.94</v>
      </c>
      <c r="E3797" s="13" t="n">
        <f aca="false">IFERROR(MIN(C3797,Eingaben!$B$17)*Eingaben!$B$16,0)</f>
        <v>3.3516</v>
      </c>
      <c r="F3797" s="13" t="n">
        <f aca="false">IFERROR(E3797*Eingaben!$B$15,0)</f>
        <v>3.01644</v>
      </c>
      <c r="G3797" s="13" t="n">
        <f aca="false">IFERROR(IF(Kalender!A137="",0,J3796*(1-Eingaben!$B$20)),0)</f>
        <v>0.88683336</v>
      </c>
      <c r="H3797" s="13" t="n">
        <f aca="false">MIN(G3797,D3797)</f>
        <v>0.88683336</v>
      </c>
      <c r="I3797" s="13" t="n">
        <f aca="false">IFERROR(MIN(F3797*Eingaben!$B$19,MAX(0,D3797-H3797)),0)</f>
        <v>2.111508</v>
      </c>
      <c r="J3797" s="13" t="n">
        <f aca="false">IFERROR(MIN(Eingaben!$B$18,MAX(0,F3797-I3797)),0)</f>
        <v>0.904932</v>
      </c>
      <c r="K3797" s="13" t="n">
        <f aca="false">H3797+I3797</f>
        <v>2.99834136</v>
      </c>
      <c r="L3797" s="13" t="n">
        <f aca="false">MAX(0,D3797-K3797)</f>
        <v>1.94165864</v>
      </c>
      <c r="M3797" s="13" t="n">
        <f aca="false">MAX(0,F3797-I3797-J3797)</f>
        <v>0</v>
      </c>
      <c r="N3797" s="13" t="n">
        <f aca="false">IF(Kalender!A137="",0,J3796-H3797)</f>
        <v>0.0180986400000001</v>
      </c>
    </row>
    <row r="3798" customFormat="false" ht="16.4" hidden="false" customHeight="false" outlineLevel="0" collapsed="false">
      <c r="A3798" s="13" t="str">
        <f aca="false">""</f>
        <v/>
      </c>
      <c r="B3798" s="13" t="n">
        <f aca="false">134</f>
        <v>134</v>
      </c>
      <c r="C3798" s="13" t="n">
        <f aca="false">IF(Szenarien!$H$21="OK",(IFERROR(SUMIF(Nutzungsprofile!$B$6:$B$11,"Schulbetrieb",Nutzungsprofile!$G$6:$G$11)*Kalender!C138/SUM(Kalender!$C$5:$C$370),0)+IFERROR(SUMIF(Nutzungsprofile!$B$6:$B$11,"Halle",Nutzungsprofile!$G$6:$G$11)*Kalender!D138/SUM(Kalender!$D$5:$D$370),0)+IFERROR(SUMIF(Nutzungsprofile!$B$6:$B$11,"Individuell",Nutzungsprofile!$G$6:$G$11)*Kalender!E138/SUM(Kalender!$E$5:$E$370),0))*Szenarien!$E$21,0)</f>
        <v>3.528</v>
      </c>
      <c r="D3798" s="13" t="n">
        <f aca="false">IF(Szenarien!$H$21="OK",(IFERROR(SUMIF(Nutzungsprofile!$B$17:$B$22,"Schulbetrieb",Nutzungsprofile!$G$17:$G$22)*Kalender!C138/SUM(Kalender!$C$5:$C$370),0)+IFERROR(SUMIF(Nutzungsprofile!$B$17:$B$22,"Halle",Nutzungsprofile!$G$17:$G$22)*Kalender!D138/SUM(Kalender!$D$5:$D$370),0)+IFERROR(SUMIF(Nutzungsprofile!$B$17:$B$22,"Individuell",Nutzungsprofile!$G$17:$G$22)*Kalender!E138/SUM(Kalender!$E$5:$E$370),0))*Szenarien!$D$21,0)</f>
        <v>4.94</v>
      </c>
      <c r="E3798" s="13" t="n">
        <f aca="false">IFERROR(MIN(C3798,Eingaben!$B$17)*Eingaben!$B$16,0)</f>
        <v>3.3516</v>
      </c>
      <c r="F3798" s="13" t="n">
        <f aca="false">IFERROR(E3798*Eingaben!$B$15,0)</f>
        <v>3.01644</v>
      </c>
      <c r="G3798" s="13" t="n">
        <f aca="false">IFERROR(IF(Kalender!A138="",0,J3797*(1-Eingaben!$B$20)),0)</f>
        <v>0.88683336</v>
      </c>
      <c r="H3798" s="13" t="n">
        <f aca="false">MIN(G3798,D3798)</f>
        <v>0.88683336</v>
      </c>
      <c r="I3798" s="13" t="n">
        <f aca="false">IFERROR(MIN(F3798*Eingaben!$B$19,MAX(0,D3798-H3798)),0)</f>
        <v>2.111508</v>
      </c>
      <c r="J3798" s="13" t="n">
        <f aca="false">IFERROR(MIN(Eingaben!$B$18,MAX(0,F3798-I3798)),0)</f>
        <v>0.904932</v>
      </c>
      <c r="K3798" s="13" t="n">
        <f aca="false">H3798+I3798</f>
        <v>2.99834136</v>
      </c>
      <c r="L3798" s="13" t="n">
        <f aca="false">MAX(0,D3798-K3798)</f>
        <v>1.94165864</v>
      </c>
      <c r="M3798" s="13" t="n">
        <f aca="false">MAX(0,F3798-I3798-J3798)</f>
        <v>0</v>
      </c>
      <c r="N3798" s="13" t="n">
        <f aca="false">IF(Kalender!A138="",0,J3797-H3798)</f>
        <v>0.0180986400000001</v>
      </c>
    </row>
    <row r="3799" customFormat="false" ht="16.4" hidden="false" customHeight="false" outlineLevel="0" collapsed="false">
      <c r="A3799" s="13" t="str">
        <f aca="false">""</f>
        <v/>
      </c>
      <c r="B3799" s="13" t="n">
        <f aca="false">135</f>
        <v>135</v>
      </c>
      <c r="C3799" s="13" t="n">
        <f aca="false">IF(Szenarien!$H$21="OK",(IFERROR(SUMIF(Nutzungsprofile!$B$6:$B$11,"Schulbetrieb",Nutzungsprofile!$G$6:$G$11)*Kalender!C139/SUM(Kalender!$C$5:$C$370),0)+IFERROR(SUMIF(Nutzungsprofile!$B$6:$B$11,"Halle",Nutzungsprofile!$G$6:$G$11)*Kalender!D139/SUM(Kalender!$D$5:$D$370),0)+IFERROR(SUMIF(Nutzungsprofile!$B$6:$B$11,"Individuell",Nutzungsprofile!$G$6:$G$11)*Kalender!E139/SUM(Kalender!$E$5:$E$370),0))*Szenarien!$E$21,0)</f>
        <v>3.528</v>
      </c>
      <c r="D3799" s="13" t="n">
        <f aca="false">IF(Szenarien!$H$21="OK",(IFERROR(SUMIF(Nutzungsprofile!$B$17:$B$22,"Schulbetrieb",Nutzungsprofile!$G$17:$G$22)*Kalender!C139/SUM(Kalender!$C$5:$C$370),0)+IFERROR(SUMIF(Nutzungsprofile!$B$17:$B$22,"Halle",Nutzungsprofile!$G$17:$G$22)*Kalender!D139/SUM(Kalender!$D$5:$D$370),0)+IFERROR(SUMIF(Nutzungsprofile!$B$17:$B$22,"Individuell",Nutzungsprofile!$G$17:$G$22)*Kalender!E139/SUM(Kalender!$E$5:$E$370),0))*Szenarien!$D$21,0)</f>
        <v>4.94</v>
      </c>
      <c r="E3799" s="13" t="n">
        <f aca="false">IFERROR(MIN(C3799,Eingaben!$B$17)*Eingaben!$B$16,0)</f>
        <v>3.3516</v>
      </c>
      <c r="F3799" s="13" t="n">
        <f aca="false">IFERROR(E3799*Eingaben!$B$15,0)</f>
        <v>3.01644</v>
      </c>
      <c r="G3799" s="13" t="n">
        <f aca="false">IFERROR(IF(Kalender!A139="",0,J3798*(1-Eingaben!$B$20)),0)</f>
        <v>0.88683336</v>
      </c>
      <c r="H3799" s="13" t="n">
        <f aca="false">MIN(G3799,D3799)</f>
        <v>0.88683336</v>
      </c>
      <c r="I3799" s="13" t="n">
        <f aca="false">IFERROR(MIN(F3799*Eingaben!$B$19,MAX(0,D3799-H3799)),0)</f>
        <v>2.111508</v>
      </c>
      <c r="J3799" s="13" t="n">
        <f aca="false">IFERROR(MIN(Eingaben!$B$18,MAX(0,F3799-I3799)),0)</f>
        <v>0.904932</v>
      </c>
      <c r="K3799" s="13" t="n">
        <f aca="false">H3799+I3799</f>
        <v>2.99834136</v>
      </c>
      <c r="L3799" s="13" t="n">
        <f aca="false">MAX(0,D3799-K3799)</f>
        <v>1.94165864</v>
      </c>
      <c r="M3799" s="13" t="n">
        <f aca="false">MAX(0,F3799-I3799-J3799)</f>
        <v>0</v>
      </c>
      <c r="N3799" s="13" t="n">
        <f aca="false">IF(Kalender!A139="",0,J3798-H3799)</f>
        <v>0.0180986400000001</v>
      </c>
    </row>
    <row r="3800" customFormat="false" ht="16.4" hidden="false" customHeight="false" outlineLevel="0" collapsed="false">
      <c r="A3800" s="13" t="str">
        <f aca="false">""</f>
        <v/>
      </c>
      <c r="B3800" s="13" t="n">
        <f aca="false">136</f>
        <v>136</v>
      </c>
      <c r="C3800" s="13" t="n">
        <f aca="false">IF(Szenarien!$H$21="OK",(IFERROR(SUMIF(Nutzungsprofile!$B$6:$B$11,"Schulbetrieb",Nutzungsprofile!$G$6:$G$11)*Kalender!C140/SUM(Kalender!$C$5:$C$370),0)+IFERROR(SUMIF(Nutzungsprofile!$B$6:$B$11,"Halle",Nutzungsprofile!$G$6:$G$11)*Kalender!D140/SUM(Kalender!$D$5:$D$370),0)+IFERROR(SUMIF(Nutzungsprofile!$B$6:$B$11,"Individuell",Nutzungsprofile!$G$6:$G$11)*Kalender!E140/SUM(Kalender!$E$5:$E$370),0))*Szenarien!$E$21,0)</f>
        <v>2.448</v>
      </c>
      <c r="D3800" s="13" t="n">
        <f aca="false">IF(Szenarien!$H$21="OK",(IFERROR(SUMIF(Nutzungsprofile!$B$17:$B$22,"Schulbetrieb",Nutzungsprofile!$G$17:$G$22)*Kalender!C140/SUM(Kalender!$C$5:$C$370),0)+IFERROR(SUMIF(Nutzungsprofile!$B$17:$B$22,"Halle",Nutzungsprofile!$G$17:$G$22)*Kalender!D140/SUM(Kalender!$D$5:$D$370),0)+IFERROR(SUMIF(Nutzungsprofile!$B$17:$B$22,"Individuell",Nutzungsprofile!$G$17:$G$22)*Kalender!E140/SUM(Kalender!$E$5:$E$370),0))*Szenarien!$D$21,0)</f>
        <v>0.89</v>
      </c>
      <c r="E3800" s="13" t="n">
        <f aca="false">IFERROR(MIN(C3800,Eingaben!$B$17)*Eingaben!$B$16,0)</f>
        <v>2.3256</v>
      </c>
      <c r="F3800" s="13" t="n">
        <f aca="false">IFERROR(E3800*Eingaben!$B$15,0)</f>
        <v>2.09304</v>
      </c>
      <c r="G3800" s="13" t="n">
        <f aca="false">IFERROR(IF(Kalender!A140="",0,J3799*(1-Eingaben!$B$20)),0)</f>
        <v>0.88683336</v>
      </c>
      <c r="H3800" s="13" t="n">
        <f aca="false">MIN(G3800,D3800)</f>
        <v>0.88683336</v>
      </c>
      <c r="I3800" s="13" t="n">
        <f aca="false">IFERROR(MIN(F3800*Eingaben!$B$19,MAX(0,D3800-H3800)),0)</f>
        <v>0.00316664</v>
      </c>
      <c r="J3800" s="13" t="n">
        <f aca="false">IFERROR(MIN(Eingaben!$B$18,MAX(0,F3800-I3800)),0)</f>
        <v>2</v>
      </c>
      <c r="K3800" s="13" t="n">
        <f aca="false">H3800+I3800</f>
        <v>0.89</v>
      </c>
      <c r="L3800" s="13" t="n">
        <f aca="false">MAX(0,D3800-K3800)</f>
        <v>0</v>
      </c>
      <c r="M3800" s="13" t="n">
        <f aca="false">MAX(0,F3800-I3800-J3800)</f>
        <v>0.0898733599999999</v>
      </c>
      <c r="N3800" s="13" t="n">
        <f aca="false">IF(Kalender!A140="",0,J3799-H3800)</f>
        <v>0.0180986400000001</v>
      </c>
    </row>
    <row r="3801" customFormat="false" ht="16.4" hidden="false" customHeight="false" outlineLevel="0" collapsed="false">
      <c r="A3801" s="13" t="str">
        <f aca="false">""</f>
        <v/>
      </c>
      <c r="B3801" s="13" t="n">
        <f aca="false">137</f>
        <v>137</v>
      </c>
      <c r="C3801" s="13" t="n">
        <f aca="false">IF(Szenarien!$H$21="OK",(IFERROR(SUMIF(Nutzungsprofile!$B$6:$B$11,"Schulbetrieb",Nutzungsprofile!$G$6:$G$11)*Kalender!C141/SUM(Kalender!$C$5:$C$370),0)+IFERROR(SUMIF(Nutzungsprofile!$B$6:$B$11,"Halle",Nutzungsprofile!$G$6:$G$11)*Kalender!D141/SUM(Kalender!$D$5:$D$370),0)+IFERROR(SUMIF(Nutzungsprofile!$B$6:$B$11,"Individuell",Nutzungsprofile!$G$6:$G$11)*Kalender!E141/SUM(Kalender!$E$5:$E$370),0))*Szenarien!$E$21,0)</f>
        <v>2.448</v>
      </c>
      <c r="D3801" s="13" t="n">
        <f aca="false">IF(Szenarien!$H$21="OK",(IFERROR(SUMIF(Nutzungsprofile!$B$17:$B$22,"Schulbetrieb",Nutzungsprofile!$G$17:$G$22)*Kalender!C141/SUM(Kalender!$C$5:$C$370),0)+IFERROR(SUMIF(Nutzungsprofile!$B$17:$B$22,"Halle",Nutzungsprofile!$G$17:$G$22)*Kalender!D141/SUM(Kalender!$D$5:$D$370),0)+IFERROR(SUMIF(Nutzungsprofile!$B$17:$B$22,"Individuell",Nutzungsprofile!$G$17:$G$22)*Kalender!E141/SUM(Kalender!$E$5:$E$370),0))*Szenarien!$D$21,0)</f>
        <v>0.89</v>
      </c>
      <c r="E3801" s="13" t="n">
        <f aca="false">IFERROR(MIN(C3801,Eingaben!$B$17)*Eingaben!$B$16,0)</f>
        <v>2.3256</v>
      </c>
      <c r="F3801" s="13" t="n">
        <f aca="false">IFERROR(E3801*Eingaben!$B$15,0)</f>
        <v>2.09304</v>
      </c>
      <c r="G3801" s="13" t="n">
        <f aca="false">IFERROR(IF(Kalender!A141="",0,J3800*(1-Eingaben!$B$20)),0)</f>
        <v>1.96</v>
      </c>
      <c r="H3801" s="13" t="n">
        <f aca="false">MIN(G3801,D3801)</f>
        <v>0.89</v>
      </c>
      <c r="I3801" s="13" t="n">
        <f aca="false">IFERROR(MIN(F3801*Eingaben!$B$19,MAX(0,D3801-H3801)),0)</f>
        <v>0</v>
      </c>
      <c r="J3801" s="13" t="n">
        <f aca="false">IFERROR(MIN(Eingaben!$B$18,MAX(0,F3801-I3801)),0)</f>
        <v>2</v>
      </c>
      <c r="K3801" s="13" t="n">
        <f aca="false">H3801+I3801</f>
        <v>0.89</v>
      </c>
      <c r="L3801" s="13" t="n">
        <f aca="false">MAX(0,D3801-K3801)</f>
        <v>0</v>
      </c>
      <c r="M3801" s="13" t="n">
        <f aca="false">MAX(0,F3801-I3801-J3801)</f>
        <v>0.0930399999999998</v>
      </c>
      <c r="N3801" s="13" t="n">
        <f aca="false">IF(Kalender!A141="",0,J3800-H3801)</f>
        <v>1.11</v>
      </c>
    </row>
    <row r="3802" customFormat="false" ht="16.4" hidden="false" customHeight="false" outlineLevel="0" collapsed="false">
      <c r="A3802" s="13" t="str">
        <f aca="false">""</f>
        <v/>
      </c>
      <c r="B3802" s="13" t="n">
        <f aca="false">138</f>
        <v>138</v>
      </c>
      <c r="C3802" s="13" t="n">
        <f aca="false">IF(Szenarien!$H$21="OK",(IFERROR(SUMIF(Nutzungsprofile!$B$6:$B$11,"Schulbetrieb",Nutzungsprofile!$G$6:$G$11)*Kalender!C142/SUM(Kalender!$C$5:$C$370),0)+IFERROR(SUMIF(Nutzungsprofile!$B$6:$B$11,"Halle",Nutzungsprofile!$G$6:$G$11)*Kalender!D142/SUM(Kalender!$D$5:$D$370),0)+IFERROR(SUMIF(Nutzungsprofile!$B$6:$B$11,"Individuell",Nutzungsprofile!$G$6:$G$11)*Kalender!E142/SUM(Kalender!$E$5:$E$370),0))*Szenarien!$E$21,0)</f>
        <v>3.528</v>
      </c>
      <c r="D3802" s="13" t="n">
        <f aca="false">IF(Szenarien!$H$21="OK",(IFERROR(SUMIF(Nutzungsprofile!$B$17:$B$22,"Schulbetrieb",Nutzungsprofile!$G$17:$G$22)*Kalender!C142/SUM(Kalender!$C$5:$C$370),0)+IFERROR(SUMIF(Nutzungsprofile!$B$17:$B$22,"Halle",Nutzungsprofile!$G$17:$G$22)*Kalender!D142/SUM(Kalender!$D$5:$D$370),0)+IFERROR(SUMIF(Nutzungsprofile!$B$17:$B$22,"Individuell",Nutzungsprofile!$G$17:$G$22)*Kalender!E142/SUM(Kalender!$E$5:$E$370),0))*Szenarien!$D$21,0)</f>
        <v>4.94</v>
      </c>
      <c r="E3802" s="13" t="n">
        <f aca="false">IFERROR(MIN(C3802,Eingaben!$B$17)*Eingaben!$B$16,0)</f>
        <v>3.3516</v>
      </c>
      <c r="F3802" s="13" t="n">
        <f aca="false">IFERROR(E3802*Eingaben!$B$15,0)</f>
        <v>3.01644</v>
      </c>
      <c r="G3802" s="13" t="n">
        <f aca="false">IFERROR(IF(Kalender!A142="",0,J3801*(1-Eingaben!$B$20)),0)</f>
        <v>1.96</v>
      </c>
      <c r="H3802" s="13" t="n">
        <f aca="false">MIN(G3802,D3802)</f>
        <v>1.96</v>
      </c>
      <c r="I3802" s="13" t="n">
        <f aca="false">IFERROR(MIN(F3802*Eingaben!$B$19,MAX(0,D3802-H3802)),0)</f>
        <v>2.111508</v>
      </c>
      <c r="J3802" s="13" t="n">
        <f aca="false">IFERROR(MIN(Eingaben!$B$18,MAX(0,F3802-I3802)),0)</f>
        <v>0.904932</v>
      </c>
      <c r="K3802" s="13" t="n">
        <f aca="false">H3802+I3802</f>
        <v>4.071508</v>
      </c>
      <c r="L3802" s="13" t="n">
        <f aca="false">MAX(0,D3802-K3802)</f>
        <v>0.868492</v>
      </c>
      <c r="M3802" s="13" t="n">
        <f aca="false">MAX(0,F3802-I3802-J3802)</f>
        <v>0</v>
      </c>
      <c r="N3802" s="13" t="n">
        <f aca="false">IF(Kalender!A142="",0,J3801-H3802)</f>
        <v>0.04</v>
      </c>
    </row>
    <row r="3803" customFormat="false" ht="16.4" hidden="false" customHeight="false" outlineLevel="0" collapsed="false">
      <c r="A3803" s="13" t="str">
        <f aca="false">""</f>
        <v/>
      </c>
      <c r="B3803" s="13" t="n">
        <f aca="false">139</f>
        <v>139</v>
      </c>
      <c r="C3803" s="13" t="n">
        <f aca="false">IF(Szenarien!$H$21="OK",(IFERROR(SUMIF(Nutzungsprofile!$B$6:$B$11,"Schulbetrieb",Nutzungsprofile!$G$6:$G$11)*Kalender!C143/SUM(Kalender!$C$5:$C$370),0)+IFERROR(SUMIF(Nutzungsprofile!$B$6:$B$11,"Halle",Nutzungsprofile!$G$6:$G$11)*Kalender!D143/SUM(Kalender!$D$5:$D$370),0)+IFERROR(SUMIF(Nutzungsprofile!$B$6:$B$11,"Individuell",Nutzungsprofile!$G$6:$G$11)*Kalender!E143/SUM(Kalender!$E$5:$E$370),0))*Szenarien!$E$21,0)</f>
        <v>3.528</v>
      </c>
      <c r="D3803" s="13" t="n">
        <f aca="false">IF(Szenarien!$H$21="OK",(IFERROR(SUMIF(Nutzungsprofile!$B$17:$B$22,"Schulbetrieb",Nutzungsprofile!$G$17:$G$22)*Kalender!C143/SUM(Kalender!$C$5:$C$370),0)+IFERROR(SUMIF(Nutzungsprofile!$B$17:$B$22,"Halle",Nutzungsprofile!$G$17:$G$22)*Kalender!D143/SUM(Kalender!$D$5:$D$370),0)+IFERROR(SUMIF(Nutzungsprofile!$B$17:$B$22,"Individuell",Nutzungsprofile!$G$17:$G$22)*Kalender!E143/SUM(Kalender!$E$5:$E$370),0))*Szenarien!$D$21,0)</f>
        <v>4.94</v>
      </c>
      <c r="E3803" s="13" t="n">
        <f aca="false">IFERROR(MIN(C3803,Eingaben!$B$17)*Eingaben!$B$16,0)</f>
        <v>3.3516</v>
      </c>
      <c r="F3803" s="13" t="n">
        <f aca="false">IFERROR(E3803*Eingaben!$B$15,0)</f>
        <v>3.01644</v>
      </c>
      <c r="G3803" s="13" t="n">
        <f aca="false">IFERROR(IF(Kalender!A143="",0,J3802*(1-Eingaben!$B$20)),0)</f>
        <v>0.88683336</v>
      </c>
      <c r="H3803" s="13" t="n">
        <f aca="false">MIN(G3803,D3803)</f>
        <v>0.88683336</v>
      </c>
      <c r="I3803" s="13" t="n">
        <f aca="false">IFERROR(MIN(F3803*Eingaben!$B$19,MAX(0,D3803-H3803)),0)</f>
        <v>2.111508</v>
      </c>
      <c r="J3803" s="13" t="n">
        <f aca="false">IFERROR(MIN(Eingaben!$B$18,MAX(0,F3803-I3803)),0)</f>
        <v>0.904932</v>
      </c>
      <c r="K3803" s="13" t="n">
        <f aca="false">H3803+I3803</f>
        <v>2.99834136</v>
      </c>
      <c r="L3803" s="13" t="n">
        <f aca="false">MAX(0,D3803-K3803)</f>
        <v>1.94165864</v>
      </c>
      <c r="M3803" s="13" t="n">
        <f aca="false">MAX(0,F3803-I3803-J3803)</f>
        <v>0</v>
      </c>
      <c r="N3803" s="13" t="n">
        <f aca="false">IF(Kalender!A143="",0,J3802-H3803)</f>
        <v>0.0180986400000001</v>
      </c>
    </row>
    <row r="3804" customFormat="false" ht="16.4" hidden="false" customHeight="false" outlineLevel="0" collapsed="false">
      <c r="A3804" s="13" t="str">
        <f aca="false">""</f>
        <v/>
      </c>
      <c r="B3804" s="13" t="n">
        <f aca="false">140</f>
        <v>140</v>
      </c>
      <c r="C3804" s="13" t="n">
        <f aca="false">IF(Szenarien!$H$21="OK",(IFERROR(SUMIF(Nutzungsprofile!$B$6:$B$11,"Schulbetrieb",Nutzungsprofile!$G$6:$G$11)*Kalender!C144/SUM(Kalender!$C$5:$C$370),0)+IFERROR(SUMIF(Nutzungsprofile!$B$6:$B$11,"Halle",Nutzungsprofile!$G$6:$G$11)*Kalender!D144/SUM(Kalender!$D$5:$D$370),0)+IFERROR(SUMIF(Nutzungsprofile!$B$6:$B$11,"Individuell",Nutzungsprofile!$G$6:$G$11)*Kalender!E144/SUM(Kalender!$E$5:$E$370),0))*Szenarien!$E$21,0)</f>
        <v>3.528</v>
      </c>
      <c r="D3804" s="13" t="n">
        <f aca="false">IF(Szenarien!$H$21="OK",(IFERROR(SUMIF(Nutzungsprofile!$B$17:$B$22,"Schulbetrieb",Nutzungsprofile!$G$17:$G$22)*Kalender!C144/SUM(Kalender!$C$5:$C$370),0)+IFERROR(SUMIF(Nutzungsprofile!$B$17:$B$22,"Halle",Nutzungsprofile!$G$17:$G$22)*Kalender!D144/SUM(Kalender!$D$5:$D$370),0)+IFERROR(SUMIF(Nutzungsprofile!$B$17:$B$22,"Individuell",Nutzungsprofile!$G$17:$G$22)*Kalender!E144/SUM(Kalender!$E$5:$E$370),0))*Szenarien!$D$21,0)</f>
        <v>4.94</v>
      </c>
      <c r="E3804" s="13" t="n">
        <f aca="false">IFERROR(MIN(C3804,Eingaben!$B$17)*Eingaben!$B$16,0)</f>
        <v>3.3516</v>
      </c>
      <c r="F3804" s="13" t="n">
        <f aca="false">IFERROR(E3804*Eingaben!$B$15,0)</f>
        <v>3.01644</v>
      </c>
      <c r="G3804" s="13" t="n">
        <f aca="false">IFERROR(IF(Kalender!A144="",0,J3803*(1-Eingaben!$B$20)),0)</f>
        <v>0.88683336</v>
      </c>
      <c r="H3804" s="13" t="n">
        <f aca="false">MIN(G3804,D3804)</f>
        <v>0.88683336</v>
      </c>
      <c r="I3804" s="13" t="n">
        <f aca="false">IFERROR(MIN(F3804*Eingaben!$B$19,MAX(0,D3804-H3804)),0)</f>
        <v>2.111508</v>
      </c>
      <c r="J3804" s="13" t="n">
        <f aca="false">IFERROR(MIN(Eingaben!$B$18,MAX(0,F3804-I3804)),0)</f>
        <v>0.904932</v>
      </c>
      <c r="K3804" s="13" t="n">
        <f aca="false">H3804+I3804</f>
        <v>2.99834136</v>
      </c>
      <c r="L3804" s="13" t="n">
        <f aca="false">MAX(0,D3804-K3804)</f>
        <v>1.94165864</v>
      </c>
      <c r="M3804" s="13" t="n">
        <f aca="false">MAX(0,F3804-I3804-J3804)</f>
        <v>0</v>
      </c>
      <c r="N3804" s="13" t="n">
        <f aca="false">IF(Kalender!A144="",0,J3803-H3804)</f>
        <v>0.0180986400000001</v>
      </c>
    </row>
    <row r="3805" customFormat="false" ht="16.4" hidden="false" customHeight="false" outlineLevel="0" collapsed="false">
      <c r="A3805" s="13" t="str">
        <f aca="false">""</f>
        <v/>
      </c>
      <c r="B3805" s="13" t="n">
        <f aca="false">141</f>
        <v>141</v>
      </c>
      <c r="C3805" s="13" t="n">
        <f aca="false">IF(Szenarien!$H$21="OK",(IFERROR(SUMIF(Nutzungsprofile!$B$6:$B$11,"Schulbetrieb",Nutzungsprofile!$G$6:$G$11)*Kalender!C145/SUM(Kalender!$C$5:$C$370),0)+IFERROR(SUMIF(Nutzungsprofile!$B$6:$B$11,"Halle",Nutzungsprofile!$G$6:$G$11)*Kalender!D145/SUM(Kalender!$D$5:$D$370),0)+IFERROR(SUMIF(Nutzungsprofile!$B$6:$B$11,"Individuell",Nutzungsprofile!$G$6:$G$11)*Kalender!E145/SUM(Kalender!$E$5:$E$370),0))*Szenarien!$E$21,0)</f>
        <v>3.528</v>
      </c>
      <c r="D3805" s="13" t="n">
        <f aca="false">IF(Szenarien!$H$21="OK",(IFERROR(SUMIF(Nutzungsprofile!$B$17:$B$22,"Schulbetrieb",Nutzungsprofile!$G$17:$G$22)*Kalender!C145/SUM(Kalender!$C$5:$C$370),0)+IFERROR(SUMIF(Nutzungsprofile!$B$17:$B$22,"Halle",Nutzungsprofile!$G$17:$G$22)*Kalender!D145/SUM(Kalender!$D$5:$D$370),0)+IFERROR(SUMIF(Nutzungsprofile!$B$17:$B$22,"Individuell",Nutzungsprofile!$G$17:$G$22)*Kalender!E145/SUM(Kalender!$E$5:$E$370),0))*Szenarien!$D$21,0)</f>
        <v>4.94</v>
      </c>
      <c r="E3805" s="13" t="n">
        <f aca="false">IFERROR(MIN(C3805,Eingaben!$B$17)*Eingaben!$B$16,0)</f>
        <v>3.3516</v>
      </c>
      <c r="F3805" s="13" t="n">
        <f aca="false">IFERROR(E3805*Eingaben!$B$15,0)</f>
        <v>3.01644</v>
      </c>
      <c r="G3805" s="13" t="n">
        <f aca="false">IFERROR(IF(Kalender!A145="",0,J3804*(1-Eingaben!$B$20)),0)</f>
        <v>0.88683336</v>
      </c>
      <c r="H3805" s="13" t="n">
        <f aca="false">MIN(G3805,D3805)</f>
        <v>0.88683336</v>
      </c>
      <c r="I3805" s="13" t="n">
        <f aca="false">IFERROR(MIN(F3805*Eingaben!$B$19,MAX(0,D3805-H3805)),0)</f>
        <v>2.111508</v>
      </c>
      <c r="J3805" s="13" t="n">
        <f aca="false">IFERROR(MIN(Eingaben!$B$18,MAX(0,F3805-I3805)),0)</f>
        <v>0.904932</v>
      </c>
      <c r="K3805" s="13" t="n">
        <f aca="false">H3805+I3805</f>
        <v>2.99834136</v>
      </c>
      <c r="L3805" s="13" t="n">
        <f aca="false">MAX(0,D3805-K3805)</f>
        <v>1.94165864</v>
      </c>
      <c r="M3805" s="13" t="n">
        <f aca="false">MAX(0,F3805-I3805-J3805)</f>
        <v>0</v>
      </c>
      <c r="N3805" s="13" t="n">
        <f aca="false">IF(Kalender!A145="",0,J3804-H3805)</f>
        <v>0.0180986400000001</v>
      </c>
    </row>
    <row r="3806" customFormat="false" ht="16.4" hidden="false" customHeight="false" outlineLevel="0" collapsed="false">
      <c r="A3806" s="13" t="str">
        <f aca="false">""</f>
        <v/>
      </c>
      <c r="B3806" s="13" t="n">
        <f aca="false">142</f>
        <v>142</v>
      </c>
      <c r="C3806" s="13" t="n">
        <f aca="false">IF(Szenarien!$H$21="OK",(IFERROR(SUMIF(Nutzungsprofile!$B$6:$B$11,"Schulbetrieb",Nutzungsprofile!$G$6:$G$11)*Kalender!C146/SUM(Kalender!$C$5:$C$370),0)+IFERROR(SUMIF(Nutzungsprofile!$B$6:$B$11,"Halle",Nutzungsprofile!$G$6:$G$11)*Kalender!D146/SUM(Kalender!$D$5:$D$370),0)+IFERROR(SUMIF(Nutzungsprofile!$B$6:$B$11,"Individuell",Nutzungsprofile!$G$6:$G$11)*Kalender!E146/SUM(Kalender!$E$5:$E$370),0))*Szenarien!$E$21,0)</f>
        <v>3.528</v>
      </c>
      <c r="D3806" s="13" t="n">
        <f aca="false">IF(Szenarien!$H$21="OK",(IFERROR(SUMIF(Nutzungsprofile!$B$17:$B$22,"Schulbetrieb",Nutzungsprofile!$G$17:$G$22)*Kalender!C146/SUM(Kalender!$C$5:$C$370),0)+IFERROR(SUMIF(Nutzungsprofile!$B$17:$B$22,"Halle",Nutzungsprofile!$G$17:$G$22)*Kalender!D146/SUM(Kalender!$D$5:$D$370),0)+IFERROR(SUMIF(Nutzungsprofile!$B$17:$B$22,"Individuell",Nutzungsprofile!$G$17:$G$22)*Kalender!E146/SUM(Kalender!$E$5:$E$370),0))*Szenarien!$D$21,0)</f>
        <v>4.94</v>
      </c>
      <c r="E3806" s="13" t="n">
        <f aca="false">IFERROR(MIN(C3806,Eingaben!$B$17)*Eingaben!$B$16,0)</f>
        <v>3.3516</v>
      </c>
      <c r="F3806" s="13" t="n">
        <f aca="false">IFERROR(E3806*Eingaben!$B$15,0)</f>
        <v>3.01644</v>
      </c>
      <c r="G3806" s="13" t="n">
        <f aca="false">IFERROR(IF(Kalender!A146="",0,J3805*(1-Eingaben!$B$20)),0)</f>
        <v>0.88683336</v>
      </c>
      <c r="H3806" s="13" t="n">
        <f aca="false">MIN(G3806,D3806)</f>
        <v>0.88683336</v>
      </c>
      <c r="I3806" s="13" t="n">
        <f aca="false">IFERROR(MIN(F3806*Eingaben!$B$19,MAX(0,D3806-H3806)),0)</f>
        <v>2.111508</v>
      </c>
      <c r="J3806" s="13" t="n">
        <f aca="false">IFERROR(MIN(Eingaben!$B$18,MAX(0,F3806-I3806)),0)</f>
        <v>0.904932</v>
      </c>
      <c r="K3806" s="13" t="n">
        <f aca="false">H3806+I3806</f>
        <v>2.99834136</v>
      </c>
      <c r="L3806" s="13" t="n">
        <f aca="false">MAX(0,D3806-K3806)</f>
        <v>1.94165864</v>
      </c>
      <c r="M3806" s="13" t="n">
        <f aca="false">MAX(0,F3806-I3806-J3806)</f>
        <v>0</v>
      </c>
      <c r="N3806" s="13" t="n">
        <f aca="false">IF(Kalender!A146="",0,J3805-H3806)</f>
        <v>0.0180986400000001</v>
      </c>
    </row>
    <row r="3807" customFormat="false" ht="16.4" hidden="false" customHeight="false" outlineLevel="0" collapsed="false">
      <c r="A3807" s="13" t="str">
        <f aca="false">""</f>
        <v/>
      </c>
      <c r="B3807" s="13" t="n">
        <f aca="false">143</f>
        <v>143</v>
      </c>
      <c r="C3807" s="13" t="n">
        <f aca="false">IF(Szenarien!$H$21="OK",(IFERROR(SUMIF(Nutzungsprofile!$B$6:$B$11,"Schulbetrieb",Nutzungsprofile!$G$6:$G$11)*Kalender!C147/SUM(Kalender!$C$5:$C$370),0)+IFERROR(SUMIF(Nutzungsprofile!$B$6:$B$11,"Halle",Nutzungsprofile!$G$6:$G$11)*Kalender!D147/SUM(Kalender!$D$5:$D$370),0)+IFERROR(SUMIF(Nutzungsprofile!$B$6:$B$11,"Individuell",Nutzungsprofile!$G$6:$G$11)*Kalender!E147/SUM(Kalender!$E$5:$E$370),0))*Szenarien!$E$21,0)</f>
        <v>2.448</v>
      </c>
      <c r="D3807" s="13" t="n">
        <f aca="false">IF(Szenarien!$H$21="OK",(IFERROR(SUMIF(Nutzungsprofile!$B$17:$B$22,"Schulbetrieb",Nutzungsprofile!$G$17:$G$22)*Kalender!C147/SUM(Kalender!$C$5:$C$370),0)+IFERROR(SUMIF(Nutzungsprofile!$B$17:$B$22,"Halle",Nutzungsprofile!$G$17:$G$22)*Kalender!D147/SUM(Kalender!$D$5:$D$370),0)+IFERROR(SUMIF(Nutzungsprofile!$B$17:$B$22,"Individuell",Nutzungsprofile!$G$17:$G$22)*Kalender!E147/SUM(Kalender!$E$5:$E$370),0))*Szenarien!$D$21,0)</f>
        <v>0.89</v>
      </c>
      <c r="E3807" s="13" t="n">
        <f aca="false">IFERROR(MIN(C3807,Eingaben!$B$17)*Eingaben!$B$16,0)</f>
        <v>2.3256</v>
      </c>
      <c r="F3807" s="13" t="n">
        <f aca="false">IFERROR(E3807*Eingaben!$B$15,0)</f>
        <v>2.09304</v>
      </c>
      <c r="G3807" s="13" t="n">
        <f aca="false">IFERROR(IF(Kalender!A147="",0,J3806*(1-Eingaben!$B$20)),0)</f>
        <v>0.88683336</v>
      </c>
      <c r="H3807" s="13" t="n">
        <f aca="false">MIN(G3807,D3807)</f>
        <v>0.88683336</v>
      </c>
      <c r="I3807" s="13" t="n">
        <f aca="false">IFERROR(MIN(F3807*Eingaben!$B$19,MAX(0,D3807-H3807)),0)</f>
        <v>0.00316664</v>
      </c>
      <c r="J3807" s="13" t="n">
        <f aca="false">IFERROR(MIN(Eingaben!$B$18,MAX(0,F3807-I3807)),0)</f>
        <v>2</v>
      </c>
      <c r="K3807" s="13" t="n">
        <f aca="false">H3807+I3807</f>
        <v>0.89</v>
      </c>
      <c r="L3807" s="13" t="n">
        <f aca="false">MAX(0,D3807-K3807)</f>
        <v>0</v>
      </c>
      <c r="M3807" s="13" t="n">
        <f aca="false">MAX(0,F3807-I3807-J3807)</f>
        <v>0.0898733599999999</v>
      </c>
      <c r="N3807" s="13" t="n">
        <f aca="false">IF(Kalender!A147="",0,J3806-H3807)</f>
        <v>0.0180986400000001</v>
      </c>
    </row>
    <row r="3808" customFormat="false" ht="16.4" hidden="false" customHeight="false" outlineLevel="0" collapsed="false">
      <c r="A3808" s="13" t="str">
        <f aca="false">""</f>
        <v/>
      </c>
      <c r="B3808" s="13" t="n">
        <f aca="false">144</f>
        <v>144</v>
      </c>
      <c r="C3808" s="13" t="n">
        <f aca="false">IF(Szenarien!$H$21="OK",(IFERROR(SUMIF(Nutzungsprofile!$B$6:$B$11,"Schulbetrieb",Nutzungsprofile!$G$6:$G$11)*Kalender!C148/SUM(Kalender!$C$5:$C$370),0)+IFERROR(SUMIF(Nutzungsprofile!$B$6:$B$11,"Halle",Nutzungsprofile!$G$6:$G$11)*Kalender!D148/SUM(Kalender!$D$5:$D$370),0)+IFERROR(SUMIF(Nutzungsprofile!$B$6:$B$11,"Individuell",Nutzungsprofile!$G$6:$G$11)*Kalender!E148/SUM(Kalender!$E$5:$E$370),0))*Szenarien!$E$21,0)</f>
        <v>2.448</v>
      </c>
      <c r="D3808" s="13" t="n">
        <f aca="false">IF(Szenarien!$H$21="OK",(IFERROR(SUMIF(Nutzungsprofile!$B$17:$B$22,"Schulbetrieb",Nutzungsprofile!$G$17:$G$22)*Kalender!C148/SUM(Kalender!$C$5:$C$370),0)+IFERROR(SUMIF(Nutzungsprofile!$B$17:$B$22,"Halle",Nutzungsprofile!$G$17:$G$22)*Kalender!D148/SUM(Kalender!$D$5:$D$370),0)+IFERROR(SUMIF(Nutzungsprofile!$B$17:$B$22,"Individuell",Nutzungsprofile!$G$17:$G$22)*Kalender!E148/SUM(Kalender!$E$5:$E$370),0))*Szenarien!$D$21,0)</f>
        <v>0.89</v>
      </c>
      <c r="E3808" s="13" t="n">
        <f aca="false">IFERROR(MIN(C3808,Eingaben!$B$17)*Eingaben!$B$16,0)</f>
        <v>2.3256</v>
      </c>
      <c r="F3808" s="13" t="n">
        <f aca="false">IFERROR(E3808*Eingaben!$B$15,0)</f>
        <v>2.09304</v>
      </c>
      <c r="G3808" s="13" t="n">
        <f aca="false">IFERROR(IF(Kalender!A148="",0,J3807*(1-Eingaben!$B$20)),0)</f>
        <v>1.96</v>
      </c>
      <c r="H3808" s="13" t="n">
        <f aca="false">MIN(G3808,D3808)</f>
        <v>0.89</v>
      </c>
      <c r="I3808" s="13" t="n">
        <f aca="false">IFERROR(MIN(F3808*Eingaben!$B$19,MAX(0,D3808-H3808)),0)</f>
        <v>0</v>
      </c>
      <c r="J3808" s="13" t="n">
        <f aca="false">IFERROR(MIN(Eingaben!$B$18,MAX(0,F3808-I3808)),0)</f>
        <v>2</v>
      </c>
      <c r="K3808" s="13" t="n">
        <f aca="false">H3808+I3808</f>
        <v>0.89</v>
      </c>
      <c r="L3808" s="13" t="n">
        <f aca="false">MAX(0,D3808-K3808)</f>
        <v>0</v>
      </c>
      <c r="M3808" s="13" t="n">
        <f aca="false">MAX(0,F3808-I3808-J3808)</f>
        <v>0.0930399999999998</v>
      </c>
      <c r="N3808" s="13" t="n">
        <f aca="false">IF(Kalender!A148="",0,J3807-H3808)</f>
        <v>1.11</v>
      </c>
    </row>
    <row r="3809" customFormat="false" ht="16.4" hidden="false" customHeight="false" outlineLevel="0" collapsed="false">
      <c r="A3809" s="13" t="str">
        <f aca="false">""</f>
        <v/>
      </c>
      <c r="B3809" s="13" t="n">
        <f aca="false">145</f>
        <v>145</v>
      </c>
      <c r="C3809" s="13" t="n">
        <f aca="false">IF(Szenarien!$H$21="OK",(IFERROR(SUMIF(Nutzungsprofile!$B$6:$B$11,"Schulbetrieb",Nutzungsprofile!$G$6:$G$11)*Kalender!C149/SUM(Kalender!$C$5:$C$370),0)+IFERROR(SUMIF(Nutzungsprofile!$B$6:$B$11,"Halle",Nutzungsprofile!$G$6:$G$11)*Kalender!D149/SUM(Kalender!$D$5:$D$370),0)+IFERROR(SUMIF(Nutzungsprofile!$B$6:$B$11,"Individuell",Nutzungsprofile!$G$6:$G$11)*Kalender!E149/SUM(Kalender!$E$5:$E$370),0))*Szenarien!$E$21,0)</f>
        <v>3.528</v>
      </c>
      <c r="D3809" s="13" t="n">
        <f aca="false">IF(Szenarien!$H$21="OK",(IFERROR(SUMIF(Nutzungsprofile!$B$17:$B$22,"Schulbetrieb",Nutzungsprofile!$G$17:$G$22)*Kalender!C149/SUM(Kalender!$C$5:$C$370),0)+IFERROR(SUMIF(Nutzungsprofile!$B$17:$B$22,"Halle",Nutzungsprofile!$G$17:$G$22)*Kalender!D149/SUM(Kalender!$D$5:$D$370),0)+IFERROR(SUMIF(Nutzungsprofile!$B$17:$B$22,"Individuell",Nutzungsprofile!$G$17:$G$22)*Kalender!E149/SUM(Kalender!$E$5:$E$370),0))*Szenarien!$D$21,0)</f>
        <v>4.94</v>
      </c>
      <c r="E3809" s="13" t="n">
        <f aca="false">IFERROR(MIN(C3809,Eingaben!$B$17)*Eingaben!$B$16,0)</f>
        <v>3.3516</v>
      </c>
      <c r="F3809" s="13" t="n">
        <f aca="false">IFERROR(E3809*Eingaben!$B$15,0)</f>
        <v>3.01644</v>
      </c>
      <c r="G3809" s="13" t="n">
        <f aca="false">IFERROR(IF(Kalender!A149="",0,J3808*(1-Eingaben!$B$20)),0)</f>
        <v>1.96</v>
      </c>
      <c r="H3809" s="13" t="n">
        <f aca="false">MIN(G3809,D3809)</f>
        <v>1.96</v>
      </c>
      <c r="I3809" s="13" t="n">
        <f aca="false">IFERROR(MIN(F3809*Eingaben!$B$19,MAX(0,D3809-H3809)),0)</f>
        <v>2.111508</v>
      </c>
      <c r="J3809" s="13" t="n">
        <f aca="false">IFERROR(MIN(Eingaben!$B$18,MAX(0,F3809-I3809)),0)</f>
        <v>0.904932</v>
      </c>
      <c r="K3809" s="13" t="n">
        <f aca="false">H3809+I3809</f>
        <v>4.071508</v>
      </c>
      <c r="L3809" s="13" t="n">
        <f aca="false">MAX(0,D3809-K3809)</f>
        <v>0.868492</v>
      </c>
      <c r="M3809" s="13" t="n">
        <f aca="false">MAX(0,F3809-I3809-J3809)</f>
        <v>0</v>
      </c>
      <c r="N3809" s="13" t="n">
        <f aca="false">IF(Kalender!A149="",0,J3808-H3809)</f>
        <v>0.04</v>
      </c>
    </row>
    <row r="3810" customFormat="false" ht="16.4" hidden="false" customHeight="false" outlineLevel="0" collapsed="false">
      <c r="A3810" s="13" t="str">
        <f aca="false">""</f>
        <v/>
      </c>
      <c r="B3810" s="13" t="n">
        <f aca="false">146</f>
        <v>146</v>
      </c>
      <c r="C3810" s="13" t="n">
        <f aca="false">IF(Szenarien!$H$21="OK",(IFERROR(SUMIF(Nutzungsprofile!$B$6:$B$11,"Schulbetrieb",Nutzungsprofile!$G$6:$G$11)*Kalender!C150/SUM(Kalender!$C$5:$C$370),0)+IFERROR(SUMIF(Nutzungsprofile!$B$6:$B$11,"Halle",Nutzungsprofile!$G$6:$G$11)*Kalender!D150/SUM(Kalender!$D$5:$D$370),0)+IFERROR(SUMIF(Nutzungsprofile!$B$6:$B$11,"Individuell",Nutzungsprofile!$G$6:$G$11)*Kalender!E150/SUM(Kalender!$E$5:$E$370),0))*Szenarien!$E$21,0)</f>
        <v>3.528</v>
      </c>
      <c r="D3810" s="13" t="n">
        <f aca="false">IF(Szenarien!$H$21="OK",(IFERROR(SUMIF(Nutzungsprofile!$B$17:$B$22,"Schulbetrieb",Nutzungsprofile!$G$17:$G$22)*Kalender!C150/SUM(Kalender!$C$5:$C$370),0)+IFERROR(SUMIF(Nutzungsprofile!$B$17:$B$22,"Halle",Nutzungsprofile!$G$17:$G$22)*Kalender!D150/SUM(Kalender!$D$5:$D$370),0)+IFERROR(SUMIF(Nutzungsprofile!$B$17:$B$22,"Individuell",Nutzungsprofile!$G$17:$G$22)*Kalender!E150/SUM(Kalender!$E$5:$E$370),0))*Szenarien!$D$21,0)</f>
        <v>4.94</v>
      </c>
      <c r="E3810" s="13" t="n">
        <f aca="false">IFERROR(MIN(C3810,Eingaben!$B$17)*Eingaben!$B$16,0)</f>
        <v>3.3516</v>
      </c>
      <c r="F3810" s="13" t="n">
        <f aca="false">IFERROR(E3810*Eingaben!$B$15,0)</f>
        <v>3.01644</v>
      </c>
      <c r="G3810" s="13" t="n">
        <f aca="false">IFERROR(IF(Kalender!A150="",0,J3809*(1-Eingaben!$B$20)),0)</f>
        <v>0.88683336</v>
      </c>
      <c r="H3810" s="13" t="n">
        <f aca="false">MIN(G3810,D3810)</f>
        <v>0.88683336</v>
      </c>
      <c r="I3810" s="13" t="n">
        <f aca="false">IFERROR(MIN(F3810*Eingaben!$B$19,MAX(0,D3810-H3810)),0)</f>
        <v>2.111508</v>
      </c>
      <c r="J3810" s="13" t="n">
        <f aca="false">IFERROR(MIN(Eingaben!$B$18,MAX(0,F3810-I3810)),0)</f>
        <v>0.904932</v>
      </c>
      <c r="K3810" s="13" t="n">
        <f aca="false">H3810+I3810</f>
        <v>2.99834136</v>
      </c>
      <c r="L3810" s="13" t="n">
        <f aca="false">MAX(0,D3810-K3810)</f>
        <v>1.94165864</v>
      </c>
      <c r="M3810" s="13" t="n">
        <f aca="false">MAX(0,F3810-I3810-J3810)</f>
        <v>0</v>
      </c>
      <c r="N3810" s="13" t="n">
        <f aca="false">IF(Kalender!A150="",0,J3809-H3810)</f>
        <v>0.0180986400000001</v>
      </c>
    </row>
    <row r="3811" customFormat="false" ht="16.4" hidden="false" customHeight="false" outlineLevel="0" collapsed="false">
      <c r="A3811" s="13" t="str">
        <f aca="false">""</f>
        <v/>
      </c>
      <c r="B3811" s="13" t="n">
        <f aca="false">147</f>
        <v>147</v>
      </c>
      <c r="C3811" s="13" t="n">
        <f aca="false">IF(Szenarien!$H$21="OK",(IFERROR(SUMIF(Nutzungsprofile!$B$6:$B$11,"Schulbetrieb",Nutzungsprofile!$G$6:$G$11)*Kalender!C151/SUM(Kalender!$C$5:$C$370),0)+IFERROR(SUMIF(Nutzungsprofile!$B$6:$B$11,"Halle",Nutzungsprofile!$G$6:$G$11)*Kalender!D151/SUM(Kalender!$D$5:$D$370),0)+IFERROR(SUMIF(Nutzungsprofile!$B$6:$B$11,"Individuell",Nutzungsprofile!$G$6:$G$11)*Kalender!E151/SUM(Kalender!$E$5:$E$370),0))*Szenarien!$E$21,0)</f>
        <v>3.528</v>
      </c>
      <c r="D3811" s="13" t="n">
        <f aca="false">IF(Szenarien!$H$21="OK",(IFERROR(SUMIF(Nutzungsprofile!$B$17:$B$22,"Schulbetrieb",Nutzungsprofile!$G$17:$G$22)*Kalender!C151/SUM(Kalender!$C$5:$C$370),0)+IFERROR(SUMIF(Nutzungsprofile!$B$17:$B$22,"Halle",Nutzungsprofile!$G$17:$G$22)*Kalender!D151/SUM(Kalender!$D$5:$D$370),0)+IFERROR(SUMIF(Nutzungsprofile!$B$17:$B$22,"Individuell",Nutzungsprofile!$G$17:$G$22)*Kalender!E151/SUM(Kalender!$E$5:$E$370),0))*Szenarien!$D$21,0)</f>
        <v>4.94</v>
      </c>
      <c r="E3811" s="13" t="n">
        <f aca="false">IFERROR(MIN(C3811,Eingaben!$B$17)*Eingaben!$B$16,0)</f>
        <v>3.3516</v>
      </c>
      <c r="F3811" s="13" t="n">
        <f aca="false">IFERROR(E3811*Eingaben!$B$15,0)</f>
        <v>3.01644</v>
      </c>
      <c r="G3811" s="13" t="n">
        <f aca="false">IFERROR(IF(Kalender!A151="",0,J3810*(1-Eingaben!$B$20)),0)</f>
        <v>0.88683336</v>
      </c>
      <c r="H3811" s="13" t="n">
        <f aca="false">MIN(G3811,D3811)</f>
        <v>0.88683336</v>
      </c>
      <c r="I3811" s="13" t="n">
        <f aca="false">IFERROR(MIN(F3811*Eingaben!$B$19,MAX(0,D3811-H3811)),0)</f>
        <v>2.111508</v>
      </c>
      <c r="J3811" s="13" t="n">
        <f aca="false">IFERROR(MIN(Eingaben!$B$18,MAX(0,F3811-I3811)),0)</f>
        <v>0.904932</v>
      </c>
      <c r="K3811" s="13" t="n">
        <f aca="false">H3811+I3811</f>
        <v>2.99834136</v>
      </c>
      <c r="L3811" s="13" t="n">
        <f aca="false">MAX(0,D3811-K3811)</f>
        <v>1.94165864</v>
      </c>
      <c r="M3811" s="13" t="n">
        <f aca="false">MAX(0,F3811-I3811-J3811)</f>
        <v>0</v>
      </c>
      <c r="N3811" s="13" t="n">
        <f aca="false">IF(Kalender!A151="",0,J3810-H3811)</f>
        <v>0.0180986400000001</v>
      </c>
    </row>
    <row r="3812" customFormat="false" ht="16.4" hidden="false" customHeight="false" outlineLevel="0" collapsed="false">
      <c r="A3812" s="13" t="str">
        <f aca="false">""</f>
        <v/>
      </c>
      <c r="B3812" s="13" t="n">
        <f aca="false">148</f>
        <v>148</v>
      </c>
      <c r="C3812" s="13" t="n">
        <f aca="false">IF(Szenarien!$H$21="OK",(IFERROR(SUMIF(Nutzungsprofile!$B$6:$B$11,"Schulbetrieb",Nutzungsprofile!$G$6:$G$11)*Kalender!C152/SUM(Kalender!$C$5:$C$370),0)+IFERROR(SUMIF(Nutzungsprofile!$B$6:$B$11,"Halle",Nutzungsprofile!$G$6:$G$11)*Kalender!D152/SUM(Kalender!$D$5:$D$370),0)+IFERROR(SUMIF(Nutzungsprofile!$B$6:$B$11,"Individuell",Nutzungsprofile!$G$6:$G$11)*Kalender!E152/SUM(Kalender!$E$5:$E$370),0))*Szenarien!$E$21,0)</f>
        <v>3.528</v>
      </c>
      <c r="D3812" s="13" t="n">
        <f aca="false">IF(Szenarien!$H$21="OK",(IFERROR(SUMIF(Nutzungsprofile!$B$17:$B$22,"Schulbetrieb",Nutzungsprofile!$G$17:$G$22)*Kalender!C152/SUM(Kalender!$C$5:$C$370),0)+IFERROR(SUMIF(Nutzungsprofile!$B$17:$B$22,"Halle",Nutzungsprofile!$G$17:$G$22)*Kalender!D152/SUM(Kalender!$D$5:$D$370),0)+IFERROR(SUMIF(Nutzungsprofile!$B$17:$B$22,"Individuell",Nutzungsprofile!$G$17:$G$22)*Kalender!E152/SUM(Kalender!$E$5:$E$370),0))*Szenarien!$D$21,0)</f>
        <v>4.94</v>
      </c>
      <c r="E3812" s="13" t="n">
        <f aca="false">IFERROR(MIN(C3812,Eingaben!$B$17)*Eingaben!$B$16,0)</f>
        <v>3.3516</v>
      </c>
      <c r="F3812" s="13" t="n">
        <f aca="false">IFERROR(E3812*Eingaben!$B$15,0)</f>
        <v>3.01644</v>
      </c>
      <c r="G3812" s="13" t="n">
        <f aca="false">IFERROR(IF(Kalender!A152="",0,J3811*(1-Eingaben!$B$20)),0)</f>
        <v>0.88683336</v>
      </c>
      <c r="H3812" s="13" t="n">
        <f aca="false">MIN(G3812,D3812)</f>
        <v>0.88683336</v>
      </c>
      <c r="I3812" s="13" t="n">
        <f aca="false">IFERROR(MIN(F3812*Eingaben!$B$19,MAX(0,D3812-H3812)),0)</f>
        <v>2.111508</v>
      </c>
      <c r="J3812" s="13" t="n">
        <f aca="false">IFERROR(MIN(Eingaben!$B$18,MAX(0,F3812-I3812)),0)</f>
        <v>0.904932</v>
      </c>
      <c r="K3812" s="13" t="n">
        <f aca="false">H3812+I3812</f>
        <v>2.99834136</v>
      </c>
      <c r="L3812" s="13" t="n">
        <f aca="false">MAX(0,D3812-K3812)</f>
        <v>1.94165864</v>
      </c>
      <c r="M3812" s="13" t="n">
        <f aca="false">MAX(0,F3812-I3812-J3812)</f>
        <v>0</v>
      </c>
      <c r="N3812" s="13" t="n">
        <f aca="false">IF(Kalender!A152="",0,J3811-H3812)</f>
        <v>0.0180986400000001</v>
      </c>
    </row>
    <row r="3813" customFormat="false" ht="16.4" hidden="false" customHeight="false" outlineLevel="0" collapsed="false">
      <c r="A3813" s="13" t="str">
        <f aca="false">""</f>
        <v/>
      </c>
      <c r="B3813" s="13" t="n">
        <f aca="false">149</f>
        <v>149</v>
      </c>
      <c r="C3813" s="13" t="n">
        <f aca="false">IF(Szenarien!$H$21="OK",(IFERROR(SUMIF(Nutzungsprofile!$B$6:$B$11,"Schulbetrieb",Nutzungsprofile!$G$6:$G$11)*Kalender!C153/SUM(Kalender!$C$5:$C$370),0)+IFERROR(SUMIF(Nutzungsprofile!$B$6:$B$11,"Halle",Nutzungsprofile!$G$6:$G$11)*Kalender!D153/SUM(Kalender!$D$5:$D$370),0)+IFERROR(SUMIF(Nutzungsprofile!$B$6:$B$11,"Individuell",Nutzungsprofile!$G$6:$G$11)*Kalender!E153/SUM(Kalender!$E$5:$E$370),0))*Szenarien!$E$21,0)</f>
        <v>3.528</v>
      </c>
      <c r="D3813" s="13" t="n">
        <f aca="false">IF(Szenarien!$H$21="OK",(IFERROR(SUMIF(Nutzungsprofile!$B$17:$B$22,"Schulbetrieb",Nutzungsprofile!$G$17:$G$22)*Kalender!C153/SUM(Kalender!$C$5:$C$370),0)+IFERROR(SUMIF(Nutzungsprofile!$B$17:$B$22,"Halle",Nutzungsprofile!$G$17:$G$22)*Kalender!D153/SUM(Kalender!$D$5:$D$370),0)+IFERROR(SUMIF(Nutzungsprofile!$B$17:$B$22,"Individuell",Nutzungsprofile!$G$17:$G$22)*Kalender!E153/SUM(Kalender!$E$5:$E$370),0))*Szenarien!$D$21,0)</f>
        <v>4.94</v>
      </c>
      <c r="E3813" s="13" t="n">
        <f aca="false">IFERROR(MIN(C3813,Eingaben!$B$17)*Eingaben!$B$16,0)</f>
        <v>3.3516</v>
      </c>
      <c r="F3813" s="13" t="n">
        <f aca="false">IFERROR(E3813*Eingaben!$B$15,0)</f>
        <v>3.01644</v>
      </c>
      <c r="G3813" s="13" t="n">
        <f aca="false">IFERROR(IF(Kalender!A153="",0,J3812*(1-Eingaben!$B$20)),0)</f>
        <v>0.88683336</v>
      </c>
      <c r="H3813" s="13" t="n">
        <f aca="false">MIN(G3813,D3813)</f>
        <v>0.88683336</v>
      </c>
      <c r="I3813" s="13" t="n">
        <f aca="false">IFERROR(MIN(F3813*Eingaben!$B$19,MAX(0,D3813-H3813)),0)</f>
        <v>2.111508</v>
      </c>
      <c r="J3813" s="13" t="n">
        <f aca="false">IFERROR(MIN(Eingaben!$B$18,MAX(0,F3813-I3813)),0)</f>
        <v>0.904932</v>
      </c>
      <c r="K3813" s="13" t="n">
        <f aca="false">H3813+I3813</f>
        <v>2.99834136</v>
      </c>
      <c r="L3813" s="13" t="n">
        <f aca="false">MAX(0,D3813-K3813)</f>
        <v>1.94165864</v>
      </c>
      <c r="M3813" s="13" t="n">
        <f aca="false">MAX(0,F3813-I3813-J3813)</f>
        <v>0</v>
      </c>
      <c r="N3813" s="13" t="n">
        <f aca="false">IF(Kalender!A153="",0,J3812-H3813)</f>
        <v>0.0180986400000001</v>
      </c>
    </row>
    <row r="3814" customFormat="false" ht="16.4" hidden="false" customHeight="false" outlineLevel="0" collapsed="false">
      <c r="A3814" s="13" t="str">
        <f aca="false">""</f>
        <v/>
      </c>
      <c r="B3814" s="13" t="n">
        <f aca="false">150</f>
        <v>150</v>
      </c>
      <c r="C3814" s="13" t="n">
        <f aca="false">IF(Szenarien!$H$21="OK",(IFERROR(SUMIF(Nutzungsprofile!$B$6:$B$11,"Schulbetrieb",Nutzungsprofile!$G$6:$G$11)*Kalender!C154/SUM(Kalender!$C$5:$C$370),0)+IFERROR(SUMIF(Nutzungsprofile!$B$6:$B$11,"Halle",Nutzungsprofile!$G$6:$G$11)*Kalender!D154/SUM(Kalender!$D$5:$D$370),0)+IFERROR(SUMIF(Nutzungsprofile!$B$6:$B$11,"Individuell",Nutzungsprofile!$G$6:$G$11)*Kalender!E154/SUM(Kalender!$E$5:$E$370),0))*Szenarien!$E$21,0)</f>
        <v>2.448</v>
      </c>
      <c r="D3814" s="13" t="n">
        <f aca="false">IF(Szenarien!$H$21="OK",(IFERROR(SUMIF(Nutzungsprofile!$B$17:$B$22,"Schulbetrieb",Nutzungsprofile!$G$17:$G$22)*Kalender!C154/SUM(Kalender!$C$5:$C$370),0)+IFERROR(SUMIF(Nutzungsprofile!$B$17:$B$22,"Halle",Nutzungsprofile!$G$17:$G$22)*Kalender!D154/SUM(Kalender!$D$5:$D$370),0)+IFERROR(SUMIF(Nutzungsprofile!$B$17:$B$22,"Individuell",Nutzungsprofile!$G$17:$G$22)*Kalender!E154/SUM(Kalender!$E$5:$E$370),0))*Szenarien!$D$21,0)</f>
        <v>0.89</v>
      </c>
      <c r="E3814" s="13" t="n">
        <f aca="false">IFERROR(MIN(C3814,Eingaben!$B$17)*Eingaben!$B$16,0)</f>
        <v>2.3256</v>
      </c>
      <c r="F3814" s="13" t="n">
        <f aca="false">IFERROR(E3814*Eingaben!$B$15,0)</f>
        <v>2.09304</v>
      </c>
      <c r="G3814" s="13" t="n">
        <f aca="false">IFERROR(IF(Kalender!A154="",0,J3813*(1-Eingaben!$B$20)),0)</f>
        <v>0.88683336</v>
      </c>
      <c r="H3814" s="13" t="n">
        <f aca="false">MIN(G3814,D3814)</f>
        <v>0.88683336</v>
      </c>
      <c r="I3814" s="13" t="n">
        <f aca="false">IFERROR(MIN(F3814*Eingaben!$B$19,MAX(0,D3814-H3814)),0)</f>
        <v>0.00316664</v>
      </c>
      <c r="J3814" s="13" t="n">
        <f aca="false">IFERROR(MIN(Eingaben!$B$18,MAX(0,F3814-I3814)),0)</f>
        <v>2</v>
      </c>
      <c r="K3814" s="13" t="n">
        <f aca="false">H3814+I3814</f>
        <v>0.89</v>
      </c>
      <c r="L3814" s="13" t="n">
        <f aca="false">MAX(0,D3814-K3814)</f>
        <v>0</v>
      </c>
      <c r="M3814" s="13" t="n">
        <f aca="false">MAX(0,F3814-I3814-J3814)</f>
        <v>0.0898733599999999</v>
      </c>
      <c r="N3814" s="13" t="n">
        <f aca="false">IF(Kalender!A154="",0,J3813-H3814)</f>
        <v>0.0180986400000001</v>
      </c>
    </row>
    <row r="3815" customFormat="false" ht="16.4" hidden="false" customHeight="false" outlineLevel="0" collapsed="false">
      <c r="A3815" s="13" t="str">
        <f aca="false">""</f>
        <v/>
      </c>
      <c r="B3815" s="13" t="n">
        <f aca="false">151</f>
        <v>151</v>
      </c>
      <c r="C3815" s="13" t="n">
        <f aca="false">IF(Szenarien!$H$21="OK",(IFERROR(SUMIF(Nutzungsprofile!$B$6:$B$11,"Schulbetrieb",Nutzungsprofile!$G$6:$G$11)*Kalender!C155/SUM(Kalender!$C$5:$C$370),0)+IFERROR(SUMIF(Nutzungsprofile!$B$6:$B$11,"Halle",Nutzungsprofile!$G$6:$G$11)*Kalender!D155/SUM(Kalender!$D$5:$D$370),0)+IFERROR(SUMIF(Nutzungsprofile!$B$6:$B$11,"Individuell",Nutzungsprofile!$G$6:$G$11)*Kalender!E155/SUM(Kalender!$E$5:$E$370),0))*Szenarien!$E$21,0)</f>
        <v>2.448</v>
      </c>
      <c r="D3815" s="13" t="n">
        <f aca="false">IF(Szenarien!$H$21="OK",(IFERROR(SUMIF(Nutzungsprofile!$B$17:$B$22,"Schulbetrieb",Nutzungsprofile!$G$17:$G$22)*Kalender!C155/SUM(Kalender!$C$5:$C$370),0)+IFERROR(SUMIF(Nutzungsprofile!$B$17:$B$22,"Halle",Nutzungsprofile!$G$17:$G$22)*Kalender!D155/SUM(Kalender!$D$5:$D$370),0)+IFERROR(SUMIF(Nutzungsprofile!$B$17:$B$22,"Individuell",Nutzungsprofile!$G$17:$G$22)*Kalender!E155/SUM(Kalender!$E$5:$E$370),0))*Szenarien!$D$21,0)</f>
        <v>0.89</v>
      </c>
      <c r="E3815" s="13" t="n">
        <f aca="false">IFERROR(MIN(C3815,Eingaben!$B$17)*Eingaben!$B$16,0)</f>
        <v>2.3256</v>
      </c>
      <c r="F3815" s="13" t="n">
        <f aca="false">IFERROR(E3815*Eingaben!$B$15,0)</f>
        <v>2.09304</v>
      </c>
      <c r="G3815" s="13" t="n">
        <f aca="false">IFERROR(IF(Kalender!A155="",0,J3814*(1-Eingaben!$B$20)),0)</f>
        <v>1.96</v>
      </c>
      <c r="H3815" s="13" t="n">
        <f aca="false">MIN(G3815,D3815)</f>
        <v>0.89</v>
      </c>
      <c r="I3815" s="13" t="n">
        <f aca="false">IFERROR(MIN(F3815*Eingaben!$B$19,MAX(0,D3815-H3815)),0)</f>
        <v>0</v>
      </c>
      <c r="J3815" s="13" t="n">
        <f aca="false">IFERROR(MIN(Eingaben!$B$18,MAX(0,F3815-I3815)),0)</f>
        <v>2</v>
      </c>
      <c r="K3815" s="13" t="n">
        <f aca="false">H3815+I3815</f>
        <v>0.89</v>
      </c>
      <c r="L3815" s="13" t="n">
        <f aca="false">MAX(0,D3815-K3815)</f>
        <v>0</v>
      </c>
      <c r="M3815" s="13" t="n">
        <f aca="false">MAX(0,F3815-I3815-J3815)</f>
        <v>0.0930399999999998</v>
      </c>
      <c r="N3815" s="13" t="n">
        <f aca="false">IF(Kalender!A155="",0,J3814-H3815)</f>
        <v>1.11</v>
      </c>
    </row>
    <row r="3816" customFormat="false" ht="16.4" hidden="false" customHeight="false" outlineLevel="0" collapsed="false">
      <c r="A3816" s="13" t="str">
        <f aca="false">""</f>
        <v/>
      </c>
      <c r="B3816" s="13" t="n">
        <f aca="false">152</f>
        <v>152</v>
      </c>
      <c r="C3816" s="13" t="n">
        <f aca="false">IF(Szenarien!$H$21="OK",(IFERROR(SUMIF(Nutzungsprofile!$B$6:$B$11,"Schulbetrieb",Nutzungsprofile!$G$6:$G$11)*Kalender!C156/SUM(Kalender!$C$5:$C$370),0)+IFERROR(SUMIF(Nutzungsprofile!$B$6:$B$11,"Halle",Nutzungsprofile!$G$6:$G$11)*Kalender!D156/SUM(Kalender!$D$5:$D$370),0)+IFERROR(SUMIF(Nutzungsprofile!$B$6:$B$11,"Individuell",Nutzungsprofile!$G$6:$G$11)*Kalender!E156/SUM(Kalender!$E$5:$E$370),0))*Szenarien!$E$21,0)</f>
        <v>3.528</v>
      </c>
      <c r="D3816" s="13" t="n">
        <f aca="false">IF(Szenarien!$H$21="OK",(IFERROR(SUMIF(Nutzungsprofile!$B$17:$B$22,"Schulbetrieb",Nutzungsprofile!$G$17:$G$22)*Kalender!C156/SUM(Kalender!$C$5:$C$370),0)+IFERROR(SUMIF(Nutzungsprofile!$B$17:$B$22,"Halle",Nutzungsprofile!$G$17:$G$22)*Kalender!D156/SUM(Kalender!$D$5:$D$370),0)+IFERROR(SUMIF(Nutzungsprofile!$B$17:$B$22,"Individuell",Nutzungsprofile!$G$17:$G$22)*Kalender!E156/SUM(Kalender!$E$5:$E$370),0))*Szenarien!$D$21,0)</f>
        <v>4.94</v>
      </c>
      <c r="E3816" s="13" t="n">
        <f aca="false">IFERROR(MIN(C3816,Eingaben!$B$17)*Eingaben!$B$16,0)</f>
        <v>3.3516</v>
      </c>
      <c r="F3816" s="13" t="n">
        <f aca="false">IFERROR(E3816*Eingaben!$B$15,0)</f>
        <v>3.01644</v>
      </c>
      <c r="G3816" s="13" t="n">
        <f aca="false">IFERROR(IF(Kalender!A156="",0,J3815*(1-Eingaben!$B$20)),0)</f>
        <v>1.96</v>
      </c>
      <c r="H3816" s="13" t="n">
        <f aca="false">MIN(G3816,D3816)</f>
        <v>1.96</v>
      </c>
      <c r="I3816" s="13" t="n">
        <f aca="false">IFERROR(MIN(F3816*Eingaben!$B$19,MAX(0,D3816-H3816)),0)</f>
        <v>2.111508</v>
      </c>
      <c r="J3816" s="13" t="n">
        <f aca="false">IFERROR(MIN(Eingaben!$B$18,MAX(0,F3816-I3816)),0)</f>
        <v>0.904932</v>
      </c>
      <c r="K3816" s="13" t="n">
        <f aca="false">H3816+I3816</f>
        <v>4.071508</v>
      </c>
      <c r="L3816" s="13" t="n">
        <f aca="false">MAX(0,D3816-K3816)</f>
        <v>0.868492</v>
      </c>
      <c r="M3816" s="13" t="n">
        <f aca="false">MAX(0,F3816-I3816-J3816)</f>
        <v>0</v>
      </c>
      <c r="N3816" s="13" t="n">
        <f aca="false">IF(Kalender!A156="",0,J3815-H3816)</f>
        <v>0.04</v>
      </c>
    </row>
    <row r="3817" customFormat="false" ht="16.4" hidden="false" customHeight="false" outlineLevel="0" collapsed="false">
      <c r="A3817" s="13" t="str">
        <f aca="false">""</f>
        <v/>
      </c>
      <c r="B3817" s="13" t="n">
        <f aca="false">153</f>
        <v>153</v>
      </c>
      <c r="C3817" s="13" t="n">
        <f aca="false">IF(Szenarien!$H$21="OK",(IFERROR(SUMIF(Nutzungsprofile!$B$6:$B$11,"Schulbetrieb",Nutzungsprofile!$G$6:$G$11)*Kalender!C157/SUM(Kalender!$C$5:$C$370),0)+IFERROR(SUMIF(Nutzungsprofile!$B$6:$B$11,"Halle",Nutzungsprofile!$G$6:$G$11)*Kalender!D157/SUM(Kalender!$D$5:$D$370),0)+IFERROR(SUMIF(Nutzungsprofile!$B$6:$B$11,"Individuell",Nutzungsprofile!$G$6:$G$11)*Kalender!E157/SUM(Kalender!$E$5:$E$370),0))*Szenarien!$E$21,0)</f>
        <v>3.528</v>
      </c>
      <c r="D3817" s="13" t="n">
        <f aca="false">IF(Szenarien!$H$21="OK",(IFERROR(SUMIF(Nutzungsprofile!$B$17:$B$22,"Schulbetrieb",Nutzungsprofile!$G$17:$G$22)*Kalender!C157/SUM(Kalender!$C$5:$C$370),0)+IFERROR(SUMIF(Nutzungsprofile!$B$17:$B$22,"Halle",Nutzungsprofile!$G$17:$G$22)*Kalender!D157/SUM(Kalender!$D$5:$D$370),0)+IFERROR(SUMIF(Nutzungsprofile!$B$17:$B$22,"Individuell",Nutzungsprofile!$G$17:$G$22)*Kalender!E157/SUM(Kalender!$E$5:$E$370),0))*Szenarien!$D$21,0)</f>
        <v>4.94</v>
      </c>
      <c r="E3817" s="13" t="n">
        <f aca="false">IFERROR(MIN(C3817,Eingaben!$B$17)*Eingaben!$B$16,0)</f>
        <v>3.3516</v>
      </c>
      <c r="F3817" s="13" t="n">
        <f aca="false">IFERROR(E3817*Eingaben!$B$15,0)</f>
        <v>3.01644</v>
      </c>
      <c r="G3817" s="13" t="n">
        <f aca="false">IFERROR(IF(Kalender!A157="",0,J3816*(1-Eingaben!$B$20)),0)</f>
        <v>0.88683336</v>
      </c>
      <c r="H3817" s="13" t="n">
        <f aca="false">MIN(G3817,D3817)</f>
        <v>0.88683336</v>
      </c>
      <c r="I3817" s="13" t="n">
        <f aca="false">IFERROR(MIN(F3817*Eingaben!$B$19,MAX(0,D3817-H3817)),0)</f>
        <v>2.111508</v>
      </c>
      <c r="J3817" s="13" t="n">
        <f aca="false">IFERROR(MIN(Eingaben!$B$18,MAX(0,F3817-I3817)),0)</f>
        <v>0.904932</v>
      </c>
      <c r="K3817" s="13" t="n">
        <f aca="false">H3817+I3817</f>
        <v>2.99834136</v>
      </c>
      <c r="L3817" s="13" t="n">
        <f aca="false">MAX(0,D3817-K3817)</f>
        <v>1.94165864</v>
      </c>
      <c r="M3817" s="13" t="n">
        <f aca="false">MAX(0,F3817-I3817-J3817)</f>
        <v>0</v>
      </c>
      <c r="N3817" s="13" t="n">
        <f aca="false">IF(Kalender!A157="",0,J3816-H3817)</f>
        <v>0.0180986400000001</v>
      </c>
    </row>
    <row r="3818" customFormat="false" ht="16.4" hidden="false" customHeight="false" outlineLevel="0" collapsed="false">
      <c r="A3818" s="13" t="str">
        <f aca="false">""</f>
        <v/>
      </c>
      <c r="B3818" s="13" t="n">
        <f aca="false">154</f>
        <v>154</v>
      </c>
      <c r="C3818" s="13" t="n">
        <f aca="false">IF(Szenarien!$H$21="OK",(IFERROR(SUMIF(Nutzungsprofile!$B$6:$B$11,"Schulbetrieb",Nutzungsprofile!$G$6:$G$11)*Kalender!C158/SUM(Kalender!$C$5:$C$370),0)+IFERROR(SUMIF(Nutzungsprofile!$B$6:$B$11,"Halle",Nutzungsprofile!$G$6:$G$11)*Kalender!D158/SUM(Kalender!$D$5:$D$370),0)+IFERROR(SUMIF(Nutzungsprofile!$B$6:$B$11,"Individuell",Nutzungsprofile!$G$6:$G$11)*Kalender!E158/SUM(Kalender!$E$5:$E$370),0))*Szenarien!$E$21,0)</f>
        <v>3.528</v>
      </c>
      <c r="D3818" s="13" t="n">
        <f aca="false">IF(Szenarien!$H$21="OK",(IFERROR(SUMIF(Nutzungsprofile!$B$17:$B$22,"Schulbetrieb",Nutzungsprofile!$G$17:$G$22)*Kalender!C158/SUM(Kalender!$C$5:$C$370),0)+IFERROR(SUMIF(Nutzungsprofile!$B$17:$B$22,"Halle",Nutzungsprofile!$G$17:$G$22)*Kalender!D158/SUM(Kalender!$D$5:$D$370),0)+IFERROR(SUMIF(Nutzungsprofile!$B$17:$B$22,"Individuell",Nutzungsprofile!$G$17:$G$22)*Kalender!E158/SUM(Kalender!$E$5:$E$370),0))*Szenarien!$D$21,0)</f>
        <v>4.94</v>
      </c>
      <c r="E3818" s="13" t="n">
        <f aca="false">IFERROR(MIN(C3818,Eingaben!$B$17)*Eingaben!$B$16,0)</f>
        <v>3.3516</v>
      </c>
      <c r="F3818" s="13" t="n">
        <f aca="false">IFERROR(E3818*Eingaben!$B$15,0)</f>
        <v>3.01644</v>
      </c>
      <c r="G3818" s="13" t="n">
        <f aca="false">IFERROR(IF(Kalender!A158="",0,J3817*(1-Eingaben!$B$20)),0)</f>
        <v>0.88683336</v>
      </c>
      <c r="H3818" s="13" t="n">
        <f aca="false">MIN(G3818,D3818)</f>
        <v>0.88683336</v>
      </c>
      <c r="I3818" s="13" t="n">
        <f aca="false">IFERROR(MIN(F3818*Eingaben!$B$19,MAX(0,D3818-H3818)),0)</f>
        <v>2.111508</v>
      </c>
      <c r="J3818" s="13" t="n">
        <f aca="false">IFERROR(MIN(Eingaben!$B$18,MAX(0,F3818-I3818)),0)</f>
        <v>0.904932</v>
      </c>
      <c r="K3818" s="13" t="n">
        <f aca="false">H3818+I3818</f>
        <v>2.99834136</v>
      </c>
      <c r="L3818" s="13" t="n">
        <f aca="false">MAX(0,D3818-K3818)</f>
        <v>1.94165864</v>
      </c>
      <c r="M3818" s="13" t="n">
        <f aca="false">MAX(0,F3818-I3818-J3818)</f>
        <v>0</v>
      </c>
      <c r="N3818" s="13" t="n">
        <f aca="false">IF(Kalender!A158="",0,J3817-H3818)</f>
        <v>0.0180986400000001</v>
      </c>
    </row>
    <row r="3819" customFormat="false" ht="16.4" hidden="false" customHeight="false" outlineLevel="0" collapsed="false">
      <c r="A3819" s="13" t="str">
        <f aca="false">""</f>
        <v/>
      </c>
      <c r="B3819" s="13" t="n">
        <f aca="false">155</f>
        <v>155</v>
      </c>
      <c r="C3819" s="13" t="n">
        <f aca="false">IF(Szenarien!$H$21="OK",(IFERROR(SUMIF(Nutzungsprofile!$B$6:$B$11,"Schulbetrieb",Nutzungsprofile!$G$6:$G$11)*Kalender!C159/SUM(Kalender!$C$5:$C$370),0)+IFERROR(SUMIF(Nutzungsprofile!$B$6:$B$11,"Halle",Nutzungsprofile!$G$6:$G$11)*Kalender!D159/SUM(Kalender!$D$5:$D$370),0)+IFERROR(SUMIF(Nutzungsprofile!$B$6:$B$11,"Individuell",Nutzungsprofile!$G$6:$G$11)*Kalender!E159/SUM(Kalender!$E$5:$E$370),0))*Szenarien!$E$21,0)</f>
        <v>3.528</v>
      </c>
      <c r="D3819" s="13" t="n">
        <f aca="false">IF(Szenarien!$H$21="OK",(IFERROR(SUMIF(Nutzungsprofile!$B$17:$B$22,"Schulbetrieb",Nutzungsprofile!$G$17:$G$22)*Kalender!C159/SUM(Kalender!$C$5:$C$370),0)+IFERROR(SUMIF(Nutzungsprofile!$B$17:$B$22,"Halle",Nutzungsprofile!$G$17:$G$22)*Kalender!D159/SUM(Kalender!$D$5:$D$370),0)+IFERROR(SUMIF(Nutzungsprofile!$B$17:$B$22,"Individuell",Nutzungsprofile!$G$17:$G$22)*Kalender!E159/SUM(Kalender!$E$5:$E$370),0))*Szenarien!$D$21,0)</f>
        <v>4.94</v>
      </c>
      <c r="E3819" s="13" t="n">
        <f aca="false">IFERROR(MIN(C3819,Eingaben!$B$17)*Eingaben!$B$16,0)</f>
        <v>3.3516</v>
      </c>
      <c r="F3819" s="13" t="n">
        <f aca="false">IFERROR(E3819*Eingaben!$B$15,0)</f>
        <v>3.01644</v>
      </c>
      <c r="G3819" s="13" t="n">
        <f aca="false">IFERROR(IF(Kalender!A159="",0,J3818*(1-Eingaben!$B$20)),0)</f>
        <v>0.88683336</v>
      </c>
      <c r="H3819" s="13" t="n">
        <f aca="false">MIN(G3819,D3819)</f>
        <v>0.88683336</v>
      </c>
      <c r="I3819" s="13" t="n">
        <f aca="false">IFERROR(MIN(F3819*Eingaben!$B$19,MAX(0,D3819-H3819)),0)</f>
        <v>2.111508</v>
      </c>
      <c r="J3819" s="13" t="n">
        <f aca="false">IFERROR(MIN(Eingaben!$B$18,MAX(0,F3819-I3819)),0)</f>
        <v>0.904932</v>
      </c>
      <c r="K3819" s="13" t="n">
        <f aca="false">H3819+I3819</f>
        <v>2.99834136</v>
      </c>
      <c r="L3819" s="13" t="n">
        <f aca="false">MAX(0,D3819-K3819)</f>
        <v>1.94165864</v>
      </c>
      <c r="M3819" s="13" t="n">
        <f aca="false">MAX(0,F3819-I3819-J3819)</f>
        <v>0</v>
      </c>
      <c r="N3819" s="13" t="n">
        <f aca="false">IF(Kalender!A159="",0,J3818-H3819)</f>
        <v>0.0180986400000001</v>
      </c>
    </row>
    <row r="3820" customFormat="false" ht="16.4" hidden="false" customHeight="false" outlineLevel="0" collapsed="false">
      <c r="A3820" s="13" t="str">
        <f aca="false">""</f>
        <v/>
      </c>
      <c r="B3820" s="13" t="n">
        <f aca="false">156</f>
        <v>156</v>
      </c>
      <c r="C3820" s="13" t="n">
        <f aca="false">IF(Szenarien!$H$21="OK",(IFERROR(SUMIF(Nutzungsprofile!$B$6:$B$11,"Schulbetrieb",Nutzungsprofile!$G$6:$G$11)*Kalender!C160/SUM(Kalender!$C$5:$C$370),0)+IFERROR(SUMIF(Nutzungsprofile!$B$6:$B$11,"Halle",Nutzungsprofile!$G$6:$G$11)*Kalender!D160/SUM(Kalender!$D$5:$D$370),0)+IFERROR(SUMIF(Nutzungsprofile!$B$6:$B$11,"Individuell",Nutzungsprofile!$G$6:$G$11)*Kalender!E160/SUM(Kalender!$E$5:$E$370),0))*Szenarien!$E$21,0)</f>
        <v>3.528</v>
      </c>
      <c r="D3820" s="13" t="n">
        <f aca="false">IF(Szenarien!$H$21="OK",(IFERROR(SUMIF(Nutzungsprofile!$B$17:$B$22,"Schulbetrieb",Nutzungsprofile!$G$17:$G$22)*Kalender!C160/SUM(Kalender!$C$5:$C$370),0)+IFERROR(SUMIF(Nutzungsprofile!$B$17:$B$22,"Halle",Nutzungsprofile!$G$17:$G$22)*Kalender!D160/SUM(Kalender!$D$5:$D$370),0)+IFERROR(SUMIF(Nutzungsprofile!$B$17:$B$22,"Individuell",Nutzungsprofile!$G$17:$G$22)*Kalender!E160/SUM(Kalender!$E$5:$E$370),0))*Szenarien!$D$21,0)</f>
        <v>4.94</v>
      </c>
      <c r="E3820" s="13" t="n">
        <f aca="false">IFERROR(MIN(C3820,Eingaben!$B$17)*Eingaben!$B$16,0)</f>
        <v>3.3516</v>
      </c>
      <c r="F3820" s="13" t="n">
        <f aca="false">IFERROR(E3820*Eingaben!$B$15,0)</f>
        <v>3.01644</v>
      </c>
      <c r="G3820" s="13" t="n">
        <f aca="false">IFERROR(IF(Kalender!A160="",0,J3819*(1-Eingaben!$B$20)),0)</f>
        <v>0.88683336</v>
      </c>
      <c r="H3820" s="13" t="n">
        <f aca="false">MIN(G3820,D3820)</f>
        <v>0.88683336</v>
      </c>
      <c r="I3820" s="13" t="n">
        <f aca="false">IFERROR(MIN(F3820*Eingaben!$B$19,MAX(0,D3820-H3820)),0)</f>
        <v>2.111508</v>
      </c>
      <c r="J3820" s="13" t="n">
        <f aca="false">IFERROR(MIN(Eingaben!$B$18,MAX(0,F3820-I3820)),0)</f>
        <v>0.904932</v>
      </c>
      <c r="K3820" s="13" t="n">
        <f aca="false">H3820+I3820</f>
        <v>2.99834136</v>
      </c>
      <c r="L3820" s="13" t="n">
        <f aca="false">MAX(0,D3820-K3820)</f>
        <v>1.94165864</v>
      </c>
      <c r="M3820" s="13" t="n">
        <f aca="false">MAX(0,F3820-I3820-J3820)</f>
        <v>0</v>
      </c>
      <c r="N3820" s="13" t="n">
        <f aca="false">IF(Kalender!A160="",0,J3819-H3820)</f>
        <v>0.0180986400000001</v>
      </c>
    </row>
    <row r="3821" customFormat="false" ht="16.4" hidden="false" customHeight="false" outlineLevel="0" collapsed="false">
      <c r="A3821" s="13" t="str">
        <f aca="false">""</f>
        <v/>
      </c>
      <c r="B3821" s="13" t="n">
        <f aca="false">157</f>
        <v>157</v>
      </c>
      <c r="C3821" s="13" t="n">
        <f aca="false">IF(Szenarien!$H$21="OK",(IFERROR(SUMIF(Nutzungsprofile!$B$6:$B$11,"Schulbetrieb",Nutzungsprofile!$G$6:$G$11)*Kalender!C161/SUM(Kalender!$C$5:$C$370),0)+IFERROR(SUMIF(Nutzungsprofile!$B$6:$B$11,"Halle",Nutzungsprofile!$G$6:$G$11)*Kalender!D161/SUM(Kalender!$D$5:$D$370),0)+IFERROR(SUMIF(Nutzungsprofile!$B$6:$B$11,"Individuell",Nutzungsprofile!$G$6:$G$11)*Kalender!E161/SUM(Kalender!$E$5:$E$370),0))*Szenarien!$E$21,0)</f>
        <v>2.448</v>
      </c>
      <c r="D3821" s="13" t="n">
        <f aca="false">IF(Szenarien!$H$21="OK",(IFERROR(SUMIF(Nutzungsprofile!$B$17:$B$22,"Schulbetrieb",Nutzungsprofile!$G$17:$G$22)*Kalender!C161/SUM(Kalender!$C$5:$C$370),0)+IFERROR(SUMIF(Nutzungsprofile!$B$17:$B$22,"Halle",Nutzungsprofile!$G$17:$G$22)*Kalender!D161/SUM(Kalender!$D$5:$D$370),0)+IFERROR(SUMIF(Nutzungsprofile!$B$17:$B$22,"Individuell",Nutzungsprofile!$G$17:$G$22)*Kalender!E161/SUM(Kalender!$E$5:$E$370),0))*Szenarien!$D$21,0)</f>
        <v>0.89</v>
      </c>
      <c r="E3821" s="13" t="n">
        <f aca="false">IFERROR(MIN(C3821,Eingaben!$B$17)*Eingaben!$B$16,0)</f>
        <v>2.3256</v>
      </c>
      <c r="F3821" s="13" t="n">
        <f aca="false">IFERROR(E3821*Eingaben!$B$15,0)</f>
        <v>2.09304</v>
      </c>
      <c r="G3821" s="13" t="n">
        <f aca="false">IFERROR(IF(Kalender!A161="",0,J3820*(1-Eingaben!$B$20)),0)</f>
        <v>0.88683336</v>
      </c>
      <c r="H3821" s="13" t="n">
        <f aca="false">MIN(G3821,D3821)</f>
        <v>0.88683336</v>
      </c>
      <c r="I3821" s="13" t="n">
        <f aca="false">IFERROR(MIN(F3821*Eingaben!$B$19,MAX(0,D3821-H3821)),0)</f>
        <v>0.00316664</v>
      </c>
      <c r="J3821" s="13" t="n">
        <f aca="false">IFERROR(MIN(Eingaben!$B$18,MAX(0,F3821-I3821)),0)</f>
        <v>2</v>
      </c>
      <c r="K3821" s="13" t="n">
        <f aca="false">H3821+I3821</f>
        <v>0.89</v>
      </c>
      <c r="L3821" s="13" t="n">
        <f aca="false">MAX(0,D3821-K3821)</f>
        <v>0</v>
      </c>
      <c r="M3821" s="13" t="n">
        <f aca="false">MAX(0,F3821-I3821-J3821)</f>
        <v>0.0898733599999999</v>
      </c>
      <c r="N3821" s="13" t="n">
        <f aca="false">IF(Kalender!A161="",0,J3820-H3821)</f>
        <v>0.0180986400000001</v>
      </c>
    </row>
    <row r="3822" customFormat="false" ht="16.4" hidden="false" customHeight="false" outlineLevel="0" collapsed="false">
      <c r="A3822" s="13" t="str">
        <f aca="false">""</f>
        <v/>
      </c>
      <c r="B3822" s="13" t="n">
        <f aca="false">158</f>
        <v>158</v>
      </c>
      <c r="C3822" s="13" t="n">
        <f aca="false">IF(Szenarien!$H$21="OK",(IFERROR(SUMIF(Nutzungsprofile!$B$6:$B$11,"Schulbetrieb",Nutzungsprofile!$G$6:$G$11)*Kalender!C162/SUM(Kalender!$C$5:$C$370),0)+IFERROR(SUMIF(Nutzungsprofile!$B$6:$B$11,"Halle",Nutzungsprofile!$G$6:$G$11)*Kalender!D162/SUM(Kalender!$D$5:$D$370),0)+IFERROR(SUMIF(Nutzungsprofile!$B$6:$B$11,"Individuell",Nutzungsprofile!$G$6:$G$11)*Kalender!E162/SUM(Kalender!$E$5:$E$370),0))*Szenarien!$E$21,0)</f>
        <v>2.448</v>
      </c>
      <c r="D3822" s="13" t="n">
        <f aca="false">IF(Szenarien!$H$21="OK",(IFERROR(SUMIF(Nutzungsprofile!$B$17:$B$22,"Schulbetrieb",Nutzungsprofile!$G$17:$G$22)*Kalender!C162/SUM(Kalender!$C$5:$C$370),0)+IFERROR(SUMIF(Nutzungsprofile!$B$17:$B$22,"Halle",Nutzungsprofile!$G$17:$G$22)*Kalender!D162/SUM(Kalender!$D$5:$D$370),0)+IFERROR(SUMIF(Nutzungsprofile!$B$17:$B$22,"Individuell",Nutzungsprofile!$G$17:$G$22)*Kalender!E162/SUM(Kalender!$E$5:$E$370),0))*Szenarien!$D$21,0)</f>
        <v>0.89</v>
      </c>
      <c r="E3822" s="13" t="n">
        <f aca="false">IFERROR(MIN(C3822,Eingaben!$B$17)*Eingaben!$B$16,0)</f>
        <v>2.3256</v>
      </c>
      <c r="F3822" s="13" t="n">
        <f aca="false">IFERROR(E3822*Eingaben!$B$15,0)</f>
        <v>2.09304</v>
      </c>
      <c r="G3822" s="13" t="n">
        <f aca="false">IFERROR(IF(Kalender!A162="",0,J3821*(1-Eingaben!$B$20)),0)</f>
        <v>1.96</v>
      </c>
      <c r="H3822" s="13" t="n">
        <f aca="false">MIN(G3822,D3822)</f>
        <v>0.89</v>
      </c>
      <c r="I3822" s="13" t="n">
        <f aca="false">IFERROR(MIN(F3822*Eingaben!$B$19,MAX(0,D3822-H3822)),0)</f>
        <v>0</v>
      </c>
      <c r="J3822" s="13" t="n">
        <f aca="false">IFERROR(MIN(Eingaben!$B$18,MAX(0,F3822-I3822)),0)</f>
        <v>2</v>
      </c>
      <c r="K3822" s="13" t="n">
        <f aca="false">H3822+I3822</f>
        <v>0.89</v>
      </c>
      <c r="L3822" s="13" t="n">
        <f aca="false">MAX(0,D3822-K3822)</f>
        <v>0</v>
      </c>
      <c r="M3822" s="13" t="n">
        <f aca="false">MAX(0,F3822-I3822-J3822)</f>
        <v>0.0930399999999998</v>
      </c>
      <c r="N3822" s="13" t="n">
        <f aca="false">IF(Kalender!A162="",0,J3821-H3822)</f>
        <v>1.11</v>
      </c>
    </row>
    <row r="3823" customFormat="false" ht="16.4" hidden="false" customHeight="false" outlineLevel="0" collapsed="false">
      <c r="A3823" s="13" t="str">
        <f aca="false">""</f>
        <v/>
      </c>
      <c r="B3823" s="13" t="n">
        <f aca="false">159</f>
        <v>159</v>
      </c>
      <c r="C3823" s="13" t="n">
        <f aca="false">IF(Szenarien!$H$21="OK",(IFERROR(SUMIF(Nutzungsprofile!$B$6:$B$11,"Schulbetrieb",Nutzungsprofile!$G$6:$G$11)*Kalender!C163/SUM(Kalender!$C$5:$C$370),0)+IFERROR(SUMIF(Nutzungsprofile!$B$6:$B$11,"Halle",Nutzungsprofile!$G$6:$G$11)*Kalender!D163/SUM(Kalender!$D$5:$D$370),0)+IFERROR(SUMIF(Nutzungsprofile!$B$6:$B$11,"Individuell",Nutzungsprofile!$G$6:$G$11)*Kalender!E163/SUM(Kalender!$E$5:$E$370),0))*Szenarien!$E$21,0)</f>
        <v>3.528</v>
      </c>
      <c r="D3823" s="13" t="n">
        <f aca="false">IF(Szenarien!$H$21="OK",(IFERROR(SUMIF(Nutzungsprofile!$B$17:$B$22,"Schulbetrieb",Nutzungsprofile!$G$17:$G$22)*Kalender!C163/SUM(Kalender!$C$5:$C$370),0)+IFERROR(SUMIF(Nutzungsprofile!$B$17:$B$22,"Halle",Nutzungsprofile!$G$17:$G$22)*Kalender!D163/SUM(Kalender!$D$5:$D$370),0)+IFERROR(SUMIF(Nutzungsprofile!$B$17:$B$22,"Individuell",Nutzungsprofile!$G$17:$G$22)*Kalender!E163/SUM(Kalender!$E$5:$E$370),0))*Szenarien!$D$21,0)</f>
        <v>4.94</v>
      </c>
      <c r="E3823" s="13" t="n">
        <f aca="false">IFERROR(MIN(C3823,Eingaben!$B$17)*Eingaben!$B$16,0)</f>
        <v>3.3516</v>
      </c>
      <c r="F3823" s="13" t="n">
        <f aca="false">IFERROR(E3823*Eingaben!$B$15,0)</f>
        <v>3.01644</v>
      </c>
      <c r="G3823" s="13" t="n">
        <f aca="false">IFERROR(IF(Kalender!A163="",0,J3822*(1-Eingaben!$B$20)),0)</f>
        <v>1.96</v>
      </c>
      <c r="H3823" s="13" t="n">
        <f aca="false">MIN(G3823,D3823)</f>
        <v>1.96</v>
      </c>
      <c r="I3823" s="13" t="n">
        <f aca="false">IFERROR(MIN(F3823*Eingaben!$B$19,MAX(0,D3823-H3823)),0)</f>
        <v>2.111508</v>
      </c>
      <c r="J3823" s="13" t="n">
        <f aca="false">IFERROR(MIN(Eingaben!$B$18,MAX(0,F3823-I3823)),0)</f>
        <v>0.904932</v>
      </c>
      <c r="K3823" s="13" t="n">
        <f aca="false">H3823+I3823</f>
        <v>4.071508</v>
      </c>
      <c r="L3823" s="13" t="n">
        <f aca="false">MAX(0,D3823-K3823)</f>
        <v>0.868492</v>
      </c>
      <c r="M3823" s="13" t="n">
        <f aca="false">MAX(0,F3823-I3823-J3823)</f>
        <v>0</v>
      </c>
      <c r="N3823" s="13" t="n">
        <f aca="false">IF(Kalender!A163="",0,J3822-H3823)</f>
        <v>0.04</v>
      </c>
    </row>
    <row r="3824" customFormat="false" ht="16.4" hidden="false" customHeight="false" outlineLevel="0" collapsed="false">
      <c r="A3824" s="13" t="str">
        <f aca="false">""</f>
        <v/>
      </c>
      <c r="B3824" s="13" t="n">
        <f aca="false">160</f>
        <v>160</v>
      </c>
      <c r="C3824" s="13" t="n">
        <f aca="false">IF(Szenarien!$H$21="OK",(IFERROR(SUMIF(Nutzungsprofile!$B$6:$B$11,"Schulbetrieb",Nutzungsprofile!$G$6:$G$11)*Kalender!C164/SUM(Kalender!$C$5:$C$370),0)+IFERROR(SUMIF(Nutzungsprofile!$B$6:$B$11,"Halle",Nutzungsprofile!$G$6:$G$11)*Kalender!D164/SUM(Kalender!$D$5:$D$370),0)+IFERROR(SUMIF(Nutzungsprofile!$B$6:$B$11,"Individuell",Nutzungsprofile!$G$6:$G$11)*Kalender!E164/SUM(Kalender!$E$5:$E$370),0))*Szenarien!$E$21,0)</f>
        <v>3.528</v>
      </c>
      <c r="D3824" s="13" t="n">
        <f aca="false">IF(Szenarien!$H$21="OK",(IFERROR(SUMIF(Nutzungsprofile!$B$17:$B$22,"Schulbetrieb",Nutzungsprofile!$G$17:$G$22)*Kalender!C164/SUM(Kalender!$C$5:$C$370),0)+IFERROR(SUMIF(Nutzungsprofile!$B$17:$B$22,"Halle",Nutzungsprofile!$G$17:$G$22)*Kalender!D164/SUM(Kalender!$D$5:$D$370),0)+IFERROR(SUMIF(Nutzungsprofile!$B$17:$B$22,"Individuell",Nutzungsprofile!$G$17:$G$22)*Kalender!E164/SUM(Kalender!$E$5:$E$370),0))*Szenarien!$D$21,0)</f>
        <v>4.94</v>
      </c>
      <c r="E3824" s="13" t="n">
        <f aca="false">IFERROR(MIN(C3824,Eingaben!$B$17)*Eingaben!$B$16,0)</f>
        <v>3.3516</v>
      </c>
      <c r="F3824" s="13" t="n">
        <f aca="false">IFERROR(E3824*Eingaben!$B$15,0)</f>
        <v>3.01644</v>
      </c>
      <c r="G3824" s="13" t="n">
        <f aca="false">IFERROR(IF(Kalender!A164="",0,J3823*(1-Eingaben!$B$20)),0)</f>
        <v>0.88683336</v>
      </c>
      <c r="H3824" s="13" t="n">
        <f aca="false">MIN(G3824,D3824)</f>
        <v>0.88683336</v>
      </c>
      <c r="I3824" s="13" t="n">
        <f aca="false">IFERROR(MIN(F3824*Eingaben!$B$19,MAX(0,D3824-H3824)),0)</f>
        <v>2.111508</v>
      </c>
      <c r="J3824" s="13" t="n">
        <f aca="false">IFERROR(MIN(Eingaben!$B$18,MAX(0,F3824-I3824)),0)</f>
        <v>0.904932</v>
      </c>
      <c r="K3824" s="13" t="n">
        <f aca="false">H3824+I3824</f>
        <v>2.99834136</v>
      </c>
      <c r="L3824" s="13" t="n">
        <f aca="false">MAX(0,D3824-K3824)</f>
        <v>1.94165864</v>
      </c>
      <c r="M3824" s="13" t="n">
        <f aca="false">MAX(0,F3824-I3824-J3824)</f>
        <v>0</v>
      </c>
      <c r="N3824" s="13" t="n">
        <f aca="false">IF(Kalender!A164="",0,J3823-H3824)</f>
        <v>0.0180986400000001</v>
      </c>
    </row>
    <row r="3825" customFormat="false" ht="16.4" hidden="false" customHeight="false" outlineLevel="0" collapsed="false">
      <c r="A3825" s="13" t="str">
        <f aca="false">""</f>
        <v/>
      </c>
      <c r="B3825" s="13" t="n">
        <f aca="false">161</f>
        <v>161</v>
      </c>
      <c r="C3825" s="13" t="n">
        <f aca="false">IF(Szenarien!$H$21="OK",(IFERROR(SUMIF(Nutzungsprofile!$B$6:$B$11,"Schulbetrieb",Nutzungsprofile!$G$6:$G$11)*Kalender!C165/SUM(Kalender!$C$5:$C$370),0)+IFERROR(SUMIF(Nutzungsprofile!$B$6:$B$11,"Halle",Nutzungsprofile!$G$6:$G$11)*Kalender!D165/SUM(Kalender!$D$5:$D$370),0)+IFERROR(SUMIF(Nutzungsprofile!$B$6:$B$11,"Individuell",Nutzungsprofile!$G$6:$G$11)*Kalender!E165/SUM(Kalender!$E$5:$E$370),0))*Szenarien!$E$21,0)</f>
        <v>3.528</v>
      </c>
      <c r="D3825" s="13" t="n">
        <f aca="false">IF(Szenarien!$H$21="OK",(IFERROR(SUMIF(Nutzungsprofile!$B$17:$B$22,"Schulbetrieb",Nutzungsprofile!$G$17:$G$22)*Kalender!C165/SUM(Kalender!$C$5:$C$370),0)+IFERROR(SUMIF(Nutzungsprofile!$B$17:$B$22,"Halle",Nutzungsprofile!$G$17:$G$22)*Kalender!D165/SUM(Kalender!$D$5:$D$370),0)+IFERROR(SUMIF(Nutzungsprofile!$B$17:$B$22,"Individuell",Nutzungsprofile!$G$17:$G$22)*Kalender!E165/SUM(Kalender!$E$5:$E$370),0))*Szenarien!$D$21,0)</f>
        <v>4.94</v>
      </c>
      <c r="E3825" s="13" t="n">
        <f aca="false">IFERROR(MIN(C3825,Eingaben!$B$17)*Eingaben!$B$16,0)</f>
        <v>3.3516</v>
      </c>
      <c r="F3825" s="13" t="n">
        <f aca="false">IFERROR(E3825*Eingaben!$B$15,0)</f>
        <v>3.01644</v>
      </c>
      <c r="G3825" s="13" t="n">
        <f aca="false">IFERROR(IF(Kalender!A165="",0,J3824*(1-Eingaben!$B$20)),0)</f>
        <v>0.88683336</v>
      </c>
      <c r="H3825" s="13" t="n">
        <f aca="false">MIN(G3825,D3825)</f>
        <v>0.88683336</v>
      </c>
      <c r="I3825" s="13" t="n">
        <f aca="false">IFERROR(MIN(F3825*Eingaben!$B$19,MAX(0,D3825-H3825)),0)</f>
        <v>2.111508</v>
      </c>
      <c r="J3825" s="13" t="n">
        <f aca="false">IFERROR(MIN(Eingaben!$B$18,MAX(0,F3825-I3825)),0)</f>
        <v>0.904932</v>
      </c>
      <c r="K3825" s="13" t="n">
        <f aca="false">H3825+I3825</f>
        <v>2.99834136</v>
      </c>
      <c r="L3825" s="13" t="n">
        <f aca="false">MAX(0,D3825-K3825)</f>
        <v>1.94165864</v>
      </c>
      <c r="M3825" s="13" t="n">
        <f aca="false">MAX(0,F3825-I3825-J3825)</f>
        <v>0</v>
      </c>
      <c r="N3825" s="13" t="n">
        <f aca="false">IF(Kalender!A165="",0,J3824-H3825)</f>
        <v>0.0180986400000001</v>
      </c>
    </row>
    <row r="3826" customFormat="false" ht="16.4" hidden="false" customHeight="false" outlineLevel="0" collapsed="false">
      <c r="A3826" s="13" t="str">
        <f aca="false">""</f>
        <v/>
      </c>
      <c r="B3826" s="13" t="n">
        <f aca="false">162</f>
        <v>162</v>
      </c>
      <c r="C3826" s="13" t="n">
        <f aca="false">IF(Szenarien!$H$21="OK",(IFERROR(SUMIF(Nutzungsprofile!$B$6:$B$11,"Schulbetrieb",Nutzungsprofile!$G$6:$G$11)*Kalender!C166/SUM(Kalender!$C$5:$C$370),0)+IFERROR(SUMIF(Nutzungsprofile!$B$6:$B$11,"Halle",Nutzungsprofile!$G$6:$G$11)*Kalender!D166/SUM(Kalender!$D$5:$D$370),0)+IFERROR(SUMIF(Nutzungsprofile!$B$6:$B$11,"Individuell",Nutzungsprofile!$G$6:$G$11)*Kalender!E166/SUM(Kalender!$E$5:$E$370),0))*Szenarien!$E$21,0)</f>
        <v>3.528</v>
      </c>
      <c r="D3826" s="13" t="n">
        <f aca="false">IF(Szenarien!$H$21="OK",(IFERROR(SUMIF(Nutzungsprofile!$B$17:$B$22,"Schulbetrieb",Nutzungsprofile!$G$17:$G$22)*Kalender!C166/SUM(Kalender!$C$5:$C$370),0)+IFERROR(SUMIF(Nutzungsprofile!$B$17:$B$22,"Halle",Nutzungsprofile!$G$17:$G$22)*Kalender!D166/SUM(Kalender!$D$5:$D$370),0)+IFERROR(SUMIF(Nutzungsprofile!$B$17:$B$22,"Individuell",Nutzungsprofile!$G$17:$G$22)*Kalender!E166/SUM(Kalender!$E$5:$E$370),0))*Szenarien!$D$21,0)</f>
        <v>4.94</v>
      </c>
      <c r="E3826" s="13" t="n">
        <f aca="false">IFERROR(MIN(C3826,Eingaben!$B$17)*Eingaben!$B$16,0)</f>
        <v>3.3516</v>
      </c>
      <c r="F3826" s="13" t="n">
        <f aca="false">IFERROR(E3826*Eingaben!$B$15,0)</f>
        <v>3.01644</v>
      </c>
      <c r="G3826" s="13" t="n">
        <f aca="false">IFERROR(IF(Kalender!A166="",0,J3825*(1-Eingaben!$B$20)),0)</f>
        <v>0.88683336</v>
      </c>
      <c r="H3826" s="13" t="n">
        <f aca="false">MIN(G3826,D3826)</f>
        <v>0.88683336</v>
      </c>
      <c r="I3826" s="13" t="n">
        <f aca="false">IFERROR(MIN(F3826*Eingaben!$B$19,MAX(0,D3826-H3826)),0)</f>
        <v>2.111508</v>
      </c>
      <c r="J3826" s="13" t="n">
        <f aca="false">IFERROR(MIN(Eingaben!$B$18,MAX(0,F3826-I3826)),0)</f>
        <v>0.904932</v>
      </c>
      <c r="K3826" s="13" t="n">
        <f aca="false">H3826+I3826</f>
        <v>2.99834136</v>
      </c>
      <c r="L3826" s="13" t="n">
        <f aca="false">MAX(0,D3826-K3826)</f>
        <v>1.94165864</v>
      </c>
      <c r="M3826" s="13" t="n">
        <f aca="false">MAX(0,F3826-I3826-J3826)</f>
        <v>0</v>
      </c>
      <c r="N3826" s="13" t="n">
        <f aca="false">IF(Kalender!A166="",0,J3825-H3826)</f>
        <v>0.0180986400000001</v>
      </c>
    </row>
    <row r="3827" customFormat="false" ht="16.4" hidden="false" customHeight="false" outlineLevel="0" collapsed="false">
      <c r="A3827" s="13" t="str">
        <f aca="false">""</f>
        <v/>
      </c>
      <c r="B3827" s="13" t="n">
        <f aca="false">163</f>
        <v>163</v>
      </c>
      <c r="C3827" s="13" t="n">
        <f aca="false">IF(Szenarien!$H$21="OK",(IFERROR(SUMIF(Nutzungsprofile!$B$6:$B$11,"Schulbetrieb",Nutzungsprofile!$G$6:$G$11)*Kalender!C167/SUM(Kalender!$C$5:$C$370),0)+IFERROR(SUMIF(Nutzungsprofile!$B$6:$B$11,"Halle",Nutzungsprofile!$G$6:$G$11)*Kalender!D167/SUM(Kalender!$D$5:$D$370),0)+IFERROR(SUMIF(Nutzungsprofile!$B$6:$B$11,"Individuell",Nutzungsprofile!$G$6:$G$11)*Kalender!E167/SUM(Kalender!$E$5:$E$370),0))*Szenarien!$E$21,0)</f>
        <v>3.528</v>
      </c>
      <c r="D3827" s="13" t="n">
        <f aca="false">IF(Szenarien!$H$21="OK",(IFERROR(SUMIF(Nutzungsprofile!$B$17:$B$22,"Schulbetrieb",Nutzungsprofile!$G$17:$G$22)*Kalender!C167/SUM(Kalender!$C$5:$C$370),0)+IFERROR(SUMIF(Nutzungsprofile!$B$17:$B$22,"Halle",Nutzungsprofile!$G$17:$G$22)*Kalender!D167/SUM(Kalender!$D$5:$D$370),0)+IFERROR(SUMIF(Nutzungsprofile!$B$17:$B$22,"Individuell",Nutzungsprofile!$G$17:$G$22)*Kalender!E167/SUM(Kalender!$E$5:$E$370),0))*Szenarien!$D$21,0)</f>
        <v>4.94</v>
      </c>
      <c r="E3827" s="13" t="n">
        <f aca="false">IFERROR(MIN(C3827,Eingaben!$B$17)*Eingaben!$B$16,0)</f>
        <v>3.3516</v>
      </c>
      <c r="F3827" s="13" t="n">
        <f aca="false">IFERROR(E3827*Eingaben!$B$15,0)</f>
        <v>3.01644</v>
      </c>
      <c r="G3827" s="13" t="n">
        <f aca="false">IFERROR(IF(Kalender!A167="",0,J3826*(1-Eingaben!$B$20)),0)</f>
        <v>0.88683336</v>
      </c>
      <c r="H3827" s="13" t="n">
        <f aca="false">MIN(G3827,D3827)</f>
        <v>0.88683336</v>
      </c>
      <c r="I3827" s="13" t="n">
        <f aca="false">IFERROR(MIN(F3827*Eingaben!$B$19,MAX(0,D3827-H3827)),0)</f>
        <v>2.111508</v>
      </c>
      <c r="J3827" s="13" t="n">
        <f aca="false">IFERROR(MIN(Eingaben!$B$18,MAX(0,F3827-I3827)),0)</f>
        <v>0.904932</v>
      </c>
      <c r="K3827" s="13" t="n">
        <f aca="false">H3827+I3827</f>
        <v>2.99834136</v>
      </c>
      <c r="L3827" s="13" t="n">
        <f aca="false">MAX(0,D3827-K3827)</f>
        <v>1.94165864</v>
      </c>
      <c r="M3827" s="13" t="n">
        <f aca="false">MAX(0,F3827-I3827-J3827)</f>
        <v>0</v>
      </c>
      <c r="N3827" s="13" t="n">
        <f aca="false">IF(Kalender!A167="",0,J3826-H3827)</f>
        <v>0.0180986400000001</v>
      </c>
    </row>
    <row r="3828" customFormat="false" ht="16.4" hidden="false" customHeight="false" outlineLevel="0" collapsed="false">
      <c r="A3828" s="13" t="str">
        <f aca="false">""</f>
        <v/>
      </c>
      <c r="B3828" s="13" t="n">
        <f aca="false">164</f>
        <v>164</v>
      </c>
      <c r="C3828" s="13" t="n">
        <f aca="false">IF(Szenarien!$H$21="OK",(IFERROR(SUMIF(Nutzungsprofile!$B$6:$B$11,"Schulbetrieb",Nutzungsprofile!$G$6:$G$11)*Kalender!C168/SUM(Kalender!$C$5:$C$370),0)+IFERROR(SUMIF(Nutzungsprofile!$B$6:$B$11,"Halle",Nutzungsprofile!$G$6:$G$11)*Kalender!D168/SUM(Kalender!$D$5:$D$370),0)+IFERROR(SUMIF(Nutzungsprofile!$B$6:$B$11,"Individuell",Nutzungsprofile!$G$6:$G$11)*Kalender!E168/SUM(Kalender!$E$5:$E$370),0))*Szenarien!$E$21,0)</f>
        <v>2.448</v>
      </c>
      <c r="D3828" s="13" t="n">
        <f aca="false">IF(Szenarien!$H$21="OK",(IFERROR(SUMIF(Nutzungsprofile!$B$17:$B$22,"Schulbetrieb",Nutzungsprofile!$G$17:$G$22)*Kalender!C168/SUM(Kalender!$C$5:$C$370),0)+IFERROR(SUMIF(Nutzungsprofile!$B$17:$B$22,"Halle",Nutzungsprofile!$G$17:$G$22)*Kalender!D168/SUM(Kalender!$D$5:$D$370),0)+IFERROR(SUMIF(Nutzungsprofile!$B$17:$B$22,"Individuell",Nutzungsprofile!$G$17:$G$22)*Kalender!E168/SUM(Kalender!$E$5:$E$370),0))*Szenarien!$D$21,0)</f>
        <v>0.89</v>
      </c>
      <c r="E3828" s="13" t="n">
        <f aca="false">IFERROR(MIN(C3828,Eingaben!$B$17)*Eingaben!$B$16,0)</f>
        <v>2.3256</v>
      </c>
      <c r="F3828" s="13" t="n">
        <f aca="false">IFERROR(E3828*Eingaben!$B$15,0)</f>
        <v>2.09304</v>
      </c>
      <c r="G3828" s="13" t="n">
        <f aca="false">IFERROR(IF(Kalender!A168="",0,J3827*(1-Eingaben!$B$20)),0)</f>
        <v>0.88683336</v>
      </c>
      <c r="H3828" s="13" t="n">
        <f aca="false">MIN(G3828,D3828)</f>
        <v>0.88683336</v>
      </c>
      <c r="I3828" s="13" t="n">
        <f aca="false">IFERROR(MIN(F3828*Eingaben!$B$19,MAX(0,D3828-H3828)),0)</f>
        <v>0.00316664</v>
      </c>
      <c r="J3828" s="13" t="n">
        <f aca="false">IFERROR(MIN(Eingaben!$B$18,MAX(0,F3828-I3828)),0)</f>
        <v>2</v>
      </c>
      <c r="K3828" s="13" t="n">
        <f aca="false">H3828+I3828</f>
        <v>0.89</v>
      </c>
      <c r="L3828" s="13" t="n">
        <f aca="false">MAX(0,D3828-K3828)</f>
        <v>0</v>
      </c>
      <c r="M3828" s="13" t="n">
        <f aca="false">MAX(0,F3828-I3828-J3828)</f>
        <v>0.0898733599999999</v>
      </c>
      <c r="N3828" s="13" t="n">
        <f aca="false">IF(Kalender!A168="",0,J3827-H3828)</f>
        <v>0.0180986400000001</v>
      </c>
    </row>
    <row r="3829" customFormat="false" ht="16.4" hidden="false" customHeight="false" outlineLevel="0" collapsed="false">
      <c r="A3829" s="13" t="str">
        <f aca="false">""</f>
        <v/>
      </c>
      <c r="B3829" s="13" t="n">
        <f aca="false">165</f>
        <v>165</v>
      </c>
      <c r="C3829" s="13" t="n">
        <f aca="false">IF(Szenarien!$H$21="OK",(IFERROR(SUMIF(Nutzungsprofile!$B$6:$B$11,"Schulbetrieb",Nutzungsprofile!$G$6:$G$11)*Kalender!C169/SUM(Kalender!$C$5:$C$370),0)+IFERROR(SUMIF(Nutzungsprofile!$B$6:$B$11,"Halle",Nutzungsprofile!$G$6:$G$11)*Kalender!D169/SUM(Kalender!$D$5:$D$370),0)+IFERROR(SUMIF(Nutzungsprofile!$B$6:$B$11,"Individuell",Nutzungsprofile!$G$6:$G$11)*Kalender!E169/SUM(Kalender!$E$5:$E$370),0))*Szenarien!$E$21,0)</f>
        <v>2.448</v>
      </c>
      <c r="D3829" s="13" t="n">
        <f aca="false">IF(Szenarien!$H$21="OK",(IFERROR(SUMIF(Nutzungsprofile!$B$17:$B$22,"Schulbetrieb",Nutzungsprofile!$G$17:$G$22)*Kalender!C169/SUM(Kalender!$C$5:$C$370),0)+IFERROR(SUMIF(Nutzungsprofile!$B$17:$B$22,"Halle",Nutzungsprofile!$G$17:$G$22)*Kalender!D169/SUM(Kalender!$D$5:$D$370),0)+IFERROR(SUMIF(Nutzungsprofile!$B$17:$B$22,"Individuell",Nutzungsprofile!$G$17:$G$22)*Kalender!E169/SUM(Kalender!$E$5:$E$370),0))*Szenarien!$D$21,0)</f>
        <v>0.89</v>
      </c>
      <c r="E3829" s="13" t="n">
        <f aca="false">IFERROR(MIN(C3829,Eingaben!$B$17)*Eingaben!$B$16,0)</f>
        <v>2.3256</v>
      </c>
      <c r="F3829" s="13" t="n">
        <f aca="false">IFERROR(E3829*Eingaben!$B$15,0)</f>
        <v>2.09304</v>
      </c>
      <c r="G3829" s="13" t="n">
        <f aca="false">IFERROR(IF(Kalender!A169="",0,J3828*(1-Eingaben!$B$20)),0)</f>
        <v>1.96</v>
      </c>
      <c r="H3829" s="13" t="n">
        <f aca="false">MIN(G3829,D3829)</f>
        <v>0.89</v>
      </c>
      <c r="I3829" s="13" t="n">
        <f aca="false">IFERROR(MIN(F3829*Eingaben!$B$19,MAX(0,D3829-H3829)),0)</f>
        <v>0</v>
      </c>
      <c r="J3829" s="13" t="n">
        <f aca="false">IFERROR(MIN(Eingaben!$B$18,MAX(0,F3829-I3829)),0)</f>
        <v>2</v>
      </c>
      <c r="K3829" s="13" t="n">
        <f aca="false">H3829+I3829</f>
        <v>0.89</v>
      </c>
      <c r="L3829" s="13" t="n">
        <f aca="false">MAX(0,D3829-K3829)</f>
        <v>0</v>
      </c>
      <c r="M3829" s="13" t="n">
        <f aca="false">MAX(0,F3829-I3829-J3829)</f>
        <v>0.0930399999999998</v>
      </c>
      <c r="N3829" s="13" t="n">
        <f aca="false">IF(Kalender!A169="",0,J3828-H3829)</f>
        <v>1.11</v>
      </c>
    </row>
    <row r="3830" customFormat="false" ht="16.4" hidden="false" customHeight="false" outlineLevel="0" collapsed="false">
      <c r="A3830" s="13" t="str">
        <f aca="false">""</f>
        <v/>
      </c>
      <c r="B3830" s="13" t="n">
        <f aca="false">166</f>
        <v>166</v>
      </c>
      <c r="C3830" s="13" t="n">
        <f aca="false">IF(Szenarien!$H$21="OK",(IFERROR(SUMIF(Nutzungsprofile!$B$6:$B$11,"Schulbetrieb",Nutzungsprofile!$G$6:$G$11)*Kalender!C170/SUM(Kalender!$C$5:$C$370),0)+IFERROR(SUMIF(Nutzungsprofile!$B$6:$B$11,"Halle",Nutzungsprofile!$G$6:$G$11)*Kalender!D170/SUM(Kalender!$D$5:$D$370),0)+IFERROR(SUMIF(Nutzungsprofile!$B$6:$B$11,"Individuell",Nutzungsprofile!$G$6:$G$11)*Kalender!E170/SUM(Kalender!$E$5:$E$370),0))*Szenarien!$E$21,0)</f>
        <v>3.528</v>
      </c>
      <c r="D3830" s="13" t="n">
        <f aca="false">IF(Szenarien!$H$21="OK",(IFERROR(SUMIF(Nutzungsprofile!$B$17:$B$22,"Schulbetrieb",Nutzungsprofile!$G$17:$G$22)*Kalender!C170/SUM(Kalender!$C$5:$C$370),0)+IFERROR(SUMIF(Nutzungsprofile!$B$17:$B$22,"Halle",Nutzungsprofile!$G$17:$G$22)*Kalender!D170/SUM(Kalender!$D$5:$D$370),0)+IFERROR(SUMIF(Nutzungsprofile!$B$17:$B$22,"Individuell",Nutzungsprofile!$G$17:$G$22)*Kalender!E170/SUM(Kalender!$E$5:$E$370),0))*Szenarien!$D$21,0)</f>
        <v>4.94</v>
      </c>
      <c r="E3830" s="13" t="n">
        <f aca="false">IFERROR(MIN(C3830,Eingaben!$B$17)*Eingaben!$B$16,0)</f>
        <v>3.3516</v>
      </c>
      <c r="F3830" s="13" t="n">
        <f aca="false">IFERROR(E3830*Eingaben!$B$15,0)</f>
        <v>3.01644</v>
      </c>
      <c r="G3830" s="13" t="n">
        <f aca="false">IFERROR(IF(Kalender!A170="",0,J3829*(1-Eingaben!$B$20)),0)</f>
        <v>1.96</v>
      </c>
      <c r="H3830" s="13" t="n">
        <f aca="false">MIN(G3830,D3830)</f>
        <v>1.96</v>
      </c>
      <c r="I3830" s="13" t="n">
        <f aca="false">IFERROR(MIN(F3830*Eingaben!$B$19,MAX(0,D3830-H3830)),0)</f>
        <v>2.111508</v>
      </c>
      <c r="J3830" s="13" t="n">
        <f aca="false">IFERROR(MIN(Eingaben!$B$18,MAX(0,F3830-I3830)),0)</f>
        <v>0.904932</v>
      </c>
      <c r="K3830" s="13" t="n">
        <f aca="false">H3830+I3830</f>
        <v>4.071508</v>
      </c>
      <c r="L3830" s="13" t="n">
        <f aca="false">MAX(0,D3830-K3830)</f>
        <v>0.868492</v>
      </c>
      <c r="M3830" s="13" t="n">
        <f aca="false">MAX(0,F3830-I3830-J3830)</f>
        <v>0</v>
      </c>
      <c r="N3830" s="13" t="n">
        <f aca="false">IF(Kalender!A170="",0,J3829-H3830)</f>
        <v>0.04</v>
      </c>
    </row>
    <row r="3831" customFormat="false" ht="16.4" hidden="false" customHeight="false" outlineLevel="0" collapsed="false">
      <c r="A3831" s="13" t="str">
        <f aca="false">""</f>
        <v/>
      </c>
      <c r="B3831" s="13" t="n">
        <f aca="false">167</f>
        <v>167</v>
      </c>
      <c r="C3831" s="13" t="n">
        <f aca="false">IF(Szenarien!$H$21="OK",(IFERROR(SUMIF(Nutzungsprofile!$B$6:$B$11,"Schulbetrieb",Nutzungsprofile!$G$6:$G$11)*Kalender!C171/SUM(Kalender!$C$5:$C$370),0)+IFERROR(SUMIF(Nutzungsprofile!$B$6:$B$11,"Halle",Nutzungsprofile!$G$6:$G$11)*Kalender!D171/SUM(Kalender!$D$5:$D$370),0)+IFERROR(SUMIF(Nutzungsprofile!$B$6:$B$11,"Individuell",Nutzungsprofile!$G$6:$G$11)*Kalender!E171/SUM(Kalender!$E$5:$E$370),0))*Szenarien!$E$21,0)</f>
        <v>3.528</v>
      </c>
      <c r="D3831" s="13" t="n">
        <f aca="false">IF(Szenarien!$H$21="OK",(IFERROR(SUMIF(Nutzungsprofile!$B$17:$B$22,"Schulbetrieb",Nutzungsprofile!$G$17:$G$22)*Kalender!C171/SUM(Kalender!$C$5:$C$370),0)+IFERROR(SUMIF(Nutzungsprofile!$B$17:$B$22,"Halle",Nutzungsprofile!$G$17:$G$22)*Kalender!D171/SUM(Kalender!$D$5:$D$370),0)+IFERROR(SUMIF(Nutzungsprofile!$B$17:$B$22,"Individuell",Nutzungsprofile!$G$17:$G$22)*Kalender!E171/SUM(Kalender!$E$5:$E$370),0))*Szenarien!$D$21,0)</f>
        <v>4.94</v>
      </c>
      <c r="E3831" s="13" t="n">
        <f aca="false">IFERROR(MIN(C3831,Eingaben!$B$17)*Eingaben!$B$16,0)</f>
        <v>3.3516</v>
      </c>
      <c r="F3831" s="13" t="n">
        <f aca="false">IFERROR(E3831*Eingaben!$B$15,0)</f>
        <v>3.01644</v>
      </c>
      <c r="G3831" s="13" t="n">
        <f aca="false">IFERROR(IF(Kalender!A171="",0,J3830*(1-Eingaben!$B$20)),0)</f>
        <v>0.88683336</v>
      </c>
      <c r="H3831" s="13" t="n">
        <f aca="false">MIN(G3831,D3831)</f>
        <v>0.88683336</v>
      </c>
      <c r="I3831" s="13" t="n">
        <f aca="false">IFERROR(MIN(F3831*Eingaben!$B$19,MAX(0,D3831-H3831)),0)</f>
        <v>2.111508</v>
      </c>
      <c r="J3831" s="13" t="n">
        <f aca="false">IFERROR(MIN(Eingaben!$B$18,MAX(0,F3831-I3831)),0)</f>
        <v>0.904932</v>
      </c>
      <c r="K3831" s="13" t="n">
        <f aca="false">H3831+I3831</f>
        <v>2.99834136</v>
      </c>
      <c r="L3831" s="13" t="n">
        <f aca="false">MAX(0,D3831-K3831)</f>
        <v>1.94165864</v>
      </c>
      <c r="M3831" s="13" t="n">
        <f aca="false">MAX(0,F3831-I3831-J3831)</f>
        <v>0</v>
      </c>
      <c r="N3831" s="13" t="n">
        <f aca="false">IF(Kalender!A171="",0,J3830-H3831)</f>
        <v>0.0180986400000001</v>
      </c>
    </row>
    <row r="3832" customFormat="false" ht="16.4" hidden="false" customHeight="false" outlineLevel="0" collapsed="false">
      <c r="A3832" s="13" t="str">
        <f aca="false">""</f>
        <v/>
      </c>
      <c r="B3832" s="13" t="n">
        <f aca="false">168</f>
        <v>168</v>
      </c>
      <c r="C3832" s="13" t="n">
        <f aca="false">IF(Szenarien!$H$21="OK",(IFERROR(SUMIF(Nutzungsprofile!$B$6:$B$11,"Schulbetrieb",Nutzungsprofile!$G$6:$G$11)*Kalender!C172/SUM(Kalender!$C$5:$C$370),0)+IFERROR(SUMIF(Nutzungsprofile!$B$6:$B$11,"Halle",Nutzungsprofile!$G$6:$G$11)*Kalender!D172/SUM(Kalender!$D$5:$D$370),0)+IFERROR(SUMIF(Nutzungsprofile!$B$6:$B$11,"Individuell",Nutzungsprofile!$G$6:$G$11)*Kalender!E172/SUM(Kalender!$E$5:$E$370),0))*Szenarien!$E$21,0)</f>
        <v>3.528</v>
      </c>
      <c r="D3832" s="13" t="n">
        <f aca="false">IF(Szenarien!$H$21="OK",(IFERROR(SUMIF(Nutzungsprofile!$B$17:$B$22,"Schulbetrieb",Nutzungsprofile!$G$17:$G$22)*Kalender!C172/SUM(Kalender!$C$5:$C$370),0)+IFERROR(SUMIF(Nutzungsprofile!$B$17:$B$22,"Halle",Nutzungsprofile!$G$17:$G$22)*Kalender!D172/SUM(Kalender!$D$5:$D$370),0)+IFERROR(SUMIF(Nutzungsprofile!$B$17:$B$22,"Individuell",Nutzungsprofile!$G$17:$G$22)*Kalender!E172/SUM(Kalender!$E$5:$E$370),0))*Szenarien!$D$21,0)</f>
        <v>4.94</v>
      </c>
      <c r="E3832" s="13" t="n">
        <f aca="false">IFERROR(MIN(C3832,Eingaben!$B$17)*Eingaben!$B$16,0)</f>
        <v>3.3516</v>
      </c>
      <c r="F3832" s="13" t="n">
        <f aca="false">IFERROR(E3832*Eingaben!$B$15,0)</f>
        <v>3.01644</v>
      </c>
      <c r="G3832" s="13" t="n">
        <f aca="false">IFERROR(IF(Kalender!A172="",0,J3831*(1-Eingaben!$B$20)),0)</f>
        <v>0.88683336</v>
      </c>
      <c r="H3832" s="13" t="n">
        <f aca="false">MIN(G3832,D3832)</f>
        <v>0.88683336</v>
      </c>
      <c r="I3832" s="13" t="n">
        <f aca="false">IFERROR(MIN(F3832*Eingaben!$B$19,MAX(0,D3832-H3832)),0)</f>
        <v>2.111508</v>
      </c>
      <c r="J3832" s="13" t="n">
        <f aca="false">IFERROR(MIN(Eingaben!$B$18,MAX(0,F3832-I3832)),0)</f>
        <v>0.904932</v>
      </c>
      <c r="K3832" s="13" t="n">
        <f aca="false">H3832+I3832</f>
        <v>2.99834136</v>
      </c>
      <c r="L3832" s="13" t="n">
        <f aca="false">MAX(0,D3832-K3832)</f>
        <v>1.94165864</v>
      </c>
      <c r="M3832" s="13" t="n">
        <f aca="false">MAX(0,F3832-I3832-J3832)</f>
        <v>0</v>
      </c>
      <c r="N3832" s="13" t="n">
        <f aca="false">IF(Kalender!A172="",0,J3831-H3832)</f>
        <v>0.0180986400000001</v>
      </c>
    </row>
    <row r="3833" customFormat="false" ht="16.4" hidden="false" customHeight="false" outlineLevel="0" collapsed="false">
      <c r="A3833" s="13" t="str">
        <f aca="false">""</f>
        <v/>
      </c>
      <c r="B3833" s="13" t="n">
        <f aca="false">169</f>
        <v>169</v>
      </c>
      <c r="C3833" s="13" t="n">
        <f aca="false">IF(Szenarien!$H$21="OK",(IFERROR(SUMIF(Nutzungsprofile!$B$6:$B$11,"Schulbetrieb",Nutzungsprofile!$G$6:$G$11)*Kalender!C173/SUM(Kalender!$C$5:$C$370),0)+IFERROR(SUMIF(Nutzungsprofile!$B$6:$B$11,"Halle",Nutzungsprofile!$G$6:$G$11)*Kalender!D173/SUM(Kalender!$D$5:$D$370),0)+IFERROR(SUMIF(Nutzungsprofile!$B$6:$B$11,"Individuell",Nutzungsprofile!$G$6:$G$11)*Kalender!E173/SUM(Kalender!$E$5:$E$370),0))*Szenarien!$E$21,0)</f>
        <v>3.528</v>
      </c>
      <c r="D3833" s="13" t="n">
        <f aca="false">IF(Szenarien!$H$21="OK",(IFERROR(SUMIF(Nutzungsprofile!$B$17:$B$22,"Schulbetrieb",Nutzungsprofile!$G$17:$G$22)*Kalender!C173/SUM(Kalender!$C$5:$C$370),0)+IFERROR(SUMIF(Nutzungsprofile!$B$17:$B$22,"Halle",Nutzungsprofile!$G$17:$G$22)*Kalender!D173/SUM(Kalender!$D$5:$D$370),0)+IFERROR(SUMIF(Nutzungsprofile!$B$17:$B$22,"Individuell",Nutzungsprofile!$G$17:$G$22)*Kalender!E173/SUM(Kalender!$E$5:$E$370),0))*Szenarien!$D$21,0)</f>
        <v>4.94</v>
      </c>
      <c r="E3833" s="13" t="n">
        <f aca="false">IFERROR(MIN(C3833,Eingaben!$B$17)*Eingaben!$B$16,0)</f>
        <v>3.3516</v>
      </c>
      <c r="F3833" s="13" t="n">
        <f aca="false">IFERROR(E3833*Eingaben!$B$15,0)</f>
        <v>3.01644</v>
      </c>
      <c r="G3833" s="13" t="n">
        <f aca="false">IFERROR(IF(Kalender!A173="",0,J3832*(1-Eingaben!$B$20)),0)</f>
        <v>0.88683336</v>
      </c>
      <c r="H3833" s="13" t="n">
        <f aca="false">MIN(G3833,D3833)</f>
        <v>0.88683336</v>
      </c>
      <c r="I3833" s="13" t="n">
        <f aca="false">IFERROR(MIN(F3833*Eingaben!$B$19,MAX(0,D3833-H3833)),0)</f>
        <v>2.111508</v>
      </c>
      <c r="J3833" s="13" t="n">
        <f aca="false">IFERROR(MIN(Eingaben!$B$18,MAX(0,F3833-I3833)),0)</f>
        <v>0.904932</v>
      </c>
      <c r="K3833" s="13" t="n">
        <f aca="false">H3833+I3833</f>
        <v>2.99834136</v>
      </c>
      <c r="L3833" s="13" t="n">
        <f aca="false">MAX(0,D3833-K3833)</f>
        <v>1.94165864</v>
      </c>
      <c r="M3833" s="13" t="n">
        <f aca="false">MAX(0,F3833-I3833-J3833)</f>
        <v>0</v>
      </c>
      <c r="N3833" s="13" t="n">
        <f aca="false">IF(Kalender!A173="",0,J3832-H3833)</f>
        <v>0.0180986400000001</v>
      </c>
    </row>
    <row r="3834" customFormat="false" ht="16.4" hidden="false" customHeight="false" outlineLevel="0" collapsed="false">
      <c r="A3834" s="13" t="str">
        <f aca="false">""</f>
        <v/>
      </c>
      <c r="B3834" s="13" t="n">
        <f aca="false">170</f>
        <v>170</v>
      </c>
      <c r="C3834" s="13" t="n">
        <f aca="false">IF(Szenarien!$H$21="OK",(IFERROR(SUMIF(Nutzungsprofile!$B$6:$B$11,"Schulbetrieb",Nutzungsprofile!$G$6:$G$11)*Kalender!C174/SUM(Kalender!$C$5:$C$370),0)+IFERROR(SUMIF(Nutzungsprofile!$B$6:$B$11,"Halle",Nutzungsprofile!$G$6:$G$11)*Kalender!D174/SUM(Kalender!$D$5:$D$370),0)+IFERROR(SUMIF(Nutzungsprofile!$B$6:$B$11,"Individuell",Nutzungsprofile!$G$6:$G$11)*Kalender!E174/SUM(Kalender!$E$5:$E$370),0))*Szenarien!$E$21,0)</f>
        <v>3.528</v>
      </c>
      <c r="D3834" s="13" t="n">
        <f aca="false">IF(Szenarien!$H$21="OK",(IFERROR(SUMIF(Nutzungsprofile!$B$17:$B$22,"Schulbetrieb",Nutzungsprofile!$G$17:$G$22)*Kalender!C174/SUM(Kalender!$C$5:$C$370),0)+IFERROR(SUMIF(Nutzungsprofile!$B$17:$B$22,"Halle",Nutzungsprofile!$G$17:$G$22)*Kalender!D174/SUM(Kalender!$D$5:$D$370),0)+IFERROR(SUMIF(Nutzungsprofile!$B$17:$B$22,"Individuell",Nutzungsprofile!$G$17:$G$22)*Kalender!E174/SUM(Kalender!$E$5:$E$370),0))*Szenarien!$D$21,0)</f>
        <v>4.94</v>
      </c>
      <c r="E3834" s="13" t="n">
        <f aca="false">IFERROR(MIN(C3834,Eingaben!$B$17)*Eingaben!$B$16,0)</f>
        <v>3.3516</v>
      </c>
      <c r="F3834" s="13" t="n">
        <f aca="false">IFERROR(E3834*Eingaben!$B$15,0)</f>
        <v>3.01644</v>
      </c>
      <c r="G3834" s="13" t="n">
        <f aca="false">IFERROR(IF(Kalender!A174="",0,J3833*(1-Eingaben!$B$20)),0)</f>
        <v>0.88683336</v>
      </c>
      <c r="H3834" s="13" t="n">
        <f aca="false">MIN(G3834,D3834)</f>
        <v>0.88683336</v>
      </c>
      <c r="I3834" s="13" t="n">
        <f aca="false">IFERROR(MIN(F3834*Eingaben!$B$19,MAX(0,D3834-H3834)),0)</f>
        <v>2.111508</v>
      </c>
      <c r="J3834" s="13" t="n">
        <f aca="false">IFERROR(MIN(Eingaben!$B$18,MAX(0,F3834-I3834)),0)</f>
        <v>0.904932</v>
      </c>
      <c r="K3834" s="13" t="n">
        <f aca="false">H3834+I3834</f>
        <v>2.99834136</v>
      </c>
      <c r="L3834" s="13" t="n">
        <f aca="false">MAX(0,D3834-K3834)</f>
        <v>1.94165864</v>
      </c>
      <c r="M3834" s="13" t="n">
        <f aca="false">MAX(0,F3834-I3834-J3834)</f>
        <v>0</v>
      </c>
      <c r="N3834" s="13" t="n">
        <f aca="false">IF(Kalender!A174="",0,J3833-H3834)</f>
        <v>0.0180986400000001</v>
      </c>
    </row>
    <row r="3835" customFormat="false" ht="16.4" hidden="false" customHeight="false" outlineLevel="0" collapsed="false">
      <c r="A3835" s="13" t="str">
        <f aca="false">""</f>
        <v/>
      </c>
      <c r="B3835" s="13" t="n">
        <f aca="false">171</f>
        <v>171</v>
      </c>
      <c r="C3835" s="13" t="n">
        <f aca="false">IF(Szenarien!$H$21="OK",(IFERROR(SUMIF(Nutzungsprofile!$B$6:$B$11,"Schulbetrieb",Nutzungsprofile!$G$6:$G$11)*Kalender!C175/SUM(Kalender!$C$5:$C$370),0)+IFERROR(SUMIF(Nutzungsprofile!$B$6:$B$11,"Halle",Nutzungsprofile!$G$6:$G$11)*Kalender!D175/SUM(Kalender!$D$5:$D$370),0)+IFERROR(SUMIF(Nutzungsprofile!$B$6:$B$11,"Individuell",Nutzungsprofile!$G$6:$G$11)*Kalender!E175/SUM(Kalender!$E$5:$E$370),0))*Szenarien!$E$21,0)</f>
        <v>2.448</v>
      </c>
      <c r="D3835" s="13" t="n">
        <f aca="false">IF(Szenarien!$H$21="OK",(IFERROR(SUMIF(Nutzungsprofile!$B$17:$B$22,"Schulbetrieb",Nutzungsprofile!$G$17:$G$22)*Kalender!C175/SUM(Kalender!$C$5:$C$370),0)+IFERROR(SUMIF(Nutzungsprofile!$B$17:$B$22,"Halle",Nutzungsprofile!$G$17:$G$22)*Kalender!D175/SUM(Kalender!$D$5:$D$370),0)+IFERROR(SUMIF(Nutzungsprofile!$B$17:$B$22,"Individuell",Nutzungsprofile!$G$17:$G$22)*Kalender!E175/SUM(Kalender!$E$5:$E$370),0))*Szenarien!$D$21,0)</f>
        <v>0.89</v>
      </c>
      <c r="E3835" s="13" t="n">
        <f aca="false">IFERROR(MIN(C3835,Eingaben!$B$17)*Eingaben!$B$16,0)</f>
        <v>2.3256</v>
      </c>
      <c r="F3835" s="13" t="n">
        <f aca="false">IFERROR(E3835*Eingaben!$B$15,0)</f>
        <v>2.09304</v>
      </c>
      <c r="G3835" s="13" t="n">
        <f aca="false">IFERROR(IF(Kalender!A175="",0,J3834*(1-Eingaben!$B$20)),0)</f>
        <v>0.88683336</v>
      </c>
      <c r="H3835" s="13" t="n">
        <f aca="false">MIN(G3835,D3835)</f>
        <v>0.88683336</v>
      </c>
      <c r="I3835" s="13" t="n">
        <f aca="false">IFERROR(MIN(F3835*Eingaben!$B$19,MAX(0,D3835-H3835)),0)</f>
        <v>0.00316664</v>
      </c>
      <c r="J3835" s="13" t="n">
        <f aca="false">IFERROR(MIN(Eingaben!$B$18,MAX(0,F3835-I3835)),0)</f>
        <v>2</v>
      </c>
      <c r="K3835" s="13" t="n">
        <f aca="false">H3835+I3835</f>
        <v>0.89</v>
      </c>
      <c r="L3835" s="13" t="n">
        <f aca="false">MAX(0,D3835-K3835)</f>
        <v>0</v>
      </c>
      <c r="M3835" s="13" t="n">
        <f aca="false">MAX(0,F3835-I3835-J3835)</f>
        <v>0.0898733599999999</v>
      </c>
      <c r="N3835" s="13" t="n">
        <f aca="false">IF(Kalender!A175="",0,J3834-H3835)</f>
        <v>0.0180986400000001</v>
      </c>
    </row>
    <row r="3836" customFormat="false" ht="16.4" hidden="false" customHeight="false" outlineLevel="0" collapsed="false">
      <c r="A3836" s="13" t="str">
        <f aca="false">""</f>
        <v/>
      </c>
      <c r="B3836" s="13" t="n">
        <f aca="false">172</f>
        <v>172</v>
      </c>
      <c r="C3836" s="13" t="n">
        <f aca="false">IF(Szenarien!$H$21="OK",(IFERROR(SUMIF(Nutzungsprofile!$B$6:$B$11,"Schulbetrieb",Nutzungsprofile!$G$6:$G$11)*Kalender!C176/SUM(Kalender!$C$5:$C$370),0)+IFERROR(SUMIF(Nutzungsprofile!$B$6:$B$11,"Halle",Nutzungsprofile!$G$6:$G$11)*Kalender!D176/SUM(Kalender!$D$5:$D$370),0)+IFERROR(SUMIF(Nutzungsprofile!$B$6:$B$11,"Individuell",Nutzungsprofile!$G$6:$G$11)*Kalender!E176/SUM(Kalender!$E$5:$E$370),0))*Szenarien!$E$21,0)</f>
        <v>2.448</v>
      </c>
      <c r="D3836" s="13" t="n">
        <f aca="false">IF(Szenarien!$H$21="OK",(IFERROR(SUMIF(Nutzungsprofile!$B$17:$B$22,"Schulbetrieb",Nutzungsprofile!$G$17:$G$22)*Kalender!C176/SUM(Kalender!$C$5:$C$370),0)+IFERROR(SUMIF(Nutzungsprofile!$B$17:$B$22,"Halle",Nutzungsprofile!$G$17:$G$22)*Kalender!D176/SUM(Kalender!$D$5:$D$370),0)+IFERROR(SUMIF(Nutzungsprofile!$B$17:$B$22,"Individuell",Nutzungsprofile!$G$17:$G$22)*Kalender!E176/SUM(Kalender!$E$5:$E$370),0))*Szenarien!$D$21,0)</f>
        <v>0.89</v>
      </c>
      <c r="E3836" s="13" t="n">
        <f aca="false">IFERROR(MIN(C3836,Eingaben!$B$17)*Eingaben!$B$16,0)</f>
        <v>2.3256</v>
      </c>
      <c r="F3836" s="13" t="n">
        <f aca="false">IFERROR(E3836*Eingaben!$B$15,0)</f>
        <v>2.09304</v>
      </c>
      <c r="G3836" s="13" t="n">
        <f aca="false">IFERROR(IF(Kalender!A176="",0,J3835*(1-Eingaben!$B$20)),0)</f>
        <v>1.96</v>
      </c>
      <c r="H3836" s="13" t="n">
        <f aca="false">MIN(G3836,D3836)</f>
        <v>0.89</v>
      </c>
      <c r="I3836" s="13" t="n">
        <f aca="false">IFERROR(MIN(F3836*Eingaben!$B$19,MAX(0,D3836-H3836)),0)</f>
        <v>0</v>
      </c>
      <c r="J3836" s="13" t="n">
        <f aca="false">IFERROR(MIN(Eingaben!$B$18,MAX(0,F3836-I3836)),0)</f>
        <v>2</v>
      </c>
      <c r="K3836" s="13" t="n">
        <f aca="false">H3836+I3836</f>
        <v>0.89</v>
      </c>
      <c r="L3836" s="13" t="n">
        <f aca="false">MAX(0,D3836-K3836)</f>
        <v>0</v>
      </c>
      <c r="M3836" s="13" t="n">
        <f aca="false">MAX(0,F3836-I3836-J3836)</f>
        <v>0.0930399999999998</v>
      </c>
      <c r="N3836" s="13" t="n">
        <f aca="false">IF(Kalender!A176="",0,J3835-H3836)</f>
        <v>1.11</v>
      </c>
    </row>
    <row r="3837" customFormat="false" ht="16.4" hidden="false" customHeight="false" outlineLevel="0" collapsed="false">
      <c r="A3837" s="13" t="str">
        <f aca="false">""</f>
        <v/>
      </c>
      <c r="B3837" s="13" t="n">
        <f aca="false">173</f>
        <v>173</v>
      </c>
      <c r="C3837" s="13" t="n">
        <f aca="false">IF(Szenarien!$H$21="OK",(IFERROR(SUMIF(Nutzungsprofile!$B$6:$B$11,"Schulbetrieb",Nutzungsprofile!$G$6:$G$11)*Kalender!C177/SUM(Kalender!$C$5:$C$370),0)+IFERROR(SUMIF(Nutzungsprofile!$B$6:$B$11,"Halle",Nutzungsprofile!$G$6:$G$11)*Kalender!D177/SUM(Kalender!$D$5:$D$370),0)+IFERROR(SUMIF(Nutzungsprofile!$B$6:$B$11,"Individuell",Nutzungsprofile!$G$6:$G$11)*Kalender!E177/SUM(Kalender!$E$5:$E$370),0))*Szenarien!$E$21,0)</f>
        <v>3.528</v>
      </c>
      <c r="D3837" s="13" t="n">
        <f aca="false">IF(Szenarien!$H$21="OK",(IFERROR(SUMIF(Nutzungsprofile!$B$17:$B$22,"Schulbetrieb",Nutzungsprofile!$G$17:$G$22)*Kalender!C177/SUM(Kalender!$C$5:$C$370),0)+IFERROR(SUMIF(Nutzungsprofile!$B$17:$B$22,"Halle",Nutzungsprofile!$G$17:$G$22)*Kalender!D177/SUM(Kalender!$D$5:$D$370),0)+IFERROR(SUMIF(Nutzungsprofile!$B$17:$B$22,"Individuell",Nutzungsprofile!$G$17:$G$22)*Kalender!E177/SUM(Kalender!$E$5:$E$370),0))*Szenarien!$D$21,0)</f>
        <v>4.94</v>
      </c>
      <c r="E3837" s="13" t="n">
        <f aca="false">IFERROR(MIN(C3837,Eingaben!$B$17)*Eingaben!$B$16,0)</f>
        <v>3.3516</v>
      </c>
      <c r="F3837" s="13" t="n">
        <f aca="false">IFERROR(E3837*Eingaben!$B$15,0)</f>
        <v>3.01644</v>
      </c>
      <c r="G3837" s="13" t="n">
        <f aca="false">IFERROR(IF(Kalender!A177="",0,J3836*(1-Eingaben!$B$20)),0)</f>
        <v>1.96</v>
      </c>
      <c r="H3837" s="13" t="n">
        <f aca="false">MIN(G3837,D3837)</f>
        <v>1.96</v>
      </c>
      <c r="I3837" s="13" t="n">
        <f aca="false">IFERROR(MIN(F3837*Eingaben!$B$19,MAX(0,D3837-H3837)),0)</f>
        <v>2.111508</v>
      </c>
      <c r="J3837" s="13" t="n">
        <f aca="false">IFERROR(MIN(Eingaben!$B$18,MAX(0,F3837-I3837)),0)</f>
        <v>0.904932</v>
      </c>
      <c r="K3837" s="13" t="n">
        <f aca="false">H3837+I3837</f>
        <v>4.071508</v>
      </c>
      <c r="L3837" s="13" t="n">
        <f aca="false">MAX(0,D3837-K3837)</f>
        <v>0.868492</v>
      </c>
      <c r="M3837" s="13" t="n">
        <f aca="false">MAX(0,F3837-I3837-J3837)</f>
        <v>0</v>
      </c>
      <c r="N3837" s="13" t="n">
        <f aca="false">IF(Kalender!A177="",0,J3836-H3837)</f>
        <v>0.04</v>
      </c>
    </row>
    <row r="3838" customFormat="false" ht="16.4" hidden="false" customHeight="false" outlineLevel="0" collapsed="false">
      <c r="A3838" s="13" t="str">
        <f aca="false">""</f>
        <v/>
      </c>
      <c r="B3838" s="13" t="n">
        <f aca="false">174</f>
        <v>174</v>
      </c>
      <c r="C3838" s="13" t="n">
        <f aca="false">IF(Szenarien!$H$21="OK",(IFERROR(SUMIF(Nutzungsprofile!$B$6:$B$11,"Schulbetrieb",Nutzungsprofile!$G$6:$G$11)*Kalender!C178/SUM(Kalender!$C$5:$C$370),0)+IFERROR(SUMIF(Nutzungsprofile!$B$6:$B$11,"Halle",Nutzungsprofile!$G$6:$G$11)*Kalender!D178/SUM(Kalender!$D$5:$D$370),0)+IFERROR(SUMIF(Nutzungsprofile!$B$6:$B$11,"Individuell",Nutzungsprofile!$G$6:$G$11)*Kalender!E178/SUM(Kalender!$E$5:$E$370),0))*Szenarien!$E$21,0)</f>
        <v>3.528</v>
      </c>
      <c r="D3838" s="13" t="n">
        <f aca="false">IF(Szenarien!$H$21="OK",(IFERROR(SUMIF(Nutzungsprofile!$B$17:$B$22,"Schulbetrieb",Nutzungsprofile!$G$17:$G$22)*Kalender!C178/SUM(Kalender!$C$5:$C$370),0)+IFERROR(SUMIF(Nutzungsprofile!$B$17:$B$22,"Halle",Nutzungsprofile!$G$17:$G$22)*Kalender!D178/SUM(Kalender!$D$5:$D$370),0)+IFERROR(SUMIF(Nutzungsprofile!$B$17:$B$22,"Individuell",Nutzungsprofile!$G$17:$G$22)*Kalender!E178/SUM(Kalender!$E$5:$E$370),0))*Szenarien!$D$21,0)</f>
        <v>4.94</v>
      </c>
      <c r="E3838" s="13" t="n">
        <f aca="false">IFERROR(MIN(C3838,Eingaben!$B$17)*Eingaben!$B$16,0)</f>
        <v>3.3516</v>
      </c>
      <c r="F3838" s="13" t="n">
        <f aca="false">IFERROR(E3838*Eingaben!$B$15,0)</f>
        <v>3.01644</v>
      </c>
      <c r="G3838" s="13" t="n">
        <f aca="false">IFERROR(IF(Kalender!A178="",0,J3837*(1-Eingaben!$B$20)),0)</f>
        <v>0.88683336</v>
      </c>
      <c r="H3838" s="13" t="n">
        <f aca="false">MIN(G3838,D3838)</f>
        <v>0.88683336</v>
      </c>
      <c r="I3838" s="13" t="n">
        <f aca="false">IFERROR(MIN(F3838*Eingaben!$B$19,MAX(0,D3838-H3838)),0)</f>
        <v>2.111508</v>
      </c>
      <c r="J3838" s="13" t="n">
        <f aca="false">IFERROR(MIN(Eingaben!$B$18,MAX(0,F3838-I3838)),0)</f>
        <v>0.904932</v>
      </c>
      <c r="K3838" s="13" t="n">
        <f aca="false">H3838+I3838</f>
        <v>2.99834136</v>
      </c>
      <c r="L3838" s="13" t="n">
        <f aca="false">MAX(0,D3838-K3838)</f>
        <v>1.94165864</v>
      </c>
      <c r="M3838" s="13" t="n">
        <f aca="false">MAX(0,F3838-I3838-J3838)</f>
        <v>0</v>
      </c>
      <c r="N3838" s="13" t="n">
        <f aca="false">IF(Kalender!A178="",0,J3837-H3838)</f>
        <v>0.0180986400000001</v>
      </c>
    </row>
    <row r="3839" customFormat="false" ht="16.4" hidden="false" customHeight="false" outlineLevel="0" collapsed="false">
      <c r="A3839" s="13" t="str">
        <f aca="false">""</f>
        <v/>
      </c>
      <c r="B3839" s="13" t="n">
        <f aca="false">175</f>
        <v>175</v>
      </c>
      <c r="C3839" s="13" t="n">
        <f aca="false">IF(Szenarien!$H$21="OK",(IFERROR(SUMIF(Nutzungsprofile!$B$6:$B$11,"Schulbetrieb",Nutzungsprofile!$G$6:$G$11)*Kalender!C179/SUM(Kalender!$C$5:$C$370),0)+IFERROR(SUMIF(Nutzungsprofile!$B$6:$B$11,"Halle",Nutzungsprofile!$G$6:$G$11)*Kalender!D179/SUM(Kalender!$D$5:$D$370),0)+IFERROR(SUMIF(Nutzungsprofile!$B$6:$B$11,"Individuell",Nutzungsprofile!$G$6:$G$11)*Kalender!E179/SUM(Kalender!$E$5:$E$370),0))*Szenarien!$E$21,0)</f>
        <v>3.528</v>
      </c>
      <c r="D3839" s="13" t="n">
        <f aca="false">IF(Szenarien!$H$21="OK",(IFERROR(SUMIF(Nutzungsprofile!$B$17:$B$22,"Schulbetrieb",Nutzungsprofile!$G$17:$G$22)*Kalender!C179/SUM(Kalender!$C$5:$C$370),0)+IFERROR(SUMIF(Nutzungsprofile!$B$17:$B$22,"Halle",Nutzungsprofile!$G$17:$G$22)*Kalender!D179/SUM(Kalender!$D$5:$D$370),0)+IFERROR(SUMIF(Nutzungsprofile!$B$17:$B$22,"Individuell",Nutzungsprofile!$G$17:$G$22)*Kalender!E179/SUM(Kalender!$E$5:$E$370),0))*Szenarien!$D$21,0)</f>
        <v>4.94</v>
      </c>
      <c r="E3839" s="13" t="n">
        <f aca="false">IFERROR(MIN(C3839,Eingaben!$B$17)*Eingaben!$B$16,0)</f>
        <v>3.3516</v>
      </c>
      <c r="F3839" s="13" t="n">
        <f aca="false">IFERROR(E3839*Eingaben!$B$15,0)</f>
        <v>3.01644</v>
      </c>
      <c r="G3839" s="13" t="n">
        <f aca="false">IFERROR(IF(Kalender!A179="",0,J3838*(1-Eingaben!$B$20)),0)</f>
        <v>0.88683336</v>
      </c>
      <c r="H3839" s="13" t="n">
        <f aca="false">MIN(G3839,D3839)</f>
        <v>0.88683336</v>
      </c>
      <c r="I3839" s="13" t="n">
        <f aca="false">IFERROR(MIN(F3839*Eingaben!$B$19,MAX(0,D3839-H3839)),0)</f>
        <v>2.111508</v>
      </c>
      <c r="J3839" s="13" t="n">
        <f aca="false">IFERROR(MIN(Eingaben!$B$18,MAX(0,F3839-I3839)),0)</f>
        <v>0.904932</v>
      </c>
      <c r="K3839" s="13" t="n">
        <f aca="false">H3839+I3839</f>
        <v>2.99834136</v>
      </c>
      <c r="L3839" s="13" t="n">
        <f aca="false">MAX(0,D3839-K3839)</f>
        <v>1.94165864</v>
      </c>
      <c r="M3839" s="13" t="n">
        <f aca="false">MAX(0,F3839-I3839-J3839)</f>
        <v>0</v>
      </c>
      <c r="N3839" s="13" t="n">
        <f aca="false">IF(Kalender!A179="",0,J3838-H3839)</f>
        <v>0.0180986400000001</v>
      </c>
    </row>
    <row r="3840" customFormat="false" ht="16.4" hidden="false" customHeight="false" outlineLevel="0" collapsed="false">
      <c r="A3840" s="13" t="str">
        <f aca="false">""</f>
        <v/>
      </c>
      <c r="B3840" s="13" t="n">
        <f aca="false">176</f>
        <v>176</v>
      </c>
      <c r="C3840" s="13" t="n">
        <f aca="false">IF(Szenarien!$H$21="OK",(IFERROR(SUMIF(Nutzungsprofile!$B$6:$B$11,"Schulbetrieb",Nutzungsprofile!$G$6:$G$11)*Kalender!C180/SUM(Kalender!$C$5:$C$370),0)+IFERROR(SUMIF(Nutzungsprofile!$B$6:$B$11,"Halle",Nutzungsprofile!$G$6:$G$11)*Kalender!D180/SUM(Kalender!$D$5:$D$370),0)+IFERROR(SUMIF(Nutzungsprofile!$B$6:$B$11,"Individuell",Nutzungsprofile!$G$6:$G$11)*Kalender!E180/SUM(Kalender!$E$5:$E$370),0))*Szenarien!$E$21,0)</f>
        <v>3.528</v>
      </c>
      <c r="D3840" s="13" t="n">
        <f aca="false">IF(Szenarien!$H$21="OK",(IFERROR(SUMIF(Nutzungsprofile!$B$17:$B$22,"Schulbetrieb",Nutzungsprofile!$G$17:$G$22)*Kalender!C180/SUM(Kalender!$C$5:$C$370),0)+IFERROR(SUMIF(Nutzungsprofile!$B$17:$B$22,"Halle",Nutzungsprofile!$G$17:$G$22)*Kalender!D180/SUM(Kalender!$D$5:$D$370),0)+IFERROR(SUMIF(Nutzungsprofile!$B$17:$B$22,"Individuell",Nutzungsprofile!$G$17:$G$22)*Kalender!E180/SUM(Kalender!$E$5:$E$370),0))*Szenarien!$D$21,0)</f>
        <v>4.94</v>
      </c>
      <c r="E3840" s="13" t="n">
        <f aca="false">IFERROR(MIN(C3840,Eingaben!$B$17)*Eingaben!$B$16,0)</f>
        <v>3.3516</v>
      </c>
      <c r="F3840" s="13" t="n">
        <f aca="false">IFERROR(E3840*Eingaben!$B$15,0)</f>
        <v>3.01644</v>
      </c>
      <c r="G3840" s="13" t="n">
        <f aca="false">IFERROR(IF(Kalender!A180="",0,J3839*(1-Eingaben!$B$20)),0)</f>
        <v>0.88683336</v>
      </c>
      <c r="H3840" s="13" t="n">
        <f aca="false">MIN(G3840,D3840)</f>
        <v>0.88683336</v>
      </c>
      <c r="I3840" s="13" t="n">
        <f aca="false">IFERROR(MIN(F3840*Eingaben!$B$19,MAX(0,D3840-H3840)),0)</f>
        <v>2.111508</v>
      </c>
      <c r="J3840" s="13" t="n">
        <f aca="false">IFERROR(MIN(Eingaben!$B$18,MAX(0,F3840-I3840)),0)</f>
        <v>0.904932</v>
      </c>
      <c r="K3840" s="13" t="n">
        <f aca="false">H3840+I3840</f>
        <v>2.99834136</v>
      </c>
      <c r="L3840" s="13" t="n">
        <f aca="false">MAX(0,D3840-K3840)</f>
        <v>1.94165864</v>
      </c>
      <c r="M3840" s="13" t="n">
        <f aca="false">MAX(0,F3840-I3840-J3840)</f>
        <v>0</v>
      </c>
      <c r="N3840" s="13" t="n">
        <f aca="false">IF(Kalender!A180="",0,J3839-H3840)</f>
        <v>0.0180986400000001</v>
      </c>
    </row>
    <row r="3841" customFormat="false" ht="16.4" hidden="false" customHeight="false" outlineLevel="0" collapsed="false">
      <c r="A3841" s="13" t="str">
        <f aca="false">""</f>
        <v/>
      </c>
      <c r="B3841" s="13" t="n">
        <f aca="false">177</f>
        <v>177</v>
      </c>
      <c r="C3841" s="13" t="n">
        <f aca="false">IF(Szenarien!$H$21="OK",(IFERROR(SUMIF(Nutzungsprofile!$B$6:$B$11,"Schulbetrieb",Nutzungsprofile!$G$6:$G$11)*Kalender!C181/SUM(Kalender!$C$5:$C$370),0)+IFERROR(SUMIF(Nutzungsprofile!$B$6:$B$11,"Halle",Nutzungsprofile!$G$6:$G$11)*Kalender!D181/SUM(Kalender!$D$5:$D$370),0)+IFERROR(SUMIF(Nutzungsprofile!$B$6:$B$11,"Individuell",Nutzungsprofile!$G$6:$G$11)*Kalender!E181/SUM(Kalender!$E$5:$E$370),0))*Szenarien!$E$21,0)</f>
        <v>3.528</v>
      </c>
      <c r="D3841" s="13" t="n">
        <f aca="false">IF(Szenarien!$H$21="OK",(IFERROR(SUMIF(Nutzungsprofile!$B$17:$B$22,"Schulbetrieb",Nutzungsprofile!$G$17:$G$22)*Kalender!C181/SUM(Kalender!$C$5:$C$370),0)+IFERROR(SUMIF(Nutzungsprofile!$B$17:$B$22,"Halle",Nutzungsprofile!$G$17:$G$22)*Kalender!D181/SUM(Kalender!$D$5:$D$370),0)+IFERROR(SUMIF(Nutzungsprofile!$B$17:$B$22,"Individuell",Nutzungsprofile!$G$17:$G$22)*Kalender!E181/SUM(Kalender!$E$5:$E$370),0))*Szenarien!$D$21,0)</f>
        <v>4.94</v>
      </c>
      <c r="E3841" s="13" t="n">
        <f aca="false">IFERROR(MIN(C3841,Eingaben!$B$17)*Eingaben!$B$16,0)</f>
        <v>3.3516</v>
      </c>
      <c r="F3841" s="13" t="n">
        <f aca="false">IFERROR(E3841*Eingaben!$B$15,0)</f>
        <v>3.01644</v>
      </c>
      <c r="G3841" s="13" t="n">
        <f aca="false">IFERROR(IF(Kalender!A181="",0,J3840*(1-Eingaben!$B$20)),0)</f>
        <v>0.88683336</v>
      </c>
      <c r="H3841" s="13" t="n">
        <f aca="false">MIN(G3841,D3841)</f>
        <v>0.88683336</v>
      </c>
      <c r="I3841" s="13" t="n">
        <f aca="false">IFERROR(MIN(F3841*Eingaben!$B$19,MAX(0,D3841-H3841)),0)</f>
        <v>2.111508</v>
      </c>
      <c r="J3841" s="13" t="n">
        <f aca="false">IFERROR(MIN(Eingaben!$B$18,MAX(0,F3841-I3841)),0)</f>
        <v>0.904932</v>
      </c>
      <c r="K3841" s="13" t="n">
        <f aca="false">H3841+I3841</f>
        <v>2.99834136</v>
      </c>
      <c r="L3841" s="13" t="n">
        <f aca="false">MAX(0,D3841-K3841)</f>
        <v>1.94165864</v>
      </c>
      <c r="M3841" s="13" t="n">
        <f aca="false">MAX(0,F3841-I3841-J3841)</f>
        <v>0</v>
      </c>
      <c r="N3841" s="13" t="n">
        <f aca="false">IF(Kalender!A181="",0,J3840-H3841)</f>
        <v>0.0180986400000001</v>
      </c>
    </row>
    <row r="3842" customFormat="false" ht="16.4" hidden="false" customHeight="false" outlineLevel="0" collapsed="false">
      <c r="A3842" s="13" t="str">
        <f aca="false">""</f>
        <v/>
      </c>
      <c r="B3842" s="13" t="n">
        <f aca="false">178</f>
        <v>178</v>
      </c>
      <c r="C3842" s="13" t="n">
        <f aca="false">IF(Szenarien!$H$21="OK",(IFERROR(SUMIF(Nutzungsprofile!$B$6:$B$11,"Schulbetrieb",Nutzungsprofile!$G$6:$G$11)*Kalender!C182/SUM(Kalender!$C$5:$C$370),0)+IFERROR(SUMIF(Nutzungsprofile!$B$6:$B$11,"Halle",Nutzungsprofile!$G$6:$G$11)*Kalender!D182/SUM(Kalender!$D$5:$D$370),0)+IFERROR(SUMIF(Nutzungsprofile!$B$6:$B$11,"Individuell",Nutzungsprofile!$G$6:$G$11)*Kalender!E182/SUM(Kalender!$E$5:$E$370),0))*Szenarien!$E$21,0)</f>
        <v>2.448</v>
      </c>
      <c r="D3842" s="13" t="n">
        <f aca="false">IF(Szenarien!$H$21="OK",(IFERROR(SUMIF(Nutzungsprofile!$B$17:$B$22,"Schulbetrieb",Nutzungsprofile!$G$17:$G$22)*Kalender!C182/SUM(Kalender!$C$5:$C$370),0)+IFERROR(SUMIF(Nutzungsprofile!$B$17:$B$22,"Halle",Nutzungsprofile!$G$17:$G$22)*Kalender!D182/SUM(Kalender!$D$5:$D$370),0)+IFERROR(SUMIF(Nutzungsprofile!$B$17:$B$22,"Individuell",Nutzungsprofile!$G$17:$G$22)*Kalender!E182/SUM(Kalender!$E$5:$E$370),0))*Szenarien!$D$21,0)</f>
        <v>0.89</v>
      </c>
      <c r="E3842" s="13" t="n">
        <f aca="false">IFERROR(MIN(C3842,Eingaben!$B$17)*Eingaben!$B$16,0)</f>
        <v>2.3256</v>
      </c>
      <c r="F3842" s="13" t="n">
        <f aca="false">IFERROR(E3842*Eingaben!$B$15,0)</f>
        <v>2.09304</v>
      </c>
      <c r="G3842" s="13" t="n">
        <f aca="false">IFERROR(IF(Kalender!A182="",0,J3841*(1-Eingaben!$B$20)),0)</f>
        <v>0.88683336</v>
      </c>
      <c r="H3842" s="13" t="n">
        <f aca="false">MIN(G3842,D3842)</f>
        <v>0.88683336</v>
      </c>
      <c r="I3842" s="13" t="n">
        <f aca="false">IFERROR(MIN(F3842*Eingaben!$B$19,MAX(0,D3842-H3842)),0)</f>
        <v>0.00316664</v>
      </c>
      <c r="J3842" s="13" t="n">
        <f aca="false">IFERROR(MIN(Eingaben!$B$18,MAX(0,F3842-I3842)),0)</f>
        <v>2</v>
      </c>
      <c r="K3842" s="13" t="n">
        <f aca="false">H3842+I3842</f>
        <v>0.89</v>
      </c>
      <c r="L3842" s="13" t="n">
        <f aca="false">MAX(0,D3842-K3842)</f>
        <v>0</v>
      </c>
      <c r="M3842" s="13" t="n">
        <f aca="false">MAX(0,F3842-I3842-J3842)</f>
        <v>0.0898733599999999</v>
      </c>
      <c r="N3842" s="13" t="n">
        <f aca="false">IF(Kalender!A182="",0,J3841-H3842)</f>
        <v>0.0180986400000001</v>
      </c>
    </row>
    <row r="3843" customFormat="false" ht="16.4" hidden="false" customHeight="false" outlineLevel="0" collapsed="false">
      <c r="A3843" s="13" t="str">
        <f aca="false">""</f>
        <v/>
      </c>
      <c r="B3843" s="13" t="n">
        <f aca="false">179</f>
        <v>179</v>
      </c>
      <c r="C3843" s="13" t="n">
        <f aca="false">IF(Szenarien!$H$21="OK",(IFERROR(SUMIF(Nutzungsprofile!$B$6:$B$11,"Schulbetrieb",Nutzungsprofile!$G$6:$G$11)*Kalender!C183/SUM(Kalender!$C$5:$C$370),0)+IFERROR(SUMIF(Nutzungsprofile!$B$6:$B$11,"Halle",Nutzungsprofile!$G$6:$G$11)*Kalender!D183/SUM(Kalender!$D$5:$D$370),0)+IFERROR(SUMIF(Nutzungsprofile!$B$6:$B$11,"Individuell",Nutzungsprofile!$G$6:$G$11)*Kalender!E183/SUM(Kalender!$E$5:$E$370),0))*Szenarien!$E$21,0)</f>
        <v>2.448</v>
      </c>
      <c r="D3843" s="13" t="n">
        <f aca="false">IF(Szenarien!$H$21="OK",(IFERROR(SUMIF(Nutzungsprofile!$B$17:$B$22,"Schulbetrieb",Nutzungsprofile!$G$17:$G$22)*Kalender!C183/SUM(Kalender!$C$5:$C$370),0)+IFERROR(SUMIF(Nutzungsprofile!$B$17:$B$22,"Halle",Nutzungsprofile!$G$17:$G$22)*Kalender!D183/SUM(Kalender!$D$5:$D$370),0)+IFERROR(SUMIF(Nutzungsprofile!$B$17:$B$22,"Individuell",Nutzungsprofile!$G$17:$G$22)*Kalender!E183/SUM(Kalender!$E$5:$E$370),0))*Szenarien!$D$21,0)</f>
        <v>0.89</v>
      </c>
      <c r="E3843" s="13" t="n">
        <f aca="false">IFERROR(MIN(C3843,Eingaben!$B$17)*Eingaben!$B$16,0)</f>
        <v>2.3256</v>
      </c>
      <c r="F3843" s="13" t="n">
        <f aca="false">IFERROR(E3843*Eingaben!$B$15,0)</f>
        <v>2.09304</v>
      </c>
      <c r="G3843" s="13" t="n">
        <f aca="false">IFERROR(IF(Kalender!A183="",0,J3842*(1-Eingaben!$B$20)),0)</f>
        <v>1.96</v>
      </c>
      <c r="H3843" s="13" t="n">
        <f aca="false">MIN(G3843,D3843)</f>
        <v>0.89</v>
      </c>
      <c r="I3843" s="13" t="n">
        <f aca="false">IFERROR(MIN(F3843*Eingaben!$B$19,MAX(0,D3843-H3843)),0)</f>
        <v>0</v>
      </c>
      <c r="J3843" s="13" t="n">
        <f aca="false">IFERROR(MIN(Eingaben!$B$18,MAX(0,F3843-I3843)),0)</f>
        <v>2</v>
      </c>
      <c r="K3843" s="13" t="n">
        <f aca="false">H3843+I3843</f>
        <v>0.89</v>
      </c>
      <c r="L3843" s="13" t="n">
        <f aca="false">MAX(0,D3843-K3843)</f>
        <v>0</v>
      </c>
      <c r="M3843" s="13" t="n">
        <f aca="false">MAX(0,F3843-I3843-J3843)</f>
        <v>0.0930399999999998</v>
      </c>
      <c r="N3843" s="13" t="n">
        <f aca="false">IF(Kalender!A183="",0,J3842-H3843)</f>
        <v>1.11</v>
      </c>
    </row>
    <row r="3844" customFormat="false" ht="16.4" hidden="false" customHeight="false" outlineLevel="0" collapsed="false">
      <c r="A3844" s="13" t="str">
        <f aca="false">""</f>
        <v/>
      </c>
      <c r="B3844" s="13" t="n">
        <f aca="false">180</f>
        <v>180</v>
      </c>
      <c r="C3844" s="13" t="n">
        <f aca="false">IF(Szenarien!$H$21="OK",(IFERROR(SUMIF(Nutzungsprofile!$B$6:$B$11,"Schulbetrieb",Nutzungsprofile!$G$6:$G$11)*Kalender!C184/SUM(Kalender!$C$5:$C$370),0)+IFERROR(SUMIF(Nutzungsprofile!$B$6:$B$11,"Halle",Nutzungsprofile!$G$6:$G$11)*Kalender!D184/SUM(Kalender!$D$5:$D$370),0)+IFERROR(SUMIF(Nutzungsprofile!$B$6:$B$11,"Individuell",Nutzungsprofile!$G$6:$G$11)*Kalender!E184/SUM(Kalender!$E$5:$E$370),0))*Szenarien!$E$21,0)</f>
        <v>3.528</v>
      </c>
      <c r="D3844" s="13" t="n">
        <f aca="false">IF(Szenarien!$H$21="OK",(IFERROR(SUMIF(Nutzungsprofile!$B$17:$B$22,"Schulbetrieb",Nutzungsprofile!$G$17:$G$22)*Kalender!C184/SUM(Kalender!$C$5:$C$370),0)+IFERROR(SUMIF(Nutzungsprofile!$B$17:$B$22,"Halle",Nutzungsprofile!$G$17:$G$22)*Kalender!D184/SUM(Kalender!$D$5:$D$370),0)+IFERROR(SUMIF(Nutzungsprofile!$B$17:$B$22,"Individuell",Nutzungsprofile!$G$17:$G$22)*Kalender!E184/SUM(Kalender!$E$5:$E$370),0))*Szenarien!$D$21,0)</f>
        <v>4.94</v>
      </c>
      <c r="E3844" s="13" t="n">
        <f aca="false">IFERROR(MIN(C3844,Eingaben!$B$17)*Eingaben!$B$16,0)</f>
        <v>3.3516</v>
      </c>
      <c r="F3844" s="13" t="n">
        <f aca="false">IFERROR(E3844*Eingaben!$B$15,0)</f>
        <v>3.01644</v>
      </c>
      <c r="G3844" s="13" t="n">
        <f aca="false">IFERROR(IF(Kalender!A184="",0,J3843*(1-Eingaben!$B$20)),0)</f>
        <v>1.96</v>
      </c>
      <c r="H3844" s="13" t="n">
        <f aca="false">MIN(G3844,D3844)</f>
        <v>1.96</v>
      </c>
      <c r="I3844" s="13" t="n">
        <f aca="false">IFERROR(MIN(F3844*Eingaben!$B$19,MAX(0,D3844-H3844)),0)</f>
        <v>2.111508</v>
      </c>
      <c r="J3844" s="13" t="n">
        <f aca="false">IFERROR(MIN(Eingaben!$B$18,MAX(0,F3844-I3844)),0)</f>
        <v>0.904932</v>
      </c>
      <c r="K3844" s="13" t="n">
        <f aca="false">H3844+I3844</f>
        <v>4.071508</v>
      </c>
      <c r="L3844" s="13" t="n">
        <f aca="false">MAX(0,D3844-K3844)</f>
        <v>0.868492</v>
      </c>
      <c r="M3844" s="13" t="n">
        <f aca="false">MAX(0,F3844-I3844-J3844)</f>
        <v>0</v>
      </c>
      <c r="N3844" s="13" t="n">
        <f aca="false">IF(Kalender!A184="",0,J3843-H3844)</f>
        <v>0.04</v>
      </c>
    </row>
    <row r="3845" customFormat="false" ht="16.4" hidden="false" customHeight="false" outlineLevel="0" collapsed="false">
      <c r="A3845" s="13" t="str">
        <f aca="false">""</f>
        <v/>
      </c>
      <c r="B3845" s="13" t="n">
        <f aca="false">181</f>
        <v>181</v>
      </c>
      <c r="C3845" s="13" t="n">
        <f aca="false">IF(Szenarien!$H$21="OK",(IFERROR(SUMIF(Nutzungsprofile!$B$6:$B$11,"Schulbetrieb",Nutzungsprofile!$G$6:$G$11)*Kalender!C185/SUM(Kalender!$C$5:$C$370),0)+IFERROR(SUMIF(Nutzungsprofile!$B$6:$B$11,"Halle",Nutzungsprofile!$G$6:$G$11)*Kalender!D185/SUM(Kalender!$D$5:$D$370),0)+IFERROR(SUMIF(Nutzungsprofile!$B$6:$B$11,"Individuell",Nutzungsprofile!$G$6:$G$11)*Kalender!E185/SUM(Kalender!$E$5:$E$370),0))*Szenarien!$E$21,0)</f>
        <v>3.528</v>
      </c>
      <c r="D3845" s="13" t="n">
        <f aca="false">IF(Szenarien!$H$21="OK",(IFERROR(SUMIF(Nutzungsprofile!$B$17:$B$22,"Schulbetrieb",Nutzungsprofile!$G$17:$G$22)*Kalender!C185/SUM(Kalender!$C$5:$C$370),0)+IFERROR(SUMIF(Nutzungsprofile!$B$17:$B$22,"Halle",Nutzungsprofile!$G$17:$G$22)*Kalender!D185/SUM(Kalender!$D$5:$D$370),0)+IFERROR(SUMIF(Nutzungsprofile!$B$17:$B$22,"Individuell",Nutzungsprofile!$G$17:$G$22)*Kalender!E185/SUM(Kalender!$E$5:$E$370),0))*Szenarien!$D$21,0)</f>
        <v>4.94</v>
      </c>
      <c r="E3845" s="13" t="n">
        <f aca="false">IFERROR(MIN(C3845,Eingaben!$B$17)*Eingaben!$B$16,0)</f>
        <v>3.3516</v>
      </c>
      <c r="F3845" s="13" t="n">
        <f aca="false">IFERROR(E3845*Eingaben!$B$15,0)</f>
        <v>3.01644</v>
      </c>
      <c r="G3845" s="13" t="n">
        <f aca="false">IFERROR(IF(Kalender!A185="",0,J3844*(1-Eingaben!$B$20)),0)</f>
        <v>0.88683336</v>
      </c>
      <c r="H3845" s="13" t="n">
        <f aca="false">MIN(G3845,D3845)</f>
        <v>0.88683336</v>
      </c>
      <c r="I3845" s="13" t="n">
        <f aca="false">IFERROR(MIN(F3845*Eingaben!$B$19,MAX(0,D3845-H3845)),0)</f>
        <v>2.111508</v>
      </c>
      <c r="J3845" s="13" t="n">
        <f aca="false">IFERROR(MIN(Eingaben!$B$18,MAX(0,F3845-I3845)),0)</f>
        <v>0.904932</v>
      </c>
      <c r="K3845" s="13" t="n">
        <f aca="false">H3845+I3845</f>
        <v>2.99834136</v>
      </c>
      <c r="L3845" s="13" t="n">
        <f aca="false">MAX(0,D3845-K3845)</f>
        <v>1.94165864</v>
      </c>
      <c r="M3845" s="13" t="n">
        <f aca="false">MAX(0,F3845-I3845-J3845)</f>
        <v>0</v>
      </c>
      <c r="N3845" s="13" t="n">
        <f aca="false">IF(Kalender!A185="",0,J3844-H3845)</f>
        <v>0.0180986400000001</v>
      </c>
    </row>
    <row r="3846" customFormat="false" ht="16.4" hidden="false" customHeight="false" outlineLevel="0" collapsed="false">
      <c r="A3846" s="13" t="str">
        <f aca="false">""</f>
        <v/>
      </c>
      <c r="B3846" s="13" t="n">
        <f aca="false">182</f>
        <v>182</v>
      </c>
      <c r="C3846" s="13" t="n">
        <f aca="false">IF(Szenarien!$H$21="OK",(IFERROR(SUMIF(Nutzungsprofile!$B$6:$B$11,"Schulbetrieb",Nutzungsprofile!$G$6:$G$11)*Kalender!C186/SUM(Kalender!$C$5:$C$370),0)+IFERROR(SUMIF(Nutzungsprofile!$B$6:$B$11,"Halle",Nutzungsprofile!$G$6:$G$11)*Kalender!D186/SUM(Kalender!$D$5:$D$370),0)+IFERROR(SUMIF(Nutzungsprofile!$B$6:$B$11,"Individuell",Nutzungsprofile!$G$6:$G$11)*Kalender!E186/SUM(Kalender!$E$5:$E$370),0))*Szenarien!$E$21,0)</f>
        <v>2.448</v>
      </c>
      <c r="D3846" s="13" t="n">
        <f aca="false">IF(Szenarien!$H$21="OK",(IFERROR(SUMIF(Nutzungsprofile!$B$17:$B$22,"Schulbetrieb",Nutzungsprofile!$G$17:$G$22)*Kalender!C186/SUM(Kalender!$C$5:$C$370),0)+IFERROR(SUMIF(Nutzungsprofile!$B$17:$B$22,"Halle",Nutzungsprofile!$G$17:$G$22)*Kalender!D186/SUM(Kalender!$D$5:$D$370),0)+IFERROR(SUMIF(Nutzungsprofile!$B$17:$B$22,"Individuell",Nutzungsprofile!$G$17:$G$22)*Kalender!E186/SUM(Kalender!$E$5:$E$370),0))*Szenarien!$D$21,0)</f>
        <v>0.89</v>
      </c>
      <c r="E3846" s="13" t="n">
        <f aca="false">IFERROR(MIN(C3846,Eingaben!$B$17)*Eingaben!$B$16,0)</f>
        <v>2.3256</v>
      </c>
      <c r="F3846" s="13" t="n">
        <f aca="false">IFERROR(E3846*Eingaben!$B$15,0)</f>
        <v>2.09304</v>
      </c>
      <c r="G3846" s="13" t="n">
        <f aca="false">IFERROR(IF(Kalender!A186="",0,J3845*(1-Eingaben!$B$20)),0)</f>
        <v>0.88683336</v>
      </c>
      <c r="H3846" s="13" t="n">
        <f aca="false">MIN(G3846,D3846)</f>
        <v>0.88683336</v>
      </c>
      <c r="I3846" s="13" t="n">
        <f aca="false">IFERROR(MIN(F3846*Eingaben!$B$19,MAX(0,D3846-H3846)),0)</f>
        <v>0.00316664</v>
      </c>
      <c r="J3846" s="13" t="n">
        <f aca="false">IFERROR(MIN(Eingaben!$B$18,MAX(0,F3846-I3846)),0)</f>
        <v>2</v>
      </c>
      <c r="K3846" s="13" t="n">
        <f aca="false">H3846+I3846</f>
        <v>0.89</v>
      </c>
      <c r="L3846" s="13" t="n">
        <f aca="false">MAX(0,D3846-K3846)</f>
        <v>0</v>
      </c>
      <c r="M3846" s="13" t="n">
        <f aca="false">MAX(0,F3846-I3846-J3846)</f>
        <v>0.0898733599999999</v>
      </c>
      <c r="N3846" s="13" t="n">
        <f aca="false">IF(Kalender!A186="",0,J3845-H3846)</f>
        <v>0.0180986400000001</v>
      </c>
    </row>
    <row r="3847" customFormat="false" ht="16.4" hidden="false" customHeight="false" outlineLevel="0" collapsed="false">
      <c r="A3847" s="13" t="str">
        <f aca="false">""</f>
        <v/>
      </c>
      <c r="B3847" s="13" t="n">
        <f aca="false">183</f>
        <v>183</v>
      </c>
      <c r="C3847" s="13" t="n">
        <f aca="false">IF(Szenarien!$H$21="OK",(IFERROR(SUMIF(Nutzungsprofile!$B$6:$B$11,"Schulbetrieb",Nutzungsprofile!$G$6:$G$11)*Kalender!C187/SUM(Kalender!$C$5:$C$370),0)+IFERROR(SUMIF(Nutzungsprofile!$B$6:$B$11,"Halle",Nutzungsprofile!$G$6:$G$11)*Kalender!D187/SUM(Kalender!$D$5:$D$370),0)+IFERROR(SUMIF(Nutzungsprofile!$B$6:$B$11,"Individuell",Nutzungsprofile!$G$6:$G$11)*Kalender!E187/SUM(Kalender!$E$5:$E$370),0))*Szenarien!$E$21,0)</f>
        <v>2.448</v>
      </c>
      <c r="D3847" s="13" t="n">
        <f aca="false">IF(Szenarien!$H$21="OK",(IFERROR(SUMIF(Nutzungsprofile!$B$17:$B$22,"Schulbetrieb",Nutzungsprofile!$G$17:$G$22)*Kalender!C187/SUM(Kalender!$C$5:$C$370),0)+IFERROR(SUMIF(Nutzungsprofile!$B$17:$B$22,"Halle",Nutzungsprofile!$G$17:$G$22)*Kalender!D187/SUM(Kalender!$D$5:$D$370),0)+IFERROR(SUMIF(Nutzungsprofile!$B$17:$B$22,"Individuell",Nutzungsprofile!$G$17:$G$22)*Kalender!E187/SUM(Kalender!$E$5:$E$370),0))*Szenarien!$D$21,0)</f>
        <v>0.89</v>
      </c>
      <c r="E3847" s="13" t="n">
        <f aca="false">IFERROR(MIN(C3847,Eingaben!$B$17)*Eingaben!$B$16,0)</f>
        <v>2.3256</v>
      </c>
      <c r="F3847" s="13" t="n">
        <f aca="false">IFERROR(E3847*Eingaben!$B$15,0)</f>
        <v>2.09304</v>
      </c>
      <c r="G3847" s="13" t="n">
        <f aca="false">IFERROR(IF(Kalender!A187="",0,J3846*(1-Eingaben!$B$20)),0)</f>
        <v>1.96</v>
      </c>
      <c r="H3847" s="13" t="n">
        <f aca="false">MIN(G3847,D3847)</f>
        <v>0.89</v>
      </c>
      <c r="I3847" s="13" t="n">
        <f aca="false">IFERROR(MIN(F3847*Eingaben!$B$19,MAX(0,D3847-H3847)),0)</f>
        <v>0</v>
      </c>
      <c r="J3847" s="13" t="n">
        <f aca="false">IFERROR(MIN(Eingaben!$B$18,MAX(0,F3847-I3847)),0)</f>
        <v>2</v>
      </c>
      <c r="K3847" s="13" t="n">
        <f aca="false">H3847+I3847</f>
        <v>0.89</v>
      </c>
      <c r="L3847" s="13" t="n">
        <f aca="false">MAX(0,D3847-K3847)</f>
        <v>0</v>
      </c>
      <c r="M3847" s="13" t="n">
        <f aca="false">MAX(0,F3847-I3847-J3847)</f>
        <v>0.0930399999999998</v>
      </c>
      <c r="N3847" s="13" t="n">
        <f aca="false">IF(Kalender!A187="",0,J3846-H3847)</f>
        <v>1.11</v>
      </c>
    </row>
    <row r="3848" customFormat="false" ht="16.4" hidden="false" customHeight="false" outlineLevel="0" collapsed="false">
      <c r="A3848" s="13" t="str">
        <f aca="false">""</f>
        <v/>
      </c>
      <c r="B3848" s="13" t="n">
        <f aca="false">184</f>
        <v>184</v>
      </c>
      <c r="C3848" s="13" t="n">
        <f aca="false">IF(Szenarien!$H$21="OK",(IFERROR(SUMIF(Nutzungsprofile!$B$6:$B$11,"Schulbetrieb",Nutzungsprofile!$G$6:$G$11)*Kalender!C188/SUM(Kalender!$C$5:$C$370),0)+IFERROR(SUMIF(Nutzungsprofile!$B$6:$B$11,"Halle",Nutzungsprofile!$G$6:$G$11)*Kalender!D188/SUM(Kalender!$D$5:$D$370),0)+IFERROR(SUMIF(Nutzungsprofile!$B$6:$B$11,"Individuell",Nutzungsprofile!$G$6:$G$11)*Kalender!E188/SUM(Kalender!$E$5:$E$370),0))*Szenarien!$E$21,0)</f>
        <v>2.448</v>
      </c>
      <c r="D3848" s="13" t="n">
        <f aca="false">IF(Szenarien!$H$21="OK",(IFERROR(SUMIF(Nutzungsprofile!$B$17:$B$22,"Schulbetrieb",Nutzungsprofile!$G$17:$G$22)*Kalender!C188/SUM(Kalender!$C$5:$C$370),0)+IFERROR(SUMIF(Nutzungsprofile!$B$17:$B$22,"Halle",Nutzungsprofile!$G$17:$G$22)*Kalender!D188/SUM(Kalender!$D$5:$D$370),0)+IFERROR(SUMIF(Nutzungsprofile!$B$17:$B$22,"Individuell",Nutzungsprofile!$G$17:$G$22)*Kalender!E188/SUM(Kalender!$E$5:$E$370),0))*Szenarien!$D$21,0)</f>
        <v>0.89</v>
      </c>
      <c r="E3848" s="13" t="n">
        <f aca="false">IFERROR(MIN(C3848,Eingaben!$B$17)*Eingaben!$B$16,0)</f>
        <v>2.3256</v>
      </c>
      <c r="F3848" s="13" t="n">
        <f aca="false">IFERROR(E3848*Eingaben!$B$15,0)</f>
        <v>2.09304</v>
      </c>
      <c r="G3848" s="13" t="n">
        <f aca="false">IFERROR(IF(Kalender!A188="",0,J3847*(1-Eingaben!$B$20)),0)</f>
        <v>1.96</v>
      </c>
      <c r="H3848" s="13" t="n">
        <f aca="false">MIN(G3848,D3848)</f>
        <v>0.89</v>
      </c>
      <c r="I3848" s="13" t="n">
        <f aca="false">IFERROR(MIN(F3848*Eingaben!$B$19,MAX(0,D3848-H3848)),0)</f>
        <v>0</v>
      </c>
      <c r="J3848" s="13" t="n">
        <f aca="false">IFERROR(MIN(Eingaben!$B$18,MAX(0,F3848-I3848)),0)</f>
        <v>2</v>
      </c>
      <c r="K3848" s="13" t="n">
        <f aca="false">H3848+I3848</f>
        <v>0.89</v>
      </c>
      <c r="L3848" s="13" t="n">
        <f aca="false">MAX(0,D3848-K3848)</f>
        <v>0</v>
      </c>
      <c r="M3848" s="13" t="n">
        <f aca="false">MAX(0,F3848-I3848-J3848)</f>
        <v>0.0930399999999998</v>
      </c>
      <c r="N3848" s="13" t="n">
        <f aca="false">IF(Kalender!A188="",0,J3847-H3848)</f>
        <v>1.11</v>
      </c>
    </row>
    <row r="3849" customFormat="false" ht="16.4" hidden="false" customHeight="false" outlineLevel="0" collapsed="false">
      <c r="A3849" s="13" t="str">
        <f aca="false">""</f>
        <v/>
      </c>
      <c r="B3849" s="13" t="n">
        <f aca="false">185</f>
        <v>185</v>
      </c>
      <c r="C3849" s="13" t="n">
        <f aca="false">IF(Szenarien!$H$21="OK",(IFERROR(SUMIF(Nutzungsprofile!$B$6:$B$11,"Schulbetrieb",Nutzungsprofile!$G$6:$G$11)*Kalender!C189/SUM(Kalender!$C$5:$C$370),0)+IFERROR(SUMIF(Nutzungsprofile!$B$6:$B$11,"Halle",Nutzungsprofile!$G$6:$G$11)*Kalender!D189/SUM(Kalender!$D$5:$D$370),0)+IFERROR(SUMIF(Nutzungsprofile!$B$6:$B$11,"Individuell",Nutzungsprofile!$G$6:$G$11)*Kalender!E189/SUM(Kalender!$E$5:$E$370),0))*Szenarien!$E$21,0)</f>
        <v>2.448</v>
      </c>
      <c r="D3849" s="13" t="n">
        <f aca="false">IF(Szenarien!$H$21="OK",(IFERROR(SUMIF(Nutzungsprofile!$B$17:$B$22,"Schulbetrieb",Nutzungsprofile!$G$17:$G$22)*Kalender!C189/SUM(Kalender!$C$5:$C$370),0)+IFERROR(SUMIF(Nutzungsprofile!$B$17:$B$22,"Halle",Nutzungsprofile!$G$17:$G$22)*Kalender!D189/SUM(Kalender!$D$5:$D$370),0)+IFERROR(SUMIF(Nutzungsprofile!$B$17:$B$22,"Individuell",Nutzungsprofile!$G$17:$G$22)*Kalender!E189/SUM(Kalender!$E$5:$E$370),0))*Szenarien!$D$21,0)</f>
        <v>0.89</v>
      </c>
      <c r="E3849" s="13" t="n">
        <f aca="false">IFERROR(MIN(C3849,Eingaben!$B$17)*Eingaben!$B$16,0)</f>
        <v>2.3256</v>
      </c>
      <c r="F3849" s="13" t="n">
        <f aca="false">IFERROR(E3849*Eingaben!$B$15,0)</f>
        <v>2.09304</v>
      </c>
      <c r="G3849" s="13" t="n">
        <f aca="false">IFERROR(IF(Kalender!A189="",0,J3848*(1-Eingaben!$B$20)),0)</f>
        <v>1.96</v>
      </c>
      <c r="H3849" s="13" t="n">
        <f aca="false">MIN(G3849,D3849)</f>
        <v>0.89</v>
      </c>
      <c r="I3849" s="13" t="n">
        <f aca="false">IFERROR(MIN(F3849*Eingaben!$B$19,MAX(0,D3849-H3849)),0)</f>
        <v>0</v>
      </c>
      <c r="J3849" s="13" t="n">
        <f aca="false">IFERROR(MIN(Eingaben!$B$18,MAX(0,F3849-I3849)),0)</f>
        <v>2</v>
      </c>
      <c r="K3849" s="13" t="n">
        <f aca="false">H3849+I3849</f>
        <v>0.89</v>
      </c>
      <c r="L3849" s="13" t="n">
        <f aca="false">MAX(0,D3849-K3849)</f>
        <v>0</v>
      </c>
      <c r="M3849" s="13" t="n">
        <f aca="false">MAX(0,F3849-I3849-J3849)</f>
        <v>0.0930399999999998</v>
      </c>
      <c r="N3849" s="13" t="n">
        <f aca="false">IF(Kalender!A189="",0,J3848-H3849)</f>
        <v>1.11</v>
      </c>
    </row>
    <row r="3850" customFormat="false" ht="16.4" hidden="false" customHeight="false" outlineLevel="0" collapsed="false">
      <c r="A3850" s="13" t="str">
        <f aca="false">""</f>
        <v/>
      </c>
      <c r="B3850" s="13" t="n">
        <f aca="false">186</f>
        <v>186</v>
      </c>
      <c r="C3850" s="13" t="n">
        <f aca="false">IF(Szenarien!$H$21="OK",(IFERROR(SUMIF(Nutzungsprofile!$B$6:$B$11,"Schulbetrieb",Nutzungsprofile!$G$6:$G$11)*Kalender!C190/SUM(Kalender!$C$5:$C$370),0)+IFERROR(SUMIF(Nutzungsprofile!$B$6:$B$11,"Halle",Nutzungsprofile!$G$6:$G$11)*Kalender!D190/SUM(Kalender!$D$5:$D$370),0)+IFERROR(SUMIF(Nutzungsprofile!$B$6:$B$11,"Individuell",Nutzungsprofile!$G$6:$G$11)*Kalender!E190/SUM(Kalender!$E$5:$E$370),0))*Szenarien!$E$21,0)</f>
        <v>2.448</v>
      </c>
      <c r="D3850" s="13" t="n">
        <f aca="false">IF(Szenarien!$H$21="OK",(IFERROR(SUMIF(Nutzungsprofile!$B$17:$B$22,"Schulbetrieb",Nutzungsprofile!$G$17:$G$22)*Kalender!C190/SUM(Kalender!$C$5:$C$370),0)+IFERROR(SUMIF(Nutzungsprofile!$B$17:$B$22,"Halle",Nutzungsprofile!$G$17:$G$22)*Kalender!D190/SUM(Kalender!$D$5:$D$370),0)+IFERROR(SUMIF(Nutzungsprofile!$B$17:$B$22,"Individuell",Nutzungsprofile!$G$17:$G$22)*Kalender!E190/SUM(Kalender!$E$5:$E$370),0))*Szenarien!$D$21,0)</f>
        <v>0.89</v>
      </c>
      <c r="E3850" s="13" t="n">
        <f aca="false">IFERROR(MIN(C3850,Eingaben!$B$17)*Eingaben!$B$16,0)</f>
        <v>2.3256</v>
      </c>
      <c r="F3850" s="13" t="n">
        <f aca="false">IFERROR(E3850*Eingaben!$B$15,0)</f>
        <v>2.09304</v>
      </c>
      <c r="G3850" s="13" t="n">
        <f aca="false">IFERROR(IF(Kalender!A190="",0,J3849*(1-Eingaben!$B$20)),0)</f>
        <v>1.96</v>
      </c>
      <c r="H3850" s="13" t="n">
        <f aca="false">MIN(G3850,D3850)</f>
        <v>0.89</v>
      </c>
      <c r="I3850" s="13" t="n">
        <f aca="false">IFERROR(MIN(F3850*Eingaben!$B$19,MAX(0,D3850-H3850)),0)</f>
        <v>0</v>
      </c>
      <c r="J3850" s="13" t="n">
        <f aca="false">IFERROR(MIN(Eingaben!$B$18,MAX(0,F3850-I3850)),0)</f>
        <v>2</v>
      </c>
      <c r="K3850" s="13" t="n">
        <f aca="false">H3850+I3850</f>
        <v>0.89</v>
      </c>
      <c r="L3850" s="13" t="n">
        <f aca="false">MAX(0,D3850-K3850)</f>
        <v>0</v>
      </c>
      <c r="M3850" s="13" t="n">
        <f aca="false">MAX(0,F3850-I3850-J3850)</f>
        <v>0.0930399999999998</v>
      </c>
      <c r="N3850" s="13" t="n">
        <f aca="false">IF(Kalender!A190="",0,J3849-H3850)</f>
        <v>1.11</v>
      </c>
    </row>
    <row r="3851" customFormat="false" ht="16.4" hidden="false" customHeight="false" outlineLevel="0" collapsed="false">
      <c r="A3851" s="13" t="str">
        <f aca="false">""</f>
        <v/>
      </c>
      <c r="B3851" s="13" t="n">
        <f aca="false">187</f>
        <v>187</v>
      </c>
      <c r="C3851" s="13" t="n">
        <f aca="false">IF(Szenarien!$H$21="OK",(IFERROR(SUMIF(Nutzungsprofile!$B$6:$B$11,"Schulbetrieb",Nutzungsprofile!$G$6:$G$11)*Kalender!C191/SUM(Kalender!$C$5:$C$370),0)+IFERROR(SUMIF(Nutzungsprofile!$B$6:$B$11,"Halle",Nutzungsprofile!$G$6:$G$11)*Kalender!D191/SUM(Kalender!$D$5:$D$370),0)+IFERROR(SUMIF(Nutzungsprofile!$B$6:$B$11,"Individuell",Nutzungsprofile!$G$6:$G$11)*Kalender!E191/SUM(Kalender!$E$5:$E$370),0))*Szenarien!$E$21,0)</f>
        <v>2.448</v>
      </c>
      <c r="D3851" s="13" t="n">
        <f aca="false">IF(Szenarien!$H$21="OK",(IFERROR(SUMIF(Nutzungsprofile!$B$17:$B$22,"Schulbetrieb",Nutzungsprofile!$G$17:$G$22)*Kalender!C191/SUM(Kalender!$C$5:$C$370),0)+IFERROR(SUMIF(Nutzungsprofile!$B$17:$B$22,"Halle",Nutzungsprofile!$G$17:$G$22)*Kalender!D191/SUM(Kalender!$D$5:$D$370),0)+IFERROR(SUMIF(Nutzungsprofile!$B$17:$B$22,"Individuell",Nutzungsprofile!$G$17:$G$22)*Kalender!E191/SUM(Kalender!$E$5:$E$370),0))*Szenarien!$D$21,0)</f>
        <v>0.89</v>
      </c>
      <c r="E3851" s="13" t="n">
        <f aca="false">IFERROR(MIN(C3851,Eingaben!$B$17)*Eingaben!$B$16,0)</f>
        <v>2.3256</v>
      </c>
      <c r="F3851" s="13" t="n">
        <f aca="false">IFERROR(E3851*Eingaben!$B$15,0)</f>
        <v>2.09304</v>
      </c>
      <c r="G3851" s="13" t="n">
        <f aca="false">IFERROR(IF(Kalender!A191="",0,J3850*(1-Eingaben!$B$20)),0)</f>
        <v>1.96</v>
      </c>
      <c r="H3851" s="13" t="n">
        <f aca="false">MIN(G3851,D3851)</f>
        <v>0.89</v>
      </c>
      <c r="I3851" s="13" t="n">
        <f aca="false">IFERROR(MIN(F3851*Eingaben!$B$19,MAX(0,D3851-H3851)),0)</f>
        <v>0</v>
      </c>
      <c r="J3851" s="13" t="n">
        <f aca="false">IFERROR(MIN(Eingaben!$B$18,MAX(0,F3851-I3851)),0)</f>
        <v>2</v>
      </c>
      <c r="K3851" s="13" t="n">
        <f aca="false">H3851+I3851</f>
        <v>0.89</v>
      </c>
      <c r="L3851" s="13" t="n">
        <f aca="false">MAX(0,D3851-K3851)</f>
        <v>0</v>
      </c>
      <c r="M3851" s="13" t="n">
        <f aca="false">MAX(0,F3851-I3851-J3851)</f>
        <v>0.0930399999999998</v>
      </c>
      <c r="N3851" s="13" t="n">
        <f aca="false">IF(Kalender!A191="",0,J3850-H3851)</f>
        <v>1.11</v>
      </c>
    </row>
    <row r="3852" customFormat="false" ht="16.4" hidden="false" customHeight="false" outlineLevel="0" collapsed="false">
      <c r="A3852" s="13" t="str">
        <f aca="false">""</f>
        <v/>
      </c>
      <c r="B3852" s="13" t="n">
        <f aca="false">188</f>
        <v>188</v>
      </c>
      <c r="C3852" s="13" t="n">
        <f aca="false">IF(Szenarien!$H$21="OK",(IFERROR(SUMIF(Nutzungsprofile!$B$6:$B$11,"Schulbetrieb",Nutzungsprofile!$G$6:$G$11)*Kalender!C192/SUM(Kalender!$C$5:$C$370),0)+IFERROR(SUMIF(Nutzungsprofile!$B$6:$B$11,"Halle",Nutzungsprofile!$G$6:$G$11)*Kalender!D192/SUM(Kalender!$D$5:$D$370),0)+IFERROR(SUMIF(Nutzungsprofile!$B$6:$B$11,"Individuell",Nutzungsprofile!$G$6:$G$11)*Kalender!E192/SUM(Kalender!$E$5:$E$370),0))*Szenarien!$E$21,0)</f>
        <v>2.448</v>
      </c>
      <c r="D3852" s="13" t="n">
        <f aca="false">IF(Szenarien!$H$21="OK",(IFERROR(SUMIF(Nutzungsprofile!$B$17:$B$22,"Schulbetrieb",Nutzungsprofile!$G$17:$G$22)*Kalender!C192/SUM(Kalender!$C$5:$C$370),0)+IFERROR(SUMIF(Nutzungsprofile!$B$17:$B$22,"Halle",Nutzungsprofile!$G$17:$G$22)*Kalender!D192/SUM(Kalender!$D$5:$D$370),0)+IFERROR(SUMIF(Nutzungsprofile!$B$17:$B$22,"Individuell",Nutzungsprofile!$G$17:$G$22)*Kalender!E192/SUM(Kalender!$E$5:$E$370),0))*Szenarien!$D$21,0)</f>
        <v>0.89</v>
      </c>
      <c r="E3852" s="13" t="n">
        <f aca="false">IFERROR(MIN(C3852,Eingaben!$B$17)*Eingaben!$B$16,0)</f>
        <v>2.3256</v>
      </c>
      <c r="F3852" s="13" t="n">
        <f aca="false">IFERROR(E3852*Eingaben!$B$15,0)</f>
        <v>2.09304</v>
      </c>
      <c r="G3852" s="13" t="n">
        <f aca="false">IFERROR(IF(Kalender!A192="",0,J3851*(1-Eingaben!$B$20)),0)</f>
        <v>1.96</v>
      </c>
      <c r="H3852" s="13" t="n">
        <f aca="false">MIN(G3852,D3852)</f>
        <v>0.89</v>
      </c>
      <c r="I3852" s="13" t="n">
        <f aca="false">IFERROR(MIN(F3852*Eingaben!$B$19,MAX(0,D3852-H3852)),0)</f>
        <v>0</v>
      </c>
      <c r="J3852" s="13" t="n">
        <f aca="false">IFERROR(MIN(Eingaben!$B$18,MAX(0,F3852-I3852)),0)</f>
        <v>2</v>
      </c>
      <c r="K3852" s="13" t="n">
        <f aca="false">H3852+I3852</f>
        <v>0.89</v>
      </c>
      <c r="L3852" s="13" t="n">
        <f aca="false">MAX(0,D3852-K3852)</f>
        <v>0</v>
      </c>
      <c r="M3852" s="13" t="n">
        <f aca="false">MAX(0,F3852-I3852-J3852)</f>
        <v>0.0930399999999998</v>
      </c>
      <c r="N3852" s="13" t="n">
        <f aca="false">IF(Kalender!A192="",0,J3851-H3852)</f>
        <v>1.11</v>
      </c>
    </row>
    <row r="3853" customFormat="false" ht="16.4" hidden="false" customHeight="false" outlineLevel="0" collapsed="false">
      <c r="A3853" s="13" t="str">
        <f aca="false">""</f>
        <v/>
      </c>
      <c r="B3853" s="13" t="n">
        <f aca="false">189</f>
        <v>189</v>
      </c>
      <c r="C3853" s="13" t="n">
        <f aca="false">IF(Szenarien!$H$21="OK",(IFERROR(SUMIF(Nutzungsprofile!$B$6:$B$11,"Schulbetrieb",Nutzungsprofile!$G$6:$G$11)*Kalender!C193/SUM(Kalender!$C$5:$C$370),0)+IFERROR(SUMIF(Nutzungsprofile!$B$6:$B$11,"Halle",Nutzungsprofile!$G$6:$G$11)*Kalender!D193/SUM(Kalender!$D$5:$D$370),0)+IFERROR(SUMIF(Nutzungsprofile!$B$6:$B$11,"Individuell",Nutzungsprofile!$G$6:$G$11)*Kalender!E193/SUM(Kalender!$E$5:$E$370),0))*Szenarien!$E$21,0)</f>
        <v>2.448</v>
      </c>
      <c r="D3853" s="13" t="n">
        <f aca="false">IF(Szenarien!$H$21="OK",(IFERROR(SUMIF(Nutzungsprofile!$B$17:$B$22,"Schulbetrieb",Nutzungsprofile!$G$17:$G$22)*Kalender!C193/SUM(Kalender!$C$5:$C$370),0)+IFERROR(SUMIF(Nutzungsprofile!$B$17:$B$22,"Halle",Nutzungsprofile!$G$17:$G$22)*Kalender!D193/SUM(Kalender!$D$5:$D$370),0)+IFERROR(SUMIF(Nutzungsprofile!$B$17:$B$22,"Individuell",Nutzungsprofile!$G$17:$G$22)*Kalender!E193/SUM(Kalender!$E$5:$E$370),0))*Szenarien!$D$21,0)</f>
        <v>0.89</v>
      </c>
      <c r="E3853" s="13" t="n">
        <f aca="false">IFERROR(MIN(C3853,Eingaben!$B$17)*Eingaben!$B$16,0)</f>
        <v>2.3256</v>
      </c>
      <c r="F3853" s="13" t="n">
        <f aca="false">IFERROR(E3853*Eingaben!$B$15,0)</f>
        <v>2.09304</v>
      </c>
      <c r="G3853" s="13" t="n">
        <f aca="false">IFERROR(IF(Kalender!A193="",0,J3852*(1-Eingaben!$B$20)),0)</f>
        <v>1.96</v>
      </c>
      <c r="H3853" s="13" t="n">
        <f aca="false">MIN(G3853,D3853)</f>
        <v>0.89</v>
      </c>
      <c r="I3853" s="13" t="n">
        <f aca="false">IFERROR(MIN(F3853*Eingaben!$B$19,MAX(0,D3853-H3853)),0)</f>
        <v>0</v>
      </c>
      <c r="J3853" s="13" t="n">
        <f aca="false">IFERROR(MIN(Eingaben!$B$18,MAX(0,F3853-I3853)),0)</f>
        <v>2</v>
      </c>
      <c r="K3853" s="13" t="n">
        <f aca="false">H3853+I3853</f>
        <v>0.89</v>
      </c>
      <c r="L3853" s="13" t="n">
        <f aca="false">MAX(0,D3853-K3853)</f>
        <v>0</v>
      </c>
      <c r="M3853" s="13" t="n">
        <f aca="false">MAX(0,F3853-I3853-J3853)</f>
        <v>0.0930399999999998</v>
      </c>
      <c r="N3853" s="13" t="n">
        <f aca="false">IF(Kalender!A193="",0,J3852-H3853)</f>
        <v>1.11</v>
      </c>
    </row>
    <row r="3854" customFormat="false" ht="16.4" hidden="false" customHeight="false" outlineLevel="0" collapsed="false">
      <c r="A3854" s="13" t="str">
        <f aca="false">""</f>
        <v/>
      </c>
      <c r="B3854" s="13" t="n">
        <f aca="false">190</f>
        <v>190</v>
      </c>
      <c r="C3854" s="13" t="n">
        <f aca="false">IF(Szenarien!$H$21="OK",(IFERROR(SUMIF(Nutzungsprofile!$B$6:$B$11,"Schulbetrieb",Nutzungsprofile!$G$6:$G$11)*Kalender!C194/SUM(Kalender!$C$5:$C$370),0)+IFERROR(SUMIF(Nutzungsprofile!$B$6:$B$11,"Halle",Nutzungsprofile!$G$6:$G$11)*Kalender!D194/SUM(Kalender!$D$5:$D$370),0)+IFERROR(SUMIF(Nutzungsprofile!$B$6:$B$11,"Individuell",Nutzungsprofile!$G$6:$G$11)*Kalender!E194/SUM(Kalender!$E$5:$E$370),0))*Szenarien!$E$21,0)</f>
        <v>2.448</v>
      </c>
      <c r="D3854" s="13" t="n">
        <f aca="false">IF(Szenarien!$H$21="OK",(IFERROR(SUMIF(Nutzungsprofile!$B$17:$B$22,"Schulbetrieb",Nutzungsprofile!$G$17:$G$22)*Kalender!C194/SUM(Kalender!$C$5:$C$370),0)+IFERROR(SUMIF(Nutzungsprofile!$B$17:$B$22,"Halle",Nutzungsprofile!$G$17:$G$22)*Kalender!D194/SUM(Kalender!$D$5:$D$370),0)+IFERROR(SUMIF(Nutzungsprofile!$B$17:$B$22,"Individuell",Nutzungsprofile!$G$17:$G$22)*Kalender!E194/SUM(Kalender!$E$5:$E$370),0))*Szenarien!$D$21,0)</f>
        <v>0.89</v>
      </c>
      <c r="E3854" s="13" t="n">
        <f aca="false">IFERROR(MIN(C3854,Eingaben!$B$17)*Eingaben!$B$16,0)</f>
        <v>2.3256</v>
      </c>
      <c r="F3854" s="13" t="n">
        <f aca="false">IFERROR(E3854*Eingaben!$B$15,0)</f>
        <v>2.09304</v>
      </c>
      <c r="G3854" s="13" t="n">
        <f aca="false">IFERROR(IF(Kalender!A194="",0,J3853*(1-Eingaben!$B$20)),0)</f>
        <v>1.96</v>
      </c>
      <c r="H3854" s="13" t="n">
        <f aca="false">MIN(G3854,D3854)</f>
        <v>0.89</v>
      </c>
      <c r="I3854" s="13" t="n">
        <f aca="false">IFERROR(MIN(F3854*Eingaben!$B$19,MAX(0,D3854-H3854)),0)</f>
        <v>0</v>
      </c>
      <c r="J3854" s="13" t="n">
        <f aca="false">IFERROR(MIN(Eingaben!$B$18,MAX(0,F3854-I3854)),0)</f>
        <v>2</v>
      </c>
      <c r="K3854" s="13" t="n">
        <f aca="false">H3854+I3854</f>
        <v>0.89</v>
      </c>
      <c r="L3854" s="13" t="n">
        <f aca="false">MAX(0,D3854-K3854)</f>
        <v>0</v>
      </c>
      <c r="M3854" s="13" t="n">
        <f aca="false">MAX(0,F3854-I3854-J3854)</f>
        <v>0.0930399999999998</v>
      </c>
      <c r="N3854" s="13" t="n">
        <f aca="false">IF(Kalender!A194="",0,J3853-H3854)</f>
        <v>1.11</v>
      </c>
    </row>
    <row r="3855" customFormat="false" ht="16.4" hidden="false" customHeight="false" outlineLevel="0" collapsed="false">
      <c r="A3855" s="13" t="str">
        <f aca="false">""</f>
        <v/>
      </c>
      <c r="B3855" s="13" t="n">
        <f aca="false">191</f>
        <v>191</v>
      </c>
      <c r="C3855" s="13" t="n">
        <f aca="false">IF(Szenarien!$H$21="OK",(IFERROR(SUMIF(Nutzungsprofile!$B$6:$B$11,"Schulbetrieb",Nutzungsprofile!$G$6:$G$11)*Kalender!C195/SUM(Kalender!$C$5:$C$370),0)+IFERROR(SUMIF(Nutzungsprofile!$B$6:$B$11,"Halle",Nutzungsprofile!$G$6:$G$11)*Kalender!D195/SUM(Kalender!$D$5:$D$370),0)+IFERROR(SUMIF(Nutzungsprofile!$B$6:$B$11,"Individuell",Nutzungsprofile!$G$6:$G$11)*Kalender!E195/SUM(Kalender!$E$5:$E$370),0))*Szenarien!$E$21,0)</f>
        <v>2.448</v>
      </c>
      <c r="D3855" s="13" t="n">
        <f aca="false">IF(Szenarien!$H$21="OK",(IFERROR(SUMIF(Nutzungsprofile!$B$17:$B$22,"Schulbetrieb",Nutzungsprofile!$G$17:$G$22)*Kalender!C195/SUM(Kalender!$C$5:$C$370),0)+IFERROR(SUMIF(Nutzungsprofile!$B$17:$B$22,"Halle",Nutzungsprofile!$G$17:$G$22)*Kalender!D195/SUM(Kalender!$D$5:$D$370),0)+IFERROR(SUMIF(Nutzungsprofile!$B$17:$B$22,"Individuell",Nutzungsprofile!$G$17:$G$22)*Kalender!E195/SUM(Kalender!$E$5:$E$370),0))*Szenarien!$D$21,0)</f>
        <v>0.89</v>
      </c>
      <c r="E3855" s="13" t="n">
        <f aca="false">IFERROR(MIN(C3855,Eingaben!$B$17)*Eingaben!$B$16,0)</f>
        <v>2.3256</v>
      </c>
      <c r="F3855" s="13" t="n">
        <f aca="false">IFERROR(E3855*Eingaben!$B$15,0)</f>
        <v>2.09304</v>
      </c>
      <c r="G3855" s="13" t="n">
        <f aca="false">IFERROR(IF(Kalender!A195="",0,J3854*(1-Eingaben!$B$20)),0)</f>
        <v>1.96</v>
      </c>
      <c r="H3855" s="13" t="n">
        <f aca="false">MIN(G3855,D3855)</f>
        <v>0.89</v>
      </c>
      <c r="I3855" s="13" t="n">
        <f aca="false">IFERROR(MIN(F3855*Eingaben!$B$19,MAX(0,D3855-H3855)),0)</f>
        <v>0</v>
      </c>
      <c r="J3855" s="13" t="n">
        <f aca="false">IFERROR(MIN(Eingaben!$B$18,MAX(0,F3855-I3855)),0)</f>
        <v>2</v>
      </c>
      <c r="K3855" s="13" t="n">
        <f aca="false">H3855+I3855</f>
        <v>0.89</v>
      </c>
      <c r="L3855" s="13" t="n">
        <f aca="false">MAX(0,D3855-K3855)</f>
        <v>0</v>
      </c>
      <c r="M3855" s="13" t="n">
        <f aca="false">MAX(0,F3855-I3855-J3855)</f>
        <v>0.0930399999999998</v>
      </c>
      <c r="N3855" s="13" t="n">
        <f aca="false">IF(Kalender!A195="",0,J3854-H3855)</f>
        <v>1.11</v>
      </c>
    </row>
    <row r="3856" customFormat="false" ht="16.4" hidden="false" customHeight="false" outlineLevel="0" collapsed="false">
      <c r="A3856" s="13" t="str">
        <f aca="false">""</f>
        <v/>
      </c>
      <c r="B3856" s="13" t="n">
        <f aca="false">192</f>
        <v>192</v>
      </c>
      <c r="C3856" s="13" t="n">
        <f aca="false">IF(Szenarien!$H$21="OK",(IFERROR(SUMIF(Nutzungsprofile!$B$6:$B$11,"Schulbetrieb",Nutzungsprofile!$G$6:$G$11)*Kalender!C196/SUM(Kalender!$C$5:$C$370),0)+IFERROR(SUMIF(Nutzungsprofile!$B$6:$B$11,"Halle",Nutzungsprofile!$G$6:$G$11)*Kalender!D196/SUM(Kalender!$D$5:$D$370),0)+IFERROR(SUMIF(Nutzungsprofile!$B$6:$B$11,"Individuell",Nutzungsprofile!$G$6:$G$11)*Kalender!E196/SUM(Kalender!$E$5:$E$370),0))*Szenarien!$E$21,0)</f>
        <v>2.448</v>
      </c>
      <c r="D3856" s="13" t="n">
        <f aca="false">IF(Szenarien!$H$21="OK",(IFERROR(SUMIF(Nutzungsprofile!$B$17:$B$22,"Schulbetrieb",Nutzungsprofile!$G$17:$G$22)*Kalender!C196/SUM(Kalender!$C$5:$C$370),0)+IFERROR(SUMIF(Nutzungsprofile!$B$17:$B$22,"Halle",Nutzungsprofile!$G$17:$G$22)*Kalender!D196/SUM(Kalender!$D$5:$D$370),0)+IFERROR(SUMIF(Nutzungsprofile!$B$17:$B$22,"Individuell",Nutzungsprofile!$G$17:$G$22)*Kalender!E196/SUM(Kalender!$E$5:$E$370),0))*Szenarien!$D$21,0)</f>
        <v>0.89</v>
      </c>
      <c r="E3856" s="13" t="n">
        <f aca="false">IFERROR(MIN(C3856,Eingaben!$B$17)*Eingaben!$B$16,0)</f>
        <v>2.3256</v>
      </c>
      <c r="F3856" s="13" t="n">
        <f aca="false">IFERROR(E3856*Eingaben!$B$15,0)</f>
        <v>2.09304</v>
      </c>
      <c r="G3856" s="13" t="n">
        <f aca="false">IFERROR(IF(Kalender!A196="",0,J3855*(1-Eingaben!$B$20)),0)</f>
        <v>1.96</v>
      </c>
      <c r="H3856" s="13" t="n">
        <f aca="false">MIN(G3856,D3856)</f>
        <v>0.89</v>
      </c>
      <c r="I3856" s="13" t="n">
        <f aca="false">IFERROR(MIN(F3856*Eingaben!$B$19,MAX(0,D3856-H3856)),0)</f>
        <v>0</v>
      </c>
      <c r="J3856" s="13" t="n">
        <f aca="false">IFERROR(MIN(Eingaben!$B$18,MAX(0,F3856-I3856)),0)</f>
        <v>2</v>
      </c>
      <c r="K3856" s="13" t="n">
        <f aca="false">H3856+I3856</f>
        <v>0.89</v>
      </c>
      <c r="L3856" s="13" t="n">
        <f aca="false">MAX(0,D3856-K3856)</f>
        <v>0</v>
      </c>
      <c r="M3856" s="13" t="n">
        <f aca="false">MAX(0,F3856-I3856-J3856)</f>
        <v>0.0930399999999998</v>
      </c>
      <c r="N3856" s="13" t="n">
        <f aca="false">IF(Kalender!A196="",0,J3855-H3856)</f>
        <v>1.11</v>
      </c>
    </row>
    <row r="3857" customFormat="false" ht="16.4" hidden="false" customHeight="false" outlineLevel="0" collapsed="false">
      <c r="A3857" s="13" t="str">
        <f aca="false">""</f>
        <v/>
      </c>
      <c r="B3857" s="13" t="n">
        <f aca="false">193</f>
        <v>193</v>
      </c>
      <c r="C3857" s="13" t="n">
        <f aca="false">IF(Szenarien!$H$21="OK",(IFERROR(SUMIF(Nutzungsprofile!$B$6:$B$11,"Schulbetrieb",Nutzungsprofile!$G$6:$G$11)*Kalender!C197/SUM(Kalender!$C$5:$C$370),0)+IFERROR(SUMIF(Nutzungsprofile!$B$6:$B$11,"Halle",Nutzungsprofile!$G$6:$G$11)*Kalender!D197/SUM(Kalender!$D$5:$D$370),0)+IFERROR(SUMIF(Nutzungsprofile!$B$6:$B$11,"Individuell",Nutzungsprofile!$G$6:$G$11)*Kalender!E197/SUM(Kalender!$E$5:$E$370),0))*Szenarien!$E$21,0)</f>
        <v>2.448</v>
      </c>
      <c r="D3857" s="13" t="n">
        <f aca="false">IF(Szenarien!$H$21="OK",(IFERROR(SUMIF(Nutzungsprofile!$B$17:$B$22,"Schulbetrieb",Nutzungsprofile!$G$17:$G$22)*Kalender!C197/SUM(Kalender!$C$5:$C$370),0)+IFERROR(SUMIF(Nutzungsprofile!$B$17:$B$22,"Halle",Nutzungsprofile!$G$17:$G$22)*Kalender!D197/SUM(Kalender!$D$5:$D$370),0)+IFERROR(SUMIF(Nutzungsprofile!$B$17:$B$22,"Individuell",Nutzungsprofile!$G$17:$G$22)*Kalender!E197/SUM(Kalender!$E$5:$E$370),0))*Szenarien!$D$21,0)</f>
        <v>0.89</v>
      </c>
      <c r="E3857" s="13" t="n">
        <f aca="false">IFERROR(MIN(C3857,Eingaben!$B$17)*Eingaben!$B$16,0)</f>
        <v>2.3256</v>
      </c>
      <c r="F3857" s="13" t="n">
        <f aca="false">IFERROR(E3857*Eingaben!$B$15,0)</f>
        <v>2.09304</v>
      </c>
      <c r="G3857" s="13" t="n">
        <f aca="false">IFERROR(IF(Kalender!A197="",0,J3856*(1-Eingaben!$B$20)),0)</f>
        <v>1.96</v>
      </c>
      <c r="H3857" s="13" t="n">
        <f aca="false">MIN(G3857,D3857)</f>
        <v>0.89</v>
      </c>
      <c r="I3857" s="13" t="n">
        <f aca="false">IFERROR(MIN(F3857*Eingaben!$B$19,MAX(0,D3857-H3857)),0)</f>
        <v>0</v>
      </c>
      <c r="J3857" s="13" t="n">
        <f aca="false">IFERROR(MIN(Eingaben!$B$18,MAX(0,F3857-I3857)),0)</f>
        <v>2</v>
      </c>
      <c r="K3857" s="13" t="n">
        <f aca="false">H3857+I3857</f>
        <v>0.89</v>
      </c>
      <c r="L3857" s="13" t="n">
        <f aca="false">MAX(0,D3857-K3857)</f>
        <v>0</v>
      </c>
      <c r="M3857" s="13" t="n">
        <f aca="false">MAX(0,F3857-I3857-J3857)</f>
        <v>0.0930399999999998</v>
      </c>
      <c r="N3857" s="13" t="n">
        <f aca="false">IF(Kalender!A197="",0,J3856-H3857)</f>
        <v>1.11</v>
      </c>
    </row>
    <row r="3858" customFormat="false" ht="16.4" hidden="false" customHeight="false" outlineLevel="0" collapsed="false">
      <c r="A3858" s="13" t="str">
        <f aca="false">""</f>
        <v/>
      </c>
      <c r="B3858" s="13" t="n">
        <f aca="false">194</f>
        <v>194</v>
      </c>
      <c r="C3858" s="13" t="n">
        <f aca="false">IF(Szenarien!$H$21="OK",(IFERROR(SUMIF(Nutzungsprofile!$B$6:$B$11,"Schulbetrieb",Nutzungsprofile!$G$6:$G$11)*Kalender!C198/SUM(Kalender!$C$5:$C$370),0)+IFERROR(SUMIF(Nutzungsprofile!$B$6:$B$11,"Halle",Nutzungsprofile!$G$6:$G$11)*Kalender!D198/SUM(Kalender!$D$5:$D$370),0)+IFERROR(SUMIF(Nutzungsprofile!$B$6:$B$11,"Individuell",Nutzungsprofile!$G$6:$G$11)*Kalender!E198/SUM(Kalender!$E$5:$E$370),0))*Szenarien!$E$21,0)</f>
        <v>2.448</v>
      </c>
      <c r="D3858" s="13" t="n">
        <f aca="false">IF(Szenarien!$H$21="OK",(IFERROR(SUMIF(Nutzungsprofile!$B$17:$B$22,"Schulbetrieb",Nutzungsprofile!$G$17:$G$22)*Kalender!C198/SUM(Kalender!$C$5:$C$370),0)+IFERROR(SUMIF(Nutzungsprofile!$B$17:$B$22,"Halle",Nutzungsprofile!$G$17:$G$22)*Kalender!D198/SUM(Kalender!$D$5:$D$370),0)+IFERROR(SUMIF(Nutzungsprofile!$B$17:$B$22,"Individuell",Nutzungsprofile!$G$17:$G$22)*Kalender!E198/SUM(Kalender!$E$5:$E$370),0))*Szenarien!$D$21,0)</f>
        <v>0.89</v>
      </c>
      <c r="E3858" s="13" t="n">
        <f aca="false">IFERROR(MIN(C3858,Eingaben!$B$17)*Eingaben!$B$16,0)</f>
        <v>2.3256</v>
      </c>
      <c r="F3858" s="13" t="n">
        <f aca="false">IFERROR(E3858*Eingaben!$B$15,0)</f>
        <v>2.09304</v>
      </c>
      <c r="G3858" s="13" t="n">
        <f aca="false">IFERROR(IF(Kalender!A198="",0,J3857*(1-Eingaben!$B$20)),0)</f>
        <v>1.96</v>
      </c>
      <c r="H3858" s="13" t="n">
        <f aca="false">MIN(G3858,D3858)</f>
        <v>0.89</v>
      </c>
      <c r="I3858" s="13" t="n">
        <f aca="false">IFERROR(MIN(F3858*Eingaben!$B$19,MAX(0,D3858-H3858)),0)</f>
        <v>0</v>
      </c>
      <c r="J3858" s="13" t="n">
        <f aca="false">IFERROR(MIN(Eingaben!$B$18,MAX(0,F3858-I3858)),0)</f>
        <v>2</v>
      </c>
      <c r="K3858" s="13" t="n">
        <f aca="false">H3858+I3858</f>
        <v>0.89</v>
      </c>
      <c r="L3858" s="13" t="n">
        <f aca="false">MAX(0,D3858-K3858)</f>
        <v>0</v>
      </c>
      <c r="M3858" s="13" t="n">
        <f aca="false">MAX(0,F3858-I3858-J3858)</f>
        <v>0.0930399999999998</v>
      </c>
      <c r="N3858" s="13" t="n">
        <f aca="false">IF(Kalender!A198="",0,J3857-H3858)</f>
        <v>1.11</v>
      </c>
    </row>
    <row r="3859" customFormat="false" ht="16.4" hidden="false" customHeight="false" outlineLevel="0" collapsed="false">
      <c r="A3859" s="13" t="str">
        <f aca="false">""</f>
        <v/>
      </c>
      <c r="B3859" s="13" t="n">
        <f aca="false">195</f>
        <v>195</v>
      </c>
      <c r="C3859" s="13" t="n">
        <f aca="false">IF(Szenarien!$H$21="OK",(IFERROR(SUMIF(Nutzungsprofile!$B$6:$B$11,"Schulbetrieb",Nutzungsprofile!$G$6:$G$11)*Kalender!C199/SUM(Kalender!$C$5:$C$370),0)+IFERROR(SUMIF(Nutzungsprofile!$B$6:$B$11,"Halle",Nutzungsprofile!$G$6:$G$11)*Kalender!D199/SUM(Kalender!$D$5:$D$370),0)+IFERROR(SUMIF(Nutzungsprofile!$B$6:$B$11,"Individuell",Nutzungsprofile!$G$6:$G$11)*Kalender!E199/SUM(Kalender!$E$5:$E$370),0))*Szenarien!$E$21,0)</f>
        <v>2.448</v>
      </c>
      <c r="D3859" s="13" t="n">
        <f aca="false">IF(Szenarien!$H$21="OK",(IFERROR(SUMIF(Nutzungsprofile!$B$17:$B$22,"Schulbetrieb",Nutzungsprofile!$G$17:$G$22)*Kalender!C199/SUM(Kalender!$C$5:$C$370),0)+IFERROR(SUMIF(Nutzungsprofile!$B$17:$B$22,"Halle",Nutzungsprofile!$G$17:$G$22)*Kalender!D199/SUM(Kalender!$D$5:$D$370),0)+IFERROR(SUMIF(Nutzungsprofile!$B$17:$B$22,"Individuell",Nutzungsprofile!$G$17:$G$22)*Kalender!E199/SUM(Kalender!$E$5:$E$370),0))*Szenarien!$D$21,0)</f>
        <v>0.89</v>
      </c>
      <c r="E3859" s="13" t="n">
        <f aca="false">IFERROR(MIN(C3859,Eingaben!$B$17)*Eingaben!$B$16,0)</f>
        <v>2.3256</v>
      </c>
      <c r="F3859" s="13" t="n">
        <f aca="false">IFERROR(E3859*Eingaben!$B$15,0)</f>
        <v>2.09304</v>
      </c>
      <c r="G3859" s="13" t="n">
        <f aca="false">IFERROR(IF(Kalender!A199="",0,J3858*(1-Eingaben!$B$20)),0)</f>
        <v>1.96</v>
      </c>
      <c r="H3859" s="13" t="n">
        <f aca="false">MIN(G3859,D3859)</f>
        <v>0.89</v>
      </c>
      <c r="I3859" s="13" t="n">
        <f aca="false">IFERROR(MIN(F3859*Eingaben!$B$19,MAX(0,D3859-H3859)),0)</f>
        <v>0</v>
      </c>
      <c r="J3859" s="13" t="n">
        <f aca="false">IFERROR(MIN(Eingaben!$B$18,MAX(0,F3859-I3859)),0)</f>
        <v>2</v>
      </c>
      <c r="K3859" s="13" t="n">
        <f aca="false">H3859+I3859</f>
        <v>0.89</v>
      </c>
      <c r="L3859" s="13" t="n">
        <f aca="false">MAX(0,D3859-K3859)</f>
        <v>0</v>
      </c>
      <c r="M3859" s="13" t="n">
        <f aca="false">MAX(0,F3859-I3859-J3859)</f>
        <v>0.0930399999999998</v>
      </c>
      <c r="N3859" s="13" t="n">
        <f aca="false">IF(Kalender!A199="",0,J3858-H3859)</f>
        <v>1.11</v>
      </c>
    </row>
    <row r="3860" customFormat="false" ht="16.4" hidden="false" customHeight="false" outlineLevel="0" collapsed="false">
      <c r="A3860" s="13" t="str">
        <f aca="false">""</f>
        <v/>
      </c>
      <c r="B3860" s="13" t="n">
        <f aca="false">196</f>
        <v>196</v>
      </c>
      <c r="C3860" s="13" t="n">
        <f aca="false">IF(Szenarien!$H$21="OK",(IFERROR(SUMIF(Nutzungsprofile!$B$6:$B$11,"Schulbetrieb",Nutzungsprofile!$G$6:$G$11)*Kalender!C200/SUM(Kalender!$C$5:$C$370),0)+IFERROR(SUMIF(Nutzungsprofile!$B$6:$B$11,"Halle",Nutzungsprofile!$G$6:$G$11)*Kalender!D200/SUM(Kalender!$D$5:$D$370),0)+IFERROR(SUMIF(Nutzungsprofile!$B$6:$B$11,"Individuell",Nutzungsprofile!$G$6:$G$11)*Kalender!E200/SUM(Kalender!$E$5:$E$370),0))*Szenarien!$E$21,0)</f>
        <v>2.448</v>
      </c>
      <c r="D3860" s="13" t="n">
        <f aca="false">IF(Szenarien!$H$21="OK",(IFERROR(SUMIF(Nutzungsprofile!$B$17:$B$22,"Schulbetrieb",Nutzungsprofile!$G$17:$G$22)*Kalender!C200/SUM(Kalender!$C$5:$C$370),0)+IFERROR(SUMIF(Nutzungsprofile!$B$17:$B$22,"Halle",Nutzungsprofile!$G$17:$G$22)*Kalender!D200/SUM(Kalender!$D$5:$D$370),0)+IFERROR(SUMIF(Nutzungsprofile!$B$17:$B$22,"Individuell",Nutzungsprofile!$G$17:$G$22)*Kalender!E200/SUM(Kalender!$E$5:$E$370),0))*Szenarien!$D$21,0)</f>
        <v>0.89</v>
      </c>
      <c r="E3860" s="13" t="n">
        <f aca="false">IFERROR(MIN(C3860,Eingaben!$B$17)*Eingaben!$B$16,0)</f>
        <v>2.3256</v>
      </c>
      <c r="F3860" s="13" t="n">
        <f aca="false">IFERROR(E3860*Eingaben!$B$15,0)</f>
        <v>2.09304</v>
      </c>
      <c r="G3860" s="13" t="n">
        <f aca="false">IFERROR(IF(Kalender!A200="",0,J3859*(1-Eingaben!$B$20)),0)</f>
        <v>1.96</v>
      </c>
      <c r="H3860" s="13" t="n">
        <f aca="false">MIN(G3860,D3860)</f>
        <v>0.89</v>
      </c>
      <c r="I3860" s="13" t="n">
        <f aca="false">IFERROR(MIN(F3860*Eingaben!$B$19,MAX(0,D3860-H3860)),0)</f>
        <v>0</v>
      </c>
      <c r="J3860" s="13" t="n">
        <f aca="false">IFERROR(MIN(Eingaben!$B$18,MAX(0,F3860-I3860)),0)</f>
        <v>2</v>
      </c>
      <c r="K3860" s="13" t="n">
        <f aca="false">H3860+I3860</f>
        <v>0.89</v>
      </c>
      <c r="L3860" s="13" t="n">
        <f aca="false">MAX(0,D3860-K3860)</f>
        <v>0</v>
      </c>
      <c r="M3860" s="13" t="n">
        <f aca="false">MAX(0,F3860-I3860-J3860)</f>
        <v>0.0930399999999998</v>
      </c>
      <c r="N3860" s="13" t="n">
        <f aca="false">IF(Kalender!A200="",0,J3859-H3860)</f>
        <v>1.11</v>
      </c>
    </row>
    <row r="3861" customFormat="false" ht="16.4" hidden="false" customHeight="false" outlineLevel="0" collapsed="false">
      <c r="A3861" s="13" t="str">
        <f aca="false">""</f>
        <v/>
      </c>
      <c r="B3861" s="13" t="n">
        <f aca="false">197</f>
        <v>197</v>
      </c>
      <c r="C3861" s="13" t="n">
        <f aca="false">IF(Szenarien!$H$21="OK",(IFERROR(SUMIF(Nutzungsprofile!$B$6:$B$11,"Schulbetrieb",Nutzungsprofile!$G$6:$G$11)*Kalender!C201/SUM(Kalender!$C$5:$C$370),0)+IFERROR(SUMIF(Nutzungsprofile!$B$6:$B$11,"Halle",Nutzungsprofile!$G$6:$G$11)*Kalender!D201/SUM(Kalender!$D$5:$D$370),0)+IFERROR(SUMIF(Nutzungsprofile!$B$6:$B$11,"Individuell",Nutzungsprofile!$G$6:$G$11)*Kalender!E201/SUM(Kalender!$E$5:$E$370),0))*Szenarien!$E$21,0)</f>
        <v>2.448</v>
      </c>
      <c r="D3861" s="13" t="n">
        <f aca="false">IF(Szenarien!$H$21="OK",(IFERROR(SUMIF(Nutzungsprofile!$B$17:$B$22,"Schulbetrieb",Nutzungsprofile!$G$17:$G$22)*Kalender!C201/SUM(Kalender!$C$5:$C$370),0)+IFERROR(SUMIF(Nutzungsprofile!$B$17:$B$22,"Halle",Nutzungsprofile!$G$17:$G$22)*Kalender!D201/SUM(Kalender!$D$5:$D$370),0)+IFERROR(SUMIF(Nutzungsprofile!$B$17:$B$22,"Individuell",Nutzungsprofile!$G$17:$G$22)*Kalender!E201/SUM(Kalender!$E$5:$E$370),0))*Szenarien!$D$21,0)</f>
        <v>0.89</v>
      </c>
      <c r="E3861" s="13" t="n">
        <f aca="false">IFERROR(MIN(C3861,Eingaben!$B$17)*Eingaben!$B$16,0)</f>
        <v>2.3256</v>
      </c>
      <c r="F3861" s="13" t="n">
        <f aca="false">IFERROR(E3861*Eingaben!$B$15,0)</f>
        <v>2.09304</v>
      </c>
      <c r="G3861" s="13" t="n">
        <f aca="false">IFERROR(IF(Kalender!A201="",0,J3860*(1-Eingaben!$B$20)),0)</f>
        <v>1.96</v>
      </c>
      <c r="H3861" s="13" t="n">
        <f aca="false">MIN(G3861,D3861)</f>
        <v>0.89</v>
      </c>
      <c r="I3861" s="13" t="n">
        <f aca="false">IFERROR(MIN(F3861*Eingaben!$B$19,MAX(0,D3861-H3861)),0)</f>
        <v>0</v>
      </c>
      <c r="J3861" s="13" t="n">
        <f aca="false">IFERROR(MIN(Eingaben!$B$18,MAX(0,F3861-I3861)),0)</f>
        <v>2</v>
      </c>
      <c r="K3861" s="13" t="n">
        <f aca="false">H3861+I3861</f>
        <v>0.89</v>
      </c>
      <c r="L3861" s="13" t="n">
        <f aca="false">MAX(0,D3861-K3861)</f>
        <v>0</v>
      </c>
      <c r="M3861" s="13" t="n">
        <f aca="false">MAX(0,F3861-I3861-J3861)</f>
        <v>0.0930399999999998</v>
      </c>
      <c r="N3861" s="13" t="n">
        <f aca="false">IF(Kalender!A201="",0,J3860-H3861)</f>
        <v>1.11</v>
      </c>
    </row>
    <row r="3862" customFormat="false" ht="16.4" hidden="false" customHeight="false" outlineLevel="0" collapsed="false">
      <c r="A3862" s="13" t="str">
        <f aca="false">""</f>
        <v/>
      </c>
      <c r="B3862" s="13" t="n">
        <f aca="false">198</f>
        <v>198</v>
      </c>
      <c r="C3862" s="13" t="n">
        <f aca="false">IF(Szenarien!$H$21="OK",(IFERROR(SUMIF(Nutzungsprofile!$B$6:$B$11,"Schulbetrieb",Nutzungsprofile!$G$6:$G$11)*Kalender!C202/SUM(Kalender!$C$5:$C$370),0)+IFERROR(SUMIF(Nutzungsprofile!$B$6:$B$11,"Halle",Nutzungsprofile!$G$6:$G$11)*Kalender!D202/SUM(Kalender!$D$5:$D$370),0)+IFERROR(SUMIF(Nutzungsprofile!$B$6:$B$11,"Individuell",Nutzungsprofile!$G$6:$G$11)*Kalender!E202/SUM(Kalender!$E$5:$E$370),0))*Szenarien!$E$21,0)</f>
        <v>2.448</v>
      </c>
      <c r="D3862" s="13" t="n">
        <f aca="false">IF(Szenarien!$H$21="OK",(IFERROR(SUMIF(Nutzungsprofile!$B$17:$B$22,"Schulbetrieb",Nutzungsprofile!$G$17:$G$22)*Kalender!C202/SUM(Kalender!$C$5:$C$370),0)+IFERROR(SUMIF(Nutzungsprofile!$B$17:$B$22,"Halle",Nutzungsprofile!$G$17:$G$22)*Kalender!D202/SUM(Kalender!$D$5:$D$370),0)+IFERROR(SUMIF(Nutzungsprofile!$B$17:$B$22,"Individuell",Nutzungsprofile!$G$17:$G$22)*Kalender!E202/SUM(Kalender!$E$5:$E$370),0))*Szenarien!$D$21,0)</f>
        <v>0.89</v>
      </c>
      <c r="E3862" s="13" t="n">
        <f aca="false">IFERROR(MIN(C3862,Eingaben!$B$17)*Eingaben!$B$16,0)</f>
        <v>2.3256</v>
      </c>
      <c r="F3862" s="13" t="n">
        <f aca="false">IFERROR(E3862*Eingaben!$B$15,0)</f>
        <v>2.09304</v>
      </c>
      <c r="G3862" s="13" t="n">
        <f aca="false">IFERROR(IF(Kalender!A202="",0,J3861*(1-Eingaben!$B$20)),0)</f>
        <v>1.96</v>
      </c>
      <c r="H3862" s="13" t="n">
        <f aca="false">MIN(G3862,D3862)</f>
        <v>0.89</v>
      </c>
      <c r="I3862" s="13" t="n">
        <f aca="false">IFERROR(MIN(F3862*Eingaben!$B$19,MAX(0,D3862-H3862)),0)</f>
        <v>0</v>
      </c>
      <c r="J3862" s="13" t="n">
        <f aca="false">IFERROR(MIN(Eingaben!$B$18,MAX(0,F3862-I3862)),0)</f>
        <v>2</v>
      </c>
      <c r="K3862" s="13" t="n">
        <f aca="false">H3862+I3862</f>
        <v>0.89</v>
      </c>
      <c r="L3862" s="13" t="n">
        <f aca="false">MAX(0,D3862-K3862)</f>
        <v>0</v>
      </c>
      <c r="M3862" s="13" t="n">
        <f aca="false">MAX(0,F3862-I3862-J3862)</f>
        <v>0.0930399999999998</v>
      </c>
      <c r="N3862" s="13" t="n">
        <f aca="false">IF(Kalender!A202="",0,J3861-H3862)</f>
        <v>1.11</v>
      </c>
    </row>
    <row r="3863" customFormat="false" ht="16.4" hidden="false" customHeight="false" outlineLevel="0" collapsed="false">
      <c r="A3863" s="13" t="str">
        <f aca="false">""</f>
        <v/>
      </c>
      <c r="B3863" s="13" t="n">
        <f aca="false">199</f>
        <v>199</v>
      </c>
      <c r="C3863" s="13" t="n">
        <f aca="false">IF(Szenarien!$H$21="OK",(IFERROR(SUMIF(Nutzungsprofile!$B$6:$B$11,"Schulbetrieb",Nutzungsprofile!$G$6:$G$11)*Kalender!C203/SUM(Kalender!$C$5:$C$370),0)+IFERROR(SUMIF(Nutzungsprofile!$B$6:$B$11,"Halle",Nutzungsprofile!$G$6:$G$11)*Kalender!D203/SUM(Kalender!$D$5:$D$370),0)+IFERROR(SUMIF(Nutzungsprofile!$B$6:$B$11,"Individuell",Nutzungsprofile!$G$6:$G$11)*Kalender!E203/SUM(Kalender!$E$5:$E$370),0))*Szenarien!$E$21,0)</f>
        <v>2.448</v>
      </c>
      <c r="D3863" s="13" t="n">
        <f aca="false">IF(Szenarien!$H$21="OK",(IFERROR(SUMIF(Nutzungsprofile!$B$17:$B$22,"Schulbetrieb",Nutzungsprofile!$G$17:$G$22)*Kalender!C203/SUM(Kalender!$C$5:$C$370),0)+IFERROR(SUMIF(Nutzungsprofile!$B$17:$B$22,"Halle",Nutzungsprofile!$G$17:$G$22)*Kalender!D203/SUM(Kalender!$D$5:$D$370),0)+IFERROR(SUMIF(Nutzungsprofile!$B$17:$B$22,"Individuell",Nutzungsprofile!$G$17:$G$22)*Kalender!E203/SUM(Kalender!$E$5:$E$370),0))*Szenarien!$D$21,0)</f>
        <v>0.89</v>
      </c>
      <c r="E3863" s="13" t="n">
        <f aca="false">IFERROR(MIN(C3863,Eingaben!$B$17)*Eingaben!$B$16,0)</f>
        <v>2.3256</v>
      </c>
      <c r="F3863" s="13" t="n">
        <f aca="false">IFERROR(E3863*Eingaben!$B$15,0)</f>
        <v>2.09304</v>
      </c>
      <c r="G3863" s="13" t="n">
        <f aca="false">IFERROR(IF(Kalender!A203="",0,J3862*(1-Eingaben!$B$20)),0)</f>
        <v>1.96</v>
      </c>
      <c r="H3863" s="13" t="n">
        <f aca="false">MIN(G3863,D3863)</f>
        <v>0.89</v>
      </c>
      <c r="I3863" s="13" t="n">
        <f aca="false">IFERROR(MIN(F3863*Eingaben!$B$19,MAX(0,D3863-H3863)),0)</f>
        <v>0</v>
      </c>
      <c r="J3863" s="13" t="n">
        <f aca="false">IFERROR(MIN(Eingaben!$B$18,MAX(0,F3863-I3863)),0)</f>
        <v>2</v>
      </c>
      <c r="K3863" s="13" t="n">
        <f aca="false">H3863+I3863</f>
        <v>0.89</v>
      </c>
      <c r="L3863" s="13" t="n">
        <f aca="false">MAX(0,D3863-K3863)</f>
        <v>0</v>
      </c>
      <c r="M3863" s="13" t="n">
        <f aca="false">MAX(0,F3863-I3863-J3863)</f>
        <v>0.0930399999999998</v>
      </c>
      <c r="N3863" s="13" t="n">
        <f aca="false">IF(Kalender!A203="",0,J3862-H3863)</f>
        <v>1.11</v>
      </c>
    </row>
    <row r="3864" customFormat="false" ht="16.4" hidden="false" customHeight="false" outlineLevel="0" collapsed="false">
      <c r="A3864" s="13" t="str">
        <f aca="false">""</f>
        <v/>
      </c>
      <c r="B3864" s="13" t="n">
        <f aca="false">200</f>
        <v>200</v>
      </c>
      <c r="C3864" s="13" t="n">
        <f aca="false">IF(Szenarien!$H$21="OK",(IFERROR(SUMIF(Nutzungsprofile!$B$6:$B$11,"Schulbetrieb",Nutzungsprofile!$G$6:$G$11)*Kalender!C204/SUM(Kalender!$C$5:$C$370),0)+IFERROR(SUMIF(Nutzungsprofile!$B$6:$B$11,"Halle",Nutzungsprofile!$G$6:$G$11)*Kalender!D204/SUM(Kalender!$D$5:$D$370),0)+IFERROR(SUMIF(Nutzungsprofile!$B$6:$B$11,"Individuell",Nutzungsprofile!$G$6:$G$11)*Kalender!E204/SUM(Kalender!$E$5:$E$370),0))*Szenarien!$E$21,0)</f>
        <v>2.448</v>
      </c>
      <c r="D3864" s="13" t="n">
        <f aca="false">IF(Szenarien!$H$21="OK",(IFERROR(SUMIF(Nutzungsprofile!$B$17:$B$22,"Schulbetrieb",Nutzungsprofile!$G$17:$G$22)*Kalender!C204/SUM(Kalender!$C$5:$C$370),0)+IFERROR(SUMIF(Nutzungsprofile!$B$17:$B$22,"Halle",Nutzungsprofile!$G$17:$G$22)*Kalender!D204/SUM(Kalender!$D$5:$D$370),0)+IFERROR(SUMIF(Nutzungsprofile!$B$17:$B$22,"Individuell",Nutzungsprofile!$G$17:$G$22)*Kalender!E204/SUM(Kalender!$E$5:$E$370),0))*Szenarien!$D$21,0)</f>
        <v>0.89</v>
      </c>
      <c r="E3864" s="13" t="n">
        <f aca="false">IFERROR(MIN(C3864,Eingaben!$B$17)*Eingaben!$B$16,0)</f>
        <v>2.3256</v>
      </c>
      <c r="F3864" s="13" t="n">
        <f aca="false">IFERROR(E3864*Eingaben!$B$15,0)</f>
        <v>2.09304</v>
      </c>
      <c r="G3864" s="13" t="n">
        <f aca="false">IFERROR(IF(Kalender!A204="",0,J3863*(1-Eingaben!$B$20)),0)</f>
        <v>1.96</v>
      </c>
      <c r="H3864" s="13" t="n">
        <f aca="false">MIN(G3864,D3864)</f>
        <v>0.89</v>
      </c>
      <c r="I3864" s="13" t="n">
        <f aca="false">IFERROR(MIN(F3864*Eingaben!$B$19,MAX(0,D3864-H3864)),0)</f>
        <v>0</v>
      </c>
      <c r="J3864" s="13" t="n">
        <f aca="false">IFERROR(MIN(Eingaben!$B$18,MAX(0,F3864-I3864)),0)</f>
        <v>2</v>
      </c>
      <c r="K3864" s="13" t="n">
        <f aca="false">H3864+I3864</f>
        <v>0.89</v>
      </c>
      <c r="L3864" s="13" t="n">
        <f aca="false">MAX(0,D3864-K3864)</f>
        <v>0</v>
      </c>
      <c r="M3864" s="13" t="n">
        <f aca="false">MAX(0,F3864-I3864-J3864)</f>
        <v>0.0930399999999998</v>
      </c>
      <c r="N3864" s="13" t="n">
        <f aca="false">IF(Kalender!A204="",0,J3863-H3864)</f>
        <v>1.11</v>
      </c>
    </row>
    <row r="3865" customFormat="false" ht="16.4" hidden="false" customHeight="false" outlineLevel="0" collapsed="false">
      <c r="A3865" s="13" t="str">
        <f aca="false">""</f>
        <v/>
      </c>
      <c r="B3865" s="13" t="n">
        <f aca="false">201</f>
        <v>201</v>
      </c>
      <c r="C3865" s="13" t="n">
        <f aca="false">IF(Szenarien!$H$21="OK",(IFERROR(SUMIF(Nutzungsprofile!$B$6:$B$11,"Schulbetrieb",Nutzungsprofile!$G$6:$G$11)*Kalender!C205/SUM(Kalender!$C$5:$C$370),0)+IFERROR(SUMIF(Nutzungsprofile!$B$6:$B$11,"Halle",Nutzungsprofile!$G$6:$G$11)*Kalender!D205/SUM(Kalender!$D$5:$D$370),0)+IFERROR(SUMIF(Nutzungsprofile!$B$6:$B$11,"Individuell",Nutzungsprofile!$G$6:$G$11)*Kalender!E205/SUM(Kalender!$E$5:$E$370),0))*Szenarien!$E$21,0)</f>
        <v>2.448</v>
      </c>
      <c r="D3865" s="13" t="n">
        <f aca="false">IF(Szenarien!$H$21="OK",(IFERROR(SUMIF(Nutzungsprofile!$B$17:$B$22,"Schulbetrieb",Nutzungsprofile!$G$17:$G$22)*Kalender!C205/SUM(Kalender!$C$5:$C$370),0)+IFERROR(SUMIF(Nutzungsprofile!$B$17:$B$22,"Halle",Nutzungsprofile!$G$17:$G$22)*Kalender!D205/SUM(Kalender!$D$5:$D$370),0)+IFERROR(SUMIF(Nutzungsprofile!$B$17:$B$22,"Individuell",Nutzungsprofile!$G$17:$G$22)*Kalender!E205/SUM(Kalender!$E$5:$E$370),0))*Szenarien!$D$21,0)</f>
        <v>0.89</v>
      </c>
      <c r="E3865" s="13" t="n">
        <f aca="false">IFERROR(MIN(C3865,Eingaben!$B$17)*Eingaben!$B$16,0)</f>
        <v>2.3256</v>
      </c>
      <c r="F3865" s="13" t="n">
        <f aca="false">IFERROR(E3865*Eingaben!$B$15,0)</f>
        <v>2.09304</v>
      </c>
      <c r="G3865" s="13" t="n">
        <f aca="false">IFERROR(IF(Kalender!A205="",0,J3864*(1-Eingaben!$B$20)),0)</f>
        <v>1.96</v>
      </c>
      <c r="H3865" s="13" t="n">
        <f aca="false">MIN(G3865,D3865)</f>
        <v>0.89</v>
      </c>
      <c r="I3865" s="13" t="n">
        <f aca="false">IFERROR(MIN(F3865*Eingaben!$B$19,MAX(0,D3865-H3865)),0)</f>
        <v>0</v>
      </c>
      <c r="J3865" s="13" t="n">
        <f aca="false">IFERROR(MIN(Eingaben!$B$18,MAX(0,F3865-I3865)),0)</f>
        <v>2</v>
      </c>
      <c r="K3865" s="13" t="n">
        <f aca="false">H3865+I3865</f>
        <v>0.89</v>
      </c>
      <c r="L3865" s="13" t="n">
        <f aca="false">MAX(0,D3865-K3865)</f>
        <v>0</v>
      </c>
      <c r="M3865" s="13" t="n">
        <f aca="false">MAX(0,F3865-I3865-J3865)</f>
        <v>0.0930399999999998</v>
      </c>
      <c r="N3865" s="13" t="n">
        <f aca="false">IF(Kalender!A205="",0,J3864-H3865)</f>
        <v>1.11</v>
      </c>
    </row>
    <row r="3866" customFormat="false" ht="16.4" hidden="false" customHeight="false" outlineLevel="0" collapsed="false">
      <c r="A3866" s="13" t="str">
        <f aca="false">""</f>
        <v/>
      </c>
      <c r="B3866" s="13" t="n">
        <f aca="false">202</f>
        <v>202</v>
      </c>
      <c r="C3866" s="13" t="n">
        <f aca="false">IF(Szenarien!$H$21="OK",(IFERROR(SUMIF(Nutzungsprofile!$B$6:$B$11,"Schulbetrieb",Nutzungsprofile!$G$6:$G$11)*Kalender!C206/SUM(Kalender!$C$5:$C$370),0)+IFERROR(SUMIF(Nutzungsprofile!$B$6:$B$11,"Halle",Nutzungsprofile!$G$6:$G$11)*Kalender!D206/SUM(Kalender!$D$5:$D$370),0)+IFERROR(SUMIF(Nutzungsprofile!$B$6:$B$11,"Individuell",Nutzungsprofile!$G$6:$G$11)*Kalender!E206/SUM(Kalender!$E$5:$E$370),0))*Szenarien!$E$21,0)</f>
        <v>2.448</v>
      </c>
      <c r="D3866" s="13" t="n">
        <f aca="false">IF(Szenarien!$H$21="OK",(IFERROR(SUMIF(Nutzungsprofile!$B$17:$B$22,"Schulbetrieb",Nutzungsprofile!$G$17:$G$22)*Kalender!C206/SUM(Kalender!$C$5:$C$370),0)+IFERROR(SUMIF(Nutzungsprofile!$B$17:$B$22,"Halle",Nutzungsprofile!$G$17:$G$22)*Kalender!D206/SUM(Kalender!$D$5:$D$370),0)+IFERROR(SUMIF(Nutzungsprofile!$B$17:$B$22,"Individuell",Nutzungsprofile!$G$17:$G$22)*Kalender!E206/SUM(Kalender!$E$5:$E$370),0))*Szenarien!$D$21,0)</f>
        <v>0.89</v>
      </c>
      <c r="E3866" s="13" t="n">
        <f aca="false">IFERROR(MIN(C3866,Eingaben!$B$17)*Eingaben!$B$16,0)</f>
        <v>2.3256</v>
      </c>
      <c r="F3866" s="13" t="n">
        <f aca="false">IFERROR(E3866*Eingaben!$B$15,0)</f>
        <v>2.09304</v>
      </c>
      <c r="G3866" s="13" t="n">
        <f aca="false">IFERROR(IF(Kalender!A206="",0,J3865*(1-Eingaben!$B$20)),0)</f>
        <v>1.96</v>
      </c>
      <c r="H3866" s="13" t="n">
        <f aca="false">MIN(G3866,D3866)</f>
        <v>0.89</v>
      </c>
      <c r="I3866" s="13" t="n">
        <f aca="false">IFERROR(MIN(F3866*Eingaben!$B$19,MAX(0,D3866-H3866)),0)</f>
        <v>0</v>
      </c>
      <c r="J3866" s="13" t="n">
        <f aca="false">IFERROR(MIN(Eingaben!$B$18,MAX(0,F3866-I3866)),0)</f>
        <v>2</v>
      </c>
      <c r="K3866" s="13" t="n">
        <f aca="false">H3866+I3866</f>
        <v>0.89</v>
      </c>
      <c r="L3866" s="13" t="n">
        <f aca="false">MAX(0,D3866-K3866)</f>
        <v>0</v>
      </c>
      <c r="M3866" s="13" t="n">
        <f aca="false">MAX(0,F3866-I3866-J3866)</f>
        <v>0.0930399999999998</v>
      </c>
      <c r="N3866" s="13" t="n">
        <f aca="false">IF(Kalender!A206="",0,J3865-H3866)</f>
        <v>1.11</v>
      </c>
    </row>
    <row r="3867" customFormat="false" ht="16.4" hidden="false" customHeight="false" outlineLevel="0" collapsed="false">
      <c r="A3867" s="13" t="str">
        <f aca="false">""</f>
        <v/>
      </c>
      <c r="B3867" s="13" t="n">
        <f aca="false">203</f>
        <v>203</v>
      </c>
      <c r="C3867" s="13" t="n">
        <f aca="false">IF(Szenarien!$H$21="OK",(IFERROR(SUMIF(Nutzungsprofile!$B$6:$B$11,"Schulbetrieb",Nutzungsprofile!$G$6:$G$11)*Kalender!C207/SUM(Kalender!$C$5:$C$370),0)+IFERROR(SUMIF(Nutzungsprofile!$B$6:$B$11,"Halle",Nutzungsprofile!$G$6:$G$11)*Kalender!D207/SUM(Kalender!$D$5:$D$370),0)+IFERROR(SUMIF(Nutzungsprofile!$B$6:$B$11,"Individuell",Nutzungsprofile!$G$6:$G$11)*Kalender!E207/SUM(Kalender!$E$5:$E$370),0))*Szenarien!$E$21,0)</f>
        <v>2.448</v>
      </c>
      <c r="D3867" s="13" t="n">
        <f aca="false">IF(Szenarien!$H$21="OK",(IFERROR(SUMIF(Nutzungsprofile!$B$17:$B$22,"Schulbetrieb",Nutzungsprofile!$G$17:$G$22)*Kalender!C207/SUM(Kalender!$C$5:$C$370),0)+IFERROR(SUMIF(Nutzungsprofile!$B$17:$B$22,"Halle",Nutzungsprofile!$G$17:$G$22)*Kalender!D207/SUM(Kalender!$D$5:$D$370),0)+IFERROR(SUMIF(Nutzungsprofile!$B$17:$B$22,"Individuell",Nutzungsprofile!$G$17:$G$22)*Kalender!E207/SUM(Kalender!$E$5:$E$370),0))*Szenarien!$D$21,0)</f>
        <v>0.89</v>
      </c>
      <c r="E3867" s="13" t="n">
        <f aca="false">IFERROR(MIN(C3867,Eingaben!$B$17)*Eingaben!$B$16,0)</f>
        <v>2.3256</v>
      </c>
      <c r="F3867" s="13" t="n">
        <f aca="false">IFERROR(E3867*Eingaben!$B$15,0)</f>
        <v>2.09304</v>
      </c>
      <c r="G3867" s="13" t="n">
        <f aca="false">IFERROR(IF(Kalender!A207="",0,J3866*(1-Eingaben!$B$20)),0)</f>
        <v>1.96</v>
      </c>
      <c r="H3867" s="13" t="n">
        <f aca="false">MIN(G3867,D3867)</f>
        <v>0.89</v>
      </c>
      <c r="I3867" s="13" t="n">
        <f aca="false">IFERROR(MIN(F3867*Eingaben!$B$19,MAX(0,D3867-H3867)),0)</f>
        <v>0</v>
      </c>
      <c r="J3867" s="13" t="n">
        <f aca="false">IFERROR(MIN(Eingaben!$B$18,MAX(0,F3867-I3867)),0)</f>
        <v>2</v>
      </c>
      <c r="K3867" s="13" t="n">
        <f aca="false">H3867+I3867</f>
        <v>0.89</v>
      </c>
      <c r="L3867" s="13" t="n">
        <f aca="false">MAX(0,D3867-K3867)</f>
        <v>0</v>
      </c>
      <c r="M3867" s="13" t="n">
        <f aca="false">MAX(0,F3867-I3867-J3867)</f>
        <v>0.0930399999999998</v>
      </c>
      <c r="N3867" s="13" t="n">
        <f aca="false">IF(Kalender!A207="",0,J3866-H3867)</f>
        <v>1.11</v>
      </c>
    </row>
    <row r="3868" customFormat="false" ht="16.4" hidden="false" customHeight="false" outlineLevel="0" collapsed="false">
      <c r="A3868" s="13" t="str">
        <f aca="false">""</f>
        <v/>
      </c>
      <c r="B3868" s="13" t="n">
        <f aca="false">204</f>
        <v>204</v>
      </c>
      <c r="C3868" s="13" t="n">
        <f aca="false">IF(Szenarien!$H$21="OK",(IFERROR(SUMIF(Nutzungsprofile!$B$6:$B$11,"Schulbetrieb",Nutzungsprofile!$G$6:$G$11)*Kalender!C208/SUM(Kalender!$C$5:$C$370),0)+IFERROR(SUMIF(Nutzungsprofile!$B$6:$B$11,"Halle",Nutzungsprofile!$G$6:$G$11)*Kalender!D208/SUM(Kalender!$D$5:$D$370),0)+IFERROR(SUMIF(Nutzungsprofile!$B$6:$B$11,"Individuell",Nutzungsprofile!$G$6:$G$11)*Kalender!E208/SUM(Kalender!$E$5:$E$370),0))*Szenarien!$E$21,0)</f>
        <v>2.448</v>
      </c>
      <c r="D3868" s="13" t="n">
        <f aca="false">IF(Szenarien!$H$21="OK",(IFERROR(SUMIF(Nutzungsprofile!$B$17:$B$22,"Schulbetrieb",Nutzungsprofile!$G$17:$G$22)*Kalender!C208/SUM(Kalender!$C$5:$C$370),0)+IFERROR(SUMIF(Nutzungsprofile!$B$17:$B$22,"Halle",Nutzungsprofile!$G$17:$G$22)*Kalender!D208/SUM(Kalender!$D$5:$D$370),0)+IFERROR(SUMIF(Nutzungsprofile!$B$17:$B$22,"Individuell",Nutzungsprofile!$G$17:$G$22)*Kalender!E208/SUM(Kalender!$E$5:$E$370),0))*Szenarien!$D$21,0)</f>
        <v>0.89</v>
      </c>
      <c r="E3868" s="13" t="n">
        <f aca="false">IFERROR(MIN(C3868,Eingaben!$B$17)*Eingaben!$B$16,0)</f>
        <v>2.3256</v>
      </c>
      <c r="F3868" s="13" t="n">
        <f aca="false">IFERROR(E3868*Eingaben!$B$15,0)</f>
        <v>2.09304</v>
      </c>
      <c r="G3868" s="13" t="n">
        <f aca="false">IFERROR(IF(Kalender!A208="",0,J3867*(1-Eingaben!$B$20)),0)</f>
        <v>1.96</v>
      </c>
      <c r="H3868" s="13" t="n">
        <f aca="false">MIN(G3868,D3868)</f>
        <v>0.89</v>
      </c>
      <c r="I3868" s="13" t="n">
        <f aca="false">IFERROR(MIN(F3868*Eingaben!$B$19,MAX(0,D3868-H3868)),0)</f>
        <v>0</v>
      </c>
      <c r="J3868" s="13" t="n">
        <f aca="false">IFERROR(MIN(Eingaben!$B$18,MAX(0,F3868-I3868)),0)</f>
        <v>2</v>
      </c>
      <c r="K3868" s="13" t="n">
        <f aca="false">H3868+I3868</f>
        <v>0.89</v>
      </c>
      <c r="L3868" s="13" t="n">
        <f aca="false">MAX(0,D3868-K3868)</f>
        <v>0</v>
      </c>
      <c r="M3868" s="13" t="n">
        <f aca="false">MAX(0,F3868-I3868-J3868)</f>
        <v>0.0930399999999998</v>
      </c>
      <c r="N3868" s="13" t="n">
        <f aca="false">IF(Kalender!A208="",0,J3867-H3868)</f>
        <v>1.11</v>
      </c>
    </row>
    <row r="3869" customFormat="false" ht="16.4" hidden="false" customHeight="false" outlineLevel="0" collapsed="false">
      <c r="A3869" s="13" t="str">
        <f aca="false">""</f>
        <v/>
      </c>
      <c r="B3869" s="13" t="n">
        <f aca="false">205</f>
        <v>205</v>
      </c>
      <c r="C3869" s="13" t="n">
        <f aca="false">IF(Szenarien!$H$21="OK",(IFERROR(SUMIF(Nutzungsprofile!$B$6:$B$11,"Schulbetrieb",Nutzungsprofile!$G$6:$G$11)*Kalender!C209/SUM(Kalender!$C$5:$C$370),0)+IFERROR(SUMIF(Nutzungsprofile!$B$6:$B$11,"Halle",Nutzungsprofile!$G$6:$G$11)*Kalender!D209/SUM(Kalender!$D$5:$D$370),0)+IFERROR(SUMIF(Nutzungsprofile!$B$6:$B$11,"Individuell",Nutzungsprofile!$G$6:$G$11)*Kalender!E209/SUM(Kalender!$E$5:$E$370),0))*Szenarien!$E$21,0)</f>
        <v>2.448</v>
      </c>
      <c r="D3869" s="13" t="n">
        <f aca="false">IF(Szenarien!$H$21="OK",(IFERROR(SUMIF(Nutzungsprofile!$B$17:$B$22,"Schulbetrieb",Nutzungsprofile!$G$17:$G$22)*Kalender!C209/SUM(Kalender!$C$5:$C$370),0)+IFERROR(SUMIF(Nutzungsprofile!$B$17:$B$22,"Halle",Nutzungsprofile!$G$17:$G$22)*Kalender!D209/SUM(Kalender!$D$5:$D$370),0)+IFERROR(SUMIF(Nutzungsprofile!$B$17:$B$22,"Individuell",Nutzungsprofile!$G$17:$G$22)*Kalender!E209/SUM(Kalender!$E$5:$E$370),0))*Szenarien!$D$21,0)</f>
        <v>0.89</v>
      </c>
      <c r="E3869" s="13" t="n">
        <f aca="false">IFERROR(MIN(C3869,Eingaben!$B$17)*Eingaben!$B$16,0)</f>
        <v>2.3256</v>
      </c>
      <c r="F3869" s="13" t="n">
        <f aca="false">IFERROR(E3869*Eingaben!$B$15,0)</f>
        <v>2.09304</v>
      </c>
      <c r="G3869" s="13" t="n">
        <f aca="false">IFERROR(IF(Kalender!A209="",0,J3868*(1-Eingaben!$B$20)),0)</f>
        <v>1.96</v>
      </c>
      <c r="H3869" s="13" t="n">
        <f aca="false">MIN(G3869,D3869)</f>
        <v>0.89</v>
      </c>
      <c r="I3869" s="13" t="n">
        <f aca="false">IFERROR(MIN(F3869*Eingaben!$B$19,MAX(0,D3869-H3869)),0)</f>
        <v>0</v>
      </c>
      <c r="J3869" s="13" t="n">
        <f aca="false">IFERROR(MIN(Eingaben!$B$18,MAX(0,F3869-I3869)),0)</f>
        <v>2</v>
      </c>
      <c r="K3869" s="13" t="n">
        <f aca="false">H3869+I3869</f>
        <v>0.89</v>
      </c>
      <c r="L3869" s="13" t="n">
        <f aca="false">MAX(0,D3869-K3869)</f>
        <v>0</v>
      </c>
      <c r="M3869" s="13" t="n">
        <f aca="false">MAX(0,F3869-I3869-J3869)</f>
        <v>0.0930399999999998</v>
      </c>
      <c r="N3869" s="13" t="n">
        <f aca="false">IF(Kalender!A209="",0,J3868-H3869)</f>
        <v>1.11</v>
      </c>
    </row>
    <row r="3870" customFormat="false" ht="16.4" hidden="false" customHeight="false" outlineLevel="0" collapsed="false">
      <c r="A3870" s="13" t="str">
        <f aca="false">""</f>
        <v/>
      </c>
      <c r="B3870" s="13" t="n">
        <f aca="false">206</f>
        <v>206</v>
      </c>
      <c r="C3870" s="13" t="n">
        <f aca="false">IF(Szenarien!$H$21="OK",(IFERROR(SUMIF(Nutzungsprofile!$B$6:$B$11,"Schulbetrieb",Nutzungsprofile!$G$6:$G$11)*Kalender!C210/SUM(Kalender!$C$5:$C$370),0)+IFERROR(SUMIF(Nutzungsprofile!$B$6:$B$11,"Halle",Nutzungsprofile!$G$6:$G$11)*Kalender!D210/SUM(Kalender!$D$5:$D$370),0)+IFERROR(SUMIF(Nutzungsprofile!$B$6:$B$11,"Individuell",Nutzungsprofile!$G$6:$G$11)*Kalender!E210/SUM(Kalender!$E$5:$E$370),0))*Szenarien!$E$21,0)</f>
        <v>2.448</v>
      </c>
      <c r="D3870" s="13" t="n">
        <f aca="false">IF(Szenarien!$H$21="OK",(IFERROR(SUMIF(Nutzungsprofile!$B$17:$B$22,"Schulbetrieb",Nutzungsprofile!$G$17:$G$22)*Kalender!C210/SUM(Kalender!$C$5:$C$370),0)+IFERROR(SUMIF(Nutzungsprofile!$B$17:$B$22,"Halle",Nutzungsprofile!$G$17:$G$22)*Kalender!D210/SUM(Kalender!$D$5:$D$370),0)+IFERROR(SUMIF(Nutzungsprofile!$B$17:$B$22,"Individuell",Nutzungsprofile!$G$17:$G$22)*Kalender!E210/SUM(Kalender!$E$5:$E$370),0))*Szenarien!$D$21,0)</f>
        <v>0.89</v>
      </c>
      <c r="E3870" s="13" t="n">
        <f aca="false">IFERROR(MIN(C3870,Eingaben!$B$17)*Eingaben!$B$16,0)</f>
        <v>2.3256</v>
      </c>
      <c r="F3870" s="13" t="n">
        <f aca="false">IFERROR(E3870*Eingaben!$B$15,0)</f>
        <v>2.09304</v>
      </c>
      <c r="G3870" s="13" t="n">
        <f aca="false">IFERROR(IF(Kalender!A210="",0,J3869*(1-Eingaben!$B$20)),0)</f>
        <v>1.96</v>
      </c>
      <c r="H3870" s="13" t="n">
        <f aca="false">MIN(G3870,D3870)</f>
        <v>0.89</v>
      </c>
      <c r="I3870" s="13" t="n">
        <f aca="false">IFERROR(MIN(F3870*Eingaben!$B$19,MAX(0,D3870-H3870)),0)</f>
        <v>0</v>
      </c>
      <c r="J3870" s="13" t="n">
        <f aca="false">IFERROR(MIN(Eingaben!$B$18,MAX(0,F3870-I3870)),0)</f>
        <v>2</v>
      </c>
      <c r="K3870" s="13" t="n">
        <f aca="false">H3870+I3870</f>
        <v>0.89</v>
      </c>
      <c r="L3870" s="13" t="n">
        <f aca="false">MAX(0,D3870-K3870)</f>
        <v>0</v>
      </c>
      <c r="M3870" s="13" t="n">
        <f aca="false">MAX(0,F3870-I3870-J3870)</f>
        <v>0.0930399999999998</v>
      </c>
      <c r="N3870" s="13" t="n">
        <f aca="false">IF(Kalender!A210="",0,J3869-H3870)</f>
        <v>1.11</v>
      </c>
    </row>
    <row r="3871" customFormat="false" ht="16.4" hidden="false" customHeight="false" outlineLevel="0" collapsed="false">
      <c r="A3871" s="13" t="str">
        <f aca="false">""</f>
        <v/>
      </c>
      <c r="B3871" s="13" t="n">
        <f aca="false">207</f>
        <v>207</v>
      </c>
      <c r="C3871" s="13" t="n">
        <f aca="false">IF(Szenarien!$H$21="OK",(IFERROR(SUMIF(Nutzungsprofile!$B$6:$B$11,"Schulbetrieb",Nutzungsprofile!$G$6:$G$11)*Kalender!C211/SUM(Kalender!$C$5:$C$370),0)+IFERROR(SUMIF(Nutzungsprofile!$B$6:$B$11,"Halle",Nutzungsprofile!$G$6:$G$11)*Kalender!D211/SUM(Kalender!$D$5:$D$370),0)+IFERROR(SUMIF(Nutzungsprofile!$B$6:$B$11,"Individuell",Nutzungsprofile!$G$6:$G$11)*Kalender!E211/SUM(Kalender!$E$5:$E$370),0))*Szenarien!$E$21,0)</f>
        <v>2.448</v>
      </c>
      <c r="D3871" s="13" t="n">
        <f aca="false">IF(Szenarien!$H$21="OK",(IFERROR(SUMIF(Nutzungsprofile!$B$17:$B$22,"Schulbetrieb",Nutzungsprofile!$G$17:$G$22)*Kalender!C211/SUM(Kalender!$C$5:$C$370),0)+IFERROR(SUMIF(Nutzungsprofile!$B$17:$B$22,"Halle",Nutzungsprofile!$G$17:$G$22)*Kalender!D211/SUM(Kalender!$D$5:$D$370),0)+IFERROR(SUMIF(Nutzungsprofile!$B$17:$B$22,"Individuell",Nutzungsprofile!$G$17:$G$22)*Kalender!E211/SUM(Kalender!$E$5:$E$370),0))*Szenarien!$D$21,0)</f>
        <v>0.89</v>
      </c>
      <c r="E3871" s="13" t="n">
        <f aca="false">IFERROR(MIN(C3871,Eingaben!$B$17)*Eingaben!$B$16,0)</f>
        <v>2.3256</v>
      </c>
      <c r="F3871" s="13" t="n">
        <f aca="false">IFERROR(E3871*Eingaben!$B$15,0)</f>
        <v>2.09304</v>
      </c>
      <c r="G3871" s="13" t="n">
        <f aca="false">IFERROR(IF(Kalender!A211="",0,J3870*(1-Eingaben!$B$20)),0)</f>
        <v>1.96</v>
      </c>
      <c r="H3871" s="13" t="n">
        <f aca="false">MIN(G3871,D3871)</f>
        <v>0.89</v>
      </c>
      <c r="I3871" s="13" t="n">
        <f aca="false">IFERROR(MIN(F3871*Eingaben!$B$19,MAX(0,D3871-H3871)),0)</f>
        <v>0</v>
      </c>
      <c r="J3871" s="13" t="n">
        <f aca="false">IFERROR(MIN(Eingaben!$B$18,MAX(0,F3871-I3871)),0)</f>
        <v>2</v>
      </c>
      <c r="K3871" s="13" t="n">
        <f aca="false">H3871+I3871</f>
        <v>0.89</v>
      </c>
      <c r="L3871" s="13" t="n">
        <f aca="false">MAX(0,D3871-K3871)</f>
        <v>0</v>
      </c>
      <c r="M3871" s="13" t="n">
        <f aca="false">MAX(0,F3871-I3871-J3871)</f>
        <v>0.0930399999999998</v>
      </c>
      <c r="N3871" s="13" t="n">
        <f aca="false">IF(Kalender!A211="",0,J3870-H3871)</f>
        <v>1.11</v>
      </c>
    </row>
    <row r="3872" customFormat="false" ht="16.4" hidden="false" customHeight="false" outlineLevel="0" collapsed="false">
      <c r="A3872" s="13" t="str">
        <f aca="false">""</f>
        <v/>
      </c>
      <c r="B3872" s="13" t="n">
        <f aca="false">208</f>
        <v>208</v>
      </c>
      <c r="C3872" s="13" t="n">
        <f aca="false">IF(Szenarien!$H$21="OK",(IFERROR(SUMIF(Nutzungsprofile!$B$6:$B$11,"Schulbetrieb",Nutzungsprofile!$G$6:$G$11)*Kalender!C212/SUM(Kalender!$C$5:$C$370),0)+IFERROR(SUMIF(Nutzungsprofile!$B$6:$B$11,"Halle",Nutzungsprofile!$G$6:$G$11)*Kalender!D212/SUM(Kalender!$D$5:$D$370),0)+IFERROR(SUMIF(Nutzungsprofile!$B$6:$B$11,"Individuell",Nutzungsprofile!$G$6:$G$11)*Kalender!E212/SUM(Kalender!$E$5:$E$370),0))*Szenarien!$E$21,0)</f>
        <v>2.448</v>
      </c>
      <c r="D3872" s="13" t="n">
        <f aca="false">IF(Szenarien!$H$21="OK",(IFERROR(SUMIF(Nutzungsprofile!$B$17:$B$22,"Schulbetrieb",Nutzungsprofile!$G$17:$G$22)*Kalender!C212/SUM(Kalender!$C$5:$C$370),0)+IFERROR(SUMIF(Nutzungsprofile!$B$17:$B$22,"Halle",Nutzungsprofile!$G$17:$G$22)*Kalender!D212/SUM(Kalender!$D$5:$D$370),0)+IFERROR(SUMIF(Nutzungsprofile!$B$17:$B$22,"Individuell",Nutzungsprofile!$G$17:$G$22)*Kalender!E212/SUM(Kalender!$E$5:$E$370),0))*Szenarien!$D$21,0)</f>
        <v>0.89</v>
      </c>
      <c r="E3872" s="13" t="n">
        <f aca="false">IFERROR(MIN(C3872,Eingaben!$B$17)*Eingaben!$B$16,0)</f>
        <v>2.3256</v>
      </c>
      <c r="F3872" s="13" t="n">
        <f aca="false">IFERROR(E3872*Eingaben!$B$15,0)</f>
        <v>2.09304</v>
      </c>
      <c r="G3872" s="13" t="n">
        <f aca="false">IFERROR(IF(Kalender!A212="",0,J3871*(1-Eingaben!$B$20)),0)</f>
        <v>1.96</v>
      </c>
      <c r="H3872" s="13" t="n">
        <f aca="false">MIN(G3872,D3872)</f>
        <v>0.89</v>
      </c>
      <c r="I3872" s="13" t="n">
        <f aca="false">IFERROR(MIN(F3872*Eingaben!$B$19,MAX(0,D3872-H3872)),0)</f>
        <v>0</v>
      </c>
      <c r="J3872" s="13" t="n">
        <f aca="false">IFERROR(MIN(Eingaben!$B$18,MAX(0,F3872-I3872)),0)</f>
        <v>2</v>
      </c>
      <c r="K3872" s="13" t="n">
        <f aca="false">H3872+I3872</f>
        <v>0.89</v>
      </c>
      <c r="L3872" s="13" t="n">
        <f aca="false">MAX(0,D3872-K3872)</f>
        <v>0</v>
      </c>
      <c r="M3872" s="13" t="n">
        <f aca="false">MAX(0,F3872-I3872-J3872)</f>
        <v>0.0930399999999998</v>
      </c>
      <c r="N3872" s="13" t="n">
        <f aca="false">IF(Kalender!A212="",0,J3871-H3872)</f>
        <v>1.11</v>
      </c>
    </row>
    <row r="3873" customFormat="false" ht="16.4" hidden="false" customHeight="false" outlineLevel="0" collapsed="false">
      <c r="A3873" s="13" t="str">
        <f aca="false">""</f>
        <v/>
      </c>
      <c r="B3873" s="13" t="n">
        <f aca="false">209</f>
        <v>209</v>
      </c>
      <c r="C3873" s="13" t="n">
        <f aca="false">IF(Szenarien!$H$21="OK",(IFERROR(SUMIF(Nutzungsprofile!$B$6:$B$11,"Schulbetrieb",Nutzungsprofile!$G$6:$G$11)*Kalender!C213/SUM(Kalender!$C$5:$C$370),0)+IFERROR(SUMIF(Nutzungsprofile!$B$6:$B$11,"Halle",Nutzungsprofile!$G$6:$G$11)*Kalender!D213/SUM(Kalender!$D$5:$D$370),0)+IFERROR(SUMIF(Nutzungsprofile!$B$6:$B$11,"Individuell",Nutzungsprofile!$G$6:$G$11)*Kalender!E213/SUM(Kalender!$E$5:$E$370),0))*Szenarien!$E$21,0)</f>
        <v>2.448</v>
      </c>
      <c r="D3873" s="13" t="n">
        <f aca="false">IF(Szenarien!$H$21="OK",(IFERROR(SUMIF(Nutzungsprofile!$B$17:$B$22,"Schulbetrieb",Nutzungsprofile!$G$17:$G$22)*Kalender!C213/SUM(Kalender!$C$5:$C$370),0)+IFERROR(SUMIF(Nutzungsprofile!$B$17:$B$22,"Halle",Nutzungsprofile!$G$17:$G$22)*Kalender!D213/SUM(Kalender!$D$5:$D$370),0)+IFERROR(SUMIF(Nutzungsprofile!$B$17:$B$22,"Individuell",Nutzungsprofile!$G$17:$G$22)*Kalender!E213/SUM(Kalender!$E$5:$E$370),0))*Szenarien!$D$21,0)</f>
        <v>0.89</v>
      </c>
      <c r="E3873" s="13" t="n">
        <f aca="false">IFERROR(MIN(C3873,Eingaben!$B$17)*Eingaben!$B$16,0)</f>
        <v>2.3256</v>
      </c>
      <c r="F3873" s="13" t="n">
        <f aca="false">IFERROR(E3873*Eingaben!$B$15,0)</f>
        <v>2.09304</v>
      </c>
      <c r="G3873" s="13" t="n">
        <f aca="false">IFERROR(IF(Kalender!A213="",0,J3872*(1-Eingaben!$B$20)),0)</f>
        <v>1.96</v>
      </c>
      <c r="H3873" s="13" t="n">
        <f aca="false">MIN(G3873,D3873)</f>
        <v>0.89</v>
      </c>
      <c r="I3873" s="13" t="n">
        <f aca="false">IFERROR(MIN(F3873*Eingaben!$B$19,MAX(0,D3873-H3873)),0)</f>
        <v>0</v>
      </c>
      <c r="J3873" s="13" t="n">
        <f aca="false">IFERROR(MIN(Eingaben!$B$18,MAX(0,F3873-I3873)),0)</f>
        <v>2</v>
      </c>
      <c r="K3873" s="13" t="n">
        <f aca="false">H3873+I3873</f>
        <v>0.89</v>
      </c>
      <c r="L3873" s="13" t="n">
        <f aca="false">MAX(0,D3873-K3873)</f>
        <v>0</v>
      </c>
      <c r="M3873" s="13" t="n">
        <f aca="false">MAX(0,F3873-I3873-J3873)</f>
        <v>0.0930399999999998</v>
      </c>
      <c r="N3873" s="13" t="n">
        <f aca="false">IF(Kalender!A213="",0,J3872-H3873)</f>
        <v>1.11</v>
      </c>
    </row>
    <row r="3874" customFormat="false" ht="16.4" hidden="false" customHeight="false" outlineLevel="0" collapsed="false">
      <c r="A3874" s="13" t="str">
        <f aca="false">""</f>
        <v/>
      </c>
      <c r="B3874" s="13" t="n">
        <f aca="false">210</f>
        <v>210</v>
      </c>
      <c r="C3874" s="13" t="n">
        <f aca="false">IF(Szenarien!$H$21="OK",(IFERROR(SUMIF(Nutzungsprofile!$B$6:$B$11,"Schulbetrieb",Nutzungsprofile!$G$6:$G$11)*Kalender!C214/SUM(Kalender!$C$5:$C$370),0)+IFERROR(SUMIF(Nutzungsprofile!$B$6:$B$11,"Halle",Nutzungsprofile!$G$6:$G$11)*Kalender!D214/SUM(Kalender!$D$5:$D$370),0)+IFERROR(SUMIF(Nutzungsprofile!$B$6:$B$11,"Individuell",Nutzungsprofile!$G$6:$G$11)*Kalender!E214/SUM(Kalender!$E$5:$E$370),0))*Szenarien!$E$21,0)</f>
        <v>2.448</v>
      </c>
      <c r="D3874" s="13" t="n">
        <f aca="false">IF(Szenarien!$H$21="OK",(IFERROR(SUMIF(Nutzungsprofile!$B$17:$B$22,"Schulbetrieb",Nutzungsprofile!$G$17:$G$22)*Kalender!C214/SUM(Kalender!$C$5:$C$370),0)+IFERROR(SUMIF(Nutzungsprofile!$B$17:$B$22,"Halle",Nutzungsprofile!$G$17:$G$22)*Kalender!D214/SUM(Kalender!$D$5:$D$370),0)+IFERROR(SUMIF(Nutzungsprofile!$B$17:$B$22,"Individuell",Nutzungsprofile!$G$17:$G$22)*Kalender!E214/SUM(Kalender!$E$5:$E$370),0))*Szenarien!$D$21,0)</f>
        <v>0.89</v>
      </c>
      <c r="E3874" s="13" t="n">
        <f aca="false">IFERROR(MIN(C3874,Eingaben!$B$17)*Eingaben!$B$16,0)</f>
        <v>2.3256</v>
      </c>
      <c r="F3874" s="13" t="n">
        <f aca="false">IFERROR(E3874*Eingaben!$B$15,0)</f>
        <v>2.09304</v>
      </c>
      <c r="G3874" s="13" t="n">
        <f aca="false">IFERROR(IF(Kalender!A214="",0,J3873*(1-Eingaben!$B$20)),0)</f>
        <v>1.96</v>
      </c>
      <c r="H3874" s="13" t="n">
        <f aca="false">MIN(G3874,D3874)</f>
        <v>0.89</v>
      </c>
      <c r="I3874" s="13" t="n">
        <f aca="false">IFERROR(MIN(F3874*Eingaben!$B$19,MAX(0,D3874-H3874)),0)</f>
        <v>0</v>
      </c>
      <c r="J3874" s="13" t="n">
        <f aca="false">IFERROR(MIN(Eingaben!$B$18,MAX(0,F3874-I3874)),0)</f>
        <v>2</v>
      </c>
      <c r="K3874" s="13" t="n">
        <f aca="false">H3874+I3874</f>
        <v>0.89</v>
      </c>
      <c r="L3874" s="13" t="n">
        <f aca="false">MAX(0,D3874-K3874)</f>
        <v>0</v>
      </c>
      <c r="M3874" s="13" t="n">
        <f aca="false">MAX(0,F3874-I3874-J3874)</f>
        <v>0.0930399999999998</v>
      </c>
      <c r="N3874" s="13" t="n">
        <f aca="false">IF(Kalender!A214="",0,J3873-H3874)</f>
        <v>1.11</v>
      </c>
    </row>
    <row r="3875" customFormat="false" ht="16.4" hidden="false" customHeight="false" outlineLevel="0" collapsed="false">
      <c r="A3875" s="13" t="str">
        <f aca="false">""</f>
        <v/>
      </c>
      <c r="B3875" s="13" t="n">
        <f aca="false">211</f>
        <v>211</v>
      </c>
      <c r="C3875" s="13" t="n">
        <f aca="false">IF(Szenarien!$H$21="OK",(IFERROR(SUMIF(Nutzungsprofile!$B$6:$B$11,"Schulbetrieb",Nutzungsprofile!$G$6:$G$11)*Kalender!C215/SUM(Kalender!$C$5:$C$370),0)+IFERROR(SUMIF(Nutzungsprofile!$B$6:$B$11,"Halle",Nutzungsprofile!$G$6:$G$11)*Kalender!D215/SUM(Kalender!$D$5:$D$370),0)+IFERROR(SUMIF(Nutzungsprofile!$B$6:$B$11,"Individuell",Nutzungsprofile!$G$6:$G$11)*Kalender!E215/SUM(Kalender!$E$5:$E$370),0))*Szenarien!$E$21,0)</f>
        <v>2.448</v>
      </c>
      <c r="D3875" s="13" t="n">
        <f aca="false">IF(Szenarien!$H$21="OK",(IFERROR(SUMIF(Nutzungsprofile!$B$17:$B$22,"Schulbetrieb",Nutzungsprofile!$G$17:$G$22)*Kalender!C215/SUM(Kalender!$C$5:$C$370),0)+IFERROR(SUMIF(Nutzungsprofile!$B$17:$B$22,"Halle",Nutzungsprofile!$G$17:$G$22)*Kalender!D215/SUM(Kalender!$D$5:$D$370),0)+IFERROR(SUMIF(Nutzungsprofile!$B$17:$B$22,"Individuell",Nutzungsprofile!$G$17:$G$22)*Kalender!E215/SUM(Kalender!$E$5:$E$370),0))*Szenarien!$D$21,0)</f>
        <v>0.89</v>
      </c>
      <c r="E3875" s="13" t="n">
        <f aca="false">IFERROR(MIN(C3875,Eingaben!$B$17)*Eingaben!$B$16,0)</f>
        <v>2.3256</v>
      </c>
      <c r="F3875" s="13" t="n">
        <f aca="false">IFERROR(E3875*Eingaben!$B$15,0)</f>
        <v>2.09304</v>
      </c>
      <c r="G3875" s="13" t="n">
        <f aca="false">IFERROR(IF(Kalender!A215="",0,J3874*(1-Eingaben!$B$20)),0)</f>
        <v>1.96</v>
      </c>
      <c r="H3875" s="13" t="n">
        <f aca="false">MIN(G3875,D3875)</f>
        <v>0.89</v>
      </c>
      <c r="I3875" s="13" t="n">
        <f aca="false">IFERROR(MIN(F3875*Eingaben!$B$19,MAX(0,D3875-H3875)),0)</f>
        <v>0</v>
      </c>
      <c r="J3875" s="13" t="n">
        <f aca="false">IFERROR(MIN(Eingaben!$B$18,MAX(0,F3875-I3875)),0)</f>
        <v>2</v>
      </c>
      <c r="K3875" s="13" t="n">
        <f aca="false">H3875+I3875</f>
        <v>0.89</v>
      </c>
      <c r="L3875" s="13" t="n">
        <f aca="false">MAX(0,D3875-K3875)</f>
        <v>0</v>
      </c>
      <c r="M3875" s="13" t="n">
        <f aca="false">MAX(0,F3875-I3875-J3875)</f>
        <v>0.0930399999999998</v>
      </c>
      <c r="N3875" s="13" t="n">
        <f aca="false">IF(Kalender!A215="",0,J3874-H3875)</f>
        <v>1.11</v>
      </c>
    </row>
    <row r="3876" customFormat="false" ht="16.4" hidden="false" customHeight="false" outlineLevel="0" collapsed="false">
      <c r="A3876" s="13" t="str">
        <f aca="false">""</f>
        <v/>
      </c>
      <c r="B3876" s="13" t="n">
        <f aca="false">212</f>
        <v>212</v>
      </c>
      <c r="C3876" s="13" t="n">
        <f aca="false">IF(Szenarien!$H$21="OK",(IFERROR(SUMIF(Nutzungsprofile!$B$6:$B$11,"Schulbetrieb",Nutzungsprofile!$G$6:$G$11)*Kalender!C216/SUM(Kalender!$C$5:$C$370),0)+IFERROR(SUMIF(Nutzungsprofile!$B$6:$B$11,"Halle",Nutzungsprofile!$G$6:$G$11)*Kalender!D216/SUM(Kalender!$D$5:$D$370),0)+IFERROR(SUMIF(Nutzungsprofile!$B$6:$B$11,"Individuell",Nutzungsprofile!$G$6:$G$11)*Kalender!E216/SUM(Kalender!$E$5:$E$370),0))*Szenarien!$E$21,0)</f>
        <v>2.448</v>
      </c>
      <c r="D3876" s="13" t="n">
        <f aca="false">IF(Szenarien!$H$21="OK",(IFERROR(SUMIF(Nutzungsprofile!$B$17:$B$22,"Schulbetrieb",Nutzungsprofile!$G$17:$G$22)*Kalender!C216/SUM(Kalender!$C$5:$C$370),0)+IFERROR(SUMIF(Nutzungsprofile!$B$17:$B$22,"Halle",Nutzungsprofile!$G$17:$G$22)*Kalender!D216/SUM(Kalender!$D$5:$D$370),0)+IFERROR(SUMIF(Nutzungsprofile!$B$17:$B$22,"Individuell",Nutzungsprofile!$G$17:$G$22)*Kalender!E216/SUM(Kalender!$E$5:$E$370),0))*Szenarien!$D$21,0)</f>
        <v>0.89</v>
      </c>
      <c r="E3876" s="13" t="n">
        <f aca="false">IFERROR(MIN(C3876,Eingaben!$B$17)*Eingaben!$B$16,0)</f>
        <v>2.3256</v>
      </c>
      <c r="F3876" s="13" t="n">
        <f aca="false">IFERROR(E3876*Eingaben!$B$15,0)</f>
        <v>2.09304</v>
      </c>
      <c r="G3876" s="13" t="n">
        <f aca="false">IFERROR(IF(Kalender!A216="",0,J3875*(1-Eingaben!$B$20)),0)</f>
        <v>1.96</v>
      </c>
      <c r="H3876" s="13" t="n">
        <f aca="false">MIN(G3876,D3876)</f>
        <v>0.89</v>
      </c>
      <c r="I3876" s="13" t="n">
        <f aca="false">IFERROR(MIN(F3876*Eingaben!$B$19,MAX(0,D3876-H3876)),0)</f>
        <v>0</v>
      </c>
      <c r="J3876" s="13" t="n">
        <f aca="false">IFERROR(MIN(Eingaben!$B$18,MAX(0,F3876-I3876)),0)</f>
        <v>2</v>
      </c>
      <c r="K3876" s="13" t="n">
        <f aca="false">H3876+I3876</f>
        <v>0.89</v>
      </c>
      <c r="L3876" s="13" t="n">
        <f aca="false">MAX(0,D3876-K3876)</f>
        <v>0</v>
      </c>
      <c r="M3876" s="13" t="n">
        <f aca="false">MAX(0,F3876-I3876-J3876)</f>
        <v>0.0930399999999998</v>
      </c>
      <c r="N3876" s="13" t="n">
        <f aca="false">IF(Kalender!A216="",0,J3875-H3876)</f>
        <v>1.11</v>
      </c>
    </row>
    <row r="3877" customFormat="false" ht="16.4" hidden="false" customHeight="false" outlineLevel="0" collapsed="false">
      <c r="A3877" s="13" t="str">
        <f aca="false">""</f>
        <v/>
      </c>
      <c r="B3877" s="13" t="n">
        <f aca="false">213</f>
        <v>213</v>
      </c>
      <c r="C3877" s="13" t="n">
        <f aca="false">IF(Szenarien!$H$21="OK",(IFERROR(SUMIF(Nutzungsprofile!$B$6:$B$11,"Schulbetrieb",Nutzungsprofile!$G$6:$G$11)*Kalender!C217/SUM(Kalender!$C$5:$C$370),0)+IFERROR(SUMIF(Nutzungsprofile!$B$6:$B$11,"Halle",Nutzungsprofile!$G$6:$G$11)*Kalender!D217/SUM(Kalender!$D$5:$D$370),0)+IFERROR(SUMIF(Nutzungsprofile!$B$6:$B$11,"Individuell",Nutzungsprofile!$G$6:$G$11)*Kalender!E217/SUM(Kalender!$E$5:$E$370),0))*Szenarien!$E$21,0)</f>
        <v>2.448</v>
      </c>
      <c r="D3877" s="13" t="n">
        <f aca="false">IF(Szenarien!$H$21="OK",(IFERROR(SUMIF(Nutzungsprofile!$B$17:$B$22,"Schulbetrieb",Nutzungsprofile!$G$17:$G$22)*Kalender!C217/SUM(Kalender!$C$5:$C$370),0)+IFERROR(SUMIF(Nutzungsprofile!$B$17:$B$22,"Halle",Nutzungsprofile!$G$17:$G$22)*Kalender!D217/SUM(Kalender!$D$5:$D$370),0)+IFERROR(SUMIF(Nutzungsprofile!$B$17:$B$22,"Individuell",Nutzungsprofile!$G$17:$G$22)*Kalender!E217/SUM(Kalender!$E$5:$E$370),0))*Szenarien!$D$21,0)</f>
        <v>0.89</v>
      </c>
      <c r="E3877" s="13" t="n">
        <f aca="false">IFERROR(MIN(C3877,Eingaben!$B$17)*Eingaben!$B$16,0)</f>
        <v>2.3256</v>
      </c>
      <c r="F3877" s="13" t="n">
        <f aca="false">IFERROR(E3877*Eingaben!$B$15,0)</f>
        <v>2.09304</v>
      </c>
      <c r="G3877" s="13" t="n">
        <f aca="false">IFERROR(IF(Kalender!A217="",0,J3876*(1-Eingaben!$B$20)),0)</f>
        <v>1.96</v>
      </c>
      <c r="H3877" s="13" t="n">
        <f aca="false">MIN(G3877,D3877)</f>
        <v>0.89</v>
      </c>
      <c r="I3877" s="13" t="n">
        <f aca="false">IFERROR(MIN(F3877*Eingaben!$B$19,MAX(0,D3877-H3877)),0)</f>
        <v>0</v>
      </c>
      <c r="J3877" s="13" t="n">
        <f aca="false">IFERROR(MIN(Eingaben!$B$18,MAX(0,F3877-I3877)),0)</f>
        <v>2</v>
      </c>
      <c r="K3877" s="13" t="n">
        <f aca="false">H3877+I3877</f>
        <v>0.89</v>
      </c>
      <c r="L3877" s="13" t="n">
        <f aca="false">MAX(0,D3877-K3877)</f>
        <v>0</v>
      </c>
      <c r="M3877" s="13" t="n">
        <f aca="false">MAX(0,F3877-I3877-J3877)</f>
        <v>0.0930399999999998</v>
      </c>
      <c r="N3877" s="13" t="n">
        <f aca="false">IF(Kalender!A217="",0,J3876-H3877)</f>
        <v>1.11</v>
      </c>
    </row>
    <row r="3878" customFormat="false" ht="16.4" hidden="false" customHeight="false" outlineLevel="0" collapsed="false">
      <c r="A3878" s="13" t="str">
        <f aca="false">""</f>
        <v/>
      </c>
      <c r="B3878" s="13" t="n">
        <f aca="false">214</f>
        <v>214</v>
      </c>
      <c r="C3878" s="13" t="n">
        <f aca="false">IF(Szenarien!$H$21="OK",(IFERROR(SUMIF(Nutzungsprofile!$B$6:$B$11,"Schulbetrieb",Nutzungsprofile!$G$6:$G$11)*Kalender!C218/SUM(Kalender!$C$5:$C$370),0)+IFERROR(SUMIF(Nutzungsprofile!$B$6:$B$11,"Halle",Nutzungsprofile!$G$6:$G$11)*Kalender!D218/SUM(Kalender!$D$5:$D$370),0)+IFERROR(SUMIF(Nutzungsprofile!$B$6:$B$11,"Individuell",Nutzungsprofile!$G$6:$G$11)*Kalender!E218/SUM(Kalender!$E$5:$E$370),0))*Szenarien!$E$21,0)</f>
        <v>2.448</v>
      </c>
      <c r="D3878" s="13" t="n">
        <f aca="false">IF(Szenarien!$H$21="OK",(IFERROR(SUMIF(Nutzungsprofile!$B$17:$B$22,"Schulbetrieb",Nutzungsprofile!$G$17:$G$22)*Kalender!C218/SUM(Kalender!$C$5:$C$370),0)+IFERROR(SUMIF(Nutzungsprofile!$B$17:$B$22,"Halle",Nutzungsprofile!$G$17:$G$22)*Kalender!D218/SUM(Kalender!$D$5:$D$370),0)+IFERROR(SUMIF(Nutzungsprofile!$B$17:$B$22,"Individuell",Nutzungsprofile!$G$17:$G$22)*Kalender!E218/SUM(Kalender!$E$5:$E$370),0))*Szenarien!$D$21,0)</f>
        <v>0.89</v>
      </c>
      <c r="E3878" s="13" t="n">
        <f aca="false">IFERROR(MIN(C3878,Eingaben!$B$17)*Eingaben!$B$16,0)</f>
        <v>2.3256</v>
      </c>
      <c r="F3878" s="13" t="n">
        <f aca="false">IFERROR(E3878*Eingaben!$B$15,0)</f>
        <v>2.09304</v>
      </c>
      <c r="G3878" s="13" t="n">
        <f aca="false">IFERROR(IF(Kalender!A218="",0,J3877*(1-Eingaben!$B$20)),0)</f>
        <v>1.96</v>
      </c>
      <c r="H3878" s="13" t="n">
        <f aca="false">MIN(G3878,D3878)</f>
        <v>0.89</v>
      </c>
      <c r="I3878" s="13" t="n">
        <f aca="false">IFERROR(MIN(F3878*Eingaben!$B$19,MAX(0,D3878-H3878)),0)</f>
        <v>0</v>
      </c>
      <c r="J3878" s="13" t="n">
        <f aca="false">IFERROR(MIN(Eingaben!$B$18,MAX(0,F3878-I3878)),0)</f>
        <v>2</v>
      </c>
      <c r="K3878" s="13" t="n">
        <f aca="false">H3878+I3878</f>
        <v>0.89</v>
      </c>
      <c r="L3878" s="13" t="n">
        <f aca="false">MAX(0,D3878-K3878)</f>
        <v>0</v>
      </c>
      <c r="M3878" s="13" t="n">
        <f aca="false">MAX(0,F3878-I3878-J3878)</f>
        <v>0.0930399999999998</v>
      </c>
      <c r="N3878" s="13" t="n">
        <f aca="false">IF(Kalender!A218="",0,J3877-H3878)</f>
        <v>1.11</v>
      </c>
    </row>
    <row r="3879" customFormat="false" ht="16.4" hidden="false" customHeight="false" outlineLevel="0" collapsed="false">
      <c r="A3879" s="13" t="str">
        <f aca="false">""</f>
        <v/>
      </c>
      <c r="B3879" s="13" t="n">
        <f aca="false">215</f>
        <v>215</v>
      </c>
      <c r="C3879" s="13" t="n">
        <f aca="false">IF(Szenarien!$H$21="OK",(IFERROR(SUMIF(Nutzungsprofile!$B$6:$B$11,"Schulbetrieb",Nutzungsprofile!$G$6:$G$11)*Kalender!C219/SUM(Kalender!$C$5:$C$370),0)+IFERROR(SUMIF(Nutzungsprofile!$B$6:$B$11,"Halle",Nutzungsprofile!$G$6:$G$11)*Kalender!D219/SUM(Kalender!$D$5:$D$370),0)+IFERROR(SUMIF(Nutzungsprofile!$B$6:$B$11,"Individuell",Nutzungsprofile!$G$6:$G$11)*Kalender!E219/SUM(Kalender!$E$5:$E$370),0))*Szenarien!$E$21,0)</f>
        <v>2.448</v>
      </c>
      <c r="D3879" s="13" t="n">
        <f aca="false">IF(Szenarien!$H$21="OK",(IFERROR(SUMIF(Nutzungsprofile!$B$17:$B$22,"Schulbetrieb",Nutzungsprofile!$G$17:$G$22)*Kalender!C219/SUM(Kalender!$C$5:$C$370),0)+IFERROR(SUMIF(Nutzungsprofile!$B$17:$B$22,"Halle",Nutzungsprofile!$G$17:$G$22)*Kalender!D219/SUM(Kalender!$D$5:$D$370),0)+IFERROR(SUMIF(Nutzungsprofile!$B$17:$B$22,"Individuell",Nutzungsprofile!$G$17:$G$22)*Kalender!E219/SUM(Kalender!$E$5:$E$370),0))*Szenarien!$D$21,0)</f>
        <v>0.89</v>
      </c>
      <c r="E3879" s="13" t="n">
        <f aca="false">IFERROR(MIN(C3879,Eingaben!$B$17)*Eingaben!$B$16,0)</f>
        <v>2.3256</v>
      </c>
      <c r="F3879" s="13" t="n">
        <f aca="false">IFERROR(E3879*Eingaben!$B$15,0)</f>
        <v>2.09304</v>
      </c>
      <c r="G3879" s="13" t="n">
        <f aca="false">IFERROR(IF(Kalender!A219="",0,J3878*(1-Eingaben!$B$20)),0)</f>
        <v>1.96</v>
      </c>
      <c r="H3879" s="13" t="n">
        <f aca="false">MIN(G3879,D3879)</f>
        <v>0.89</v>
      </c>
      <c r="I3879" s="13" t="n">
        <f aca="false">IFERROR(MIN(F3879*Eingaben!$B$19,MAX(0,D3879-H3879)),0)</f>
        <v>0</v>
      </c>
      <c r="J3879" s="13" t="n">
        <f aca="false">IFERROR(MIN(Eingaben!$B$18,MAX(0,F3879-I3879)),0)</f>
        <v>2</v>
      </c>
      <c r="K3879" s="13" t="n">
        <f aca="false">H3879+I3879</f>
        <v>0.89</v>
      </c>
      <c r="L3879" s="13" t="n">
        <f aca="false">MAX(0,D3879-K3879)</f>
        <v>0</v>
      </c>
      <c r="M3879" s="13" t="n">
        <f aca="false">MAX(0,F3879-I3879-J3879)</f>
        <v>0.0930399999999998</v>
      </c>
      <c r="N3879" s="13" t="n">
        <f aca="false">IF(Kalender!A219="",0,J3878-H3879)</f>
        <v>1.11</v>
      </c>
    </row>
    <row r="3880" customFormat="false" ht="16.4" hidden="false" customHeight="false" outlineLevel="0" collapsed="false">
      <c r="A3880" s="13" t="str">
        <f aca="false">""</f>
        <v/>
      </c>
      <c r="B3880" s="13" t="n">
        <f aca="false">216</f>
        <v>216</v>
      </c>
      <c r="C3880" s="13" t="n">
        <f aca="false">IF(Szenarien!$H$21="OK",(IFERROR(SUMIF(Nutzungsprofile!$B$6:$B$11,"Schulbetrieb",Nutzungsprofile!$G$6:$G$11)*Kalender!C220/SUM(Kalender!$C$5:$C$370),0)+IFERROR(SUMIF(Nutzungsprofile!$B$6:$B$11,"Halle",Nutzungsprofile!$G$6:$G$11)*Kalender!D220/SUM(Kalender!$D$5:$D$370),0)+IFERROR(SUMIF(Nutzungsprofile!$B$6:$B$11,"Individuell",Nutzungsprofile!$G$6:$G$11)*Kalender!E220/SUM(Kalender!$E$5:$E$370),0))*Szenarien!$E$21,0)</f>
        <v>2.448</v>
      </c>
      <c r="D3880" s="13" t="n">
        <f aca="false">IF(Szenarien!$H$21="OK",(IFERROR(SUMIF(Nutzungsprofile!$B$17:$B$22,"Schulbetrieb",Nutzungsprofile!$G$17:$G$22)*Kalender!C220/SUM(Kalender!$C$5:$C$370),0)+IFERROR(SUMIF(Nutzungsprofile!$B$17:$B$22,"Halle",Nutzungsprofile!$G$17:$G$22)*Kalender!D220/SUM(Kalender!$D$5:$D$370),0)+IFERROR(SUMIF(Nutzungsprofile!$B$17:$B$22,"Individuell",Nutzungsprofile!$G$17:$G$22)*Kalender!E220/SUM(Kalender!$E$5:$E$370),0))*Szenarien!$D$21,0)</f>
        <v>0.89</v>
      </c>
      <c r="E3880" s="13" t="n">
        <f aca="false">IFERROR(MIN(C3880,Eingaben!$B$17)*Eingaben!$B$16,0)</f>
        <v>2.3256</v>
      </c>
      <c r="F3880" s="13" t="n">
        <f aca="false">IFERROR(E3880*Eingaben!$B$15,0)</f>
        <v>2.09304</v>
      </c>
      <c r="G3880" s="13" t="n">
        <f aca="false">IFERROR(IF(Kalender!A220="",0,J3879*(1-Eingaben!$B$20)),0)</f>
        <v>1.96</v>
      </c>
      <c r="H3880" s="13" t="n">
        <f aca="false">MIN(G3880,D3880)</f>
        <v>0.89</v>
      </c>
      <c r="I3880" s="13" t="n">
        <f aca="false">IFERROR(MIN(F3880*Eingaben!$B$19,MAX(0,D3880-H3880)),0)</f>
        <v>0</v>
      </c>
      <c r="J3880" s="13" t="n">
        <f aca="false">IFERROR(MIN(Eingaben!$B$18,MAX(0,F3880-I3880)),0)</f>
        <v>2</v>
      </c>
      <c r="K3880" s="13" t="n">
        <f aca="false">H3880+I3880</f>
        <v>0.89</v>
      </c>
      <c r="L3880" s="13" t="n">
        <f aca="false">MAX(0,D3880-K3880)</f>
        <v>0</v>
      </c>
      <c r="M3880" s="13" t="n">
        <f aca="false">MAX(0,F3880-I3880-J3880)</f>
        <v>0.0930399999999998</v>
      </c>
      <c r="N3880" s="13" t="n">
        <f aca="false">IF(Kalender!A220="",0,J3879-H3880)</f>
        <v>1.11</v>
      </c>
    </row>
    <row r="3881" customFormat="false" ht="16.4" hidden="false" customHeight="false" outlineLevel="0" collapsed="false">
      <c r="A3881" s="13" t="str">
        <f aca="false">""</f>
        <v/>
      </c>
      <c r="B3881" s="13" t="n">
        <f aca="false">217</f>
        <v>217</v>
      </c>
      <c r="C3881" s="13" t="n">
        <f aca="false">IF(Szenarien!$H$21="OK",(IFERROR(SUMIF(Nutzungsprofile!$B$6:$B$11,"Schulbetrieb",Nutzungsprofile!$G$6:$G$11)*Kalender!C221/SUM(Kalender!$C$5:$C$370),0)+IFERROR(SUMIF(Nutzungsprofile!$B$6:$B$11,"Halle",Nutzungsprofile!$G$6:$G$11)*Kalender!D221/SUM(Kalender!$D$5:$D$370),0)+IFERROR(SUMIF(Nutzungsprofile!$B$6:$B$11,"Individuell",Nutzungsprofile!$G$6:$G$11)*Kalender!E221/SUM(Kalender!$E$5:$E$370),0))*Szenarien!$E$21,0)</f>
        <v>2.448</v>
      </c>
      <c r="D3881" s="13" t="n">
        <f aca="false">IF(Szenarien!$H$21="OK",(IFERROR(SUMIF(Nutzungsprofile!$B$17:$B$22,"Schulbetrieb",Nutzungsprofile!$G$17:$G$22)*Kalender!C221/SUM(Kalender!$C$5:$C$370),0)+IFERROR(SUMIF(Nutzungsprofile!$B$17:$B$22,"Halle",Nutzungsprofile!$G$17:$G$22)*Kalender!D221/SUM(Kalender!$D$5:$D$370),0)+IFERROR(SUMIF(Nutzungsprofile!$B$17:$B$22,"Individuell",Nutzungsprofile!$G$17:$G$22)*Kalender!E221/SUM(Kalender!$E$5:$E$370),0))*Szenarien!$D$21,0)</f>
        <v>0.89</v>
      </c>
      <c r="E3881" s="13" t="n">
        <f aca="false">IFERROR(MIN(C3881,Eingaben!$B$17)*Eingaben!$B$16,0)</f>
        <v>2.3256</v>
      </c>
      <c r="F3881" s="13" t="n">
        <f aca="false">IFERROR(E3881*Eingaben!$B$15,0)</f>
        <v>2.09304</v>
      </c>
      <c r="G3881" s="13" t="n">
        <f aca="false">IFERROR(IF(Kalender!A221="",0,J3880*(1-Eingaben!$B$20)),0)</f>
        <v>1.96</v>
      </c>
      <c r="H3881" s="13" t="n">
        <f aca="false">MIN(G3881,D3881)</f>
        <v>0.89</v>
      </c>
      <c r="I3881" s="13" t="n">
        <f aca="false">IFERROR(MIN(F3881*Eingaben!$B$19,MAX(0,D3881-H3881)),0)</f>
        <v>0</v>
      </c>
      <c r="J3881" s="13" t="n">
        <f aca="false">IFERROR(MIN(Eingaben!$B$18,MAX(0,F3881-I3881)),0)</f>
        <v>2</v>
      </c>
      <c r="K3881" s="13" t="n">
        <f aca="false">H3881+I3881</f>
        <v>0.89</v>
      </c>
      <c r="L3881" s="13" t="n">
        <f aca="false">MAX(0,D3881-K3881)</f>
        <v>0</v>
      </c>
      <c r="M3881" s="13" t="n">
        <f aca="false">MAX(0,F3881-I3881-J3881)</f>
        <v>0.0930399999999998</v>
      </c>
      <c r="N3881" s="13" t="n">
        <f aca="false">IF(Kalender!A221="",0,J3880-H3881)</f>
        <v>1.11</v>
      </c>
    </row>
    <row r="3882" customFormat="false" ht="16.4" hidden="false" customHeight="false" outlineLevel="0" collapsed="false">
      <c r="A3882" s="13" t="str">
        <f aca="false">""</f>
        <v/>
      </c>
      <c r="B3882" s="13" t="n">
        <f aca="false">218</f>
        <v>218</v>
      </c>
      <c r="C3882" s="13" t="n">
        <f aca="false">IF(Szenarien!$H$21="OK",(IFERROR(SUMIF(Nutzungsprofile!$B$6:$B$11,"Schulbetrieb",Nutzungsprofile!$G$6:$G$11)*Kalender!C222/SUM(Kalender!$C$5:$C$370),0)+IFERROR(SUMIF(Nutzungsprofile!$B$6:$B$11,"Halle",Nutzungsprofile!$G$6:$G$11)*Kalender!D222/SUM(Kalender!$D$5:$D$370),0)+IFERROR(SUMIF(Nutzungsprofile!$B$6:$B$11,"Individuell",Nutzungsprofile!$G$6:$G$11)*Kalender!E222/SUM(Kalender!$E$5:$E$370),0))*Szenarien!$E$21,0)</f>
        <v>2.448</v>
      </c>
      <c r="D3882" s="13" t="n">
        <f aca="false">IF(Szenarien!$H$21="OK",(IFERROR(SUMIF(Nutzungsprofile!$B$17:$B$22,"Schulbetrieb",Nutzungsprofile!$G$17:$G$22)*Kalender!C222/SUM(Kalender!$C$5:$C$370),0)+IFERROR(SUMIF(Nutzungsprofile!$B$17:$B$22,"Halle",Nutzungsprofile!$G$17:$G$22)*Kalender!D222/SUM(Kalender!$D$5:$D$370),0)+IFERROR(SUMIF(Nutzungsprofile!$B$17:$B$22,"Individuell",Nutzungsprofile!$G$17:$G$22)*Kalender!E222/SUM(Kalender!$E$5:$E$370),0))*Szenarien!$D$21,0)</f>
        <v>0.89</v>
      </c>
      <c r="E3882" s="13" t="n">
        <f aca="false">IFERROR(MIN(C3882,Eingaben!$B$17)*Eingaben!$B$16,0)</f>
        <v>2.3256</v>
      </c>
      <c r="F3882" s="13" t="n">
        <f aca="false">IFERROR(E3882*Eingaben!$B$15,0)</f>
        <v>2.09304</v>
      </c>
      <c r="G3882" s="13" t="n">
        <f aca="false">IFERROR(IF(Kalender!A222="",0,J3881*(1-Eingaben!$B$20)),0)</f>
        <v>1.96</v>
      </c>
      <c r="H3882" s="13" t="n">
        <f aca="false">MIN(G3882,D3882)</f>
        <v>0.89</v>
      </c>
      <c r="I3882" s="13" t="n">
        <f aca="false">IFERROR(MIN(F3882*Eingaben!$B$19,MAX(0,D3882-H3882)),0)</f>
        <v>0</v>
      </c>
      <c r="J3882" s="13" t="n">
        <f aca="false">IFERROR(MIN(Eingaben!$B$18,MAX(0,F3882-I3882)),0)</f>
        <v>2</v>
      </c>
      <c r="K3882" s="13" t="n">
        <f aca="false">H3882+I3882</f>
        <v>0.89</v>
      </c>
      <c r="L3882" s="13" t="n">
        <f aca="false">MAX(0,D3882-K3882)</f>
        <v>0</v>
      </c>
      <c r="M3882" s="13" t="n">
        <f aca="false">MAX(0,F3882-I3882-J3882)</f>
        <v>0.0930399999999998</v>
      </c>
      <c r="N3882" s="13" t="n">
        <f aca="false">IF(Kalender!A222="",0,J3881-H3882)</f>
        <v>1.11</v>
      </c>
    </row>
    <row r="3883" customFormat="false" ht="16.4" hidden="false" customHeight="false" outlineLevel="0" collapsed="false">
      <c r="A3883" s="13" t="str">
        <f aca="false">""</f>
        <v/>
      </c>
      <c r="B3883" s="13" t="n">
        <f aca="false">219</f>
        <v>219</v>
      </c>
      <c r="C3883" s="13" t="n">
        <f aca="false">IF(Szenarien!$H$21="OK",(IFERROR(SUMIF(Nutzungsprofile!$B$6:$B$11,"Schulbetrieb",Nutzungsprofile!$G$6:$G$11)*Kalender!C223/SUM(Kalender!$C$5:$C$370),0)+IFERROR(SUMIF(Nutzungsprofile!$B$6:$B$11,"Halle",Nutzungsprofile!$G$6:$G$11)*Kalender!D223/SUM(Kalender!$D$5:$D$370),0)+IFERROR(SUMIF(Nutzungsprofile!$B$6:$B$11,"Individuell",Nutzungsprofile!$G$6:$G$11)*Kalender!E223/SUM(Kalender!$E$5:$E$370),0))*Szenarien!$E$21,0)</f>
        <v>2.448</v>
      </c>
      <c r="D3883" s="13" t="n">
        <f aca="false">IF(Szenarien!$H$21="OK",(IFERROR(SUMIF(Nutzungsprofile!$B$17:$B$22,"Schulbetrieb",Nutzungsprofile!$G$17:$G$22)*Kalender!C223/SUM(Kalender!$C$5:$C$370),0)+IFERROR(SUMIF(Nutzungsprofile!$B$17:$B$22,"Halle",Nutzungsprofile!$G$17:$G$22)*Kalender!D223/SUM(Kalender!$D$5:$D$370),0)+IFERROR(SUMIF(Nutzungsprofile!$B$17:$B$22,"Individuell",Nutzungsprofile!$G$17:$G$22)*Kalender!E223/SUM(Kalender!$E$5:$E$370),0))*Szenarien!$D$21,0)</f>
        <v>0.89</v>
      </c>
      <c r="E3883" s="13" t="n">
        <f aca="false">IFERROR(MIN(C3883,Eingaben!$B$17)*Eingaben!$B$16,0)</f>
        <v>2.3256</v>
      </c>
      <c r="F3883" s="13" t="n">
        <f aca="false">IFERROR(E3883*Eingaben!$B$15,0)</f>
        <v>2.09304</v>
      </c>
      <c r="G3883" s="13" t="n">
        <f aca="false">IFERROR(IF(Kalender!A223="",0,J3882*(1-Eingaben!$B$20)),0)</f>
        <v>1.96</v>
      </c>
      <c r="H3883" s="13" t="n">
        <f aca="false">MIN(G3883,D3883)</f>
        <v>0.89</v>
      </c>
      <c r="I3883" s="13" t="n">
        <f aca="false">IFERROR(MIN(F3883*Eingaben!$B$19,MAX(0,D3883-H3883)),0)</f>
        <v>0</v>
      </c>
      <c r="J3883" s="13" t="n">
        <f aca="false">IFERROR(MIN(Eingaben!$B$18,MAX(0,F3883-I3883)),0)</f>
        <v>2</v>
      </c>
      <c r="K3883" s="13" t="n">
        <f aca="false">H3883+I3883</f>
        <v>0.89</v>
      </c>
      <c r="L3883" s="13" t="n">
        <f aca="false">MAX(0,D3883-K3883)</f>
        <v>0</v>
      </c>
      <c r="M3883" s="13" t="n">
        <f aca="false">MAX(0,F3883-I3883-J3883)</f>
        <v>0.0930399999999998</v>
      </c>
      <c r="N3883" s="13" t="n">
        <f aca="false">IF(Kalender!A223="",0,J3882-H3883)</f>
        <v>1.11</v>
      </c>
    </row>
    <row r="3884" customFormat="false" ht="16.4" hidden="false" customHeight="false" outlineLevel="0" collapsed="false">
      <c r="A3884" s="13" t="str">
        <f aca="false">""</f>
        <v/>
      </c>
      <c r="B3884" s="13" t="n">
        <f aca="false">220</f>
        <v>220</v>
      </c>
      <c r="C3884" s="13" t="n">
        <f aca="false">IF(Szenarien!$H$21="OK",(IFERROR(SUMIF(Nutzungsprofile!$B$6:$B$11,"Schulbetrieb",Nutzungsprofile!$G$6:$G$11)*Kalender!C224/SUM(Kalender!$C$5:$C$370),0)+IFERROR(SUMIF(Nutzungsprofile!$B$6:$B$11,"Halle",Nutzungsprofile!$G$6:$G$11)*Kalender!D224/SUM(Kalender!$D$5:$D$370),0)+IFERROR(SUMIF(Nutzungsprofile!$B$6:$B$11,"Individuell",Nutzungsprofile!$G$6:$G$11)*Kalender!E224/SUM(Kalender!$E$5:$E$370),0))*Szenarien!$E$21,0)</f>
        <v>2.448</v>
      </c>
      <c r="D3884" s="13" t="n">
        <f aca="false">IF(Szenarien!$H$21="OK",(IFERROR(SUMIF(Nutzungsprofile!$B$17:$B$22,"Schulbetrieb",Nutzungsprofile!$G$17:$G$22)*Kalender!C224/SUM(Kalender!$C$5:$C$370),0)+IFERROR(SUMIF(Nutzungsprofile!$B$17:$B$22,"Halle",Nutzungsprofile!$G$17:$G$22)*Kalender!D224/SUM(Kalender!$D$5:$D$370),0)+IFERROR(SUMIF(Nutzungsprofile!$B$17:$B$22,"Individuell",Nutzungsprofile!$G$17:$G$22)*Kalender!E224/SUM(Kalender!$E$5:$E$370),0))*Szenarien!$D$21,0)</f>
        <v>0.89</v>
      </c>
      <c r="E3884" s="13" t="n">
        <f aca="false">IFERROR(MIN(C3884,Eingaben!$B$17)*Eingaben!$B$16,0)</f>
        <v>2.3256</v>
      </c>
      <c r="F3884" s="13" t="n">
        <f aca="false">IFERROR(E3884*Eingaben!$B$15,0)</f>
        <v>2.09304</v>
      </c>
      <c r="G3884" s="13" t="n">
        <f aca="false">IFERROR(IF(Kalender!A224="",0,J3883*(1-Eingaben!$B$20)),0)</f>
        <v>1.96</v>
      </c>
      <c r="H3884" s="13" t="n">
        <f aca="false">MIN(G3884,D3884)</f>
        <v>0.89</v>
      </c>
      <c r="I3884" s="13" t="n">
        <f aca="false">IFERROR(MIN(F3884*Eingaben!$B$19,MAX(0,D3884-H3884)),0)</f>
        <v>0</v>
      </c>
      <c r="J3884" s="13" t="n">
        <f aca="false">IFERROR(MIN(Eingaben!$B$18,MAX(0,F3884-I3884)),0)</f>
        <v>2</v>
      </c>
      <c r="K3884" s="13" t="n">
        <f aca="false">H3884+I3884</f>
        <v>0.89</v>
      </c>
      <c r="L3884" s="13" t="n">
        <f aca="false">MAX(0,D3884-K3884)</f>
        <v>0</v>
      </c>
      <c r="M3884" s="13" t="n">
        <f aca="false">MAX(0,F3884-I3884-J3884)</f>
        <v>0.0930399999999998</v>
      </c>
      <c r="N3884" s="13" t="n">
        <f aca="false">IF(Kalender!A224="",0,J3883-H3884)</f>
        <v>1.11</v>
      </c>
    </row>
    <row r="3885" customFormat="false" ht="16.4" hidden="false" customHeight="false" outlineLevel="0" collapsed="false">
      <c r="A3885" s="13" t="str">
        <f aca="false">""</f>
        <v/>
      </c>
      <c r="B3885" s="13" t="n">
        <f aca="false">221</f>
        <v>221</v>
      </c>
      <c r="C3885" s="13" t="n">
        <f aca="false">IF(Szenarien!$H$21="OK",(IFERROR(SUMIF(Nutzungsprofile!$B$6:$B$11,"Schulbetrieb",Nutzungsprofile!$G$6:$G$11)*Kalender!C225/SUM(Kalender!$C$5:$C$370),0)+IFERROR(SUMIF(Nutzungsprofile!$B$6:$B$11,"Halle",Nutzungsprofile!$G$6:$G$11)*Kalender!D225/SUM(Kalender!$D$5:$D$370),0)+IFERROR(SUMIF(Nutzungsprofile!$B$6:$B$11,"Individuell",Nutzungsprofile!$G$6:$G$11)*Kalender!E225/SUM(Kalender!$E$5:$E$370),0))*Szenarien!$E$21,0)</f>
        <v>2.448</v>
      </c>
      <c r="D3885" s="13" t="n">
        <f aca="false">IF(Szenarien!$H$21="OK",(IFERROR(SUMIF(Nutzungsprofile!$B$17:$B$22,"Schulbetrieb",Nutzungsprofile!$G$17:$G$22)*Kalender!C225/SUM(Kalender!$C$5:$C$370),0)+IFERROR(SUMIF(Nutzungsprofile!$B$17:$B$22,"Halle",Nutzungsprofile!$G$17:$G$22)*Kalender!D225/SUM(Kalender!$D$5:$D$370),0)+IFERROR(SUMIF(Nutzungsprofile!$B$17:$B$22,"Individuell",Nutzungsprofile!$G$17:$G$22)*Kalender!E225/SUM(Kalender!$E$5:$E$370),0))*Szenarien!$D$21,0)</f>
        <v>0.89</v>
      </c>
      <c r="E3885" s="13" t="n">
        <f aca="false">IFERROR(MIN(C3885,Eingaben!$B$17)*Eingaben!$B$16,0)</f>
        <v>2.3256</v>
      </c>
      <c r="F3885" s="13" t="n">
        <f aca="false">IFERROR(E3885*Eingaben!$B$15,0)</f>
        <v>2.09304</v>
      </c>
      <c r="G3885" s="13" t="n">
        <f aca="false">IFERROR(IF(Kalender!A225="",0,J3884*(1-Eingaben!$B$20)),0)</f>
        <v>1.96</v>
      </c>
      <c r="H3885" s="13" t="n">
        <f aca="false">MIN(G3885,D3885)</f>
        <v>0.89</v>
      </c>
      <c r="I3885" s="13" t="n">
        <f aca="false">IFERROR(MIN(F3885*Eingaben!$B$19,MAX(0,D3885-H3885)),0)</f>
        <v>0</v>
      </c>
      <c r="J3885" s="13" t="n">
        <f aca="false">IFERROR(MIN(Eingaben!$B$18,MAX(0,F3885-I3885)),0)</f>
        <v>2</v>
      </c>
      <c r="K3885" s="13" t="n">
        <f aca="false">H3885+I3885</f>
        <v>0.89</v>
      </c>
      <c r="L3885" s="13" t="n">
        <f aca="false">MAX(0,D3885-K3885)</f>
        <v>0</v>
      </c>
      <c r="M3885" s="13" t="n">
        <f aca="false">MAX(0,F3885-I3885-J3885)</f>
        <v>0.0930399999999998</v>
      </c>
      <c r="N3885" s="13" t="n">
        <f aca="false">IF(Kalender!A225="",0,J3884-H3885)</f>
        <v>1.11</v>
      </c>
    </row>
    <row r="3886" customFormat="false" ht="16.4" hidden="false" customHeight="false" outlineLevel="0" collapsed="false">
      <c r="A3886" s="13" t="str">
        <f aca="false">""</f>
        <v/>
      </c>
      <c r="B3886" s="13" t="n">
        <f aca="false">222</f>
        <v>222</v>
      </c>
      <c r="C3886" s="13" t="n">
        <f aca="false">IF(Szenarien!$H$21="OK",(IFERROR(SUMIF(Nutzungsprofile!$B$6:$B$11,"Schulbetrieb",Nutzungsprofile!$G$6:$G$11)*Kalender!C226/SUM(Kalender!$C$5:$C$370),0)+IFERROR(SUMIF(Nutzungsprofile!$B$6:$B$11,"Halle",Nutzungsprofile!$G$6:$G$11)*Kalender!D226/SUM(Kalender!$D$5:$D$370),0)+IFERROR(SUMIF(Nutzungsprofile!$B$6:$B$11,"Individuell",Nutzungsprofile!$G$6:$G$11)*Kalender!E226/SUM(Kalender!$E$5:$E$370),0))*Szenarien!$E$21,0)</f>
        <v>2.448</v>
      </c>
      <c r="D3886" s="13" t="n">
        <f aca="false">IF(Szenarien!$H$21="OK",(IFERROR(SUMIF(Nutzungsprofile!$B$17:$B$22,"Schulbetrieb",Nutzungsprofile!$G$17:$G$22)*Kalender!C226/SUM(Kalender!$C$5:$C$370),0)+IFERROR(SUMIF(Nutzungsprofile!$B$17:$B$22,"Halle",Nutzungsprofile!$G$17:$G$22)*Kalender!D226/SUM(Kalender!$D$5:$D$370),0)+IFERROR(SUMIF(Nutzungsprofile!$B$17:$B$22,"Individuell",Nutzungsprofile!$G$17:$G$22)*Kalender!E226/SUM(Kalender!$E$5:$E$370),0))*Szenarien!$D$21,0)</f>
        <v>0.89</v>
      </c>
      <c r="E3886" s="13" t="n">
        <f aca="false">IFERROR(MIN(C3886,Eingaben!$B$17)*Eingaben!$B$16,0)</f>
        <v>2.3256</v>
      </c>
      <c r="F3886" s="13" t="n">
        <f aca="false">IFERROR(E3886*Eingaben!$B$15,0)</f>
        <v>2.09304</v>
      </c>
      <c r="G3886" s="13" t="n">
        <f aca="false">IFERROR(IF(Kalender!A226="",0,J3885*(1-Eingaben!$B$20)),0)</f>
        <v>1.96</v>
      </c>
      <c r="H3886" s="13" t="n">
        <f aca="false">MIN(G3886,D3886)</f>
        <v>0.89</v>
      </c>
      <c r="I3886" s="13" t="n">
        <f aca="false">IFERROR(MIN(F3886*Eingaben!$B$19,MAX(0,D3886-H3886)),0)</f>
        <v>0</v>
      </c>
      <c r="J3886" s="13" t="n">
        <f aca="false">IFERROR(MIN(Eingaben!$B$18,MAX(0,F3886-I3886)),0)</f>
        <v>2</v>
      </c>
      <c r="K3886" s="13" t="n">
        <f aca="false">H3886+I3886</f>
        <v>0.89</v>
      </c>
      <c r="L3886" s="13" t="n">
        <f aca="false">MAX(0,D3886-K3886)</f>
        <v>0</v>
      </c>
      <c r="M3886" s="13" t="n">
        <f aca="false">MAX(0,F3886-I3886-J3886)</f>
        <v>0.0930399999999998</v>
      </c>
      <c r="N3886" s="13" t="n">
        <f aca="false">IF(Kalender!A226="",0,J3885-H3886)</f>
        <v>1.11</v>
      </c>
    </row>
    <row r="3887" customFormat="false" ht="16.4" hidden="false" customHeight="false" outlineLevel="0" collapsed="false">
      <c r="A3887" s="13" t="str">
        <f aca="false">""</f>
        <v/>
      </c>
      <c r="B3887" s="13" t="n">
        <f aca="false">223</f>
        <v>223</v>
      </c>
      <c r="C3887" s="13" t="n">
        <f aca="false">IF(Szenarien!$H$21="OK",(IFERROR(SUMIF(Nutzungsprofile!$B$6:$B$11,"Schulbetrieb",Nutzungsprofile!$G$6:$G$11)*Kalender!C227/SUM(Kalender!$C$5:$C$370),0)+IFERROR(SUMIF(Nutzungsprofile!$B$6:$B$11,"Halle",Nutzungsprofile!$G$6:$G$11)*Kalender!D227/SUM(Kalender!$D$5:$D$370),0)+IFERROR(SUMIF(Nutzungsprofile!$B$6:$B$11,"Individuell",Nutzungsprofile!$G$6:$G$11)*Kalender!E227/SUM(Kalender!$E$5:$E$370),0))*Szenarien!$E$21,0)</f>
        <v>2.448</v>
      </c>
      <c r="D3887" s="13" t="n">
        <f aca="false">IF(Szenarien!$H$21="OK",(IFERROR(SUMIF(Nutzungsprofile!$B$17:$B$22,"Schulbetrieb",Nutzungsprofile!$G$17:$G$22)*Kalender!C227/SUM(Kalender!$C$5:$C$370),0)+IFERROR(SUMIF(Nutzungsprofile!$B$17:$B$22,"Halle",Nutzungsprofile!$G$17:$G$22)*Kalender!D227/SUM(Kalender!$D$5:$D$370),0)+IFERROR(SUMIF(Nutzungsprofile!$B$17:$B$22,"Individuell",Nutzungsprofile!$G$17:$G$22)*Kalender!E227/SUM(Kalender!$E$5:$E$370),0))*Szenarien!$D$21,0)</f>
        <v>0.89</v>
      </c>
      <c r="E3887" s="13" t="n">
        <f aca="false">IFERROR(MIN(C3887,Eingaben!$B$17)*Eingaben!$B$16,0)</f>
        <v>2.3256</v>
      </c>
      <c r="F3887" s="13" t="n">
        <f aca="false">IFERROR(E3887*Eingaben!$B$15,0)</f>
        <v>2.09304</v>
      </c>
      <c r="G3887" s="13" t="n">
        <f aca="false">IFERROR(IF(Kalender!A227="",0,J3886*(1-Eingaben!$B$20)),0)</f>
        <v>1.96</v>
      </c>
      <c r="H3887" s="13" t="n">
        <f aca="false">MIN(G3887,D3887)</f>
        <v>0.89</v>
      </c>
      <c r="I3887" s="13" t="n">
        <f aca="false">IFERROR(MIN(F3887*Eingaben!$B$19,MAX(0,D3887-H3887)),0)</f>
        <v>0</v>
      </c>
      <c r="J3887" s="13" t="n">
        <f aca="false">IFERROR(MIN(Eingaben!$B$18,MAX(0,F3887-I3887)),0)</f>
        <v>2</v>
      </c>
      <c r="K3887" s="13" t="n">
        <f aca="false">H3887+I3887</f>
        <v>0.89</v>
      </c>
      <c r="L3887" s="13" t="n">
        <f aca="false">MAX(0,D3887-K3887)</f>
        <v>0</v>
      </c>
      <c r="M3887" s="13" t="n">
        <f aca="false">MAX(0,F3887-I3887-J3887)</f>
        <v>0.0930399999999998</v>
      </c>
      <c r="N3887" s="13" t="n">
        <f aca="false">IF(Kalender!A227="",0,J3886-H3887)</f>
        <v>1.11</v>
      </c>
    </row>
    <row r="3888" customFormat="false" ht="16.4" hidden="false" customHeight="false" outlineLevel="0" collapsed="false">
      <c r="A3888" s="13" t="str">
        <f aca="false">""</f>
        <v/>
      </c>
      <c r="B3888" s="13" t="n">
        <f aca="false">224</f>
        <v>224</v>
      </c>
      <c r="C3888" s="13" t="n">
        <f aca="false">IF(Szenarien!$H$21="OK",(IFERROR(SUMIF(Nutzungsprofile!$B$6:$B$11,"Schulbetrieb",Nutzungsprofile!$G$6:$G$11)*Kalender!C228/SUM(Kalender!$C$5:$C$370),0)+IFERROR(SUMIF(Nutzungsprofile!$B$6:$B$11,"Halle",Nutzungsprofile!$G$6:$G$11)*Kalender!D228/SUM(Kalender!$D$5:$D$370),0)+IFERROR(SUMIF(Nutzungsprofile!$B$6:$B$11,"Individuell",Nutzungsprofile!$G$6:$G$11)*Kalender!E228/SUM(Kalender!$E$5:$E$370),0))*Szenarien!$E$21,0)</f>
        <v>2.448</v>
      </c>
      <c r="D3888" s="13" t="n">
        <f aca="false">IF(Szenarien!$H$21="OK",(IFERROR(SUMIF(Nutzungsprofile!$B$17:$B$22,"Schulbetrieb",Nutzungsprofile!$G$17:$G$22)*Kalender!C228/SUM(Kalender!$C$5:$C$370),0)+IFERROR(SUMIF(Nutzungsprofile!$B$17:$B$22,"Halle",Nutzungsprofile!$G$17:$G$22)*Kalender!D228/SUM(Kalender!$D$5:$D$370),0)+IFERROR(SUMIF(Nutzungsprofile!$B$17:$B$22,"Individuell",Nutzungsprofile!$G$17:$G$22)*Kalender!E228/SUM(Kalender!$E$5:$E$370),0))*Szenarien!$D$21,0)</f>
        <v>0.89</v>
      </c>
      <c r="E3888" s="13" t="n">
        <f aca="false">IFERROR(MIN(C3888,Eingaben!$B$17)*Eingaben!$B$16,0)</f>
        <v>2.3256</v>
      </c>
      <c r="F3888" s="13" t="n">
        <f aca="false">IFERROR(E3888*Eingaben!$B$15,0)</f>
        <v>2.09304</v>
      </c>
      <c r="G3888" s="13" t="n">
        <f aca="false">IFERROR(IF(Kalender!A228="",0,J3887*(1-Eingaben!$B$20)),0)</f>
        <v>1.96</v>
      </c>
      <c r="H3888" s="13" t="n">
        <f aca="false">MIN(G3888,D3888)</f>
        <v>0.89</v>
      </c>
      <c r="I3888" s="13" t="n">
        <f aca="false">IFERROR(MIN(F3888*Eingaben!$B$19,MAX(0,D3888-H3888)),0)</f>
        <v>0</v>
      </c>
      <c r="J3888" s="13" t="n">
        <f aca="false">IFERROR(MIN(Eingaben!$B$18,MAX(0,F3888-I3888)),0)</f>
        <v>2</v>
      </c>
      <c r="K3888" s="13" t="n">
        <f aca="false">H3888+I3888</f>
        <v>0.89</v>
      </c>
      <c r="L3888" s="13" t="n">
        <f aca="false">MAX(0,D3888-K3888)</f>
        <v>0</v>
      </c>
      <c r="M3888" s="13" t="n">
        <f aca="false">MAX(0,F3888-I3888-J3888)</f>
        <v>0.0930399999999998</v>
      </c>
      <c r="N3888" s="13" t="n">
        <f aca="false">IF(Kalender!A228="",0,J3887-H3888)</f>
        <v>1.11</v>
      </c>
    </row>
    <row r="3889" customFormat="false" ht="16.4" hidden="false" customHeight="false" outlineLevel="0" collapsed="false">
      <c r="A3889" s="13" t="str">
        <f aca="false">""</f>
        <v/>
      </c>
      <c r="B3889" s="13" t="n">
        <f aca="false">225</f>
        <v>225</v>
      </c>
      <c r="C3889" s="13" t="n">
        <f aca="false">IF(Szenarien!$H$21="OK",(IFERROR(SUMIF(Nutzungsprofile!$B$6:$B$11,"Schulbetrieb",Nutzungsprofile!$G$6:$G$11)*Kalender!C229/SUM(Kalender!$C$5:$C$370),0)+IFERROR(SUMIF(Nutzungsprofile!$B$6:$B$11,"Halle",Nutzungsprofile!$G$6:$G$11)*Kalender!D229/SUM(Kalender!$D$5:$D$370),0)+IFERROR(SUMIF(Nutzungsprofile!$B$6:$B$11,"Individuell",Nutzungsprofile!$G$6:$G$11)*Kalender!E229/SUM(Kalender!$E$5:$E$370),0))*Szenarien!$E$21,0)</f>
        <v>2.448</v>
      </c>
      <c r="D3889" s="13" t="n">
        <f aca="false">IF(Szenarien!$H$21="OK",(IFERROR(SUMIF(Nutzungsprofile!$B$17:$B$22,"Schulbetrieb",Nutzungsprofile!$G$17:$G$22)*Kalender!C229/SUM(Kalender!$C$5:$C$370),0)+IFERROR(SUMIF(Nutzungsprofile!$B$17:$B$22,"Halle",Nutzungsprofile!$G$17:$G$22)*Kalender!D229/SUM(Kalender!$D$5:$D$370),0)+IFERROR(SUMIF(Nutzungsprofile!$B$17:$B$22,"Individuell",Nutzungsprofile!$G$17:$G$22)*Kalender!E229/SUM(Kalender!$E$5:$E$370),0))*Szenarien!$D$21,0)</f>
        <v>0.89</v>
      </c>
      <c r="E3889" s="13" t="n">
        <f aca="false">IFERROR(MIN(C3889,Eingaben!$B$17)*Eingaben!$B$16,0)</f>
        <v>2.3256</v>
      </c>
      <c r="F3889" s="13" t="n">
        <f aca="false">IFERROR(E3889*Eingaben!$B$15,0)</f>
        <v>2.09304</v>
      </c>
      <c r="G3889" s="13" t="n">
        <f aca="false">IFERROR(IF(Kalender!A229="",0,J3888*(1-Eingaben!$B$20)),0)</f>
        <v>1.96</v>
      </c>
      <c r="H3889" s="13" t="n">
        <f aca="false">MIN(G3889,D3889)</f>
        <v>0.89</v>
      </c>
      <c r="I3889" s="13" t="n">
        <f aca="false">IFERROR(MIN(F3889*Eingaben!$B$19,MAX(0,D3889-H3889)),0)</f>
        <v>0</v>
      </c>
      <c r="J3889" s="13" t="n">
        <f aca="false">IFERROR(MIN(Eingaben!$B$18,MAX(0,F3889-I3889)),0)</f>
        <v>2</v>
      </c>
      <c r="K3889" s="13" t="n">
        <f aca="false">H3889+I3889</f>
        <v>0.89</v>
      </c>
      <c r="L3889" s="13" t="n">
        <f aca="false">MAX(0,D3889-K3889)</f>
        <v>0</v>
      </c>
      <c r="M3889" s="13" t="n">
        <f aca="false">MAX(0,F3889-I3889-J3889)</f>
        <v>0.0930399999999998</v>
      </c>
      <c r="N3889" s="13" t="n">
        <f aca="false">IF(Kalender!A229="",0,J3888-H3889)</f>
        <v>1.11</v>
      </c>
    </row>
    <row r="3890" customFormat="false" ht="16.4" hidden="false" customHeight="false" outlineLevel="0" collapsed="false">
      <c r="A3890" s="13" t="str">
        <f aca="false">""</f>
        <v/>
      </c>
      <c r="B3890" s="13" t="n">
        <f aca="false">226</f>
        <v>226</v>
      </c>
      <c r="C3890" s="13" t="n">
        <f aca="false">IF(Szenarien!$H$21="OK",(IFERROR(SUMIF(Nutzungsprofile!$B$6:$B$11,"Schulbetrieb",Nutzungsprofile!$G$6:$G$11)*Kalender!C230/SUM(Kalender!$C$5:$C$370),0)+IFERROR(SUMIF(Nutzungsprofile!$B$6:$B$11,"Halle",Nutzungsprofile!$G$6:$G$11)*Kalender!D230/SUM(Kalender!$D$5:$D$370),0)+IFERROR(SUMIF(Nutzungsprofile!$B$6:$B$11,"Individuell",Nutzungsprofile!$G$6:$G$11)*Kalender!E230/SUM(Kalender!$E$5:$E$370),0))*Szenarien!$E$21,0)</f>
        <v>2.448</v>
      </c>
      <c r="D3890" s="13" t="n">
        <f aca="false">IF(Szenarien!$H$21="OK",(IFERROR(SUMIF(Nutzungsprofile!$B$17:$B$22,"Schulbetrieb",Nutzungsprofile!$G$17:$G$22)*Kalender!C230/SUM(Kalender!$C$5:$C$370),0)+IFERROR(SUMIF(Nutzungsprofile!$B$17:$B$22,"Halle",Nutzungsprofile!$G$17:$G$22)*Kalender!D230/SUM(Kalender!$D$5:$D$370),0)+IFERROR(SUMIF(Nutzungsprofile!$B$17:$B$22,"Individuell",Nutzungsprofile!$G$17:$G$22)*Kalender!E230/SUM(Kalender!$E$5:$E$370),0))*Szenarien!$D$21,0)</f>
        <v>0.89</v>
      </c>
      <c r="E3890" s="13" t="n">
        <f aca="false">IFERROR(MIN(C3890,Eingaben!$B$17)*Eingaben!$B$16,0)</f>
        <v>2.3256</v>
      </c>
      <c r="F3890" s="13" t="n">
        <f aca="false">IFERROR(E3890*Eingaben!$B$15,0)</f>
        <v>2.09304</v>
      </c>
      <c r="G3890" s="13" t="n">
        <f aca="false">IFERROR(IF(Kalender!A230="",0,J3889*(1-Eingaben!$B$20)),0)</f>
        <v>1.96</v>
      </c>
      <c r="H3890" s="13" t="n">
        <f aca="false">MIN(G3890,D3890)</f>
        <v>0.89</v>
      </c>
      <c r="I3890" s="13" t="n">
        <f aca="false">IFERROR(MIN(F3890*Eingaben!$B$19,MAX(0,D3890-H3890)),0)</f>
        <v>0</v>
      </c>
      <c r="J3890" s="13" t="n">
        <f aca="false">IFERROR(MIN(Eingaben!$B$18,MAX(0,F3890-I3890)),0)</f>
        <v>2</v>
      </c>
      <c r="K3890" s="13" t="n">
        <f aca="false">H3890+I3890</f>
        <v>0.89</v>
      </c>
      <c r="L3890" s="13" t="n">
        <f aca="false">MAX(0,D3890-K3890)</f>
        <v>0</v>
      </c>
      <c r="M3890" s="13" t="n">
        <f aca="false">MAX(0,F3890-I3890-J3890)</f>
        <v>0.0930399999999998</v>
      </c>
      <c r="N3890" s="13" t="n">
        <f aca="false">IF(Kalender!A230="",0,J3889-H3890)</f>
        <v>1.11</v>
      </c>
    </row>
    <row r="3891" customFormat="false" ht="16.4" hidden="false" customHeight="false" outlineLevel="0" collapsed="false">
      <c r="A3891" s="13" t="str">
        <f aca="false">""</f>
        <v/>
      </c>
      <c r="B3891" s="13" t="n">
        <f aca="false">227</f>
        <v>227</v>
      </c>
      <c r="C3891" s="13" t="n">
        <f aca="false">IF(Szenarien!$H$21="OK",(IFERROR(SUMIF(Nutzungsprofile!$B$6:$B$11,"Schulbetrieb",Nutzungsprofile!$G$6:$G$11)*Kalender!C231/SUM(Kalender!$C$5:$C$370),0)+IFERROR(SUMIF(Nutzungsprofile!$B$6:$B$11,"Halle",Nutzungsprofile!$G$6:$G$11)*Kalender!D231/SUM(Kalender!$D$5:$D$370),0)+IFERROR(SUMIF(Nutzungsprofile!$B$6:$B$11,"Individuell",Nutzungsprofile!$G$6:$G$11)*Kalender!E231/SUM(Kalender!$E$5:$E$370),0))*Szenarien!$E$21,0)</f>
        <v>2.448</v>
      </c>
      <c r="D3891" s="13" t="n">
        <f aca="false">IF(Szenarien!$H$21="OK",(IFERROR(SUMIF(Nutzungsprofile!$B$17:$B$22,"Schulbetrieb",Nutzungsprofile!$G$17:$G$22)*Kalender!C231/SUM(Kalender!$C$5:$C$370),0)+IFERROR(SUMIF(Nutzungsprofile!$B$17:$B$22,"Halle",Nutzungsprofile!$G$17:$G$22)*Kalender!D231/SUM(Kalender!$D$5:$D$370),0)+IFERROR(SUMIF(Nutzungsprofile!$B$17:$B$22,"Individuell",Nutzungsprofile!$G$17:$G$22)*Kalender!E231/SUM(Kalender!$E$5:$E$370),0))*Szenarien!$D$21,0)</f>
        <v>0.89</v>
      </c>
      <c r="E3891" s="13" t="n">
        <f aca="false">IFERROR(MIN(C3891,Eingaben!$B$17)*Eingaben!$B$16,0)</f>
        <v>2.3256</v>
      </c>
      <c r="F3891" s="13" t="n">
        <f aca="false">IFERROR(E3891*Eingaben!$B$15,0)</f>
        <v>2.09304</v>
      </c>
      <c r="G3891" s="13" t="n">
        <f aca="false">IFERROR(IF(Kalender!A231="",0,J3890*(1-Eingaben!$B$20)),0)</f>
        <v>1.96</v>
      </c>
      <c r="H3891" s="13" t="n">
        <f aca="false">MIN(G3891,D3891)</f>
        <v>0.89</v>
      </c>
      <c r="I3891" s="13" t="n">
        <f aca="false">IFERROR(MIN(F3891*Eingaben!$B$19,MAX(0,D3891-H3891)),0)</f>
        <v>0</v>
      </c>
      <c r="J3891" s="13" t="n">
        <f aca="false">IFERROR(MIN(Eingaben!$B$18,MAX(0,F3891-I3891)),0)</f>
        <v>2</v>
      </c>
      <c r="K3891" s="13" t="n">
        <f aca="false">H3891+I3891</f>
        <v>0.89</v>
      </c>
      <c r="L3891" s="13" t="n">
        <f aca="false">MAX(0,D3891-K3891)</f>
        <v>0</v>
      </c>
      <c r="M3891" s="13" t="n">
        <f aca="false">MAX(0,F3891-I3891-J3891)</f>
        <v>0.0930399999999998</v>
      </c>
      <c r="N3891" s="13" t="n">
        <f aca="false">IF(Kalender!A231="",0,J3890-H3891)</f>
        <v>1.11</v>
      </c>
    </row>
    <row r="3892" customFormat="false" ht="16.4" hidden="false" customHeight="false" outlineLevel="0" collapsed="false">
      <c r="A3892" s="13" t="str">
        <f aca="false">""</f>
        <v/>
      </c>
      <c r="B3892" s="13" t="n">
        <f aca="false">228</f>
        <v>228</v>
      </c>
      <c r="C3892" s="13" t="n">
        <f aca="false">IF(Szenarien!$H$21="OK",(IFERROR(SUMIF(Nutzungsprofile!$B$6:$B$11,"Schulbetrieb",Nutzungsprofile!$G$6:$G$11)*Kalender!C232/SUM(Kalender!$C$5:$C$370),0)+IFERROR(SUMIF(Nutzungsprofile!$B$6:$B$11,"Halle",Nutzungsprofile!$G$6:$G$11)*Kalender!D232/SUM(Kalender!$D$5:$D$370),0)+IFERROR(SUMIF(Nutzungsprofile!$B$6:$B$11,"Individuell",Nutzungsprofile!$G$6:$G$11)*Kalender!E232/SUM(Kalender!$E$5:$E$370),0))*Szenarien!$E$21,0)</f>
        <v>2.448</v>
      </c>
      <c r="D3892" s="13" t="n">
        <f aca="false">IF(Szenarien!$H$21="OK",(IFERROR(SUMIF(Nutzungsprofile!$B$17:$B$22,"Schulbetrieb",Nutzungsprofile!$G$17:$G$22)*Kalender!C232/SUM(Kalender!$C$5:$C$370),0)+IFERROR(SUMIF(Nutzungsprofile!$B$17:$B$22,"Halle",Nutzungsprofile!$G$17:$G$22)*Kalender!D232/SUM(Kalender!$D$5:$D$370),0)+IFERROR(SUMIF(Nutzungsprofile!$B$17:$B$22,"Individuell",Nutzungsprofile!$G$17:$G$22)*Kalender!E232/SUM(Kalender!$E$5:$E$370),0))*Szenarien!$D$21,0)</f>
        <v>0.89</v>
      </c>
      <c r="E3892" s="13" t="n">
        <f aca="false">IFERROR(MIN(C3892,Eingaben!$B$17)*Eingaben!$B$16,0)</f>
        <v>2.3256</v>
      </c>
      <c r="F3892" s="13" t="n">
        <f aca="false">IFERROR(E3892*Eingaben!$B$15,0)</f>
        <v>2.09304</v>
      </c>
      <c r="G3892" s="13" t="n">
        <f aca="false">IFERROR(IF(Kalender!A232="",0,J3891*(1-Eingaben!$B$20)),0)</f>
        <v>1.96</v>
      </c>
      <c r="H3892" s="13" t="n">
        <f aca="false">MIN(G3892,D3892)</f>
        <v>0.89</v>
      </c>
      <c r="I3892" s="13" t="n">
        <f aca="false">IFERROR(MIN(F3892*Eingaben!$B$19,MAX(0,D3892-H3892)),0)</f>
        <v>0</v>
      </c>
      <c r="J3892" s="13" t="n">
        <f aca="false">IFERROR(MIN(Eingaben!$B$18,MAX(0,F3892-I3892)),0)</f>
        <v>2</v>
      </c>
      <c r="K3892" s="13" t="n">
        <f aca="false">H3892+I3892</f>
        <v>0.89</v>
      </c>
      <c r="L3892" s="13" t="n">
        <f aca="false">MAX(0,D3892-K3892)</f>
        <v>0</v>
      </c>
      <c r="M3892" s="13" t="n">
        <f aca="false">MAX(0,F3892-I3892-J3892)</f>
        <v>0.0930399999999998</v>
      </c>
      <c r="N3892" s="13" t="n">
        <f aca="false">IF(Kalender!A232="",0,J3891-H3892)</f>
        <v>1.11</v>
      </c>
    </row>
    <row r="3893" customFormat="false" ht="16.4" hidden="false" customHeight="false" outlineLevel="0" collapsed="false">
      <c r="A3893" s="13" t="str">
        <f aca="false">""</f>
        <v/>
      </c>
      <c r="B3893" s="13" t="n">
        <f aca="false">229</f>
        <v>229</v>
      </c>
      <c r="C3893" s="13" t="n">
        <f aca="false">IF(Szenarien!$H$21="OK",(IFERROR(SUMIF(Nutzungsprofile!$B$6:$B$11,"Schulbetrieb",Nutzungsprofile!$G$6:$G$11)*Kalender!C233/SUM(Kalender!$C$5:$C$370),0)+IFERROR(SUMIF(Nutzungsprofile!$B$6:$B$11,"Halle",Nutzungsprofile!$G$6:$G$11)*Kalender!D233/SUM(Kalender!$D$5:$D$370),0)+IFERROR(SUMIF(Nutzungsprofile!$B$6:$B$11,"Individuell",Nutzungsprofile!$G$6:$G$11)*Kalender!E233/SUM(Kalender!$E$5:$E$370),0))*Szenarien!$E$21,0)</f>
        <v>2.448</v>
      </c>
      <c r="D3893" s="13" t="n">
        <f aca="false">IF(Szenarien!$H$21="OK",(IFERROR(SUMIF(Nutzungsprofile!$B$17:$B$22,"Schulbetrieb",Nutzungsprofile!$G$17:$G$22)*Kalender!C233/SUM(Kalender!$C$5:$C$370),0)+IFERROR(SUMIF(Nutzungsprofile!$B$17:$B$22,"Halle",Nutzungsprofile!$G$17:$G$22)*Kalender!D233/SUM(Kalender!$D$5:$D$370),0)+IFERROR(SUMIF(Nutzungsprofile!$B$17:$B$22,"Individuell",Nutzungsprofile!$G$17:$G$22)*Kalender!E233/SUM(Kalender!$E$5:$E$370),0))*Szenarien!$D$21,0)</f>
        <v>0.89</v>
      </c>
      <c r="E3893" s="13" t="n">
        <f aca="false">IFERROR(MIN(C3893,Eingaben!$B$17)*Eingaben!$B$16,0)</f>
        <v>2.3256</v>
      </c>
      <c r="F3893" s="13" t="n">
        <f aca="false">IFERROR(E3893*Eingaben!$B$15,0)</f>
        <v>2.09304</v>
      </c>
      <c r="G3893" s="13" t="n">
        <f aca="false">IFERROR(IF(Kalender!A233="",0,J3892*(1-Eingaben!$B$20)),0)</f>
        <v>1.96</v>
      </c>
      <c r="H3893" s="13" t="n">
        <f aca="false">MIN(G3893,D3893)</f>
        <v>0.89</v>
      </c>
      <c r="I3893" s="13" t="n">
        <f aca="false">IFERROR(MIN(F3893*Eingaben!$B$19,MAX(0,D3893-H3893)),0)</f>
        <v>0</v>
      </c>
      <c r="J3893" s="13" t="n">
        <f aca="false">IFERROR(MIN(Eingaben!$B$18,MAX(0,F3893-I3893)),0)</f>
        <v>2</v>
      </c>
      <c r="K3893" s="13" t="n">
        <f aca="false">H3893+I3893</f>
        <v>0.89</v>
      </c>
      <c r="L3893" s="13" t="n">
        <f aca="false">MAX(0,D3893-K3893)</f>
        <v>0</v>
      </c>
      <c r="M3893" s="13" t="n">
        <f aca="false">MAX(0,F3893-I3893-J3893)</f>
        <v>0.0930399999999998</v>
      </c>
      <c r="N3893" s="13" t="n">
        <f aca="false">IF(Kalender!A233="",0,J3892-H3893)</f>
        <v>1.11</v>
      </c>
    </row>
    <row r="3894" customFormat="false" ht="16.4" hidden="false" customHeight="false" outlineLevel="0" collapsed="false">
      <c r="A3894" s="13" t="str">
        <f aca="false">""</f>
        <v/>
      </c>
      <c r="B3894" s="13" t="n">
        <f aca="false">230</f>
        <v>230</v>
      </c>
      <c r="C3894" s="13" t="n">
        <f aca="false">IF(Szenarien!$H$21="OK",(IFERROR(SUMIF(Nutzungsprofile!$B$6:$B$11,"Schulbetrieb",Nutzungsprofile!$G$6:$G$11)*Kalender!C234/SUM(Kalender!$C$5:$C$370),0)+IFERROR(SUMIF(Nutzungsprofile!$B$6:$B$11,"Halle",Nutzungsprofile!$G$6:$G$11)*Kalender!D234/SUM(Kalender!$D$5:$D$370),0)+IFERROR(SUMIF(Nutzungsprofile!$B$6:$B$11,"Individuell",Nutzungsprofile!$G$6:$G$11)*Kalender!E234/SUM(Kalender!$E$5:$E$370),0))*Szenarien!$E$21,0)</f>
        <v>2.448</v>
      </c>
      <c r="D3894" s="13" t="n">
        <f aca="false">IF(Szenarien!$H$21="OK",(IFERROR(SUMIF(Nutzungsprofile!$B$17:$B$22,"Schulbetrieb",Nutzungsprofile!$G$17:$G$22)*Kalender!C234/SUM(Kalender!$C$5:$C$370),0)+IFERROR(SUMIF(Nutzungsprofile!$B$17:$B$22,"Halle",Nutzungsprofile!$G$17:$G$22)*Kalender!D234/SUM(Kalender!$D$5:$D$370),0)+IFERROR(SUMIF(Nutzungsprofile!$B$17:$B$22,"Individuell",Nutzungsprofile!$G$17:$G$22)*Kalender!E234/SUM(Kalender!$E$5:$E$370),0))*Szenarien!$D$21,0)</f>
        <v>0.89</v>
      </c>
      <c r="E3894" s="13" t="n">
        <f aca="false">IFERROR(MIN(C3894,Eingaben!$B$17)*Eingaben!$B$16,0)</f>
        <v>2.3256</v>
      </c>
      <c r="F3894" s="13" t="n">
        <f aca="false">IFERROR(E3894*Eingaben!$B$15,0)</f>
        <v>2.09304</v>
      </c>
      <c r="G3894" s="13" t="n">
        <f aca="false">IFERROR(IF(Kalender!A234="",0,J3893*(1-Eingaben!$B$20)),0)</f>
        <v>1.96</v>
      </c>
      <c r="H3894" s="13" t="n">
        <f aca="false">MIN(G3894,D3894)</f>
        <v>0.89</v>
      </c>
      <c r="I3894" s="13" t="n">
        <f aca="false">IFERROR(MIN(F3894*Eingaben!$B$19,MAX(0,D3894-H3894)),0)</f>
        <v>0</v>
      </c>
      <c r="J3894" s="13" t="n">
        <f aca="false">IFERROR(MIN(Eingaben!$B$18,MAX(0,F3894-I3894)),0)</f>
        <v>2</v>
      </c>
      <c r="K3894" s="13" t="n">
        <f aca="false">H3894+I3894</f>
        <v>0.89</v>
      </c>
      <c r="L3894" s="13" t="n">
        <f aca="false">MAX(0,D3894-K3894)</f>
        <v>0</v>
      </c>
      <c r="M3894" s="13" t="n">
        <f aca="false">MAX(0,F3894-I3894-J3894)</f>
        <v>0.0930399999999998</v>
      </c>
      <c r="N3894" s="13" t="n">
        <f aca="false">IF(Kalender!A234="",0,J3893-H3894)</f>
        <v>1.11</v>
      </c>
    </row>
    <row r="3895" customFormat="false" ht="16.4" hidden="false" customHeight="false" outlineLevel="0" collapsed="false">
      <c r="A3895" s="13" t="str">
        <f aca="false">""</f>
        <v/>
      </c>
      <c r="B3895" s="13" t="n">
        <f aca="false">231</f>
        <v>231</v>
      </c>
      <c r="C3895" s="13" t="n">
        <f aca="false">IF(Szenarien!$H$21="OK",(IFERROR(SUMIF(Nutzungsprofile!$B$6:$B$11,"Schulbetrieb",Nutzungsprofile!$G$6:$G$11)*Kalender!C235/SUM(Kalender!$C$5:$C$370),0)+IFERROR(SUMIF(Nutzungsprofile!$B$6:$B$11,"Halle",Nutzungsprofile!$G$6:$G$11)*Kalender!D235/SUM(Kalender!$D$5:$D$370),0)+IFERROR(SUMIF(Nutzungsprofile!$B$6:$B$11,"Individuell",Nutzungsprofile!$G$6:$G$11)*Kalender!E235/SUM(Kalender!$E$5:$E$370),0))*Szenarien!$E$21,0)</f>
        <v>2.448</v>
      </c>
      <c r="D3895" s="13" t="n">
        <f aca="false">IF(Szenarien!$H$21="OK",(IFERROR(SUMIF(Nutzungsprofile!$B$17:$B$22,"Schulbetrieb",Nutzungsprofile!$G$17:$G$22)*Kalender!C235/SUM(Kalender!$C$5:$C$370),0)+IFERROR(SUMIF(Nutzungsprofile!$B$17:$B$22,"Halle",Nutzungsprofile!$G$17:$G$22)*Kalender!D235/SUM(Kalender!$D$5:$D$370),0)+IFERROR(SUMIF(Nutzungsprofile!$B$17:$B$22,"Individuell",Nutzungsprofile!$G$17:$G$22)*Kalender!E235/SUM(Kalender!$E$5:$E$370),0))*Szenarien!$D$21,0)</f>
        <v>0.89</v>
      </c>
      <c r="E3895" s="13" t="n">
        <f aca="false">IFERROR(MIN(C3895,Eingaben!$B$17)*Eingaben!$B$16,0)</f>
        <v>2.3256</v>
      </c>
      <c r="F3895" s="13" t="n">
        <f aca="false">IFERROR(E3895*Eingaben!$B$15,0)</f>
        <v>2.09304</v>
      </c>
      <c r="G3895" s="13" t="n">
        <f aca="false">IFERROR(IF(Kalender!A235="",0,J3894*(1-Eingaben!$B$20)),0)</f>
        <v>1.96</v>
      </c>
      <c r="H3895" s="13" t="n">
        <f aca="false">MIN(G3895,D3895)</f>
        <v>0.89</v>
      </c>
      <c r="I3895" s="13" t="n">
        <f aca="false">IFERROR(MIN(F3895*Eingaben!$B$19,MAX(0,D3895-H3895)),0)</f>
        <v>0</v>
      </c>
      <c r="J3895" s="13" t="n">
        <f aca="false">IFERROR(MIN(Eingaben!$B$18,MAX(0,F3895-I3895)),0)</f>
        <v>2</v>
      </c>
      <c r="K3895" s="13" t="n">
        <f aca="false">H3895+I3895</f>
        <v>0.89</v>
      </c>
      <c r="L3895" s="13" t="n">
        <f aca="false">MAX(0,D3895-K3895)</f>
        <v>0</v>
      </c>
      <c r="M3895" s="13" t="n">
        <f aca="false">MAX(0,F3895-I3895-J3895)</f>
        <v>0.0930399999999998</v>
      </c>
      <c r="N3895" s="13" t="n">
        <f aca="false">IF(Kalender!A235="",0,J3894-H3895)</f>
        <v>1.11</v>
      </c>
    </row>
    <row r="3896" customFormat="false" ht="16.4" hidden="false" customHeight="false" outlineLevel="0" collapsed="false">
      <c r="A3896" s="13" t="str">
        <f aca="false">""</f>
        <v/>
      </c>
      <c r="B3896" s="13" t="n">
        <f aca="false">232</f>
        <v>232</v>
      </c>
      <c r="C3896" s="13" t="n">
        <f aca="false">IF(Szenarien!$H$21="OK",(IFERROR(SUMIF(Nutzungsprofile!$B$6:$B$11,"Schulbetrieb",Nutzungsprofile!$G$6:$G$11)*Kalender!C236/SUM(Kalender!$C$5:$C$370),0)+IFERROR(SUMIF(Nutzungsprofile!$B$6:$B$11,"Halle",Nutzungsprofile!$G$6:$G$11)*Kalender!D236/SUM(Kalender!$D$5:$D$370),0)+IFERROR(SUMIF(Nutzungsprofile!$B$6:$B$11,"Individuell",Nutzungsprofile!$G$6:$G$11)*Kalender!E236/SUM(Kalender!$E$5:$E$370),0))*Szenarien!$E$21,0)</f>
        <v>2.448</v>
      </c>
      <c r="D3896" s="13" t="n">
        <f aca="false">IF(Szenarien!$H$21="OK",(IFERROR(SUMIF(Nutzungsprofile!$B$17:$B$22,"Schulbetrieb",Nutzungsprofile!$G$17:$G$22)*Kalender!C236/SUM(Kalender!$C$5:$C$370),0)+IFERROR(SUMIF(Nutzungsprofile!$B$17:$B$22,"Halle",Nutzungsprofile!$G$17:$G$22)*Kalender!D236/SUM(Kalender!$D$5:$D$370),0)+IFERROR(SUMIF(Nutzungsprofile!$B$17:$B$22,"Individuell",Nutzungsprofile!$G$17:$G$22)*Kalender!E236/SUM(Kalender!$E$5:$E$370),0))*Szenarien!$D$21,0)</f>
        <v>0.89</v>
      </c>
      <c r="E3896" s="13" t="n">
        <f aca="false">IFERROR(MIN(C3896,Eingaben!$B$17)*Eingaben!$B$16,0)</f>
        <v>2.3256</v>
      </c>
      <c r="F3896" s="13" t="n">
        <f aca="false">IFERROR(E3896*Eingaben!$B$15,0)</f>
        <v>2.09304</v>
      </c>
      <c r="G3896" s="13" t="n">
        <f aca="false">IFERROR(IF(Kalender!A236="",0,J3895*(1-Eingaben!$B$20)),0)</f>
        <v>1.96</v>
      </c>
      <c r="H3896" s="13" t="n">
        <f aca="false">MIN(G3896,D3896)</f>
        <v>0.89</v>
      </c>
      <c r="I3896" s="13" t="n">
        <f aca="false">IFERROR(MIN(F3896*Eingaben!$B$19,MAX(0,D3896-H3896)),0)</f>
        <v>0</v>
      </c>
      <c r="J3896" s="13" t="n">
        <f aca="false">IFERROR(MIN(Eingaben!$B$18,MAX(0,F3896-I3896)),0)</f>
        <v>2</v>
      </c>
      <c r="K3896" s="13" t="n">
        <f aca="false">H3896+I3896</f>
        <v>0.89</v>
      </c>
      <c r="L3896" s="13" t="n">
        <f aca="false">MAX(0,D3896-K3896)</f>
        <v>0</v>
      </c>
      <c r="M3896" s="13" t="n">
        <f aca="false">MAX(0,F3896-I3896-J3896)</f>
        <v>0.0930399999999998</v>
      </c>
      <c r="N3896" s="13" t="n">
        <f aca="false">IF(Kalender!A236="",0,J3895-H3896)</f>
        <v>1.11</v>
      </c>
    </row>
    <row r="3897" customFormat="false" ht="16.4" hidden="false" customHeight="false" outlineLevel="0" collapsed="false">
      <c r="A3897" s="13" t="str">
        <f aca="false">""</f>
        <v/>
      </c>
      <c r="B3897" s="13" t="n">
        <f aca="false">233</f>
        <v>233</v>
      </c>
      <c r="C3897" s="13" t="n">
        <f aca="false">IF(Szenarien!$H$21="OK",(IFERROR(SUMIF(Nutzungsprofile!$B$6:$B$11,"Schulbetrieb",Nutzungsprofile!$G$6:$G$11)*Kalender!C237/SUM(Kalender!$C$5:$C$370),0)+IFERROR(SUMIF(Nutzungsprofile!$B$6:$B$11,"Halle",Nutzungsprofile!$G$6:$G$11)*Kalender!D237/SUM(Kalender!$D$5:$D$370),0)+IFERROR(SUMIF(Nutzungsprofile!$B$6:$B$11,"Individuell",Nutzungsprofile!$G$6:$G$11)*Kalender!E237/SUM(Kalender!$E$5:$E$370),0))*Szenarien!$E$21,0)</f>
        <v>2.448</v>
      </c>
      <c r="D3897" s="13" t="n">
        <f aca="false">IF(Szenarien!$H$21="OK",(IFERROR(SUMIF(Nutzungsprofile!$B$17:$B$22,"Schulbetrieb",Nutzungsprofile!$G$17:$G$22)*Kalender!C237/SUM(Kalender!$C$5:$C$370),0)+IFERROR(SUMIF(Nutzungsprofile!$B$17:$B$22,"Halle",Nutzungsprofile!$G$17:$G$22)*Kalender!D237/SUM(Kalender!$D$5:$D$370),0)+IFERROR(SUMIF(Nutzungsprofile!$B$17:$B$22,"Individuell",Nutzungsprofile!$G$17:$G$22)*Kalender!E237/SUM(Kalender!$E$5:$E$370),0))*Szenarien!$D$21,0)</f>
        <v>0.89</v>
      </c>
      <c r="E3897" s="13" t="n">
        <f aca="false">IFERROR(MIN(C3897,Eingaben!$B$17)*Eingaben!$B$16,0)</f>
        <v>2.3256</v>
      </c>
      <c r="F3897" s="13" t="n">
        <f aca="false">IFERROR(E3897*Eingaben!$B$15,0)</f>
        <v>2.09304</v>
      </c>
      <c r="G3897" s="13" t="n">
        <f aca="false">IFERROR(IF(Kalender!A237="",0,J3896*(1-Eingaben!$B$20)),0)</f>
        <v>1.96</v>
      </c>
      <c r="H3897" s="13" t="n">
        <f aca="false">MIN(G3897,D3897)</f>
        <v>0.89</v>
      </c>
      <c r="I3897" s="13" t="n">
        <f aca="false">IFERROR(MIN(F3897*Eingaben!$B$19,MAX(0,D3897-H3897)),0)</f>
        <v>0</v>
      </c>
      <c r="J3897" s="13" t="n">
        <f aca="false">IFERROR(MIN(Eingaben!$B$18,MAX(0,F3897-I3897)),0)</f>
        <v>2</v>
      </c>
      <c r="K3897" s="13" t="n">
        <f aca="false">H3897+I3897</f>
        <v>0.89</v>
      </c>
      <c r="L3897" s="13" t="n">
        <f aca="false">MAX(0,D3897-K3897)</f>
        <v>0</v>
      </c>
      <c r="M3897" s="13" t="n">
        <f aca="false">MAX(0,F3897-I3897-J3897)</f>
        <v>0.0930399999999998</v>
      </c>
      <c r="N3897" s="13" t="n">
        <f aca="false">IF(Kalender!A237="",0,J3896-H3897)</f>
        <v>1.11</v>
      </c>
    </row>
    <row r="3898" customFormat="false" ht="16.4" hidden="false" customHeight="false" outlineLevel="0" collapsed="false">
      <c r="A3898" s="13" t="str">
        <f aca="false">""</f>
        <v/>
      </c>
      <c r="B3898" s="13" t="n">
        <f aca="false">234</f>
        <v>234</v>
      </c>
      <c r="C3898" s="13" t="n">
        <f aca="false">IF(Szenarien!$H$21="OK",(IFERROR(SUMIF(Nutzungsprofile!$B$6:$B$11,"Schulbetrieb",Nutzungsprofile!$G$6:$G$11)*Kalender!C238/SUM(Kalender!$C$5:$C$370),0)+IFERROR(SUMIF(Nutzungsprofile!$B$6:$B$11,"Halle",Nutzungsprofile!$G$6:$G$11)*Kalender!D238/SUM(Kalender!$D$5:$D$370),0)+IFERROR(SUMIF(Nutzungsprofile!$B$6:$B$11,"Individuell",Nutzungsprofile!$G$6:$G$11)*Kalender!E238/SUM(Kalender!$E$5:$E$370),0))*Szenarien!$E$21,0)</f>
        <v>2.448</v>
      </c>
      <c r="D3898" s="13" t="n">
        <f aca="false">IF(Szenarien!$H$21="OK",(IFERROR(SUMIF(Nutzungsprofile!$B$17:$B$22,"Schulbetrieb",Nutzungsprofile!$G$17:$G$22)*Kalender!C238/SUM(Kalender!$C$5:$C$370),0)+IFERROR(SUMIF(Nutzungsprofile!$B$17:$B$22,"Halle",Nutzungsprofile!$G$17:$G$22)*Kalender!D238/SUM(Kalender!$D$5:$D$370),0)+IFERROR(SUMIF(Nutzungsprofile!$B$17:$B$22,"Individuell",Nutzungsprofile!$G$17:$G$22)*Kalender!E238/SUM(Kalender!$E$5:$E$370),0))*Szenarien!$D$21,0)</f>
        <v>0.89</v>
      </c>
      <c r="E3898" s="13" t="n">
        <f aca="false">IFERROR(MIN(C3898,Eingaben!$B$17)*Eingaben!$B$16,0)</f>
        <v>2.3256</v>
      </c>
      <c r="F3898" s="13" t="n">
        <f aca="false">IFERROR(E3898*Eingaben!$B$15,0)</f>
        <v>2.09304</v>
      </c>
      <c r="G3898" s="13" t="n">
        <f aca="false">IFERROR(IF(Kalender!A238="",0,J3897*(1-Eingaben!$B$20)),0)</f>
        <v>1.96</v>
      </c>
      <c r="H3898" s="13" t="n">
        <f aca="false">MIN(G3898,D3898)</f>
        <v>0.89</v>
      </c>
      <c r="I3898" s="13" t="n">
        <f aca="false">IFERROR(MIN(F3898*Eingaben!$B$19,MAX(0,D3898-H3898)),0)</f>
        <v>0</v>
      </c>
      <c r="J3898" s="13" t="n">
        <f aca="false">IFERROR(MIN(Eingaben!$B$18,MAX(0,F3898-I3898)),0)</f>
        <v>2</v>
      </c>
      <c r="K3898" s="13" t="n">
        <f aca="false">H3898+I3898</f>
        <v>0.89</v>
      </c>
      <c r="L3898" s="13" t="n">
        <f aca="false">MAX(0,D3898-K3898)</f>
        <v>0</v>
      </c>
      <c r="M3898" s="13" t="n">
        <f aca="false">MAX(0,F3898-I3898-J3898)</f>
        <v>0.0930399999999998</v>
      </c>
      <c r="N3898" s="13" t="n">
        <f aca="false">IF(Kalender!A238="",0,J3897-H3898)</f>
        <v>1.11</v>
      </c>
    </row>
    <row r="3899" customFormat="false" ht="16.4" hidden="false" customHeight="false" outlineLevel="0" collapsed="false">
      <c r="A3899" s="13" t="str">
        <f aca="false">""</f>
        <v/>
      </c>
      <c r="B3899" s="13" t="n">
        <f aca="false">235</f>
        <v>235</v>
      </c>
      <c r="C3899" s="13" t="n">
        <f aca="false">IF(Szenarien!$H$21="OK",(IFERROR(SUMIF(Nutzungsprofile!$B$6:$B$11,"Schulbetrieb",Nutzungsprofile!$G$6:$G$11)*Kalender!C239/SUM(Kalender!$C$5:$C$370),0)+IFERROR(SUMIF(Nutzungsprofile!$B$6:$B$11,"Halle",Nutzungsprofile!$G$6:$G$11)*Kalender!D239/SUM(Kalender!$D$5:$D$370),0)+IFERROR(SUMIF(Nutzungsprofile!$B$6:$B$11,"Individuell",Nutzungsprofile!$G$6:$G$11)*Kalender!E239/SUM(Kalender!$E$5:$E$370),0))*Szenarien!$E$21,0)</f>
        <v>2.448</v>
      </c>
      <c r="D3899" s="13" t="n">
        <f aca="false">IF(Szenarien!$H$21="OK",(IFERROR(SUMIF(Nutzungsprofile!$B$17:$B$22,"Schulbetrieb",Nutzungsprofile!$G$17:$G$22)*Kalender!C239/SUM(Kalender!$C$5:$C$370),0)+IFERROR(SUMIF(Nutzungsprofile!$B$17:$B$22,"Halle",Nutzungsprofile!$G$17:$G$22)*Kalender!D239/SUM(Kalender!$D$5:$D$370),0)+IFERROR(SUMIF(Nutzungsprofile!$B$17:$B$22,"Individuell",Nutzungsprofile!$G$17:$G$22)*Kalender!E239/SUM(Kalender!$E$5:$E$370),0))*Szenarien!$D$21,0)</f>
        <v>0.89</v>
      </c>
      <c r="E3899" s="13" t="n">
        <f aca="false">IFERROR(MIN(C3899,Eingaben!$B$17)*Eingaben!$B$16,0)</f>
        <v>2.3256</v>
      </c>
      <c r="F3899" s="13" t="n">
        <f aca="false">IFERROR(E3899*Eingaben!$B$15,0)</f>
        <v>2.09304</v>
      </c>
      <c r="G3899" s="13" t="n">
        <f aca="false">IFERROR(IF(Kalender!A239="",0,J3898*(1-Eingaben!$B$20)),0)</f>
        <v>1.96</v>
      </c>
      <c r="H3899" s="13" t="n">
        <f aca="false">MIN(G3899,D3899)</f>
        <v>0.89</v>
      </c>
      <c r="I3899" s="13" t="n">
        <f aca="false">IFERROR(MIN(F3899*Eingaben!$B$19,MAX(0,D3899-H3899)),0)</f>
        <v>0</v>
      </c>
      <c r="J3899" s="13" t="n">
        <f aca="false">IFERROR(MIN(Eingaben!$B$18,MAX(0,F3899-I3899)),0)</f>
        <v>2</v>
      </c>
      <c r="K3899" s="13" t="n">
        <f aca="false">H3899+I3899</f>
        <v>0.89</v>
      </c>
      <c r="L3899" s="13" t="n">
        <f aca="false">MAX(0,D3899-K3899)</f>
        <v>0</v>
      </c>
      <c r="M3899" s="13" t="n">
        <f aca="false">MAX(0,F3899-I3899-J3899)</f>
        <v>0.0930399999999998</v>
      </c>
      <c r="N3899" s="13" t="n">
        <f aca="false">IF(Kalender!A239="",0,J3898-H3899)</f>
        <v>1.11</v>
      </c>
    </row>
    <row r="3900" customFormat="false" ht="16.4" hidden="false" customHeight="false" outlineLevel="0" collapsed="false">
      <c r="A3900" s="13" t="str">
        <f aca="false">""</f>
        <v/>
      </c>
      <c r="B3900" s="13" t="n">
        <f aca="false">236</f>
        <v>236</v>
      </c>
      <c r="C3900" s="13" t="n">
        <f aca="false">IF(Szenarien!$H$21="OK",(IFERROR(SUMIF(Nutzungsprofile!$B$6:$B$11,"Schulbetrieb",Nutzungsprofile!$G$6:$G$11)*Kalender!C240/SUM(Kalender!$C$5:$C$370),0)+IFERROR(SUMIF(Nutzungsprofile!$B$6:$B$11,"Halle",Nutzungsprofile!$G$6:$G$11)*Kalender!D240/SUM(Kalender!$D$5:$D$370),0)+IFERROR(SUMIF(Nutzungsprofile!$B$6:$B$11,"Individuell",Nutzungsprofile!$G$6:$G$11)*Kalender!E240/SUM(Kalender!$E$5:$E$370),0))*Szenarien!$E$21,0)</f>
        <v>2.448</v>
      </c>
      <c r="D3900" s="13" t="n">
        <f aca="false">IF(Szenarien!$H$21="OK",(IFERROR(SUMIF(Nutzungsprofile!$B$17:$B$22,"Schulbetrieb",Nutzungsprofile!$G$17:$G$22)*Kalender!C240/SUM(Kalender!$C$5:$C$370),0)+IFERROR(SUMIF(Nutzungsprofile!$B$17:$B$22,"Halle",Nutzungsprofile!$G$17:$G$22)*Kalender!D240/SUM(Kalender!$D$5:$D$370),0)+IFERROR(SUMIF(Nutzungsprofile!$B$17:$B$22,"Individuell",Nutzungsprofile!$G$17:$G$22)*Kalender!E240/SUM(Kalender!$E$5:$E$370),0))*Szenarien!$D$21,0)</f>
        <v>0.89</v>
      </c>
      <c r="E3900" s="13" t="n">
        <f aca="false">IFERROR(MIN(C3900,Eingaben!$B$17)*Eingaben!$B$16,0)</f>
        <v>2.3256</v>
      </c>
      <c r="F3900" s="13" t="n">
        <f aca="false">IFERROR(E3900*Eingaben!$B$15,0)</f>
        <v>2.09304</v>
      </c>
      <c r="G3900" s="13" t="n">
        <f aca="false">IFERROR(IF(Kalender!A240="",0,J3899*(1-Eingaben!$B$20)),0)</f>
        <v>1.96</v>
      </c>
      <c r="H3900" s="13" t="n">
        <f aca="false">MIN(G3900,D3900)</f>
        <v>0.89</v>
      </c>
      <c r="I3900" s="13" t="n">
        <f aca="false">IFERROR(MIN(F3900*Eingaben!$B$19,MAX(0,D3900-H3900)),0)</f>
        <v>0</v>
      </c>
      <c r="J3900" s="13" t="n">
        <f aca="false">IFERROR(MIN(Eingaben!$B$18,MAX(0,F3900-I3900)),0)</f>
        <v>2</v>
      </c>
      <c r="K3900" s="13" t="n">
        <f aca="false">H3900+I3900</f>
        <v>0.89</v>
      </c>
      <c r="L3900" s="13" t="n">
        <f aca="false">MAX(0,D3900-K3900)</f>
        <v>0</v>
      </c>
      <c r="M3900" s="13" t="n">
        <f aca="false">MAX(0,F3900-I3900-J3900)</f>
        <v>0.0930399999999998</v>
      </c>
      <c r="N3900" s="13" t="n">
        <f aca="false">IF(Kalender!A240="",0,J3899-H3900)</f>
        <v>1.11</v>
      </c>
    </row>
    <row r="3901" customFormat="false" ht="16.4" hidden="false" customHeight="false" outlineLevel="0" collapsed="false">
      <c r="A3901" s="13" t="str">
        <f aca="false">""</f>
        <v/>
      </c>
      <c r="B3901" s="13" t="n">
        <f aca="false">237</f>
        <v>237</v>
      </c>
      <c r="C3901" s="13" t="n">
        <f aca="false">IF(Szenarien!$H$21="OK",(IFERROR(SUMIF(Nutzungsprofile!$B$6:$B$11,"Schulbetrieb",Nutzungsprofile!$G$6:$G$11)*Kalender!C241/SUM(Kalender!$C$5:$C$370),0)+IFERROR(SUMIF(Nutzungsprofile!$B$6:$B$11,"Halle",Nutzungsprofile!$G$6:$G$11)*Kalender!D241/SUM(Kalender!$D$5:$D$370),0)+IFERROR(SUMIF(Nutzungsprofile!$B$6:$B$11,"Individuell",Nutzungsprofile!$G$6:$G$11)*Kalender!E241/SUM(Kalender!$E$5:$E$370),0))*Szenarien!$E$21,0)</f>
        <v>2.448</v>
      </c>
      <c r="D3901" s="13" t="n">
        <f aca="false">IF(Szenarien!$H$21="OK",(IFERROR(SUMIF(Nutzungsprofile!$B$17:$B$22,"Schulbetrieb",Nutzungsprofile!$G$17:$G$22)*Kalender!C241/SUM(Kalender!$C$5:$C$370),0)+IFERROR(SUMIF(Nutzungsprofile!$B$17:$B$22,"Halle",Nutzungsprofile!$G$17:$G$22)*Kalender!D241/SUM(Kalender!$D$5:$D$370),0)+IFERROR(SUMIF(Nutzungsprofile!$B$17:$B$22,"Individuell",Nutzungsprofile!$G$17:$G$22)*Kalender!E241/SUM(Kalender!$E$5:$E$370),0))*Szenarien!$D$21,0)</f>
        <v>0.89</v>
      </c>
      <c r="E3901" s="13" t="n">
        <f aca="false">IFERROR(MIN(C3901,Eingaben!$B$17)*Eingaben!$B$16,0)</f>
        <v>2.3256</v>
      </c>
      <c r="F3901" s="13" t="n">
        <f aca="false">IFERROR(E3901*Eingaben!$B$15,0)</f>
        <v>2.09304</v>
      </c>
      <c r="G3901" s="13" t="n">
        <f aca="false">IFERROR(IF(Kalender!A241="",0,J3900*(1-Eingaben!$B$20)),0)</f>
        <v>1.96</v>
      </c>
      <c r="H3901" s="13" t="n">
        <f aca="false">MIN(G3901,D3901)</f>
        <v>0.89</v>
      </c>
      <c r="I3901" s="13" t="n">
        <f aca="false">IFERROR(MIN(F3901*Eingaben!$B$19,MAX(0,D3901-H3901)),0)</f>
        <v>0</v>
      </c>
      <c r="J3901" s="13" t="n">
        <f aca="false">IFERROR(MIN(Eingaben!$B$18,MAX(0,F3901-I3901)),0)</f>
        <v>2</v>
      </c>
      <c r="K3901" s="13" t="n">
        <f aca="false">H3901+I3901</f>
        <v>0.89</v>
      </c>
      <c r="L3901" s="13" t="n">
        <f aca="false">MAX(0,D3901-K3901)</f>
        <v>0</v>
      </c>
      <c r="M3901" s="13" t="n">
        <f aca="false">MAX(0,F3901-I3901-J3901)</f>
        <v>0.0930399999999998</v>
      </c>
      <c r="N3901" s="13" t="n">
        <f aca="false">IF(Kalender!A241="",0,J3900-H3901)</f>
        <v>1.11</v>
      </c>
    </row>
    <row r="3902" customFormat="false" ht="16.4" hidden="false" customHeight="false" outlineLevel="0" collapsed="false">
      <c r="A3902" s="13" t="str">
        <f aca="false">""</f>
        <v/>
      </c>
      <c r="B3902" s="13" t="n">
        <f aca="false">238</f>
        <v>238</v>
      </c>
      <c r="C3902" s="13" t="n">
        <f aca="false">IF(Szenarien!$H$21="OK",(IFERROR(SUMIF(Nutzungsprofile!$B$6:$B$11,"Schulbetrieb",Nutzungsprofile!$G$6:$G$11)*Kalender!C242/SUM(Kalender!$C$5:$C$370),0)+IFERROR(SUMIF(Nutzungsprofile!$B$6:$B$11,"Halle",Nutzungsprofile!$G$6:$G$11)*Kalender!D242/SUM(Kalender!$D$5:$D$370),0)+IFERROR(SUMIF(Nutzungsprofile!$B$6:$B$11,"Individuell",Nutzungsprofile!$G$6:$G$11)*Kalender!E242/SUM(Kalender!$E$5:$E$370),0))*Szenarien!$E$21,0)</f>
        <v>2.448</v>
      </c>
      <c r="D3902" s="13" t="n">
        <f aca="false">IF(Szenarien!$H$21="OK",(IFERROR(SUMIF(Nutzungsprofile!$B$17:$B$22,"Schulbetrieb",Nutzungsprofile!$G$17:$G$22)*Kalender!C242/SUM(Kalender!$C$5:$C$370),0)+IFERROR(SUMIF(Nutzungsprofile!$B$17:$B$22,"Halle",Nutzungsprofile!$G$17:$G$22)*Kalender!D242/SUM(Kalender!$D$5:$D$370),0)+IFERROR(SUMIF(Nutzungsprofile!$B$17:$B$22,"Individuell",Nutzungsprofile!$G$17:$G$22)*Kalender!E242/SUM(Kalender!$E$5:$E$370),0))*Szenarien!$D$21,0)</f>
        <v>0.89</v>
      </c>
      <c r="E3902" s="13" t="n">
        <f aca="false">IFERROR(MIN(C3902,Eingaben!$B$17)*Eingaben!$B$16,0)</f>
        <v>2.3256</v>
      </c>
      <c r="F3902" s="13" t="n">
        <f aca="false">IFERROR(E3902*Eingaben!$B$15,0)</f>
        <v>2.09304</v>
      </c>
      <c r="G3902" s="13" t="n">
        <f aca="false">IFERROR(IF(Kalender!A242="",0,J3901*(1-Eingaben!$B$20)),0)</f>
        <v>1.96</v>
      </c>
      <c r="H3902" s="13" t="n">
        <f aca="false">MIN(G3902,D3902)</f>
        <v>0.89</v>
      </c>
      <c r="I3902" s="13" t="n">
        <f aca="false">IFERROR(MIN(F3902*Eingaben!$B$19,MAX(0,D3902-H3902)),0)</f>
        <v>0</v>
      </c>
      <c r="J3902" s="13" t="n">
        <f aca="false">IFERROR(MIN(Eingaben!$B$18,MAX(0,F3902-I3902)),0)</f>
        <v>2</v>
      </c>
      <c r="K3902" s="13" t="n">
        <f aca="false">H3902+I3902</f>
        <v>0.89</v>
      </c>
      <c r="L3902" s="13" t="n">
        <f aca="false">MAX(0,D3902-K3902)</f>
        <v>0</v>
      </c>
      <c r="M3902" s="13" t="n">
        <f aca="false">MAX(0,F3902-I3902-J3902)</f>
        <v>0.0930399999999998</v>
      </c>
      <c r="N3902" s="13" t="n">
        <f aca="false">IF(Kalender!A242="",0,J3901-H3902)</f>
        <v>1.11</v>
      </c>
    </row>
    <row r="3903" customFormat="false" ht="16.4" hidden="false" customHeight="false" outlineLevel="0" collapsed="false">
      <c r="A3903" s="13" t="str">
        <f aca="false">""</f>
        <v/>
      </c>
      <c r="B3903" s="13" t="n">
        <f aca="false">239</f>
        <v>239</v>
      </c>
      <c r="C3903" s="13" t="n">
        <f aca="false">IF(Szenarien!$H$21="OK",(IFERROR(SUMIF(Nutzungsprofile!$B$6:$B$11,"Schulbetrieb",Nutzungsprofile!$G$6:$G$11)*Kalender!C243/SUM(Kalender!$C$5:$C$370),0)+IFERROR(SUMIF(Nutzungsprofile!$B$6:$B$11,"Halle",Nutzungsprofile!$G$6:$G$11)*Kalender!D243/SUM(Kalender!$D$5:$D$370),0)+IFERROR(SUMIF(Nutzungsprofile!$B$6:$B$11,"Individuell",Nutzungsprofile!$G$6:$G$11)*Kalender!E243/SUM(Kalender!$E$5:$E$370),0))*Szenarien!$E$21,0)</f>
        <v>2.448</v>
      </c>
      <c r="D3903" s="13" t="n">
        <f aca="false">IF(Szenarien!$H$21="OK",(IFERROR(SUMIF(Nutzungsprofile!$B$17:$B$22,"Schulbetrieb",Nutzungsprofile!$G$17:$G$22)*Kalender!C243/SUM(Kalender!$C$5:$C$370),0)+IFERROR(SUMIF(Nutzungsprofile!$B$17:$B$22,"Halle",Nutzungsprofile!$G$17:$G$22)*Kalender!D243/SUM(Kalender!$D$5:$D$370),0)+IFERROR(SUMIF(Nutzungsprofile!$B$17:$B$22,"Individuell",Nutzungsprofile!$G$17:$G$22)*Kalender!E243/SUM(Kalender!$E$5:$E$370),0))*Szenarien!$D$21,0)</f>
        <v>0.89</v>
      </c>
      <c r="E3903" s="13" t="n">
        <f aca="false">IFERROR(MIN(C3903,Eingaben!$B$17)*Eingaben!$B$16,0)</f>
        <v>2.3256</v>
      </c>
      <c r="F3903" s="13" t="n">
        <f aca="false">IFERROR(E3903*Eingaben!$B$15,0)</f>
        <v>2.09304</v>
      </c>
      <c r="G3903" s="13" t="n">
        <f aca="false">IFERROR(IF(Kalender!A243="",0,J3902*(1-Eingaben!$B$20)),0)</f>
        <v>1.96</v>
      </c>
      <c r="H3903" s="13" t="n">
        <f aca="false">MIN(G3903,D3903)</f>
        <v>0.89</v>
      </c>
      <c r="I3903" s="13" t="n">
        <f aca="false">IFERROR(MIN(F3903*Eingaben!$B$19,MAX(0,D3903-H3903)),0)</f>
        <v>0</v>
      </c>
      <c r="J3903" s="13" t="n">
        <f aca="false">IFERROR(MIN(Eingaben!$B$18,MAX(0,F3903-I3903)),0)</f>
        <v>2</v>
      </c>
      <c r="K3903" s="13" t="n">
        <f aca="false">H3903+I3903</f>
        <v>0.89</v>
      </c>
      <c r="L3903" s="13" t="n">
        <f aca="false">MAX(0,D3903-K3903)</f>
        <v>0</v>
      </c>
      <c r="M3903" s="13" t="n">
        <f aca="false">MAX(0,F3903-I3903-J3903)</f>
        <v>0.0930399999999998</v>
      </c>
      <c r="N3903" s="13" t="n">
        <f aca="false">IF(Kalender!A243="",0,J3902-H3903)</f>
        <v>1.11</v>
      </c>
    </row>
    <row r="3904" customFormat="false" ht="16.4" hidden="false" customHeight="false" outlineLevel="0" collapsed="false">
      <c r="A3904" s="13" t="str">
        <f aca="false">""</f>
        <v/>
      </c>
      <c r="B3904" s="13" t="n">
        <f aca="false">240</f>
        <v>240</v>
      </c>
      <c r="C3904" s="13" t="n">
        <f aca="false">IF(Szenarien!$H$21="OK",(IFERROR(SUMIF(Nutzungsprofile!$B$6:$B$11,"Schulbetrieb",Nutzungsprofile!$G$6:$G$11)*Kalender!C244/SUM(Kalender!$C$5:$C$370),0)+IFERROR(SUMIF(Nutzungsprofile!$B$6:$B$11,"Halle",Nutzungsprofile!$G$6:$G$11)*Kalender!D244/SUM(Kalender!$D$5:$D$370),0)+IFERROR(SUMIF(Nutzungsprofile!$B$6:$B$11,"Individuell",Nutzungsprofile!$G$6:$G$11)*Kalender!E244/SUM(Kalender!$E$5:$E$370),0))*Szenarien!$E$21,0)</f>
        <v>2.448</v>
      </c>
      <c r="D3904" s="13" t="n">
        <f aca="false">IF(Szenarien!$H$21="OK",(IFERROR(SUMIF(Nutzungsprofile!$B$17:$B$22,"Schulbetrieb",Nutzungsprofile!$G$17:$G$22)*Kalender!C244/SUM(Kalender!$C$5:$C$370),0)+IFERROR(SUMIF(Nutzungsprofile!$B$17:$B$22,"Halle",Nutzungsprofile!$G$17:$G$22)*Kalender!D244/SUM(Kalender!$D$5:$D$370),0)+IFERROR(SUMIF(Nutzungsprofile!$B$17:$B$22,"Individuell",Nutzungsprofile!$G$17:$G$22)*Kalender!E244/SUM(Kalender!$E$5:$E$370),0))*Szenarien!$D$21,0)</f>
        <v>0.89</v>
      </c>
      <c r="E3904" s="13" t="n">
        <f aca="false">IFERROR(MIN(C3904,Eingaben!$B$17)*Eingaben!$B$16,0)</f>
        <v>2.3256</v>
      </c>
      <c r="F3904" s="13" t="n">
        <f aca="false">IFERROR(E3904*Eingaben!$B$15,0)</f>
        <v>2.09304</v>
      </c>
      <c r="G3904" s="13" t="n">
        <f aca="false">IFERROR(IF(Kalender!A244="",0,J3903*(1-Eingaben!$B$20)),0)</f>
        <v>1.96</v>
      </c>
      <c r="H3904" s="13" t="n">
        <f aca="false">MIN(G3904,D3904)</f>
        <v>0.89</v>
      </c>
      <c r="I3904" s="13" t="n">
        <f aca="false">IFERROR(MIN(F3904*Eingaben!$B$19,MAX(0,D3904-H3904)),0)</f>
        <v>0</v>
      </c>
      <c r="J3904" s="13" t="n">
        <f aca="false">IFERROR(MIN(Eingaben!$B$18,MAX(0,F3904-I3904)),0)</f>
        <v>2</v>
      </c>
      <c r="K3904" s="13" t="n">
        <f aca="false">H3904+I3904</f>
        <v>0.89</v>
      </c>
      <c r="L3904" s="13" t="n">
        <f aca="false">MAX(0,D3904-K3904)</f>
        <v>0</v>
      </c>
      <c r="M3904" s="13" t="n">
        <f aca="false">MAX(0,F3904-I3904-J3904)</f>
        <v>0.0930399999999998</v>
      </c>
      <c r="N3904" s="13" t="n">
        <f aca="false">IF(Kalender!A244="",0,J3903-H3904)</f>
        <v>1.11</v>
      </c>
    </row>
    <row r="3905" customFormat="false" ht="16.4" hidden="false" customHeight="false" outlineLevel="0" collapsed="false">
      <c r="A3905" s="13" t="str">
        <f aca="false">""</f>
        <v/>
      </c>
      <c r="B3905" s="13" t="n">
        <f aca="false">241</f>
        <v>241</v>
      </c>
      <c r="C3905" s="13" t="n">
        <f aca="false">IF(Szenarien!$H$21="OK",(IFERROR(SUMIF(Nutzungsprofile!$B$6:$B$11,"Schulbetrieb",Nutzungsprofile!$G$6:$G$11)*Kalender!C245/SUM(Kalender!$C$5:$C$370),0)+IFERROR(SUMIF(Nutzungsprofile!$B$6:$B$11,"Halle",Nutzungsprofile!$G$6:$G$11)*Kalender!D245/SUM(Kalender!$D$5:$D$370),0)+IFERROR(SUMIF(Nutzungsprofile!$B$6:$B$11,"Individuell",Nutzungsprofile!$G$6:$G$11)*Kalender!E245/SUM(Kalender!$E$5:$E$370),0))*Szenarien!$E$21,0)</f>
        <v>2.448</v>
      </c>
      <c r="D3905" s="13" t="n">
        <f aca="false">IF(Szenarien!$H$21="OK",(IFERROR(SUMIF(Nutzungsprofile!$B$17:$B$22,"Schulbetrieb",Nutzungsprofile!$G$17:$G$22)*Kalender!C245/SUM(Kalender!$C$5:$C$370),0)+IFERROR(SUMIF(Nutzungsprofile!$B$17:$B$22,"Halle",Nutzungsprofile!$G$17:$G$22)*Kalender!D245/SUM(Kalender!$D$5:$D$370),0)+IFERROR(SUMIF(Nutzungsprofile!$B$17:$B$22,"Individuell",Nutzungsprofile!$G$17:$G$22)*Kalender!E245/SUM(Kalender!$E$5:$E$370),0))*Szenarien!$D$21,0)</f>
        <v>0.89</v>
      </c>
      <c r="E3905" s="13" t="n">
        <f aca="false">IFERROR(MIN(C3905,Eingaben!$B$17)*Eingaben!$B$16,0)</f>
        <v>2.3256</v>
      </c>
      <c r="F3905" s="13" t="n">
        <f aca="false">IFERROR(E3905*Eingaben!$B$15,0)</f>
        <v>2.09304</v>
      </c>
      <c r="G3905" s="13" t="n">
        <f aca="false">IFERROR(IF(Kalender!A245="",0,J3904*(1-Eingaben!$B$20)),0)</f>
        <v>1.96</v>
      </c>
      <c r="H3905" s="13" t="n">
        <f aca="false">MIN(G3905,D3905)</f>
        <v>0.89</v>
      </c>
      <c r="I3905" s="13" t="n">
        <f aca="false">IFERROR(MIN(F3905*Eingaben!$B$19,MAX(0,D3905-H3905)),0)</f>
        <v>0</v>
      </c>
      <c r="J3905" s="13" t="n">
        <f aca="false">IFERROR(MIN(Eingaben!$B$18,MAX(0,F3905-I3905)),0)</f>
        <v>2</v>
      </c>
      <c r="K3905" s="13" t="n">
        <f aca="false">H3905+I3905</f>
        <v>0.89</v>
      </c>
      <c r="L3905" s="13" t="n">
        <f aca="false">MAX(0,D3905-K3905)</f>
        <v>0</v>
      </c>
      <c r="M3905" s="13" t="n">
        <f aca="false">MAX(0,F3905-I3905-J3905)</f>
        <v>0.0930399999999998</v>
      </c>
      <c r="N3905" s="13" t="n">
        <f aca="false">IF(Kalender!A245="",0,J3904-H3905)</f>
        <v>1.11</v>
      </c>
    </row>
    <row r="3906" customFormat="false" ht="16.4" hidden="false" customHeight="false" outlineLevel="0" collapsed="false">
      <c r="A3906" s="13" t="str">
        <f aca="false">""</f>
        <v/>
      </c>
      <c r="B3906" s="13" t="n">
        <f aca="false">242</f>
        <v>242</v>
      </c>
      <c r="C3906" s="13" t="n">
        <f aca="false">IF(Szenarien!$H$21="OK",(IFERROR(SUMIF(Nutzungsprofile!$B$6:$B$11,"Schulbetrieb",Nutzungsprofile!$G$6:$G$11)*Kalender!C246/SUM(Kalender!$C$5:$C$370),0)+IFERROR(SUMIF(Nutzungsprofile!$B$6:$B$11,"Halle",Nutzungsprofile!$G$6:$G$11)*Kalender!D246/SUM(Kalender!$D$5:$D$370),0)+IFERROR(SUMIF(Nutzungsprofile!$B$6:$B$11,"Individuell",Nutzungsprofile!$G$6:$G$11)*Kalender!E246/SUM(Kalender!$E$5:$E$370),0))*Szenarien!$E$21,0)</f>
        <v>2.448</v>
      </c>
      <c r="D3906" s="13" t="n">
        <f aca="false">IF(Szenarien!$H$21="OK",(IFERROR(SUMIF(Nutzungsprofile!$B$17:$B$22,"Schulbetrieb",Nutzungsprofile!$G$17:$G$22)*Kalender!C246/SUM(Kalender!$C$5:$C$370),0)+IFERROR(SUMIF(Nutzungsprofile!$B$17:$B$22,"Halle",Nutzungsprofile!$G$17:$G$22)*Kalender!D246/SUM(Kalender!$D$5:$D$370),0)+IFERROR(SUMIF(Nutzungsprofile!$B$17:$B$22,"Individuell",Nutzungsprofile!$G$17:$G$22)*Kalender!E246/SUM(Kalender!$E$5:$E$370),0))*Szenarien!$D$21,0)</f>
        <v>0.89</v>
      </c>
      <c r="E3906" s="13" t="n">
        <f aca="false">IFERROR(MIN(C3906,Eingaben!$B$17)*Eingaben!$B$16,0)</f>
        <v>2.3256</v>
      </c>
      <c r="F3906" s="13" t="n">
        <f aca="false">IFERROR(E3906*Eingaben!$B$15,0)</f>
        <v>2.09304</v>
      </c>
      <c r="G3906" s="13" t="n">
        <f aca="false">IFERROR(IF(Kalender!A246="",0,J3905*(1-Eingaben!$B$20)),0)</f>
        <v>1.96</v>
      </c>
      <c r="H3906" s="13" t="n">
        <f aca="false">MIN(G3906,D3906)</f>
        <v>0.89</v>
      </c>
      <c r="I3906" s="13" t="n">
        <f aca="false">IFERROR(MIN(F3906*Eingaben!$B$19,MAX(0,D3906-H3906)),0)</f>
        <v>0</v>
      </c>
      <c r="J3906" s="13" t="n">
        <f aca="false">IFERROR(MIN(Eingaben!$B$18,MAX(0,F3906-I3906)),0)</f>
        <v>2</v>
      </c>
      <c r="K3906" s="13" t="n">
        <f aca="false">H3906+I3906</f>
        <v>0.89</v>
      </c>
      <c r="L3906" s="13" t="n">
        <f aca="false">MAX(0,D3906-K3906)</f>
        <v>0</v>
      </c>
      <c r="M3906" s="13" t="n">
        <f aca="false">MAX(0,F3906-I3906-J3906)</f>
        <v>0.0930399999999998</v>
      </c>
      <c r="N3906" s="13" t="n">
        <f aca="false">IF(Kalender!A246="",0,J3905-H3906)</f>
        <v>1.11</v>
      </c>
    </row>
    <row r="3907" customFormat="false" ht="16.4" hidden="false" customHeight="false" outlineLevel="0" collapsed="false">
      <c r="A3907" s="13" t="str">
        <f aca="false">""</f>
        <v/>
      </c>
      <c r="B3907" s="13" t="n">
        <f aca="false">243</f>
        <v>243</v>
      </c>
      <c r="C3907" s="13" t="n">
        <f aca="false">IF(Szenarien!$H$21="OK",(IFERROR(SUMIF(Nutzungsprofile!$B$6:$B$11,"Schulbetrieb",Nutzungsprofile!$G$6:$G$11)*Kalender!C247/SUM(Kalender!$C$5:$C$370),0)+IFERROR(SUMIF(Nutzungsprofile!$B$6:$B$11,"Halle",Nutzungsprofile!$G$6:$G$11)*Kalender!D247/SUM(Kalender!$D$5:$D$370),0)+IFERROR(SUMIF(Nutzungsprofile!$B$6:$B$11,"Individuell",Nutzungsprofile!$G$6:$G$11)*Kalender!E247/SUM(Kalender!$E$5:$E$370),0))*Szenarien!$E$21,0)</f>
        <v>2.448</v>
      </c>
      <c r="D3907" s="13" t="n">
        <f aca="false">IF(Szenarien!$H$21="OK",(IFERROR(SUMIF(Nutzungsprofile!$B$17:$B$22,"Schulbetrieb",Nutzungsprofile!$G$17:$G$22)*Kalender!C247/SUM(Kalender!$C$5:$C$370),0)+IFERROR(SUMIF(Nutzungsprofile!$B$17:$B$22,"Halle",Nutzungsprofile!$G$17:$G$22)*Kalender!D247/SUM(Kalender!$D$5:$D$370),0)+IFERROR(SUMIF(Nutzungsprofile!$B$17:$B$22,"Individuell",Nutzungsprofile!$G$17:$G$22)*Kalender!E247/SUM(Kalender!$E$5:$E$370),0))*Szenarien!$D$21,0)</f>
        <v>0.89</v>
      </c>
      <c r="E3907" s="13" t="n">
        <f aca="false">IFERROR(MIN(C3907,Eingaben!$B$17)*Eingaben!$B$16,0)</f>
        <v>2.3256</v>
      </c>
      <c r="F3907" s="13" t="n">
        <f aca="false">IFERROR(E3907*Eingaben!$B$15,0)</f>
        <v>2.09304</v>
      </c>
      <c r="G3907" s="13" t="n">
        <f aca="false">IFERROR(IF(Kalender!A247="",0,J3906*(1-Eingaben!$B$20)),0)</f>
        <v>1.96</v>
      </c>
      <c r="H3907" s="13" t="n">
        <f aca="false">MIN(G3907,D3907)</f>
        <v>0.89</v>
      </c>
      <c r="I3907" s="13" t="n">
        <f aca="false">IFERROR(MIN(F3907*Eingaben!$B$19,MAX(0,D3907-H3907)),0)</f>
        <v>0</v>
      </c>
      <c r="J3907" s="13" t="n">
        <f aca="false">IFERROR(MIN(Eingaben!$B$18,MAX(0,F3907-I3907)),0)</f>
        <v>2</v>
      </c>
      <c r="K3907" s="13" t="n">
        <f aca="false">H3907+I3907</f>
        <v>0.89</v>
      </c>
      <c r="L3907" s="13" t="n">
        <f aca="false">MAX(0,D3907-K3907)</f>
        <v>0</v>
      </c>
      <c r="M3907" s="13" t="n">
        <f aca="false">MAX(0,F3907-I3907-J3907)</f>
        <v>0.0930399999999998</v>
      </c>
      <c r="N3907" s="13" t="n">
        <f aca="false">IF(Kalender!A247="",0,J3906-H3907)</f>
        <v>1.11</v>
      </c>
    </row>
    <row r="3908" customFormat="false" ht="16.4" hidden="false" customHeight="false" outlineLevel="0" collapsed="false">
      <c r="A3908" s="13" t="str">
        <f aca="false">""</f>
        <v/>
      </c>
      <c r="B3908" s="13" t="n">
        <f aca="false">244</f>
        <v>244</v>
      </c>
      <c r="C3908" s="13" t="n">
        <f aca="false">IF(Szenarien!$H$21="OK",(IFERROR(SUMIF(Nutzungsprofile!$B$6:$B$11,"Schulbetrieb",Nutzungsprofile!$G$6:$G$11)*Kalender!C248/SUM(Kalender!$C$5:$C$370),0)+IFERROR(SUMIF(Nutzungsprofile!$B$6:$B$11,"Halle",Nutzungsprofile!$G$6:$G$11)*Kalender!D248/SUM(Kalender!$D$5:$D$370),0)+IFERROR(SUMIF(Nutzungsprofile!$B$6:$B$11,"Individuell",Nutzungsprofile!$G$6:$G$11)*Kalender!E248/SUM(Kalender!$E$5:$E$370),0))*Szenarien!$E$21,0)</f>
        <v>3.528</v>
      </c>
      <c r="D3908" s="13" t="n">
        <f aca="false">IF(Szenarien!$H$21="OK",(IFERROR(SUMIF(Nutzungsprofile!$B$17:$B$22,"Schulbetrieb",Nutzungsprofile!$G$17:$G$22)*Kalender!C248/SUM(Kalender!$C$5:$C$370),0)+IFERROR(SUMIF(Nutzungsprofile!$B$17:$B$22,"Halle",Nutzungsprofile!$G$17:$G$22)*Kalender!D248/SUM(Kalender!$D$5:$D$370),0)+IFERROR(SUMIF(Nutzungsprofile!$B$17:$B$22,"Individuell",Nutzungsprofile!$G$17:$G$22)*Kalender!E248/SUM(Kalender!$E$5:$E$370),0))*Szenarien!$D$21,0)</f>
        <v>4.94</v>
      </c>
      <c r="E3908" s="13" t="n">
        <f aca="false">IFERROR(MIN(C3908,Eingaben!$B$17)*Eingaben!$B$16,0)</f>
        <v>3.3516</v>
      </c>
      <c r="F3908" s="13" t="n">
        <f aca="false">IFERROR(E3908*Eingaben!$B$15,0)</f>
        <v>3.01644</v>
      </c>
      <c r="G3908" s="13" t="n">
        <f aca="false">IFERROR(IF(Kalender!A248="",0,J3907*(1-Eingaben!$B$20)),0)</f>
        <v>1.96</v>
      </c>
      <c r="H3908" s="13" t="n">
        <f aca="false">MIN(G3908,D3908)</f>
        <v>1.96</v>
      </c>
      <c r="I3908" s="13" t="n">
        <f aca="false">IFERROR(MIN(F3908*Eingaben!$B$19,MAX(0,D3908-H3908)),0)</f>
        <v>2.111508</v>
      </c>
      <c r="J3908" s="13" t="n">
        <f aca="false">IFERROR(MIN(Eingaben!$B$18,MAX(0,F3908-I3908)),0)</f>
        <v>0.904932</v>
      </c>
      <c r="K3908" s="13" t="n">
        <f aca="false">H3908+I3908</f>
        <v>4.071508</v>
      </c>
      <c r="L3908" s="13" t="n">
        <f aca="false">MAX(0,D3908-K3908)</f>
        <v>0.868492</v>
      </c>
      <c r="M3908" s="13" t="n">
        <f aca="false">MAX(0,F3908-I3908-J3908)</f>
        <v>0</v>
      </c>
      <c r="N3908" s="13" t="n">
        <f aca="false">IF(Kalender!A248="",0,J3907-H3908)</f>
        <v>0.04</v>
      </c>
    </row>
    <row r="3909" customFormat="false" ht="16.4" hidden="false" customHeight="false" outlineLevel="0" collapsed="false">
      <c r="A3909" s="13" t="str">
        <f aca="false">""</f>
        <v/>
      </c>
      <c r="B3909" s="13" t="n">
        <f aca="false">245</f>
        <v>245</v>
      </c>
      <c r="C3909" s="13" t="n">
        <f aca="false">IF(Szenarien!$H$21="OK",(IFERROR(SUMIF(Nutzungsprofile!$B$6:$B$11,"Schulbetrieb",Nutzungsprofile!$G$6:$G$11)*Kalender!C249/SUM(Kalender!$C$5:$C$370),0)+IFERROR(SUMIF(Nutzungsprofile!$B$6:$B$11,"Halle",Nutzungsprofile!$G$6:$G$11)*Kalender!D249/SUM(Kalender!$D$5:$D$370),0)+IFERROR(SUMIF(Nutzungsprofile!$B$6:$B$11,"Individuell",Nutzungsprofile!$G$6:$G$11)*Kalender!E249/SUM(Kalender!$E$5:$E$370),0))*Szenarien!$E$21,0)</f>
        <v>3.528</v>
      </c>
      <c r="D3909" s="13" t="n">
        <f aca="false">IF(Szenarien!$H$21="OK",(IFERROR(SUMIF(Nutzungsprofile!$B$17:$B$22,"Schulbetrieb",Nutzungsprofile!$G$17:$G$22)*Kalender!C249/SUM(Kalender!$C$5:$C$370),0)+IFERROR(SUMIF(Nutzungsprofile!$B$17:$B$22,"Halle",Nutzungsprofile!$G$17:$G$22)*Kalender!D249/SUM(Kalender!$D$5:$D$370),0)+IFERROR(SUMIF(Nutzungsprofile!$B$17:$B$22,"Individuell",Nutzungsprofile!$G$17:$G$22)*Kalender!E249/SUM(Kalender!$E$5:$E$370),0))*Szenarien!$D$21,0)</f>
        <v>4.94</v>
      </c>
      <c r="E3909" s="13" t="n">
        <f aca="false">IFERROR(MIN(C3909,Eingaben!$B$17)*Eingaben!$B$16,0)</f>
        <v>3.3516</v>
      </c>
      <c r="F3909" s="13" t="n">
        <f aca="false">IFERROR(E3909*Eingaben!$B$15,0)</f>
        <v>3.01644</v>
      </c>
      <c r="G3909" s="13" t="n">
        <f aca="false">IFERROR(IF(Kalender!A249="",0,J3908*(1-Eingaben!$B$20)),0)</f>
        <v>0.88683336</v>
      </c>
      <c r="H3909" s="13" t="n">
        <f aca="false">MIN(G3909,D3909)</f>
        <v>0.88683336</v>
      </c>
      <c r="I3909" s="13" t="n">
        <f aca="false">IFERROR(MIN(F3909*Eingaben!$B$19,MAX(0,D3909-H3909)),0)</f>
        <v>2.111508</v>
      </c>
      <c r="J3909" s="13" t="n">
        <f aca="false">IFERROR(MIN(Eingaben!$B$18,MAX(0,F3909-I3909)),0)</f>
        <v>0.904932</v>
      </c>
      <c r="K3909" s="13" t="n">
        <f aca="false">H3909+I3909</f>
        <v>2.99834136</v>
      </c>
      <c r="L3909" s="13" t="n">
        <f aca="false">MAX(0,D3909-K3909)</f>
        <v>1.94165864</v>
      </c>
      <c r="M3909" s="13" t="n">
        <f aca="false">MAX(0,F3909-I3909-J3909)</f>
        <v>0</v>
      </c>
      <c r="N3909" s="13" t="n">
        <f aca="false">IF(Kalender!A249="",0,J3908-H3909)</f>
        <v>0.0180986400000001</v>
      </c>
    </row>
    <row r="3910" customFormat="false" ht="16.4" hidden="false" customHeight="false" outlineLevel="0" collapsed="false">
      <c r="A3910" s="13" t="str">
        <f aca="false">""</f>
        <v/>
      </c>
      <c r="B3910" s="13" t="n">
        <f aca="false">246</f>
        <v>246</v>
      </c>
      <c r="C3910" s="13" t="n">
        <f aca="false">IF(Szenarien!$H$21="OK",(IFERROR(SUMIF(Nutzungsprofile!$B$6:$B$11,"Schulbetrieb",Nutzungsprofile!$G$6:$G$11)*Kalender!C250/SUM(Kalender!$C$5:$C$370),0)+IFERROR(SUMIF(Nutzungsprofile!$B$6:$B$11,"Halle",Nutzungsprofile!$G$6:$G$11)*Kalender!D250/SUM(Kalender!$D$5:$D$370),0)+IFERROR(SUMIF(Nutzungsprofile!$B$6:$B$11,"Individuell",Nutzungsprofile!$G$6:$G$11)*Kalender!E250/SUM(Kalender!$E$5:$E$370),0))*Szenarien!$E$21,0)</f>
        <v>3.528</v>
      </c>
      <c r="D3910" s="13" t="n">
        <f aca="false">IF(Szenarien!$H$21="OK",(IFERROR(SUMIF(Nutzungsprofile!$B$17:$B$22,"Schulbetrieb",Nutzungsprofile!$G$17:$G$22)*Kalender!C250/SUM(Kalender!$C$5:$C$370),0)+IFERROR(SUMIF(Nutzungsprofile!$B$17:$B$22,"Halle",Nutzungsprofile!$G$17:$G$22)*Kalender!D250/SUM(Kalender!$D$5:$D$370),0)+IFERROR(SUMIF(Nutzungsprofile!$B$17:$B$22,"Individuell",Nutzungsprofile!$G$17:$G$22)*Kalender!E250/SUM(Kalender!$E$5:$E$370),0))*Szenarien!$D$21,0)</f>
        <v>4.94</v>
      </c>
      <c r="E3910" s="13" t="n">
        <f aca="false">IFERROR(MIN(C3910,Eingaben!$B$17)*Eingaben!$B$16,0)</f>
        <v>3.3516</v>
      </c>
      <c r="F3910" s="13" t="n">
        <f aca="false">IFERROR(E3910*Eingaben!$B$15,0)</f>
        <v>3.01644</v>
      </c>
      <c r="G3910" s="13" t="n">
        <f aca="false">IFERROR(IF(Kalender!A250="",0,J3909*(1-Eingaben!$B$20)),0)</f>
        <v>0.88683336</v>
      </c>
      <c r="H3910" s="13" t="n">
        <f aca="false">MIN(G3910,D3910)</f>
        <v>0.88683336</v>
      </c>
      <c r="I3910" s="13" t="n">
        <f aca="false">IFERROR(MIN(F3910*Eingaben!$B$19,MAX(0,D3910-H3910)),0)</f>
        <v>2.111508</v>
      </c>
      <c r="J3910" s="13" t="n">
        <f aca="false">IFERROR(MIN(Eingaben!$B$18,MAX(0,F3910-I3910)),0)</f>
        <v>0.904932</v>
      </c>
      <c r="K3910" s="13" t="n">
        <f aca="false">H3910+I3910</f>
        <v>2.99834136</v>
      </c>
      <c r="L3910" s="13" t="n">
        <f aca="false">MAX(0,D3910-K3910)</f>
        <v>1.94165864</v>
      </c>
      <c r="M3910" s="13" t="n">
        <f aca="false">MAX(0,F3910-I3910-J3910)</f>
        <v>0</v>
      </c>
      <c r="N3910" s="13" t="n">
        <f aca="false">IF(Kalender!A250="",0,J3909-H3910)</f>
        <v>0.0180986400000001</v>
      </c>
    </row>
    <row r="3911" customFormat="false" ht="16.4" hidden="false" customHeight="false" outlineLevel="0" collapsed="false">
      <c r="A3911" s="13" t="str">
        <f aca="false">""</f>
        <v/>
      </c>
      <c r="B3911" s="13" t="n">
        <f aca="false">247</f>
        <v>247</v>
      </c>
      <c r="C3911" s="13" t="n">
        <f aca="false">IF(Szenarien!$H$21="OK",(IFERROR(SUMIF(Nutzungsprofile!$B$6:$B$11,"Schulbetrieb",Nutzungsprofile!$G$6:$G$11)*Kalender!C251/SUM(Kalender!$C$5:$C$370),0)+IFERROR(SUMIF(Nutzungsprofile!$B$6:$B$11,"Halle",Nutzungsprofile!$G$6:$G$11)*Kalender!D251/SUM(Kalender!$D$5:$D$370),0)+IFERROR(SUMIF(Nutzungsprofile!$B$6:$B$11,"Individuell",Nutzungsprofile!$G$6:$G$11)*Kalender!E251/SUM(Kalender!$E$5:$E$370),0))*Szenarien!$E$21,0)</f>
        <v>3.528</v>
      </c>
      <c r="D3911" s="13" t="n">
        <f aca="false">IF(Szenarien!$H$21="OK",(IFERROR(SUMIF(Nutzungsprofile!$B$17:$B$22,"Schulbetrieb",Nutzungsprofile!$G$17:$G$22)*Kalender!C251/SUM(Kalender!$C$5:$C$370),0)+IFERROR(SUMIF(Nutzungsprofile!$B$17:$B$22,"Halle",Nutzungsprofile!$G$17:$G$22)*Kalender!D251/SUM(Kalender!$D$5:$D$370),0)+IFERROR(SUMIF(Nutzungsprofile!$B$17:$B$22,"Individuell",Nutzungsprofile!$G$17:$G$22)*Kalender!E251/SUM(Kalender!$E$5:$E$370),0))*Szenarien!$D$21,0)</f>
        <v>4.94</v>
      </c>
      <c r="E3911" s="13" t="n">
        <f aca="false">IFERROR(MIN(C3911,Eingaben!$B$17)*Eingaben!$B$16,0)</f>
        <v>3.3516</v>
      </c>
      <c r="F3911" s="13" t="n">
        <f aca="false">IFERROR(E3911*Eingaben!$B$15,0)</f>
        <v>3.01644</v>
      </c>
      <c r="G3911" s="13" t="n">
        <f aca="false">IFERROR(IF(Kalender!A251="",0,J3910*(1-Eingaben!$B$20)),0)</f>
        <v>0.88683336</v>
      </c>
      <c r="H3911" s="13" t="n">
        <f aca="false">MIN(G3911,D3911)</f>
        <v>0.88683336</v>
      </c>
      <c r="I3911" s="13" t="n">
        <f aca="false">IFERROR(MIN(F3911*Eingaben!$B$19,MAX(0,D3911-H3911)),0)</f>
        <v>2.111508</v>
      </c>
      <c r="J3911" s="13" t="n">
        <f aca="false">IFERROR(MIN(Eingaben!$B$18,MAX(0,F3911-I3911)),0)</f>
        <v>0.904932</v>
      </c>
      <c r="K3911" s="13" t="n">
        <f aca="false">H3911+I3911</f>
        <v>2.99834136</v>
      </c>
      <c r="L3911" s="13" t="n">
        <f aca="false">MAX(0,D3911-K3911)</f>
        <v>1.94165864</v>
      </c>
      <c r="M3911" s="13" t="n">
        <f aca="false">MAX(0,F3911-I3911-J3911)</f>
        <v>0</v>
      </c>
      <c r="N3911" s="13" t="n">
        <f aca="false">IF(Kalender!A251="",0,J3910-H3911)</f>
        <v>0.0180986400000001</v>
      </c>
    </row>
    <row r="3912" customFormat="false" ht="16.4" hidden="false" customHeight="false" outlineLevel="0" collapsed="false">
      <c r="A3912" s="13" t="str">
        <f aca="false">""</f>
        <v/>
      </c>
      <c r="B3912" s="13" t="n">
        <f aca="false">248</f>
        <v>248</v>
      </c>
      <c r="C3912" s="13" t="n">
        <f aca="false">IF(Szenarien!$H$21="OK",(IFERROR(SUMIF(Nutzungsprofile!$B$6:$B$11,"Schulbetrieb",Nutzungsprofile!$G$6:$G$11)*Kalender!C252/SUM(Kalender!$C$5:$C$370),0)+IFERROR(SUMIF(Nutzungsprofile!$B$6:$B$11,"Halle",Nutzungsprofile!$G$6:$G$11)*Kalender!D252/SUM(Kalender!$D$5:$D$370),0)+IFERROR(SUMIF(Nutzungsprofile!$B$6:$B$11,"Individuell",Nutzungsprofile!$G$6:$G$11)*Kalender!E252/SUM(Kalender!$E$5:$E$370),0))*Szenarien!$E$21,0)</f>
        <v>2.448</v>
      </c>
      <c r="D3912" s="13" t="n">
        <f aca="false">IF(Szenarien!$H$21="OK",(IFERROR(SUMIF(Nutzungsprofile!$B$17:$B$22,"Schulbetrieb",Nutzungsprofile!$G$17:$G$22)*Kalender!C252/SUM(Kalender!$C$5:$C$370),0)+IFERROR(SUMIF(Nutzungsprofile!$B$17:$B$22,"Halle",Nutzungsprofile!$G$17:$G$22)*Kalender!D252/SUM(Kalender!$D$5:$D$370),0)+IFERROR(SUMIF(Nutzungsprofile!$B$17:$B$22,"Individuell",Nutzungsprofile!$G$17:$G$22)*Kalender!E252/SUM(Kalender!$E$5:$E$370),0))*Szenarien!$D$21,0)</f>
        <v>0.89</v>
      </c>
      <c r="E3912" s="13" t="n">
        <f aca="false">IFERROR(MIN(C3912,Eingaben!$B$17)*Eingaben!$B$16,0)</f>
        <v>2.3256</v>
      </c>
      <c r="F3912" s="13" t="n">
        <f aca="false">IFERROR(E3912*Eingaben!$B$15,0)</f>
        <v>2.09304</v>
      </c>
      <c r="G3912" s="13" t="n">
        <f aca="false">IFERROR(IF(Kalender!A252="",0,J3911*(1-Eingaben!$B$20)),0)</f>
        <v>0.88683336</v>
      </c>
      <c r="H3912" s="13" t="n">
        <f aca="false">MIN(G3912,D3912)</f>
        <v>0.88683336</v>
      </c>
      <c r="I3912" s="13" t="n">
        <f aca="false">IFERROR(MIN(F3912*Eingaben!$B$19,MAX(0,D3912-H3912)),0)</f>
        <v>0.00316664</v>
      </c>
      <c r="J3912" s="13" t="n">
        <f aca="false">IFERROR(MIN(Eingaben!$B$18,MAX(0,F3912-I3912)),0)</f>
        <v>2</v>
      </c>
      <c r="K3912" s="13" t="n">
        <f aca="false">H3912+I3912</f>
        <v>0.89</v>
      </c>
      <c r="L3912" s="13" t="n">
        <f aca="false">MAX(0,D3912-K3912)</f>
        <v>0</v>
      </c>
      <c r="M3912" s="13" t="n">
        <f aca="false">MAX(0,F3912-I3912-J3912)</f>
        <v>0.0898733599999999</v>
      </c>
      <c r="N3912" s="13" t="n">
        <f aca="false">IF(Kalender!A252="",0,J3911-H3912)</f>
        <v>0.0180986400000001</v>
      </c>
    </row>
    <row r="3913" customFormat="false" ht="16.4" hidden="false" customHeight="false" outlineLevel="0" collapsed="false">
      <c r="A3913" s="13" t="str">
        <f aca="false">""</f>
        <v/>
      </c>
      <c r="B3913" s="13" t="n">
        <f aca="false">249</f>
        <v>249</v>
      </c>
      <c r="C3913" s="13" t="n">
        <f aca="false">IF(Szenarien!$H$21="OK",(IFERROR(SUMIF(Nutzungsprofile!$B$6:$B$11,"Schulbetrieb",Nutzungsprofile!$G$6:$G$11)*Kalender!C253/SUM(Kalender!$C$5:$C$370),0)+IFERROR(SUMIF(Nutzungsprofile!$B$6:$B$11,"Halle",Nutzungsprofile!$G$6:$G$11)*Kalender!D253/SUM(Kalender!$D$5:$D$370),0)+IFERROR(SUMIF(Nutzungsprofile!$B$6:$B$11,"Individuell",Nutzungsprofile!$G$6:$G$11)*Kalender!E253/SUM(Kalender!$E$5:$E$370),0))*Szenarien!$E$21,0)</f>
        <v>2.448</v>
      </c>
      <c r="D3913" s="13" t="n">
        <f aca="false">IF(Szenarien!$H$21="OK",(IFERROR(SUMIF(Nutzungsprofile!$B$17:$B$22,"Schulbetrieb",Nutzungsprofile!$G$17:$G$22)*Kalender!C253/SUM(Kalender!$C$5:$C$370),0)+IFERROR(SUMIF(Nutzungsprofile!$B$17:$B$22,"Halle",Nutzungsprofile!$G$17:$G$22)*Kalender!D253/SUM(Kalender!$D$5:$D$370),0)+IFERROR(SUMIF(Nutzungsprofile!$B$17:$B$22,"Individuell",Nutzungsprofile!$G$17:$G$22)*Kalender!E253/SUM(Kalender!$E$5:$E$370),0))*Szenarien!$D$21,0)</f>
        <v>0.89</v>
      </c>
      <c r="E3913" s="13" t="n">
        <f aca="false">IFERROR(MIN(C3913,Eingaben!$B$17)*Eingaben!$B$16,0)</f>
        <v>2.3256</v>
      </c>
      <c r="F3913" s="13" t="n">
        <f aca="false">IFERROR(E3913*Eingaben!$B$15,0)</f>
        <v>2.09304</v>
      </c>
      <c r="G3913" s="13" t="n">
        <f aca="false">IFERROR(IF(Kalender!A253="",0,J3912*(1-Eingaben!$B$20)),0)</f>
        <v>1.96</v>
      </c>
      <c r="H3913" s="13" t="n">
        <f aca="false">MIN(G3913,D3913)</f>
        <v>0.89</v>
      </c>
      <c r="I3913" s="13" t="n">
        <f aca="false">IFERROR(MIN(F3913*Eingaben!$B$19,MAX(0,D3913-H3913)),0)</f>
        <v>0</v>
      </c>
      <c r="J3913" s="13" t="n">
        <f aca="false">IFERROR(MIN(Eingaben!$B$18,MAX(0,F3913-I3913)),0)</f>
        <v>2</v>
      </c>
      <c r="K3913" s="13" t="n">
        <f aca="false">H3913+I3913</f>
        <v>0.89</v>
      </c>
      <c r="L3913" s="13" t="n">
        <f aca="false">MAX(0,D3913-K3913)</f>
        <v>0</v>
      </c>
      <c r="M3913" s="13" t="n">
        <f aca="false">MAX(0,F3913-I3913-J3913)</f>
        <v>0.0930399999999998</v>
      </c>
      <c r="N3913" s="13" t="n">
        <f aca="false">IF(Kalender!A253="",0,J3912-H3913)</f>
        <v>1.11</v>
      </c>
    </row>
    <row r="3914" customFormat="false" ht="16.4" hidden="false" customHeight="false" outlineLevel="0" collapsed="false">
      <c r="A3914" s="13" t="str">
        <f aca="false">""</f>
        <v/>
      </c>
      <c r="B3914" s="13" t="n">
        <f aca="false">250</f>
        <v>250</v>
      </c>
      <c r="C3914" s="13" t="n">
        <f aca="false">IF(Szenarien!$H$21="OK",(IFERROR(SUMIF(Nutzungsprofile!$B$6:$B$11,"Schulbetrieb",Nutzungsprofile!$G$6:$G$11)*Kalender!C254/SUM(Kalender!$C$5:$C$370),0)+IFERROR(SUMIF(Nutzungsprofile!$B$6:$B$11,"Halle",Nutzungsprofile!$G$6:$G$11)*Kalender!D254/SUM(Kalender!$D$5:$D$370),0)+IFERROR(SUMIF(Nutzungsprofile!$B$6:$B$11,"Individuell",Nutzungsprofile!$G$6:$G$11)*Kalender!E254/SUM(Kalender!$E$5:$E$370),0))*Szenarien!$E$21,0)</f>
        <v>3.528</v>
      </c>
      <c r="D3914" s="13" t="n">
        <f aca="false">IF(Szenarien!$H$21="OK",(IFERROR(SUMIF(Nutzungsprofile!$B$17:$B$22,"Schulbetrieb",Nutzungsprofile!$G$17:$G$22)*Kalender!C254/SUM(Kalender!$C$5:$C$370),0)+IFERROR(SUMIF(Nutzungsprofile!$B$17:$B$22,"Halle",Nutzungsprofile!$G$17:$G$22)*Kalender!D254/SUM(Kalender!$D$5:$D$370),0)+IFERROR(SUMIF(Nutzungsprofile!$B$17:$B$22,"Individuell",Nutzungsprofile!$G$17:$G$22)*Kalender!E254/SUM(Kalender!$E$5:$E$370),0))*Szenarien!$D$21,0)</f>
        <v>4.94</v>
      </c>
      <c r="E3914" s="13" t="n">
        <f aca="false">IFERROR(MIN(C3914,Eingaben!$B$17)*Eingaben!$B$16,0)</f>
        <v>3.3516</v>
      </c>
      <c r="F3914" s="13" t="n">
        <f aca="false">IFERROR(E3914*Eingaben!$B$15,0)</f>
        <v>3.01644</v>
      </c>
      <c r="G3914" s="13" t="n">
        <f aca="false">IFERROR(IF(Kalender!A254="",0,J3913*(1-Eingaben!$B$20)),0)</f>
        <v>1.96</v>
      </c>
      <c r="H3914" s="13" t="n">
        <f aca="false">MIN(G3914,D3914)</f>
        <v>1.96</v>
      </c>
      <c r="I3914" s="13" t="n">
        <f aca="false">IFERROR(MIN(F3914*Eingaben!$B$19,MAX(0,D3914-H3914)),0)</f>
        <v>2.111508</v>
      </c>
      <c r="J3914" s="13" t="n">
        <f aca="false">IFERROR(MIN(Eingaben!$B$18,MAX(0,F3914-I3914)),0)</f>
        <v>0.904932</v>
      </c>
      <c r="K3914" s="13" t="n">
        <f aca="false">H3914+I3914</f>
        <v>4.071508</v>
      </c>
      <c r="L3914" s="13" t="n">
        <f aca="false">MAX(0,D3914-K3914)</f>
        <v>0.868492</v>
      </c>
      <c r="M3914" s="13" t="n">
        <f aca="false">MAX(0,F3914-I3914-J3914)</f>
        <v>0</v>
      </c>
      <c r="N3914" s="13" t="n">
        <f aca="false">IF(Kalender!A254="",0,J3913-H3914)</f>
        <v>0.04</v>
      </c>
    </row>
    <row r="3915" customFormat="false" ht="16.4" hidden="false" customHeight="false" outlineLevel="0" collapsed="false">
      <c r="A3915" s="13" t="str">
        <f aca="false">""</f>
        <v/>
      </c>
      <c r="B3915" s="13" t="n">
        <f aca="false">251</f>
        <v>251</v>
      </c>
      <c r="C3915" s="13" t="n">
        <f aca="false">IF(Szenarien!$H$21="OK",(IFERROR(SUMIF(Nutzungsprofile!$B$6:$B$11,"Schulbetrieb",Nutzungsprofile!$G$6:$G$11)*Kalender!C255/SUM(Kalender!$C$5:$C$370),0)+IFERROR(SUMIF(Nutzungsprofile!$B$6:$B$11,"Halle",Nutzungsprofile!$G$6:$G$11)*Kalender!D255/SUM(Kalender!$D$5:$D$370),0)+IFERROR(SUMIF(Nutzungsprofile!$B$6:$B$11,"Individuell",Nutzungsprofile!$G$6:$G$11)*Kalender!E255/SUM(Kalender!$E$5:$E$370),0))*Szenarien!$E$21,0)</f>
        <v>3.528</v>
      </c>
      <c r="D3915" s="13" t="n">
        <f aca="false">IF(Szenarien!$H$21="OK",(IFERROR(SUMIF(Nutzungsprofile!$B$17:$B$22,"Schulbetrieb",Nutzungsprofile!$G$17:$G$22)*Kalender!C255/SUM(Kalender!$C$5:$C$370),0)+IFERROR(SUMIF(Nutzungsprofile!$B$17:$B$22,"Halle",Nutzungsprofile!$G$17:$G$22)*Kalender!D255/SUM(Kalender!$D$5:$D$370),0)+IFERROR(SUMIF(Nutzungsprofile!$B$17:$B$22,"Individuell",Nutzungsprofile!$G$17:$G$22)*Kalender!E255/SUM(Kalender!$E$5:$E$370),0))*Szenarien!$D$21,0)</f>
        <v>4.94</v>
      </c>
      <c r="E3915" s="13" t="n">
        <f aca="false">IFERROR(MIN(C3915,Eingaben!$B$17)*Eingaben!$B$16,0)</f>
        <v>3.3516</v>
      </c>
      <c r="F3915" s="13" t="n">
        <f aca="false">IFERROR(E3915*Eingaben!$B$15,0)</f>
        <v>3.01644</v>
      </c>
      <c r="G3915" s="13" t="n">
        <f aca="false">IFERROR(IF(Kalender!A255="",0,J3914*(1-Eingaben!$B$20)),0)</f>
        <v>0.88683336</v>
      </c>
      <c r="H3915" s="13" t="n">
        <f aca="false">MIN(G3915,D3915)</f>
        <v>0.88683336</v>
      </c>
      <c r="I3915" s="13" t="n">
        <f aca="false">IFERROR(MIN(F3915*Eingaben!$B$19,MAX(0,D3915-H3915)),0)</f>
        <v>2.111508</v>
      </c>
      <c r="J3915" s="13" t="n">
        <f aca="false">IFERROR(MIN(Eingaben!$B$18,MAX(0,F3915-I3915)),0)</f>
        <v>0.904932</v>
      </c>
      <c r="K3915" s="13" t="n">
        <f aca="false">H3915+I3915</f>
        <v>2.99834136</v>
      </c>
      <c r="L3915" s="13" t="n">
        <f aca="false">MAX(0,D3915-K3915)</f>
        <v>1.94165864</v>
      </c>
      <c r="M3915" s="13" t="n">
        <f aca="false">MAX(0,F3915-I3915-J3915)</f>
        <v>0</v>
      </c>
      <c r="N3915" s="13" t="n">
        <f aca="false">IF(Kalender!A255="",0,J3914-H3915)</f>
        <v>0.0180986400000001</v>
      </c>
    </row>
    <row r="3916" customFormat="false" ht="16.4" hidden="false" customHeight="false" outlineLevel="0" collapsed="false">
      <c r="A3916" s="13" t="str">
        <f aca="false">""</f>
        <v/>
      </c>
      <c r="B3916" s="13" t="n">
        <f aca="false">252</f>
        <v>252</v>
      </c>
      <c r="C3916" s="13" t="n">
        <f aca="false">IF(Szenarien!$H$21="OK",(IFERROR(SUMIF(Nutzungsprofile!$B$6:$B$11,"Schulbetrieb",Nutzungsprofile!$G$6:$G$11)*Kalender!C256/SUM(Kalender!$C$5:$C$370),0)+IFERROR(SUMIF(Nutzungsprofile!$B$6:$B$11,"Halle",Nutzungsprofile!$G$6:$G$11)*Kalender!D256/SUM(Kalender!$D$5:$D$370),0)+IFERROR(SUMIF(Nutzungsprofile!$B$6:$B$11,"Individuell",Nutzungsprofile!$G$6:$G$11)*Kalender!E256/SUM(Kalender!$E$5:$E$370),0))*Szenarien!$E$21,0)</f>
        <v>3.528</v>
      </c>
      <c r="D3916" s="13" t="n">
        <f aca="false">IF(Szenarien!$H$21="OK",(IFERROR(SUMIF(Nutzungsprofile!$B$17:$B$22,"Schulbetrieb",Nutzungsprofile!$G$17:$G$22)*Kalender!C256/SUM(Kalender!$C$5:$C$370),0)+IFERROR(SUMIF(Nutzungsprofile!$B$17:$B$22,"Halle",Nutzungsprofile!$G$17:$G$22)*Kalender!D256/SUM(Kalender!$D$5:$D$370),0)+IFERROR(SUMIF(Nutzungsprofile!$B$17:$B$22,"Individuell",Nutzungsprofile!$G$17:$G$22)*Kalender!E256/SUM(Kalender!$E$5:$E$370),0))*Szenarien!$D$21,0)</f>
        <v>4.94</v>
      </c>
      <c r="E3916" s="13" t="n">
        <f aca="false">IFERROR(MIN(C3916,Eingaben!$B$17)*Eingaben!$B$16,0)</f>
        <v>3.3516</v>
      </c>
      <c r="F3916" s="13" t="n">
        <f aca="false">IFERROR(E3916*Eingaben!$B$15,0)</f>
        <v>3.01644</v>
      </c>
      <c r="G3916" s="13" t="n">
        <f aca="false">IFERROR(IF(Kalender!A256="",0,J3915*(1-Eingaben!$B$20)),0)</f>
        <v>0.88683336</v>
      </c>
      <c r="H3916" s="13" t="n">
        <f aca="false">MIN(G3916,D3916)</f>
        <v>0.88683336</v>
      </c>
      <c r="I3916" s="13" t="n">
        <f aca="false">IFERROR(MIN(F3916*Eingaben!$B$19,MAX(0,D3916-H3916)),0)</f>
        <v>2.111508</v>
      </c>
      <c r="J3916" s="13" t="n">
        <f aca="false">IFERROR(MIN(Eingaben!$B$18,MAX(0,F3916-I3916)),0)</f>
        <v>0.904932</v>
      </c>
      <c r="K3916" s="13" t="n">
        <f aca="false">H3916+I3916</f>
        <v>2.99834136</v>
      </c>
      <c r="L3916" s="13" t="n">
        <f aca="false">MAX(0,D3916-K3916)</f>
        <v>1.94165864</v>
      </c>
      <c r="M3916" s="13" t="n">
        <f aca="false">MAX(0,F3916-I3916-J3916)</f>
        <v>0</v>
      </c>
      <c r="N3916" s="13" t="n">
        <f aca="false">IF(Kalender!A256="",0,J3915-H3916)</f>
        <v>0.0180986400000001</v>
      </c>
    </row>
    <row r="3917" customFormat="false" ht="16.4" hidden="false" customHeight="false" outlineLevel="0" collapsed="false">
      <c r="A3917" s="13" t="str">
        <f aca="false">""</f>
        <v/>
      </c>
      <c r="B3917" s="13" t="n">
        <f aca="false">253</f>
        <v>253</v>
      </c>
      <c r="C3917" s="13" t="n">
        <f aca="false">IF(Szenarien!$H$21="OK",(IFERROR(SUMIF(Nutzungsprofile!$B$6:$B$11,"Schulbetrieb",Nutzungsprofile!$G$6:$G$11)*Kalender!C257/SUM(Kalender!$C$5:$C$370),0)+IFERROR(SUMIF(Nutzungsprofile!$B$6:$B$11,"Halle",Nutzungsprofile!$G$6:$G$11)*Kalender!D257/SUM(Kalender!$D$5:$D$370),0)+IFERROR(SUMIF(Nutzungsprofile!$B$6:$B$11,"Individuell",Nutzungsprofile!$G$6:$G$11)*Kalender!E257/SUM(Kalender!$E$5:$E$370),0))*Szenarien!$E$21,0)</f>
        <v>3.528</v>
      </c>
      <c r="D3917" s="13" t="n">
        <f aca="false">IF(Szenarien!$H$21="OK",(IFERROR(SUMIF(Nutzungsprofile!$B$17:$B$22,"Schulbetrieb",Nutzungsprofile!$G$17:$G$22)*Kalender!C257/SUM(Kalender!$C$5:$C$370),0)+IFERROR(SUMIF(Nutzungsprofile!$B$17:$B$22,"Halle",Nutzungsprofile!$G$17:$G$22)*Kalender!D257/SUM(Kalender!$D$5:$D$370),0)+IFERROR(SUMIF(Nutzungsprofile!$B$17:$B$22,"Individuell",Nutzungsprofile!$G$17:$G$22)*Kalender!E257/SUM(Kalender!$E$5:$E$370),0))*Szenarien!$D$21,0)</f>
        <v>4.94</v>
      </c>
      <c r="E3917" s="13" t="n">
        <f aca="false">IFERROR(MIN(C3917,Eingaben!$B$17)*Eingaben!$B$16,0)</f>
        <v>3.3516</v>
      </c>
      <c r="F3917" s="13" t="n">
        <f aca="false">IFERROR(E3917*Eingaben!$B$15,0)</f>
        <v>3.01644</v>
      </c>
      <c r="G3917" s="13" t="n">
        <f aca="false">IFERROR(IF(Kalender!A257="",0,J3916*(1-Eingaben!$B$20)),0)</f>
        <v>0.88683336</v>
      </c>
      <c r="H3917" s="13" t="n">
        <f aca="false">MIN(G3917,D3917)</f>
        <v>0.88683336</v>
      </c>
      <c r="I3917" s="13" t="n">
        <f aca="false">IFERROR(MIN(F3917*Eingaben!$B$19,MAX(0,D3917-H3917)),0)</f>
        <v>2.111508</v>
      </c>
      <c r="J3917" s="13" t="n">
        <f aca="false">IFERROR(MIN(Eingaben!$B$18,MAX(0,F3917-I3917)),0)</f>
        <v>0.904932</v>
      </c>
      <c r="K3917" s="13" t="n">
        <f aca="false">H3917+I3917</f>
        <v>2.99834136</v>
      </c>
      <c r="L3917" s="13" t="n">
        <f aca="false">MAX(0,D3917-K3917)</f>
        <v>1.94165864</v>
      </c>
      <c r="M3917" s="13" t="n">
        <f aca="false">MAX(0,F3917-I3917-J3917)</f>
        <v>0</v>
      </c>
      <c r="N3917" s="13" t="n">
        <f aca="false">IF(Kalender!A257="",0,J3916-H3917)</f>
        <v>0.0180986400000001</v>
      </c>
    </row>
    <row r="3918" customFormat="false" ht="16.4" hidden="false" customHeight="false" outlineLevel="0" collapsed="false">
      <c r="A3918" s="13" t="str">
        <f aca="false">""</f>
        <v/>
      </c>
      <c r="B3918" s="13" t="n">
        <f aca="false">254</f>
        <v>254</v>
      </c>
      <c r="C3918" s="13" t="n">
        <f aca="false">IF(Szenarien!$H$21="OK",(IFERROR(SUMIF(Nutzungsprofile!$B$6:$B$11,"Schulbetrieb",Nutzungsprofile!$G$6:$G$11)*Kalender!C258/SUM(Kalender!$C$5:$C$370),0)+IFERROR(SUMIF(Nutzungsprofile!$B$6:$B$11,"Halle",Nutzungsprofile!$G$6:$G$11)*Kalender!D258/SUM(Kalender!$D$5:$D$370),0)+IFERROR(SUMIF(Nutzungsprofile!$B$6:$B$11,"Individuell",Nutzungsprofile!$G$6:$G$11)*Kalender!E258/SUM(Kalender!$E$5:$E$370),0))*Szenarien!$E$21,0)</f>
        <v>3.528</v>
      </c>
      <c r="D3918" s="13" t="n">
        <f aca="false">IF(Szenarien!$H$21="OK",(IFERROR(SUMIF(Nutzungsprofile!$B$17:$B$22,"Schulbetrieb",Nutzungsprofile!$G$17:$G$22)*Kalender!C258/SUM(Kalender!$C$5:$C$370),0)+IFERROR(SUMIF(Nutzungsprofile!$B$17:$B$22,"Halle",Nutzungsprofile!$G$17:$G$22)*Kalender!D258/SUM(Kalender!$D$5:$D$370),0)+IFERROR(SUMIF(Nutzungsprofile!$B$17:$B$22,"Individuell",Nutzungsprofile!$G$17:$G$22)*Kalender!E258/SUM(Kalender!$E$5:$E$370),0))*Szenarien!$D$21,0)</f>
        <v>4.94</v>
      </c>
      <c r="E3918" s="13" t="n">
        <f aca="false">IFERROR(MIN(C3918,Eingaben!$B$17)*Eingaben!$B$16,0)</f>
        <v>3.3516</v>
      </c>
      <c r="F3918" s="13" t="n">
        <f aca="false">IFERROR(E3918*Eingaben!$B$15,0)</f>
        <v>3.01644</v>
      </c>
      <c r="G3918" s="13" t="n">
        <f aca="false">IFERROR(IF(Kalender!A258="",0,J3917*(1-Eingaben!$B$20)),0)</f>
        <v>0.88683336</v>
      </c>
      <c r="H3918" s="13" t="n">
        <f aca="false">MIN(G3918,D3918)</f>
        <v>0.88683336</v>
      </c>
      <c r="I3918" s="13" t="n">
        <f aca="false">IFERROR(MIN(F3918*Eingaben!$B$19,MAX(0,D3918-H3918)),0)</f>
        <v>2.111508</v>
      </c>
      <c r="J3918" s="13" t="n">
        <f aca="false">IFERROR(MIN(Eingaben!$B$18,MAX(0,F3918-I3918)),0)</f>
        <v>0.904932</v>
      </c>
      <c r="K3918" s="13" t="n">
        <f aca="false">H3918+I3918</f>
        <v>2.99834136</v>
      </c>
      <c r="L3918" s="13" t="n">
        <f aca="false">MAX(0,D3918-K3918)</f>
        <v>1.94165864</v>
      </c>
      <c r="M3918" s="13" t="n">
        <f aca="false">MAX(0,F3918-I3918-J3918)</f>
        <v>0</v>
      </c>
      <c r="N3918" s="13" t="n">
        <f aca="false">IF(Kalender!A258="",0,J3917-H3918)</f>
        <v>0.0180986400000001</v>
      </c>
    </row>
    <row r="3919" customFormat="false" ht="16.4" hidden="false" customHeight="false" outlineLevel="0" collapsed="false">
      <c r="A3919" s="13" t="str">
        <f aca="false">""</f>
        <v/>
      </c>
      <c r="B3919" s="13" t="n">
        <f aca="false">255</f>
        <v>255</v>
      </c>
      <c r="C3919" s="13" t="n">
        <f aca="false">IF(Szenarien!$H$21="OK",(IFERROR(SUMIF(Nutzungsprofile!$B$6:$B$11,"Schulbetrieb",Nutzungsprofile!$G$6:$G$11)*Kalender!C259/SUM(Kalender!$C$5:$C$370),0)+IFERROR(SUMIF(Nutzungsprofile!$B$6:$B$11,"Halle",Nutzungsprofile!$G$6:$G$11)*Kalender!D259/SUM(Kalender!$D$5:$D$370),0)+IFERROR(SUMIF(Nutzungsprofile!$B$6:$B$11,"Individuell",Nutzungsprofile!$G$6:$G$11)*Kalender!E259/SUM(Kalender!$E$5:$E$370),0))*Szenarien!$E$21,0)</f>
        <v>2.448</v>
      </c>
      <c r="D3919" s="13" t="n">
        <f aca="false">IF(Szenarien!$H$21="OK",(IFERROR(SUMIF(Nutzungsprofile!$B$17:$B$22,"Schulbetrieb",Nutzungsprofile!$G$17:$G$22)*Kalender!C259/SUM(Kalender!$C$5:$C$370),0)+IFERROR(SUMIF(Nutzungsprofile!$B$17:$B$22,"Halle",Nutzungsprofile!$G$17:$G$22)*Kalender!D259/SUM(Kalender!$D$5:$D$370),0)+IFERROR(SUMIF(Nutzungsprofile!$B$17:$B$22,"Individuell",Nutzungsprofile!$G$17:$G$22)*Kalender!E259/SUM(Kalender!$E$5:$E$370),0))*Szenarien!$D$21,0)</f>
        <v>0.89</v>
      </c>
      <c r="E3919" s="13" t="n">
        <f aca="false">IFERROR(MIN(C3919,Eingaben!$B$17)*Eingaben!$B$16,0)</f>
        <v>2.3256</v>
      </c>
      <c r="F3919" s="13" t="n">
        <f aca="false">IFERROR(E3919*Eingaben!$B$15,0)</f>
        <v>2.09304</v>
      </c>
      <c r="G3919" s="13" t="n">
        <f aca="false">IFERROR(IF(Kalender!A259="",0,J3918*(1-Eingaben!$B$20)),0)</f>
        <v>0.88683336</v>
      </c>
      <c r="H3919" s="13" t="n">
        <f aca="false">MIN(G3919,D3919)</f>
        <v>0.88683336</v>
      </c>
      <c r="I3919" s="13" t="n">
        <f aca="false">IFERROR(MIN(F3919*Eingaben!$B$19,MAX(0,D3919-H3919)),0)</f>
        <v>0.00316664</v>
      </c>
      <c r="J3919" s="13" t="n">
        <f aca="false">IFERROR(MIN(Eingaben!$B$18,MAX(0,F3919-I3919)),0)</f>
        <v>2</v>
      </c>
      <c r="K3919" s="13" t="n">
        <f aca="false">H3919+I3919</f>
        <v>0.89</v>
      </c>
      <c r="L3919" s="13" t="n">
        <f aca="false">MAX(0,D3919-K3919)</f>
        <v>0</v>
      </c>
      <c r="M3919" s="13" t="n">
        <f aca="false">MAX(0,F3919-I3919-J3919)</f>
        <v>0.0898733599999999</v>
      </c>
      <c r="N3919" s="13" t="n">
        <f aca="false">IF(Kalender!A259="",0,J3918-H3919)</f>
        <v>0.0180986400000001</v>
      </c>
    </row>
    <row r="3920" customFormat="false" ht="16.4" hidden="false" customHeight="false" outlineLevel="0" collapsed="false">
      <c r="A3920" s="13" t="str">
        <f aca="false">""</f>
        <v/>
      </c>
      <c r="B3920" s="13" t="n">
        <f aca="false">256</f>
        <v>256</v>
      </c>
      <c r="C3920" s="13" t="n">
        <f aca="false">IF(Szenarien!$H$21="OK",(IFERROR(SUMIF(Nutzungsprofile!$B$6:$B$11,"Schulbetrieb",Nutzungsprofile!$G$6:$G$11)*Kalender!C260/SUM(Kalender!$C$5:$C$370),0)+IFERROR(SUMIF(Nutzungsprofile!$B$6:$B$11,"Halle",Nutzungsprofile!$G$6:$G$11)*Kalender!D260/SUM(Kalender!$D$5:$D$370),0)+IFERROR(SUMIF(Nutzungsprofile!$B$6:$B$11,"Individuell",Nutzungsprofile!$G$6:$G$11)*Kalender!E260/SUM(Kalender!$E$5:$E$370),0))*Szenarien!$E$21,0)</f>
        <v>2.448</v>
      </c>
      <c r="D3920" s="13" t="n">
        <f aca="false">IF(Szenarien!$H$21="OK",(IFERROR(SUMIF(Nutzungsprofile!$B$17:$B$22,"Schulbetrieb",Nutzungsprofile!$G$17:$G$22)*Kalender!C260/SUM(Kalender!$C$5:$C$370),0)+IFERROR(SUMIF(Nutzungsprofile!$B$17:$B$22,"Halle",Nutzungsprofile!$G$17:$G$22)*Kalender!D260/SUM(Kalender!$D$5:$D$370),0)+IFERROR(SUMIF(Nutzungsprofile!$B$17:$B$22,"Individuell",Nutzungsprofile!$G$17:$G$22)*Kalender!E260/SUM(Kalender!$E$5:$E$370),0))*Szenarien!$D$21,0)</f>
        <v>0.89</v>
      </c>
      <c r="E3920" s="13" t="n">
        <f aca="false">IFERROR(MIN(C3920,Eingaben!$B$17)*Eingaben!$B$16,0)</f>
        <v>2.3256</v>
      </c>
      <c r="F3920" s="13" t="n">
        <f aca="false">IFERROR(E3920*Eingaben!$B$15,0)</f>
        <v>2.09304</v>
      </c>
      <c r="G3920" s="13" t="n">
        <f aca="false">IFERROR(IF(Kalender!A260="",0,J3919*(1-Eingaben!$B$20)),0)</f>
        <v>1.96</v>
      </c>
      <c r="H3920" s="13" t="n">
        <f aca="false">MIN(G3920,D3920)</f>
        <v>0.89</v>
      </c>
      <c r="I3920" s="13" t="n">
        <f aca="false">IFERROR(MIN(F3920*Eingaben!$B$19,MAX(0,D3920-H3920)),0)</f>
        <v>0</v>
      </c>
      <c r="J3920" s="13" t="n">
        <f aca="false">IFERROR(MIN(Eingaben!$B$18,MAX(0,F3920-I3920)),0)</f>
        <v>2</v>
      </c>
      <c r="K3920" s="13" t="n">
        <f aca="false">H3920+I3920</f>
        <v>0.89</v>
      </c>
      <c r="L3920" s="13" t="n">
        <f aca="false">MAX(0,D3920-K3920)</f>
        <v>0</v>
      </c>
      <c r="M3920" s="13" t="n">
        <f aca="false">MAX(0,F3920-I3920-J3920)</f>
        <v>0.0930399999999998</v>
      </c>
      <c r="N3920" s="13" t="n">
        <f aca="false">IF(Kalender!A260="",0,J3919-H3920)</f>
        <v>1.11</v>
      </c>
    </row>
    <row r="3921" customFormat="false" ht="16.4" hidden="false" customHeight="false" outlineLevel="0" collapsed="false">
      <c r="A3921" s="13" t="str">
        <f aca="false">""</f>
        <v/>
      </c>
      <c r="B3921" s="13" t="n">
        <f aca="false">257</f>
        <v>257</v>
      </c>
      <c r="C3921" s="13" t="n">
        <f aca="false">IF(Szenarien!$H$21="OK",(IFERROR(SUMIF(Nutzungsprofile!$B$6:$B$11,"Schulbetrieb",Nutzungsprofile!$G$6:$G$11)*Kalender!C261/SUM(Kalender!$C$5:$C$370),0)+IFERROR(SUMIF(Nutzungsprofile!$B$6:$B$11,"Halle",Nutzungsprofile!$G$6:$G$11)*Kalender!D261/SUM(Kalender!$D$5:$D$370),0)+IFERROR(SUMIF(Nutzungsprofile!$B$6:$B$11,"Individuell",Nutzungsprofile!$G$6:$G$11)*Kalender!E261/SUM(Kalender!$E$5:$E$370),0))*Szenarien!$E$21,0)</f>
        <v>3.528</v>
      </c>
      <c r="D3921" s="13" t="n">
        <f aca="false">IF(Szenarien!$H$21="OK",(IFERROR(SUMIF(Nutzungsprofile!$B$17:$B$22,"Schulbetrieb",Nutzungsprofile!$G$17:$G$22)*Kalender!C261/SUM(Kalender!$C$5:$C$370),0)+IFERROR(SUMIF(Nutzungsprofile!$B$17:$B$22,"Halle",Nutzungsprofile!$G$17:$G$22)*Kalender!D261/SUM(Kalender!$D$5:$D$370),0)+IFERROR(SUMIF(Nutzungsprofile!$B$17:$B$22,"Individuell",Nutzungsprofile!$G$17:$G$22)*Kalender!E261/SUM(Kalender!$E$5:$E$370),0))*Szenarien!$D$21,0)</f>
        <v>4.94</v>
      </c>
      <c r="E3921" s="13" t="n">
        <f aca="false">IFERROR(MIN(C3921,Eingaben!$B$17)*Eingaben!$B$16,0)</f>
        <v>3.3516</v>
      </c>
      <c r="F3921" s="13" t="n">
        <f aca="false">IFERROR(E3921*Eingaben!$B$15,0)</f>
        <v>3.01644</v>
      </c>
      <c r="G3921" s="13" t="n">
        <f aca="false">IFERROR(IF(Kalender!A261="",0,J3920*(1-Eingaben!$B$20)),0)</f>
        <v>1.96</v>
      </c>
      <c r="H3921" s="13" t="n">
        <f aca="false">MIN(G3921,D3921)</f>
        <v>1.96</v>
      </c>
      <c r="I3921" s="13" t="n">
        <f aca="false">IFERROR(MIN(F3921*Eingaben!$B$19,MAX(0,D3921-H3921)),0)</f>
        <v>2.111508</v>
      </c>
      <c r="J3921" s="13" t="n">
        <f aca="false">IFERROR(MIN(Eingaben!$B$18,MAX(0,F3921-I3921)),0)</f>
        <v>0.904932</v>
      </c>
      <c r="K3921" s="13" t="n">
        <f aca="false">H3921+I3921</f>
        <v>4.071508</v>
      </c>
      <c r="L3921" s="13" t="n">
        <f aca="false">MAX(0,D3921-K3921)</f>
        <v>0.868492</v>
      </c>
      <c r="M3921" s="13" t="n">
        <f aca="false">MAX(0,F3921-I3921-J3921)</f>
        <v>0</v>
      </c>
      <c r="N3921" s="13" t="n">
        <f aca="false">IF(Kalender!A261="",0,J3920-H3921)</f>
        <v>0.04</v>
      </c>
    </row>
    <row r="3922" customFormat="false" ht="16.4" hidden="false" customHeight="false" outlineLevel="0" collapsed="false">
      <c r="A3922" s="13" t="str">
        <f aca="false">""</f>
        <v/>
      </c>
      <c r="B3922" s="13" t="n">
        <f aca="false">258</f>
        <v>258</v>
      </c>
      <c r="C3922" s="13" t="n">
        <f aca="false">IF(Szenarien!$H$21="OK",(IFERROR(SUMIF(Nutzungsprofile!$B$6:$B$11,"Schulbetrieb",Nutzungsprofile!$G$6:$G$11)*Kalender!C262/SUM(Kalender!$C$5:$C$370),0)+IFERROR(SUMIF(Nutzungsprofile!$B$6:$B$11,"Halle",Nutzungsprofile!$G$6:$G$11)*Kalender!D262/SUM(Kalender!$D$5:$D$370),0)+IFERROR(SUMIF(Nutzungsprofile!$B$6:$B$11,"Individuell",Nutzungsprofile!$G$6:$G$11)*Kalender!E262/SUM(Kalender!$E$5:$E$370),0))*Szenarien!$E$21,0)</f>
        <v>3.528</v>
      </c>
      <c r="D3922" s="13" t="n">
        <f aca="false">IF(Szenarien!$H$21="OK",(IFERROR(SUMIF(Nutzungsprofile!$B$17:$B$22,"Schulbetrieb",Nutzungsprofile!$G$17:$G$22)*Kalender!C262/SUM(Kalender!$C$5:$C$370),0)+IFERROR(SUMIF(Nutzungsprofile!$B$17:$B$22,"Halle",Nutzungsprofile!$G$17:$G$22)*Kalender!D262/SUM(Kalender!$D$5:$D$370),0)+IFERROR(SUMIF(Nutzungsprofile!$B$17:$B$22,"Individuell",Nutzungsprofile!$G$17:$G$22)*Kalender!E262/SUM(Kalender!$E$5:$E$370),0))*Szenarien!$D$21,0)</f>
        <v>4.94</v>
      </c>
      <c r="E3922" s="13" t="n">
        <f aca="false">IFERROR(MIN(C3922,Eingaben!$B$17)*Eingaben!$B$16,0)</f>
        <v>3.3516</v>
      </c>
      <c r="F3922" s="13" t="n">
        <f aca="false">IFERROR(E3922*Eingaben!$B$15,0)</f>
        <v>3.01644</v>
      </c>
      <c r="G3922" s="13" t="n">
        <f aca="false">IFERROR(IF(Kalender!A262="",0,J3921*(1-Eingaben!$B$20)),0)</f>
        <v>0.88683336</v>
      </c>
      <c r="H3922" s="13" t="n">
        <f aca="false">MIN(G3922,D3922)</f>
        <v>0.88683336</v>
      </c>
      <c r="I3922" s="13" t="n">
        <f aca="false">IFERROR(MIN(F3922*Eingaben!$B$19,MAX(0,D3922-H3922)),0)</f>
        <v>2.111508</v>
      </c>
      <c r="J3922" s="13" t="n">
        <f aca="false">IFERROR(MIN(Eingaben!$B$18,MAX(0,F3922-I3922)),0)</f>
        <v>0.904932</v>
      </c>
      <c r="K3922" s="13" t="n">
        <f aca="false">H3922+I3922</f>
        <v>2.99834136</v>
      </c>
      <c r="L3922" s="13" t="n">
        <f aca="false">MAX(0,D3922-K3922)</f>
        <v>1.94165864</v>
      </c>
      <c r="M3922" s="13" t="n">
        <f aca="false">MAX(0,F3922-I3922-J3922)</f>
        <v>0</v>
      </c>
      <c r="N3922" s="13" t="n">
        <f aca="false">IF(Kalender!A262="",0,J3921-H3922)</f>
        <v>0.0180986400000001</v>
      </c>
    </row>
    <row r="3923" customFormat="false" ht="16.4" hidden="false" customHeight="false" outlineLevel="0" collapsed="false">
      <c r="A3923" s="13" t="str">
        <f aca="false">""</f>
        <v/>
      </c>
      <c r="B3923" s="13" t="n">
        <f aca="false">259</f>
        <v>259</v>
      </c>
      <c r="C3923" s="13" t="n">
        <f aca="false">IF(Szenarien!$H$21="OK",(IFERROR(SUMIF(Nutzungsprofile!$B$6:$B$11,"Schulbetrieb",Nutzungsprofile!$G$6:$G$11)*Kalender!C263/SUM(Kalender!$C$5:$C$370),0)+IFERROR(SUMIF(Nutzungsprofile!$B$6:$B$11,"Halle",Nutzungsprofile!$G$6:$G$11)*Kalender!D263/SUM(Kalender!$D$5:$D$370),0)+IFERROR(SUMIF(Nutzungsprofile!$B$6:$B$11,"Individuell",Nutzungsprofile!$G$6:$G$11)*Kalender!E263/SUM(Kalender!$E$5:$E$370),0))*Szenarien!$E$21,0)</f>
        <v>3.528</v>
      </c>
      <c r="D3923" s="13" t="n">
        <f aca="false">IF(Szenarien!$H$21="OK",(IFERROR(SUMIF(Nutzungsprofile!$B$17:$B$22,"Schulbetrieb",Nutzungsprofile!$G$17:$G$22)*Kalender!C263/SUM(Kalender!$C$5:$C$370),0)+IFERROR(SUMIF(Nutzungsprofile!$B$17:$B$22,"Halle",Nutzungsprofile!$G$17:$G$22)*Kalender!D263/SUM(Kalender!$D$5:$D$370),0)+IFERROR(SUMIF(Nutzungsprofile!$B$17:$B$22,"Individuell",Nutzungsprofile!$G$17:$G$22)*Kalender!E263/SUM(Kalender!$E$5:$E$370),0))*Szenarien!$D$21,0)</f>
        <v>4.94</v>
      </c>
      <c r="E3923" s="13" t="n">
        <f aca="false">IFERROR(MIN(C3923,Eingaben!$B$17)*Eingaben!$B$16,0)</f>
        <v>3.3516</v>
      </c>
      <c r="F3923" s="13" t="n">
        <f aca="false">IFERROR(E3923*Eingaben!$B$15,0)</f>
        <v>3.01644</v>
      </c>
      <c r="G3923" s="13" t="n">
        <f aca="false">IFERROR(IF(Kalender!A263="",0,J3922*(1-Eingaben!$B$20)),0)</f>
        <v>0.88683336</v>
      </c>
      <c r="H3923" s="13" t="n">
        <f aca="false">MIN(G3923,D3923)</f>
        <v>0.88683336</v>
      </c>
      <c r="I3923" s="13" t="n">
        <f aca="false">IFERROR(MIN(F3923*Eingaben!$B$19,MAX(0,D3923-H3923)),0)</f>
        <v>2.111508</v>
      </c>
      <c r="J3923" s="13" t="n">
        <f aca="false">IFERROR(MIN(Eingaben!$B$18,MAX(0,F3923-I3923)),0)</f>
        <v>0.904932</v>
      </c>
      <c r="K3923" s="13" t="n">
        <f aca="false">H3923+I3923</f>
        <v>2.99834136</v>
      </c>
      <c r="L3923" s="13" t="n">
        <f aca="false">MAX(0,D3923-K3923)</f>
        <v>1.94165864</v>
      </c>
      <c r="M3923" s="13" t="n">
        <f aca="false">MAX(0,F3923-I3923-J3923)</f>
        <v>0</v>
      </c>
      <c r="N3923" s="13" t="n">
        <f aca="false">IF(Kalender!A263="",0,J3922-H3923)</f>
        <v>0.0180986400000001</v>
      </c>
    </row>
    <row r="3924" customFormat="false" ht="16.4" hidden="false" customHeight="false" outlineLevel="0" collapsed="false">
      <c r="A3924" s="13" t="str">
        <f aca="false">""</f>
        <v/>
      </c>
      <c r="B3924" s="13" t="n">
        <f aca="false">260</f>
        <v>260</v>
      </c>
      <c r="C3924" s="13" t="n">
        <f aca="false">IF(Szenarien!$H$21="OK",(IFERROR(SUMIF(Nutzungsprofile!$B$6:$B$11,"Schulbetrieb",Nutzungsprofile!$G$6:$G$11)*Kalender!C264/SUM(Kalender!$C$5:$C$370),0)+IFERROR(SUMIF(Nutzungsprofile!$B$6:$B$11,"Halle",Nutzungsprofile!$G$6:$G$11)*Kalender!D264/SUM(Kalender!$D$5:$D$370),0)+IFERROR(SUMIF(Nutzungsprofile!$B$6:$B$11,"Individuell",Nutzungsprofile!$G$6:$G$11)*Kalender!E264/SUM(Kalender!$E$5:$E$370),0))*Szenarien!$E$21,0)</f>
        <v>3.528</v>
      </c>
      <c r="D3924" s="13" t="n">
        <f aca="false">IF(Szenarien!$H$21="OK",(IFERROR(SUMIF(Nutzungsprofile!$B$17:$B$22,"Schulbetrieb",Nutzungsprofile!$G$17:$G$22)*Kalender!C264/SUM(Kalender!$C$5:$C$370),0)+IFERROR(SUMIF(Nutzungsprofile!$B$17:$B$22,"Halle",Nutzungsprofile!$G$17:$G$22)*Kalender!D264/SUM(Kalender!$D$5:$D$370),0)+IFERROR(SUMIF(Nutzungsprofile!$B$17:$B$22,"Individuell",Nutzungsprofile!$G$17:$G$22)*Kalender!E264/SUM(Kalender!$E$5:$E$370),0))*Szenarien!$D$21,0)</f>
        <v>4.94</v>
      </c>
      <c r="E3924" s="13" t="n">
        <f aca="false">IFERROR(MIN(C3924,Eingaben!$B$17)*Eingaben!$B$16,0)</f>
        <v>3.3516</v>
      </c>
      <c r="F3924" s="13" t="n">
        <f aca="false">IFERROR(E3924*Eingaben!$B$15,0)</f>
        <v>3.01644</v>
      </c>
      <c r="G3924" s="13" t="n">
        <f aca="false">IFERROR(IF(Kalender!A264="",0,J3923*(1-Eingaben!$B$20)),0)</f>
        <v>0.88683336</v>
      </c>
      <c r="H3924" s="13" t="n">
        <f aca="false">MIN(G3924,D3924)</f>
        <v>0.88683336</v>
      </c>
      <c r="I3924" s="13" t="n">
        <f aca="false">IFERROR(MIN(F3924*Eingaben!$B$19,MAX(0,D3924-H3924)),0)</f>
        <v>2.111508</v>
      </c>
      <c r="J3924" s="13" t="n">
        <f aca="false">IFERROR(MIN(Eingaben!$B$18,MAX(0,F3924-I3924)),0)</f>
        <v>0.904932</v>
      </c>
      <c r="K3924" s="13" t="n">
        <f aca="false">H3924+I3924</f>
        <v>2.99834136</v>
      </c>
      <c r="L3924" s="13" t="n">
        <f aca="false">MAX(0,D3924-K3924)</f>
        <v>1.94165864</v>
      </c>
      <c r="M3924" s="13" t="n">
        <f aca="false">MAX(0,F3924-I3924-J3924)</f>
        <v>0</v>
      </c>
      <c r="N3924" s="13" t="n">
        <f aca="false">IF(Kalender!A264="",0,J3923-H3924)</f>
        <v>0.0180986400000001</v>
      </c>
    </row>
    <row r="3925" customFormat="false" ht="16.4" hidden="false" customHeight="false" outlineLevel="0" collapsed="false">
      <c r="A3925" s="13" t="str">
        <f aca="false">""</f>
        <v/>
      </c>
      <c r="B3925" s="13" t="n">
        <f aca="false">261</f>
        <v>261</v>
      </c>
      <c r="C3925" s="13" t="n">
        <f aca="false">IF(Szenarien!$H$21="OK",(IFERROR(SUMIF(Nutzungsprofile!$B$6:$B$11,"Schulbetrieb",Nutzungsprofile!$G$6:$G$11)*Kalender!C265/SUM(Kalender!$C$5:$C$370),0)+IFERROR(SUMIF(Nutzungsprofile!$B$6:$B$11,"Halle",Nutzungsprofile!$G$6:$G$11)*Kalender!D265/SUM(Kalender!$D$5:$D$370),0)+IFERROR(SUMIF(Nutzungsprofile!$B$6:$B$11,"Individuell",Nutzungsprofile!$G$6:$G$11)*Kalender!E265/SUM(Kalender!$E$5:$E$370),0))*Szenarien!$E$21,0)</f>
        <v>3.528</v>
      </c>
      <c r="D3925" s="13" t="n">
        <f aca="false">IF(Szenarien!$H$21="OK",(IFERROR(SUMIF(Nutzungsprofile!$B$17:$B$22,"Schulbetrieb",Nutzungsprofile!$G$17:$G$22)*Kalender!C265/SUM(Kalender!$C$5:$C$370),0)+IFERROR(SUMIF(Nutzungsprofile!$B$17:$B$22,"Halle",Nutzungsprofile!$G$17:$G$22)*Kalender!D265/SUM(Kalender!$D$5:$D$370),0)+IFERROR(SUMIF(Nutzungsprofile!$B$17:$B$22,"Individuell",Nutzungsprofile!$G$17:$G$22)*Kalender!E265/SUM(Kalender!$E$5:$E$370),0))*Szenarien!$D$21,0)</f>
        <v>4.94</v>
      </c>
      <c r="E3925" s="13" t="n">
        <f aca="false">IFERROR(MIN(C3925,Eingaben!$B$17)*Eingaben!$B$16,0)</f>
        <v>3.3516</v>
      </c>
      <c r="F3925" s="13" t="n">
        <f aca="false">IFERROR(E3925*Eingaben!$B$15,0)</f>
        <v>3.01644</v>
      </c>
      <c r="G3925" s="13" t="n">
        <f aca="false">IFERROR(IF(Kalender!A265="",0,J3924*(1-Eingaben!$B$20)),0)</f>
        <v>0.88683336</v>
      </c>
      <c r="H3925" s="13" t="n">
        <f aca="false">MIN(G3925,D3925)</f>
        <v>0.88683336</v>
      </c>
      <c r="I3925" s="13" t="n">
        <f aca="false">IFERROR(MIN(F3925*Eingaben!$B$19,MAX(0,D3925-H3925)),0)</f>
        <v>2.111508</v>
      </c>
      <c r="J3925" s="13" t="n">
        <f aca="false">IFERROR(MIN(Eingaben!$B$18,MAX(0,F3925-I3925)),0)</f>
        <v>0.904932</v>
      </c>
      <c r="K3925" s="13" t="n">
        <f aca="false">H3925+I3925</f>
        <v>2.99834136</v>
      </c>
      <c r="L3925" s="13" t="n">
        <f aca="false">MAX(0,D3925-K3925)</f>
        <v>1.94165864</v>
      </c>
      <c r="M3925" s="13" t="n">
        <f aca="false">MAX(0,F3925-I3925-J3925)</f>
        <v>0</v>
      </c>
      <c r="N3925" s="13" t="n">
        <f aca="false">IF(Kalender!A265="",0,J3924-H3925)</f>
        <v>0.0180986400000001</v>
      </c>
    </row>
    <row r="3926" customFormat="false" ht="16.4" hidden="false" customHeight="false" outlineLevel="0" collapsed="false">
      <c r="A3926" s="13" t="str">
        <f aca="false">""</f>
        <v/>
      </c>
      <c r="B3926" s="13" t="n">
        <f aca="false">262</f>
        <v>262</v>
      </c>
      <c r="C3926" s="13" t="n">
        <f aca="false">IF(Szenarien!$H$21="OK",(IFERROR(SUMIF(Nutzungsprofile!$B$6:$B$11,"Schulbetrieb",Nutzungsprofile!$G$6:$G$11)*Kalender!C266/SUM(Kalender!$C$5:$C$370),0)+IFERROR(SUMIF(Nutzungsprofile!$B$6:$B$11,"Halle",Nutzungsprofile!$G$6:$G$11)*Kalender!D266/SUM(Kalender!$D$5:$D$370),0)+IFERROR(SUMIF(Nutzungsprofile!$B$6:$B$11,"Individuell",Nutzungsprofile!$G$6:$G$11)*Kalender!E266/SUM(Kalender!$E$5:$E$370),0))*Szenarien!$E$21,0)</f>
        <v>2.448</v>
      </c>
      <c r="D3926" s="13" t="n">
        <f aca="false">IF(Szenarien!$H$21="OK",(IFERROR(SUMIF(Nutzungsprofile!$B$17:$B$22,"Schulbetrieb",Nutzungsprofile!$G$17:$G$22)*Kalender!C266/SUM(Kalender!$C$5:$C$370),0)+IFERROR(SUMIF(Nutzungsprofile!$B$17:$B$22,"Halle",Nutzungsprofile!$G$17:$G$22)*Kalender!D266/SUM(Kalender!$D$5:$D$370),0)+IFERROR(SUMIF(Nutzungsprofile!$B$17:$B$22,"Individuell",Nutzungsprofile!$G$17:$G$22)*Kalender!E266/SUM(Kalender!$E$5:$E$370),0))*Szenarien!$D$21,0)</f>
        <v>0.89</v>
      </c>
      <c r="E3926" s="13" t="n">
        <f aca="false">IFERROR(MIN(C3926,Eingaben!$B$17)*Eingaben!$B$16,0)</f>
        <v>2.3256</v>
      </c>
      <c r="F3926" s="13" t="n">
        <f aca="false">IFERROR(E3926*Eingaben!$B$15,0)</f>
        <v>2.09304</v>
      </c>
      <c r="G3926" s="13" t="n">
        <f aca="false">IFERROR(IF(Kalender!A266="",0,J3925*(1-Eingaben!$B$20)),0)</f>
        <v>0.88683336</v>
      </c>
      <c r="H3926" s="13" t="n">
        <f aca="false">MIN(G3926,D3926)</f>
        <v>0.88683336</v>
      </c>
      <c r="I3926" s="13" t="n">
        <f aca="false">IFERROR(MIN(F3926*Eingaben!$B$19,MAX(0,D3926-H3926)),0)</f>
        <v>0.00316664</v>
      </c>
      <c r="J3926" s="13" t="n">
        <f aca="false">IFERROR(MIN(Eingaben!$B$18,MAX(0,F3926-I3926)),0)</f>
        <v>2</v>
      </c>
      <c r="K3926" s="13" t="n">
        <f aca="false">H3926+I3926</f>
        <v>0.89</v>
      </c>
      <c r="L3926" s="13" t="n">
        <f aca="false">MAX(0,D3926-K3926)</f>
        <v>0</v>
      </c>
      <c r="M3926" s="13" t="n">
        <f aca="false">MAX(0,F3926-I3926-J3926)</f>
        <v>0.0898733599999999</v>
      </c>
      <c r="N3926" s="13" t="n">
        <f aca="false">IF(Kalender!A266="",0,J3925-H3926)</f>
        <v>0.0180986400000001</v>
      </c>
    </row>
    <row r="3927" customFormat="false" ht="16.4" hidden="false" customHeight="false" outlineLevel="0" collapsed="false">
      <c r="A3927" s="13" t="str">
        <f aca="false">""</f>
        <v/>
      </c>
      <c r="B3927" s="13" t="n">
        <f aca="false">263</f>
        <v>263</v>
      </c>
      <c r="C3927" s="13" t="n">
        <f aca="false">IF(Szenarien!$H$21="OK",(IFERROR(SUMIF(Nutzungsprofile!$B$6:$B$11,"Schulbetrieb",Nutzungsprofile!$G$6:$G$11)*Kalender!C267/SUM(Kalender!$C$5:$C$370),0)+IFERROR(SUMIF(Nutzungsprofile!$B$6:$B$11,"Halle",Nutzungsprofile!$G$6:$G$11)*Kalender!D267/SUM(Kalender!$D$5:$D$370),0)+IFERROR(SUMIF(Nutzungsprofile!$B$6:$B$11,"Individuell",Nutzungsprofile!$G$6:$G$11)*Kalender!E267/SUM(Kalender!$E$5:$E$370),0))*Szenarien!$E$21,0)</f>
        <v>2.448</v>
      </c>
      <c r="D3927" s="13" t="n">
        <f aca="false">IF(Szenarien!$H$21="OK",(IFERROR(SUMIF(Nutzungsprofile!$B$17:$B$22,"Schulbetrieb",Nutzungsprofile!$G$17:$G$22)*Kalender!C267/SUM(Kalender!$C$5:$C$370),0)+IFERROR(SUMIF(Nutzungsprofile!$B$17:$B$22,"Halle",Nutzungsprofile!$G$17:$G$22)*Kalender!D267/SUM(Kalender!$D$5:$D$370),0)+IFERROR(SUMIF(Nutzungsprofile!$B$17:$B$22,"Individuell",Nutzungsprofile!$G$17:$G$22)*Kalender!E267/SUM(Kalender!$E$5:$E$370),0))*Szenarien!$D$21,0)</f>
        <v>0.89</v>
      </c>
      <c r="E3927" s="13" t="n">
        <f aca="false">IFERROR(MIN(C3927,Eingaben!$B$17)*Eingaben!$B$16,0)</f>
        <v>2.3256</v>
      </c>
      <c r="F3927" s="13" t="n">
        <f aca="false">IFERROR(E3927*Eingaben!$B$15,0)</f>
        <v>2.09304</v>
      </c>
      <c r="G3927" s="13" t="n">
        <f aca="false">IFERROR(IF(Kalender!A267="",0,J3926*(1-Eingaben!$B$20)),0)</f>
        <v>1.96</v>
      </c>
      <c r="H3927" s="13" t="n">
        <f aca="false">MIN(G3927,D3927)</f>
        <v>0.89</v>
      </c>
      <c r="I3927" s="13" t="n">
        <f aca="false">IFERROR(MIN(F3927*Eingaben!$B$19,MAX(0,D3927-H3927)),0)</f>
        <v>0</v>
      </c>
      <c r="J3927" s="13" t="n">
        <f aca="false">IFERROR(MIN(Eingaben!$B$18,MAX(0,F3927-I3927)),0)</f>
        <v>2</v>
      </c>
      <c r="K3927" s="13" t="n">
        <f aca="false">H3927+I3927</f>
        <v>0.89</v>
      </c>
      <c r="L3927" s="13" t="n">
        <f aca="false">MAX(0,D3927-K3927)</f>
        <v>0</v>
      </c>
      <c r="M3927" s="13" t="n">
        <f aca="false">MAX(0,F3927-I3927-J3927)</f>
        <v>0.0930399999999998</v>
      </c>
      <c r="N3927" s="13" t="n">
        <f aca="false">IF(Kalender!A267="",0,J3926-H3927)</f>
        <v>1.11</v>
      </c>
    </row>
    <row r="3928" customFormat="false" ht="16.4" hidden="false" customHeight="false" outlineLevel="0" collapsed="false">
      <c r="A3928" s="13" t="str">
        <f aca="false">""</f>
        <v/>
      </c>
      <c r="B3928" s="13" t="n">
        <f aca="false">264</f>
        <v>264</v>
      </c>
      <c r="C3928" s="13" t="n">
        <f aca="false">IF(Szenarien!$H$21="OK",(IFERROR(SUMIF(Nutzungsprofile!$B$6:$B$11,"Schulbetrieb",Nutzungsprofile!$G$6:$G$11)*Kalender!C268/SUM(Kalender!$C$5:$C$370),0)+IFERROR(SUMIF(Nutzungsprofile!$B$6:$B$11,"Halle",Nutzungsprofile!$G$6:$G$11)*Kalender!D268/SUM(Kalender!$D$5:$D$370),0)+IFERROR(SUMIF(Nutzungsprofile!$B$6:$B$11,"Individuell",Nutzungsprofile!$G$6:$G$11)*Kalender!E268/SUM(Kalender!$E$5:$E$370),0))*Szenarien!$E$21,0)</f>
        <v>3.528</v>
      </c>
      <c r="D3928" s="13" t="n">
        <f aca="false">IF(Szenarien!$H$21="OK",(IFERROR(SUMIF(Nutzungsprofile!$B$17:$B$22,"Schulbetrieb",Nutzungsprofile!$G$17:$G$22)*Kalender!C268/SUM(Kalender!$C$5:$C$370),0)+IFERROR(SUMIF(Nutzungsprofile!$B$17:$B$22,"Halle",Nutzungsprofile!$G$17:$G$22)*Kalender!D268/SUM(Kalender!$D$5:$D$370),0)+IFERROR(SUMIF(Nutzungsprofile!$B$17:$B$22,"Individuell",Nutzungsprofile!$G$17:$G$22)*Kalender!E268/SUM(Kalender!$E$5:$E$370),0))*Szenarien!$D$21,0)</f>
        <v>4.94</v>
      </c>
      <c r="E3928" s="13" t="n">
        <f aca="false">IFERROR(MIN(C3928,Eingaben!$B$17)*Eingaben!$B$16,0)</f>
        <v>3.3516</v>
      </c>
      <c r="F3928" s="13" t="n">
        <f aca="false">IFERROR(E3928*Eingaben!$B$15,0)</f>
        <v>3.01644</v>
      </c>
      <c r="G3928" s="13" t="n">
        <f aca="false">IFERROR(IF(Kalender!A268="",0,J3927*(1-Eingaben!$B$20)),0)</f>
        <v>1.96</v>
      </c>
      <c r="H3928" s="13" t="n">
        <f aca="false">MIN(G3928,D3928)</f>
        <v>1.96</v>
      </c>
      <c r="I3928" s="13" t="n">
        <f aca="false">IFERROR(MIN(F3928*Eingaben!$B$19,MAX(0,D3928-H3928)),0)</f>
        <v>2.111508</v>
      </c>
      <c r="J3928" s="13" t="n">
        <f aca="false">IFERROR(MIN(Eingaben!$B$18,MAX(0,F3928-I3928)),0)</f>
        <v>0.904932</v>
      </c>
      <c r="K3928" s="13" t="n">
        <f aca="false">H3928+I3928</f>
        <v>4.071508</v>
      </c>
      <c r="L3928" s="13" t="n">
        <f aca="false">MAX(0,D3928-K3928)</f>
        <v>0.868492</v>
      </c>
      <c r="M3928" s="13" t="n">
        <f aca="false">MAX(0,F3928-I3928-J3928)</f>
        <v>0</v>
      </c>
      <c r="N3928" s="13" t="n">
        <f aca="false">IF(Kalender!A268="",0,J3927-H3928)</f>
        <v>0.04</v>
      </c>
    </row>
    <row r="3929" customFormat="false" ht="16.4" hidden="false" customHeight="false" outlineLevel="0" collapsed="false">
      <c r="A3929" s="13" t="str">
        <f aca="false">""</f>
        <v/>
      </c>
      <c r="B3929" s="13" t="n">
        <f aca="false">265</f>
        <v>265</v>
      </c>
      <c r="C3929" s="13" t="n">
        <f aca="false">IF(Szenarien!$H$21="OK",(IFERROR(SUMIF(Nutzungsprofile!$B$6:$B$11,"Schulbetrieb",Nutzungsprofile!$G$6:$G$11)*Kalender!C269/SUM(Kalender!$C$5:$C$370),0)+IFERROR(SUMIF(Nutzungsprofile!$B$6:$B$11,"Halle",Nutzungsprofile!$G$6:$G$11)*Kalender!D269/SUM(Kalender!$D$5:$D$370),0)+IFERROR(SUMIF(Nutzungsprofile!$B$6:$B$11,"Individuell",Nutzungsprofile!$G$6:$G$11)*Kalender!E269/SUM(Kalender!$E$5:$E$370),0))*Szenarien!$E$21,0)</f>
        <v>3.528</v>
      </c>
      <c r="D3929" s="13" t="n">
        <f aca="false">IF(Szenarien!$H$21="OK",(IFERROR(SUMIF(Nutzungsprofile!$B$17:$B$22,"Schulbetrieb",Nutzungsprofile!$G$17:$G$22)*Kalender!C269/SUM(Kalender!$C$5:$C$370),0)+IFERROR(SUMIF(Nutzungsprofile!$B$17:$B$22,"Halle",Nutzungsprofile!$G$17:$G$22)*Kalender!D269/SUM(Kalender!$D$5:$D$370),0)+IFERROR(SUMIF(Nutzungsprofile!$B$17:$B$22,"Individuell",Nutzungsprofile!$G$17:$G$22)*Kalender!E269/SUM(Kalender!$E$5:$E$370),0))*Szenarien!$D$21,0)</f>
        <v>4.94</v>
      </c>
      <c r="E3929" s="13" t="n">
        <f aca="false">IFERROR(MIN(C3929,Eingaben!$B$17)*Eingaben!$B$16,0)</f>
        <v>3.3516</v>
      </c>
      <c r="F3929" s="13" t="n">
        <f aca="false">IFERROR(E3929*Eingaben!$B$15,0)</f>
        <v>3.01644</v>
      </c>
      <c r="G3929" s="13" t="n">
        <f aca="false">IFERROR(IF(Kalender!A269="",0,J3928*(1-Eingaben!$B$20)),0)</f>
        <v>0.88683336</v>
      </c>
      <c r="H3929" s="13" t="n">
        <f aca="false">MIN(G3929,D3929)</f>
        <v>0.88683336</v>
      </c>
      <c r="I3929" s="13" t="n">
        <f aca="false">IFERROR(MIN(F3929*Eingaben!$B$19,MAX(0,D3929-H3929)),0)</f>
        <v>2.111508</v>
      </c>
      <c r="J3929" s="13" t="n">
        <f aca="false">IFERROR(MIN(Eingaben!$B$18,MAX(0,F3929-I3929)),0)</f>
        <v>0.904932</v>
      </c>
      <c r="K3929" s="13" t="n">
        <f aca="false">H3929+I3929</f>
        <v>2.99834136</v>
      </c>
      <c r="L3929" s="13" t="n">
        <f aca="false">MAX(0,D3929-K3929)</f>
        <v>1.94165864</v>
      </c>
      <c r="M3929" s="13" t="n">
        <f aca="false">MAX(0,F3929-I3929-J3929)</f>
        <v>0</v>
      </c>
      <c r="N3929" s="13" t="n">
        <f aca="false">IF(Kalender!A269="",0,J3928-H3929)</f>
        <v>0.0180986400000001</v>
      </c>
    </row>
    <row r="3930" customFormat="false" ht="16.4" hidden="false" customHeight="false" outlineLevel="0" collapsed="false">
      <c r="A3930" s="13" t="str">
        <f aca="false">""</f>
        <v/>
      </c>
      <c r="B3930" s="13" t="n">
        <f aca="false">266</f>
        <v>266</v>
      </c>
      <c r="C3930" s="13" t="n">
        <f aca="false">IF(Szenarien!$H$21="OK",(IFERROR(SUMIF(Nutzungsprofile!$B$6:$B$11,"Schulbetrieb",Nutzungsprofile!$G$6:$G$11)*Kalender!C270/SUM(Kalender!$C$5:$C$370),0)+IFERROR(SUMIF(Nutzungsprofile!$B$6:$B$11,"Halle",Nutzungsprofile!$G$6:$G$11)*Kalender!D270/SUM(Kalender!$D$5:$D$370),0)+IFERROR(SUMIF(Nutzungsprofile!$B$6:$B$11,"Individuell",Nutzungsprofile!$G$6:$G$11)*Kalender!E270/SUM(Kalender!$E$5:$E$370),0))*Szenarien!$E$21,0)</f>
        <v>3.528</v>
      </c>
      <c r="D3930" s="13" t="n">
        <f aca="false">IF(Szenarien!$H$21="OK",(IFERROR(SUMIF(Nutzungsprofile!$B$17:$B$22,"Schulbetrieb",Nutzungsprofile!$G$17:$G$22)*Kalender!C270/SUM(Kalender!$C$5:$C$370),0)+IFERROR(SUMIF(Nutzungsprofile!$B$17:$B$22,"Halle",Nutzungsprofile!$G$17:$G$22)*Kalender!D270/SUM(Kalender!$D$5:$D$370),0)+IFERROR(SUMIF(Nutzungsprofile!$B$17:$B$22,"Individuell",Nutzungsprofile!$G$17:$G$22)*Kalender!E270/SUM(Kalender!$E$5:$E$370),0))*Szenarien!$D$21,0)</f>
        <v>4.94</v>
      </c>
      <c r="E3930" s="13" t="n">
        <f aca="false">IFERROR(MIN(C3930,Eingaben!$B$17)*Eingaben!$B$16,0)</f>
        <v>3.3516</v>
      </c>
      <c r="F3930" s="13" t="n">
        <f aca="false">IFERROR(E3930*Eingaben!$B$15,0)</f>
        <v>3.01644</v>
      </c>
      <c r="G3930" s="13" t="n">
        <f aca="false">IFERROR(IF(Kalender!A270="",0,J3929*(1-Eingaben!$B$20)),0)</f>
        <v>0.88683336</v>
      </c>
      <c r="H3930" s="13" t="n">
        <f aca="false">MIN(G3930,D3930)</f>
        <v>0.88683336</v>
      </c>
      <c r="I3930" s="13" t="n">
        <f aca="false">IFERROR(MIN(F3930*Eingaben!$B$19,MAX(0,D3930-H3930)),0)</f>
        <v>2.111508</v>
      </c>
      <c r="J3930" s="13" t="n">
        <f aca="false">IFERROR(MIN(Eingaben!$B$18,MAX(0,F3930-I3930)),0)</f>
        <v>0.904932</v>
      </c>
      <c r="K3930" s="13" t="n">
        <f aca="false">H3930+I3930</f>
        <v>2.99834136</v>
      </c>
      <c r="L3930" s="13" t="n">
        <f aca="false">MAX(0,D3930-K3930)</f>
        <v>1.94165864</v>
      </c>
      <c r="M3930" s="13" t="n">
        <f aca="false">MAX(0,F3930-I3930-J3930)</f>
        <v>0</v>
      </c>
      <c r="N3930" s="13" t="n">
        <f aca="false">IF(Kalender!A270="",0,J3929-H3930)</f>
        <v>0.0180986400000001</v>
      </c>
    </row>
    <row r="3931" customFormat="false" ht="16.4" hidden="false" customHeight="false" outlineLevel="0" collapsed="false">
      <c r="A3931" s="13" t="str">
        <f aca="false">""</f>
        <v/>
      </c>
      <c r="B3931" s="13" t="n">
        <f aca="false">267</f>
        <v>267</v>
      </c>
      <c r="C3931" s="13" t="n">
        <f aca="false">IF(Szenarien!$H$21="OK",(IFERROR(SUMIF(Nutzungsprofile!$B$6:$B$11,"Schulbetrieb",Nutzungsprofile!$G$6:$G$11)*Kalender!C271/SUM(Kalender!$C$5:$C$370),0)+IFERROR(SUMIF(Nutzungsprofile!$B$6:$B$11,"Halle",Nutzungsprofile!$G$6:$G$11)*Kalender!D271/SUM(Kalender!$D$5:$D$370),0)+IFERROR(SUMIF(Nutzungsprofile!$B$6:$B$11,"Individuell",Nutzungsprofile!$G$6:$G$11)*Kalender!E271/SUM(Kalender!$E$5:$E$370),0))*Szenarien!$E$21,0)</f>
        <v>3.528</v>
      </c>
      <c r="D3931" s="13" t="n">
        <f aca="false">IF(Szenarien!$H$21="OK",(IFERROR(SUMIF(Nutzungsprofile!$B$17:$B$22,"Schulbetrieb",Nutzungsprofile!$G$17:$G$22)*Kalender!C271/SUM(Kalender!$C$5:$C$370),0)+IFERROR(SUMIF(Nutzungsprofile!$B$17:$B$22,"Halle",Nutzungsprofile!$G$17:$G$22)*Kalender!D271/SUM(Kalender!$D$5:$D$370),0)+IFERROR(SUMIF(Nutzungsprofile!$B$17:$B$22,"Individuell",Nutzungsprofile!$G$17:$G$22)*Kalender!E271/SUM(Kalender!$E$5:$E$370),0))*Szenarien!$D$21,0)</f>
        <v>4.94</v>
      </c>
      <c r="E3931" s="13" t="n">
        <f aca="false">IFERROR(MIN(C3931,Eingaben!$B$17)*Eingaben!$B$16,0)</f>
        <v>3.3516</v>
      </c>
      <c r="F3931" s="13" t="n">
        <f aca="false">IFERROR(E3931*Eingaben!$B$15,0)</f>
        <v>3.01644</v>
      </c>
      <c r="G3931" s="13" t="n">
        <f aca="false">IFERROR(IF(Kalender!A271="",0,J3930*(1-Eingaben!$B$20)),0)</f>
        <v>0.88683336</v>
      </c>
      <c r="H3931" s="13" t="n">
        <f aca="false">MIN(G3931,D3931)</f>
        <v>0.88683336</v>
      </c>
      <c r="I3931" s="13" t="n">
        <f aca="false">IFERROR(MIN(F3931*Eingaben!$B$19,MAX(0,D3931-H3931)),0)</f>
        <v>2.111508</v>
      </c>
      <c r="J3931" s="13" t="n">
        <f aca="false">IFERROR(MIN(Eingaben!$B$18,MAX(0,F3931-I3931)),0)</f>
        <v>0.904932</v>
      </c>
      <c r="K3931" s="13" t="n">
        <f aca="false">H3931+I3931</f>
        <v>2.99834136</v>
      </c>
      <c r="L3931" s="13" t="n">
        <f aca="false">MAX(0,D3931-K3931)</f>
        <v>1.94165864</v>
      </c>
      <c r="M3931" s="13" t="n">
        <f aca="false">MAX(0,F3931-I3931-J3931)</f>
        <v>0</v>
      </c>
      <c r="N3931" s="13" t="n">
        <f aca="false">IF(Kalender!A271="",0,J3930-H3931)</f>
        <v>0.0180986400000001</v>
      </c>
    </row>
    <row r="3932" customFormat="false" ht="16.4" hidden="false" customHeight="false" outlineLevel="0" collapsed="false">
      <c r="A3932" s="13" t="str">
        <f aca="false">""</f>
        <v/>
      </c>
      <c r="B3932" s="13" t="n">
        <f aca="false">268</f>
        <v>268</v>
      </c>
      <c r="C3932" s="13" t="n">
        <f aca="false">IF(Szenarien!$H$21="OK",(IFERROR(SUMIF(Nutzungsprofile!$B$6:$B$11,"Schulbetrieb",Nutzungsprofile!$G$6:$G$11)*Kalender!C272/SUM(Kalender!$C$5:$C$370),0)+IFERROR(SUMIF(Nutzungsprofile!$B$6:$B$11,"Halle",Nutzungsprofile!$G$6:$G$11)*Kalender!D272/SUM(Kalender!$D$5:$D$370),0)+IFERROR(SUMIF(Nutzungsprofile!$B$6:$B$11,"Individuell",Nutzungsprofile!$G$6:$G$11)*Kalender!E272/SUM(Kalender!$E$5:$E$370),0))*Szenarien!$E$21,0)</f>
        <v>3.528</v>
      </c>
      <c r="D3932" s="13" t="n">
        <f aca="false">IF(Szenarien!$H$21="OK",(IFERROR(SUMIF(Nutzungsprofile!$B$17:$B$22,"Schulbetrieb",Nutzungsprofile!$G$17:$G$22)*Kalender!C272/SUM(Kalender!$C$5:$C$370),0)+IFERROR(SUMIF(Nutzungsprofile!$B$17:$B$22,"Halle",Nutzungsprofile!$G$17:$G$22)*Kalender!D272/SUM(Kalender!$D$5:$D$370),0)+IFERROR(SUMIF(Nutzungsprofile!$B$17:$B$22,"Individuell",Nutzungsprofile!$G$17:$G$22)*Kalender!E272/SUM(Kalender!$E$5:$E$370),0))*Szenarien!$D$21,0)</f>
        <v>4.94</v>
      </c>
      <c r="E3932" s="13" t="n">
        <f aca="false">IFERROR(MIN(C3932,Eingaben!$B$17)*Eingaben!$B$16,0)</f>
        <v>3.3516</v>
      </c>
      <c r="F3932" s="13" t="n">
        <f aca="false">IFERROR(E3932*Eingaben!$B$15,0)</f>
        <v>3.01644</v>
      </c>
      <c r="G3932" s="13" t="n">
        <f aca="false">IFERROR(IF(Kalender!A272="",0,J3931*(1-Eingaben!$B$20)),0)</f>
        <v>0.88683336</v>
      </c>
      <c r="H3932" s="13" t="n">
        <f aca="false">MIN(G3932,D3932)</f>
        <v>0.88683336</v>
      </c>
      <c r="I3932" s="13" t="n">
        <f aca="false">IFERROR(MIN(F3932*Eingaben!$B$19,MAX(0,D3932-H3932)),0)</f>
        <v>2.111508</v>
      </c>
      <c r="J3932" s="13" t="n">
        <f aca="false">IFERROR(MIN(Eingaben!$B$18,MAX(0,F3932-I3932)),0)</f>
        <v>0.904932</v>
      </c>
      <c r="K3932" s="13" t="n">
        <f aca="false">H3932+I3932</f>
        <v>2.99834136</v>
      </c>
      <c r="L3932" s="13" t="n">
        <f aca="false">MAX(0,D3932-K3932)</f>
        <v>1.94165864</v>
      </c>
      <c r="M3932" s="13" t="n">
        <f aca="false">MAX(0,F3932-I3932-J3932)</f>
        <v>0</v>
      </c>
      <c r="N3932" s="13" t="n">
        <f aca="false">IF(Kalender!A272="",0,J3931-H3932)</f>
        <v>0.0180986400000001</v>
      </c>
    </row>
    <row r="3933" customFormat="false" ht="16.4" hidden="false" customHeight="false" outlineLevel="0" collapsed="false">
      <c r="A3933" s="13" t="str">
        <f aca="false">""</f>
        <v/>
      </c>
      <c r="B3933" s="13" t="n">
        <f aca="false">269</f>
        <v>269</v>
      </c>
      <c r="C3933" s="13" t="n">
        <f aca="false">IF(Szenarien!$H$21="OK",(IFERROR(SUMIF(Nutzungsprofile!$B$6:$B$11,"Schulbetrieb",Nutzungsprofile!$G$6:$G$11)*Kalender!C273/SUM(Kalender!$C$5:$C$370),0)+IFERROR(SUMIF(Nutzungsprofile!$B$6:$B$11,"Halle",Nutzungsprofile!$G$6:$G$11)*Kalender!D273/SUM(Kalender!$D$5:$D$370),0)+IFERROR(SUMIF(Nutzungsprofile!$B$6:$B$11,"Individuell",Nutzungsprofile!$G$6:$G$11)*Kalender!E273/SUM(Kalender!$E$5:$E$370),0))*Szenarien!$E$21,0)</f>
        <v>2.448</v>
      </c>
      <c r="D3933" s="13" t="n">
        <f aca="false">IF(Szenarien!$H$21="OK",(IFERROR(SUMIF(Nutzungsprofile!$B$17:$B$22,"Schulbetrieb",Nutzungsprofile!$G$17:$G$22)*Kalender!C273/SUM(Kalender!$C$5:$C$370),0)+IFERROR(SUMIF(Nutzungsprofile!$B$17:$B$22,"Halle",Nutzungsprofile!$G$17:$G$22)*Kalender!D273/SUM(Kalender!$D$5:$D$370),0)+IFERROR(SUMIF(Nutzungsprofile!$B$17:$B$22,"Individuell",Nutzungsprofile!$G$17:$G$22)*Kalender!E273/SUM(Kalender!$E$5:$E$370),0))*Szenarien!$D$21,0)</f>
        <v>0.89</v>
      </c>
      <c r="E3933" s="13" t="n">
        <f aca="false">IFERROR(MIN(C3933,Eingaben!$B$17)*Eingaben!$B$16,0)</f>
        <v>2.3256</v>
      </c>
      <c r="F3933" s="13" t="n">
        <f aca="false">IFERROR(E3933*Eingaben!$B$15,0)</f>
        <v>2.09304</v>
      </c>
      <c r="G3933" s="13" t="n">
        <f aca="false">IFERROR(IF(Kalender!A273="",0,J3932*(1-Eingaben!$B$20)),0)</f>
        <v>0.88683336</v>
      </c>
      <c r="H3933" s="13" t="n">
        <f aca="false">MIN(G3933,D3933)</f>
        <v>0.88683336</v>
      </c>
      <c r="I3933" s="13" t="n">
        <f aca="false">IFERROR(MIN(F3933*Eingaben!$B$19,MAX(0,D3933-H3933)),0)</f>
        <v>0.00316664</v>
      </c>
      <c r="J3933" s="13" t="n">
        <f aca="false">IFERROR(MIN(Eingaben!$B$18,MAX(0,F3933-I3933)),0)</f>
        <v>2</v>
      </c>
      <c r="K3933" s="13" t="n">
        <f aca="false">H3933+I3933</f>
        <v>0.89</v>
      </c>
      <c r="L3933" s="13" t="n">
        <f aca="false">MAX(0,D3933-K3933)</f>
        <v>0</v>
      </c>
      <c r="M3933" s="13" t="n">
        <f aca="false">MAX(0,F3933-I3933-J3933)</f>
        <v>0.0898733599999999</v>
      </c>
      <c r="N3933" s="13" t="n">
        <f aca="false">IF(Kalender!A273="",0,J3932-H3933)</f>
        <v>0.0180986400000001</v>
      </c>
    </row>
    <row r="3934" customFormat="false" ht="16.4" hidden="false" customHeight="false" outlineLevel="0" collapsed="false">
      <c r="A3934" s="13" t="str">
        <f aca="false">""</f>
        <v/>
      </c>
      <c r="B3934" s="13" t="n">
        <f aca="false">270</f>
        <v>270</v>
      </c>
      <c r="C3934" s="13" t="n">
        <f aca="false">IF(Szenarien!$H$21="OK",(IFERROR(SUMIF(Nutzungsprofile!$B$6:$B$11,"Schulbetrieb",Nutzungsprofile!$G$6:$G$11)*Kalender!C274/SUM(Kalender!$C$5:$C$370),0)+IFERROR(SUMIF(Nutzungsprofile!$B$6:$B$11,"Halle",Nutzungsprofile!$G$6:$G$11)*Kalender!D274/SUM(Kalender!$D$5:$D$370),0)+IFERROR(SUMIF(Nutzungsprofile!$B$6:$B$11,"Individuell",Nutzungsprofile!$G$6:$G$11)*Kalender!E274/SUM(Kalender!$E$5:$E$370),0))*Szenarien!$E$21,0)</f>
        <v>2.448</v>
      </c>
      <c r="D3934" s="13" t="n">
        <f aca="false">IF(Szenarien!$H$21="OK",(IFERROR(SUMIF(Nutzungsprofile!$B$17:$B$22,"Schulbetrieb",Nutzungsprofile!$G$17:$G$22)*Kalender!C274/SUM(Kalender!$C$5:$C$370),0)+IFERROR(SUMIF(Nutzungsprofile!$B$17:$B$22,"Halle",Nutzungsprofile!$G$17:$G$22)*Kalender!D274/SUM(Kalender!$D$5:$D$370),0)+IFERROR(SUMIF(Nutzungsprofile!$B$17:$B$22,"Individuell",Nutzungsprofile!$G$17:$G$22)*Kalender!E274/SUM(Kalender!$E$5:$E$370),0))*Szenarien!$D$21,0)</f>
        <v>0.89</v>
      </c>
      <c r="E3934" s="13" t="n">
        <f aca="false">IFERROR(MIN(C3934,Eingaben!$B$17)*Eingaben!$B$16,0)</f>
        <v>2.3256</v>
      </c>
      <c r="F3934" s="13" t="n">
        <f aca="false">IFERROR(E3934*Eingaben!$B$15,0)</f>
        <v>2.09304</v>
      </c>
      <c r="G3934" s="13" t="n">
        <f aca="false">IFERROR(IF(Kalender!A274="",0,J3933*(1-Eingaben!$B$20)),0)</f>
        <v>1.96</v>
      </c>
      <c r="H3934" s="13" t="n">
        <f aca="false">MIN(G3934,D3934)</f>
        <v>0.89</v>
      </c>
      <c r="I3934" s="13" t="n">
        <f aca="false">IFERROR(MIN(F3934*Eingaben!$B$19,MAX(0,D3934-H3934)),0)</f>
        <v>0</v>
      </c>
      <c r="J3934" s="13" t="n">
        <f aca="false">IFERROR(MIN(Eingaben!$B$18,MAX(0,F3934-I3934)),0)</f>
        <v>2</v>
      </c>
      <c r="K3934" s="13" t="n">
        <f aca="false">H3934+I3934</f>
        <v>0.89</v>
      </c>
      <c r="L3934" s="13" t="n">
        <f aca="false">MAX(0,D3934-K3934)</f>
        <v>0</v>
      </c>
      <c r="M3934" s="13" t="n">
        <f aca="false">MAX(0,F3934-I3934-J3934)</f>
        <v>0.0930399999999998</v>
      </c>
      <c r="N3934" s="13" t="n">
        <f aca="false">IF(Kalender!A274="",0,J3933-H3934)</f>
        <v>1.11</v>
      </c>
    </row>
    <row r="3935" customFormat="false" ht="16.4" hidden="false" customHeight="false" outlineLevel="0" collapsed="false">
      <c r="A3935" s="13" t="str">
        <f aca="false">""</f>
        <v/>
      </c>
      <c r="B3935" s="13" t="n">
        <f aca="false">271</f>
        <v>271</v>
      </c>
      <c r="C3935" s="13" t="n">
        <f aca="false">IF(Szenarien!$H$21="OK",(IFERROR(SUMIF(Nutzungsprofile!$B$6:$B$11,"Schulbetrieb",Nutzungsprofile!$G$6:$G$11)*Kalender!C275/SUM(Kalender!$C$5:$C$370),0)+IFERROR(SUMIF(Nutzungsprofile!$B$6:$B$11,"Halle",Nutzungsprofile!$G$6:$G$11)*Kalender!D275/SUM(Kalender!$D$5:$D$370),0)+IFERROR(SUMIF(Nutzungsprofile!$B$6:$B$11,"Individuell",Nutzungsprofile!$G$6:$G$11)*Kalender!E275/SUM(Kalender!$E$5:$E$370),0))*Szenarien!$E$21,0)</f>
        <v>3.528</v>
      </c>
      <c r="D3935" s="13" t="n">
        <f aca="false">IF(Szenarien!$H$21="OK",(IFERROR(SUMIF(Nutzungsprofile!$B$17:$B$22,"Schulbetrieb",Nutzungsprofile!$G$17:$G$22)*Kalender!C275/SUM(Kalender!$C$5:$C$370),0)+IFERROR(SUMIF(Nutzungsprofile!$B$17:$B$22,"Halle",Nutzungsprofile!$G$17:$G$22)*Kalender!D275/SUM(Kalender!$D$5:$D$370),0)+IFERROR(SUMIF(Nutzungsprofile!$B$17:$B$22,"Individuell",Nutzungsprofile!$G$17:$G$22)*Kalender!E275/SUM(Kalender!$E$5:$E$370),0))*Szenarien!$D$21,0)</f>
        <v>4.94</v>
      </c>
      <c r="E3935" s="13" t="n">
        <f aca="false">IFERROR(MIN(C3935,Eingaben!$B$17)*Eingaben!$B$16,0)</f>
        <v>3.3516</v>
      </c>
      <c r="F3935" s="13" t="n">
        <f aca="false">IFERROR(E3935*Eingaben!$B$15,0)</f>
        <v>3.01644</v>
      </c>
      <c r="G3935" s="13" t="n">
        <f aca="false">IFERROR(IF(Kalender!A275="",0,J3934*(1-Eingaben!$B$20)),0)</f>
        <v>1.96</v>
      </c>
      <c r="H3935" s="13" t="n">
        <f aca="false">MIN(G3935,D3935)</f>
        <v>1.96</v>
      </c>
      <c r="I3935" s="13" t="n">
        <f aca="false">IFERROR(MIN(F3935*Eingaben!$B$19,MAX(0,D3935-H3935)),0)</f>
        <v>2.111508</v>
      </c>
      <c r="J3935" s="13" t="n">
        <f aca="false">IFERROR(MIN(Eingaben!$B$18,MAX(0,F3935-I3935)),0)</f>
        <v>0.904932</v>
      </c>
      <c r="K3935" s="13" t="n">
        <f aca="false">H3935+I3935</f>
        <v>4.071508</v>
      </c>
      <c r="L3935" s="13" t="n">
        <f aca="false">MAX(0,D3935-K3935)</f>
        <v>0.868492</v>
      </c>
      <c r="M3935" s="13" t="n">
        <f aca="false">MAX(0,F3935-I3935-J3935)</f>
        <v>0</v>
      </c>
      <c r="N3935" s="13" t="n">
        <f aca="false">IF(Kalender!A275="",0,J3934-H3935)</f>
        <v>0.04</v>
      </c>
    </row>
    <row r="3936" customFormat="false" ht="16.4" hidden="false" customHeight="false" outlineLevel="0" collapsed="false">
      <c r="A3936" s="13" t="str">
        <f aca="false">""</f>
        <v/>
      </c>
      <c r="B3936" s="13" t="n">
        <f aca="false">272</f>
        <v>272</v>
      </c>
      <c r="C3936" s="13" t="n">
        <f aca="false">IF(Szenarien!$H$21="OK",(IFERROR(SUMIF(Nutzungsprofile!$B$6:$B$11,"Schulbetrieb",Nutzungsprofile!$G$6:$G$11)*Kalender!C276/SUM(Kalender!$C$5:$C$370),0)+IFERROR(SUMIF(Nutzungsprofile!$B$6:$B$11,"Halle",Nutzungsprofile!$G$6:$G$11)*Kalender!D276/SUM(Kalender!$D$5:$D$370),0)+IFERROR(SUMIF(Nutzungsprofile!$B$6:$B$11,"Individuell",Nutzungsprofile!$G$6:$G$11)*Kalender!E276/SUM(Kalender!$E$5:$E$370),0))*Szenarien!$E$21,0)</f>
        <v>3.528</v>
      </c>
      <c r="D3936" s="13" t="n">
        <f aca="false">IF(Szenarien!$H$21="OK",(IFERROR(SUMIF(Nutzungsprofile!$B$17:$B$22,"Schulbetrieb",Nutzungsprofile!$G$17:$G$22)*Kalender!C276/SUM(Kalender!$C$5:$C$370),0)+IFERROR(SUMIF(Nutzungsprofile!$B$17:$B$22,"Halle",Nutzungsprofile!$G$17:$G$22)*Kalender!D276/SUM(Kalender!$D$5:$D$370),0)+IFERROR(SUMIF(Nutzungsprofile!$B$17:$B$22,"Individuell",Nutzungsprofile!$G$17:$G$22)*Kalender!E276/SUM(Kalender!$E$5:$E$370),0))*Szenarien!$D$21,0)</f>
        <v>4.94</v>
      </c>
      <c r="E3936" s="13" t="n">
        <f aca="false">IFERROR(MIN(C3936,Eingaben!$B$17)*Eingaben!$B$16,0)</f>
        <v>3.3516</v>
      </c>
      <c r="F3936" s="13" t="n">
        <f aca="false">IFERROR(E3936*Eingaben!$B$15,0)</f>
        <v>3.01644</v>
      </c>
      <c r="G3936" s="13" t="n">
        <f aca="false">IFERROR(IF(Kalender!A276="",0,J3935*(1-Eingaben!$B$20)),0)</f>
        <v>0.88683336</v>
      </c>
      <c r="H3936" s="13" t="n">
        <f aca="false">MIN(G3936,D3936)</f>
        <v>0.88683336</v>
      </c>
      <c r="I3936" s="13" t="n">
        <f aca="false">IFERROR(MIN(F3936*Eingaben!$B$19,MAX(0,D3936-H3936)),0)</f>
        <v>2.111508</v>
      </c>
      <c r="J3936" s="13" t="n">
        <f aca="false">IFERROR(MIN(Eingaben!$B$18,MAX(0,F3936-I3936)),0)</f>
        <v>0.904932</v>
      </c>
      <c r="K3936" s="13" t="n">
        <f aca="false">H3936+I3936</f>
        <v>2.99834136</v>
      </c>
      <c r="L3936" s="13" t="n">
        <f aca="false">MAX(0,D3936-K3936)</f>
        <v>1.94165864</v>
      </c>
      <c r="M3936" s="13" t="n">
        <f aca="false">MAX(0,F3936-I3936-J3936)</f>
        <v>0</v>
      </c>
      <c r="N3936" s="13" t="n">
        <f aca="false">IF(Kalender!A276="",0,J3935-H3936)</f>
        <v>0.0180986400000001</v>
      </c>
    </row>
    <row r="3937" customFormat="false" ht="16.4" hidden="false" customHeight="false" outlineLevel="0" collapsed="false">
      <c r="A3937" s="13" t="str">
        <f aca="false">""</f>
        <v/>
      </c>
      <c r="B3937" s="13" t="n">
        <f aca="false">273</f>
        <v>273</v>
      </c>
      <c r="C3937" s="13" t="n">
        <f aca="false">IF(Szenarien!$H$21="OK",(IFERROR(SUMIF(Nutzungsprofile!$B$6:$B$11,"Schulbetrieb",Nutzungsprofile!$G$6:$G$11)*Kalender!C277/SUM(Kalender!$C$5:$C$370),0)+IFERROR(SUMIF(Nutzungsprofile!$B$6:$B$11,"Halle",Nutzungsprofile!$G$6:$G$11)*Kalender!D277/SUM(Kalender!$D$5:$D$370),0)+IFERROR(SUMIF(Nutzungsprofile!$B$6:$B$11,"Individuell",Nutzungsprofile!$G$6:$G$11)*Kalender!E277/SUM(Kalender!$E$5:$E$370),0))*Szenarien!$E$21,0)</f>
        <v>3.528</v>
      </c>
      <c r="D3937" s="13" t="n">
        <f aca="false">IF(Szenarien!$H$21="OK",(IFERROR(SUMIF(Nutzungsprofile!$B$17:$B$22,"Schulbetrieb",Nutzungsprofile!$G$17:$G$22)*Kalender!C277/SUM(Kalender!$C$5:$C$370),0)+IFERROR(SUMIF(Nutzungsprofile!$B$17:$B$22,"Halle",Nutzungsprofile!$G$17:$G$22)*Kalender!D277/SUM(Kalender!$D$5:$D$370),0)+IFERROR(SUMIF(Nutzungsprofile!$B$17:$B$22,"Individuell",Nutzungsprofile!$G$17:$G$22)*Kalender!E277/SUM(Kalender!$E$5:$E$370),0))*Szenarien!$D$21,0)</f>
        <v>4.94</v>
      </c>
      <c r="E3937" s="13" t="n">
        <f aca="false">IFERROR(MIN(C3937,Eingaben!$B$17)*Eingaben!$B$16,0)</f>
        <v>3.3516</v>
      </c>
      <c r="F3937" s="13" t="n">
        <f aca="false">IFERROR(E3937*Eingaben!$B$15,0)</f>
        <v>3.01644</v>
      </c>
      <c r="G3937" s="13" t="n">
        <f aca="false">IFERROR(IF(Kalender!A277="",0,J3936*(1-Eingaben!$B$20)),0)</f>
        <v>0.88683336</v>
      </c>
      <c r="H3937" s="13" t="n">
        <f aca="false">MIN(G3937,D3937)</f>
        <v>0.88683336</v>
      </c>
      <c r="I3937" s="13" t="n">
        <f aca="false">IFERROR(MIN(F3937*Eingaben!$B$19,MAX(0,D3937-H3937)),0)</f>
        <v>2.111508</v>
      </c>
      <c r="J3937" s="13" t="n">
        <f aca="false">IFERROR(MIN(Eingaben!$B$18,MAX(0,F3937-I3937)),0)</f>
        <v>0.904932</v>
      </c>
      <c r="K3937" s="13" t="n">
        <f aca="false">H3937+I3937</f>
        <v>2.99834136</v>
      </c>
      <c r="L3937" s="13" t="n">
        <f aca="false">MAX(0,D3937-K3937)</f>
        <v>1.94165864</v>
      </c>
      <c r="M3937" s="13" t="n">
        <f aca="false">MAX(0,F3937-I3937-J3937)</f>
        <v>0</v>
      </c>
      <c r="N3937" s="13" t="n">
        <f aca="false">IF(Kalender!A277="",0,J3936-H3937)</f>
        <v>0.0180986400000001</v>
      </c>
    </row>
    <row r="3938" customFormat="false" ht="16.4" hidden="false" customHeight="false" outlineLevel="0" collapsed="false">
      <c r="A3938" s="13" t="str">
        <f aca="false">""</f>
        <v/>
      </c>
      <c r="B3938" s="13" t="n">
        <f aca="false">274</f>
        <v>274</v>
      </c>
      <c r="C3938" s="13" t="n">
        <f aca="false">IF(Szenarien!$H$21="OK",(IFERROR(SUMIF(Nutzungsprofile!$B$6:$B$11,"Schulbetrieb",Nutzungsprofile!$G$6:$G$11)*Kalender!C278/SUM(Kalender!$C$5:$C$370),0)+IFERROR(SUMIF(Nutzungsprofile!$B$6:$B$11,"Halle",Nutzungsprofile!$G$6:$G$11)*Kalender!D278/SUM(Kalender!$D$5:$D$370),0)+IFERROR(SUMIF(Nutzungsprofile!$B$6:$B$11,"Individuell",Nutzungsprofile!$G$6:$G$11)*Kalender!E278/SUM(Kalender!$E$5:$E$370),0))*Szenarien!$E$21,0)</f>
        <v>3.528</v>
      </c>
      <c r="D3938" s="13" t="n">
        <f aca="false">IF(Szenarien!$H$21="OK",(IFERROR(SUMIF(Nutzungsprofile!$B$17:$B$22,"Schulbetrieb",Nutzungsprofile!$G$17:$G$22)*Kalender!C278/SUM(Kalender!$C$5:$C$370),0)+IFERROR(SUMIF(Nutzungsprofile!$B$17:$B$22,"Halle",Nutzungsprofile!$G$17:$G$22)*Kalender!D278/SUM(Kalender!$D$5:$D$370),0)+IFERROR(SUMIF(Nutzungsprofile!$B$17:$B$22,"Individuell",Nutzungsprofile!$G$17:$G$22)*Kalender!E278/SUM(Kalender!$E$5:$E$370),0))*Szenarien!$D$21,0)</f>
        <v>4.94</v>
      </c>
      <c r="E3938" s="13" t="n">
        <f aca="false">IFERROR(MIN(C3938,Eingaben!$B$17)*Eingaben!$B$16,0)</f>
        <v>3.3516</v>
      </c>
      <c r="F3938" s="13" t="n">
        <f aca="false">IFERROR(E3938*Eingaben!$B$15,0)</f>
        <v>3.01644</v>
      </c>
      <c r="G3938" s="13" t="n">
        <f aca="false">IFERROR(IF(Kalender!A278="",0,J3937*(1-Eingaben!$B$20)),0)</f>
        <v>0.88683336</v>
      </c>
      <c r="H3938" s="13" t="n">
        <f aca="false">MIN(G3938,D3938)</f>
        <v>0.88683336</v>
      </c>
      <c r="I3938" s="13" t="n">
        <f aca="false">IFERROR(MIN(F3938*Eingaben!$B$19,MAX(0,D3938-H3938)),0)</f>
        <v>2.111508</v>
      </c>
      <c r="J3938" s="13" t="n">
        <f aca="false">IFERROR(MIN(Eingaben!$B$18,MAX(0,F3938-I3938)),0)</f>
        <v>0.904932</v>
      </c>
      <c r="K3938" s="13" t="n">
        <f aca="false">H3938+I3938</f>
        <v>2.99834136</v>
      </c>
      <c r="L3938" s="13" t="n">
        <f aca="false">MAX(0,D3938-K3938)</f>
        <v>1.94165864</v>
      </c>
      <c r="M3938" s="13" t="n">
        <f aca="false">MAX(0,F3938-I3938-J3938)</f>
        <v>0</v>
      </c>
      <c r="N3938" s="13" t="n">
        <f aca="false">IF(Kalender!A278="",0,J3937-H3938)</f>
        <v>0.0180986400000001</v>
      </c>
    </row>
    <row r="3939" customFormat="false" ht="16.4" hidden="false" customHeight="false" outlineLevel="0" collapsed="false">
      <c r="A3939" s="13" t="str">
        <f aca="false">""</f>
        <v/>
      </c>
      <c r="B3939" s="13" t="n">
        <f aca="false">275</f>
        <v>275</v>
      </c>
      <c r="C3939" s="13" t="n">
        <f aca="false">IF(Szenarien!$H$21="OK",(IFERROR(SUMIF(Nutzungsprofile!$B$6:$B$11,"Schulbetrieb",Nutzungsprofile!$G$6:$G$11)*Kalender!C279/SUM(Kalender!$C$5:$C$370),0)+IFERROR(SUMIF(Nutzungsprofile!$B$6:$B$11,"Halle",Nutzungsprofile!$G$6:$G$11)*Kalender!D279/SUM(Kalender!$D$5:$D$370),0)+IFERROR(SUMIF(Nutzungsprofile!$B$6:$B$11,"Individuell",Nutzungsprofile!$G$6:$G$11)*Kalender!E279/SUM(Kalender!$E$5:$E$370),0))*Szenarien!$E$21,0)</f>
        <v>3.528</v>
      </c>
      <c r="D3939" s="13" t="n">
        <f aca="false">IF(Szenarien!$H$21="OK",(IFERROR(SUMIF(Nutzungsprofile!$B$17:$B$22,"Schulbetrieb",Nutzungsprofile!$G$17:$G$22)*Kalender!C279/SUM(Kalender!$C$5:$C$370),0)+IFERROR(SUMIF(Nutzungsprofile!$B$17:$B$22,"Halle",Nutzungsprofile!$G$17:$G$22)*Kalender!D279/SUM(Kalender!$D$5:$D$370),0)+IFERROR(SUMIF(Nutzungsprofile!$B$17:$B$22,"Individuell",Nutzungsprofile!$G$17:$G$22)*Kalender!E279/SUM(Kalender!$E$5:$E$370),0))*Szenarien!$D$21,0)</f>
        <v>4.94</v>
      </c>
      <c r="E3939" s="13" t="n">
        <f aca="false">IFERROR(MIN(C3939,Eingaben!$B$17)*Eingaben!$B$16,0)</f>
        <v>3.3516</v>
      </c>
      <c r="F3939" s="13" t="n">
        <f aca="false">IFERROR(E3939*Eingaben!$B$15,0)</f>
        <v>3.01644</v>
      </c>
      <c r="G3939" s="13" t="n">
        <f aca="false">IFERROR(IF(Kalender!A279="",0,J3938*(1-Eingaben!$B$20)),0)</f>
        <v>0.88683336</v>
      </c>
      <c r="H3939" s="13" t="n">
        <f aca="false">MIN(G3939,D3939)</f>
        <v>0.88683336</v>
      </c>
      <c r="I3939" s="13" t="n">
        <f aca="false">IFERROR(MIN(F3939*Eingaben!$B$19,MAX(0,D3939-H3939)),0)</f>
        <v>2.111508</v>
      </c>
      <c r="J3939" s="13" t="n">
        <f aca="false">IFERROR(MIN(Eingaben!$B$18,MAX(0,F3939-I3939)),0)</f>
        <v>0.904932</v>
      </c>
      <c r="K3939" s="13" t="n">
        <f aca="false">H3939+I3939</f>
        <v>2.99834136</v>
      </c>
      <c r="L3939" s="13" t="n">
        <f aca="false">MAX(0,D3939-K3939)</f>
        <v>1.94165864</v>
      </c>
      <c r="M3939" s="13" t="n">
        <f aca="false">MAX(0,F3939-I3939-J3939)</f>
        <v>0</v>
      </c>
      <c r="N3939" s="13" t="n">
        <f aca="false">IF(Kalender!A279="",0,J3938-H3939)</f>
        <v>0.0180986400000001</v>
      </c>
    </row>
    <row r="3940" customFormat="false" ht="16.4" hidden="false" customHeight="false" outlineLevel="0" collapsed="false">
      <c r="A3940" s="13" t="str">
        <f aca="false">""</f>
        <v/>
      </c>
      <c r="B3940" s="13" t="n">
        <f aca="false">276</f>
        <v>276</v>
      </c>
      <c r="C3940" s="13" t="n">
        <f aca="false">IF(Szenarien!$H$21="OK",(IFERROR(SUMIF(Nutzungsprofile!$B$6:$B$11,"Schulbetrieb",Nutzungsprofile!$G$6:$G$11)*Kalender!C280/SUM(Kalender!$C$5:$C$370),0)+IFERROR(SUMIF(Nutzungsprofile!$B$6:$B$11,"Halle",Nutzungsprofile!$G$6:$G$11)*Kalender!D280/SUM(Kalender!$D$5:$D$370),0)+IFERROR(SUMIF(Nutzungsprofile!$B$6:$B$11,"Individuell",Nutzungsprofile!$G$6:$G$11)*Kalender!E280/SUM(Kalender!$E$5:$E$370),0))*Szenarien!$E$21,0)</f>
        <v>2.448</v>
      </c>
      <c r="D3940" s="13" t="n">
        <f aca="false">IF(Szenarien!$H$21="OK",(IFERROR(SUMIF(Nutzungsprofile!$B$17:$B$22,"Schulbetrieb",Nutzungsprofile!$G$17:$G$22)*Kalender!C280/SUM(Kalender!$C$5:$C$370),0)+IFERROR(SUMIF(Nutzungsprofile!$B$17:$B$22,"Halle",Nutzungsprofile!$G$17:$G$22)*Kalender!D280/SUM(Kalender!$D$5:$D$370),0)+IFERROR(SUMIF(Nutzungsprofile!$B$17:$B$22,"Individuell",Nutzungsprofile!$G$17:$G$22)*Kalender!E280/SUM(Kalender!$E$5:$E$370),0))*Szenarien!$D$21,0)</f>
        <v>0.89</v>
      </c>
      <c r="E3940" s="13" t="n">
        <f aca="false">IFERROR(MIN(C3940,Eingaben!$B$17)*Eingaben!$B$16,0)</f>
        <v>2.3256</v>
      </c>
      <c r="F3940" s="13" t="n">
        <f aca="false">IFERROR(E3940*Eingaben!$B$15,0)</f>
        <v>2.09304</v>
      </c>
      <c r="G3940" s="13" t="n">
        <f aca="false">IFERROR(IF(Kalender!A280="",0,J3939*(1-Eingaben!$B$20)),0)</f>
        <v>0.88683336</v>
      </c>
      <c r="H3940" s="13" t="n">
        <f aca="false">MIN(G3940,D3940)</f>
        <v>0.88683336</v>
      </c>
      <c r="I3940" s="13" t="n">
        <f aca="false">IFERROR(MIN(F3940*Eingaben!$B$19,MAX(0,D3940-H3940)),0)</f>
        <v>0.00316664</v>
      </c>
      <c r="J3940" s="13" t="n">
        <f aca="false">IFERROR(MIN(Eingaben!$B$18,MAX(0,F3940-I3940)),0)</f>
        <v>2</v>
      </c>
      <c r="K3940" s="13" t="n">
        <f aca="false">H3940+I3940</f>
        <v>0.89</v>
      </c>
      <c r="L3940" s="13" t="n">
        <f aca="false">MAX(0,D3940-K3940)</f>
        <v>0</v>
      </c>
      <c r="M3940" s="13" t="n">
        <f aca="false">MAX(0,F3940-I3940-J3940)</f>
        <v>0.0898733599999999</v>
      </c>
      <c r="N3940" s="13" t="n">
        <f aca="false">IF(Kalender!A280="",0,J3939-H3940)</f>
        <v>0.0180986400000001</v>
      </c>
    </row>
    <row r="3941" customFormat="false" ht="16.4" hidden="false" customHeight="false" outlineLevel="0" collapsed="false">
      <c r="A3941" s="13" t="str">
        <f aca="false">""</f>
        <v/>
      </c>
      <c r="B3941" s="13" t="n">
        <f aca="false">277</f>
        <v>277</v>
      </c>
      <c r="C3941" s="13" t="n">
        <f aca="false">IF(Szenarien!$H$21="OK",(IFERROR(SUMIF(Nutzungsprofile!$B$6:$B$11,"Schulbetrieb",Nutzungsprofile!$G$6:$G$11)*Kalender!C281/SUM(Kalender!$C$5:$C$370),0)+IFERROR(SUMIF(Nutzungsprofile!$B$6:$B$11,"Halle",Nutzungsprofile!$G$6:$G$11)*Kalender!D281/SUM(Kalender!$D$5:$D$370),0)+IFERROR(SUMIF(Nutzungsprofile!$B$6:$B$11,"Individuell",Nutzungsprofile!$G$6:$G$11)*Kalender!E281/SUM(Kalender!$E$5:$E$370),0))*Szenarien!$E$21,0)</f>
        <v>2.448</v>
      </c>
      <c r="D3941" s="13" t="n">
        <f aca="false">IF(Szenarien!$H$21="OK",(IFERROR(SUMIF(Nutzungsprofile!$B$17:$B$22,"Schulbetrieb",Nutzungsprofile!$G$17:$G$22)*Kalender!C281/SUM(Kalender!$C$5:$C$370),0)+IFERROR(SUMIF(Nutzungsprofile!$B$17:$B$22,"Halle",Nutzungsprofile!$G$17:$G$22)*Kalender!D281/SUM(Kalender!$D$5:$D$370),0)+IFERROR(SUMIF(Nutzungsprofile!$B$17:$B$22,"Individuell",Nutzungsprofile!$G$17:$G$22)*Kalender!E281/SUM(Kalender!$E$5:$E$370),0))*Szenarien!$D$21,0)</f>
        <v>0.89</v>
      </c>
      <c r="E3941" s="13" t="n">
        <f aca="false">IFERROR(MIN(C3941,Eingaben!$B$17)*Eingaben!$B$16,0)</f>
        <v>2.3256</v>
      </c>
      <c r="F3941" s="13" t="n">
        <f aca="false">IFERROR(E3941*Eingaben!$B$15,0)</f>
        <v>2.09304</v>
      </c>
      <c r="G3941" s="13" t="n">
        <f aca="false">IFERROR(IF(Kalender!A281="",0,J3940*(1-Eingaben!$B$20)),0)</f>
        <v>1.96</v>
      </c>
      <c r="H3941" s="13" t="n">
        <f aca="false">MIN(G3941,D3941)</f>
        <v>0.89</v>
      </c>
      <c r="I3941" s="13" t="n">
        <f aca="false">IFERROR(MIN(F3941*Eingaben!$B$19,MAX(0,D3941-H3941)),0)</f>
        <v>0</v>
      </c>
      <c r="J3941" s="13" t="n">
        <f aca="false">IFERROR(MIN(Eingaben!$B$18,MAX(0,F3941-I3941)),0)</f>
        <v>2</v>
      </c>
      <c r="K3941" s="13" t="n">
        <f aca="false">H3941+I3941</f>
        <v>0.89</v>
      </c>
      <c r="L3941" s="13" t="n">
        <f aca="false">MAX(0,D3941-K3941)</f>
        <v>0</v>
      </c>
      <c r="M3941" s="13" t="n">
        <f aca="false">MAX(0,F3941-I3941-J3941)</f>
        <v>0.0930399999999998</v>
      </c>
      <c r="N3941" s="13" t="n">
        <f aca="false">IF(Kalender!A281="",0,J3940-H3941)</f>
        <v>1.11</v>
      </c>
    </row>
    <row r="3942" customFormat="false" ht="16.4" hidden="false" customHeight="false" outlineLevel="0" collapsed="false">
      <c r="A3942" s="13" t="str">
        <f aca="false">""</f>
        <v/>
      </c>
      <c r="B3942" s="13" t="n">
        <f aca="false">278</f>
        <v>278</v>
      </c>
      <c r="C3942" s="13" t="n">
        <f aca="false">IF(Szenarien!$H$21="OK",(IFERROR(SUMIF(Nutzungsprofile!$B$6:$B$11,"Schulbetrieb",Nutzungsprofile!$G$6:$G$11)*Kalender!C282/SUM(Kalender!$C$5:$C$370),0)+IFERROR(SUMIF(Nutzungsprofile!$B$6:$B$11,"Halle",Nutzungsprofile!$G$6:$G$11)*Kalender!D282/SUM(Kalender!$D$5:$D$370),0)+IFERROR(SUMIF(Nutzungsprofile!$B$6:$B$11,"Individuell",Nutzungsprofile!$G$6:$G$11)*Kalender!E282/SUM(Kalender!$E$5:$E$370),0))*Szenarien!$E$21,0)</f>
        <v>3.528</v>
      </c>
      <c r="D3942" s="13" t="n">
        <f aca="false">IF(Szenarien!$H$21="OK",(IFERROR(SUMIF(Nutzungsprofile!$B$17:$B$22,"Schulbetrieb",Nutzungsprofile!$G$17:$G$22)*Kalender!C282/SUM(Kalender!$C$5:$C$370),0)+IFERROR(SUMIF(Nutzungsprofile!$B$17:$B$22,"Halle",Nutzungsprofile!$G$17:$G$22)*Kalender!D282/SUM(Kalender!$D$5:$D$370),0)+IFERROR(SUMIF(Nutzungsprofile!$B$17:$B$22,"Individuell",Nutzungsprofile!$G$17:$G$22)*Kalender!E282/SUM(Kalender!$E$5:$E$370),0))*Szenarien!$D$21,0)</f>
        <v>4.94</v>
      </c>
      <c r="E3942" s="13" t="n">
        <f aca="false">IFERROR(MIN(C3942,Eingaben!$B$17)*Eingaben!$B$16,0)</f>
        <v>3.3516</v>
      </c>
      <c r="F3942" s="13" t="n">
        <f aca="false">IFERROR(E3942*Eingaben!$B$15,0)</f>
        <v>3.01644</v>
      </c>
      <c r="G3942" s="13" t="n">
        <f aca="false">IFERROR(IF(Kalender!A282="",0,J3941*(1-Eingaben!$B$20)),0)</f>
        <v>1.96</v>
      </c>
      <c r="H3942" s="13" t="n">
        <f aca="false">MIN(G3942,D3942)</f>
        <v>1.96</v>
      </c>
      <c r="I3942" s="13" t="n">
        <f aca="false">IFERROR(MIN(F3942*Eingaben!$B$19,MAX(0,D3942-H3942)),0)</f>
        <v>2.111508</v>
      </c>
      <c r="J3942" s="13" t="n">
        <f aca="false">IFERROR(MIN(Eingaben!$B$18,MAX(0,F3942-I3942)),0)</f>
        <v>0.904932</v>
      </c>
      <c r="K3942" s="13" t="n">
        <f aca="false">H3942+I3942</f>
        <v>4.071508</v>
      </c>
      <c r="L3942" s="13" t="n">
        <f aca="false">MAX(0,D3942-K3942)</f>
        <v>0.868492</v>
      </c>
      <c r="M3942" s="13" t="n">
        <f aca="false">MAX(0,F3942-I3942-J3942)</f>
        <v>0</v>
      </c>
      <c r="N3942" s="13" t="n">
        <f aca="false">IF(Kalender!A282="",0,J3941-H3942)</f>
        <v>0.04</v>
      </c>
    </row>
    <row r="3943" customFormat="false" ht="16.4" hidden="false" customHeight="false" outlineLevel="0" collapsed="false">
      <c r="A3943" s="13" t="str">
        <f aca="false">""</f>
        <v/>
      </c>
      <c r="B3943" s="13" t="n">
        <f aca="false">279</f>
        <v>279</v>
      </c>
      <c r="C3943" s="13" t="n">
        <f aca="false">IF(Szenarien!$H$21="OK",(IFERROR(SUMIF(Nutzungsprofile!$B$6:$B$11,"Schulbetrieb",Nutzungsprofile!$G$6:$G$11)*Kalender!C283/SUM(Kalender!$C$5:$C$370),0)+IFERROR(SUMIF(Nutzungsprofile!$B$6:$B$11,"Halle",Nutzungsprofile!$G$6:$G$11)*Kalender!D283/SUM(Kalender!$D$5:$D$370),0)+IFERROR(SUMIF(Nutzungsprofile!$B$6:$B$11,"Individuell",Nutzungsprofile!$G$6:$G$11)*Kalender!E283/SUM(Kalender!$E$5:$E$370),0))*Szenarien!$E$21,0)</f>
        <v>3.528</v>
      </c>
      <c r="D3943" s="13" t="n">
        <f aca="false">IF(Szenarien!$H$21="OK",(IFERROR(SUMIF(Nutzungsprofile!$B$17:$B$22,"Schulbetrieb",Nutzungsprofile!$G$17:$G$22)*Kalender!C283/SUM(Kalender!$C$5:$C$370),0)+IFERROR(SUMIF(Nutzungsprofile!$B$17:$B$22,"Halle",Nutzungsprofile!$G$17:$G$22)*Kalender!D283/SUM(Kalender!$D$5:$D$370),0)+IFERROR(SUMIF(Nutzungsprofile!$B$17:$B$22,"Individuell",Nutzungsprofile!$G$17:$G$22)*Kalender!E283/SUM(Kalender!$E$5:$E$370),0))*Szenarien!$D$21,0)</f>
        <v>4.94</v>
      </c>
      <c r="E3943" s="13" t="n">
        <f aca="false">IFERROR(MIN(C3943,Eingaben!$B$17)*Eingaben!$B$16,0)</f>
        <v>3.3516</v>
      </c>
      <c r="F3943" s="13" t="n">
        <f aca="false">IFERROR(E3943*Eingaben!$B$15,0)</f>
        <v>3.01644</v>
      </c>
      <c r="G3943" s="13" t="n">
        <f aca="false">IFERROR(IF(Kalender!A283="",0,J3942*(1-Eingaben!$B$20)),0)</f>
        <v>0.88683336</v>
      </c>
      <c r="H3943" s="13" t="n">
        <f aca="false">MIN(G3943,D3943)</f>
        <v>0.88683336</v>
      </c>
      <c r="I3943" s="13" t="n">
        <f aca="false">IFERROR(MIN(F3943*Eingaben!$B$19,MAX(0,D3943-H3943)),0)</f>
        <v>2.111508</v>
      </c>
      <c r="J3943" s="13" t="n">
        <f aca="false">IFERROR(MIN(Eingaben!$B$18,MAX(0,F3943-I3943)),0)</f>
        <v>0.904932</v>
      </c>
      <c r="K3943" s="13" t="n">
        <f aca="false">H3943+I3943</f>
        <v>2.99834136</v>
      </c>
      <c r="L3943" s="13" t="n">
        <f aca="false">MAX(0,D3943-K3943)</f>
        <v>1.94165864</v>
      </c>
      <c r="M3943" s="13" t="n">
        <f aca="false">MAX(0,F3943-I3943-J3943)</f>
        <v>0</v>
      </c>
      <c r="N3943" s="13" t="n">
        <f aca="false">IF(Kalender!A283="",0,J3942-H3943)</f>
        <v>0.0180986400000001</v>
      </c>
    </row>
    <row r="3944" customFormat="false" ht="16.4" hidden="false" customHeight="false" outlineLevel="0" collapsed="false">
      <c r="A3944" s="13" t="str">
        <f aca="false">""</f>
        <v/>
      </c>
      <c r="B3944" s="13" t="n">
        <f aca="false">280</f>
        <v>280</v>
      </c>
      <c r="C3944" s="13" t="n">
        <f aca="false">IF(Szenarien!$H$21="OK",(IFERROR(SUMIF(Nutzungsprofile!$B$6:$B$11,"Schulbetrieb",Nutzungsprofile!$G$6:$G$11)*Kalender!C284/SUM(Kalender!$C$5:$C$370),0)+IFERROR(SUMIF(Nutzungsprofile!$B$6:$B$11,"Halle",Nutzungsprofile!$G$6:$G$11)*Kalender!D284/SUM(Kalender!$D$5:$D$370),0)+IFERROR(SUMIF(Nutzungsprofile!$B$6:$B$11,"Individuell",Nutzungsprofile!$G$6:$G$11)*Kalender!E284/SUM(Kalender!$E$5:$E$370),0))*Szenarien!$E$21,0)</f>
        <v>3.528</v>
      </c>
      <c r="D3944" s="13" t="n">
        <f aca="false">IF(Szenarien!$H$21="OK",(IFERROR(SUMIF(Nutzungsprofile!$B$17:$B$22,"Schulbetrieb",Nutzungsprofile!$G$17:$G$22)*Kalender!C284/SUM(Kalender!$C$5:$C$370),0)+IFERROR(SUMIF(Nutzungsprofile!$B$17:$B$22,"Halle",Nutzungsprofile!$G$17:$G$22)*Kalender!D284/SUM(Kalender!$D$5:$D$370),0)+IFERROR(SUMIF(Nutzungsprofile!$B$17:$B$22,"Individuell",Nutzungsprofile!$G$17:$G$22)*Kalender!E284/SUM(Kalender!$E$5:$E$370),0))*Szenarien!$D$21,0)</f>
        <v>4.94</v>
      </c>
      <c r="E3944" s="13" t="n">
        <f aca="false">IFERROR(MIN(C3944,Eingaben!$B$17)*Eingaben!$B$16,0)</f>
        <v>3.3516</v>
      </c>
      <c r="F3944" s="13" t="n">
        <f aca="false">IFERROR(E3944*Eingaben!$B$15,0)</f>
        <v>3.01644</v>
      </c>
      <c r="G3944" s="13" t="n">
        <f aca="false">IFERROR(IF(Kalender!A284="",0,J3943*(1-Eingaben!$B$20)),0)</f>
        <v>0.88683336</v>
      </c>
      <c r="H3944" s="13" t="n">
        <f aca="false">MIN(G3944,D3944)</f>
        <v>0.88683336</v>
      </c>
      <c r="I3944" s="13" t="n">
        <f aca="false">IFERROR(MIN(F3944*Eingaben!$B$19,MAX(0,D3944-H3944)),0)</f>
        <v>2.111508</v>
      </c>
      <c r="J3944" s="13" t="n">
        <f aca="false">IFERROR(MIN(Eingaben!$B$18,MAX(0,F3944-I3944)),0)</f>
        <v>0.904932</v>
      </c>
      <c r="K3944" s="13" t="n">
        <f aca="false">H3944+I3944</f>
        <v>2.99834136</v>
      </c>
      <c r="L3944" s="13" t="n">
        <f aca="false">MAX(0,D3944-K3944)</f>
        <v>1.94165864</v>
      </c>
      <c r="M3944" s="13" t="n">
        <f aca="false">MAX(0,F3944-I3944-J3944)</f>
        <v>0</v>
      </c>
      <c r="N3944" s="13" t="n">
        <f aca="false">IF(Kalender!A284="",0,J3943-H3944)</f>
        <v>0.0180986400000001</v>
      </c>
    </row>
    <row r="3945" customFormat="false" ht="16.4" hidden="false" customHeight="false" outlineLevel="0" collapsed="false">
      <c r="A3945" s="13" t="str">
        <f aca="false">""</f>
        <v/>
      </c>
      <c r="B3945" s="13" t="n">
        <f aca="false">281</f>
        <v>281</v>
      </c>
      <c r="C3945" s="13" t="n">
        <f aca="false">IF(Szenarien!$H$21="OK",(IFERROR(SUMIF(Nutzungsprofile!$B$6:$B$11,"Schulbetrieb",Nutzungsprofile!$G$6:$G$11)*Kalender!C285/SUM(Kalender!$C$5:$C$370),0)+IFERROR(SUMIF(Nutzungsprofile!$B$6:$B$11,"Halle",Nutzungsprofile!$G$6:$G$11)*Kalender!D285/SUM(Kalender!$D$5:$D$370),0)+IFERROR(SUMIF(Nutzungsprofile!$B$6:$B$11,"Individuell",Nutzungsprofile!$G$6:$G$11)*Kalender!E285/SUM(Kalender!$E$5:$E$370),0))*Szenarien!$E$21,0)</f>
        <v>1.08</v>
      </c>
      <c r="D3945" s="13" t="n">
        <f aca="false">IF(Szenarien!$H$21="OK",(IFERROR(SUMIF(Nutzungsprofile!$B$17:$B$22,"Schulbetrieb",Nutzungsprofile!$G$17:$G$22)*Kalender!C285/SUM(Kalender!$C$5:$C$370),0)+IFERROR(SUMIF(Nutzungsprofile!$B$17:$B$22,"Halle",Nutzungsprofile!$G$17:$G$22)*Kalender!D285/SUM(Kalender!$D$5:$D$370),0)+IFERROR(SUMIF(Nutzungsprofile!$B$17:$B$22,"Individuell",Nutzungsprofile!$G$17:$G$22)*Kalender!E285/SUM(Kalender!$E$5:$E$370),0))*Szenarien!$D$21,0)</f>
        <v>4.05</v>
      </c>
      <c r="E3945" s="13" t="n">
        <f aca="false">IFERROR(MIN(C3945,Eingaben!$B$17)*Eingaben!$B$16,0)</f>
        <v>1.026</v>
      </c>
      <c r="F3945" s="13" t="n">
        <f aca="false">IFERROR(E3945*Eingaben!$B$15,0)</f>
        <v>0.9234</v>
      </c>
      <c r="G3945" s="13" t="n">
        <f aca="false">IFERROR(IF(Kalender!A285="",0,J3944*(1-Eingaben!$B$20)),0)</f>
        <v>0.88683336</v>
      </c>
      <c r="H3945" s="13" t="n">
        <f aca="false">MIN(G3945,D3945)</f>
        <v>0.88683336</v>
      </c>
      <c r="I3945" s="13" t="n">
        <f aca="false">IFERROR(MIN(F3945*Eingaben!$B$19,MAX(0,D3945-H3945)),0)</f>
        <v>0.64638</v>
      </c>
      <c r="J3945" s="13" t="n">
        <f aca="false">IFERROR(MIN(Eingaben!$B$18,MAX(0,F3945-I3945)),0)</f>
        <v>0.27702</v>
      </c>
      <c r="K3945" s="13" t="n">
        <f aca="false">H3945+I3945</f>
        <v>1.53321336</v>
      </c>
      <c r="L3945" s="13" t="n">
        <f aca="false">MAX(0,D3945-K3945)</f>
        <v>2.51678664</v>
      </c>
      <c r="M3945" s="13" t="n">
        <f aca="false">MAX(0,F3945-I3945-J3945)</f>
        <v>0</v>
      </c>
      <c r="N3945" s="13" t="n">
        <f aca="false">IF(Kalender!A285="",0,J3944-H3945)</f>
        <v>0.0180986400000001</v>
      </c>
    </row>
    <row r="3946" customFormat="false" ht="16.4" hidden="false" customHeight="false" outlineLevel="0" collapsed="false">
      <c r="A3946" s="13" t="str">
        <f aca="false">""</f>
        <v/>
      </c>
      <c r="B3946" s="13" t="n">
        <f aca="false">282</f>
        <v>282</v>
      </c>
      <c r="C3946" s="13" t="n">
        <f aca="false">IF(Szenarien!$H$21="OK",(IFERROR(SUMIF(Nutzungsprofile!$B$6:$B$11,"Schulbetrieb",Nutzungsprofile!$G$6:$G$11)*Kalender!C286/SUM(Kalender!$C$5:$C$370),0)+IFERROR(SUMIF(Nutzungsprofile!$B$6:$B$11,"Halle",Nutzungsprofile!$G$6:$G$11)*Kalender!D286/SUM(Kalender!$D$5:$D$370),0)+IFERROR(SUMIF(Nutzungsprofile!$B$6:$B$11,"Individuell",Nutzungsprofile!$G$6:$G$11)*Kalender!E286/SUM(Kalender!$E$5:$E$370),0))*Szenarien!$E$21,0)</f>
        <v>1.08</v>
      </c>
      <c r="D3946" s="13" t="n">
        <f aca="false">IF(Szenarien!$H$21="OK",(IFERROR(SUMIF(Nutzungsprofile!$B$17:$B$22,"Schulbetrieb",Nutzungsprofile!$G$17:$G$22)*Kalender!C286/SUM(Kalender!$C$5:$C$370),0)+IFERROR(SUMIF(Nutzungsprofile!$B$17:$B$22,"Halle",Nutzungsprofile!$G$17:$G$22)*Kalender!D286/SUM(Kalender!$D$5:$D$370),0)+IFERROR(SUMIF(Nutzungsprofile!$B$17:$B$22,"Individuell",Nutzungsprofile!$G$17:$G$22)*Kalender!E286/SUM(Kalender!$E$5:$E$370),0))*Szenarien!$D$21,0)</f>
        <v>4.05</v>
      </c>
      <c r="E3946" s="13" t="n">
        <f aca="false">IFERROR(MIN(C3946,Eingaben!$B$17)*Eingaben!$B$16,0)</f>
        <v>1.026</v>
      </c>
      <c r="F3946" s="13" t="n">
        <f aca="false">IFERROR(E3946*Eingaben!$B$15,0)</f>
        <v>0.9234</v>
      </c>
      <c r="G3946" s="13" t="n">
        <f aca="false">IFERROR(IF(Kalender!A286="",0,J3945*(1-Eingaben!$B$20)),0)</f>
        <v>0.2714796</v>
      </c>
      <c r="H3946" s="13" t="n">
        <f aca="false">MIN(G3946,D3946)</f>
        <v>0.2714796</v>
      </c>
      <c r="I3946" s="13" t="n">
        <f aca="false">IFERROR(MIN(F3946*Eingaben!$B$19,MAX(0,D3946-H3946)),0)</f>
        <v>0.64638</v>
      </c>
      <c r="J3946" s="13" t="n">
        <f aca="false">IFERROR(MIN(Eingaben!$B$18,MAX(0,F3946-I3946)),0)</f>
        <v>0.27702</v>
      </c>
      <c r="K3946" s="13" t="n">
        <f aca="false">H3946+I3946</f>
        <v>0.9178596</v>
      </c>
      <c r="L3946" s="13" t="n">
        <f aca="false">MAX(0,D3946-K3946)</f>
        <v>3.1321404</v>
      </c>
      <c r="M3946" s="13" t="n">
        <f aca="false">MAX(0,F3946-I3946-J3946)</f>
        <v>0</v>
      </c>
      <c r="N3946" s="13" t="n">
        <f aca="false">IF(Kalender!A286="",0,J3945-H3946)</f>
        <v>0.0055404</v>
      </c>
    </row>
    <row r="3947" customFormat="false" ht="16.4" hidden="false" customHeight="false" outlineLevel="0" collapsed="false">
      <c r="A3947" s="13" t="str">
        <f aca="false">""</f>
        <v/>
      </c>
      <c r="B3947" s="13" t="n">
        <f aca="false">283</f>
        <v>283</v>
      </c>
      <c r="C3947" s="13" t="n">
        <f aca="false">IF(Szenarien!$H$21="OK",(IFERROR(SUMIF(Nutzungsprofile!$B$6:$B$11,"Schulbetrieb",Nutzungsprofile!$G$6:$G$11)*Kalender!C287/SUM(Kalender!$C$5:$C$370),0)+IFERROR(SUMIF(Nutzungsprofile!$B$6:$B$11,"Halle",Nutzungsprofile!$G$6:$G$11)*Kalender!D287/SUM(Kalender!$D$5:$D$370),0)+IFERROR(SUMIF(Nutzungsprofile!$B$6:$B$11,"Individuell",Nutzungsprofile!$G$6:$G$11)*Kalender!E287/SUM(Kalender!$E$5:$E$370),0))*Szenarien!$E$21,0)</f>
        <v>0</v>
      </c>
      <c r="D3947" s="13" t="n">
        <f aca="false">IF(Szenarien!$H$21="OK",(IFERROR(SUMIF(Nutzungsprofile!$B$17:$B$22,"Schulbetrieb",Nutzungsprofile!$G$17:$G$22)*Kalender!C287/SUM(Kalender!$C$5:$C$370),0)+IFERROR(SUMIF(Nutzungsprofile!$B$17:$B$22,"Halle",Nutzungsprofile!$G$17:$G$22)*Kalender!D287/SUM(Kalender!$D$5:$D$370),0)+IFERROR(SUMIF(Nutzungsprofile!$B$17:$B$22,"Individuell",Nutzungsprofile!$G$17:$G$22)*Kalender!E287/SUM(Kalender!$E$5:$E$370),0))*Szenarien!$D$21,0)</f>
        <v>0</v>
      </c>
      <c r="E3947" s="13" t="n">
        <f aca="false">IFERROR(MIN(C3947,Eingaben!$B$17)*Eingaben!$B$16,0)</f>
        <v>0</v>
      </c>
      <c r="F3947" s="13" t="n">
        <f aca="false">IFERROR(E3947*Eingaben!$B$15,0)</f>
        <v>0</v>
      </c>
      <c r="G3947" s="13" t="n">
        <f aca="false">IFERROR(IF(Kalender!A287="",0,J3946*(1-Eingaben!$B$20)),0)</f>
        <v>0.2714796</v>
      </c>
      <c r="H3947" s="13" t="n">
        <f aca="false">MIN(G3947,D3947)</f>
        <v>0</v>
      </c>
      <c r="I3947" s="13" t="n">
        <f aca="false">IFERROR(MIN(F3947*Eingaben!$B$19,MAX(0,D3947-H3947)),0)</f>
        <v>0</v>
      </c>
      <c r="J3947" s="13" t="n">
        <f aca="false">IFERROR(MIN(Eingaben!$B$18,MAX(0,F3947-I3947)),0)</f>
        <v>0</v>
      </c>
      <c r="K3947" s="13" t="n">
        <f aca="false">H3947+I3947</f>
        <v>0</v>
      </c>
      <c r="L3947" s="13" t="n">
        <f aca="false">MAX(0,D3947-K3947)</f>
        <v>0</v>
      </c>
      <c r="M3947" s="13" t="n">
        <f aca="false">MAX(0,F3947-I3947-J3947)</f>
        <v>0</v>
      </c>
      <c r="N3947" s="13" t="n">
        <f aca="false">IF(Kalender!A287="",0,J3946-H3947)</f>
        <v>0.27702</v>
      </c>
    </row>
    <row r="3948" customFormat="false" ht="16.4" hidden="false" customHeight="false" outlineLevel="0" collapsed="false">
      <c r="A3948" s="13" t="str">
        <f aca="false">""</f>
        <v/>
      </c>
      <c r="B3948" s="13" t="n">
        <f aca="false">284</f>
        <v>284</v>
      </c>
      <c r="C3948" s="13" t="n">
        <f aca="false">IF(Szenarien!$H$21="OK",(IFERROR(SUMIF(Nutzungsprofile!$B$6:$B$11,"Schulbetrieb",Nutzungsprofile!$G$6:$G$11)*Kalender!C288/SUM(Kalender!$C$5:$C$370),0)+IFERROR(SUMIF(Nutzungsprofile!$B$6:$B$11,"Halle",Nutzungsprofile!$G$6:$G$11)*Kalender!D288/SUM(Kalender!$D$5:$D$370),0)+IFERROR(SUMIF(Nutzungsprofile!$B$6:$B$11,"Individuell",Nutzungsprofile!$G$6:$G$11)*Kalender!E288/SUM(Kalender!$E$5:$E$370),0))*Szenarien!$E$21,0)</f>
        <v>0</v>
      </c>
      <c r="D3948" s="13" t="n">
        <f aca="false">IF(Szenarien!$H$21="OK",(IFERROR(SUMIF(Nutzungsprofile!$B$17:$B$22,"Schulbetrieb",Nutzungsprofile!$G$17:$G$22)*Kalender!C288/SUM(Kalender!$C$5:$C$370),0)+IFERROR(SUMIF(Nutzungsprofile!$B$17:$B$22,"Halle",Nutzungsprofile!$G$17:$G$22)*Kalender!D288/SUM(Kalender!$D$5:$D$370),0)+IFERROR(SUMIF(Nutzungsprofile!$B$17:$B$22,"Individuell",Nutzungsprofile!$G$17:$G$22)*Kalender!E288/SUM(Kalender!$E$5:$E$370),0))*Szenarien!$D$21,0)</f>
        <v>0</v>
      </c>
      <c r="E3948" s="13" t="n">
        <f aca="false">IFERROR(MIN(C3948,Eingaben!$B$17)*Eingaben!$B$16,0)</f>
        <v>0</v>
      </c>
      <c r="F3948" s="13" t="n">
        <f aca="false">IFERROR(E3948*Eingaben!$B$15,0)</f>
        <v>0</v>
      </c>
      <c r="G3948" s="13" t="n">
        <f aca="false">IFERROR(IF(Kalender!A288="",0,J3947*(1-Eingaben!$B$20)),0)</f>
        <v>0</v>
      </c>
      <c r="H3948" s="13" t="n">
        <f aca="false">MIN(G3948,D3948)</f>
        <v>0</v>
      </c>
      <c r="I3948" s="13" t="n">
        <f aca="false">IFERROR(MIN(F3948*Eingaben!$B$19,MAX(0,D3948-H3948)),0)</f>
        <v>0</v>
      </c>
      <c r="J3948" s="13" t="n">
        <f aca="false">IFERROR(MIN(Eingaben!$B$18,MAX(0,F3948-I3948)),0)</f>
        <v>0</v>
      </c>
      <c r="K3948" s="13" t="n">
        <f aca="false">H3948+I3948</f>
        <v>0</v>
      </c>
      <c r="L3948" s="13" t="n">
        <f aca="false">MAX(0,D3948-K3948)</f>
        <v>0</v>
      </c>
      <c r="M3948" s="13" t="n">
        <f aca="false">MAX(0,F3948-I3948-J3948)</f>
        <v>0</v>
      </c>
      <c r="N3948" s="13" t="n">
        <f aca="false">IF(Kalender!A288="",0,J3947-H3948)</f>
        <v>0</v>
      </c>
    </row>
    <row r="3949" customFormat="false" ht="16.4" hidden="false" customHeight="false" outlineLevel="0" collapsed="false">
      <c r="A3949" s="13" t="str">
        <f aca="false">""</f>
        <v/>
      </c>
      <c r="B3949" s="13" t="n">
        <f aca="false">285</f>
        <v>285</v>
      </c>
      <c r="C3949" s="13" t="n">
        <f aca="false">IF(Szenarien!$H$21="OK",(IFERROR(SUMIF(Nutzungsprofile!$B$6:$B$11,"Schulbetrieb",Nutzungsprofile!$G$6:$G$11)*Kalender!C289/SUM(Kalender!$C$5:$C$370),0)+IFERROR(SUMIF(Nutzungsprofile!$B$6:$B$11,"Halle",Nutzungsprofile!$G$6:$G$11)*Kalender!D289/SUM(Kalender!$D$5:$D$370),0)+IFERROR(SUMIF(Nutzungsprofile!$B$6:$B$11,"Individuell",Nutzungsprofile!$G$6:$G$11)*Kalender!E289/SUM(Kalender!$E$5:$E$370),0))*Szenarien!$E$21,0)</f>
        <v>1.08</v>
      </c>
      <c r="D3949" s="13" t="n">
        <f aca="false">IF(Szenarien!$H$21="OK",(IFERROR(SUMIF(Nutzungsprofile!$B$17:$B$22,"Schulbetrieb",Nutzungsprofile!$G$17:$G$22)*Kalender!C289/SUM(Kalender!$C$5:$C$370),0)+IFERROR(SUMIF(Nutzungsprofile!$B$17:$B$22,"Halle",Nutzungsprofile!$G$17:$G$22)*Kalender!D289/SUM(Kalender!$D$5:$D$370),0)+IFERROR(SUMIF(Nutzungsprofile!$B$17:$B$22,"Individuell",Nutzungsprofile!$G$17:$G$22)*Kalender!E289/SUM(Kalender!$E$5:$E$370),0))*Szenarien!$D$21,0)</f>
        <v>4.05</v>
      </c>
      <c r="E3949" s="13" t="n">
        <f aca="false">IFERROR(MIN(C3949,Eingaben!$B$17)*Eingaben!$B$16,0)</f>
        <v>1.026</v>
      </c>
      <c r="F3949" s="13" t="n">
        <f aca="false">IFERROR(E3949*Eingaben!$B$15,0)</f>
        <v>0.9234</v>
      </c>
      <c r="G3949" s="13" t="n">
        <f aca="false">IFERROR(IF(Kalender!A289="",0,J3948*(1-Eingaben!$B$20)),0)</f>
        <v>0</v>
      </c>
      <c r="H3949" s="13" t="n">
        <f aca="false">MIN(G3949,D3949)</f>
        <v>0</v>
      </c>
      <c r="I3949" s="13" t="n">
        <f aca="false">IFERROR(MIN(F3949*Eingaben!$B$19,MAX(0,D3949-H3949)),0)</f>
        <v>0.64638</v>
      </c>
      <c r="J3949" s="13" t="n">
        <f aca="false">IFERROR(MIN(Eingaben!$B$18,MAX(0,F3949-I3949)),0)</f>
        <v>0.27702</v>
      </c>
      <c r="K3949" s="13" t="n">
        <f aca="false">H3949+I3949</f>
        <v>0.64638</v>
      </c>
      <c r="L3949" s="13" t="n">
        <f aca="false">MAX(0,D3949-K3949)</f>
        <v>3.40362</v>
      </c>
      <c r="M3949" s="13" t="n">
        <f aca="false">MAX(0,F3949-I3949-J3949)</f>
        <v>0</v>
      </c>
      <c r="N3949" s="13" t="n">
        <f aca="false">IF(Kalender!A289="",0,J3948-H3949)</f>
        <v>0</v>
      </c>
    </row>
    <row r="3950" customFormat="false" ht="16.4" hidden="false" customHeight="false" outlineLevel="0" collapsed="false">
      <c r="A3950" s="13" t="str">
        <f aca="false">""</f>
        <v/>
      </c>
      <c r="B3950" s="13" t="n">
        <f aca="false">286</f>
        <v>286</v>
      </c>
      <c r="C3950" s="13" t="n">
        <f aca="false">IF(Szenarien!$H$21="OK",(IFERROR(SUMIF(Nutzungsprofile!$B$6:$B$11,"Schulbetrieb",Nutzungsprofile!$G$6:$G$11)*Kalender!C290/SUM(Kalender!$C$5:$C$370),0)+IFERROR(SUMIF(Nutzungsprofile!$B$6:$B$11,"Halle",Nutzungsprofile!$G$6:$G$11)*Kalender!D290/SUM(Kalender!$D$5:$D$370),0)+IFERROR(SUMIF(Nutzungsprofile!$B$6:$B$11,"Individuell",Nutzungsprofile!$G$6:$G$11)*Kalender!E290/SUM(Kalender!$E$5:$E$370),0))*Szenarien!$E$21,0)</f>
        <v>1.08</v>
      </c>
      <c r="D3950" s="13" t="n">
        <f aca="false">IF(Szenarien!$H$21="OK",(IFERROR(SUMIF(Nutzungsprofile!$B$17:$B$22,"Schulbetrieb",Nutzungsprofile!$G$17:$G$22)*Kalender!C290/SUM(Kalender!$C$5:$C$370),0)+IFERROR(SUMIF(Nutzungsprofile!$B$17:$B$22,"Halle",Nutzungsprofile!$G$17:$G$22)*Kalender!D290/SUM(Kalender!$D$5:$D$370),0)+IFERROR(SUMIF(Nutzungsprofile!$B$17:$B$22,"Individuell",Nutzungsprofile!$G$17:$G$22)*Kalender!E290/SUM(Kalender!$E$5:$E$370),0))*Szenarien!$D$21,0)</f>
        <v>4.05</v>
      </c>
      <c r="E3950" s="13" t="n">
        <f aca="false">IFERROR(MIN(C3950,Eingaben!$B$17)*Eingaben!$B$16,0)</f>
        <v>1.026</v>
      </c>
      <c r="F3950" s="13" t="n">
        <f aca="false">IFERROR(E3950*Eingaben!$B$15,0)</f>
        <v>0.9234</v>
      </c>
      <c r="G3950" s="13" t="n">
        <f aca="false">IFERROR(IF(Kalender!A290="",0,J3949*(1-Eingaben!$B$20)),0)</f>
        <v>0.2714796</v>
      </c>
      <c r="H3950" s="13" t="n">
        <f aca="false">MIN(G3950,D3950)</f>
        <v>0.2714796</v>
      </c>
      <c r="I3950" s="13" t="n">
        <f aca="false">IFERROR(MIN(F3950*Eingaben!$B$19,MAX(0,D3950-H3950)),0)</f>
        <v>0.64638</v>
      </c>
      <c r="J3950" s="13" t="n">
        <f aca="false">IFERROR(MIN(Eingaben!$B$18,MAX(0,F3950-I3950)),0)</f>
        <v>0.27702</v>
      </c>
      <c r="K3950" s="13" t="n">
        <f aca="false">H3950+I3950</f>
        <v>0.9178596</v>
      </c>
      <c r="L3950" s="13" t="n">
        <f aca="false">MAX(0,D3950-K3950)</f>
        <v>3.1321404</v>
      </c>
      <c r="M3950" s="13" t="n">
        <f aca="false">MAX(0,F3950-I3950-J3950)</f>
        <v>0</v>
      </c>
      <c r="N3950" s="13" t="n">
        <f aca="false">IF(Kalender!A290="",0,J3949-H3950)</f>
        <v>0.0055404</v>
      </c>
    </row>
    <row r="3951" customFormat="false" ht="16.4" hidden="false" customHeight="false" outlineLevel="0" collapsed="false">
      <c r="A3951" s="13" t="str">
        <f aca="false">""</f>
        <v/>
      </c>
      <c r="B3951" s="13" t="n">
        <f aca="false">287</f>
        <v>287</v>
      </c>
      <c r="C3951" s="13" t="n">
        <f aca="false">IF(Szenarien!$H$21="OK",(IFERROR(SUMIF(Nutzungsprofile!$B$6:$B$11,"Schulbetrieb",Nutzungsprofile!$G$6:$G$11)*Kalender!C291/SUM(Kalender!$C$5:$C$370),0)+IFERROR(SUMIF(Nutzungsprofile!$B$6:$B$11,"Halle",Nutzungsprofile!$G$6:$G$11)*Kalender!D291/SUM(Kalender!$D$5:$D$370),0)+IFERROR(SUMIF(Nutzungsprofile!$B$6:$B$11,"Individuell",Nutzungsprofile!$G$6:$G$11)*Kalender!E291/SUM(Kalender!$E$5:$E$370),0))*Szenarien!$E$21,0)</f>
        <v>1.08</v>
      </c>
      <c r="D3951" s="13" t="n">
        <f aca="false">IF(Szenarien!$H$21="OK",(IFERROR(SUMIF(Nutzungsprofile!$B$17:$B$22,"Schulbetrieb",Nutzungsprofile!$G$17:$G$22)*Kalender!C291/SUM(Kalender!$C$5:$C$370),0)+IFERROR(SUMIF(Nutzungsprofile!$B$17:$B$22,"Halle",Nutzungsprofile!$G$17:$G$22)*Kalender!D291/SUM(Kalender!$D$5:$D$370),0)+IFERROR(SUMIF(Nutzungsprofile!$B$17:$B$22,"Individuell",Nutzungsprofile!$G$17:$G$22)*Kalender!E291/SUM(Kalender!$E$5:$E$370),0))*Szenarien!$D$21,0)</f>
        <v>4.05</v>
      </c>
      <c r="E3951" s="13" t="n">
        <f aca="false">IFERROR(MIN(C3951,Eingaben!$B$17)*Eingaben!$B$16,0)</f>
        <v>1.026</v>
      </c>
      <c r="F3951" s="13" t="n">
        <f aca="false">IFERROR(E3951*Eingaben!$B$15,0)</f>
        <v>0.9234</v>
      </c>
      <c r="G3951" s="13" t="n">
        <f aca="false">IFERROR(IF(Kalender!A291="",0,J3950*(1-Eingaben!$B$20)),0)</f>
        <v>0.2714796</v>
      </c>
      <c r="H3951" s="13" t="n">
        <f aca="false">MIN(G3951,D3951)</f>
        <v>0.2714796</v>
      </c>
      <c r="I3951" s="13" t="n">
        <f aca="false">IFERROR(MIN(F3951*Eingaben!$B$19,MAX(0,D3951-H3951)),0)</f>
        <v>0.64638</v>
      </c>
      <c r="J3951" s="13" t="n">
        <f aca="false">IFERROR(MIN(Eingaben!$B$18,MAX(0,F3951-I3951)),0)</f>
        <v>0.27702</v>
      </c>
      <c r="K3951" s="13" t="n">
        <f aca="false">H3951+I3951</f>
        <v>0.9178596</v>
      </c>
      <c r="L3951" s="13" t="n">
        <f aca="false">MAX(0,D3951-K3951)</f>
        <v>3.1321404</v>
      </c>
      <c r="M3951" s="13" t="n">
        <f aca="false">MAX(0,F3951-I3951-J3951)</f>
        <v>0</v>
      </c>
      <c r="N3951" s="13" t="n">
        <f aca="false">IF(Kalender!A291="",0,J3950-H3951)</f>
        <v>0.0055404</v>
      </c>
    </row>
    <row r="3952" customFormat="false" ht="16.4" hidden="false" customHeight="false" outlineLevel="0" collapsed="false">
      <c r="A3952" s="13" t="str">
        <f aca="false">""</f>
        <v/>
      </c>
      <c r="B3952" s="13" t="n">
        <f aca="false">288</f>
        <v>288</v>
      </c>
      <c r="C3952" s="13" t="n">
        <f aca="false">IF(Szenarien!$H$21="OK",(IFERROR(SUMIF(Nutzungsprofile!$B$6:$B$11,"Schulbetrieb",Nutzungsprofile!$G$6:$G$11)*Kalender!C292/SUM(Kalender!$C$5:$C$370),0)+IFERROR(SUMIF(Nutzungsprofile!$B$6:$B$11,"Halle",Nutzungsprofile!$G$6:$G$11)*Kalender!D292/SUM(Kalender!$D$5:$D$370),0)+IFERROR(SUMIF(Nutzungsprofile!$B$6:$B$11,"Individuell",Nutzungsprofile!$G$6:$G$11)*Kalender!E292/SUM(Kalender!$E$5:$E$370),0))*Szenarien!$E$21,0)</f>
        <v>1.08</v>
      </c>
      <c r="D3952" s="13" t="n">
        <f aca="false">IF(Szenarien!$H$21="OK",(IFERROR(SUMIF(Nutzungsprofile!$B$17:$B$22,"Schulbetrieb",Nutzungsprofile!$G$17:$G$22)*Kalender!C292/SUM(Kalender!$C$5:$C$370),0)+IFERROR(SUMIF(Nutzungsprofile!$B$17:$B$22,"Halle",Nutzungsprofile!$G$17:$G$22)*Kalender!D292/SUM(Kalender!$D$5:$D$370),0)+IFERROR(SUMIF(Nutzungsprofile!$B$17:$B$22,"Individuell",Nutzungsprofile!$G$17:$G$22)*Kalender!E292/SUM(Kalender!$E$5:$E$370),0))*Szenarien!$D$21,0)</f>
        <v>4.05</v>
      </c>
      <c r="E3952" s="13" t="n">
        <f aca="false">IFERROR(MIN(C3952,Eingaben!$B$17)*Eingaben!$B$16,0)</f>
        <v>1.026</v>
      </c>
      <c r="F3952" s="13" t="n">
        <f aca="false">IFERROR(E3952*Eingaben!$B$15,0)</f>
        <v>0.9234</v>
      </c>
      <c r="G3952" s="13" t="n">
        <f aca="false">IFERROR(IF(Kalender!A292="",0,J3951*(1-Eingaben!$B$20)),0)</f>
        <v>0.2714796</v>
      </c>
      <c r="H3952" s="13" t="n">
        <f aca="false">MIN(G3952,D3952)</f>
        <v>0.2714796</v>
      </c>
      <c r="I3952" s="13" t="n">
        <f aca="false">IFERROR(MIN(F3952*Eingaben!$B$19,MAX(0,D3952-H3952)),0)</f>
        <v>0.64638</v>
      </c>
      <c r="J3952" s="13" t="n">
        <f aca="false">IFERROR(MIN(Eingaben!$B$18,MAX(0,F3952-I3952)),0)</f>
        <v>0.27702</v>
      </c>
      <c r="K3952" s="13" t="n">
        <f aca="false">H3952+I3952</f>
        <v>0.9178596</v>
      </c>
      <c r="L3952" s="13" t="n">
        <f aca="false">MAX(0,D3952-K3952)</f>
        <v>3.1321404</v>
      </c>
      <c r="M3952" s="13" t="n">
        <f aca="false">MAX(0,F3952-I3952-J3952)</f>
        <v>0</v>
      </c>
      <c r="N3952" s="13" t="n">
        <f aca="false">IF(Kalender!A292="",0,J3951-H3952)</f>
        <v>0.0055404</v>
      </c>
    </row>
    <row r="3953" customFormat="false" ht="16.4" hidden="false" customHeight="false" outlineLevel="0" collapsed="false">
      <c r="A3953" s="13" t="str">
        <f aca="false">""</f>
        <v/>
      </c>
      <c r="B3953" s="13" t="n">
        <f aca="false">289</f>
        <v>289</v>
      </c>
      <c r="C3953" s="13" t="n">
        <f aca="false">IF(Szenarien!$H$21="OK",(IFERROR(SUMIF(Nutzungsprofile!$B$6:$B$11,"Schulbetrieb",Nutzungsprofile!$G$6:$G$11)*Kalender!C293/SUM(Kalender!$C$5:$C$370),0)+IFERROR(SUMIF(Nutzungsprofile!$B$6:$B$11,"Halle",Nutzungsprofile!$G$6:$G$11)*Kalender!D293/SUM(Kalender!$D$5:$D$370),0)+IFERROR(SUMIF(Nutzungsprofile!$B$6:$B$11,"Individuell",Nutzungsprofile!$G$6:$G$11)*Kalender!E293/SUM(Kalender!$E$5:$E$370),0))*Szenarien!$E$21,0)</f>
        <v>1.08</v>
      </c>
      <c r="D3953" s="13" t="n">
        <f aca="false">IF(Szenarien!$H$21="OK",(IFERROR(SUMIF(Nutzungsprofile!$B$17:$B$22,"Schulbetrieb",Nutzungsprofile!$G$17:$G$22)*Kalender!C293/SUM(Kalender!$C$5:$C$370),0)+IFERROR(SUMIF(Nutzungsprofile!$B$17:$B$22,"Halle",Nutzungsprofile!$G$17:$G$22)*Kalender!D293/SUM(Kalender!$D$5:$D$370),0)+IFERROR(SUMIF(Nutzungsprofile!$B$17:$B$22,"Individuell",Nutzungsprofile!$G$17:$G$22)*Kalender!E293/SUM(Kalender!$E$5:$E$370),0))*Szenarien!$D$21,0)</f>
        <v>4.05</v>
      </c>
      <c r="E3953" s="13" t="n">
        <f aca="false">IFERROR(MIN(C3953,Eingaben!$B$17)*Eingaben!$B$16,0)</f>
        <v>1.026</v>
      </c>
      <c r="F3953" s="13" t="n">
        <f aca="false">IFERROR(E3953*Eingaben!$B$15,0)</f>
        <v>0.9234</v>
      </c>
      <c r="G3953" s="13" t="n">
        <f aca="false">IFERROR(IF(Kalender!A293="",0,J3952*(1-Eingaben!$B$20)),0)</f>
        <v>0.2714796</v>
      </c>
      <c r="H3953" s="13" t="n">
        <f aca="false">MIN(G3953,D3953)</f>
        <v>0.2714796</v>
      </c>
      <c r="I3953" s="13" t="n">
        <f aca="false">IFERROR(MIN(F3953*Eingaben!$B$19,MAX(0,D3953-H3953)),0)</f>
        <v>0.64638</v>
      </c>
      <c r="J3953" s="13" t="n">
        <f aca="false">IFERROR(MIN(Eingaben!$B$18,MAX(0,F3953-I3953)),0)</f>
        <v>0.27702</v>
      </c>
      <c r="K3953" s="13" t="n">
        <f aca="false">H3953+I3953</f>
        <v>0.9178596</v>
      </c>
      <c r="L3953" s="13" t="n">
        <f aca="false">MAX(0,D3953-K3953)</f>
        <v>3.1321404</v>
      </c>
      <c r="M3953" s="13" t="n">
        <f aca="false">MAX(0,F3953-I3953-J3953)</f>
        <v>0</v>
      </c>
      <c r="N3953" s="13" t="n">
        <f aca="false">IF(Kalender!A293="",0,J3952-H3953)</f>
        <v>0.0055404</v>
      </c>
    </row>
    <row r="3954" customFormat="false" ht="16.4" hidden="false" customHeight="false" outlineLevel="0" collapsed="false">
      <c r="A3954" s="13" t="str">
        <f aca="false">""</f>
        <v/>
      </c>
      <c r="B3954" s="13" t="n">
        <f aca="false">290</f>
        <v>290</v>
      </c>
      <c r="C3954" s="13" t="n">
        <f aca="false">IF(Szenarien!$H$21="OK",(IFERROR(SUMIF(Nutzungsprofile!$B$6:$B$11,"Schulbetrieb",Nutzungsprofile!$G$6:$G$11)*Kalender!C294/SUM(Kalender!$C$5:$C$370),0)+IFERROR(SUMIF(Nutzungsprofile!$B$6:$B$11,"Halle",Nutzungsprofile!$G$6:$G$11)*Kalender!D294/SUM(Kalender!$D$5:$D$370),0)+IFERROR(SUMIF(Nutzungsprofile!$B$6:$B$11,"Individuell",Nutzungsprofile!$G$6:$G$11)*Kalender!E294/SUM(Kalender!$E$5:$E$370),0))*Szenarien!$E$21,0)</f>
        <v>0</v>
      </c>
      <c r="D3954" s="13" t="n">
        <f aca="false">IF(Szenarien!$H$21="OK",(IFERROR(SUMIF(Nutzungsprofile!$B$17:$B$22,"Schulbetrieb",Nutzungsprofile!$G$17:$G$22)*Kalender!C294/SUM(Kalender!$C$5:$C$370),0)+IFERROR(SUMIF(Nutzungsprofile!$B$17:$B$22,"Halle",Nutzungsprofile!$G$17:$G$22)*Kalender!D294/SUM(Kalender!$D$5:$D$370),0)+IFERROR(SUMIF(Nutzungsprofile!$B$17:$B$22,"Individuell",Nutzungsprofile!$G$17:$G$22)*Kalender!E294/SUM(Kalender!$E$5:$E$370),0))*Szenarien!$D$21,0)</f>
        <v>0</v>
      </c>
      <c r="E3954" s="13" t="n">
        <f aca="false">IFERROR(MIN(C3954,Eingaben!$B$17)*Eingaben!$B$16,0)</f>
        <v>0</v>
      </c>
      <c r="F3954" s="13" t="n">
        <f aca="false">IFERROR(E3954*Eingaben!$B$15,0)</f>
        <v>0</v>
      </c>
      <c r="G3954" s="13" t="n">
        <f aca="false">IFERROR(IF(Kalender!A294="",0,J3953*(1-Eingaben!$B$20)),0)</f>
        <v>0.2714796</v>
      </c>
      <c r="H3954" s="13" t="n">
        <f aca="false">MIN(G3954,D3954)</f>
        <v>0</v>
      </c>
      <c r="I3954" s="13" t="n">
        <f aca="false">IFERROR(MIN(F3954*Eingaben!$B$19,MAX(0,D3954-H3954)),0)</f>
        <v>0</v>
      </c>
      <c r="J3954" s="13" t="n">
        <f aca="false">IFERROR(MIN(Eingaben!$B$18,MAX(0,F3954-I3954)),0)</f>
        <v>0</v>
      </c>
      <c r="K3954" s="13" t="n">
        <f aca="false">H3954+I3954</f>
        <v>0</v>
      </c>
      <c r="L3954" s="13" t="n">
        <f aca="false">MAX(0,D3954-K3954)</f>
        <v>0</v>
      </c>
      <c r="M3954" s="13" t="n">
        <f aca="false">MAX(0,F3954-I3954-J3954)</f>
        <v>0</v>
      </c>
      <c r="N3954" s="13" t="n">
        <f aca="false">IF(Kalender!A294="",0,J3953-H3954)</f>
        <v>0.27702</v>
      </c>
    </row>
    <row r="3955" customFormat="false" ht="16.4" hidden="false" customHeight="false" outlineLevel="0" collapsed="false">
      <c r="A3955" s="13" t="str">
        <f aca="false">""</f>
        <v/>
      </c>
      <c r="B3955" s="13" t="n">
        <f aca="false">291</f>
        <v>291</v>
      </c>
      <c r="C3955" s="13" t="n">
        <f aca="false">IF(Szenarien!$H$21="OK",(IFERROR(SUMIF(Nutzungsprofile!$B$6:$B$11,"Schulbetrieb",Nutzungsprofile!$G$6:$G$11)*Kalender!C295/SUM(Kalender!$C$5:$C$370),0)+IFERROR(SUMIF(Nutzungsprofile!$B$6:$B$11,"Halle",Nutzungsprofile!$G$6:$G$11)*Kalender!D295/SUM(Kalender!$D$5:$D$370),0)+IFERROR(SUMIF(Nutzungsprofile!$B$6:$B$11,"Individuell",Nutzungsprofile!$G$6:$G$11)*Kalender!E295/SUM(Kalender!$E$5:$E$370),0))*Szenarien!$E$21,0)</f>
        <v>0</v>
      </c>
      <c r="D3955" s="13" t="n">
        <f aca="false">IF(Szenarien!$H$21="OK",(IFERROR(SUMIF(Nutzungsprofile!$B$17:$B$22,"Schulbetrieb",Nutzungsprofile!$G$17:$G$22)*Kalender!C295/SUM(Kalender!$C$5:$C$370),0)+IFERROR(SUMIF(Nutzungsprofile!$B$17:$B$22,"Halle",Nutzungsprofile!$G$17:$G$22)*Kalender!D295/SUM(Kalender!$D$5:$D$370),0)+IFERROR(SUMIF(Nutzungsprofile!$B$17:$B$22,"Individuell",Nutzungsprofile!$G$17:$G$22)*Kalender!E295/SUM(Kalender!$E$5:$E$370),0))*Szenarien!$D$21,0)</f>
        <v>0</v>
      </c>
      <c r="E3955" s="13" t="n">
        <f aca="false">IFERROR(MIN(C3955,Eingaben!$B$17)*Eingaben!$B$16,0)</f>
        <v>0</v>
      </c>
      <c r="F3955" s="13" t="n">
        <f aca="false">IFERROR(E3955*Eingaben!$B$15,0)</f>
        <v>0</v>
      </c>
      <c r="G3955" s="13" t="n">
        <f aca="false">IFERROR(IF(Kalender!A295="",0,J3954*(1-Eingaben!$B$20)),0)</f>
        <v>0</v>
      </c>
      <c r="H3955" s="13" t="n">
        <f aca="false">MIN(G3955,D3955)</f>
        <v>0</v>
      </c>
      <c r="I3955" s="13" t="n">
        <f aca="false">IFERROR(MIN(F3955*Eingaben!$B$19,MAX(0,D3955-H3955)),0)</f>
        <v>0</v>
      </c>
      <c r="J3955" s="13" t="n">
        <f aca="false">IFERROR(MIN(Eingaben!$B$18,MAX(0,F3955-I3955)),0)</f>
        <v>0</v>
      </c>
      <c r="K3955" s="13" t="n">
        <f aca="false">H3955+I3955</f>
        <v>0</v>
      </c>
      <c r="L3955" s="13" t="n">
        <f aca="false">MAX(0,D3955-K3955)</f>
        <v>0</v>
      </c>
      <c r="M3955" s="13" t="n">
        <f aca="false">MAX(0,F3955-I3955-J3955)</f>
        <v>0</v>
      </c>
      <c r="N3955" s="13" t="n">
        <f aca="false">IF(Kalender!A295="",0,J3954-H3955)</f>
        <v>0</v>
      </c>
    </row>
    <row r="3956" customFormat="false" ht="16.4" hidden="false" customHeight="false" outlineLevel="0" collapsed="false">
      <c r="A3956" s="13" t="str">
        <f aca="false">""</f>
        <v/>
      </c>
      <c r="B3956" s="13" t="n">
        <f aca="false">292</f>
        <v>292</v>
      </c>
      <c r="C3956" s="13" t="n">
        <f aca="false">IF(Szenarien!$H$21="OK",(IFERROR(SUMIF(Nutzungsprofile!$B$6:$B$11,"Schulbetrieb",Nutzungsprofile!$G$6:$G$11)*Kalender!C296/SUM(Kalender!$C$5:$C$370),0)+IFERROR(SUMIF(Nutzungsprofile!$B$6:$B$11,"Halle",Nutzungsprofile!$G$6:$G$11)*Kalender!D296/SUM(Kalender!$D$5:$D$370),0)+IFERROR(SUMIF(Nutzungsprofile!$B$6:$B$11,"Individuell",Nutzungsprofile!$G$6:$G$11)*Kalender!E296/SUM(Kalender!$E$5:$E$370),0))*Szenarien!$E$21,0)</f>
        <v>1.08</v>
      </c>
      <c r="D3956" s="13" t="n">
        <f aca="false">IF(Szenarien!$H$21="OK",(IFERROR(SUMIF(Nutzungsprofile!$B$17:$B$22,"Schulbetrieb",Nutzungsprofile!$G$17:$G$22)*Kalender!C296/SUM(Kalender!$C$5:$C$370),0)+IFERROR(SUMIF(Nutzungsprofile!$B$17:$B$22,"Halle",Nutzungsprofile!$G$17:$G$22)*Kalender!D296/SUM(Kalender!$D$5:$D$370),0)+IFERROR(SUMIF(Nutzungsprofile!$B$17:$B$22,"Individuell",Nutzungsprofile!$G$17:$G$22)*Kalender!E296/SUM(Kalender!$E$5:$E$370),0))*Szenarien!$D$21,0)</f>
        <v>4.05</v>
      </c>
      <c r="E3956" s="13" t="n">
        <f aca="false">IFERROR(MIN(C3956,Eingaben!$B$17)*Eingaben!$B$16,0)</f>
        <v>1.026</v>
      </c>
      <c r="F3956" s="13" t="n">
        <f aca="false">IFERROR(E3956*Eingaben!$B$15,0)</f>
        <v>0.9234</v>
      </c>
      <c r="G3956" s="13" t="n">
        <f aca="false">IFERROR(IF(Kalender!A296="",0,J3955*(1-Eingaben!$B$20)),0)</f>
        <v>0</v>
      </c>
      <c r="H3956" s="13" t="n">
        <f aca="false">MIN(G3956,D3956)</f>
        <v>0</v>
      </c>
      <c r="I3956" s="13" t="n">
        <f aca="false">IFERROR(MIN(F3956*Eingaben!$B$19,MAX(0,D3956-H3956)),0)</f>
        <v>0.64638</v>
      </c>
      <c r="J3956" s="13" t="n">
        <f aca="false">IFERROR(MIN(Eingaben!$B$18,MAX(0,F3956-I3956)),0)</f>
        <v>0.27702</v>
      </c>
      <c r="K3956" s="13" t="n">
        <f aca="false">H3956+I3956</f>
        <v>0.64638</v>
      </c>
      <c r="L3956" s="13" t="n">
        <f aca="false">MAX(0,D3956-K3956)</f>
        <v>3.40362</v>
      </c>
      <c r="M3956" s="13" t="n">
        <f aca="false">MAX(0,F3956-I3956-J3956)</f>
        <v>0</v>
      </c>
      <c r="N3956" s="13" t="n">
        <f aca="false">IF(Kalender!A296="",0,J3955-H3956)</f>
        <v>0</v>
      </c>
    </row>
    <row r="3957" customFormat="false" ht="16.4" hidden="false" customHeight="false" outlineLevel="0" collapsed="false">
      <c r="A3957" s="13" t="str">
        <f aca="false">""</f>
        <v/>
      </c>
      <c r="B3957" s="13" t="n">
        <f aca="false">293</f>
        <v>293</v>
      </c>
      <c r="C3957" s="13" t="n">
        <f aca="false">IF(Szenarien!$H$21="OK",(IFERROR(SUMIF(Nutzungsprofile!$B$6:$B$11,"Schulbetrieb",Nutzungsprofile!$G$6:$G$11)*Kalender!C297/SUM(Kalender!$C$5:$C$370),0)+IFERROR(SUMIF(Nutzungsprofile!$B$6:$B$11,"Halle",Nutzungsprofile!$G$6:$G$11)*Kalender!D297/SUM(Kalender!$D$5:$D$370),0)+IFERROR(SUMIF(Nutzungsprofile!$B$6:$B$11,"Individuell",Nutzungsprofile!$G$6:$G$11)*Kalender!E297/SUM(Kalender!$E$5:$E$370),0))*Szenarien!$E$21,0)</f>
        <v>1.08</v>
      </c>
      <c r="D3957" s="13" t="n">
        <f aca="false">IF(Szenarien!$H$21="OK",(IFERROR(SUMIF(Nutzungsprofile!$B$17:$B$22,"Schulbetrieb",Nutzungsprofile!$G$17:$G$22)*Kalender!C297/SUM(Kalender!$C$5:$C$370),0)+IFERROR(SUMIF(Nutzungsprofile!$B$17:$B$22,"Halle",Nutzungsprofile!$G$17:$G$22)*Kalender!D297/SUM(Kalender!$D$5:$D$370),0)+IFERROR(SUMIF(Nutzungsprofile!$B$17:$B$22,"Individuell",Nutzungsprofile!$G$17:$G$22)*Kalender!E297/SUM(Kalender!$E$5:$E$370),0))*Szenarien!$D$21,0)</f>
        <v>4.05</v>
      </c>
      <c r="E3957" s="13" t="n">
        <f aca="false">IFERROR(MIN(C3957,Eingaben!$B$17)*Eingaben!$B$16,0)</f>
        <v>1.026</v>
      </c>
      <c r="F3957" s="13" t="n">
        <f aca="false">IFERROR(E3957*Eingaben!$B$15,0)</f>
        <v>0.9234</v>
      </c>
      <c r="G3957" s="13" t="n">
        <f aca="false">IFERROR(IF(Kalender!A297="",0,J3956*(1-Eingaben!$B$20)),0)</f>
        <v>0.2714796</v>
      </c>
      <c r="H3957" s="13" t="n">
        <f aca="false">MIN(G3957,D3957)</f>
        <v>0.2714796</v>
      </c>
      <c r="I3957" s="13" t="n">
        <f aca="false">IFERROR(MIN(F3957*Eingaben!$B$19,MAX(0,D3957-H3957)),0)</f>
        <v>0.64638</v>
      </c>
      <c r="J3957" s="13" t="n">
        <f aca="false">IFERROR(MIN(Eingaben!$B$18,MAX(0,F3957-I3957)),0)</f>
        <v>0.27702</v>
      </c>
      <c r="K3957" s="13" t="n">
        <f aca="false">H3957+I3957</f>
        <v>0.9178596</v>
      </c>
      <c r="L3957" s="13" t="n">
        <f aca="false">MAX(0,D3957-K3957)</f>
        <v>3.1321404</v>
      </c>
      <c r="M3957" s="13" t="n">
        <f aca="false">MAX(0,F3957-I3957-J3957)</f>
        <v>0</v>
      </c>
      <c r="N3957" s="13" t="n">
        <f aca="false">IF(Kalender!A297="",0,J3956-H3957)</f>
        <v>0.0055404</v>
      </c>
    </row>
    <row r="3958" customFormat="false" ht="16.4" hidden="false" customHeight="false" outlineLevel="0" collapsed="false">
      <c r="A3958" s="13" t="str">
        <f aca="false">""</f>
        <v/>
      </c>
      <c r="B3958" s="13" t="n">
        <f aca="false">294</f>
        <v>294</v>
      </c>
      <c r="C3958" s="13" t="n">
        <f aca="false">IF(Szenarien!$H$21="OK",(IFERROR(SUMIF(Nutzungsprofile!$B$6:$B$11,"Schulbetrieb",Nutzungsprofile!$G$6:$G$11)*Kalender!C298/SUM(Kalender!$C$5:$C$370),0)+IFERROR(SUMIF(Nutzungsprofile!$B$6:$B$11,"Halle",Nutzungsprofile!$G$6:$G$11)*Kalender!D298/SUM(Kalender!$D$5:$D$370),0)+IFERROR(SUMIF(Nutzungsprofile!$B$6:$B$11,"Individuell",Nutzungsprofile!$G$6:$G$11)*Kalender!E298/SUM(Kalender!$E$5:$E$370),0))*Szenarien!$E$21,0)</f>
        <v>1.08</v>
      </c>
      <c r="D3958" s="13" t="n">
        <f aca="false">IF(Szenarien!$H$21="OK",(IFERROR(SUMIF(Nutzungsprofile!$B$17:$B$22,"Schulbetrieb",Nutzungsprofile!$G$17:$G$22)*Kalender!C298/SUM(Kalender!$C$5:$C$370),0)+IFERROR(SUMIF(Nutzungsprofile!$B$17:$B$22,"Halle",Nutzungsprofile!$G$17:$G$22)*Kalender!D298/SUM(Kalender!$D$5:$D$370),0)+IFERROR(SUMIF(Nutzungsprofile!$B$17:$B$22,"Individuell",Nutzungsprofile!$G$17:$G$22)*Kalender!E298/SUM(Kalender!$E$5:$E$370),0))*Szenarien!$D$21,0)</f>
        <v>4.05</v>
      </c>
      <c r="E3958" s="13" t="n">
        <f aca="false">IFERROR(MIN(C3958,Eingaben!$B$17)*Eingaben!$B$16,0)</f>
        <v>1.026</v>
      </c>
      <c r="F3958" s="13" t="n">
        <f aca="false">IFERROR(E3958*Eingaben!$B$15,0)</f>
        <v>0.9234</v>
      </c>
      <c r="G3958" s="13" t="n">
        <f aca="false">IFERROR(IF(Kalender!A298="",0,J3957*(1-Eingaben!$B$20)),0)</f>
        <v>0.2714796</v>
      </c>
      <c r="H3958" s="13" t="n">
        <f aca="false">MIN(G3958,D3958)</f>
        <v>0.2714796</v>
      </c>
      <c r="I3958" s="13" t="n">
        <f aca="false">IFERROR(MIN(F3958*Eingaben!$B$19,MAX(0,D3958-H3958)),0)</f>
        <v>0.64638</v>
      </c>
      <c r="J3958" s="13" t="n">
        <f aca="false">IFERROR(MIN(Eingaben!$B$18,MAX(0,F3958-I3958)),0)</f>
        <v>0.27702</v>
      </c>
      <c r="K3958" s="13" t="n">
        <f aca="false">H3958+I3958</f>
        <v>0.9178596</v>
      </c>
      <c r="L3958" s="13" t="n">
        <f aca="false">MAX(0,D3958-K3958)</f>
        <v>3.1321404</v>
      </c>
      <c r="M3958" s="13" t="n">
        <f aca="false">MAX(0,F3958-I3958-J3958)</f>
        <v>0</v>
      </c>
      <c r="N3958" s="13" t="n">
        <f aca="false">IF(Kalender!A298="",0,J3957-H3958)</f>
        <v>0.0055404</v>
      </c>
    </row>
    <row r="3959" customFormat="false" ht="16.4" hidden="false" customHeight="false" outlineLevel="0" collapsed="false">
      <c r="A3959" s="13" t="str">
        <f aca="false">""</f>
        <v/>
      </c>
      <c r="B3959" s="13" t="n">
        <f aca="false">295</f>
        <v>295</v>
      </c>
      <c r="C3959" s="13" t="n">
        <f aca="false">IF(Szenarien!$H$21="OK",(IFERROR(SUMIF(Nutzungsprofile!$B$6:$B$11,"Schulbetrieb",Nutzungsprofile!$G$6:$G$11)*Kalender!C299/SUM(Kalender!$C$5:$C$370),0)+IFERROR(SUMIF(Nutzungsprofile!$B$6:$B$11,"Halle",Nutzungsprofile!$G$6:$G$11)*Kalender!D299/SUM(Kalender!$D$5:$D$370),0)+IFERROR(SUMIF(Nutzungsprofile!$B$6:$B$11,"Individuell",Nutzungsprofile!$G$6:$G$11)*Kalender!E299/SUM(Kalender!$E$5:$E$370),0))*Szenarien!$E$21,0)</f>
        <v>1.08</v>
      </c>
      <c r="D3959" s="13" t="n">
        <f aca="false">IF(Szenarien!$H$21="OK",(IFERROR(SUMIF(Nutzungsprofile!$B$17:$B$22,"Schulbetrieb",Nutzungsprofile!$G$17:$G$22)*Kalender!C299/SUM(Kalender!$C$5:$C$370),0)+IFERROR(SUMIF(Nutzungsprofile!$B$17:$B$22,"Halle",Nutzungsprofile!$G$17:$G$22)*Kalender!D299/SUM(Kalender!$D$5:$D$370),0)+IFERROR(SUMIF(Nutzungsprofile!$B$17:$B$22,"Individuell",Nutzungsprofile!$G$17:$G$22)*Kalender!E299/SUM(Kalender!$E$5:$E$370),0))*Szenarien!$D$21,0)</f>
        <v>4.05</v>
      </c>
      <c r="E3959" s="13" t="n">
        <f aca="false">IFERROR(MIN(C3959,Eingaben!$B$17)*Eingaben!$B$16,0)</f>
        <v>1.026</v>
      </c>
      <c r="F3959" s="13" t="n">
        <f aca="false">IFERROR(E3959*Eingaben!$B$15,0)</f>
        <v>0.9234</v>
      </c>
      <c r="G3959" s="13" t="n">
        <f aca="false">IFERROR(IF(Kalender!A299="",0,J3958*(1-Eingaben!$B$20)),0)</f>
        <v>0.2714796</v>
      </c>
      <c r="H3959" s="13" t="n">
        <f aca="false">MIN(G3959,D3959)</f>
        <v>0.2714796</v>
      </c>
      <c r="I3959" s="13" t="n">
        <f aca="false">IFERROR(MIN(F3959*Eingaben!$B$19,MAX(0,D3959-H3959)),0)</f>
        <v>0.64638</v>
      </c>
      <c r="J3959" s="13" t="n">
        <f aca="false">IFERROR(MIN(Eingaben!$B$18,MAX(0,F3959-I3959)),0)</f>
        <v>0.27702</v>
      </c>
      <c r="K3959" s="13" t="n">
        <f aca="false">H3959+I3959</f>
        <v>0.9178596</v>
      </c>
      <c r="L3959" s="13" t="n">
        <f aca="false">MAX(0,D3959-K3959)</f>
        <v>3.1321404</v>
      </c>
      <c r="M3959" s="13" t="n">
        <f aca="false">MAX(0,F3959-I3959-J3959)</f>
        <v>0</v>
      </c>
      <c r="N3959" s="13" t="n">
        <f aca="false">IF(Kalender!A299="",0,J3958-H3959)</f>
        <v>0.0055404</v>
      </c>
    </row>
    <row r="3960" customFormat="false" ht="16.4" hidden="false" customHeight="false" outlineLevel="0" collapsed="false">
      <c r="A3960" s="13" t="str">
        <f aca="false">""</f>
        <v/>
      </c>
      <c r="B3960" s="13" t="n">
        <f aca="false">296</f>
        <v>296</v>
      </c>
      <c r="C3960" s="13" t="n">
        <f aca="false">IF(Szenarien!$H$21="OK",(IFERROR(SUMIF(Nutzungsprofile!$B$6:$B$11,"Schulbetrieb",Nutzungsprofile!$G$6:$G$11)*Kalender!C300/SUM(Kalender!$C$5:$C$370),0)+IFERROR(SUMIF(Nutzungsprofile!$B$6:$B$11,"Halle",Nutzungsprofile!$G$6:$G$11)*Kalender!D300/SUM(Kalender!$D$5:$D$370),0)+IFERROR(SUMIF(Nutzungsprofile!$B$6:$B$11,"Individuell",Nutzungsprofile!$G$6:$G$11)*Kalender!E300/SUM(Kalender!$E$5:$E$370),0))*Szenarien!$E$21,0)</f>
        <v>1.08</v>
      </c>
      <c r="D3960" s="13" t="n">
        <f aca="false">IF(Szenarien!$H$21="OK",(IFERROR(SUMIF(Nutzungsprofile!$B$17:$B$22,"Schulbetrieb",Nutzungsprofile!$G$17:$G$22)*Kalender!C300/SUM(Kalender!$C$5:$C$370),0)+IFERROR(SUMIF(Nutzungsprofile!$B$17:$B$22,"Halle",Nutzungsprofile!$G$17:$G$22)*Kalender!D300/SUM(Kalender!$D$5:$D$370),0)+IFERROR(SUMIF(Nutzungsprofile!$B$17:$B$22,"Individuell",Nutzungsprofile!$G$17:$G$22)*Kalender!E300/SUM(Kalender!$E$5:$E$370),0))*Szenarien!$D$21,0)</f>
        <v>4.05</v>
      </c>
      <c r="E3960" s="13" t="n">
        <f aca="false">IFERROR(MIN(C3960,Eingaben!$B$17)*Eingaben!$B$16,0)</f>
        <v>1.026</v>
      </c>
      <c r="F3960" s="13" t="n">
        <f aca="false">IFERROR(E3960*Eingaben!$B$15,0)</f>
        <v>0.9234</v>
      </c>
      <c r="G3960" s="13" t="n">
        <f aca="false">IFERROR(IF(Kalender!A300="",0,J3959*(1-Eingaben!$B$20)),0)</f>
        <v>0.2714796</v>
      </c>
      <c r="H3960" s="13" t="n">
        <f aca="false">MIN(G3960,D3960)</f>
        <v>0.2714796</v>
      </c>
      <c r="I3960" s="13" t="n">
        <f aca="false">IFERROR(MIN(F3960*Eingaben!$B$19,MAX(0,D3960-H3960)),0)</f>
        <v>0.64638</v>
      </c>
      <c r="J3960" s="13" t="n">
        <f aca="false">IFERROR(MIN(Eingaben!$B$18,MAX(0,F3960-I3960)),0)</f>
        <v>0.27702</v>
      </c>
      <c r="K3960" s="13" t="n">
        <f aca="false">H3960+I3960</f>
        <v>0.9178596</v>
      </c>
      <c r="L3960" s="13" t="n">
        <f aca="false">MAX(0,D3960-K3960)</f>
        <v>3.1321404</v>
      </c>
      <c r="M3960" s="13" t="n">
        <f aca="false">MAX(0,F3960-I3960-J3960)</f>
        <v>0</v>
      </c>
      <c r="N3960" s="13" t="n">
        <f aca="false">IF(Kalender!A300="",0,J3959-H3960)</f>
        <v>0.0055404</v>
      </c>
    </row>
    <row r="3961" customFormat="false" ht="16.4" hidden="false" customHeight="false" outlineLevel="0" collapsed="false">
      <c r="A3961" s="13" t="str">
        <f aca="false">""</f>
        <v/>
      </c>
      <c r="B3961" s="13" t="n">
        <f aca="false">297</f>
        <v>297</v>
      </c>
      <c r="C3961" s="13" t="n">
        <f aca="false">IF(Szenarien!$H$21="OK",(IFERROR(SUMIF(Nutzungsprofile!$B$6:$B$11,"Schulbetrieb",Nutzungsprofile!$G$6:$G$11)*Kalender!C301/SUM(Kalender!$C$5:$C$370),0)+IFERROR(SUMIF(Nutzungsprofile!$B$6:$B$11,"Halle",Nutzungsprofile!$G$6:$G$11)*Kalender!D301/SUM(Kalender!$D$5:$D$370),0)+IFERROR(SUMIF(Nutzungsprofile!$B$6:$B$11,"Individuell",Nutzungsprofile!$G$6:$G$11)*Kalender!E301/SUM(Kalender!$E$5:$E$370),0))*Szenarien!$E$21,0)</f>
        <v>0</v>
      </c>
      <c r="D3961" s="13" t="n">
        <f aca="false">IF(Szenarien!$H$21="OK",(IFERROR(SUMIF(Nutzungsprofile!$B$17:$B$22,"Schulbetrieb",Nutzungsprofile!$G$17:$G$22)*Kalender!C301/SUM(Kalender!$C$5:$C$370),0)+IFERROR(SUMIF(Nutzungsprofile!$B$17:$B$22,"Halle",Nutzungsprofile!$G$17:$G$22)*Kalender!D301/SUM(Kalender!$D$5:$D$370),0)+IFERROR(SUMIF(Nutzungsprofile!$B$17:$B$22,"Individuell",Nutzungsprofile!$G$17:$G$22)*Kalender!E301/SUM(Kalender!$E$5:$E$370),0))*Szenarien!$D$21,0)</f>
        <v>0</v>
      </c>
      <c r="E3961" s="13" t="n">
        <f aca="false">IFERROR(MIN(C3961,Eingaben!$B$17)*Eingaben!$B$16,0)</f>
        <v>0</v>
      </c>
      <c r="F3961" s="13" t="n">
        <f aca="false">IFERROR(E3961*Eingaben!$B$15,0)</f>
        <v>0</v>
      </c>
      <c r="G3961" s="13" t="n">
        <f aca="false">IFERROR(IF(Kalender!A301="",0,J3960*(1-Eingaben!$B$20)),0)</f>
        <v>0.2714796</v>
      </c>
      <c r="H3961" s="13" t="n">
        <f aca="false">MIN(G3961,D3961)</f>
        <v>0</v>
      </c>
      <c r="I3961" s="13" t="n">
        <f aca="false">IFERROR(MIN(F3961*Eingaben!$B$19,MAX(0,D3961-H3961)),0)</f>
        <v>0</v>
      </c>
      <c r="J3961" s="13" t="n">
        <f aca="false">IFERROR(MIN(Eingaben!$B$18,MAX(0,F3961-I3961)),0)</f>
        <v>0</v>
      </c>
      <c r="K3961" s="13" t="n">
        <f aca="false">H3961+I3961</f>
        <v>0</v>
      </c>
      <c r="L3961" s="13" t="n">
        <f aca="false">MAX(0,D3961-K3961)</f>
        <v>0</v>
      </c>
      <c r="M3961" s="13" t="n">
        <f aca="false">MAX(0,F3961-I3961-J3961)</f>
        <v>0</v>
      </c>
      <c r="N3961" s="13" t="n">
        <f aca="false">IF(Kalender!A301="",0,J3960-H3961)</f>
        <v>0.27702</v>
      </c>
    </row>
    <row r="3962" customFormat="false" ht="16.4" hidden="false" customHeight="false" outlineLevel="0" collapsed="false">
      <c r="A3962" s="13" t="str">
        <f aca="false">""</f>
        <v/>
      </c>
      <c r="B3962" s="13" t="n">
        <f aca="false">298</f>
        <v>298</v>
      </c>
      <c r="C3962" s="13" t="n">
        <f aca="false">IF(Szenarien!$H$21="OK",(IFERROR(SUMIF(Nutzungsprofile!$B$6:$B$11,"Schulbetrieb",Nutzungsprofile!$G$6:$G$11)*Kalender!C302/SUM(Kalender!$C$5:$C$370),0)+IFERROR(SUMIF(Nutzungsprofile!$B$6:$B$11,"Halle",Nutzungsprofile!$G$6:$G$11)*Kalender!D302/SUM(Kalender!$D$5:$D$370),0)+IFERROR(SUMIF(Nutzungsprofile!$B$6:$B$11,"Individuell",Nutzungsprofile!$G$6:$G$11)*Kalender!E302/SUM(Kalender!$E$5:$E$370),0))*Szenarien!$E$21,0)</f>
        <v>0</v>
      </c>
      <c r="D3962" s="13" t="n">
        <f aca="false">IF(Szenarien!$H$21="OK",(IFERROR(SUMIF(Nutzungsprofile!$B$17:$B$22,"Schulbetrieb",Nutzungsprofile!$G$17:$G$22)*Kalender!C302/SUM(Kalender!$C$5:$C$370),0)+IFERROR(SUMIF(Nutzungsprofile!$B$17:$B$22,"Halle",Nutzungsprofile!$G$17:$G$22)*Kalender!D302/SUM(Kalender!$D$5:$D$370),0)+IFERROR(SUMIF(Nutzungsprofile!$B$17:$B$22,"Individuell",Nutzungsprofile!$G$17:$G$22)*Kalender!E302/SUM(Kalender!$E$5:$E$370),0))*Szenarien!$D$21,0)</f>
        <v>0</v>
      </c>
      <c r="E3962" s="13" t="n">
        <f aca="false">IFERROR(MIN(C3962,Eingaben!$B$17)*Eingaben!$B$16,0)</f>
        <v>0</v>
      </c>
      <c r="F3962" s="13" t="n">
        <f aca="false">IFERROR(E3962*Eingaben!$B$15,0)</f>
        <v>0</v>
      </c>
      <c r="G3962" s="13" t="n">
        <f aca="false">IFERROR(IF(Kalender!A302="",0,J3961*(1-Eingaben!$B$20)),0)</f>
        <v>0</v>
      </c>
      <c r="H3962" s="13" t="n">
        <f aca="false">MIN(G3962,D3962)</f>
        <v>0</v>
      </c>
      <c r="I3962" s="13" t="n">
        <f aca="false">IFERROR(MIN(F3962*Eingaben!$B$19,MAX(0,D3962-H3962)),0)</f>
        <v>0</v>
      </c>
      <c r="J3962" s="13" t="n">
        <f aca="false">IFERROR(MIN(Eingaben!$B$18,MAX(0,F3962-I3962)),0)</f>
        <v>0</v>
      </c>
      <c r="K3962" s="13" t="n">
        <f aca="false">H3962+I3962</f>
        <v>0</v>
      </c>
      <c r="L3962" s="13" t="n">
        <f aca="false">MAX(0,D3962-K3962)</f>
        <v>0</v>
      </c>
      <c r="M3962" s="13" t="n">
        <f aca="false">MAX(0,F3962-I3962-J3962)</f>
        <v>0</v>
      </c>
      <c r="N3962" s="13" t="n">
        <f aca="false">IF(Kalender!A302="",0,J3961-H3962)</f>
        <v>0</v>
      </c>
    </row>
    <row r="3963" customFormat="false" ht="16.4" hidden="false" customHeight="false" outlineLevel="0" collapsed="false">
      <c r="A3963" s="13" t="str">
        <f aca="false">""</f>
        <v/>
      </c>
      <c r="B3963" s="13" t="n">
        <f aca="false">299</f>
        <v>299</v>
      </c>
      <c r="C3963" s="13" t="n">
        <f aca="false">IF(Szenarien!$H$21="OK",(IFERROR(SUMIF(Nutzungsprofile!$B$6:$B$11,"Schulbetrieb",Nutzungsprofile!$G$6:$G$11)*Kalender!C303/SUM(Kalender!$C$5:$C$370),0)+IFERROR(SUMIF(Nutzungsprofile!$B$6:$B$11,"Halle",Nutzungsprofile!$G$6:$G$11)*Kalender!D303/SUM(Kalender!$D$5:$D$370),0)+IFERROR(SUMIF(Nutzungsprofile!$B$6:$B$11,"Individuell",Nutzungsprofile!$G$6:$G$11)*Kalender!E303/SUM(Kalender!$E$5:$E$370),0))*Szenarien!$E$21,0)</f>
        <v>1.08</v>
      </c>
      <c r="D3963" s="13" t="n">
        <f aca="false">IF(Szenarien!$H$21="OK",(IFERROR(SUMIF(Nutzungsprofile!$B$17:$B$22,"Schulbetrieb",Nutzungsprofile!$G$17:$G$22)*Kalender!C303/SUM(Kalender!$C$5:$C$370),0)+IFERROR(SUMIF(Nutzungsprofile!$B$17:$B$22,"Halle",Nutzungsprofile!$G$17:$G$22)*Kalender!D303/SUM(Kalender!$D$5:$D$370),0)+IFERROR(SUMIF(Nutzungsprofile!$B$17:$B$22,"Individuell",Nutzungsprofile!$G$17:$G$22)*Kalender!E303/SUM(Kalender!$E$5:$E$370),0))*Szenarien!$D$21,0)</f>
        <v>4.05</v>
      </c>
      <c r="E3963" s="13" t="n">
        <f aca="false">IFERROR(MIN(C3963,Eingaben!$B$17)*Eingaben!$B$16,0)</f>
        <v>1.026</v>
      </c>
      <c r="F3963" s="13" t="n">
        <f aca="false">IFERROR(E3963*Eingaben!$B$15,0)</f>
        <v>0.9234</v>
      </c>
      <c r="G3963" s="13" t="n">
        <f aca="false">IFERROR(IF(Kalender!A303="",0,J3962*(1-Eingaben!$B$20)),0)</f>
        <v>0</v>
      </c>
      <c r="H3963" s="13" t="n">
        <f aca="false">MIN(G3963,D3963)</f>
        <v>0</v>
      </c>
      <c r="I3963" s="13" t="n">
        <f aca="false">IFERROR(MIN(F3963*Eingaben!$B$19,MAX(0,D3963-H3963)),0)</f>
        <v>0.64638</v>
      </c>
      <c r="J3963" s="13" t="n">
        <f aca="false">IFERROR(MIN(Eingaben!$B$18,MAX(0,F3963-I3963)),0)</f>
        <v>0.27702</v>
      </c>
      <c r="K3963" s="13" t="n">
        <f aca="false">H3963+I3963</f>
        <v>0.64638</v>
      </c>
      <c r="L3963" s="13" t="n">
        <f aca="false">MAX(0,D3963-K3963)</f>
        <v>3.40362</v>
      </c>
      <c r="M3963" s="13" t="n">
        <f aca="false">MAX(0,F3963-I3963-J3963)</f>
        <v>0</v>
      </c>
      <c r="N3963" s="13" t="n">
        <f aca="false">IF(Kalender!A303="",0,J3962-H3963)</f>
        <v>0</v>
      </c>
    </row>
    <row r="3964" customFormat="false" ht="16.4" hidden="false" customHeight="false" outlineLevel="0" collapsed="false">
      <c r="A3964" s="13" t="str">
        <f aca="false">""</f>
        <v/>
      </c>
      <c r="B3964" s="13" t="n">
        <f aca="false">300</f>
        <v>300</v>
      </c>
      <c r="C3964" s="13" t="n">
        <f aca="false">IF(Szenarien!$H$21="OK",(IFERROR(SUMIF(Nutzungsprofile!$B$6:$B$11,"Schulbetrieb",Nutzungsprofile!$G$6:$G$11)*Kalender!C304/SUM(Kalender!$C$5:$C$370),0)+IFERROR(SUMIF(Nutzungsprofile!$B$6:$B$11,"Halle",Nutzungsprofile!$G$6:$G$11)*Kalender!D304/SUM(Kalender!$D$5:$D$370),0)+IFERROR(SUMIF(Nutzungsprofile!$B$6:$B$11,"Individuell",Nutzungsprofile!$G$6:$G$11)*Kalender!E304/SUM(Kalender!$E$5:$E$370),0))*Szenarien!$E$21,0)</f>
        <v>1.08</v>
      </c>
      <c r="D3964" s="13" t="n">
        <f aca="false">IF(Szenarien!$H$21="OK",(IFERROR(SUMIF(Nutzungsprofile!$B$17:$B$22,"Schulbetrieb",Nutzungsprofile!$G$17:$G$22)*Kalender!C304/SUM(Kalender!$C$5:$C$370),0)+IFERROR(SUMIF(Nutzungsprofile!$B$17:$B$22,"Halle",Nutzungsprofile!$G$17:$G$22)*Kalender!D304/SUM(Kalender!$D$5:$D$370),0)+IFERROR(SUMIF(Nutzungsprofile!$B$17:$B$22,"Individuell",Nutzungsprofile!$G$17:$G$22)*Kalender!E304/SUM(Kalender!$E$5:$E$370),0))*Szenarien!$D$21,0)</f>
        <v>4.05</v>
      </c>
      <c r="E3964" s="13" t="n">
        <f aca="false">IFERROR(MIN(C3964,Eingaben!$B$17)*Eingaben!$B$16,0)</f>
        <v>1.026</v>
      </c>
      <c r="F3964" s="13" t="n">
        <f aca="false">IFERROR(E3964*Eingaben!$B$15,0)</f>
        <v>0.9234</v>
      </c>
      <c r="G3964" s="13" t="n">
        <f aca="false">IFERROR(IF(Kalender!A304="",0,J3963*(1-Eingaben!$B$20)),0)</f>
        <v>0.2714796</v>
      </c>
      <c r="H3964" s="13" t="n">
        <f aca="false">MIN(G3964,D3964)</f>
        <v>0.2714796</v>
      </c>
      <c r="I3964" s="13" t="n">
        <f aca="false">IFERROR(MIN(F3964*Eingaben!$B$19,MAX(0,D3964-H3964)),0)</f>
        <v>0.64638</v>
      </c>
      <c r="J3964" s="13" t="n">
        <f aca="false">IFERROR(MIN(Eingaben!$B$18,MAX(0,F3964-I3964)),0)</f>
        <v>0.27702</v>
      </c>
      <c r="K3964" s="13" t="n">
        <f aca="false">H3964+I3964</f>
        <v>0.9178596</v>
      </c>
      <c r="L3964" s="13" t="n">
        <f aca="false">MAX(0,D3964-K3964)</f>
        <v>3.1321404</v>
      </c>
      <c r="M3964" s="13" t="n">
        <f aca="false">MAX(0,F3964-I3964-J3964)</f>
        <v>0</v>
      </c>
      <c r="N3964" s="13" t="n">
        <f aca="false">IF(Kalender!A304="",0,J3963-H3964)</f>
        <v>0.0055404</v>
      </c>
    </row>
    <row r="3965" customFormat="false" ht="16.4" hidden="false" customHeight="false" outlineLevel="0" collapsed="false">
      <c r="A3965" s="13" t="str">
        <f aca="false">""</f>
        <v/>
      </c>
      <c r="B3965" s="13" t="n">
        <f aca="false">301</f>
        <v>301</v>
      </c>
      <c r="C3965" s="13" t="n">
        <f aca="false">IF(Szenarien!$H$21="OK",(IFERROR(SUMIF(Nutzungsprofile!$B$6:$B$11,"Schulbetrieb",Nutzungsprofile!$G$6:$G$11)*Kalender!C305/SUM(Kalender!$C$5:$C$370),0)+IFERROR(SUMIF(Nutzungsprofile!$B$6:$B$11,"Halle",Nutzungsprofile!$G$6:$G$11)*Kalender!D305/SUM(Kalender!$D$5:$D$370),0)+IFERROR(SUMIF(Nutzungsprofile!$B$6:$B$11,"Individuell",Nutzungsprofile!$G$6:$G$11)*Kalender!E305/SUM(Kalender!$E$5:$E$370),0))*Szenarien!$E$21,0)</f>
        <v>1.08</v>
      </c>
      <c r="D3965" s="13" t="n">
        <f aca="false">IF(Szenarien!$H$21="OK",(IFERROR(SUMIF(Nutzungsprofile!$B$17:$B$22,"Schulbetrieb",Nutzungsprofile!$G$17:$G$22)*Kalender!C305/SUM(Kalender!$C$5:$C$370),0)+IFERROR(SUMIF(Nutzungsprofile!$B$17:$B$22,"Halle",Nutzungsprofile!$G$17:$G$22)*Kalender!D305/SUM(Kalender!$D$5:$D$370),0)+IFERROR(SUMIF(Nutzungsprofile!$B$17:$B$22,"Individuell",Nutzungsprofile!$G$17:$G$22)*Kalender!E305/SUM(Kalender!$E$5:$E$370),0))*Szenarien!$D$21,0)</f>
        <v>4.05</v>
      </c>
      <c r="E3965" s="13" t="n">
        <f aca="false">IFERROR(MIN(C3965,Eingaben!$B$17)*Eingaben!$B$16,0)</f>
        <v>1.026</v>
      </c>
      <c r="F3965" s="13" t="n">
        <f aca="false">IFERROR(E3965*Eingaben!$B$15,0)</f>
        <v>0.9234</v>
      </c>
      <c r="G3965" s="13" t="n">
        <f aca="false">IFERROR(IF(Kalender!A305="",0,J3964*(1-Eingaben!$B$20)),0)</f>
        <v>0.2714796</v>
      </c>
      <c r="H3965" s="13" t="n">
        <f aca="false">MIN(G3965,D3965)</f>
        <v>0.2714796</v>
      </c>
      <c r="I3965" s="13" t="n">
        <f aca="false">IFERROR(MIN(F3965*Eingaben!$B$19,MAX(0,D3965-H3965)),0)</f>
        <v>0.64638</v>
      </c>
      <c r="J3965" s="13" t="n">
        <f aca="false">IFERROR(MIN(Eingaben!$B$18,MAX(0,F3965-I3965)),0)</f>
        <v>0.27702</v>
      </c>
      <c r="K3965" s="13" t="n">
        <f aca="false">H3965+I3965</f>
        <v>0.9178596</v>
      </c>
      <c r="L3965" s="13" t="n">
        <f aca="false">MAX(0,D3965-K3965)</f>
        <v>3.1321404</v>
      </c>
      <c r="M3965" s="13" t="n">
        <f aca="false">MAX(0,F3965-I3965-J3965)</f>
        <v>0</v>
      </c>
      <c r="N3965" s="13" t="n">
        <f aca="false">IF(Kalender!A305="",0,J3964-H3965)</f>
        <v>0.0055404</v>
      </c>
    </row>
    <row r="3966" customFormat="false" ht="16.4" hidden="false" customHeight="false" outlineLevel="0" collapsed="false">
      <c r="A3966" s="13" t="str">
        <f aca="false">""</f>
        <v/>
      </c>
      <c r="B3966" s="13" t="n">
        <f aca="false">302</f>
        <v>302</v>
      </c>
      <c r="C3966" s="13" t="n">
        <f aca="false">IF(Szenarien!$H$21="OK",(IFERROR(SUMIF(Nutzungsprofile!$B$6:$B$11,"Schulbetrieb",Nutzungsprofile!$G$6:$G$11)*Kalender!C306/SUM(Kalender!$C$5:$C$370),0)+IFERROR(SUMIF(Nutzungsprofile!$B$6:$B$11,"Halle",Nutzungsprofile!$G$6:$G$11)*Kalender!D306/SUM(Kalender!$D$5:$D$370),0)+IFERROR(SUMIF(Nutzungsprofile!$B$6:$B$11,"Individuell",Nutzungsprofile!$G$6:$G$11)*Kalender!E306/SUM(Kalender!$E$5:$E$370),0))*Szenarien!$E$21,0)</f>
        <v>1.08</v>
      </c>
      <c r="D3966" s="13" t="n">
        <f aca="false">IF(Szenarien!$H$21="OK",(IFERROR(SUMIF(Nutzungsprofile!$B$17:$B$22,"Schulbetrieb",Nutzungsprofile!$G$17:$G$22)*Kalender!C306/SUM(Kalender!$C$5:$C$370),0)+IFERROR(SUMIF(Nutzungsprofile!$B$17:$B$22,"Halle",Nutzungsprofile!$G$17:$G$22)*Kalender!D306/SUM(Kalender!$D$5:$D$370),0)+IFERROR(SUMIF(Nutzungsprofile!$B$17:$B$22,"Individuell",Nutzungsprofile!$G$17:$G$22)*Kalender!E306/SUM(Kalender!$E$5:$E$370),0))*Szenarien!$D$21,0)</f>
        <v>4.05</v>
      </c>
      <c r="E3966" s="13" t="n">
        <f aca="false">IFERROR(MIN(C3966,Eingaben!$B$17)*Eingaben!$B$16,0)</f>
        <v>1.026</v>
      </c>
      <c r="F3966" s="13" t="n">
        <f aca="false">IFERROR(E3966*Eingaben!$B$15,0)</f>
        <v>0.9234</v>
      </c>
      <c r="G3966" s="13" t="n">
        <f aca="false">IFERROR(IF(Kalender!A306="",0,J3965*(1-Eingaben!$B$20)),0)</f>
        <v>0.2714796</v>
      </c>
      <c r="H3966" s="13" t="n">
        <f aca="false">MIN(G3966,D3966)</f>
        <v>0.2714796</v>
      </c>
      <c r="I3966" s="13" t="n">
        <f aca="false">IFERROR(MIN(F3966*Eingaben!$B$19,MAX(0,D3966-H3966)),0)</f>
        <v>0.64638</v>
      </c>
      <c r="J3966" s="13" t="n">
        <f aca="false">IFERROR(MIN(Eingaben!$B$18,MAX(0,F3966-I3966)),0)</f>
        <v>0.27702</v>
      </c>
      <c r="K3966" s="13" t="n">
        <f aca="false">H3966+I3966</f>
        <v>0.9178596</v>
      </c>
      <c r="L3966" s="13" t="n">
        <f aca="false">MAX(0,D3966-K3966)</f>
        <v>3.1321404</v>
      </c>
      <c r="M3966" s="13" t="n">
        <f aca="false">MAX(0,F3966-I3966-J3966)</f>
        <v>0</v>
      </c>
      <c r="N3966" s="13" t="n">
        <f aca="false">IF(Kalender!A306="",0,J3965-H3966)</f>
        <v>0.0055404</v>
      </c>
    </row>
    <row r="3967" customFormat="false" ht="16.4" hidden="false" customHeight="false" outlineLevel="0" collapsed="false">
      <c r="A3967" s="13" t="str">
        <f aca="false">""</f>
        <v/>
      </c>
      <c r="B3967" s="13" t="n">
        <f aca="false">303</f>
        <v>303</v>
      </c>
      <c r="C3967" s="13" t="n">
        <f aca="false">IF(Szenarien!$H$21="OK",(IFERROR(SUMIF(Nutzungsprofile!$B$6:$B$11,"Schulbetrieb",Nutzungsprofile!$G$6:$G$11)*Kalender!C307/SUM(Kalender!$C$5:$C$370),0)+IFERROR(SUMIF(Nutzungsprofile!$B$6:$B$11,"Halle",Nutzungsprofile!$G$6:$G$11)*Kalender!D307/SUM(Kalender!$D$5:$D$370),0)+IFERROR(SUMIF(Nutzungsprofile!$B$6:$B$11,"Individuell",Nutzungsprofile!$G$6:$G$11)*Kalender!E307/SUM(Kalender!$E$5:$E$370),0))*Szenarien!$E$21,0)</f>
        <v>1.08</v>
      </c>
      <c r="D3967" s="13" t="n">
        <f aca="false">IF(Szenarien!$H$21="OK",(IFERROR(SUMIF(Nutzungsprofile!$B$17:$B$22,"Schulbetrieb",Nutzungsprofile!$G$17:$G$22)*Kalender!C307/SUM(Kalender!$C$5:$C$370),0)+IFERROR(SUMIF(Nutzungsprofile!$B$17:$B$22,"Halle",Nutzungsprofile!$G$17:$G$22)*Kalender!D307/SUM(Kalender!$D$5:$D$370),0)+IFERROR(SUMIF(Nutzungsprofile!$B$17:$B$22,"Individuell",Nutzungsprofile!$G$17:$G$22)*Kalender!E307/SUM(Kalender!$E$5:$E$370),0))*Szenarien!$D$21,0)</f>
        <v>4.05</v>
      </c>
      <c r="E3967" s="13" t="n">
        <f aca="false">IFERROR(MIN(C3967,Eingaben!$B$17)*Eingaben!$B$16,0)</f>
        <v>1.026</v>
      </c>
      <c r="F3967" s="13" t="n">
        <f aca="false">IFERROR(E3967*Eingaben!$B$15,0)</f>
        <v>0.9234</v>
      </c>
      <c r="G3967" s="13" t="n">
        <f aca="false">IFERROR(IF(Kalender!A307="",0,J3966*(1-Eingaben!$B$20)),0)</f>
        <v>0.2714796</v>
      </c>
      <c r="H3967" s="13" t="n">
        <f aca="false">MIN(G3967,D3967)</f>
        <v>0.2714796</v>
      </c>
      <c r="I3967" s="13" t="n">
        <f aca="false">IFERROR(MIN(F3967*Eingaben!$B$19,MAX(0,D3967-H3967)),0)</f>
        <v>0.64638</v>
      </c>
      <c r="J3967" s="13" t="n">
        <f aca="false">IFERROR(MIN(Eingaben!$B$18,MAX(0,F3967-I3967)),0)</f>
        <v>0.27702</v>
      </c>
      <c r="K3967" s="13" t="n">
        <f aca="false">H3967+I3967</f>
        <v>0.9178596</v>
      </c>
      <c r="L3967" s="13" t="n">
        <f aca="false">MAX(0,D3967-K3967)</f>
        <v>3.1321404</v>
      </c>
      <c r="M3967" s="13" t="n">
        <f aca="false">MAX(0,F3967-I3967-J3967)</f>
        <v>0</v>
      </c>
      <c r="N3967" s="13" t="n">
        <f aca="false">IF(Kalender!A307="",0,J3966-H3967)</f>
        <v>0.0055404</v>
      </c>
    </row>
    <row r="3968" customFormat="false" ht="16.4" hidden="false" customHeight="false" outlineLevel="0" collapsed="false">
      <c r="A3968" s="13" t="str">
        <f aca="false">""</f>
        <v/>
      </c>
      <c r="B3968" s="13" t="n">
        <f aca="false">304</f>
        <v>304</v>
      </c>
      <c r="C3968" s="13" t="n">
        <f aca="false">IF(Szenarien!$H$21="OK",(IFERROR(SUMIF(Nutzungsprofile!$B$6:$B$11,"Schulbetrieb",Nutzungsprofile!$G$6:$G$11)*Kalender!C308/SUM(Kalender!$C$5:$C$370),0)+IFERROR(SUMIF(Nutzungsprofile!$B$6:$B$11,"Halle",Nutzungsprofile!$G$6:$G$11)*Kalender!D308/SUM(Kalender!$D$5:$D$370),0)+IFERROR(SUMIF(Nutzungsprofile!$B$6:$B$11,"Individuell",Nutzungsprofile!$G$6:$G$11)*Kalender!E308/SUM(Kalender!$E$5:$E$370),0))*Szenarien!$E$21,0)</f>
        <v>0</v>
      </c>
      <c r="D3968" s="13" t="n">
        <f aca="false">IF(Szenarien!$H$21="OK",(IFERROR(SUMIF(Nutzungsprofile!$B$17:$B$22,"Schulbetrieb",Nutzungsprofile!$G$17:$G$22)*Kalender!C308/SUM(Kalender!$C$5:$C$370),0)+IFERROR(SUMIF(Nutzungsprofile!$B$17:$B$22,"Halle",Nutzungsprofile!$G$17:$G$22)*Kalender!D308/SUM(Kalender!$D$5:$D$370),0)+IFERROR(SUMIF(Nutzungsprofile!$B$17:$B$22,"Individuell",Nutzungsprofile!$G$17:$G$22)*Kalender!E308/SUM(Kalender!$E$5:$E$370),0))*Szenarien!$D$21,0)</f>
        <v>0</v>
      </c>
      <c r="E3968" s="13" t="n">
        <f aca="false">IFERROR(MIN(C3968,Eingaben!$B$17)*Eingaben!$B$16,0)</f>
        <v>0</v>
      </c>
      <c r="F3968" s="13" t="n">
        <f aca="false">IFERROR(E3968*Eingaben!$B$15,0)</f>
        <v>0</v>
      </c>
      <c r="G3968" s="13" t="n">
        <f aca="false">IFERROR(IF(Kalender!A308="",0,J3967*(1-Eingaben!$B$20)),0)</f>
        <v>0.2714796</v>
      </c>
      <c r="H3968" s="13" t="n">
        <f aca="false">MIN(G3968,D3968)</f>
        <v>0</v>
      </c>
      <c r="I3968" s="13" t="n">
        <f aca="false">IFERROR(MIN(F3968*Eingaben!$B$19,MAX(0,D3968-H3968)),0)</f>
        <v>0</v>
      </c>
      <c r="J3968" s="13" t="n">
        <f aca="false">IFERROR(MIN(Eingaben!$B$18,MAX(0,F3968-I3968)),0)</f>
        <v>0</v>
      </c>
      <c r="K3968" s="13" t="n">
        <f aca="false">H3968+I3968</f>
        <v>0</v>
      </c>
      <c r="L3968" s="13" t="n">
        <f aca="false">MAX(0,D3968-K3968)</f>
        <v>0</v>
      </c>
      <c r="M3968" s="13" t="n">
        <f aca="false">MAX(0,F3968-I3968-J3968)</f>
        <v>0</v>
      </c>
      <c r="N3968" s="13" t="n">
        <f aca="false">IF(Kalender!A308="",0,J3967-H3968)</f>
        <v>0.27702</v>
      </c>
    </row>
    <row r="3969" customFormat="false" ht="16.4" hidden="false" customHeight="false" outlineLevel="0" collapsed="false">
      <c r="A3969" s="13" t="str">
        <f aca="false">""</f>
        <v/>
      </c>
      <c r="B3969" s="13" t="n">
        <f aca="false">305</f>
        <v>305</v>
      </c>
      <c r="C3969" s="13" t="n">
        <f aca="false">IF(Szenarien!$H$21="OK",(IFERROR(SUMIF(Nutzungsprofile!$B$6:$B$11,"Schulbetrieb",Nutzungsprofile!$G$6:$G$11)*Kalender!C309/SUM(Kalender!$C$5:$C$370),0)+IFERROR(SUMIF(Nutzungsprofile!$B$6:$B$11,"Halle",Nutzungsprofile!$G$6:$G$11)*Kalender!D309/SUM(Kalender!$D$5:$D$370),0)+IFERROR(SUMIF(Nutzungsprofile!$B$6:$B$11,"Individuell",Nutzungsprofile!$G$6:$G$11)*Kalender!E309/SUM(Kalender!$E$5:$E$370),0))*Szenarien!$E$21,0)</f>
        <v>0</v>
      </c>
      <c r="D3969" s="13" t="n">
        <f aca="false">IF(Szenarien!$H$21="OK",(IFERROR(SUMIF(Nutzungsprofile!$B$17:$B$22,"Schulbetrieb",Nutzungsprofile!$G$17:$G$22)*Kalender!C309/SUM(Kalender!$C$5:$C$370),0)+IFERROR(SUMIF(Nutzungsprofile!$B$17:$B$22,"Halle",Nutzungsprofile!$G$17:$G$22)*Kalender!D309/SUM(Kalender!$D$5:$D$370),0)+IFERROR(SUMIF(Nutzungsprofile!$B$17:$B$22,"Individuell",Nutzungsprofile!$G$17:$G$22)*Kalender!E309/SUM(Kalender!$E$5:$E$370),0))*Szenarien!$D$21,0)</f>
        <v>0</v>
      </c>
      <c r="E3969" s="13" t="n">
        <f aca="false">IFERROR(MIN(C3969,Eingaben!$B$17)*Eingaben!$B$16,0)</f>
        <v>0</v>
      </c>
      <c r="F3969" s="13" t="n">
        <f aca="false">IFERROR(E3969*Eingaben!$B$15,0)</f>
        <v>0</v>
      </c>
      <c r="G3969" s="13" t="n">
        <f aca="false">IFERROR(IF(Kalender!A309="",0,J3968*(1-Eingaben!$B$20)),0)</f>
        <v>0</v>
      </c>
      <c r="H3969" s="13" t="n">
        <f aca="false">MIN(G3969,D3969)</f>
        <v>0</v>
      </c>
      <c r="I3969" s="13" t="n">
        <f aca="false">IFERROR(MIN(F3969*Eingaben!$B$19,MAX(0,D3969-H3969)),0)</f>
        <v>0</v>
      </c>
      <c r="J3969" s="13" t="n">
        <f aca="false">IFERROR(MIN(Eingaben!$B$18,MAX(0,F3969-I3969)),0)</f>
        <v>0</v>
      </c>
      <c r="K3969" s="13" t="n">
        <f aca="false">H3969+I3969</f>
        <v>0</v>
      </c>
      <c r="L3969" s="13" t="n">
        <f aca="false">MAX(0,D3969-K3969)</f>
        <v>0</v>
      </c>
      <c r="M3969" s="13" t="n">
        <f aca="false">MAX(0,F3969-I3969-J3969)</f>
        <v>0</v>
      </c>
      <c r="N3969" s="13" t="n">
        <f aca="false">IF(Kalender!A309="",0,J3968-H3969)</f>
        <v>0</v>
      </c>
    </row>
    <row r="3970" customFormat="false" ht="16.4" hidden="false" customHeight="false" outlineLevel="0" collapsed="false">
      <c r="A3970" s="13" t="str">
        <f aca="false">""</f>
        <v/>
      </c>
      <c r="B3970" s="13" t="n">
        <f aca="false">306</f>
        <v>306</v>
      </c>
      <c r="C3970" s="13" t="n">
        <f aca="false">IF(Szenarien!$H$21="OK",(IFERROR(SUMIF(Nutzungsprofile!$B$6:$B$11,"Schulbetrieb",Nutzungsprofile!$G$6:$G$11)*Kalender!C310/SUM(Kalender!$C$5:$C$370),0)+IFERROR(SUMIF(Nutzungsprofile!$B$6:$B$11,"Halle",Nutzungsprofile!$G$6:$G$11)*Kalender!D310/SUM(Kalender!$D$5:$D$370),0)+IFERROR(SUMIF(Nutzungsprofile!$B$6:$B$11,"Individuell",Nutzungsprofile!$G$6:$G$11)*Kalender!E310/SUM(Kalender!$E$5:$E$370),0))*Szenarien!$E$21,0)</f>
        <v>1.08</v>
      </c>
      <c r="D3970" s="13" t="n">
        <f aca="false">IF(Szenarien!$H$21="OK",(IFERROR(SUMIF(Nutzungsprofile!$B$17:$B$22,"Schulbetrieb",Nutzungsprofile!$G$17:$G$22)*Kalender!C310/SUM(Kalender!$C$5:$C$370),0)+IFERROR(SUMIF(Nutzungsprofile!$B$17:$B$22,"Halle",Nutzungsprofile!$G$17:$G$22)*Kalender!D310/SUM(Kalender!$D$5:$D$370),0)+IFERROR(SUMIF(Nutzungsprofile!$B$17:$B$22,"Individuell",Nutzungsprofile!$G$17:$G$22)*Kalender!E310/SUM(Kalender!$E$5:$E$370),0))*Szenarien!$D$21,0)</f>
        <v>4.05</v>
      </c>
      <c r="E3970" s="13" t="n">
        <f aca="false">IFERROR(MIN(C3970,Eingaben!$B$17)*Eingaben!$B$16,0)</f>
        <v>1.026</v>
      </c>
      <c r="F3970" s="13" t="n">
        <f aca="false">IFERROR(E3970*Eingaben!$B$15,0)</f>
        <v>0.9234</v>
      </c>
      <c r="G3970" s="13" t="n">
        <f aca="false">IFERROR(IF(Kalender!A310="",0,J3969*(1-Eingaben!$B$20)),0)</f>
        <v>0</v>
      </c>
      <c r="H3970" s="13" t="n">
        <f aca="false">MIN(G3970,D3970)</f>
        <v>0</v>
      </c>
      <c r="I3970" s="13" t="n">
        <f aca="false">IFERROR(MIN(F3970*Eingaben!$B$19,MAX(0,D3970-H3970)),0)</f>
        <v>0.64638</v>
      </c>
      <c r="J3970" s="13" t="n">
        <f aca="false">IFERROR(MIN(Eingaben!$B$18,MAX(0,F3970-I3970)),0)</f>
        <v>0.27702</v>
      </c>
      <c r="K3970" s="13" t="n">
        <f aca="false">H3970+I3970</f>
        <v>0.64638</v>
      </c>
      <c r="L3970" s="13" t="n">
        <f aca="false">MAX(0,D3970-K3970)</f>
        <v>3.40362</v>
      </c>
      <c r="M3970" s="13" t="n">
        <f aca="false">MAX(0,F3970-I3970-J3970)</f>
        <v>0</v>
      </c>
      <c r="N3970" s="13" t="n">
        <f aca="false">IF(Kalender!A310="",0,J3969-H3970)</f>
        <v>0</v>
      </c>
    </row>
    <row r="3971" customFormat="false" ht="16.4" hidden="false" customHeight="false" outlineLevel="0" collapsed="false">
      <c r="A3971" s="13" t="str">
        <f aca="false">""</f>
        <v/>
      </c>
      <c r="B3971" s="13" t="n">
        <f aca="false">307</f>
        <v>307</v>
      </c>
      <c r="C3971" s="13" t="n">
        <f aca="false">IF(Szenarien!$H$21="OK",(IFERROR(SUMIF(Nutzungsprofile!$B$6:$B$11,"Schulbetrieb",Nutzungsprofile!$G$6:$G$11)*Kalender!C311/SUM(Kalender!$C$5:$C$370),0)+IFERROR(SUMIF(Nutzungsprofile!$B$6:$B$11,"Halle",Nutzungsprofile!$G$6:$G$11)*Kalender!D311/SUM(Kalender!$D$5:$D$370),0)+IFERROR(SUMIF(Nutzungsprofile!$B$6:$B$11,"Individuell",Nutzungsprofile!$G$6:$G$11)*Kalender!E311/SUM(Kalender!$E$5:$E$370),0))*Szenarien!$E$21,0)</f>
        <v>1.08</v>
      </c>
      <c r="D3971" s="13" t="n">
        <f aca="false">IF(Szenarien!$H$21="OK",(IFERROR(SUMIF(Nutzungsprofile!$B$17:$B$22,"Schulbetrieb",Nutzungsprofile!$G$17:$G$22)*Kalender!C311/SUM(Kalender!$C$5:$C$370),0)+IFERROR(SUMIF(Nutzungsprofile!$B$17:$B$22,"Halle",Nutzungsprofile!$G$17:$G$22)*Kalender!D311/SUM(Kalender!$D$5:$D$370),0)+IFERROR(SUMIF(Nutzungsprofile!$B$17:$B$22,"Individuell",Nutzungsprofile!$G$17:$G$22)*Kalender!E311/SUM(Kalender!$E$5:$E$370),0))*Szenarien!$D$21,0)</f>
        <v>4.05</v>
      </c>
      <c r="E3971" s="13" t="n">
        <f aca="false">IFERROR(MIN(C3971,Eingaben!$B$17)*Eingaben!$B$16,0)</f>
        <v>1.026</v>
      </c>
      <c r="F3971" s="13" t="n">
        <f aca="false">IFERROR(E3971*Eingaben!$B$15,0)</f>
        <v>0.9234</v>
      </c>
      <c r="G3971" s="13" t="n">
        <f aca="false">IFERROR(IF(Kalender!A311="",0,J3970*(1-Eingaben!$B$20)),0)</f>
        <v>0.2714796</v>
      </c>
      <c r="H3971" s="13" t="n">
        <f aca="false">MIN(G3971,D3971)</f>
        <v>0.2714796</v>
      </c>
      <c r="I3971" s="13" t="n">
        <f aca="false">IFERROR(MIN(F3971*Eingaben!$B$19,MAX(0,D3971-H3971)),0)</f>
        <v>0.64638</v>
      </c>
      <c r="J3971" s="13" t="n">
        <f aca="false">IFERROR(MIN(Eingaben!$B$18,MAX(0,F3971-I3971)),0)</f>
        <v>0.27702</v>
      </c>
      <c r="K3971" s="13" t="n">
        <f aca="false">H3971+I3971</f>
        <v>0.9178596</v>
      </c>
      <c r="L3971" s="13" t="n">
        <f aca="false">MAX(0,D3971-K3971)</f>
        <v>3.1321404</v>
      </c>
      <c r="M3971" s="13" t="n">
        <f aca="false">MAX(0,F3971-I3971-J3971)</f>
        <v>0</v>
      </c>
      <c r="N3971" s="13" t="n">
        <f aca="false">IF(Kalender!A311="",0,J3970-H3971)</f>
        <v>0.0055404</v>
      </c>
    </row>
    <row r="3972" customFormat="false" ht="16.4" hidden="false" customHeight="false" outlineLevel="0" collapsed="false">
      <c r="A3972" s="13" t="str">
        <f aca="false">""</f>
        <v/>
      </c>
      <c r="B3972" s="13" t="n">
        <f aca="false">308</f>
        <v>308</v>
      </c>
      <c r="C3972" s="13" t="n">
        <f aca="false">IF(Szenarien!$H$21="OK",(IFERROR(SUMIF(Nutzungsprofile!$B$6:$B$11,"Schulbetrieb",Nutzungsprofile!$G$6:$G$11)*Kalender!C312/SUM(Kalender!$C$5:$C$370),0)+IFERROR(SUMIF(Nutzungsprofile!$B$6:$B$11,"Halle",Nutzungsprofile!$G$6:$G$11)*Kalender!D312/SUM(Kalender!$D$5:$D$370),0)+IFERROR(SUMIF(Nutzungsprofile!$B$6:$B$11,"Individuell",Nutzungsprofile!$G$6:$G$11)*Kalender!E312/SUM(Kalender!$E$5:$E$370),0))*Szenarien!$E$21,0)</f>
        <v>1.08</v>
      </c>
      <c r="D3972" s="13" t="n">
        <f aca="false">IF(Szenarien!$H$21="OK",(IFERROR(SUMIF(Nutzungsprofile!$B$17:$B$22,"Schulbetrieb",Nutzungsprofile!$G$17:$G$22)*Kalender!C312/SUM(Kalender!$C$5:$C$370),0)+IFERROR(SUMIF(Nutzungsprofile!$B$17:$B$22,"Halle",Nutzungsprofile!$G$17:$G$22)*Kalender!D312/SUM(Kalender!$D$5:$D$370),0)+IFERROR(SUMIF(Nutzungsprofile!$B$17:$B$22,"Individuell",Nutzungsprofile!$G$17:$G$22)*Kalender!E312/SUM(Kalender!$E$5:$E$370),0))*Szenarien!$D$21,0)</f>
        <v>4.05</v>
      </c>
      <c r="E3972" s="13" t="n">
        <f aca="false">IFERROR(MIN(C3972,Eingaben!$B$17)*Eingaben!$B$16,0)</f>
        <v>1.026</v>
      </c>
      <c r="F3972" s="13" t="n">
        <f aca="false">IFERROR(E3972*Eingaben!$B$15,0)</f>
        <v>0.9234</v>
      </c>
      <c r="G3972" s="13" t="n">
        <f aca="false">IFERROR(IF(Kalender!A312="",0,J3971*(1-Eingaben!$B$20)),0)</f>
        <v>0.2714796</v>
      </c>
      <c r="H3972" s="13" t="n">
        <f aca="false">MIN(G3972,D3972)</f>
        <v>0.2714796</v>
      </c>
      <c r="I3972" s="13" t="n">
        <f aca="false">IFERROR(MIN(F3972*Eingaben!$B$19,MAX(0,D3972-H3972)),0)</f>
        <v>0.64638</v>
      </c>
      <c r="J3972" s="13" t="n">
        <f aca="false">IFERROR(MIN(Eingaben!$B$18,MAX(0,F3972-I3972)),0)</f>
        <v>0.27702</v>
      </c>
      <c r="K3972" s="13" t="n">
        <f aca="false">H3972+I3972</f>
        <v>0.9178596</v>
      </c>
      <c r="L3972" s="13" t="n">
        <f aca="false">MAX(0,D3972-K3972)</f>
        <v>3.1321404</v>
      </c>
      <c r="M3972" s="13" t="n">
        <f aca="false">MAX(0,F3972-I3972-J3972)</f>
        <v>0</v>
      </c>
      <c r="N3972" s="13" t="n">
        <f aca="false">IF(Kalender!A312="",0,J3971-H3972)</f>
        <v>0.0055404</v>
      </c>
    </row>
    <row r="3973" customFormat="false" ht="16.4" hidden="false" customHeight="false" outlineLevel="0" collapsed="false">
      <c r="A3973" s="13" t="str">
        <f aca="false">""</f>
        <v/>
      </c>
      <c r="B3973" s="13" t="n">
        <f aca="false">309</f>
        <v>309</v>
      </c>
      <c r="C3973" s="13" t="n">
        <f aca="false">IF(Szenarien!$H$21="OK",(IFERROR(SUMIF(Nutzungsprofile!$B$6:$B$11,"Schulbetrieb",Nutzungsprofile!$G$6:$G$11)*Kalender!C313/SUM(Kalender!$C$5:$C$370),0)+IFERROR(SUMIF(Nutzungsprofile!$B$6:$B$11,"Halle",Nutzungsprofile!$G$6:$G$11)*Kalender!D313/SUM(Kalender!$D$5:$D$370),0)+IFERROR(SUMIF(Nutzungsprofile!$B$6:$B$11,"Individuell",Nutzungsprofile!$G$6:$G$11)*Kalender!E313/SUM(Kalender!$E$5:$E$370),0))*Szenarien!$E$21,0)</f>
        <v>1.08</v>
      </c>
      <c r="D3973" s="13" t="n">
        <f aca="false">IF(Szenarien!$H$21="OK",(IFERROR(SUMIF(Nutzungsprofile!$B$17:$B$22,"Schulbetrieb",Nutzungsprofile!$G$17:$G$22)*Kalender!C313/SUM(Kalender!$C$5:$C$370),0)+IFERROR(SUMIF(Nutzungsprofile!$B$17:$B$22,"Halle",Nutzungsprofile!$G$17:$G$22)*Kalender!D313/SUM(Kalender!$D$5:$D$370),0)+IFERROR(SUMIF(Nutzungsprofile!$B$17:$B$22,"Individuell",Nutzungsprofile!$G$17:$G$22)*Kalender!E313/SUM(Kalender!$E$5:$E$370),0))*Szenarien!$D$21,0)</f>
        <v>4.05</v>
      </c>
      <c r="E3973" s="13" t="n">
        <f aca="false">IFERROR(MIN(C3973,Eingaben!$B$17)*Eingaben!$B$16,0)</f>
        <v>1.026</v>
      </c>
      <c r="F3973" s="13" t="n">
        <f aca="false">IFERROR(E3973*Eingaben!$B$15,0)</f>
        <v>0.9234</v>
      </c>
      <c r="G3973" s="13" t="n">
        <f aca="false">IFERROR(IF(Kalender!A313="",0,J3972*(1-Eingaben!$B$20)),0)</f>
        <v>0.2714796</v>
      </c>
      <c r="H3973" s="13" t="n">
        <f aca="false">MIN(G3973,D3973)</f>
        <v>0.2714796</v>
      </c>
      <c r="I3973" s="13" t="n">
        <f aca="false">IFERROR(MIN(F3973*Eingaben!$B$19,MAX(0,D3973-H3973)),0)</f>
        <v>0.64638</v>
      </c>
      <c r="J3973" s="13" t="n">
        <f aca="false">IFERROR(MIN(Eingaben!$B$18,MAX(0,F3973-I3973)),0)</f>
        <v>0.27702</v>
      </c>
      <c r="K3973" s="13" t="n">
        <f aca="false">H3973+I3973</f>
        <v>0.9178596</v>
      </c>
      <c r="L3973" s="13" t="n">
        <f aca="false">MAX(0,D3973-K3973)</f>
        <v>3.1321404</v>
      </c>
      <c r="M3973" s="13" t="n">
        <f aca="false">MAX(0,F3973-I3973-J3973)</f>
        <v>0</v>
      </c>
      <c r="N3973" s="13" t="n">
        <f aca="false">IF(Kalender!A313="",0,J3972-H3973)</f>
        <v>0.0055404</v>
      </c>
    </row>
    <row r="3974" customFormat="false" ht="16.4" hidden="false" customHeight="false" outlineLevel="0" collapsed="false">
      <c r="A3974" s="13" t="str">
        <f aca="false">""</f>
        <v/>
      </c>
      <c r="B3974" s="13" t="n">
        <f aca="false">310</f>
        <v>310</v>
      </c>
      <c r="C3974" s="13" t="n">
        <f aca="false">IF(Szenarien!$H$21="OK",(IFERROR(SUMIF(Nutzungsprofile!$B$6:$B$11,"Schulbetrieb",Nutzungsprofile!$G$6:$G$11)*Kalender!C314/SUM(Kalender!$C$5:$C$370),0)+IFERROR(SUMIF(Nutzungsprofile!$B$6:$B$11,"Halle",Nutzungsprofile!$G$6:$G$11)*Kalender!D314/SUM(Kalender!$D$5:$D$370),0)+IFERROR(SUMIF(Nutzungsprofile!$B$6:$B$11,"Individuell",Nutzungsprofile!$G$6:$G$11)*Kalender!E314/SUM(Kalender!$E$5:$E$370),0))*Szenarien!$E$21,0)</f>
        <v>1.08</v>
      </c>
      <c r="D3974" s="13" t="n">
        <f aca="false">IF(Szenarien!$H$21="OK",(IFERROR(SUMIF(Nutzungsprofile!$B$17:$B$22,"Schulbetrieb",Nutzungsprofile!$G$17:$G$22)*Kalender!C314/SUM(Kalender!$C$5:$C$370),0)+IFERROR(SUMIF(Nutzungsprofile!$B$17:$B$22,"Halle",Nutzungsprofile!$G$17:$G$22)*Kalender!D314/SUM(Kalender!$D$5:$D$370),0)+IFERROR(SUMIF(Nutzungsprofile!$B$17:$B$22,"Individuell",Nutzungsprofile!$G$17:$G$22)*Kalender!E314/SUM(Kalender!$E$5:$E$370),0))*Szenarien!$D$21,0)</f>
        <v>4.05</v>
      </c>
      <c r="E3974" s="13" t="n">
        <f aca="false">IFERROR(MIN(C3974,Eingaben!$B$17)*Eingaben!$B$16,0)</f>
        <v>1.026</v>
      </c>
      <c r="F3974" s="13" t="n">
        <f aca="false">IFERROR(E3974*Eingaben!$B$15,0)</f>
        <v>0.9234</v>
      </c>
      <c r="G3974" s="13" t="n">
        <f aca="false">IFERROR(IF(Kalender!A314="",0,J3973*(1-Eingaben!$B$20)),0)</f>
        <v>0.2714796</v>
      </c>
      <c r="H3974" s="13" t="n">
        <f aca="false">MIN(G3974,D3974)</f>
        <v>0.2714796</v>
      </c>
      <c r="I3974" s="13" t="n">
        <f aca="false">IFERROR(MIN(F3974*Eingaben!$B$19,MAX(0,D3974-H3974)),0)</f>
        <v>0.64638</v>
      </c>
      <c r="J3974" s="13" t="n">
        <f aca="false">IFERROR(MIN(Eingaben!$B$18,MAX(0,F3974-I3974)),0)</f>
        <v>0.27702</v>
      </c>
      <c r="K3974" s="13" t="n">
        <f aca="false">H3974+I3974</f>
        <v>0.9178596</v>
      </c>
      <c r="L3974" s="13" t="n">
        <f aca="false">MAX(0,D3974-K3974)</f>
        <v>3.1321404</v>
      </c>
      <c r="M3974" s="13" t="n">
        <f aca="false">MAX(0,F3974-I3974-J3974)</f>
        <v>0</v>
      </c>
      <c r="N3974" s="13" t="n">
        <f aca="false">IF(Kalender!A314="",0,J3973-H3974)</f>
        <v>0.0055404</v>
      </c>
    </row>
    <row r="3975" customFormat="false" ht="16.4" hidden="false" customHeight="false" outlineLevel="0" collapsed="false">
      <c r="A3975" s="13" t="str">
        <f aca="false">""</f>
        <v/>
      </c>
      <c r="B3975" s="13" t="n">
        <f aca="false">311</f>
        <v>311</v>
      </c>
      <c r="C3975" s="13" t="n">
        <f aca="false">IF(Szenarien!$H$21="OK",(IFERROR(SUMIF(Nutzungsprofile!$B$6:$B$11,"Schulbetrieb",Nutzungsprofile!$G$6:$G$11)*Kalender!C315/SUM(Kalender!$C$5:$C$370),0)+IFERROR(SUMIF(Nutzungsprofile!$B$6:$B$11,"Halle",Nutzungsprofile!$G$6:$G$11)*Kalender!D315/SUM(Kalender!$D$5:$D$370),0)+IFERROR(SUMIF(Nutzungsprofile!$B$6:$B$11,"Individuell",Nutzungsprofile!$G$6:$G$11)*Kalender!E315/SUM(Kalender!$E$5:$E$370),0))*Szenarien!$E$21,0)</f>
        <v>0</v>
      </c>
      <c r="D3975" s="13" t="n">
        <f aca="false">IF(Szenarien!$H$21="OK",(IFERROR(SUMIF(Nutzungsprofile!$B$17:$B$22,"Schulbetrieb",Nutzungsprofile!$G$17:$G$22)*Kalender!C315/SUM(Kalender!$C$5:$C$370),0)+IFERROR(SUMIF(Nutzungsprofile!$B$17:$B$22,"Halle",Nutzungsprofile!$G$17:$G$22)*Kalender!D315/SUM(Kalender!$D$5:$D$370),0)+IFERROR(SUMIF(Nutzungsprofile!$B$17:$B$22,"Individuell",Nutzungsprofile!$G$17:$G$22)*Kalender!E315/SUM(Kalender!$E$5:$E$370),0))*Szenarien!$D$21,0)</f>
        <v>0</v>
      </c>
      <c r="E3975" s="13" t="n">
        <f aca="false">IFERROR(MIN(C3975,Eingaben!$B$17)*Eingaben!$B$16,0)</f>
        <v>0</v>
      </c>
      <c r="F3975" s="13" t="n">
        <f aca="false">IFERROR(E3975*Eingaben!$B$15,0)</f>
        <v>0</v>
      </c>
      <c r="G3975" s="13" t="n">
        <f aca="false">IFERROR(IF(Kalender!A315="",0,J3974*(1-Eingaben!$B$20)),0)</f>
        <v>0.2714796</v>
      </c>
      <c r="H3975" s="13" t="n">
        <f aca="false">MIN(G3975,D3975)</f>
        <v>0</v>
      </c>
      <c r="I3975" s="13" t="n">
        <f aca="false">IFERROR(MIN(F3975*Eingaben!$B$19,MAX(0,D3975-H3975)),0)</f>
        <v>0</v>
      </c>
      <c r="J3975" s="13" t="n">
        <f aca="false">IFERROR(MIN(Eingaben!$B$18,MAX(0,F3975-I3975)),0)</f>
        <v>0</v>
      </c>
      <c r="K3975" s="13" t="n">
        <f aca="false">H3975+I3975</f>
        <v>0</v>
      </c>
      <c r="L3975" s="13" t="n">
        <f aca="false">MAX(0,D3975-K3975)</f>
        <v>0</v>
      </c>
      <c r="M3975" s="13" t="n">
        <f aca="false">MAX(0,F3975-I3975-J3975)</f>
        <v>0</v>
      </c>
      <c r="N3975" s="13" t="n">
        <f aca="false">IF(Kalender!A315="",0,J3974-H3975)</f>
        <v>0.27702</v>
      </c>
    </row>
    <row r="3976" customFormat="false" ht="16.4" hidden="false" customHeight="false" outlineLevel="0" collapsed="false">
      <c r="A3976" s="13" t="str">
        <f aca="false">""</f>
        <v/>
      </c>
      <c r="B3976" s="13" t="n">
        <f aca="false">312</f>
        <v>312</v>
      </c>
      <c r="C3976" s="13" t="n">
        <f aca="false">IF(Szenarien!$H$21="OK",(IFERROR(SUMIF(Nutzungsprofile!$B$6:$B$11,"Schulbetrieb",Nutzungsprofile!$G$6:$G$11)*Kalender!C316/SUM(Kalender!$C$5:$C$370),0)+IFERROR(SUMIF(Nutzungsprofile!$B$6:$B$11,"Halle",Nutzungsprofile!$G$6:$G$11)*Kalender!D316/SUM(Kalender!$D$5:$D$370),0)+IFERROR(SUMIF(Nutzungsprofile!$B$6:$B$11,"Individuell",Nutzungsprofile!$G$6:$G$11)*Kalender!E316/SUM(Kalender!$E$5:$E$370),0))*Szenarien!$E$21,0)</f>
        <v>0</v>
      </c>
      <c r="D3976" s="13" t="n">
        <f aca="false">IF(Szenarien!$H$21="OK",(IFERROR(SUMIF(Nutzungsprofile!$B$17:$B$22,"Schulbetrieb",Nutzungsprofile!$G$17:$G$22)*Kalender!C316/SUM(Kalender!$C$5:$C$370),0)+IFERROR(SUMIF(Nutzungsprofile!$B$17:$B$22,"Halle",Nutzungsprofile!$G$17:$G$22)*Kalender!D316/SUM(Kalender!$D$5:$D$370),0)+IFERROR(SUMIF(Nutzungsprofile!$B$17:$B$22,"Individuell",Nutzungsprofile!$G$17:$G$22)*Kalender!E316/SUM(Kalender!$E$5:$E$370),0))*Szenarien!$D$21,0)</f>
        <v>0</v>
      </c>
      <c r="E3976" s="13" t="n">
        <f aca="false">IFERROR(MIN(C3976,Eingaben!$B$17)*Eingaben!$B$16,0)</f>
        <v>0</v>
      </c>
      <c r="F3976" s="13" t="n">
        <f aca="false">IFERROR(E3976*Eingaben!$B$15,0)</f>
        <v>0</v>
      </c>
      <c r="G3976" s="13" t="n">
        <f aca="false">IFERROR(IF(Kalender!A316="",0,J3975*(1-Eingaben!$B$20)),0)</f>
        <v>0</v>
      </c>
      <c r="H3976" s="13" t="n">
        <f aca="false">MIN(G3976,D3976)</f>
        <v>0</v>
      </c>
      <c r="I3976" s="13" t="n">
        <f aca="false">IFERROR(MIN(F3976*Eingaben!$B$19,MAX(0,D3976-H3976)),0)</f>
        <v>0</v>
      </c>
      <c r="J3976" s="13" t="n">
        <f aca="false">IFERROR(MIN(Eingaben!$B$18,MAX(0,F3976-I3976)),0)</f>
        <v>0</v>
      </c>
      <c r="K3976" s="13" t="n">
        <f aca="false">H3976+I3976</f>
        <v>0</v>
      </c>
      <c r="L3976" s="13" t="n">
        <f aca="false">MAX(0,D3976-K3976)</f>
        <v>0</v>
      </c>
      <c r="M3976" s="13" t="n">
        <f aca="false">MAX(0,F3976-I3976-J3976)</f>
        <v>0</v>
      </c>
      <c r="N3976" s="13" t="n">
        <f aca="false">IF(Kalender!A316="",0,J3975-H3976)</f>
        <v>0</v>
      </c>
    </row>
    <row r="3977" customFormat="false" ht="16.4" hidden="false" customHeight="false" outlineLevel="0" collapsed="false">
      <c r="A3977" s="13" t="str">
        <f aca="false">""</f>
        <v/>
      </c>
      <c r="B3977" s="13" t="n">
        <f aca="false">313</f>
        <v>313</v>
      </c>
      <c r="C3977" s="13" t="n">
        <f aca="false">IF(Szenarien!$H$21="OK",(IFERROR(SUMIF(Nutzungsprofile!$B$6:$B$11,"Schulbetrieb",Nutzungsprofile!$G$6:$G$11)*Kalender!C317/SUM(Kalender!$C$5:$C$370),0)+IFERROR(SUMIF(Nutzungsprofile!$B$6:$B$11,"Halle",Nutzungsprofile!$G$6:$G$11)*Kalender!D317/SUM(Kalender!$D$5:$D$370),0)+IFERROR(SUMIF(Nutzungsprofile!$B$6:$B$11,"Individuell",Nutzungsprofile!$G$6:$G$11)*Kalender!E317/SUM(Kalender!$E$5:$E$370),0))*Szenarien!$E$21,0)</f>
        <v>1.08</v>
      </c>
      <c r="D3977" s="13" t="n">
        <f aca="false">IF(Szenarien!$H$21="OK",(IFERROR(SUMIF(Nutzungsprofile!$B$17:$B$22,"Schulbetrieb",Nutzungsprofile!$G$17:$G$22)*Kalender!C317/SUM(Kalender!$C$5:$C$370),0)+IFERROR(SUMIF(Nutzungsprofile!$B$17:$B$22,"Halle",Nutzungsprofile!$G$17:$G$22)*Kalender!D317/SUM(Kalender!$D$5:$D$370),0)+IFERROR(SUMIF(Nutzungsprofile!$B$17:$B$22,"Individuell",Nutzungsprofile!$G$17:$G$22)*Kalender!E317/SUM(Kalender!$E$5:$E$370),0))*Szenarien!$D$21,0)</f>
        <v>4.05</v>
      </c>
      <c r="E3977" s="13" t="n">
        <f aca="false">IFERROR(MIN(C3977,Eingaben!$B$17)*Eingaben!$B$16,0)</f>
        <v>1.026</v>
      </c>
      <c r="F3977" s="13" t="n">
        <f aca="false">IFERROR(E3977*Eingaben!$B$15,0)</f>
        <v>0.9234</v>
      </c>
      <c r="G3977" s="13" t="n">
        <f aca="false">IFERROR(IF(Kalender!A317="",0,J3976*(1-Eingaben!$B$20)),0)</f>
        <v>0</v>
      </c>
      <c r="H3977" s="13" t="n">
        <f aca="false">MIN(G3977,D3977)</f>
        <v>0</v>
      </c>
      <c r="I3977" s="13" t="n">
        <f aca="false">IFERROR(MIN(F3977*Eingaben!$B$19,MAX(0,D3977-H3977)),0)</f>
        <v>0.64638</v>
      </c>
      <c r="J3977" s="13" t="n">
        <f aca="false">IFERROR(MIN(Eingaben!$B$18,MAX(0,F3977-I3977)),0)</f>
        <v>0.27702</v>
      </c>
      <c r="K3977" s="13" t="n">
        <f aca="false">H3977+I3977</f>
        <v>0.64638</v>
      </c>
      <c r="L3977" s="13" t="n">
        <f aca="false">MAX(0,D3977-K3977)</f>
        <v>3.40362</v>
      </c>
      <c r="M3977" s="13" t="n">
        <f aca="false">MAX(0,F3977-I3977-J3977)</f>
        <v>0</v>
      </c>
      <c r="N3977" s="13" t="n">
        <f aca="false">IF(Kalender!A317="",0,J3976-H3977)</f>
        <v>0</v>
      </c>
    </row>
    <row r="3978" customFormat="false" ht="16.4" hidden="false" customHeight="false" outlineLevel="0" collapsed="false">
      <c r="A3978" s="13" t="str">
        <f aca="false">""</f>
        <v/>
      </c>
      <c r="B3978" s="13" t="n">
        <f aca="false">314</f>
        <v>314</v>
      </c>
      <c r="C3978" s="13" t="n">
        <f aca="false">IF(Szenarien!$H$21="OK",(IFERROR(SUMIF(Nutzungsprofile!$B$6:$B$11,"Schulbetrieb",Nutzungsprofile!$G$6:$G$11)*Kalender!C318/SUM(Kalender!$C$5:$C$370),0)+IFERROR(SUMIF(Nutzungsprofile!$B$6:$B$11,"Halle",Nutzungsprofile!$G$6:$G$11)*Kalender!D318/SUM(Kalender!$D$5:$D$370),0)+IFERROR(SUMIF(Nutzungsprofile!$B$6:$B$11,"Individuell",Nutzungsprofile!$G$6:$G$11)*Kalender!E318/SUM(Kalender!$E$5:$E$370),0))*Szenarien!$E$21,0)</f>
        <v>1.08</v>
      </c>
      <c r="D3978" s="13" t="n">
        <f aca="false">IF(Szenarien!$H$21="OK",(IFERROR(SUMIF(Nutzungsprofile!$B$17:$B$22,"Schulbetrieb",Nutzungsprofile!$G$17:$G$22)*Kalender!C318/SUM(Kalender!$C$5:$C$370),0)+IFERROR(SUMIF(Nutzungsprofile!$B$17:$B$22,"Halle",Nutzungsprofile!$G$17:$G$22)*Kalender!D318/SUM(Kalender!$D$5:$D$370),0)+IFERROR(SUMIF(Nutzungsprofile!$B$17:$B$22,"Individuell",Nutzungsprofile!$G$17:$G$22)*Kalender!E318/SUM(Kalender!$E$5:$E$370),0))*Szenarien!$D$21,0)</f>
        <v>4.05</v>
      </c>
      <c r="E3978" s="13" t="n">
        <f aca="false">IFERROR(MIN(C3978,Eingaben!$B$17)*Eingaben!$B$16,0)</f>
        <v>1.026</v>
      </c>
      <c r="F3978" s="13" t="n">
        <f aca="false">IFERROR(E3978*Eingaben!$B$15,0)</f>
        <v>0.9234</v>
      </c>
      <c r="G3978" s="13" t="n">
        <f aca="false">IFERROR(IF(Kalender!A318="",0,J3977*(1-Eingaben!$B$20)),0)</f>
        <v>0.2714796</v>
      </c>
      <c r="H3978" s="13" t="n">
        <f aca="false">MIN(G3978,D3978)</f>
        <v>0.2714796</v>
      </c>
      <c r="I3978" s="13" t="n">
        <f aca="false">IFERROR(MIN(F3978*Eingaben!$B$19,MAX(0,D3978-H3978)),0)</f>
        <v>0.64638</v>
      </c>
      <c r="J3978" s="13" t="n">
        <f aca="false">IFERROR(MIN(Eingaben!$B$18,MAX(0,F3978-I3978)),0)</f>
        <v>0.27702</v>
      </c>
      <c r="K3978" s="13" t="n">
        <f aca="false">H3978+I3978</f>
        <v>0.9178596</v>
      </c>
      <c r="L3978" s="13" t="n">
        <f aca="false">MAX(0,D3978-K3978)</f>
        <v>3.1321404</v>
      </c>
      <c r="M3978" s="13" t="n">
        <f aca="false">MAX(0,F3978-I3978-J3978)</f>
        <v>0</v>
      </c>
      <c r="N3978" s="13" t="n">
        <f aca="false">IF(Kalender!A318="",0,J3977-H3978)</f>
        <v>0.0055404</v>
      </c>
    </row>
    <row r="3979" customFormat="false" ht="16.4" hidden="false" customHeight="false" outlineLevel="0" collapsed="false">
      <c r="A3979" s="13" t="str">
        <f aca="false">""</f>
        <v/>
      </c>
      <c r="B3979" s="13" t="n">
        <f aca="false">315</f>
        <v>315</v>
      </c>
      <c r="C3979" s="13" t="n">
        <f aca="false">IF(Szenarien!$H$21="OK",(IFERROR(SUMIF(Nutzungsprofile!$B$6:$B$11,"Schulbetrieb",Nutzungsprofile!$G$6:$G$11)*Kalender!C319/SUM(Kalender!$C$5:$C$370),0)+IFERROR(SUMIF(Nutzungsprofile!$B$6:$B$11,"Halle",Nutzungsprofile!$G$6:$G$11)*Kalender!D319/SUM(Kalender!$D$5:$D$370),0)+IFERROR(SUMIF(Nutzungsprofile!$B$6:$B$11,"Individuell",Nutzungsprofile!$G$6:$G$11)*Kalender!E319/SUM(Kalender!$E$5:$E$370),0))*Szenarien!$E$21,0)</f>
        <v>1.08</v>
      </c>
      <c r="D3979" s="13" t="n">
        <f aca="false">IF(Szenarien!$H$21="OK",(IFERROR(SUMIF(Nutzungsprofile!$B$17:$B$22,"Schulbetrieb",Nutzungsprofile!$G$17:$G$22)*Kalender!C319/SUM(Kalender!$C$5:$C$370),0)+IFERROR(SUMIF(Nutzungsprofile!$B$17:$B$22,"Halle",Nutzungsprofile!$G$17:$G$22)*Kalender!D319/SUM(Kalender!$D$5:$D$370),0)+IFERROR(SUMIF(Nutzungsprofile!$B$17:$B$22,"Individuell",Nutzungsprofile!$G$17:$G$22)*Kalender!E319/SUM(Kalender!$E$5:$E$370),0))*Szenarien!$D$21,0)</f>
        <v>4.05</v>
      </c>
      <c r="E3979" s="13" t="n">
        <f aca="false">IFERROR(MIN(C3979,Eingaben!$B$17)*Eingaben!$B$16,0)</f>
        <v>1.026</v>
      </c>
      <c r="F3979" s="13" t="n">
        <f aca="false">IFERROR(E3979*Eingaben!$B$15,0)</f>
        <v>0.9234</v>
      </c>
      <c r="G3979" s="13" t="n">
        <f aca="false">IFERROR(IF(Kalender!A319="",0,J3978*(1-Eingaben!$B$20)),0)</f>
        <v>0.2714796</v>
      </c>
      <c r="H3979" s="13" t="n">
        <f aca="false">MIN(G3979,D3979)</f>
        <v>0.2714796</v>
      </c>
      <c r="I3979" s="13" t="n">
        <f aca="false">IFERROR(MIN(F3979*Eingaben!$B$19,MAX(0,D3979-H3979)),0)</f>
        <v>0.64638</v>
      </c>
      <c r="J3979" s="13" t="n">
        <f aca="false">IFERROR(MIN(Eingaben!$B$18,MAX(0,F3979-I3979)),0)</f>
        <v>0.27702</v>
      </c>
      <c r="K3979" s="13" t="n">
        <f aca="false">H3979+I3979</f>
        <v>0.9178596</v>
      </c>
      <c r="L3979" s="13" t="n">
        <f aca="false">MAX(0,D3979-K3979)</f>
        <v>3.1321404</v>
      </c>
      <c r="M3979" s="13" t="n">
        <f aca="false">MAX(0,F3979-I3979-J3979)</f>
        <v>0</v>
      </c>
      <c r="N3979" s="13" t="n">
        <f aca="false">IF(Kalender!A319="",0,J3978-H3979)</f>
        <v>0.0055404</v>
      </c>
    </row>
    <row r="3980" customFormat="false" ht="16.4" hidden="false" customHeight="false" outlineLevel="0" collapsed="false">
      <c r="A3980" s="13" t="str">
        <f aca="false">""</f>
        <v/>
      </c>
      <c r="B3980" s="13" t="n">
        <f aca="false">316</f>
        <v>316</v>
      </c>
      <c r="C3980" s="13" t="n">
        <f aca="false">IF(Szenarien!$H$21="OK",(IFERROR(SUMIF(Nutzungsprofile!$B$6:$B$11,"Schulbetrieb",Nutzungsprofile!$G$6:$G$11)*Kalender!C320/SUM(Kalender!$C$5:$C$370),0)+IFERROR(SUMIF(Nutzungsprofile!$B$6:$B$11,"Halle",Nutzungsprofile!$G$6:$G$11)*Kalender!D320/SUM(Kalender!$D$5:$D$370),0)+IFERROR(SUMIF(Nutzungsprofile!$B$6:$B$11,"Individuell",Nutzungsprofile!$G$6:$G$11)*Kalender!E320/SUM(Kalender!$E$5:$E$370),0))*Szenarien!$E$21,0)</f>
        <v>1.08</v>
      </c>
      <c r="D3980" s="13" t="n">
        <f aca="false">IF(Szenarien!$H$21="OK",(IFERROR(SUMIF(Nutzungsprofile!$B$17:$B$22,"Schulbetrieb",Nutzungsprofile!$G$17:$G$22)*Kalender!C320/SUM(Kalender!$C$5:$C$370),0)+IFERROR(SUMIF(Nutzungsprofile!$B$17:$B$22,"Halle",Nutzungsprofile!$G$17:$G$22)*Kalender!D320/SUM(Kalender!$D$5:$D$370),0)+IFERROR(SUMIF(Nutzungsprofile!$B$17:$B$22,"Individuell",Nutzungsprofile!$G$17:$G$22)*Kalender!E320/SUM(Kalender!$E$5:$E$370),0))*Szenarien!$D$21,0)</f>
        <v>4.05</v>
      </c>
      <c r="E3980" s="13" t="n">
        <f aca="false">IFERROR(MIN(C3980,Eingaben!$B$17)*Eingaben!$B$16,0)</f>
        <v>1.026</v>
      </c>
      <c r="F3980" s="13" t="n">
        <f aca="false">IFERROR(E3980*Eingaben!$B$15,0)</f>
        <v>0.9234</v>
      </c>
      <c r="G3980" s="13" t="n">
        <f aca="false">IFERROR(IF(Kalender!A320="",0,J3979*(1-Eingaben!$B$20)),0)</f>
        <v>0.2714796</v>
      </c>
      <c r="H3980" s="13" t="n">
        <f aca="false">MIN(G3980,D3980)</f>
        <v>0.2714796</v>
      </c>
      <c r="I3980" s="13" t="n">
        <f aca="false">IFERROR(MIN(F3980*Eingaben!$B$19,MAX(0,D3980-H3980)),0)</f>
        <v>0.64638</v>
      </c>
      <c r="J3980" s="13" t="n">
        <f aca="false">IFERROR(MIN(Eingaben!$B$18,MAX(0,F3980-I3980)),0)</f>
        <v>0.27702</v>
      </c>
      <c r="K3980" s="13" t="n">
        <f aca="false">H3980+I3980</f>
        <v>0.9178596</v>
      </c>
      <c r="L3980" s="13" t="n">
        <f aca="false">MAX(0,D3980-K3980)</f>
        <v>3.1321404</v>
      </c>
      <c r="M3980" s="13" t="n">
        <f aca="false">MAX(0,F3980-I3980-J3980)</f>
        <v>0</v>
      </c>
      <c r="N3980" s="13" t="n">
        <f aca="false">IF(Kalender!A320="",0,J3979-H3980)</f>
        <v>0.0055404</v>
      </c>
    </row>
    <row r="3981" customFormat="false" ht="16.4" hidden="false" customHeight="false" outlineLevel="0" collapsed="false">
      <c r="A3981" s="13" t="str">
        <f aca="false">""</f>
        <v/>
      </c>
      <c r="B3981" s="13" t="n">
        <f aca="false">317</f>
        <v>317</v>
      </c>
      <c r="C3981" s="13" t="n">
        <f aca="false">IF(Szenarien!$H$21="OK",(IFERROR(SUMIF(Nutzungsprofile!$B$6:$B$11,"Schulbetrieb",Nutzungsprofile!$G$6:$G$11)*Kalender!C321/SUM(Kalender!$C$5:$C$370),0)+IFERROR(SUMIF(Nutzungsprofile!$B$6:$B$11,"Halle",Nutzungsprofile!$G$6:$G$11)*Kalender!D321/SUM(Kalender!$D$5:$D$370),0)+IFERROR(SUMIF(Nutzungsprofile!$B$6:$B$11,"Individuell",Nutzungsprofile!$G$6:$G$11)*Kalender!E321/SUM(Kalender!$E$5:$E$370),0))*Szenarien!$E$21,0)</f>
        <v>1.08</v>
      </c>
      <c r="D3981" s="13" t="n">
        <f aca="false">IF(Szenarien!$H$21="OK",(IFERROR(SUMIF(Nutzungsprofile!$B$17:$B$22,"Schulbetrieb",Nutzungsprofile!$G$17:$G$22)*Kalender!C321/SUM(Kalender!$C$5:$C$370),0)+IFERROR(SUMIF(Nutzungsprofile!$B$17:$B$22,"Halle",Nutzungsprofile!$G$17:$G$22)*Kalender!D321/SUM(Kalender!$D$5:$D$370),0)+IFERROR(SUMIF(Nutzungsprofile!$B$17:$B$22,"Individuell",Nutzungsprofile!$G$17:$G$22)*Kalender!E321/SUM(Kalender!$E$5:$E$370),0))*Szenarien!$D$21,0)</f>
        <v>4.05</v>
      </c>
      <c r="E3981" s="13" t="n">
        <f aca="false">IFERROR(MIN(C3981,Eingaben!$B$17)*Eingaben!$B$16,0)</f>
        <v>1.026</v>
      </c>
      <c r="F3981" s="13" t="n">
        <f aca="false">IFERROR(E3981*Eingaben!$B$15,0)</f>
        <v>0.9234</v>
      </c>
      <c r="G3981" s="13" t="n">
        <f aca="false">IFERROR(IF(Kalender!A321="",0,J3980*(1-Eingaben!$B$20)),0)</f>
        <v>0.2714796</v>
      </c>
      <c r="H3981" s="13" t="n">
        <f aca="false">MIN(G3981,D3981)</f>
        <v>0.2714796</v>
      </c>
      <c r="I3981" s="13" t="n">
        <f aca="false">IFERROR(MIN(F3981*Eingaben!$B$19,MAX(0,D3981-H3981)),0)</f>
        <v>0.64638</v>
      </c>
      <c r="J3981" s="13" t="n">
        <f aca="false">IFERROR(MIN(Eingaben!$B$18,MAX(0,F3981-I3981)),0)</f>
        <v>0.27702</v>
      </c>
      <c r="K3981" s="13" t="n">
        <f aca="false">H3981+I3981</f>
        <v>0.9178596</v>
      </c>
      <c r="L3981" s="13" t="n">
        <f aca="false">MAX(0,D3981-K3981)</f>
        <v>3.1321404</v>
      </c>
      <c r="M3981" s="13" t="n">
        <f aca="false">MAX(0,F3981-I3981-J3981)</f>
        <v>0</v>
      </c>
      <c r="N3981" s="13" t="n">
        <f aca="false">IF(Kalender!A321="",0,J3980-H3981)</f>
        <v>0.0055404</v>
      </c>
    </row>
    <row r="3982" customFormat="false" ht="16.4" hidden="false" customHeight="false" outlineLevel="0" collapsed="false">
      <c r="A3982" s="13" t="str">
        <f aca="false">""</f>
        <v/>
      </c>
      <c r="B3982" s="13" t="n">
        <f aca="false">318</f>
        <v>318</v>
      </c>
      <c r="C3982" s="13" t="n">
        <f aca="false">IF(Szenarien!$H$21="OK",(IFERROR(SUMIF(Nutzungsprofile!$B$6:$B$11,"Schulbetrieb",Nutzungsprofile!$G$6:$G$11)*Kalender!C322/SUM(Kalender!$C$5:$C$370),0)+IFERROR(SUMIF(Nutzungsprofile!$B$6:$B$11,"Halle",Nutzungsprofile!$G$6:$G$11)*Kalender!D322/SUM(Kalender!$D$5:$D$370),0)+IFERROR(SUMIF(Nutzungsprofile!$B$6:$B$11,"Individuell",Nutzungsprofile!$G$6:$G$11)*Kalender!E322/SUM(Kalender!$E$5:$E$370),0))*Szenarien!$E$21,0)</f>
        <v>0</v>
      </c>
      <c r="D3982" s="13" t="n">
        <f aca="false">IF(Szenarien!$H$21="OK",(IFERROR(SUMIF(Nutzungsprofile!$B$17:$B$22,"Schulbetrieb",Nutzungsprofile!$G$17:$G$22)*Kalender!C322/SUM(Kalender!$C$5:$C$370),0)+IFERROR(SUMIF(Nutzungsprofile!$B$17:$B$22,"Halle",Nutzungsprofile!$G$17:$G$22)*Kalender!D322/SUM(Kalender!$D$5:$D$370),0)+IFERROR(SUMIF(Nutzungsprofile!$B$17:$B$22,"Individuell",Nutzungsprofile!$G$17:$G$22)*Kalender!E322/SUM(Kalender!$E$5:$E$370),0))*Szenarien!$D$21,0)</f>
        <v>0</v>
      </c>
      <c r="E3982" s="13" t="n">
        <f aca="false">IFERROR(MIN(C3982,Eingaben!$B$17)*Eingaben!$B$16,0)</f>
        <v>0</v>
      </c>
      <c r="F3982" s="13" t="n">
        <f aca="false">IFERROR(E3982*Eingaben!$B$15,0)</f>
        <v>0</v>
      </c>
      <c r="G3982" s="13" t="n">
        <f aca="false">IFERROR(IF(Kalender!A322="",0,J3981*(1-Eingaben!$B$20)),0)</f>
        <v>0.2714796</v>
      </c>
      <c r="H3982" s="13" t="n">
        <f aca="false">MIN(G3982,D3982)</f>
        <v>0</v>
      </c>
      <c r="I3982" s="13" t="n">
        <f aca="false">IFERROR(MIN(F3982*Eingaben!$B$19,MAX(0,D3982-H3982)),0)</f>
        <v>0</v>
      </c>
      <c r="J3982" s="13" t="n">
        <f aca="false">IFERROR(MIN(Eingaben!$B$18,MAX(0,F3982-I3982)),0)</f>
        <v>0</v>
      </c>
      <c r="K3982" s="13" t="n">
        <f aca="false">H3982+I3982</f>
        <v>0</v>
      </c>
      <c r="L3982" s="13" t="n">
        <f aca="false">MAX(0,D3982-K3982)</f>
        <v>0</v>
      </c>
      <c r="M3982" s="13" t="n">
        <f aca="false">MAX(0,F3982-I3982-J3982)</f>
        <v>0</v>
      </c>
      <c r="N3982" s="13" t="n">
        <f aca="false">IF(Kalender!A322="",0,J3981-H3982)</f>
        <v>0.27702</v>
      </c>
    </row>
    <row r="3983" customFormat="false" ht="16.4" hidden="false" customHeight="false" outlineLevel="0" collapsed="false">
      <c r="A3983" s="13" t="str">
        <f aca="false">""</f>
        <v/>
      </c>
      <c r="B3983" s="13" t="n">
        <f aca="false">319</f>
        <v>319</v>
      </c>
      <c r="C3983" s="13" t="n">
        <f aca="false">IF(Szenarien!$H$21="OK",(IFERROR(SUMIF(Nutzungsprofile!$B$6:$B$11,"Schulbetrieb",Nutzungsprofile!$G$6:$G$11)*Kalender!C323/SUM(Kalender!$C$5:$C$370),0)+IFERROR(SUMIF(Nutzungsprofile!$B$6:$B$11,"Halle",Nutzungsprofile!$G$6:$G$11)*Kalender!D323/SUM(Kalender!$D$5:$D$370),0)+IFERROR(SUMIF(Nutzungsprofile!$B$6:$B$11,"Individuell",Nutzungsprofile!$G$6:$G$11)*Kalender!E323/SUM(Kalender!$E$5:$E$370),0))*Szenarien!$E$21,0)</f>
        <v>0</v>
      </c>
      <c r="D3983" s="13" t="n">
        <f aca="false">IF(Szenarien!$H$21="OK",(IFERROR(SUMIF(Nutzungsprofile!$B$17:$B$22,"Schulbetrieb",Nutzungsprofile!$G$17:$G$22)*Kalender!C323/SUM(Kalender!$C$5:$C$370),0)+IFERROR(SUMIF(Nutzungsprofile!$B$17:$B$22,"Halle",Nutzungsprofile!$G$17:$G$22)*Kalender!D323/SUM(Kalender!$D$5:$D$370),0)+IFERROR(SUMIF(Nutzungsprofile!$B$17:$B$22,"Individuell",Nutzungsprofile!$G$17:$G$22)*Kalender!E323/SUM(Kalender!$E$5:$E$370),0))*Szenarien!$D$21,0)</f>
        <v>0</v>
      </c>
      <c r="E3983" s="13" t="n">
        <f aca="false">IFERROR(MIN(C3983,Eingaben!$B$17)*Eingaben!$B$16,0)</f>
        <v>0</v>
      </c>
      <c r="F3983" s="13" t="n">
        <f aca="false">IFERROR(E3983*Eingaben!$B$15,0)</f>
        <v>0</v>
      </c>
      <c r="G3983" s="13" t="n">
        <f aca="false">IFERROR(IF(Kalender!A323="",0,J3982*(1-Eingaben!$B$20)),0)</f>
        <v>0</v>
      </c>
      <c r="H3983" s="13" t="n">
        <f aca="false">MIN(G3983,D3983)</f>
        <v>0</v>
      </c>
      <c r="I3983" s="13" t="n">
        <f aca="false">IFERROR(MIN(F3983*Eingaben!$B$19,MAX(0,D3983-H3983)),0)</f>
        <v>0</v>
      </c>
      <c r="J3983" s="13" t="n">
        <f aca="false">IFERROR(MIN(Eingaben!$B$18,MAX(0,F3983-I3983)),0)</f>
        <v>0</v>
      </c>
      <c r="K3983" s="13" t="n">
        <f aca="false">H3983+I3983</f>
        <v>0</v>
      </c>
      <c r="L3983" s="13" t="n">
        <f aca="false">MAX(0,D3983-K3983)</f>
        <v>0</v>
      </c>
      <c r="M3983" s="13" t="n">
        <f aca="false">MAX(0,F3983-I3983-J3983)</f>
        <v>0</v>
      </c>
      <c r="N3983" s="13" t="n">
        <f aca="false">IF(Kalender!A323="",0,J3982-H3983)</f>
        <v>0</v>
      </c>
    </row>
    <row r="3984" customFormat="false" ht="16.4" hidden="false" customHeight="false" outlineLevel="0" collapsed="false">
      <c r="A3984" s="13" t="str">
        <f aca="false">""</f>
        <v/>
      </c>
      <c r="B3984" s="13" t="n">
        <f aca="false">320</f>
        <v>320</v>
      </c>
      <c r="C3984" s="13" t="n">
        <f aca="false">IF(Szenarien!$H$21="OK",(IFERROR(SUMIF(Nutzungsprofile!$B$6:$B$11,"Schulbetrieb",Nutzungsprofile!$G$6:$G$11)*Kalender!C324/SUM(Kalender!$C$5:$C$370),0)+IFERROR(SUMIF(Nutzungsprofile!$B$6:$B$11,"Halle",Nutzungsprofile!$G$6:$G$11)*Kalender!D324/SUM(Kalender!$D$5:$D$370),0)+IFERROR(SUMIF(Nutzungsprofile!$B$6:$B$11,"Individuell",Nutzungsprofile!$G$6:$G$11)*Kalender!E324/SUM(Kalender!$E$5:$E$370),0))*Szenarien!$E$21,0)</f>
        <v>1.08</v>
      </c>
      <c r="D3984" s="13" t="n">
        <f aca="false">IF(Szenarien!$H$21="OK",(IFERROR(SUMIF(Nutzungsprofile!$B$17:$B$22,"Schulbetrieb",Nutzungsprofile!$G$17:$G$22)*Kalender!C324/SUM(Kalender!$C$5:$C$370),0)+IFERROR(SUMIF(Nutzungsprofile!$B$17:$B$22,"Halle",Nutzungsprofile!$G$17:$G$22)*Kalender!D324/SUM(Kalender!$D$5:$D$370),0)+IFERROR(SUMIF(Nutzungsprofile!$B$17:$B$22,"Individuell",Nutzungsprofile!$G$17:$G$22)*Kalender!E324/SUM(Kalender!$E$5:$E$370),0))*Szenarien!$D$21,0)</f>
        <v>4.05</v>
      </c>
      <c r="E3984" s="13" t="n">
        <f aca="false">IFERROR(MIN(C3984,Eingaben!$B$17)*Eingaben!$B$16,0)</f>
        <v>1.026</v>
      </c>
      <c r="F3984" s="13" t="n">
        <f aca="false">IFERROR(E3984*Eingaben!$B$15,0)</f>
        <v>0.9234</v>
      </c>
      <c r="G3984" s="13" t="n">
        <f aca="false">IFERROR(IF(Kalender!A324="",0,J3983*(1-Eingaben!$B$20)),0)</f>
        <v>0</v>
      </c>
      <c r="H3984" s="13" t="n">
        <f aca="false">MIN(G3984,D3984)</f>
        <v>0</v>
      </c>
      <c r="I3984" s="13" t="n">
        <f aca="false">IFERROR(MIN(F3984*Eingaben!$B$19,MAX(0,D3984-H3984)),0)</f>
        <v>0.64638</v>
      </c>
      <c r="J3984" s="13" t="n">
        <f aca="false">IFERROR(MIN(Eingaben!$B$18,MAX(0,F3984-I3984)),0)</f>
        <v>0.27702</v>
      </c>
      <c r="K3984" s="13" t="n">
        <f aca="false">H3984+I3984</f>
        <v>0.64638</v>
      </c>
      <c r="L3984" s="13" t="n">
        <f aca="false">MAX(0,D3984-K3984)</f>
        <v>3.40362</v>
      </c>
      <c r="M3984" s="13" t="n">
        <f aca="false">MAX(0,F3984-I3984-J3984)</f>
        <v>0</v>
      </c>
      <c r="N3984" s="13" t="n">
        <f aca="false">IF(Kalender!A324="",0,J3983-H3984)</f>
        <v>0</v>
      </c>
    </row>
    <row r="3985" customFormat="false" ht="16.4" hidden="false" customHeight="false" outlineLevel="0" collapsed="false">
      <c r="A3985" s="13" t="str">
        <f aca="false">""</f>
        <v/>
      </c>
      <c r="B3985" s="13" t="n">
        <f aca="false">321</f>
        <v>321</v>
      </c>
      <c r="C3985" s="13" t="n">
        <f aca="false">IF(Szenarien!$H$21="OK",(IFERROR(SUMIF(Nutzungsprofile!$B$6:$B$11,"Schulbetrieb",Nutzungsprofile!$G$6:$G$11)*Kalender!C325/SUM(Kalender!$C$5:$C$370),0)+IFERROR(SUMIF(Nutzungsprofile!$B$6:$B$11,"Halle",Nutzungsprofile!$G$6:$G$11)*Kalender!D325/SUM(Kalender!$D$5:$D$370),0)+IFERROR(SUMIF(Nutzungsprofile!$B$6:$B$11,"Individuell",Nutzungsprofile!$G$6:$G$11)*Kalender!E325/SUM(Kalender!$E$5:$E$370),0))*Szenarien!$E$21,0)</f>
        <v>1.08</v>
      </c>
      <c r="D3985" s="13" t="n">
        <f aca="false">IF(Szenarien!$H$21="OK",(IFERROR(SUMIF(Nutzungsprofile!$B$17:$B$22,"Schulbetrieb",Nutzungsprofile!$G$17:$G$22)*Kalender!C325/SUM(Kalender!$C$5:$C$370),0)+IFERROR(SUMIF(Nutzungsprofile!$B$17:$B$22,"Halle",Nutzungsprofile!$G$17:$G$22)*Kalender!D325/SUM(Kalender!$D$5:$D$370),0)+IFERROR(SUMIF(Nutzungsprofile!$B$17:$B$22,"Individuell",Nutzungsprofile!$G$17:$G$22)*Kalender!E325/SUM(Kalender!$E$5:$E$370),0))*Szenarien!$D$21,0)</f>
        <v>4.05</v>
      </c>
      <c r="E3985" s="13" t="n">
        <f aca="false">IFERROR(MIN(C3985,Eingaben!$B$17)*Eingaben!$B$16,0)</f>
        <v>1.026</v>
      </c>
      <c r="F3985" s="13" t="n">
        <f aca="false">IFERROR(E3985*Eingaben!$B$15,0)</f>
        <v>0.9234</v>
      </c>
      <c r="G3985" s="13" t="n">
        <f aca="false">IFERROR(IF(Kalender!A325="",0,J3984*(1-Eingaben!$B$20)),0)</f>
        <v>0.2714796</v>
      </c>
      <c r="H3985" s="13" t="n">
        <f aca="false">MIN(G3985,D3985)</f>
        <v>0.2714796</v>
      </c>
      <c r="I3985" s="13" t="n">
        <f aca="false">IFERROR(MIN(F3985*Eingaben!$B$19,MAX(0,D3985-H3985)),0)</f>
        <v>0.64638</v>
      </c>
      <c r="J3985" s="13" t="n">
        <f aca="false">IFERROR(MIN(Eingaben!$B$18,MAX(0,F3985-I3985)),0)</f>
        <v>0.27702</v>
      </c>
      <c r="K3985" s="13" t="n">
        <f aca="false">H3985+I3985</f>
        <v>0.9178596</v>
      </c>
      <c r="L3985" s="13" t="n">
        <f aca="false">MAX(0,D3985-K3985)</f>
        <v>3.1321404</v>
      </c>
      <c r="M3985" s="13" t="n">
        <f aca="false">MAX(0,F3985-I3985-J3985)</f>
        <v>0</v>
      </c>
      <c r="N3985" s="13" t="n">
        <f aca="false">IF(Kalender!A325="",0,J3984-H3985)</f>
        <v>0.0055404</v>
      </c>
    </row>
    <row r="3986" customFormat="false" ht="16.4" hidden="false" customHeight="false" outlineLevel="0" collapsed="false">
      <c r="A3986" s="13" t="str">
        <f aca="false">""</f>
        <v/>
      </c>
      <c r="B3986" s="13" t="n">
        <f aca="false">322</f>
        <v>322</v>
      </c>
      <c r="C3986" s="13" t="n">
        <f aca="false">IF(Szenarien!$H$21="OK",(IFERROR(SUMIF(Nutzungsprofile!$B$6:$B$11,"Schulbetrieb",Nutzungsprofile!$G$6:$G$11)*Kalender!C326/SUM(Kalender!$C$5:$C$370),0)+IFERROR(SUMIF(Nutzungsprofile!$B$6:$B$11,"Halle",Nutzungsprofile!$G$6:$G$11)*Kalender!D326/SUM(Kalender!$D$5:$D$370),0)+IFERROR(SUMIF(Nutzungsprofile!$B$6:$B$11,"Individuell",Nutzungsprofile!$G$6:$G$11)*Kalender!E326/SUM(Kalender!$E$5:$E$370),0))*Szenarien!$E$21,0)</f>
        <v>1.08</v>
      </c>
      <c r="D3986" s="13" t="n">
        <f aca="false">IF(Szenarien!$H$21="OK",(IFERROR(SUMIF(Nutzungsprofile!$B$17:$B$22,"Schulbetrieb",Nutzungsprofile!$G$17:$G$22)*Kalender!C326/SUM(Kalender!$C$5:$C$370),0)+IFERROR(SUMIF(Nutzungsprofile!$B$17:$B$22,"Halle",Nutzungsprofile!$G$17:$G$22)*Kalender!D326/SUM(Kalender!$D$5:$D$370),0)+IFERROR(SUMIF(Nutzungsprofile!$B$17:$B$22,"Individuell",Nutzungsprofile!$G$17:$G$22)*Kalender!E326/SUM(Kalender!$E$5:$E$370),0))*Szenarien!$D$21,0)</f>
        <v>4.05</v>
      </c>
      <c r="E3986" s="13" t="n">
        <f aca="false">IFERROR(MIN(C3986,Eingaben!$B$17)*Eingaben!$B$16,0)</f>
        <v>1.026</v>
      </c>
      <c r="F3986" s="13" t="n">
        <f aca="false">IFERROR(E3986*Eingaben!$B$15,0)</f>
        <v>0.9234</v>
      </c>
      <c r="G3986" s="13" t="n">
        <f aca="false">IFERROR(IF(Kalender!A326="",0,J3985*(1-Eingaben!$B$20)),0)</f>
        <v>0.2714796</v>
      </c>
      <c r="H3986" s="13" t="n">
        <f aca="false">MIN(G3986,D3986)</f>
        <v>0.2714796</v>
      </c>
      <c r="I3986" s="13" t="n">
        <f aca="false">IFERROR(MIN(F3986*Eingaben!$B$19,MAX(0,D3986-H3986)),0)</f>
        <v>0.64638</v>
      </c>
      <c r="J3986" s="13" t="n">
        <f aca="false">IFERROR(MIN(Eingaben!$B$18,MAX(0,F3986-I3986)),0)</f>
        <v>0.27702</v>
      </c>
      <c r="K3986" s="13" t="n">
        <f aca="false">H3986+I3986</f>
        <v>0.9178596</v>
      </c>
      <c r="L3986" s="13" t="n">
        <f aca="false">MAX(0,D3986-K3986)</f>
        <v>3.1321404</v>
      </c>
      <c r="M3986" s="13" t="n">
        <f aca="false">MAX(0,F3986-I3986-J3986)</f>
        <v>0</v>
      </c>
      <c r="N3986" s="13" t="n">
        <f aca="false">IF(Kalender!A326="",0,J3985-H3986)</f>
        <v>0.0055404</v>
      </c>
    </row>
    <row r="3987" customFormat="false" ht="16.4" hidden="false" customHeight="false" outlineLevel="0" collapsed="false">
      <c r="A3987" s="13" t="str">
        <f aca="false">""</f>
        <v/>
      </c>
      <c r="B3987" s="13" t="n">
        <f aca="false">323</f>
        <v>323</v>
      </c>
      <c r="C3987" s="13" t="n">
        <f aca="false">IF(Szenarien!$H$21="OK",(IFERROR(SUMIF(Nutzungsprofile!$B$6:$B$11,"Schulbetrieb",Nutzungsprofile!$G$6:$G$11)*Kalender!C327/SUM(Kalender!$C$5:$C$370),0)+IFERROR(SUMIF(Nutzungsprofile!$B$6:$B$11,"Halle",Nutzungsprofile!$G$6:$G$11)*Kalender!D327/SUM(Kalender!$D$5:$D$370),0)+IFERROR(SUMIF(Nutzungsprofile!$B$6:$B$11,"Individuell",Nutzungsprofile!$G$6:$G$11)*Kalender!E327/SUM(Kalender!$E$5:$E$370),0))*Szenarien!$E$21,0)</f>
        <v>1.08</v>
      </c>
      <c r="D3987" s="13" t="n">
        <f aca="false">IF(Szenarien!$H$21="OK",(IFERROR(SUMIF(Nutzungsprofile!$B$17:$B$22,"Schulbetrieb",Nutzungsprofile!$G$17:$G$22)*Kalender!C327/SUM(Kalender!$C$5:$C$370),0)+IFERROR(SUMIF(Nutzungsprofile!$B$17:$B$22,"Halle",Nutzungsprofile!$G$17:$G$22)*Kalender!D327/SUM(Kalender!$D$5:$D$370),0)+IFERROR(SUMIF(Nutzungsprofile!$B$17:$B$22,"Individuell",Nutzungsprofile!$G$17:$G$22)*Kalender!E327/SUM(Kalender!$E$5:$E$370),0))*Szenarien!$D$21,0)</f>
        <v>4.05</v>
      </c>
      <c r="E3987" s="13" t="n">
        <f aca="false">IFERROR(MIN(C3987,Eingaben!$B$17)*Eingaben!$B$16,0)</f>
        <v>1.026</v>
      </c>
      <c r="F3987" s="13" t="n">
        <f aca="false">IFERROR(E3987*Eingaben!$B$15,0)</f>
        <v>0.9234</v>
      </c>
      <c r="G3987" s="13" t="n">
        <f aca="false">IFERROR(IF(Kalender!A327="",0,J3986*(1-Eingaben!$B$20)),0)</f>
        <v>0.2714796</v>
      </c>
      <c r="H3987" s="13" t="n">
        <f aca="false">MIN(G3987,D3987)</f>
        <v>0.2714796</v>
      </c>
      <c r="I3987" s="13" t="n">
        <f aca="false">IFERROR(MIN(F3987*Eingaben!$B$19,MAX(0,D3987-H3987)),0)</f>
        <v>0.64638</v>
      </c>
      <c r="J3987" s="13" t="n">
        <f aca="false">IFERROR(MIN(Eingaben!$B$18,MAX(0,F3987-I3987)),0)</f>
        <v>0.27702</v>
      </c>
      <c r="K3987" s="13" t="n">
        <f aca="false">H3987+I3987</f>
        <v>0.9178596</v>
      </c>
      <c r="L3987" s="13" t="n">
        <f aca="false">MAX(0,D3987-K3987)</f>
        <v>3.1321404</v>
      </c>
      <c r="M3987" s="13" t="n">
        <f aca="false">MAX(0,F3987-I3987-J3987)</f>
        <v>0</v>
      </c>
      <c r="N3987" s="13" t="n">
        <f aca="false">IF(Kalender!A327="",0,J3986-H3987)</f>
        <v>0.0055404</v>
      </c>
    </row>
    <row r="3988" customFormat="false" ht="16.4" hidden="false" customHeight="false" outlineLevel="0" collapsed="false">
      <c r="A3988" s="13" t="str">
        <f aca="false">""</f>
        <v/>
      </c>
      <c r="B3988" s="13" t="n">
        <f aca="false">324</f>
        <v>324</v>
      </c>
      <c r="C3988" s="13" t="n">
        <f aca="false">IF(Szenarien!$H$21="OK",(IFERROR(SUMIF(Nutzungsprofile!$B$6:$B$11,"Schulbetrieb",Nutzungsprofile!$G$6:$G$11)*Kalender!C328/SUM(Kalender!$C$5:$C$370),0)+IFERROR(SUMIF(Nutzungsprofile!$B$6:$B$11,"Halle",Nutzungsprofile!$G$6:$G$11)*Kalender!D328/SUM(Kalender!$D$5:$D$370),0)+IFERROR(SUMIF(Nutzungsprofile!$B$6:$B$11,"Individuell",Nutzungsprofile!$G$6:$G$11)*Kalender!E328/SUM(Kalender!$E$5:$E$370),0))*Szenarien!$E$21,0)</f>
        <v>1.08</v>
      </c>
      <c r="D3988" s="13" t="n">
        <f aca="false">IF(Szenarien!$H$21="OK",(IFERROR(SUMIF(Nutzungsprofile!$B$17:$B$22,"Schulbetrieb",Nutzungsprofile!$G$17:$G$22)*Kalender!C328/SUM(Kalender!$C$5:$C$370),0)+IFERROR(SUMIF(Nutzungsprofile!$B$17:$B$22,"Halle",Nutzungsprofile!$G$17:$G$22)*Kalender!D328/SUM(Kalender!$D$5:$D$370),0)+IFERROR(SUMIF(Nutzungsprofile!$B$17:$B$22,"Individuell",Nutzungsprofile!$G$17:$G$22)*Kalender!E328/SUM(Kalender!$E$5:$E$370),0))*Szenarien!$D$21,0)</f>
        <v>4.05</v>
      </c>
      <c r="E3988" s="13" t="n">
        <f aca="false">IFERROR(MIN(C3988,Eingaben!$B$17)*Eingaben!$B$16,0)</f>
        <v>1.026</v>
      </c>
      <c r="F3988" s="13" t="n">
        <f aca="false">IFERROR(E3988*Eingaben!$B$15,0)</f>
        <v>0.9234</v>
      </c>
      <c r="G3988" s="13" t="n">
        <f aca="false">IFERROR(IF(Kalender!A328="",0,J3987*(1-Eingaben!$B$20)),0)</f>
        <v>0.2714796</v>
      </c>
      <c r="H3988" s="13" t="n">
        <f aca="false">MIN(G3988,D3988)</f>
        <v>0.2714796</v>
      </c>
      <c r="I3988" s="13" t="n">
        <f aca="false">IFERROR(MIN(F3988*Eingaben!$B$19,MAX(0,D3988-H3988)),0)</f>
        <v>0.64638</v>
      </c>
      <c r="J3988" s="13" t="n">
        <f aca="false">IFERROR(MIN(Eingaben!$B$18,MAX(0,F3988-I3988)),0)</f>
        <v>0.27702</v>
      </c>
      <c r="K3988" s="13" t="n">
        <f aca="false">H3988+I3988</f>
        <v>0.9178596</v>
      </c>
      <c r="L3988" s="13" t="n">
        <f aca="false">MAX(0,D3988-K3988)</f>
        <v>3.1321404</v>
      </c>
      <c r="M3988" s="13" t="n">
        <f aca="false">MAX(0,F3988-I3988-J3988)</f>
        <v>0</v>
      </c>
      <c r="N3988" s="13" t="n">
        <f aca="false">IF(Kalender!A328="",0,J3987-H3988)</f>
        <v>0.0055404</v>
      </c>
    </row>
    <row r="3989" customFormat="false" ht="16.4" hidden="false" customHeight="false" outlineLevel="0" collapsed="false">
      <c r="A3989" s="13" t="str">
        <f aca="false">""</f>
        <v/>
      </c>
      <c r="B3989" s="13" t="n">
        <f aca="false">325</f>
        <v>325</v>
      </c>
      <c r="C3989" s="13" t="n">
        <f aca="false">IF(Szenarien!$H$21="OK",(IFERROR(SUMIF(Nutzungsprofile!$B$6:$B$11,"Schulbetrieb",Nutzungsprofile!$G$6:$G$11)*Kalender!C329/SUM(Kalender!$C$5:$C$370),0)+IFERROR(SUMIF(Nutzungsprofile!$B$6:$B$11,"Halle",Nutzungsprofile!$G$6:$G$11)*Kalender!D329/SUM(Kalender!$D$5:$D$370),0)+IFERROR(SUMIF(Nutzungsprofile!$B$6:$B$11,"Individuell",Nutzungsprofile!$G$6:$G$11)*Kalender!E329/SUM(Kalender!$E$5:$E$370),0))*Szenarien!$E$21,0)</f>
        <v>0</v>
      </c>
      <c r="D3989" s="13" t="n">
        <f aca="false">IF(Szenarien!$H$21="OK",(IFERROR(SUMIF(Nutzungsprofile!$B$17:$B$22,"Schulbetrieb",Nutzungsprofile!$G$17:$G$22)*Kalender!C329/SUM(Kalender!$C$5:$C$370),0)+IFERROR(SUMIF(Nutzungsprofile!$B$17:$B$22,"Halle",Nutzungsprofile!$G$17:$G$22)*Kalender!D329/SUM(Kalender!$D$5:$D$370),0)+IFERROR(SUMIF(Nutzungsprofile!$B$17:$B$22,"Individuell",Nutzungsprofile!$G$17:$G$22)*Kalender!E329/SUM(Kalender!$E$5:$E$370),0))*Szenarien!$D$21,0)</f>
        <v>0</v>
      </c>
      <c r="E3989" s="13" t="n">
        <f aca="false">IFERROR(MIN(C3989,Eingaben!$B$17)*Eingaben!$B$16,0)</f>
        <v>0</v>
      </c>
      <c r="F3989" s="13" t="n">
        <f aca="false">IFERROR(E3989*Eingaben!$B$15,0)</f>
        <v>0</v>
      </c>
      <c r="G3989" s="13" t="n">
        <f aca="false">IFERROR(IF(Kalender!A329="",0,J3988*(1-Eingaben!$B$20)),0)</f>
        <v>0.2714796</v>
      </c>
      <c r="H3989" s="13" t="n">
        <f aca="false">MIN(G3989,D3989)</f>
        <v>0</v>
      </c>
      <c r="I3989" s="13" t="n">
        <f aca="false">IFERROR(MIN(F3989*Eingaben!$B$19,MAX(0,D3989-H3989)),0)</f>
        <v>0</v>
      </c>
      <c r="J3989" s="13" t="n">
        <f aca="false">IFERROR(MIN(Eingaben!$B$18,MAX(0,F3989-I3989)),0)</f>
        <v>0</v>
      </c>
      <c r="K3989" s="13" t="n">
        <f aca="false">H3989+I3989</f>
        <v>0</v>
      </c>
      <c r="L3989" s="13" t="n">
        <f aca="false">MAX(0,D3989-K3989)</f>
        <v>0</v>
      </c>
      <c r="M3989" s="13" t="n">
        <f aca="false">MAX(0,F3989-I3989-J3989)</f>
        <v>0</v>
      </c>
      <c r="N3989" s="13" t="n">
        <f aca="false">IF(Kalender!A329="",0,J3988-H3989)</f>
        <v>0.27702</v>
      </c>
    </row>
    <row r="3990" customFormat="false" ht="16.4" hidden="false" customHeight="false" outlineLevel="0" collapsed="false">
      <c r="A3990" s="13" t="str">
        <f aca="false">""</f>
        <v/>
      </c>
      <c r="B3990" s="13" t="n">
        <f aca="false">326</f>
        <v>326</v>
      </c>
      <c r="C3990" s="13" t="n">
        <f aca="false">IF(Szenarien!$H$21="OK",(IFERROR(SUMIF(Nutzungsprofile!$B$6:$B$11,"Schulbetrieb",Nutzungsprofile!$G$6:$G$11)*Kalender!C330/SUM(Kalender!$C$5:$C$370),0)+IFERROR(SUMIF(Nutzungsprofile!$B$6:$B$11,"Halle",Nutzungsprofile!$G$6:$G$11)*Kalender!D330/SUM(Kalender!$D$5:$D$370),0)+IFERROR(SUMIF(Nutzungsprofile!$B$6:$B$11,"Individuell",Nutzungsprofile!$G$6:$G$11)*Kalender!E330/SUM(Kalender!$E$5:$E$370),0))*Szenarien!$E$21,0)</f>
        <v>0</v>
      </c>
      <c r="D3990" s="13" t="n">
        <f aca="false">IF(Szenarien!$H$21="OK",(IFERROR(SUMIF(Nutzungsprofile!$B$17:$B$22,"Schulbetrieb",Nutzungsprofile!$G$17:$G$22)*Kalender!C330/SUM(Kalender!$C$5:$C$370),0)+IFERROR(SUMIF(Nutzungsprofile!$B$17:$B$22,"Halle",Nutzungsprofile!$G$17:$G$22)*Kalender!D330/SUM(Kalender!$D$5:$D$370),0)+IFERROR(SUMIF(Nutzungsprofile!$B$17:$B$22,"Individuell",Nutzungsprofile!$G$17:$G$22)*Kalender!E330/SUM(Kalender!$E$5:$E$370),0))*Szenarien!$D$21,0)</f>
        <v>0</v>
      </c>
      <c r="E3990" s="13" t="n">
        <f aca="false">IFERROR(MIN(C3990,Eingaben!$B$17)*Eingaben!$B$16,0)</f>
        <v>0</v>
      </c>
      <c r="F3990" s="13" t="n">
        <f aca="false">IFERROR(E3990*Eingaben!$B$15,0)</f>
        <v>0</v>
      </c>
      <c r="G3990" s="13" t="n">
        <f aca="false">IFERROR(IF(Kalender!A330="",0,J3989*(1-Eingaben!$B$20)),0)</f>
        <v>0</v>
      </c>
      <c r="H3990" s="13" t="n">
        <f aca="false">MIN(G3990,D3990)</f>
        <v>0</v>
      </c>
      <c r="I3990" s="13" t="n">
        <f aca="false">IFERROR(MIN(F3990*Eingaben!$B$19,MAX(0,D3990-H3990)),0)</f>
        <v>0</v>
      </c>
      <c r="J3990" s="13" t="n">
        <f aca="false">IFERROR(MIN(Eingaben!$B$18,MAX(0,F3990-I3990)),0)</f>
        <v>0</v>
      </c>
      <c r="K3990" s="13" t="n">
        <f aca="false">H3990+I3990</f>
        <v>0</v>
      </c>
      <c r="L3990" s="13" t="n">
        <f aca="false">MAX(0,D3990-K3990)</f>
        <v>0</v>
      </c>
      <c r="M3990" s="13" t="n">
        <f aca="false">MAX(0,F3990-I3990-J3990)</f>
        <v>0</v>
      </c>
      <c r="N3990" s="13" t="n">
        <f aca="false">IF(Kalender!A330="",0,J3989-H3990)</f>
        <v>0</v>
      </c>
    </row>
    <row r="3991" customFormat="false" ht="16.4" hidden="false" customHeight="false" outlineLevel="0" collapsed="false">
      <c r="A3991" s="13" t="str">
        <f aca="false">""</f>
        <v/>
      </c>
      <c r="B3991" s="13" t="n">
        <f aca="false">327</f>
        <v>327</v>
      </c>
      <c r="C3991" s="13" t="n">
        <f aca="false">IF(Szenarien!$H$21="OK",(IFERROR(SUMIF(Nutzungsprofile!$B$6:$B$11,"Schulbetrieb",Nutzungsprofile!$G$6:$G$11)*Kalender!C331/SUM(Kalender!$C$5:$C$370),0)+IFERROR(SUMIF(Nutzungsprofile!$B$6:$B$11,"Halle",Nutzungsprofile!$G$6:$G$11)*Kalender!D331/SUM(Kalender!$D$5:$D$370),0)+IFERROR(SUMIF(Nutzungsprofile!$B$6:$B$11,"Individuell",Nutzungsprofile!$G$6:$G$11)*Kalender!E331/SUM(Kalender!$E$5:$E$370),0))*Szenarien!$E$21,0)</f>
        <v>1.08</v>
      </c>
      <c r="D3991" s="13" t="n">
        <f aca="false">IF(Szenarien!$H$21="OK",(IFERROR(SUMIF(Nutzungsprofile!$B$17:$B$22,"Schulbetrieb",Nutzungsprofile!$G$17:$G$22)*Kalender!C331/SUM(Kalender!$C$5:$C$370),0)+IFERROR(SUMIF(Nutzungsprofile!$B$17:$B$22,"Halle",Nutzungsprofile!$G$17:$G$22)*Kalender!D331/SUM(Kalender!$D$5:$D$370),0)+IFERROR(SUMIF(Nutzungsprofile!$B$17:$B$22,"Individuell",Nutzungsprofile!$G$17:$G$22)*Kalender!E331/SUM(Kalender!$E$5:$E$370),0))*Szenarien!$D$21,0)</f>
        <v>4.05</v>
      </c>
      <c r="E3991" s="13" t="n">
        <f aca="false">IFERROR(MIN(C3991,Eingaben!$B$17)*Eingaben!$B$16,0)</f>
        <v>1.026</v>
      </c>
      <c r="F3991" s="13" t="n">
        <f aca="false">IFERROR(E3991*Eingaben!$B$15,0)</f>
        <v>0.9234</v>
      </c>
      <c r="G3991" s="13" t="n">
        <f aca="false">IFERROR(IF(Kalender!A331="",0,J3990*(1-Eingaben!$B$20)),0)</f>
        <v>0</v>
      </c>
      <c r="H3991" s="13" t="n">
        <f aca="false">MIN(G3991,D3991)</f>
        <v>0</v>
      </c>
      <c r="I3991" s="13" t="n">
        <f aca="false">IFERROR(MIN(F3991*Eingaben!$B$19,MAX(0,D3991-H3991)),0)</f>
        <v>0.64638</v>
      </c>
      <c r="J3991" s="13" t="n">
        <f aca="false">IFERROR(MIN(Eingaben!$B$18,MAX(0,F3991-I3991)),0)</f>
        <v>0.27702</v>
      </c>
      <c r="K3991" s="13" t="n">
        <f aca="false">H3991+I3991</f>
        <v>0.64638</v>
      </c>
      <c r="L3991" s="13" t="n">
        <f aca="false">MAX(0,D3991-K3991)</f>
        <v>3.40362</v>
      </c>
      <c r="M3991" s="13" t="n">
        <f aca="false">MAX(0,F3991-I3991-J3991)</f>
        <v>0</v>
      </c>
      <c r="N3991" s="13" t="n">
        <f aca="false">IF(Kalender!A331="",0,J3990-H3991)</f>
        <v>0</v>
      </c>
    </row>
    <row r="3992" customFormat="false" ht="16.4" hidden="false" customHeight="false" outlineLevel="0" collapsed="false">
      <c r="A3992" s="13" t="str">
        <f aca="false">""</f>
        <v/>
      </c>
      <c r="B3992" s="13" t="n">
        <f aca="false">328</f>
        <v>328</v>
      </c>
      <c r="C3992" s="13" t="n">
        <f aca="false">IF(Szenarien!$H$21="OK",(IFERROR(SUMIF(Nutzungsprofile!$B$6:$B$11,"Schulbetrieb",Nutzungsprofile!$G$6:$G$11)*Kalender!C332/SUM(Kalender!$C$5:$C$370),0)+IFERROR(SUMIF(Nutzungsprofile!$B$6:$B$11,"Halle",Nutzungsprofile!$G$6:$G$11)*Kalender!D332/SUM(Kalender!$D$5:$D$370),0)+IFERROR(SUMIF(Nutzungsprofile!$B$6:$B$11,"Individuell",Nutzungsprofile!$G$6:$G$11)*Kalender!E332/SUM(Kalender!$E$5:$E$370),0))*Szenarien!$E$21,0)</f>
        <v>1.08</v>
      </c>
      <c r="D3992" s="13" t="n">
        <f aca="false">IF(Szenarien!$H$21="OK",(IFERROR(SUMIF(Nutzungsprofile!$B$17:$B$22,"Schulbetrieb",Nutzungsprofile!$G$17:$G$22)*Kalender!C332/SUM(Kalender!$C$5:$C$370),0)+IFERROR(SUMIF(Nutzungsprofile!$B$17:$B$22,"Halle",Nutzungsprofile!$G$17:$G$22)*Kalender!D332/SUM(Kalender!$D$5:$D$370),0)+IFERROR(SUMIF(Nutzungsprofile!$B$17:$B$22,"Individuell",Nutzungsprofile!$G$17:$G$22)*Kalender!E332/SUM(Kalender!$E$5:$E$370),0))*Szenarien!$D$21,0)</f>
        <v>4.05</v>
      </c>
      <c r="E3992" s="13" t="n">
        <f aca="false">IFERROR(MIN(C3992,Eingaben!$B$17)*Eingaben!$B$16,0)</f>
        <v>1.026</v>
      </c>
      <c r="F3992" s="13" t="n">
        <f aca="false">IFERROR(E3992*Eingaben!$B$15,0)</f>
        <v>0.9234</v>
      </c>
      <c r="G3992" s="13" t="n">
        <f aca="false">IFERROR(IF(Kalender!A332="",0,J3991*(1-Eingaben!$B$20)),0)</f>
        <v>0.2714796</v>
      </c>
      <c r="H3992" s="13" t="n">
        <f aca="false">MIN(G3992,D3992)</f>
        <v>0.2714796</v>
      </c>
      <c r="I3992" s="13" t="n">
        <f aca="false">IFERROR(MIN(F3992*Eingaben!$B$19,MAX(0,D3992-H3992)),0)</f>
        <v>0.64638</v>
      </c>
      <c r="J3992" s="13" t="n">
        <f aca="false">IFERROR(MIN(Eingaben!$B$18,MAX(0,F3992-I3992)),0)</f>
        <v>0.27702</v>
      </c>
      <c r="K3992" s="13" t="n">
        <f aca="false">H3992+I3992</f>
        <v>0.9178596</v>
      </c>
      <c r="L3992" s="13" t="n">
        <f aca="false">MAX(0,D3992-K3992)</f>
        <v>3.1321404</v>
      </c>
      <c r="M3992" s="13" t="n">
        <f aca="false">MAX(0,F3992-I3992-J3992)</f>
        <v>0</v>
      </c>
      <c r="N3992" s="13" t="n">
        <f aca="false">IF(Kalender!A332="",0,J3991-H3992)</f>
        <v>0.0055404</v>
      </c>
    </row>
    <row r="3993" customFormat="false" ht="16.4" hidden="false" customHeight="false" outlineLevel="0" collapsed="false">
      <c r="A3993" s="13" t="str">
        <f aca="false">""</f>
        <v/>
      </c>
      <c r="B3993" s="13" t="n">
        <f aca="false">329</f>
        <v>329</v>
      </c>
      <c r="C3993" s="13" t="n">
        <f aca="false">IF(Szenarien!$H$21="OK",(IFERROR(SUMIF(Nutzungsprofile!$B$6:$B$11,"Schulbetrieb",Nutzungsprofile!$G$6:$G$11)*Kalender!C333/SUM(Kalender!$C$5:$C$370),0)+IFERROR(SUMIF(Nutzungsprofile!$B$6:$B$11,"Halle",Nutzungsprofile!$G$6:$G$11)*Kalender!D333/SUM(Kalender!$D$5:$D$370),0)+IFERROR(SUMIF(Nutzungsprofile!$B$6:$B$11,"Individuell",Nutzungsprofile!$G$6:$G$11)*Kalender!E333/SUM(Kalender!$E$5:$E$370),0))*Szenarien!$E$21,0)</f>
        <v>0</v>
      </c>
      <c r="D3993" s="13" t="n">
        <f aca="false">IF(Szenarien!$H$21="OK",(IFERROR(SUMIF(Nutzungsprofile!$B$17:$B$22,"Schulbetrieb",Nutzungsprofile!$G$17:$G$22)*Kalender!C333/SUM(Kalender!$C$5:$C$370),0)+IFERROR(SUMIF(Nutzungsprofile!$B$17:$B$22,"Halle",Nutzungsprofile!$G$17:$G$22)*Kalender!D333/SUM(Kalender!$D$5:$D$370),0)+IFERROR(SUMIF(Nutzungsprofile!$B$17:$B$22,"Individuell",Nutzungsprofile!$G$17:$G$22)*Kalender!E333/SUM(Kalender!$E$5:$E$370),0))*Szenarien!$D$21,0)</f>
        <v>0</v>
      </c>
      <c r="E3993" s="13" t="n">
        <f aca="false">IFERROR(MIN(C3993,Eingaben!$B$17)*Eingaben!$B$16,0)</f>
        <v>0</v>
      </c>
      <c r="F3993" s="13" t="n">
        <f aca="false">IFERROR(E3993*Eingaben!$B$15,0)</f>
        <v>0</v>
      </c>
      <c r="G3993" s="13" t="n">
        <f aca="false">IFERROR(IF(Kalender!A333="",0,J3992*(1-Eingaben!$B$20)),0)</f>
        <v>0.2714796</v>
      </c>
      <c r="H3993" s="13" t="n">
        <f aca="false">MIN(G3993,D3993)</f>
        <v>0</v>
      </c>
      <c r="I3993" s="13" t="n">
        <f aca="false">IFERROR(MIN(F3993*Eingaben!$B$19,MAX(0,D3993-H3993)),0)</f>
        <v>0</v>
      </c>
      <c r="J3993" s="13" t="n">
        <f aca="false">IFERROR(MIN(Eingaben!$B$18,MAX(0,F3993-I3993)),0)</f>
        <v>0</v>
      </c>
      <c r="K3993" s="13" t="n">
        <f aca="false">H3993+I3993</f>
        <v>0</v>
      </c>
      <c r="L3993" s="13" t="n">
        <f aca="false">MAX(0,D3993-K3993)</f>
        <v>0</v>
      </c>
      <c r="M3993" s="13" t="n">
        <f aca="false">MAX(0,F3993-I3993-J3993)</f>
        <v>0</v>
      </c>
      <c r="N3993" s="13" t="n">
        <f aca="false">IF(Kalender!A333="",0,J3992-H3993)</f>
        <v>0.27702</v>
      </c>
    </row>
    <row r="3994" customFormat="false" ht="16.4" hidden="false" customHeight="false" outlineLevel="0" collapsed="false">
      <c r="A3994" s="13" t="str">
        <f aca="false">""</f>
        <v/>
      </c>
      <c r="B3994" s="13" t="n">
        <f aca="false">330</f>
        <v>330</v>
      </c>
      <c r="C3994" s="13" t="n">
        <f aca="false">IF(Szenarien!$H$21="OK",(IFERROR(SUMIF(Nutzungsprofile!$B$6:$B$11,"Schulbetrieb",Nutzungsprofile!$G$6:$G$11)*Kalender!C334/SUM(Kalender!$C$5:$C$370),0)+IFERROR(SUMIF(Nutzungsprofile!$B$6:$B$11,"Halle",Nutzungsprofile!$G$6:$G$11)*Kalender!D334/SUM(Kalender!$D$5:$D$370),0)+IFERROR(SUMIF(Nutzungsprofile!$B$6:$B$11,"Individuell",Nutzungsprofile!$G$6:$G$11)*Kalender!E334/SUM(Kalender!$E$5:$E$370),0))*Szenarien!$E$21,0)</f>
        <v>0</v>
      </c>
      <c r="D3994" s="13" t="n">
        <f aca="false">IF(Szenarien!$H$21="OK",(IFERROR(SUMIF(Nutzungsprofile!$B$17:$B$22,"Schulbetrieb",Nutzungsprofile!$G$17:$G$22)*Kalender!C334/SUM(Kalender!$C$5:$C$370),0)+IFERROR(SUMIF(Nutzungsprofile!$B$17:$B$22,"Halle",Nutzungsprofile!$G$17:$G$22)*Kalender!D334/SUM(Kalender!$D$5:$D$370),0)+IFERROR(SUMIF(Nutzungsprofile!$B$17:$B$22,"Individuell",Nutzungsprofile!$G$17:$G$22)*Kalender!E334/SUM(Kalender!$E$5:$E$370),0))*Szenarien!$D$21,0)</f>
        <v>0</v>
      </c>
      <c r="E3994" s="13" t="n">
        <f aca="false">IFERROR(MIN(C3994,Eingaben!$B$17)*Eingaben!$B$16,0)</f>
        <v>0</v>
      </c>
      <c r="F3994" s="13" t="n">
        <f aca="false">IFERROR(E3994*Eingaben!$B$15,0)</f>
        <v>0</v>
      </c>
      <c r="G3994" s="13" t="n">
        <f aca="false">IFERROR(IF(Kalender!A334="",0,J3993*(1-Eingaben!$B$20)),0)</f>
        <v>0</v>
      </c>
      <c r="H3994" s="13" t="n">
        <f aca="false">MIN(G3994,D3994)</f>
        <v>0</v>
      </c>
      <c r="I3994" s="13" t="n">
        <f aca="false">IFERROR(MIN(F3994*Eingaben!$B$19,MAX(0,D3994-H3994)),0)</f>
        <v>0</v>
      </c>
      <c r="J3994" s="13" t="n">
        <f aca="false">IFERROR(MIN(Eingaben!$B$18,MAX(0,F3994-I3994)),0)</f>
        <v>0</v>
      </c>
      <c r="K3994" s="13" t="n">
        <f aca="false">H3994+I3994</f>
        <v>0</v>
      </c>
      <c r="L3994" s="13" t="n">
        <f aca="false">MAX(0,D3994-K3994)</f>
        <v>0</v>
      </c>
      <c r="M3994" s="13" t="n">
        <f aca="false">MAX(0,F3994-I3994-J3994)</f>
        <v>0</v>
      </c>
      <c r="N3994" s="13" t="n">
        <f aca="false">IF(Kalender!A334="",0,J3993-H3994)</f>
        <v>0</v>
      </c>
    </row>
    <row r="3995" customFormat="false" ht="16.4" hidden="false" customHeight="false" outlineLevel="0" collapsed="false">
      <c r="A3995" s="13" t="str">
        <f aca="false">""</f>
        <v/>
      </c>
      <c r="B3995" s="13" t="n">
        <f aca="false">331</f>
        <v>331</v>
      </c>
      <c r="C3995" s="13" t="n">
        <f aca="false">IF(Szenarien!$H$21="OK",(IFERROR(SUMIF(Nutzungsprofile!$B$6:$B$11,"Schulbetrieb",Nutzungsprofile!$G$6:$G$11)*Kalender!C335/SUM(Kalender!$C$5:$C$370),0)+IFERROR(SUMIF(Nutzungsprofile!$B$6:$B$11,"Halle",Nutzungsprofile!$G$6:$G$11)*Kalender!D335/SUM(Kalender!$D$5:$D$370),0)+IFERROR(SUMIF(Nutzungsprofile!$B$6:$B$11,"Individuell",Nutzungsprofile!$G$6:$G$11)*Kalender!E335/SUM(Kalender!$E$5:$E$370),0))*Szenarien!$E$21,0)</f>
        <v>0</v>
      </c>
      <c r="D3995" s="13" t="n">
        <f aca="false">IF(Szenarien!$H$21="OK",(IFERROR(SUMIF(Nutzungsprofile!$B$17:$B$22,"Schulbetrieb",Nutzungsprofile!$G$17:$G$22)*Kalender!C335/SUM(Kalender!$C$5:$C$370),0)+IFERROR(SUMIF(Nutzungsprofile!$B$17:$B$22,"Halle",Nutzungsprofile!$G$17:$G$22)*Kalender!D335/SUM(Kalender!$D$5:$D$370),0)+IFERROR(SUMIF(Nutzungsprofile!$B$17:$B$22,"Individuell",Nutzungsprofile!$G$17:$G$22)*Kalender!E335/SUM(Kalender!$E$5:$E$370),0))*Szenarien!$D$21,0)</f>
        <v>0</v>
      </c>
      <c r="E3995" s="13" t="n">
        <f aca="false">IFERROR(MIN(C3995,Eingaben!$B$17)*Eingaben!$B$16,0)</f>
        <v>0</v>
      </c>
      <c r="F3995" s="13" t="n">
        <f aca="false">IFERROR(E3995*Eingaben!$B$15,0)</f>
        <v>0</v>
      </c>
      <c r="G3995" s="13" t="n">
        <f aca="false">IFERROR(IF(Kalender!A335="",0,J3994*(1-Eingaben!$B$20)),0)</f>
        <v>0</v>
      </c>
      <c r="H3995" s="13" t="n">
        <f aca="false">MIN(G3995,D3995)</f>
        <v>0</v>
      </c>
      <c r="I3995" s="13" t="n">
        <f aca="false">IFERROR(MIN(F3995*Eingaben!$B$19,MAX(0,D3995-H3995)),0)</f>
        <v>0</v>
      </c>
      <c r="J3995" s="13" t="n">
        <f aca="false">IFERROR(MIN(Eingaben!$B$18,MAX(0,F3995-I3995)),0)</f>
        <v>0</v>
      </c>
      <c r="K3995" s="13" t="n">
        <f aca="false">H3995+I3995</f>
        <v>0</v>
      </c>
      <c r="L3995" s="13" t="n">
        <f aca="false">MAX(0,D3995-K3995)</f>
        <v>0</v>
      </c>
      <c r="M3995" s="13" t="n">
        <f aca="false">MAX(0,F3995-I3995-J3995)</f>
        <v>0</v>
      </c>
      <c r="N3995" s="13" t="n">
        <f aca="false">IF(Kalender!A335="",0,J3994-H3995)</f>
        <v>0</v>
      </c>
    </row>
    <row r="3996" customFormat="false" ht="16.4" hidden="false" customHeight="false" outlineLevel="0" collapsed="false">
      <c r="A3996" s="13" t="str">
        <f aca="false">""</f>
        <v/>
      </c>
      <c r="B3996" s="13" t="n">
        <f aca="false">332</f>
        <v>332</v>
      </c>
      <c r="C3996" s="13" t="n">
        <f aca="false">IF(Szenarien!$H$21="OK",(IFERROR(SUMIF(Nutzungsprofile!$B$6:$B$11,"Schulbetrieb",Nutzungsprofile!$G$6:$G$11)*Kalender!C336/SUM(Kalender!$C$5:$C$370),0)+IFERROR(SUMIF(Nutzungsprofile!$B$6:$B$11,"Halle",Nutzungsprofile!$G$6:$G$11)*Kalender!D336/SUM(Kalender!$D$5:$D$370),0)+IFERROR(SUMIF(Nutzungsprofile!$B$6:$B$11,"Individuell",Nutzungsprofile!$G$6:$G$11)*Kalender!E336/SUM(Kalender!$E$5:$E$370),0))*Szenarien!$E$21,0)</f>
        <v>0</v>
      </c>
      <c r="D3996" s="13" t="n">
        <f aca="false">IF(Szenarien!$H$21="OK",(IFERROR(SUMIF(Nutzungsprofile!$B$17:$B$22,"Schulbetrieb",Nutzungsprofile!$G$17:$G$22)*Kalender!C336/SUM(Kalender!$C$5:$C$370),0)+IFERROR(SUMIF(Nutzungsprofile!$B$17:$B$22,"Halle",Nutzungsprofile!$G$17:$G$22)*Kalender!D336/SUM(Kalender!$D$5:$D$370),0)+IFERROR(SUMIF(Nutzungsprofile!$B$17:$B$22,"Individuell",Nutzungsprofile!$G$17:$G$22)*Kalender!E336/SUM(Kalender!$E$5:$E$370),0))*Szenarien!$D$21,0)</f>
        <v>0</v>
      </c>
      <c r="E3996" s="13" t="n">
        <f aca="false">IFERROR(MIN(C3996,Eingaben!$B$17)*Eingaben!$B$16,0)</f>
        <v>0</v>
      </c>
      <c r="F3996" s="13" t="n">
        <f aca="false">IFERROR(E3996*Eingaben!$B$15,0)</f>
        <v>0</v>
      </c>
      <c r="G3996" s="13" t="n">
        <f aca="false">IFERROR(IF(Kalender!A336="",0,J3995*(1-Eingaben!$B$20)),0)</f>
        <v>0</v>
      </c>
      <c r="H3996" s="13" t="n">
        <f aca="false">MIN(G3996,D3996)</f>
        <v>0</v>
      </c>
      <c r="I3996" s="13" t="n">
        <f aca="false">IFERROR(MIN(F3996*Eingaben!$B$19,MAX(0,D3996-H3996)),0)</f>
        <v>0</v>
      </c>
      <c r="J3996" s="13" t="n">
        <f aca="false">IFERROR(MIN(Eingaben!$B$18,MAX(0,F3996-I3996)),0)</f>
        <v>0</v>
      </c>
      <c r="K3996" s="13" t="n">
        <f aca="false">H3996+I3996</f>
        <v>0</v>
      </c>
      <c r="L3996" s="13" t="n">
        <f aca="false">MAX(0,D3996-K3996)</f>
        <v>0</v>
      </c>
      <c r="M3996" s="13" t="n">
        <f aca="false">MAX(0,F3996-I3996-J3996)</f>
        <v>0</v>
      </c>
      <c r="N3996" s="13" t="n">
        <f aca="false">IF(Kalender!A336="",0,J3995-H3996)</f>
        <v>0</v>
      </c>
    </row>
    <row r="3997" customFormat="false" ht="16.4" hidden="false" customHeight="false" outlineLevel="0" collapsed="false">
      <c r="A3997" s="13" t="str">
        <f aca="false">""</f>
        <v/>
      </c>
      <c r="B3997" s="13" t="n">
        <f aca="false">333</f>
        <v>333</v>
      </c>
      <c r="C3997" s="13" t="n">
        <f aca="false">IF(Szenarien!$H$21="OK",(IFERROR(SUMIF(Nutzungsprofile!$B$6:$B$11,"Schulbetrieb",Nutzungsprofile!$G$6:$G$11)*Kalender!C337/SUM(Kalender!$C$5:$C$370),0)+IFERROR(SUMIF(Nutzungsprofile!$B$6:$B$11,"Halle",Nutzungsprofile!$G$6:$G$11)*Kalender!D337/SUM(Kalender!$D$5:$D$370),0)+IFERROR(SUMIF(Nutzungsprofile!$B$6:$B$11,"Individuell",Nutzungsprofile!$G$6:$G$11)*Kalender!E337/SUM(Kalender!$E$5:$E$370),0))*Szenarien!$E$21,0)</f>
        <v>0</v>
      </c>
      <c r="D3997" s="13" t="n">
        <f aca="false">IF(Szenarien!$H$21="OK",(IFERROR(SUMIF(Nutzungsprofile!$B$17:$B$22,"Schulbetrieb",Nutzungsprofile!$G$17:$G$22)*Kalender!C337/SUM(Kalender!$C$5:$C$370),0)+IFERROR(SUMIF(Nutzungsprofile!$B$17:$B$22,"Halle",Nutzungsprofile!$G$17:$G$22)*Kalender!D337/SUM(Kalender!$D$5:$D$370),0)+IFERROR(SUMIF(Nutzungsprofile!$B$17:$B$22,"Individuell",Nutzungsprofile!$G$17:$G$22)*Kalender!E337/SUM(Kalender!$E$5:$E$370),0))*Szenarien!$D$21,0)</f>
        <v>0</v>
      </c>
      <c r="E3997" s="13" t="n">
        <f aca="false">IFERROR(MIN(C3997,Eingaben!$B$17)*Eingaben!$B$16,0)</f>
        <v>0</v>
      </c>
      <c r="F3997" s="13" t="n">
        <f aca="false">IFERROR(E3997*Eingaben!$B$15,0)</f>
        <v>0</v>
      </c>
      <c r="G3997" s="13" t="n">
        <f aca="false">IFERROR(IF(Kalender!A337="",0,J3996*(1-Eingaben!$B$20)),0)</f>
        <v>0</v>
      </c>
      <c r="H3997" s="13" t="n">
        <f aca="false">MIN(G3997,D3997)</f>
        <v>0</v>
      </c>
      <c r="I3997" s="13" t="n">
        <f aca="false">IFERROR(MIN(F3997*Eingaben!$B$19,MAX(0,D3997-H3997)),0)</f>
        <v>0</v>
      </c>
      <c r="J3997" s="13" t="n">
        <f aca="false">IFERROR(MIN(Eingaben!$B$18,MAX(0,F3997-I3997)),0)</f>
        <v>0</v>
      </c>
      <c r="K3997" s="13" t="n">
        <f aca="false">H3997+I3997</f>
        <v>0</v>
      </c>
      <c r="L3997" s="13" t="n">
        <f aca="false">MAX(0,D3997-K3997)</f>
        <v>0</v>
      </c>
      <c r="M3997" s="13" t="n">
        <f aca="false">MAX(0,F3997-I3997-J3997)</f>
        <v>0</v>
      </c>
      <c r="N3997" s="13" t="n">
        <f aca="false">IF(Kalender!A337="",0,J3996-H3997)</f>
        <v>0</v>
      </c>
    </row>
    <row r="3998" customFormat="false" ht="16.4" hidden="false" customHeight="false" outlineLevel="0" collapsed="false">
      <c r="A3998" s="13" t="str">
        <f aca="false">""</f>
        <v/>
      </c>
      <c r="B3998" s="13" t="n">
        <f aca="false">334</f>
        <v>334</v>
      </c>
      <c r="C3998" s="13" t="n">
        <f aca="false">IF(Szenarien!$H$21="OK",(IFERROR(SUMIF(Nutzungsprofile!$B$6:$B$11,"Schulbetrieb",Nutzungsprofile!$G$6:$G$11)*Kalender!C338/SUM(Kalender!$C$5:$C$370),0)+IFERROR(SUMIF(Nutzungsprofile!$B$6:$B$11,"Halle",Nutzungsprofile!$G$6:$G$11)*Kalender!D338/SUM(Kalender!$D$5:$D$370),0)+IFERROR(SUMIF(Nutzungsprofile!$B$6:$B$11,"Individuell",Nutzungsprofile!$G$6:$G$11)*Kalender!E338/SUM(Kalender!$E$5:$E$370),0))*Szenarien!$E$21,0)</f>
        <v>0</v>
      </c>
      <c r="D3998" s="13" t="n">
        <f aca="false">IF(Szenarien!$H$21="OK",(IFERROR(SUMIF(Nutzungsprofile!$B$17:$B$22,"Schulbetrieb",Nutzungsprofile!$G$17:$G$22)*Kalender!C338/SUM(Kalender!$C$5:$C$370),0)+IFERROR(SUMIF(Nutzungsprofile!$B$17:$B$22,"Halle",Nutzungsprofile!$G$17:$G$22)*Kalender!D338/SUM(Kalender!$D$5:$D$370),0)+IFERROR(SUMIF(Nutzungsprofile!$B$17:$B$22,"Individuell",Nutzungsprofile!$G$17:$G$22)*Kalender!E338/SUM(Kalender!$E$5:$E$370),0))*Szenarien!$D$21,0)</f>
        <v>0</v>
      </c>
      <c r="E3998" s="13" t="n">
        <f aca="false">IFERROR(MIN(C3998,Eingaben!$B$17)*Eingaben!$B$16,0)</f>
        <v>0</v>
      </c>
      <c r="F3998" s="13" t="n">
        <f aca="false">IFERROR(E3998*Eingaben!$B$15,0)</f>
        <v>0</v>
      </c>
      <c r="G3998" s="13" t="n">
        <f aca="false">IFERROR(IF(Kalender!A338="",0,J3997*(1-Eingaben!$B$20)),0)</f>
        <v>0</v>
      </c>
      <c r="H3998" s="13" t="n">
        <f aca="false">MIN(G3998,D3998)</f>
        <v>0</v>
      </c>
      <c r="I3998" s="13" t="n">
        <f aca="false">IFERROR(MIN(F3998*Eingaben!$B$19,MAX(0,D3998-H3998)),0)</f>
        <v>0</v>
      </c>
      <c r="J3998" s="13" t="n">
        <f aca="false">IFERROR(MIN(Eingaben!$B$18,MAX(0,F3998-I3998)),0)</f>
        <v>0</v>
      </c>
      <c r="K3998" s="13" t="n">
        <f aca="false">H3998+I3998</f>
        <v>0</v>
      </c>
      <c r="L3998" s="13" t="n">
        <f aca="false">MAX(0,D3998-K3998)</f>
        <v>0</v>
      </c>
      <c r="M3998" s="13" t="n">
        <f aca="false">MAX(0,F3998-I3998-J3998)</f>
        <v>0</v>
      </c>
      <c r="N3998" s="13" t="n">
        <f aca="false">IF(Kalender!A338="",0,J3997-H3998)</f>
        <v>0</v>
      </c>
    </row>
    <row r="3999" customFormat="false" ht="16.4" hidden="false" customHeight="false" outlineLevel="0" collapsed="false">
      <c r="A3999" s="13" t="str">
        <f aca="false">""</f>
        <v/>
      </c>
      <c r="B3999" s="13" t="n">
        <f aca="false">335</f>
        <v>335</v>
      </c>
      <c r="C3999" s="13" t="n">
        <f aca="false">IF(Szenarien!$H$21="OK",(IFERROR(SUMIF(Nutzungsprofile!$B$6:$B$11,"Schulbetrieb",Nutzungsprofile!$G$6:$G$11)*Kalender!C339/SUM(Kalender!$C$5:$C$370),0)+IFERROR(SUMIF(Nutzungsprofile!$B$6:$B$11,"Halle",Nutzungsprofile!$G$6:$G$11)*Kalender!D339/SUM(Kalender!$D$5:$D$370),0)+IFERROR(SUMIF(Nutzungsprofile!$B$6:$B$11,"Individuell",Nutzungsprofile!$G$6:$G$11)*Kalender!E339/SUM(Kalender!$E$5:$E$370),0))*Szenarien!$E$21,0)</f>
        <v>0</v>
      </c>
      <c r="D3999" s="13" t="n">
        <f aca="false">IF(Szenarien!$H$21="OK",(IFERROR(SUMIF(Nutzungsprofile!$B$17:$B$22,"Schulbetrieb",Nutzungsprofile!$G$17:$G$22)*Kalender!C339/SUM(Kalender!$C$5:$C$370),0)+IFERROR(SUMIF(Nutzungsprofile!$B$17:$B$22,"Halle",Nutzungsprofile!$G$17:$G$22)*Kalender!D339/SUM(Kalender!$D$5:$D$370),0)+IFERROR(SUMIF(Nutzungsprofile!$B$17:$B$22,"Individuell",Nutzungsprofile!$G$17:$G$22)*Kalender!E339/SUM(Kalender!$E$5:$E$370),0))*Szenarien!$D$21,0)</f>
        <v>0</v>
      </c>
      <c r="E3999" s="13" t="n">
        <f aca="false">IFERROR(MIN(C3999,Eingaben!$B$17)*Eingaben!$B$16,0)</f>
        <v>0</v>
      </c>
      <c r="F3999" s="13" t="n">
        <f aca="false">IFERROR(E3999*Eingaben!$B$15,0)</f>
        <v>0</v>
      </c>
      <c r="G3999" s="13" t="n">
        <f aca="false">IFERROR(IF(Kalender!A339="",0,J3998*(1-Eingaben!$B$20)),0)</f>
        <v>0</v>
      </c>
      <c r="H3999" s="13" t="n">
        <f aca="false">MIN(G3999,D3999)</f>
        <v>0</v>
      </c>
      <c r="I3999" s="13" t="n">
        <f aca="false">IFERROR(MIN(F3999*Eingaben!$B$19,MAX(0,D3999-H3999)),0)</f>
        <v>0</v>
      </c>
      <c r="J3999" s="13" t="n">
        <f aca="false">IFERROR(MIN(Eingaben!$B$18,MAX(0,F3999-I3999)),0)</f>
        <v>0</v>
      </c>
      <c r="K3999" s="13" t="n">
        <f aca="false">H3999+I3999</f>
        <v>0</v>
      </c>
      <c r="L3999" s="13" t="n">
        <f aca="false">MAX(0,D3999-K3999)</f>
        <v>0</v>
      </c>
      <c r="M3999" s="13" t="n">
        <f aca="false">MAX(0,F3999-I3999-J3999)</f>
        <v>0</v>
      </c>
      <c r="N3999" s="13" t="n">
        <f aca="false">IF(Kalender!A339="",0,J3998-H3999)</f>
        <v>0</v>
      </c>
    </row>
    <row r="4000" customFormat="false" ht="16.4" hidden="false" customHeight="false" outlineLevel="0" collapsed="false">
      <c r="A4000" s="13" t="str">
        <f aca="false">""</f>
        <v/>
      </c>
      <c r="B4000" s="13" t="n">
        <f aca="false">336</f>
        <v>336</v>
      </c>
      <c r="C4000" s="13" t="n">
        <f aca="false">IF(Szenarien!$H$21="OK",(IFERROR(SUMIF(Nutzungsprofile!$B$6:$B$11,"Schulbetrieb",Nutzungsprofile!$G$6:$G$11)*Kalender!C340/SUM(Kalender!$C$5:$C$370),0)+IFERROR(SUMIF(Nutzungsprofile!$B$6:$B$11,"Halle",Nutzungsprofile!$G$6:$G$11)*Kalender!D340/SUM(Kalender!$D$5:$D$370),0)+IFERROR(SUMIF(Nutzungsprofile!$B$6:$B$11,"Individuell",Nutzungsprofile!$G$6:$G$11)*Kalender!E340/SUM(Kalender!$E$5:$E$370),0))*Szenarien!$E$21,0)</f>
        <v>0</v>
      </c>
      <c r="D4000" s="13" t="n">
        <f aca="false">IF(Szenarien!$H$21="OK",(IFERROR(SUMIF(Nutzungsprofile!$B$17:$B$22,"Schulbetrieb",Nutzungsprofile!$G$17:$G$22)*Kalender!C340/SUM(Kalender!$C$5:$C$370),0)+IFERROR(SUMIF(Nutzungsprofile!$B$17:$B$22,"Halle",Nutzungsprofile!$G$17:$G$22)*Kalender!D340/SUM(Kalender!$D$5:$D$370),0)+IFERROR(SUMIF(Nutzungsprofile!$B$17:$B$22,"Individuell",Nutzungsprofile!$G$17:$G$22)*Kalender!E340/SUM(Kalender!$E$5:$E$370),0))*Szenarien!$D$21,0)</f>
        <v>0</v>
      </c>
      <c r="E4000" s="13" t="n">
        <f aca="false">IFERROR(MIN(C4000,Eingaben!$B$17)*Eingaben!$B$16,0)</f>
        <v>0</v>
      </c>
      <c r="F4000" s="13" t="n">
        <f aca="false">IFERROR(E4000*Eingaben!$B$15,0)</f>
        <v>0</v>
      </c>
      <c r="G4000" s="13" t="n">
        <f aca="false">IFERROR(IF(Kalender!A340="",0,J3999*(1-Eingaben!$B$20)),0)</f>
        <v>0</v>
      </c>
      <c r="H4000" s="13" t="n">
        <f aca="false">MIN(G4000,D4000)</f>
        <v>0</v>
      </c>
      <c r="I4000" s="13" t="n">
        <f aca="false">IFERROR(MIN(F4000*Eingaben!$B$19,MAX(0,D4000-H4000)),0)</f>
        <v>0</v>
      </c>
      <c r="J4000" s="13" t="n">
        <f aca="false">IFERROR(MIN(Eingaben!$B$18,MAX(0,F4000-I4000)),0)</f>
        <v>0</v>
      </c>
      <c r="K4000" s="13" t="n">
        <f aca="false">H4000+I4000</f>
        <v>0</v>
      </c>
      <c r="L4000" s="13" t="n">
        <f aca="false">MAX(0,D4000-K4000)</f>
        <v>0</v>
      </c>
      <c r="M4000" s="13" t="n">
        <f aca="false">MAX(0,F4000-I4000-J4000)</f>
        <v>0</v>
      </c>
      <c r="N4000" s="13" t="n">
        <f aca="false">IF(Kalender!A340="",0,J3999-H4000)</f>
        <v>0</v>
      </c>
    </row>
    <row r="4001" customFormat="false" ht="16.4" hidden="false" customHeight="false" outlineLevel="0" collapsed="false">
      <c r="A4001" s="13" t="str">
        <f aca="false">""</f>
        <v/>
      </c>
      <c r="B4001" s="13" t="n">
        <f aca="false">337</f>
        <v>337</v>
      </c>
      <c r="C4001" s="13" t="n">
        <f aca="false">IF(Szenarien!$H$21="OK",(IFERROR(SUMIF(Nutzungsprofile!$B$6:$B$11,"Schulbetrieb",Nutzungsprofile!$G$6:$G$11)*Kalender!C341/SUM(Kalender!$C$5:$C$370),0)+IFERROR(SUMIF(Nutzungsprofile!$B$6:$B$11,"Halle",Nutzungsprofile!$G$6:$G$11)*Kalender!D341/SUM(Kalender!$D$5:$D$370),0)+IFERROR(SUMIF(Nutzungsprofile!$B$6:$B$11,"Individuell",Nutzungsprofile!$G$6:$G$11)*Kalender!E341/SUM(Kalender!$E$5:$E$370),0))*Szenarien!$E$21,0)</f>
        <v>0</v>
      </c>
      <c r="D4001" s="13" t="n">
        <f aca="false">IF(Szenarien!$H$21="OK",(IFERROR(SUMIF(Nutzungsprofile!$B$17:$B$22,"Schulbetrieb",Nutzungsprofile!$G$17:$G$22)*Kalender!C341/SUM(Kalender!$C$5:$C$370),0)+IFERROR(SUMIF(Nutzungsprofile!$B$17:$B$22,"Halle",Nutzungsprofile!$G$17:$G$22)*Kalender!D341/SUM(Kalender!$D$5:$D$370),0)+IFERROR(SUMIF(Nutzungsprofile!$B$17:$B$22,"Individuell",Nutzungsprofile!$G$17:$G$22)*Kalender!E341/SUM(Kalender!$E$5:$E$370),0))*Szenarien!$D$21,0)</f>
        <v>0</v>
      </c>
      <c r="E4001" s="13" t="n">
        <f aca="false">IFERROR(MIN(C4001,Eingaben!$B$17)*Eingaben!$B$16,0)</f>
        <v>0</v>
      </c>
      <c r="F4001" s="13" t="n">
        <f aca="false">IFERROR(E4001*Eingaben!$B$15,0)</f>
        <v>0</v>
      </c>
      <c r="G4001" s="13" t="n">
        <f aca="false">IFERROR(IF(Kalender!A341="",0,J4000*(1-Eingaben!$B$20)),0)</f>
        <v>0</v>
      </c>
      <c r="H4001" s="13" t="n">
        <f aca="false">MIN(G4001,D4001)</f>
        <v>0</v>
      </c>
      <c r="I4001" s="13" t="n">
        <f aca="false">IFERROR(MIN(F4001*Eingaben!$B$19,MAX(0,D4001-H4001)),0)</f>
        <v>0</v>
      </c>
      <c r="J4001" s="13" t="n">
        <f aca="false">IFERROR(MIN(Eingaben!$B$18,MAX(0,F4001-I4001)),0)</f>
        <v>0</v>
      </c>
      <c r="K4001" s="13" t="n">
        <f aca="false">H4001+I4001</f>
        <v>0</v>
      </c>
      <c r="L4001" s="13" t="n">
        <f aca="false">MAX(0,D4001-K4001)</f>
        <v>0</v>
      </c>
      <c r="M4001" s="13" t="n">
        <f aca="false">MAX(0,F4001-I4001-J4001)</f>
        <v>0</v>
      </c>
      <c r="N4001" s="13" t="n">
        <f aca="false">IF(Kalender!A341="",0,J4000-H4001)</f>
        <v>0</v>
      </c>
    </row>
    <row r="4002" customFormat="false" ht="16.4" hidden="false" customHeight="false" outlineLevel="0" collapsed="false">
      <c r="A4002" s="13" t="str">
        <f aca="false">""</f>
        <v/>
      </c>
      <c r="B4002" s="13" t="n">
        <f aca="false">338</f>
        <v>338</v>
      </c>
      <c r="C4002" s="13" t="n">
        <f aca="false">IF(Szenarien!$H$21="OK",(IFERROR(SUMIF(Nutzungsprofile!$B$6:$B$11,"Schulbetrieb",Nutzungsprofile!$G$6:$G$11)*Kalender!C342/SUM(Kalender!$C$5:$C$370),0)+IFERROR(SUMIF(Nutzungsprofile!$B$6:$B$11,"Halle",Nutzungsprofile!$G$6:$G$11)*Kalender!D342/SUM(Kalender!$D$5:$D$370),0)+IFERROR(SUMIF(Nutzungsprofile!$B$6:$B$11,"Individuell",Nutzungsprofile!$G$6:$G$11)*Kalender!E342/SUM(Kalender!$E$5:$E$370),0))*Szenarien!$E$21,0)</f>
        <v>0</v>
      </c>
      <c r="D4002" s="13" t="n">
        <f aca="false">IF(Szenarien!$H$21="OK",(IFERROR(SUMIF(Nutzungsprofile!$B$17:$B$22,"Schulbetrieb",Nutzungsprofile!$G$17:$G$22)*Kalender!C342/SUM(Kalender!$C$5:$C$370),0)+IFERROR(SUMIF(Nutzungsprofile!$B$17:$B$22,"Halle",Nutzungsprofile!$G$17:$G$22)*Kalender!D342/SUM(Kalender!$D$5:$D$370),0)+IFERROR(SUMIF(Nutzungsprofile!$B$17:$B$22,"Individuell",Nutzungsprofile!$G$17:$G$22)*Kalender!E342/SUM(Kalender!$E$5:$E$370),0))*Szenarien!$D$21,0)</f>
        <v>0</v>
      </c>
      <c r="E4002" s="13" t="n">
        <f aca="false">IFERROR(MIN(C4002,Eingaben!$B$17)*Eingaben!$B$16,0)</f>
        <v>0</v>
      </c>
      <c r="F4002" s="13" t="n">
        <f aca="false">IFERROR(E4002*Eingaben!$B$15,0)</f>
        <v>0</v>
      </c>
      <c r="G4002" s="13" t="n">
        <f aca="false">IFERROR(IF(Kalender!A342="",0,J4001*(1-Eingaben!$B$20)),0)</f>
        <v>0</v>
      </c>
      <c r="H4002" s="13" t="n">
        <f aca="false">MIN(G4002,D4002)</f>
        <v>0</v>
      </c>
      <c r="I4002" s="13" t="n">
        <f aca="false">IFERROR(MIN(F4002*Eingaben!$B$19,MAX(0,D4002-H4002)),0)</f>
        <v>0</v>
      </c>
      <c r="J4002" s="13" t="n">
        <f aca="false">IFERROR(MIN(Eingaben!$B$18,MAX(0,F4002-I4002)),0)</f>
        <v>0</v>
      </c>
      <c r="K4002" s="13" t="n">
        <f aca="false">H4002+I4002</f>
        <v>0</v>
      </c>
      <c r="L4002" s="13" t="n">
        <f aca="false">MAX(0,D4002-K4002)</f>
        <v>0</v>
      </c>
      <c r="M4002" s="13" t="n">
        <f aca="false">MAX(0,F4002-I4002-J4002)</f>
        <v>0</v>
      </c>
      <c r="N4002" s="13" t="n">
        <f aca="false">IF(Kalender!A342="",0,J4001-H4002)</f>
        <v>0</v>
      </c>
    </row>
    <row r="4003" customFormat="false" ht="16.4" hidden="false" customHeight="false" outlineLevel="0" collapsed="false">
      <c r="A4003" s="13" t="str">
        <f aca="false">""</f>
        <v/>
      </c>
      <c r="B4003" s="13" t="n">
        <f aca="false">339</f>
        <v>339</v>
      </c>
      <c r="C4003" s="13" t="n">
        <f aca="false">IF(Szenarien!$H$21="OK",(IFERROR(SUMIF(Nutzungsprofile!$B$6:$B$11,"Schulbetrieb",Nutzungsprofile!$G$6:$G$11)*Kalender!C343/SUM(Kalender!$C$5:$C$370),0)+IFERROR(SUMIF(Nutzungsprofile!$B$6:$B$11,"Halle",Nutzungsprofile!$G$6:$G$11)*Kalender!D343/SUM(Kalender!$D$5:$D$370),0)+IFERROR(SUMIF(Nutzungsprofile!$B$6:$B$11,"Individuell",Nutzungsprofile!$G$6:$G$11)*Kalender!E343/SUM(Kalender!$E$5:$E$370),0))*Szenarien!$E$21,0)</f>
        <v>0</v>
      </c>
      <c r="D4003" s="13" t="n">
        <f aca="false">IF(Szenarien!$H$21="OK",(IFERROR(SUMIF(Nutzungsprofile!$B$17:$B$22,"Schulbetrieb",Nutzungsprofile!$G$17:$G$22)*Kalender!C343/SUM(Kalender!$C$5:$C$370),0)+IFERROR(SUMIF(Nutzungsprofile!$B$17:$B$22,"Halle",Nutzungsprofile!$G$17:$G$22)*Kalender!D343/SUM(Kalender!$D$5:$D$370),0)+IFERROR(SUMIF(Nutzungsprofile!$B$17:$B$22,"Individuell",Nutzungsprofile!$G$17:$G$22)*Kalender!E343/SUM(Kalender!$E$5:$E$370),0))*Szenarien!$D$21,0)</f>
        <v>0</v>
      </c>
      <c r="E4003" s="13" t="n">
        <f aca="false">IFERROR(MIN(C4003,Eingaben!$B$17)*Eingaben!$B$16,0)</f>
        <v>0</v>
      </c>
      <c r="F4003" s="13" t="n">
        <f aca="false">IFERROR(E4003*Eingaben!$B$15,0)</f>
        <v>0</v>
      </c>
      <c r="G4003" s="13" t="n">
        <f aca="false">IFERROR(IF(Kalender!A343="",0,J4002*(1-Eingaben!$B$20)),0)</f>
        <v>0</v>
      </c>
      <c r="H4003" s="13" t="n">
        <f aca="false">MIN(G4003,D4003)</f>
        <v>0</v>
      </c>
      <c r="I4003" s="13" t="n">
        <f aca="false">IFERROR(MIN(F4003*Eingaben!$B$19,MAX(0,D4003-H4003)),0)</f>
        <v>0</v>
      </c>
      <c r="J4003" s="13" t="n">
        <f aca="false">IFERROR(MIN(Eingaben!$B$18,MAX(0,F4003-I4003)),0)</f>
        <v>0</v>
      </c>
      <c r="K4003" s="13" t="n">
        <f aca="false">H4003+I4003</f>
        <v>0</v>
      </c>
      <c r="L4003" s="13" t="n">
        <f aca="false">MAX(0,D4003-K4003)</f>
        <v>0</v>
      </c>
      <c r="M4003" s="13" t="n">
        <f aca="false">MAX(0,F4003-I4003-J4003)</f>
        <v>0</v>
      </c>
      <c r="N4003" s="13" t="n">
        <f aca="false">IF(Kalender!A343="",0,J4002-H4003)</f>
        <v>0</v>
      </c>
    </row>
    <row r="4004" customFormat="false" ht="16.4" hidden="false" customHeight="false" outlineLevel="0" collapsed="false">
      <c r="A4004" s="13" t="str">
        <f aca="false">""</f>
        <v/>
      </c>
      <c r="B4004" s="13" t="n">
        <f aca="false">340</f>
        <v>340</v>
      </c>
      <c r="C4004" s="13" t="n">
        <f aca="false">IF(Szenarien!$H$21="OK",(IFERROR(SUMIF(Nutzungsprofile!$B$6:$B$11,"Schulbetrieb",Nutzungsprofile!$G$6:$G$11)*Kalender!C344/SUM(Kalender!$C$5:$C$370),0)+IFERROR(SUMIF(Nutzungsprofile!$B$6:$B$11,"Halle",Nutzungsprofile!$G$6:$G$11)*Kalender!D344/SUM(Kalender!$D$5:$D$370),0)+IFERROR(SUMIF(Nutzungsprofile!$B$6:$B$11,"Individuell",Nutzungsprofile!$G$6:$G$11)*Kalender!E344/SUM(Kalender!$E$5:$E$370),0))*Szenarien!$E$21,0)</f>
        <v>0</v>
      </c>
      <c r="D4004" s="13" t="n">
        <f aca="false">IF(Szenarien!$H$21="OK",(IFERROR(SUMIF(Nutzungsprofile!$B$17:$B$22,"Schulbetrieb",Nutzungsprofile!$G$17:$G$22)*Kalender!C344/SUM(Kalender!$C$5:$C$370),0)+IFERROR(SUMIF(Nutzungsprofile!$B$17:$B$22,"Halle",Nutzungsprofile!$G$17:$G$22)*Kalender!D344/SUM(Kalender!$D$5:$D$370),0)+IFERROR(SUMIF(Nutzungsprofile!$B$17:$B$22,"Individuell",Nutzungsprofile!$G$17:$G$22)*Kalender!E344/SUM(Kalender!$E$5:$E$370),0))*Szenarien!$D$21,0)</f>
        <v>0</v>
      </c>
      <c r="E4004" s="13" t="n">
        <f aca="false">IFERROR(MIN(C4004,Eingaben!$B$17)*Eingaben!$B$16,0)</f>
        <v>0</v>
      </c>
      <c r="F4004" s="13" t="n">
        <f aca="false">IFERROR(E4004*Eingaben!$B$15,0)</f>
        <v>0</v>
      </c>
      <c r="G4004" s="13" t="n">
        <f aca="false">IFERROR(IF(Kalender!A344="",0,J4003*(1-Eingaben!$B$20)),0)</f>
        <v>0</v>
      </c>
      <c r="H4004" s="13" t="n">
        <f aca="false">MIN(G4004,D4004)</f>
        <v>0</v>
      </c>
      <c r="I4004" s="13" t="n">
        <f aca="false">IFERROR(MIN(F4004*Eingaben!$B$19,MAX(0,D4004-H4004)),0)</f>
        <v>0</v>
      </c>
      <c r="J4004" s="13" t="n">
        <f aca="false">IFERROR(MIN(Eingaben!$B$18,MAX(0,F4004-I4004)),0)</f>
        <v>0</v>
      </c>
      <c r="K4004" s="13" t="n">
        <f aca="false">H4004+I4004</f>
        <v>0</v>
      </c>
      <c r="L4004" s="13" t="n">
        <f aca="false">MAX(0,D4004-K4004)</f>
        <v>0</v>
      </c>
      <c r="M4004" s="13" t="n">
        <f aca="false">MAX(0,F4004-I4004-J4004)</f>
        <v>0</v>
      </c>
      <c r="N4004" s="13" t="n">
        <f aca="false">IF(Kalender!A344="",0,J4003-H4004)</f>
        <v>0</v>
      </c>
    </row>
    <row r="4005" customFormat="false" ht="16.4" hidden="false" customHeight="false" outlineLevel="0" collapsed="false">
      <c r="A4005" s="13" t="str">
        <f aca="false">""</f>
        <v/>
      </c>
      <c r="B4005" s="13" t="n">
        <f aca="false">341</f>
        <v>341</v>
      </c>
      <c r="C4005" s="13" t="n">
        <f aca="false">IF(Szenarien!$H$21="OK",(IFERROR(SUMIF(Nutzungsprofile!$B$6:$B$11,"Schulbetrieb",Nutzungsprofile!$G$6:$G$11)*Kalender!C345/SUM(Kalender!$C$5:$C$370),0)+IFERROR(SUMIF(Nutzungsprofile!$B$6:$B$11,"Halle",Nutzungsprofile!$G$6:$G$11)*Kalender!D345/SUM(Kalender!$D$5:$D$370),0)+IFERROR(SUMIF(Nutzungsprofile!$B$6:$B$11,"Individuell",Nutzungsprofile!$G$6:$G$11)*Kalender!E345/SUM(Kalender!$E$5:$E$370),0))*Szenarien!$E$21,0)</f>
        <v>0</v>
      </c>
      <c r="D4005" s="13" t="n">
        <f aca="false">IF(Szenarien!$H$21="OK",(IFERROR(SUMIF(Nutzungsprofile!$B$17:$B$22,"Schulbetrieb",Nutzungsprofile!$G$17:$G$22)*Kalender!C345/SUM(Kalender!$C$5:$C$370),0)+IFERROR(SUMIF(Nutzungsprofile!$B$17:$B$22,"Halle",Nutzungsprofile!$G$17:$G$22)*Kalender!D345/SUM(Kalender!$D$5:$D$370),0)+IFERROR(SUMIF(Nutzungsprofile!$B$17:$B$22,"Individuell",Nutzungsprofile!$G$17:$G$22)*Kalender!E345/SUM(Kalender!$E$5:$E$370),0))*Szenarien!$D$21,0)</f>
        <v>0</v>
      </c>
      <c r="E4005" s="13" t="n">
        <f aca="false">IFERROR(MIN(C4005,Eingaben!$B$17)*Eingaben!$B$16,0)</f>
        <v>0</v>
      </c>
      <c r="F4005" s="13" t="n">
        <f aca="false">IFERROR(E4005*Eingaben!$B$15,0)</f>
        <v>0</v>
      </c>
      <c r="G4005" s="13" t="n">
        <f aca="false">IFERROR(IF(Kalender!A345="",0,J4004*(1-Eingaben!$B$20)),0)</f>
        <v>0</v>
      </c>
      <c r="H4005" s="13" t="n">
        <f aca="false">MIN(G4005,D4005)</f>
        <v>0</v>
      </c>
      <c r="I4005" s="13" t="n">
        <f aca="false">IFERROR(MIN(F4005*Eingaben!$B$19,MAX(0,D4005-H4005)),0)</f>
        <v>0</v>
      </c>
      <c r="J4005" s="13" t="n">
        <f aca="false">IFERROR(MIN(Eingaben!$B$18,MAX(0,F4005-I4005)),0)</f>
        <v>0</v>
      </c>
      <c r="K4005" s="13" t="n">
        <f aca="false">H4005+I4005</f>
        <v>0</v>
      </c>
      <c r="L4005" s="13" t="n">
        <f aca="false">MAX(0,D4005-K4005)</f>
        <v>0</v>
      </c>
      <c r="M4005" s="13" t="n">
        <f aca="false">MAX(0,F4005-I4005-J4005)</f>
        <v>0</v>
      </c>
      <c r="N4005" s="13" t="n">
        <f aca="false">IF(Kalender!A345="",0,J4004-H4005)</f>
        <v>0</v>
      </c>
    </row>
    <row r="4006" customFormat="false" ht="16.4" hidden="false" customHeight="false" outlineLevel="0" collapsed="false">
      <c r="A4006" s="13" t="str">
        <f aca="false">""</f>
        <v/>
      </c>
      <c r="B4006" s="13" t="n">
        <f aca="false">342</f>
        <v>342</v>
      </c>
      <c r="C4006" s="13" t="n">
        <f aca="false">IF(Szenarien!$H$21="OK",(IFERROR(SUMIF(Nutzungsprofile!$B$6:$B$11,"Schulbetrieb",Nutzungsprofile!$G$6:$G$11)*Kalender!C346/SUM(Kalender!$C$5:$C$370),0)+IFERROR(SUMIF(Nutzungsprofile!$B$6:$B$11,"Halle",Nutzungsprofile!$G$6:$G$11)*Kalender!D346/SUM(Kalender!$D$5:$D$370),0)+IFERROR(SUMIF(Nutzungsprofile!$B$6:$B$11,"Individuell",Nutzungsprofile!$G$6:$G$11)*Kalender!E346/SUM(Kalender!$E$5:$E$370),0))*Szenarien!$E$21,0)</f>
        <v>0</v>
      </c>
      <c r="D4006" s="13" t="n">
        <f aca="false">IF(Szenarien!$H$21="OK",(IFERROR(SUMIF(Nutzungsprofile!$B$17:$B$22,"Schulbetrieb",Nutzungsprofile!$G$17:$G$22)*Kalender!C346/SUM(Kalender!$C$5:$C$370),0)+IFERROR(SUMIF(Nutzungsprofile!$B$17:$B$22,"Halle",Nutzungsprofile!$G$17:$G$22)*Kalender!D346/SUM(Kalender!$D$5:$D$370),0)+IFERROR(SUMIF(Nutzungsprofile!$B$17:$B$22,"Individuell",Nutzungsprofile!$G$17:$G$22)*Kalender!E346/SUM(Kalender!$E$5:$E$370),0))*Szenarien!$D$21,0)</f>
        <v>0</v>
      </c>
      <c r="E4006" s="13" t="n">
        <f aca="false">IFERROR(MIN(C4006,Eingaben!$B$17)*Eingaben!$B$16,0)</f>
        <v>0</v>
      </c>
      <c r="F4006" s="13" t="n">
        <f aca="false">IFERROR(E4006*Eingaben!$B$15,0)</f>
        <v>0</v>
      </c>
      <c r="G4006" s="13" t="n">
        <f aca="false">IFERROR(IF(Kalender!A346="",0,J4005*(1-Eingaben!$B$20)),0)</f>
        <v>0</v>
      </c>
      <c r="H4006" s="13" t="n">
        <f aca="false">MIN(G4006,D4006)</f>
        <v>0</v>
      </c>
      <c r="I4006" s="13" t="n">
        <f aca="false">IFERROR(MIN(F4006*Eingaben!$B$19,MAX(0,D4006-H4006)),0)</f>
        <v>0</v>
      </c>
      <c r="J4006" s="13" t="n">
        <f aca="false">IFERROR(MIN(Eingaben!$B$18,MAX(0,F4006-I4006)),0)</f>
        <v>0</v>
      </c>
      <c r="K4006" s="13" t="n">
        <f aca="false">H4006+I4006</f>
        <v>0</v>
      </c>
      <c r="L4006" s="13" t="n">
        <f aca="false">MAX(0,D4006-K4006)</f>
        <v>0</v>
      </c>
      <c r="M4006" s="13" t="n">
        <f aca="false">MAX(0,F4006-I4006-J4006)</f>
        <v>0</v>
      </c>
      <c r="N4006" s="13" t="n">
        <f aca="false">IF(Kalender!A346="",0,J4005-H4006)</f>
        <v>0</v>
      </c>
    </row>
    <row r="4007" customFormat="false" ht="16.4" hidden="false" customHeight="false" outlineLevel="0" collapsed="false">
      <c r="A4007" s="13" t="str">
        <f aca="false">""</f>
        <v/>
      </c>
      <c r="B4007" s="13" t="n">
        <f aca="false">343</f>
        <v>343</v>
      </c>
      <c r="C4007" s="13" t="n">
        <f aca="false">IF(Szenarien!$H$21="OK",(IFERROR(SUMIF(Nutzungsprofile!$B$6:$B$11,"Schulbetrieb",Nutzungsprofile!$G$6:$G$11)*Kalender!C347/SUM(Kalender!$C$5:$C$370),0)+IFERROR(SUMIF(Nutzungsprofile!$B$6:$B$11,"Halle",Nutzungsprofile!$G$6:$G$11)*Kalender!D347/SUM(Kalender!$D$5:$D$370),0)+IFERROR(SUMIF(Nutzungsprofile!$B$6:$B$11,"Individuell",Nutzungsprofile!$G$6:$G$11)*Kalender!E347/SUM(Kalender!$E$5:$E$370),0))*Szenarien!$E$21,0)</f>
        <v>0</v>
      </c>
      <c r="D4007" s="13" t="n">
        <f aca="false">IF(Szenarien!$H$21="OK",(IFERROR(SUMIF(Nutzungsprofile!$B$17:$B$22,"Schulbetrieb",Nutzungsprofile!$G$17:$G$22)*Kalender!C347/SUM(Kalender!$C$5:$C$370),0)+IFERROR(SUMIF(Nutzungsprofile!$B$17:$B$22,"Halle",Nutzungsprofile!$G$17:$G$22)*Kalender!D347/SUM(Kalender!$D$5:$D$370),0)+IFERROR(SUMIF(Nutzungsprofile!$B$17:$B$22,"Individuell",Nutzungsprofile!$G$17:$G$22)*Kalender!E347/SUM(Kalender!$E$5:$E$370),0))*Szenarien!$D$21,0)</f>
        <v>0</v>
      </c>
      <c r="E4007" s="13" t="n">
        <f aca="false">IFERROR(MIN(C4007,Eingaben!$B$17)*Eingaben!$B$16,0)</f>
        <v>0</v>
      </c>
      <c r="F4007" s="13" t="n">
        <f aca="false">IFERROR(E4007*Eingaben!$B$15,0)</f>
        <v>0</v>
      </c>
      <c r="G4007" s="13" t="n">
        <f aca="false">IFERROR(IF(Kalender!A347="",0,J4006*(1-Eingaben!$B$20)),0)</f>
        <v>0</v>
      </c>
      <c r="H4007" s="13" t="n">
        <f aca="false">MIN(G4007,D4007)</f>
        <v>0</v>
      </c>
      <c r="I4007" s="13" t="n">
        <f aca="false">IFERROR(MIN(F4007*Eingaben!$B$19,MAX(0,D4007-H4007)),0)</f>
        <v>0</v>
      </c>
      <c r="J4007" s="13" t="n">
        <f aca="false">IFERROR(MIN(Eingaben!$B$18,MAX(0,F4007-I4007)),0)</f>
        <v>0</v>
      </c>
      <c r="K4007" s="13" t="n">
        <f aca="false">H4007+I4007</f>
        <v>0</v>
      </c>
      <c r="L4007" s="13" t="n">
        <f aca="false">MAX(0,D4007-K4007)</f>
        <v>0</v>
      </c>
      <c r="M4007" s="13" t="n">
        <f aca="false">MAX(0,F4007-I4007-J4007)</f>
        <v>0</v>
      </c>
      <c r="N4007" s="13" t="n">
        <f aca="false">IF(Kalender!A347="",0,J4006-H4007)</f>
        <v>0</v>
      </c>
    </row>
    <row r="4008" customFormat="false" ht="16.4" hidden="false" customHeight="false" outlineLevel="0" collapsed="false">
      <c r="A4008" s="13" t="str">
        <f aca="false">""</f>
        <v/>
      </c>
      <c r="B4008" s="13" t="n">
        <f aca="false">344</f>
        <v>344</v>
      </c>
      <c r="C4008" s="13" t="n">
        <f aca="false">IF(Szenarien!$H$21="OK",(IFERROR(SUMIF(Nutzungsprofile!$B$6:$B$11,"Schulbetrieb",Nutzungsprofile!$G$6:$G$11)*Kalender!C348/SUM(Kalender!$C$5:$C$370),0)+IFERROR(SUMIF(Nutzungsprofile!$B$6:$B$11,"Halle",Nutzungsprofile!$G$6:$G$11)*Kalender!D348/SUM(Kalender!$D$5:$D$370),0)+IFERROR(SUMIF(Nutzungsprofile!$B$6:$B$11,"Individuell",Nutzungsprofile!$G$6:$G$11)*Kalender!E348/SUM(Kalender!$E$5:$E$370),0))*Szenarien!$E$21,0)</f>
        <v>0</v>
      </c>
      <c r="D4008" s="13" t="n">
        <f aca="false">IF(Szenarien!$H$21="OK",(IFERROR(SUMIF(Nutzungsprofile!$B$17:$B$22,"Schulbetrieb",Nutzungsprofile!$G$17:$G$22)*Kalender!C348/SUM(Kalender!$C$5:$C$370),0)+IFERROR(SUMIF(Nutzungsprofile!$B$17:$B$22,"Halle",Nutzungsprofile!$G$17:$G$22)*Kalender!D348/SUM(Kalender!$D$5:$D$370),0)+IFERROR(SUMIF(Nutzungsprofile!$B$17:$B$22,"Individuell",Nutzungsprofile!$G$17:$G$22)*Kalender!E348/SUM(Kalender!$E$5:$E$370),0))*Szenarien!$D$21,0)</f>
        <v>0</v>
      </c>
      <c r="E4008" s="13" t="n">
        <f aca="false">IFERROR(MIN(C4008,Eingaben!$B$17)*Eingaben!$B$16,0)</f>
        <v>0</v>
      </c>
      <c r="F4008" s="13" t="n">
        <f aca="false">IFERROR(E4008*Eingaben!$B$15,0)</f>
        <v>0</v>
      </c>
      <c r="G4008" s="13" t="n">
        <f aca="false">IFERROR(IF(Kalender!A348="",0,J4007*(1-Eingaben!$B$20)),0)</f>
        <v>0</v>
      </c>
      <c r="H4008" s="13" t="n">
        <f aca="false">MIN(G4008,D4008)</f>
        <v>0</v>
      </c>
      <c r="I4008" s="13" t="n">
        <f aca="false">IFERROR(MIN(F4008*Eingaben!$B$19,MAX(0,D4008-H4008)),0)</f>
        <v>0</v>
      </c>
      <c r="J4008" s="13" t="n">
        <f aca="false">IFERROR(MIN(Eingaben!$B$18,MAX(0,F4008-I4008)),0)</f>
        <v>0</v>
      </c>
      <c r="K4008" s="13" t="n">
        <f aca="false">H4008+I4008</f>
        <v>0</v>
      </c>
      <c r="L4008" s="13" t="n">
        <f aca="false">MAX(0,D4008-K4008)</f>
        <v>0</v>
      </c>
      <c r="M4008" s="13" t="n">
        <f aca="false">MAX(0,F4008-I4008-J4008)</f>
        <v>0</v>
      </c>
      <c r="N4008" s="13" t="n">
        <f aca="false">IF(Kalender!A348="",0,J4007-H4008)</f>
        <v>0</v>
      </c>
    </row>
    <row r="4009" customFormat="false" ht="16.4" hidden="false" customHeight="false" outlineLevel="0" collapsed="false">
      <c r="A4009" s="13" t="str">
        <f aca="false">""</f>
        <v/>
      </c>
      <c r="B4009" s="13" t="n">
        <f aca="false">345</f>
        <v>345</v>
      </c>
      <c r="C4009" s="13" t="n">
        <f aca="false">IF(Szenarien!$H$21="OK",(IFERROR(SUMIF(Nutzungsprofile!$B$6:$B$11,"Schulbetrieb",Nutzungsprofile!$G$6:$G$11)*Kalender!C349/SUM(Kalender!$C$5:$C$370),0)+IFERROR(SUMIF(Nutzungsprofile!$B$6:$B$11,"Halle",Nutzungsprofile!$G$6:$G$11)*Kalender!D349/SUM(Kalender!$D$5:$D$370),0)+IFERROR(SUMIF(Nutzungsprofile!$B$6:$B$11,"Individuell",Nutzungsprofile!$G$6:$G$11)*Kalender!E349/SUM(Kalender!$E$5:$E$370),0))*Szenarien!$E$21,0)</f>
        <v>0</v>
      </c>
      <c r="D4009" s="13" t="n">
        <f aca="false">IF(Szenarien!$H$21="OK",(IFERROR(SUMIF(Nutzungsprofile!$B$17:$B$22,"Schulbetrieb",Nutzungsprofile!$G$17:$G$22)*Kalender!C349/SUM(Kalender!$C$5:$C$370),0)+IFERROR(SUMIF(Nutzungsprofile!$B$17:$B$22,"Halle",Nutzungsprofile!$G$17:$G$22)*Kalender!D349/SUM(Kalender!$D$5:$D$370),0)+IFERROR(SUMIF(Nutzungsprofile!$B$17:$B$22,"Individuell",Nutzungsprofile!$G$17:$G$22)*Kalender!E349/SUM(Kalender!$E$5:$E$370),0))*Szenarien!$D$21,0)</f>
        <v>0</v>
      </c>
      <c r="E4009" s="13" t="n">
        <f aca="false">IFERROR(MIN(C4009,Eingaben!$B$17)*Eingaben!$B$16,0)</f>
        <v>0</v>
      </c>
      <c r="F4009" s="13" t="n">
        <f aca="false">IFERROR(E4009*Eingaben!$B$15,0)</f>
        <v>0</v>
      </c>
      <c r="G4009" s="13" t="n">
        <f aca="false">IFERROR(IF(Kalender!A349="",0,J4008*(1-Eingaben!$B$20)),0)</f>
        <v>0</v>
      </c>
      <c r="H4009" s="13" t="n">
        <f aca="false">MIN(G4009,D4009)</f>
        <v>0</v>
      </c>
      <c r="I4009" s="13" t="n">
        <f aca="false">IFERROR(MIN(F4009*Eingaben!$B$19,MAX(0,D4009-H4009)),0)</f>
        <v>0</v>
      </c>
      <c r="J4009" s="13" t="n">
        <f aca="false">IFERROR(MIN(Eingaben!$B$18,MAX(0,F4009-I4009)),0)</f>
        <v>0</v>
      </c>
      <c r="K4009" s="13" t="n">
        <f aca="false">H4009+I4009</f>
        <v>0</v>
      </c>
      <c r="L4009" s="13" t="n">
        <f aca="false">MAX(0,D4009-K4009)</f>
        <v>0</v>
      </c>
      <c r="M4009" s="13" t="n">
        <f aca="false">MAX(0,F4009-I4009-J4009)</f>
        <v>0</v>
      </c>
      <c r="N4009" s="13" t="n">
        <f aca="false">IF(Kalender!A349="",0,J4008-H4009)</f>
        <v>0</v>
      </c>
    </row>
    <row r="4010" customFormat="false" ht="16.4" hidden="false" customHeight="false" outlineLevel="0" collapsed="false">
      <c r="A4010" s="13" t="str">
        <f aca="false">""</f>
        <v/>
      </c>
      <c r="B4010" s="13" t="n">
        <f aca="false">346</f>
        <v>346</v>
      </c>
      <c r="C4010" s="13" t="n">
        <f aca="false">IF(Szenarien!$H$21="OK",(IFERROR(SUMIF(Nutzungsprofile!$B$6:$B$11,"Schulbetrieb",Nutzungsprofile!$G$6:$G$11)*Kalender!C350/SUM(Kalender!$C$5:$C$370),0)+IFERROR(SUMIF(Nutzungsprofile!$B$6:$B$11,"Halle",Nutzungsprofile!$G$6:$G$11)*Kalender!D350/SUM(Kalender!$D$5:$D$370),0)+IFERROR(SUMIF(Nutzungsprofile!$B$6:$B$11,"Individuell",Nutzungsprofile!$G$6:$G$11)*Kalender!E350/SUM(Kalender!$E$5:$E$370),0))*Szenarien!$E$21,0)</f>
        <v>0</v>
      </c>
      <c r="D4010" s="13" t="n">
        <f aca="false">IF(Szenarien!$H$21="OK",(IFERROR(SUMIF(Nutzungsprofile!$B$17:$B$22,"Schulbetrieb",Nutzungsprofile!$G$17:$G$22)*Kalender!C350/SUM(Kalender!$C$5:$C$370),0)+IFERROR(SUMIF(Nutzungsprofile!$B$17:$B$22,"Halle",Nutzungsprofile!$G$17:$G$22)*Kalender!D350/SUM(Kalender!$D$5:$D$370),0)+IFERROR(SUMIF(Nutzungsprofile!$B$17:$B$22,"Individuell",Nutzungsprofile!$G$17:$G$22)*Kalender!E350/SUM(Kalender!$E$5:$E$370),0))*Szenarien!$D$21,0)</f>
        <v>0</v>
      </c>
      <c r="E4010" s="13" t="n">
        <f aca="false">IFERROR(MIN(C4010,Eingaben!$B$17)*Eingaben!$B$16,0)</f>
        <v>0</v>
      </c>
      <c r="F4010" s="13" t="n">
        <f aca="false">IFERROR(E4010*Eingaben!$B$15,0)</f>
        <v>0</v>
      </c>
      <c r="G4010" s="13" t="n">
        <f aca="false">IFERROR(IF(Kalender!A350="",0,J4009*(1-Eingaben!$B$20)),0)</f>
        <v>0</v>
      </c>
      <c r="H4010" s="13" t="n">
        <f aca="false">MIN(G4010,D4010)</f>
        <v>0</v>
      </c>
      <c r="I4010" s="13" t="n">
        <f aca="false">IFERROR(MIN(F4010*Eingaben!$B$19,MAX(0,D4010-H4010)),0)</f>
        <v>0</v>
      </c>
      <c r="J4010" s="13" t="n">
        <f aca="false">IFERROR(MIN(Eingaben!$B$18,MAX(0,F4010-I4010)),0)</f>
        <v>0</v>
      </c>
      <c r="K4010" s="13" t="n">
        <f aca="false">H4010+I4010</f>
        <v>0</v>
      </c>
      <c r="L4010" s="13" t="n">
        <f aca="false">MAX(0,D4010-K4010)</f>
        <v>0</v>
      </c>
      <c r="M4010" s="13" t="n">
        <f aca="false">MAX(0,F4010-I4010-J4010)</f>
        <v>0</v>
      </c>
      <c r="N4010" s="13" t="n">
        <f aca="false">IF(Kalender!A350="",0,J4009-H4010)</f>
        <v>0</v>
      </c>
    </row>
    <row r="4011" customFormat="false" ht="16.4" hidden="false" customHeight="false" outlineLevel="0" collapsed="false">
      <c r="A4011" s="13" t="str">
        <f aca="false">""</f>
        <v/>
      </c>
      <c r="B4011" s="13" t="n">
        <f aca="false">347</f>
        <v>347</v>
      </c>
      <c r="C4011" s="13" t="n">
        <f aca="false">IF(Szenarien!$H$21="OK",(IFERROR(SUMIF(Nutzungsprofile!$B$6:$B$11,"Schulbetrieb",Nutzungsprofile!$G$6:$G$11)*Kalender!C351/SUM(Kalender!$C$5:$C$370),0)+IFERROR(SUMIF(Nutzungsprofile!$B$6:$B$11,"Halle",Nutzungsprofile!$G$6:$G$11)*Kalender!D351/SUM(Kalender!$D$5:$D$370),0)+IFERROR(SUMIF(Nutzungsprofile!$B$6:$B$11,"Individuell",Nutzungsprofile!$G$6:$G$11)*Kalender!E351/SUM(Kalender!$E$5:$E$370),0))*Szenarien!$E$21,0)</f>
        <v>0</v>
      </c>
      <c r="D4011" s="13" t="n">
        <f aca="false">IF(Szenarien!$H$21="OK",(IFERROR(SUMIF(Nutzungsprofile!$B$17:$B$22,"Schulbetrieb",Nutzungsprofile!$G$17:$G$22)*Kalender!C351/SUM(Kalender!$C$5:$C$370),0)+IFERROR(SUMIF(Nutzungsprofile!$B$17:$B$22,"Halle",Nutzungsprofile!$G$17:$G$22)*Kalender!D351/SUM(Kalender!$D$5:$D$370),0)+IFERROR(SUMIF(Nutzungsprofile!$B$17:$B$22,"Individuell",Nutzungsprofile!$G$17:$G$22)*Kalender!E351/SUM(Kalender!$E$5:$E$370),0))*Szenarien!$D$21,0)</f>
        <v>0</v>
      </c>
      <c r="E4011" s="13" t="n">
        <f aca="false">IFERROR(MIN(C4011,Eingaben!$B$17)*Eingaben!$B$16,0)</f>
        <v>0</v>
      </c>
      <c r="F4011" s="13" t="n">
        <f aca="false">IFERROR(E4011*Eingaben!$B$15,0)</f>
        <v>0</v>
      </c>
      <c r="G4011" s="13" t="n">
        <f aca="false">IFERROR(IF(Kalender!A351="",0,J4010*(1-Eingaben!$B$20)),0)</f>
        <v>0</v>
      </c>
      <c r="H4011" s="13" t="n">
        <f aca="false">MIN(G4011,D4011)</f>
        <v>0</v>
      </c>
      <c r="I4011" s="13" t="n">
        <f aca="false">IFERROR(MIN(F4011*Eingaben!$B$19,MAX(0,D4011-H4011)),0)</f>
        <v>0</v>
      </c>
      <c r="J4011" s="13" t="n">
        <f aca="false">IFERROR(MIN(Eingaben!$B$18,MAX(0,F4011-I4011)),0)</f>
        <v>0</v>
      </c>
      <c r="K4011" s="13" t="n">
        <f aca="false">H4011+I4011</f>
        <v>0</v>
      </c>
      <c r="L4011" s="13" t="n">
        <f aca="false">MAX(0,D4011-K4011)</f>
        <v>0</v>
      </c>
      <c r="M4011" s="13" t="n">
        <f aca="false">MAX(0,F4011-I4011-J4011)</f>
        <v>0</v>
      </c>
      <c r="N4011" s="13" t="n">
        <f aca="false">IF(Kalender!A351="",0,J4010-H4011)</f>
        <v>0</v>
      </c>
    </row>
    <row r="4012" customFormat="false" ht="16.4" hidden="false" customHeight="false" outlineLevel="0" collapsed="false">
      <c r="A4012" s="13" t="str">
        <f aca="false">""</f>
        <v/>
      </c>
      <c r="B4012" s="13" t="n">
        <f aca="false">348</f>
        <v>348</v>
      </c>
      <c r="C4012" s="13" t="n">
        <f aca="false">IF(Szenarien!$H$21="OK",(IFERROR(SUMIF(Nutzungsprofile!$B$6:$B$11,"Schulbetrieb",Nutzungsprofile!$G$6:$G$11)*Kalender!C352/SUM(Kalender!$C$5:$C$370),0)+IFERROR(SUMIF(Nutzungsprofile!$B$6:$B$11,"Halle",Nutzungsprofile!$G$6:$G$11)*Kalender!D352/SUM(Kalender!$D$5:$D$370),0)+IFERROR(SUMIF(Nutzungsprofile!$B$6:$B$11,"Individuell",Nutzungsprofile!$G$6:$G$11)*Kalender!E352/SUM(Kalender!$E$5:$E$370),0))*Szenarien!$E$21,0)</f>
        <v>0</v>
      </c>
      <c r="D4012" s="13" t="n">
        <f aca="false">IF(Szenarien!$H$21="OK",(IFERROR(SUMIF(Nutzungsprofile!$B$17:$B$22,"Schulbetrieb",Nutzungsprofile!$G$17:$G$22)*Kalender!C352/SUM(Kalender!$C$5:$C$370),0)+IFERROR(SUMIF(Nutzungsprofile!$B$17:$B$22,"Halle",Nutzungsprofile!$G$17:$G$22)*Kalender!D352/SUM(Kalender!$D$5:$D$370),0)+IFERROR(SUMIF(Nutzungsprofile!$B$17:$B$22,"Individuell",Nutzungsprofile!$G$17:$G$22)*Kalender!E352/SUM(Kalender!$E$5:$E$370),0))*Szenarien!$D$21,0)</f>
        <v>0</v>
      </c>
      <c r="E4012" s="13" t="n">
        <f aca="false">IFERROR(MIN(C4012,Eingaben!$B$17)*Eingaben!$B$16,0)</f>
        <v>0</v>
      </c>
      <c r="F4012" s="13" t="n">
        <f aca="false">IFERROR(E4012*Eingaben!$B$15,0)</f>
        <v>0</v>
      </c>
      <c r="G4012" s="13" t="n">
        <f aca="false">IFERROR(IF(Kalender!A352="",0,J4011*(1-Eingaben!$B$20)),0)</f>
        <v>0</v>
      </c>
      <c r="H4012" s="13" t="n">
        <f aca="false">MIN(G4012,D4012)</f>
        <v>0</v>
      </c>
      <c r="I4012" s="13" t="n">
        <f aca="false">IFERROR(MIN(F4012*Eingaben!$B$19,MAX(0,D4012-H4012)),0)</f>
        <v>0</v>
      </c>
      <c r="J4012" s="13" t="n">
        <f aca="false">IFERROR(MIN(Eingaben!$B$18,MAX(0,F4012-I4012)),0)</f>
        <v>0</v>
      </c>
      <c r="K4012" s="13" t="n">
        <f aca="false">H4012+I4012</f>
        <v>0</v>
      </c>
      <c r="L4012" s="13" t="n">
        <f aca="false">MAX(0,D4012-K4012)</f>
        <v>0</v>
      </c>
      <c r="M4012" s="13" t="n">
        <f aca="false">MAX(0,F4012-I4012-J4012)</f>
        <v>0</v>
      </c>
      <c r="N4012" s="13" t="n">
        <f aca="false">IF(Kalender!A352="",0,J4011-H4012)</f>
        <v>0</v>
      </c>
    </row>
    <row r="4013" customFormat="false" ht="16.4" hidden="false" customHeight="false" outlineLevel="0" collapsed="false">
      <c r="A4013" s="13" t="str">
        <f aca="false">""</f>
        <v/>
      </c>
      <c r="B4013" s="13" t="n">
        <f aca="false">349</f>
        <v>349</v>
      </c>
      <c r="C4013" s="13" t="n">
        <f aca="false">IF(Szenarien!$H$21="OK",(IFERROR(SUMIF(Nutzungsprofile!$B$6:$B$11,"Schulbetrieb",Nutzungsprofile!$G$6:$G$11)*Kalender!C353/SUM(Kalender!$C$5:$C$370),0)+IFERROR(SUMIF(Nutzungsprofile!$B$6:$B$11,"Halle",Nutzungsprofile!$G$6:$G$11)*Kalender!D353/SUM(Kalender!$D$5:$D$370),0)+IFERROR(SUMIF(Nutzungsprofile!$B$6:$B$11,"Individuell",Nutzungsprofile!$G$6:$G$11)*Kalender!E353/SUM(Kalender!$E$5:$E$370),0))*Szenarien!$E$21,0)</f>
        <v>0</v>
      </c>
      <c r="D4013" s="13" t="n">
        <f aca="false">IF(Szenarien!$H$21="OK",(IFERROR(SUMIF(Nutzungsprofile!$B$17:$B$22,"Schulbetrieb",Nutzungsprofile!$G$17:$G$22)*Kalender!C353/SUM(Kalender!$C$5:$C$370),0)+IFERROR(SUMIF(Nutzungsprofile!$B$17:$B$22,"Halle",Nutzungsprofile!$G$17:$G$22)*Kalender!D353/SUM(Kalender!$D$5:$D$370),0)+IFERROR(SUMIF(Nutzungsprofile!$B$17:$B$22,"Individuell",Nutzungsprofile!$G$17:$G$22)*Kalender!E353/SUM(Kalender!$E$5:$E$370),0))*Szenarien!$D$21,0)</f>
        <v>0</v>
      </c>
      <c r="E4013" s="13" t="n">
        <f aca="false">IFERROR(MIN(C4013,Eingaben!$B$17)*Eingaben!$B$16,0)</f>
        <v>0</v>
      </c>
      <c r="F4013" s="13" t="n">
        <f aca="false">IFERROR(E4013*Eingaben!$B$15,0)</f>
        <v>0</v>
      </c>
      <c r="G4013" s="13" t="n">
        <f aca="false">IFERROR(IF(Kalender!A353="",0,J4012*(1-Eingaben!$B$20)),0)</f>
        <v>0</v>
      </c>
      <c r="H4013" s="13" t="n">
        <f aca="false">MIN(G4013,D4013)</f>
        <v>0</v>
      </c>
      <c r="I4013" s="13" t="n">
        <f aca="false">IFERROR(MIN(F4013*Eingaben!$B$19,MAX(0,D4013-H4013)),0)</f>
        <v>0</v>
      </c>
      <c r="J4013" s="13" t="n">
        <f aca="false">IFERROR(MIN(Eingaben!$B$18,MAX(0,F4013-I4013)),0)</f>
        <v>0</v>
      </c>
      <c r="K4013" s="13" t="n">
        <f aca="false">H4013+I4013</f>
        <v>0</v>
      </c>
      <c r="L4013" s="13" t="n">
        <f aca="false">MAX(0,D4013-K4013)</f>
        <v>0</v>
      </c>
      <c r="M4013" s="13" t="n">
        <f aca="false">MAX(0,F4013-I4013-J4013)</f>
        <v>0</v>
      </c>
      <c r="N4013" s="13" t="n">
        <f aca="false">IF(Kalender!A353="",0,J4012-H4013)</f>
        <v>0</v>
      </c>
    </row>
    <row r="4014" customFormat="false" ht="16.4" hidden="false" customHeight="false" outlineLevel="0" collapsed="false">
      <c r="A4014" s="13" t="str">
        <f aca="false">""</f>
        <v/>
      </c>
      <c r="B4014" s="13" t="n">
        <f aca="false">350</f>
        <v>350</v>
      </c>
      <c r="C4014" s="13" t="n">
        <f aca="false">IF(Szenarien!$H$21="OK",(IFERROR(SUMIF(Nutzungsprofile!$B$6:$B$11,"Schulbetrieb",Nutzungsprofile!$G$6:$G$11)*Kalender!C354/SUM(Kalender!$C$5:$C$370),0)+IFERROR(SUMIF(Nutzungsprofile!$B$6:$B$11,"Halle",Nutzungsprofile!$G$6:$G$11)*Kalender!D354/SUM(Kalender!$D$5:$D$370),0)+IFERROR(SUMIF(Nutzungsprofile!$B$6:$B$11,"Individuell",Nutzungsprofile!$G$6:$G$11)*Kalender!E354/SUM(Kalender!$E$5:$E$370),0))*Szenarien!$E$21,0)</f>
        <v>0</v>
      </c>
      <c r="D4014" s="13" t="n">
        <f aca="false">IF(Szenarien!$H$21="OK",(IFERROR(SUMIF(Nutzungsprofile!$B$17:$B$22,"Schulbetrieb",Nutzungsprofile!$G$17:$G$22)*Kalender!C354/SUM(Kalender!$C$5:$C$370),0)+IFERROR(SUMIF(Nutzungsprofile!$B$17:$B$22,"Halle",Nutzungsprofile!$G$17:$G$22)*Kalender!D354/SUM(Kalender!$D$5:$D$370),0)+IFERROR(SUMIF(Nutzungsprofile!$B$17:$B$22,"Individuell",Nutzungsprofile!$G$17:$G$22)*Kalender!E354/SUM(Kalender!$E$5:$E$370),0))*Szenarien!$D$21,0)</f>
        <v>0</v>
      </c>
      <c r="E4014" s="13" t="n">
        <f aca="false">IFERROR(MIN(C4014,Eingaben!$B$17)*Eingaben!$B$16,0)</f>
        <v>0</v>
      </c>
      <c r="F4014" s="13" t="n">
        <f aca="false">IFERROR(E4014*Eingaben!$B$15,0)</f>
        <v>0</v>
      </c>
      <c r="G4014" s="13" t="n">
        <f aca="false">IFERROR(IF(Kalender!A354="",0,J4013*(1-Eingaben!$B$20)),0)</f>
        <v>0</v>
      </c>
      <c r="H4014" s="13" t="n">
        <f aca="false">MIN(G4014,D4014)</f>
        <v>0</v>
      </c>
      <c r="I4014" s="13" t="n">
        <f aca="false">IFERROR(MIN(F4014*Eingaben!$B$19,MAX(0,D4014-H4014)),0)</f>
        <v>0</v>
      </c>
      <c r="J4014" s="13" t="n">
        <f aca="false">IFERROR(MIN(Eingaben!$B$18,MAX(0,F4014-I4014)),0)</f>
        <v>0</v>
      </c>
      <c r="K4014" s="13" t="n">
        <f aca="false">H4014+I4014</f>
        <v>0</v>
      </c>
      <c r="L4014" s="13" t="n">
        <f aca="false">MAX(0,D4014-K4014)</f>
        <v>0</v>
      </c>
      <c r="M4014" s="13" t="n">
        <f aca="false">MAX(0,F4014-I4014-J4014)</f>
        <v>0</v>
      </c>
      <c r="N4014" s="13" t="n">
        <f aca="false">IF(Kalender!A354="",0,J4013-H4014)</f>
        <v>0</v>
      </c>
    </row>
    <row r="4015" customFormat="false" ht="16.4" hidden="false" customHeight="false" outlineLevel="0" collapsed="false">
      <c r="A4015" s="13" t="str">
        <f aca="false">""</f>
        <v/>
      </c>
      <c r="B4015" s="13" t="n">
        <f aca="false">351</f>
        <v>351</v>
      </c>
      <c r="C4015" s="13" t="n">
        <f aca="false">IF(Szenarien!$H$21="OK",(IFERROR(SUMIF(Nutzungsprofile!$B$6:$B$11,"Schulbetrieb",Nutzungsprofile!$G$6:$G$11)*Kalender!C355/SUM(Kalender!$C$5:$C$370),0)+IFERROR(SUMIF(Nutzungsprofile!$B$6:$B$11,"Halle",Nutzungsprofile!$G$6:$G$11)*Kalender!D355/SUM(Kalender!$D$5:$D$370),0)+IFERROR(SUMIF(Nutzungsprofile!$B$6:$B$11,"Individuell",Nutzungsprofile!$G$6:$G$11)*Kalender!E355/SUM(Kalender!$E$5:$E$370),0))*Szenarien!$E$21,0)</f>
        <v>0</v>
      </c>
      <c r="D4015" s="13" t="n">
        <f aca="false">IF(Szenarien!$H$21="OK",(IFERROR(SUMIF(Nutzungsprofile!$B$17:$B$22,"Schulbetrieb",Nutzungsprofile!$G$17:$G$22)*Kalender!C355/SUM(Kalender!$C$5:$C$370),0)+IFERROR(SUMIF(Nutzungsprofile!$B$17:$B$22,"Halle",Nutzungsprofile!$G$17:$G$22)*Kalender!D355/SUM(Kalender!$D$5:$D$370),0)+IFERROR(SUMIF(Nutzungsprofile!$B$17:$B$22,"Individuell",Nutzungsprofile!$G$17:$G$22)*Kalender!E355/SUM(Kalender!$E$5:$E$370),0))*Szenarien!$D$21,0)</f>
        <v>0</v>
      </c>
      <c r="E4015" s="13" t="n">
        <f aca="false">IFERROR(MIN(C4015,Eingaben!$B$17)*Eingaben!$B$16,0)</f>
        <v>0</v>
      </c>
      <c r="F4015" s="13" t="n">
        <f aca="false">IFERROR(E4015*Eingaben!$B$15,0)</f>
        <v>0</v>
      </c>
      <c r="G4015" s="13" t="n">
        <f aca="false">IFERROR(IF(Kalender!A355="",0,J4014*(1-Eingaben!$B$20)),0)</f>
        <v>0</v>
      </c>
      <c r="H4015" s="13" t="n">
        <f aca="false">MIN(G4015,D4015)</f>
        <v>0</v>
      </c>
      <c r="I4015" s="13" t="n">
        <f aca="false">IFERROR(MIN(F4015*Eingaben!$B$19,MAX(0,D4015-H4015)),0)</f>
        <v>0</v>
      </c>
      <c r="J4015" s="13" t="n">
        <f aca="false">IFERROR(MIN(Eingaben!$B$18,MAX(0,F4015-I4015)),0)</f>
        <v>0</v>
      </c>
      <c r="K4015" s="13" t="n">
        <f aca="false">H4015+I4015</f>
        <v>0</v>
      </c>
      <c r="L4015" s="13" t="n">
        <f aca="false">MAX(0,D4015-K4015)</f>
        <v>0</v>
      </c>
      <c r="M4015" s="13" t="n">
        <f aca="false">MAX(0,F4015-I4015-J4015)</f>
        <v>0</v>
      </c>
      <c r="N4015" s="13" t="n">
        <f aca="false">IF(Kalender!A355="",0,J4014-H4015)</f>
        <v>0</v>
      </c>
    </row>
    <row r="4016" customFormat="false" ht="16.4" hidden="false" customHeight="false" outlineLevel="0" collapsed="false">
      <c r="A4016" s="13" t="str">
        <f aca="false">""</f>
        <v/>
      </c>
      <c r="B4016" s="13" t="n">
        <f aca="false">352</f>
        <v>352</v>
      </c>
      <c r="C4016" s="13" t="n">
        <f aca="false">IF(Szenarien!$H$21="OK",(IFERROR(SUMIF(Nutzungsprofile!$B$6:$B$11,"Schulbetrieb",Nutzungsprofile!$G$6:$G$11)*Kalender!C356/SUM(Kalender!$C$5:$C$370),0)+IFERROR(SUMIF(Nutzungsprofile!$B$6:$B$11,"Halle",Nutzungsprofile!$G$6:$G$11)*Kalender!D356/SUM(Kalender!$D$5:$D$370),0)+IFERROR(SUMIF(Nutzungsprofile!$B$6:$B$11,"Individuell",Nutzungsprofile!$G$6:$G$11)*Kalender!E356/SUM(Kalender!$E$5:$E$370),0))*Szenarien!$E$21,0)</f>
        <v>0</v>
      </c>
      <c r="D4016" s="13" t="n">
        <f aca="false">IF(Szenarien!$H$21="OK",(IFERROR(SUMIF(Nutzungsprofile!$B$17:$B$22,"Schulbetrieb",Nutzungsprofile!$G$17:$G$22)*Kalender!C356/SUM(Kalender!$C$5:$C$370),0)+IFERROR(SUMIF(Nutzungsprofile!$B$17:$B$22,"Halle",Nutzungsprofile!$G$17:$G$22)*Kalender!D356/SUM(Kalender!$D$5:$D$370),0)+IFERROR(SUMIF(Nutzungsprofile!$B$17:$B$22,"Individuell",Nutzungsprofile!$G$17:$G$22)*Kalender!E356/SUM(Kalender!$E$5:$E$370),0))*Szenarien!$D$21,0)</f>
        <v>0</v>
      </c>
      <c r="E4016" s="13" t="n">
        <f aca="false">IFERROR(MIN(C4016,Eingaben!$B$17)*Eingaben!$B$16,0)</f>
        <v>0</v>
      </c>
      <c r="F4016" s="13" t="n">
        <f aca="false">IFERROR(E4016*Eingaben!$B$15,0)</f>
        <v>0</v>
      </c>
      <c r="G4016" s="13" t="n">
        <f aca="false">IFERROR(IF(Kalender!A356="",0,J4015*(1-Eingaben!$B$20)),0)</f>
        <v>0</v>
      </c>
      <c r="H4016" s="13" t="n">
        <f aca="false">MIN(G4016,D4016)</f>
        <v>0</v>
      </c>
      <c r="I4016" s="13" t="n">
        <f aca="false">IFERROR(MIN(F4016*Eingaben!$B$19,MAX(0,D4016-H4016)),0)</f>
        <v>0</v>
      </c>
      <c r="J4016" s="13" t="n">
        <f aca="false">IFERROR(MIN(Eingaben!$B$18,MAX(0,F4016-I4016)),0)</f>
        <v>0</v>
      </c>
      <c r="K4016" s="13" t="n">
        <f aca="false">H4016+I4016</f>
        <v>0</v>
      </c>
      <c r="L4016" s="13" t="n">
        <f aca="false">MAX(0,D4016-K4016)</f>
        <v>0</v>
      </c>
      <c r="M4016" s="13" t="n">
        <f aca="false">MAX(0,F4016-I4016-J4016)</f>
        <v>0</v>
      </c>
      <c r="N4016" s="13" t="n">
        <f aca="false">IF(Kalender!A356="",0,J4015-H4016)</f>
        <v>0</v>
      </c>
    </row>
    <row r="4017" customFormat="false" ht="16.4" hidden="false" customHeight="false" outlineLevel="0" collapsed="false">
      <c r="A4017" s="13" t="str">
        <f aca="false">""</f>
        <v/>
      </c>
      <c r="B4017" s="13" t="n">
        <f aca="false">353</f>
        <v>353</v>
      </c>
      <c r="C4017" s="13" t="n">
        <f aca="false">IF(Szenarien!$H$21="OK",(IFERROR(SUMIF(Nutzungsprofile!$B$6:$B$11,"Schulbetrieb",Nutzungsprofile!$G$6:$G$11)*Kalender!C357/SUM(Kalender!$C$5:$C$370),0)+IFERROR(SUMIF(Nutzungsprofile!$B$6:$B$11,"Halle",Nutzungsprofile!$G$6:$G$11)*Kalender!D357/SUM(Kalender!$D$5:$D$370),0)+IFERROR(SUMIF(Nutzungsprofile!$B$6:$B$11,"Individuell",Nutzungsprofile!$G$6:$G$11)*Kalender!E357/SUM(Kalender!$E$5:$E$370),0))*Szenarien!$E$21,0)</f>
        <v>0</v>
      </c>
      <c r="D4017" s="13" t="n">
        <f aca="false">IF(Szenarien!$H$21="OK",(IFERROR(SUMIF(Nutzungsprofile!$B$17:$B$22,"Schulbetrieb",Nutzungsprofile!$G$17:$G$22)*Kalender!C357/SUM(Kalender!$C$5:$C$370),0)+IFERROR(SUMIF(Nutzungsprofile!$B$17:$B$22,"Halle",Nutzungsprofile!$G$17:$G$22)*Kalender!D357/SUM(Kalender!$D$5:$D$370),0)+IFERROR(SUMIF(Nutzungsprofile!$B$17:$B$22,"Individuell",Nutzungsprofile!$G$17:$G$22)*Kalender!E357/SUM(Kalender!$E$5:$E$370),0))*Szenarien!$D$21,0)</f>
        <v>0</v>
      </c>
      <c r="E4017" s="13" t="n">
        <f aca="false">IFERROR(MIN(C4017,Eingaben!$B$17)*Eingaben!$B$16,0)</f>
        <v>0</v>
      </c>
      <c r="F4017" s="13" t="n">
        <f aca="false">IFERROR(E4017*Eingaben!$B$15,0)</f>
        <v>0</v>
      </c>
      <c r="G4017" s="13" t="n">
        <f aca="false">IFERROR(IF(Kalender!A357="",0,J4016*(1-Eingaben!$B$20)),0)</f>
        <v>0</v>
      </c>
      <c r="H4017" s="13" t="n">
        <f aca="false">MIN(G4017,D4017)</f>
        <v>0</v>
      </c>
      <c r="I4017" s="13" t="n">
        <f aca="false">IFERROR(MIN(F4017*Eingaben!$B$19,MAX(0,D4017-H4017)),0)</f>
        <v>0</v>
      </c>
      <c r="J4017" s="13" t="n">
        <f aca="false">IFERROR(MIN(Eingaben!$B$18,MAX(0,F4017-I4017)),0)</f>
        <v>0</v>
      </c>
      <c r="K4017" s="13" t="n">
        <f aca="false">H4017+I4017</f>
        <v>0</v>
      </c>
      <c r="L4017" s="13" t="n">
        <f aca="false">MAX(0,D4017-K4017)</f>
        <v>0</v>
      </c>
      <c r="M4017" s="13" t="n">
        <f aca="false">MAX(0,F4017-I4017-J4017)</f>
        <v>0</v>
      </c>
      <c r="N4017" s="13" t="n">
        <f aca="false">IF(Kalender!A357="",0,J4016-H4017)</f>
        <v>0</v>
      </c>
    </row>
    <row r="4018" customFormat="false" ht="16.4" hidden="false" customHeight="false" outlineLevel="0" collapsed="false">
      <c r="A4018" s="13" t="str">
        <f aca="false">""</f>
        <v/>
      </c>
      <c r="B4018" s="13" t="n">
        <f aca="false">354</f>
        <v>354</v>
      </c>
      <c r="C4018" s="13" t="n">
        <f aca="false">IF(Szenarien!$H$21="OK",(IFERROR(SUMIF(Nutzungsprofile!$B$6:$B$11,"Schulbetrieb",Nutzungsprofile!$G$6:$G$11)*Kalender!C358/SUM(Kalender!$C$5:$C$370),0)+IFERROR(SUMIF(Nutzungsprofile!$B$6:$B$11,"Halle",Nutzungsprofile!$G$6:$G$11)*Kalender!D358/SUM(Kalender!$D$5:$D$370),0)+IFERROR(SUMIF(Nutzungsprofile!$B$6:$B$11,"Individuell",Nutzungsprofile!$G$6:$G$11)*Kalender!E358/SUM(Kalender!$E$5:$E$370),0))*Szenarien!$E$21,0)</f>
        <v>0</v>
      </c>
      <c r="D4018" s="13" t="n">
        <f aca="false">IF(Szenarien!$H$21="OK",(IFERROR(SUMIF(Nutzungsprofile!$B$17:$B$22,"Schulbetrieb",Nutzungsprofile!$G$17:$G$22)*Kalender!C358/SUM(Kalender!$C$5:$C$370),0)+IFERROR(SUMIF(Nutzungsprofile!$B$17:$B$22,"Halle",Nutzungsprofile!$G$17:$G$22)*Kalender!D358/SUM(Kalender!$D$5:$D$370),0)+IFERROR(SUMIF(Nutzungsprofile!$B$17:$B$22,"Individuell",Nutzungsprofile!$G$17:$G$22)*Kalender!E358/SUM(Kalender!$E$5:$E$370),0))*Szenarien!$D$21,0)</f>
        <v>0</v>
      </c>
      <c r="E4018" s="13" t="n">
        <f aca="false">IFERROR(MIN(C4018,Eingaben!$B$17)*Eingaben!$B$16,0)</f>
        <v>0</v>
      </c>
      <c r="F4018" s="13" t="n">
        <f aca="false">IFERROR(E4018*Eingaben!$B$15,0)</f>
        <v>0</v>
      </c>
      <c r="G4018" s="13" t="n">
        <f aca="false">IFERROR(IF(Kalender!A358="",0,J4017*(1-Eingaben!$B$20)),0)</f>
        <v>0</v>
      </c>
      <c r="H4018" s="13" t="n">
        <f aca="false">MIN(G4018,D4018)</f>
        <v>0</v>
      </c>
      <c r="I4018" s="13" t="n">
        <f aca="false">IFERROR(MIN(F4018*Eingaben!$B$19,MAX(0,D4018-H4018)),0)</f>
        <v>0</v>
      </c>
      <c r="J4018" s="13" t="n">
        <f aca="false">IFERROR(MIN(Eingaben!$B$18,MAX(0,F4018-I4018)),0)</f>
        <v>0</v>
      </c>
      <c r="K4018" s="13" t="n">
        <f aca="false">H4018+I4018</f>
        <v>0</v>
      </c>
      <c r="L4018" s="13" t="n">
        <f aca="false">MAX(0,D4018-K4018)</f>
        <v>0</v>
      </c>
      <c r="M4018" s="13" t="n">
        <f aca="false">MAX(0,F4018-I4018-J4018)</f>
        <v>0</v>
      </c>
      <c r="N4018" s="13" t="n">
        <f aca="false">IF(Kalender!A358="",0,J4017-H4018)</f>
        <v>0</v>
      </c>
    </row>
    <row r="4019" customFormat="false" ht="16.4" hidden="false" customHeight="false" outlineLevel="0" collapsed="false">
      <c r="A4019" s="13" t="str">
        <f aca="false">""</f>
        <v/>
      </c>
      <c r="B4019" s="13" t="n">
        <f aca="false">355</f>
        <v>355</v>
      </c>
      <c r="C4019" s="13" t="n">
        <f aca="false">IF(Szenarien!$H$21="OK",(IFERROR(SUMIF(Nutzungsprofile!$B$6:$B$11,"Schulbetrieb",Nutzungsprofile!$G$6:$G$11)*Kalender!C359/SUM(Kalender!$C$5:$C$370),0)+IFERROR(SUMIF(Nutzungsprofile!$B$6:$B$11,"Halle",Nutzungsprofile!$G$6:$G$11)*Kalender!D359/SUM(Kalender!$D$5:$D$370),0)+IFERROR(SUMIF(Nutzungsprofile!$B$6:$B$11,"Individuell",Nutzungsprofile!$G$6:$G$11)*Kalender!E359/SUM(Kalender!$E$5:$E$370),0))*Szenarien!$E$21,0)</f>
        <v>0</v>
      </c>
      <c r="D4019" s="13" t="n">
        <f aca="false">IF(Szenarien!$H$21="OK",(IFERROR(SUMIF(Nutzungsprofile!$B$17:$B$22,"Schulbetrieb",Nutzungsprofile!$G$17:$G$22)*Kalender!C359/SUM(Kalender!$C$5:$C$370),0)+IFERROR(SUMIF(Nutzungsprofile!$B$17:$B$22,"Halle",Nutzungsprofile!$G$17:$G$22)*Kalender!D359/SUM(Kalender!$D$5:$D$370),0)+IFERROR(SUMIF(Nutzungsprofile!$B$17:$B$22,"Individuell",Nutzungsprofile!$G$17:$G$22)*Kalender!E359/SUM(Kalender!$E$5:$E$370),0))*Szenarien!$D$21,0)</f>
        <v>0</v>
      </c>
      <c r="E4019" s="13" t="n">
        <f aca="false">IFERROR(MIN(C4019,Eingaben!$B$17)*Eingaben!$B$16,0)</f>
        <v>0</v>
      </c>
      <c r="F4019" s="13" t="n">
        <f aca="false">IFERROR(E4019*Eingaben!$B$15,0)</f>
        <v>0</v>
      </c>
      <c r="G4019" s="13" t="n">
        <f aca="false">IFERROR(IF(Kalender!A359="",0,J4018*(1-Eingaben!$B$20)),0)</f>
        <v>0</v>
      </c>
      <c r="H4019" s="13" t="n">
        <f aca="false">MIN(G4019,D4019)</f>
        <v>0</v>
      </c>
      <c r="I4019" s="13" t="n">
        <f aca="false">IFERROR(MIN(F4019*Eingaben!$B$19,MAX(0,D4019-H4019)),0)</f>
        <v>0</v>
      </c>
      <c r="J4019" s="13" t="n">
        <f aca="false">IFERROR(MIN(Eingaben!$B$18,MAX(0,F4019-I4019)),0)</f>
        <v>0</v>
      </c>
      <c r="K4019" s="13" t="n">
        <f aca="false">H4019+I4019</f>
        <v>0</v>
      </c>
      <c r="L4019" s="13" t="n">
        <f aca="false">MAX(0,D4019-K4019)</f>
        <v>0</v>
      </c>
      <c r="M4019" s="13" t="n">
        <f aca="false">MAX(0,F4019-I4019-J4019)</f>
        <v>0</v>
      </c>
      <c r="N4019" s="13" t="n">
        <f aca="false">IF(Kalender!A359="",0,J4018-H4019)</f>
        <v>0</v>
      </c>
    </row>
    <row r="4020" customFormat="false" ht="16.4" hidden="false" customHeight="false" outlineLevel="0" collapsed="false">
      <c r="A4020" s="13" t="str">
        <f aca="false">""</f>
        <v/>
      </c>
      <c r="B4020" s="13" t="n">
        <f aca="false">356</f>
        <v>356</v>
      </c>
      <c r="C4020" s="13" t="n">
        <f aca="false">IF(Szenarien!$H$21="OK",(IFERROR(SUMIF(Nutzungsprofile!$B$6:$B$11,"Schulbetrieb",Nutzungsprofile!$G$6:$G$11)*Kalender!C360/SUM(Kalender!$C$5:$C$370),0)+IFERROR(SUMIF(Nutzungsprofile!$B$6:$B$11,"Halle",Nutzungsprofile!$G$6:$G$11)*Kalender!D360/SUM(Kalender!$D$5:$D$370),0)+IFERROR(SUMIF(Nutzungsprofile!$B$6:$B$11,"Individuell",Nutzungsprofile!$G$6:$G$11)*Kalender!E360/SUM(Kalender!$E$5:$E$370),0))*Szenarien!$E$21,0)</f>
        <v>0</v>
      </c>
      <c r="D4020" s="13" t="n">
        <f aca="false">IF(Szenarien!$H$21="OK",(IFERROR(SUMIF(Nutzungsprofile!$B$17:$B$22,"Schulbetrieb",Nutzungsprofile!$G$17:$G$22)*Kalender!C360/SUM(Kalender!$C$5:$C$370),0)+IFERROR(SUMIF(Nutzungsprofile!$B$17:$B$22,"Halle",Nutzungsprofile!$G$17:$G$22)*Kalender!D360/SUM(Kalender!$D$5:$D$370),0)+IFERROR(SUMIF(Nutzungsprofile!$B$17:$B$22,"Individuell",Nutzungsprofile!$G$17:$G$22)*Kalender!E360/SUM(Kalender!$E$5:$E$370),0))*Szenarien!$D$21,0)</f>
        <v>0</v>
      </c>
      <c r="E4020" s="13" t="n">
        <f aca="false">IFERROR(MIN(C4020,Eingaben!$B$17)*Eingaben!$B$16,0)</f>
        <v>0</v>
      </c>
      <c r="F4020" s="13" t="n">
        <f aca="false">IFERROR(E4020*Eingaben!$B$15,0)</f>
        <v>0</v>
      </c>
      <c r="G4020" s="13" t="n">
        <f aca="false">IFERROR(IF(Kalender!A360="",0,J4019*(1-Eingaben!$B$20)),0)</f>
        <v>0</v>
      </c>
      <c r="H4020" s="13" t="n">
        <f aca="false">MIN(G4020,D4020)</f>
        <v>0</v>
      </c>
      <c r="I4020" s="13" t="n">
        <f aca="false">IFERROR(MIN(F4020*Eingaben!$B$19,MAX(0,D4020-H4020)),0)</f>
        <v>0</v>
      </c>
      <c r="J4020" s="13" t="n">
        <f aca="false">IFERROR(MIN(Eingaben!$B$18,MAX(0,F4020-I4020)),0)</f>
        <v>0</v>
      </c>
      <c r="K4020" s="13" t="n">
        <f aca="false">H4020+I4020</f>
        <v>0</v>
      </c>
      <c r="L4020" s="13" t="n">
        <f aca="false">MAX(0,D4020-K4020)</f>
        <v>0</v>
      </c>
      <c r="M4020" s="13" t="n">
        <f aca="false">MAX(0,F4020-I4020-J4020)</f>
        <v>0</v>
      </c>
      <c r="N4020" s="13" t="n">
        <f aca="false">IF(Kalender!A360="",0,J4019-H4020)</f>
        <v>0</v>
      </c>
    </row>
    <row r="4021" customFormat="false" ht="16.4" hidden="false" customHeight="false" outlineLevel="0" collapsed="false">
      <c r="A4021" s="13" t="str">
        <f aca="false">""</f>
        <v/>
      </c>
      <c r="B4021" s="13" t="n">
        <f aca="false">357</f>
        <v>357</v>
      </c>
      <c r="C4021" s="13" t="n">
        <f aca="false">IF(Szenarien!$H$21="OK",(IFERROR(SUMIF(Nutzungsprofile!$B$6:$B$11,"Schulbetrieb",Nutzungsprofile!$G$6:$G$11)*Kalender!C361/SUM(Kalender!$C$5:$C$370),0)+IFERROR(SUMIF(Nutzungsprofile!$B$6:$B$11,"Halle",Nutzungsprofile!$G$6:$G$11)*Kalender!D361/SUM(Kalender!$D$5:$D$370),0)+IFERROR(SUMIF(Nutzungsprofile!$B$6:$B$11,"Individuell",Nutzungsprofile!$G$6:$G$11)*Kalender!E361/SUM(Kalender!$E$5:$E$370),0))*Szenarien!$E$21,0)</f>
        <v>0</v>
      </c>
      <c r="D4021" s="13" t="n">
        <f aca="false">IF(Szenarien!$H$21="OK",(IFERROR(SUMIF(Nutzungsprofile!$B$17:$B$22,"Schulbetrieb",Nutzungsprofile!$G$17:$G$22)*Kalender!C361/SUM(Kalender!$C$5:$C$370),0)+IFERROR(SUMIF(Nutzungsprofile!$B$17:$B$22,"Halle",Nutzungsprofile!$G$17:$G$22)*Kalender!D361/SUM(Kalender!$D$5:$D$370),0)+IFERROR(SUMIF(Nutzungsprofile!$B$17:$B$22,"Individuell",Nutzungsprofile!$G$17:$G$22)*Kalender!E361/SUM(Kalender!$E$5:$E$370),0))*Szenarien!$D$21,0)</f>
        <v>0</v>
      </c>
      <c r="E4021" s="13" t="n">
        <f aca="false">IFERROR(MIN(C4021,Eingaben!$B$17)*Eingaben!$B$16,0)</f>
        <v>0</v>
      </c>
      <c r="F4021" s="13" t="n">
        <f aca="false">IFERROR(E4021*Eingaben!$B$15,0)</f>
        <v>0</v>
      </c>
      <c r="G4021" s="13" t="n">
        <f aca="false">IFERROR(IF(Kalender!A361="",0,J4020*(1-Eingaben!$B$20)),0)</f>
        <v>0</v>
      </c>
      <c r="H4021" s="13" t="n">
        <f aca="false">MIN(G4021,D4021)</f>
        <v>0</v>
      </c>
      <c r="I4021" s="13" t="n">
        <f aca="false">IFERROR(MIN(F4021*Eingaben!$B$19,MAX(0,D4021-H4021)),0)</f>
        <v>0</v>
      </c>
      <c r="J4021" s="13" t="n">
        <f aca="false">IFERROR(MIN(Eingaben!$B$18,MAX(0,F4021-I4021)),0)</f>
        <v>0</v>
      </c>
      <c r="K4021" s="13" t="n">
        <f aca="false">H4021+I4021</f>
        <v>0</v>
      </c>
      <c r="L4021" s="13" t="n">
        <f aca="false">MAX(0,D4021-K4021)</f>
        <v>0</v>
      </c>
      <c r="M4021" s="13" t="n">
        <f aca="false">MAX(0,F4021-I4021-J4021)</f>
        <v>0</v>
      </c>
      <c r="N4021" s="13" t="n">
        <f aca="false">IF(Kalender!A361="",0,J4020-H4021)</f>
        <v>0</v>
      </c>
    </row>
    <row r="4022" customFormat="false" ht="16.4" hidden="false" customHeight="false" outlineLevel="0" collapsed="false">
      <c r="A4022" s="13" t="str">
        <f aca="false">""</f>
        <v/>
      </c>
      <c r="B4022" s="13" t="n">
        <f aca="false">358</f>
        <v>358</v>
      </c>
      <c r="C4022" s="13" t="n">
        <f aca="false">IF(Szenarien!$H$21="OK",(IFERROR(SUMIF(Nutzungsprofile!$B$6:$B$11,"Schulbetrieb",Nutzungsprofile!$G$6:$G$11)*Kalender!C362/SUM(Kalender!$C$5:$C$370),0)+IFERROR(SUMIF(Nutzungsprofile!$B$6:$B$11,"Halle",Nutzungsprofile!$G$6:$G$11)*Kalender!D362/SUM(Kalender!$D$5:$D$370),0)+IFERROR(SUMIF(Nutzungsprofile!$B$6:$B$11,"Individuell",Nutzungsprofile!$G$6:$G$11)*Kalender!E362/SUM(Kalender!$E$5:$E$370),0))*Szenarien!$E$21,0)</f>
        <v>0</v>
      </c>
      <c r="D4022" s="13" t="n">
        <f aca="false">IF(Szenarien!$H$21="OK",(IFERROR(SUMIF(Nutzungsprofile!$B$17:$B$22,"Schulbetrieb",Nutzungsprofile!$G$17:$G$22)*Kalender!C362/SUM(Kalender!$C$5:$C$370),0)+IFERROR(SUMIF(Nutzungsprofile!$B$17:$B$22,"Halle",Nutzungsprofile!$G$17:$G$22)*Kalender!D362/SUM(Kalender!$D$5:$D$370),0)+IFERROR(SUMIF(Nutzungsprofile!$B$17:$B$22,"Individuell",Nutzungsprofile!$G$17:$G$22)*Kalender!E362/SUM(Kalender!$E$5:$E$370),0))*Szenarien!$D$21,0)</f>
        <v>0</v>
      </c>
      <c r="E4022" s="13" t="n">
        <f aca="false">IFERROR(MIN(C4022,Eingaben!$B$17)*Eingaben!$B$16,0)</f>
        <v>0</v>
      </c>
      <c r="F4022" s="13" t="n">
        <f aca="false">IFERROR(E4022*Eingaben!$B$15,0)</f>
        <v>0</v>
      </c>
      <c r="G4022" s="13" t="n">
        <f aca="false">IFERROR(IF(Kalender!A362="",0,J4021*(1-Eingaben!$B$20)),0)</f>
        <v>0</v>
      </c>
      <c r="H4022" s="13" t="n">
        <f aca="false">MIN(G4022,D4022)</f>
        <v>0</v>
      </c>
      <c r="I4022" s="13" t="n">
        <f aca="false">IFERROR(MIN(F4022*Eingaben!$B$19,MAX(0,D4022-H4022)),0)</f>
        <v>0</v>
      </c>
      <c r="J4022" s="13" t="n">
        <f aca="false">IFERROR(MIN(Eingaben!$B$18,MAX(0,F4022-I4022)),0)</f>
        <v>0</v>
      </c>
      <c r="K4022" s="13" t="n">
        <f aca="false">H4022+I4022</f>
        <v>0</v>
      </c>
      <c r="L4022" s="13" t="n">
        <f aca="false">MAX(0,D4022-K4022)</f>
        <v>0</v>
      </c>
      <c r="M4022" s="13" t="n">
        <f aca="false">MAX(0,F4022-I4022-J4022)</f>
        <v>0</v>
      </c>
      <c r="N4022" s="13" t="n">
        <f aca="false">IF(Kalender!A362="",0,J4021-H4022)</f>
        <v>0</v>
      </c>
    </row>
    <row r="4023" customFormat="false" ht="16.4" hidden="false" customHeight="false" outlineLevel="0" collapsed="false">
      <c r="A4023" s="13" t="str">
        <f aca="false">""</f>
        <v/>
      </c>
      <c r="B4023" s="13" t="n">
        <f aca="false">359</f>
        <v>359</v>
      </c>
      <c r="C4023" s="13" t="n">
        <f aca="false">IF(Szenarien!$H$21="OK",(IFERROR(SUMIF(Nutzungsprofile!$B$6:$B$11,"Schulbetrieb",Nutzungsprofile!$G$6:$G$11)*Kalender!C363/SUM(Kalender!$C$5:$C$370),0)+IFERROR(SUMIF(Nutzungsprofile!$B$6:$B$11,"Halle",Nutzungsprofile!$G$6:$G$11)*Kalender!D363/SUM(Kalender!$D$5:$D$370),0)+IFERROR(SUMIF(Nutzungsprofile!$B$6:$B$11,"Individuell",Nutzungsprofile!$G$6:$G$11)*Kalender!E363/SUM(Kalender!$E$5:$E$370),0))*Szenarien!$E$21,0)</f>
        <v>0</v>
      </c>
      <c r="D4023" s="13" t="n">
        <f aca="false">IF(Szenarien!$H$21="OK",(IFERROR(SUMIF(Nutzungsprofile!$B$17:$B$22,"Schulbetrieb",Nutzungsprofile!$G$17:$G$22)*Kalender!C363/SUM(Kalender!$C$5:$C$370),0)+IFERROR(SUMIF(Nutzungsprofile!$B$17:$B$22,"Halle",Nutzungsprofile!$G$17:$G$22)*Kalender!D363/SUM(Kalender!$D$5:$D$370),0)+IFERROR(SUMIF(Nutzungsprofile!$B$17:$B$22,"Individuell",Nutzungsprofile!$G$17:$G$22)*Kalender!E363/SUM(Kalender!$E$5:$E$370),0))*Szenarien!$D$21,0)</f>
        <v>0</v>
      </c>
      <c r="E4023" s="13" t="n">
        <f aca="false">IFERROR(MIN(C4023,Eingaben!$B$17)*Eingaben!$B$16,0)</f>
        <v>0</v>
      </c>
      <c r="F4023" s="13" t="n">
        <f aca="false">IFERROR(E4023*Eingaben!$B$15,0)</f>
        <v>0</v>
      </c>
      <c r="G4023" s="13" t="n">
        <f aca="false">IFERROR(IF(Kalender!A363="",0,J4022*(1-Eingaben!$B$20)),0)</f>
        <v>0</v>
      </c>
      <c r="H4023" s="13" t="n">
        <f aca="false">MIN(G4023,D4023)</f>
        <v>0</v>
      </c>
      <c r="I4023" s="13" t="n">
        <f aca="false">IFERROR(MIN(F4023*Eingaben!$B$19,MAX(0,D4023-H4023)),0)</f>
        <v>0</v>
      </c>
      <c r="J4023" s="13" t="n">
        <f aca="false">IFERROR(MIN(Eingaben!$B$18,MAX(0,F4023-I4023)),0)</f>
        <v>0</v>
      </c>
      <c r="K4023" s="13" t="n">
        <f aca="false">H4023+I4023</f>
        <v>0</v>
      </c>
      <c r="L4023" s="13" t="n">
        <f aca="false">MAX(0,D4023-K4023)</f>
        <v>0</v>
      </c>
      <c r="M4023" s="13" t="n">
        <f aca="false">MAX(0,F4023-I4023-J4023)</f>
        <v>0</v>
      </c>
      <c r="N4023" s="13" t="n">
        <f aca="false">IF(Kalender!A363="",0,J4022-H4023)</f>
        <v>0</v>
      </c>
    </row>
    <row r="4024" customFormat="false" ht="16.4" hidden="false" customHeight="false" outlineLevel="0" collapsed="false">
      <c r="A4024" s="13" t="str">
        <f aca="false">""</f>
        <v/>
      </c>
      <c r="B4024" s="13" t="n">
        <f aca="false">360</f>
        <v>360</v>
      </c>
      <c r="C4024" s="13" t="n">
        <f aca="false">IF(Szenarien!$H$21="OK",(IFERROR(SUMIF(Nutzungsprofile!$B$6:$B$11,"Schulbetrieb",Nutzungsprofile!$G$6:$G$11)*Kalender!C364/SUM(Kalender!$C$5:$C$370),0)+IFERROR(SUMIF(Nutzungsprofile!$B$6:$B$11,"Halle",Nutzungsprofile!$G$6:$G$11)*Kalender!D364/SUM(Kalender!$D$5:$D$370),0)+IFERROR(SUMIF(Nutzungsprofile!$B$6:$B$11,"Individuell",Nutzungsprofile!$G$6:$G$11)*Kalender!E364/SUM(Kalender!$E$5:$E$370),0))*Szenarien!$E$21,0)</f>
        <v>0</v>
      </c>
      <c r="D4024" s="13" t="n">
        <f aca="false">IF(Szenarien!$H$21="OK",(IFERROR(SUMIF(Nutzungsprofile!$B$17:$B$22,"Schulbetrieb",Nutzungsprofile!$G$17:$G$22)*Kalender!C364/SUM(Kalender!$C$5:$C$370),0)+IFERROR(SUMIF(Nutzungsprofile!$B$17:$B$22,"Halle",Nutzungsprofile!$G$17:$G$22)*Kalender!D364/SUM(Kalender!$D$5:$D$370),0)+IFERROR(SUMIF(Nutzungsprofile!$B$17:$B$22,"Individuell",Nutzungsprofile!$G$17:$G$22)*Kalender!E364/SUM(Kalender!$E$5:$E$370),0))*Szenarien!$D$21,0)</f>
        <v>0</v>
      </c>
      <c r="E4024" s="13" t="n">
        <f aca="false">IFERROR(MIN(C4024,Eingaben!$B$17)*Eingaben!$B$16,0)</f>
        <v>0</v>
      </c>
      <c r="F4024" s="13" t="n">
        <f aca="false">IFERROR(E4024*Eingaben!$B$15,0)</f>
        <v>0</v>
      </c>
      <c r="G4024" s="13" t="n">
        <f aca="false">IFERROR(IF(Kalender!A364="",0,J4023*(1-Eingaben!$B$20)),0)</f>
        <v>0</v>
      </c>
      <c r="H4024" s="13" t="n">
        <f aca="false">MIN(G4024,D4024)</f>
        <v>0</v>
      </c>
      <c r="I4024" s="13" t="n">
        <f aca="false">IFERROR(MIN(F4024*Eingaben!$B$19,MAX(0,D4024-H4024)),0)</f>
        <v>0</v>
      </c>
      <c r="J4024" s="13" t="n">
        <f aca="false">IFERROR(MIN(Eingaben!$B$18,MAX(0,F4024-I4024)),0)</f>
        <v>0</v>
      </c>
      <c r="K4024" s="13" t="n">
        <f aca="false">H4024+I4024</f>
        <v>0</v>
      </c>
      <c r="L4024" s="13" t="n">
        <f aca="false">MAX(0,D4024-K4024)</f>
        <v>0</v>
      </c>
      <c r="M4024" s="13" t="n">
        <f aca="false">MAX(0,F4024-I4024-J4024)</f>
        <v>0</v>
      </c>
      <c r="N4024" s="13" t="n">
        <f aca="false">IF(Kalender!A364="",0,J4023-H4024)</f>
        <v>0</v>
      </c>
    </row>
    <row r="4025" customFormat="false" ht="16.4" hidden="false" customHeight="false" outlineLevel="0" collapsed="false">
      <c r="A4025" s="13" t="str">
        <f aca="false">""</f>
        <v/>
      </c>
      <c r="B4025" s="13" t="n">
        <f aca="false">361</f>
        <v>361</v>
      </c>
      <c r="C4025" s="13" t="n">
        <f aca="false">IF(Szenarien!$H$21="OK",(IFERROR(SUMIF(Nutzungsprofile!$B$6:$B$11,"Schulbetrieb",Nutzungsprofile!$G$6:$G$11)*Kalender!C365/SUM(Kalender!$C$5:$C$370),0)+IFERROR(SUMIF(Nutzungsprofile!$B$6:$B$11,"Halle",Nutzungsprofile!$G$6:$G$11)*Kalender!D365/SUM(Kalender!$D$5:$D$370),0)+IFERROR(SUMIF(Nutzungsprofile!$B$6:$B$11,"Individuell",Nutzungsprofile!$G$6:$G$11)*Kalender!E365/SUM(Kalender!$E$5:$E$370),0))*Szenarien!$E$21,0)</f>
        <v>0</v>
      </c>
      <c r="D4025" s="13" t="n">
        <f aca="false">IF(Szenarien!$H$21="OK",(IFERROR(SUMIF(Nutzungsprofile!$B$17:$B$22,"Schulbetrieb",Nutzungsprofile!$G$17:$G$22)*Kalender!C365/SUM(Kalender!$C$5:$C$370),0)+IFERROR(SUMIF(Nutzungsprofile!$B$17:$B$22,"Halle",Nutzungsprofile!$G$17:$G$22)*Kalender!D365/SUM(Kalender!$D$5:$D$370),0)+IFERROR(SUMIF(Nutzungsprofile!$B$17:$B$22,"Individuell",Nutzungsprofile!$G$17:$G$22)*Kalender!E365/SUM(Kalender!$E$5:$E$370),0))*Szenarien!$D$21,0)</f>
        <v>0</v>
      </c>
      <c r="E4025" s="13" t="n">
        <f aca="false">IFERROR(MIN(C4025,Eingaben!$B$17)*Eingaben!$B$16,0)</f>
        <v>0</v>
      </c>
      <c r="F4025" s="13" t="n">
        <f aca="false">IFERROR(E4025*Eingaben!$B$15,0)</f>
        <v>0</v>
      </c>
      <c r="G4025" s="13" t="n">
        <f aca="false">IFERROR(IF(Kalender!A365="",0,J4024*(1-Eingaben!$B$20)),0)</f>
        <v>0</v>
      </c>
      <c r="H4025" s="13" t="n">
        <f aca="false">MIN(G4025,D4025)</f>
        <v>0</v>
      </c>
      <c r="I4025" s="13" t="n">
        <f aca="false">IFERROR(MIN(F4025*Eingaben!$B$19,MAX(0,D4025-H4025)),0)</f>
        <v>0</v>
      </c>
      <c r="J4025" s="13" t="n">
        <f aca="false">IFERROR(MIN(Eingaben!$B$18,MAX(0,F4025-I4025)),0)</f>
        <v>0</v>
      </c>
      <c r="K4025" s="13" t="n">
        <f aca="false">H4025+I4025</f>
        <v>0</v>
      </c>
      <c r="L4025" s="13" t="n">
        <f aca="false">MAX(0,D4025-K4025)</f>
        <v>0</v>
      </c>
      <c r="M4025" s="13" t="n">
        <f aca="false">MAX(0,F4025-I4025-J4025)</f>
        <v>0</v>
      </c>
      <c r="N4025" s="13" t="n">
        <f aca="false">IF(Kalender!A365="",0,J4024-H4025)</f>
        <v>0</v>
      </c>
    </row>
    <row r="4026" customFormat="false" ht="16.4" hidden="false" customHeight="false" outlineLevel="0" collapsed="false">
      <c r="A4026" s="13" t="str">
        <f aca="false">""</f>
        <v/>
      </c>
      <c r="B4026" s="13" t="n">
        <f aca="false">362</f>
        <v>362</v>
      </c>
      <c r="C4026" s="13" t="n">
        <f aca="false">IF(Szenarien!$H$21="OK",(IFERROR(SUMIF(Nutzungsprofile!$B$6:$B$11,"Schulbetrieb",Nutzungsprofile!$G$6:$G$11)*Kalender!C366/SUM(Kalender!$C$5:$C$370),0)+IFERROR(SUMIF(Nutzungsprofile!$B$6:$B$11,"Halle",Nutzungsprofile!$G$6:$G$11)*Kalender!D366/SUM(Kalender!$D$5:$D$370),0)+IFERROR(SUMIF(Nutzungsprofile!$B$6:$B$11,"Individuell",Nutzungsprofile!$G$6:$G$11)*Kalender!E366/SUM(Kalender!$E$5:$E$370),0))*Szenarien!$E$21,0)</f>
        <v>0</v>
      </c>
      <c r="D4026" s="13" t="n">
        <f aca="false">IF(Szenarien!$H$21="OK",(IFERROR(SUMIF(Nutzungsprofile!$B$17:$B$22,"Schulbetrieb",Nutzungsprofile!$G$17:$G$22)*Kalender!C366/SUM(Kalender!$C$5:$C$370),0)+IFERROR(SUMIF(Nutzungsprofile!$B$17:$B$22,"Halle",Nutzungsprofile!$G$17:$G$22)*Kalender!D366/SUM(Kalender!$D$5:$D$370),0)+IFERROR(SUMIF(Nutzungsprofile!$B$17:$B$22,"Individuell",Nutzungsprofile!$G$17:$G$22)*Kalender!E366/SUM(Kalender!$E$5:$E$370),0))*Szenarien!$D$21,0)</f>
        <v>0</v>
      </c>
      <c r="E4026" s="13" t="n">
        <f aca="false">IFERROR(MIN(C4026,Eingaben!$B$17)*Eingaben!$B$16,0)</f>
        <v>0</v>
      </c>
      <c r="F4026" s="13" t="n">
        <f aca="false">IFERROR(E4026*Eingaben!$B$15,0)</f>
        <v>0</v>
      </c>
      <c r="G4026" s="13" t="n">
        <f aca="false">IFERROR(IF(Kalender!A366="",0,J4025*(1-Eingaben!$B$20)),0)</f>
        <v>0</v>
      </c>
      <c r="H4026" s="13" t="n">
        <f aca="false">MIN(G4026,D4026)</f>
        <v>0</v>
      </c>
      <c r="I4026" s="13" t="n">
        <f aca="false">IFERROR(MIN(F4026*Eingaben!$B$19,MAX(0,D4026-H4026)),0)</f>
        <v>0</v>
      </c>
      <c r="J4026" s="13" t="n">
        <f aca="false">IFERROR(MIN(Eingaben!$B$18,MAX(0,F4026-I4026)),0)</f>
        <v>0</v>
      </c>
      <c r="K4026" s="13" t="n">
        <f aca="false">H4026+I4026</f>
        <v>0</v>
      </c>
      <c r="L4026" s="13" t="n">
        <f aca="false">MAX(0,D4026-K4026)</f>
        <v>0</v>
      </c>
      <c r="M4026" s="13" t="n">
        <f aca="false">MAX(0,F4026-I4026-J4026)</f>
        <v>0</v>
      </c>
      <c r="N4026" s="13" t="n">
        <f aca="false">IF(Kalender!A366="",0,J4025-H4026)</f>
        <v>0</v>
      </c>
    </row>
    <row r="4027" customFormat="false" ht="16.4" hidden="false" customHeight="false" outlineLevel="0" collapsed="false">
      <c r="A4027" s="13" t="str">
        <f aca="false">""</f>
        <v/>
      </c>
      <c r="B4027" s="13" t="n">
        <f aca="false">363</f>
        <v>363</v>
      </c>
      <c r="C4027" s="13" t="n">
        <f aca="false">IF(Szenarien!$H$21="OK",(IFERROR(SUMIF(Nutzungsprofile!$B$6:$B$11,"Schulbetrieb",Nutzungsprofile!$G$6:$G$11)*Kalender!C367/SUM(Kalender!$C$5:$C$370),0)+IFERROR(SUMIF(Nutzungsprofile!$B$6:$B$11,"Halle",Nutzungsprofile!$G$6:$G$11)*Kalender!D367/SUM(Kalender!$D$5:$D$370),0)+IFERROR(SUMIF(Nutzungsprofile!$B$6:$B$11,"Individuell",Nutzungsprofile!$G$6:$G$11)*Kalender!E367/SUM(Kalender!$E$5:$E$370),0))*Szenarien!$E$21,0)</f>
        <v>0</v>
      </c>
      <c r="D4027" s="13" t="n">
        <f aca="false">IF(Szenarien!$H$21="OK",(IFERROR(SUMIF(Nutzungsprofile!$B$17:$B$22,"Schulbetrieb",Nutzungsprofile!$G$17:$G$22)*Kalender!C367/SUM(Kalender!$C$5:$C$370),0)+IFERROR(SUMIF(Nutzungsprofile!$B$17:$B$22,"Halle",Nutzungsprofile!$G$17:$G$22)*Kalender!D367/SUM(Kalender!$D$5:$D$370),0)+IFERROR(SUMIF(Nutzungsprofile!$B$17:$B$22,"Individuell",Nutzungsprofile!$G$17:$G$22)*Kalender!E367/SUM(Kalender!$E$5:$E$370),0))*Szenarien!$D$21,0)</f>
        <v>0</v>
      </c>
      <c r="E4027" s="13" t="n">
        <f aca="false">IFERROR(MIN(C4027,Eingaben!$B$17)*Eingaben!$B$16,0)</f>
        <v>0</v>
      </c>
      <c r="F4027" s="13" t="n">
        <f aca="false">IFERROR(E4027*Eingaben!$B$15,0)</f>
        <v>0</v>
      </c>
      <c r="G4027" s="13" t="n">
        <f aca="false">IFERROR(IF(Kalender!A367="",0,J4026*(1-Eingaben!$B$20)),0)</f>
        <v>0</v>
      </c>
      <c r="H4027" s="13" t="n">
        <f aca="false">MIN(G4027,D4027)</f>
        <v>0</v>
      </c>
      <c r="I4027" s="13" t="n">
        <f aca="false">IFERROR(MIN(F4027*Eingaben!$B$19,MAX(0,D4027-H4027)),0)</f>
        <v>0</v>
      </c>
      <c r="J4027" s="13" t="n">
        <f aca="false">IFERROR(MIN(Eingaben!$B$18,MAX(0,F4027-I4027)),0)</f>
        <v>0</v>
      </c>
      <c r="K4027" s="13" t="n">
        <f aca="false">H4027+I4027</f>
        <v>0</v>
      </c>
      <c r="L4027" s="13" t="n">
        <f aca="false">MAX(0,D4027-K4027)</f>
        <v>0</v>
      </c>
      <c r="M4027" s="13" t="n">
        <f aca="false">MAX(0,F4027-I4027-J4027)</f>
        <v>0</v>
      </c>
      <c r="N4027" s="13" t="n">
        <f aca="false">IF(Kalender!A367="",0,J4026-H4027)</f>
        <v>0</v>
      </c>
    </row>
    <row r="4028" customFormat="false" ht="16.4" hidden="false" customHeight="false" outlineLevel="0" collapsed="false">
      <c r="A4028" s="13" t="str">
        <f aca="false">""</f>
        <v/>
      </c>
      <c r="B4028" s="13" t="n">
        <f aca="false">364</f>
        <v>364</v>
      </c>
      <c r="C4028" s="13" t="n">
        <f aca="false">IF(Szenarien!$H$21="OK",(IFERROR(SUMIF(Nutzungsprofile!$B$6:$B$11,"Schulbetrieb",Nutzungsprofile!$G$6:$G$11)*Kalender!C368/SUM(Kalender!$C$5:$C$370),0)+IFERROR(SUMIF(Nutzungsprofile!$B$6:$B$11,"Halle",Nutzungsprofile!$G$6:$G$11)*Kalender!D368/SUM(Kalender!$D$5:$D$370),0)+IFERROR(SUMIF(Nutzungsprofile!$B$6:$B$11,"Individuell",Nutzungsprofile!$G$6:$G$11)*Kalender!E368/SUM(Kalender!$E$5:$E$370),0))*Szenarien!$E$21,0)</f>
        <v>0</v>
      </c>
      <c r="D4028" s="13" t="n">
        <f aca="false">IF(Szenarien!$H$21="OK",(IFERROR(SUMIF(Nutzungsprofile!$B$17:$B$22,"Schulbetrieb",Nutzungsprofile!$G$17:$G$22)*Kalender!C368/SUM(Kalender!$C$5:$C$370),0)+IFERROR(SUMIF(Nutzungsprofile!$B$17:$B$22,"Halle",Nutzungsprofile!$G$17:$G$22)*Kalender!D368/SUM(Kalender!$D$5:$D$370),0)+IFERROR(SUMIF(Nutzungsprofile!$B$17:$B$22,"Individuell",Nutzungsprofile!$G$17:$G$22)*Kalender!E368/SUM(Kalender!$E$5:$E$370),0))*Szenarien!$D$21,0)</f>
        <v>0</v>
      </c>
      <c r="E4028" s="13" t="n">
        <f aca="false">IFERROR(MIN(C4028,Eingaben!$B$17)*Eingaben!$B$16,0)</f>
        <v>0</v>
      </c>
      <c r="F4028" s="13" t="n">
        <f aca="false">IFERROR(E4028*Eingaben!$B$15,0)</f>
        <v>0</v>
      </c>
      <c r="G4028" s="13" t="n">
        <f aca="false">IFERROR(IF(Kalender!A368="",0,J4027*(1-Eingaben!$B$20)),0)</f>
        <v>0</v>
      </c>
      <c r="H4028" s="13" t="n">
        <f aca="false">MIN(G4028,D4028)</f>
        <v>0</v>
      </c>
      <c r="I4028" s="13" t="n">
        <f aca="false">IFERROR(MIN(F4028*Eingaben!$B$19,MAX(0,D4028-H4028)),0)</f>
        <v>0</v>
      </c>
      <c r="J4028" s="13" t="n">
        <f aca="false">IFERROR(MIN(Eingaben!$B$18,MAX(0,F4028-I4028)),0)</f>
        <v>0</v>
      </c>
      <c r="K4028" s="13" t="n">
        <f aca="false">H4028+I4028</f>
        <v>0</v>
      </c>
      <c r="L4028" s="13" t="n">
        <f aca="false">MAX(0,D4028-K4028)</f>
        <v>0</v>
      </c>
      <c r="M4028" s="13" t="n">
        <f aca="false">MAX(0,F4028-I4028-J4028)</f>
        <v>0</v>
      </c>
      <c r="N4028" s="13" t="n">
        <f aca="false">IF(Kalender!A368="",0,J4027-H4028)</f>
        <v>0</v>
      </c>
    </row>
    <row r="4029" customFormat="false" ht="16.4" hidden="false" customHeight="false" outlineLevel="0" collapsed="false">
      <c r="A4029" s="13" t="str">
        <f aca="false">""</f>
        <v/>
      </c>
      <c r="B4029" s="13" t="n">
        <f aca="false">365</f>
        <v>365</v>
      </c>
      <c r="C4029" s="13" t="n">
        <f aca="false">IF(Szenarien!$H$21="OK",(IFERROR(SUMIF(Nutzungsprofile!$B$6:$B$11,"Schulbetrieb",Nutzungsprofile!$G$6:$G$11)*Kalender!C369/SUM(Kalender!$C$5:$C$370),0)+IFERROR(SUMIF(Nutzungsprofile!$B$6:$B$11,"Halle",Nutzungsprofile!$G$6:$G$11)*Kalender!D369/SUM(Kalender!$D$5:$D$370),0)+IFERROR(SUMIF(Nutzungsprofile!$B$6:$B$11,"Individuell",Nutzungsprofile!$G$6:$G$11)*Kalender!E369/SUM(Kalender!$E$5:$E$370),0))*Szenarien!$E$21,0)</f>
        <v>0</v>
      </c>
      <c r="D4029" s="13" t="n">
        <f aca="false">IF(Szenarien!$H$21="OK",(IFERROR(SUMIF(Nutzungsprofile!$B$17:$B$22,"Schulbetrieb",Nutzungsprofile!$G$17:$G$22)*Kalender!C369/SUM(Kalender!$C$5:$C$370),0)+IFERROR(SUMIF(Nutzungsprofile!$B$17:$B$22,"Halle",Nutzungsprofile!$G$17:$G$22)*Kalender!D369/SUM(Kalender!$D$5:$D$370),0)+IFERROR(SUMIF(Nutzungsprofile!$B$17:$B$22,"Individuell",Nutzungsprofile!$G$17:$G$22)*Kalender!E369/SUM(Kalender!$E$5:$E$370),0))*Szenarien!$D$21,0)</f>
        <v>0</v>
      </c>
      <c r="E4029" s="13" t="n">
        <f aca="false">IFERROR(MIN(C4029,Eingaben!$B$17)*Eingaben!$B$16,0)</f>
        <v>0</v>
      </c>
      <c r="F4029" s="13" t="n">
        <f aca="false">IFERROR(E4029*Eingaben!$B$15,0)</f>
        <v>0</v>
      </c>
      <c r="G4029" s="13" t="n">
        <f aca="false">IFERROR(IF(Kalender!A369="",0,J4028*(1-Eingaben!$B$20)),0)</f>
        <v>0</v>
      </c>
      <c r="H4029" s="13" t="n">
        <f aca="false">MIN(G4029,D4029)</f>
        <v>0</v>
      </c>
      <c r="I4029" s="13" t="n">
        <f aca="false">IFERROR(MIN(F4029*Eingaben!$B$19,MAX(0,D4029-H4029)),0)</f>
        <v>0</v>
      </c>
      <c r="J4029" s="13" t="n">
        <f aca="false">IFERROR(MIN(Eingaben!$B$18,MAX(0,F4029-I4029)),0)</f>
        <v>0</v>
      </c>
      <c r="K4029" s="13" t="n">
        <f aca="false">H4029+I4029</f>
        <v>0</v>
      </c>
      <c r="L4029" s="13" t="n">
        <f aca="false">MAX(0,D4029-K4029)</f>
        <v>0</v>
      </c>
      <c r="M4029" s="13" t="n">
        <f aca="false">MAX(0,F4029-I4029-J4029)</f>
        <v>0</v>
      </c>
      <c r="N4029" s="13" t="n">
        <f aca="false">IF(Kalender!A369="",0,J4028-H4029)</f>
        <v>0</v>
      </c>
    </row>
    <row r="4030" customFormat="false" ht="16.4" hidden="false" customHeight="false" outlineLevel="0" collapsed="false">
      <c r="A4030" s="13" t="str">
        <f aca="false">""</f>
        <v/>
      </c>
      <c r="B4030" s="13" t="n">
        <f aca="false">366</f>
        <v>366</v>
      </c>
      <c r="C4030" s="13" t="n">
        <f aca="false">IF(Szenarien!$H$21="OK",(IFERROR(SUMIF(Nutzungsprofile!$B$6:$B$11,"Schulbetrieb",Nutzungsprofile!$G$6:$G$11)*Kalender!C370/SUM(Kalender!$C$5:$C$370),0)+IFERROR(SUMIF(Nutzungsprofile!$B$6:$B$11,"Halle",Nutzungsprofile!$G$6:$G$11)*Kalender!D370/SUM(Kalender!$D$5:$D$370),0)+IFERROR(SUMIF(Nutzungsprofile!$B$6:$B$11,"Individuell",Nutzungsprofile!$G$6:$G$11)*Kalender!E370/SUM(Kalender!$E$5:$E$370),0))*Szenarien!$E$21,0)</f>
        <v>0</v>
      </c>
      <c r="D4030" s="13" t="n">
        <f aca="false">IF(Szenarien!$H$21="OK",(IFERROR(SUMIF(Nutzungsprofile!$B$17:$B$22,"Schulbetrieb",Nutzungsprofile!$G$17:$G$22)*Kalender!C370/SUM(Kalender!$C$5:$C$370),0)+IFERROR(SUMIF(Nutzungsprofile!$B$17:$B$22,"Halle",Nutzungsprofile!$G$17:$G$22)*Kalender!D370/SUM(Kalender!$D$5:$D$370),0)+IFERROR(SUMIF(Nutzungsprofile!$B$17:$B$22,"Individuell",Nutzungsprofile!$G$17:$G$22)*Kalender!E370/SUM(Kalender!$E$5:$E$370),0))*Szenarien!$D$21,0)</f>
        <v>0</v>
      </c>
      <c r="E4030" s="13" t="n">
        <f aca="false">IFERROR(MIN(C4030,Eingaben!$B$17)*Eingaben!$B$16,0)</f>
        <v>0</v>
      </c>
      <c r="F4030" s="13" t="n">
        <f aca="false">IFERROR(E4030*Eingaben!$B$15,0)</f>
        <v>0</v>
      </c>
      <c r="G4030" s="13" t="n">
        <f aca="false">IFERROR(IF(Kalender!A370="",0,J4029*(1-Eingaben!$B$20)),0)</f>
        <v>0</v>
      </c>
      <c r="H4030" s="13" t="n">
        <f aca="false">MIN(G4030,D4030)</f>
        <v>0</v>
      </c>
      <c r="I4030" s="13" t="n">
        <f aca="false">IFERROR(MIN(F4030*Eingaben!$B$19,MAX(0,D4030-H4030)),0)</f>
        <v>0</v>
      </c>
      <c r="J4030" s="13" t="n">
        <f aca="false">IFERROR(MIN(Eingaben!$B$18,MAX(0,F4030-I4030)),0)</f>
        <v>0</v>
      </c>
      <c r="K4030" s="13" t="n">
        <f aca="false">H4030+I4030</f>
        <v>0</v>
      </c>
      <c r="L4030" s="13" t="n">
        <f aca="false">MAX(0,D4030-K4030)</f>
        <v>0</v>
      </c>
      <c r="M4030" s="13" t="n">
        <f aca="false">MAX(0,F4030-I4030-J4030)</f>
        <v>0</v>
      </c>
      <c r="N4030" s="13" t="n">
        <f aca="false">IF(Kalender!A370="",0,J4029-H4030)</f>
        <v>0</v>
      </c>
    </row>
    <row r="4031" customFormat="false" ht="31.3" hidden="false" customHeight="false" outlineLevel="0" collapsed="false">
      <c r="A4031" s="13" t="str">
        <f aca="false">"Betriebskosten −20 %"</f>
        <v>Betriebskosten −20 %</v>
      </c>
      <c r="B4031" s="13" t="n">
        <f aca="false">1</f>
        <v>1</v>
      </c>
      <c r="C4031" s="13" t="n">
        <f aca="false">IF(Szenarien!$H$22="OK",(IFERROR(SUMIF(Nutzungsprofile!$B$6:$B$11,"Schulbetrieb",Nutzungsprofile!$G$6:$G$11)*Kalender!C5/SUM(Kalender!$C$5:$C$370),0)+IFERROR(SUMIF(Nutzungsprofile!$B$6:$B$11,"Halle",Nutzungsprofile!$G$6:$G$11)*Kalender!D5/SUM(Kalender!$D$5:$D$370),0)+IFERROR(SUMIF(Nutzungsprofile!$B$6:$B$11,"Individuell",Nutzungsprofile!$G$6:$G$11)*Kalender!E5/SUM(Kalender!$E$5:$E$370),0))*Szenarien!$E$22,0)</f>
        <v>2.94</v>
      </c>
      <c r="D4031" s="13" t="n">
        <f aca="false">IF(Szenarien!$H$22="OK",(IFERROR(SUMIF(Nutzungsprofile!$B$17:$B$22,"Schulbetrieb",Nutzungsprofile!$G$17:$G$22)*Kalender!C5/SUM(Kalender!$C$5:$C$370),0)+IFERROR(SUMIF(Nutzungsprofile!$B$17:$B$22,"Halle",Nutzungsprofile!$G$17:$G$22)*Kalender!D5/SUM(Kalender!$D$5:$D$370),0)+IFERROR(SUMIF(Nutzungsprofile!$B$17:$B$22,"Individuell",Nutzungsprofile!$G$17:$G$22)*Kalender!E5/SUM(Kalender!$E$5:$E$370),0))*Szenarien!$D$22,0)</f>
        <v>4.94</v>
      </c>
      <c r="E4031" s="13" t="n">
        <f aca="false">IFERROR(MIN(C4031,Eingaben!$B$17)*Eingaben!$B$16,0)</f>
        <v>2.793</v>
      </c>
      <c r="F4031" s="13" t="n">
        <f aca="false">IFERROR(E4031*Eingaben!$B$15,0)</f>
        <v>2.5137</v>
      </c>
      <c r="G4031" s="13" t="n">
        <f aca="false">0</f>
        <v>0</v>
      </c>
      <c r="H4031" s="13" t="n">
        <f aca="false">MIN(G4031,D4031)</f>
        <v>0</v>
      </c>
      <c r="I4031" s="13" t="n">
        <f aca="false">IFERROR(MIN(F4031*Eingaben!$B$19,MAX(0,D4031-H4031)),0)</f>
        <v>1.75959</v>
      </c>
      <c r="J4031" s="13" t="n">
        <f aca="false">IFERROR(MIN(Eingaben!$B$18,MAX(0,F4031-I4031)),0)</f>
        <v>0.75411</v>
      </c>
      <c r="K4031" s="13" t="n">
        <f aca="false">H4031+I4031</f>
        <v>1.75959</v>
      </c>
      <c r="L4031" s="13" t="n">
        <f aca="false">MAX(0,D4031-K4031)</f>
        <v>3.18041</v>
      </c>
      <c r="M4031" s="13" t="n">
        <f aca="false">MAX(0,F4031-I4031-J4031)</f>
        <v>0</v>
      </c>
      <c r="N4031" s="13" t="n">
        <f aca="false">0</f>
        <v>0</v>
      </c>
    </row>
    <row r="4032" customFormat="false" ht="16.4" hidden="false" customHeight="false" outlineLevel="0" collapsed="false">
      <c r="A4032" s="13" t="str">
        <f aca="false">""</f>
        <v/>
      </c>
      <c r="B4032" s="13" t="n">
        <f aca="false">2</f>
        <v>2</v>
      </c>
      <c r="C4032" s="13" t="n">
        <f aca="false">IF(Szenarien!$H$22="OK",(IFERROR(SUMIF(Nutzungsprofile!$B$6:$B$11,"Schulbetrieb",Nutzungsprofile!$G$6:$G$11)*Kalender!C6/SUM(Kalender!$C$5:$C$370),0)+IFERROR(SUMIF(Nutzungsprofile!$B$6:$B$11,"Halle",Nutzungsprofile!$G$6:$G$11)*Kalender!D6/SUM(Kalender!$D$5:$D$370),0)+IFERROR(SUMIF(Nutzungsprofile!$B$6:$B$11,"Individuell",Nutzungsprofile!$G$6:$G$11)*Kalender!E6/SUM(Kalender!$E$5:$E$370),0))*Szenarien!$E$22,0)</f>
        <v>2.94</v>
      </c>
      <c r="D4032" s="13" t="n">
        <f aca="false">IF(Szenarien!$H$22="OK",(IFERROR(SUMIF(Nutzungsprofile!$B$17:$B$22,"Schulbetrieb",Nutzungsprofile!$G$17:$G$22)*Kalender!C6/SUM(Kalender!$C$5:$C$370),0)+IFERROR(SUMIF(Nutzungsprofile!$B$17:$B$22,"Halle",Nutzungsprofile!$G$17:$G$22)*Kalender!D6/SUM(Kalender!$D$5:$D$370),0)+IFERROR(SUMIF(Nutzungsprofile!$B$17:$B$22,"Individuell",Nutzungsprofile!$G$17:$G$22)*Kalender!E6/SUM(Kalender!$E$5:$E$370),0))*Szenarien!$D$22,0)</f>
        <v>4.94</v>
      </c>
      <c r="E4032" s="13" t="n">
        <f aca="false">IFERROR(MIN(C4032,Eingaben!$B$17)*Eingaben!$B$16,0)</f>
        <v>2.793</v>
      </c>
      <c r="F4032" s="13" t="n">
        <f aca="false">IFERROR(E4032*Eingaben!$B$15,0)</f>
        <v>2.5137</v>
      </c>
      <c r="G4032" s="13" t="n">
        <f aca="false">IFERROR(IF(Kalender!A6="",0,J4031*(1-Eingaben!$B$20)),0)</f>
        <v>0.7390278</v>
      </c>
      <c r="H4032" s="13" t="n">
        <f aca="false">MIN(G4032,D4032)</f>
        <v>0.7390278</v>
      </c>
      <c r="I4032" s="13" t="n">
        <f aca="false">IFERROR(MIN(F4032*Eingaben!$B$19,MAX(0,D4032-H4032)),0)</f>
        <v>1.75959</v>
      </c>
      <c r="J4032" s="13" t="n">
        <f aca="false">IFERROR(MIN(Eingaben!$B$18,MAX(0,F4032-I4032)),0)</f>
        <v>0.75411</v>
      </c>
      <c r="K4032" s="13" t="n">
        <f aca="false">H4032+I4032</f>
        <v>2.4986178</v>
      </c>
      <c r="L4032" s="13" t="n">
        <f aca="false">MAX(0,D4032-K4032)</f>
        <v>2.4413822</v>
      </c>
      <c r="M4032" s="13" t="n">
        <f aca="false">MAX(0,F4032-I4032-J4032)</f>
        <v>0</v>
      </c>
      <c r="N4032" s="13" t="n">
        <f aca="false">IF(Kalender!A6="",0,J4031-H4032)</f>
        <v>0.0150822</v>
      </c>
    </row>
    <row r="4033" customFormat="false" ht="16.4" hidden="false" customHeight="false" outlineLevel="0" collapsed="false">
      <c r="A4033" s="13" t="str">
        <f aca="false">""</f>
        <v/>
      </c>
      <c r="B4033" s="13" t="n">
        <f aca="false">3</f>
        <v>3</v>
      </c>
      <c r="C4033" s="13" t="n">
        <f aca="false">IF(Szenarien!$H$22="OK",(IFERROR(SUMIF(Nutzungsprofile!$B$6:$B$11,"Schulbetrieb",Nutzungsprofile!$G$6:$G$11)*Kalender!C7/SUM(Kalender!$C$5:$C$370),0)+IFERROR(SUMIF(Nutzungsprofile!$B$6:$B$11,"Halle",Nutzungsprofile!$G$6:$G$11)*Kalender!D7/SUM(Kalender!$D$5:$D$370),0)+IFERROR(SUMIF(Nutzungsprofile!$B$6:$B$11,"Individuell",Nutzungsprofile!$G$6:$G$11)*Kalender!E7/SUM(Kalender!$E$5:$E$370),0))*Szenarien!$E$22,0)</f>
        <v>2.04</v>
      </c>
      <c r="D4033" s="13" t="n">
        <f aca="false">IF(Szenarien!$H$22="OK",(IFERROR(SUMIF(Nutzungsprofile!$B$17:$B$22,"Schulbetrieb",Nutzungsprofile!$G$17:$G$22)*Kalender!C7/SUM(Kalender!$C$5:$C$370),0)+IFERROR(SUMIF(Nutzungsprofile!$B$17:$B$22,"Halle",Nutzungsprofile!$G$17:$G$22)*Kalender!D7/SUM(Kalender!$D$5:$D$370),0)+IFERROR(SUMIF(Nutzungsprofile!$B$17:$B$22,"Individuell",Nutzungsprofile!$G$17:$G$22)*Kalender!E7/SUM(Kalender!$E$5:$E$370),0))*Szenarien!$D$22,0)</f>
        <v>0.89</v>
      </c>
      <c r="E4033" s="13" t="n">
        <f aca="false">IFERROR(MIN(C4033,Eingaben!$B$17)*Eingaben!$B$16,0)</f>
        <v>1.938</v>
      </c>
      <c r="F4033" s="13" t="n">
        <f aca="false">IFERROR(E4033*Eingaben!$B$15,0)</f>
        <v>1.7442</v>
      </c>
      <c r="G4033" s="13" t="n">
        <f aca="false">IFERROR(IF(Kalender!A7="",0,J4032*(1-Eingaben!$B$20)),0)</f>
        <v>0.7390278</v>
      </c>
      <c r="H4033" s="13" t="n">
        <f aca="false">MIN(G4033,D4033)</f>
        <v>0.7390278</v>
      </c>
      <c r="I4033" s="13" t="n">
        <f aca="false">IFERROR(MIN(F4033*Eingaben!$B$19,MAX(0,D4033-H4033)),0)</f>
        <v>0.1509722</v>
      </c>
      <c r="J4033" s="13" t="n">
        <f aca="false">IFERROR(MIN(Eingaben!$B$18,MAX(0,F4033-I4033)),0)</f>
        <v>1.5932278</v>
      </c>
      <c r="K4033" s="13" t="n">
        <f aca="false">H4033+I4033</f>
        <v>0.89</v>
      </c>
      <c r="L4033" s="13" t="n">
        <f aca="false">MAX(0,D4033-K4033)</f>
        <v>0</v>
      </c>
      <c r="M4033" s="13" t="n">
        <f aca="false">MAX(0,F4033-I4033-J4033)</f>
        <v>0</v>
      </c>
      <c r="N4033" s="13" t="n">
        <f aca="false">IF(Kalender!A7="",0,J4032-H4033)</f>
        <v>0.0150822</v>
      </c>
    </row>
    <row r="4034" customFormat="false" ht="16.4" hidden="false" customHeight="false" outlineLevel="0" collapsed="false">
      <c r="A4034" s="13" t="str">
        <f aca="false">""</f>
        <v/>
      </c>
      <c r="B4034" s="13" t="n">
        <f aca="false">4</f>
        <v>4</v>
      </c>
      <c r="C4034" s="13" t="n">
        <f aca="false">IF(Szenarien!$H$22="OK",(IFERROR(SUMIF(Nutzungsprofile!$B$6:$B$11,"Schulbetrieb",Nutzungsprofile!$G$6:$G$11)*Kalender!C8/SUM(Kalender!$C$5:$C$370),0)+IFERROR(SUMIF(Nutzungsprofile!$B$6:$B$11,"Halle",Nutzungsprofile!$G$6:$G$11)*Kalender!D8/SUM(Kalender!$D$5:$D$370),0)+IFERROR(SUMIF(Nutzungsprofile!$B$6:$B$11,"Individuell",Nutzungsprofile!$G$6:$G$11)*Kalender!E8/SUM(Kalender!$E$5:$E$370),0))*Szenarien!$E$22,0)</f>
        <v>2.04</v>
      </c>
      <c r="D4034" s="13" t="n">
        <f aca="false">IF(Szenarien!$H$22="OK",(IFERROR(SUMIF(Nutzungsprofile!$B$17:$B$22,"Schulbetrieb",Nutzungsprofile!$G$17:$G$22)*Kalender!C8/SUM(Kalender!$C$5:$C$370),0)+IFERROR(SUMIF(Nutzungsprofile!$B$17:$B$22,"Halle",Nutzungsprofile!$G$17:$G$22)*Kalender!D8/SUM(Kalender!$D$5:$D$370),0)+IFERROR(SUMIF(Nutzungsprofile!$B$17:$B$22,"Individuell",Nutzungsprofile!$G$17:$G$22)*Kalender!E8/SUM(Kalender!$E$5:$E$370),0))*Szenarien!$D$22,0)</f>
        <v>0.89</v>
      </c>
      <c r="E4034" s="13" t="n">
        <f aca="false">IFERROR(MIN(C4034,Eingaben!$B$17)*Eingaben!$B$16,0)</f>
        <v>1.938</v>
      </c>
      <c r="F4034" s="13" t="n">
        <f aca="false">IFERROR(E4034*Eingaben!$B$15,0)</f>
        <v>1.7442</v>
      </c>
      <c r="G4034" s="13" t="n">
        <f aca="false">IFERROR(IF(Kalender!A8="",0,J4033*(1-Eingaben!$B$20)),0)</f>
        <v>1.561363244</v>
      </c>
      <c r="H4034" s="13" t="n">
        <f aca="false">MIN(G4034,D4034)</f>
        <v>0.89</v>
      </c>
      <c r="I4034" s="13" t="n">
        <f aca="false">IFERROR(MIN(F4034*Eingaben!$B$19,MAX(0,D4034-H4034)),0)</f>
        <v>0</v>
      </c>
      <c r="J4034" s="13" t="n">
        <f aca="false">IFERROR(MIN(Eingaben!$B$18,MAX(0,F4034-I4034)),0)</f>
        <v>1.7442</v>
      </c>
      <c r="K4034" s="13" t="n">
        <f aca="false">H4034+I4034</f>
        <v>0.89</v>
      </c>
      <c r="L4034" s="13" t="n">
        <f aca="false">MAX(0,D4034-K4034)</f>
        <v>0</v>
      </c>
      <c r="M4034" s="13" t="n">
        <f aca="false">MAX(0,F4034-I4034-J4034)</f>
        <v>0</v>
      </c>
      <c r="N4034" s="13" t="n">
        <f aca="false">IF(Kalender!A8="",0,J4033-H4034)</f>
        <v>0.7032278</v>
      </c>
    </row>
    <row r="4035" customFormat="false" ht="16.4" hidden="false" customHeight="false" outlineLevel="0" collapsed="false">
      <c r="A4035" s="13" t="str">
        <f aca="false">""</f>
        <v/>
      </c>
      <c r="B4035" s="13" t="n">
        <f aca="false">5</f>
        <v>5</v>
      </c>
      <c r="C4035" s="13" t="n">
        <f aca="false">IF(Szenarien!$H$22="OK",(IFERROR(SUMIF(Nutzungsprofile!$B$6:$B$11,"Schulbetrieb",Nutzungsprofile!$G$6:$G$11)*Kalender!C9/SUM(Kalender!$C$5:$C$370),0)+IFERROR(SUMIF(Nutzungsprofile!$B$6:$B$11,"Halle",Nutzungsprofile!$G$6:$G$11)*Kalender!D9/SUM(Kalender!$D$5:$D$370),0)+IFERROR(SUMIF(Nutzungsprofile!$B$6:$B$11,"Individuell",Nutzungsprofile!$G$6:$G$11)*Kalender!E9/SUM(Kalender!$E$5:$E$370),0))*Szenarien!$E$22,0)</f>
        <v>2.94</v>
      </c>
      <c r="D4035" s="13" t="n">
        <f aca="false">IF(Szenarien!$H$22="OK",(IFERROR(SUMIF(Nutzungsprofile!$B$17:$B$22,"Schulbetrieb",Nutzungsprofile!$G$17:$G$22)*Kalender!C9/SUM(Kalender!$C$5:$C$370),0)+IFERROR(SUMIF(Nutzungsprofile!$B$17:$B$22,"Halle",Nutzungsprofile!$G$17:$G$22)*Kalender!D9/SUM(Kalender!$D$5:$D$370),0)+IFERROR(SUMIF(Nutzungsprofile!$B$17:$B$22,"Individuell",Nutzungsprofile!$G$17:$G$22)*Kalender!E9/SUM(Kalender!$E$5:$E$370),0))*Szenarien!$D$22,0)</f>
        <v>4.94</v>
      </c>
      <c r="E4035" s="13" t="n">
        <f aca="false">IFERROR(MIN(C4035,Eingaben!$B$17)*Eingaben!$B$16,0)</f>
        <v>2.793</v>
      </c>
      <c r="F4035" s="13" t="n">
        <f aca="false">IFERROR(E4035*Eingaben!$B$15,0)</f>
        <v>2.5137</v>
      </c>
      <c r="G4035" s="13" t="n">
        <f aca="false">IFERROR(IF(Kalender!A9="",0,J4034*(1-Eingaben!$B$20)),0)</f>
        <v>1.709316</v>
      </c>
      <c r="H4035" s="13" t="n">
        <f aca="false">MIN(G4035,D4035)</f>
        <v>1.709316</v>
      </c>
      <c r="I4035" s="13" t="n">
        <f aca="false">IFERROR(MIN(F4035*Eingaben!$B$19,MAX(0,D4035-H4035)),0)</f>
        <v>1.75959</v>
      </c>
      <c r="J4035" s="13" t="n">
        <f aca="false">IFERROR(MIN(Eingaben!$B$18,MAX(0,F4035-I4035)),0)</f>
        <v>0.75411</v>
      </c>
      <c r="K4035" s="13" t="n">
        <f aca="false">H4035+I4035</f>
        <v>3.468906</v>
      </c>
      <c r="L4035" s="13" t="n">
        <f aca="false">MAX(0,D4035-K4035)</f>
        <v>1.471094</v>
      </c>
      <c r="M4035" s="13" t="n">
        <f aca="false">MAX(0,F4035-I4035-J4035)</f>
        <v>0</v>
      </c>
      <c r="N4035" s="13" t="n">
        <f aca="false">IF(Kalender!A9="",0,J4034-H4035)</f>
        <v>0.0348840000000001</v>
      </c>
    </row>
    <row r="4036" customFormat="false" ht="16.4" hidden="false" customHeight="false" outlineLevel="0" collapsed="false">
      <c r="A4036" s="13" t="str">
        <f aca="false">""</f>
        <v/>
      </c>
      <c r="B4036" s="13" t="n">
        <f aca="false">6</f>
        <v>6</v>
      </c>
      <c r="C4036" s="13" t="n">
        <f aca="false">IF(Szenarien!$H$22="OK",(IFERROR(SUMIF(Nutzungsprofile!$B$6:$B$11,"Schulbetrieb",Nutzungsprofile!$G$6:$G$11)*Kalender!C10/SUM(Kalender!$C$5:$C$370),0)+IFERROR(SUMIF(Nutzungsprofile!$B$6:$B$11,"Halle",Nutzungsprofile!$G$6:$G$11)*Kalender!D10/SUM(Kalender!$D$5:$D$370),0)+IFERROR(SUMIF(Nutzungsprofile!$B$6:$B$11,"Individuell",Nutzungsprofile!$G$6:$G$11)*Kalender!E10/SUM(Kalender!$E$5:$E$370),0))*Szenarien!$E$22,0)</f>
        <v>2.94</v>
      </c>
      <c r="D4036" s="13" t="n">
        <f aca="false">IF(Szenarien!$H$22="OK",(IFERROR(SUMIF(Nutzungsprofile!$B$17:$B$22,"Schulbetrieb",Nutzungsprofile!$G$17:$G$22)*Kalender!C10/SUM(Kalender!$C$5:$C$370),0)+IFERROR(SUMIF(Nutzungsprofile!$B$17:$B$22,"Halle",Nutzungsprofile!$G$17:$G$22)*Kalender!D10/SUM(Kalender!$D$5:$D$370),0)+IFERROR(SUMIF(Nutzungsprofile!$B$17:$B$22,"Individuell",Nutzungsprofile!$G$17:$G$22)*Kalender!E10/SUM(Kalender!$E$5:$E$370),0))*Szenarien!$D$22,0)</f>
        <v>4.94</v>
      </c>
      <c r="E4036" s="13" t="n">
        <f aca="false">IFERROR(MIN(C4036,Eingaben!$B$17)*Eingaben!$B$16,0)</f>
        <v>2.793</v>
      </c>
      <c r="F4036" s="13" t="n">
        <f aca="false">IFERROR(E4036*Eingaben!$B$15,0)</f>
        <v>2.5137</v>
      </c>
      <c r="G4036" s="13" t="n">
        <f aca="false">IFERROR(IF(Kalender!A10="",0,J4035*(1-Eingaben!$B$20)),0)</f>
        <v>0.7390278</v>
      </c>
      <c r="H4036" s="13" t="n">
        <f aca="false">MIN(G4036,D4036)</f>
        <v>0.7390278</v>
      </c>
      <c r="I4036" s="13" t="n">
        <f aca="false">IFERROR(MIN(F4036*Eingaben!$B$19,MAX(0,D4036-H4036)),0)</f>
        <v>1.75959</v>
      </c>
      <c r="J4036" s="13" t="n">
        <f aca="false">IFERROR(MIN(Eingaben!$B$18,MAX(0,F4036-I4036)),0)</f>
        <v>0.75411</v>
      </c>
      <c r="K4036" s="13" t="n">
        <f aca="false">H4036+I4036</f>
        <v>2.4986178</v>
      </c>
      <c r="L4036" s="13" t="n">
        <f aca="false">MAX(0,D4036-K4036)</f>
        <v>2.4413822</v>
      </c>
      <c r="M4036" s="13" t="n">
        <f aca="false">MAX(0,F4036-I4036-J4036)</f>
        <v>0</v>
      </c>
      <c r="N4036" s="13" t="n">
        <f aca="false">IF(Kalender!A10="",0,J4035-H4036)</f>
        <v>0.0150822</v>
      </c>
    </row>
    <row r="4037" customFormat="false" ht="16.4" hidden="false" customHeight="false" outlineLevel="0" collapsed="false">
      <c r="A4037" s="13" t="str">
        <f aca="false">""</f>
        <v/>
      </c>
      <c r="B4037" s="13" t="n">
        <f aca="false">7</f>
        <v>7</v>
      </c>
      <c r="C4037" s="13" t="n">
        <f aca="false">IF(Szenarien!$H$22="OK",(IFERROR(SUMIF(Nutzungsprofile!$B$6:$B$11,"Schulbetrieb",Nutzungsprofile!$G$6:$G$11)*Kalender!C11/SUM(Kalender!$C$5:$C$370),0)+IFERROR(SUMIF(Nutzungsprofile!$B$6:$B$11,"Halle",Nutzungsprofile!$G$6:$G$11)*Kalender!D11/SUM(Kalender!$D$5:$D$370),0)+IFERROR(SUMIF(Nutzungsprofile!$B$6:$B$11,"Individuell",Nutzungsprofile!$G$6:$G$11)*Kalender!E11/SUM(Kalender!$E$5:$E$370),0))*Szenarien!$E$22,0)</f>
        <v>2.94</v>
      </c>
      <c r="D4037" s="13" t="n">
        <f aca="false">IF(Szenarien!$H$22="OK",(IFERROR(SUMIF(Nutzungsprofile!$B$17:$B$22,"Schulbetrieb",Nutzungsprofile!$G$17:$G$22)*Kalender!C11/SUM(Kalender!$C$5:$C$370),0)+IFERROR(SUMIF(Nutzungsprofile!$B$17:$B$22,"Halle",Nutzungsprofile!$G$17:$G$22)*Kalender!D11/SUM(Kalender!$D$5:$D$370),0)+IFERROR(SUMIF(Nutzungsprofile!$B$17:$B$22,"Individuell",Nutzungsprofile!$G$17:$G$22)*Kalender!E11/SUM(Kalender!$E$5:$E$370),0))*Szenarien!$D$22,0)</f>
        <v>4.94</v>
      </c>
      <c r="E4037" s="13" t="n">
        <f aca="false">IFERROR(MIN(C4037,Eingaben!$B$17)*Eingaben!$B$16,0)</f>
        <v>2.793</v>
      </c>
      <c r="F4037" s="13" t="n">
        <f aca="false">IFERROR(E4037*Eingaben!$B$15,0)</f>
        <v>2.5137</v>
      </c>
      <c r="G4037" s="13" t="n">
        <f aca="false">IFERROR(IF(Kalender!A11="",0,J4036*(1-Eingaben!$B$20)),0)</f>
        <v>0.7390278</v>
      </c>
      <c r="H4037" s="13" t="n">
        <f aca="false">MIN(G4037,D4037)</f>
        <v>0.7390278</v>
      </c>
      <c r="I4037" s="13" t="n">
        <f aca="false">IFERROR(MIN(F4037*Eingaben!$B$19,MAX(0,D4037-H4037)),0)</f>
        <v>1.75959</v>
      </c>
      <c r="J4037" s="13" t="n">
        <f aca="false">IFERROR(MIN(Eingaben!$B$18,MAX(0,F4037-I4037)),0)</f>
        <v>0.75411</v>
      </c>
      <c r="K4037" s="13" t="n">
        <f aca="false">H4037+I4037</f>
        <v>2.4986178</v>
      </c>
      <c r="L4037" s="13" t="n">
        <f aca="false">MAX(0,D4037-K4037)</f>
        <v>2.4413822</v>
      </c>
      <c r="M4037" s="13" t="n">
        <f aca="false">MAX(0,F4037-I4037-J4037)</f>
        <v>0</v>
      </c>
      <c r="N4037" s="13" t="n">
        <f aca="false">IF(Kalender!A11="",0,J4036-H4037)</f>
        <v>0.0150822</v>
      </c>
    </row>
    <row r="4038" customFormat="false" ht="16.4" hidden="false" customHeight="false" outlineLevel="0" collapsed="false">
      <c r="A4038" s="13" t="str">
        <f aca="false">""</f>
        <v/>
      </c>
      <c r="B4038" s="13" t="n">
        <f aca="false">8</f>
        <v>8</v>
      </c>
      <c r="C4038" s="13" t="n">
        <f aca="false">IF(Szenarien!$H$22="OK",(IFERROR(SUMIF(Nutzungsprofile!$B$6:$B$11,"Schulbetrieb",Nutzungsprofile!$G$6:$G$11)*Kalender!C12/SUM(Kalender!$C$5:$C$370),0)+IFERROR(SUMIF(Nutzungsprofile!$B$6:$B$11,"Halle",Nutzungsprofile!$G$6:$G$11)*Kalender!D12/SUM(Kalender!$D$5:$D$370),0)+IFERROR(SUMIF(Nutzungsprofile!$B$6:$B$11,"Individuell",Nutzungsprofile!$G$6:$G$11)*Kalender!E12/SUM(Kalender!$E$5:$E$370),0))*Szenarien!$E$22,0)</f>
        <v>2.94</v>
      </c>
      <c r="D4038" s="13" t="n">
        <f aca="false">IF(Szenarien!$H$22="OK",(IFERROR(SUMIF(Nutzungsprofile!$B$17:$B$22,"Schulbetrieb",Nutzungsprofile!$G$17:$G$22)*Kalender!C12/SUM(Kalender!$C$5:$C$370),0)+IFERROR(SUMIF(Nutzungsprofile!$B$17:$B$22,"Halle",Nutzungsprofile!$G$17:$G$22)*Kalender!D12/SUM(Kalender!$D$5:$D$370),0)+IFERROR(SUMIF(Nutzungsprofile!$B$17:$B$22,"Individuell",Nutzungsprofile!$G$17:$G$22)*Kalender!E12/SUM(Kalender!$E$5:$E$370),0))*Szenarien!$D$22,0)</f>
        <v>4.94</v>
      </c>
      <c r="E4038" s="13" t="n">
        <f aca="false">IFERROR(MIN(C4038,Eingaben!$B$17)*Eingaben!$B$16,0)</f>
        <v>2.793</v>
      </c>
      <c r="F4038" s="13" t="n">
        <f aca="false">IFERROR(E4038*Eingaben!$B$15,0)</f>
        <v>2.5137</v>
      </c>
      <c r="G4038" s="13" t="n">
        <f aca="false">IFERROR(IF(Kalender!A12="",0,J4037*(1-Eingaben!$B$20)),0)</f>
        <v>0.7390278</v>
      </c>
      <c r="H4038" s="13" t="n">
        <f aca="false">MIN(G4038,D4038)</f>
        <v>0.7390278</v>
      </c>
      <c r="I4038" s="13" t="n">
        <f aca="false">IFERROR(MIN(F4038*Eingaben!$B$19,MAX(0,D4038-H4038)),0)</f>
        <v>1.75959</v>
      </c>
      <c r="J4038" s="13" t="n">
        <f aca="false">IFERROR(MIN(Eingaben!$B$18,MAX(0,F4038-I4038)),0)</f>
        <v>0.75411</v>
      </c>
      <c r="K4038" s="13" t="n">
        <f aca="false">H4038+I4038</f>
        <v>2.4986178</v>
      </c>
      <c r="L4038" s="13" t="n">
        <f aca="false">MAX(0,D4038-K4038)</f>
        <v>2.4413822</v>
      </c>
      <c r="M4038" s="13" t="n">
        <f aca="false">MAX(0,F4038-I4038-J4038)</f>
        <v>0</v>
      </c>
      <c r="N4038" s="13" t="n">
        <f aca="false">IF(Kalender!A12="",0,J4037-H4038)</f>
        <v>0.0150822</v>
      </c>
    </row>
    <row r="4039" customFormat="false" ht="16.4" hidden="false" customHeight="false" outlineLevel="0" collapsed="false">
      <c r="A4039" s="13" t="str">
        <f aca="false">""</f>
        <v/>
      </c>
      <c r="B4039" s="13" t="n">
        <f aca="false">9</f>
        <v>9</v>
      </c>
      <c r="C4039" s="13" t="n">
        <f aca="false">IF(Szenarien!$H$22="OK",(IFERROR(SUMIF(Nutzungsprofile!$B$6:$B$11,"Schulbetrieb",Nutzungsprofile!$G$6:$G$11)*Kalender!C13/SUM(Kalender!$C$5:$C$370),0)+IFERROR(SUMIF(Nutzungsprofile!$B$6:$B$11,"Halle",Nutzungsprofile!$G$6:$G$11)*Kalender!D13/SUM(Kalender!$D$5:$D$370),0)+IFERROR(SUMIF(Nutzungsprofile!$B$6:$B$11,"Individuell",Nutzungsprofile!$G$6:$G$11)*Kalender!E13/SUM(Kalender!$E$5:$E$370),0))*Szenarien!$E$22,0)</f>
        <v>2.94</v>
      </c>
      <c r="D4039" s="13" t="n">
        <f aca="false">IF(Szenarien!$H$22="OK",(IFERROR(SUMIF(Nutzungsprofile!$B$17:$B$22,"Schulbetrieb",Nutzungsprofile!$G$17:$G$22)*Kalender!C13/SUM(Kalender!$C$5:$C$370),0)+IFERROR(SUMIF(Nutzungsprofile!$B$17:$B$22,"Halle",Nutzungsprofile!$G$17:$G$22)*Kalender!D13/SUM(Kalender!$D$5:$D$370),0)+IFERROR(SUMIF(Nutzungsprofile!$B$17:$B$22,"Individuell",Nutzungsprofile!$G$17:$G$22)*Kalender!E13/SUM(Kalender!$E$5:$E$370),0))*Szenarien!$D$22,0)</f>
        <v>4.94</v>
      </c>
      <c r="E4039" s="13" t="n">
        <f aca="false">IFERROR(MIN(C4039,Eingaben!$B$17)*Eingaben!$B$16,0)</f>
        <v>2.793</v>
      </c>
      <c r="F4039" s="13" t="n">
        <f aca="false">IFERROR(E4039*Eingaben!$B$15,0)</f>
        <v>2.5137</v>
      </c>
      <c r="G4039" s="13" t="n">
        <f aca="false">IFERROR(IF(Kalender!A13="",0,J4038*(1-Eingaben!$B$20)),0)</f>
        <v>0.7390278</v>
      </c>
      <c r="H4039" s="13" t="n">
        <f aca="false">MIN(G4039,D4039)</f>
        <v>0.7390278</v>
      </c>
      <c r="I4039" s="13" t="n">
        <f aca="false">IFERROR(MIN(F4039*Eingaben!$B$19,MAX(0,D4039-H4039)),0)</f>
        <v>1.75959</v>
      </c>
      <c r="J4039" s="13" t="n">
        <f aca="false">IFERROR(MIN(Eingaben!$B$18,MAX(0,F4039-I4039)),0)</f>
        <v>0.75411</v>
      </c>
      <c r="K4039" s="13" t="n">
        <f aca="false">H4039+I4039</f>
        <v>2.4986178</v>
      </c>
      <c r="L4039" s="13" t="n">
        <f aca="false">MAX(0,D4039-K4039)</f>
        <v>2.4413822</v>
      </c>
      <c r="M4039" s="13" t="n">
        <f aca="false">MAX(0,F4039-I4039-J4039)</f>
        <v>0</v>
      </c>
      <c r="N4039" s="13" t="n">
        <f aca="false">IF(Kalender!A13="",0,J4038-H4039)</f>
        <v>0.0150822</v>
      </c>
    </row>
    <row r="4040" customFormat="false" ht="16.4" hidden="false" customHeight="false" outlineLevel="0" collapsed="false">
      <c r="A4040" s="13" t="str">
        <f aca="false">""</f>
        <v/>
      </c>
      <c r="B4040" s="13" t="n">
        <f aca="false">10</f>
        <v>10</v>
      </c>
      <c r="C4040" s="13" t="n">
        <f aca="false">IF(Szenarien!$H$22="OK",(IFERROR(SUMIF(Nutzungsprofile!$B$6:$B$11,"Schulbetrieb",Nutzungsprofile!$G$6:$G$11)*Kalender!C14/SUM(Kalender!$C$5:$C$370),0)+IFERROR(SUMIF(Nutzungsprofile!$B$6:$B$11,"Halle",Nutzungsprofile!$G$6:$G$11)*Kalender!D14/SUM(Kalender!$D$5:$D$370),0)+IFERROR(SUMIF(Nutzungsprofile!$B$6:$B$11,"Individuell",Nutzungsprofile!$G$6:$G$11)*Kalender!E14/SUM(Kalender!$E$5:$E$370),0))*Szenarien!$E$22,0)</f>
        <v>2.04</v>
      </c>
      <c r="D4040" s="13" t="n">
        <f aca="false">IF(Szenarien!$H$22="OK",(IFERROR(SUMIF(Nutzungsprofile!$B$17:$B$22,"Schulbetrieb",Nutzungsprofile!$G$17:$G$22)*Kalender!C14/SUM(Kalender!$C$5:$C$370),0)+IFERROR(SUMIF(Nutzungsprofile!$B$17:$B$22,"Halle",Nutzungsprofile!$G$17:$G$22)*Kalender!D14/SUM(Kalender!$D$5:$D$370),0)+IFERROR(SUMIF(Nutzungsprofile!$B$17:$B$22,"Individuell",Nutzungsprofile!$G$17:$G$22)*Kalender!E14/SUM(Kalender!$E$5:$E$370),0))*Szenarien!$D$22,0)</f>
        <v>0.89</v>
      </c>
      <c r="E4040" s="13" t="n">
        <f aca="false">IFERROR(MIN(C4040,Eingaben!$B$17)*Eingaben!$B$16,0)</f>
        <v>1.938</v>
      </c>
      <c r="F4040" s="13" t="n">
        <f aca="false">IFERROR(E4040*Eingaben!$B$15,0)</f>
        <v>1.7442</v>
      </c>
      <c r="G4040" s="13" t="n">
        <f aca="false">IFERROR(IF(Kalender!A14="",0,J4039*(1-Eingaben!$B$20)),0)</f>
        <v>0.7390278</v>
      </c>
      <c r="H4040" s="13" t="n">
        <f aca="false">MIN(G4040,D4040)</f>
        <v>0.7390278</v>
      </c>
      <c r="I4040" s="13" t="n">
        <f aca="false">IFERROR(MIN(F4040*Eingaben!$B$19,MAX(0,D4040-H4040)),0)</f>
        <v>0.1509722</v>
      </c>
      <c r="J4040" s="13" t="n">
        <f aca="false">IFERROR(MIN(Eingaben!$B$18,MAX(0,F4040-I4040)),0)</f>
        <v>1.5932278</v>
      </c>
      <c r="K4040" s="13" t="n">
        <f aca="false">H4040+I4040</f>
        <v>0.89</v>
      </c>
      <c r="L4040" s="13" t="n">
        <f aca="false">MAX(0,D4040-K4040)</f>
        <v>0</v>
      </c>
      <c r="M4040" s="13" t="n">
        <f aca="false">MAX(0,F4040-I4040-J4040)</f>
        <v>0</v>
      </c>
      <c r="N4040" s="13" t="n">
        <f aca="false">IF(Kalender!A14="",0,J4039-H4040)</f>
        <v>0.0150822</v>
      </c>
    </row>
    <row r="4041" customFormat="false" ht="16.4" hidden="false" customHeight="false" outlineLevel="0" collapsed="false">
      <c r="A4041" s="13" t="str">
        <f aca="false">""</f>
        <v/>
      </c>
      <c r="B4041" s="13" t="n">
        <f aca="false">11</f>
        <v>11</v>
      </c>
      <c r="C4041" s="13" t="n">
        <f aca="false">IF(Szenarien!$H$22="OK",(IFERROR(SUMIF(Nutzungsprofile!$B$6:$B$11,"Schulbetrieb",Nutzungsprofile!$G$6:$G$11)*Kalender!C15/SUM(Kalender!$C$5:$C$370),0)+IFERROR(SUMIF(Nutzungsprofile!$B$6:$B$11,"Halle",Nutzungsprofile!$G$6:$G$11)*Kalender!D15/SUM(Kalender!$D$5:$D$370),0)+IFERROR(SUMIF(Nutzungsprofile!$B$6:$B$11,"Individuell",Nutzungsprofile!$G$6:$G$11)*Kalender!E15/SUM(Kalender!$E$5:$E$370),0))*Szenarien!$E$22,0)</f>
        <v>2.04</v>
      </c>
      <c r="D4041" s="13" t="n">
        <f aca="false">IF(Szenarien!$H$22="OK",(IFERROR(SUMIF(Nutzungsprofile!$B$17:$B$22,"Schulbetrieb",Nutzungsprofile!$G$17:$G$22)*Kalender!C15/SUM(Kalender!$C$5:$C$370),0)+IFERROR(SUMIF(Nutzungsprofile!$B$17:$B$22,"Halle",Nutzungsprofile!$G$17:$G$22)*Kalender!D15/SUM(Kalender!$D$5:$D$370),0)+IFERROR(SUMIF(Nutzungsprofile!$B$17:$B$22,"Individuell",Nutzungsprofile!$G$17:$G$22)*Kalender!E15/SUM(Kalender!$E$5:$E$370),0))*Szenarien!$D$22,0)</f>
        <v>0.89</v>
      </c>
      <c r="E4041" s="13" t="n">
        <f aca="false">IFERROR(MIN(C4041,Eingaben!$B$17)*Eingaben!$B$16,0)</f>
        <v>1.938</v>
      </c>
      <c r="F4041" s="13" t="n">
        <f aca="false">IFERROR(E4041*Eingaben!$B$15,0)</f>
        <v>1.7442</v>
      </c>
      <c r="G4041" s="13" t="n">
        <f aca="false">IFERROR(IF(Kalender!A15="",0,J4040*(1-Eingaben!$B$20)),0)</f>
        <v>1.561363244</v>
      </c>
      <c r="H4041" s="13" t="n">
        <f aca="false">MIN(G4041,D4041)</f>
        <v>0.89</v>
      </c>
      <c r="I4041" s="13" t="n">
        <f aca="false">IFERROR(MIN(F4041*Eingaben!$B$19,MAX(0,D4041-H4041)),0)</f>
        <v>0</v>
      </c>
      <c r="J4041" s="13" t="n">
        <f aca="false">IFERROR(MIN(Eingaben!$B$18,MAX(0,F4041-I4041)),0)</f>
        <v>1.7442</v>
      </c>
      <c r="K4041" s="13" t="n">
        <f aca="false">H4041+I4041</f>
        <v>0.89</v>
      </c>
      <c r="L4041" s="13" t="n">
        <f aca="false">MAX(0,D4041-K4041)</f>
        <v>0</v>
      </c>
      <c r="M4041" s="13" t="n">
        <f aca="false">MAX(0,F4041-I4041-J4041)</f>
        <v>0</v>
      </c>
      <c r="N4041" s="13" t="n">
        <f aca="false">IF(Kalender!A15="",0,J4040-H4041)</f>
        <v>0.7032278</v>
      </c>
    </row>
    <row r="4042" customFormat="false" ht="16.4" hidden="false" customHeight="false" outlineLevel="0" collapsed="false">
      <c r="A4042" s="13" t="str">
        <f aca="false">""</f>
        <v/>
      </c>
      <c r="B4042" s="13" t="n">
        <f aca="false">12</f>
        <v>12</v>
      </c>
      <c r="C4042" s="13" t="n">
        <f aca="false">IF(Szenarien!$H$22="OK",(IFERROR(SUMIF(Nutzungsprofile!$B$6:$B$11,"Schulbetrieb",Nutzungsprofile!$G$6:$G$11)*Kalender!C16/SUM(Kalender!$C$5:$C$370),0)+IFERROR(SUMIF(Nutzungsprofile!$B$6:$B$11,"Halle",Nutzungsprofile!$G$6:$G$11)*Kalender!D16/SUM(Kalender!$D$5:$D$370),0)+IFERROR(SUMIF(Nutzungsprofile!$B$6:$B$11,"Individuell",Nutzungsprofile!$G$6:$G$11)*Kalender!E16/SUM(Kalender!$E$5:$E$370),0))*Szenarien!$E$22,0)</f>
        <v>2.94</v>
      </c>
      <c r="D4042" s="13" t="n">
        <f aca="false">IF(Szenarien!$H$22="OK",(IFERROR(SUMIF(Nutzungsprofile!$B$17:$B$22,"Schulbetrieb",Nutzungsprofile!$G$17:$G$22)*Kalender!C16/SUM(Kalender!$C$5:$C$370),0)+IFERROR(SUMIF(Nutzungsprofile!$B$17:$B$22,"Halle",Nutzungsprofile!$G$17:$G$22)*Kalender!D16/SUM(Kalender!$D$5:$D$370),0)+IFERROR(SUMIF(Nutzungsprofile!$B$17:$B$22,"Individuell",Nutzungsprofile!$G$17:$G$22)*Kalender!E16/SUM(Kalender!$E$5:$E$370),0))*Szenarien!$D$22,0)</f>
        <v>4.94</v>
      </c>
      <c r="E4042" s="13" t="n">
        <f aca="false">IFERROR(MIN(C4042,Eingaben!$B$17)*Eingaben!$B$16,0)</f>
        <v>2.793</v>
      </c>
      <c r="F4042" s="13" t="n">
        <f aca="false">IFERROR(E4042*Eingaben!$B$15,0)</f>
        <v>2.5137</v>
      </c>
      <c r="G4042" s="13" t="n">
        <f aca="false">IFERROR(IF(Kalender!A16="",0,J4041*(1-Eingaben!$B$20)),0)</f>
        <v>1.709316</v>
      </c>
      <c r="H4042" s="13" t="n">
        <f aca="false">MIN(G4042,D4042)</f>
        <v>1.709316</v>
      </c>
      <c r="I4042" s="13" t="n">
        <f aca="false">IFERROR(MIN(F4042*Eingaben!$B$19,MAX(0,D4042-H4042)),0)</f>
        <v>1.75959</v>
      </c>
      <c r="J4042" s="13" t="n">
        <f aca="false">IFERROR(MIN(Eingaben!$B$18,MAX(0,F4042-I4042)),0)</f>
        <v>0.75411</v>
      </c>
      <c r="K4042" s="13" t="n">
        <f aca="false">H4042+I4042</f>
        <v>3.468906</v>
      </c>
      <c r="L4042" s="13" t="n">
        <f aca="false">MAX(0,D4042-K4042)</f>
        <v>1.471094</v>
      </c>
      <c r="M4042" s="13" t="n">
        <f aca="false">MAX(0,F4042-I4042-J4042)</f>
        <v>0</v>
      </c>
      <c r="N4042" s="13" t="n">
        <f aca="false">IF(Kalender!A16="",0,J4041-H4042)</f>
        <v>0.0348840000000001</v>
      </c>
    </row>
    <row r="4043" customFormat="false" ht="16.4" hidden="false" customHeight="false" outlineLevel="0" collapsed="false">
      <c r="A4043" s="13" t="str">
        <f aca="false">""</f>
        <v/>
      </c>
      <c r="B4043" s="13" t="n">
        <f aca="false">13</f>
        <v>13</v>
      </c>
      <c r="C4043" s="13" t="n">
        <f aca="false">IF(Szenarien!$H$22="OK",(IFERROR(SUMIF(Nutzungsprofile!$B$6:$B$11,"Schulbetrieb",Nutzungsprofile!$G$6:$G$11)*Kalender!C17/SUM(Kalender!$C$5:$C$370),0)+IFERROR(SUMIF(Nutzungsprofile!$B$6:$B$11,"Halle",Nutzungsprofile!$G$6:$G$11)*Kalender!D17/SUM(Kalender!$D$5:$D$370),0)+IFERROR(SUMIF(Nutzungsprofile!$B$6:$B$11,"Individuell",Nutzungsprofile!$G$6:$G$11)*Kalender!E17/SUM(Kalender!$E$5:$E$370),0))*Szenarien!$E$22,0)</f>
        <v>2.94</v>
      </c>
      <c r="D4043" s="13" t="n">
        <f aca="false">IF(Szenarien!$H$22="OK",(IFERROR(SUMIF(Nutzungsprofile!$B$17:$B$22,"Schulbetrieb",Nutzungsprofile!$G$17:$G$22)*Kalender!C17/SUM(Kalender!$C$5:$C$370),0)+IFERROR(SUMIF(Nutzungsprofile!$B$17:$B$22,"Halle",Nutzungsprofile!$G$17:$G$22)*Kalender!D17/SUM(Kalender!$D$5:$D$370),0)+IFERROR(SUMIF(Nutzungsprofile!$B$17:$B$22,"Individuell",Nutzungsprofile!$G$17:$G$22)*Kalender!E17/SUM(Kalender!$E$5:$E$370),0))*Szenarien!$D$22,0)</f>
        <v>4.94</v>
      </c>
      <c r="E4043" s="13" t="n">
        <f aca="false">IFERROR(MIN(C4043,Eingaben!$B$17)*Eingaben!$B$16,0)</f>
        <v>2.793</v>
      </c>
      <c r="F4043" s="13" t="n">
        <f aca="false">IFERROR(E4043*Eingaben!$B$15,0)</f>
        <v>2.5137</v>
      </c>
      <c r="G4043" s="13" t="n">
        <f aca="false">IFERROR(IF(Kalender!A17="",0,J4042*(1-Eingaben!$B$20)),0)</f>
        <v>0.7390278</v>
      </c>
      <c r="H4043" s="13" t="n">
        <f aca="false">MIN(G4043,D4043)</f>
        <v>0.7390278</v>
      </c>
      <c r="I4043" s="13" t="n">
        <f aca="false">IFERROR(MIN(F4043*Eingaben!$B$19,MAX(0,D4043-H4043)),0)</f>
        <v>1.75959</v>
      </c>
      <c r="J4043" s="13" t="n">
        <f aca="false">IFERROR(MIN(Eingaben!$B$18,MAX(0,F4043-I4043)),0)</f>
        <v>0.75411</v>
      </c>
      <c r="K4043" s="13" t="n">
        <f aca="false">H4043+I4043</f>
        <v>2.4986178</v>
      </c>
      <c r="L4043" s="13" t="n">
        <f aca="false">MAX(0,D4043-K4043)</f>
        <v>2.4413822</v>
      </c>
      <c r="M4043" s="13" t="n">
        <f aca="false">MAX(0,F4043-I4043-J4043)</f>
        <v>0</v>
      </c>
      <c r="N4043" s="13" t="n">
        <f aca="false">IF(Kalender!A17="",0,J4042-H4043)</f>
        <v>0.0150822</v>
      </c>
    </row>
    <row r="4044" customFormat="false" ht="16.4" hidden="false" customHeight="false" outlineLevel="0" collapsed="false">
      <c r="A4044" s="13" t="str">
        <f aca="false">""</f>
        <v/>
      </c>
      <c r="B4044" s="13" t="n">
        <f aca="false">14</f>
        <v>14</v>
      </c>
      <c r="C4044" s="13" t="n">
        <f aca="false">IF(Szenarien!$H$22="OK",(IFERROR(SUMIF(Nutzungsprofile!$B$6:$B$11,"Schulbetrieb",Nutzungsprofile!$G$6:$G$11)*Kalender!C18/SUM(Kalender!$C$5:$C$370),0)+IFERROR(SUMIF(Nutzungsprofile!$B$6:$B$11,"Halle",Nutzungsprofile!$G$6:$G$11)*Kalender!D18/SUM(Kalender!$D$5:$D$370),0)+IFERROR(SUMIF(Nutzungsprofile!$B$6:$B$11,"Individuell",Nutzungsprofile!$G$6:$G$11)*Kalender!E18/SUM(Kalender!$E$5:$E$370),0))*Szenarien!$E$22,0)</f>
        <v>2.94</v>
      </c>
      <c r="D4044" s="13" t="n">
        <f aca="false">IF(Szenarien!$H$22="OK",(IFERROR(SUMIF(Nutzungsprofile!$B$17:$B$22,"Schulbetrieb",Nutzungsprofile!$G$17:$G$22)*Kalender!C18/SUM(Kalender!$C$5:$C$370),0)+IFERROR(SUMIF(Nutzungsprofile!$B$17:$B$22,"Halle",Nutzungsprofile!$G$17:$G$22)*Kalender!D18/SUM(Kalender!$D$5:$D$370),0)+IFERROR(SUMIF(Nutzungsprofile!$B$17:$B$22,"Individuell",Nutzungsprofile!$G$17:$G$22)*Kalender!E18/SUM(Kalender!$E$5:$E$370),0))*Szenarien!$D$22,0)</f>
        <v>4.94</v>
      </c>
      <c r="E4044" s="13" t="n">
        <f aca="false">IFERROR(MIN(C4044,Eingaben!$B$17)*Eingaben!$B$16,0)</f>
        <v>2.793</v>
      </c>
      <c r="F4044" s="13" t="n">
        <f aca="false">IFERROR(E4044*Eingaben!$B$15,0)</f>
        <v>2.5137</v>
      </c>
      <c r="G4044" s="13" t="n">
        <f aca="false">IFERROR(IF(Kalender!A18="",0,J4043*(1-Eingaben!$B$20)),0)</f>
        <v>0.7390278</v>
      </c>
      <c r="H4044" s="13" t="n">
        <f aca="false">MIN(G4044,D4044)</f>
        <v>0.7390278</v>
      </c>
      <c r="I4044" s="13" t="n">
        <f aca="false">IFERROR(MIN(F4044*Eingaben!$B$19,MAX(0,D4044-H4044)),0)</f>
        <v>1.75959</v>
      </c>
      <c r="J4044" s="13" t="n">
        <f aca="false">IFERROR(MIN(Eingaben!$B$18,MAX(0,F4044-I4044)),0)</f>
        <v>0.75411</v>
      </c>
      <c r="K4044" s="13" t="n">
        <f aca="false">H4044+I4044</f>
        <v>2.4986178</v>
      </c>
      <c r="L4044" s="13" t="n">
        <f aca="false">MAX(0,D4044-K4044)</f>
        <v>2.4413822</v>
      </c>
      <c r="M4044" s="13" t="n">
        <f aca="false">MAX(0,F4044-I4044-J4044)</f>
        <v>0</v>
      </c>
      <c r="N4044" s="13" t="n">
        <f aca="false">IF(Kalender!A18="",0,J4043-H4044)</f>
        <v>0.0150822</v>
      </c>
    </row>
    <row r="4045" customFormat="false" ht="16.4" hidden="false" customHeight="false" outlineLevel="0" collapsed="false">
      <c r="A4045" s="13" t="str">
        <f aca="false">""</f>
        <v/>
      </c>
      <c r="B4045" s="13" t="n">
        <f aca="false">15</f>
        <v>15</v>
      </c>
      <c r="C4045" s="13" t="n">
        <f aca="false">IF(Szenarien!$H$22="OK",(IFERROR(SUMIF(Nutzungsprofile!$B$6:$B$11,"Schulbetrieb",Nutzungsprofile!$G$6:$G$11)*Kalender!C19/SUM(Kalender!$C$5:$C$370),0)+IFERROR(SUMIF(Nutzungsprofile!$B$6:$B$11,"Halle",Nutzungsprofile!$G$6:$G$11)*Kalender!D19/SUM(Kalender!$D$5:$D$370),0)+IFERROR(SUMIF(Nutzungsprofile!$B$6:$B$11,"Individuell",Nutzungsprofile!$G$6:$G$11)*Kalender!E19/SUM(Kalender!$E$5:$E$370),0))*Szenarien!$E$22,0)</f>
        <v>2.94</v>
      </c>
      <c r="D4045" s="13" t="n">
        <f aca="false">IF(Szenarien!$H$22="OK",(IFERROR(SUMIF(Nutzungsprofile!$B$17:$B$22,"Schulbetrieb",Nutzungsprofile!$G$17:$G$22)*Kalender!C19/SUM(Kalender!$C$5:$C$370),0)+IFERROR(SUMIF(Nutzungsprofile!$B$17:$B$22,"Halle",Nutzungsprofile!$G$17:$G$22)*Kalender!D19/SUM(Kalender!$D$5:$D$370),0)+IFERROR(SUMIF(Nutzungsprofile!$B$17:$B$22,"Individuell",Nutzungsprofile!$G$17:$G$22)*Kalender!E19/SUM(Kalender!$E$5:$E$370),0))*Szenarien!$D$22,0)</f>
        <v>4.94</v>
      </c>
      <c r="E4045" s="13" t="n">
        <f aca="false">IFERROR(MIN(C4045,Eingaben!$B$17)*Eingaben!$B$16,0)</f>
        <v>2.793</v>
      </c>
      <c r="F4045" s="13" t="n">
        <f aca="false">IFERROR(E4045*Eingaben!$B$15,0)</f>
        <v>2.5137</v>
      </c>
      <c r="G4045" s="13" t="n">
        <f aca="false">IFERROR(IF(Kalender!A19="",0,J4044*(1-Eingaben!$B$20)),0)</f>
        <v>0.7390278</v>
      </c>
      <c r="H4045" s="13" t="n">
        <f aca="false">MIN(G4045,D4045)</f>
        <v>0.7390278</v>
      </c>
      <c r="I4045" s="13" t="n">
        <f aca="false">IFERROR(MIN(F4045*Eingaben!$B$19,MAX(0,D4045-H4045)),0)</f>
        <v>1.75959</v>
      </c>
      <c r="J4045" s="13" t="n">
        <f aca="false">IFERROR(MIN(Eingaben!$B$18,MAX(0,F4045-I4045)),0)</f>
        <v>0.75411</v>
      </c>
      <c r="K4045" s="13" t="n">
        <f aca="false">H4045+I4045</f>
        <v>2.4986178</v>
      </c>
      <c r="L4045" s="13" t="n">
        <f aca="false">MAX(0,D4045-K4045)</f>
        <v>2.4413822</v>
      </c>
      <c r="M4045" s="13" t="n">
        <f aca="false">MAX(0,F4045-I4045-J4045)</f>
        <v>0</v>
      </c>
      <c r="N4045" s="13" t="n">
        <f aca="false">IF(Kalender!A19="",0,J4044-H4045)</f>
        <v>0.0150822</v>
      </c>
    </row>
    <row r="4046" customFormat="false" ht="16.4" hidden="false" customHeight="false" outlineLevel="0" collapsed="false">
      <c r="A4046" s="13" t="str">
        <f aca="false">""</f>
        <v/>
      </c>
      <c r="B4046" s="13" t="n">
        <f aca="false">16</f>
        <v>16</v>
      </c>
      <c r="C4046" s="13" t="n">
        <f aca="false">IF(Szenarien!$H$22="OK",(IFERROR(SUMIF(Nutzungsprofile!$B$6:$B$11,"Schulbetrieb",Nutzungsprofile!$G$6:$G$11)*Kalender!C20/SUM(Kalender!$C$5:$C$370),0)+IFERROR(SUMIF(Nutzungsprofile!$B$6:$B$11,"Halle",Nutzungsprofile!$G$6:$G$11)*Kalender!D20/SUM(Kalender!$D$5:$D$370),0)+IFERROR(SUMIF(Nutzungsprofile!$B$6:$B$11,"Individuell",Nutzungsprofile!$G$6:$G$11)*Kalender!E20/SUM(Kalender!$E$5:$E$370),0))*Szenarien!$E$22,0)</f>
        <v>2.94</v>
      </c>
      <c r="D4046" s="13" t="n">
        <f aca="false">IF(Szenarien!$H$22="OK",(IFERROR(SUMIF(Nutzungsprofile!$B$17:$B$22,"Schulbetrieb",Nutzungsprofile!$G$17:$G$22)*Kalender!C20/SUM(Kalender!$C$5:$C$370),0)+IFERROR(SUMIF(Nutzungsprofile!$B$17:$B$22,"Halle",Nutzungsprofile!$G$17:$G$22)*Kalender!D20/SUM(Kalender!$D$5:$D$370),0)+IFERROR(SUMIF(Nutzungsprofile!$B$17:$B$22,"Individuell",Nutzungsprofile!$G$17:$G$22)*Kalender!E20/SUM(Kalender!$E$5:$E$370),0))*Szenarien!$D$22,0)</f>
        <v>4.94</v>
      </c>
      <c r="E4046" s="13" t="n">
        <f aca="false">IFERROR(MIN(C4046,Eingaben!$B$17)*Eingaben!$B$16,0)</f>
        <v>2.793</v>
      </c>
      <c r="F4046" s="13" t="n">
        <f aca="false">IFERROR(E4046*Eingaben!$B$15,0)</f>
        <v>2.5137</v>
      </c>
      <c r="G4046" s="13" t="n">
        <f aca="false">IFERROR(IF(Kalender!A20="",0,J4045*(1-Eingaben!$B$20)),0)</f>
        <v>0.7390278</v>
      </c>
      <c r="H4046" s="13" t="n">
        <f aca="false">MIN(G4046,D4046)</f>
        <v>0.7390278</v>
      </c>
      <c r="I4046" s="13" t="n">
        <f aca="false">IFERROR(MIN(F4046*Eingaben!$B$19,MAX(0,D4046-H4046)),0)</f>
        <v>1.75959</v>
      </c>
      <c r="J4046" s="13" t="n">
        <f aca="false">IFERROR(MIN(Eingaben!$B$18,MAX(0,F4046-I4046)),0)</f>
        <v>0.75411</v>
      </c>
      <c r="K4046" s="13" t="n">
        <f aca="false">H4046+I4046</f>
        <v>2.4986178</v>
      </c>
      <c r="L4046" s="13" t="n">
        <f aca="false">MAX(0,D4046-K4046)</f>
        <v>2.4413822</v>
      </c>
      <c r="M4046" s="13" t="n">
        <f aca="false">MAX(0,F4046-I4046-J4046)</f>
        <v>0</v>
      </c>
      <c r="N4046" s="13" t="n">
        <f aca="false">IF(Kalender!A20="",0,J4045-H4046)</f>
        <v>0.0150822</v>
      </c>
    </row>
    <row r="4047" customFormat="false" ht="16.4" hidden="false" customHeight="false" outlineLevel="0" collapsed="false">
      <c r="A4047" s="13" t="str">
        <f aca="false">""</f>
        <v/>
      </c>
      <c r="B4047" s="13" t="n">
        <f aca="false">17</f>
        <v>17</v>
      </c>
      <c r="C4047" s="13" t="n">
        <f aca="false">IF(Szenarien!$H$22="OK",(IFERROR(SUMIF(Nutzungsprofile!$B$6:$B$11,"Schulbetrieb",Nutzungsprofile!$G$6:$G$11)*Kalender!C21/SUM(Kalender!$C$5:$C$370),0)+IFERROR(SUMIF(Nutzungsprofile!$B$6:$B$11,"Halle",Nutzungsprofile!$G$6:$G$11)*Kalender!D21/SUM(Kalender!$D$5:$D$370),0)+IFERROR(SUMIF(Nutzungsprofile!$B$6:$B$11,"Individuell",Nutzungsprofile!$G$6:$G$11)*Kalender!E21/SUM(Kalender!$E$5:$E$370),0))*Szenarien!$E$22,0)</f>
        <v>2.04</v>
      </c>
      <c r="D4047" s="13" t="n">
        <f aca="false">IF(Szenarien!$H$22="OK",(IFERROR(SUMIF(Nutzungsprofile!$B$17:$B$22,"Schulbetrieb",Nutzungsprofile!$G$17:$G$22)*Kalender!C21/SUM(Kalender!$C$5:$C$370),0)+IFERROR(SUMIF(Nutzungsprofile!$B$17:$B$22,"Halle",Nutzungsprofile!$G$17:$G$22)*Kalender!D21/SUM(Kalender!$D$5:$D$370),0)+IFERROR(SUMIF(Nutzungsprofile!$B$17:$B$22,"Individuell",Nutzungsprofile!$G$17:$G$22)*Kalender!E21/SUM(Kalender!$E$5:$E$370),0))*Szenarien!$D$22,0)</f>
        <v>0.89</v>
      </c>
      <c r="E4047" s="13" t="n">
        <f aca="false">IFERROR(MIN(C4047,Eingaben!$B$17)*Eingaben!$B$16,0)</f>
        <v>1.938</v>
      </c>
      <c r="F4047" s="13" t="n">
        <f aca="false">IFERROR(E4047*Eingaben!$B$15,0)</f>
        <v>1.7442</v>
      </c>
      <c r="G4047" s="13" t="n">
        <f aca="false">IFERROR(IF(Kalender!A21="",0,J4046*(1-Eingaben!$B$20)),0)</f>
        <v>0.7390278</v>
      </c>
      <c r="H4047" s="13" t="n">
        <f aca="false">MIN(G4047,D4047)</f>
        <v>0.7390278</v>
      </c>
      <c r="I4047" s="13" t="n">
        <f aca="false">IFERROR(MIN(F4047*Eingaben!$B$19,MAX(0,D4047-H4047)),0)</f>
        <v>0.1509722</v>
      </c>
      <c r="J4047" s="13" t="n">
        <f aca="false">IFERROR(MIN(Eingaben!$B$18,MAX(0,F4047-I4047)),0)</f>
        <v>1.5932278</v>
      </c>
      <c r="K4047" s="13" t="n">
        <f aca="false">H4047+I4047</f>
        <v>0.89</v>
      </c>
      <c r="L4047" s="13" t="n">
        <f aca="false">MAX(0,D4047-K4047)</f>
        <v>0</v>
      </c>
      <c r="M4047" s="13" t="n">
        <f aca="false">MAX(0,F4047-I4047-J4047)</f>
        <v>0</v>
      </c>
      <c r="N4047" s="13" t="n">
        <f aca="false">IF(Kalender!A21="",0,J4046-H4047)</f>
        <v>0.0150822</v>
      </c>
    </row>
    <row r="4048" customFormat="false" ht="16.4" hidden="false" customHeight="false" outlineLevel="0" collapsed="false">
      <c r="A4048" s="13" t="str">
        <f aca="false">""</f>
        <v/>
      </c>
      <c r="B4048" s="13" t="n">
        <f aca="false">18</f>
        <v>18</v>
      </c>
      <c r="C4048" s="13" t="n">
        <f aca="false">IF(Szenarien!$H$22="OK",(IFERROR(SUMIF(Nutzungsprofile!$B$6:$B$11,"Schulbetrieb",Nutzungsprofile!$G$6:$G$11)*Kalender!C22/SUM(Kalender!$C$5:$C$370),0)+IFERROR(SUMIF(Nutzungsprofile!$B$6:$B$11,"Halle",Nutzungsprofile!$G$6:$G$11)*Kalender!D22/SUM(Kalender!$D$5:$D$370),0)+IFERROR(SUMIF(Nutzungsprofile!$B$6:$B$11,"Individuell",Nutzungsprofile!$G$6:$G$11)*Kalender!E22/SUM(Kalender!$E$5:$E$370),0))*Szenarien!$E$22,0)</f>
        <v>2.04</v>
      </c>
      <c r="D4048" s="13" t="n">
        <f aca="false">IF(Szenarien!$H$22="OK",(IFERROR(SUMIF(Nutzungsprofile!$B$17:$B$22,"Schulbetrieb",Nutzungsprofile!$G$17:$G$22)*Kalender!C22/SUM(Kalender!$C$5:$C$370),0)+IFERROR(SUMIF(Nutzungsprofile!$B$17:$B$22,"Halle",Nutzungsprofile!$G$17:$G$22)*Kalender!D22/SUM(Kalender!$D$5:$D$370),0)+IFERROR(SUMIF(Nutzungsprofile!$B$17:$B$22,"Individuell",Nutzungsprofile!$G$17:$G$22)*Kalender!E22/SUM(Kalender!$E$5:$E$370),0))*Szenarien!$D$22,0)</f>
        <v>0.89</v>
      </c>
      <c r="E4048" s="13" t="n">
        <f aca="false">IFERROR(MIN(C4048,Eingaben!$B$17)*Eingaben!$B$16,0)</f>
        <v>1.938</v>
      </c>
      <c r="F4048" s="13" t="n">
        <f aca="false">IFERROR(E4048*Eingaben!$B$15,0)</f>
        <v>1.7442</v>
      </c>
      <c r="G4048" s="13" t="n">
        <f aca="false">IFERROR(IF(Kalender!A22="",0,J4047*(1-Eingaben!$B$20)),0)</f>
        <v>1.561363244</v>
      </c>
      <c r="H4048" s="13" t="n">
        <f aca="false">MIN(G4048,D4048)</f>
        <v>0.89</v>
      </c>
      <c r="I4048" s="13" t="n">
        <f aca="false">IFERROR(MIN(F4048*Eingaben!$B$19,MAX(0,D4048-H4048)),0)</f>
        <v>0</v>
      </c>
      <c r="J4048" s="13" t="n">
        <f aca="false">IFERROR(MIN(Eingaben!$B$18,MAX(0,F4048-I4048)),0)</f>
        <v>1.7442</v>
      </c>
      <c r="K4048" s="13" t="n">
        <f aca="false">H4048+I4048</f>
        <v>0.89</v>
      </c>
      <c r="L4048" s="13" t="n">
        <f aca="false">MAX(0,D4048-K4048)</f>
        <v>0</v>
      </c>
      <c r="M4048" s="13" t="n">
        <f aca="false">MAX(0,F4048-I4048-J4048)</f>
        <v>0</v>
      </c>
      <c r="N4048" s="13" t="n">
        <f aca="false">IF(Kalender!A22="",0,J4047-H4048)</f>
        <v>0.7032278</v>
      </c>
    </row>
    <row r="4049" customFormat="false" ht="16.4" hidden="false" customHeight="false" outlineLevel="0" collapsed="false">
      <c r="A4049" s="13" t="str">
        <f aca="false">""</f>
        <v/>
      </c>
      <c r="B4049" s="13" t="n">
        <f aca="false">19</f>
        <v>19</v>
      </c>
      <c r="C4049" s="13" t="n">
        <f aca="false">IF(Szenarien!$H$22="OK",(IFERROR(SUMIF(Nutzungsprofile!$B$6:$B$11,"Schulbetrieb",Nutzungsprofile!$G$6:$G$11)*Kalender!C23/SUM(Kalender!$C$5:$C$370),0)+IFERROR(SUMIF(Nutzungsprofile!$B$6:$B$11,"Halle",Nutzungsprofile!$G$6:$G$11)*Kalender!D23/SUM(Kalender!$D$5:$D$370),0)+IFERROR(SUMIF(Nutzungsprofile!$B$6:$B$11,"Individuell",Nutzungsprofile!$G$6:$G$11)*Kalender!E23/SUM(Kalender!$E$5:$E$370),0))*Szenarien!$E$22,0)</f>
        <v>2.94</v>
      </c>
      <c r="D4049" s="13" t="n">
        <f aca="false">IF(Szenarien!$H$22="OK",(IFERROR(SUMIF(Nutzungsprofile!$B$17:$B$22,"Schulbetrieb",Nutzungsprofile!$G$17:$G$22)*Kalender!C23/SUM(Kalender!$C$5:$C$370),0)+IFERROR(SUMIF(Nutzungsprofile!$B$17:$B$22,"Halle",Nutzungsprofile!$G$17:$G$22)*Kalender!D23/SUM(Kalender!$D$5:$D$370),0)+IFERROR(SUMIF(Nutzungsprofile!$B$17:$B$22,"Individuell",Nutzungsprofile!$G$17:$G$22)*Kalender!E23/SUM(Kalender!$E$5:$E$370),0))*Szenarien!$D$22,0)</f>
        <v>4.94</v>
      </c>
      <c r="E4049" s="13" t="n">
        <f aca="false">IFERROR(MIN(C4049,Eingaben!$B$17)*Eingaben!$B$16,0)</f>
        <v>2.793</v>
      </c>
      <c r="F4049" s="13" t="n">
        <f aca="false">IFERROR(E4049*Eingaben!$B$15,0)</f>
        <v>2.5137</v>
      </c>
      <c r="G4049" s="13" t="n">
        <f aca="false">IFERROR(IF(Kalender!A23="",0,J4048*(1-Eingaben!$B$20)),0)</f>
        <v>1.709316</v>
      </c>
      <c r="H4049" s="13" t="n">
        <f aca="false">MIN(G4049,D4049)</f>
        <v>1.709316</v>
      </c>
      <c r="I4049" s="13" t="n">
        <f aca="false">IFERROR(MIN(F4049*Eingaben!$B$19,MAX(0,D4049-H4049)),0)</f>
        <v>1.75959</v>
      </c>
      <c r="J4049" s="13" t="n">
        <f aca="false">IFERROR(MIN(Eingaben!$B$18,MAX(0,F4049-I4049)),0)</f>
        <v>0.75411</v>
      </c>
      <c r="K4049" s="13" t="n">
        <f aca="false">H4049+I4049</f>
        <v>3.468906</v>
      </c>
      <c r="L4049" s="13" t="n">
        <f aca="false">MAX(0,D4049-K4049)</f>
        <v>1.471094</v>
      </c>
      <c r="M4049" s="13" t="n">
        <f aca="false">MAX(0,F4049-I4049-J4049)</f>
        <v>0</v>
      </c>
      <c r="N4049" s="13" t="n">
        <f aca="false">IF(Kalender!A23="",0,J4048-H4049)</f>
        <v>0.0348840000000001</v>
      </c>
    </row>
    <row r="4050" customFormat="false" ht="16.4" hidden="false" customHeight="false" outlineLevel="0" collapsed="false">
      <c r="A4050" s="13" t="str">
        <f aca="false">""</f>
        <v/>
      </c>
      <c r="B4050" s="13" t="n">
        <f aca="false">20</f>
        <v>20</v>
      </c>
      <c r="C4050" s="13" t="n">
        <f aca="false">IF(Szenarien!$H$22="OK",(IFERROR(SUMIF(Nutzungsprofile!$B$6:$B$11,"Schulbetrieb",Nutzungsprofile!$G$6:$G$11)*Kalender!C24/SUM(Kalender!$C$5:$C$370),0)+IFERROR(SUMIF(Nutzungsprofile!$B$6:$B$11,"Halle",Nutzungsprofile!$G$6:$G$11)*Kalender!D24/SUM(Kalender!$D$5:$D$370),0)+IFERROR(SUMIF(Nutzungsprofile!$B$6:$B$11,"Individuell",Nutzungsprofile!$G$6:$G$11)*Kalender!E24/SUM(Kalender!$E$5:$E$370),0))*Szenarien!$E$22,0)</f>
        <v>2.94</v>
      </c>
      <c r="D4050" s="13" t="n">
        <f aca="false">IF(Szenarien!$H$22="OK",(IFERROR(SUMIF(Nutzungsprofile!$B$17:$B$22,"Schulbetrieb",Nutzungsprofile!$G$17:$G$22)*Kalender!C24/SUM(Kalender!$C$5:$C$370),0)+IFERROR(SUMIF(Nutzungsprofile!$B$17:$B$22,"Halle",Nutzungsprofile!$G$17:$G$22)*Kalender!D24/SUM(Kalender!$D$5:$D$370),0)+IFERROR(SUMIF(Nutzungsprofile!$B$17:$B$22,"Individuell",Nutzungsprofile!$G$17:$G$22)*Kalender!E24/SUM(Kalender!$E$5:$E$370),0))*Szenarien!$D$22,0)</f>
        <v>4.94</v>
      </c>
      <c r="E4050" s="13" t="n">
        <f aca="false">IFERROR(MIN(C4050,Eingaben!$B$17)*Eingaben!$B$16,0)</f>
        <v>2.793</v>
      </c>
      <c r="F4050" s="13" t="n">
        <f aca="false">IFERROR(E4050*Eingaben!$B$15,0)</f>
        <v>2.5137</v>
      </c>
      <c r="G4050" s="13" t="n">
        <f aca="false">IFERROR(IF(Kalender!A24="",0,J4049*(1-Eingaben!$B$20)),0)</f>
        <v>0.7390278</v>
      </c>
      <c r="H4050" s="13" t="n">
        <f aca="false">MIN(G4050,D4050)</f>
        <v>0.7390278</v>
      </c>
      <c r="I4050" s="13" t="n">
        <f aca="false">IFERROR(MIN(F4050*Eingaben!$B$19,MAX(0,D4050-H4050)),0)</f>
        <v>1.75959</v>
      </c>
      <c r="J4050" s="13" t="n">
        <f aca="false">IFERROR(MIN(Eingaben!$B$18,MAX(0,F4050-I4050)),0)</f>
        <v>0.75411</v>
      </c>
      <c r="K4050" s="13" t="n">
        <f aca="false">H4050+I4050</f>
        <v>2.4986178</v>
      </c>
      <c r="L4050" s="13" t="n">
        <f aca="false">MAX(0,D4050-K4050)</f>
        <v>2.4413822</v>
      </c>
      <c r="M4050" s="13" t="n">
        <f aca="false">MAX(0,F4050-I4050-J4050)</f>
        <v>0</v>
      </c>
      <c r="N4050" s="13" t="n">
        <f aca="false">IF(Kalender!A24="",0,J4049-H4050)</f>
        <v>0.0150822</v>
      </c>
    </row>
    <row r="4051" customFormat="false" ht="16.4" hidden="false" customHeight="false" outlineLevel="0" collapsed="false">
      <c r="A4051" s="13" t="str">
        <f aca="false">""</f>
        <v/>
      </c>
      <c r="B4051" s="13" t="n">
        <f aca="false">21</f>
        <v>21</v>
      </c>
      <c r="C4051" s="13" t="n">
        <f aca="false">IF(Szenarien!$H$22="OK",(IFERROR(SUMIF(Nutzungsprofile!$B$6:$B$11,"Schulbetrieb",Nutzungsprofile!$G$6:$G$11)*Kalender!C25/SUM(Kalender!$C$5:$C$370),0)+IFERROR(SUMIF(Nutzungsprofile!$B$6:$B$11,"Halle",Nutzungsprofile!$G$6:$G$11)*Kalender!D25/SUM(Kalender!$D$5:$D$370),0)+IFERROR(SUMIF(Nutzungsprofile!$B$6:$B$11,"Individuell",Nutzungsprofile!$G$6:$G$11)*Kalender!E25/SUM(Kalender!$E$5:$E$370),0))*Szenarien!$E$22,0)</f>
        <v>2.94</v>
      </c>
      <c r="D4051" s="13" t="n">
        <f aca="false">IF(Szenarien!$H$22="OK",(IFERROR(SUMIF(Nutzungsprofile!$B$17:$B$22,"Schulbetrieb",Nutzungsprofile!$G$17:$G$22)*Kalender!C25/SUM(Kalender!$C$5:$C$370),0)+IFERROR(SUMIF(Nutzungsprofile!$B$17:$B$22,"Halle",Nutzungsprofile!$G$17:$G$22)*Kalender!D25/SUM(Kalender!$D$5:$D$370),0)+IFERROR(SUMIF(Nutzungsprofile!$B$17:$B$22,"Individuell",Nutzungsprofile!$G$17:$G$22)*Kalender!E25/SUM(Kalender!$E$5:$E$370),0))*Szenarien!$D$22,0)</f>
        <v>4.94</v>
      </c>
      <c r="E4051" s="13" t="n">
        <f aca="false">IFERROR(MIN(C4051,Eingaben!$B$17)*Eingaben!$B$16,0)</f>
        <v>2.793</v>
      </c>
      <c r="F4051" s="13" t="n">
        <f aca="false">IFERROR(E4051*Eingaben!$B$15,0)</f>
        <v>2.5137</v>
      </c>
      <c r="G4051" s="13" t="n">
        <f aca="false">IFERROR(IF(Kalender!A25="",0,J4050*(1-Eingaben!$B$20)),0)</f>
        <v>0.7390278</v>
      </c>
      <c r="H4051" s="13" t="n">
        <f aca="false">MIN(G4051,D4051)</f>
        <v>0.7390278</v>
      </c>
      <c r="I4051" s="13" t="n">
        <f aca="false">IFERROR(MIN(F4051*Eingaben!$B$19,MAX(0,D4051-H4051)),0)</f>
        <v>1.75959</v>
      </c>
      <c r="J4051" s="13" t="n">
        <f aca="false">IFERROR(MIN(Eingaben!$B$18,MAX(0,F4051-I4051)),0)</f>
        <v>0.75411</v>
      </c>
      <c r="K4051" s="13" t="n">
        <f aca="false">H4051+I4051</f>
        <v>2.4986178</v>
      </c>
      <c r="L4051" s="13" t="n">
        <f aca="false">MAX(0,D4051-K4051)</f>
        <v>2.4413822</v>
      </c>
      <c r="M4051" s="13" t="n">
        <f aca="false">MAX(0,F4051-I4051-J4051)</f>
        <v>0</v>
      </c>
      <c r="N4051" s="13" t="n">
        <f aca="false">IF(Kalender!A25="",0,J4050-H4051)</f>
        <v>0.0150822</v>
      </c>
    </row>
    <row r="4052" customFormat="false" ht="16.4" hidden="false" customHeight="false" outlineLevel="0" collapsed="false">
      <c r="A4052" s="13" t="str">
        <f aca="false">""</f>
        <v/>
      </c>
      <c r="B4052" s="13" t="n">
        <f aca="false">22</f>
        <v>22</v>
      </c>
      <c r="C4052" s="13" t="n">
        <f aca="false">IF(Szenarien!$H$22="OK",(IFERROR(SUMIF(Nutzungsprofile!$B$6:$B$11,"Schulbetrieb",Nutzungsprofile!$G$6:$G$11)*Kalender!C26/SUM(Kalender!$C$5:$C$370),0)+IFERROR(SUMIF(Nutzungsprofile!$B$6:$B$11,"Halle",Nutzungsprofile!$G$6:$G$11)*Kalender!D26/SUM(Kalender!$D$5:$D$370),0)+IFERROR(SUMIF(Nutzungsprofile!$B$6:$B$11,"Individuell",Nutzungsprofile!$G$6:$G$11)*Kalender!E26/SUM(Kalender!$E$5:$E$370),0))*Szenarien!$E$22,0)</f>
        <v>2.94</v>
      </c>
      <c r="D4052" s="13" t="n">
        <f aca="false">IF(Szenarien!$H$22="OK",(IFERROR(SUMIF(Nutzungsprofile!$B$17:$B$22,"Schulbetrieb",Nutzungsprofile!$G$17:$G$22)*Kalender!C26/SUM(Kalender!$C$5:$C$370),0)+IFERROR(SUMIF(Nutzungsprofile!$B$17:$B$22,"Halle",Nutzungsprofile!$G$17:$G$22)*Kalender!D26/SUM(Kalender!$D$5:$D$370),0)+IFERROR(SUMIF(Nutzungsprofile!$B$17:$B$22,"Individuell",Nutzungsprofile!$G$17:$G$22)*Kalender!E26/SUM(Kalender!$E$5:$E$370),0))*Szenarien!$D$22,0)</f>
        <v>4.94</v>
      </c>
      <c r="E4052" s="13" t="n">
        <f aca="false">IFERROR(MIN(C4052,Eingaben!$B$17)*Eingaben!$B$16,0)</f>
        <v>2.793</v>
      </c>
      <c r="F4052" s="13" t="n">
        <f aca="false">IFERROR(E4052*Eingaben!$B$15,0)</f>
        <v>2.5137</v>
      </c>
      <c r="G4052" s="13" t="n">
        <f aca="false">IFERROR(IF(Kalender!A26="",0,J4051*(1-Eingaben!$B$20)),0)</f>
        <v>0.7390278</v>
      </c>
      <c r="H4052" s="13" t="n">
        <f aca="false">MIN(G4052,D4052)</f>
        <v>0.7390278</v>
      </c>
      <c r="I4052" s="13" t="n">
        <f aca="false">IFERROR(MIN(F4052*Eingaben!$B$19,MAX(0,D4052-H4052)),0)</f>
        <v>1.75959</v>
      </c>
      <c r="J4052" s="13" t="n">
        <f aca="false">IFERROR(MIN(Eingaben!$B$18,MAX(0,F4052-I4052)),0)</f>
        <v>0.75411</v>
      </c>
      <c r="K4052" s="13" t="n">
        <f aca="false">H4052+I4052</f>
        <v>2.4986178</v>
      </c>
      <c r="L4052" s="13" t="n">
        <f aca="false">MAX(0,D4052-K4052)</f>
        <v>2.4413822</v>
      </c>
      <c r="M4052" s="13" t="n">
        <f aca="false">MAX(0,F4052-I4052-J4052)</f>
        <v>0</v>
      </c>
      <c r="N4052" s="13" t="n">
        <f aca="false">IF(Kalender!A26="",0,J4051-H4052)</f>
        <v>0.0150822</v>
      </c>
    </row>
    <row r="4053" customFormat="false" ht="16.4" hidden="false" customHeight="false" outlineLevel="0" collapsed="false">
      <c r="A4053" s="13" t="str">
        <f aca="false">""</f>
        <v/>
      </c>
      <c r="B4053" s="13" t="n">
        <f aca="false">23</f>
        <v>23</v>
      </c>
      <c r="C4053" s="13" t="n">
        <f aca="false">IF(Szenarien!$H$22="OK",(IFERROR(SUMIF(Nutzungsprofile!$B$6:$B$11,"Schulbetrieb",Nutzungsprofile!$G$6:$G$11)*Kalender!C27/SUM(Kalender!$C$5:$C$370),0)+IFERROR(SUMIF(Nutzungsprofile!$B$6:$B$11,"Halle",Nutzungsprofile!$G$6:$G$11)*Kalender!D27/SUM(Kalender!$D$5:$D$370),0)+IFERROR(SUMIF(Nutzungsprofile!$B$6:$B$11,"Individuell",Nutzungsprofile!$G$6:$G$11)*Kalender!E27/SUM(Kalender!$E$5:$E$370),0))*Szenarien!$E$22,0)</f>
        <v>2.94</v>
      </c>
      <c r="D4053" s="13" t="n">
        <f aca="false">IF(Szenarien!$H$22="OK",(IFERROR(SUMIF(Nutzungsprofile!$B$17:$B$22,"Schulbetrieb",Nutzungsprofile!$G$17:$G$22)*Kalender!C27/SUM(Kalender!$C$5:$C$370),0)+IFERROR(SUMIF(Nutzungsprofile!$B$17:$B$22,"Halle",Nutzungsprofile!$G$17:$G$22)*Kalender!D27/SUM(Kalender!$D$5:$D$370),0)+IFERROR(SUMIF(Nutzungsprofile!$B$17:$B$22,"Individuell",Nutzungsprofile!$G$17:$G$22)*Kalender!E27/SUM(Kalender!$E$5:$E$370),0))*Szenarien!$D$22,0)</f>
        <v>4.94</v>
      </c>
      <c r="E4053" s="13" t="n">
        <f aca="false">IFERROR(MIN(C4053,Eingaben!$B$17)*Eingaben!$B$16,0)</f>
        <v>2.793</v>
      </c>
      <c r="F4053" s="13" t="n">
        <f aca="false">IFERROR(E4053*Eingaben!$B$15,0)</f>
        <v>2.5137</v>
      </c>
      <c r="G4053" s="13" t="n">
        <f aca="false">IFERROR(IF(Kalender!A27="",0,J4052*(1-Eingaben!$B$20)),0)</f>
        <v>0.7390278</v>
      </c>
      <c r="H4053" s="13" t="n">
        <f aca="false">MIN(G4053,D4053)</f>
        <v>0.7390278</v>
      </c>
      <c r="I4053" s="13" t="n">
        <f aca="false">IFERROR(MIN(F4053*Eingaben!$B$19,MAX(0,D4053-H4053)),0)</f>
        <v>1.75959</v>
      </c>
      <c r="J4053" s="13" t="n">
        <f aca="false">IFERROR(MIN(Eingaben!$B$18,MAX(0,F4053-I4053)),0)</f>
        <v>0.75411</v>
      </c>
      <c r="K4053" s="13" t="n">
        <f aca="false">H4053+I4053</f>
        <v>2.4986178</v>
      </c>
      <c r="L4053" s="13" t="n">
        <f aca="false">MAX(0,D4053-K4053)</f>
        <v>2.4413822</v>
      </c>
      <c r="M4053" s="13" t="n">
        <f aca="false">MAX(0,F4053-I4053-J4053)</f>
        <v>0</v>
      </c>
      <c r="N4053" s="13" t="n">
        <f aca="false">IF(Kalender!A27="",0,J4052-H4053)</f>
        <v>0.0150822</v>
      </c>
    </row>
    <row r="4054" customFormat="false" ht="16.4" hidden="false" customHeight="false" outlineLevel="0" collapsed="false">
      <c r="A4054" s="13" t="str">
        <f aca="false">""</f>
        <v/>
      </c>
      <c r="B4054" s="13" t="n">
        <f aca="false">24</f>
        <v>24</v>
      </c>
      <c r="C4054" s="13" t="n">
        <f aca="false">IF(Szenarien!$H$22="OK",(IFERROR(SUMIF(Nutzungsprofile!$B$6:$B$11,"Schulbetrieb",Nutzungsprofile!$G$6:$G$11)*Kalender!C28/SUM(Kalender!$C$5:$C$370),0)+IFERROR(SUMIF(Nutzungsprofile!$B$6:$B$11,"Halle",Nutzungsprofile!$G$6:$G$11)*Kalender!D28/SUM(Kalender!$D$5:$D$370),0)+IFERROR(SUMIF(Nutzungsprofile!$B$6:$B$11,"Individuell",Nutzungsprofile!$G$6:$G$11)*Kalender!E28/SUM(Kalender!$E$5:$E$370),0))*Szenarien!$E$22,0)</f>
        <v>2.04</v>
      </c>
      <c r="D4054" s="13" t="n">
        <f aca="false">IF(Szenarien!$H$22="OK",(IFERROR(SUMIF(Nutzungsprofile!$B$17:$B$22,"Schulbetrieb",Nutzungsprofile!$G$17:$G$22)*Kalender!C28/SUM(Kalender!$C$5:$C$370),0)+IFERROR(SUMIF(Nutzungsprofile!$B$17:$B$22,"Halle",Nutzungsprofile!$G$17:$G$22)*Kalender!D28/SUM(Kalender!$D$5:$D$370),0)+IFERROR(SUMIF(Nutzungsprofile!$B$17:$B$22,"Individuell",Nutzungsprofile!$G$17:$G$22)*Kalender!E28/SUM(Kalender!$E$5:$E$370),0))*Szenarien!$D$22,0)</f>
        <v>0.89</v>
      </c>
      <c r="E4054" s="13" t="n">
        <f aca="false">IFERROR(MIN(C4054,Eingaben!$B$17)*Eingaben!$B$16,0)</f>
        <v>1.938</v>
      </c>
      <c r="F4054" s="13" t="n">
        <f aca="false">IFERROR(E4054*Eingaben!$B$15,0)</f>
        <v>1.7442</v>
      </c>
      <c r="G4054" s="13" t="n">
        <f aca="false">IFERROR(IF(Kalender!A28="",0,J4053*(1-Eingaben!$B$20)),0)</f>
        <v>0.7390278</v>
      </c>
      <c r="H4054" s="13" t="n">
        <f aca="false">MIN(G4054,D4054)</f>
        <v>0.7390278</v>
      </c>
      <c r="I4054" s="13" t="n">
        <f aca="false">IFERROR(MIN(F4054*Eingaben!$B$19,MAX(0,D4054-H4054)),0)</f>
        <v>0.1509722</v>
      </c>
      <c r="J4054" s="13" t="n">
        <f aca="false">IFERROR(MIN(Eingaben!$B$18,MAX(0,F4054-I4054)),0)</f>
        <v>1.5932278</v>
      </c>
      <c r="K4054" s="13" t="n">
        <f aca="false">H4054+I4054</f>
        <v>0.89</v>
      </c>
      <c r="L4054" s="13" t="n">
        <f aca="false">MAX(0,D4054-K4054)</f>
        <v>0</v>
      </c>
      <c r="M4054" s="13" t="n">
        <f aca="false">MAX(0,F4054-I4054-J4054)</f>
        <v>0</v>
      </c>
      <c r="N4054" s="13" t="n">
        <f aca="false">IF(Kalender!A28="",0,J4053-H4054)</f>
        <v>0.0150822</v>
      </c>
    </row>
    <row r="4055" customFormat="false" ht="16.4" hidden="false" customHeight="false" outlineLevel="0" collapsed="false">
      <c r="A4055" s="13" t="str">
        <f aca="false">""</f>
        <v/>
      </c>
      <c r="B4055" s="13" t="n">
        <f aca="false">25</f>
        <v>25</v>
      </c>
      <c r="C4055" s="13" t="n">
        <f aca="false">IF(Szenarien!$H$22="OK",(IFERROR(SUMIF(Nutzungsprofile!$B$6:$B$11,"Schulbetrieb",Nutzungsprofile!$G$6:$G$11)*Kalender!C29/SUM(Kalender!$C$5:$C$370),0)+IFERROR(SUMIF(Nutzungsprofile!$B$6:$B$11,"Halle",Nutzungsprofile!$G$6:$G$11)*Kalender!D29/SUM(Kalender!$D$5:$D$370),0)+IFERROR(SUMIF(Nutzungsprofile!$B$6:$B$11,"Individuell",Nutzungsprofile!$G$6:$G$11)*Kalender!E29/SUM(Kalender!$E$5:$E$370),0))*Szenarien!$E$22,0)</f>
        <v>2.04</v>
      </c>
      <c r="D4055" s="13" t="n">
        <f aca="false">IF(Szenarien!$H$22="OK",(IFERROR(SUMIF(Nutzungsprofile!$B$17:$B$22,"Schulbetrieb",Nutzungsprofile!$G$17:$G$22)*Kalender!C29/SUM(Kalender!$C$5:$C$370),0)+IFERROR(SUMIF(Nutzungsprofile!$B$17:$B$22,"Halle",Nutzungsprofile!$G$17:$G$22)*Kalender!D29/SUM(Kalender!$D$5:$D$370),0)+IFERROR(SUMIF(Nutzungsprofile!$B$17:$B$22,"Individuell",Nutzungsprofile!$G$17:$G$22)*Kalender!E29/SUM(Kalender!$E$5:$E$370),0))*Szenarien!$D$22,0)</f>
        <v>0.89</v>
      </c>
      <c r="E4055" s="13" t="n">
        <f aca="false">IFERROR(MIN(C4055,Eingaben!$B$17)*Eingaben!$B$16,0)</f>
        <v>1.938</v>
      </c>
      <c r="F4055" s="13" t="n">
        <f aca="false">IFERROR(E4055*Eingaben!$B$15,0)</f>
        <v>1.7442</v>
      </c>
      <c r="G4055" s="13" t="n">
        <f aca="false">IFERROR(IF(Kalender!A29="",0,J4054*(1-Eingaben!$B$20)),0)</f>
        <v>1.561363244</v>
      </c>
      <c r="H4055" s="13" t="n">
        <f aca="false">MIN(G4055,D4055)</f>
        <v>0.89</v>
      </c>
      <c r="I4055" s="13" t="n">
        <f aca="false">IFERROR(MIN(F4055*Eingaben!$B$19,MAX(0,D4055-H4055)),0)</f>
        <v>0</v>
      </c>
      <c r="J4055" s="13" t="n">
        <f aca="false">IFERROR(MIN(Eingaben!$B$18,MAX(0,F4055-I4055)),0)</f>
        <v>1.7442</v>
      </c>
      <c r="K4055" s="13" t="n">
        <f aca="false">H4055+I4055</f>
        <v>0.89</v>
      </c>
      <c r="L4055" s="13" t="n">
        <f aca="false">MAX(0,D4055-K4055)</f>
        <v>0</v>
      </c>
      <c r="M4055" s="13" t="n">
        <f aca="false">MAX(0,F4055-I4055-J4055)</f>
        <v>0</v>
      </c>
      <c r="N4055" s="13" t="n">
        <f aca="false">IF(Kalender!A29="",0,J4054-H4055)</f>
        <v>0.7032278</v>
      </c>
    </row>
    <row r="4056" customFormat="false" ht="16.4" hidden="false" customHeight="false" outlineLevel="0" collapsed="false">
      <c r="A4056" s="13" t="str">
        <f aca="false">""</f>
        <v/>
      </c>
      <c r="B4056" s="13" t="n">
        <f aca="false">26</f>
        <v>26</v>
      </c>
      <c r="C4056" s="13" t="n">
        <f aca="false">IF(Szenarien!$H$22="OK",(IFERROR(SUMIF(Nutzungsprofile!$B$6:$B$11,"Schulbetrieb",Nutzungsprofile!$G$6:$G$11)*Kalender!C30/SUM(Kalender!$C$5:$C$370),0)+IFERROR(SUMIF(Nutzungsprofile!$B$6:$B$11,"Halle",Nutzungsprofile!$G$6:$G$11)*Kalender!D30/SUM(Kalender!$D$5:$D$370),0)+IFERROR(SUMIF(Nutzungsprofile!$B$6:$B$11,"Individuell",Nutzungsprofile!$G$6:$G$11)*Kalender!E30/SUM(Kalender!$E$5:$E$370),0))*Szenarien!$E$22,0)</f>
        <v>2.94</v>
      </c>
      <c r="D4056" s="13" t="n">
        <f aca="false">IF(Szenarien!$H$22="OK",(IFERROR(SUMIF(Nutzungsprofile!$B$17:$B$22,"Schulbetrieb",Nutzungsprofile!$G$17:$G$22)*Kalender!C30/SUM(Kalender!$C$5:$C$370),0)+IFERROR(SUMIF(Nutzungsprofile!$B$17:$B$22,"Halle",Nutzungsprofile!$G$17:$G$22)*Kalender!D30/SUM(Kalender!$D$5:$D$370),0)+IFERROR(SUMIF(Nutzungsprofile!$B$17:$B$22,"Individuell",Nutzungsprofile!$G$17:$G$22)*Kalender!E30/SUM(Kalender!$E$5:$E$370),0))*Szenarien!$D$22,0)</f>
        <v>4.94</v>
      </c>
      <c r="E4056" s="13" t="n">
        <f aca="false">IFERROR(MIN(C4056,Eingaben!$B$17)*Eingaben!$B$16,0)</f>
        <v>2.793</v>
      </c>
      <c r="F4056" s="13" t="n">
        <f aca="false">IFERROR(E4056*Eingaben!$B$15,0)</f>
        <v>2.5137</v>
      </c>
      <c r="G4056" s="13" t="n">
        <f aca="false">IFERROR(IF(Kalender!A30="",0,J4055*(1-Eingaben!$B$20)),0)</f>
        <v>1.709316</v>
      </c>
      <c r="H4056" s="13" t="n">
        <f aca="false">MIN(G4056,D4056)</f>
        <v>1.709316</v>
      </c>
      <c r="I4056" s="13" t="n">
        <f aca="false">IFERROR(MIN(F4056*Eingaben!$B$19,MAX(0,D4056-H4056)),0)</f>
        <v>1.75959</v>
      </c>
      <c r="J4056" s="13" t="n">
        <f aca="false">IFERROR(MIN(Eingaben!$B$18,MAX(0,F4056-I4056)),0)</f>
        <v>0.75411</v>
      </c>
      <c r="K4056" s="13" t="n">
        <f aca="false">H4056+I4056</f>
        <v>3.468906</v>
      </c>
      <c r="L4056" s="13" t="n">
        <f aca="false">MAX(0,D4056-K4056)</f>
        <v>1.471094</v>
      </c>
      <c r="M4056" s="13" t="n">
        <f aca="false">MAX(0,F4056-I4056-J4056)</f>
        <v>0</v>
      </c>
      <c r="N4056" s="13" t="n">
        <f aca="false">IF(Kalender!A30="",0,J4055-H4056)</f>
        <v>0.0348840000000001</v>
      </c>
    </row>
    <row r="4057" customFormat="false" ht="16.4" hidden="false" customHeight="false" outlineLevel="0" collapsed="false">
      <c r="A4057" s="13" t="str">
        <f aca="false">""</f>
        <v/>
      </c>
      <c r="B4057" s="13" t="n">
        <f aca="false">27</f>
        <v>27</v>
      </c>
      <c r="C4057" s="13" t="n">
        <f aca="false">IF(Szenarien!$H$22="OK",(IFERROR(SUMIF(Nutzungsprofile!$B$6:$B$11,"Schulbetrieb",Nutzungsprofile!$G$6:$G$11)*Kalender!C31/SUM(Kalender!$C$5:$C$370),0)+IFERROR(SUMIF(Nutzungsprofile!$B$6:$B$11,"Halle",Nutzungsprofile!$G$6:$G$11)*Kalender!D31/SUM(Kalender!$D$5:$D$370),0)+IFERROR(SUMIF(Nutzungsprofile!$B$6:$B$11,"Individuell",Nutzungsprofile!$G$6:$G$11)*Kalender!E31/SUM(Kalender!$E$5:$E$370),0))*Szenarien!$E$22,0)</f>
        <v>2.94</v>
      </c>
      <c r="D4057" s="13" t="n">
        <f aca="false">IF(Szenarien!$H$22="OK",(IFERROR(SUMIF(Nutzungsprofile!$B$17:$B$22,"Schulbetrieb",Nutzungsprofile!$G$17:$G$22)*Kalender!C31/SUM(Kalender!$C$5:$C$370),0)+IFERROR(SUMIF(Nutzungsprofile!$B$17:$B$22,"Halle",Nutzungsprofile!$G$17:$G$22)*Kalender!D31/SUM(Kalender!$D$5:$D$370),0)+IFERROR(SUMIF(Nutzungsprofile!$B$17:$B$22,"Individuell",Nutzungsprofile!$G$17:$G$22)*Kalender!E31/SUM(Kalender!$E$5:$E$370),0))*Szenarien!$D$22,0)</f>
        <v>4.94</v>
      </c>
      <c r="E4057" s="13" t="n">
        <f aca="false">IFERROR(MIN(C4057,Eingaben!$B$17)*Eingaben!$B$16,0)</f>
        <v>2.793</v>
      </c>
      <c r="F4057" s="13" t="n">
        <f aca="false">IFERROR(E4057*Eingaben!$B$15,0)</f>
        <v>2.5137</v>
      </c>
      <c r="G4057" s="13" t="n">
        <f aca="false">IFERROR(IF(Kalender!A31="",0,J4056*(1-Eingaben!$B$20)),0)</f>
        <v>0.7390278</v>
      </c>
      <c r="H4057" s="13" t="n">
        <f aca="false">MIN(G4057,D4057)</f>
        <v>0.7390278</v>
      </c>
      <c r="I4057" s="13" t="n">
        <f aca="false">IFERROR(MIN(F4057*Eingaben!$B$19,MAX(0,D4057-H4057)),0)</f>
        <v>1.75959</v>
      </c>
      <c r="J4057" s="13" t="n">
        <f aca="false">IFERROR(MIN(Eingaben!$B$18,MAX(0,F4057-I4057)),0)</f>
        <v>0.75411</v>
      </c>
      <c r="K4057" s="13" t="n">
        <f aca="false">H4057+I4057</f>
        <v>2.4986178</v>
      </c>
      <c r="L4057" s="13" t="n">
        <f aca="false">MAX(0,D4057-K4057)</f>
        <v>2.4413822</v>
      </c>
      <c r="M4057" s="13" t="n">
        <f aca="false">MAX(0,F4057-I4057-J4057)</f>
        <v>0</v>
      </c>
      <c r="N4057" s="13" t="n">
        <f aca="false">IF(Kalender!A31="",0,J4056-H4057)</f>
        <v>0.0150822</v>
      </c>
    </row>
    <row r="4058" customFormat="false" ht="16.4" hidden="false" customHeight="false" outlineLevel="0" collapsed="false">
      <c r="A4058" s="13" t="str">
        <f aca="false">""</f>
        <v/>
      </c>
      <c r="B4058" s="13" t="n">
        <f aca="false">28</f>
        <v>28</v>
      </c>
      <c r="C4058" s="13" t="n">
        <f aca="false">IF(Szenarien!$H$22="OK",(IFERROR(SUMIF(Nutzungsprofile!$B$6:$B$11,"Schulbetrieb",Nutzungsprofile!$G$6:$G$11)*Kalender!C32/SUM(Kalender!$C$5:$C$370),0)+IFERROR(SUMIF(Nutzungsprofile!$B$6:$B$11,"Halle",Nutzungsprofile!$G$6:$G$11)*Kalender!D32/SUM(Kalender!$D$5:$D$370),0)+IFERROR(SUMIF(Nutzungsprofile!$B$6:$B$11,"Individuell",Nutzungsprofile!$G$6:$G$11)*Kalender!E32/SUM(Kalender!$E$5:$E$370),0))*Szenarien!$E$22,0)</f>
        <v>2.94</v>
      </c>
      <c r="D4058" s="13" t="n">
        <f aca="false">IF(Szenarien!$H$22="OK",(IFERROR(SUMIF(Nutzungsprofile!$B$17:$B$22,"Schulbetrieb",Nutzungsprofile!$G$17:$G$22)*Kalender!C32/SUM(Kalender!$C$5:$C$370),0)+IFERROR(SUMIF(Nutzungsprofile!$B$17:$B$22,"Halle",Nutzungsprofile!$G$17:$G$22)*Kalender!D32/SUM(Kalender!$D$5:$D$370),0)+IFERROR(SUMIF(Nutzungsprofile!$B$17:$B$22,"Individuell",Nutzungsprofile!$G$17:$G$22)*Kalender!E32/SUM(Kalender!$E$5:$E$370),0))*Szenarien!$D$22,0)</f>
        <v>4.94</v>
      </c>
      <c r="E4058" s="13" t="n">
        <f aca="false">IFERROR(MIN(C4058,Eingaben!$B$17)*Eingaben!$B$16,0)</f>
        <v>2.793</v>
      </c>
      <c r="F4058" s="13" t="n">
        <f aca="false">IFERROR(E4058*Eingaben!$B$15,0)</f>
        <v>2.5137</v>
      </c>
      <c r="G4058" s="13" t="n">
        <f aca="false">IFERROR(IF(Kalender!A32="",0,J4057*(1-Eingaben!$B$20)),0)</f>
        <v>0.7390278</v>
      </c>
      <c r="H4058" s="13" t="n">
        <f aca="false">MIN(G4058,D4058)</f>
        <v>0.7390278</v>
      </c>
      <c r="I4058" s="13" t="n">
        <f aca="false">IFERROR(MIN(F4058*Eingaben!$B$19,MAX(0,D4058-H4058)),0)</f>
        <v>1.75959</v>
      </c>
      <c r="J4058" s="13" t="n">
        <f aca="false">IFERROR(MIN(Eingaben!$B$18,MAX(0,F4058-I4058)),0)</f>
        <v>0.75411</v>
      </c>
      <c r="K4058" s="13" t="n">
        <f aca="false">H4058+I4058</f>
        <v>2.4986178</v>
      </c>
      <c r="L4058" s="13" t="n">
        <f aca="false">MAX(0,D4058-K4058)</f>
        <v>2.4413822</v>
      </c>
      <c r="M4058" s="13" t="n">
        <f aca="false">MAX(0,F4058-I4058-J4058)</f>
        <v>0</v>
      </c>
      <c r="N4058" s="13" t="n">
        <f aca="false">IF(Kalender!A32="",0,J4057-H4058)</f>
        <v>0.0150822</v>
      </c>
    </row>
    <row r="4059" customFormat="false" ht="16.4" hidden="false" customHeight="false" outlineLevel="0" collapsed="false">
      <c r="A4059" s="13" t="str">
        <f aca="false">""</f>
        <v/>
      </c>
      <c r="B4059" s="13" t="n">
        <f aca="false">29</f>
        <v>29</v>
      </c>
      <c r="C4059" s="13" t="n">
        <f aca="false">IF(Szenarien!$H$22="OK",(IFERROR(SUMIF(Nutzungsprofile!$B$6:$B$11,"Schulbetrieb",Nutzungsprofile!$G$6:$G$11)*Kalender!C33/SUM(Kalender!$C$5:$C$370),0)+IFERROR(SUMIF(Nutzungsprofile!$B$6:$B$11,"Halle",Nutzungsprofile!$G$6:$G$11)*Kalender!D33/SUM(Kalender!$D$5:$D$370),0)+IFERROR(SUMIF(Nutzungsprofile!$B$6:$B$11,"Individuell",Nutzungsprofile!$G$6:$G$11)*Kalender!E33/SUM(Kalender!$E$5:$E$370),0))*Szenarien!$E$22,0)</f>
        <v>2.94</v>
      </c>
      <c r="D4059" s="13" t="n">
        <f aca="false">IF(Szenarien!$H$22="OK",(IFERROR(SUMIF(Nutzungsprofile!$B$17:$B$22,"Schulbetrieb",Nutzungsprofile!$G$17:$G$22)*Kalender!C33/SUM(Kalender!$C$5:$C$370),0)+IFERROR(SUMIF(Nutzungsprofile!$B$17:$B$22,"Halle",Nutzungsprofile!$G$17:$G$22)*Kalender!D33/SUM(Kalender!$D$5:$D$370),0)+IFERROR(SUMIF(Nutzungsprofile!$B$17:$B$22,"Individuell",Nutzungsprofile!$G$17:$G$22)*Kalender!E33/SUM(Kalender!$E$5:$E$370),0))*Szenarien!$D$22,0)</f>
        <v>4.94</v>
      </c>
      <c r="E4059" s="13" t="n">
        <f aca="false">IFERROR(MIN(C4059,Eingaben!$B$17)*Eingaben!$B$16,0)</f>
        <v>2.793</v>
      </c>
      <c r="F4059" s="13" t="n">
        <f aca="false">IFERROR(E4059*Eingaben!$B$15,0)</f>
        <v>2.5137</v>
      </c>
      <c r="G4059" s="13" t="n">
        <f aca="false">IFERROR(IF(Kalender!A33="",0,J4058*(1-Eingaben!$B$20)),0)</f>
        <v>0.7390278</v>
      </c>
      <c r="H4059" s="13" t="n">
        <f aca="false">MIN(G4059,D4059)</f>
        <v>0.7390278</v>
      </c>
      <c r="I4059" s="13" t="n">
        <f aca="false">IFERROR(MIN(F4059*Eingaben!$B$19,MAX(0,D4059-H4059)),0)</f>
        <v>1.75959</v>
      </c>
      <c r="J4059" s="13" t="n">
        <f aca="false">IFERROR(MIN(Eingaben!$B$18,MAX(0,F4059-I4059)),0)</f>
        <v>0.75411</v>
      </c>
      <c r="K4059" s="13" t="n">
        <f aca="false">H4059+I4059</f>
        <v>2.4986178</v>
      </c>
      <c r="L4059" s="13" t="n">
        <f aca="false">MAX(0,D4059-K4059)</f>
        <v>2.4413822</v>
      </c>
      <c r="M4059" s="13" t="n">
        <f aca="false">MAX(0,F4059-I4059-J4059)</f>
        <v>0</v>
      </c>
      <c r="N4059" s="13" t="n">
        <f aca="false">IF(Kalender!A33="",0,J4058-H4059)</f>
        <v>0.0150822</v>
      </c>
    </row>
    <row r="4060" customFormat="false" ht="16.4" hidden="false" customHeight="false" outlineLevel="0" collapsed="false">
      <c r="A4060" s="13" t="str">
        <f aca="false">""</f>
        <v/>
      </c>
      <c r="B4060" s="13" t="n">
        <f aca="false">30</f>
        <v>30</v>
      </c>
      <c r="C4060" s="13" t="n">
        <f aca="false">IF(Szenarien!$H$22="OK",(IFERROR(SUMIF(Nutzungsprofile!$B$6:$B$11,"Schulbetrieb",Nutzungsprofile!$G$6:$G$11)*Kalender!C34/SUM(Kalender!$C$5:$C$370),0)+IFERROR(SUMIF(Nutzungsprofile!$B$6:$B$11,"Halle",Nutzungsprofile!$G$6:$G$11)*Kalender!D34/SUM(Kalender!$D$5:$D$370),0)+IFERROR(SUMIF(Nutzungsprofile!$B$6:$B$11,"Individuell",Nutzungsprofile!$G$6:$G$11)*Kalender!E34/SUM(Kalender!$E$5:$E$370),0))*Szenarien!$E$22,0)</f>
        <v>2.94</v>
      </c>
      <c r="D4060" s="13" t="n">
        <f aca="false">IF(Szenarien!$H$22="OK",(IFERROR(SUMIF(Nutzungsprofile!$B$17:$B$22,"Schulbetrieb",Nutzungsprofile!$G$17:$G$22)*Kalender!C34/SUM(Kalender!$C$5:$C$370),0)+IFERROR(SUMIF(Nutzungsprofile!$B$17:$B$22,"Halle",Nutzungsprofile!$G$17:$G$22)*Kalender!D34/SUM(Kalender!$D$5:$D$370),0)+IFERROR(SUMIF(Nutzungsprofile!$B$17:$B$22,"Individuell",Nutzungsprofile!$G$17:$G$22)*Kalender!E34/SUM(Kalender!$E$5:$E$370),0))*Szenarien!$D$22,0)</f>
        <v>4.94</v>
      </c>
      <c r="E4060" s="13" t="n">
        <f aca="false">IFERROR(MIN(C4060,Eingaben!$B$17)*Eingaben!$B$16,0)</f>
        <v>2.793</v>
      </c>
      <c r="F4060" s="13" t="n">
        <f aca="false">IFERROR(E4060*Eingaben!$B$15,0)</f>
        <v>2.5137</v>
      </c>
      <c r="G4060" s="13" t="n">
        <f aca="false">IFERROR(IF(Kalender!A34="",0,J4059*(1-Eingaben!$B$20)),0)</f>
        <v>0.7390278</v>
      </c>
      <c r="H4060" s="13" t="n">
        <f aca="false">MIN(G4060,D4060)</f>
        <v>0.7390278</v>
      </c>
      <c r="I4060" s="13" t="n">
        <f aca="false">IFERROR(MIN(F4060*Eingaben!$B$19,MAX(0,D4060-H4060)),0)</f>
        <v>1.75959</v>
      </c>
      <c r="J4060" s="13" t="n">
        <f aca="false">IFERROR(MIN(Eingaben!$B$18,MAX(0,F4060-I4060)),0)</f>
        <v>0.75411</v>
      </c>
      <c r="K4060" s="13" t="n">
        <f aca="false">H4060+I4060</f>
        <v>2.4986178</v>
      </c>
      <c r="L4060" s="13" t="n">
        <f aca="false">MAX(0,D4060-K4060)</f>
        <v>2.4413822</v>
      </c>
      <c r="M4060" s="13" t="n">
        <f aca="false">MAX(0,F4060-I4060-J4060)</f>
        <v>0</v>
      </c>
      <c r="N4060" s="13" t="n">
        <f aca="false">IF(Kalender!A34="",0,J4059-H4060)</f>
        <v>0.0150822</v>
      </c>
    </row>
    <row r="4061" customFormat="false" ht="16.4" hidden="false" customHeight="false" outlineLevel="0" collapsed="false">
      <c r="A4061" s="13" t="str">
        <f aca="false">""</f>
        <v/>
      </c>
      <c r="B4061" s="13" t="n">
        <f aca="false">31</f>
        <v>31</v>
      </c>
      <c r="C4061" s="13" t="n">
        <f aca="false">IF(Szenarien!$H$22="OK",(IFERROR(SUMIF(Nutzungsprofile!$B$6:$B$11,"Schulbetrieb",Nutzungsprofile!$G$6:$G$11)*Kalender!C35/SUM(Kalender!$C$5:$C$370),0)+IFERROR(SUMIF(Nutzungsprofile!$B$6:$B$11,"Halle",Nutzungsprofile!$G$6:$G$11)*Kalender!D35/SUM(Kalender!$D$5:$D$370),0)+IFERROR(SUMIF(Nutzungsprofile!$B$6:$B$11,"Individuell",Nutzungsprofile!$G$6:$G$11)*Kalender!E35/SUM(Kalender!$E$5:$E$370),0))*Szenarien!$E$22,0)</f>
        <v>2.04</v>
      </c>
      <c r="D4061" s="13" t="n">
        <f aca="false">IF(Szenarien!$H$22="OK",(IFERROR(SUMIF(Nutzungsprofile!$B$17:$B$22,"Schulbetrieb",Nutzungsprofile!$G$17:$G$22)*Kalender!C35/SUM(Kalender!$C$5:$C$370),0)+IFERROR(SUMIF(Nutzungsprofile!$B$17:$B$22,"Halle",Nutzungsprofile!$G$17:$G$22)*Kalender!D35/SUM(Kalender!$D$5:$D$370),0)+IFERROR(SUMIF(Nutzungsprofile!$B$17:$B$22,"Individuell",Nutzungsprofile!$G$17:$G$22)*Kalender!E35/SUM(Kalender!$E$5:$E$370),0))*Szenarien!$D$22,0)</f>
        <v>0.89</v>
      </c>
      <c r="E4061" s="13" t="n">
        <f aca="false">IFERROR(MIN(C4061,Eingaben!$B$17)*Eingaben!$B$16,0)</f>
        <v>1.938</v>
      </c>
      <c r="F4061" s="13" t="n">
        <f aca="false">IFERROR(E4061*Eingaben!$B$15,0)</f>
        <v>1.7442</v>
      </c>
      <c r="G4061" s="13" t="n">
        <f aca="false">IFERROR(IF(Kalender!A35="",0,J4060*(1-Eingaben!$B$20)),0)</f>
        <v>0.7390278</v>
      </c>
      <c r="H4061" s="13" t="n">
        <f aca="false">MIN(G4061,D4061)</f>
        <v>0.7390278</v>
      </c>
      <c r="I4061" s="13" t="n">
        <f aca="false">IFERROR(MIN(F4061*Eingaben!$B$19,MAX(0,D4061-H4061)),0)</f>
        <v>0.1509722</v>
      </c>
      <c r="J4061" s="13" t="n">
        <f aca="false">IFERROR(MIN(Eingaben!$B$18,MAX(0,F4061-I4061)),0)</f>
        <v>1.5932278</v>
      </c>
      <c r="K4061" s="13" t="n">
        <f aca="false">H4061+I4061</f>
        <v>0.89</v>
      </c>
      <c r="L4061" s="13" t="n">
        <f aca="false">MAX(0,D4061-K4061)</f>
        <v>0</v>
      </c>
      <c r="M4061" s="13" t="n">
        <f aca="false">MAX(0,F4061-I4061-J4061)</f>
        <v>0</v>
      </c>
      <c r="N4061" s="13" t="n">
        <f aca="false">IF(Kalender!A35="",0,J4060-H4061)</f>
        <v>0.0150822</v>
      </c>
    </row>
    <row r="4062" customFormat="false" ht="16.4" hidden="false" customHeight="false" outlineLevel="0" collapsed="false">
      <c r="A4062" s="13" t="str">
        <f aca="false">""</f>
        <v/>
      </c>
      <c r="B4062" s="13" t="n">
        <f aca="false">32</f>
        <v>32</v>
      </c>
      <c r="C4062" s="13" t="n">
        <f aca="false">IF(Szenarien!$H$22="OK",(IFERROR(SUMIF(Nutzungsprofile!$B$6:$B$11,"Schulbetrieb",Nutzungsprofile!$G$6:$G$11)*Kalender!C36/SUM(Kalender!$C$5:$C$370),0)+IFERROR(SUMIF(Nutzungsprofile!$B$6:$B$11,"Halle",Nutzungsprofile!$G$6:$G$11)*Kalender!D36/SUM(Kalender!$D$5:$D$370),0)+IFERROR(SUMIF(Nutzungsprofile!$B$6:$B$11,"Individuell",Nutzungsprofile!$G$6:$G$11)*Kalender!E36/SUM(Kalender!$E$5:$E$370),0))*Szenarien!$E$22,0)</f>
        <v>2.04</v>
      </c>
      <c r="D4062" s="13" t="n">
        <f aca="false">IF(Szenarien!$H$22="OK",(IFERROR(SUMIF(Nutzungsprofile!$B$17:$B$22,"Schulbetrieb",Nutzungsprofile!$G$17:$G$22)*Kalender!C36/SUM(Kalender!$C$5:$C$370),0)+IFERROR(SUMIF(Nutzungsprofile!$B$17:$B$22,"Halle",Nutzungsprofile!$G$17:$G$22)*Kalender!D36/SUM(Kalender!$D$5:$D$370),0)+IFERROR(SUMIF(Nutzungsprofile!$B$17:$B$22,"Individuell",Nutzungsprofile!$G$17:$G$22)*Kalender!E36/SUM(Kalender!$E$5:$E$370),0))*Szenarien!$D$22,0)</f>
        <v>0.89</v>
      </c>
      <c r="E4062" s="13" t="n">
        <f aca="false">IFERROR(MIN(C4062,Eingaben!$B$17)*Eingaben!$B$16,0)</f>
        <v>1.938</v>
      </c>
      <c r="F4062" s="13" t="n">
        <f aca="false">IFERROR(E4062*Eingaben!$B$15,0)</f>
        <v>1.7442</v>
      </c>
      <c r="G4062" s="13" t="n">
        <f aca="false">IFERROR(IF(Kalender!A36="",0,J4061*(1-Eingaben!$B$20)),0)</f>
        <v>1.561363244</v>
      </c>
      <c r="H4062" s="13" t="n">
        <f aca="false">MIN(G4062,D4062)</f>
        <v>0.89</v>
      </c>
      <c r="I4062" s="13" t="n">
        <f aca="false">IFERROR(MIN(F4062*Eingaben!$B$19,MAX(0,D4062-H4062)),0)</f>
        <v>0</v>
      </c>
      <c r="J4062" s="13" t="n">
        <f aca="false">IFERROR(MIN(Eingaben!$B$18,MAX(0,F4062-I4062)),0)</f>
        <v>1.7442</v>
      </c>
      <c r="K4062" s="13" t="n">
        <f aca="false">H4062+I4062</f>
        <v>0.89</v>
      </c>
      <c r="L4062" s="13" t="n">
        <f aca="false">MAX(0,D4062-K4062)</f>
        <v>0</v>
      </c>
      <c r="M4062" s="13" t="n">
        <f aca="false">MAX(0,F4062-I4062-J4062)</f>
        <v>0</v>
      </c>
      <c r="N4062" s="13" t="n">
        <f aca="false">IF(Kalender!A36="",0,J4061-H4062)</f>
        <v>0.7032278</v>
      </c>
    </row>
    <row r="4063" customFormat="false" ht="16.4" hidden="false" customHeight="false" outlineLevel="0" collapsed="false">
      <c r="A4063" s="13" t="str">
        <f aca="false">""</f>
        <v/>
      </c>
      <c r="B4063" s="13" t="n">
        <f aca="false">33</f>
        <v>33</v>
      </c>
      <c r="C4063" s="13" t="n">
        <f aca="false">IF(Szenarien!$H$22="OK",(IFERROR(SUMIF(Nutzungsprofile!$B$6:$B$11,"Schulbetrieb",Nutzungsprofile!$G$6:$G$11)*Kalender!C37/SUM(Kalender!$C$5:$C$370),0)+IFERROR(SUMIF(Nutzungsprofile!$B$6:$B$11,"Halle",Nutzungsprofile!$G$6:$G$11)*Kalender!D37/SUM(Kalender!$D$5:$D$370),0)+IFERROR(SUMIF(Nutzungsprofile!$B$6:$B$11,"Individuell",Nutzungsprofile!$G$6:$G$11)*Kalender!E37/SUM(Kalender!$E$5:$E$370),0))*Szenarien!$E$22,0)</f>
        <v>2.94</v>
      </c>
      <c r="D4063" s="13" t="n">
        <f aca="false">IF(Szenarien!$H$22="OK",(IFERROR(SUMIF(Nutzungsprofile!$B$17:$B$22,"Schulbetrieb",Nutzungsprofile!$G$17:$G$22)*Kalender!C37/SUM(Kalender!$C$5:$C$370),0)+IFERROR(SUMIF(Nutzungsprofile!$B$17:$B$22,"Halle",Nutzungsprofile!$G$17:$G$22)*Kalender!D37/SUM(Kalender!$D$5:$D$370),0)+IFERROR(SUMIF(Nutzungsprofile!$B$17:$B$22,"Individuell",Nutzungsprofile!$G$17:$G$22)*Kalender!E37/SUM(Kalender!$E$5:$E$370),0))*Szenarien!$D$22,0)</f>
        <v>4.94</v>
      </c>
      <c r="E4063" s="13" t="n">
        <f aca="false">IFERROR(MIN(C4063,Eingaben!$B$17)*Eingaben!$B$16,0)</f>
        <v>2.793</v>
      </c>
      <c r="F4063" s="13" t="n">
        <f aca="false">IFERROR(E4063*Eingaben!$B$15,0)</f>
        <v>2.5137</v>
      </c>
      <c r="G4063" s="13" t="n">
        <f aca="false">IFERROR(IF(Kalender!A37="",0,J4062*(1-Eingaben!$B$20)),0)</f>
        <v>1.709316</v>
      </c>
      <c r="H4063" s="13" t="n">
        <f aca="false">MIN(G4063,D4063)</f>
        <v>1.709316</v>
      </c>
      <c r="I4063" s="13" t="n">
        <f aca="false">IFERROR(MIN(F4063*Eingaben!$B$19,MAX(0,D4063-H4063)),0)</f>
        <v>1.75959</v>
      </c>
      <c r="J4063" s="13" t="n">
        <f aca="false">IFERROR(MIN(Eingaben!$B$18,MAX(0,F4063-I4063)),0)</f>
        <v>0.75411</v>
      </c>
      <c r="K4063" s="13" t="n">
        <f aca="false">H4063+I4063</f>
        <v>3.468906</v>
      </c>
      <c r="L4063" s="13" t="n">
        <f aca="false">MAX(0,D4063-K4063)</f>
        <v>1.471094</v>
      </c>
      <c r="M4063" s="13" t="n">
        <f aca="false">MAX(0,F4063-I4063-J4063)</f>
        <v>0</v>
      </c>
      <c r="N4063" s="13" t="n">
        <f aca="false">IF(Kalender!A37="",0,J4062-H4063)</f>
        <v>0.0348840000000001</v>
      </c>
    </row>
    <row r="4064" customFormat="false" ht="16.4" hidden="false" customHeight="false" outlineLevel="0" collapsed="false">
      <c r="A4064" s="13" t="str">
        <f aca="false">""</f>
        <v/>
      </c>
      <c r="B4064" s="13" t="n">
        <f aca="false">34</f>
        <v>34</v>
      </c>
      <c r="C4064" s="13" t="n">
        <f aca="false">IF(Szenarien!$H$22="OK",(IFERROR(SUMIF(Nutzungsprofile!$B$6:$B$11,"Schulbetrieb",Nutzungsprofile!$G$6:$G$11)*Kalender!C38/SUM(Kalender!$C$5:$C$370),0)+IFERROR(SUMIF(Nutzungsprofile!$B$6:$B$11,"Halle",Nutzungsprofile!$G$6:$G$11)*Kalender!D38/SUM(Kalender!$D$5:$D$370),0)+IFERROR(SUMIF(Nutzungsprofile!$B$6:$B$11,"Individuell",Nutzungsprofile!$G$6:$G$11)*Kalender!E38/SUM(Kalender!$E$5:$E$370),0))*Szenarien!$E$22,0)</f>
        <v>2.94</v>
      </c>
      <c r="D4064" s="13" t="n">
        <f aca="false">IF(Szenarien!$H$22="OK",(IFERROR(SUMIF(Nutzungsprofile!$B$17:$B$22,"Schulbetrieb",Nutzungsprofile!$G$17:$G$22)*Kalender!C38/SUM(Kalender!$C$5:$C$370),0)+IFERROR(SUMIF(Nutzungsprofile!$B$17:$B$22,"Halle",Nutzungsprofile!$G$17:$G$22)*Kalender!D38/SUM(Kalender!$D$5:$D$370),0)+IFERROR(SUMIF(Nutzungsprofile!$B$17:$B$22,"Individuell",Nutzungsprofile!$G$17:$G$22)*Kalender!E38/SUM(Kalender!$E$5:$E$370),0))*Szenarien!$D$22,0)</f>
        <v>4.94</v>
      </c>
      <c r="E4064" s="13" t="n">
        <f aca="false">IFERROR(MIN(C4064,Eingaben!$B$17)*Eingaben!$B$16,0)</f>
        <v>2.793</v>
      </c>
      <c r="F4064" s="13" t="n">
        <f aca="false">IFERROR(E4064*Eingaben!$B$15,0)</f>
        <v>2.5137</v>
      </c>
      <c r="G4064" s="13" t="n">
        <f aca="false">IFERROR(IF(Kalender!A38="",0,J4063*(1-Eingaben!$B$20)),0)</f>
        <v>0.7390278</v>
      </c>
      <c r="H4064" s="13" t="n">
        <f aca="false">MIN(G4064,D4064)</f>
        <v>0.7390278</v>
      </c>
      <c r="I4064" s="13" t="n">
        <f aca="false">IFERROR(MIN(F4064*Eingaben!$B$19,MAX(0,D4064-H4064)),0)</f>
        <v>1.75959</v>
      </c>
      <c r="J4064" s="13" t="n">
        <f aca="false">IFERROR(MIN(Eingaben!$B$18,MAX(0,F4064-I4064)),0)</f>
        <v>0.75411</v>
      </c>
      <c r="K4064" s="13" t="n">
        <f aca="false">H4064+I4064</f>
        <v>2.4986178</v>
      </c>
      <c r="L4064" s="13" t="n">
        <f aca="false">MAX(0,D4064-K4064)</f>
        <v>2.4413822</v>
      </c>
      <c r="M4064" s="13" t="n">
        <f aca="false">MAX(0,F4064-I4064-J4064)</f>
        <v>0</v>
      </c>
      <c r="N4064" s="13" t="n">
        <f aca="false">IF(Kalender!A38="",0,J4063-H4064)</f>
        <v>0.0150822</v>
      </c>
    </row>
    <row r="4065" customFormat="false" ht="16.4" hidden="false" customHeight="false" outlineLevel="0" collapsed="false">
      <c r="A4065" s="13" t="str">
        <f aca="false">""</f>
        <v/>
      </c>
      <c r="B4065" s="13" t="n">
        <f aca="false">35</f>
        <v>35</v>
      </c>
      <c r="C4065" s="13" t="n">
        <f aca="false">IF(Szenarien!$H$22="OK",(IFERROR(SUMIF(Nutzungsprofile!$B$6:$B$11,"Schulbetrieb",Nutzungsprofile!$G$6:$G$11)*Kalender!C39/SUM(Kalender!$C$5:$C$370),0)+IFERROR(SUMIF(Nutzungsprofile!$B$6:$B$11,"Halle",Nutzungsprofile!$G$6:$G$11)*Kalender!D39/SUM(Kalender!$D$5:$D$370),0)+IFERROR(SUMIF(Nutzungsprofile!$B$6:$B$11,"Individuell",Nutzungsprofile!$G$6:$G$11)*Kalender!E39/SUM(Kalender!$E$5:$E$370),0))*Szenarien!$E$22,0)</f>
        <v>2.94</v>
      </c>
      <c r="D4065" s="13" t="n">
        <f aca="false">IF(Szenarien!$H$22="OK",(IFERROR(SUMIF(Nutzungsprofile!$B$17:$B$22,"Schulbetrieb",Nutzungsprofile!$G$17:$G$22)*Kalender!C39/SUM(Kalender!$C$5:$C$370),0)+IFERROR(SUMIF(Nutzungsprofile!$B$17:$B$22,"Halle",Nutzungsprofile!$G$17:$G$22)*Kalender!D39/SUM(Kalender!$D$5:$D$370),0)+IFERROR(SUMIF(Nutzungsprofile!$B$17:$B$22,"Individuell",Nutzungsprofile!$G$17:$G$22)*Kalender!E39/SUM(Kalender!$E$5:$E$370),0))*Szenarien!$D$22,0)</f>
        <v>4.94</v>
      </c>
      <c r="E4065" s="13" t="n">
        <f aca="false">IFERROR(MIN(C4065,Eingaben!$B$17)*Eingaben!$B$16,0)</f>
        <v>2.793</v>
      </c>
      <c r="F4065" s="13" t="n">
        <f aca="false">IFERROR(E4065*Eingaben!$B$15,0)</f>
        <v>2.5137</v>
      </c>
      <c r="G4065" s="13" t="n">
        <f aca="false">IFERROR(IF(Kalender!A39="",0,J4064*(1-Eingaben!$B$20)),0)</f>
        <v>0.7390278</v>
      </c>
      <c r="H4065" s="13" t="n">
        <f aca="false">MIN(G4065,D4065)</f>
        <v>0.7390278</v>
      </c>
      <c r="I4065" s="13" t="n">
        <f aca="false">IFERROR(MIN(F4065*Eingaben!$B$19,MAX(0,D4065-H4065)),0)</f>
        <v>1.75959</v>
      </c>
      <c r="J4065" s="13" t="n">
        <f aca="false">IFERROR(MIN(Eingaben!$B$18,MAX(0,F4065-I4065)),0)</f>
        <v>0.75411</v>
      </c>
      <c r="K4065" s="13" t="n">
        <f aca="false">H4065+I4065</f>
        <v>2.4986178</v>
      </c>
      <c r="L4065" s="13" t="n">
        <f aca="false">MAX(0,D4065-K4065)</f>
        <v>2.4413822</v>
      </c>
      <c r="M4065" s="13" t="n">
        <f aca="false">MAX(0,F4065-I4065-J4065)</f>
        <v>0</v>
      </c>
      <c r="N4065" s="13" t="n">
        <f aca="false">IF(Kalender!A39="",0,J4064-H4065)</f>
        <v>0.0150822</v>
      </c>
    </row>
    <row r="4066" customFormat="false" ht="16.4" hidden="false" customHeight="false" outlineLevel="0" collapsed="false">
      <c r="A4066" s="13" t="str">
        <f aca="false">""</f>
        <v/>
      </c>
      <c r="B4066" s="13" t="n">
        <f aca="false">36</f>
        <v>36</v>
      </c>
      <c r="C4066" s="13" t="n">
        <f aca="false">IF(Szenarien!$H$22="OK",(IFERROR(SUMIF(Nutzungsprofile!$B$6:$B$11,"Schulbetrieb",Nutzungsprofile!$G$6:$G$11)*Kalender!C40/SUM(Kalender!$C$5:$C$370),0)+IFERROR(SUMIF(Nutzungsprofile!$B$6:$B$11,"Halle",Nutzungsprofile!$G$6:$G$11)*Kalender!D40/SUM(Kalender!$D$5:$D$370),0)+IFERROR(SUMIF(Nutzungsprofile!$B$6:$B$11,"Individuell",Nutzungsprofile!$G$6:$G$11)*Kalender!E40/SUM(Kalender!$E$5:$E$370),0))*Szenarien!$E$22,0)</f>
        <v>2.94</v>
      </c>
      <c r="D4066" s="13" t="n">
        <f aca="false">IF(Szenarien!$H$22="OK",(IFERROR(SUMIF(Nutzungsprofile!$B$17:$B$22,"Schulbetrieb",Nutzungsprofile!$G$17:$G$22)*Kalender!C40/SUM(Kalender!$C$5:$C$370),0)+IFERROR(SUMIF(Nutzungsprofile!$B$17:$B$22,"Halle",Nutzungsprofile!$G$17:$G$22)*Kalender!D40/SUM(Kalender!$D$5:$D$370),0)+IFERROR(SUMIF(Nutzungsprofile!$B$17:$B$22,"Individuell",Nutzungsprofile!$G$17:$G$22)*Kalender!E40/SUM(Kalender!$E$5:$E$370),0))*Szenarien!$D$22,0)</f>
        <v>4.94</v>
      </c>
      <c r="E4066" s="13" t="n">
        <f aca="false">IFERROR(MIN(C4066,Eingaben!$B$17)*Eingaben!$B$16,0)</f>
        <v>2.793</v>
      </c>
      <c r="F4066" s="13" t="n">
        <f aca="false">IFERROR(E4066*Eingaben!$B$15,0)</f>
        <v>2.5137</v>
      </c>
      <c r="G4066" s="13" t="n">
        <f aca="false">IFERROR(IF(Kalender!A40="",0,J4065*(1-Eingaben!$B$20)),0)</f>
        <v>0.7390278</v>
      </c>
      <c r="H4066" s="13" t="n">
        <f aca="false">MIN(G4066,D4066)</f>
        <v>0.7390278</v>
      </c>
      <c r="I4066" s="13" t="n">
        <f aca="false">IFERROR(MIN(F4066*Eingaben!$B$19,MAX(0,D4066-H4066)),0)</f>
        <v>1.75959</v>
      </c>
      <c r="J4066" s="13" t="n">
        <f aca="false">IFERROR(MIN(Eingaben!$B$18,MAX(0,F4066-I4066)),0)</f>
        <v>0.75411</v>
      </c>
      <c r="K4066" s="13" t="n">
        <f aca="false">H4066+I4066</f>
        <v>2.4986178</v>
      </c>
      <c r="L4066" s="13" t="n">
        <f aca="false">MAX(0,D4066-K4066)</f>
        <v>2.4413822</v>
      </c>
      <c r="M4066" s="13" t="n">
        <f aca="false">MAX(0,F4066-I4066-J4066)</f>
        <v>0</v>
      </c>
      <c r="N4066" s="13" t="n">
        <f aca="false">IF(Kalender!A40="",0,J4065-H4066)</f>
        <v>0.0150822</v>
      </c>
    </row>
    <row r="4067" customFormat="false" ht="16.4" hidden="false" customHeight="false" outlineLevel="0" collapsed="false">
      <c r="A4067" s="13" t="str">
        <f aca="false">""</f>
        <v/>
      </c>
      <c r="B4067" s="13" t="n">
        <f aca="false">37</f>
        <v>37</v>
      </c>
      <c r="C4067" s="13" t="n">
        <f aca="false">IF(Szenarien!$H$22="OK",(IFERROR(SUMIF(Nutzungsprofile!$B$6:$B$11,"Schulbetrieb",Nutzungsprofile!$G$6:$G$11)*Kalender!C41/SUM(Kalender!$C$5:$C$370),0)+IFERROR(SUMIF(Nutzungsprofile!$B$6:$B$11,"Halle",Nutzungsprofile!$G$6:$G$11)*Kalender!D41/SUM(Kalender!$D$5:$D$370),0)+IFERROR(SUMIF(Nutzungsprofile!$B$6:$B$11,"Individuell",Nutzungsprofile!$G$6:$G$11)*Kalender!E41/SUM(Kalender!$E$5:$E$370),0))*Szenarien!$E$22,0)</f>
        <v>2.94</v>
      </c>
      <c r="D4067" s="13" t="n">
        <f aca="false">IF(Szenarien!$H$22="OK",(IFERROR(SUMIF(Nutzungsprofile!$B$17:$B$22,"Schulbetrieb",Nutzungsprofile!$G$17:$G$22)*Kalender!C41/SUM(Kalender!$C$5:$C$370),0)+IFERROR(SUMIF(Nutzungsprofile!$B$17:$B$22,"Halle",Nutzungsprofile!$G$17:$G$22)*Kalender!D41/SUM(Kalender!$D$5:$D$370),0)+IFERROR(SUMIF(Nutzungsprofile!$B$17:$B$22,"Individuell",Nutzungsprofile!$G$17:$G$22)*Kalender!E41/SUM(Kalender!$E$5:$E$370),0))*Szenarien!$D$22,0)</f>
        <v>4.94</v>
      </c>
      <c r="E4067" s="13" t="n">
        <f aca="false">IFERROR(MIN(C4067,Eingaben!$B$17)*Eingaben!$B$16,0)</f>
        <v>2.793</v>
      </c>
      <c r="F4067" s="13" t="n">
        <f aca="false">IFERROR(E4067*Eingaben!$B$15,0)</f>
        <v>2.5137</v>
      </c>
      <c r="G4067" s="13" t="n">
        <f aca="false">IFERROR(IF(Kalender!A41="",0,J4066*(1-Eingaben!$B$20)),0)</f>
        <v>0.7390278</v>
      </c>
      <c r="H4067" s="13" t="n">
        <f aca="false">MIN(G4067,D4067)</f>
        <v>0.7390278</v>
      </c>
      <c r="I4067" s="13" t="n">
        <f aca="false">IFERROR(MIN(F4067*Eingaben!$B$19,MAX(0,D4067-H4067)),0)</f>
        <v>1.75959</v>
      </c>
      <c r="J4067" s="13" t="n">
        <f aca="false">IFERROR(MIN(Eingaben!$B$18,MAX(0,F4067-I4067)),0)</f>
        <v>0.75411</v>
      </c>
      <c r="K4067" s="13" t="n">
        <f aca="false">H4067+I4067</f>
        <v>2.4986178</v>
      </c>
      <c r="L4067" s="13" t="n">
        <f aca="false">MAX(0,D4067-K4067)</f>
        <v>2.4413822</v>
      </c>
      <c r="M4067" s="13" t="n">
        <f aca="false">MAX(0,F4067-I4067-J4067)</f>
        <v>0</v>
      </c>
      <c r="N4067" s="13" t="n">
        <f aca="false">IF(Kalender!A41="",0,J4066-H4067)</f>
        <v>0.0150822</v>
      </c>
    </row>
    <row r="4068" customFormat="false" ht="16.4" hidden="false" customHeight="false" outlineLevel="0" collapsed="false">
      <c r="A4068" s="13" t="str">
        <f aca="false">""</f>
        <v/>
      </c>
      <c r="B4068" s="13" t="n">
        <f aca="false">38</f>
        <v>38</v>
      </c>
      <c r="C4068" s="13" t="n">
        <f aca="false">IF(Szenarien!$H$22="OK",(IFERROR(SUMIF(Nutzungsprofile!$B$6:$B$11,"Schulbetrieb",Nutzungsprofile!$G$6:$G$11)*Kalender!C42/SUM(Kalender!$C$5:$C$370),0)+IFERROR(SUMIF(Nutzungsprofile!$B$6:$B$11,"Halle",Nutzungsprofile!$G$6:$G$11)*Kalender!D42/SUM(Kalender!$D$5:$D$370),0)+IFERROR(SUMIF(Nutzungsprofile!$B$6:$B$11,"Individuell",Nutzungsprofile!$G$6:$G$11)*Kalender!E42/SUM(Kalender!$E$5:$E$370),0))*Szenarien!$E$22,0)</f>
        <v>2.04</v>
      </c>
      <c r="D4068" s="13" t="n">
        <f aca="false">IF(Szenarien!$H$22="OK",(IFERROR(SUMIF(Nutzungsprofile!$B$17:$B$22,"Schulbetrieb",Nutzungsprofile!$G$17:$G$22)*Kalender!C42/SUM(Kalender!$C$5:$C$370),0)+IFERROR(SUMIF(Nutzungsprofile!$B$17:$B$22,"Halle",Nutzungsprofile!$G$17:$G$22)*Kalender!D42/SUM(Kalender!$D$5:$D$370),0)+IFERROR(SUMIF(Nutzungsprofile!$B$17:$B$22,"Individuell",Nutzungsprofile!$G$17:$G$22)*Kalender!E42/SUM(Kalender!$E$5:$E$370),0))*Szenarien!$D$22,0)</f>
        <v>0.89</v>
      </c>
      <c r="E4068" s="13" t="n">
        <f aca="false">IFERROR(MIN(C4068,Eingaben!$B$17)*Eingaben!$B$16,0)</f>
        <v>1.938</v>
      </c>
      <c r="F4068" s="13" t="n">
        <f aca="false">IFERROR(E4068*Eingaben!$B$15,0)</f>
        <v>1.7442</v>
      </c>
      <c r="G4068" s="13" t="n">
        <f aca="false">IFERROR(IF(Kalender!A42="",0,J4067*(1-Eingaben!$B$20)),0)</f>
        <v>0.7390278</v>
      </c>
      <c r="H4068" s="13" t="n">
        <f aca="false">MIN(G4068,D4068)</f>
        <v>0.7390278</v>
      </c>
      <c r="I4068" s="13" t="n">
        <f aca="false">IFERROR(MIN(F4068*Eingaben!$B$19,MAX(0,D4068-H4068)),0)</f>
        <v>0.1509722</v>
      </c>
      <c r="J4068" s="13" t="n">
        <f aca="false">IFERROR(MIN(Eingaben!$B$18,MAX(0,F4068-I4068)),0)</f>
        <v>1.5932278</v>
      </c>
      <c r="K4068" s="13" t="n">
        <f aca="false">H4068+I4068</f>
        <v>0.89</v>
      </c>
      <c r="L4068" s="13" t="n">
        <f aca="false">MAX(0,D4068-K4068)</f>
        <v>0</v>
      </c>
      <c r="M4068" s="13" t="n">
        <f aca="false">MAX(0,F4068-I4068-J4068)</f>
        <v>0</v>
      </c>
      <c r="N4068" s="13" t="n">
        <f aca="false">IF(Kalender!A42="",0,J4067-H4068)</f>
        <v>0.0150822</v>
      </c>
    </row>
    <row r="4069" customFormat="false" ht="16.4" hidden="false" customHeight="false" outlineLevel="0" collapsed="false">
      <c r="A4069" s="13" t="str">
        <f aca="false">""</f>
        <v/>
      </c>
      <c r="B4069" s="13" t="n">
        <f aca="false">39</f>
        <v>39</v>
      </c>
      <c r="C4069" s="13" t="n">
        <f aca="false">IF(Szenarien!$H$22="OK",(IFERROR(SUMIF(Nutzungsprofile!$B$6:$B$11,"Schulbetrieb",Nutzungsprofile!$G$6:$G$11)*Kalender!C43/SUM(Kalender!$C$5:$C$370),0)+IFERROR(SUMIF(Nutzungsprofile!$B$6:$B$11,"Halle",Nutzungsprofile!$G$6:$G$11)*Kalender!D43/SUM(Kalender!$D$5:$D$370),0)+IFERROR(SUMIF(Nutzungsprofile!$B$6:$B$11,"Individuell",Nutzungsprofile!$G$6:$G$11)*Kalender!E43/SUM(Kalender!$E$5:$E$370),0))*Szenarien!$E$22,0)</f>
        <v>2.04</v>
      </c>
      <c r="D4069" s="13" t="n">
        <f aca="false">IF(Szenarien!$H$22="OK",(IFERROR(SUMIF(Nutzungsprofile!$B$17:$B$22,"Schulbetrieb",Nutzungsprofile!$G$17:$G$22)*Kalender!C43/SUM(Kalender!$C$5:$C$370),0)+IFERROR(SUMIF(Nutzungsprofile!$B$17:$B$22,"Halle",Nutzungsprofile!$G$17:$G$22)*Kalender!D43/SUM(Kalender!$D$5:$D$370),0)+IFERROR(SUMIF(Nutzungsprofile!$B$17:$B$22,"Individuell",Nutzungsprofile!$G$17:$G$22)*Kalender!E43/SUM(Kalender!$E$5:$E$370),0))*Szenarien!$D$22,0)</f>
        <v>0.89</v>
      </c>
      <c r="E4069" s="13" t="n">
        <f aca="false">IFERROR(MIN(C4069,Eingaben!$B$17)*Eingaben!$B$16,0)</f>
        <v>1.938</v>
      </c>
      <c r="F4069" s="13" t="n">
        <f aca="false">IFERROR(E4069*Eingaben!$B$15,0)</f>
        <v>1.7442</v>
      </c>
      <c r="G4069" s="13" t="n">
        <f aca="false">IFERROR(IF(Kalender!A43="",0,J4068*(1-Eingaben!$B$20)),0)</f>
        <v>1.561363244</v>
      </c>
      <c r="H4069" s="13" t="n">
        <f aca="false">MIN(G4069,D4069)</f>
        <v>0.89</v>
      </c>
      <c r="I4069" s="13" t="n">
        <f aca="false">IFERROR(MIN(F4069*Eingaben!$B$19,MAX(0,D4069-H4069)),0)</f>
        <v>0</v>
      </c>
      <c r="J4069" s="13" t="n">
        <f aca="false">IFERROR(MIN(Eingaben!$B$18,MAX(0,F4069-I4069)),0)</f>
        <v>1.7442</v>
      </c>
      <c r="K4069" s="13" t="n">
        <f aca="false">H4069+I4069</f>
        <v>0.89</v>
      </c>
      <c r="L4069" s="13" t="n">
        <f aca="false">MAX(0,D4069-K4069)</f>
        <v>0</v>
      </c>
      <c r="M4069" s="13" t="n">
        <f aca="false">MAX(0,F4069-I4069-J4069)</f>
        <v>0</v>
      </c>
      <c r="N4069" s="13" t="n">
        <f aca="false">IF(Kalender!A43="",0,J4068-H4069)</f>
        <v>0.7032278</v>
      </c>
    </row>
    <row r="4070" customFormat="false" ht="16.4" hidden="false" customHeight="false" outlineLevel="0" collapsed="false">
      <c r="A4070" s="13" t="str">
        <f aca="false">""</f>
        <v/>
      </c>
      <c r="B4070" s="13" t="n">
        <f aca="false">40</f>
        <v>40</v>
      </c>
      <c r="C4070" s="13" t="n">
        <f aca="false">IF(Szenarien!$H$22="OK",(IFERROR(SUMIF(Nutzungsprofile!$B$6:$B$11,"Schulbetrieb",Nutzungsprofile!$G$6:$G$11)*Kalender!C44/SUM(Kalender!$C$5:$C$370),0)+IFERROR(SUMIF(Nutzungsprofile!$B$6:$B$11,"Halle",Nutzungsprofile!$G$6:$G$11)*Kalender!D44/SUM(Kalender!$D$5:$D$370),0)+IFERROR(SUMIF(Nutzungsprofile!$B$6:$B$11,"Individuell",Nutzungsprofile!$G$6:$G$11)*Kalender!E44/SUM(Kalender!$E$5:$E$370),0))*Szenarien!$E$22,0)</f>
        <v>2.94</v>
      </c>
      <c r="D4070" s="13" t="n">
        <f aca="false">IF(Szenarien!$H$22="OK",(IFERROR(SUMIF(Nutzungsprofile!$B$17:$B$22,"Schulbetrieb",Nutzungsprofile!$G$17:$G$22)*Kalender!C44/SUM(Kalender!$C$5:$C$370),0)+IFERROR(SUMIF(Nutzungsprofile!$B$17:$B$22,"Halle",Nutzungsprofile!$G$17:$G$22)*Kalender!D44/SUM(Kalender!$D$5:$D$370),0)+IFERROR(SUMIF(Nutzungsprofile!$B$17:$B$22,"Individuell",Nutzungsprofile!$G$17:$G$22)*Kalender!E44/SUM(Kalender!$E$5:$E$370),0))*Szenarien!$D$22,0)</f>
        <v>4.94</v>
      </c>
      <c r="E4070" s="13" t="n">
        <f aca="false">IFERROR(MIN(C4070,Eingaben!$B$17)*Eingaben!$B$16,0)</f>
        <v>2.793</v>
      </c>
      <c r="F4070" s="13" t="n">
        <f aca="false">IFERROR(E4070*Eingaben!$B$15,0)</f>
        <v>2.5137</v>
      </c>
      <c r="G4070" s="13" t="n">
        <f aca="false">IFERROR(IF(Kalender!A44="",0,J4069*(1-Eingaben!$B$20)),0)</f>
        <v>1.709316</v>
      </c>
      <c r="H4070" s="13" t="n">
        <f aca="false">MIN(G4070,D4070)</f>
        <v>1.709316</v>
      </c>
      <c r="I4070" s="13" t="n">
        <f aca="false">IFERROR(MIN(F4070*Eingaben!$B$19,MAX(0,D4070-H4070)),0)</f>
        <v>1.75959</v>
      </c>
      <c r="J4070" s="13" t="n">
        <f aca="false">IFERROR(MIN(Eingaben!$B$18,MAX(0,F4070-I4070)),0)</f>
        <v>0.75411</v>
      </c>
      <c r="K4070" s="13" t="n">
        <f aca="false">H4070+I4070</f>
        <v>3.468906</v>
      </c>
      <c r="L4070" s="13" t="n">
        <f aca="false">MAX(0,D4070-K4070)</f>
        <v>1.471094</v>
      </c>
      <c r="M4070" s="13" t="n">
        <f aca="false">MAX(0,F4070-I4070-J4070)</f>
        <v>0</v>
      </c>
      <c r="N4070" s="13" t="n">
        <f aca="false">IF(Kalender!A44="",0,J4069-H4070)</f>
        <v>0.0348840000000001</v>
      </c>
    </row>
    <row r="4071" customFormat="false" ht="16.4" hidden="false" customHeight="false" outlineLevel="0" collapsed="false">
      <c r="A4071" s="13" t="str">
        <f aca="false">""</f>
        <v/>
      </c>
      <c r="B4071" s="13" t="n">
        <f aca="false">41</f>
        <v>41</v>
      </c>
      <c r="C4071" s="13" t="n">
        <f aca="false">IF(Szenarien!$H$22="OK",(IFERROR(SUMIF(Nutzungsprofile!$B$6:$B$11,"Schulbetrieb",Nutzungsprofile!$G$6:$G$11)*Kalender!C45/SUM(Kalender!$C$5:$C$370),0)+IFERROR(SUMIF(Nutzungsprofile!$B$6:$B$11,"Halle",Nutzungsprofile!$G$6:$G$11)*Kalender!D45/SUM(Kalender!$D$5:$D$370),0)+IFERROR(SUMIF(Nutzungsprofile!$B$6:$B$11,"Individuell",Nutzungsprofile!$G$6:$G$11)*Kalender!E45/SUM(Kalender!$E$5:$E$370),0))*Szenarien!$E$22,0)</f>
        <v>2.94</v>
      </c>
      <c r="D4071" s="13" t="n">
        <f aca="false">IF(Szenarien!$H$22="OK",(IFERROR(SUMIF(Nutzungsprofile!$B$17:$B$22,"Schulbetrieb",Nutzungsprofile!$G$17:$G$22)*Kalender!C45/SUM(Kalender!$C$5:$C$370),0)+IFERROR(SUMIF(Nutzungsprofile!$B$17:$B$22,"Halle",Nutzungsprofile!$G$17:$G$22)*Kalender!D45/SUM(Kalender!$D$5:$D$370),0)+IFERROR(SUMIF(Nutzungsprofile!$B$17:$B$22,"Individuell",Nutzungsprofile!$G$17:$G$22)*Kalender!E45/SUM(Kalender!$E$5:$E$370),0))*Szenarien!$D$22,0)</f>
        <v>4.94</v>
      </c>
      <c r="E4071" s="13" t="n">
        <f aca="false">IFERROR(MIN(C4071,Eingaben!$B$17)*Eingaben!$B$16,0)</f>
        <v>2.793</v>
      </c>
      <c r="F4071" s="13" t="n">
        <f aca="false">IFERROR(E4071*Eingaben!$B$15,0)</f>
        <v>2.5137</v>
      </c>
      <c r="G4071" s="13" t="n">
        <f aca="false">IFERROR(IF(Kalender!A45="",0,J4070*(1-Eingaben!$B$20)),0)</f>
        <v>0.7390278</v>
      </c>
      <c r="H4071" s="13" t="n">
        <f aca="false">MIN(G4071,D4071)</f>
        <v>0.7390278</v>
      </c>
      <c r="I4071" s="13" t="n">
        <f aca="false">IFERROR(MIN(F4071*Eingaben!$B$19,MAX(0,D4071-H4071)),0)</f>
        <v>1.75959</v>
      </c>
      <c r="J4071" s="13" t="n">
        <f aca="false">IFERROR(MIN(Eingaben!$B$18,MAX(0,F4071-I4071)),0)</f>
        <v>0.75411</v>
      </c>
      <c r="K4071" s="13" t="n">
        <f aca="false">H4071+I4071</f>
        <v>2.4986178</v>
      </c>
      <c r="L4071" s="13" t="n">
        <f aca="false">MAX(0,D4071-K4071)</f>
        <v>2.4413822</v>
      </c>
      <c r="M4071" s="13" t="n">
        <f aca="false">MAX(0,F4071-I4071-J4071)</f>
        <v>0</v>
      </c>
      <c r="N4071" s="13" t="n">
        <f aca="false">IF(Kalender!A45="",0,J4070-H4071)</f>
        <v>0.0150822</v>
      </c>
    </row>
    <row r="4072" customFormat="false" ht="16.4" hidden="false" customHeight="false" outlineLevel="0" collapsed="false">
      <c r="A4072" s="13" t="str">
        <f aca="false">""</f>
        <v/>
      </c>
      <c r="B4072" s="13" t="n">
        <f aca="false">42</f>
        <v>42</v>
      </c>
      <c r="C4072" s="13" t="n">
        <f aca="false">IF(Szenarien!$H$22="OK",(IFERROR(SUMIF(Nutzungsprofile!$B$6:$B$11,"Schulbetrieb",Nutzungsprofile!$G$6:$G$11)*Kalender!C46/SUM(Kalender!$C$5:$C$370),0)+IFERROR(SUMIF(Nutzungsprofile!$B$6:$B$11,"Halle",Nutzungsprofile!$G$6:$G$11)*Kalender!D46/SUM(Kalender!$D$5:$D$370),0)+IFERROR(SUMIF(Nutzungsprofile!$B$6:$B$11,"Individuell",Nutzungsprofile!$G$6:$G$11)*Kalender!E46/SUM(Kalender!$E$5:$E$370),0))*Szenarien!$E$22,0)</f>
        <v>2.94</v>
      </c>
      <c r="D4072" s="13" t="n">
        <f aca="false">IF(Szenarien!$H$22="OK",(IFERROR(SUMIF(Nutzungsprofile!$B$17:$B$22,"Schulbetrieb",Nutzungsprofile!$G$17:$G$22)*Kalender!C46/SUM(Kalender!$C$5:$C$370),0)+IFERROR(SUMIF(Nutzungsprofile!$B$17:$B$22,"Halle",Nutzungsprofile!$G$17:$G$22)*Kalender!D46/SUM(Kalender!$D$5:$D$370),0)+IFERROR(SUMIF(Nutzungsprofile!$B$17:$B$22,"Individuell",Nutzungsprofile!$G$17:$G$22)*Kalender!E46/SUM(Kalender!$E$5:$E$370),0))*Szenarien!$D$22,0)</f>
        <v>4.94</v>
      </c>
      <c r="E4072" s="13" t="n">
        <f aca="false">IFERROR(MIN(C4072,Eingaben!$B$17)*Eingaben!$B$16,0)</f>
        <v>2.793</v>
      </c>
      <c r="F4072" s="13" t="n">
        <f aca="false">IFERROR(E4072*Eingaben!$B$15,0)</f>
        <v>2.5137</v>
      </c>
      <c r="G4072" s="13" t="n">
        <f aca="false">IFERROR(IF(Kalender!A46="",0,J4071*(1-Eingaben!$B$20)),0)</f>
        <v>0.7390278</v>
      </c>
      <c r="H4072" s="13" t="n">
        <f aca="false">MIN(G4072,D4072)</f>
        <v>0.7390278</v>
      </c>
      <c r="I4072" s="13" t="n">
        <f aca="false">IFERROR(MIN(F4072*Eingaben!$B$19,MAX(0,D4072-H4072)),0)</f>
        <v>1.75959</v>
      </c>
      <c r="J4072" s="13" t="n">
        <f aca="false">IFERROR(MIN(Eingaben!$B$18,MAX(0,F4072-I4072)),0)</f>
        <v>0.75411</v>
      </c>
      <c r="K4072" s="13" t="n">
        <f aca="false">H4072+I4072</f>
        <v>2.4986178</v>
      </c>
      <c r="L4072" s="13" t="n">
        <f aca="false">MAX(0,D4072-K4072)</f>
        <v>2.4413822</v>
      </c>
      <c r="M4072" s="13" t="n">
        <f aca="false">MAX(0,F4072-I4072-J4072)</f>
        <v>0</v>
      </c>
      <c r="N4072" s="13" t="n">
        <f aca="false">IF(Kalender!A46="",0,J4071-H4072)</f>
        <v>0.0150822</v>
      </c>
    </row>
    <row r="4073" customFormat="false" ht="16.4" hidden="false" customHeight="false" outlineLevel="0" collapsed="false">
      <c r="A4073" s="13" t="str">
        <f aca="false">""</f>
        <v/>
      </c>
      <c r="B4073" s="13" t="n">
        <f aca="false">43</f>
        <v>43</v>
      </c>
      <c r="C4073" s="13" t="n">
        <f aca="false">IF(Szenarien!$H$22="OK",(IFERROR(SUMIF(Nutzungsprofile!$B$6:$B$11,"Schulbetrieb",Nutzungsprofile!$G$6:$G$11)*Kalender!C47/SUM(Kalender!$C$5:$C$370),0)+IFERROR(SUMIF(Nutzungsprofile!$B$6:$B$11,"Halle",Nutzungsprofile!$G$6:$G$11)*Kalender!D47/SUM(Kalender!$D$5:$D$370),0)+IFERROR(SUMIF(Nutzungsprofile!$B$6:$B$11,"Individuell",Nutzungsprofile!$G$6:$G$11)*Kalender!E47/SUM(Kalender!$E$5:$E$370),0))*Szenarien!$E$22,0)</f>
        <v>2.94</v>
      </c>
      <c r="D4073" s="13" t="n">
        <f aca="false">IF(Szenarien!$H$22="OK",(IFERROR(SUMIF(Nutzungsprofile!$B$17:$B$22,"Schulbetrieb",Nutzungsprofile!$G$17:$G$22)*Kalender!C47/SUM(Kalender!$C$5:$C$370),0)+IFERROR(SUMIF(Nutzungsprofile!$B$17:$B$22,"Halle",Nutzungsprofile!$G$17:$G$22)*Kalender!D47/SUM(Kalender!$D$5:$D$370),0)+IFERROR(SUMIF(Nutzungsprofile!$B$17:$B$22,"Individuell",Nutzungsprofile!$G$17:$G$22)*Kalender!E47/SUM(Kalender!$E$5:$E$370),0))*Szenarien!$D$22,0)</f>
        <v>4.94</v>
      </c>
      <c r="E4073" s="13" t="n">
        <f aca="false">IFERROR(MIN(C4073,Eingaben!$B$17)*Eingaben!$B$16,0)</f>
        <v>2.793</v>
      </c>
      <c r="F4073" s="13" t="n">
        <f aca="false">IFERROR(E4073*Eingaben!$B$15,0)</f>
        <v>2.5137</v>
      </c>
      <c r="G4073" s="13" t="n">
        <f aca="false">IFERROR(IF(Kalender!A47="",0,J4072*(1-Eingaben!$B$20)),0)</f>
        <v>0.7390278</v>
      </c>
      <c r="H4073" s="13" t="n">
        <f aca="false">MIN(G4073,D4073)</f>
        <v>0.7390278</v>
      </c>
      <c r="I4073" s="13" t="n">
        <f aca="false">IFERROR(MIN(F4073*Eingaben!$B$19,MAX(0,D4073-H4073)),0)</f>
        <v>1.75959</v>
      </c>
      <c r="J4073" s="13" t="n">
        <f aca="false">IFERROR(MIN(Eingaben!$B$18,MAX(0,F4073-I4073)),0)</f>
        <v>0.75411</v>
      </c>
      <c r="K4073" s="13" t="n">
        <f aca="false">H4073+I4073</f>
        <v>2.4986178</v>
      </c>
      <c r="L4073" s="13" t="n">
        <f aca="false">MAX(0,D4073-K4073)</f>
        <v>2.4413822</v>
      </c>
      <c r="M4073" s="13" t="n">
        <f aca="false">MAX(0,F4073-I4073-J4073)</f>
        <v>0</v>
      </c>
      <c r="N4073" s="13" t="n">
        <f aca="false">IF(Kalender!A47="",0,J4072-H4073)</f>
        <v>0.0150822</v>
      </c>
    </row>
    <row r="4074" customFormat="false" ht="16.4" hidden="false" customHeight="false" outlineLevel="0" collapsed="false">
      <c r="A4074" s="13" t="str">
        <f aca="false">""</f>
        <v/>
      </c>
      <c r="B4074" s="13" t="n">
        <f aca="false">44</f>
        <v>44</v>
      </c>
      <c r="C4074" s="13" t="n">
        <f aca="false">IF(Szenarien!$H$22="OK",(IFERROR(SUMIF(Nutzungsprofile!$B$6:$B$11,"Schulbetrieb",Nutzungsprofile!$G$6:$G$11)*Kalender!C48/SUM(Kalender!$C$5:$C$370),0)+IFERROR(SUMIF(Nutzungsprofile!$B$6:$B$11,"Halle",Nutzungsprofile!$G$6:$G$11)*Kalender!D48/SUM(Kalender!$D$5:$D$370),0)+IFERROR(SUMIF(Nutzungsprofile!$B$6:$B$11,"Individuell",Nutzungsprofile!$G$6:$G$11)*Kalender!E48/SUM(Kalender!$E$5:$E$370),0))*Szenarien!$E$22,0)</f>
        <v>2.94</v>
      </c>
      <c r="D4074" s="13" t="n">
        <f aca="false">IF(Szenarien!$H$22="OK",(IFERROR(SUMIF(Nutzungsprofile!$B$17:$B$22,"Schulbetrieb",Nutzungsprofile!$G$17:$G$22)*Kalender!C48/SUM(Kalender!$C$5:$C$370),0)+IFERROR(SUMIF(Nutzungsprofile!$B$17:$B$22,"Halle",Nutzungsprofile!$G$17:$G$22)*Kalender!D48/SUM(Kalender!$D$5:$D$370),0)+IFERROR(SUMIF(Nutzungsprofile!$B$17:$B$22,"Individuell",Nutzungsprofile!$G$17:$G$22)*Kalender!E48/SUM(Kalender!$E$5:$E$370),0))*Szenarien!$D$22,0)</f>
        <v>4.94</v>
      </c>
      <c r="E4074" s="13" t="n">
        <f aca="false">IFERROR(MIN(C4074,Eingaben!$B$17)*Eingaben!$B$16,0)</f>
        <v>2.793</v>
      </c>
      <c r="F4074" s="13" t="n">
        <f aca="false">IFERROR(E4074*Eingaben!$B$15,0)</f>
        <v>2.5137</v>
      </c>
      <c r="G4074" s="13" t="n">
        <f aca="false">IFERROR(IF(Kalender!A48="",0,J4073*(1-Eingaben!$B$20)),0)</f>
        <v>0.7390278</v>
      </c>
      <c r="H4074" s="13" t="n">
        <f aca="false">MIN(G4074,D4074)</f>
        <v>0.7390278</v>
      </c>
      <c r="I4074" s="13" t="n">
        <f aca="false">IFERROR(MIN(F4074*Eingaben!$B$19,MAX(0,D4074-H4074)),0)</f>
        <v>1.75959</v>
      </c>
      <c r="J4074" s="13" t="n">
        <f aca="false">IFERROR(MIN(Eingaben!$B$18,MAX(0,F4074-I4074)),0)</f>
        <v>0.75411</v>
      </c>
      <c r="K4074" s="13" t="n">
        <f aca="false">H4074+I4074</f>
        <v>2.4986178</v>
      </c>
      <c r="L4074" s="13" t="n">
        <f aca="false">MAX(0,D4074-K4074)</f>
        <v>2.4413822</v>
      </c>
      <c r="M4074" s="13" t="n">
        <f aca="false">MAX(0,F4074-I4074-J4074)</f>
        <v>0</v>
      </c>
      <c r="N4074" s="13" t="n">
        <f aca="false">IF(Kalender!A48="",0,J4073-H4074)</f>
        <v>0.0150822</v>
      </c>
    </row>
    <row r="4075" customFormat="false" ht="16.4" hidden="false" customHeight="false" outlineLevel="0" collapsed="false">
      <c r="A4075" s="13" t="str">
        <f aca="false">""</f>
        <v/>
      </c>
      <c r="B4075" s="13" t="n">
        <f aca="false">45</f>
        <v>45</v>
      </c>
      <c r="C4075" s="13" t="n">
        <f aca="false">IF(Szenarien!$H$22="OK",(IFERROR(SUMIF(Nutzungsprofile!$B$6:$B$11,"Schulbetrieb",Nutzungsprofile!$G$6:$G$11)*Kalender!C49/SUM(Kalender!$C$5:$C$370),0)+IFERROR(SUMIF(Nutzungsprofile!$B$6:$B$11,"Halle",Nutzungsprofile!$G$6:$G$11)*Kalender!D49/SUM(Kalender!$D$5:$D$370),0)+IFERROR(SUMIF(Nutzungsprofile!$B$6:$B$11,"Individuell",Nutzungsprofile!$G$6:$G$11)*Kalender!E49/SUM(Kalender!$E$5:$E$370),0))*Szenarien!$E$22,0)</f>
        <v>2.04</v>
      </c>
      <c r="D4075" s="13" t="n">
        <f aca="false">IF(Szenarien!$H$22="OK",(IFERROR(SUMIF(Nutzungsprofile!$B$17:$B$22,"Schulbetrieb",Nutzungsprofile!$G$17:$G$22)*Kalender!C49/SUM(Kalender!$C$5:$C$370),0)+IFERROR(SUMIF(Nutzungsprofile!$B$17:$B$22,"Halle",Nutzungsprofile!$G$17:$G$22)*Kalender!D49/SUM(Kalender!$D$5:$D$370),0)+IFERROR(SUMIF(Nutzungsprofile!$B$17:$B$22,"Individuell",Nutzungsprofile!$G$17:$G$22)*Kalender!E49/SUM(Kalender!$E$5:$E$370),0))*Szenarien!$D$22,0)</f>
        <v>0.89</v>
      </c>
      <c r="E4075" s="13" t="n">
        <f aca="false">IFERROR(MIN(C4075,Eingaben!$B$17)*Eingaben!$B$16,0)</f>
        <v>1.938</v>
      </c>
      <c r="F4075" s="13" t="n">
        <f aca="false">IFERROR(E4075*Eingaben!$B$15,0)</f>
        <v>1.7442</v>
      </c>
      <c r="G4075" s="13" t="n">
        <f aca="false">IFERROR(IF(Kalender!A49="",0,J4074*(1-Eingaben!$B$20)),0)</f>
        <v>0.7390278</v>
      </c>
      <c r="H4075" s="13" t="n">
        <f aca="false">MIN(G4075,D4075)</f>
        <v>0.7390278</v>
      </c>
      <c r="I4075" s="13" t="n">
        <f aca="false">IFERROR(MIN(F4075*Eingaben!$B$19,MAX(0,D4075-H4075)),0)</f>
        <v>0.1509722</v>
      </c>
      <c r="J4075" s="13" t="n">
        <f aca="false">IFERROR(MIN(Eingaben!$B$18,MAX(0,F4075-I4075)),0)</f>
        <v>1.5932278</v>
      </c>
      <c r="K4075" s="13" t="n">
        <f aca="false">H4075+I4075</f>
        <v>0.89</v>
      </c>
      <c r="L4075" s="13" t="n">
        <f aca="false">MAX(0,D4075-K4075)</f>
        <v>0</v>
      </c>
      <c r="M4075" s="13" t="n">
        <f aca="false">MAX(0,F4075-I4075-J4075)</f>
        <v>0</v>
      </c>
      <c r="N4075" s="13" t="n">
        <f aca="false">IF(Kalender!A49="",0,J4074-H4075)</f>
        <v>0.0150822</v>
      </c>
    </row>
    <row r="4076" customFormat="false" ht="16.4" hidden="false" customHeight="false" outlineLevel="0" collapsed="false">
      <c r="A4076" s="13" t="str">
        <f aca="false">""</f>
        <v/>
      </c>
      <c r="B4076" s="13" t="n">
        <f aca="false">46</f>
        <v>46</v>
      </c>
      <c r="C4076" s="13" t="n">
        <f aca="false">IF(Szenarien!$H$22="OK",(IFERROR(SUMIF(Nutzungsprofile!$B$6:$B$11,"Schulbetrieb",Nutzungsprofile!$G$6:$G$11)*Kalender!C50/SUM(Kalender!$C$5:$C$370),0)+IFERROR(SUMIF(Nutzungsprofile!$B$6:$B$11,"Halle",Nutzungsprofile!$G$6:$G$11)*Kalender!D50/SUM(Kalender!$D$5:$D$370),0)+IFERROR(SUMIF(Nutzungsprofile!$B$6:$B$11,"Individuell",Nutzungsprofile!$G$6:$G$11)*Kalender!E50/SUM(Kalender!$E$5:$E$370),0))*Szenarien!$E$22,0)</f>
        <v>2.04</v>
      </c>
      <c r="D4076" s="13" t="n">
        <f aca="false">IF(Szenarien!$H$22="OK",(IFERROR(SUMIF(Nutzungsprofile!$B$17:$B$22,"Schulbetrieb",Nutzungsprofile!$G$17:$G$22)*Kalender!C50/SUM(Kalender!$C$5:$C$370),0)+IFERROR(SUMIF(Nutzungsprofile!$B$17:$B$22,"Halle",Nutzungsprofile!$G$17:$G$22)*Kalender!D50/SUM(Kalender!$D$5:$D$370),0)+IFERROR(SUMIF(Nutzungsprofile!$B$17:$B$22,"Individuell",Nutzungsprofile!$G$17:$G$22)*Kalender!E50/SUM(Kalender!$E$5:$E$370),0))*Szenarien!$D$22,0)</f>
        <v>0.89</v>
      </c>
      <c r="E4076" s="13" t="n">
        <f aca="false">IFERROR(MIN(C4076,Eingaben!$B$17)*Eingaben!$B$16,0)</f>
        <v>1.938</v>
      </c>
      <c r="F4076" s="13" t="n">
        <f aca="false">IFERROR(E4076*Eingaben!$B$15,0)</f>
        <v>1.7442</v>
      </c>
      <c r="G4076" s="13" t="n">
        <f aca="false">IFERROR(IF(Kalender!A50="",0,J4075*(1-Eingaben!$B$20)),0)</f>
        <v>1.561363244</v>
      </c>
      <c r="H4076" s="13" t="n">
        <f aca="false">MIN(G4076,D4076)</f>
        <v>0.89</v>
      </c>
      <c r="I4076" s="13" t="n">
        <f aca="false">IFERROR(MIN(F4076*Eingaben!$B$19,MAX(0,D4076-H4076)),0)</f>
        <v>0</v>
      </c>
      <c r="J4076" s="13" t="n">
        <f aca="false">IFERROR(MIN(Eingaben!$B$18,MAX(0,F4076-I4076)),0)</f>
        <v>1.7442</v>
      </c>
      <c r="K4076" s="13" t="n">
        <f aca="false">H4076+I4076</f>
        <v>0.89</v>
      </c>
      <c r="L4076" s="13" t="n">
        <f aca="false">MAX(0,D4076-K4076)</f>
        <v>0</v>
      </c>
      <c r="M4076" s="13" t="n">
        <f aca="false">MAX(0,F4076-I4076-J4076)</f>
        <v>0</v>
      </c>
      <c r="N4076" s="13" t="n">
        <f aca="false">IF(Kalender!A50="",0,J4075-H4076)</f>
        <v>0.7032278</v>
      </c>
    </row>
    <row r="4077" customFormat="false" ht="16.4" hidden="false" customHeight="false" outlineLevel="0" collapsed="false">
      <c r="A4077" s="13" t="str">
        <f aca="false">""</f>
        <v/>
      </c>
      <c r="B4077" s="13" t="n">
        <f aca="false">47</f>
        <v>47</v>
      </c>
      <c r="C4077" s="13" t="n">
        <f aca="false">IF(Szenarien!$H$22="OK",(IFERROR(SUMIF(Nutzungsprofile!$B$6:$B$11,"Schulbetrieb",Nutzungsprofile!$G$6:$G$11)*Kalender!C51/SUM(Kalender!$C$5:$C$370),0)+IFERROR(SUMIF(Nutzungsprofile!$B$6:$B$11,"Halle",Nutzungsprofile!$G$6:$G$11)*Kalender!D51/SUM(Kalender!$D$5:$D$370),0)+IFERROR(SUMIF(Nutzungsprofile!$B$6:$B$11,"Individuell",Nutzungsprofile!$G$6:$G$11)*Kalender!E51/SUM(Kalender!$E$5:$E$370),0))*Szenarien!$E$22,0)</f>
        <v>2.94</v>
      </c>
      <c r="D4077" s="13" t="n">
        <f aca="false">IF(Szenarien!$H$22="OK",(IFERROR(SUMIF(Nutzungsprofile!$B$17:$B$22,"Schulbetrieb",Nutzungsprofile!$G$17:$G$22)*Kalender!C51/SUM(Kalender!$C$5:$C$370),0)+IFERROR(SUMIF(Nutzungsprofile!$B$17:$B$22,"Halle",Nutzungsprofile!$G$17:$G$22)*Kalender!D51/SUM(Kalender!$D$5:$D$370),0)+IFERROR(SUMIF(Nutzungsprofile!$B$17:$B$22,"Individuell",Nutzungsprofile!$G$17:$G$22)*Kalender!E51/SUM(Kalender!$E$5:$E$370),0))*Szenarien!$D$22,0)</f>
        <v>4.94</v>
      </c>
      <c r="E4077" s="13" t="n">
        <f aca="false">IFERROR(MIN(C4077,Eingaben!$B$17)*Eingaben!$B$16,0)</f>
        <v>2.793</v>
      </c>
      <c r="F4077" s="13" t="n">
        <f aca="false">IFERROR(E4077*Eingaben!$B$15,0)</f>
        <v>2.5137</v>
      </c>
      <c r="G4077" s="13" t="n">
        <f aca="false">IFERROR(IF(Kalender!A51="",0,J4076*(1-Eingaben!$B$20)),0)</f>
        <v>1.709316</v>
      </c>
      <c r="H4077" s="13" t="n">
        <f aca="false">MIN(G4077,D4077)</f>
        <v>1.709316</v>
      </c>
      <c r="I4077" s="13" t="n">
        <f aca="false">IFERROR(MIN(F4077*Eingaben!$B$19,MAX(0,D4077-H4077)),0)</f>
        <v>1.75959</v>
      </c>
      <c r="J4077" s="13" t="n">
        <f aca="false">IFERROR(MIN(Eingaben!$B$18,MAX(0,F4077-I4077)),0)</f>
        <v>0.75411</v>
      </c>
      <c r="K4077" s="13" t="n">
        <f aca="false">H4077+I4077</f>
        <v>3.468906</v>
      </c>
      <c r="L4077" s="13" t="n">
        <f aca="false">MAX(0,D4077-K4077)</f>
        <v>1.471094</v>
      </c>
      <c r="M4077" s="13" t="n">
        <f aca="false">MAX(0,F4077-I4077-J4077)</f>
        <v>0</v>
      </c>
      <c r="N4077" s="13" t="n">
        <f aca="false">IF(Kalender!A51="",0,J4076-H4077)</f>
        <v>0.0348840000000001</v>
      </c>
    </row>
    <row r="4078" customFormat="false" ht="16.4" hidden="false" customHeight="false" outlineLevel="0" collapsed="false">
      <c r="A4078" s="13" t="str">
        <f aca="false">""</f>
        <v/>
      </c>
      <c r="B4078" s="13" t="n">
        <f aca="false">48</f>
        <v>48</v>
      </c>
      <c r="C4078" s="13" t="n">
        <f aca="false">IF(Szenarien!$H$22="OK",(IFERROR(SUMIF(Nutzungsprofile!$B$6:$B$11,"Schulbetrieb",Nutzungsprofile!$G$6:$G$11)*Kalender!C52/SUM(Kalender!$C$5:$C$370),0)+IFERROR(SUMIF(Nutzungsprofile!$B$6:$B$11,"Halle",Nutzungsprofile!$G$6:$G$11)*Kalender!D52/SUM(Kalender!$D$5:$D$370),0)+IFERROR(SUMIF(Nutzungsprofile!$B$6:$B$11,"Individuell",Nutzungsprofile!$G$6:$G$11)*Kalender!E52/SUM(Kalender!$E$5:$E$370),0))*Szenarien!$E$22,0)</f>
        <v>2.94</v>
      </c>
      <c r="D4078" s="13" t="n">
        <f aca="false">IF(Szenarien!$H$22="OK",(IFERROR(SUMIF(Nutzungsprofile!$B$17:$B$22,"Schulbetrieb",Nutzungsprofile!$G$17:$G$22)*Kalender!C52/SUM(Kalender!$C$5:$C$370),0)+IFERROR(SUMIF(Nutzungsprofile!$B$17:$B$22,"Halle",Nutzungsprofile!$G$17:$G$22)*Kalender!D52/SUM(Kalender!$D$5:$D$370),0)+IFERROR(SUMIF(Nutzungsprofile!$B$17:$B$22,"Individuell",Nutzungsprofile!$G$17:$G$22)*Kalender!E52/SUM(Kalender!$E$5:$E$370),0))*Szenarien!$D$22,0)</f>
        <v>4.94</v>
      </c>
      <c r="E4078" s="13" t="n">
        <f aca="false">IFERROR(MIN(C4078,Eingaben!$B$17)*Eingaben!$B$16,0)</f>
        <v>2.793</v>
      </c>
      <c r="F4078" s="13" t="n">
        <f aca="false">IFERROR(E4078*Eingaben!$B$15,0)</f>
        <v>2.5137</v>
      </c>
      <c r="G4078" s="13" t="n">
        <f aca="false">IFERROR(IF(Kalender!A52="",0,J4077*(1-Eingaben!$B$20)),0)</f>
        <v>0.7390278</v>
      </c>
      <c r="H4078" s="13" t="n">
        <f aca="false">MIN(G4078,D4078)</f>
        <v>0.7390278</v>
      </c>
      <c r="I4078" s="13" t="n">
        <f aca="false">IFERROR(MIN(F4078*Eingaben!$B$19,MAX(0,D4078-H4078)),0)</f>
        <v>1.75959</v>
      </c>
      <c r="J4078" s="13" t="n">
        <f aca="false">IFERROR(MIN(Eingaben!$B$18,MAX(0,F4078-I4078)),0)</f>
        <v>0.75411</v>
      </c>
      <c r="K4078" s="13" t="n">
        <f aca="false">H4078+I4078</f>
        <v>2.4986178</v>
      </c>
      <c r="L4078" s="13" t="n">
        <f aca="false">MAX(0,D4078-K4078)</f>
        <v>2.4413822</v>
      </c>
      <c r="M4078" s="13" t="n">
        <f aca="false">MAX(0,F4078-I4078-J4078)</f>
        <v>0</v>
      </c>
      <c r="N4078" s="13" t="n">
        <f aca="false">IF(Kalender!A52="",0,J4077-H4078)</f>
        <v>0.0150822</v>
      </c>
    </row>
    <row r="4079" customFormat="false" ht="16.4" hidden="false" customHeight="false" outlineLevel="0" collapsed="false">
      <c r="A4079" s="13" t="str">
        <f aca="false">""</f>
        <v/>
      </c>
      <c r="B4079" s="13" t="n">
        <f aca="false">49</f>
        <v>49</v>
      </c>
      <c r="C4079" s="13" t="n">
        <f aca="false">IF(Szenarien!$H$22="OK",(IFERROR(SUMIF(Nutzungsprofile!$B$6:$B$11,"Schulbetrieb",Nutzungsprofile!$G$6:$G$11)*Kalender!C53/SUM(Kalender!$C$5:$C$370),0)+IFERROR(SUMIF(Nutzungsprofile!$B$6:$B$11,"Halle",Nutzungsprofile!$G$6:$G$11)*Kalender!D53/SUM(Kalender!$D$5:$D$370),0)+IFERROR(SUMIF(Nutzungsprofile!$B$6:$B$11,"Individuell",Nutzungsprofile!$G$6:$G$11)*Kalender!E53/SUM(Kalender!$E$5:$E$370),0))*Szenarien!$E$22,0)</f>
        <v>2.94</v>
      </c>
      <c r="D4079" s="13" t="n">
        <f aca="false">IF(Szenarien!$H$22="OK",(IFERROR(SUMIF(Nutzungsprofile!$B$17:$B$22,"Schulbetrieb",Nutzungsprofile!$G$17:$G$22)*Kalender!C53/SUM(Kalender!$C$5:$C$370),0)+IFERROR(SUMIF(Nutzungsprofile!$B$17:$B$22,"Halle",Nutzungsprofile!$G$17:$G$22)*Kalender!D53/SUM(Kalender!$D$5:$D$370),0)+IFERROR(SUMIF(Nutzungsprofile!$B$17:$B$22,"Individuell",Nutzungsprofile!$G$17:$G$22)*Kalender!E53/SUM(Kalender!$E$5:$E$370),0))*Szenarien!$D$22,0)</f>
        <v>4.94</v>
      </c>
      <c r="E4079" s="13" t="n">
        <f aca="false">IFERROR(MIN(C4079,Eingaben!$B$17)*Eingaben!$B$16,0)</f>
        <v>2.793</v>
      </c>
      <c r="F4079" s="13" t="n">
        <f aca="false">IFERROR(E4079*Eingaben!$B$15,0)</f>
        <v>2.5137</v>
      </c>
      <c r="G4079" s="13" t="n">
        <f aca="false">IFERROR(IF(Kalender!A53="",0,J4078*(1-Eingaben!$B$20)),0)</f>
        <v>0.7390278</v>
      </c>
      <c r="H4079" s="13" t="n">
        <f aca="false">MIN(G4079,D4079)</f>
        <v>0.7390278</v>
      </c>
      <c r="I4079" s="13" t="n">
        <f aca="false">IFERROR(MIN(F4079*Eingaben!$B$19,MAX(0,D4079-H4079)),0)</f>
        <v>1.75959</v>
      </c>
      <c r="J4079" s="13" t="n">
        <f aca="false">IFERROR(MIN(Eingaben!$B$18,MAX(0,F4079-I4079)),0)</f>
        <v>0.75411</v>
      </c>
      <c r="K4079" s="13" t="n">
        <f aca="false">H4079+I4079</f>
        <v>2.4986178</v>
      </c>
      <c r="L4079" s="13" t="n">
        <f aca="false">MAX(0,D4079-K4079)</f>
        <v>2.4413822</v>
      </c>
      <c r="M4079" s="13" t="n">
        <f aca="false">MAX(0,F4079-I4079-J4079)</f>
        <v>0</v>
      </c>
      <c r="N4079" s="13" t="n">
        <f aca="false">IF(Kalender!A53="",0,J4078-H4079)</f>
        <v>0.0150822</v>
      </c>
    </row>
    <row r="4080" customFormat="false" ht="16.4" hidden="false" customHeight="false" outlineLevel="0" collapsed="false">
      <c r="A4080" s="13" t="str">
        <f aca="false">""</f>
        <v/>
      </c>
      <c r="B4080" s="13" t="n">
        <f aca="false">50</f>
        <v>50</v>
      </c>
      <c r="C4080" s="13" t="n">
        <f aca="false">IF(Szenarien!$H$22="OK",(IFERROR(SUMIF(Nutzungsprofile!$B$6:$B$11,"Schulbetrieb",Nutzungsprofile!$G$6:$G$11)*Kalender!C54/SUM(Kalender!$C$5:$C$370),0)+IFERROR(SUMIF(Nutzungsprofile!$B$6:$B$11,"Halle",Nutzungsprofile!$G$6:$G$11)*Kalender!D54/SUM(Kalender!$D$5:$D$370),0)+IFERROR(SUMIF(Nutzungsprofile!$B$6:$B$11,"Individuell",Nutzungsprofile!$G$6:$G$11)*Kalender!E54/SUM(Kalender!$E$5:$E$370),0))*Szenarien!$E$22,0)</f>
        <v>2.94</v>
      </c>
      <c r="D4080" s="13" t="n">
        <f aca="false">IF(Szenarien!$H$22="OK",(IFERROR(SUMIF(Nutzungsprofile!$B$17:$B$22,"Schulbetrieb",Nutzungsprofile!$G$17:$G$22)*Kalender!C54/SUM(Kalender!$C$5:$C$370),0)+IFERROR(SUMIF(Nutzungsprofile!$B$17:$B$22,"Halle",Nutzungsprofile!$G$17:$G$22)*Kalender!D54/SUM(Kalender!$D$5:$D$370),0)+IFERROR(SUMIF(Nutzungsprofile!$B$17:$B$22,"Individuell",Nutzungsprofile!$G$17:$G$22)*Kalender!E54/SUM(Kalender!$E$5:$E$370),0))*Szenarien!$D$22,0)</f>
        <v>4.94</v>
      </c>
      <c r="E4080" s="13" t="n">
        <f aca="false">IFERROR(MIN(C4080,Eingaben!$B$17)*Eingaben!$B$16,0)</f>
        <v>2.793</v>
      </c>
      <c r="F4080" s="13" t="n">
        <f aca="false">IFERROR(E4080*Eingaben!$B$15,0)</f>
        <v>2.5137</v>
      </c>
      <c r="G4080" s="13" t="n">
        <f aca="false">IFERROR(IF(Kalender!A54="",0,J4079*(1-Eingaben!$B$20)),0)</f>
        <v>0.7390278</v>
      </c>
      <c r="H4080" s="13" t="n">
        <f aca="false">MIN(G4080,D4080)</f>
        <v>0.7390278</v>
      </c>
      <c r="I4080" s="13" t="n">
        <f aca="false">IFERROR(MIN(F4080*Eingaben!$B$19,MAX(0,D4080-H4080)),0)</f>
        <v>1.75959</v>
      </c>
      <c r="J4080" s="13" t="n">
        <f aca="false">IFERROR(MIN(Eingaben!$B$18,MAX(0,F4080-I4080)),0)</f>
        <v>0.75411</v>
      </c>
      <c r="K4080" s="13" t="n">
        <f aca="false">H4080+I4080</f>
        <v>2.4986178</v>
      </c>
      <c r="L4080" s="13" t="n">
        <f aca="false">MAX(0,D4080-K4080)</f>
        <v>2.4413822</v>
      </c>
      <c r="M4080" s="13" t="n">
        <f aca="false">MAX(0,F4080-I4080-J4080)</f>
        <v>0</v>
      </c>
      <c r="N4080" s="13" t="n">
        <f aca="false">IF(Kalender!A54="",0,J4079-H4080)</f>
        <v>0.0150822</v>
      </c>
    </row>
    <row r="4081" customFormat="false" ht="16.4" hidden="false" customHeight="false" outlineLevel="0" collapsed="false">
      <c r="A4081" s="13" t="str">
        <f aca="false">""</f>
        <v/>
      </c>
      <c r="B4081" s="13" t="n">
        <f aca="false">51</f>
        <v>51</v>
      </c>
      <c r="C4081" s="13" t="n">
        <f aca="false">IF(Szenarien!$H$22="OK",(IFERROR(SUMIF(Nutzungsprofile!$B$6:$B$11,"Schulbetrieb",Nutzungsprofile!$G$6:$G$11)*Kalender!C55/SUM(Kalender!$C$5:$C$370),0)+IFERROR(SUMIF(Nutzungsprofile!$B$6:$B$11,"Halle",Nutzungsprofile!$G$6:$G$11)*Kalender!D55/SUM(Kalender!$D$5:$D$370),0)+IFERROR(SUMIF(Nutzungsprofile!$B$6:$B$11,"Individuell",Nutzungsprofile!$G$6:$G$11)*Kalender!E55/SUM(Kalender!$E$5:$E$370),0))*Szenarien!$E$22,0)</f>
        <v>2.94</v>
      </c>
      <c r="D4081" s="13" t="n">
        <f aca="false">IF(Szenarien!$H$22="OK",(IFERROR(SUMIF(Nutzungsprofile!$B$17:$B$22,"Schulbetrieb",Nutzungsprofile!$G$17:$G$22)*Kalender!C55/SUM(Kalender!$C$5:$C$370),0)+IFERROR(SUMIF(Nutzungsprofile!$B$17:$B$22,"Halle",Nutzungsprofile!$G$17:$G$22)*Kalender!D55/SUM(Kalender!$D$5:$D$370),0)+IFERROR(SUMIF(Nutzungsprofile!$B$17:$B$22,"Individuell",Nutzungsprofile!$G$17:$G$22)*Kalender!E55/SUM(Kalender!$E$5:$E$370),0))*Szenarien!$D$22,0)</f>
        <v>4.94</v>
      </c>
      <c r="E4081" s="13" t="n">
        <f aca="false">IFERROR(MIN(C4081,Eingaben!$B$17)*Eingaben!$B$16,0)</f>
        <v>2.793</v>
      </c>
      <c r="F4081" s="13" t="n">
        <f aca="false">IFERROR(E4081*Eingaben!$B$15,0)</f>
        <v>2.5137</v>
      </c>
      <c r="G4081" s="13" t="n">
        <f aca="false">IFERROR(IF(Kalender!A55="",0,J4080*(1-Eingaben!$B$20)),0)</f>
        <v>0.7390278</v>
      </c>
      <c r="H4081" s="13" t="n">
        <f aca="false">MIN(G4081,D4081)</f>
        <v>0.7390278</v>
      </c>
      <c r="I4081" s="13" t="n">
        <f aca="false">IFERROR(MIN(F4081*Eingaben!$B$19,MAX(0,D4081-H4081)),0)</f>
        <v>1.75959</v>
      </c>
      <c r="J4081" s="13" t="n">
        <f aca="false">IFERROR(MIN(Eingaben!$B$18,MAX(0,F4081-I4081)),0)</f>
        <v>0.75411</v>
      </c>
      <c r="K4081" s="13" t="n">
        <f aca="false">H4081+I4081</f>
        <v>2.4986178</v>
      </c>
      <c r="L4081" s="13" t="n">
        <f aca="false">MAX(0,D4081-K4081)</f>
        <v>2.4413822</v>
      </c>
      <c r="M4081" s="13" t="n">
        <f aca="false">MAX(0,F4081-I4081-J4081)</f>
        <v>0</v>
      </c>
      <c r="N4081" s="13" t="n">
        <f aca="false">IF(Kalender!A55="",0,J4080-H4081)</f>
        <v>0.0150822</v>
      </c>
    </row>
    <row r="4082" customFormat="false" ht="16.4" hidden="false" customHeight="false" outlineLevel="0" collapsed="false">
      <c r="A4082" s="13" t="str">
        <f aca="false">""</f>
        <v/>
      </c>
      <c r="B4082" s="13" t="n">
        <f aca="false">52</f>
        <v>52</v>
      </c>
      <c r="C4082" s="13" t="n">
        <f aca="false">IF(Szenarien!$H$22="OK",(IFERROR(SUMIF(Nutzungsprofile!$B$6:$B$11,"Schulbetrieb",Nutzungsprofile!$G$6:$G$11)*Kalender!C56/SUM(Kalender!$C$5:$C$370),0)+IFERROR(SUMIF(Nutzungsprofile!$B$6:$B$11,"Halle",Nutzungsprofile!$G$6:$G$11)*Kalender!D56/SUM(Kalender!$D$5:$D$370),0)+IFERROR(SUMIF(Nutzungsprofile!$B$6:$B$11,"Individuell",Nutzungsprofile!$G$6:$G$11)*Kalender!E56/SUM(Kalender!$E$5:$E$370),0))*Szenarien!$E$22,0)</f>
        <v>2.04</v>
      </c>
      <c r="D4082" s="13" t="n">
        <f aca="false">IF(Szenarien!$H$22="OK",(IFERROR(SUMIF(Nutzungsprofile!$B$17:$B$22,"Schulbetrieb",Nutzungsprofile!$G$17:$G$22)*Kalender!C56/SUM(Kalender!$C$5:$C$370),0)+IFERROR(SUMIF(Nutzungsprofile!$B$17:$B$22,"Halle",Nutzungsprofile!$G$17:$G$22)*Kalender!D56/SUM(Kalender!$D$5:$D$370),0)+IFERROR(SUMIF(Nutzungsprofile!$B$17:$B$22,"Individuell",Nutzungsprofile!$G$17:$G$22)*Kalender!E56/SUM(Kalender!$E$5:$E$370),0))*Szenarien!$D$22,0)</f>
        <v>0.89</v>
      </c>
      <c r="E4082" s="13" t="n">
        <f aca="false">IFERROR(MIN(C4082,Eingaben!$B$17)*Eingaben!$B$16,0)</f>
        <v>1.938</v>
      </c>
      <c r="F4082" s="13" t="n">
        <f aca="false">IFERROR(E4082*Eingaben!$B$15,0)</f>
        <v>1.7442</v>
      </c>
      <c r="G4082" s="13" t="n">
        <f aca="false">IFERROR(IF(Kalender!A56="",0,J4081*(1-Eingaben!$B$20)),0)</f>
        <v>0.7390278</v>
      </c>
      <c r="H4082" s="13" t="n">
        <f aca="false">MIN(G4082,D4082)</f>
        <v>0.7390278</v>
      </c>
      <c r="I4082" s="13" t="n">
        <f aca="false">IFERROR(MIN(F4082*Eingaben!$B$19,MAX(0,D4082-H4082)),0)</f>
        <v>0.1509722</v>
      </c>
      <c r="J4082" s="13" t="n">
        <f aca="false">IFERROR(MIN(Eingaben!$B$18,MAX(0,F4082-I4082)),0)</f>
        <v>1.5932278</v>
      </c>
      <c r="K4082" s="13" t="n">
        <f aca="false">H4082+I4082</f>
        <v>0.89</v>
      </c>
      <c r="L4082" s="13" t="n">
        <f aca="false">MAX(0,D4082-K4082)</f>
        <v>0</v>
      </c>
      <c r="M4082" s="13" t="n">
        <f aca="false">MAX(0,F4082-I4082-J4082)</f>
        <v>0</v>
      </c>
      <c r="N4082" s="13" t="n">
        <f aca="false">IF(Kalender!A56="",0,J4081-H4082)</f>
        <v>0.0150822</v>
      </c>
    </row>
    <row r="4083" customFormat="false" ht="16.4" hidden="false" customHeight="false" outlineLevel="0" collapsed="false">
      <c r="A4083" s="13" t="str">
        <f aca="false">""</f>
        <v/>
      </c>
      <c r="B4083" s="13" t="n">
        <f aca="false">53</f>
        <v>53</v>
      </c>
      <c r="C4083" s="13" t="n">
        <f aca="false">IF(Szenarien!$H$22="OK",(IFERROR(SUMIF(Nutzungsprofile!$B$6:$B$11,"Schulbetrieb",Nutzungsprofile!$G$6:$G$11)*Kalender!C57/SUM(Kalender!$C$5:$C$370),0)+IFERROR(SUMIF(Nutzungsprofile!$B$6:$B$11,"Halle",Nutzungsprofile!$G$6:$G$11)*Kalender!D57/SUM(Kalender!$D$5:$D$370),0)+IFERROR(SUMIF(Nutzungsprofile!$B$6:$B$11,"Individuell",Nutzungsprofile!$G$6:$G$11)*Kalender!E57/SUM(Kalender!$E$5:$E$370),0))*Szenarien!$E$22,0)</f>
        <v>2.04</v>
      </c>
      <c r="D4083" s="13" t="n">
        <f aca="false">IF(Szenarien!$H$22="OK",(IFERROR(SUMIF(Nutzungsprofile!$B$17:$B$22,"Schulbetrieb",Nutzungsprofile!$G$17:$G$22)*Kalender!C57/SUM(Kalender!$C$5:$C$370),0)+IFERROR(SUMIF(Nutzungsprofile!$B$17:$B$22,"Halle",Nutzungsprofile!$G$17:$G$22)*Kalender!D57/SUM(Kalender!$D$5:$D$370),0)+IFERROR(SUMIF(Nutzungsprofile!$B$17:$B$22,"Individuell",Nutzungsprofile!$G$17:$G$22)*Kalender!E57/SUM(Kalender!$E$5:$E$370),0))*Szenarien!$D$22,0)</f>
        <v>0.89</v>
      </c>
      <c r="E4083" s="13" t="n">
        <f aca="false">IFERROR(MIN(C4083,Eingaben!$B$17)*Eingaben!$B$16,0)</f>
        <v>1.938</v>
      </c>
      <c r="F4083" s="13" t="n">
        <f aca="false">IFERROR(E4083*Eingaben!$B$15,0)</f>
        <v>1.7442</v>
      </c>
      <c r="G4083" s="13" t="n">
        <f aca="false">IFERROR(IF(Kalender!A57="",0,J4082*(1-Eingaben!$B$20)),0)</f>
        <v>1.561363244</v>
      </c>
      <c r="H4083" s="13" t="n">
        <f aca="false">MIN(G4083,D4083)</f>
        <v>0.89</v>
      </c>
      <c r="I4083" s="13" t="n">
        <f aca="false">IFERROR(MIN(F4083*Eingaben!$B$19,MAX(0,D4083-H4083)),0)</f>
        <v>0</v>
      </c>
      <c r="J4083" s="13" t="n">
        <f aca="false">IFERROR(MIN(Eingaben!$B$18,MAX(0,F4083-I4083)),0)</f>
        <v>1.7442</v>
      </c>
      <c r="K4083" s="13" t="n">
        <f aca="false">H4083+I4083</f>
        <v>0.89</v>
      </c>
      <c r="L4083" s="13" t="n">
        <f aca="false">MAX(0,D4083-K4083)</f>
        <v>0</v>
      </c>
      <c r="M4083" s="13" t="n">
        <f aca="false">MAX(0,F4083-I4083-J4083)</f>
        <v>0</v>
      </c>
      <c r="N4083" s="13" t="n">
        <f aca="false">IF(Kalender!A57="",0,J4082-H4083)</f>
        <v>0.7032278</v>
      </c>
    </row>
    <row r="4084" customFormat="false" ht="16.4" hidden="false" customHeight="false" outlineLevel="0" collapsed="false">
      <c r="A4084" s="13" t="str">
        <f aca="false">""</f>
        <v/>
      </c>
      <c r="B4084" s="13" t="n">
        <f aca="false">54</f>
        <v>54</v>
      </c>
      <c r="C4084" s="13" t="n">
        <f aca="false">IF(Szenarien!$H$22="OK",(IFERROR(SUMIF(Nutzungsprofile!$B$6:$B$11,"Schulbetrieb",Nutzungsprofile!$G$6:$G$11)*Kalender!C58/SUM(Kalender!$C$5:$C$370),0)+IFERROR(SUMIF(Nutzungsprofile!$B$6:$B$11,"Halle",Nutzungsprofile!$G$6:$G$11)*Kalender!D58/SUM(Kalender!$D$5:$D$370),0)+IFERROR(SUMIF(Nutzungsprofile!$B$6:$B$11,"Individuell",Nutzungsprofile!$G$6:$G$11)*Kalender!E58/SUM(Kalender!$E$5:$E$370),0))*Szenarien!$E$22,0)</f>
        <v>2.94</v>
      </c>
      <c r="D4084" s="13" t="n">
        <f aca="false">IF(Szenarien!$H$22="OK",(IFERROR(SUMIF(Nutzungsprofile!$B$17:$B$22,"Schulbetrieb",Nutzungsprofile!$G$17:$G$22)*Kalender!C58/SUM(Kalender!$C$5:$C$370),0)+IFERROR(SUMIF(Nutzungsprofile!$B$17:$B$22,"Halle",Nutzungsprofile!$G$17:$G$22)*Kalender!D58/SUM(Kalender!$D$5:$D$370),0)+IFERROR(SUMIF(Nutzungsprofile!$B$17:$B$22,"Individuell",Nutzungsprofile!$G$17:$G$22)*Kalender!E58/SUM(Kalender!$E$5:$E$370),0))*Szenarien!$D$22,0)</f>
        <v>4.94</v>
      </c>
      <c r="E4084" s="13" t="n">
        <f aca="false">IFERROR(MIN(C4084,Eingaben!$B$17)*Eingaben!$B$16,0)</f>
        <v>2.793</v>
      </c>
      <c r="F4084" s="13" t="n">
        <f aca="false">IFERROR(E4084*Eingaben!$B$15,0)</f>
        <v>2.5137</v>
      </c>
      <c r="G4084" s="13" t="n">
        <f aca="false">IFERROR(IF(Kalender!A58="",0,J4083*(1-Eingaben!$B$20)),0)</f>
        <v>1.709316</v>
      </c>
      <c r="H4084" s="13" t="n">
        <f aca="false">MIN(G4084,D4084)</f>
        <v>1.709316</v>
      </c>
      <c r="I4084" s="13" t="n">
        <f aca="false">IFERROR(MIN(F4084*Eingaben!$B$19,MAX(0,D4084-H4084)),0)</f>
        <v>1.75959</v>
      </c>
      <c r="J4084" s="13" t="n">
        <f aca="false">IFERROR(MIN(Eingaben!$B$18,MAX(0,F4084-I4084)),0)</f>
        <v>0.75411</v>
      </c>
      <c r="K4084" s="13" t="n">
        <f aca="false">H4084+I4084</f>
        <v>3.468906</v>
      </c>
      <c r="L4084" s="13" t="n">
        <f aca="false">MAX(0,D4084-K4084)</f>
        <v>1.471094</v>
      </c>
      <c r="M4084" s="13" t="n">
        <f aca="false">MAX(0,F4084-I4084-J4084)</f>
        <v>0</v>
      </c>
      <c r="N4084" s="13" t="n">
        <f aca="false">IF(Kalender!A58="",0,J4083-H4084)</f>
        <v>0.0348840000000001</v>
      </c>
    </row>
    <row r="4085" customFormat="false" ht="16.4" hidden="false" customHeight="false" outlineLevel="0" collapsed="false">
      <c r="A4085" s="13" t="str">
        <f aca="false">""</f>
        <v/>
      </c>
      <c r="B4085" s="13" t="n">
        <f aca="false">55</f>
        <v>55</v>
      </c>
      <c r="C4085" s="13" t="n">
        <f aca="false">IF(Szenarien!$H$22="OK",(IFERROR(SUMIF(Nutzungsprofile!$B$6:$B$11,"Schulbetrieb",Nutzungsprofile!$G$6:$G$11)*Kalender!C59/SUM(Kalender!$C$5:$C$370),0)+IFERROR(SUMIF(Nutzungsprofile!$B$6:$B$11,"Halle",Nutzungsprofile!$G$6:$G$11)*Kalender!D59/SUM(Kalender!$D$5:$D$370),0)+IFERROR(SUMIF(Nutzungsprofile!$B$6:$B$11,"Individuell",Nutzungsprofile!$G$6:$G$11)*Kalender!E59/SUM(Kalender!$E$5:$E$370),0))*Szenarien!$E$22,0)</f>
        <v>2.94</v>
      </c>
      <c r="D4085" s="13" t="n">
        <f aca="false">IF(Szenarien!$H$22="OK",(IFERROR(SUMIF(Nutzungsprofile!$B$17:$B$22,"Schulbetrieb",Nutzungsprofile!$G$17:$G$22)*Kalender!C59/SUM(Kalender!$C$5:$C$370),0)+IFERROR(SUMIF(Nutzungsprofile!$B$17:$B$22,"Halle",Nutzungsprofile!$G$17:$G$22)*Kalender!D59/SUM(Kalender!$D$5:$D$370),0)+IFERROR(SUMIF(Nutzungsprofile!$B$17:$B$22,"Individuell",Nutzungsprofile!$G$17:$G$22)*Kalender!E59/SUM(Kalender!$E$5:$E$370),0))*Szenarien!$D$22,0)</f>
        <v>4.94</v>
      </c>
      <c r="E4085" s="13" t="n">
        <f aca="false">IFERROR(MIN(C4085,Eingaben!$B$17)*Eingaben!$B$16,0)</f>
        <v>2.793</v>
      </c>
      <c r="F4085" s="13" t="n">
        <f aca="false">IFERROR(E4085*Eingaben!$B$15,0)</f>
        <v>2.5137</v>
      </c>
      <c r="G4085" s="13" t="n">
        <f aca="false">IFERROR(IF(Kalender!A59="",0,J4084*(1-Eingaben!$B$20)),0)</f>
        <v>0.7390278</v>
      </c>
      <c r="H4085" s="13" t="n">
        <f aca="false">MIN(G4085,D4085)</f>
        <v>0.7390278</v>
      </c>
      <c r="I4085" s="13" t="n">
        <f aca="false">IFERROR(MIN(F4085*Eingaben!$B$19,MAX(0,D4085-H4085)),0)</f>
        <v>1.75959</v>
      </c>
      <c r="J4085" s="13" t="n">
        <f aca="false">IFERROR(MIN(Eingaben!$B$18,MAX(0,F4085-I4085)),0)</f>
        <v>0.75411</v>
      </c>
      <c r="K4085" s="13" t="n">
        <f aca="false">H4085+I4085</f>
        <v>2.4986178</v>
      </c>
      <c r="L4085" s="13" t="n">
        <f aca="false">MAX(0,D4085-K4085)</f>
        <v>2.4413822</v>
      </c>
      <c r="M4085" s="13" t="n">
        <f aca="false">MAX(0,F4085-I4085-J4085)</f>
        <v>0</v>
      </c>
      <c r="N4085" s="13" t="n">
        <f aca="false">IF(Kalender!A59="",0,J4084-H4085)</f>
        <v>0.0150822</v>
      </c>
    </row>
    <row r="4086" customFormat="false" ht="16.4" hidden="false" customHeight="false" outlineLevel="0" collapsed="false">
      <c r="A4086" s="13" t="str">
        <f aca="false">""</f>
        <v/>
      </c>
      <c r="B4086" s="13" t="n">
        <f aca="false">56</f>
        <v>56</v>
      </c>
      <c r="C4086" s="13" t="n">
        <f aca="false">IF(Szenarien!$H$22="OK",(IFERROR(SUMIF(Nutzungsprofile!$B$6:$B$11,"Schulbetrieb",Nutzungsprofile!$G$6:$G$11)*Kalender!C60/SUM(Kalender!$C$5:$C$370),0)+IFERROR(SUMIF(Nutzungsprofile!$B$6:$B$11,"Halle",Nutzungsprofile!$G$6:$G$11)*Kalender!D60/SUM(Kalender!$D$5:$D$370),0)+IFERROR(SUMIF(Nutzungsprofile!$B$6:$B$11,"Individuell",Nutzungsprofile!$G$6:$G$11)*Kalender!E60/SUM(Kalender!$E$5:$E$370),0))*Szenarien!$E$22,0)</f>
        <v>2.94</v>
      </c>
      <c r="D4086" s="13" t="n">
        <f aca="false">IF(Szenarien!$H$22="OK",(IFERROR(SUMIF(Nutzungsprofile!$B$17:$B$22,"Schulbetrieb",Nutzungsprofile!$G$17:$G$22)*Kalender!C60/SUM(Kalender!$C$5:$C$370),0)+IFERROR(SUMIF(Nutzungsprofile!$B$17:$B$22,"Halle",Nutzungsprofile!$G$17:$G$22)*Kalender!D60/SUM(Kalender!$D$5:$D$370),0)+IFERROR(SUMIF(Nutzungsprofile!$B$17:$B$22,"Individuell",Nutzungsprofile!$G$17:$G$22)*Kalender!E60/SUM(Kalender!$E$5:$E$370),0))*Szenarien!$D$22,0)</f>
        <v>4.94</v>
      </c>
      <c r="E4086" s="13" t="n">
        <f aca="false">IFERROR(MIN(C4086,Eingaben!$B$17)*Eingaben!$B$16,0)</f>
        <v>2.793</v>
      </c>
      <c r="F4086" s="13" t="n">
        <f aca="false">IFERROR(E4086*Eingaben!$B$15,0)</f>
        <v>2.5137</v>
      </c>
      <c r="G4086" s="13" t="n">
        <f aca="false">IFERROR(IF(Kalender!A60="",0,J4085*(1-Eingaben!$B$20)),0)</f>
        <v>0.7390278</v>
      </c>
      <c r="H4086" s="13" t="n">
        <f aca="false">MIN(G4086,D4086)</f>
        <v>0.7390278</v>
      </c>
      <c r="I4086" s="13" t="n">
        <f aca="false">IFERROR(MIN(F4086*Eingaben!$B$19,MAX(0,D4086-H4086)),0)</f>
        <v>1.75959</v>
      </c>
      <c r="J4086" s="13" t="n">
        <f aca="false">IFERROR(MIN(Eingaben!$B$18,MAX(0,F4086-I4086)),0)</f>
        <v>0.75411</v>
      </c>
      <c r="K4086" s="13" t="n">
        <f aca="false">H4086+I4086</f>
        <v>2.4986178</v>
      </c>
      <c r="L4086" s="13" t="n">
        <f aca="false">MAX(0,D4086-K4086)</f>
        <v>2.4413822</v>
      </c>
      <c r="M4086" s="13" t="n">
        <f aca="false">MAX(0,F4086-I4086-J4086)</f>
        <v>0</v>
      </c>
      <c r="N4086" s="13" t="n">
        <f aca="false">IF(Kalender!A60="",0,J4085-H4086)</f>
        <v>0.0150822</v>
      </c>
    </row>
    <row r="4087" customFormat="false" ht="16.4" hidden="false" customHeight="false" outlineLevel="0" collapsed="false">
      <c r="A4087" s="13" t="str">
        <f aca="false">""</f>
        <v/>
      </c>
      <c r="B4087" s="13" t="n">
        <f aca="false">57</f>
        <v>57</v>
      </c>
      <c r="C4087" s="13" t="n">
        <f aca="false">IF(Szenarien!$H$22="OK",(IFERROR(SUMIF(Nutzungsprofile!$B$6:$B$11,"Schulbetrieb",Nutzungsprofile!$G$6:$G$11)*Kalender!C61/SUM(Kalender!$C$5:$C$370),0)+IFERROR(SUMIF(Nutzungsprofile!$B$6:$B$11,"Halle",Nutzungsprofile!$G$6:$G$11)*Kalender!D61/SUM(Kalender!$D$5:$D$370),0)+IFERROR(SUMIF(Nutzungsprofile!$B$6:$B$11,"Individuell",Nutzungsprofile!$G$6:$G$11)*Kalender!E61/SUM(Kalender!$E$5:$E$370),0))*Szenarien!$E$22,0)</f>
        <v>2.94</v>
      </c>
      <c r="D4087" s="13" t="n">
        <f aca="false">IF(Szenarien!$H$22="OK",(IFERROR(SUMIF(Nutzungsprofile!$B$17:$B$22,"Schulbetrieb",Nutzungsprofile!$G$17:$G$22)*Kalender!C61/SUM(Kalender!$C$5:$C$370),0)+IFERROR(SUMIF(Nutzungsprofile!$B$17:$B$22,"Halle",Nutzungsprofile!$G$17:$G$22)*Kalender!D61/SUM(Kalender!$D$5:$D$370),0)+IFERROR(SUMIF(Nutzungsprofile!$B$17:$B$22,"Individuell",Nutzungsprofile!$G$17:$G$22)*Kalender!E61/SUM(Kalender!$E$5:$E$370),0))*Szenarien!$D$22,0)</f>
        <v>4.94</v>
      </c>
      <c r="E4087" s="13" t="n">
        <f aca="false">IFERROR(MIN(C4087,Eingaben!$B$17)*Eingaben!$B$16,0)</f>
        <v>2.793</v>
      </c>
      <c r="F4087" s="13" t="n">
        <f aca="false">IFERROR(E4087*Eingaben!$B$15,0)</f>
        <v>2.5137</v>
      </c>
      <c r="G4087" s="13" t="n">
        <f aca="false">IFERROR(IF(Kalender!A61="",0,J4086*(1-Eingaben!$B$20)),0)</f>
        <v>0.7390278</v>
      </c>
      <c r="H4087" s="13" t="n">
        <f aca="false">MIN(G4087,D4087)</f>
        <v>0.7390278</v>
      </c>
      <c r="I4087" s="13" t="n">
        <f aca="false">IFERROR(MIN(F4087*Eingaben!$B$19,MAX(0,D4087-H4087)),0)</f>
        <v>1.75959</v>
      </c>
      <c r="J4087" s="13" t="n">
        <f aca="false">IFERROR(MIN(Eingaben!$B$18,MAX(0,F4087-I4087)),0)</f>
        <v>0.75411</v>
      </c>
      <c r="K4087" s="13" t="n">
        <f aca="false">H4087+I4087</f>
        <v>2.4986178</v>
      </c>
      <c r="L4087" s="13" t="n">
        <f aca="false">MAX(0,D4087-K4087)</f>
        <v>2.4413822</v>
      </c>
      <c r="M4087" s="13" t="n">
        <f aca="false">MAX(0,F4087-I4087-J4087)</f>
        <v>0</v>
      </c>
      <c r="N4087" s="13" t="n">
        <f aca="false">IF(Kalender!A61="",0,J4086-H4087)</f>
        <v>0.0150822</v>
      </c>
    </row>
    <row r="4088" customFormat="false" ht="16.4" hidden="false" customHeight="false" outlineLevel="0" collapsed="false">
      <c r="A4088" s="13" t="str">
        <f aca="false">""</f>
        <v/>
      </c>
      <c r="B4088" s="13" t="n">
        <f aca="false">58</f>
        <v>58</v>
      </c>
      <c r="C4088" s="13" t="n">
        <f aca="false">IF(Szenarien!$H$22="OK",(IFERROR(SUMIF(Nutzungsprofile!$B$6:$B$11,"Schulbetrieb",Nutzungsprofile!$G$6:$G$11)*Kalender!C62/SUM(Kalender!$C$5:$C$370),0)+IFERROR(SUMIF(Nutzungsprofile!$B$6:$B$11,"Halle",Nutzungsprofile!$G$6:$G$11)*Kalender!D62/SUM(Kalender!$D$5:$D$370),0)+IFERROR(SUMIF(Nutzungsprofile!$B$6:$B$11,"Individuell",Nutzungsprofile!$G$6:$G$11)*Kalender!E62/SUM(Kalender!$E$5:$E$370),0))*Szenarien!$E$22,0)</f>
        <v>2.94</v>
      </c>
      <c r="D4088" s="13" t="n">
        <f aca="false">IF(Szenarien!$H$22="OK",(IFERROR(SUMIF(Nutzungsprofile!$B$17:$B$22,"Schulbetrieb",Nutzungsprofile!$G$17:$G$22)*Kalender!C62/SUM(Kalender!$C$5:$C$370),0)+IFERROR(SUMIF(Nutzungsprofile!$B$17:$B$22,"Halle",Nutzungsprofile!$G$17:$G$22)*Kalender!D62/SUM(Kalender!$D$5:$D$370),0)+IFERROR(SUMIF(Nutzungsprofile!$B$17:$B$22,"Individuell",Nutzungsprofile!$G$17:$G$22)*Kalender!E62/SUM(Kalender!$E$5:$E$370),0))*Szenarien!$D$22,0)</f>
        <v>4.94</v>
      </c>
      <c r="E4088" s="13" t="n">
        <f aca="false">IFERROR(MIN(C4088,Eingaben!$B$17)*Eingaben!$B$16,0)</f>
        <v>2.793</v>
      </c>
      <c r="F4088" s="13" t="n">
        <f aca="false">IFERROR(E4088*Eingaben!$B$15,0)</f>
        <v>2.5137</v>
      </c>
      <c r="G4088" s="13" t="n">
        <f aca="false">IFERROR(IF(Kalender!A62="",0,J4087*(1-Eingaben!$B$20)),0)</f>
        <v>0.7390278</v>
      </c>
      <c r="H4088" s="13" t="n">
        <f aca="false">MIN(G4088,D4088)</f>
        <v>0.7390278</v>
      </c>
      <c r="I4088" s="13" t="n">
        <f aca="false">IFERROR(MIN(F4088*Eingaben!$B$19,MAX(0,D4088-H4088)),0)</f>
        <v>1.75959</v>
      </c>
      <c r="J4088" s="13" t="n">
        <f aca="false">IFERROR(MIN(Eingaben!$B$18,MAX(0,F4088-I4088)),0)</f>
        <v>0.75411</v>
      </c>
      <c r="K4088" s="13" t="n">
        <f aca="false">H4088+I4088</f>
        <v>2.4986178</v>
      </c>
      <c r="L4088" s="13" t="n">
        <f aca="false">MAX(0,D4088-K4088)</f>
        <v>2.4413822</v>
      </c>
      <c r="M4088" s="13" t="n">
        <f aca="false">MAX(0,F4088-I4088-J4088)</f>
        <v>0</v>
      </c>
      <c r="N4088" s="13" t="n">
        <f aca="false">IF(Kalender!A62="",0,J4087-H4088)</f>
        <v>0.0150822</v>
      </c>
    </row>
    <row r="4089" customFormat="false" ht="16.4" hidden="false" customHeight="false" outlineLevel="0" collapsed="false">
      <c r="A4089" s="13" t="str">
        <f aca="false">""</f>
        <v/>
      </c>
      <c r="B4089" s="13" t="n">
        <f aca="false">59</f>
        <v>59</v>
      </c>
      <c r="C4089" s="13" t="n">
        <f aca="false">IF(Szenarien!$H$22="OK",(IFERROR(SUMIF(Nutzungsprofile!$B$6:$B$11,"Schulbetrieb",Nutzungsprofile!$G$6:$G$11)*Kalender!C63/SUM(Kalender!$C$5:$C$370),0)+IFERROR(SUMIF(Nutzungsprofile!$B$6:$B$11,"Halle",Nutzungsprofile!$G$6:$G$11)*Kalender!D63/SUM(Kalender!$D$5:$D$370),0)+IFERROR(SUMIF(Nutzungsprofile!$B$6:$B$11,"Individuell",Nutzungsprofile!$G$6:$G$11)*Kalender!E63/SUM(Kalender!$E$5:$E$370),0))*Szenarien!$E$22,0)</f>
        <v>2.04</v>
      </c>
      <c r="D4089" s="13" t="n">
        <f aca="false">IF(Szenarien!$H$22="OK",(IFERROR(SUMIF(Nutzungsprofile!$B$17:$B$22,"Schulbetrieb",Nutzungsprofile!$G$17:$G$22)*Kalender!C63/SUM(Kalender!$C$5:$C$370),0)+IFERROR(SUMIF(Nutzungsprofile!$B$17:$B$22,"Halle",Nutzungsprofile!$G$17:$G$22)*Kalender!D63/SUM(Kalender!$D$5:$D$370),0)+IFERROR(SUMIF(Nutzungsprofile!$B$17:$B$22,"Individuell",Nutzungsprofile!$G$17:$G$22)*Kalender!E63/SUM(Kalender!$E$5:$E$370),0))*Szenarien!$D$22,0)</f>
        <v>0.89</v>
      </c>
      <c r="E4089" s="13" t="n">
        <f aca="false">IFERROR(MIN(C4089,Eingaben!$B$17)*Eingaben!$B$16,0)</f>
        <v>1.938</v>
      </c>
      <c r="F4089" s="13" t="n">
        <f aca="false">IFERROR(E4089*Eingaben!$B$15,0)</f>
        <v>1.7442</v>
      </c>
      <c r="G4089" s="13" t="n">
        <f aca="false">IFERROR(IF(Kalender!A63="",0,J4088*(1-Eingaben!$B$20)),0)</f>
        <v>0.7390278</v>
      </c>
      <c r="H4089" s="13" t="n">
        <f aca="false">MIN(G4089,D4089)</f>
        <v>0.7390278</v>
      </c>
      <c r="I4089" s="13" t="n">
        <f aca="false">IFERROR(MIN(F4089*Eingaben!$B$19,MAX(0,D4089-H4089)),0)</f>
        <v>0.1509722</v>
      </c>
      <c r="J4089" s="13" t="n">
        <f aca="false">IFERROR(MIN(Eingaben!$B$18,MAX(0,F4089-I4089)),0)</f>
        <v>1.5932278</v>
      </c>
      <c r="K4089" s="13" t="n">
        <f aca="false">H4089+I4089</f>
        <v>0.89</v>
      </c>
      <c r="L4089" s="13" t="n">
        <f aca="false">MAX(0,D4089-K4089)</f>
        <v>0</v>
      </c>
      <c r="M4089" s="13" t="n">
        <f aca="false">MAX(0,F4089-I4089-J4089)</f>
        <v>0</v>
      </c>
      <c r="N4089" s="13" t="n">
        <f aca="false">IF(Kalender!A63="",0,J4088-H4089)</f>
        <v>0.0150822</v>
      </c>
    </row>
    <row r="4090" customFormat="false" ht="16.4" hidden="false" customHeight="false" outlineLevel="0" collapsed="false">
      <c r="A4090" s="13" t="str">
        <f aca="false">""</f>
        <v/>
      </c>
      <c r="B4090" s="13" t="n">
        <f aca="false">60</f>
        <v>60</v>
      </c>
      <c r="C4090" s="13" t="n">
        <f aca="false">IF(Szenarien!$H$22="OK",(IFERROR(SUMIF(Nutzungsprofile!$B$6:$B$11,"Schulbetrieb",Nutzungsprofile!$G$6:$G$11)*Kalender!C64/SUM(Kalender!$C$5:$C$370),0)+IFERROR(SUMIF(Nutzungsprofile!$B$6:$B$11,"Halle",Nutzungsprofile!$G$6:$G$11)*Kalender!D64/SUM(Kalender!$D$5:$D$370),0)+IFERROR(SUMIF(Nutzungsprofile!$B$6:$B$11,"Individuell",Nutzungsprofile!$G$6:$G$11)*Kalender!E64/SUM(Kalender!$E$5:$E$370),0))*Szenarien!$E$22,0)</f>
        <v>2.04</v>
      </c>
      <c r="D4090" s="13" t="n">
        <f aca="false">IF(Szenarien!$H$22="OK",(IFERROR(SUMIF(Nutzungsprofile!$B$17:$B$22,"Schulbetrieb",Nutzungsprofile!$G$17:$G$22)*Kalender!C64/SUM(Kalender!$C$5:$C$370),0)+IFERROR(SUMIF(Nutzungsprofile!$B$17:$B$22,"Halle",Nutzungsprofile!$G$17:$G$22)*Kalender!D64/SUM(Kalender!$D$5:$D$370),0)+IFERROR(SUMIF(Nutzungsprofile!$B$17:$B$22,"Individuell",Nutzungsprofile!$G$17:$G$22)*Kalender!E64/SUM(Kalender!$E$5:$E$370),0))*Szenarien!$D$22,0)</f>
        <v>0.89</v>
      </c>
      <c r="E4090" s="13" t="n">
        <f aca="false">IFERROR(MIN(C4090,Eingaben!$B$17)*Eingaben!$B$16,0)</f>
        <v>1.938</v>
      </c>
      <c r="F4090" s="13" t="n">
        <f aca="false">IFERROR(E4090*Eingaben!$B$15,0)</f>
        <v>1.7442</v>
      </c>
      <c r="G4090" s="13" t="n">
        <f aca="false">IFERROR(IF(Kalender!A64="",0,J4089*(1-Eingaben!$B$20)),0)</f>
        <v>1.561363244</v>
      </c>
      <c r="H4090" s="13" t="n">
        <f aca="false">MIN(G4090,D4090)</f>
        <v>0.89</v>
      </c>
      <c r="I4090" s="13" t="n">
        <f aca="false">IFERROR(MIN(F4090*Eingaben!$B$19,MAX(0,D4090-H4090)),0)</f>
        <v>0</v>
      </c>
      <c r="J4090" s="13" t="n">
        <f aca="false">IFERROR(MIN(Eingaben!$B$18,MAX(0,F4090-I4090)),0)</f>
        <v>1.7442</v>
      </c>
      <c r="K4090" s="13" t="n">
        <f aca="false">H4090+I4090</f>
        <v>0.89</v>
      </c>
      <c r="L4090" s="13" t="n">
        <f aca="false">MAX(0,D4090-K4090)</f>
        <v>0</v>
      </c>
      <c r="M4090" s="13" t="n">
        <f aca="false">MAX(0,F4090-I4090-J4090)</f>
        <v>0</v>
      </c>
      <c r="N4090" s="13" t="n">
        <f aca="false">IF(Kalender!A64="",0,J4089-H4090)</f>
        <v>0.7032278</v>
      </c>
    </row>
    <row r="4091" customFormat="false" ht="16.4" hidden="false" customHeight="false" outlineLevel="0" collapsed="false">
      <c r="A4091" s="13" t="str">
        <f aca="false">""</f>
        <v/>
      </c>
      <c r="B4091" s="13" t="n">
        <f aca="false">61</f>
        <v>61</v>
      </c>
      <c r="C4091" s="13" t="n">
        <f aca="false">IF(Szenarien!$H$22="OK",(IFERROR(SUMIF(Nutzungsprofile!$B$6:$B$11,"Schulbetrieb",Nutzungsprofile!$G$6:$G$11)*Kalender!C65/SUM(Kalender!$C$5:$C$370),0)+IFERROR(SUMIF(Nutzungsprofile!$B$6:$B$11,"Halle",Nutzungsprofile!$G$6:$G$11)*Kalender!D65/SUM(Kalender!$D$5:$D$370),0)+IFERROR(SUMIF(Nutzungsprofile!$B$6:$B$11,"Individuell",Nutzungsprofile!$G$6:$G$11)*Kalender!E65/SUM(Kalender!$E$5:$E$370),0))*Szenarien!$E$22,0)</f>
        <v>2.94</v>
      </c>
      <c r="D4091" s="13" t="n">
        <f aca="false">IF(Szenarien!$H$22="OK",(IFERROR(SUMIF(Nutzungsprofile!$B$17:$B$22,"Schulbetrieb",Nutzungsprofile!$G$17:$G$22)*Kalender!C65/SUM(Kalender!$C$5:$C$370),0)+IFERROR(SUMIF(Nutzungsprofile!$B$17:$B$22,"Halle",Nutzungsprofile!$G$17:$G$22)*Kalender!D65/SUM(Kalender!$D$5:$D$370),0)+IFERROR(SUMIF(Nutzungsprofile!$B$17:$B$22,"Individuell",Nutzungsprofile!$G$17:$G$22)*Kalender!E65/SUM(Kalender!$E$5:$E$370),0))*Szenarien!$D$22,0)</f>
        <v>4.94</v>
      </c>
      <c r="E4091" s="13" t="n">
        <f aca="false">IFERROR(MIN(C4091,Eingaben!$B$17)*Eingaben!$B$16,0)</f>
        <v>2.793</v>
      </c>
      <c r="F4091" s="13" t="n">
        <f aca="false">IFERROR(E4091*Eingaben!$B$15,0)</f>
        <v>2.5137</v>
      </c>
      <c r="G4091" s="13" t="n">
        <f aca="false">IFERROR(IF(Kalender!A65="",0,J4090*(1-Eingaben!$B$20)),0)</f>
        <v>1.709316</v>
      </c>
      <c r="H4091" s="13" t="n">
        <f aca="false">MIN(G4091,D4091)</f>
        <v>1.709316</v>
      </c>
      <c r="I4091" s="13" t="n">
        <f aca="false">IFERROR(MIN(F4091*Eingaben!$B$19,MAX(0,D4091-H4091)),0)</f>
        <v>1.75959</v>
      </c>
      <c r="J4091" s="13" t="n">
        <f aca="false">IFERROR(MIN(Eingaben!$B$18,MAX(0,F4091-I4091)),0)</f>
        <v>0.75411</v>
      </c>
      <c r="K4091" s="13" t="n">
        <f aca="false">H4091+I4091</f>
        <v>3.468906</v>
      </c>
      <c r="L4091" s="13" t="n">
        <f aca="false">MAX(0,D4091-K4091)</f>
        <v>1.471094</v>
      </c>
      <c r="M4091" s="13" t="n">
        <f aca="false">MAX(0,F4091-I4091-J4091)</f>
        <v>0</v>
      </c>
      <c r="N4091" s="13" t="n">
        <f aca="false">IF(Kalender!A65="",0,J4090-H4091)</f>
        <v>0.0348840000000001</v>
      </c>
    </row>
    <row r="4092" customFormat="false" ht="16.4" hidden="false" customHeight="false" outlineLevel="0" collapsed="false">
      <c r="A4092" s="13" t="str">
        <f aca="false">""</f>
        <v/>
      </c>
      <c r="B4092" s="13" t="n">
        <f aca="false">62</f>
        <v>62</v>
      </c>
      <c r="C4092" s="13" t="n">
        <f aca="false">IF(Szenarien!$H$22="OK",(IFERROR(SUMIF(Nutzungsprofile!$B$6:$B$11,"Schulbetrieb",Nutzungsprofile!$G$6:$G$11)*Kalender!C66/SUM(Kalender!$C$5:$C$370),0)+IFERROR(SUMIF(Nutzungsprofile!$B$6:$B$11,"Halle",Nutzungsprofile!$G$6:$G$11)*Kalender!D66/SUM(Kalender!$D$5:$D$370),0)+IFERROR(SUMIF(Nutzungsprofile!$B$6:$B$11,"Individuell",Nutzungsprofile!$G$6:$G$11)*Kalender!E66/SUM(Kalender!$E$5:$E$370),0))*Szenarien!$E$22,0)</f>
        <v>2.94</v>
      </c>
      <c r="D4092" s="13" t="n">
        <f aca="false">IF(Szenarien!$H$22="OK",(IFERROR(SUMIF(Nutzungsprofile!$B$17:$B$22,"Schulbetrieb",Nutzungsprofile!$G$17:$G$22)*Kalender!C66/SUM(Kalender!$C$5:$C$370),0)+IFERROR(SUMIF(Nutzungsprofile!$B$17:$B$22,"Halle",Nutzungsprofile!$G$17:$G$22)*Kalender!D66/SUM(Kalender!$D$5:$D$370),0)+IFERROR(SUMIF(Nutzungsprofile!$B$17:$B$22,"Individuell",Nutzungsprofile!$G$17:$G$22)*Kalender!E66/SUM(Kalender!$E$5:$E$370),0))*Szenarien!$D$22,0)</f>
        <v>4.94</v>
      </c>
      <c r="E4092" s="13" t="n">
        <f aca="false">IFERROR(MIN(C4092,Eingaben!$B$17)*Eingaben!$B$16,0)</f>
        <v>2.793</v>
      </c>
      <c r="F4092" s="13" t="n">
        <f aca="false">IFERROR(E4092*Eingaben!$B$15,0)</f>
        <v>2.5137</v>
      </c>
      <c r="G4092" s="13" t="n">
        <f aca="false">IFERROR(IF(Kalender!A66="",0,J4091*(1-Eingaben!$B$20)),0)</f>
        <v>0.7390278</v>
      </c>
      <c r="H4092" s="13" t="n">
        <f aca="false">MIN(G4092,D4092)</f>
        <v>0.7390278</v>
      </c>
      <c r="I4092" s="13" t="n">
        <f aca="false">IFERROR(MIN(F4092*Eingaben!$B$19,MAX(0,D4092-H4092)),0)</f>
        <v>1.75959</v>
      </c>
      <c r="J4092" s="13" t="n">
        <f aca="false">IFERROR(MIN(Eingaben!$B$18,MAX(0,F4092-I4092)),0)</f>
        <v>0.75411</v>
      </c>
      <c r="K4092" s="13" t="n">
        <f aca="false">H4092+I4092</f>
        <v>2.4986178</v>
      </c>
      <c r="L4092" s="13" t="n">
        <f aca="false">MAX(0,D4092-K4092)</f>
        <v>2.4413822</v>
      </c>
      <c r="M4092" s="13" t="n">
        <f aca="false">MAX(0,F4092-I4092-J4092)</f>
        <v>0</v>
      </c>
      <c r="N4092" s="13" t="n">
        <f aca="false">IF(Kalender!A66="",0,J4091-H4092)</f>
        <v>0.0150822</v>
      </c>
    </row>
    <row r="4093" customFormat="false" ht="16.4" hidden="false" customHeight="false" outlineLevel="0" collapsed="false">
      <c r="A4093" s="13" t="str">
        <f aca="false">""</f>
        <v/>
      </c>
      <c r="B4093" s="13" t="n">
        <f aca="false">63</f>
        <v>63</v>
      </c>
      <c r="C4093" s="13" t="n">
        <f aca="false">IF(Szenarien!$H$22="OK",(IFERROR(SUMIF(Nutzungsprofile!$B$6:$B$11,"Schulbetrieb",Nutzungsprofile!$G$6:$G$11)*Kalender!C67/SUM(Kalender!$C$5:$C$370),0)+IFERROR(SUMIF(Nutzungsprofile!$B$6:$B$11,"Halle",Nutzungsprofile!$G$6:$G$11)*Kalender!D67/SUM(Kalender!$D$5:$D$370),0)+IFERROR(SUMIF(Nutzungsprofile!$B$6:$B$11,"Individuell",Nutzungsprofile!$G$6:$G$11)*Kalender!E67/SUM(Kalender!$E$5:$E$370),0))*Szenarien!$E$22,0)</f>
        <v>2.94</v>
      </c>
      <c r="D4093" s="13" t="n">
        <f aca="false">IF(Szenarien!$H$22="OK",(IFERROR(SUMIF(Nutzungsprofile!$B$17:$B$22,"Schulbetrieb",Nutzungsprofile!$G$17:$G$22)*Kalender!C67/SUM(Kalender!$C$5:$C$370),0)+IFERROR(SUMIF(Nutzungsprofile!$B$17:$B$22,"Halle",Nutzungsprofile!$G$17:$G$22)*Kalender!D67/SUM(Kalender!$D$5:$D$370),0)+IFERROR(SUMIF(Nutzungsprofile!$B$17:$B$22,"Individuell",Nutzungsprofile!$G$17:$G$22)*Kalender!E67/SUM(Kalender!$E$5:$E$370),0))*Szenarien!$D$22,0)</f>
        <v>4.94</v>
      </c>
      <c r="E4093" s="13" t="n">
        <f aca="false">IFERROR(MIN(C4093,Eingaben!$B$17)*Eingaben!$B$16,0)</f>
        <v>2.793</v>
      </c>
      <c r="F4093" s="13" t="n">
        <f aca="false">IFERROR(E4093*Eingaben!$B$15,0)</f>
        <v>2.5137</v>
      </c>
      <c r="G4093" s="13" t="n">
        <f aca="false">IFERROR(IF(Kalender!A67="",0,J4092*(1-Eingaben!$B$20)),0)</f>
        <v>0.7390278</v>
      </c>
      <c r="H4093" s="13" t="n">
        <f aca="false">MIN(G4093,D4093)</f>
        <v>0.7390278</v>
      </c>
      <c r="I4093" s="13" t="n">
        <f aca="false">IFERROR(MIN(F4093*Eingaben!$B$19,MAX(0,D4093-H4093)),0)</f>
        <v>1.75959</v>
      </c>
      <c r="J4093" s="13" t="n">
        <f aca="false">IFERROR(MIN(Eingaben!$B$18,MAX(0,F4093-I4093)),0)</f>
        <v>0.75411</v>
      </c>
      <c r="K4093" s="13" t="n">
        <f aca="false">H4093+I4093</f>
        <v>2.4986178</v>
      </c>
      <c r="L4093" s="13" t="n">
        <f aca="false">MAX(0,D4093-K4093)</f>
        <v>2.4413822</v>
      </c>
      <c r="M4093" s="13" t="n">
        <f aca="false">MAX(0,F4093-I4093-J4093)</f>
        <v>0</v>
      </c>
      <c r="N4093" s="13" t="n">
        <f aca="false">IF(Kalender!A67="",0,J4092-H4093)</f>
        <v>0.0150822</v>
      </c>
    </row>
    <row r="4094" customFormat="false" ht="16.4" hidden="false" customHeight="false" outlineLevel="0" collapsed="false">
      <c r="A4094" s="13" t="str">
        <f aca="false">""</f>
        <v/>
      </c>
      <c r="B4094" s="13" t="n">
        <f aca="false">64</f>
        <v>64</v>
      </c>
      <c r="C4094" s="13" t="n">
        <f aca="false">IF(Szenarien!$H$22="OK",(IFERROR(SUMIF(Nutzungsprofile!$B$6:$B$11,"Schulbetrieb",Nutzungsprofile!$G$6:$G$11)*Kalender!C68/SUM(Kalender!$C$5:$C$370),0)+IFERROR(SUMIF(Nutzungsprofile!$B$6:$B$11,"Halle",Nutzungsprofile!$G$6:$G$11)*Kalender!D68/SUM(Kalender!$D$5:$D$370),0)+IFERROR(SUMIF(Nutzungsprofile!$B$6:$B$11,"Individuell",Nutzungsprofile!$G$6:$G$11)*Kalender!E68/SUM(Kalender!$E$5:$E$370),0))*Szenarien!$E$22,0)</f>
        <v>2.94</v>
      </c>
      <c r="D4094" s="13" t="n">
        <f aca="false">IF(Szenarien!$H$22="OK",(IFERROR(SUMIF(Nutzungsprofile!$B$17:$B$22,"Schulbetrieb",Nutzungsprofile!$G$17:$G$22)*Kalender!C68/SUM(Kalender!$C$5:$C$370),0)+IFERROR(SUMIF(Nutzungsprofile!$B$17:$B$22,"Halle",Nutzungsprofile!$G$17:$G$22)*Kalender!D68/SUM(Kalender!$D$5:$D$370),0)+IFERROR(SUMIF(Nutzungsprofile!$B$17:$B$22,"Individuell",Nutzungsprofile!$G$17:$G$22)*Kalender!E68/SUM(Kalender!$E$5:$E$370),0))*Szenarien!$D$22,0)</f>
        <v>4.94</v>
      </c>
      <c r="E4094" s="13" t="n">
        <f aca="false">IFERROR(MIN(C4094,Eingaben!$B$17)*Eingaben!$B$16,0)</f>
        <v>2.793</v>
      </c>
      <c r="F4094" s="13" t="n">
        <f aca="false">IFERROR(E4094*Eingaben!$B$15,0)</f>
        <v>2.5137</v>
      </c>
      <c r="G4094" s="13" t="n">
        <f aca="false">IFERROR(IF(Kalender!A68="",0,J4093*(1-Eingaben!$B$20)),0)</f>
        <v>0.7390278</v>
      </c>
      <c r="H4094" s="13" t="n">
        <f aca="false">MIN(G4094,D4094)</f>
        <v>0.7390278</v>
      </c>
      <c r="I4094" s="13" t="n">
        <f aca="false">IFERROR(MIN(F4094*Eingaben!$B$19,MAX(0,D4094-H4094)),0)</f>
        <v>1.75959</v>
      </c>
      <c r="J4094" s="13" t="n">
        <f aca="false">IFERROR(MIN(Eingaben!$B$18,MAX(0,F4094-I4094)),0)</f>
        <v>0.75411</v>
      </c>
      <c r="K4094" s="13" t="n">
        <f aca="false">H4094+I4094</f>
        <v>2.4986178</v>
      </c>
      <c r="L4094" s="13" t="n">
        <f aca="false">MAX(0,D4094-K4094)</f>
        <v>2.4413822</v>
      </c>
      <c r="M4094" s="13" t="n">
        <f aca="false">MAX(0,F4094-I4094-J4094)</f>
        <v>0</v>
      </c>
      <c r="N4094" s="13" t="n">
        <f aca="false">IF(Kalender!A68="",0,J4093-H4094)</f>
        <v>0.0150822</v>
      </c>
    </row>
    <row r="4095" customFormat="false" ht="16.4" hidden="false" customHeight="false" outlineLevel="0" collapsed="false">
      <c r="A4095" s="13" t="str">
        <f aca="false">""</f>
        <v/>
      </c>
      <c r="B4095" s="13" t="n">
        <f aca="false">65</f>
        <v>65</v>
      </c>
      <c r="C4095" s="13" t="n">
        <f aca="false">IF(Szenarien!$H$22="OK",(IFERROR(SUMIF(Nutzungsprofile!$B$6:$B$11,"Schulbetrieb",Nutzungsprofile!$G$6:$G$11)*Kalender!C69/SUM(Kalender!$C$5:$C$370),0)+IFERROR(SUMIF(Nutzungsprofile!$B$6:$B$11,"Halle",Nutzungsprofile!$G$6:$G$11)*Kalender!D69/SUM(Kalender!$D$5:$D$370),0)+IFERROR(SUMIF(Nutzungsprofile!$B$6:$B$11,"Individuell",Nutzungsprofile!$G$6:$G$11)*Kalender!E69/SUM(Kalender!$E$5:$E$370),0))*Szenarien!$E$22,0)</f>
        <v>2.94</v>
      </c>
      <c r="D4095" s="13" t="n">
        <f aca="false">IF(Szenarien!$H$22="OK",(IFERROR(SUMIF(Nutzungsprofile!$B$17:$B$22,"Schulbetrieb",Nutzungsprofile!$G$17:$G$22)*Kalender!C69/SUM(Kalender!$C$5:$C$370),0)+IFERROR(SUMIF(Nutzungsprofile!$B$17:$B$22,"Halle",Nutzungsprofile!$G$17:$G$22)*Kalender!D69/SUM(Kalender!$D$5:$D$370),0)+IFERROR(SUMIF(Nutzungsprofile!$B$17:$B$22,"Individuell",Nutzungsprofile!$G$17:$G$22)*Kalender!E69/SUM(Kalender!$E$5:$E$370),0))*Szenarien!$D$22,0)</f>
        <v>4.94</v>
      </c>
      <c r="E4095" s="13" t="n">
        <f aca="false">IFERROR(MIN(C4095,Eingaben!$B$17)*Eingaben!$B$16,0)</f>
        <v>2.793</v>
      </c>
      <c r="F4095" s="13" t="n">
        <f aca="false">IFERROR(E4095*Eingaben!$B$15,0)</f>
        <v>2.5137</v>
      </c>
      <c r="G4095" s="13" t="n">
        <f aca="false">IFERROR(IF(Kalender!A69="",0,J4094*(1-Eingaben!$B$20)),0)</f>
        <v>0.7390278</v>
      </c>
      <c r="H4095" s="13" t="n">
        <f aca="false">MIN(G4095,D4095)</f>
        <v>0.7390278</v>
      </c>
      <c r="I4095" s="13" t="n">
        <f aca="false">IFERROR(MIN(F4095*Eingaben!$B$19,MAX(0,D4095-H4095)),0)</f>
        <v>1.75959</v>
      </c>
      <c r="J4095" s="13" t="n">
        <f aca="false">IFERROR(MIN(Eingaben!$B$18,MAX(0,F4095-I4095)),0)</f>
        <v>0.75411</v>
      </c>
      <c r="K4095" s="13" t="n">
        <f aca="false">H4095+I4095</f>
        <v>2.4986178</v>
      </c>
      <c r="L4095" s="13" t="n">
        <f aca="false">MAX(0,D4095-K4095)</f>
        <v>2.4413822</v>
      </c>
      <c r="M4095" s="13" t="n">
        <f aca="false">MAX(0,F4095-I4095-J4095)</f>
        <v>0</v>
      </c>
      <c r="N4095" s="13" t="n">
        <f aca="false">IF(Kalender!A69="",0,J4094-H4095)</f>
        <v>0.0150822</v>
      </c>
    </row>
    <row r="4096" customFormat="false" ht="16.4" hidden="false" customHeight="false" outlineLevel="0" collapsed="false">
      <c r="A4096" s="13" t="str">
        <f aca="false">""</f>
        <v/>
      </c>
      <c r="B4096" s="13" t="n">
        <f aca="false">66</f>
        <v>66</v>
      </c>
      <c r="C4096" s="13" t="n">
        <f aca="false">IF(Szenarien!$H$22="OK",(IFERROR(SUMIF(Nutzungsprofile!$B$6:$B$11,"Schulbetrieb",Nutzungsprofile!$G$6:$G$11)*Kalender!C70/SUM(Kalender!$C$5:$C$370),0)+IFERROR(SUMIF(Nutzungsprofile!$B$6:$B$11,"Halle",Nutzungsprofile!$G$6:$G$11)*Kalender!D70/SUM(Kalender!$D$5:$D$370),0)+IFERROR(SUMIF(Nutzungsprofile!$B$6:$B$11,"Individuell",Nutzungsprofile!$G$6:$G$11)*Kalender!E70/SUM(Kalender!$E$5:$E$370),0))*Szenarien!$E$22,0)</f>
        <v>2.04</v>
      </c>
      <c r="D4096" s="13" t="n">
        <f aca="false">IF(Szenarien!$H$22="OK",(IFERROR(SUMIF(Nutzungsprofile!$B$17:$B$22,"Schulbetrieb",Nutzungsprofile!$G$17:$G$22)*Kalender!C70/SUM(Kalender!$C$5:$C$370),0)+IFERROR(SUMIF(Nutzungsprofile!$B$17:$B$22,"Halle",Nutzungsprofile!$G$17:$G$22)*Kalender!D70/SUM(Kalender!$D$5:$D$370),0)+IFERROR(SUMIF(Nutzungsprofile!$B$17:$B$22,"Individuell",Nutzungsprofile!$G$17:$G$22)*Kalender!E70/SUM(Kalender!$E$5:$E$370),0))*Szenarien!$D$22,0)</f>
        <v>0.89</v>
      </c>
      <c r="E4096" s="13" t="n">
        <f aca="false">IFERROR(MIN(C4096,Eingaben!$B$17)*Eingaben!$B$16,0)</f>
        <v>1.938</v>
      </c>
      <c r="F4096" s="13" t="n">
        <f aca="false">IFERROR(E4096*Eingaben!$B$15,0)</f>
        <v>1.7442</v>
      </c>
      <c r="G4096" s="13" t="n">
        <f aca="false">IFERROR(IF(Kalender!A70="",0,J4095*(1-Eingaben!$B$20)),0)</f>
        <v>0.7390278</v>
      </c>
      <c r="H4096" s="13" t="n">
        <f aca="false">MIN(G4096,D4096)</f>
        <v>0.7390278</v>
      </c>
      <c r="I4096" s="13" t="n">
        <f aca="false">IFERROR(MIN(F4096*Eingaben!$B$19,MAX(0,D4096-H4096)),0)</f>
        <v>0.1509722</v>
      </c>
      <c r="J4096" s="13" t="n">
        <f aca="false">IFERROR(MIN(Eingaben!$B$18,MAX(0,F4096-I4096)),0)</f>
        <v>1.5932278</v>
      </c>
      <c r="K4096" s="13" t="n">
        <f aca="false">H4096+I4096</f>
        <v>0.89</v>
      </c>
      <c r="L4096" s="13" t="n">
        <f aca="false">MAX(0,D4096-K4096)</f>
        <v>0</v>
      </c>
      <c r="M4096" s="13" t="n">
        <f aca="false">MAX(0,F4096-I4096-J4096)</f>
        <v>0</v>
      </c>
      <c r="N4096" s="13" t="n">
        <f aca="false">IF(Kalender!A70="",0,J4095-H4096)</f>
        <v>0.0150822</v>
      </c>
    </row>
    <row r="4097" customFormat="false" ht="16.4" hidden="false" customHeight="false" outlineLevel="0" collapsed="false">
      <c r="A4097" s="13" t="str">
        <f aca="false">""</f>
        <v/>
      </c>
      <c r="B4097" s="13" t="n">
        <f aca="false">67</f>
        <v>67</v>
      </c>
      <c r="C4097" s="13" t="n">
        <f aca="false">IF(Szenarien!$H$22="OK",(IFERROR(SUMIF(Nutzungsprofile!$B$6:$B$11,"Schulbetrieb",Nutzungsprofile!$G$6:$G$11)*Kalender!C71/SUM(Kalender!$C$5:$C$370),0)+IFERROR(SUMIF(Nutzungsprofile!$B$6:$B$11,"Halle",Nutzungsprofile!$G$6:$G$11)*Kalender!D71/SUM(Kalender!$D$5:$D$370),0)+IFERROR(SUMIF(Nutzungsprofile!$B$6:$B$11,"Individuell",Nutzungsprofile!$G$6:$G$11)*Kalender!E71/SUM(Kalender!$E$5:$E$370),0))*Szenarien!$E$22,0)</f>
        <v>2.04</v>
      </c>
      <c r="D4097" s="13" t="n">
        <f aca="false">IF(Szenarien!$H$22="OK",(IFERROR(SUMIF(Nutzungsprofile!$B$17:$B$22,"Schulbetrieb",Nutzungsprofile!$G$17:$G$22)*Kalender!C71/SUM(Kalender!$C$5:$C$370),0)+IFERROR(SUMIF(Nutzungsprofile!$B$17:$B$22,"Halle",Nutzungsprofile!$G$17:$G$22)*Kalender!D71/SUM(Kalender!$D$5:$D$370),0)+IFERROR(SUMIF(Nutzungsprofile!$B$17:$B$22,"Individuell",Nutzungsprofile!$G$17:$G$22)*Kalender!E71/SUM(Kalender!$E$5:$E$370),0))*Szenarien!$D$22,0)</f>
        <v>0.89</v>
      </c>
      <c r="E4097" s="13" t="n">
        <f aca="false">IFERROR(MIN(C4097,Eingaben!$B$17)*Eingaben!$B$16,0)</f>
        <v>1.938</v>
      </c>
      <c r="F4097" s="13" t="n">
        <f aca="false">IFERROR(E4097*Eingaben!$B$15,0)</f>
        <v>1.7442</v>
      </c>
      <c r="G4097" s="13" t="n">
        <f aca="false">IFERROR(IF(Kalender!A71="",0,J4096*(1-Eingaben!$B$20)),0)</f>
        <v>1.561363244</v>
      </c>
      <c r="H4097" s="13" t="n">
        <f aca="false">MIN(G4097,D4097)</f>
        <v>0.89</v>
      </c>
      <c r="I4097" s="13" t="n">
        <f aca="false">IFERROR(MIN(F4097*Eingaben!$B$19,MAX(0,D4097-H4097)),0)</f>
        <v>0</v>
      </c>
      <c r="J4097" s="13" t="n">
        <f aca="false">IFERROR(MIN(Eingaben!$B$18,MAX(0,F4097-I4097)),0)</f>
        <v>1.7442</v>
      </c>
      <c r="K4097" s="13" t="n">
        <f aca="false">H4097+I4097</f>
        <v>0.89</v>
      </c>
      <c r="L4097" s="13" t="n">
        <f aca="false">MAX(0,D4097-K4097)</f>
        <v>0</v>
      </c>
      <c r="M4097" s="13" t="n">
        <f aca="false">MAX(0,F4097-I4097-J4097)</f>
        <v>0</v>
      </c>
      <c r="N4097" s="13" t="n">
        <f aca="false">IF(Kalender!A71="",0,J4096-H4097)</f>
        <v>0.7032278</v>
      </c>
    </row>
    <row r="4098" customFormat="false" ht="16.4" hidden="false" customHeight="false" outlineLevel="0" collapsed="false">
      <c r="A4098" s="13" t="str">
        <f aca="false">""</f>
        <v/>
      </c>
      <c r="B4098" s="13" t="n">
        <f aca="false">68</f>
        <v>68</v>
      </c>
      <c r="C4098" s="13" t="n">
        <f aca="false">IF(Szenarien!$H$22="OK",(IFERROR(SUMIF(Nutzungsprofile!$B$6:$B$11,"Schulbetrieb",Nutzungsprofile!$G$6:$G$11)*Kalender!C72/SUM(Kalender!$C$5:$C$370),0)+IFERROR(SUMIF(Nutzungsprofile!$B$6:$B$11,"Halle",Nutzungsprofile!$G$6:$G$11)*Kalender!D72/SUM(Kalender!$D$5:$D$370),0)+IFERROR(SUMIF(Nutzungsprofile!$B$6:$B$11,"Individuell",Nutzungsprofile!$G$6:$G$11)*Kalender!E72/SUM(Kalender!$E$5:$E$370),0))*Szenarien!$E$22,0)</f>
        <v>2.94</v>
      </c>
      <c r="D4098" s="13" t="n">
        <f aca="false">IF(Szenarien!$H$22="OK",(IFERROR(SUMIF(Nutzungsprofile!$B$17:$B$22,"Schulbetrieb",Nutzungsprofile!$G$17:$G$22)*Kalender!C72/SUM(Kalender!$C$5:$C$370),0)+IFERROR(SUMIF(Nutzungsprofile!$B$17:$B$22,"Halle",Nutzungsprofile!$G$17:$G$22)*Kalender!D72/SUM(Kalender!$D$5:$D$370),0)+IFERROR(SUMIF(Nutzungsprofile!$B$17:$B$22,"Individuell",Nutzungsprofile!$G$17:$G$22)*Kalender!E72/SUM(Kalender!$E$5:$E$370),0))*Szenarien!$D$22,0)</f>
        <v>4.94</v>
      </c>
      <c r="E4098" s="13" t="n">
        <f aca="false">IFERROR(MIN(C4098,Eingaben!$B$17)*Eingaben!$B$16,0)</f>
        <v>2.793</v>
      </c>
      <c r="F4098" s="13" t="n">
        <f aca="false">IFERROR(E4098*Eingaben!$B$15,0)</f>
        <v>2.5137</v>
      </c>
      <c r="G4098" s="13" t="n">
        <f aca="false">IFERROR(IF(Kalender!A72="",0,J4097*(1-Eingaben!$B$20)),0)</f>
        <v>1.709316</v>
      </c>
      <c r="H4098" s="13" t="n">
        <f aca="false">MIN(G4098,D4098)</f>
        <v>1.709316</v>
      </c>
      <c r="I4098" s="13" t="n">
        <f aca="false">IFERROR(MIN(F4098*Eingaben!$B$19,MAX(0,D4098-H4098)),0)</f>
        <v>1.75959</v>
      </c>
      <c r="J4098" s="13" t="n">
        <f aca="false">IFERROR(MIN(Eingaben!$B$18,MAX(0,F4098-I4098)),0)</f>
        <v>0.75411</v>
      </c>
      <c r="K4098" s="13" t="n">
        <f aca="false">H4098+I4098</f>
        <v>3.468906</v>
      </c>
      <c r="L4098" s="13" t="n">
        <f aca="false">MAX(0,D4098-K4098)</f>
        <v>1.471094</v>
      </c>
      <c r="M4098" s="13" t="n">
        <f aca="false">MAX(0,F4098-I4098-J4098)</f>
        <v>0</v>
      </c>
      <c r="N4098" s="13" t="n">
        <f aca="false">IF(Kalender!A72="",0,J4097-H4098)</f>
        <v>0.0348840000000001</v>
      </c>
    </row>
    <row r="4099" customFormat="false" ht="16.4" hidden="false" customHeight="false" outlineLevel="0" collapsed="false">
      <c r="A4099" s="13" t="str">
        <f aca="false">""</f>
        <v/>
      </c>
      <c r="B4099" s="13" t="n">
        <f aca="false">69</f>
        <v>69</v>
      </c>
      <c r="C4099" s="13" t="n">
        <f aca="false">IF(Szenarien!$H$22="OK",(IFERROR(SUMIF(Nutzungsprofile!$B$6:$B$11,"Schulbetrieb",Nutzungsprofile!$G$6:$G$11)*Kalender!C73/SUM(Kalender!$C$5:$C$370),0)+IFERROR(SUMIF(Nutzungsprofile!$B$6:$B$11,"Halle",Nutzungsprofile!$G$6:$G$11)*Kalender!D73/SUM(Kalender!$D$5:$D$370),0)+IFERROR(SUMIF(Nutzungsprofile!$B$6:$B$11,"Individuell",Nutzungsprofile!$G$6:$G$11)*Kalender!E73/SUM(Kalender!$E$5:$E$370),0))*Szenarien!$E$22,0)</f>
        <v>2.94</v>
      </c>
      <c r="D4099" s="13" t="n">
        <f aca="false">IF(Szenarien!$H$22="OK",(IFERROR(SUMIF(Nutzungsprofile!$B$17:$B$22,"Schulbetrieb",Nutzungsprofile!$G$17:$G$22)*Kalender!C73/SUM(Kalender!$C$5:$C$370),0)+IFERROR(SUMIF(Nutzungsprofile!$B$17:$B$22,"Halle",Nutzungsprofile!$G$17:$G$22)*Kalender!D73/SUM(Kalender!$D$5:$D$370),0)+IFERROR(SUMIF(Nutzungsprofile!$B$17:$B$22,"Individuell",Nutzungsprofile!$G$17:$G$22)*Kalender!E73/SUM(Kalender!$E$5:$E$370),0))*Szenarien!$D$22,0)</f>
        <v>4.94</v>
      </c>
      <c r="E4099" s="13" t="n">
        <f aca="false">IFERROR(MIN(C4099,Eingaben!$B$17)*Eingaben!$B$16,0)</f>
        <v>2.793</v>
      </c>
      <c r="F4099" s="13" t="n">
        <f aca="false">IFERROR(E4099*Eingaben!$B$15,0)</f>
        <v>2.5137</v>
      </c>
      <c r="G4099" s="13" t="n">
        <f aca="false">IFERROR(IF(Kalender!A73="",0,J4098*(1-Eingaben!$B$20)),0)</f>
        <v>0.7390278</v>
      </c>
      <c r="H4099" s="13" t="n">
        <f aca="false">MIN(G4099,D4099)</f>
        <v>0.7390278</v>
      </c>
      <c r="I4099" s="13" t="n">
        <f aca="false">IFERROR(MIN(F4099*Eingaben!$B$19,MAX(0,D4099-H4099)),0)</f>
        <v>1.75959</v>
      </c>
      <c r="J4099" s="13" t="n">
        <f aca="false">IFERROR(MIN(Eingaben!$B$18,MAX(0,F4099-I4099)),0)</f>
        <v>0.75411</v>
      </c>
      <c r="K4099" s="13" t="n">
        <f aca="false">H4099+I4099</f>
        <v>2.4986178</v>
      </c>
      <c r="L4099" s="13" t="n">
        <f aca="false">MAX(0,D4099-K4099)</f>
        <v>2.4413822</v>
      </c>
      <c r="M4099" s="13" t="n">
        <f aca="false">MAX(0,F4099-I4099-J4099)</f>
        <v>0</v>
      </c>
      <c r="N4099" s="13" t="n">
        <f aca="false">IF(Kalender!A73="",0,J4098-H4099)</f>
        <v>0.0150822</v>
      </c>
    </row>
    <row r="4100" customFormat="false" ht="16.4" hidden="false" customHeight="false" outlineLevel="0" collapsed="false">
      <c r="A4100" s="13" t="str">
        <f aca="false">""</f>
        <v/>
      </c>
      <c r="B4100" s="13" t="n">
        <f aca="false">70</f>
        <v>70</v>
      </c>
      <c r="C4100" s="13" t="n">
        <f aca="false">IF(Szenarien!$H$22="OK",(IFERROR(SUMIF(Nutzungsprofile!$B$6:$B$11,"Schulbetrieb",Nutzungsprofile!$G$6:$G$11)*Kalender!C74/SUM(Kalender!$C$5:$C$370),0)+IFERROR(SUMIF(Nutzungsprofile!$B$6:$B$11,"Halle",Nutzungsprofile!$G$6:$G$11)*Kalender!D74/SUM(Kalender!$D$5:$D$370),0)+IFERROR(SUMIF(Nutzungsprofile!$B$6:$B$11,"Individuell",Nutzungsprofile!$G$6:$G$11)*Kalender!E74/SUM(Kalender!$E$5:$E$370),0))*Szenarien!$E$22,0)</f>
        <v>2.94</v>
      </c>
      <c r="D4100" s="13" t="n">
        <f aca="false">IF(Szenarien!$H$22="OK",(IFERROR(SUMIF(Nutzungsprofile!$B$17:$B$22,"Schulbetrieb",Nutzungsprofile!$G$17:$G$22)*Kalender!C74/SUM(Kalender!$C$5:$C$370),0)+IFERROR(SUMIF(Nutzungsprofile!$B$17:$B$22,"Halle",Nutzungsprofile!$G$17:$G$22)*Kalender!D74/SUM(Kalender!$D$5:$D$370),0)+IFERROR(SUMIF(Nutzungsprofile!$B$17:$B$22,"Individuell",Nutzungsprofile!$G$17:$G$22)*Kalender!E74/SUM(Kalender!$E$5:$E$370),0))*Szenarien!$D$22,0)</f>
        <v>4.94</v>
      </c>
      <c r="E4100" s="13" t="n">
        <f aca="false">IFERROR(MIN(C4100,Eingaben!$B$17)*Eingaben!$B$16,0)</f>
        <v>2.793</v>
      </c>
      <c r="F4100" s="13" t="n">
        <f aca="false">IFERROR(E4100*Eingaben!$B$15,0)</f>
        <v>2.5137</v>
      </c>
      <c r="G4100" s="13" t="n">
        <f aca="false">IFERROR(IF(Kalender!A74="",0,J4099*(1-Eingaben!$B$20)),0)</f>
        <v>0.7390278</v>
      </c>
      <c r="H4100" s="13" t="n">
        <f aca="false">MIN(G4100,D4100)</f>
        <v>0.7390278</v>
      </c>
      <c r="I4100" s="13" t="n">
        <f aca="false">IFERROR(MIN(F4100*Eingaben!$B$19,MAX(0,D4100-H4100)),0)</f>
        <v>1.75959</v>
      </c>
      <c r="J4100" s="13" t="n">
        <f aca="false">IFERROR(MIN(Eingaben!$B$18,MAX(0,F4100-I4100)),0)</f>
        <v>0.75411</v>
      </c>
      <c r="K4100" s="13" t="n">
        <f aca="false">H4100+I4100</f>
        <v>2.4986178</v>
      </c>
      <c r="L4100" s="13" t="n">
        <f aca="false">MAX(0,D4100-K4100)</f>
        <v>2.4413822</v>
      </c>
      <c r="M4100" s="13" t="n">
        <f aca="false">MAX(0,F4100-I4100-J4100)</f>
        <v>0</v>
      </c>
      <c r="N4100" s="13" t="n">
        <f aca="false">IF(Kalender!A74="",0,J4099-H4100)</f>
        <v>0.0150822</v>
      </c>
    </row>
    <row r="4101" customFormat="false" ht="16.4" hidden="false" customHeight="false" outlineLevel="0" collapsed="false">
      <c r="A4101" s="13" t="str">
        <f aca="false">""</f>
        <v/>
      </c>
      <c r="B4101" s="13" t="n">
        <f aca="false">71</f>
        <v>71</v>
      </c>
      <c r="C4101" s="13" t="n">
        <f aca="false">IF(Szenarien!$H$22="OK",(IFERROR(SUMIF(Nutzungsprofile!$B$6:$B$11,"Schulbetrieb",Nutzungsprofile!$G$6:$G$11)*Kalender!C75/SUM(Kalender!$C$5:$C$370),0)+IFERROR(SUMIF(Nutzungsprofile!$B$6:$B$11,"Halle",Nutzungsprofile!$G$6:$G$11)*Kalender!D75/SUM(Kalender!$D$5:$D$370),0)+IFERROR(SUMIF(Nutzungsprofile!$B$6:$B$11,"Individuell",Nutzungsprofile!$G$6:$G$11)*Kalender!E75/SUM(Kalender!$E$5:$E$370),0))*Szenarien!$E$22,0)</f>
        <v>2.94</v>
      </c>
      <c r="D4101" s="13" t="n">
        <f aca="false">IF(Szenarien!$H$22="OK",(IFERROR(SUMIF(Nutzungsprofile!$B$17:$B$22,"Schulbetrieb",Nutzungsprofile!$G$17:$G$22)*Kalender!C75/SUM(Kalender!$C$5:$C$370),0)+IFERROR(SUMIF(Nutzungsprofile!$B$17:$B$22,"Halle",Nutzungsprofile!$G$17:$G$22)*Kalender!D75/SUM(Kalender!$D$5:$D$370),0)+IFERROR(SUMIF(Nutzungsprofile!$B$17:$B$22,"Individuell",Nutzungsprofile!$G$17:$G$22)*Kalender!E75/SUM(Kalender!$E$5:$E$370),0))*Szenarien!$D$22,0)</f>
        <v>4.94</v>
      </c>
      <c r="E4101" s="13" t="n">
        <f aca="false">IFERROR(MIN(C4101,Eingaben!$B$17)*Eingaben!$B$16,0)</f>
        <v>2.793</v>
      </c>
      <c r="F4101" s="13" t="n">
        <f aca="false">IFERROR(E4101*Eingaben!$B$15,0)</f>
        <v>2.5137</v>
      </c>
      <c r="G4101" s="13" t="n">
        <f aca="false">IFERROR(IF(Kalender!A75="",0,J4100*(1-Eingaben!$B$20)),0)</f>
        <v>0.7390278</v>
      </c>
      <c r="H4101" s="13" t="n">
        <f aca="false">MIN(G4101,D4101)</f>
        <v>0.7390278</v>
      </c>
      <c r="I4101" s="13" t="n">
        <f aca="false">IFERROR(MIN(F4101*Eingaben!$B$19,MAX(0,D4101-H4101)),0)</f>
        <v>1.75959</v>
      </c>
      <c r="J4101" s="13" t="n">
        <f aca="false">IFERROR(MIN(Eingaben!$B$18,MAX(0,F4101-I4101)),0)</f>
        <v>0.75411</v>
      </c>
      <c r="K4101" s="13" t="n">
        <f aca="false">H4101+I4101</f>
        <v>2.4986178</v>
      </c>
      <c r="L4101" s="13" t="n">
        <f aca="false">MAX(0,D4101-K4101)</f>
        <v>2.4413822</v>
      </c>
      <c r="M4101" s="13" t="n">
        <f aca="false">MAX(0,F4101-I4101-J4101)</f>
        <v>0</v>
      </c>
      <c r="N4101" s="13" t="n">
        <f aca="false">IF(Kalender!A75="",0,J4100-H4101)</f>
        <v>0.0150822</v>
      </c>
    </row>
    <row r="4102" customFormat="false" ht="16.4" hidden="false" customHeight="false" outlineLevel="0" collapsed="false">
      <c r="A4102" s="13" t="str">
        <f aca="false">""</f>
        <v/>
      </c>
      <c r="B4102" s="13" t="n">
        <f aca="false">72</f>
        <v>72</v>
      </c>
      <c r="C4102" s="13" t="n">
        <f aca="false">IF(Szenarien!$H$22="OK",(IFERROR(SUMIF(Nutzungsprofile!$B$6:$B$11,"Schulbetrieb",Nutzungsprofile!$G$6:$G$11)*Kalender!C76/SUM(Kalender!$C$5:$C$370),0)+IFERROR(SUMIF(Nutzungsprofile!$B$6:$B$11,"Halle",Nutzungsprofile!$G$6:$G$11)*Kalender!D76/SUM(Kalender!$D$5:$D$370),0)+IFERROR(SUMIF(Nutzungsprofile!$B$6:$B$11,"Individuell",Nutzungsprofile!$G$6:$G$11)*Kalender!E76/SUM(Kalender!$E$5:$E$370),0))*Szenarien!$E$22,0)</f>
        <v>2.94</v>
      </c>
      <c r="D4102" s="13" t="n">
        <f aca="false">IF(Szenarien!$H$22="OK",(IFERROR(SUMIF(Nutzungsprofile!$B$17:$B$22,"Schulbetrieb",Nutzungsprofile!$G$17:$G$22)*Kalender!C76/SUM(Kalender!$C$5:$C$370),0)+IFERROR(SUMIF(Nutzungsprofile!$B$17:$B$22,"Halle",Nutzungsprofile!$G$17:$G$22)*Kalender!D76/SUM(Kalender!$D$5:$D$370),0)+IFERROR(SUMIF(Nutzungsprofile!$B$17:$B$22,"Individuell",Nutzungsprofile!$G$17:$G$22)*Kalender!E76/SUM(Kalender!$E$5:$E$370),0))*Szenarien!$D$22,0)</f>
        <v>4.94</v>
      </c>
      <c r="E4102" s="13" t="n">
        <f aca="false">IFERROR(MIN(C4102,Eingaben!$B$17)*Eingaben!$B$16,0)</f>
        <v>2.793</v>
      </c>
      <c r="F4102" s="13" t="n">
        <f aca="false">IFERROR(E4102*Eingaben!$B$15,0)</f>
        <v>2.5137</v>
      </c>
      <c r="G4102" s="13" t="n">
        <f aca="false">IFERROR(IF(Kalender!A76="",0,J4101*(1-Eingaben!$B$20)),0)</f>
        <v>0.7390278</v>
      </c>
      <c r="H4102" s="13" t="n">
        <f aca="false">MIN(G4102,D4102)</f>
        <v>0.7390278</v>
      </c>
      <c r="I4102" s="13" t="n">
        <f aca="false">IFERROR(MIN(F4102*Eingaben!$B$19,MAX(0,D4102-H4102)),0)</f>
        <v>1.75959</v>
      </c>
      <c r="J4102" s="13" t="n">
        <f aca="false">IFERROR(MIN(Eingaben!$B$18,MAX(0,F4102-I4102)),0)</f>
        <v>0.75411</v>
      </c>
      <c r="K4102" s="13" t="n">
        <f aca="false">H4102+I4102</f>
        <v>2.4986178</v>
      </c>
      <c r="L4102" s="13" t="n">
        <f aca="false">MAX(0,D4102-K4102)</f>
        <v>2.4413822</v>
      </c>
      <c r="M4102" s="13" t="n">
        <f aca="false">MAX(0,F4102-I4102-J4102)</f>
        <v>0</v>
      </c>
      <c r="N4102" s="13" t="n">
        <f aca="false">IF(Kalender!A76="",0,J4101-H4102)</f>
        <v>0.0150822</v>
      </c>
    </row>
    <row r="4103" customFormat="false" ht="16.4" hidden="false" customHeight="false" outlineLevel="0" collapsed="false">
      <c r="A4103" s="13" t="str">
        <f aca="false">""</f>
        <v/>
      </c>
      <c r="B4103" s="13" t="n">
        <f aca="false">73</f>
        <v>73</v>
      </c>
      <c r="C4103" s="13" t="n">
        <f aca="false">IF(Szenarien!$H$22="OK",(IFERROR(SUMIF(Nutzungsprofile!$B$6:$B$11,"Schulbetrieb",Nutzungsprofile!$G$6:$G$11)*Kalender!C77/SUM(Kalender!$C$5:$C$370),0)+IFERROR(SUMIF(Nutzungsprofile!$B$6:$B$11,"Halle",Nutzungsprofile!$G$6:$G$11)*Kalender!D77/SUM(Kalender!$D$5:$D$370),0)+IFERROR(SUMIF(Nutzungsprofile!$B$6:$B$11,"Individuell",Nutzungsprofile!$G$6:$G$11)*Kalender!E77/SUM(Kalender!$E$5:$E$370),0))*Szenarien!$E$22,0)</f>
        <v>2.04</v>
      </c>
      <c r="D4103" s="13" t="n">
        <f aca="false">IF(Szenarien!$H$22="OK",(IFERROR(SUMIF(Nutzungsprofile!$B$17:$B$22,"Schulbetrieb",Nutzungsprofile!$G$17:$G$22)*Kalender!C77/SUM(Kalender!$C$5:$C$370),0)+IFERROR(SUMIF(Nutzungsprofile!$B$17:$B$22,"Halle",Nutzungsprofile!$G$17:$G$22)*Kalender!D77/SUM(Kalender!$D$5:$D$370),0)+IFERROR(SUMIF(Nutzungsprofile!$B$17:$B$22,"Individuell",Nutzungsprofile!$G$17:$G$22)*Kalender!E77/SUM(Kalender!$E$5:$E$370),0))*Szenarien!$D$22,0)</f>
        <v>0.89</v>
      </c>
      <c r="E4103" s="13" t="n">
        <f aca="false">IFERROR(MIN(C4103,Eingaben!$B$17)*Eingaben!$B$16,0)</f>
        <v>1.938</v>
      </c>
      <c r="F4103" s="13" t="n">
        <f aca="false">IFERROR(E4103*Eingaben!$B$15,0)</f>
        <v>1.7442</v>
      </c>
      <c r="G4103" s="13" t="n">
        <f aca="false">IFERROR(IF(Kalender!A77="",0,J4102*(1-Eingaben!$B$20)),0)</f>
        <v>0.7390278</v>
      </c>
      <c r="H4103" s="13" t="n">
        <f aca="false">MIN(G4103,D4103)</f>
        <v>0.7390278</v>
      </c>
      <c r="I4103" s="13" t="n">
        <f aca="false">IFERROR(MIN(F4103*Eingaben!$B$19,MAX(0,D4103-H4103)),0)</f>
        <v>0.1509722</v>
      </c>
      <c r="J4103" s="13" t="n">
        <f aca="false">IFERROR(MIN(Eingaben!$B$18,MAX(0,F4103-I4103)),0)</f>
        <v>1.5932278</v>
      </c>
      <c r="K4103" s="13" t="n">
        <f aca="false">H4103+I4103</f>
        <v>0.89</v>
      </c>
      <c r="L4103" s="13" t="n">
        <f aca="false">MAX(0,D4103-K4103)</f>
        <v>0</v>
      </c>
      <c r="M4103" s="13" t="n">
        <f aca="false">MAX(0,F4103-I4103-J4103)</f>
        <v>0</v>
      </c>
      <c r="N4103" s="13" t="n">
        <f aca="false">IF(Kalender!A77="",0,J4102-H4103)</f>
        <v>0.0150822</v>
      </c>
    </row>
    <row r="4104" customFormat="false" ht="16.4" hidden="false" customHeight="false" outlineLevel="0" collapsed="false">
      <c r="A4104" s="13" t="str">
        <f aca="false">""</f>
        <v/>
      </c>
      <c r="B4104" s="13" t="n">
        <f aca="false">74</f>
        <v>74</v>
      </c>
      <c r="C4104" s="13" t="n">
        <f aca="false">IF(Szenarien!$H$22="OK",(IFERROR(SUMIF(Nutzungsprofile!$B$6:$B$11,"Schulbetrieb",Nutzungsprofile!$G$6:$G$11)*Kalender!C78/SUM(Kalender!$C$5:$C$370),0)+IFERROR(SUMIF(Nutzungsprofile!$B$6:$B$11,"Halle",Nutzungsprofile!$G$6:$G$11)*Kalender!D78/SUM(Kalender!$D$5:$D$370),0)+IFERROR(SUMIF(Nutzungsprofile!$B$6:$B$11,"Individuell",Nutzungsprofile!$G$6:$G$11)*Kalender!E78/SUM(Kalender!$E$5:$E$370),0))*Szenarien!$E$22,0)</f>
        <v>2.04</v>
      </c>
      <c r="D4104" s="13" t="n">
        <f aca="false">IF(Szenarien!$H$22="OK",(IFERROR(SUMIF(Nutzungsprofile!$B$17:$B$22,"Schulbetrieb",Nutzungsprofile!$G$17:$G$22)*Kalender!C78/SUM(Kalender!$C$5:$C$370),0)+IFERROR(SUMIF(Nutzungsprofile!$B$17:$B$22,"Halle",Nutzungsprofile!$G$17:$G$22)*Kalender!D78/SUM(Kalender!$D$5:$D$370),0)+IFERROR(SUMIF(Nutzungsprofile!$B$17:$B$22,"Individuell",Nutzungsprofile!$G$17:$G$22)*Kalender!E78/SUM(Kalender!$E$5:$E$370),0))*Szenarien!$D$22,0)</f>
        <v>0.89</v>
      </c>
      <c r="E4104" s="13" t="n">
        <f aca="false">IFERROR(MIN(C4104,Eingaben!$B$17)*Eingaben!$B$16,0)</f>
        <v>1.938</v>
      </c>
      <c r="F4104" s="13" t="n">
        <f aca="false">IFERROR(E4104*Eingaben!$B$15,0)</f>
        <v>1.7442</v>
      </c>
      <c r="G4104" s="13" t="n">
        <f aca="false">IFERROR(IF(Kalender!A78="",0,J4103*(1-Eingaben!$B$20)),0)</f>
        <v>1.561363244</v>
      </c>
      <c r="H4104" s="13" t="n">
        <f aca="false">MIN(G4104,D4104)</f>
        <v>0.89</v>
      </c>
      <c r="I4104" s="13" t="n">
        <f aca="false">IFERROR(MIN(F4104*Eingaben!$B$19,MAX(0,D4104-H4104)),0)</f>
        <v>0</v>
      </c>
      <c r="J4104" s="13" t="n">
        <f aca="false">IFERROR(MIN(Eingaben!$B$18,MAX(0,F4104-I4104)),0)</f>
        <v>1.7442</v>
      </c>
      <c r="K4104" s="13" t="n">
        <f aca="false">H4104+I4104</f>
        <v>0.89</v>
      </c>
      <c r="L4104" s="13" t="n">
        <f aca="false">MAX(0,D4104-K4104)</f>
        <v>0</v>
      </c>
      <c r="M4104" s="13" t="n">
        <f aca="false">MAX(0,F4104-I4104-J4104)</f>
        <v>0</v>
      </c>
      <c r="N4104" s="13" t="n">
        <f aca="false">IF(Kalender!A78="",0,J4103-H4104)</f>
        <v>0.7032278</v>
      </c>
    </row>
    <row r="4105" customFormat="false" ht="16.4" hidden="false" customHeight="false" outlineLevel="0" collapsed="false">
      <c r="A4105" s="13" t="str">
        <f aca="false">""</f>
        <v/>
      </c>
      <c r="B4105" s="13" t="n">
        <f aca="false">75</f>
        <v>75</v>
      </c>
      <c r="C4105" s="13" t="n">
        <f aca="false">IF(Szenarien!$H$22="OK",(IFERROR(SUMIF(Nutzungsprofile!$B$6:$B$11,"Schulbetrieb",Nutzungsprofile!$G$6:$G$11)*Kalender!C79/SUM(Kalender!$C$5:$C$370),0)+IFERROR(SUMIF(Nutzungsprofile!$B$6:$B$11,"Halle",Nutzungsprofile!$G$6:$G$11)*Kalender!D79/SUM(Kalender!$D$5:$D$370),0)+IFERROR(SUMIF(Nutzungsprofile!$B$6:$B$11,"Individuell",Nutzungsprofile!$G$6:$G$11)*Kalender!E79/SUM(Kalender!$E$5:$E$370),0))*Szenarien!$E$22,0)</f>
        <v>2.94</v>
      </c>
      <c r="D4105" s="13" t="n">
        <f aca="false">IF(Szenarien!$H$22="OK",(IFERROR(SUMIF(Nutzungsprofile!$B$17:$B$22,"Schulbetrieb",Nutzungsprofile!$G$17:$G$22)*Kalender!C79/SUM(Kalender!$C$5:$C$370),0)+IFERROR(SUMIF(Nutzungsprofile!$B$17:$B$22,"Halle",Nutzungsprofile!$G$17:$G$22)*Kalender!D79/SUM(Kalender!$D$5:$D$370),0)+IFERROR(SUMIF(Nutzungsprofile!$B$17:$B$22,"Individuell",Nutzungsprofile!$G$17:$G$22)*Kalender!E79/SUM(Kalender!$E$5:$E$370),0))*Szenarien!$D$22,0)</f>
        <v>4.94</v>
      </c>
      <c r="E4105" s="13" t="n">
        <f aca="false">IFERROR(MIN(C4105,Eingaben!$B$17)*Eingaben!$B$16,0)</f>
        <v>2.793</v>
      </c>
      <c r="F4105" s="13" t="n">
        <f aca="false">IFERROR(E4105*Eingaben!$B$15,0)</f>
        <v>2.5137</v>
      </c>
      <c r="G4105" s="13" t="n">
        <f aca="false">IFERROR(IF(Kalender!A79="",0,J4104*(1-Eingaben!$B$20)),0)</f>
        <v>1.709316</v>
      </c>
      <c r="H4105" s="13" t="n">
        <f aca="false">MIN(G4105,D4105)</f>
        <v>1.709316</v>
      </c>
      <c r="I4105" s="13" t="n">
        <f aca="false">IFERROR(MIN(F4105*Eingaben!$B$19,MAX(0,D4105-H4105)),0)</f>
        <v>1.75959</v>
      </c>
      <c r="J4105" s="13" t="n">
        <f aca="false">IFERROR(MIN(Eingaben!$B$18,MAX(0,F4105-I4105)),0)</f>
        <v>0.75411</v>
      </c>
      <c r="K4105" s="13" t="n">
        <f aca="false">H4105+I4105</f>
        <v>3.468906</v>
      </c>
      <c r="L4105" s="13" t="n">
        <f aca="false">MAX(0,D4105-K4105)</f>
        <v>1.471094</v>
      </c>
      <c r="M4105" s="13" t="n">
        <f aca="false">MAX(0,F4105-I4105-J4105)</f>
        <v>0</v>
      </c>
      <c r="N4105" s="13" t="n">
        <f aca="false">IF(Kalender!A79="",0,J4104-H4105)</f>
        <v>0.0348840000000001</v>
      </c>
    </row>
    <row r="4106" customFormat="false" ht="16.4" hidden="false" customHeight="false" outlineLevel="0" collapsed="false">
      <c r="A4106" s="13" t="str">
        <f aca="false">""</f>
        <v/>
      </c>
      <c r="B4106" s="13" t="n">
        <f aca="false">76</f>
        <v>76</v>
      </c>
      <c r="C4106" s="13" t="n">
        <f aca="false">IF(Szenarien!$H$22="OK",(IFERROR(SUMIF(Nutzungsprofile!$B$6:$B$11,"Schulbetrieb",Nutzungsprofile!$G$6:$G$11)*Kalender!C80/SUM(Kalender!$C$5:$C$370),0)+IFERROR(SUMIF(Nutzungsprofile!$B$6:$B$11,"Halle",Nutzungsprofile!$G$6:$G$11)*Kalender!D80/SUM(Kalender!$D$5:$D$370),0)+IFERROR(SUMIF(Nutzungsprofile!$B$6:$B$11,"Individuell",Nutzungsprofile!$G$6:$G$11)*Kalender!E80/SUM(Kalender!$E$5:$E$370),0))*Szenarien!$E$22,0)</f>
        <v>2.94</v>
      </c>
      <c r="D4106" s="13" t="n">
        <f aca="false">IF(Szenarien!$H$22="OK",(IFERROR(SUMIF(Nutzungsprofile!$B$17:$B$22,"Schulbetrieb",Nutzungsprofile!$G$17:$G$22)*Kalender!C80/SUM(Kalender!$C$5:$C$370),0)+IFERROR(SUMIF(Nutzungsprofile!$B$17:$B$22,"Halle",Nutzungsprofile!$G$17:$G$22)*Kalender!D80/SUM(Kalender!$D$5:$D$370),0)+IFERROR(SUMIF(Nutzungsprofile!$B$17:$B$22,"Individuell",Nutzungsprofile!$G$17:$G$22)*Kalender!E80/SUM(Kalender!$E$5:$E$370),0))*Szenarien!$D$22,0)</f>
        <v>4.94</v>
      </c>
      <c r="E4106" s="13" t="n">
        <f aca="false">IFERROR(MIN(C4106,Eingaben!$B$17)*Eingaben!$B$16,0)</f>
        <v>2.793</v>
      </c>
      <c r="F4106" s="13" t="n">
        <f aca="false">IFERROR(E4106*Eingaben!$B$15,0)</f>
        <v>2.5137</v>
      </c>
      <c r="G4106" s="13" t="n">
        <f aca="false">IFERROR(IF(Kalender!A80="",0,J4105*(1-Eingaben!$B$20)),0)</f>
        <v>0.7390278</v>
      </c>
      <c r="H4106" s="13" t="n">
        <f aca="false">MIN(G4106,D4106)</f>
        <v>0.7390278</v>
      </c>
      <c r="I4106" s="13" t="n">
        <f aca="false">IFERROR(MIN(F4106*Eingaben!$B$19,MAX(0,D4106-H4106)),0)</f>
        <v>1.75959</v>
      </c>
      <c r="J4106" s="13" t="n">
        <f aca="false">IFERROR(MIN(Eingaben!$B$18,MAX(0,F4106-I4106)),0)</f>
        <v>0.75411</v>
      </c>
      <c r="K4106" s="13" t="n">
        <f aca="false">H4106+I4106</f>
        <v>2.4986178</v>
      </c>
      <c r="L4106" s="13" t="n">
        <f aca="false">MAX(0,D4106-K4106)</f>
        <v>2.4413822</v>
      </c>
      <c r="M4106" s="13" t="n">
        <f aca="false">MAX(0,F4106-I4106-J4106)</f>
        <v>0</v>
      </c>
      <c r="N4106" s="13" t="n">
        <f aca="false">IF(Kalender!A80="",0,J4105-H4106)</f>
        <v>0.0150822</v>
      </c>
    </row>
    <row r="4107" customFormat="false" ht="16.4" hidden="false" customHeight="false" outlineLevel="0" collapsed="false">
      <c r="A4107" s="13" t="str">
        <f aca="false">""</f>
        <v/>
      </c>
      <c r="B4107" s="13" t="n">
        <f aca="false">77</f>
        <v>77</v>
      </c>
      <c r="C4107" s="13" t="n">
        <f aca="false">IF(Szenarien!$H$22="OK",(IFERROR(SUMIF(Nutzungsprofile!$B$6:$B$11,"Schulbetrieb",Nutzungsprofile!$G$6:$G$11)*Kalender!C81/SUM(Kalender!$C$5:$C$370),0)+IFERROR(SUMIF(Nutzungsprofile!$B$6:$B$11,"Halle",Nutzungsprofile!$G$6:$G$11)*Kalender!D81/SUM(Kalender!$D$5:$D$370),0)+IFERROR(SUMIF(Nutzungsprofile!$B$6:$B$11,"Individuell",Nutzungsprofile!$G$6:$G$11)*Kalender!E81/SUM(Kalender!$E$5:$E$370),0))*Szenarien!$E$22,0)</f>
        <v>2.94</v>
      </c>
      <c r="D4107" s="13" t="n">
        <f aca="false">IF(Szenarien!$H$22="OK",(IFERROR(SUMIF(Nutzungsprofile!$B$17:$B$22,"Schulbetrieb",Nutzungsprofile!$G$17:$G$22)*Kalender!C81/SUM(Kalender!$C$5:$C$370),0)+IFERROR(SUMIF(Nutzungsprofile!$B$17:$B$22,"Halle",Nutzungsprofile!$G$17:$G$22)*Kalender!D81/SUM(Kalender!$D$5:$D$370),0)+IFERROR(SUMIF(Nutzungsprofile!$B$17:$B$22,"Individuell",Nutzungsprofile!$G$17:$G$22)*Kalender!E81/SUM(Kalender!$E$5:$E$370),0))*Szenarien!$D$22,0)</f>
        <v>4.94</v>
      </c>
      <c r="E4107" s="13" t="n">
        <f aca="false">IFERROR(MIN(C4107,Eingaben!$B$17)*Eingaben!$B$16,0)</f>
        <v>2.793</v>
      </c>
      <c r="F4107" s="13" t="n">
        <f aca="false">IFERROR(E4107*Eingaben!$B$15,0)</f>
        <v>2.5137</v>
      </c>
      <c r="G4107" s="13" t="n">
        <f aca="false">IFERROR(IF(Kalender!A81="",0,J4106*(1-Eingaben!$B$20)),0)</f>
        <v>0.7390278</v>
      </c>
      <c r="H4107" s="13" t="n">
        <f aca="false">MIN(G4107,D4107)</f>
        <v>0.7390278</v>
      </c>
      <c r="I4107" s="13" t="n">
        <f aca="false">IFERROR(MIN(F4107*Eingaben!$B$19,MAX(0,D4107-H4107)),0)</f>
        <v>1.75959</v>
      </c>
      <c r="J4107" s="13" t="n">
        <f aca="false">IFERROR(MIN(Eingaben!$B$18,MAX(0,F4107-I4107)),0)</f>
        <v>0.75411</v>
      </c>
      <c r="K4107" s="13" t="n">
        <f aca="false">H4107+I4107</f>
        <v>2.4986178</v>
      </c>
      <c r="L4107" s="13" t="n">
        <f aca="false">MAX(0,D4107-K4107)</f>
        <v>2.4413822</v>
      </c>
      <c r="M4107" s="13" t="n">
        <f aca="false">MAX(0,F4107-I4107-J4107)</f>
        <v>0</v>
      </c>
      <c r="N4107" s="13" t="n">
        <f aca="false">IF(Kalender!A81="",0,J4106-H4107)</f>
        <v>0.0150822</v>
      </c>
    </row>
    <row r="4108" customFormat="false" ht="16.4" hidden="false" customHeight="false" outlineLevel="0" collapsed="false">
      <c r="A4108" s="13" t="str">
        <f aca="false">""</f>
        <v/>
      </c>
      <c r="B4108" s="13" t="n">
        <f aca="false">78</f>
        <v>78</v>
      </c>
      <c r="C4108" s="13" t="n">
        <f aca="false">IF(Szenarien!$H$22="OK",(IFERROR(SUMIF(Nutzungsprofile!$B$6:$B$11,"Schulbetrieb",Nutzungsprofile!$G$6:$G$11)*Kalender!C82/SUM(Kalender!$C$5:$C$370),0)+IFERROR(SUMIF(Nutzungsprofile!$B$6:$B$11,"Halle",Nutzungsprofile!$G$6:$G$11)*Kalender!D82/SUM(Kalender!$D$5:$D$370),0)+IFERROR(SUMIF(Nutzungsprofile!$B$6:$B$11,"Individuell",Nutzungsprofile!$G$6:$G$11)*Kalender!E82/SUM(Kalender!$E$5:$E$370),0))*Szenarien!$E$22,0)</f>
        <v>2.94</v>
      </c>
      <c r="D4108" s="13" t="n">
        <f aca="false">IF(Szenarien!$H$22="OK",(IFERROR(SUMIF(Nutzungsprofile!$B$17:$B$22,"Schulbetrieb",Nutzungsprofile!$G$17:$G$22)*Kalender!C82/SUM(Kalender!$C$5:$C$370),0)+IFERROR(SUMIF(Nutzungsprofile!$B$17:$B$22,"Halle",Nutzungsprofile!$G$17:$G$22)*Kalender!D82/SUM(Kalender!$D$5:$D$370),0)+IFERROR(SUMIF(Nutzungsprofile!$B$17:$B$22,"Individuell",Nutzungsprofile!$G$17:$G$22)*Kalender!E82/SUM(Kalender!$E$5:$E$370),0))*Szenarien!$D$22,0)</f>
        <v>4.94</v>
      </c>
      <c r="E4108" s="13" t="n">
        <f aca="false">IFERROR(MIN(C4108,Eingaben!$B$17)*Eingaben!$B$16,0)</f>
        <v>2.793</v>
      </c>
      <c r="F4108" s="13" t="n">
        <f aca="false">IFERROR(E4108*Eingaben!$B$15,0)</f>
        <v>2.5137</v>
      </c>
      <c r="G4108" s="13" t="n">
        <f aca="false">IFERROR(IF(Kalender!A82="",0,J4107*(1-Eingaben!$B$20)),0)</f>
        <v>0.7390278</v>
      </c>
      <c r="H4108" s="13" t="n">
        <f aca="false">MIN(G4108,D4108)</f>
        <v>0.7390278</v>
      </c>
      <c r="I4108" s="13" t="n">
        <f aca="false">IFERROR(MIN(F4108*Eingaben!$B$19,MAX(0,D4108-H4108)),0)</f>
        <v>1.75959</v>
      </c>
      <c r="J4108" s="13" t="n">
        <f aca="false">IFERROR(MIN(Eingaben!$B$18,MAX(0,F4108-I4108)),0)</f>
        <v>0.75411</v>
      </c>
      <c r="K4108" s="13" t="n">
        <f aca="false">H4108+I4108</f>
        <v>2.4986178</v>
      </c>
      <c r="L4108" s="13" t="n">
        <f aca="false">MAX(0,D4108-K4108)</f>
        <v>2.4413822</v>
      </c>
      <c r="M4108" s="13" t="n">
        <f aca="false">MAX(0,F4108-I4108-J4108)</f>
        <v>0</v>
      </c>
      <c r="N4108" s="13" t="n">
        <f aca="false">IF(Kalender!A82="",0,J4107-H4108)</f>
        <v>0.0150822</v>
      </c>
    </row>
    <row r="4109" customFormat="false" ht="16.4" hidden="false" customHeight="false" outlineLevel="0" collapsed="false">
      <c r="A4109" s="13" t="str">
        <f aca="false">""</f>
        <v/>
      </c>
      <c r="B4109" s="13" t="n">
        <f aca="false">79</f>
        <v>79</v>
      </c>
      <c r="C4109" s="13" t="n">
        <f aca="false">IF(Szenarien!$H$22="OK",(IFERROR(SUMIF(Nutzungsprofile!$B$6:$B$11,"Schulbetrieb",Nutzungsprofile!$G$6:$G$11)*Kalender!C83/SUM(Kalender!$C$5:$C$370),0)+IFERROR(SUMIF(Nutzungsprofile!$B$6:$B$11,"Halle",Nutzungsprofile!$G$6:$G$11)*Kalender!D83/SUM(Kalender!$D$5:$D$370),0)+IFERROR(SUMIF(Nutzungsprofile!$B$6:$B$11,"Individuell",Nutzungsprofile!$G$6:$G$11)*Kalender!E83/SUM(Kalender!$E$5:$E$370),0))*Szenarien!$E$22,0)</f>
        <v>2.94</v>
      </c>
      <c r="D4109" s="13" t="n">
        <f aca="false">IF(Szenarien!$H$22="OK",(IFERROR(SUMIF(Nutzungsprofile!$B$17:$B$22,"Schulbetrieb",Nutzungsprofile!$G$17:$G$22)*Kalender!C83/SUM(Kalender!$C$5:$C$370),0)+IFERROR(SUMIF(Nutzungsprofile!$B$17:$B$22,"Halle",Nutzungsprofile!$G$17:$G$22)*Kalender!D83/SUM(Kalender!$D$5:$D$370),0)+IFERROR(SUMIF(Nutzungsprofile!$B$17:$B$22,"Individuell",Nutzungsprofile!$G$17:$G$22)*Kalender!E83/SUM(Kalender!$E$5:$E$370),0))*Szenarien!$D$22,0)</f>
        <v>4.94</v>
      </c>
      <c r="E4109" s="13" t="n">
        <f aca="false">IFERROR(MIN(C4109,Eingaben!$B$17)*Eingaben!$B$16,0)</f>
        <v>2.793</v>
      </c>
      <c r="F4109" s="13" t="n">
        <f aca="false">IFERROR(E4109*Eingaben!$B$15,0)</f>
        <v>2.5137</v>
      </c>
      <c r="G4109" s="13" t="n">
        <f aca="false">IFERROR(IF(Kalender!A83="",0,J4108*(1-Eingaben!$B$20)),0)</f>
        <v>0.7390278</v>
      </c>
      <c r="H4109" s="13" t="n">
        <f aca="false">MIN(G4109,D4109)</f>
        <v>0.7390278</v>
      </c>
      <c r="I4109" s="13" t="n">
        <f aca="false">IFERROR(MIN(F4109*Eingaben!$B$19,MAX(0,D4109-H4109)),0)</f>
        <v>1.75959</v>
      </c>
      <c r="J4109" s="13" t="n">
        <f aca="false">IFERROR(MIN(Eingaben!$B$18,MAX(0,F4109-I4109)),0)</f>
        <v>0.75411</v>
      </c>
      <c r="K4109" s="13" t="n">
        <f aca="false">H4109+I4109</f>
        <v>2.4986178</v>
      </c>
      <c r="L4109" s="13" t="n">
        <f aca="false">MAX(0,D4109-K4109)</f>
        <v>2.4413822</v>
      </c>
      <c r="M4109" s="13" t="n">
        <f aca="false">MAX(0,F4109-I4109-J4109)</f>
        <v>0</v>
      </c>
      <c r="N4109" s="13" t="n">
        <f aca="false">IF(Kalender!A83="",0,J4108-H4109)</f>
        <v>0.0150822</v>
      </c>
    </row>
    <row r="4110" customFormat="false" ht="16.4" hidden="false" customHeight="false" outlineLevel="0" collapsed="false">
      <c r="A4110" s="13" t="str">
        <f aca="false">""</f>
        <v/>
      </c>
      <c r="B4110" s="13" t="n">
        <f aca="false">80</f>
        <v>80</v>
      </c>
      <c r="C4110" s="13" t="n">
        <f aca="false">IF(Szenarien!$H$22="OK",(IFERROR(SUMIF(Nutzungsprofile!$B$6:$B$11,"Schulbetrieb",Nutzungsprofile!$G$6:$G$11)*Kalender!C84/SUM(Kalender!$C$5:$C$370),0)+IFERROR(SUMIF(Nutzungsprofile!$B$6:$B$11,"Halle",Nutzungsprofile!$G$6:$G$11)*Kalender!D84/SUM(Kalender!$D$5:$D$370),0)+IFERROR(SUMIF(Nutzungsprofile!$B$6:$B$11,"Individuell",Nutzungsprofile!$G$6:$G$11)*Kalender!E84/SUM(Kalender!$E$5:$E$370),0))*Szenarien!$E$22,0)</f>
        <v>2.04</v>
      </c>
      <c r="D4110" s="13" t="n">
        <f aca="false">IF(Szenarien!$H$22="OK",(IFERROR(SUMIF(Nutzungsprofile!$B$17:$B$22,"Schulbetrieb",Nutzungsprofile!$G$17:$G$22)*Kalender!C84/SUM(Kalender!$C$5:$C$370),0)+IFERROR(SUMIF(Nutzungsprofile!$B$17:$B$22,"Halle",Nutzungsprofile!$G$17:$G$22)*Kalender!D84/SUM(Kalender!$D$5:$D$370),0)+IFERROR(SUMIF(Nutzungsprofile!$B$17:$B$22,"Individuell",Nutzungsprofile!$G$17:$G$22)*Kalender!E84/SUM(Kalender!$E$5:$E$370),0))*Szenarien!$D$22,0)</f>
        <v>0.89</v>
      </c>
      <c r="E4110" s="13" t="n">
        <f aca="false">IFERROR(MIN(C4110,Eingaben!$B$17)*Eingaben!$B$16,0)</f>
        <v>1.938</v>
      </c>
      <c r="F4110" s="13" t="n">
        <f aca="false">IFERROR(E4110*Eingaben!$B$15,0)</f>
        <v>1.7442</v>
      </c>
      <c r="G4110" s="13" t="n">
        <f aca="false">IFERROR(IF(Kalender!A84="",0,J4109*(1-Eingaben!$B$20)),0)</f>
        <v>0.7390278</v>
      </c>
      <c r="H4110" s="13" t="n">
        <f aca="false">MIN(G4110,D4110)</f>
        <v>0.7390278</v>
      </c>
      <c r="I4110" s="13" t="n">
        <f aca="false">IFERROR(MIN(F4110*Eingaben!$B$19,MAX(0,D4110-H4110)),0)</f>
        <v>0.1509722</v>
      </c>
      <c r="J4110" s="13" t="n">
        <f aca="false">IFERROR(MIN(Eingaben!$B$18,MAX(0,F4110-I4110)),0)</f>
        <v>1.5932278</v>
      </c>
      <c r="K4110" s="13" t="n">
        <f aca="false">H4110+I4110</f>
        <v>0.89</v>
      </c>
      <c r="L4110" s="13" t="n">
        <f aca="false">MAX(0,D4110-K4110)</f>
        <v>0</v>
      </c>
      <c r="M4110" s="13" t="n">
        <f aca="false">MAX(0,F4110-I4110-J4110)</f>
        <v>0</v>
      </c>
      <c r="N4110" s="13" t="n">
        <f aca="false">IF(Kalender!A84="",0,J4109-H4110)</f>
        <v>0.0150822</v>
      </c>
    </row>
    <row r="4111" customFormat="false" ht="16.4" hidden="false" customHeight="false" outlineLevel="0" collapsed="false">
      <c r="A4111" s="13" t="str">
        <f aca="false">""</f>
        <v/>
      </c>
      <c r="B4111" s="13" t="n">
        <f aca="false">81</f>
        <v>81</v>
      </c>
      <c r="C4111" s="13" t="n">
        <f aca="false">IF(Szenarien!$H$22="OK",(IFERROR(SUMIF(Nutzungsprofile!$B$6:$B$11,"Schulbetrieb",Nutzungsprofile!$G$6:$G$11)*Kalender!C85/SUM(Kalender!$C$5:$C$370),0)+IFERROR(SUMIF(Nutzungsprofile!$B$6:$B$11,"Halle",Nutzungsprofile!$G$6:$G$11)*Kalender!D85/SUM(Kalender!$D$5:$D$370),0)+IFERROR(SUMIF(Nutzungsprofile!$B$6:$B$11,"Individuell",Nutzungsprofile!$G$6:$G$11)*Kalender!E85/SUM(Kalender!$E$5:$E$370),0))*Szenarien!$E$22,0)</f>
        <v>2.04</v>
      </c>
      <c r="D4111" s="13" t="n">
        <f aca="false">IF(Szenarien!$H$22="OK",(IFERROR(SUMIF(Nutzungsprofile!$B$17:$B$22,"Schulbetrieb",Nutzungsprofile!$G$17:$G$22)*Kalender!C85/SUM(Kalender!$C$5:$C$370),0)+IFERROR(SUMIF(Nutzungsprofile!$B$17:$B$22,"Halle",Nutzungsprofile!$G$17:$G$22)*Kalender!D85/SUM(Kalender!$D$5:$D$370),0)+IFERROR(SUMIF(Nutzungsprofile!$B$17:$B$22,"Individuell",Nutzungsprofile!$G$17:$G$22)*Kalender!E85/SUM(Kalender!$E$5:$E$370),0))*Szenarien!$D$22,0)</f>
        <v>0.89</v>
      </c>
      <c r="E4111" s="13" t="n">
        <f aca="false">IFERROR(MIN(C4111,Eingaben!$B$17)*Eingaben!$B$16,0)</f>
        <v>1.938</v>
      </c>
      <c r="F4111" s="13" t="n">
        <f aca="false">IFERROR(E4111*Eingaben!$B$15,0)</f>
        <v>1.7442</v>
      </c>
      <c r="G4111" s="13" t="n">
        <f aca="false">IFERROR(IF(Kalender!A85="",0,J4110*(1-Eingaben!$B$20)),0)</f>
        <v>1.561363244</v>
      </c>
      <c r="H4111" s="13" t="n">
        <f aca="false">MIN(G4111,D4111)</f>
        <v>0.89</v>
      </c>
      <c r="I4111" s="13" t="n">
        <f aca="false">IFERROR(MIN(F4111*Eingaben!$B$19,MAX(0,D4111-H4111)),0)</f>
        <v>0</v>
      </c>
      <c r="J4111" s="13" t="n">
        <f aca="false">IFERROR(MIN(Eingaben!$B$18,MAX(0,F4111-I4111)),0)</f>
        <v>1.7442</v>
      </c>
      <c r="K4111" s="13" t="n">
        <f aca="false">H4111+I4111</f>
        <v>0.89</v>
      </c>
      <c r="L4111" s="13" t="n">
        <f aca="false">MAX(0,D4111-K4111)</f>
        <v>0</v>
      </c>
      <c r="M4111" s="13" t="n">
        <f aca="false">MAX(0,F4111-I4111-J4111)</f>
        <v>0</v>
      </c>
      <c r="N4111" s="13" t="n">
        <f aca="false">IF(Kalender!A85="",0,J4110-H4111)</f>
        <v>0.7032278</v>
      </c>
    </row>
    <row r="4112" customFormat="false" ht="16.4" hidden="false" customHeight="false" outlineLevel="0" collapsed="false">
      <c r="A4112" s="13" t="str">
        <f aca="false">""</f>
        <v/>
      </c>
      <c r="B4112" s="13" t="n">
        <f aca="false">82</f>
        <v>82</v>
      </c>
      <c r="C4112" s="13" t="n">
        <f aca="false">IF(Szenarien!$H$22="OK",(IFERROR(SUMIF(Nutzungsprofile!$B$6:$B$11,"Schulbetrieb",Nutzungsprofile!$G$6:$G$11)*Kalender!C86/SUM(Kalender!$C$5:$C$370),0)+IFERROR(SUMIF(Nutzungsprofile!$B$6:$B$11,"Halle",Nutzungsprofile!$G$6:$G$11)*Kalender!D86/SUM(Kalender!$D$5:$D$370),0)+IFERROR(SUMIF(Nutzungsprofile!$B$6:$B$11,"Individuell",Nutzungsprofile!$G$6:$G$11)*Kalender!E86/SUM(Kalender!$E$5:$E$370),0))*Szenarien!$E$22,0)</f>
        <v>2.94</v>
      </c>
      <c r="D4112" s="13" t="n">
        <f aca="false">IF(Szenarien!$H$22="OK",(IFERROR(SUMIF(Nutzungsprofile!$B$17:$B$22,"Schulbetrieb",Nutzungsprofile!$G$17:$G$22)*Kalender!C86/SUM(Kalender!$C$5:$C$370),0)+IFERROR(SUMIF(Nutzungsprofile!$B$17:$B$22,"Halle",Nutzungsprofile!$G$17:$G$22)*Kalender!D86/SUM(Kalender!$D$5:$D$370),0)+IFERROR(SUMIF(Nutzungsprofile!$B$17:$B$22,"Individuell",Nutzungsprofile!$G$17:$G$22)*Kalender!E86/SUM(Kalender!$E$5:$E$370),0))*Szenarien!$D$22,0)</f>
        <v>4.94</v>
      </c>
      <c r="E4112" s="13" t="n">
        <f aca="false">IFERROR(MIN(C4112,Eingaben!$B$17)*Eingaben!$B$16,0)</f>
        <v>2.793</v>
      </c>
      <c r="F4112" s="13" t="n">
        <f aca="false">IFERROR(E4112*Eingaben!$B$15,0)</f>
        <v>2.5137</v>
      </c>
      <c r="G4112" s="13" t="n">
        <f aca="false">IFERROR(IF(Kalender!A86="",0,J4111*(1-Eingaben!$B$20)),0)</f>
        <v>1.709316</v>
      </c>
      <c r="H4112" s="13" t="n">
        <f aca="false">MIN(G4112,D4112)</f>
        <v>1.709316</v>
      </c>
      <c r="I4112" s="13" t="n">
        <f aca="false">IFERROR(MIN(F4112*Eingaben!$B$19,MAX(0,D4112-H4112)),0)</f>
        <v>1.75959</v>
      </c>
      <c r="J4112" s="13" t="n">
        <f aca="false">IFERROR(MIN(Eingaben!$B$18,MAX(0,F4112-I4112)),0)</f>
        <v>0.75411</v>
      </c>
      <c r="K4112" s="13" t="n">
        <f aca="false">H4112+I4112</f>
        <v>3.468906</v>
      </c>
      <c r="L4112" s="13" t="n">
        <f aca="false">MAX(0,D4112-K4112)</f>
        <v>1.471094</v>
      </c>
      <c r="M4112" s="13" t="n">
        <f aca="false">MAX(0,F4112-I4112-J4112)</f>
        <v>0</v>
      </c>
      <c r="N4112" s="13" t="n">
        <f aca="false">IF(Kalender!A86="",0,J4111-H4112)</f>
        <v>0.0348840000000001</v>
      </c>
    </row>
    <row r="4113" customFormat="false" ht="16.4" hidden="false" customHeight="false" outlineLevel="0" collapsed="false">
      <c r="A4113" s="13" t="str">
        <f aca="false">""</f>
        <v/>
      </c>
      <c r="B4113" s="13" t="n">
        <f aca="false">83</f>
        <v>83</v>
      </c>
      <c r="C4113" s="13" t="n">
        <f aca="false">IF(Szenarien!$H$22="OK",(IFERROR(SUMIF(Nutzungsprofile!$B$6:$B$11,"Schulbetrieb",Nutzungsprofile!$G$6:$G$11)*Kalender!C87/SUM(Kalender!$C$5:$C$370),0)+IFERROR(SUMIF(Nutzungsprofile!$B$6:$B$11,"Halle",Nutzungsprofile!$G$6:$G$11)*Kalender!D87/SUM(Kalender!$D$5:$D$370),0)+IFERROR(SUMIF(Nutzungsprofile!$B$6:$B$11,"Individuell",Nutzungsprofile!$G$6:$G$11)*Kalender!E87/SUM(Kalender!$E$5:$E$370),0))*Szenarien!$E$22,0)</f>
        <v>2.94</v>
      </c>
      <c r="D4113" s="13" t="n">
        <f aca="false">IF(Szenarien!$H$22="OK",(IFERROR(SUMIF(Nutzungsprofile!$B$17:$B$22,"Schulbetrieb",Nutzungsprofile!$G$17:$G$22)*Kalender!C87/SUM(Kalender!$C$5:$C$370),0)+IFERROR(SUMIF(Nutzungsprofile!$B$17:$B$22,"Halle",Nutzungsprofile!$G$17:$G$22)*Kalender!D87/SUM(Kalender!$D$5:$D$370),0)+IFERROR(SUMIF(Nutzungsprofile!$B$17:$B$22,"Individuell",Nutzungsprofile!$G$17:$G$22)*Kalender!E87/SUM(Kalender!$E$5:$E$370),0))*Szenarien!$D$22,0)</f>
        <v>4.94</v>
      </c>
      <c r="E4113" s="13" t="n">
        <f aca="false">IFERROR(MIN(C4113,Eingaben!$B$17)*Eingaben!$B$16,0)</f>
        <v>2.793</v>
      </c>
      <c r="F4113" s="13" t="n">
        <f aca="false">IFERROR(E4113*Eingaben!$B$15,0)</f>
        <v>2.5137</v>
      </c>
      <c r="G4113" s="13" t="n">
        <f aca="false">IFERROR(IF(Kalender!A87="",0,J4112*(1-Eingaben!$B$20)),0)</f>
        <v>0.7390278</v>
      </c>
      <c r="H4113" s="13" t="n">
        <f aca="false">MIN(G4113,D4113)</f>
        <v>0.7390278</v>
      </c>
      <c r="I4113" s="13" t="n">
        <f aca="false">IFERROR(MIN(F4113*Eingaben!$B$19,MAX(0,D4113-H4113)),0)</f>
        <v>1.75959</v>
      </c>
      <c r="J4113" s="13" t="n">
        <f aca="false">IFERROR(MIN(Eingaben!$B$18,MAX(0,F4113-I4113)),0)</f>
        <v>0.75411</v>
      </c>
      <c r="K4113" s="13" t="n">
        <f aca="false">H4113+I4113</f>
        <v>2.4986178</v>
      </c>
      <c r="L4113" s="13" t="n">
        <f aca="false">MAX(0,D4113-K4113)</f>
        <v>2.4413822</v>
      </c>
      <c r="M4113" s="13" t="n">
        <f aca="false">MAX(0,F4113-I4113-J4113)</f>
        <v>0</v>
      </c>
      <c r="N4113" s="13" t="n">
        <f aca="false">IF(Kalender!A87="",0,J4112-H4113)</f>
        <v>0.0150822</v>
      </c>
    </row>
    <row r="4114" customFormat="false" ht="16.4" hidden="false" customHeight="false" outlineLevel="0" collapsed="false">
      <c r="A4114" s="13" t="str">
        <f aca="false">""</f>
        <v/>
      </c>
      <c r="B4114" s="13" t="n">
        <f aca="false">84</f>
        <v>84</v>
      </c>
      <c r="C4114" s="13" t="n">
        <f aca="false">IF(Szenarien!$H$22="OK",(IFERROR(SUMIF(Nutzungsprofile!$B$6:$B$11,"Schulbetrieb",Nutzungsprofile!$G$6:$G$11)*Kalender!C88/SUM(Kalender!$C$5:$C$370),0)+IFERROR(SUMIF(Nutzungsprofile!$B$6:$B$11,"Halle",Nutzungsprofile!$G$6:$G$11)*Kalender!D88/SUM(Kalender!$D$5:$D$370),0)+IFERROR(SUMIF(Nutzungsprofile!$B$6:$B$11,"Individuell",Nutzungsprofile!$G$6:$G$11)*Kalender!E88/SUM(Kalender!$E$5:$E$370),0))*Szenarien!$E$22,0)</f>
        <v>2.94</v>
      </c>
      <c r="D4114" s="13" t="n">
        <f aca="false">IF(Szenarien!$H$22="OK",(IFERROR(SUMIF(Nutzungsprofile!$B$17:$B$22,"Schulbetrieb",Nutzungsprofile!$G$17:$G$22)*Kalender!C88/SUM(Kalender!$C$5:$C$370),0)+IFERROR(SUMIF(Nutzungsprofile!$B$17:$B$22,"Halle",Nutzungsprofile!$G$17:$G$22)*Kalender!D88/SUM(Kalender!$D$5:$D$370),0)+IFERROR(SUMIF(Nutzungsprofile!$B$17:$B$22,"Individuell",Nutzungsprofile!$G$17:$G$22)*Kalender!E88/SUM(Kalender!$E$5:$E$370),0))*Szenarien!$D$22,0)</f>
        <v>4.94</v>
      </c>
      <c r="E4114" s="13" t="n">
        <f aca="false">IFERROR(MIN(C4114,Eingaben!$B$17)*Eingaben!$B$16,0)</f>
        <v>2.793</v>
      </c>
      <c r="F4114" s="13" t="n">
        <f aca="false">IFERROR(E4114*Eingaben!$B$15,0)</f>
        <v>2.5137</v>
      </c>
      <c r="G4114" s="13" t="n">
        <f aca="false">IFERROR(IF(Kalender!A88="",0,J4113*(1-Eingaben!$B$20)),0)</f>
        <v>0.7390278</v>
      </c>
      <c r="H4114" s="13" t="n">
        <f aca="false">MIN(G4114,D4114)</f>
        <v>0.7390278</v>
      </c>
      <c r="I4114" s="13" t="n">
        <f aca="false">IFERROR(MIN(F4114*Eingaben!$B$19,MAX(0,D4114-H4114)),0)</f>
        <v>1.75959</v>
      </c>
      <c r="J4114" s="13" t="n">
        <f aca="false">IFERROR(MIN(Eingaben!$B$18,MAX(0,F4114-I4114)),0)</f>
        <v>0.75411</v>
      </c>
      <c r="K4114" s="13" t="n">
        <f aca="false">H4114+I4114</f>
        <v>2.4986178</v>
      </c>
      <c r="L4114" s="13" t="n">
        <f aca="false">MAX(0,D4114-K4114)</f>
        <v>2.4413822</v>
      </c>
      <c r="M4114" s="13" t="n">
        <f aca="false">MAX(0,F4114-I4114-J4114)</f>
        <v>0</v>
      </c>
      <c r="N4114" s="13" t="n">
        <f aca="false">IF(Kalender!A88="",0,J4113-H4114)</f>
        <v>0.0150822</v>
      </c>
    </row>
    <row r="4115" customFormat="false" ht="16.4" hidden="false" customHeight="false" outlineLevel="0" collapsed="false">
      <c r="A4115" s="13" t="str">
        <f aca="false">""</f>
        <v/>
      </c>
      <c r="B4115" s="13" t="n">
        <f aca="false">85</f>
        <v>85</v>
      </c>
      <c r="C4115" s="13" t="n">
        <f aca="false">IF(Szenarien!$H$22="OK",(IFERROR(SUMIF(Nutzungsprofile!$B$6:$B$11,"Schulbetrieb",Nutzungsprofile!$G$6:$G$11)*Kalender!C89/SUM(Kalender!$C$5:$C$370),0)+IFERROR(SUMIF(Nutzungsprofile!$B$6:$B$11,"Halle",Nutzungsprofile!$G$6:$G$11)*Kalender!D89/SUM(Kalender!$D$5:$D$370),0)+IFERROR(SUMIF(Nutzungsprofile!$B$6:$B$11,"Individuell",Nutzungsprofile!$G$6:$G$11)*Kalender!E89/SUM(Kalender!$E$5:$E$370),0))*Szenarien!$E$22,0)</f>
        <v>2.94</v>
      </c>
      <c r="D4115" s="13" t="n">
        <f aca="false">IF(Szenarien!$H$22="OK",(IFERROR(SUMIF(Nutzungsprofile!$B$17:$B$22,"Schulbetrieb",Nutzungsprofile!$G$17:$G$22)*Kalender!C89/SUM(Kalender!$C$5:$C$370),0)+IFERROR(SUMIF(Nutzungsprofile!$B$17:$B$22,"Halle",Nutzungsprofile!$G$17:$G$22)*Kalender!D89/SUM(Kalender!$D$5:$D$370),0)+IFERROR(SUMIF(Nutzungsprofile!$B$17:$B$22,"Individuell",Nutzungsprofile!$G$17:$G$22)*Kalender!E89/SUM(Kalender!$E$5:$E$370),0))*Szenarien!$D$22,0)</f>
        <v>4.94</v>
      </c>
      <c r="E4115" s="13" t="n">
        <f aca="false">IFERROR(MIN(C4115,Eingaben!$B$17)*Eingaben!$B$16,0)</f>
        <v>2.793</v>
      </c>
      <c r="F4115" s="13" t="n">
        <f aca="false">IFERROR(E4115*Eingaben!$B$15,0)</f>
        <v>2.5137</v>
      </c>
      <c r="G4115" s="13" t="n">
        <f aca="false">IFERROR(IF(Kalender!A89="",0,J4114*(1-Eingaben!$B$20)),0)</f>
        <v>0.7390278</v>
      </c>
      <c r="H4115" s="13" t="n">
        <f aca="false">MIN(G4115,D4115)</f>
        <v>0.7390278</v>
      </c>
      <c r="I4115" s="13" t="n">
        <f aca="false">IFERROR(MIN(F4115*Eingaben!$B$19,MAX(0,D4115-H4115)),0)</f>
        <v>1.75959</v>
      </c>
      <c r="J4115" s="13" t="n">
        <f aca="false">IFERROR(MIN(Eingaben!$B$18,MAX(0,F4115-I4115)),0)</f>
        <v>0.75411</v>
      </c>
      <c r="K4115" s="13" t="n">
        <f aca="false">H4115+I4115</f>
        <v>2.4986178</v>
      </c>
      <c r="L4115" s="13" t="n">
        <f aca="false">MAX(0,D4115-K4115)</f>
        <v>2.4413822</v>
      </c>
      <c r="M4115" s="13" t="n">
        <f aca="false">MAX(0,F4115-I4115-J4115)</f>
        <v>0</v>
      </c>
      <c r="N4115" s="13" t="n">
        <f aca="false">IF(Kalender!A89="",0,J4114-H4115)</f>
        <v>0.0150822</v>
      </c>
    </row>
    <row r="4116" customFormat="false" ht="16.4" hidden="false" customHeight="false" outlineLevel="0" collapsed="false">
      <c r="A4116" s="13" t="str">
        <f aca="false">""</f>
        <v/>
      </c>
      <c r="B4116" s="13" t="n">
        <f aca="false">86</f>
        <v>86</v>
      </c>
      <c r="C4116" s="13" t="n">
        <f aca="false">IF(Szenarien!$H$22="OK",(IFERROR(SUMIF(Nutzungsprofile!$B$6:$B$11,"Schulbetrieb",Nutzungsprofile!$G$6:$G$11)*Kalender!C90/SUM(Kalender!$C$5:$C$370),0)+IFERROR(SUMIF(Nutzungsprofile!$B$6:$B$11,"Halle",Nutzungsprofile!$G$6:$G$11)*Kalender!D90/SUM(Kalender!$D$5:$D$370),0)+IFERROR(SUMIF(Nutzungsprofile!$B$6:$B$11,"Individuell",Nutzungsprofile!$G$6:$G$11)*Kalender!E90/SUM(Kalender!$E$5:$E$370),0))*Szenarien!$E$22,0)</f>
        <v>2.94</v>
      </c>
      <c r="D4116" s="13" t="n">
        <f aca="false">IF(Szenarien!$H$22="OK",(IFERROR(SUMIF(Nutzungsprofile!$B$17:$B$22,"Schulbetrieb",Nutzungsprofile!$G$17:$G$22)*Kalender!C90/SUM(Kalender!$C$5:$C$370),0)+IFERROR(SUMIF(Nutzungsprofile!$B$17:$B$22,"Halle",Nutzungsprofile!$G$17:$G$22)*Kalender!D90/SUM(Kalender!$D$5:$D$370),0)+IFERROR(SUMIF(Nutzungsprofile!$B$17:$B$22,"Individuell",Nutzungsprofile!$G$17:$G$22)*Kalender!E90/SUM(Kalender!$E$5:$E$370),0))*Szenarien!$D$22,0)</f>
        <v>4.94</v>
      </c>
      <c r="E4116" s="13" t="n">
        <f aca="false">IFERROR(MIN(C4116,Eingaben!$B$17)*Eingaben!$B$16,0)</f>
        <v>2.793</v>
      </c>
      <c r="F4116" s="13" t="n">
        <f aca="false">IFERROR(E4116*Eingaben!$B$15,0)</f>
        <v>2.5137</v>
      </c>
      <c r="G4116" s="13" t="n">
        <f aca="false">IFERROR(IF(Kalender!A90="",0,J4115*(1-Eingaben!$B$20)),0)</f>
        <v>0.7390278</v>
      </c>
      <c r="H4116" s="13" t="n">
        <f aca="false">MIN(G4116,D4116)</f>
        <v>0.7390278</v>
      </c>
      <c r="I4116" s="13" t="n">
        <f aca="false">IFERROR(MIN(F4116*Eingaben!$B$19,MAX(0,D4116-H4116)),0)</f>
        <v>1.75959</v>
      </c>
      <c r="J4116" s="13" t="n">
        <f aca="false">IFERROR(MIN(Eingaben!$B$18,MAX(0,F4116-I4116)),0)</f>
        <v>0.75411</v>
      </c>
      <c r="K4116" s="13" t="n">
        <f aca="false">H4116+I4116</f>
        <v>2.4986178</v>
      </c>
      <c r="L4116" s="13" t="n">
        <f aca="false">MAX(0,D4116-K4116)</f>
        <v>2.4413822</v>
      </c>
      <c r="M4116" s="13" t="n">
        <f aca="false">MAX(0,F4116-I4116-J4116)</f>
        <v>0</v>
      </c>
      <c r="N4116" s="13" t="n">
        <f aca="false">IF(Kalender!A90="",0,J4115-H4116)</f>
        <v>0.0150822</v>
      </c>
    </row>
    <row r="4117" customFormat="false" ht="16.4" hidden="false" customHeight="false" outlineLevel="0" collapsed="false">
      <c r="A4117" s="13" t="str">
        <f aca="false">""</f>
        <v/>
      </c>
      <c r="B4117" s="13" t="n">
        <f aca="false">87</f>
        <v>87</v>
      </c>
      <c r="C4117" s="13" t="n">
        <f aca="false">IF(Szenarien!$H$22="OK",(IFERROR(SUMIF(Nutzungsprofile!$B$6:$B$11,"Schulbetrieb",Nutzungsprofile!$G$6:$G$11)*Kalender!C91/SUM(Kalender!$C$5:$C$370),0)+IFERROR(SUMIF(Nutzungsprofile!$B$6:$B$11,"Halle",Nutzungsprofile!$G$6:$G$11)*Kalender!D91/SUM(Kalender!$D$5:$D$370),0)+IFERROR(SUMIF(Nutzungsprofile!$B$6:$B$11,"Individuell",Nutzungsprofile!$G$6:$G$11)*Kalender!E91/SUM(Kalender!$E$5:$E$370),0))*Szenarien!$E$22,0)</f>
        <v>2.04</v>
      </c>
      <c r="D4117" s="13" t="n">
        <f aca="false">IF(Szenarien!$H$22="OK",(IFERROR(SUMIF(Nutzungsprofile!$B$17:$B$22,"Schulbetrieb",Nutzungsprofile!$G$17:$G$22)*Kalender!C91/SUM(Kalender!$C$5:$C$370),0)+IFERROR(SUMIF(Nutzungsprofile!$B$17:$B$22,"Halle",Nutzungsprofile!$G$17:$G$22)*Kalender!D91/SUM(Kalender!$D$5:$D$370),0)+IFERROR(SUMIF(Nutzungsprofile!$B$17:$B$22,"Individuell",Nutzungsprofile!$G$17:$G$22)*Kalender!E91/SUM(Kalender!$E$5:$E$370),0))*Szenarien!$D$22,0)</f>
        <v>0.89</v>
      </c>
      <c r="E4117" s="13" t="n">
        <f aca="false">IFERROR(MIN(C4117,Eingaben!$B$17)*Eingaben!$B$16,0)</f>
        <v>1.938</v>
      </c>
      <c r="F4117" s="13" t="n">
        <f aca="false">IFERROR(E4117*Eingaben!$B$15,0)</f>
        <v>1.7442</v>
      </c>
      <c r="G4117" s="13" t="n">
        <f aca="false">IFERROR(IF(Kalender!A91="",0,J4116*(1-Eingaben!$B$20)),0)</f>
        <v>0.7390278</v>
      </c>
      <c r="H4117" s="13" t="n">
        <f aca="false">MIN(G4117,D4117)</f>
        <v>0.7390278</v>
      </c>
      <c r="I4117" s="13" t="n">
        <f aca="false">IFERROR(MIN(F4117*Eingaben!$B$19,MAX(0,D4117-H4117)),0)</f>
        <v>0.1509722</v>
      </c>
      <c r="J4117" s="13" t="n">
        <f aca="false">IFERROR(MIN(Eingaben!$B$18,MAX(0,F4117-I4117)),0)</f>
        <v>1.5932278</v>
      </c>
      <c r="K4117" s="13" t="n">
        <f aca="false">H4117+I4117</f>
        <v>0.89</v>
      </c>
      <c r="L4117" s="13" t="n">
        <f aca="false">MAX(0,D4117-K4117)</f>
        <v>0</v>
      </c>
      <c r="M4117" s="13" t="n">
        <f aca="false">MAX(0,F4117-I4117-J4117)</f>
        <v>0</v>
      </c>
      <c r="N4117" s="13" t="n">
        <f aca="false">IF(Kalender!A91="",0,J4116-H4117)</f>
        <v>0.0150822</v>
      </c>
    </row>
    <row r="4118" customFormat="false" ht="16.4" hidden="false" customHeight="false" outlineLevel="0" collapsed="false">
      <c r="A4118" s="13" t="str">
        <f aca="false">""</f>
        <v/>
      </c>
      <c r="B4118" s="13" t="n">
        <f aca="false">88</f>
        <v>88</v>
      </c>
      <c r="C4118" s="13" t="n">
        <f aca="false">IF(Szenarien!$H$22="OK",(IFERROR(SUMIF(Nutzungsprofile!$B$6:$B$11,"Schulbetrieb",Nutzungsprofile!$G$6:$G$11)*Kalender!C92/SUM(Kalender!$C$5:$C$370),0)+IFERROR(SUMIF(Nutzungsprofile!$B$6:$B$11,"Halle",Nutzungsprofile!$G$6:$G$11)*Kalender!D92/SUM(Kalender!$D$5:$D$370),0)+IFERROR(SUMIF(Nutzungsprofile!$B$6:$B$11,"Individuell",Nutzungsprofile!$G$6:$G$11)*Kalender!E92/SUM(Kalender!$E$5:$E$370),0))*Szenarien!$E$22,0)</f>
        <v>2.04</v>
      </c>
      <c r="D4118" s="13" t="n">
        <f aca="false">IF(Szenarien!$H$22="OK",(IFERROR(SUMIF(Nutzungsprofile!$B$17:$B$22,"Schulbetrieb",Nutzungsprofile!$G$17:$G$22)*Kalender!C92/SUM(Kalender!$C$5:$C$370),0)+IFERROR(SUMIF(Nutzungsprofile!$B$17:$B$22,"Halle",Nutzungsprofile!$G$17:$G$22)*Kalender!D92/SUM(Kalender!$D$5:$D$370),0)+IFERROR(SUMIF(Nutzungsprofile!$B$17:$B$22,"Individuell",Nutzungsprofile!$G$17:$G$22)*Kalender!E92/SUM(Kalender!$E$5:$E$370),0))*Szenarien!$D$22,0)</f>
        <v>0.89</v>
      </c>
      <c r="E4118" s="13" t="n">
        <f aca="false">IFERROR(MIN(C4118,Eingaben!$B$17)*Eingaben!$B$16,0)</f>
        <v>1.938</v>
      </c>
      <c r="F4118" s="13" t="n">
        <f aca="false">IFERROR(E4118*Eingaben!$B$15,0)</f>
        <v>1.7442</v>
      </c>
      <c r="G4118" s="13" t="n">
        <f aca="false">IFERROR(IF(Kalender!A92="",0,J4117*(1-Eingaben!$B$20)),0)</f>
        <v>1.561363244</v>
      </c>
      <c r="H4118" s="13" t="n">
        <f aca="false">MIN(G4118,D4118)</f>
        <v>0.89</v>
      </c>
      <c r="I4118" s="13" t="n">
        <f aca="false">IFERROR(MIN(F4118*Eingaben!$B$19,MAX(0,D4118-H4118)),0)</f>
        <v>0</v>
      </c>
      <c r="J4118" s="13" t="n">
        <f aca="false">IFERROR(MIN(Eingaben!$B$18,MAX(0,F4118-I4118)),0)</f>
        <v>1.7442</v>
      </c>
      <c r="K4118" s="13" t="n">
        <f aca="false">H4118+I4118</f>
        <v>0.89</v>
      </c>
      <c r="L4118" s="13" t="n">
        <f aca="false">MAX(0,D4118-K4118)</f>
        <v>0</v>
      </c>
      <c r="M4118" s="13" t="n">
        <f aca="false">MAX(0,F4118-I4118-J4118)</f>
        <v>0</v>
      </c>
      <c r="N4118" s="13" t="n">
        <f aca="false">IF(Kalender!A92="",0,J4117-H4118)</f>
        <v>0.7032278</v>
      </c>
    </row>
    <row r="4119" customFormat="false" ht="16.4" hidden="false" customHeight="false" outlineLevel="0" collapsed="false">
      <c r="A4119" s="13" t="str">
        <f aca="false">""</f>
        <v/>
      </c>
      <c r="B4119" s="13" t="n">
        <f aca="false">89</f>
        <v>89</v>
      </c>
      <c r="C4119" s="13" t="n">
        <f aca="false">IF(Szenarien!$H$22="OK",(IFERROR(SUMIF(Nutzungsprofile!$B$6:$B$11,"Schulbetrieb",Nutzungsprofile!$G$6:$G$11)*Kalender!C93/SUM(Kalender!$C$5:$C$370),0)+IFERROR(SUMIF(Nutzungsprofile!$B$6:$B$11,"Halle",Nutzungsprofile!$G$6:$G$11)*Kalender!D93/SUM(Kalender!$D$5:$D$370),0)+IFERROR(SUMIF(Nutzungsprofile!$B$6:$B$11,"Individuell",Nutzungsprofile!$G$6:$G$11)*Kalender!E93/SUM(Kalender!$E$5:$E$370),0))*Szenarien!$E$22,0)</f>
        <v>2.94</v>
      </c>
      <c r="D4119" s="13" t="n">
        <f aca="false">IF(Szenarien!$H$22="OK",(IFERROR(SUMIF(Nutzungsprofile!$B$17:$B$22,"Schulbetrieb",Nutzungsprofile!$G$17:$G$22)*Kalender!C93/SUM(Kalender!$C$5:$C$370),0)+IFERROR(SUMIF(Nutzungsprofile!$B$17:$B$22,"Halle",Nutzungsprofile!$G$17:$G$22)*Kalender!D93/SUM(Kalender!$D$5:$D$370),0)+IFERROR(SUMIF(Nutzungsprofile!$B$17:$B$22,"Individuell",Nutzungsprofile!$G$17:$G$22)*Kalender!E93/SUM(Kalender!$E$5:$E$370),0))*Szenarien!$D$22,0)</f>
        <v>4.94</v>
      </c>
      <c r="E4119" s="13" t="n">
        <f aca="false">IFERROR(MIN(C4119,Eingaben!$B$17)*Eingaben!$B$16,0)</f>
        <v>2.793</v>
      </c>
      <c r="F4119" s="13" t="n">
        <f aca="false">IFERROR(E4119*Eingaben!$B$15,0)</f>
        <v>2.5137</v>
      </c>
      <c r="G4119" s="13" t="n">
        <f aca="false">IFERROR(IF(Kalender!A93="",0,J4118*(1-Eingaben!$B$20)),0)</f>
        <v>1.709316</v>
      </c>
      <c r="H4119" s="13" t="n">
        <f aca="false">MIN(G4119,D4119)</f>
        <v>1.709316</v>
      </c>
      <c r="I4119" s="13" t="n">
        <f aca="false">IFERROR(MIN(F4119*Eingaben!$B$19,MAX(0,D4119-H4119)),0)</f>
        <v>1.75959</v>
      </c>
      <c r="J4119" s="13" t="n">
        <f aca="false">IFERROR(MIN(Eingaben!$B$18,MAX(0,F4119-I4119)),0)</f>
        <v>0.75411</v>
      </c>
      <c r="K4119" s="13" t="n">
        <f aca="false">H4119+I4119</f>
        <v>3.468906</v>
      </c>
      <c r="L4119" s="13" t="n">
        <f aca="false">MAX(0,D4119-K4119)</f>
        <v>1.471094</v>
      </c>
      <c r="M4119" s="13" t="n">
        <f aca="false">MAX(0,F4119-I4119-J4119)</f>
        <v>0</v>
      </c>
      <c r="N4119" s="13" t="n">
        <f aca="false">IF(Kalender!A93="",0,J4118-H4119)</f>
        <v>0.0348840000000001</v>
      </c>
    </row>
    <row r="4120" customFormat="false" ht="16.4" hidden="false" customHeight="false" outlineLevel="0" collapsed="false">
      <c r="A4120" s="13" t="str">
        <f aca="false">""</f>
        <v/>
      </c>
      <c r="B4120" s="13" t="n">
        <f aca="false">90</f>
        <v>90</v>
      </c>
      <c r="C4120" s="13" t="n">
        <f aca="false">IF(Szenarien!$H$22="OK",(IFERROR(SUMIF(Nutzungsprofile!$B$6:$B$11,"Schulbetrieb",Nutzungsprofile!$G$6:$G$11)*Kalender!C94/SUM(Kalender!$C$5:$C$370),0)+IFERROR(SUMIF(Nutzungsprofile!$B$6:$B$11,"Halle",Nutzungsprofile!$G$6:$G$11)*Kalender!D94/SUM(Kalender!$D$5:$D$370),0)+IFERROR(SUMIF(Nutzungsprofile!$B$6:$B$11,"Individuell",Nutzungsprofile!$G$6:$G$11)*Kalender!E94/SUM(Kalender!$E$5:$E$370),0))*Szenarien!$E$22,0)</f>
        <v>2.94</v>
      </c>
      <c r="D4120" s="13" t="n">
        <f aca="false">IF(Szenarien!$H$22="OK",(IFERROR(SUMIF(Nutzungsprofile!$B$17:$B$22,"Schulbetrieb",Nutzungsprofile!$G$17:$G$22)*Kalender!C94/SUM(Kalender!$C$5:$C$370),0)+IFERROR(SUMIF(Nutzungsprofile!$B$17:$B$22,"Halle",Nutzungsprofile!$G$17:$G$22)*Kalender!D94/SUM(Kalender!$D$5:$D$370),0)+IFERROR(SUMIF(Nutzungsprofile!$B$17:$B$22,"Individuell",Nutzungsprofile!$G$17:$G$22)*Kalender!E94/SUM(Kalender!$E$5:$E$370),0))*Szenarien!$D$22,0)</f>
        <v>4.94</v>
      </c>
      <c r="E4120" s="13" t="n">
        <f aca="false">IFERROR(MIN(C4120,Eingaben!$B$17)*Eingaben!$B$16,0)</f>
        <v>2.793</v>
      </c>
      <c r="F4120" s="13" t="n">
        <f aca="false">IFERROR(E4120*Eingaben!$B$15,0)</f>
        <v>2.5137</v>
      </c>
      <c r="G4120" s="13" t="n">
        <f aca="false">IFERROR(IF(Kalender!A94="",0,J4119*(1-Eingaben!$B$20)),0)</f>
        <v>0.7390278</v>
      </c>
      <c r="H4120" s="13" t="n">
        <f aca="false">MIN(G4120,D4120)</f>
        <v>0.7390278</v>
      </c>
      <c r="I4120" s="13" t="n">
        <f aca="false">IFERROR(MIN(F4120*Eingaben!$B$19,MAX(0,D4120-H4120)),0)</f>
        <v>1.75959</v>
      </c>
      <c r="J4120" s="13" t="n">
        <f aca="false">IFERROR(MIN(Eingaben!$B$18,MAX(0,F4120-I4120)),0)</f>
        <v>0.75411</v>
      </c>
      <c r="K4120" s="13" t="n">
        <f aca="false">H4120+I4120</f>
        <v>2.4986178</v>
      </c>
      <c r="L4120" s="13" t="n">
        <f aca="false">MAX(0,D4120-K4120)</f>
        <v>2.4413822</v>
      </c>
      <c r="M4120" s="13" t="n">
        <f aca="false">MAX(0,F4120-I4120-J4120)</f>
        <v>0</v>
      </c>
      <c r="N4120" s="13" t="n">
        <f aca="false">IF(Kalender!A94="",0,J4119-H4120)</f>
        <v>0.0150822</v>
      </c>
    </row>
    <row r="4121" customFormat="false" ht="16.4" hidden="false" customHeight="false" outlineLevel="0" collapsed="false">
      <c r="A4121" s="13" t="str">
        <f aca="false">""</f>
        <v/>
      </c>
      <c r="B4121" s="13" t="n">
        <f aca="false">91</f>
        <v>91</v>
      </c>
      <c r="C4121" s="13" t="n">
        <f aca="false">IF(Szenarien!$H$22="OK",(IFERROR(SUMIF(Nutzungsprofile!$B$6:$B$11,"Schulbetrieb",Nutzungsprofile!$G$6:$G$11)*Kalender!C95/SUM(Kalender!$C$5:$C$370),0)+IFERROR(SUMIF(Nutzungsprofile!$B$6:$B$11,"Halle",Nutzungsprofile!$G$6:$G$11)*Kalender!D95/SUM(Kalender!$D$5:$D$370),0)+IFERROR(SUMIF(Nutzungsprofile!$B$6:$B$11,"Individuell",Nutzungsprofile!$G$6:$G$11)*Kalender!E95/SUM(Kalender!$E$5:$E$370),0))*Szenarien!$E$22,0)</f>
        <v>2.94</v>
      </c>
      <c r="D4121" s="13" t="n">
        <f aca="false">IF(Szenarien!$H$22="OK",(IFERROR(SUMIF(Nutzungsprofile!$B$17:$B$22,"Schulbetrieb",Nutzungsprofile!$G$17:$G$22)*Kalender!C95/SUM(Kalender!$C$5:$C$370),0)+IFERROR(SUMIF(Nutzungsprofile!$B$17:$B$22,"Halle",Nutzungsprofile!$G$17:$G$22)*Kalender!D95/SUM(Kalender!$D$5:$D$370),0)+IFERROR(SUMIF(Nutzungsprofile!$B$17:$B$22,"Individuell",Nutzungsprofile!$G$17:$G$22)*Kalender!E95/SUM(Kalender!$E$5:$E$370),0))*Szenarien!$D$22,0)</f>
        <v>4.94</v>
      </c>
      <c r="E4121" s="13" t="n">
        <f aca="false">IFERROR(MIN(C4121,Eingaben!$B$17)*Eingaben!$B$16,0)</f>
        <v>2.793</v>
      </c>
      <c r="F4121" s="13" t="n">
        <f aca="false">IFERROR(E4121*Eingaben!$B$15,0)</f>
        <v>2.5137</v>
      </c>
      <c r="G4121" s="13" t="n">
        <f aca="false">IFERROR(IF(Kalender!A95="",0,J4120*(1-Eingaben!$B$20)),0)</f>
        <v>0.7390278</v>
      </c>
      <c r="H4121" s="13" t="n">
        <f aca="false">MIN(G4121,D4121)</f>
        <v>0.7390278</v>
      </c>
      <c r="I4121" s="13" t="n">
        <f aca="false">IFERROR(MIN(F4121*Eingaben!$B$19,MAX(0,D4121-H4121)),0)</f>
        <v>1.75959</v>
      </c>
      <c r="J4121" s="13" t="n">
        <f aca="false">IFERROR(MIN(Eingaben!$B$18,MAX(0,F4121-I4121)),0)</f>
        <v>0.75411</v>
      </c>
      <c r="K4121" s="13" t="n">
        <f aca="false">H4121+I4121</f>
        <v>2.4986178</v>
      </c>
      <c r="L4121" s="13" t="n">
        <f aca="false">MAX(0,D4121-K4121)</f>
        <v>2.4413822</v>
      </c>
      <c r="M4121" s="13" t="n">
        <f aca="false">MAX(0,F4121-I4121-J4121)</f>
        <v>0</v>
      </c>
      <c r="N4121" s="13" t="n">
        <f aca="false">IF(Kalender!A95="",0,J4120-H4121)</f>
        <v>0.0150822</v>
      </c>
    </row>
    <row r="4122" customFormat="false" ht="16.4" hidden="false" customHeight="false" outlineLevel="0" collapsed="false">
      <c r="A4122" s="13" t="str">
        <f aca="false">""</f>
        <v/>
      </c>
      <c r="B4122" s="13" t="n">
        <f aca="false">92</f>
        <v>92</v>
      </c>
      <c r="C4122" s="13" t="n">
        <f aca="false">IF(Szenarien!$H$22="OK",(IFERROR(SUMIF(Nutzungsprofile!$B$6:$B$11,"Schulbetrieb",Nutzungsprofile!$G$6:$G$11)*Kalender!C96/SUM(Kalender!$C$5:$C$370),0)+IFERROR(SUMIF(Nutzungsprofile!$B$6:$B$11,"Halle",Nutzungsprofile!$G$6:$G$11)*Kalender!D96/SUM(Kalender!$D$5:$D$370),0)+IFERROR(SUMIF(Nutzungsprofile!$B$6:$B$11,"Individuell",Nutzungsprofile!$G$6:$G$11)*Kalender!E96/SUM(Kalender!$E$5:$E$370),0))*Szenarien!$E$22,0)</f>
        <v>2.94</v>
      </c>
      <c r="D4122" s="13" t="n">
        <f aca="false">IF(Szenarien!$H$22="OK",(IFERROR(SUMIF(Nutzungsprofile!$B$17:$B$22,"Schulbetrieb",Nutzungsprofile!$G$17:$G$22)*Kalender!C96/SUM(Kalender!$C$5:$C$370),0)+IFERROR(SUMIF(Nutzungsprofile!$B$17:$B$22,"Halle",Nutzungsprofile!$G$17:$G$22)*Kalender!D96/SUM(Kalender!$D$5:$D$370),0)+IFERROR(SUMIF(Nutzungsprofile!$B$17:$B$22,"Individuell",Nutzungsprofile!$G$17:$G$22)*Kalender!E96/SUM(Kalender!$E$5:$E$370),0))*Szenarien!$D$22,0)</f>
        <v>4.94</v>
      </c>
      <c r="E4122" s="13" t="n">
        <f aca="false">IFERROR(MIN(C4122,Eingaben!$B$17)*Eingaben!$B$16,0)</f>
        <v>2.793</v>
      </c>
      <c r="F4122" s="13" t="n">
        <f aca="false">IFERROR(E4122*Eingaben!$B$15,0)</f>
        <v>2.5137</v>
      </c>
      <c r="G4122" s="13" t="n">
        <f aca="false">IFERROR(IF(Kalender!A96="",0,J4121*(1-Eingaben!$B$20)),0)</f>
        <v>0.7390278</v>
      </c>
      <c r="H4122" s="13" t="n">
        <f aca="false">MIN(G4122,D4122)</f>
        <v>0.7390278</v>
      </c>
      <c r="I4122" s="13" t="n">
        <f aca="false">IFERROR(MIN(F4122*Eingaben!$B$19,MAX(0,D4122-H4122)),0)</f>
        <v>1.75959</v>
      </c>
      <c r="J4122" s="13" t="n">
        <f aca="false">IFERROR(MIN(Eingaben!$B$18,MAX(0,F4122-I4122)),0)</f>
        <v>0.75411</v>
      </c>
      <c r="K4122" s="13" t="n">
        <f aca="false">H4122+I4122</f>
        <v>2.4986178</v>
      </c>
      <c r="L4122" s="13" t="n">
        <f aca="false">MAX(0,D4122-K4122)</f>
        <v>2.4413822</v>
      </c>
      <c r="M4122" s="13" t="n">
        <f aca="false">MAX(0,F4122-I4122-J4122)</f>
        <v>0</v>
      </c>
      <c r="N4122" s="13" t="n">
        <f aca="false">IF(Kalender!A96="",0,J4121-H4122)</f>
        <v>0.0150822</v>
      </c>
    </row>
    <row r="4123" customFormat="false" ht="16.4" hidden="false" customHeight="false" outlineLevel="0" collapsed="false">
      <c r="A4123" s="13" t="str">
        <f aca="false">""</f>
        <v/>
      </c>
      <c r="B4123" s="13" t="n">
        <f aca="false">93</f>
        <v>93</v>
      </c>
      <c r="C4123" s="13" t="n">
        <f aca="false">IF(Szenarien!$H$22="OK",(IFERROR(SUMIF(Nutzungsprofile!$B$6:$B$11,"Schulbetrieb",Nutzungsprofile!$G$6:$G$11)*Kalender!C97/SUM(Kalender!$C$5:$C$370),0)+IFERROR(SUMIF(Nutzungsprofile!$B$6:$B$11,"Halle",Nutzungsprofile!$G$6:$G$11)*Kalender!D97/SUM(Kalender!$D$5:$D$370),0)+IFERROR(SUMIF(Nutzungsprofile!$B$6:$B$11,"Individuell",Nutzungsprofile!$G$6:$G$11)*Kalender!E97/SUM(Kalender!$E$5:$E$370),0))*Szenarien!$E$22,0)</f>
        <v>2.94</v>
      </c>
      <c r="D4123" s="13" t="n">
        <f aca="false">IF(Szenarien!$H$22="OK",(IFERROR(SUMIF(Nutzungsprofile!$B$17:$B$22,"Schulbetrieb",Nutzungsprofile!$G$17:$G$22)*Kalender!C97/SUM(Kalender!$C$5:$C$370),0)+IFERROR(SUMIF(Nutzungsprofile!$B$17:$B$22,"Halle",Nutzungsprofile!$G$17:$G$22)*Kalender!D97/SUM(Kalender!$D$5:$D$370),0)+IFERROR(SUMIF(Nutzungsprofile!$B$17:$B$22,"Individuell",Nutzungsprofile!$G$17:$G$22)*Kalender!E97/SUM(Kalender!$E$5:$E$370),0))*Szenarien!$D$22,0)</f>
        <v>4.94</v>
      </c>
      <c r="E4123" s="13" t="n">
        <f aca="false">IFERROR(MIN(C4123,Eingaben!$B$17)*Eingaben!$B$16,0)</f>
        <v>2.793</v>
      </c>
      <c r="F4123" s="13" t="n">
        <f aca="false">IFERROR(E4123*Eingaben!$B$15,0)</f>
        <v>2.5137</v>
      </c>
      <c r="G4123" s="13" t="n">
        <f aca="false">IFERROR(IF(Kalender!A97="",0,J4122*(1-Eingaben!$B$20)),0)</f>
        <v>0.7390278</v>
      </c>
      <c r="H4123" s="13" t="n">
        <f aca="false">MIN(G4123,D4123)</f>
        <v>0.7390278</v>
      </c>
      <c r="I4123" s="13" t="n">
        <f aca="false">IFERROR(MIN(F4123*Eingaben!$B$19,MAX(0,D4123-H4123)),0)</f>
        <v>1.75959</v>
      </c>
      <c r="J4123" s="13" t="n">
        <f aca="false">IFERROR(MIN(Eingaben!$B$18,MAX(0,F4123-I4123)),0)</f>
        <v>0.75411</v>
      </c>
      <c r="K4123" s="13" t="n">
        <f aca="false">H4123+I4123</f>
        <v>2.4986178</v>
      </c>
      <c r="L4123" s="13" t="n">
        <f aca="false">MAX(0,D4123-K4123)</f>
        <v>2.4413822</v>
      </c>
      <c r="M4123" s="13" t="n">
        <f aca="false">MAX(0,F4123-I4123-J4123)</f>
        <v>0</v>
      </c>
      <c r="N4123" s="13" t="n">
        <f aca="false">IF(Kalender!A97="",0,J4122-H4123)</f>
        <v>0.0150822</v>
      </c>
    </row>
    <row r="4124" customFormat="false" ht="16.4" hidden="false" customHeight="false" outlineLevel="0" collapsed="false">
      <c r="A4124" s="13" t="str">
        <f aca="false">""</f>
        <v/>
      </c>
      <c r="B4124" s="13" t="n">
        <f aca="false">94</f>
        <v>94</v>
      </c>
      <c r="C4124" s="13" t="n">
        <f aca="false">IF(Szenarien!$H$22="OK",(IFERROR(SUMIF(Nutzungsprofile!$B$6:$B$11,"Schulbetrieb",Nutzungsprofile!$G$6:$G$11)*Kalender!C98/SUM(Kalender!$C$5:$C$370),0)+IFERROR(SUMIF(Nutzungsprofile!$B$6:$B$11,"Halle",Nutzungsprofile!$G$6:$G$11)*Kalender!D98/SUM(Kalender!$D$5:$D$370),0)+IFERROR(SUMIF(Nutzungsprofile!$B$6:$B$11,"Individuell",Nutzungsprofile!$G$6:$G$11)*Kalender!E98/SUM(Kalender!$E$5:$E$370),0))*Szenarien!$E$22,0)</f>
        <v>2.04</v>
      </c>
      <c r="D4124" s="13" t="n">
        <f aca="false">IF(Szenarien!$H$22="OK",(IFERROR(SUMIF(Nutzungsprofile!$B$17:$B$22,"Schulbetrieb",Nutzungsprofile!$G$17:$G$22)*Kalender!C98/SUM(Kalender!$C$5:$C$370),0)+IFERROR(SUMIF(Nutzungsprofile!$B$17:$B$22,"Halle",Nutzungsprofile!$G$17:$G$22)*Kalender!D98/SUM(Kalender!$D$5:$D$370),0)+IFERROR(SUMIF(Nutzungsprofile!$B$17:$B$22,"Individuell",Nutzungsprofile!$G$17:$G$22)*Kalender!E98/SUM(Kalender!$E$5:$E$370),0))*Szenarien!$D$22,0)</f>
        <v>0.89</v>
      </c>
      <c r="E4124" s="13" t="n">
        <f aca="false">IFERROR(MIN(C4124,Eingaben!$B$17)*Eingaben!$B$16,0)</f>
        <v>1.938</v>
      </c>
      <c r="F4124" s="13" t="n">
        <f aca="false">IFERROR(E4124*Eingaben!$B$15,0)</f>
        <v>1.7442</v>
      </c>
      <c r="G4124" s="13" t="n">
        <f aca="false">IFERROR(IF(Kalender!A98="",0,J4123*(1-Eingaben!$B$20)),0)</f>
        <v>0.7390278</v>
      </c>
      <c r="H4124" s="13" t="n">
        <f aca="false">MIN(G4124,D4124)</f>
        <v>0.7390278</v>
      </c>
      <c r="I4124" s="13" t="n">
        <f aca="false">IFERROR(MIN(F4124*Eingaben!$B$19,MAX(0,D4124-H4124)),0)</f>
        <v>0.1509722</v>
      </c>
      <c r="J4124" s="13" t="n">
        <f aca="false">IFERROR(MIN(Eingaben!$B$18,MAX(0,F4124-I4124)),0)</f>
        <v>1.5932278</v>
      </c>
      <c r="K4124" s="13" t="n">
        <f aca="false">H4124+I4124</f>
        <v>0.89</v>
      </c>
      <c r="L4124" s="13" t="n">
        <f aca="false">MAX(0,D4124-K4124)</f>
        <v>0</v>
      </c>
      <c r="M4124" s="13" t="n">
        <f aca="false">MAX(0,F4124-I4124-J4124)</f>
        <v>0</v>
      </c>
      <c r="N4124" s="13" t="n">
        <f aca="false">IF(Kalender!A98="",0,J4123-H4124)</f>
        <v>0.0150822</v>
      </c>
    </row>
    <row r="4125" customFormat="false" ht="16.4" hidden="false" customHeight="false" outlineLevel="0" collapsed="false">
      <c r="A4125" s="13" t="str">
        <f aca="false">""</f>
        <v/>
      </c>
      <c r="B4125" s="13" t="n">
        <f aca="false">95</f>
        <v>95</v>
      </c>
      <c r="C4125" s="13" t="n">
        <f aca="false">IF(Szenarien!$H$22="OK",(IFERROR(SUMIF(Nutzungsprofile!$B$6:$B$11,"Schulbetrieb",Nutzungsprofile!$G$6:$G$11)*Kalender!C99/SUM(Kalender!$C$5:$C$370),0)+IFERROR(SUMIF(Nutzungsprofile!$B$6:$B$11,"Halle",Nutzungsprofile!$G$6:$G$11)*Kalender!D99/SUM(Kalender!$D$5:$D$370),0)+IFERROR(SUMIF(Nutzungsprofile!$B$6:$B$11,"Individuell",Nutzungsprofile!$G$6:$G$11)*Kalender!E99/SUM(Kalender!$E$5:$E$370),0))*Szenarien!$E$22,0)</f>
        <v>2.04</v>
      </c>
      <c r="D4125" s="13" t="n">
        <f aca="false">IF(Szenarien!$H$22="OK",(IFERROR(SUMIF(Nutzungsprofile!$B$17:$B$22,"Schulbetrieb",Nutzungsprofile!$G$17:$G$22)*Kalender!C99/SUM(Kalender!$C$5:$C$370),0)+IFERROR(SUMIF(Nutzungsprofile!$B$17:$B$22,"Halle",Nutzungsprofile!$G$17:$G$22)*Kalender!D99/SUM(Kalender!$D$5:$D$370),0)+IFERROR(SUMIF(Nutzungsprofile!$B$17:$B$22,"Individuell",Nutzungsprofile!$G$17:$G$22)*Kalender!E99/SUM(Kalender!$E$5:$E$370),0))*Szenarien!$D$22,0)</f>
        <v>0.89</v>
      </c>
      <c r="E4125" s="13" t="n">
        <f aca="false">IFERROR(MIN(C4125,Eingaben!$B$17)*Eingaben!$B$16,0)</f>
        <v>1.938</v>
      </c>
      <c r="F4125" s="13" t="n">
        <f aca="false">IFERROR(E4125*Eingaben!$B$15,0)</f>
        <v>1.7442</v>
      </c>
      <c r="G4125" s="13" t="n">
        <f aca="false">IFERROR(IF(Kalender!A99="",0,J4124*(1-Eingaben!$B$20)),0)</f>
        <v>1.561363244</v>
      </c>
      <c r="H4125" s="13" t="n">
        <f aca="false">MIN(G4125,D4125)</f>
        <v>0.89</v>
      </c>
      <c r="I4125" s="13" t="n">
        <f aca="false">IFERROR(MIN(F4125*Eingaben!$B$19,MAX(0,D4125-H4125)),0)</f>
        <v>0</v>
      </c>
      <c r="J4125" s="13" t="n">
        <f aca="false">IFERROR(MIN(Eingaben!$B$18,MAX(0,F4125-I4125)),0)</f>
        <v>1.7442</v>
      </c>
      <c r="K4125" s="13" t="n">
        <f aca="false">H4125+I4125</f>
        <v>0.89</v>
      </c>
      <c r="L4125" s="13" t="n">
        <f aca="false">MAX(0,D4125-K4125)</f>
        <v>0</v>
      </c>
      <c r="M4125" s="13" t="n">
        <f aca="false">MAX(0,F4125-I4125-J4125)</f>
        <v>0</v>
      </c>
      <c r="N4125" s="13" t="n">
        <f aca="false">IF(Kalender!A99="",0,J4124-H4125)</f>
        <v>0.7032278</v>
      </c>
    </row>
    <row r="4126" customFormat="false" ht="16.4" hidden="false" customHeight="false" outlineLevel="0" collapsed="false">
      <c r="A4126" s="13" t="str">
        <f aca="false">""</f>
        <v/>
      </c>
      <c r="B4126" s="13" t="n">
        <f aca="false">96</f>
        <v>96</v>
      </c>
      <c r="C4126" s="13" t="n">
        <f aca="false">IF(Szenarien!$H$22="OK",(IFERROR(SUMIF(Nutzungsprofile!$B$6:$B$11,"Schulbetrieb",Nutzungsprofile!$G$6:$G$11)*Kalender!C100/SUM(Kalender!$C$5:$C$370),0)+IFERROR(SUMIF(Nutzungsprofile!$B$6:$B$11,"Halle",Nutzungsprofile!$G$6:$G$11)*Kalender!D100/SUM(Kalender!$D$5:$D$370),0)+IFERROR(SUMIF(Nutzungsprofile!$B$6:$B$11,"Individuell",Nutzungsprofile!$G$6:$G$11)*Kalender!E100/SUM(Kalender!$E$5:$E$370),0))*Szenarien!$E$22,0)</f>
        <v>2.94</v>
      </c>
      <c r="D4126" s="13" t="n">
        <f aca="false">IF(Szenarien!$H$22="OK",(IFERROR(SUMIF(Nutzungsprofile!$B$17:$B$22,"Schulbetrieb",Nutzungsprofile!$G$17:$G$22)*Kalender!C100/SUM(Kalender!$C$5:$C$370),0)+IFERROR(SUMIF(Nutzungsprofile!$B$17:$B$22,"Halle",Nutzungsprofile!$G$17:$G$22)*Kalender!D100/SUM(Kalender!$D$5:$D$370),0)+IFERROR(SUMIF(Nutzungsprofile!$B$17:$B$22,"Individuell",Nutzungsprofile!$G$17:$G$22)*Kalender!E100/SUM(Kalender!$E$5:$E$370),0))*Szenarien!$D$22,0)</f>
        <v>4.94</v>
      </c>
      <c r="E4126" s="13" t="n">
        <f aca="false">IFERROR(MIN(C4126,Eingaben!$B$17)*Eingaben!$B$16,0)</f>
        <v>2.793</v>
      </c>
      <c r="F4126" s="13" t="n">
        <f aca="false">IFERROR(E4126*Eingaben!$B$15,0)</f>
        <v>2.5137</v>
      </c>
      <c r="G4126" s="13" t="n">
        <f aca="false">IFERROR(IF(Kalender!A100="",0,J4125*(1-Eingaben!$B$20)),0)</f>
        <v>1.709316</v>
      </c>
      <c r="H4126" s="13" t="n">
        <f aca="false">MIN(G4126,D4126)</f>
        <v>1.709316</v>
      </c>
      <c r="I4126" s="13" t="n">
        <f aca="false">IFERROR(MIN(F4126*Eingaben!$B$19,MAX(0,D4126-H4126)),0)</f>
        <v>1.75959</v>
      </c>
      <c r="J4126" s="13" t="n">
        <f aca="false">IFERROR(MIN(Eingaben!$B$18,MAX(0,F4126-I4126)),0)</f>
        <v>0.75411</v>
      </c>
      <c r="K4126" s="13" t="n">
        <f aca="false">H4126+I4126</f>
        <v>3.468906</v>
      </c>
      <c r="L4126" s="13" t="n">
        <f aca="false">MAX(0,D4126-K4126)</f>
        <v>1.471094</v>
      </c>
      <c r="M4126" s="13" t="n">
        <f aca="false">MAX(0,F4126-I4126-J4126)</f>
        <v>0</v>
      </c>
      <c r="N4126" s="13" t="n">
        <f aca="false">IF(Kalender!A100="",0,J4125-H4126)</f>
        <v>0.0348840000000001</v>
      </c>
    </row>
    <row r="4127" customFormat="false" ht="16.4" hidden="false" customHeight="false" outlineLevel="0" collapsed="false">
      <c r="A4127" s="13" t="str">
        <f aca="false">""</f>
        <v/>
      </c>
      <c r="B4127" s="13" t="n">
        <f aca="false">97</f>
        <v>97</v>
      </c>
      <c r="C4127" s="13" t="n">
        <f aca="false">IF(Szenarien!$H$22="OK",(IFERROR(SUMIF(Nutzungsprofile!$B$6:$B$11,"Schulbetrieb",Nutzungsprofile!$G$6:$G$11)*Kalender!C101/SUM(Kalender!$C$5:$C$370),0)+IFERROR(SUMIF(Nutzungsprofile!$B$6:$B$11,"Halle",Nutzungsprofile!$G$6:$G$11)*Kalender!D101/SUM(Kalender!$D$5:$D$370),0)+IFERROR(SUMIF(Nutzungsprofile!$B$6:$B$11,"Individuell",Nutzungsprofile!$G$6:$G$11)*Kalender!E101/SUM(Kalender!$E$5:$E$370),0))*Szenarien!$E$22,0)</f>
        <v>2.94</v>
      </c>
      <c r="D4127" s="13" t="n">
        <f aca="false">IF(Szenarien!$H$22="OK",(IFERROR(SUMIF(Nutzungsprofile!$B$17:$B$22,"Schulbetrieb",Nutzungsprofile!$G$17:$G$22)*Kalender!C101/SUM(Kalender!$C$5:$C$370),0)+IFERROR(SUMIF(Nutzungsprofile!$B$17:$B$22,"Halle",Nutzungsprofile!$G$17:$G$22)*Kalender!D101/SUM(Kalender!$D$5:$D$370),0)+IFERROR(SUMIF(Nutzungsprofile!$B$17:$B$22,"Individuell",Nutzungsprofile!$G$17:$G$22)*Kalender!E101/SUM(Kalender!$E$5:$E$370),0))*Szenarien!$D$22,0)</f>
        <v>4.94</v>
      </c>
      <c r="E4127" s="13" t="n">
        <f aca="false">IFERROR(MIN(C4127,Eingaben!$B$17)*Eingaben!$B$16,0)</f>
        <v>2.793</v>
      </c>
      <c r="F4127" s="13" t="n">
        <f aca="false">IFERROR(E4127*Eingaben!$B$15,0)</f>
        <v>2.5137</v>
      </c>
      <c r="G4127" s="13" t="n">
        <f aca="false">IFERROR(IF(Kalender!A101="",0,J4126*(1-Eingaben!$B$20)),0)</f>
        <v>0.7390278</v>
      </c>
      <c r="H4127" s="13" t="n">
        <f aca="false">MIN(G4127,D4127)</f>
        <v>0.7390278</v>
      </c>
      <c r="I4127" s="13" t="n">
        <f aca="false">IFERROR(MIN(F4127*Eingaben!$B$19,MAX(0,D4127-H4127)),0)</f>
        <v>1.75959</v>
      </c>
      <c r="J4127" s="13" t="n">
        <f aca="false">IFERROR(MIN(Eingaben!$B$18,MAX(0,F4127-I4127)),0)</f>
        <v>0.75411</v>
      </c>
      <c r="K4127" s="13" t="n">
        <f aca="false">H4127+I4127</f>
        <v>2.4986178</v>
      </c>
      <c r="L4127" s="13" t="n">
        <f aca="false">MAX(0,D4127-K4127)</f>
        <v>2.4413822</v>
      </c>
      <c r="M4127" s="13" t="n">
        <f aca="false">MAX(0,F4127-I4127-J4127)</f>
        <v>0</v>
      </c>
      <c r="N4127" s="13" t="n">
        <f aca="false">IF(Kalender!A101="",0,J4126-H4127)</f>
        <v>0.0150822</v>
      </c>
    </row>
    <row r="4128" customFormat="false" ht="16.4" hidden="false" customHeight="false" outlineLevel="0" collapsed="false">
      <c r="A4128" s="13" t="str">
        <f aca="false">""</f>
        <v/>
      </c>
      <c r="B4128" s="13" t="n">
        <f aca="false">98</f>
        <v>98</v>
      </c>
      <c r="C4128" s="13" t="n">
        <f aca="false">IF(Szenarien!$H$22="OK",(IFERROR(SUMIF(Nutzungsprofile!$B$6:$B$11,"Schulbetrieb",Nutzungsprofile!$G$6:$G$11)*Kalender!C102/SUM(Kalender!$C$5:$C$370),0)+IFERROR(SUMIF(Nutzungsprofile!$B$6:$B$11,"Halle",Nutzungsprofile!$G$6:$G$11)*Kalender!D102/SUM(Kalender!$D$5:$D$370),0)+IFERROR(SUMIF(Nutzungsprofile!$B$6:$B$11,"Individuell",Nutzungsprofile!$G$6:$G$11)*Kalender!E102/SUM(Kalender!$E$5:$E$370),0))*Szenarien!$E$22,0)</f>
        <v>2.94</v>
      </c>
      <c r="D4128" s="13" t="n">
        <f aca="false">IF(Szenarien!$H$22="OK",(IFERROR(SUMIF(Nutzungsprofile!$B$17:$B$22,"Schulbetrieb",Nutzungsprofile!$G$17:$G$22)*Kalender!C102/SUM(Kalender!$C$5:$C$370),0)+IFERROR(SUMIF(Nutzungsprofile!$B$17:$B$22,"Halle",Nutzungsprofile!$G$17:$G$22)*Kalender!D102/SUM(Kalender!$D$5:$D$370),0)+IFERROR(SUMIF(Nutzungsprofile!$B$17:$B$22,"Individuell",Nutzungsprofile!$G$17:$G$22)*Kalender!E102/SUM(Kalender!$E$5:$E$370),0))*Szenarien!$D$22,0)</f>
        <v>4.94</v>
      </c>
      <c r="E4128" s="13" t="n">
        <f aca="false">IFERROR(MIN(C4128,Eingaben!$B$17)*Eingaben!$B$16,0)</f>
        <v>2.793</v>
      </c>
      <c r="F4128" s="13" t="n">
        <f aca="false">IFERROR(E4128*Eingaben!$B$15,0)</f>
        <v>2.5137</v>
      </c>
      <c r="G4128" s="13" t="n">
        <f aca="false">IFERROR(IF(Kalender!A102="",0,J4127*(1-Eingaben!$B$20)),0)</f>
        <v>0.7390278</v>
      </c>
      <c r="H4128" s="13" t="n">
        <f aca="false">MIN(G4128,D4128)</f>
        <v>0.7390278</v>
      </c>
      <c r="I4128" s="13" t="n">
        <f aca="false">IFERROR(MIN(F4128*Eingaben!$B$19,MAX(0,D4128-H4128)),0)</f>
        <v>1.75959</v>
      </c>
      <c r="J4128" s="13" t="n">
        <f aca="false">IFERROR(MIN(Eingaben!$B$18,MAX(0,F4128-I4128)),0)</f>
        <v>0.75411</v>
      </c>
      <c r="K4128" s="13" t="n">
        <f aca="false">H4128+I4128</f>
        <v>2.4986178</v>
      </c>
      <c r="L4128" s="13" t="n">
        <f aca="false">MAX(0,D4128-K4128)</f>
        <v>2.4413822</v>
      </c>
      <c r="M4128" s="13" t="n">
        <f aca="false">MAX(0,F4128-I4128-J4128)</f>
        <v>0</v>
      </c>
      <c r="N4128" s="13" t="n">
        <f aca="false">IF(Kalender!A102="",0,J4127-H4128)</f>
        <v>0.0150822</v>
      </c>
    </row>
    <row r="4129" customFormat="false" ht="16.4" hidden="false" customHeight="false" outlineLevel="0" collapsed="false">
      <c r="A4129" s="13" t="str">
        <f aca="false">""</f>
        <v/>
      </c>
      <c r="B4129" s="13" t="n">
        <f aca="false">99</f>
        <v>99</v>
      </c>
      <c r="C4129" s="13" t="n">
        <f aca="false">IF(Szenarien!$H$22="OK",(IFERROR(SUMIF(Nutzungsprofile!$B$6:$B$11,"Schulbetrieb",Nutzungsprofile!$G$6:$G$11)*Kalender!C103/SUM(Kalender!$C$5:$C$370),0)+IFERROR(SUMIF(Nutzungsprofile!$B$6:$B$11,"Halle",Nutzungsprofile!$G$6:$G$11)*Kalender!D103/SUM(Kalender!$D$5:$D$370),0)+IFERROR(SUMIF(Nutzungsprofile!$B$6:$B$11,"Individuell",Nutzungsprofile!$G$6:$G$11)*Kalender!E103/SUM(Kalender!$E$5:$E$370),0))*Szenarien!$E$22,0)</f>
        <v>2.94</v>
      </c>
      <c r="D4129" s="13" t="n">
        <f aca="false">IF(Szenarien!$H$22="OK",(IFERROR(SUMIF(Nutzungsprofile!$B$17:$B$22,"Schulbetrieb",Nutzungsprofile!$G$17:$G$22)*Kalender!C103/SUM(Kalender!$C$5:$C$370),0)+IFERROR(SUMIF(Nutzungsprofile!$B$17:$B$22,"Halle",Nutzungsprofile!$G$17:$G$22)*Kalender!D103/SUM(Kalender!$D$5:$D$370),0)+IFERROR(SUMIF(Nutzungsprofile!$B$17:$B$22,"Individuell",Nutzungsprofile!$G$17:$G$22)*Kalender!E103/SUM(Kalender!$E$5:$E$370),0))*Szenarien!$D$22,0)</f>
        <v>4.94</v>
      </c>
      <c r="E4129" s="13" t="n">
        <f aca="false">IFERROR(MIN(C4129,Eingaben!$B$17)*Eingaben!$B$16,0)</f>
        <v>2.793</v>
      </c>
      <c r="F4129" s="13" t="n">
        <f aca="false">IFERROR(E4129*Eingaben!$B$15,0)</f>
        <v>2.5137</v>
      </c>
      <c r="G4129" s="13" t="n">
        <f aca="false">IFERROR(IF(Kalender!A103="",0,J4128*(1-Eingaben!$B$20)),0)</f>
        <v>0.7390278</v>
      </c>
      <c r="H4129" s="13" t="n">
        <f aca="false">MIN(G4129,D4129)</f>
        <v>0.7390278</v>
      </c>
      <c r="I4129" s="13" t="n">
        <f aca="false">IFERROR(MIN(F4129*Eingaben!$B$19,MAX(0,D4129-H4129)),0)</f>
        <v>1.75959</v>
      </c>
      <c r="J4129" s="13" t="n">
        <f aca="false">IFERROR(MIN(Eingaben!$B$18,MAX(0,F4129-I4129)),0)</f>
        <v>0.75411</v>
      </c>
      <c r="K4129" s="13" t="n">
        <f aca="false">H4129+I4129</f>
        <v>2.4986178</v>
      </c>
      <c r="L4129" s="13" t="n">
        <f aca="false">MAX(0,D4129-K4129)</f>
        <v>2.4413822</v>
      </c>
      <c r="M4129" s="13" t="n">
        <f aca="false">MAX(0,F4129-I4129-J4129)</f>
        <v>0</v>
      </c>
      <c r="N4129" s="13" t="n">
        <f aca="false">IF(Kalender!A103="",0,J4128-H4129)</f>
        <v>0.0150822</v>
      </c>
    </row>
    <row r="4130" customFormat="false" ht="16.4" hidden="false" customHeight="false" outlineLevel="0" collapsed="false">
      <c r="A4130" s="13" t="str">
        <f aca="false">""</f>
        <v/>
      </c>
      <c r="B4130" s="13" t="n">
        <f aca="false">100</f>
        <v>100</v>
      </c>
      <c r="C4130" s="13" t="n">
        <f aca="false">IF(Szenarien!$H$22="OK",(IFERROR(SUMIF(Nutzungsprofile!$B$6:$B$11,"Schulbetrieb",Nutzungsprofile!$G$6:$G$11)*Kalender!C104/SUM(Kalender!$C$5:$C$370),0)+IFERROR(SUMIF(Nutzungsprofile!$B$6:$B$11,"Halle",Nutzungsprofile!$G$6:$G$11)*Kalender!D104/SUM(Kalender!$D$5:$D$370),0)+IFERROR(SUMIF(Nutzungsprofile!$B$6:$B$11,"Individuell",Nutzungsprofile!$G$6:$G$11)*Kalender!E104/SUM(Kalender!$E$5:$E$370),0))*Szenarien!$E$22,0)</f>
        <v>2.94</v>
      </c>
      <c r="D4130" s="13" t="n">
        <f aca="false">IF(Szenarien!$H$22="OK",(IFERROR(SUMIF(Nutzungsprofile!$B$17:$B$22,"Schulbetrieb",Nutzungsprofile!$G$17:$G$22)*Kalender!C104/SUM(Kalender!$C$5:$C$370),0)+IFERROR(SUMIF(Nutzungsprofile!$B$17:$B$22,"Halle",Nutzungsprofile!$G$17:$G$22)*Kalender!D104/SUM(Kalender!$D$5:$D$370),0)+IFERROR(SUMIF(Nutzungsprofile!$B$17:$B$22,"Individuell",Nutzungsprofile!$G$17:$G$22)*Kalender!E104/SUM(Kalender!$E$5:$E$370),0))*Szenarien!$D$22,0)</f>
        <v>4.94</v>
      </c>
      <c r="E4130" s="13" t="n">
        <f aca="false">IFERROR(MIN(C4130,Eingaben!$B$17)*Eingaben!$B$16,0)</f>
        <v>2.793</v>
      </c>
      <c r="F4130" s="13" t="n">
        <f aca="false">IFERROR(E4130*Eingaben!$B$15,0)</f>
        <v>2.5137</v>
      </c>
      <c r="G4130" s="13" t="n">
        <f aca="false">IFERROR(IF(Kalender!A104="",0,J4129*(1-Eingaben!$B$20)),0)</f>
        <v>0.7390278</v>
      </c>
      <c r="H4130" s="13" t="n">
        <f aca="false">MIN(G4130,D4130)</f>
        <v>0.7390278</v>
      </c>
      <c r="I4130" s="13" t="n">
        <f aca="false">IFERROR(MIN(F4130*Eingaben!$B$19,MAX(0,D4130-H4130)),0)</f>
        <v>1.75959</v>
      </c>
      <c r="J4130" s="13" t="n">
        <f aca="false">IFERROR(MIN(Eingaben!$B$18,MAX(0,F4130-I4130)),0)</f>
        <v>0.75411</v>
      </c>
      <c r="K4130" s="13" t="n">
        <f aca="false">H4130+I4130</f>
        <v>2.4986178</v>
      </c>
      <c r="L4130" s="13" t="n">
        <f aca="false">MAX(0,D4130-K4130)</f>
        <v>2.4413822</v>
      </c>
      <c r="M4130" s="13" t="n">
        <f aca="false">MAX(0,F4130-I4130-J4130)</f>
        <v>0</v>
      </c>
      <c r="N4130" s="13" t="n">
        <f aca="false">IF(Kalender!A104="",0,J4129-H4130)</f>
        <v>0.0150822</v>
      </c>
    </row>
    <row r="4131" customFormat="false" ht="16.4" hidden="false" customHeight="false" outlineLevel="0" collapsed="false">
      <c r="A4131" s="13" t="str">
        <f aca="false">""</f>
        <v/>
      </c>
      <c r="B4131" s="13" t="n">
        <f aca="false">101</f>
        <v>101</v>
      </c>
      <c r="C4131" s="13" t="n">
        <f aca="false">IF(Szenarien!$H$22="OK",(IFERROR(SUMIF(Nutzungsprofile!$B$6:$B$11,"Schulbetrieb",Nutzungsprofile!$G$6:$G$11)*Kalender!C105/SUM(Kalender!$C$5:$C$370),0)+IFERROR(SUMIF(Nutzungsprofile!$B$6:$B$11,"Halle",Nutzungsprofile!$G$6:$G$11)*Kalender!D105/SUM(Kalender!$D$5:$D$370),0)+IFERROR(SUMIF(Nutzungsprofile!$B$6:$B$11,"Individuell",Nutzungsprofile!$G$6:$G$11)*Kalender!E105/SUM(Kalender!$E$5:$E$370),0))*Szenarien!$E$22,0)</f>
        <v>2.04</v>
      </c>
      <c r="D4131" s="13" t="n">
        <f aca="false">IF(Szenarien!$H$22="OK",(IFERROR(SUMIF(Nutzungsprofile!$B$17:$B$22,"Schulbetrieb",Nutzungsprofile!$G$17:$G$22)*Kalender!C105/SUM(Kalender!$C$5:$C$370),0)+IFERROR(SUMIF(Nutzungsprofile!$B$17:$B$22,"Halle",Nutzungsprofile!$G$17:$G$22)*Kalender!D105/SUM(Kalender!$D$5:$D$370),0)+IFERROR(SUMIF(Nutzungsprofile!$B$17:$B$22,"Individuell",Nutzungsprofile!$G$17:$G$22)*Kalender!E105/SUM(Kalender!$E$5:$E$370),0))*Szenarien!$D$22,0)</f>
        <v>0.89</v>
      </c>
      <c r="E4131" s="13" t="n">
        <f aca="false">IFERROR(MIN(C4131,Eingaben!$B$17)*Eingaben!$B$16,0)</f>
        <v>1.938</v>
      </c>
      <c r="F4131" s="13" t="n">
        <f aca="false">IFERROR(E4131*Eingaben!$B$15,0)</f>
        <v>1.7442</v>
      </c>
      <c r="G4131" s="13" t="n">
        <f aca="false">IFERROR(IF(Kalender!A105="",0,J4130*(1-Eingaben!$B$20)),0)</f>
        <v>0.7390278</v>
      </c>
      <c r="H4131" s="13" t="n">
        <f aca="false">MIN(G4131,D4131)</f>
        <v>0.7390278</v>
      </c>
      <c r="I4131" s="13" t="n">
        <f aca="false">IFERROR(MIN(F4131*Eingaben!$B$19,MAX(0,D4131-H4131)),0)</f>
        <v>0.1509722</v>
      </c>
      <c r="J4131" s="13" t="n">
        <f aca="false">IFERROR(MIN(Eingaben!$B$18,MAX(0,F4131-I4131)),0)</f>
        <v>1.5932278</v>
      </c>
      <c r="K4131" s="13" t="n">
        <f aca="false">H4131+I4131</f>
        <v>0.89</v>
      </c>
      <c r="L4131" s="13" t="n">
        <f aca="false">MAX(0,D4131-K4131)</f>
        <v>0</v>
      </c>
      <c r="M4131" s="13" t="n">
        <f aca="false">MAX(0,F4131-I4131-J4131)</f>
        <v>0</v>
      </c>
      <c r="N4131" s="13" t="n">
        <f aca="false">IF(Kalender!A105="",0,J4130-H4131)</f>
        <v>0.0150822</v>
      </c>
    </row>
    <row r="4132" customFormat="false" ht="16.4" hidden="false" customHeight="false" outlineLevel="0" collapsed="false">
      <c r="A4132" s="13" t="str">
        <f aca="false">""</f>
        <v/>
      </c>
      <c r="B4132" s="13" t="n">
        <f aca="false">102</f>
        <v>102</v>
      </c>
      <c r="C4132" s="13" t="n">
        <f aca="false">IF(Szenarien!$H$22="OK",(IFERROR(SUMIF(Nutzungsprofile!$B$6:$B$11,"Schulbetrieb",Nutzungsprofile!$G$6:$G$11)*Kalender!C106/SUM(Kalender!$C$5:$C$370),0)+IFERROR(SUMIF(Nutzungsprofile!$B$6:$B$11,"Halle",Nutzungsprofile!$G$6:$G$11)*Kalender!D106/SUM(Kalender!$D$5:$D$370),0)+IFERROR(SUMIF(Nutzungsprofile!$B$6:$B$11,"Individuell",Nutzungsprofile!$G$6:$G$11)*Kalender!E106/SUM(Kalender!$E$5:$E$370),0))*Szenarien!$E$22,0)</f>
        <v>2.04</v>
      </c>
      <c r="D4132" s="13" t="n">
        <f aca="false">IF(Szenarien!$H$22="OK",(IFERROR(SUMIF(Nutzungsprofile!$B$17:$B$22,"Schulbetrieb",Nutzungsprofile!$G$17:$G$22)*Kalender!C106/SUM(Kalender!$C$5:$C$370),0)+IFERROR(SUMIF(Nutzungsprofile!$B$17:$B$22,"Halle",Nutzungsprofile!$G$17:$G$22)*Kalender!D106/SUM(Kalender!$D$5:$D$370),0)+IFERROR(SUMIF(Nutzungsprofile!$B$17:$B$22,"Individuell",Nutzungsprofile!$G$17:$G$22)*Kalender!E106/SUM(Kalender!$E$5:$E$370),0))*Szenarien!$D$22,0)</f>
        <v>0.89</v>
      </c>
      <c r="E4132" s="13" t="n">
        <f aca="false">IFERROR(MIN(C4132,Eingaben!$B$17)*Eingaben!$B$16,0)</f>
        <v>1.938</v>
      </c>
      <c r="F4132" s="13" t="n">
        <f aca="false">IFERROR(E4132*Eingaben!$B$15,0)</f>
        <v>1.7442</v>
      </c>
      <c r="G4132" s="13" t="n">
        <f aca="false">IFERROR(IF(Kalender!A106="",0,J4131*(1-Eingaben!$B$20)),0)</f>
        <v>1.561363244</v>
      </c>
      <c r="H4132" s="13" t="n">
        <f aca="false">MIN(G4132,D4132)</f>
        <v>0.89</v>
      </c>
      <c r="I4132" s="13" t="n">
        <f aca="false">IFERROR(MIN(F4132*Eingaben!$B$19,MAX(0,D4132-H4132)),0)</f>
        <v>0</v>
      </c>
      <c r="J4132" s="13" t="n">
        <f aca="false">IFERROR(MIN(Eingaben!$B$18,MAX(0,F4132-I4132)),0)</f>
        <v>1.7442</v>
      </c>
      <c r="K4132" s="13" t="n">
        <f aca="false">H4132+I4132</f>
        <v>0.89</v>
      </c>
      <c r="L4132" s="13" t="n">
        <f aca="false">MAX(0,D4132-K4132)</f>
        <v>0</v>
      </c>
      <c r="M4132" s="13" t="n">
        <f aca="false">MAX(0,F4132-I4132-J4132)</f>
        <v>0</v>
      </c>
      <c r="N4132" s="13" t="n">
        <f aca="false">IF(Kalender!A106="",0,J4131-H4132)</f>
        <v>0.7032278</v>
      </c>
    </row>
    <row r="4133" customFormat="false" ht="16.4" hidden="false" customHeight="false" outlineLevel="0" collapsed="false">
      <c r="A4133" s="13" t="str">
        <f aca="false">""</f>
        <v/>
      </c>
      <c r="B4133" s="13" t="n">
        <f aca="false">103</f>
        <v>103</v>
      </c>
      <c r="C4133" s="13" t="n">
        <f aca="false">IF(Szenarien!$H$22="OK",(IFERROR(SUMIF(Nutzungsprofile!$B$6:$B$11,"Schulbetrieb",Nutzungsprofile!$G$6:$G$11)*Kalender!C107/SUM(Kalender!$C$5:$C$370),0)+IFERROR(SUMIF(Nutzungsprofile!$B$6:$B$11,"Halle",Nutzungsprofile!$G$6:$G$11)*Kalender!D107/SUM(Kalender!$D$5:$D$370),0)+IFERROR(SUMIF(Nutzungsprofile!$B$6:$B$11,"Individuell",Nutzungsprofile!$G$6:$G$11)*Kalender!E107/SUM(Kalender!$E$5:$E$370),0))*Szenarien!$E$22,0)</f>
        <v>2.94</v>
      </c>
      <c r="D4133" s="13" t="n">
        <f aca="false">IF(Szenarien!$H$22="OK",(IFERROR(SUMIF(Nutzungsprofile!$B$17:$B$22,"Schulbetrieb",Nutzungsprofile!$G$17:$G$22)*Kalender!C107/SUM(Kalender!$C$5:$C$370),0)+IFERROR(SUMIF(Nutzungsprofile!$B$17:$B$22,"Halle",Nutzungsprofile!$G$17:$G$22)*Kalender!D107/SUM(Kalender!$D$5:$D$370),0)+IFERROR(SUMIF(Nutzungsprofile!$B$17:$B$22,"Individuell",Nutzungsprofile!$G$17:$G$22)*Kalender!E107/SUM(Kalender!$E$5:$E$370),0))*Szenarien!$D$22,0)</f>
        <v>4.94</v>
      </c>
      <c r="E4133" s="13" t="n">
        <f aca="false">IFERROR(MIN(C4133,Eingaben!$B$17)*Eingaben!$B$16,0)</f>
        <v>2.793</v>
      </c>
      <c r="F4133" s="13" t="n">
        <f aca="false">IFERROR(E4133*Eingaben!$B$15,0)</f>
        <v>2.5137</v>
      </c>
      <c r="G4133" s="13" t="n">
        <f aca="false">IFERROR(IF(Kalender!A107="",0,J4132*(1-Eingaben!$B$20)),0)</f>
        <v>1.709316</v>
      </c>
      <c r="H4133" s="13" t="n">
        <f aca="false">MIN(G4133,D4133)</f>
        <v>1.709316</v>
      </c>
      <c r="I4133" s="13" t="n">
        <f aca="false">IFERROR(MIN(F4133*Eingaben!$B$19,MAX(0,D4133-H4133)),0)</f>
        <v>1.75959</v>
      </c>
      <c r="J4133" s="13" t="n">
        <f aca="false">IFERROR(MIN(Eingaben!$B$18,MAX(0,F4133-I4133)),0)</f>
        <v>0.75411</v>
      </c>
      <c r="K4133" s="13" t="n">
        <f aca="false">H4133+I4133</f>
        <v>3.468906</v>
      </c>
      <c r="L4133" s="13" t="n">
        <f aca="false">MAX(0,D4133-K4133)</f>
        <v>1.471094</v>
      </c>
      <c r="M4133" s="13" t="n">
        <f aca="false">MAX(0,F4133-I4133-J4133)</f>
        <v>0</v>
      </c>
      <c r="N4133" s="13" t="n">
        <f aca="false">IF(Kalender!A107="",0,J4132-H4133)</f>
        <v>0.0348840000000001</v>
      </c>
    </row>
    <row r="4134" customFormat="false" ht="16.4" hidden="false" customHeight="false" outlineLevel="0" collapsed="false">
      <c r="A4134" s="13" t="str">
        <f aca="false">""</f>
        <v/>
      </c>
      <c r="B4134" s="13" t="n">
        <f aca="false">104</f>
        <v>104</v>
      </c>
      <c r="C4134" s="13" t="n">
        <f aca="false">IF(Szenarien!$H$22="OK",(IFERROR(SUMIF(Nutzungsprofile!$B$6:$B$11,"Schulbetrieb",Nutzungsprofile!$G$6:$G$11)*Kalender!C108/SUM(Kalender!$C$5:$C$370),0)+IFERROR(SUMIF(Nutzungsprofile!$B$6:$B$11,"Halle",Nutzungsprofile!$G$6:$G$11)*Kalender!D108/SUM(Kalender!$D$5:$D$370),0)+IFERROR(SUMIF(Nutzungsprofile!$B$6:$B$11,"Individuell",Nutzungsprofile!$G$6:$G$11)*Kalender!E108/SUM(Kalender!$E$5:$E$370),0))*Szenarien!$E$22,0)</f>
        <v>2.94</v>
      </c>
      <c r="D4134" s="13" t="n">
        <f aca="false">IF(Szenarien!$H$22="OK",(IFERROR(SUMIF(Nutzungsprofile!$B$17:$B$22,"Schulbetrieb",Nutzungsprofile!$G$17:$G$22)*Kalender!C108/SUM(Kalender!$C$5:$C$370),0)+IFERROR(SUMIF(Nutzungsprofile!$B$17:$B$22,"Halle",Nutzungsprofile!$G$17:$G$22)*Kalender!D108/SUM(Kalender!$D$5:$D$370),0)+IFERROR(SUMIF(Nutzungsprofile!$B$17:$B$22,"Individuell",Nutzungsprofile!$G$17:$G$22)*Kalender!E108/SUM(Kalender!$E$5:$E$370),0))*Szenarien!$D$22,0)</f>
        <v>4.94</v>
      </c>
      <c r="E4134" s="13" t="n">
        <f aca="false">IFERROR(MIN(C4134,Eingaben!$B$17)*Eingaben!$B$16,0)</f>
        <v>2.793</v>
      </c>
      <c r="F4134" s="13" t="n">
        <f aca="false">IFERROR(E4134*Eingaben!$B$15,0)</f>
        <v>2.5137</v>
      </c>
      <c r="G4134" s="13" t="n">
        <f aca="false">IFERROR(IF(Kalender!A108="",0,J4133*(1-Eingaben!$B$20)),0)</f>
        <v>0.7390278</v>
      </c>
      <c r="H4134" s="13" t="n">
        <f aca="false">MIN(G4134,D4134)</f>
        <v>0.7390278</v>
      </c>
      <c r="I4134" s="13" t="n">
        <f aca="false">IFERROR(MIN(F4134*Eingaben!$B$19,MAX(0,D4134-H4134)),0)</f>
        <v>1.75959</v>
      </c>
      <c r="J4134" s="13" t="n">
        <f aca="false">IFERROR(MIN(Eingaben!$B$18,MAX(0,F4134-I4134)),0)</f>
        <v>0.75411</v>
      </c>
      <c r="K4134" s="13" t="n">
        <f aca="false">H4134+I4134</f>
        <v>2.4986178</v>
      </c>
      <c r="L4134" s="13" t="n">
        <f aca="false">MAX(0,D4134-K4134)</f>
        <v>2.4413822</v>
      </c>
      <c r="M4134" s="13" t="n">
        <f aca="false">MAX(0,F4134-I4134-J4134)</f>
        <v>0</v>
      </c>
      <c r="N4134" s="13" t="n">
        <f aca="false">IF(Kalender!A108="",0,J4133-H4134)</f>
        <v>0.0150822</v>
      </c>
    </row>
    <row r="4135" customFormat="false" ht="16.4" hidden="false" customHeight="false" outlineLevel="0" collapsed="false">
      <c r="A4135" s="13" t="str">
        <f aca="false">""</f>
        <v/>
      </c>
      <c r="B4135" s="13" t="n">
        <f aca="false">105</f>
        <v>105</v>
      </c>
      <c r="C4135" s="13" t="n">
        <f aca="false">IF(Szenarien!$H$22="OK",(IFERROR(SUMIF(Nutzungsprofile!$B$6:$B$11,"Schulbetrieb",Nutzungsprofile!$G$6:$G$11)*Kalender!C109/SUM(Kalender!$C$5:$C$370),0)+IFERROR(SUMIF(Nutzungsprofile!$B$6:$B$11,"Halle",Nutzungsprofile!$G$6:$G$11)*Kalender!D109/SUM(Kalender!$D$5:$D$370),0)+IFERROR(SUMIF(Nutzungsprofile!$B$6:$B$11,"Individuell",Nutzungsprofile!$G$6:$G$11)*Kalender!E109/SUM(Kalender!$E$5:$E$370),0))*Szenarien!$E$22,0)</f>
        <v>2.94</v>
      </c>
      <c r="D4135" s="13" t="n">
        <f aca="false">IF(Szenarien!$H$22="OK",(IFERROR(SUMIF(Nutzungsprofile!$B$17:$B$22,"Schulbetrieb",Nutzungsprofile!$G$17:$G$22)*Kalender!C109/SUM(Kalender!$C$5:$C$370),0)+IFERROR(SUMIF(Nutzungsprofile!$B$17:$B$22,"Halle",Nutzungsprofile!$G$17:$G$22)*Kalender!D109/SUM(Kalender!$D$5:$D$370),0)+IFERROR(SUMIF(Nutzungsprofile!$B$17:$B$22,"Individuell",Nutzungsprofile!$G$17:$G$22)*Kalender!E109/SUM(Kalender!$E$5:$E$370),0))*Szenarien!$D$22,0)</f>
        <v>4.94</v>
      </c>
      <c r="E4135" s="13" t="n">
        <f aca="false">IFERROR(MIN(C4135,Eingaben!$B$17)*Eingaben!$B$16,0)</f>
        <v>2.793</v>
      </c>
      <c r="F4135" s="13" t="n">
        <f aca="false">IFERROR(E4135*Eingaben!$B$15,0)</f>
        <v>2.5137</v>
      </c>
      <c r="G4135" s="13" t="n">
        <f aca="false">IFERROR(IF(Kalender!A109="",0,J4134*(1-Eingaben!$B$20)),0)</f>
        <v>0.7390278</v>
      </c>
      <c r="H4135" s="13" t="n">
        <f aca="false">MIN(G4135,D4135)</f>
        <v>0.7390278</v>
      </c>
      <c r="I4135" s="13" t="n">
        <f aca="false">IFERROR(MIN(F4135*Eingaben!$B$19,MAX(0,D4135-H4135)),0)</f>
        <v>1.75959</v>
      </c>
      <c r="J4135" s="13" t="n">
        <f aca="false">IFERROR(MIN(Eingaben!$B$18,MAX(0,F4135-I4135)),0)</f>
        <v>0.75411</v>
      </c>
      <c r="K4135" s="13" t="n">
        <f aca="false">H4135+I4135</f>
        <v>2.4986178</v>
      </c>
      <c r="L4135" s="13" t="n">
        <f aca="false">MAX(0,D4135-K4135)</f>
        <v>2.4413822</v>
      </c>
      <c r="M4135" s="13" t="n">
        <f aca="false">MAX(0,F4135-I4135-J4135)</f>
        <v>0</v>
      </c>
      <c r="N4135" s="13" t="n">
        <f aca="false">IF(Kalender!A109="",0,J4134-H4135)</f>
        <v>0.0150822</v>
      </c>
    </row>
    <row r="4136" customFormat="false" ht="16.4" hidden="false" customHeight="false" outlineLevel="0" collapsed="false">
      <c r="A4136" s="13" t="str">
        <f aca="false">""</f>
        <v/>
      </c>
      <c r="B4136" s="13" t="n">
        <f aca="false">106</f>
        <v>106</v>
      </c>
      <c r="C4136" s="13" t="n">
        <f aca="false">IF(Szenarien!$H$22="OK",(IFERROR(SUMIF(Nutzungsprofile!$B$6:$B$11,"Schulbetrieb",Nutzungsprofile!$G$6:$G$11)*Kalender!C110/SUM(Kalender!$C$5:$C$370),0)+IFERROR(SUMIF(Nutzungsprofile!$B$6:$B$11,"Halle",Nutzungsprofile!$G$6:$G$11)*Kalender!D110/SUM(Kalender!$D$5:$D$370),0)+IFERROR(SUMIF(Nutzungsprofile!$B$6:$B$11,"Individuell",Nutzungsprofile!$G$6:$G$11)*Kalender!E110/SUM(Kalender!$E$5:$E$370),0))*Szenarien!$E$22,0)</f>
        <v>2.94</v>
      </c>
      <c r="D4136" s="13" t="n">
        <f aca="false">IF(Szenarien!$H$22="OK",(IFERROR(SUMIF(Nutzungsprofile!$B$17:$B$22,"Schulbetrieb",Nutzungsprofile!$G$17:$G$22)*Kalender!C110/SUM(Kalender!$C$5:$C$370),0)+IFERROR(SUMIF(Nutzungsprofile!$B$17:$B$22,"Halle",Nutzungsprofile!$G$17:$G$22)*Kalender!D110/SUM(Kalender!$D$5:$D$370),0)+IFERROR(SUMIF(Nutzungsprofile!$B$17:$B$22,"Individuell",Nutzungsprofile!$G$17:$G$22)*Kalender!E110/SUM(Kalender!$E$5:$E$370),0))*Szenarien!$D$22,0)</f>
        <v>4.94</v>
      </c>
      <c r="E4136" s="13" t="n">
        <f aca="false">IFERROR(MIN(C4136,Eingaben!$B$17)*Eingaben!$B$16,0)</f>
        <v>2.793</v>
      </c>
      <c r="F4136" s="13" t="n">
        <f aca="false">IFERROR(E4136*Eingaben!$B$15,0)</f>
        <v>2.5137</v>
      </c>
      <c r="G4136" s="13" t="n">
        <f aca="false">IFERROR(IF(Kalender!A110="",0,J4135*(1-Eingaben!$B$20)),0)</f>
        <v>0.7390278</v>
      </c>
      <c r="H4136" s="13" t="n">
        <f aca="false">MIN(G4136,D4136)</f>
        <v>0.7390278</v>
      </c>
      <c r="I4136" s="13" t="n">
        <f aca="false">IFERROR(MIN(F4136*Eingaben!$B$19,MAX(0,D4136-H4136)),0)</f>
        <v>1.75959</v>
      </c>
      <c r="J4136" s="13" t="n">
        <f aca="false">IFERROR(MIN(Eingaben!$B$18,MAX(0,F4136-I4136)),0)</f>
        <v>0.75411</v>
      </c>
      <c r="K4136" s="13" t="n">
        <f aca="false">H4136+I4136</f>
        <v>2.4986178</v>
      </c>
      <c r="L4136" s="13" t="n">
        <f aca="false">MAX(0,D4136-K4136)</f>
        <v>2.4413822</v>
      </c>
      <c r="M4136" s="13" t="n">
        <f aca="false">MAX(0,F4136-I4136-J4136)</f>
        <v>0</v>
      </c>
      <c r="N4136" s="13" t="n">
        <f aca="false">IF(Kalender!A110="",0,J4135-H4136)</f>
        <v>0.0150822</v>
      </c>
    </row>
    <row r="4137" customFormat="false" ht="16.4" hidden="false" customHeight="false" outlineLevel="0" collapsed="false">
      <c r="A4137" s="13" t="str">
        <f aca="false">""</f>
        <v/>
      </c>
      <c r="B4137" s="13" t="n">
        <f aca="false">107</f>
        <v>107</v>
      </c>
      <c r="C4137" s="13" t="n">
        <f aca="false">IF(Szenarien!$H$22="OK",(IFERROR(SUMIF(Nutzungsprofile!$B$6:$B$11,"Schulbetrieb",Nutzungsprofile!$G$6:$G$11)*Kalender!C111/SUM(Kalender!$C$5:$C$370),0)+IFERROR(SUMIF(Nutzungsprofile!$B$6:$B$11,"Halle",Nutzungsprofile!$G$6:$G$11)*Kalender!D111/SUM(Kalender!$D$5:$D$370),0)+IFERROR(SUMIF(Nutzungsprofile!$B$6:$B$11,"Individuell",Nutzungsprofile!$G$6:$G$11)*Kalender!E111/SUM(Kalender!$E$5:$E$370),0))*Szenarien!$E$22,0)</f>
        <v>2.94</v>
      </c>
      <c r="D4137" s="13" t="n">
        <f aca="false">IF(Szenarien!$H$22="OK",(IFERROR(SUMIF(Nutzungsprofile!$B$17:$B$22,"Schulbetrieb",Nutzungsprofile!$G$17:$G$22)*Kalender!C111/SUM(Kalender!$C$5:$C$370),0)+IFERROR(SUMIF(Nutzungsprofile!$B$17:$B$22,"Halle",Nutzungsprofile!$G$17:$G$22)*Kalender!D111/SUM(Kalender!$D$5:$D$370),0)+IFERROR(SUMIF(Nutzungsprofile!$B$17:$B$22,"Individuell",Nutzungsprofile!$G$17:$G$22)*Kalender!E111/SUM(Kalender!$E$5:$E$370),0))*Szenarien!$D$22,0)</f>
        <v>4.94</v>
      </c>
      <c r="E4137" s="13" t="n">
        <f aca="false">IFERROR(MIN(C4137,Eingaben!$B$17)*Eingaben!$B$16,0)</f>
        <v>2.793</v>
      </c>
      <c r="F4137" s="13" t="n">
        <f aca="false">IFERROR(E4137*Eingaben!$B$15,0)</f>
        <v>2.5137</v>
      </c>
      <c r="G4137" s="13" t="n">
        <f aca="false">IFERROR(IF(Kalender!A111="",0,J4136*(1-Eingaben!$B$20)),0)</f>
        <v>0.7390278</v>
      </c>
      <c r="H4137" s="13" t="n">
        <f aca="false">MIN(G4137,D4137)</f>
        <v>0.7390278</v>
      </c>
      <c r="I4137" s="13" t="n">
        <f aca="false">IFERROR(MIN(F4137*Eingaben!$B$19,MAX(0,D4137-H4137)),0)</f>
        <v>1.75959</v>
      </c>
      <c r="J4137" s="13" t="n">
        <f aca="false">IFERROR(MIN(Eingaben!$B$18,MAX(0,F4137-I4137)),0)</f>
        <v>0.75411</v>
      </c>
      <c r="K4137" s="13" t="n">
        <f aca="false">H4137+I4137</f>
        <v>2.4986178</v>
      </c>
      <c r="L4137" s="13" t="n">
        <f aca="false">MAX(0,D4137-K4137)</f>
        <v>2.4413822</v>
      </c>
      <c r="M4137" s="13" t="n">
        <f aca="false">MAX(0,F4137-I4137-J4137)</f>
        <v>0</v>
      </c>
      <c r="N4137" s="13" t="n">
        <f aca="false">IF(Kalender!A111="",0,J4136-H4137)</f>
        <v>0.0150822</v>
      </c>
    </row>
    <row r="4138" customFormat="false" ht="16.4" hidden="false" customHeight="false" outlineLevel="0" collapsed="false">
      <c r="A4138" s="13" t="str">
        <f aca="false">""</f>
        <v/>
      </c>
      <c r="B4138" s="13" t="n">
        <f aca="false">108</f>
        <v>108</v>
      </c>
      <c r="C4138" s="13" t="n">
        <f aca="false">IF(Szenarien!$H$22="OK",(IFERROR(SUMIF(Nutzungsprofile!$B$6:$B$11,"Schulbetrieb",Nutzungsprofile!$G$6:$G$11)*Kalender!C112/SUM(Kalender!$C$5:$C$370),0)+IFERROR(SUMIF(Nutzungsprofile!$B$6:$B$11,"Halle",Nutzungsprofile!$G$6:$G$11)*Kalender!D112/SUM(Kalender!$D$5:$D$370),0)+IFERROR(SUMIF(Nutzungsprofile!$B$6:$B$11,"Individuell",Nutzungsprofile!$G$6:$G$11)*Kalender!E112/SUM(Kalender!$E$5:$E$370),0))*Szenarien!$E$22,0)</f>
        <v>2.04</v>
      </c>
      <c r="D4138" s="13" t="n">
        <f aca="false">IF(Szenarien!$H$22="OK",(IFERROR(SUMIF(Nutzungsprofile!$B$17:$B$22,"Schulbetrieb",Nutzungsprofile!$G$17:$G$22)*Kalender!C112/SUM(Kalender!$C$5:$C$370),0)+IFERROR(SUMIF(Nutzungsprofile!$B$17:$B$22,"Halle",Nutzungsprofile!$G$17:$G$22)*Kalender!D112/SUM(Kalender!$D$5:$D$370),0)+IFERROR(SUMIF(Nutzungsprofile!$B$17:$B$22,"Individuell",Nutzungsprofile!$G$17:$G$22)*Kalender!E112/SUM(Kalender!$E$5:$E$370),0))*Szenarien!$D$22,0)</f>
        <v>0.89</v>
      </c>
      <c r="E4138" s="13" t="n">
        <f aca="false">IFERROR(MIN(C4138,Eingaben!$B$17)*Eingaben!$B$16,0)</f>
        <v>1.938</v>
      </c>
      <c r="F4138" s="13" t="n">
        <f aca="false">IFERROR(E4138*Eingaben!$B$15,0)</f>
        <v>1.7442</v>
      </c>
      <c r="G4138" s="13" t="n">
        <f aca="false">IFERROR(IF(Kalender!A112="",0,J4137*(1-Eingaben!$B$20)),0)</f>
        <v>0.7390278</v>
      </c>
      <c r="H4138" s="13" t="n">
        <f aca="false">MIN(G4138,D4138)</f>
        <v>0.7390278</v>
      </c>
      <c r="I4138" s="13" t="n">
        <f aca="false">IFERROR(MIN(F4138*Eingaben!$B$19,MAX(0,D4138-H4138)),0)</f>
        <v>0.1509722</v>
      </c>
      <c r="J4138" s="13" t="n">
        <f aca="false">IFERROR(MIN(Eingaben!$B$18,MAX(0,F4138-I4138)),0)</f>
        <v>1.5932278</v>
      </c>
      <c r="K4138" s="13" t="n">
        <f aca="false">H4138+I4138</f>
        <v>0.89</v>
      </c>
      <c r="L4138" s="13" t="n">
        <f aca="false">MAX(0,D4138-K4138)</f>
        <v>0</v>
      </c>
      <c r="M4138" s="13" t="n">
        <f aca="false">MAX(0,F4138-I4138-J4138)</f>
        <v>0</v>
      </c>
      <c r="N4138" s="13" t="n">
        <f aca="false">IF(Kalender!A112="",0,J4137-H4138)</f>
        <v>0.0150822</v>
      </c>
    </row>
    <row r="4139" customFormat="false" ht="16.4" hidden="false" customHeight="false" outlineLevel="0" collapsed="false">
      <c r="A4139" s="13" t="str">
        <f aca="false">""</f>
        <v/>
      </c>
      <c r="B4139" s="13" t="n">
        <f aca="false">109</f>
        <v>109</v>
      </c>
      <c r="C4139" s="13" t="n">
        <f aca="false">IF(Szenarien!$H$22="OK",(IFERROR(SUMIF(Nutzungsprofile!$B$6:$B$11,"Schulbetrieb",Nutzungsprofile!$G$6:$G$11)*Kalender!C113/SUM(Kalender!$C$5:$C$370),0)+IFERROR(SUMIF(Nutzungsprofile!$B$6:$B$11,"Halle",Nutzungsprofile!$G$6:$G$11)*Kalender!D113/SUM(Kalender!$D$5:$D$370),0)+IFERROR(SUMIF(Nutzungsprofile!$B$6:$B$11,"Individuell",Nutzungsprofile!$G$6:$G$11)*Kalender!E113/SUM(Kalender!$E$5:$E$370),0))*Szenarien!$E$22,0)</f>
        <v>2.04</v>
      </c>
      <c r="D4139" s="13" t="n">
        <f aca="false">IF(Szenarien!$H$22="OK",(IFERROR(SUMIF(Nutzungsprofile!$B$17:$B$22,"Schulbetrieb",Nutzungsprofile!$G$17:$G$22)*Kalender!C113/SUM(Kalender!$C$5:$C$370),0)+IFERROR(SUMIF(Nutzungsprofile!$B$17:$B$22,"Halle",Nutzungsprofile!$G$17:$G$22)*Kalender!D113/SUM(Kalender!$D$5:$D$370),0)+IFERROR(SUMIF(Nutzungsprofile!$B$17:$B$22,"Individuell",Nutzungsprofile!$G$17:$G$22)*Kalender!E113/SUM(Kalender!$E$5:$E$370),0))*Szenarien!$D$22,0)</f>
        <v>0.89</v>
      </c>
      <c r="E4139" s="13" t="n">
        <f aca="false">IFERROR(MIN(C4139,Eingaben!$B$17)*Eingaben!$B$16,0)</f>
        <v>1.938</v>
      </c>
      <c r="F4139" s="13" t="n">
        <f aca="false">IFERROR(E4139*Eingaben!$B$15,0)</f>
        <v>1.7442</v>
      </c>
      <c r="G4139" s="13" t="n">
        <f aca="false">IFERROR(IF(Kalender!A113="",0,J4138*(1-Eingaben!$B$20)),0)</f>
        <v>1.561363244</v>
      </c>
      <c r="H4139" s="13" t="n">
        <f aca="false">MIN(G4139,D4139)</f>
        <v>0.89</v>
      </c>
      <c r="I4139" s="13" t="n">
        <f aca="false">IFERROR(MIN(F4139*Eingaben!$B$19,MAX(0,D4139-H4139)),0)</f>
        <v>0</v>
      </c>
      <c r="J4139" s="13" t="n">
        <f aca="false">IFERROR(MIN(Eingaben!$B$18,MAX(0,F4139-I4139)),0)</f>
        <v>1.7442</v>
      </c>
      <c r="K4139" s="13" t="n">
        <f aca="false">H4139+I4139</f>
        <v>0.89</v>
      </c>
      <c r="L4139" s="13" t="n">
        <f aca="false">MAX(0,D4139-K4139)</f>
        <v>0</v>
      </c>
      <c r="M4139" s="13" t="n">
        <f aca="false">MAX(0,F4139-I4139-J4139)</f>
        <v>0</v>
      </c>
      <c r="N4139" s="13" t="n">
        <f aca="false">IF(Kalender!A113="",0,J4138-H4139)</f>
        <v>0.7032278</v>
      </c>
    </row>
    <row r="4140" customFormat="false" ht="16.4" hidden="false" customHeight="false" outlineLevel="0" collapsed="false">
      <c r="A4140" s="13" t="str">
        <f aca="false">""</f>
        <v/>
      </c>
      <c r="B4140" s="13" t="n">
        <f aca="false">110</f>
        <v>110</v>
      </c>
      <c r="C4140" s="13" t="n">
        <f aca="false">IF(Szenarien!$H$22="OK",(IFERROR(SUMIF(Nutzungsprofile!$B$6:$B$11,"Schulbetrieb",Nutzungsprofile!$G$6:$G$11)*Kalender!C114/SUM(Kalender!$C$5:$C$370),0)+IFERROR(SUMIF(Nutzungsprofile!$B$6:$B$11,"Halle",Nutzungsprofile!$G$6:$G$11)*Kalender!D114/SUM(Kalender!$D$5:$D$370),0)+IFERROR(SUMIF(Nutzungsprofile!$B$6:$B$11,"Individuell",Nutzungsprofile!$G$6:$G$11)*Kalender!E114/SUM(Kalender!$E$5:$E$370),0))*Szenarien!$E$22,0)</f>
        <v>2.94</v>
      </c>
      <c r="D4140" s="13" t="n">
        <f aca="false">IF(Szenarien!$H$22="OK",(IFERROR(SUMIF(Nutzungsprofile!$B$17:$B$22,"Schulbetrieb",Nutzungsprofile!$G$17:$G$22)*Kalender!C114/SUM(Kalender!$C$5:$C$370),0)+IFERROR(SUMIF(Nutzungsprofile!$B$17:$B$22,"Halle",Nutzungsprofile!$G$17:$G$22)*Kalender!D114/SUM(Kalender!$D$5:$D$370),0)+IFERROR(SUMIF(Nutzungsprofile!$B$17:$B$22,"Individuell",Nutzungsprofile!$G$17:$G$22)*Kalender!E114/SUM(Kalender!$E$5:$E$370),0))*Szenarien!$D$22,0)</f>
        <v>4.94</v>
      </c>
      <c r="E4140" s="13" t="n">
        <f aca="false">IFERROR(MIN(C4140,Eingaben!$B$17)*Eingaben!$B$16,0)</f>
        <v>2.793</v>
      </c>
      <c r="F4140" s="13" t="n">
        <f aca="false">IFERROR(E4140*Eingaben!$B$15,0)</f>
        <v>2.5137</v>
      </c>
      <c r="G4140" s="13" t="n">
        <f aca="false">IFERROR(IF(Kalender!A114="",0,J4139*(1-Eingaben!$B$20)),0)</f>
        <v>1.709316</v>
      </c>
      <c r="H4140" s="13" t="n">
        <f aca="false">MIN(G4140,D4140)</f>
        <v>1.709316</v>
      </c>
      <c r="I4140" s="13" t="n">
        <f aca="false">IFERROR(MIN(F4140*Eingaben!$B$19,MAX(0,D4140-H4140)),0)</f>
        <v>1.75959</v>
      </c>
      <c r="J4140" s="13" t="n">
        <f aca="false">IFERROR(MIN(Eingaben!$B$18,MAX(0,F4140-I4140)),0)</f>
        <v>0.75411</v>
      </c>
      <c r="K4140" s="13" t="n">
        <f aca="false">H4140+I4140</f>
        <v>3.468906</v>
      </c>
      <c r="L4140" s="13" t="n">
        <f aca="false">MAX(0,D4140-K4140)</f>
        <v>1.471094</v>
      </c>
      <c r="M4140" s="13" t="n">
        <f aca="false">MAX(0,F4140-I4140-J4140)</f>
        <v>0</v>
      </c>
      <c r="N4140" s="13" t="n">
        <f aca="false">IF(Kalender!A114="",0,J4139-H4140)</f>
        <v>0.0348840000000001</v>
      </c>
    </row>
    <row r="4141" customFormat="false" ht="16.4" hidden="false" customHeight="false" outlineLevel="0" collapsed="false">
      <c r="A4141" s="13" t="str">
        <f aca="false">""</f>
        <v/>
      </c>
      <c r="B4141" s="13" t="n">
        <f aca="false">111</f>
        <v>111</v>
      </c>
      <c r="C4141" s="13" t="n">
        <f aca="false">IF(Szenarien!$H$22="OK",(IFERROR(SUMIF(Nutzungsprofile!$B$6:$B$11,"Schulbetrieb",Nutzungsprofile!$G$6:$G$11)*Kalender!C115/SUM(Kalender!$C$5:$C$370),0)+IFERROR(SUMIF(Nutzungsprofile!$B$6:$B$11,"Halle",Nutzungsprofile!$G$6:$G$11)*Kalender!D115/SUM(Kalender!$D$5:$D$370),0)+IFERROR(SUMIF(Nutzungsprofile!$B$6:$B$11,"Individuell",Nutzungsprofile!$G$6:$G$11)*Kalender!E115/SUM(Kalender!$E$5:$E$370),0))*Szenarien!$E$22,0)</f>
        <v>2.94</v>
      </c>
      <c r="D4141" s="13" t="n">
        <f aca="false">IF(Szenarien!$H$22="OK",(IFERROR(SUMIF(Nutzungsprofile!$B$17:$B$22,"Schulbetrieb",Nutzungsprofile!$G$17:$G$22)*Kalender!C115/SUM(Kalender!$C$5:$C$370),0)+IFERROR(SUMIF(Nutzungsprofile!$B$17:$B$22,"Halle",Nutzungsprofile!$G$17:$G$22)*Kalender!D115/SUM(Kalender!$D$5:$D$370),0)+IFERROR(SUMIF(Nutzungsprofile!$B$17:$B$22,"Individuell",Nutzungsprofile!$G$17:$G$22)*Kalender!E115/SUM(Kalender!$E$5:$E$370),0))*Szenarien!$D$22,0)</f>
        <v>4.94</v>
      </c>
      <c r="E4141" s="13" t="n">
        <f aca="false">IFERROR(MIN(C4141,Eingaben!$B$17)*Eingaben!$B$16,0)</f>
        <v>2.793</v>
      </c>
      <c r="F4141" s="13" t="n">
        <f aca="false">IFERROR(E4141*Eingaben!$B$15,0)</f>
        <v>2.5137</v>
      </c>
      <c r="G4141" s="13" t="n">
        <f aca="false">IFERROR(IF(Kalender!A115="",0,J4140*(1-Eingaben!$B$20)),0)</f>
        <v>0.7390278</v>
      </c>
      <c r="H4141" s="13" t="n">
        <f aca="false">MIN(G4141,D4141)</f>
        <v>0.7390278</v>
      </c>
      <c r="I4141" s="13" t="n">
        <f aca="false">IFERROR(MIN(F4141*Eingaben!$B$19,MAX(0,D4141-H4141)),0)</f>
        <v>1.75959</v>
      </c>
      <c r="J4141" s="13" t="n">
        <f aca="false">IFERROR(MIN(Eingaben!$B$18,MAX(0,F4141-I4141)),0)</f>
        <v>0.75411</v>
      </c>
      <c r="K4141" s="13" t="n">
        <f aca="false">H4141+I4141</f>
        <v>2.4986178</v>
      </c>
      <c r="L4141" s="13" t="n">
        <f aca="false">MAX(0,D4141-K4141)</f>
        <v>2.4413822</v>
      </c>
      <c r="M4141" s="13" t="n">
        <f aca="false">MAX(0,F4141-I4141-J4141)</f>
        <v>0</v>
      </c>
      <c r="N4141" s="13" t="n">
        <f aca="false">IF(Kalender!A115="",0,J4140-H4141)</f>
        <v>0.0150822</v>
      </c>
    </row>
    <row r="4142" customFormat="false" ht="16.4" hidden="false" customHeight="false" outlineLevel="0" collapsed="false">
      <c r="A4142" s="13" t="str">
        <f aca="false">""</f>
        <v/>
      </c>
      <c r="B4142" s="13" t="n">
        <f aca="false">112</f>
        <v>112</v>
      </c>
      <c r="C4142" s="13" t="n">
        <f aca="false">IF(Szenarien!$H$22="OK",(IFERROR(SUMIF(Nutzungsprofile!$B$6:$B$11,"Schulbetrieb",Nutzungsprofile!$G$6:$G$11)*Kalender!C116/SUM(Kalender!$C$5:$C$370),0)+IFERROR(SUMIF(Nutzungsprofile!$B$6:$B$11,"Halle",Nutzungsprofile!$G$6:$G$11)*Kalender!D116/SUM(Kalender!$D$5:$D$370),0)+IFERROR(SUMIF(Nutzungsprofile!$B$6:$B$11,"Individuell",Nutzungsprofile!$G$6:$G$11)*Kalender!E116/SUM(Kalender!$E$5:$E$370),0))*Szenarien!$E$22,0)</f>
        <v>2.94</v>
      </c>
      <c r="D4142" s="13" t="n">
        <f aca="false">IF(Szenarien!$H$22="OK",(IFERROR(SUMIF(Nutzungsprofile!$B$17:$B$22,"Schulbetrieb",Nutzungsprofile!$G$17:$G$22)*Kalender!C116/SUM(Kalender!$C$5:$C$370),0)+IFERROR(SUMIF(Nutzungsprofile!$B$17:$B$22,"Halle",Nutzungsprofile!$G$17:$G$22)*Kalender!D116/SUM(Kalender!$D$5:$D$370),0)+IFERROR(SUMIF(Nutzungsprofile!$B$17:$B$22,"Individuell",Nutzungsprofile!$G$17:$G$22)*Kalender!E116/SUM(Kalender!$E$5:$E$370),0))*Szenarien!$D$22,0)</f>
        <v>4.94</v>
      </c>
      <c r="E4142" s="13" t="n">
        <f aca="false">IFERROR(MIN(C4142,Eingaben!$B$17)*Eingaben!$B$16,0)</f>
        <v>2.793</v>
      </c>
      <c r="F4142" s="13" t="n">
        <f aca="false">IFERROR(E4142*Eingaben!$B$15,0)</f>
        <v>2.5137</v>
      </c>
      <c r="G4142" s="13" t="n">
        <f aca="false">IFERROR(IF(Kalender!A116="",0,J4141*(1-Eingaben!$B$20)),0)</f>
        <v>0.7390278</v>
      </c>
      <c r="H4142" s="13" t="n">
        <f aca="false">MIN(G4142,D4142)</f>
        <v>0.7390278</v>
      </c>
      <c r="I4142" s="13" t="n">
        <f aca="false">IFERROR(MIN(F4142*Eingaben!$B$19,MAX(0,D4142-H4142)),0)</f>
        <v>1.75959</v>
      </c>
      <c r="J4142" s="13" t="n">
        <f aca="false">IFERROR(MIN(Eingaben!$B$18,MAX(0,F4142-I4142)),0)</f>
        <v>0.75411</v>
      </c>
      <c r="K4142" s="13" t="n">
        <f aca="false">H4142+I4142</f>
        <v>2.4986178</v>
      </c>
      <c r="L4142" s="13" t="n">
        <f aca="false">MAX(0,D4142-K4142)</f>
        <v>2.4413822</v>
      </c>
      <c r="M4142" s="13" t="n">
        <f aca="false">MAX(0,F4142-I4142-J4142)</f>
        <v>0</v>
      </c>
      <c r="N4142" s="13" t="n">
        <f aca="false">IF(Kalender!A116="",0,J4141-H4142)</f>
        <v>0.0150822</v>
      </c>
    </row>
    <row r="4143" customFormat="false" ht="16.4" hidden="false" customHeight="false" outlineLevel="0" collapsed="false">
      <c r="A4143" s="13" t="str">
        <f aca="false">""</f>
        <v/>
      </c>
      <c r="B4143" s="13" t="n">
        <f aca="false">113</f>
        <v>113</v>
      </c>
      <c r="C4143" s="13" t="n">
        <f aca="false">IF(Szenarien!$H$22="OK",(IFERROR(SUMIF(Nutzungsprofile!$B$6:$B$11,"Schulbetrieb",Nutzungsprofile!$G$6:$G$11)*Kalender!C117/SUM(Kalender!$C$5:$C$370),0)+IFERROR(SUMIF(Nutzungsprofile!$B$6:$B$11,"Halle",Nutzungsprofile!$G$6:$G$11)*Kalender!D117/SUM(Kalender!$D$5:$D$370),0)+IFERROR(SUMIF(Nutzungsprofile!$B$6:$B$11,"Individuell",Nutzungsprofile!$G$6:$G$11)*Kalender!E117/SUM(Kalender!$E$5:$E$370),0))*Szenarien!$E$22,0)</f>
        <v>2.94</v>
      </c>
      <c r="D4143" s="13" t="n">
        <f aca="false">IF(Szenarien!$H$22="OK",(IFERROR(SUMIF(Nutzungsprofile!$B$17:$B$22,"Schulbetrieb",Nutzungsprofile!$G$17:$G$22)*Kalender!C117/SUM(Kalender!$C$5:$C$370),0)+IFERROR(SUMIF(Nutzungsprofile!$B$17:$B$22,"Halle",Nutzungsprofile!$G$17:$G$22)*Kalender!D117/SUM(Kalender!$D$5:$D$370),0)+IFERROR(SUMIF(Nutzungsprofile!$B$17:$B$22,"Individuell",Nutzungsprofile!$G$17:$G$22)*Kalender!E117/SUM(Kalender!$E$5:$E$370),0))*Szenarien!$D$22,0)</f>
        <v>4.94</v>
      </c>
      <c r="E4143" s="13" t="n">
        <f aca="false">IFERROR(MIN(C4143,Eingaben!$B$17)*Eingaben!$B$16,0)</f>
        <v>2.793</v>
      </c>
      <c r="F4143" s="13" t="n">
        <f aca="false">IFERROR(E4143*Eingaben!$B$15,0)</f>
        <v>2.5137</v>
      </c>
      <c r="G4143" s="13" t="n">
        <f aca="false">IFERROR(IF(Kalender!A117="",0,J4142*(1-Eingaben!$B$20)),0)</f>
        <v>0.7390278</v>
      </c>
      <c r="H4143" s="13" t="n">
        <f aca="false">MIN(G4143,D4143)</f>
        <v>0.7390278</v>
      </c>
      <c r="I4143" s="13" t="n">
        <f aca="false">IFERROR(MIN(F4143*Eingaben!$B$19,MAX(0,D4143-H4143)),0)</f>
        <v>1.75959</v>
      </c>
      <c r="J4143" s="13" t="n">
        <f aca="false">IFERROR(MIN(Eingaben!$B$18,MAX(0,F4143-I4143)),0)</f>
        <v>0.75411</v>
      </c>
      <c r="K4143" s="13" t="n">
        <f aca="false">H4143+I4143</f>
        <v>2.4986178</v>
      </c>
      <c r="L4143" s="13" t="n">
        <f aca="false">MAX(0,D4143-K4143)</f>
        <v>2.4413822</v>
      </c>
      <c r="M4143" s="13" t="n">
        <f aca="false">MAX(0,F4143-I4143-J4143)</f>
        <v>0</v>
      </c>
      <c r="N4143" s="13" t="n">
        <f aca="false">IF(Kalender!A117="",0,J4142-H4143)</f>
        <v>0.0150822</v>
      </c>
    </row>
    <row r="4144" customFormat="false" ht="16.4" hidden="false" customHeight="false" outlineLevel="0" collapsed="false">
      <c r="A4144" s="13" t="str">
        <f aca="false">""</f>
        <v/>
      </c>
      <c r="B4144" s="13" t="n">
        <f aca="false">114</f>
        <v>114</v>
      </c>
      <c r="C4144" s="13" t="n">
        <f aca="false">IF(Szenarien!$H$22="OK",(IFERROR(SUMIF(Nutzungsprofile!$B$6:$B$11,"Schulbetrieb",Nutzungsprofile!$G$6:$G$11)*Kalender!C118/SUM(Kalender!$C$5:$C$370),0)+IFERROR(SUMIF(Nutzungsprofile!$B$6:$B$11,"Halle",Nutzungsprofile!$G$6:$G$11)*Kalender!D118/SUM(Kalender!$D$5:$D$370),0)+IFERROR(SUMIF(Nutzungsprofile!$B$6:$B$11,"Individuell",Nutzungsprofile!$G$6:$G$11)*Kalender!E118/SUM(Kalender!$E$5:$E$370),0))*Szenarien!$E$22,0)</f>
        <v>2.94</v>
      </c>
      <c r="D4144" s="13" t="n">
        <f aca="false">IF(Szenarien!$H$22="OK",(IFERROR(SUMIF(Nutzungsprofile!$B$17:$B$22,"Schulbetrieb",Nutzungsprofile!$G$17:$G$22)*Kalender!C118/SUM(Kalender!$C$5:$C$370),0)+IFERROR(SUMIF(Nutzungsprofile!$B$17:$B$22,"Halle",Nutzungsprofile!$G$17:$G$22)*Kalender!D118/SUM(Kalender!$D$5:$D$370),0)+IFERROR(SUMIF(Nutzungsprofile!$B$17:$B$22,"Individuell",Nutzungsprofile!$G$17:$G$22)*Kalender!E118/SUM(Kalender!$E$5:$E$370),0))*Szenarien!$D$22,0)</f>
        <v>4.94</v>
      </c>
      <c r="E4144" s="13" t="n">
        <f aca="false">IFERROR(MIN(C4144,Eingaben!$B$17)*Eingaben!$B$16,0)</f>
        <v>2.793</v>
      </c>
      <c r="F4144" s="13" t="n">
        <f aca="false">IFERROR(E4144*Eingaben!$B$15,0)</f>
        <v>2.5137</v>
      </c>
      <c r="G4144" s="13" t="n">
        <f aca="false">IFERROR(IF(Kalender!A118="",0,J4143*(1-Eingaben!$B$20)),0)</f>
        <v>0.7390278</v>
      </c>
      <c r="H4144" s="13" t="n">
        <f aca="false">MIN(G4144,D4144)</f>
        <v>0.7390278</v>
      </c>
      <c r="I4144" s="13" t="n">
        <f aca="false">IFERROR(MIN(F4144*Eingaben!$B$19,MAX(0,D4144-H4144)),0)</f>
        <v>1.75959</v>
      </c>
      <c r="J4144" s="13" t="n">
        <f aca="false">IFERROR(MIN(Eingaben!$B$18,MAX(0,F4144-I4144)),0)</f>
        <v>0.75411</v>
      </c>
      <c r="K4144" s="13" t="n">
        <f aca="false">H4144+I4144</f>
        <v>2.4986178</v>
      </c>
      <c r="L4144" s="13" t="n">
        <f aca="false">MAX(0,D4144-K4144)</f>
        <v>2.4413822</v>
      </c>
      <c r="M4144" s="13" t="n">
        <f aca="false">MAX(0,F4144-I4144-J4144)</f>
        <v>0</v>
      </c>
      <c r="N4144" s="13" t="n">
        <f aca="false">IF(Kalender!A118="",0,J4143-H4144)</f>
        <v>0.0150822</v>
      </c>
    </row>
    <row r="4145" customFormat="false" ht="16.4" hidden="false" customHeight="false" outlineLevel="0" collapsed="false">
      <c r="A4145" s="13" t="str">
        <f aca="false">""</f>
        <v/>
      </c>
      <c r="B4145" s="13" t="n">
        <f aca="false">115</f>
        <v>115</v>
      </c>
      <c r="C4145" s="13" t="n">
        <f aca="false">IF(Szenarien!$H$22="OK",(IFERROR(SUMIF(Nutzungsprofile!$B$6:$B$11,"Schulbetrieb",Nutzungsprofile!$G$6:$G$11)*Kalender!C119/SUM(Kalender!$C$5:$C$370),0)+IFERROR(SUMIF(Nutzungsprofile!$B$6:$B$11,"Halle",Nutzungsprofile!$G$6:$G$11)*Kalender!D119/SUM(Kalender!$D$5:$D$370),0)+IFERROR(SUMIF(Nutzungsprofile!$B$6:$B$11,"Individuell",Nutzungsprofile!$G$6:$G$11)*Kalender!E119/SUM(Kalender!$E$5:$E$370),0))*Szenarien!$E$22,0)</f>
        <v>2.04</v>
      </c>
      <c r="D4145" s="13" t="n">
        <f aca="false">IF(Szenarien!$H$22="OK",(IFERROR(SUMIF(Nutzungsprofile!$B$17:$B$22,"Schulbetrieb",Nutzungsprofile!$G$17:$G$22)*Kalender!C119/SUM(Kalender!$C$5:$C$370),0)+IFERROR(SUMIF(Nutzungsprofile!$B$17:$B$22,"Halle",Nutzungsprofile!$G$17:$G$22)*Kalender!D119/SUM(Kalender!$D$5:$D$370),0)+IFERROR(SUMIF(Nutzungsprofile!$B$17:$B$22,"Individuell",Nutzungsprofile!$G$17:$G$22)*Kalender!E119/SUM(Kalender!$E$5:$E$370),0))*Szenarien!$D$22,0)</f>
        <v>0.89</v>
      </c>
      <c r="E4145" s="13" t="n">
        <f aca="false">IFERROR(MIN(C4145,Eingaben!$B$17)*Eingaben!$B$16,0)</f>
        <v>1.938</v>
      </c>
      <c r="F4145" s="13" t="n">
        <f aca="false">IFERROR(E4145*Eingaben!$B$15,0)</f>
        <v>1.7442</v>
      </c>
      <c r="G4145" s="13" t="n">
        <f aca="false">IFERROR(IF(Kalender!A119="",0,J4144*(1-Eingaben!$B$20)),0)</f>
        <v>0.7390278</v>
      </c>
      <c r="H4145" s="13" t="n">
        <f aca="false">MIN(G4145,D4145)</f>
        <v>0.7390278</v>
      </c>
      <c r="I4145" s="13" t="n">
        <f aca="false">IFERROR(MIN(F4145*Eingaben!$B$19,MAX(0,D4145-H4145)),0)</f>
        <v>0.1509722</v>
      </c>
      <c r="J4145" s="13" t="n">
        <f aca="false">IFERROR(MIN(Eingaben!$B$18,MAX(0,F4145-I4145)),0)</f>
        <v>1.5932278</v>
      </c>
      <c r="K4145" s="13" t="n">
        <f aca="false">H4145+I4145</f>
        <v>0.89</v>
      </c>
      <c r="L4145" s="13" t="n">
        <f aca="false">MAX(0,D4145-K4145)</f>
        <v>0</v>
      </c>
      <c r="M4145" s="13" t="n">
        <f aca="false">MAX(0,F4145-I4145-J4145)</f>
        <v>0</v>
      </c>
      <c r="N4145" s="13" t="n">
        <f aca="false">IF(Kalender!A119="",0,J4144-H4145)</f>
        <v>0.0150822</v>
      </c>
    </row>
    <row r="4146" customFormat="false" ht="16.4" hidden="false" customHeight="false" outlineLevel="0" collapsed="false">
      <c r="A4146" s="13" t="str">
        <f aca="false">""</f>
        <v/>
      </c>
      <c r="B4146" s="13" t="n">
        <f aca="false">116</f>
        <v>116</v>
      </c>
      <c r="C4146" s="13" t="n">
        <f aca="false">IF(Szenarien!$H$22="OK",(IFERROR(SUMIF(Nutzungsprofile!$B$6:$B$11,"Schulbetrieb",Nutzungsprofile!$G$6:$G$11)*Kalender!C120/SUM(Kalender!$C$5:$C$370),0)+IFERROR(SUMIF(Nutzungsprofile!$B$6:$B$11,"Halle",Nutzungsprofile!$G$6:$G$11)*Kalender!D120/SUM(Kalender!$D$5:$D$370),0)+IFERROR(SUMIF(Nutzungsprofile!$B$6:$B$11,"Individuell",Nutzungsprofile!$G$6:$G$11)*Kalender!E120/SUM(Kalender!$E$5:$E$370),0))*Szenarien!$E$22,0)</f>
        <v>2.04</v>
      </c>
      <c r="D4146" s="13" t="n">
        <f aca="false">IF(Szenarien!$H$22="OK",(IFERROR(SUMIF(Nutzungsprofile!$B$17:$B$22,"Schulbetrieb",Nutzungsprofile!$G$17:$G$22)*Kalender!C120/SUM(Kalender!$C$5:$C$370),0)+IFERROR(SUMIF(Nutzungsprofile!$B$17:$B$22,"Halle",Nutzungsprofile!$G$17:$G$22)*Kalender!D120/SUM(Kalender!$D$5:$D$370),0)+IFERROR(SUMIF(Nutzungsprofile!$B$17:$B$22,"Individuell",Nutzungsprofile!$G$17:$G$22)*Kalender!E120/SUM(Kalender!$E$5:$E$370),0))*Szenarien!$D$22,0)</f>
        <v>0.89</v>
      </c>
      <c r="E4146" s="13" t="n">
        <f aca="false">IFERROR(MIN(C4146,Eingaben!$B$17)*Eingaben!$B$16,0)</f>
        <v>1.938</v>
      </c>
      <c r="F4146" s="13" t="n">
        <f aca="false">IFERROR(E4146*Eingaben!$B$15,0)</f>
        <v>1.7442</v>
      </c>
      <c r="G4146" s="13" t="n">
        <f aca="false">IFERROR(IF(Kalender!A120="",0,J4145*(1-Eingaben!$B$20)),0)</f>
        <v>1.561363244</v>
      </c>
      <c r="H4146" s="13" t="n">
        <f aca="false">MIN(G4146,D4146)</f>
        <v>0.89</v>
      </c>
      <c r="I4146" s="13" t="n">
        <f aca="false">IFERROR(MIN(F4146*Eingaben!$B$19,MAX(0,D4146-H4146)),0)</f>
        <v>0</v>
      </c>
      <c r="J4146" s="13" t="n">
        <f aca="false">IFERROR(MIN(Eingaben!$B$18,MAX(0,F4146-I4146)),0)</f>
        <v>1.7442</v>
      </c>
      <c r="K4146" s="13" t="n">
        <f aca="false">H4146+I4146</f>
        <v>0.89</v>
      </c>
      <c r="L4146" s="13" t="n">
        <f aca="false">MAX(0,D4146-K4146)</f>
        <v>0</v>
      </c>
      <c r="M4146" s="13" t="n">
        <f aca="false">MAX(0,F4146-I4146-J4146)</f>
        <v>0</v>
      </c>
      <c r="N4146" s="13" t="n">
        <f aca="false">IF(Kalender!A120="",0,J4145-H4146)</f>
        <v>0.7032278</v>
      </c>
    </row>
    <row r="4147" customFormat="false" ht="16.4" hidden="false" customHeight="false" outlineLevel="0" collapsed="false">
      <c r="A4147" s="13" t="str">
        <f aca="false">""</f>
        <v/>
      </c>
      <c r="B4147" s="13" t="n">
        <f aca="false">117</f>
        <v>117</v>
      </c>
      <c r="C4147" s="13" t="n">
        <f aca="false">IF(Szenarien!$H$22="OK",(IFERROR(SUMIF(Nutzungsprofile!$B$6:$B$11,"Schulbetrieb",Nutzungsprofile!$G$6:$G$11)*Kalender!C121/SUM(Kalender!$C$5:$C$370),0)+IFERROR(SUMIF(Nutzungsprofile!$B$6:$B$11,"Halle",Nutzungsprofile!$G$6:$G$11)*Kalender!D121/SUM(Kalender!$D$5:$D$370),0)+IFERROR(SUMIF(Nutzungsprofile!$B$6:$B$11,"Individuell",Nutzungsprofile!$G$6:$G$11)*Kalender!E121/SUM(Kalender!$E$5:$E$370),0))*Szenarien!$E$22,0)</f>
        <v>2.94</v>
      </c>
      <c r="D4147" s="13" t="n">
        <f aca="false">IF(Szenarien!$H$22="OK",(IFERROR(SUMIF(Nutzungsprofile!$B$17:$B$22,"Schulbetrieb",Nutzungsprofile!$G$17:$G$22)*Kalender!C121/SUM(Kalender!$C$5:$C$370),0)+IFERROR(SUMIF(Nutzungsprofile!$B$17:$B$22,"Halle",Nutzungsprofile!$G$17:$G$22)*Kalender!D121/SUM(Kalender!$D$5:$D$370),0)+IFERROR(SUMIF(Nutzungsprofile!$B$17:$B$22,"Individuell",Nutzungsprofile!$G$17:$G$22)*Kalender!E121/SUM(Kalender!$E$5:$E$370),0))*Szenarien!$D$22,0)</f>
        <v>4.94</v>
      </c>
      <c r="E4147" s="13" t="n">
        <f aca="false">IFERROR(MIN(C4147,Eingaben!$B$17)*Eingaben!$B$16,0)</f>
        <v>2.793</v>
      </c>
      <c r="F4147" s="13" t="n">
        <f aca="false">IFERROR(E4147*Eingaben!$B$15,0)</f>
        <v>2.5137</v>
      </c>
      <c r="G4147" s="13" t="n">
        <f aca="false">IFERROR(IF(Kalender!A121="",0,J4146*(1-Eingaben!$B$20)),0)</f>
        <v>1.709316</v>
      </c>
      <c r="H4147" s="13" t="n">
        <f aca="false">MIN(G4147,D4147)</f>
        <v>1.709316</v>
      </c>
      <c r="I4147" s="13" t="n">
        <f aca="false">IFERROR(MIN(F4147*Eingaben!$B$19,MAX(0,D4147-H4147)),0)</f>
        <v>1.75959</v>
      </c>
      <c r="J4147" s="13" t="n">
        <f aca="false">IFERROR(MIN(Eingaben!$B$18,MAX(0,F4147-I4147)),0)</f>
        <v>0.75411</v>
      </c>
      <c r="K4147" s="13" t="n">
        <f aca="false">H4147+I4147</f>
        <v>3.468906</v>
      </c>
      <c r="L4147" s="13" t="n">
        <f aca="false">MAX(0,D4147-K4147)</f>
        <v>1.471094</v>
      </c>
      <c r="M4147" s="13" t="n">
        <f aca="false">MAX(0,F4147-I4147-J4147)</f>
        <v>0</v>
      </c>
      <c r="N4147" s="13" t="n">
        <f aca="false">IF(Kalender!A121="",0,J4146-H4147)</f>
        <v>0.0348840000000001</v>
      </c>
    </row>
    <row r="4148" customFormat="false" ht="16.4" hidden="false" customHeight="false" outlineLevel="0" collapsed="false">
      <c r="A4148" s="13" t="str">
        <f aca="false">""</f>
        <v/>
      </c>
      <c r="B4148" s="13" t="n">
        <f aca="false">118</f>
        <v>118</v>
      </c>
      <c r="C4148" s="13" t="n">
        <f aca="false">IF(Szenarien!$H$22="OK",(IFERROR(SUMIF(Nutzungsprofile!$B$6:$B$11,"Schulbetrieb",Nutzungsprofile!$G$6:$G$11)*Kalender!C122/SUM(Kalender!$C$5:$C$370),0)+IFERROR(SUMIF(Nutzungsprofile!$B$6:$B$11,"Halle",Nutzungsprofile!$G$6:$G$11)*Kalender!D122/SUM(Kalender!$D$5:$D$370),0)+IFERROR(SUMIF(Nutzungsprofile!$B$6:$B$11,"Individuell",Nutzungsprofile!$G$6:$G$11)*Kalender!E122/SUM(Kalender!$E$5:$E$370),0))*Szenarien!$E$22,0)</f>
        <v>2.94</v>
      </c>
      <c r="D4148" s="13" t="n">
        <f aca="false">IF(Szenarien!$H$22="OK",(IFERROR(SUMIF(Nutzungsprofile!$B$17:$B$22,"Schulbetrieb",Nutzungsprofile!$G$17:$G$22)*Kalender!C122/SUM(Kalender!$C$5:$C$370),0)+IFERROR(SUMIF(Nutzungsprofile!$B$17:$B$22,"Halle",Nutzungsprofile!$G$17:$G$22)*Kalender!D122/SUM(Kalender!$D$5:$D$370),0)+IFERROR(SUMIF(Nutzungsprofile!$B$17:$B$22,"Individuell",Nutzungsprofile!$G$17:$G$22)*Kalender!E122/SUM(Kalender!$E$5:$E$370),0))*Szenarien!$D$22,0)</f>
        <v>4.94</v>
      </c>
      <c r="E4148" s="13" t="n">
        <f aca="false">IFERROR(MIN(C4148,Eingaben!$B$17)*Eingaben!$B$16,0)</f>
        <v>2.793</v>
      </c>
      <c r="F4148" s="13" t="n">
        <f aca="false">IFERROR(E4148*Eingaben!$B$15,0)</f>
        <v>2.5137</v>
      </c>
      <c r="G4148" s="13" t="n">
        <f aca="false">IFERROR(IF(Kalender!A122="",0,J4147*(1-Eingaben!$B$20)),0)</f>
        <v>0.7390278</v>
      </c>
      <c r="H4148" s="13" t="n">
        <f aca="false">MIN(G4148,D4148)</f>
        <v>0.7390278</v>
      </c>
      <c r="I4148" s="13" t="n">
        <f aca="false">IFERROR(MIN(F4148*Eingaben!$B$19,MAX(0,D4148-H4148)),0)</f>
        <v>1.75959</v>
      </c>
      <c r="J4148" s="13" t="n">
        <f aca="false">IFERROR(MIN(Eingaben!$B$18,MAX(0,F4148-I4148)),0)</f>
        <v>0.75411</v>
      </c>
      <c r="K4148" s="13" t="n">
        <f aca="false">H4148+I4148</f>
        <v>2.4986178</v>
      </c>
      <c r="L4148" s="13" t="n">
        <f aca="false">MAX(0,D4148-K4148)</f>
        <v>2.4413822</v>
      </c>
      <c r="M4148" s="13" t="n">
        <f aca="false">MAX(0,F4148-I4148-J4148)</f>
        <v>0</v>
      </c>
      <c r="N4148" s="13" t="n">
        <f aca="false">IF(Kalender!A122="",0,J4147-H4148)</f>
        <v>0.0150822</v>
      </c>
    </row>
    <row r="4149" customFormat="false" ht="16.4" hidden="false" customHeight="false" outlineLevel="0" collapsed="false">
      <c r="A4149" s="13" t="str">
        <f aca="false">""</f>
        <v/>
      </c>
      <c r="B4149" s="13" t="n">
        <f aca="false">119</f>
        <v>119</v>
      </c>
      <c r="C4149" s="13" t="n">
        <f aca="false">IF(Szenarien!$H$22="OK",(IFERROR(SUMIF(Nutzungsprofile!$B$6:$B$11,"Schulbetrieb",Nutzungsprofile!$G$6:$G$11)*Kalender!C123/SUM(Kalender!$C$5:$C$370),0)+IFERROR(SUMIF(Nutzungsprofile!$B$6:$B$11,"Halle",Nutzungsprofile!$G$6:$G$11)*Kalender!D123/SUM(Kalender!$D$5:$D$370),0)+IFERROR(SUMIF(Nutzungsprofile!$B$6:$B$11,"Individuell",Nutzungsprofile!$G$6:$G$11)*Kalender!E123/SUM(Kalender!$E$5:$E$370),0))*Szenarien!$E$22,0)</f>
        <v>2.94</v>
      </c>
      <c r="D4149" s="13" t="n">
        <f aca="false">IF(Szenarien!$H$22="OK",(IFERROR(SUMIF(Nutzungsprofile!$B$17:$B$22,"Schulbetrieb",Nutzungsprofile!$G$17:$G$22)*Kalender!C123/SUM(Kalender!$C$5:$C$370),0)+IFERROR(SUMIF(Nutzungsprofile!$B$17:$B$22,"Halle",Nutzungsprofile!$G$17:$G$22)*Kalender!D123/SUM(Kalender!$D$5:$D$370),0)+IFERROR(SUMIF(Nutzungsprofile!$B$17:$B$22,"Individuell",Nutzungsprofile!$G$17:$G$22)*Kalender!E123/SUM(Kalender!$E$5:$E$370),0))*Szenarien!$D$22,0)</f>
        <v>4.94</v>
      </c>
      <c r="E4149" s="13" t="n">
        <f aca="false">IFERROR(MIN(C4149,Eingaben!$B$17)*Eingaben!$B$16,0)</f>
        <v>2.793</v>
      </c>
      <c r="F4149" s="13" t="n">
        <f aca="false">IFERROR(E4149*Eingaben!$B$15,0)</f>
        <v>2.5137</v>
      </c>
      <c r="G4149" s="13" t="n">
        <f aca="false">IFERROR(IF(Kalender!A123="",0,J4148*(1-Eingaben!$B$20)),0)</f>
        <v>0.7390278</v>
      </c>
      <c r="H4149" s="13" t="n">
        <f aca="false">MIN(G4149,D4149)</f>
        <v>0.7390278</v>
      </c>
      <c r="I4149" s="13" t="n">
        <f aca="false">IFERROR(MIN(F4149*Eingaben!$B$19,MAX(0,D4149-H4149)),0)</f>
        <v>1.75959</v>
      </c>
      <c r="J4149" s="13" t="n">
        <f aca="false">IFERROR(MIN(Eingaben!$B$18,MAX(0,F4149-I4149)),0)</f>
        <v>0.75411</v>
      </c>
      <c r="K4149" s="13" t="n">
        <f aca="false">H4149+I4149</f>
        <v>2.4986178</v>
      </c>
      <c r="L4149" s="13" t="n">
        <f aca="false">MAX(0,D4149-K4149)</f>
        <v>2.4413822</v>
      </c>
      <c r="M4149" s="13" t="n">
        <f aca="false">MAX(0,F4149-I4149-J4149)</f>
        <v>0</v>
      </c>
      <c r="N4149" s="13" t="n">
        <f aca="false">IF(Kalender!A123="",0,J4148-H4149)</f>
        <v>0.0150822</v>
      </c>
    </row>
    <row r="4150" customFormat="false" ht="16.4" hidden="false" customHeight="false" outlineLevel="0" collapsed="false">
      <c r="A4150" s="13" t="str">
        <f aca="false">""</f>
        <v/>
      </c>
      <c r="B4150" s="13" t="n">
        <f aca="false">120</f>
        <v>120</v>
      </c>
      <c r="C4150" s="13" t="n">
        <f aca="false">IF(Szenarien!$H$22="OK",(IFERROR(SUMIF(Nutzungsprofile!$B$6:$B$11,"Schulbetrieb",Nutzungsprofile!$G$6:$G$11)*Kalender!C124/SUM(Kalender!$C$5:$C$370),0)+IFERROR(SUMIF(Nutzungsprofile!$B$6:$B$11,"Halle",Nutzungsprofile!$G$6:$G$11)*Kalender!D124/SUM(Kalender!$D$5:$D$370),0)+IFERROR(SUMIF(Nutzungsprofile!$B$6:$B$11,"Individuell",Nutzungsprofile!$G$6:$G$11)*Kalender!E124/SUM(Kalender!$E$5:$E$370),0))*Szenarien!$E$22,0)</f>
        <v>2.94</v>
      </c>
      <c r="D4150" s="13" t="n">
        <f aca="false">IF(Szenarien!$H$22="OK",(IFERROR(SUMIF(Nutzungsprofile!$B$17:$B$22,"Schulbetrieb",Nutzungsprofile!$G$17:$G$22)*Kalender!C124/SUM(Kalender!$C$5:$C$370),0)+IFERROR(SUMIF(Nutzungsprofile!$B$17:$B$22,"Halle",Nutzungsprofile!$G$17:$G$22)*Kalender!D124/SUM(Kalender!$D$5:$D$370),0)+IFERROR(SUMIF(Nutzungsprofile!$B$17:$B$22,"Individuell",Nutzungsprofile!$G$17:$G$22)*Kalender!E124/SUM(Kalender!$E$5:$E$370),0))*Szenarien!$D$22,0)</f>
        <v>4.94</v>
      </c>
      <c r="E4150" s="13" t="n">
        <f aca="false">IFERROR(MIN(C4150,Eingaben!$B$17)*Eingaben!$B$16,0)</f>
        <v>2.793</v>
      </c>
      <c r="F4150" s="13" t="n">
        <f aca="false">IFERROR(E4150*Eingaben!$B$15,0)</f>
        <v>2.5137</v>
      </c>
      <c r="G4150" s="13" t="n">
        <f aca="false">IFERROR(IF(Kalender!A124="",0,J4149*(1-Eingaben!$B$20)),0)</f>
        <v>0.7390278</v>
      </c>
      <c r="H4150" s="13" t="n">
        <f aca="false">MIN(G4150,D4150)</f>
        <v>0.7390278</v>
      </c>
      <c r="I4150" s="13" t="n">
        <f aca="false">IFERROR(MIN(F4150*Eingaben!$B$19,MAX(0,D4150-H4150)),0)</f>
        <v>1.75959</v>
      </c>
      <c r="J4150" s="13" t="n">
        <f aca="false">IFERROR(MIN(Eingaben!$B$18,MAX(0,F4150-I4150)),0)</f>
        <v>0.75411</v>
      </c>
      <c r="K4150" s="13" t="n">
        <f aca="false">H4150+I4150</f>
        <v>2.4986178</v>
      </c>
      <c r="L4150" s="13" t="n">
        <f aca="false">MAX(0,D4150-K4150)</f>
        <v>2.4413822</v>
      </c>
      <c r="M4150" s="13" t="n">
        <f aca="false">MAX(0,F4150-I4150-J4150)</f>
        <v>0</v>
      </c>
      <c r="N4150" s="13" t="n">
        <f aca="false">IF(Kalender!A124="",0,J4149-H4150)</f>
        <v>0.0150822</v>
      </c>
    </row>
    <row r="4151" customFormat="false" ht="16.4" hidden="false" customHeight="false" outlineLevel="0" collapsed="false">
      <c r="A4151" s="13" t="str">
        <f aca="false">""</f>
        <v/>
      </c>
      <c r="B4151" s="13" t="n">
        <f aca="false">121</f>
        <v>121</v>
      </c>
      <c r="C4151" s="13" t="n">
        <f aca="false">IF(Szenarien!$H$22="OK",(IFERROR(SUMIF(Nutzungsprofile!$B$6:$B$11,"Schulbetrieb",Nutzungsprofile!$G$6:$G$11)*Kalender!C125/SUM(Kalender!$C$5:$C$370),0)+IFERROR(SUMIF(Nutzungsprofile!$B$6:$B$11,"Halle",Nutzungsprofile!$G$6:$G$11)*Kalender!D125/SUM(Kalender!$D$5:$D$370),0)+IFERROR(SUMIF(Nutzungsprofile!$B$6:$B$11,"Individuell",Nutzungsprofile!$G$6:$G$11)*Kalender!E125/SUM(Kalender!$E$5:$E$370),0))*Szenarien!$E$22,0)</f>
        <v>2.94</v>
      </c>
      <c r="D4151" s="13" t="n">
        <f aca="false">IF(Szenarien!$H$22="OK",(IFERROR(SUMIF(Nutzungsprofile!$B$17:$B$22,"Schulbetrieb",Nutzungsprofile!$G$17:$G$22)*Kalender!C125/SUM(Kalender!$C$5:$C$370),0)+IFERROR(SUMIF(Nutzungsprofile!$B$17:$B$22,"Halle",Nutzungsprofile!$G$17:$G$22)*Kalender!D125/SUM(Kalender!$D$5:$D$370),0)+IFERROR(SUMIF(Nutzungsprofile!$B$17:$B$22,"Individuell",Nutzungsprofile!$G$17:$G$22)*Kalender!E125/SUM(Kalender!$E$5:$E$370),0))*Szenarien!$D$22,0)</f>
        <v>4.94</v>
      </c>
      <c r="E4151" s="13" t="n">
        <f aca="false">IFERROR(MIN(C4151,Eingaben!$B$17)*Eingaben!$B$16,0)</f>
        <v>2.793</v>
      </c>
      <c r="F4151" s="13" t="n">
        <f aca="false">IFERROR(E4151*Eingaben!$B$15,0)</f>
        <v>2.5137</v>
      </c>
      <c r="G4151" s="13" t="n">
        <f aca="false">IFERROR(IF(Kalender!A125="",0,J4150*(1-Eingaben!$B$20)),0)</f>
        <v>0.7390278</v>
      </c>
      <c r="H4151" s="13" t="n">
        <f aca="false">MIN(G4151,D4151)</f>
        <v>0.7390278</v>
      </c>
      <c r="I4151" s="13" t="n">
        <f aca="false">IFERROR(MIN(F4151*Eingaben!$B$19,MAX(0,D4151-H4151)),0)</f>
        <v>1.75959</v>
      </c>
      <c r="J4151" s="13" t="n">
        <f aca="false">IFERROR(MIN(Eingaben!$B$18,MAX(0,F4151-I4151)),0)</f>
        <v>0.75411</v>
      </c>
      <c r="K4151" s="13" t="n">
        <f aca="false">H4151+I4151</f>
        <v>2.4986178</v>
      </c>
      <c r="L4151" s="13" t="n">
        <f aca="false">MAX(0,D4151-K4151)</f>
        <v>2.4413822</v>
      </c>
      <c r="M4151" s="13" t="n">
        <f aca="false">MAX(0,F4151-I4151-J4151)</f>
        <v>0</v>
      </c>
      <c r="N4151" s="13" t="n">
        <f aca="false">IF(Kalender!A125="",0,J4150-H4151)</f>
        <v>0.0150822</v>
      </c>
    </row>
    <row r="4152" customFormat="false" ht="16.4" hidden="false" customHeight="false" outlineLevel="0" collapsed="false">
      <c r="A4152" s="13" t="str">
        <f aca="false">""</f>
        <v/>
      </c>
      <c r="B4152" s="13" t="n">
        <f aca="false">122</f>
        <v>122</v>
      </c>
      <c r="C4152" s="13" t="n">
        <f aca="false">IF(Szenarien!$H$22="OK",(IFERROR(SUMIF(Nutzungsprofile!$B$6:$B$11,"Schulbetrieb",Nutzungsprofile!$G$6:$G$11)*Kalender!C126/SUM(Kalender!$C$5:$C$370),0)+IFERROR(SUMIF(Nutzungsprofile!$B$6:$B$11,"Halle",Nutzungsprofile!$G$6:$G$11)*Kalender!D126/SUM(Kalender!$D$5:$D$370),0)+IFERROR(SUMIF(Nutzungsprofile!$B$6:$B$11,"Individuell",Nutzungsprofile!$G$6:$G$11)*Kalender!E126/SUM(Kalender!$E$5:$E$370),0))*Szenarien!$E$22,0)</f>
        <v>2.04</v>
      </c>
      <c r="D4152" s="13" t="n">
        <f aca="false">IF(Szenarien!$H$22="OK",(IFERROR(SUMIF(Nutzungsprofile!$B$17:$B$22,"Schulbetrieb",Nutzungsprofile!$G$17:$G$22)*Kalender!C126/SUM(Kalender!$C$5:$C$370),0)+IFERROR(SUMIF(Nutzungsprofile!$B$17:$B$22,"Halle",Nutzungsprofile!$G$17:$G$22)*Kalender!D126/SUM(Kalender!$D$5:$D$370),0)+IFERROR(SUMIF(Nutzungsprofile!$B$17:$B$22,"Individuell",Nutzungsprofile!$G$17:$G$22)*Kalender!E126/SUM(Kalender!$E$5:$E$370),0))*Szenarien!$D$22,0)</f>
        <v>0.89</v>
      </c>
      <c r="E4152" s="13" t="n">
        <f aca="false">IFERROR(MIN(C4152,Eingaben!$B$17)*Eingaben!$B$16,0)</f>
        <v>1.938</v>
      </c>
      <c r="F4152" s="13" t="n">
        <f aca="false">IFERROR(E4152*Eingaben!$B$15,0)</f>
        <v>1.7442</v>
      </c>
      <c r="G4152" s="13" t="n">
        <f aca="false">IFERROR(IF(Kalender!A126="",0,J4151*(1-Eingaben!$B$20)),0)</f>
        <v>0.7390278</v>
      </c>
      <c r="H4152" s="13" t="n">
        <f aca="false">MIN(G4152,D4152)</f>
        <v>0.7390278</v>
      </c>
      <c r="I4152" s="13" t="n">
        <f aca="false">IFERROR(MIN(F4152*Eingaben!$B$19,MAX(0,D4152-H4152)),0)</f>
        <v>0.1509722</v>
      </c>
      <c r="J4152" s="13" t="n">
        <f aca="false">IFERROR(MIN(Eingaben!$B$18,MAX(0,F4152-I4152)),0)</f>
        <v>1.5932278</v>
      </c>
      <c r="K4152" s="13" t="n">
        <f aca="false">H4152+I4152</f>
        <v>0.89</v>
      </c>
      <c r="L4152" s="13" t="n">
        <f aca="false">MAX(0,D4152-K4152)</f>
        <v>0</v>
      </c>
      <c r="M4152" s="13" t="n">
        <f aca="false">MAX(0,F4152-I4152-J4152)</f>
        <v>0</v>
      </c>
      <c r="N4152" s="13" t="n">
        <f aca="false">IF(Kalender!A126="",0,J4151-H4152)</f>
        <v>0.0150822</v>
      </c>
    </row>
    <row r="4153" customFormat="false" ht="16.4" hidden="false" customHeight="false" outlineLevel="0" collapsed="false">
      <c r="A4153" s="13" t="str">
        <f aca="false">""</f>
        <v/>
      </c>
      <c r="B4153" s="13" t="n">
        <f aca="false">123</f>
        <v>123</v>
      </c>
      <c r="C4153" s="13" t="n">
        <f aca="false">IF(Szenarien!$H$22="OK",(IFERROR(SUMIF(Nutzungsprofile!$B$6:$B$11,"Schulbetrieb",Nutzungsprofile!$G$6:$G$11)*Kalender!C127/SUM(Kalender!$C$5:$C$370),0)+IFERROR(SUMIF(Nutzungsprofile!$B$6:$B$11,"Halle",Nutzungsprofile!$G$6:$G$11)*Kalender!D127/SUM(Kalender!$D$5:$D$370),0)+IFERROR(SUMIF(Nutzungsprofile!$B$6:$B$11,"Individuell",Nutzungsprofile!$G$6:$G$11)*Kalender!E127/SUM(Kalender!$E$5:$E$370),0))*Szenarien!$E$22,0)</f>
        <v>2.04</v>
      </c>
      <c r="D4153" s="13" t="n">
        <f aca="false">IF(Szenarien!$H$22="OK",(IFERROR(SUMIF(Nutzungsprofile!$B$17:$B$22,"Schulbetrieb",Nutzungsprofile!$G$17:$G$22)*Kalender!C127/SUM(Kalender!$C$5:$C$370),0)+IFERROR(SUMIF(Nutzungsprofile!$B$17:$B$22,"Halle",Nutzungsprofile!$G$17:$G$22)*Kalender!D127/SUM(Kalender!$D$5:$D$370),0)+IFERROR(SUMIF(Nutzungsprofile!$B$17:$B$22,"Individuell",Nutzungsprofile!$G$17:$G$22)*Kalender!E127/SUM(Kalender!$E$5:$E$370),0))*Szenarien!$D$22,0)</f>
        <v>0.89</v>
      </c>
      <c r="E4153" s="13" t="n">
        <f aca="false">IFERROR(MIN(C4153,Eingaben!$B$17)*Eingaben!$B$16,0)</f>
        <v>1.938</v>
      </c>
      <c r="F4153" s="13" t="n">
        <f aca="false">IFERROR(E4153*Eingaben!$B$15,0)</f>
        <v>1.7442</v>
      </c>
      <c r="G4153" s="13" t="n">
        <f aca="false">IFERROR(IF(Kalender!A127="",0,J4152*(1-Eingaben!$B$20)),0)</f>
        <v>1.561363244</v>
      </c>
      <c r="H4153" s="13" t="n">
        <f aca="false">MIN(G4153,D4153)</f>
        <v>0.89</v>
      </c>
      <c r="I4153" s="13" t="n">
        <f aca="false">IFERROR(MIN(F4153*Eingaben!$B$19,MAX(0,D4153-H4153)),0)</f>
        <v>0</v>
      </c>
      <c r="J4153" s="13" t="n">
        <f aca="false">IFERROR(MIN(Eingaben!$B$18,MAX(0,F4153-I4153)),0)</f>
        <v>1.7442</v>
      </c>
      <c r="K4153" s="13" t="n">
        <f aca="false">H4153+I4153</f>
        <v>0.89</v>
      </c>
      <c r="L4153" s="13" t="n">
        <f aca="false">MAX(0,D4153-K4153)</f>
        <v>0</v>
      </c>
      <c r="M4153" s="13" t="n">
        <f aca="false">MAX(0,F4153-I4153-J4153)</f>
        <v>0</v>
      </c>
      <c r="N4153" s="13" t="n">
        <f aca="false">IF(Kalender!A127="",0,J4152-H4153)</f>
        <v>0.7032278</v>
      </c>
    </row>
    <row r="4154" customFormat="false" ht="16.4" hidden="false" customHeight="false" outlineLevel="0" collapsed="false">
      <c r="A4154" s="13" t="str">
        <f aca="false">""</f>
        <v/>
      </c>
      <c r="B4154" s="13" t="n">
        <f aca="false">124</f>
        <v>124</v>
      </c>
      <c r="C4154" s="13" t="n">
        <f aca="false">IF(Szenarien!$H$22="OK",(IFERROR(SUMIF(Nutzungsprofile!$B$6:$B$11,"Schulbetrieb",Nutzungsprofile!$G$6:$G$11)*Kalender!C128/SUM(Kalender!$C$5:$C$370),0)+IFERROR(SUMIF(Nutzungsprofile!$B$6:$B$11,"Halle",Nutzungsprofile!$G$6:$G$11)*Kalender!D128/SUM(Kalender!$D$5:$D$370),0)+IFERROR(SUMIF(Nutzungsprofile!$B$6:$B$11,"Individuell",Nutzungsprofile!$G$6:$G$11)*Kalender!E128/SUM(Kalender!$E$5:$E$370),0))*Szenarien!$E$22,0)</f>
        <v>2.94</v>
      </c>
      <c r="D4154" s="13" t="n">
        <f aca="false">IF(Szenarien!$H$22="OK",(IFERROR(SUMIF(Nutzungsprofile!$B$17:$B$22,"Schulbetrieb",Nutzungsprofile!$G$17:$G$22)*Kalender!C128/SUM(Kalender!$C$5:$C$370),0)+IFERROR(SUMIF(Nutzungsprofile!$B$17:$B$22,"Halle",Nutzungsprofile!$G$17:$G$22)*Kalender!D128/SUM(Kalender!$D$5:$D$370),0)+IFERROR(SUMIF(Nutzungsprofile!$B$17:$B$22,"Individuell",Nutzungsprofile!$G$17:$G$22)*Kalender!E128/SUM(Kalender!$E$5:$E$370),0))*Szenarien!$D$22,0)</f>
        <v>4.94</v>
      </c>
      <c r="E4154" s="13" t="n">
        <f aca="false">IFERROR(MIN(C4154,Eingaben!$B$17)*Eingaben!$B$16,0)</f>
        <v>2.793</v>
      </c>
      <c r="F4154" s="13" t="n">
        <f aca="false">IFERROR(E4154*Eingaben!$B$15,0)</f>
        <v>2.5137</v>
      </c>
      <c r="G4154" s="13" t="n">
        <f aca="false">IFERROR(IF(Kalender!A128="",0,J4153*(1-Eingaben!$B$20)),0)</f>
        <v>1.709316</v>
      </c>
      <c r="H4154" s="13" t="n">
        <f aca="false">MIN(G4154,D4154)</f>
        <v>1.709316</v>
      </c>
      <c r="I4154" s="13" t="n">
        <f aca="false">IFERROR(MIN(F4154*Eingaben!$B$19,MAX(0,D4154-H4154)),0)</f>
        <v>1.75959</v>
      </c>
      <c r="J4154" s="13" t="n">
        <f aca="false">IFERROR(MIN(Eingaben!$B$18,MAX(0,F4154-I4154)),0)</f>
        <v>0.75411</v>
      </c>
      <c r="K4154" s="13" t="n">
        <f aca="false">H4154+I4154</f>
        <v>3.468906</v>
      </c>
      <c r="L4154" s="13" t="n">
        <f aca="false">MAX(0,D4154-K4154)</f>
        <v>1.471094</v>
      </c>
      <c r="M4154" s="13" t="n">
        <f aca="false">MAX(0,F4154-I4154-J4154)</f>
        <v>0</v>
      </c>
      <c r="N4154" s="13" t="n">
        <f aca="false">IF(Kalender!A128="",0,J4153-H4154)</f>
        <v>0.0348840000000001</v>
      </c>
    </row>
    <row r="4155" customFormat="false" ht="16.4" hidden="false" customHeight="false" outlineLevel="0" collapsed="false">
      <c r="A4155" s="13" t="str">
        <f aca="false">""</f>
        <v/>
      </c>
      <c r="B4155" s="13" t="n">
        <f aca="false">125</f>
        <v>125</v>
      </c>
      <c r="C4155" s="13" t="n">
        <f aca="false">IF(Szenarien!$H$22="OK",(IFERROR(SUMIF(Nutzungsprofile!$B$6:$B$11,"Schulbetrieb",Nutzungsprofile!$G$6:$G$11)*Kalender!C129/SUM(Kalender!$C$5:$C$370),0)+IFERROR(SUMIF(Nutzungsprofile!$B$6:$B$11,"Halle",Nutzungsprofile!$G$6:$G$11)*Kalender!D129/SUM(Kalender!$D$5:$D$370),0)+IFERROR(SUMIF(Nutzungsprofile!$B$6:$B$11,"Individuell",Nutzungsprofile!$G$6:$G$11)*Kalender!E129/SUM(Kalender!$E$5:$E$370),0))*Szenarien!$E$22,0)</f>
        <v>2.94</v>
      </c>
      <c r="D4155" s="13" t="n">
        <f aca="false">IF(Szenarien!$H$22="OK",(IFERROR(SUMIF(Nutzungsprofile!$B$17:$B$22,"Schulbetrieb",Nutzungsprofile!$G$17:$G$22)*Kalender!C129/SUM(Kalender!$C$5:$C$370),0)+IFERROR(SUMIF(Nutzungsprofile!$B$17:$B$22,"Halle",Nutzungsprofile!$G$17:$G$22)*Kalender!D129/SUM(Kalender!$D$5:$D$370),0)+IFERROR(SUMIF(Nutzungsprofile!$B$17:$B$22,"Individuell",Nutzungsprofile!$G$17:$G$22)*Kalender!E129/SUM(Kalender!$E$5:$E$370),0))*Szenarien!$D$22,0)</f>
        <v>4.94</v>
      </c>
      <c r="E4155" s="13" t="n">
        <f aca="false">IFERROR(MIN(C4155,Eingaben!$B$17)*Eingaben!$B$16,0)</f>
        <v>2.793</v>
      </c>
      <c r="F4155" s="13" t="n">
        <f aca="false">IFERROR(E4155*Eingaben!$B$15,0)</f>
        <v>2.5137</v>
      </c>
      <c r="G4155" s="13" t="n">
        <f aca="false">IFERROR(IF(Kalender!A129="",0,J4154*(1-Eingaben!$B$20)),0)</f>
        <v>0.7390278</v>
      </c>
      <c r="H4155" s="13" t="n">
        <f aca="false">MIN(G4155,D4155)</f>
        <v>0.7390278</v>
      </c>
      <c r="I4155" s="13" t="n">
        <f aca="false">IFERROR(MIN(F4155*Eingaben!$B$19,MAX(0,D4155-H4155)),0)</f>
        <v>1.75959</v>
      </c>
      <c r="J4155" s="13" t="n">
        <f aca="false">IFERROR(MIN(Eingaben!$B$18,MAX(0,F4155-I4155)),0)</f>
        <v>0.75411</v>
      </c>
      <c r="K4155" s="13" t="n">
        <f aca="false">H4155+I4155</f>
        <v>2.4986178</v>
      </c>
      <c r="L4155" s="13" t="n">
        <f aca="false">MAX(0,D4155-K4155)</f>
        <v>2.4413822</v>
      </c>
      <c r="M4155" s="13" t="n">
        <f aca="false">MAX(0,F4155-I4155-J4155)</f>
        <v>0</v>
      </c>
      <c r="N4155" s="13" t="n">
        <f aca="false">IF(Kalender!A129="",0,J4154-H4155)</f>
        <v>0.0150822</v>
      </c>
    </row>
    <row r="4156" customFormat="false" ht="16.4" hidden="false" customHeight="false" outlineLevel="0" collapsed="false">
      <c r="A4156" s="13" t="str">
        <f aca="false">""</f>
        <v/>
      </c>
      <c r="B4156" s="13" t="n">
        <f aca="false">126</f>
        <v>126</v>
      </c>
      <c r="C4156" s="13" t="n">
        <f aca="false">IF(Szenarien!$H$22="OK",(IFERROR(SUMIF(Nutzungsprofile!$B$6:$B$11,"Schulbetrieb",Nutzungsprofile!$G$6:$G$11)*Kalender!C130/SUM(Kalender!$C$5:$C$370),0)+IFERROR(SUMIF(Nutzungsprofile!$B$6:$B$11,"Halle",Nutzungsprofile!$G$6:$G$11)*Kalender!D130/SUM(Kalender!$D$5:$D$370),0)+IFERROR(SUMIF(Nutzungsprofile!$B$6:$B$11,"Individuell",Nutzungsprofile!$G$6:$G$11)*Kalender!E130/SUM(Kalender!$E$5:$E$370),0))*Szenarien!$E$22,0)</f>
        <v>2.94</v>
      </c>
      <c r="D4156" s="13" t="n">
        <f aca="false">IF(Szenarien!$H$22="OK",(IFERROR(SUMIF(Nutzungsprofile!$B$17:$B$22,"Schulbetrieb",Nutzungsprofile!$G$17:$G$22)*Kalender!C130/SUM(Kalender!$C$5:$C$370),0)+IFERROR(SUMIF(Nutzungsprofile!$B$17:$B$22,"Halle",Nutzungsprofile!$G$17:$G$22)*Kalender!D130/SUM(Kalender!$D$5:$D$370),0)+IFERROR(SUMIF(Nutzungsprofile!$B$17:$B$22,"Individuell",Nutzungsprofile!$G$17:$G$22)*Kalender!E130/SUM(Kalender!$E$5:$E$370),0))*Szenarien!$D$22,0)</f>
        <v>4.94</v>
      </c>
      <c r="E4156" s="13" t="n">
        <f aca="false">IFERROR(MIN(C4156,Eingaben!$B$17)*Eingaben!$B$16,0)</f>
        <v>2.793</v>
      </c>
      <c r="F4156" s="13" t="n">
        <f aca="false">IFERROR(E4156*Eingaben!$B$15,0)</f>
        <v>2.5137</v>
      </c>
      <c r="G4156" s="13" t="n">
        <f aca="false">IFERROR(IF(Kalender!A130="",0,J4155*(1-Eingaben!$B$20)),0)</f>
        <v>0.7390278</v>
      </c>
      <c r="H4156" s="13" t="n">
        <f aca="false">MIN(G4156,D4156)</f>
        <v>0.7390278</v>
      </c>
      <c r="I4156" s="13" t="n">
        <f aca="false">IFERROR(MIN(F4156*Eingaben!$B$19,MAX(0,D4156-H4156)),0)</f>
        <v>1.75959</v>
      </c>
      <c r="J4156" s="13" t="n">
        <f aca="false">IFERROR(MIN(Eingaben!$B$18,MAX(0,F4156-I4156)),0)</f>
        <v>0.75411</v>
      </c>
      <c r="K4156" s="13" t="n">
        <f aca="false">H4156+I4156</f>
        <v>2.4986178</v>
      </c>
      <c r="L4156" s="13" t="n">
        <f aca="false">MAX(0,D4156-K4156)</f>
        <v>2.4413822</v>
      </c>
      <c r="M4156" s="13" t="n">
        <f aca="false">MAX(0,F4156-I4156-J4156)</f>
        <v>0</v>
      </c>
      <c r="N4156" s="13" t="n">
        <f aca="false">IF(Kalender!A130="",0,J4155-H4156)</f>
        <v>0.0150822</v>
      </c>
    </row>
    <row r="4157" customFormat="false" ht="16.4" hidden="false" customHeight="false" outlineLevel="0" collapsed="false">
      <c r="A4157" s="13" t="str">
        <f aca="false">""</f>
        <v/>
      </c>
      <c r="B4157" s="13" t="n">
        <f aca="false">127</f>
        <v>127</v>
      </c>
      <c r="C4157" s="13" t="n">
        <f aca="false">IF(Szenarien!$H$22="OK",(IFERROR(SUMIF(Nutzungsprofile!$B$6:$B$11,"Schulbetrieb",Nutzungsprofile!$G$6:$G$11)*Kalender!C131/SUM(Kalender!$C$5:$C$370),0)+IFERROR(SUMIF(Nutzungsprofile!$B$6:$B$11,"Halle",Nutzungsprofile!$G$6:$G$11)*Kalender!D131/SUM(Kalender!$D$5:$D$370),0)+IFERROR(SUMIF(Nutzungsprofile!$B$6:$B$11,"Individuell",Nutzungsprofile!$G$6:$G$11)*Kalender!E131/SUM(Kalender!$E$5:$E$370),0))*Szenarien!$E$22,0)</f>
        <v>2.94</v>
      </c>
      <c r="D4157" s="13" t="n">
        <f aca="false">IF(Szenarien!$H$22="OK",(IFERROR(SUMIF(Nutzungsprofile!$B$17:$B$22,"Schulbetrieb",Nutzungsprofile!$G$17:$G$22)*Kalender!C131/SUM(Kalender!$C$5:$C$370),0)+IFERROR(SUMIF(Nutzungsprofile!$B$17:$B$22,"Halle",Nutzungsprofile!$G$17:$G$22)*Kalender!D131/SUM(Kalender!$D$5:$D$370),0)+IFERROR(SUMIF(Nutzungsprofile!$B$17:$B$22,"Individuell",Nutzungsprofile!$G$17:$G$22)*Kalender!E131/SUM(Kalender!$E$5:$E$370),0))*Szenarien!$D$22,0)</f>
        <v>4.94</v>
      </c>
      <c r="E4157" s="13" t="n">
        <f aca="false">IFERROR(MIN(C4157,Eingaben!$B$17)*Eingaben!$B$16,0)</f>
        <v>2.793</v>
      </c>
      <c r="F4157" s="13" t="n">
        <f aca="false">IFERROR(E4157*Eingaben!$B$15,0)</f>
        <v>2.5137</v>
      </c>
      <c r="G4157" s="13" t="n">
        <f aca="false">IFERROR(IF(Kalender!A131="",0,J4156*(1-Eingaben!$B$20)),0)</f>
        <v>0.7390278</v>
      </c>
      <c r="H4157" s="13" t="n">
        <f aca="false">MIN(G4157,D4157)</f>
        <v>0.7390278</v>
      </c>
      <c r="I4157" s="13" t="n">
        <f aca="false">IFERROR(MIN(F4157*Eingaben!$B$19,MAX(0,D4157-H4157)),0)</f>
        <v>1.75959</v>
      </c>
      <c r="J4157" s="13" t="n">
        <f aca="false">IFERROR(MIN(Eingaben!$B$18,MAX(0,F4157-I4157)),0)</f>
        <v>0.75411</v>
      </c>
      <c r="K4157" s="13" t="n">
        <f aca="false">H4157+I4157</f>
        <v>2.4986178</v>
      </c>
      <c r="L4157" s="13" t="n">
        <f aca="false">MAX(0,D4157-K4157)</f>
        <v>2.4413822</v>
      </c>
      <c r="M4157" s="13" t="n">
        <f aca="false">MAX(0,F4157-I4157-J4157)</f>
        <v>0</v>
      </c>
      <c r="N4157" s="13" t="n">
        <f aca="false">IF(Kalender!A131="",0,J4156-H4157)</f>
        <v>0.0150822</v>
      </c>
    </row>
    <row r="4158" customFormat="false" ht="16.4" hidden="false" customHeight="false" outlineLevel="0" collapsed="false">
      <c r="A4158" s="13" t="str">
        <f aca="false">""</f>
        <v/>
      </c>
      <c r="B4158" s="13" t="n">
        <f aca="false">128</f>
        <v>128</v>
      </c>
      <c r="C4158" s="13" t="n">
        <f aca="false">IF(Szenarien!$H$22="OK",(IFERROR(SUMIF(Nutzungsprofile!$B$6:$B$11,"Schulbetrieb",Nutzungsprofile!$G$6:$G$11)*Kalender!C132/SUM(Kalender!$C$5:$C$370),0)+IFERROR(SUMIF(Nutzungsprofile!$B$6:$B$11,"Halle",Nutzungsprofile!$G$6:$G$11)*Kalender!D132/SUM(Kalender!$D$5:$D$370),0)+IFERROR(SUMIF(Nutzungsprofile!$B$6:$B$11,"Individuell",Nutzungsprofile!$G$6:$G$11)*Kalender!E132/SUM(Kalender!$E$5:$E$370),0))*Szenarien!$E$22,0)</f>
        <v>2.94</v>
      </c>
      <c r="D4158" s="13" t="n">
        <f aca="false">IF(Szenarien!$H$22="OK",(IFERROR(SUMIF(Nutzungsprofile!$B$17:$B$22,"Schulbetrieb",Nutzungsprofile!$G$17:$G$22)*Kalender!C132/SUM(Kalender!$C$5:$C$370),0)+IFERROR(SUMIF(Nutzungsprofile!$B$17:$B$22,"Halle",Nutzungsprofile!$G$17:$G$22)*Kalender!D132/SUM(Kalender!$D$5:$D$370),0)+IFERROR(SUMIF(Nutzungsprofile!$B$17:$B$22,"Individuell",Nutzungsprofile!$G$17:$G$22)*Kalender!E132/SUM(Kalender!$E$5:$E$370),0))*Szenarien!$D$22,0)</f>
        <v>4.94</v>
      </c>
      <c r="E4158" s="13" t="n">
        <f aca="false">IFERROR(MIN(C4158,Eingaben!$B$17)*Eingaben!$B$16,0)</f>
        <v>2.793</v>
      </c>
      <c r="F4158" s="13" t="n">
        <f aca="false">IFERROR(E4158*Eingaben!$B$15,0)</f>
        <v>2.5137</v>
      </c>
      <c r="G4158" s="13" t="n">
        <f aca="false">IFERROR(IF(Kalender!A132="",0,J4157*(1-Eingaben!$B$20)),0)</f>
        <v>0.7390278</v>
      </c>
      <c r="H4158" s="13" t="n">
        <f aca="false">MIN(G4158,D4158)</f>
        <v>0.7390278</v>
      </c>
      <c r="I4158" s="13" t="n">
        <f aca="false">IFERROR(MIN(F4158*Eingaben!$B$19,MAX(0,D4158-H4158)),0)</f>
        <v>1.75959</v>
      </c>
      <c r="J4158" s="13" t="n">
        <f aca="false">IFERROR(MIN(Eingaben!$B$18,MAX(0,F4158-I4158)),0)</f>
        <v>0.75411</v>
      </c>
      <c r="K4158" s="13" t="n">
        <f aca="false">H4158+I4158</f>
        <v>2.4986178</v>
      </c>
      <c r="L4158" s="13" t="n">
        <f aca="false">MAX(0,D4158-K4158)</f>
        <v>2.4413822</v>
      </c>
      <c r="M4158" s="13" t="n">
        <f aca="false">MAX(0,F4158-I4158-J4158)</f>
        <v>0</v>
      </c>
      <c r="N4158" s="13" t="n">
        <f aca="false">IF(Kalender!A132="",0,J4157-H4158)</f>
        <v>0.0150822</v>
      </c>
    </row>
    <row r="4159" customFormat="false" ht="16.4" hidden="false" customHeight="false" outlineLevel="0" collapsed="false">
      <c r="A4159" s="13" t="str">
        <f aca="false">""</f>
        <v/>
      </c>
      <c r="B4159" s="13" t="n">
        <f aca="false">129</f>
        <v>129</v>
      </c>
      <c r="C4159" s="13" t="n">
        <f aca="false">IF(Szenarien!$H$22="OK",(IFERROR(SUMIF(Nutzungsprofile!$B$6:$B$11,"Schulbetrieb",Nutzungsprofile!$G$6:$G$11)*Kalender!C133/SUM(Kalender!$C$5:$C$370),0)+IFERROR(SUMIF(Nutzungsprofile!$B$6:$B$11,"Halle",Nutzungsprofile!$G$6:$G$11)*Kalender!D133/SUM(Kalender!$D$5:$D$370),0)+IFERROR(SUMIF(Nutzungsprofile!$B$6:$B$11,"Individuell",Nutzungsprofile!$G$6:$G$11)*Kalender!E133/SUM(Kalender!$E$5:$E$370),0))*Szenarien!$E$22,0)</f>
        <v>2.04</v>
      </c>
      <c r="D4159" s="13" t="n">
        <f aca="false">IF(Szenarien!$H$22="OK",(IFERROR(SUMIF(Nutzungsprofile!$B$17:$B$22,"Schulbetrieb",Nutzungsprofile!$G$17:$G$22)*Kalender!C133/SUM(Kalender!$C$5:$C$370),0)+IFERROR(SUMIF(Nutzungsprofile!$B$17:$B$22,"Halle",Nutzungsprofile!$G$17:$G$22)*Kalender!D133/SUM(Kalender!$D$5:$D$370),0)+IFERROR(SUMIF(Nutzungsprofile!$B$17:$B$22,"Individuell",Nutzungsprofile!$G$17:$G$22)*Kalender!E133/SUM(Kalender!$E$5:$E$370),0))*Szenarien!$D$22,0)</f>
        <v>0.89</v>
      </c>
      <c r="E4159" s="13" t="n">
        <f aca="false">IFERROR(MIN(C4159,Eingaben!$B$17)*Eingaben!$B$16,0)</f>
        <v>1.938</v>
      </c>
      <c r="F4159" s="13" t="n">
        <f aca="false">IFERROR(E4159*Eingaben!$B$15,0)</f>
        <v>1.7442</v>
      </c>
      <c r="G4159" s="13" t="n">
        <f aca="false">IFERROR(IF(Kalender!A133="",0,J4158*(1-Eingaben!$B$20)),0)</f>
        <v>0.7390278</v>
      </c>
      <c r="H4159" s="13" t="n">
        <f aca="false">MIN(G4159,D4159)</f>
        <v>0.7390278</v>
      </c>
      <c r="I4159" s="13" t="n">
        <f aca="false">IFERROR(MIN(F4159*Eingaben!$B$19,MAX(0,D4159-H4159)),0)</f>
        <v>0.1509722</v>
      </c>
      <c r="J4159" s="13" t="n">
        <f aca="false">IFERROR(MIN(Eingaben!$B$18,MAX(0,F4159-I4159)),0)</f>
        <v>1.5932278</v>
      </c>
      <c r="K4159" s="13" t="n">
        <f aca="false">H4159+I4159</f>
        <v>0.89</v>
      </c>
      <c r="L4159" s="13" t="n">
        <f aca="false">MAX(0,D4159-K4159)</f>
        <v>0</v>
      </c>
      <c r="M4159" s="13" t="n">
        <f aca="false">MAX(0,F4159-I4159-J4159)</f>
        <v>0</v>
      </c>
      <c r="N4159" s="13" t="n">
        <f aca="false">IF(Kalender!A133="",0,J4158-H4159)</f>
        <v>0.0150822</v>
      </c>
    </row>
    <row r="4160" customFormat="false" ht="16.4" hidden="false" customHeight="false" outlineLevel="0" collapsed="false">
      <c r="A4160" s="13" t="str">
        <f aca="false">""</f>
        <v/>
      </c>
      <c r="B4160" s="13" t="n">
        <f aca="false">130</f>
        <v>130</v>
      </c>
      <c r="C4160" s="13" t="n">
        <f aca="false">IF(Szenarien!$H$22="OK",(IFERROR(SUMIF(Nutzungsprofile!$B$6:$B$11,"Schulbetrieb",Nutzungsprofile!$G$6:$G$11)*Kalender!C134/SUM(Kalender!$C$5:$C$370),0)+IFERROR(SUMIF(Nutzungsprofile!$B$6:$B$11,"Halle",Nutzungsprofile!$G$6:$G$11)*Kalender!D134/SUM(Kalender!$D$5:$D$370),0)+IFERROR(SUMIF(Nutzungsprofile!$B$6:$B$11,"Individuell",Nutzungsprofile!$G$6:$G$11)*Kalender!E134/SUM(Kalender!$E$5:$E$370),0))*Szenarien!$E$22,0)</f>
        <v>2.04</v>
      </c>
      <c r="D4160" s="13" t="n">
        <f aca="false">IF(Szenarien!$H$22="OK",(IFERROR(SUMIF(Nutzungsprofile!$B$17:$B$22,"Schulbetrieb",Nutzungsprofile!$G$17:$G$22)*Kalender!C134/SUM(Kalender!$C$5:$C$370),0)+IFERROR(SUMIF(Nutzungsprofile!$B$17:$B$22,"Halle",Nutzungsprofile!$G$17:$G$22)*Kalender!D134/SUM(Kalender!$D$5:$D$370),0)+IFERROR(SUMIF(Nutzungsprofile!$B$17:$B$22,"Individuell",Nutzungsprofile!$G$17:$G$22)*Kalender!E134/SUM(Kalender!$E$5:$E$370),0))*Szenarien!$D$22,0)</f>
        <v>0.89</v>
      </c>
      <c r="E4160" s="13" t="n">
        <f aca="false">IFERROR(MIN(C4160,Eingaben!$B$17)*Eingaben!$B$16,0)</f>
        <v>1.938</v>
      </c>
      <c r="F4160" s="13" t="n">
        <f aca="false">IFERROR(E4160*Eingaben!$B$15,0)</f>
        <v>1.7442</v>
      </c>
      <c r="G4160" s="13" t="n">
        <f aca="false">IFERROR(IF(Kalender!A134="",0,J4159*(1-Eingaben!$B$20)),0)</f>
        <v>1.561363244</v>
      </c>
      <c r="H4160" s="13" t="n">
        <f aca="false">MIN(G4160,D4160)</f>
        <v>0.89</v>
      </c>
      <c r="I4160" s="13" t="n">
        <f aca="false">IFERROR(MIN(F4160*Eingaben!$B$19,MAX(0,D4160-H4160)),0)</f>
        <v>0</v>
      </c>
      <c r="J4160" s="13" t="n">
        <f aca="false">IFERROR(MIN(Eingaben!$B$18,MAX(0,F4160-I4160)),0)</f>
        <v>1.7442</v>
      </c>
      <c r="K4160" s="13" t="n">
        <f aca="false">H4160+I4160</f>
        <v>0.89</v>
      </c>
      <c r="L4160" s="13" t="n">
        <f aca="false">MAX(0,D4160-K4160)</f>
        <v>0</v>
      </c>
      <c r="M4160" s="13" t="n">
        <f aca="false">MAX(0,F4160-I4160-J4160)</f>
        <v>0</v>
      </c>
      <c r="N4160" s="13" t="n">
        <f aca="false">IF(Kalender!A134="",0,J4159-H4160)</f>
        <v>0.7032278</v>
      </c>
    </row>
    <row r="4161" customFormat="false" ht="16.4" hidden="false" customHeight="false" outlineLevel="0" collapsed="false">
      <c r="A4161" s="13" t="str">
        <f aca="false">""</f>
        <v/>
      </c>
      <c r="B4161" s="13" t="n">
        <f aca="false">131</f>
        <v>131</v>
      </c>
      <c r="C4161" s="13" t="n">
        <f aca="false">IF(Szenarien!$H$22="OK",(IFERROR(SUMIF(Nutzungsprofile!$B$6:$B$11,"Schulbetrieb",Nutzungsprofile!$G$6:$G$11)*Kalender!C135/SUM(Kalender!$C$5:$C$370),0)+IFERROR(SUMIF(Nutzungsprofile!$B$6:$B$11,"Halle",Nutzungsprofile!$G$6:$G$11)*Kalender!D135/SUM(Kalender!$D$5:$D$370),0)+IFERROR(SUMIF(Nutzungsprofile!$B$6:$B$11,"Individuell",Nutzungsprofile!$G$6:$G$11)*Kalender!E135/SUM(Kalender!$E$5:$E$370),0))*Szenarien!$E$22,0)</f>
        <v>2.94</v>
      </c>
      <c r="D4161" s="13" t="n">
        <f aca="false">IF(Szenarien!$H$22="OK",(IFERROR(SUMIF(Nutzungsprofile!$B$17:$B$22,"Schulbetrieb",Nutzungsprofile!$G$17:$G$22)*Kalender!C135/SUM(Kalender!$C$5:$C$370),0)+IFERROR(SUMIF(Nutzungsprofile!$B$17:$B$22,"Halle",Nutzungsprofile!$G$17:$G$22)*Kalender!D135/SUM(Kalender!$D$5:$D$370),0)+IFERROR(SUMIF(Nutzungsprofile!$B$17:$B$22,"Individuell",Nutzungsprofile!$G$17:$G$22)*Kalender!E135/SUM(Kalender!$E$5:$E$370),0))*Szenarien!$D$22,0)</f>
        <v>4.94</v>
      </c>
      <c r="E4161" s="13" t="n">
        <f aca="false">IFERROR(MIN(C4161,Eingaben!$B$17)*Eingaben!$B$16,0)</f>
        <v>2.793</v>
      </c>
      <c r="F4161" s="13" t="n">
        <f aca="false">IFERROR(E4161*Eingaben!$B$15,0)</f>
        <v>2.5137</v>
      </c>
      <c r="G4161" s="13" t="n">
        <f aca="false">IFERROR(IF(Kalender!A135="",0,J4160*(1-Eingaben!$B$20)),0)</f>
        <v>1.709316</v>
      </c>
      <c r="H4161" s="13" t="n">
        <f aca="false">MIN(G4161,D4161)</f>
        <v>1.709316</v>
      </c>
      <c r="I4161" s="13" t="n">
        <f aca="false">IFERROR(MIN(F4161*Eingaben!$B$19,MAX(0,D4161-H4161)),0)</f>
        <v>1.75959</v>
      </c>
      <c r="J4161" s="13" t="n">
        <f aca="false">IFERROR(MIN(Eingaben!$B$18,MAX(0,F4161-I4161)),0)</f>
        <v>0.75411</v>
      </c>
      <c r="K4161" s="13" t="n">
        <f aca="false">H4161+I4161</f>
        <v>3.468906</v>
      </c>
      <c r="L4161" s="13" t="n">
        <f aca="false">MAX(0,D4161-K4161)</f>
        <v>1.471094</v>
      </c>
      <c r="M4161" s="13" t="n">
        <f aca="false">MAX(0,F4161-I4161-J4161)</f>
        <v>0</v>
      </c>
      <c r="N4161" s="13" t="n">
        <f aca="false">IF(Kalender!A135="",0,J4160-H4161)</f>
        <v>0.0348840000000001</v>
      </c>
    </row>
    <row r="4162" customFormat="false" ht="16.4" hidden="false" customHeight="false" outlineLevel="0" collapsed="false">
      <c r="A4162" s="13" t="str">
        <f aca="false">""</f>
        <v/>
      </c>
      <c r="B4162" s="13" t="n">
        <f aca="false">132</f>
        <v>132</v>
      </c>
      <c r="C4162" s="13" t="n">
        <f aca="false">IF(Szenarien!$H$22="OK",(IFERROR(SUMIF(Nutzungsprofile!$B$6:$B$11,"Schulbetrieb",Nutzungsprofile!$G$6:$G$11)*Kalender!C136/SUM(Kalender!$C$5:$C$370),0)+IFERROR(SUMIF(Nutzungsprofile!$B$6:$B$11,"Halle",Nutzungsprofile!$G$6:$G$11)*Kalender!D136/SUM(Kalender!$D$5:$D$370),0)+IFERROR(SUMIF(Nutzungsprofile!$B$6:$B$11,"Individuell",Nutzungsprofile!$G$6:$G$11)*Kalender!E136/SUM(Kalender!$E$5:$E$370),0))*Szenarien!$E$22,0)</f>
        <v>2.94</v>
      </c>
      <c r="D4162" s="13" t="n">
        <f aca="false">IF(Szenarien!$H$22="OK",(IFERROR(SUMIF(Nutzungsprofile!$B$17:$B$22,"Schulbetrieb",Nutzungsprofile!$G$17:$G$22)*Kalender!C136/SUM(Kalender!$C$5:$C$370),0)+IFERROR(SUMIF(Nutzungsprofile!$B$17:$B$22,"Halle",Nutzungsprofile!$G$17:$G$22)*Kalender!D136/SUM(Kalender!$D$5:$D$370),0)+IFERROR(SUMIF(Nutzungsprofile!$B$17:$B$22,"Individuell",Nutzungsprofile!$G$17:$G$22)*Kalender!E136/SUM(Kalender!$E$5:$E$370),0))*Szenarien!$D$22,0)</f>
        <v>4.94</v>
      </c>
      <c r="E4162" s="13" t="n">
        <f aca="false">IFERROR(MIN(C4162,Eingaben!$B$17)*Eingaben!$B$16,0)</f>
        <v>2.793</v>
      </c>
      <c r="F4162" s="13" t="n">
        <f aca="false">IFERROR(E4162*Eingaben!$B$15,0)</f>
        <v>2.5137</v>
      </c>
      <c r="G4162" s="13" t="n">
        <f aca="false">IFERROR(IF(Kalender!A136="",0,J4161*(1-Eingaben!$B$20)),0)</f>
        <v>0.7390278</v>
      </c>
      <c r="H4162" s="13" t="n">
        <f aca="false">MIN(G4162,D4162)</f>
        <v>0.7390278</v>
      </c>
      <c r="I4162" s="13" t="n">
        <f aca="false">IFERROR(MIN(F4162*Eingaben!$B$19,MAX(0,D4162-H4162)),0)</f>
        <v>1.75959</v>
      </c>
      <c r="J4162" s="13" t="n">
        <f aca="false">IFERROR(MIN(Eingaben!$B$18,MAX(0,F4162-I4162)),0)</f>
        <v>0.75411</v>
      </c>
      <c r="K4162" s="13" t="n">
        <f aca="false">H4162+I4162</f>
        <v>2.4986178</v>
      </c>
      <c r="L4162" s="13" t="n">
        <f aca="false">MAX(0,D4162-K4162)</f>
        <v>2.4413822</v>
      </c>
      <c r="M4162" s="13" t="n">
        <f aca="false">MAX(0,F4162-I4162-J4162)</f>
        <v>0</v>
      </c>
      <c r="N4162" s="13" t="n">
        <f aca="false">IF(Kalender!A136="",0,J4161-H4162)</f>
        <v>0.0150822</v>
      </c>
    </row>
    <row r="4163" customFormat="false" ht="16.4" hidden="false" customHeight="false" outlineLevel="0" collapsed="false">
      <c r="A4163" s="13" t="str">
        <f aca="false">""</f>
        <v/>
      </c>
      <c r="B4163" s="13" t="n">
        <f aca="false">133</f>
        <v>133</v>
      </c>
      <c r="C4163" s="13" t="n">
        <f aca="false">IF(Szenarien!$H$22="OK",(IFERROR(SUMIF(Nutzungsprofile!$B$6:$B$11,"Schulbetrieb",Nutzungsprofile!$G$6:$G$11)*Kalender!C137/SUM(Kalender!$C$5:$C$370),0)+IFERROR(SUMIF(Nutzungsprofile!$B$6:$B$11,"Halle",Nutzungsprofile!$G$6:$G$11)*Kalender!D137/SUM(Kalender!$D$5:$D$370),0)+IFERROR(SUMIF(Nutzungsprofile!$B$6:$B$11,"Individuell",Nutzungsprofile!$G$6:$G$11)*Kalender!E137/SUM(Kalender!$E$5:$E$370),0))*Szenarien!$E$22,0)</f>
        <v>2.94</v>
      </c>
      <c r="D4163" s="13" t="n">
        <f aca="false">IF(Szenarien!$H$22="OK",(IFERROR(SUMIF(Nutzungsprofile!$B$17:$B$22,"Schulbetrieb",Nutzungsprofile!$G$17:$G$22)*Kalender!C137/SUM(Kalender!$C$5:$C$370),0)+IFERROR(SUMIF(Nutzungsprofile!$B$17:$B$22,"Halle",Nutzungsprofile!$G$17:$G$22)*Kalender!D137/SUM(Kalender!$D$5:$D$370),0)+IFERROR(SUMIF(Nutzungsprofile!$B$17:$B$22,"Individuell",Nutzungsprofile!$G$17:$G$22)*Kalender!E137/SUM(Kalender!$E$5:$E$370),0))*Szenarien!$D$22,0)</f>
        <v>4.94</v>
      </c>
      <c r="E4163" s="13" t="n">
        <f aca="false">IFERROR(MIN(C4163,Eingaben!$B$17)*Eingaben!$B$16,0)</f>
        <v>2.793</v>
      </c>
      <c r="F4163" s="13" t="n">
        <f aca="false">IFERROR(E4163*Eingaben!$B$15,0)</f>
        <v>2.5137</v>
      </c>
      <c r="G4163" s="13" t="n">
        <f aca="false">IFERROR(IF(Kalender!A137="",0,J4162*(1-Eingaben!$B$20)),0)</f>
        <v>0.7390278</v>
      </c>
      <c r="H4163" s="13" t="n">
        <f aca="false">MIN(G4163,D4163)</f>
        <v>0.7390278</v>
      </c>
      <c r="I4163" s="13" t="n">
        <f aca="false">IFERROR(MIN(F4163*Eingaben!$B$19,MAX(0,D4163-H4163)),0)</f>
        <v>1.75959</v>
      </c>
      <c r="J4163" s="13" t="n">
        <f aca="false">IFERROR(MIN(Eingaben!$B$18,MAX(0,F4163-I4163)),0)</f>
        <v>0.75411</v>
      </c>
      <c r="K4163" s="13" t="n">
        <f aca="false">H4163+I4163</f>
        <v>2.4986178</v>
      </c>
      <c r="L4163" s="13" t="n">
        <f aca="false">MAX(0,D4163-K4163)</f>
        <v>2.4413822</v>
      </c>
      <c r="M4163" s="13" t="n">
        <f aca="false">MAX(0,F4163-I4163-J4163)</f>
        <v>0</v>
      </c>
      <c r="N4163" s="13" t="n">
        <f aca="false">IF(Kalender!A137="",0,J4162-H4163)</f>
        <v>0.0150822</v>
      </c>
    </row>
    <row r="4164" customFormat="false" ht="16.4" hidden="false" customHeight="false" outlineLevel="0" collapsed="false">
      <c r="A4164" s="13" t="str">
        <f aca="false">""</f>
        <v/>
      </c>
      <c r="B4164" s="13" t="n">
        <f aca="false">134</f>
        <v>134</v>
      </c>
      <c r="C4164" s="13" t="n">
        <f aca="false">IF(Szenarien!$H$22="OK",(IFERROR(SUMIF(Nutzungsprofile!$B$6:$B$11,"Schulbetrieb",Nutzungsprofile!$G$6:$G$11)*Kalender!C138/SUM(Kalender!$C$5:$C$370),0)+IFERROR(SUMIF(Nutzungsprofile!$B$6:$B$11,"Halle",Nutzungsprofile!$G$6:$G$11)*Kalender!D138/SUM(Kalender!$D$5:$D$370),0)+IFERROR(SUMIF(Nutzungsprofile!$B$6:$B$11,"Individuell",Nutzungsprofile!$G$6:$G$11)*Kalender!E138/SUM(Kalender!$E$5:$E$370),0))*Szenarien!$E$22,0)</f>
        <v>2.94</v>
      </c>
      <c r="D4164" s="13" t="n">
        <f aca="false">IF(Szenarien!$H$22="OK",(IFERROR(SUMIF(Nutzungsprofile!$B$17:$B$22,"Schulbetrieb",Nutzungsprofile!$G$17:$G$22)*Kalender!C138/SUM(Kalender!$C$5:$C$370),0)+IFERROR(SUMIF(Nutzungsprofile!$B$17:$B$22,"Halle",Nutzungsprofile!$G$17:$G$22)*Kalender!D138/SUM(Kalender!$D$5:$D$370),0)+IFERROR(SUMIF(Nutzungsprofile!$B$17:$B$22,"Individuell",Nutzungsprofile!$G$17:$G$22)*Kalender!E138/SUM(Kalender!$E$5:$E$370),0))*Szenarien!$D$22,0)</f>
        <v>4.94</v>
      </c>
      <c r="E4164" s="13" t="n">
        <f aca="false">IFERROR(MIN(C4164,Eingaben!$B$17)*Eingaben!$B$16,0)</f>
        <v>2.793</v>
      </c>
      <c r="F4164" s="13" t="n">
        <f aca="false">IFERROR(E4164*Eingaben!$B$15,0)</f>
        <v>2.5137</v>
      </c>
      <c r="G4164" s="13" t="n">
        <f aca="false">IFERROR(IF(Kalender!A138="",0,J4163*(1-Eingaben!$B$20)),0)</f>
        <v>0.7390278</v>
      </c>
      <c r="H4164" s="13" t="n">
        <f aca="false">MIN(G4164,D4164)</f>
        <v>0.7390278</v>
      </c>
      <c r="I4164" s="13" t="n">
        <f aca="false">IFERROR(MIN(F4164*Eingaben!$B$19,MAX(0,D4164-H4164)),0)</f>
        <v>1.75959</v>
      </c>
      <c r="J4164" s="13" t="n">
        <f aca="false">IFERROR(MIN(Eingaben!$B$18,MAX(0,F4164-I4164)),0)</f>
        <v>0.75411</v>
      </c>
      <c r="K4164" s="13" t="n">
        <f aca="false">H4164+I4164</f>
        <v>2.4986178</v>
      </c>
      <c r="L4164" s="13" t="n">
        <f aca="false">MAX(0,D4164-K4164)</f>
        <v>2.4413822</v>
      </c>
      <c r="M4164" s="13" t="n">
        <f aca="false">MAX(0,F4164-I4164-J4164)</f>
        <v>0</v>
      </c>
      <c r="N4164" s="13" t="n">
        <f aca="false">IF(Kalender!A138="",0,J4163-H4164)</f>
        <v>0.0150822</v>
      </c>
    </row>
    <row r="4165" customFormat="false" ht="16.4" hidden="false" customHeight="false" outlineLevel="0" collapsed="false">
      <c r="A4165" s="13" t="str">
        <f aca="false">""</f>
        <v/>
      </c>
      <c r="B4165" s="13" t="n">
        <f aca="false">135</f>
        <v>135</v>
      </c>
      <c r="C4165" s="13" t="n">
        <f aca="false">IF(Szenarien!$H$22="OK",(IFERROR(SUMIF(Nutzungsprofile!$B$6:$B$11,"Schulbetrieb",Nutzungsprofile!$G$6:$G$11)*Kalender!C139/SUM(Kalender!$C$5:$C$370),0)+IFERROR(SUMIF(Nutzungsprofile!$B$6:$B$11,"Halle",Nutzungsprofile!$G$6:$G$11)*Kalender!D139/SUM(Kalender!$D$5:$D$370),0)+IFERROR(SUMIF(Nutzungsprofile!$B$6:$B$11,"Individuell",Nutzungsprofile!$G$6:$G$11)*Kalender!E139/SUM(Kalender!$E$5:$E$370),0))*Szenarien!$E$22,0)</f>
        <v>2.94</v>
      </c>
      <c r="D4165" s="13" t="n">
        <f aca="false">IF(Szenarien!$H$22="OK",(IFERROR(SUMIF(Nutzungsprofile!$B$17:$B$22,"Schulbetrieb",Nutzungsprofile!$G$17:$G$22)*Kalender!C139/SUM(Kalender!$C$5:$C$370),0)+IFERROR(SUMIF(Nutzungsprofile!$B$17:$B$22,"Halle",Nutzungsprofile!$G$17:$G$22)*Kalender!D139/SUM(Kalender!$D$5:$D$370),0)+IFERROR(SUMIF(Nutzungsprofile!$B$17:$B$22,"Individuell",Nutzungsprofile!$G$17:$G$22)*Kalender!E139/SUM(Kalender!$E$5:$E$370),0))*Szenarien!$D$22,0)</f>
        <v>4.94</v>
      </c>
      <c r="E4165" s="13" t="n">
        <f aca="false">IFERROR(MIN(C4165,Eingaben!$B$17)*Eingaben!$B$16,0)</f>
        <v>2.793</v>
      </c>
      <c r="F4165" s="13" t="n">
        <f aca="false">IFERROR(E4165*Eingaben!$B$15,0)</f>
        <v>2.5137</v>
      </c>
      <c r="G4165" s="13" t="n">
        <f aca="false">IFERROR(IF(Kalender!A139="",0,J4164*(1-Eingaben!$B$20)),0)</f>
        <v>0.7390278</v>
      </c>
      <c r="H4165" s="13" t="n">
        <f aca="false">MIN(G4165,D4165)</f>
        <v>0.7390278</v>
      </c>
      <c r="I4165" s="13" t="n">
        <f aca="false">IFERROR(MIN(F4165*Eingaben!$B$19,MAX(0,D4165-H4165)),0)</f>
        <v>1.75959</v>
      </c>
      <c r="J4165" s="13" t="n">
        <f aca="false">IFERROR(MIN(Eingaben!$B$18,MAX(0,F4165-I4165)),0)</f>
        <v>0.75411</v>
      </c>
      <c r="K4165" s="13" t="n">
        <f aca="false">H4165+I4165</f>
        <v>2.4986178</v>
      </c>
      <c r="L4165" s="13" t="n">
        <f aca="false">MAX(0,D4165-K4165)</f>
        <v>2.4413822</v>
      </c>
      <c r="M4165" s="13" t="n">
        <f aca="false">MAX(0,F4165-I4165-J4165)</f>
        <v>0</v>
      </c>
      <c r="N4165" s="13" t="n">
        <f aca="false">IF(Kalender!A139="",0,J4164-H4165)</f>
        <v>0.0150822</v>
      </c>
    </row>
    <row r="4166" customFormat="false" ht="16.4" hidden="false" customHeight="false" outlineLevel="0" collapsed="false">
      <c r="A4166" s="13" t="str">
        <f aca="false">""</f>
        <v/>
      </c>
      <c r="B4166" s="13" t="n">
        <f aca="false">136</f>
        <v>136</v>
      </c>
      <c r="C4166" s="13" t="n">
        <f aca="false">IF(Szenarien!$H$22="OK",(IFERROR(SUMIF(Nutzungsprofile!$B$6:$B$11,"Schulbetrieb",Nutzungsprofile!$G$6:$G$11)*Kalender!C140/SUM(Kalender!$C$5:$C$370),0)+IFERROR(SUMIF(Nutzungsprofile!$B$6:$B$11,"Halle",Nutzungsprofile!$G$6:$G$11)*Kalender!D140/SUM(Kalender!$D$5:$D$370),0)+IFERROR(SUMIF(Nutzungsprofile!$B$6:$B$11,"Individuell",Nutzungsprofile!$G$6:$G$11)*Kalender!E140/SUM(Kalender!$E$5:$E$370),0))*Szenarien!$E$22,0)</f>
        <v>2.04</v>
      </c>
      <c r="D4166" s="13" t="n">
        <f aca="false">IF(Szenarien!$H$22="OK",(IFERROR(SUMIF(Nutzungsprofile!$B$17:$B$22,"Schulbetrieb",Nutzungsprofile!$G$17:$G$22)*Kalender!C140/SUM(Kalender!$C$5:$C$370),0)+IFERROR(SUMIF(Nutzungsprofile!$B$17:$B$22,"Halle",Nutzungsprofile!$G$17:$G$22)*Kalender!D140/SUM(Kalender!$D$5:$D$370),0)+IFERROR(SUMIF(Nutzungsprofile!$B$17:$B$22,"Individuell",Nutzungsprofile!$G$17:$G$22)*Kalender!E140/SUM(Kalender!$E$5:$E$370),0))*Szenarien!$D$22,0)</f>
        <v>0.89</v>
      </c>
      <c r="E4166" s="13" t="n">
        <f aca="false">IFERROR(MIN(C4166,Eingaben!$B$17)*Eingaben!$B$16,0)</f>
        <v>1.938</v>
      </c>
      <c r="F4166" s="13" t="n">
        <f aca="false">IFERROR(E4166*Eingaben!$B$15,0)</f>
        <v>1.7442</v>
      </c>
      <c r="G4166" s="13" t="n">
        <f aca="false">IFERROR(IF(Kalender!A140="",0,J4165*(1-Eingaben!$B$20)),0)</f>
        <v>0.7390278</v>
      </c>
      <c r="H4166" s="13" t="n">
        <f aca="false">MIN(G4166,D4166)</f>
        <v>0.7390278</v>
      </c>
      <c r="I4166" s="13" t="n">
        <f aca="false">IFERROR(MIN(F4166*Eingaben!$B$19,MAX(0,D4166-H4166)),0)</f>
        <v>0.1509722</v>
      </c>
      <c r="J4166" s="13" t="n">
        <f aca="false">IFERROR(MIN(Eingaben!$B$18,MAX(0,F4166-I4166)),0)</f>
        <v>1.5932278</v>
      </c>
      <c r="K4166" s="13" t="n">
        <f aca="false">H4166+I4166</f>
        <v>0.89</v>
      </c>
      <c r="L4166" s="13" t="n">
        <f aca="false">MAX(0,D4166-K4166)</f>
        <v>0</v>
      </c>
      <c r="M4166" s="13" t="n">
        <f aca="false">MAX(0,F4166-I4166-J4166)</f>
        <v>0</v>
      </c>
      <c r="N4166" s="13" t="n">
        <f aca="false">IF(Kalender!A140="",0,J4165-H4166)</f>
        <v>0.0150822</v>
      </c>
    </row>
    <row r="4167" customFormat="false" ht="16.4" hidden="false" customHeight="false" outlineLevel="0" collapsed="false">
      <c r="A4167" s="13" t="str">
        <f aca="false">""</f>
        <v/>
      </c>
      <c r="B4167" s="13" t="n">
        <f aca="false">137</f>
        <v>137</v>
      </c>
      <c r="C4167" s="13" t="n">
        <f aca="false">IF(Szenarien!$H$22="OK",(IFERROR(SUMIF(Nutzungsprofile!$B$6:$B$11,"Schulbetrieb",Nutzungsprofile!$G$6:$G$11)*Kalender!C141/SUM(Kalender!$C$5:$C$370),0)+IFERROR(SUMIF(Nutzungsprofile!$B$6:$B$11,"Halle",Nutzungsprofile!$G$6:$G$11)*Kalender!D141/SUM(Kalender!$D$5:$D$370),0)+IFERROR(SUMIF(Nutzungsprofile!$B$6:$B$11,"Individuell",Nutzungsprofile!$G$6:$G$11)*Kalender!E141/SUM(Kalender!$E$5:$E$370),0))*Szenarien!$E$22,0)</f>
        <v>2.04</v>
      </c>
      <c r="D4167" s="13" t="n">
        <f aca="false">IF(Szenarien!$H$22="OK",(IFERROR(SUMIF(Nutzungsprofile!$B$17:$B$22,"Schulbetrieb",Nutzungsprofile!$G$17:$G$22)*Kalender!C141/SUM(Kalender!$C$5:$C$370),0)+IFERROR(SUMIF(Nutzungsprofile!$B$17:$B$22,"Halle",Nutzungsprofile!$G$17:$G$22)*Kalender!D141/SUM(Kalender!$D$5:$D$370),0)+IFERROR(SUMIF(Nutzungsprofile!$B$17:$B$22,"Individuell",Nutzungsprofile!$G$17:$G$22)*Kalender!E141/SUM(Kalender!$E$5:$E$370),0))*Szenarien!$D$22,0)</f>
        <v>0.89</v>
      </c>
      <c r="E4167" s="13" t="n">
        <f aca="false">IFERROR(MIN(C4167,Eingaben!$B$17)*Eingaben!$B$16,0)</f>
        <v>1.938</v>
      </c>
      <c r="F4167" s="13" t="n">
        <f aca="false">IFERROR(E4167*Eingaben!$B$15,0)</f>
        <v>1.7442</v>
      </c>
      <c r="G4167" s="13" t="n">
        <f aca="false">IFERROR(IF(Kalender!A141="",0,J4166*(1-Eingaben!$B$20)),0)</f>
        <v>1.561363244</v>
      </c>
      <c r="H4167" s="13" t="n">
        <f aca="false">MIN(G4167,D4167)</f>
        <v>0.89</v>
      </c>
      <c r="I4167" s="13" t="n">
        <f aca="false">IFERROR(MIN(F4167*Eingaben!$B$19,MAX(0,D4167-H4167)),0)</f>
        <v>0</v>
      </c>
      <c r="J4167" s="13" t="n">
        <f aca="false">IFERROR(MIN(Eingaben!$B$18,MAX(0,F4167-I4167)),0)</f>
        <v>1.7442</v>
      </c>
      <c r="K4167" s="13" t="n">
        <f aca="false">H4167+I4167</f>
        <v>0.89</v>
      </c>
      <c r="L4167" s="13" t="n">
        <f aca="false">MAX(0,D4167-K4167)</f>
        <v>0</v>
      </c>
      <c r="M4167" s="13" t="n">
        <f aca="false">MAX(0,F4167-I4167-J4167)</f>
        <v>0</v>
      </c>
      <c r="N4167" s="13" t="n">
        <f aca="false">IF(Kalender!A141="",0,J4166-H4167)</f>
        <v>0.7032278</v>
      </c>
    </row>
    <row r="4168" customFormat="false" ht="16.4" hidden="false" customHeight="false" outlineLevel="0" collapsed="false">
      <c r="A4168" s="13" t="str">
        <f aca="false">""</f>
        <v/>
      </c>
      <c r="B4168" s="13" t="n">
        <f aca="false">138</f>
        <v>138</v>
      </c>
      <c r="C4168" s="13" t="n">
        <f aca="false">IF(Szenarien!$H$22="OK",(IFERROR(SUMIF(Nutzungsprofile!$B$6:$B$11,"Schulbetrieb",Nutzungsprofile!$G$6:$G$11)*Kalender!C142/SUM(Kalender!$C$5:$C$370),0)+IFERROR(SUMIF(Nutzungsprofile!$B$6:$B$11,"Halle",Nutzungsprofile!$G$6:$G$11)*Kalender!D142/SUM(Kalender!$D$5:$D$370),0)+IFERROR(SUMIF(Nutzungsprofile!$B$6:$B$11,"Individuell",Nutzungsprofile!$G$6:$G$11)*Kalender!E142/SUM(Kalender!$E$5:$E$370),0))*Szenarien!$E$22,0)</f>
        <v>2.94</v>
      </c>
      <c r="D4168" s="13" t="n">
        <f aca="false">IF(Szenarien!$H$22="OK",(IFERROR(SUMIF(Nutzungsprofile!$B$17:$B$22,"Schulbetrieb",Nutzungsprofile!$G$17:$G$22)*Kalender!C142/SUM(Kalender!$C$5:$C$370),0)+IFERROR(SUMIF(Nutzungsprofile!$B$17:$B$22,"Halle",Nutzungsprofile!$G$17:$G$22)*Kalender!D142/SUM(Kalender!$D$5:$D$370),0)+IFERROR(SUMIF(Nutzungsprofile!$B$17:$B$22,"Individuell",Nutzungsprofile!$G$17:$G$22)*Kalender!E142/SUM(Kalender!$E$5:$E$370),0))*Szenarien!$D$22,0)</f>
        <v>4.94</v>
      </c>
      <c r="E4168" s="13" t="n">
        <f aca="false">IFERROR(MIN(C4168,Eingaben!$B$17)*Eingaben!$B$16,0)</f>
        <v>2.793</v>
      </c>
      <c r="F4168" s="13" t="n">
        <f aca="false">IFERROR(E4168*Eingaben!$B$15,0)</f>
        <v>2.5137</v>
      </c>
      <c r="G4168" s="13" t="n">
        <f aca="false">IFERROR(IF(Kalender!A142="",0,J4167*(1-Eingaben!$B$20)),0)</f>
        <v>1.709316</v>
      </c>
      <c r="H4168" s="13" t="n">
        <f aca="false">MIN(G4168,D4168)</f>
        <v>1.709316</v>
      </c>
      <c r="I4168" s="13" t="n">
        <f aca="false">IFERROR(MIN(F4168*Eingaben!$B$19,MAX(0,D4168-H4168)),0)</f>
        <v>1.75959</v>
      </c>
      <c r="J4168" s="13" t="n">
        <f aca="false">IFERROR(MIN(Eingaben!$B$18,MAX(0,F4168-I4168)),0)</f>
        <v>0.75411</v>
      </c>
      <c r="K4168" s="13" t="n">
        <f aca="false">H4168+I4168</f>
        <v>3.468906</v>
      </c>
      <c r="L4168" s="13" t="n">
        <f aca="false">MAX(0,D4168-K4168)</f>
        <v>1.471094</v>
      </c>
      <c r="M4168" s="13" t="n">
        <f aca="false">MAX(0,F4168-I4168-J4168)</f>
        <v>0</v>
      </c>
      <c r="N4168" s="13" t="n">
        <f aca="false">IF(Kalender!A142="",0,J4167-H4168)</f>
        <v>0.0348840000000001</v>
      </c>
    </row>
    <row r="4169" customFormat="false" ht="16.4" hidden="false" customHeight="false" outlineLevel="0" collapsed="false">
      <c r="A4169" s="13" t="str">
        <f aca="false">""</f>
        <v/>
      </c>
      <c r="B4169" s="13" t="n">
        <f aca="false">139</f>
        <v>139</v>
      </c>
      <c r="C4169" s="13" t="n">
        <f aca="false">IF(Szenarien!$H$22="OK",(IFERROR(SUMIF(Nutzungsprofile!$B$6:$B$11,"Schulbetrieb",Nutzungsprofile!$G$6:$G$11)*Kalender!C143/SUM(Kalender!$C$5:$C$370),0)+IFERROR(SUMIF(Nutzungsprofile!$B$6:$B$11,"Halle",Nutzungsprofile!$G$6:$G$11)*Kalender!D143/SUM(Kalender!$D$5:$D$370),0)+IFERROR(SUMIF(Nutzungsprofile!$B$6:$B$11,"Individuell",Nutzungsprofile!$G$6:$G$11)*Kalender!E143/SUM(Kalender!$E$5:$E$370),0))*Szenarien!$E$22,0)</f>
        <v>2.94</v>
      </c>
      <c r="D4169" s="13" t="n">
        <f aca="false">IF(Szenarien!$H$22="OK",(IFERROR(SUMIF(Nutzungsprofile!$B$17:$B$22,"Schulbetrieb",Nutzungsprofile!$G$17:$G$22)*Kalender!C143/SUM(Kalender!$C$5:$C$370),0)+IFERROR(SUMIF(Nutzungsprofile!$B$17:$B$22,"Halle",Nutzungsprofile!$G$17:$G$22)*Kalender!D143/SUM(Kalender!$D$5:$D$370),0)+IFERROR(SUMIF(Nutzungsprofile!$B$17:$B$22,"Individuell",Nutzungsprofile!$G$17:$G$22)*Kalender!E143/SUM(Kalender!$E$5:$E$370),0))*Szenarien!$D$22,0)</f>
        <v>4.94</v>
      </c>
      <c r="E4169" s="13" t="n">
        <f aca="false">IFERROR(MIN(C4169,Eingaben!$B$17)*Eingaben!$B$16,0)</f>
        <v>2.793</v>
      </c>
      <c r="F4169" s="13" t="n">
        <f aca="false">IFERROR(E4169*Eingaben!$B$15,0)</f>
        <v>2.5137</v>
      </c>
      <c r="G4169" s="13" t="n">
        <f aca="false">IFERROR(IF(Kalender!A143="",0,J4168*(1-Eingaben!$B$20)),0)</f>
        <v>0.7390278</v>
      </c>
      <c r="H4169" s="13" t="n">
        <f aca="false">MIN(G4169,D4169)</f>
        <v>0.7390278</v>
      </c>
      <c r="I4169" s="13" t="n">
        <f aca="false">IFERROR(MIN(F4169*Eingaben!$B$19,MAX(0,D4169-H4169)),0)</f>
        <v>1.75959</v>
      </c>
      <c r="J4169" s="13" t="n">
        <f aca="false">IFERROR(MIN(Eingaben!$B$18,MAX(0,F4169-I4169)),0)</f>
        <v>0.75411</v>
      </c>
      <c r="K4169" s="13" t="n">
        <f aca="false">H4169+I4169</f>
        <v>2.4986178</v>
      </c>
      <c r="L4169" s="13" t="n">
        <f aca="false">MAX(0,D4169-K4169)</f>
        <v>2.4413822</v>
      </c>
      <c r="M4169" s="13" t="n">
        <f aca="false">MAX(0,F4169-I4169-J4169)</f>
        <v>0</v>
      </c>
      <c r="N4169" s="13" t="n">
        <f aca="false">IF(Kalender!A143="",0,J4168-H4169)</f>
        <v>0.0150822</v>
      </c>
    </row>
    <row r="4170" customFormat="false" ht="16.4" hidden="false" customHeight="false" outlineLevel="0" collapsed="false">
      <c r="A4170" s="13" t="str">
        <f aca="false">""</f>
        <v/>
      </c>
      <c r="B4170" s="13" t="n">
        <f aca="false">140</f>
        <v>140</v>
      </c>
      <c r="C4170" s="13" t="n">
        <f aca="false">IF(Szenarien!$H$22="OK",(IFERROR(SUMIF(Nutzungsprofile!$B$6:$B$11,"Schulbetrieb",Nutzungsprofile!$G$6:$G$11)*Kalender!C144/SUM(Kalender!$C$5:$C$370),0)+IFERROR(SUMIF(Nutzungsprofile!$B$6:$B$11,"Halle",Nutzungsprofile!$G$6:$G$11)*Kalender!D144/SUM(Kalender!$D$5:$D$370),0)+IFERROR(SUMIF(Nutzungsprofile!$B$6:$B$11,"Individuell",Nutzungsprofile!$G$6:$G$11)*Kalender!E144/SUM(Kalender!$E$5:$E$370),0))*Szenarien!$E$22,0)</f>
        <v>2.94</v>
      </c>
      <c r="D4170" s="13" t="n">
        <f aca="false">IF(Szenarien!$H$22="OK",(IFERROR(SUMIF(Nutzungsprofile!$B$17:$B$22,"Schulbetrieb",Nutzungsprofile!$G$17:$G$22)*Kalender!C144/SUM(Kalender!$C$5:$C$370),0)+IFERROR(SUMIF(Nutzungsprofile!$B$17:$B$22,"Halle",Nutzungsprofile!$G$17:$G$22)*Kalender!D144/SUM(Kalender!$D$5:$D$370),0)+IFERROR(SUMIF(Nutzungsprofile!$B$17:$B$22,"Individuell",Nutzungsprofile!$G$17:$G$22)*Kalender!E144/SUM(Kalender!$E$5:$E$370),0))*Szenarien!$D$22,0)</f>
        <v>4.94</v>
      </c>
      <c r="E4170" s="13" t="n">
        <f aca="false">IFERROR(MIN(C4170,Eingaben!$B$17)*Eingaben!$B$16,0)</f>
        <v>2.793</v>
      </c>
      <c r="F4170" s="13" t="n">
        <f aca="false">IFERROR(E4170*Eingaben!$B$15,0)</f>
        <v>2.5137</v>
      </c>
      <c r="G4170" s="13" t="n">
        <f aca="false">IFERROR(IF(Kalender!A144="",0,J4169*(1-Eingaben!$B$20)),0)</f>
        <v>0.7390278</v>
      </c>
      <c r="H4170" s="13" t="n">
        <f aca="false">MIN(G4170,D4170)</f>
        <v>0.7390278</v>
      </c>
      <c r="I4170" s="13" t="n">
        <f aca="false">IFERROR(MIN(F4170*Eingaben!$B$19,MAX(0,D4170-H4170)),0)</f>
        <v>1.75959</v>
      </c>
      <c r="J4170" s="13" t="n">
        <f aca="false">IFERROR(MIN(Eingaben!$B$18,MAX(0,F4170-I4170)),0)</f>
        <v>0.75411</v>
      </c>
      <c r="K4170" s="13" t="n">
        <f aca="false">H4170+I4170</f>
        <v>2.4986178</v>
      </c>
      <c r="L4170" s="13" t="n">
        <f aca="false">MAX(0,D4170-K4170)</f>
        <v>2.4413822</v>
      </c>
      <c r="M4170" s="13" t="n">
        <f aca="false">MAX(0,F4170-I4170-J4170)</f>
        <v>0</v>
      </c>
      <c r="N4170" s="13" t="n">
        <f aca="false">IF(Kalender!A144="",0,J4169-H4170)</f>
        <v>0.0150822</v>
      </c>
    </row>
    <row r="4171" customFormat="false" ht="16.4" hidden="false" customHeight="false" outlineLevel="0" collapsed="false">
      <c r="A4171" s="13" t="str">
        <f aca="false">""</f>
        <v/>
      </c>
      <c r="B4171" s="13" t="n">
        <f aca="false">141</f>
        <v>141</v>
      </c>
      <c r="C4171" s="13" t="n">
        <f aca="false">IF(Szenarien!$H$22="OK",(IFERROR(SUMIF(Nutzungsprofile!$B$6:$B$11,"Schulbetrieb",Nutzungsprofile!$G$6:$G$11)*Kalender!C145/SUM(Kalender!$C$5:$C$370),0)+IFERROR(SUMIF(Nutzungsprofile!$B$6:$B$11,"Halle",Nutzungsprofile!$G$6:$G$11)*Kalender!D145/SUM(Kalender!$D$5:$D$370),0)+IFERROR(SUMIF(Nutzungsprofile!$B$6:$B$11,"Individuell",Nutzungsprofile!$G$6:$G$11)*Kalender!E145/SUM(Kalender!$E$5:$E$370),0))*Szenarien!$E$22,0)</f>
        <v>2.94</v>
      </c>
      <c r="D4171" s="13" t="n">
        <f aca="false">IF(Szenarien!$H$22="OK",(IFERROR(SUMIF(Nutzungsprofile!$B$17:$B$22,"Schulbetrieb",Nutzungsprofile!$G$17:$G$22)*Kalender!C145/SUM(Kalender!$C$5:$C$370),0)+IFERROR(SUMIF(Nutzungsprofile!$B$17:$B$22,"Halle",Nutzungsprofile!$G$17:$G$22)*Kalender!D145/SUM(Kalender!$D$5:$D$370),0)+IFERROR(SUMIF(Nutzungsprofile!$B$17:$B$22,"Individuell",Nutzungsprofile!$G$17:$G$22)*Kalender!E145/SUM(Kalender!$E$5:$E$370),0))*Szenarien!$D$22,0)</f>
        <v>4.94</v>
      </c>
      <c r="E4171" s="13" t="n">
        <f aca="false">IFERROR(MIN(C4171,Eingaben!$B$17)*Eingaben!$B$16,0)</f>
        <v>2.793</v>
      </c>
      <c r="F4171" s="13" t="n">
        <f aca="false">IFERROR(E4171*Eingaben!$B$15,0)</f>
        <v>2.5137</v>
      </c>
      <c r="G4171" s="13" t="n">
        <f aca="false">IFERROR(IF(Kalender!A145="",0,J4170*(1-Eingaben!$B$20)),0)</f>
        <v>0.7390278</v>
      </c>
      <c r="H4171" s="13" t="n">
        <f aca="false">MIN(G4171,D4171)</f>
        <v>0.7390278</v>
      </c>
      <c r="I4171" s="13" t="n">
        <f aca="false">IFERROR(MIN(F4171*Eingaben!$B$19,MAX(0,D4171-H4171)),0)</f>
        <v>1.75959</v>
      </c>
      <c r="J4171" s="13" t="n">
        <f aca="false">IFERROR(MIN(Eingaben!$B$18,MAX(0,F4171-I4171)),0)</f>
        <v>0.75411</v>
      </c>
      <c r="K4171" s="13" t="n">
        <f aca="false">H4171+I4171</f>
        <v>2.4986178</v>
      </c>
      <c r="L4171" s="13" t="n">
        <f aca="false">MAX(0,D4171-K4171)</f>
        <v>2.4413822</v>
      </c>
      <c r="M4171" s="13" t="n">
        <f aca="false">MAX(0,F4171-I4171-J4171)</f>
        <v>0</v>
      </c>
      <c r="N4171" s="13" t="n">
        <f aca="false">IF(Kalender!A145="",0,J4170-H4171)</f>
        <v>0.0150822</v>
      </c>
    </row>
    <row r="4172" customFormat="false" ht="16.4" hidden="false" customHeight="false" outlineLevel="0" collapsed="false">
      <c r="A4172" s="13" t="str">
        <f aca="false">""</f>
        <v/>
      </c>
      <c r="B4172" s="13" t="n">
        <f aca="false">142</f>
        <v>142</v>
      </c>
      <c r="C4172" s="13" t="n">
        <f aca="false">IF(Szenarien!$H$22="OK",(IFERROR(SUMIF(Nutzungsprofile!$B$6:$B$11,"Schulbetrieb",Nutzungsprofile!$G$6:$G$11)*Kalender!C146/SUM(Kalender!$C$5:$C$370),0)+IFERROR(SUMIF(Nutzungsprofile!$B$6:$B$11,"Halle",Nutzungsprofile!$G$6:$G$11)*Kalender!D146/SUM(Kalender!$D$5:$D$370),0)+IFERROR(SUMIF(Nutzungsprofile!$B$6:$B$11,"Individuell",Nutzungsprofile!$G$6:$G$11)*Kalender!E146/SUM(Kalender!$E$5:$E$370),0))*Szenarien!$E$22,0)</f>
        <v>2.94</v>
      </c>
      <c r="D4172" s="13" t="n">
        <f aca="false">IF(Szenarien!$H$22="OK",(IFERROR(SUMIF(Nutzungsprofile!$B$17:$B$22,"Schulbetrieb",Nutzungsprofile!$G$17:$G$22)*Kalender!C146/SUM(Kalender!$C$5:$C$370),0)+IFERROR(SUMIF(Nutzungsprofile!$B$17:$B$22,"Halle",Nutzungsprofile!$G$17:$G$22)*Kalender!D146/SUM(Kalender!$D$5:$D$370),0)+IFERROR(SUMIF(Nutzungsprofile!$B$17:$B$22,"Individuell",Nutzungsprofile!$G$17:$G$22)*Kalender!E146/SUM(Kalender!$E$5:$E$370),0))*Szenarien!$D$22,0)</f>
        <v>4.94</v>
      </c>
      <c r="E4172" s="13" t="n">
        <f aca="false">IFERROR(MIN(C4172,Eingaben!$B$17)*Eingaben!$B$16,0)</f>
        <v>2.793</v>
      </c>
      <c r="F4172" s="13" t="n">
        <f aca="false">IFERROR(E4172*Eingaben!$B$15,0)</f>
        <v>2.5137</v>
      </c>
      <c r="G4172" s="13" t="n">
        <f aca="false">IFERROR(IF(Kalender!A146="",0,J4171*(1-Eingaben!$B$20)),0)</f>
        <v>0.7390278</v>
      </c>
      <c r="H4172" s="13" t="n">
        <f aca="false">MIN(G4172,D4172)</f>
        <v>0.7390278</v>
      </c>
      <c r="I4172" s="13" t="n">
        <f aca="false">IFERROR(MIN(F4172*Eingaben!$B$19,MAX(0,D4172-H4172)),0)</f>
        <v>1.75959</v>
      </c>
      <c r="J4172" s="13" t="n">
        <f aca="false">IFERROR(MIN(Eingaben!$B$18,MAX(0,F4172-I4172)),0)</f>
        <v>0.75411</v>
      </c>
      <c r="K4172" s="13" t="n">
        <f aca="false">H4172+I4172</f>
        <v>2.4986178</v>
      </c>
      <c r="L4172" s="13" t="n">
        <f aca="false">MAX(0,D4172-K4172)</f>
        <v>2.4413822</v>
      </c>
      <c r="M4172" s="13" t="n">
        <f aca="false">MAX(0,F4172-I4172-J4172)</f>
        <v>0</v>
      </c>
      <c r="N4172" s="13" t="n">
        <f aca="false">IF(Kalender!A146="",0,J4171-H4172)</f>
        <v>0.0150822</v>
      </c>
    </row>
    <row r="4173" customFormat="false" ht="16.4" hidden="false" customHeight="false" outlineLevel="0" collapsed="false">
      <c r="A4173" s="13" t="str">
        <f aca="false">""</f>
        <v/>
      </c>
      <c r="B4173" s="13" t="n">
        <f aca="false">143</f>
        <v>143</v>
      </c>
      <c r="C4173" s="13" t="n">
        <f aca="false">IF(Szenarien!$H$22="OK",(IFERROR(SUMIF(Nutzungsprofile!$B$6:$B$11,"Schulbetrieb",Nutzungsprofile!$G$6:$G$11)*Kalender!C147/SUM(Kalender!$C$5:$C$370),0)+IFERROR(SUMIF(Nutzungsprofile!$B$6:$B$11,"Halle",Nutzungsprofile!$G$6:$G$11)*Kalender!D147/SUM(Kalender!$D$5:$D$370),0)+IFERROR(SUMIF(Nutzungsprofile!$B$6:$B$11,"Individuell",Nutzungsprofile!$G$6:$G$11)*Kalender!E147/SUM(Kalender!$E$5:$E$370),0))*Szenarien!$E$22,0)</f>
        <v>2.04</v>
      </c>
      <c r="D4173" s="13" t="n">
        <f aca="false">IF(Szenarien!$H$22="OK",(IFERROR(SUMIF(Nutzungsprofile!$B$17:$B$22,"Schulbetrieb",Nutzungsprofile!$G$17:$G$22)*Kalender!C147/SUM(Kalender!$C$5:$C$370),0)+IFERROR(SUMIF(Nutzungsprofile!$B$17:$B$22,"Halle",Nutzungsprofile!$G$17:$G$22)*Kalender!D147/SUM(Kalender!$D$5:$D$370),0)+IFERROR(SUMIF(Nutzungsprofile!$B$17:$B$22,"Individuell",Nutzungsprofile!$G$17:$G$22)*Kalender!E147/SUM(Kalender!$E$5:$E$370),0))*Szenarien!$D$22,0)</f>
        <v>0.89</v>
      </c>
      <c r="E4173" s="13" t="n">
        <f aca="false">IFERROR(MIN(C4173,Eingaben!$B$17)*Eingaben!$B$16,0)</f>
        <v>1.938</v>
      </c>
      <c r="F4173" s="13" t="n">
        <f aca="false">IFERROR(E4173*Eingaben!$B$15,0)</f>
        <v>1.7442</v>
      </c>
      <c r="G4173" s="13" t="n">
        <f aca="false">IFERROR(IF(Kalender!A147="",0,J4172*(1-Eingaben!$B$20)),0)</f>
        <v>0.7390278</v>
      </c>
      <c r="H4173" s="13" t="n">
        <f aca="false">MIN(G4173,D4173)</f>
        <v>0.7390278</v>
      </c>
      <c r="I4173" s="13" t="n">
        <f aca="false">IFERROR(MIN(F4173*Eingaben!$B$19,MAX(0,D4173-H4173)),0)</f>
        <v>0.1509722</v>
      </c>
      <c r="J4173" s="13" t="n">
        <f aca="false">IFERROR(MIN(Eingaben!$B$18,MAX(0,F4173-I4173)),0)</f>
        <v>1.5932278</v>
      </c>
      <c r="K4173" s="13" t="n">
        <f aca="false">H4173+I4173</f>
        <v>0.89</v>
      </c>
      <c r="L4173" s="13" t="n">
        <f aca="false">MAX(0,D4173-K4173)</f>
        <v>0</v>
      </c>
      <c r="M4173" s="13" t="n">
        <f aca="false">MAX(0,F4173-I4173-J4173)</f>
        <v>0</v>
      </c>
      <c r="N4173" s="13" t="n">
        <f aca="false">IF(Kalender!A147="",0,J4172-H4173)</f>
        <v>0.0150822</v>
      </c>
    </row>
    <row r="4174" customFormat="false" ht="16.4" hidden="false" customHeight="false" outlineLevel="0" collapsed="false">
      <c r="A4174" s="13" t="str">
        <f aca="false">""</f>
        <v/>
      </c>
      <c r="B4174" s="13" t="n">
        <f aca="false">144</f>
        <v>144</v>
      </c>
      <c r="C4174" s="13" t="n">
        <f aca="false">IF(Szenarien!$H$22="OK",(IFERROR(SUMIF(Nutzungsprofile!$B$6:$B$11,"Schulbetrieb",Nutzungsprofile!$G$6:$G$11)*Kalender!C148/SUM(Kalender!$C$5:$C$370),0)+IFERROR(SUMIF(Nutzungsprofile!$B$6:$B$11,"Halle",Nutzungsprofile!$G$6:$G$11)*Kalender!D148/SUM(Kalender!$D$5:$D$370),0)+IFERROR(SUMIF(Nutzungsprofile!$B$6:$B$11,"Individuell",Nutzungsprofile!$G$6:$G$11)*Kalender!E148/SUM(Kalender!$E$5:$E$370),0))*Szenarien!$E$22,0)</f>
        <v>2.04</v>
      </c>
      <c r="D4174" s="13" t="n">
        <f aca="false">IF(Szenarien!$H$22="OK",(IFERROR(SUMIF(Nutzungsprofile!$B$17:$B$22,"Schulbetrieb",Nutzungsprofile!$G$17:$G$22)*Kalender!C148/SUM(Kalender!$C$5:$C$370),0)+IFERROR(SUMIF(Nutzungsprofile!$B$17:$B$22,"Halle",Nutzungsprofile!$G$17:$G$22)*Kalender!D148/SUM(Kalender!$D$5:$D$370),0)+IFERROR(SUMIF(Nutzungsprofile!$B$17:$B$22,"Individuell",Nutzungsprofile!$G$17:$G$22)*Kalender!E148/SUM(Kalender!$E$5:$E$370),0))*Szenarien!$D$22,0)</f>
        <v>0.89</v>
      </c>
      <c r="E4174" s="13" t="n">
        <f aca="false">IFERROR(MIN(C4174,Eingaben!$B$17)*Eingaben!$B$16,0)</f>
        <v>1.938</v>
      </c>
      <c r="F4174" s="13" t="n">
        <f aca="false">IFERROR(E4174*Eingaben!$B$15,0)</f>
        <v>1.7442</v>
      </c>
      <c r="G4174" s="13" t="n">
        <f aca="false">IFERROR(IF(Kalender!A148="",0,J4173*(1-Eingaben!$B$20)),0)</f>
        <v>1.561363244</v>
      </c>
      <c r="H4174" s="13" t="n">
        <f aca="false">MIN(G4174,D4174)</f>
        <v>0.89</v>
      </c>
      <c r="I4174" s="13" t="n">
        <f aca="false">IFERROR(MIN(F4174*Eingaben!$B$19,MAX(0,D4174-H4174)),0)</f>
        <v>0</v>
      </c>
      <c r="J4174" s="13" t="n">
        <f aca="false">IFERROR(MIN(Eingaben!$B$18,MAX(0,F4174-I4174)),0)</f>
        <v>1.7442</v>
      </c>
      <c r="K4174" s="13" t="n">
        <f aca="false">H4174+I4174</f>
        <v>0.89</v>
      </c>
      <c r="L4174" s="13" t="n">
        <f aca="false">MAX(0,D4174-K4174)</f>
        <v>0</v>
      </c>
      <c r="M4174" s="13" t="n">
        <f aca="false">MAX(0,F4174-I4174-J4174)</f>
        <v>0</v>
      </c>
      <c r="N4174" s="13" t="n">
        <f aca="false">IF(Kalender!A148="",0,J4173-H4174)</f>
        <v>0.7032278</v>
      </c>
    </row>
    <row r="4175" customFormat="false" ht="16.4" hidden="false" customHeight="false" outlineLevel="0" collapsed="false">
      <c r="A4175" s="13" t="str">
        <f aca="false">""</f>
        <v/>
      </c>
      <c r="B4175" s="13" t="n">
        <f aca="false">145</f>
        <v>145</v>
      </c>
      <c r="C4175" s="13" t="n">
        <f aca="false">IF(Szenarien!$H$22="OK",(IFERROR(SUMIF(Nutzungsprofile!$B$6:$B$11,"Schulbetrieb",Nutzungsprofile!$G$6:$G$11)*Kalender!C149/SUM(Kalender!$C$5:$C$370),0)+IFERROR(SUMIF(Nutzungsprofile!$B$6:$B$11,"Halle",Nutzungsprofile!$G$6:$G$11)*Kalender!D149/SUM(Kalender!$D$5:$D$370),0)+IFERROR(SUMIF(Nutzungsprofile!$B$6:$B$11,"Individuell",Nutzungsprofile!$G$6:$G$11)*Kalender!E149/SUM(Kalender!$E$5:$E$370),0))*Szenarien!$E$22,0)</f>
        <v>2.94</v>
      </c>
      <c r="D4175" s="13" t="n">
        <f aca="false">IF(Szenarien!$H$22="OK",(IFERROR(SUMIF(Nutzungsprofile!$B$17:$B$22,"Schulbetrieb",Nutzungsprofile!$G$17:$G$22)*Kalender!C149/SUM(Kalender!$C$5:$C$370),0)+IFERROR(SUMIF(Nutzungsprofile!$B$17:$B$22,"Halle",Nutzungsprofile!$G$17:$G$22)*Kalender!D149/SUM(Kalender!$D$5:$D$370),0)+IFERROR(SUMIF(Nutzungsprofile!$B$17:$B$22,"Individuell",Nutzungsprofile!$G$17:$G$22)*Kalender!E149/SUM(Kalender!$E$5:$E$370),0))*Szenarien!$D$22,0)</f>
        <v>4.94</v>
      </c>
      <c r="E4175" s="13" t="n">
        <f aca="false">IFERROR(MIN(C4175,Eingaben!$B$17)*Eingaben!$B$16,0)</f>
        <v>2.793</v>
      </c>
      <c r="F4175" s="13" t="n">
        <f aca="false">IFERROR(E4175*Eingaben!$B$15,0)</f>
        <v>2.5137</v>
      </c>
      <c r="G4175" s="13" t="n">
        <f aca="false">IFERROR(IF(Kalender!A149="",0,J4174*(1-Eingaben!$B$20)),0)</f>
        <v>1.709316</v>
      </c>
      <c r="H4175" s="13" t="n">
        <f aca="false">MIN(G4175,D4175)</f>
        <v>1.709316</v>
      </c>
      <c r="I4175" s="13" t="n">
        <f aca="false">IFERROR(MIN(F4175*Eingaben!$B$19,MAX(0,D4175-H4175)),0)</f>
        <v>1.75959</v>
      </c>
      <c r="J4175" s="13" t="n">
        <f aca="false">IFERROR(MIN(Eingaben!$B$18,MAX(0,F4175-I4175)),0)</f>
        <v>0.75411</v>
      </c>
      <c r="K4175" s="13" t="n">
        <f aca="false">H4175+I4175</f>
        <v>3.468906</v>
      </c>
      <c r="L4175" s="13" t="n">
        <f aca="false">MAX(0,D4175-K4175)</f>
        <v>1.471094</v>
      </c>
      <c r="M4175" s="13" t="n">
        <f aca="false">MAX(0,F4175-I4175-J4175)</f>
        <v>0</v>
      </c>
      <c r="N4175" s="13" t="n">
        <f aca="false">IF(Kalender!A149="",0,J4174-H4175)</f>
        <v>0.0348840000000001</v>
      </c>
    </row>
    <row r="4176" customFormat="false" ht="16.4" hidden="false" customHeight="false" outlineLevel="0" collapsed="false">
      <c r="A4176" s="13" t="str">
        <f aca="false">""</f>
        <v/>
      </c>
      <c r="B4176" s="13" t="n">
        <f aca="false">146</f>
        <v>146</v>
      </c>
      <c r="C4176" s="13" t="n">
        <f aca="false">IF(Szenarien!$H$22="OK",(IFERROR(SUMIF(Nutzungsprofile!$B$6:$B$11,"Schulbetrieb",Nutzungsprofile!$G$6:$G$11)*Kalender!C150/SUM(Kalender!$C$5:$C$370),0)+IFERROR(SUMIF(Nutzungsprofile!$B$6:$B$11,"Halle",Nutzungsprofile!$G$6:$G$11)*Kalender!D150/SUM(Kalender!$D$5:$D$370),0)+IFERROR(SUMIF(Nutzungsprofile!$B$6:$B$11,"Individuell",Nutzungsprofile!$G$6:$G$11)*Kalender!E150/SUM(Kalender!$E$5:$E$370),0))*Szenarien!$E$22,0)</f>
        <v>2.94</v>
      </c>
      <c r="D4176" s="13" t="n">
        <f aca="false">IF(Szenarien!$H$22="OK",(IFERROR(SUMIF(Nutzungsprofile!$B$17:$B$22,"Schulbetrieb",Nutzungsprofile!$G$17:$G$22)*Kalender!C150/SUM(Kalender!$C$5:$C$370),0)+IFERROR(SUMIF(Nutzungsprofile!$B$17:$B$22,"Halle",Nutzungsprofile!$G$17:$G$22)*Kalender!D150/SUM(Kalender!$D$5:$D$370),0)+IFERROR(SUMIF(Nutzungsprofile!$B$17:$B$22,"Individuell",Nutzungsprofile!$G$17:$G$22)*Kalender!E150/SUM(Kalender!$E$5:$E$370),0))*Szenarien!$D$22,0)</f>
        <v>4.94</v>
      </c>
      <c r="E4176" s="13" t="n">
        <f aca="false">IFERROR(MIN(C4176,Eingaben!$B$17)*Eingaben!$B$16,0)</f>
        <v>2.793</v>
      </c>
      <c r="F4176" s="13" t="n">
        <f aca="false">IFERROR(E4176*Eingaben!$B$15,0)</f>
        <v>2.5137</v>
      </c>
      <c r="G4176" s="13" t="n">
        <f aca="false">IFERROR(IF(Kalender!A150="",0,J4175*(1-Eingaben!$B$20)),0)</f>
        <v>0.7390278</v>
      </c>
      <c r="H4176" s="13" t="n">
        <f aca="false">MIN(G4176,D4176)</f>
        <v>0.7390278</v>
      </c>
      <c r="I4176" s="13" t="n">
        <f aca="false">IFERROR(MIN(F4176*Eingaben!$B$19,MAX(0,D4176-H4176)),0)</f>
        <v>1.75959</v>
      </c>
      <c r="J4176" s="13" t="n">
        <f aca="false">IFERROR(MIN(Eingaben!$B$18,MAX(0,F4176-I4176)),0)</f>
        <v>0.75411</v>
      </c>
      <c r="K4176" s="13" t="n">
        <f aca="false">H4176+I4176</f>
        <v>2.4986178</v>
      </c>
      <c r="L4176" s="13" t="n">
        <f aca="false">MAX(0,D4176-K4176)</f>
        <v>2.4413822</v>
      </c>
      <c r="M4176" s="13" t="n">
        <f aca="false">MAX(0,F4176-I4176-J4176)</f>
        <v>0</v>
      </c>
      <c r="N4176" s="13" t="n">
        <f aca="false">IF(Kalender!A150="",0,J4175-H4176)</f>
        <v>0.0150822</v>
      </c>
    </row>
    <row r="4177" customFormat="false" ht="16.4" hidden="false" customHeight="false" outlineLevel="0" collapsed="false">
      <c r="A4177" s="13" t="str">
        <f aca="false">""</f>
        <v/>
      </c>
      <c r="B4177" s="13" t="n">
        <f aca="false">147</f>
        <v>147</v>
      </c>
      <c r="C4177" s="13" t="n">
        <f aca="false">IF(Szenarien!$H$22="OK",(IFERROR(SUMIF(Nutzungsprofile!$B$6:$B$11,"Schulbetrieb",Nutzungsprofile!$G$6:$G$11)*Kalender!C151/SUM(Kalender!$C$5:$C$370),0)+IFERROR(SUMIF(Nutzungsprofile!$B$6:$B$11,"Halle",Nutzungsprofile!$G$6:$G$11)*Kalender!D151/SUM(Kalender!$D$5:$D$370),0)+IFERROR(SUMIF(Nutzungsprofile!$B$6:$B$11,"Individuell",Nutzungsprofile!$G$6:$G$11)*Kalender!E151/SUM(Kalender!$E$5:$E$370),0))*Szenarien!$E$22,0)</f>
        <v>2.94</v>
      </c>
      <c r="D4177" s="13" t="n">
        <f aca="false">IF(Szenarien!$H$22="OK",(IFERROR(SUMIF(Nutzungsprofile!$B$17:$B$22,"Schulbetrieb",Nutzungsprofile!$G$17:$G$22)*Kalender!C151/SUM(Kalender!$C$5:$C$370),0)+IFERROR(SUMIF(Nutzungsprofile!$B$17:$B$22,"Halle",Nutzungsprofile!$G$17:$G$22)*Kalender!D151/SUM(Kalender!$D$5:$D$370),0)+IFERROR(SUMIF(Nutzungsprofile!$B$17:$B$22,"Individuell",Nutzungsprofile!$G$17:$G$22)*Kalender!E151/SUM(Kalender!$E$5:$E$370),0))*Szenarien!$D$22,0)</f>
        <v>4.94</v>
      </c>
      <c r="E4177" s="13" t="n">
        <f aca="false">IFERROR(MIN(C4177,Eingaben!$B$17)*Eingaben!$B$16,0)</f>
        <v>2.793</v>
      </c>
      <c r="F4177" s="13" t="n">
        <f aca="false">IFERROR(E4177*Eingaben!$B$15,0)</f>
        <v>2.5137</v>
      </c>
      <c r="G4177" s="13" t="n">
        <f aca="false">IFERROR(IF(Kalender!A151="",0,J4176*(1-Eingaben!$B$20)),0)</f>
        <v>0.7390278</v>
      </c>
      <c r="H4177" s="13" t="n">
        <f aca="false">MIN(G4177,D4177)</f>
        <v>0.7390278</v>
      </c>
      <c r="I4177" s="13" t="n">
        <f aca="false">IFERROR(MIN(F4177*Eingaben!$B$19,MAX(0,D4177-H4177)),0)</f>
        <v>1.75959</v>
      </c>
      <c r="J4177" s="13" t="n">
        <f aca="false">IFERROR(MIN(Eingaben!$B$18,MAX(0,F4177-I4177)),0)</f>
        <v>0.75411</v>
      </c>
      <c r="K4177" s="13" t="n">
        <f aca="false">H4177+I4177</f>
        <v>2.4986178</v>
      </c>
      <c r="L4177" s="13" t="n">
        <f aca="false">MAX(0,D4177-K4177)</f>
        <v>2.4413822</v>
      </c>
      <c r="M4177" s="13" t="n">
        <f aca="false">MAX(0,F4177-I4177-J4177)</f>
        <v>0</v>
      </c>
      <c r="N4177" s="13" t="n">
        <f aca="false">IF(Kalender!A151="",0,J4176-H4177)</f>
        <v>0.0150822</v>
      </c>
    </row>
    <row r="4178" customFormat="false" ht="16.4" hidden="false" customHeight="false" outlineLevel="0" collapsed="false">
      <c r="A4178" s="13" t="str">
        <f aca="false">""</f>
        <v/>
      </c>
      <c r="B4178" s="13" t="n">
        <f aca="false">148</f>
        <v>148</v>
      </c>
      <c r="C4178" s="13" t="n">
        <f aca="false">IF(Szenarien!$H$22="OK",(IFERROR(SUMIF(Nutzungsprofile!$B$6:$B$11,"Schulbetrieb",Nutzungsprofile!$G$6:$G$11)*Kalender!C152/SUM(Kalender!$C$5:$C$370),0)+IFERROR(SUMIF(Nutzungsprofile!$B$6:$B$11,"Halle",Nutzungsprofile!$G$6:$G$11)*Kalender!D152/SUM(Kalender!$D$5:$D$370),0)+IFERROR(SUMIF(Nutzungsprofile!$B$6:$B$11,"Individuell",Nutzungsprofile!$G$6:$G$11)*Kalender!E152/SUM(Kalender!$E$5:$E$370),0))*Szenarien!$E$22,0)</f>
        <v>2.94</v>
      </c>
      <c r="D4178" s="13" t="n">
        <f aca="false">IF(Szenarien!$H$22="OK",(IFERROR(SUMIF(Nutzungsprofile!$B$17:$B$22,"Schulbetrieb",Nutzungsprofile!$G$17:$G$22)*Kalender!C152/SUM(Kalender!$C$5:$C$370),0)+IFERROR(SUMIF(Nutzungsprofile!$B$17:$B$22,"Halle",Nutzungsprofile!$G$17:$G$22)*Kalender!D152/SUM(Kalender!$D$5:$D$370),0)+IFERROR(SUMIF(Nutzungsprofile!$B$17:$B$22,"Individuell",Nutzungsprofile!$G$17:$G$22)*Kalender!E152/SUM(Kalender!$E$5:$E$370),0))*Szenarien!$D$22,0)</f>
        <v>4.94</v>
      </c>
      <c r="E4178" s="13" t="n">
        <f aca="false">IFERROR(MIN(C4178,Eingaben!$B$17)*Eingaben!$B$16,0)</f>
        <v>2.793</v>
      </c>
      <c r="F4178" s="13" t="n">
        <f aca="false">IFERROR(E4178*Eingaben!$B$15,0)</f>
        <v>2.5137</v>
      </c>
      <c r="G4178" s="13" t="n">
        <f aca="false">IFERROR(IF(Kalender!A152="",0,J4177*(1-Eingaben!$B$20)),0)</f>
        <v>0.7390278</v>
      </c>
      <c r="H4178" s="13" t="n">
        <f aca="false">MIN(G4178,D4178)</f>
        <v>0.7390278</v>
      </c>
      <c r="I4178" s="13" t="n">
        <f aca="false">IFERROR(MIN(F4178*Eingaben!$B$19,MAX(0,D4178-H4178)),0)</f>
        <v>1.75959</v>
      </c>
      <c r="J4178" s="13" t="n">
        <f aca="false">IFERROR(MIN(Eingaben!$B$18,MAX(0,F4178-I4178)),0)</f>
        <v>0.75411</v>
      </c>
      <c r="K4178" s="13" t="n">
        <f aca="false">H4178+I4178</f>
        <v>2.4986178</v>
      </c>
      <c r="L4178" s="13" t="n">
        <f aca="false">MAX(0,D4178-K4178)</f>
        <v>2.4413822</v>
      </c>
      <c r="M4178" s="13" t="n">
        <f aca="false">MAX(0,F4178-I4178-J4178)</f>
        <v>0</v>
      </c>
      <c r="N4178" s="13" t="n">
        <f aca="false">IF(Kalender!A152="",0,J4177-H4178)</f>
        <v>0.0150822</v>
      </c>
    </row>
    <row r="4179" customFormat="false" ht="16.4" hidden="false" customHeight="false" outlineLevel="0" collapsed="false">
      <c r="A4179" s="13" t="str">
        <f aca="false">""</f>
        <v/>
      </c>
      <c r="B4179" s="13" t="n">
        <f aca="false">149</f>
        <v>149</v>
      </c>
      <c r="C4179" s="13" t="n">
        <f aca="false">IF(Szenarien!$H$22="OK",(IFERROR(SUMIF(Nutzungsprofile!$B$6:$B$11,"Schulbetrieb",Nutzungsprofile!$G$6:$G$11)*Kalender!C153/SUM(Kalender!$C$5:$C$370),0)+IFERROR(SUMIF(Nutzungsprofile!$B$6:$B$11,"Halle",Nutzungsprofile!$G$6:$G$11)*Kalender!D153/SUM(Kalender!$D$5:$D$370),0)+IFERROR(SUMIF(Nutzungsprofile!$B$6:$B$11,"Individuell",Nutzungsprofile!$G$6:$G$11)*Kalender!E153/SUM(Kalender!$E$5:$E$370),0))*Szenarien!$E$22,0)</f>
        <v>2.94</v>
      </c>
      <c r="D4179" s="13" t="n">
        <f aca="false">IF(Szenarien!$H$22="OK",(IFERROR(SUMIF(Nutzungsprofile!$B$17:$B$22,"Schulbetrieb",Nutzungsprofile!$G$17:$G$22)*Kalender!C153/SUM(Kalender!$C$5:$C$370),0)+IFERROR(SUMIF(Nutzungsprofile!$B$17:$B$22,"Halle",Nutzungsprofile!$G$17:$G$22)*Kalender!D153/SUM(Kalender!$D$5:$D$370),0)+IFERROR(SUMIF(Nutzungsprofile!$B$17:$B$22,"Individuell",Nutzungsprofile!$G$17:$G$22)*Kalender!E153/SUM(Kalender!$E$5:$E$370),0))*Szenarien!$D$22,0)</f>
        <v>4.94</v>
      </c>
      <c r="E4179" s="13" t="n">
        <f aca="false">IFERROR(MIN(C4179,Eingaben!$B$17)*Eingaben!$B$16,0)</f>
        <v>2.793</v>
      </c>
      <c r="F4179" s="13" t="n">
        <f aca="false">IFERROR(E4179*Eingaben!$B$15,0)</f>
        <v>2.5137</v>
      </c>
      <c r="G4179" s="13" t="n">
        <f aca="false">IFERROR(IF(Kalender!A153="",0,J4178*(1-Eingaben!$B$20)),0)</f>
        <v>0.7390278</v>
      </c>
      <c r="H4179" s="13" t="n">
        <f aca="false">MIN(G4179,D4179)</f>
        <v>0.7390278</v>
      </c>
      <c r="I4179" s="13" t="n">
        <f aca="false">IFERROR(MIN(F4179*Eingaben!$B$19,MAX(0,D4179-H4179)),0)</f>
        <v>1.75959</v>
      </c>
      <c r="J4179" s="13" t="n">
        <f aca="false">IFERROR(MIN(Eingaben!$B$18,MAX(0,F4179-I4179)),0)</f>
        <v>0.75411</v>
      </c>
      <c r="K4179" s="13" t="n">
        <f aca="false">H4179+I4179</f>
        <v>2.4986178</v>
      </c>
      <c r="L4179" s="13" t="n">
        <f aca="false">MAX(0,D4179-K4179)</f>
        <v>2.4413822</v>
      </c>
      <c r="M4179" s="13" t="n">
        <f aca="false">MAX(0,F4179-I4179-J4179)</f>
        <v>0</v>
      </c>
      <c r="N4179" s="13" t="n">
        <f aca="false">IF(Kalender!A153="",0,J4178-H4179)</f>
        <v>0.0150822</v>
      </c>
    </row>
    <row r="4180" customFormat="false" ht="16.4" hidden="false" customHeight="false" outlineLevel="0" collapsed="false">
      <c r="A4180" s="13" t="str">
        <f aca="false">""</f>
        <v/>
      </c>
      <c r="B4180" s="13" t="n">
        <f aca="false">150</f>
        <v>150</v>
      </c>
      <c r="C4180" s="13" t="n">
        <f aca="false">IF(Szenarien!$H$22="OK",(IFERROR(SUMIF(Nutzungsprofile!$B$6:$B$11,"Schulbetrieb",Nutzungsprofile!$G$6:$G$11)*Kalender!C154/SUM(Kalender!$C$5:$C$370),0)+IFERROR(SUMIF(Nutzungsprofile!$B$6:$B$11,"Halle",Nutzungsprofile!$G$6:$G$11)*Kalender!D154/SUM(Kalender!$D$5:$D$370),0)+IFERROR(SUMIF(Nutzungsprofile!$B$6:$B$11,"Individuell",Nutzungsprofile!$G$6:$G$11)*Kalender!E154/SUM(Kalender!$E$5:$E$370),0))*Szenarien!$E$22,0)</f>
        <v>2.04</v>
      </c>
      <c r="D4180" s="13" t="n">
        <f aca="false">IF(Szenarien!$H$22="OK",(IFERROR(SUMIF(Nutzungsprofile!$B$17:$B$22,"Schulbetrieb",Nutzungsprofile!$G$17:$G$22)*Kalender!C154/SUM(Kalender!$C$5:$C$370),0)+IFERROR(SUMIF(Nutzungsprofile!$B$17:$B$22,"Halle",Nutzungsprofile!$G$17:$G$22)*Kalender!D154/SUM(Kalender!$D$5:$D$370),0)+IFERROR(SUMIF(Nutzungsprofile!$B$17:$B$22,"Individuell",Nutzungsprofile!$G$17:$G$22)*Kalender!E154/SUM(Kalender!$E$5:$E$370),0))*Szenarien!$D$22,0)</f>
        <v>0.89</v>
      </c>
      <c r="E4180" s="13" t="n">
        <f aca="false">IFERROR(MIN(C4180,Eingaben!$B$17)*Eingaben!$B$16,0)</f>
        <v>1.938</v>
      </c>
      <c r="F4180" s="13" t="n">
        <f aca="false">IFERROR(E4180*Eingaben!$B$15,0)</f>
        <v>1.7442</v>
      </c>
      <c r="G4180" s="13" t="n">
        <f aca="false">IFERROR(IF(Kalender!A154="",0,J4179*(1-Eingaben!$B$20)),0)</f>
        <v>0.7390278</v>
      </c>
      <c r="H4180" s="13" t="n">
        <f aca="false">MIN(G4180,D4180)</f>
        <v>0.7390278</v>
      </c>
      <c r="I4180" s="13" t="n">
        <f aca="false">IFERROR(MIN(F4180*Eingaben!$B$19,MAX(0,D4180-H4180)),0)</f>
        <v>0.1509722</v>
      </c>
      <c r="J4180" s="13" t="n">
        <f aca="false">IFERROR(MIN(Eingaben!$B$18,MAX(0,F4180-I4180)),0)</f>
        <v>1.5932278</v>
      </c>
      <c r="K4180" s="13" t="n">
        <f aca="false">H4180+I4180</f>
        <v>0.89</v>
      </c>
      <c r="L4180" s="13" t="n">
        <f aca="false">MAX(0,D4180-K4180)</f>
        <v>0</v>
      </c>
      <c r="M4180" s="13" t="n">
        <f aca="false">MAX(0,F4180-I4180-J4180)</f>
        <v>0</v>
      </c>
      <c r="N4180" s="13" t="n">
        <f aca="false">IF(Kalender!A154="",0,J4179-H4180)</f>
        <v>0.0150822</v>
      </c>
    </row>
    <row r="4181" customFormat="false" ht="16.4" hidden="false" customHeight="false" outlineLevel="0" collapsed="false">
      <c r="A4181" s="13" t="str">
        <f aca="false">""</f>
        <v/>
      </c>
      <c r="B4181" s="13" t="n">
        <f aca="false">151</f>
        <v>151</v>
      </c>
      <c r="C4181" s="13" t="n">
        <f aca="false">IF(Szenarien!$H$22="OK",(IFERROR(SUMIF(Nutzungsprofile!$B$6:$B$11,"Schulbetrieb",Nutzungsprofile!$G$6:$G$11)*Kalender!C155/SUM(Kalender!$C$5:$C$370),0)+IFERROR(SUMIF(Nutzungsprofile!$B$6:$B$11,"Halle",Nutzungsprofile!$G$6:$G$11)*Kalender!D155/SUM(Kalender!$D$5:$D$370),0)+IFERROR(SUMIF(Nutzungsprofile!$B$6:$B$11,"Individuell",Nutzungsprofile!$G$6:$G$11)*Kalender!E155/SUM(Kalender!$E$5:$E$370),0))*Szenarien!$E$22,0)</f>
        <v>2.04</v>
      </c>
      <c r="D4181" s="13" t="n">
        <f aca="false">IF(Szenarien!$H$22="OK",(IFERROR(SUMIF(Nutzungsprofile!$B$17:$B$22,"Schulbetrieb",Nutzungsprofile!$G$17:$G$22)*Kalender!C155/SUM(Kalender!$C$5:$C$370),0)+IFERROR(SUMIF(Nutzungsprofile!$B$17:$B$22,"Halle",Nutzungsprofile!$G$17:$G$22)*Kalender!D155/SUM(Kalender!$D$5:$D$370),0)+IFERROR(SUMIF(Nutzungsprofile!$B$17:$B$22,"Individuell",Nutzungsprofile!$G$17:$G$22)*Kalender!E155/SUM(Kalender!$E$5:$E$370),0))*Szenarien!$D$22,0)</f>
        <v>0.89</v>
      </c>
      <c r="E4181" s="13" t="n">
        <f aca="false">IFERROR(MIN(C4181,Eingaben!$B$17)*Eingaben!$B$16,0)</f>
        <v>1.938</v>
      </c>
      <c r="F4181" s="13" t="n">
        <f aca="false">IFERROR(E4181*Eingaben!$B$15,0)</f>
        <v>1.7442</v>
      </c>
      <c r="G4181" s="13" t="n">
        <f aca="false">IFERROR(IF(Kalender!A155="",0,J4180*(1-Eingaben!$B$20)),0)</f>
        <v>1.561363244</v>
      </c>
      <c r="H4181" s="13" t="n">
        <f aca="false">MIN(G4181,D4181)</f>
        <v>0.89</v>
      </c>
      <c r="I4181" s="13" t="n">
        <f aca="false">IFERROR(MIN(F4181*Eingaben!$B$19,MAX(0,D4181-H4181)),0)</f>
        <v>0</v>
      </c>
      <c r="J4181" s="13" t="n">
        <f aca="false">IFERROR(MIN(Eingaben!$B$18,MAX(0,F4181-I4181)),0)</f>
        <v>1.7442</v>
      </c>
      <c r="K4181" s="13" t="n">
        <f aca="false">H4181+I4181</f>
        <v>0.89</v>
      </c>
      <c r="L4181" s="13" t="n">
        <f aca="false">MAX(0,D4181-K4181)</f>
        <v>0</v>
      </c>
      <c r="M4181" s="13" t="n">
        <f aca="false">MAX(0,F4181-I4181-J4181)</f>
        <v>0</v>
      </c>
      <c r="N4181" s="13" t="n">
        <f aca="false">IF(Kalender!A155="",0,J4180-H4181)</f>
        <v>0.7032278</v>
      </c>
    </row>
    <row r="4182" customFormat="false" ht="16.4" hidden="false" customHeight="false" outlineLevel="0" collapsed="false">
      <c r="A4182" s="13" t="str">
        <f aca="false">""</f>
        <v/>
      </c>
      <c r="B4182" s="13" t="n">
        <f aca="false">152</f>
        <v>152</v>
      </c>
      <c r="C4182" s="13" t="n">
        <f aca="false">IF(Szenarien!$H$22="OK",(IFERROR(SUMIF(Nutzungsprofile!$B$6:$B$11,"Schulbetrieb",Nutzungsprofile!$G$6:$G$11)*Kalender!C156/SUM(Kalender!$C$5:$C$370),0)+IFERROR(SUMIF(Nutzungsprofile!$B$6:$B$11,"Halle",Nutzungsprofile!$G$6:$G$11)*Kalender!D156/SUM(Kalender!$D$5:$D$370),0)+IFERROR(SUMIF(Nutzungsprofile!$B$6:$B$11,"Individuell",Nutzungsprofile!$G$6:$G$11)*Kalender!E156/SUM(Kalender!$E$5:$E$370),0))*Szenarien!$E$22,0)</f>
        <v>2.94</v>
      </c>
      <c r="D4182" s="13" t="n">
        <f aca="false">IF(Szenarien!$H$22="OK",(IFERROR(SUMIF(Nutzungsprofile!$B$17:$B$22,"Schulbetrieb",Nutzungsprofile!$G$17:$G$22)*Kalender!C156/SUM(Kalender!$C$5:$C$370),0)+IFERROR(SUMIF(Nutzungsprofile!$B$17:$B$22,"Halle",Nutzungsprofile!$G$17:$G$22)*Kalender!D156/SUM(Kalender!$D$5:$D$370),0)+IFERROR(SUMIF(Nutzungsprofile!$B$17:$B$22,"Individuell",Nutzungsprofile!$G$17:$G$22)*Kalender!E156/SUM(Kalender!$E$5:$E$370),0))*Szenarien!$D$22,0)</f>
        <v>4.94</v>
      </c>
      <c r="E4182" s="13" t="n">
        <f aca="false">IFERROR(MIN(C4182,Eingaben!$B$17)*Eingaben!$B$16,0)</f>
        <v>2.793</v>
      </c>
      <c r="F4182" s="13" t="n">
        <f aca="false">IFERROR(E4182*Eingaben!$B$15,0)</f>
        <v>2.5137</v>
      </c>
      <c r="G4182" s="13" t="n">
        <f aca="false">IFERROR(IF(Kalender!A156="",0,J4181*(1-Eingaben!$B$20)),0)</f>
        <v>1.709316</v>
      </c>
      <c r="H4182" s="13" t="n">
        <f aca="false">MIN(G4182,D4182)</f>
        <v>1.709316</v>
      </c>
      <c r="I4182" s="13" t="n">
        <f aca="false">IFERROR(MIN(F4182*Eingaben!$B$19,MAX(0,D4182-H4182)),0)</f>
        <v>1.75959</v>
      </c>
      <c r="J4182" s="13" t="n">
        <f aca="false">IFERROR(MIN(Eingaben!$B$18,MAX(0,F4182-I4182)),0)</f>
        <v>0.75411</v>
      </c>
      <c r="K4182" s="13" t="n">
        <f aca="false">H4182+I4182</f>
        <v>3.468906</v>
      </c>
      <c r="L4182" s="13" t="n">
        <f aca="false">MAX(0,D4182-K4182)</f>
        <v>1.471094</v>
      </c>
      <c r="M4182" s="13" t="n">
        <f aca="false">MAX(0,F4182-I4182-J4182)</f>
        <v>0</v>
      </c>
      <c r="N4182" s="13" t="n">
        <f aca="false">IF(Kalender!A156="",0,J4181-H4182)</f>
        <v>0.0348840000000001</v>
      </c>
    </row>
    <row r="4183" customFormat="false" ht="16.4" hidden="false" customHeight="false" outlineLevel="0" collapsed="false">
      <c r="A4183" s="13" t="str">
        <f aca="false">""</f>
        <v/>
      </c>
      <c r="B4183" s="13" t="n">
        <f aca="false">153</f>
        <v>153</v>
      </c>
      <c r="C4183" s="13" t="n">
        <f aca="false">IF(Szenarien!$H$22="OK",(IFERROR(SUMIF(Nutzungsprofile!$B$6:$B$11,"Schulbetrieb",Nutzungsprofile!$G$6:$G$11)*Kalender!C157/SUM(Kalender!$C$5:$C$370),0)+IFERROR(SUMIF(Nutzungsprofile!$B$6:$B$11,"Halle",Nutzungsprofile!$G$6:$G$11)*Kalender!D157/SUM(Kalender!$D$5:$D$370),0)+IFERROR(SUMIF(Nutzungsprofile!$B$6:$B$11,"Individuell",Nutzungsprofile!$G$6:$G$11)*Kalender!E157/SUM(Kalender!$E$5:$E$370),0))*Szenarien!$E$22,0)</f>
        <v>2.94</v>
      </c>
      <c r="D4183" s="13" t="n">
        <f aca="false">IF(Szenarien!$H$22="OK",(IFERROR(SUMIF(Nutzungsprofile!$B$17:$B$22,"Schulbetrieb",Nutzungsprofile!$G$17:$G$22)*Kalender!C157/SUM(Kalender!$C$5:$C$370),0)+IFERROR(SUMIF(Nutzungsprofile!$B$17:$B$22,"Halle",Nutzungsprofile!$G$17:$G$22)*Kalender!D157/SUM(Kalender!$D$5:$D$370),0)+IFERROR(SUMIF(Nutzungsprofile!$B$17:$B$22,"Individuell",Nutzungsprofile!$G$17:$G$22)*Kalender!E157/SUM(Kalender!$E$5:$E$370),0))*Szenarien!$D$22,0)</f>
        <v>4.94</v>
      </c>
      <c r="E4183" s="13" t="n">
        <f aca="false">IFERROR(MIN(C4183,Eingaben!$B$17)*Eingaben!$B$16,0)</f>
        <v>2.793</v>
      </c>
      <c r="F4183" s="13" t="n">
        <f aca="false">IFERROR(E4183*Eingaben!$B$15,0)</f>
        <v>2.5137</v>
      </c>
      <c r="G4183" s="13" t="n">
        <f aca="false">IFERROR(IF(Kalender!A157="",0,J4182*(1-Eingaben!$B$20)),0)</f>
        <v>0.7390278</v>
      </c>
      <c r="H4183" s="13" t="n">
        <f aca="false">MIN(G4183,D4183)</f>
        <v>0.7390278</v>
      </c>
      <c r="I4183" s="13" t="n">
        <f aca="false">IFERROR(MIN(F4183*Eingaben!$B$19,MAX(0,D4183-H4183)),0)</f>
        <v>1.75959</v>
      </c>
      <c r="J4183" s="13" t="n">
        <f aca="false">IFERROR(MIN(Eingaben!$B$18,MAX(0,F4183-I4183)),0)</f>
        <v>0.75411</v>
      </c>
      <c r="K4183" s="13" t="n">
        <f aca="false">H4183+I4183</f>
        <v>2.4986178</v>
      </c>
      <c r="L4183" s="13" t="n">
        <f aca="false">MAX(0,D4183-K4183)</f>
        <v>2.4413822</v>
      </c>
      <c r="M4183" s="13" t="n">
        <f aca="false">MAX(0,F4183-I4183-J4183)</f>
        <v>0</v>
      </c>
      <c r="N4183" s="13" t="n">
        <f aca="false">IF(Kalender!A157="",0,J4182-H4183)</f>
        <v>0.0150822</v>
      </c>
    </row>
    <row r="4184" customFormat="false" ht="16.4" hidden="false" customHeight="false" outlineLevel="0" collapsed="false">
      <c r="A4184" s="13" t="str">
        <f aca="false">""</f>
        <v/>
      </c>
      <c r="B4184" s="13" t="n">
        <f aca="false">154</f>
        <v>154</v>
      </c>
      <c r="C4184" s="13" t="n">
        <f aca="false">IF(Szenarien!$H$22="OK",(IFERROR(SUMIF(Nutzungsprofile!$B$6:$B$11,"Schulbetrieb",Nutzungsprofile!$G$6:$G$11)*Kalender!C158/SUM(Kalender!$C$5:$C$370),0)+IFERROR(SUMIF(Nutzungsprofile!$B$6:$B$11,"Halle",Nutzungsprofile!$G$6:$G$11)*Kalender!D158/SUM(Kalender!$D$5:$D$370),0)+IFERROR(SUMIF(Nutzungsprofile!$B$6:$B$11,"Individuell",Nutzungsprofile!$G$6:$G$11)*Kalender!E158/SUM(Kalender!$E$5:$E$370),0))*Szenarien!$E$22,0)</f>
        <v>2.94</v>
      </c>
      <c r="D4184" s="13" t="n">
        <f aca="false">IF(Szenarien!$H$22="OK",(IFERROR(SUMIF(Nutzungsprofile!$B$17:$B$22,"Schulbetrieb",Nutzungsprofile!$G$17:$G$22)*Kalender!C158/SUM(Kalender!$C$5:$C$370),0)+IFERROR(SUMIF(Nutzungsprofile!$B$17:$B$22,"Halle",Nutzungsprofile!$G$17:$G$22)*Kalender!D158/SUM(Kalender!$D$5:$D$370),0)+IFERROR(SUMIF(Nutzungsprofile!$B$17:$B$22,"Individuell",Nutzungsprofile!$G$17:$G$22)*Kalender!E158/SUM(Kalender!$E$5:$E$370),0))*Szenarien!$D$22,0)</f>
        <v>4.94</v>
      </c>
      <c r="E4184" s="13" t="n">
        <f aca="false">IFERROR(MIN(C4184,Eingaben!$B$17)*Eingaben!$B$16,0)</f>
        <v>2.793</v>
      </c>
      <c r="F4184" s="13" t="n">
        <f aca="false">IFERROR(E4184*Eingaben!$B$15,0)</f>
        <v>2.5137</v>
      </c>
      <c r="G4184" s="13" t="n">
        <f aca="false">IFERROR(IF(Kalender!A158="",0,J4183*(1-Eingaben!$B$20)),0)</f>
        <v>0.7390278</v>
      </c>
      <c r="H4184" s="13" t="n">
        <f aca="false">MIN(G4184,D4184)</f>
        <v>0.7390278</v>
      </c>
      <c r="I4184" s="13" t="n">
        <f aca="false">IFERROR(MIN(F4184*Eingaben!$B$19,MAX(0,D4184-H4184)),0)</f>
        <v>1.75959</v>
      </c>
      <c r="J4184" s="13" t="n">
        <f aca="false">IFERROR(MIN(Eingaben!$B$18,MAX(0,F4184-I4184)),0)</f>
        <v>0.75411</v>
      </c>
      <c r="K4184" s="13" t="n">
        <f aca="false">H4184+I4184</f>
        <v>2.4986178</v>
      </c>
      <c r="L4184" s="13" t="n">
        <f aca="false">MAX(0,D4184-K4184)</f>
        <v>2.4413822</v>
      </c>
      <c r="M4184" s="13" t="n">
        <f aca="false">MAX(0,F4184-I4184-J4184)</f>
        <v>0</v>
      </c>
      <c r="N4184" s="13" t="n">
        <f aca="false">IF(Kalender!A158="",0,J4183-H4184)</f>
        <v>0.0150822</v>
      </c>
    </row>
    <row r="4185" customFormat="false" ht="16.4" hidden="false" customHeight="false" outlineLevel="0" collapsed="false">
      <c r="A4185" s="13" t="str">
        <f aca="false">""</f>
        <v/>
      </c>
      <c r="B4185" s="13" t="n">
        <f aca="false">155</f>
        <v>155</v>
      </c>
      <c r="C4185" s="13" t="n">
        <f aca="false">IF(Szenarien!$H$22="OK",(IFERROR(SUMIF(Nutzungsprofile!$B$6:$B$11,"Schulbetrieb",Nutzungsprofile!$G$6:$G$11)*Kalender!C159/SUM(Kalender!$C$5:$C$370),0)+IFERROR(SUMIF(Nutzungsprofile!$B$6:$B$11,"Halle",Nutzungsprofile!$G$6:$G$11)*Kalender!D159/SUM(Kalender!$D$5:$D$370),0)+IFERROR(SUMIF(Nutzungsprofile!$B$6:$B$11,"Individuell",Nutzungsprofile!$G$6:$G$11)*Kalender!E159/SUM(Kalender!$E$5:$E$370),0))*Szenarien!$E$22,0)</f>
        <v>2.94</v>
      </c>
      <c r="D4185" s="13" t="n">
        <f aca="false">IF(Szenarien!$H$22="OK",(IFERROR(SUMIF(Nutzungsprofile!$B$17:$B$22,"Schulbetrieb",Nutzungsprofile!$G$17:$G$22)*Kalender!C159/SUM(Kalender!$C$5:$C$370),0)+IFERROR(SUMIF(Nutzungsprofile!$B$17:$B$22,"Halle",Nutzungsprofile!$G$17:$G$22)*Kalender!D159/SUM(Kalender!$D$5:$D$370),0)+IFERROR(SUMIF(Nutzungsprofile!$B$17:$B$22,"Individuell",Nutzungsprofile!$G$17:$G$22)*Kalender!E159/SUM(Kalender!$E$5:$E$370),0))*Szenarien!$D$22,0)</f>
        <v>4.94</v>
      </c>
      <c r="E4185" s="13" t="n">
        <f aca="false">IFERROR(MIN(C4185,Eingaben!$B$17)*Eingaben!$B$16,0)</f>
        <v>2.793</v>
      </c>
      <c r="F4185" s="13" t="n">
        <f aca="false">IFERROR(E4185*Eingaben!$B$15,0)</f>
        <v>2.5137</v>
      </c>
      <c r="G4185" s="13" t="n">
        <f aca="false">IFERROR(IF(Kalender!A159="",0,J4184*(1-Eingaben!$B$20)),0)</f>
        <v>0.7390278</v>
      </c>
      <c r="H4185" s="13" t="n">
        <f aca="false">MIN(G4185,D4185)</f>
        <v>0.7390278</v>
      </c>
      <c r="I4185" s="13" t="n">
        <f aca="false">IFERROR(MIN(F4185*Eingaben!$B$19,MAX(0,D4185-H4185)),0)</f>
        <v>1.75959</v>
      </c>
      <c r="J4185" s="13" t="n">
        <f aca="false">IFERROR(MIN(Eingaben!$B$18,MAX(0,F4185-I4185)),0)</f>
        <v>0.75411</v>
      </c>
      <c r="K4185" s="13" t="n">
        <f aca="false">H4185+I4185</f>
        <v>2.4986178</v>
      </c>
      <c r="L4185" s="13" t="n">
        <f aca="false">MAX(0,D4185-K4185)</f>
        <v>2.4413822</v>
      </c>
      <c r="M4185" s="13" t="n">
        <f aca="false">MAX(0,F4185-I4185-J4185)</f>
        <v>0</v>
      </c>
      <c r="N4185" s="13" t="n">
        <f aca="false">IF(Kalender!A159="",0,J4184-H4185)</f>
        <v>0.0150822</v>
      </c>
    </row>
    <row r="4186" customFormat="false" ht="16.4" hidden="false" customHeight="false" outlineLevel="0" collapsed="false">
      <c r="A4186" s="13" t="str">
        <f aca="false">""</f>
        <v/>
      </c>
      <c r="B4186" s="13" t="n">
        <f aca="false">156</f>
        <v>156</v>
      </c>
      <c r="C4186" s="13" t="n">
        <f aca="false">IF(Szenarien!$H$22="OK",(IFERROR(SUMIF(Nutzungsprofile!$B$6:$B$11,"Schulbetrieb",Nutzungsprofile!$G$6:$G$11)*Kalender!C160/SUM(Kalender!$C$5:$C$370),0)+IFERROR(SUMIF(Nutzungsprofile!$B$6:$B$11,"Halle",Nutzungsprofile!$G$6:$G$11)*Kalender!D160/SUM(Kalender!$D$5:$D$370),0)+IFERROR(SUMIF(Nutzungsprofile!$B$6:$B$11,"Individuell",Nutzungsprofile!$G$6:$G$11)*Kalender!E160/SUM(Kalender!$E$5:$E$370),0))*Szenarien!$E$22,0)</f>
        <v>2.94</v>
      </c>
      <c r="D4186" s="13" t="n">
        <f aca="false">IF(Szenarien!$H$22="OK",(IFERROR(SUMIF(Nutzungsprofile!$B$17:$B$22,"Schulbetrieb",Nutzungsprofile!$G$17:$G$22)*Kalender!C160/SUM(Kalender!$C$5:$C$370),0)+IFERROR(SUMIF(Nutzungsprofile!$B$17:$B$22,"Halle",Nutzungsprofile!$G$17:$G$22)*Kalender!D160/SUM(Kalender!$D$5:$D$370),0)+IFERROR(SUMIF(Nutzungsprofile!$B$17:$B$22,"Individuell",Nutzungsprofile!$G$17:$G$22)*Kalender!E160/SUM(Kalender!$E$5:$E$370),0))*Szenarien!$D$22,0)</f>
        <v>4.94</v>
      </c>
      <c r="E4186" s="13" t="n">
        <f aca="false">IFERROR(MIN(C4186,Eingaben!$B$17)*Eingaben!$B$16,0)</f>
        <v>2.793</v>
      </c>
      <c r="F4186" s="13" t="n">
        <f aca="false">IFERROR(E4186*Eingaben!$B$15,0)</f>
        <v>2.5137</v>
      </c>
      <c r="G4186" s="13" t="n">
        <f aca="false">IFERROR(IF(Kalender!A160="",0,J4185*(1-Eingaben!$B$20)),0)</f>
        <v>0.7390278</v>
      </c>
      <c r="H4186" s="13" t="n">
        <f aca="false">MIN(G4186,D4186)</f>
        <v>0.7390278</v>
      </c>
      <c r="I4186" s="13" t="n">
        <f aca="false">IFERROR(MIN(F4186*Eingaben!$B$19,MAX(0,D4186-H4186)),0)</f>
        <v>1.75959</v>
      </c>
      <c r="J4186" s="13" t="n">
        <f aca="false">IFERROR(MIN(Eingaben!$B$18,MAX(0,F4186-I4186)),0)</f>
        <v>0.75411</v>
      </c>
      <c r="K4186" s="13" t="n">
        <f aca="false">H4186+I4186</f>
        <v>2.4986178</v>
      </c>
      <c r="L4186" s="13" t="n">
        <f aca="false">MAX(0,D4186-K4186)</f>
        <v>2.4413822</v>
      </c>
      <c r="M4186" s="13" t="n">
        <f aca="false">MAX(0,F4186-I4186-J4186)</f>
        <v>0</v>
      </c>
      <c r="N4186" s="13" t="n">
        <f aca="false">IF(Kalender!A160="",0,J4185-H4186)</f>
        <v>0.0150822</v>
      </c>
    </row>
    <row r="4187" customFormat="false" ht="16.4" hidden="false" customHeight="false" outlineLevel="0" collapsed="false">
      <c r="A4187" s="13" t="str">
        <f aca="false">""</f>
        <v/>
      </c>
      <c r="B4187" s="13" t="n">
        <f aca="false">157</f>
        <v>157</v>
      </c>
      <c r="C4187" s="13" t="n">
        <f aca="false">IF(Szenarien!$H$22="OK",(IFERROR(SUMIF(Nutzungsprofile!$B$6:$B$11,"Schulbetrieb",Nutzungsprofile!$G$6:$G$11)*Kalender!C161/SUM(Kalender!$C$5:$C$370),0)+IFERROR(SUMIF(Nutzungsprofile!$B$6:$B$11,"Halle",Nutzungsprofile!$G$6:$G$11)*Kalender!D161/SUM(Kalender!$D$5:$D$370),0)+IFERROR(SUMIF(Nutzungsprofile!$B$6:$B$11,"Individuell",Nutzungsprofile!$G$6:$G$11)*Kalender!E161/SUM(Kalender!$E$5:$E$370),0))*Szenarien!$E$22,0)</f>
        <v>2.04</v>
      </c>
      <c r="D4187" s="13" t="n">
        <f aca="false">IF(Szenarien!$H$22="OK",(IFERROR(SUMIF(Nutzungsprofile!$B$17:$B$22,"Schulbetrieb",Nutzungsprofile!$G$17:$G$22)*Kalender!C161/SUM(Kalender!$C$5:$C$370),0)+IFERROR(SUMIF(Nutzungsprofile!$B$17:$B$22,"Halle",Nutzungsprofile!$G$17:$G$22)*Kalender!D161/SUM(Kalender!$D$5:$D$370),0)+IFERROR(SUMIF(Nutzungsprofile!$B$17:$B$22,"Individuell",Nutzungsprofile!$G$17:$G$22)*Kalender!E161/SUM(Kalender!$E$5:$E$370),0))*Szenarien!$D$22,0)</f>
        <v>0.89</v>
      </c>
      <c r="E4187" s="13" t="n">
        <f aca="false">IFERROR(MIN(C4187,Eingaben!$B$17)*Eingaben!$B$16,0)</f>
        <v>1.938</v>
      </c>
      <c r="F4187" s="13" t="n">
        <f aca="false">IFERROR(E4187*Eingaben!$B$15,0)</f>
        <v>1.7442</v>
      </c>
      <c r="G4187" s="13" t="n">
        <f aca="false">IFERROR(IF(Kalender!A161="",0,J4186*(1-Eingaben!$B$20)),0)</f>
        <v>0.7390278</v>
      </c>
      <c r="H4187" s="13" t="n">
        <f aca="false">MIN(G4187,D4187)</f>
        <v>0.7390278</v>
      </c>
      <c r="I4187" s="13" t="n">
        <f aca="false">IFERROR(MIN(F4187*Eingaben!$B$19,MAX(0,D4187-H4187)),0)</f>
        <v>0.1509722</v>
      </c>
      <c r="J4187" s="13" t="n">
        <f aca="false">IFERROR(MIN(Eingaben!$B$18,MAX(0,F4187-I4187)),0)</f>
        <v>1.5932278</v>
      </c>
      <c r="K4187" s="13" t="n">
        <f aca="false">H4187+I4187</f>
        <v>0.89</v>
      </c>
      <c r="L4187" s="13" t="n">
        <f aca="false">MAX(0,D4187-K4187)</f>
        <v>0</v>
      </c>
      <c r="M4187" s="13" t="n">
        <f aca="false">MAX(0,F4187-I4187-J4187)</f>
        <v>0</v>
      </c>
      <c r="N4187" s="13" t="n">
        <f aca="false">IF(Kalender!A161="",0,J4186-H4187)</f>
        <v>0.0150822</v>
      </c>
    </row>
    <row r="4188" customFormat="false" ht="16.4" hidden="false" customHeight="false" outlineLevel="0" collapsed="false">
      <c r="A4188" s="13" t="str">
        <f aca="false">""</f>
        <v/>
      </c>
      <c r="B4188" s="13" t="n">
        <f aca="false">158</f>
        <v>158</v>
      </c>
      <c r="C4188" s="13" t="n">
        <f aca="false">IF(Szenarien!$H$22="OK",(IFERROR(SUMIF(Nutzungsprofile!$B$6:$B$11,"Schulbetrieb",Nutzungsprofile!$G$6:$G$11)*Kalender!C162/SUM(Kalender!$C$5:$C$370),0)+IFERROR(SUMIF(Nutzungsprofile!$B$6:$B$11,"Halle",Nutzungsprofile!$G$6:$G$11)*Kalender!D162/SUM(Kalender!$D$5:$D$370),0)+IFERROR(SUMIF(Nutzungsprofile!$B$6:$B$11,"Individuell",Nutzungsprofile!$G$6:$G$11)*Kalender!E162/SUM(Kalender!$E$5:$E$370),0))*Szenarien!$E$22,0)</f>
        <v>2.04</v>
      </c>
      <c r="D4188" s="13" t="n">
        <f aca="false">IF(Szenarien!$H$22="OK",(IFERROR(SUMIF(Nutzungsprofile!$B$17:$B$22,"Schulbetrieb",Nutzungsprofile!$G$17:$G$22)*Kalender!C162/SUM(Kalender!$C$5:$C$370),0)+IFERROR(SUMIF(Nutzungsprofile!$B$17:$B$22,"Halle",Nutzungsprofile!$G$17:$G$22)*Kalender!D162/SUM(Kalender!$D$5:$D$370),0)+IFERROR(SUMIF(Nutzungsprofile!$B$17:$B$22,"Individuell",Nutzungsprofile!$G$17:$G$22)*Kalender!E162/SUM(Kalender!$E$5:$E$370),0))*Szenarien!$D$22,0)</f>
        <v>0.89</v>
      </c>
      <c r="E4188" s="13" t="n">
        <f aca="false">IFERROR(MIN(C4188,Eingaben!$B$17)*Eingaben!$B$16,0)</f>
        <v>1.938</v>
      </c>
      <c r="F4188" s="13" t="n">
        <f aca="false">IFERROR(E4188*Eingaben!$B$15,0)</f>
        <v>1.7442</v>
      </c>
      <c r="G4188" s="13" t="n">
        <f aca="false">IFERROR(IF(Kalender!A162="",0,J4187*(1-Eingaben!$B$20)),0)</f>
        <v>1.561363244</v>
      </c>
      <c r="H4188" s="13" t="n">
        <f aca="false">MIN(G4188,D4188)</f>
        <v>0.89</v>
      </c>
      <c r="I4188" s="13" t="n">
        <f aca="false">IFERROR(MIN(F4188*Eingaben!$B$19,MAX(0,D4188-H4188)),0)</f>
        <v>0</v>
      </c>
      <c r="J4188" s="13" t="n">
        <f aca="false">IFERROR(MIN(Eingaben!$B$18,MAX(0,F4188-I4188)),0)</f>
        <v>1.7442</v>
      </c>
      <c r="K4188" s="13" t="n">
        <f aca="false">H4188+I4188</f>
        <v>0.89</v>
      </c>
      <c r="L4188" s="13" t="n">
        <f aca="false">MAX(0,D4188-K4188)</f>
        <v>0</v>
      </c>
      <c r="M4188" s="13" t="n">
        <f aca="false">MAX(0,F4188-I4188-J4188)</f>
        <v>0</v>
      </c>
      <c r="N4188" s="13" t="n">
        <f aca="false">IF(Kalender!A162="",0,J4187-H4188)</f>
        <v>0.7032278</v>
      </c>
    </row>
    <row r="4189" customFormat="false" ht="16.4" hidden="false" customHeight="false" outlineLevel="0" collapsed="false">
      <c r="A4189" s="13" t="str">
        <f aca="false">""</f>
        <v/>
      </c>
      <c r="B4189" s="13" t="n">
        <f aca="false">159</f>
        <v>159</v>
      </c>
      <c r="C4189" s="13" t="n">
        <f aca="false">IF(Szenarien!$H$22="OK",(IFERROR(SUMIF(Nutzungsprofile!$B$6:$B$11,"Schulbetrieb",Nutzungsprofile!$G$6:$G$11)*Kalender!C163/SUM(Kalender!$C$5:$C$370),0)+IFERROR(SUMIF(Nutzungsprofile!$B$6:$B$11,"Halle",Nutzungsprofile!$G$6:$G$11)*Kalender!D163/SUM(Kalender!$D$5:$D$370),0)+IFERROR(SUMIF(Nutzungsprofile!$B$6:$B$11,"Individuell",Nutzungsprofile!$G$6:$G$11)*Kalender!E163/SUM(Kalender!$E$5:$E$370),0))*Szenarien!$E$22,0)</f>
        <v>2.94</v>
      </c>
      <c r="D4189" s="13" t="n">
        <f aca="false">IF(Szenarien!$H$22="OK",(IFERROR(SUMIF(Nutzungsprofile!$B$17:$B$22,"Schulbetrieb",Nutzungsprofile!$G$17:$G$22)*Kalender!C163/SUM(Kalender!$C$5:$C$370),0)+IFERROR(SUMIF(Nutzungsprofile!$B$17:$B$22,"Halle",Nutzungsprofile!$G$17:$G$22)*Kalender!D163/SUM(Kalender!$D$5:$D$370),0)+IFERROR(SUMIF(Nutzungsprofile!$B$17:$B$22,"Individuell",Nutzungsprofile!$G$17:$G$22)*Kalender!E163/SUM(Kalender!$E$5:$E$370),0))*Szenarien!$D$22,0)</f>
        <v>4.94</v>
      </c>
      <c r="E4189" s="13" t="n">
        <f aca="false">IFERROR(MIN(C4189,Eingaben!$B$17)*Eingaben!$B$16,0)</f>
        <v>2.793</v>
      </c>
      <c r="F4189" s="13" t="n">
        <f aca="false">IFERROR(E4189*Eingaben!$B$15,0)</f>
        <v>2.5137</v>
      </c>
      <c r="G4189" s="13" t="n">
        <f aca="false">IFERROR(IF(Kalender!A163="",0,J4188*(1-Eingaben!$B$20)),0)</f>
        <v>1.709316</v>
      </c>
      <c r="H4189" s="13" t="n">
        <f aca="false">MIN(G4189,D4189)</f>
        <v>1.709316</v>
      </c>
      <c r="I4189" s="13" t="n">
        <f aca="false">IFERROR(MIN(F4189*Eingaben!$B$19,MAX(0,D4189-H4189)),0)</f>
        <v>1.75959</v>
      </c>
      <c r="J4189" s="13" t="n">
        <f aca="false">IFERROR(MIN(Eingaben!$B$18,MAX(0,F4189-I4189)),0)</f>
        <v>0.75411</v>
      </c>
      <c r="K4189" s="13" t="n">
        <f aca="false">H4189+I4189</f>
        <v>3.468906</v>
      </c>
      <c r="L4189" s="13" t="n">
        <f aca="false">MAX(0,D4189-K4189)</f>
        <v>1.471094</v>
      </c>
      <c r="M4189" s="13" t="n">
        <f aca="false">MAX(0,F4189-I4189-J4189)</f>
        <v>0</v>
      </c>
      <c r="N4189" s="13" t="n">
        <f aca="false">IF(Kalender!A163="",0,J4188-H4189)</f>
        <v>0.0348840000000001</v>
      </c>
    </row>
    <row r="4190" customFormat="false" ht="16.4" hidden="false" customHeight="false" outlineLevel="0" collapsed="false">
      <c r="A4190" s="13" t="str">
        <f aca="false">""</f>
        <v/>
      </c>
      <c r="B4190" s="13" t="n">
        <f aca="false">160</f>
        <v>160</v>
      </c>
      <c r="C4190" s="13" t="n">
        <f aca="false">IF(Szenarien!$H$22="OK",(IFERROR(SUMIF(Nutzungsprofile!$B$6:$B$11,"Schulbetrieb",Nutzungsprofile!$G$6:$G$11)*Kalender!C164/SUM(Kalender!$C$5:$C$370),0)+IFERROR(SUMIF(Nutzungsprofile!$B$6:$B$11,"Halle",Nutzungsprofile!$G$6:$G$11)*Kalender!D164/SUM(Kalender!$D$5:$D$370),0)+IFERROR(SUMIF(Nutzungsprofile!$B$6:$B$11,"Individuell",Nutzungsprofile!$G$6:$G$11)*Kalender!E164/SUM(Kalender!$E$5:$E$370),0))*Szenarien!$E$22,0)</f>
        <v>2.94</v>
      </c>
      <c r="D4190" s="13" t="n">
        <f aca="false">IF(Szenarien!$H$22="OK",(IFERROR(SUMIF(Nutzungsprofile!$B$17:$B$22,"Schulbetrieb",Nutzungsprofile!$G$17:$G$22)*Kalender!C164/SUM(Kalender!$C$5:$C$370),0)+IFERROR(SUMIF(Nutzungsprofile!$B$17:$B$22,"Halle",Nutzungsprofile!$G$17:$G$22)*Kalender!D164/SUM(Kalender!$D$5:$D$370),0)+IFERROR(SUMIF(Nutzungsprofile!$B$17:$B$22,"Individuell",Nutzungsprofile!$G$17:$G$22)*Kalender!E164/SUM(Kalender!$E$5:$E$370),0))*Szenarien!$D$22,0)</f>
        <v>4.94</v>
      </c>
      <c r="E4190" s="13" t="n">
        <f aca="false">IFERROR(MIN(C4190,Eingaben!$B$17)*Eingaben!$B$16,0)</f>
        <v>2.793</v>
      </c>
      <c r="F4190" s="13" t="n">
        <f aca="false">IFERROR(E4190*Eingaben!$B$15,0)</f>
        <v>2.5137</v>
      </c>
      <c r="G4190" s="13" t="n">
        <f aca="false">IFERROR(IF(Kalender!A164="",0,J4189*(1-Eingaben!$B$20)),0)</f>
        <v>0.7390278</v>
      </c>
      <c r="H4190" s="13" t="n">
        <f aca="false">MIN(G4190,D4190)</f>
        <v>0.7390278</v>
      </c>
      <c r="I4190" s="13" t="n">
        <f aca="false">IFERROR(MIN(F4190*Eingaben!$B$19,MAX(0,D4190-H4190)),0)</f>
        <v>1.75959</v>
      </c>
      <c r="J4190" s="13" t="n">
        <f aca="false">IFERROR(MIN(Eingaben!$B$18,MAX(0,F4190-I4190)),0)</f>
        <v>0.75411</v>
      </c>
      <c r="K4190" s="13" t="n">
        <f aca="false">H4190+I4190</f>
        <v>2.4986178</v>
      </c>
      <c r="L4190" s="13" t="n">
        <f aca="false">MAX(0,D4190-K4190)</f>
        <v>2.4413822</v>
      </c>
      <c r="M4190" s="13" t="n">
        <f aca="false">MAX(0,F4190-I4190-J4190)</f>
        <v>0</v>
      </c>
      <c r="N4190" s="13" t="n">
        <f aca="false">IF(Kalender!A164="",0,J4189-H4190)</f>
        <v>0.0150822</v>
      </c>
    </row>
    <row r="4191" customFormat="false" ht="16.4" hidden="false" customHeight="false" outlineLevel="0" collapsed="false">
      <c r="A4191" s="13" t="str">
        <f aca="false">""</f>
        <v/>
      </c>
      <c r="B4191" s="13" t="n">
        <f aca="false">161</f>
        <v>161</v>
      </c>
      <c r="C4191" s="13" t="n">
        <f aca="false">IF(Szenarien!$H$22="OK",(IFERROR(SUMIF(Nutzungsprofile!$B$6:$B$11,"Schulbetrieb",Nutzungsprofile!$G$6:$G$11)*Kalender!C165/SUM(Kalender!$C$5:$C$370),0)+IFERROR(SUMIF(Nutzungsprofile!$B$6:$B$11,"Halle",Nutzungsprofile!$G$6:$G$11)*Kalender!D165/SUM(Kalender!$D$5:$D$370),0)+IFERROR(SUMIF(Nutzungsprofile!$B$6:$B$11,"Individuell",Nutzungsprofile!$G$6:$G$11)*Kalender!E165/SUM(Kalender!$E$5:$E$370),0))*Szenarien!$E$22,0)</f>
        <v>2.94</v>
      </c>
      <c r="D4191" s="13" t="n">
        <f aca="false">IF(Szenarien!$H$22="OK",(IFERROR(SUMIF(Nutzungsprofile!$B$17:$B$22,"Schulbetrieb",Nutzungsprofile!$G$17:$G$22)*Kalender!C165/SUM(Kalender!$C$5:$C$370),0)+IFERROR(SUMIF(Nutzungsprofile!$B$17:$B$22,"Halle",Nutzungsprofile!$G$17:$G$22)*Kalender!D165/SUM(Kalender!$D$5:$D$370),0)+IFERROR(SUMIF(Nutzungsprofile!$B$17:$B$22,"Individuell",Nutzungsprofile!$G$17:$G$22)*Kalender!E165/SUM(Kalender!$E$5:$E$370),0))*Szenarien!$D$22,0)</f>
        <v>4.94</v>
      </c>
      <c r="E4191" s="13" t="n">
        <f aca="false">IFERROR(MIN(C4191,Eingaben!$B$17)*Eingaben!$B$16,0)</f>
        <v>2.793</v>
      </c>
      <c r="F4191" s="13" t="n">
        <f aca="false">IFERROR(E4191*Eingaben!$B$15,0)</f>
        <v>2.5137</v>
      </c>
      <c r="G4191" s="13" t="n">
        <f aca="false">IFERROR(IF(Kalender!A165="",0,J4190*(1-Eingaben!$B$20)),0)</f>
        <v>0.7390278</v>
      </c>
      <c r="H4191" s="13" t="n">
        <f aca="false">MIN(G4191,D4191)</f>
        <v>0.7390278</v>
      </c>
      <c r="I4191" s="13" t="n">
        <f aca="false">IFERROR(MIN(F4191*Eingaben!$B$19,MAX(0,D4191-H4191)),0)</f>
        <v>1.75959</v>
      </c>
      <c r="J4191" s="13" t="n">
        <f aca="false">IFERROR(MIN(Eingaben!$B$18,MAX(0,F4191-I4191)),0)</f>
        <v>0.75411</v>
      </c>
      <c r="K4191" s="13" t="n">
        <f aca="false">H4191+I4191</f>
        <v>2.4986178</v>
      </c>
      <c r="L4191" s="13" t="n">
        <f aca="false">MAX(0,D4191-K4191)</f>
        <v>2.4413822</v>
      </c>
      <c r="M4191" s="13" t="n">
        <f aca="false">MAX(0,F4191-I4191-J4191)</f>
        <v>0</v>
      </c>
      <c r="N4191" s="13" t="n">
        <f aca="false">IF(Kalender!A165="",0,J4190-H4191)</f>
        <v>0.0150822</v>
      </c>
    </row>
    <row r="4192" customFormat="false" ht="16.4" hidden="false" customHeight="false" outlineLevel="0" collapsed="false">
      <c r="A4192" s="13" t="str">
        <f aca="false">""</f>
        <v/>
      </c>
      <c r="B4192" s="13" t="n">
        <f aca="false">162</f>
        <v>162</v>
      </c>
      <c r="C4192" s="13" t="n">
        <f aca="false">IF(Szenarien!$H$22="OK",(IFERROR(SUMIF(Nutzungsprofile!$B$6:$B$11,"Schulbetrieb",Nutzungsprofile!$G$6:$G$11)*Kalender!C166/SUM(Kalender!$C$5:$C$370),0)+IFERROR(SUMIF(Nutzungsprofile!$B$6:$B$11,"Halle",Nutzungsprofile!$G$6:$G$11)*Kalender!D166/SUM(Kalender!$D$5:$D$370),0)+IFERROR(SUMIF(Nutzungsprofile!$B$6:$B$11,"Individuell",Nutzungsprofile!$G$6:$G$11)*Kalender!E166/SUM(Kalender!$E$5:$E$370),0))*Szenarien!$E$22,0)</f>
        <v>2.94</v>
      </c>
      <c r="D4192" s="13" t="n">
        <f aca="false">IF(Szenarien!$H$22="OK",(IFERROR(SUMIF(Nutzungsprofile!$B$17:$B$22,"Schulbetrieb",Nutzungsprofile!$G$17:$G$22)*Kalender!C166/SUM(Kalender!$C$5:$C$370),0)+IFERROR(SUMIF(Nutzungsprofile!$B$17:$B$22,"Halle",Nutzungsprofile!$G$17:$G$22)*Kalender!D166/SUM(Kalender!$D$5:$D$370),0)+IFERROR(SUMIF(Nutzungsprofile!$B$17:$B$22,"Individuell",Nutzungsprofile!$G$17:$G$22)*Kalender!E166/SUM(Kalender!$E$5:$E$370),0))*Szenarien!$D$22,0)</f>
        <v>4.94</v>
      </c>
      <c r="E4192" s="13" t="n">
        <f aca="false">IFERROR(MIN(C4192,Eingaben!$B$17)*Eingaben!$B$16,0)</f>
        <v>2.793</v>
      </c>
      <c r="F4192" s="13" t="n">
        <f aca="false">IFERROR(E4192*Eingaben!$B$15,0)</f>
        <v>2.5137</v>
      </c>
      <c r="G4192" s="13" t="n">
        <f aca="false">IFERROR(IF(Kalender!A166="",0,J4191*(1-Eingaben!$B$20)),0)</f>
        <v>0.7390278</v>
      </c>
      <c r="H4192" s="13" t="n">
        <f aca="false">MIN(G4192,D4192)</f>
        <v>0.7390278</v>
      </c>
      <c r="I4192" s="13" t="n">
        <f aca="false">IFERROR(MIN(F4192*Eingaben!$B$19,MAX(0,D4192-H4192)),0)</f>
        <v>1.75959</v>
      </c>
      <c r="J4192" s="13" t="n">
        <f aca="false">IFERROR(MIN(Eingaben!$B$18,MAX(0,F4192-I4192)),0)</f>
        <v>0.75411</v>
      </c>
      <c r="K4192" s="13" t="n">
        <f aca="false">H4192+I4192</f>
        <v>2.4986178</v>
      </c>
      <c r="L4192" s="13" t="n">
        <f aca="false">MAX(0,D4192-K4192)</f>
        <v>2.4413822</v>
      </c>
      <c r="M4192" s="13" t="n">
        <f aca="false">MAX(0,F4192-I4192-J4192)</f>
        <v>0</v>
      </c>
      <c r="N4192" s="13" t="n">
        <f aca="false">IF(Kalender!A166="",0,J4191-H4192)</f>
        <v>0.0150822</v>
      </c>
    </row>
    <row r="4193" customFormat="false" ht="16.4" hidden="false" customHeight="false" outlineLevel="0" collapsed="false">
      <c r="A4193" s="13" t="str">
        <f aca="false">""</f>
        <v/>
      </c>
      <c r="B4193" s="13" t="n">
        <f aca="false">163</f>
        <v>163</v>
      </c>
      <c r="C4193" s="13" t="n">
        <f aca="false">IF(Szenarien!$H$22="OK",(IFERROR(SUMIF(Nutzungsprofile!$B$6:$B$11,"Schulbetrieb",Nutzungsprofile!$G$6:$G$11)*Kalender!C167/SUM(Kalender!$C$5:$C$370),0)+IFERROR(SUMIF(Nutzungsprofile!$B$6:$B$11,"Halle",Nutzungsprofile!$G$6:$G$11)*Kalender!D167/SUM(Kalender!$D$5:$D$370),0)+IFERROR(SUMIF(Nutzungsprofile!$B$6:$B$11,"Individuell",Nutzungsprofile!$G$6:$G$11)*Kalender!E167/SUM(Kalender!$E$5:$E$370),0))*Szenarien!$E$22,0)</f>
        <v>2.94</v>
      </c>
      <c r="D4193" s="13" t="n">
        <f aca="false">IF(Szenarien!$H$22="OK",(IFERROR(SUMIF(Nutzungsprofile!$B$17:$B$22,"Schulbetrieb",Nutzungsprofile!$G$17:$G$22)*Kalender!C167/SUM(Kalender!$C$5:$C$370),0)+IFERROR(SUMIF(Nutzungsprofile!$B$17:$B$22,"Halle",Nutzungsprofile!$G$17:$G$22)*Kalender!D167/SUM(Kalender!$D$5:$D$370),0)+IFERROR(SUMIF(Nutzungsprofile!$B$17:$B$22,"Individuell",Nutzungsprofile!$G$17:$G$22)*Kalender!E167/SUM(Kalender!$E$5:$E$370),0))*Szenarien!$D$22,0)</f>
        <v>4.94</v>
      </c>
      <c r="E4193" s="13" t="n">
        <f aca="false">IFERROR(MIN(C4193,Eingaben!$B$17)*Eingaben!$B$16,0)</f>
        <v>2.793</v>
      </c>
      <c r="F4193" s="13" t="n">
        <f aca="false">IFERROR(E4193*Eingaben!$B$15,0)</f>
        <v>2.5137</v>
      </c>
      <c r="G4193" s="13" t="n">
        <f aca="false">IFERROR(IF(Kalender!A167="",0,J4192*(1-Eingaben!$B$20)),0)</f>
        <v>0.7390278</v>
      </c>
      <c r="H4193" s="13" t="n">
        <f aca="false">MIN(G4193,D4193)</f>
        <v>0.7390278</v>
      </c>
      <c r="I4193" s="13" t="n">
        <f aca="false">IFERROR(MIN(F4193*Eingaben!$B$19,MAX(0,D4193-H4193)),0)</f>
        <v>1.75959</v>
      </c>
      <c r="J4193" s="13" t="n">
        <f aca="false">IFERROR(MIN(Eingaben!$B$18,MAX(0,F4193-I4193)),0)</f>
        <v>0.75411</v>
      </c>
      <c r="K4193" s="13" t="n">
        <f aca="false">H4193+I4193</f>
        <v>2.4986178</v>
      </c>
      <c r="L4193" s="13" t="n">
        <f aca="false">MAX(0,D4193-K4193)</f>
        <v>2.4413822</v>
      </c>
      <c r="M4193" s="13" t="n">
        <f aca="false">MAX(0,F4193-I4193-J4193)</f>
        <v>0</v>
      </c>
      <c r="N4193" s="13" t="n">
        <f aca="false">IF(Kalender!A167="",0,J4192-H4193)</f>
        <v>0.0150822</v>
      </c>
    </row>
    <row r="4194" customFormat="false" ht="16.4" hidden="false" customHeight="false" outlineLevel="0" collapsed="false">
      <c r="A4194" s="13" t="str">
        <f aca="false">""</f>
        <v/>
      </c>
      <c r="B4194" s="13" t="n">
        <f aca="false">164</f>
        <v>164</v>
      </c>
      <c r="C4194" s="13" t="n">
        <f aca="false">IF(Szenarien!$H$22="OK",(IFERROR(SUMIF(Nutzungsprofile!$B$6:$B$11,"Schulbetrieb",Nutzungsprofile!$G$6:$G$11)*Kalender!C168/SUM(Kalender!$C$5:$C$370),0)+IFERROR(SUMIF(Nutzungsprofile!$B$6:$B$11,"Halle",Nutzungsprofile!$G$6:$G$11)*Kalender!D168/SUM(Kalender!$D$5:$D$370),0)+IFERROR(SUMIF(Nutzungsprofile!$B$6:$B$11,"Individuell",Nutzungsprofile!$G$6:$G$11)*Kalender!E168/SUM(Kalender!$E$5:$E$370),0))*Szenarien!$E$22,0)</f>
        <v>2.04</v>
      </c>
      <c r="D4194" s="13" t="n">
        <f aca="false">IF(Szenarien!$H$22="OK",(IFERROR(SUMIF(Nutzungsprofile!$B$17:$B$22,"Schulbetrieb",Nutzungsprofile!$G$17:$G$22)*Kalender!C168/SUM(Kalender!$C$5:$C$370),0)+IFERROR(SUMIF(Nutzungsprofile!$B$17:$B$22,"Halle",Nutzungsprofile!$G$17:$G$22)*Kalender!D168/SUM(Kalender!$D$5:$D$370),0)+IFERROR(SUMIF(Nutzungsprofile!$B$17:$B$22,"Individuell",Nutzungsprofile!$G$17:$G$22)*Kalender!E168/SUM(Kalender!$E$5:$E$370),0))*Szenarien!$D$22,0)</f>
        <v>0.89</v>
      </c>
      <c r="E4194" s="13" t="n">
        <f aca="false">IFERROR(MIN(C4194,Eingaben!$B$17)*Eingaben!$B$16,0)</f>
        <v>1.938</v>
      </c>
      <c r="F4194" s="13" t="n">
        <f aca="false">IFERROR(E4194*Eingaben!$B$15,0)</f>
        <v>1.7442</v>
      </c>
      <c r="G4194" s="13" t="n">
        <f aca="false">IFERROR(IF(Kalender!A168="",0,J4193*(1-Eingaben!$B$20)),0)</f>
        <v>0.7390278</v>
      </c>
      <c r="H4194" s="13" t="n">
        <f aca="false">MIN(G4194,D4194)</f>
        <v>0.7390278</v>
      </c>
      <c r="I4194" s="13" t="n">
        <f aca="false">IFERROR(MIN(F4194*Eingaben!$B$19,MAX(0,D4194-H4194)),0)</f>
        <v>0.1509722</v>
      </c>
      <c r="J4194" s="13" t="n">
        <f aca="false">IFERROR(MIN(Eingaben!$B$18,MAX(0,F4194-I4194)),0)</f>
        <v>1.5932278</v>
      </c>
      <c r="K4194" s="13" t="n">
        <f aca="false">H4194+I4194</f>
        <v>0.89</v>
      </c>
      <c r="L4194" s="13" t="n">
        <f aca="false">MAX(0,D4194-K4194)</f>
        <v>0</v>
      </c>
      <c r="M4194" s="13" t="n">
        <f aca="false">MAX(0,F4194-I4194-J4194)</f>
        <v>0</v>
      </c>
      <c r="N4194" s="13" t="n">
        <f aca="false">IF(Kalender!A168="",0,J4193-H4194)</f>
        <v>0.0150822</v>
      </c>
    </row>
    <row r="4195" customFormat="false" ht="16.4" hidden="false" customHeight="false" outlineLevel="0" collapsed="false">
      <c r="A4195" s="13" t="str">
        <f aca="false">""</f>
        <v/>
      </c>
      <c r="B4195" s="13" t="n">
        <f aca="false">165</f>
        <v>165</v>
      </c>
      <c r="C4195" s="13" t="n">
        <f aca="false">IF(Szenarien!$H$22="OK",(IFERROR(SUMIF(Nutzungsprofile!$B$6:$B$11,"Schulbetrieb",Nutzungsprofile!$G$6:$G$11)*Kalender!C169/SUM(Kalender!$C$5:$C$370),0)+IFERROR(SUMIF(Nutzungsprofile!$B$6:$B$11,"Halle",Nutzungsprofile!$G$6:$G$11)*Kalender!D169/SUM(Kalender!$D$5:$D$370),0)+IFERROR(SUMIF(Nutzungsprofile!$B$6:$B$11,"Individuell",Nutzungsprofile!$G$6:$G$11)*Kalender!E169/SUM(Kalender!$E$5:$E$370),0))*Szenarien!$E$22,0)</f>
        <v>2.04</v>
      </c>
      <c r="D4195" s="13" t="n">
        <f aca="false">IF(Szenarien!$H$22="OK",(IFERROR(SUMIF(Nutzungsprofile!$B$17:$B$22,"Schulbetrieb",Nutzungsprofile!$G$17:$G$22)*Kalender!C169/SUM(Kalender!$C$5:$C$370),0)+IFERROR(SUMIF(Nutzungsprofile!$B$17:$B$22,"Halle",Nutzungsprofile!$G$17:$G$22)*Kalender!D169/SUM(Kalender!$D$5:$D$370),0)+IFERROR(SUMIF(Nutzungsprofile!$B$17:$B$22,"Individuell",Nutzungsprofile!$G$17:$G$22)*Kalender!E169/SUM(Kalender!$E$5:$E$370),0))*Szenarien!$D$22,0)</f>
        <v>0.89</v>
      </c>
      <c r="E4195" s="13" t="n">
        <f aca="false">IFERROR(MIN(C4195,Eingaben!$B$17)*Eingaben!$B$16,0)</f>
        <v>1.938</v>
      </c>
      <c r="F4195" s="13" t="n">
        <f aca="false">IFERROR(E4195*Eingaben!$B$15,0)</f>
        <v>1.7442</v>
      </c>
      <c r="G4195" s="13" t="n">
        <f aca="false">IFERROR(IF(Kalender!A169="",0,J4194*(1-Eingaben!$B$20)),0)</f>
        <v>1.561363244</v>
      </c>
      <c r="H4195" s="13" t="n">
        <f aca="false">MIN(G4195,D4195)</f>
        <v>0.89</v>
      </c>
      <c r="I4195" s="13" t="n">
        <f aca="false">IFERROR(MIN(F4195*Eingaben!$B$19,MAX(0,D4195-H4195)),0)</f>
        <v>0</v>
      </c>
      <c r="J4195" s="13" t="n">
        <f aca="false">IFERROR(MIN(Eingaben!$B$18,MAX(0,F4195-I4195)),0)</f>
        <v>1.7442</v>
      </c>
      <c r="K4195" s="13" t="n">
        <f aca="false">H4195+I4195</f>
        <v>0.89</v>
      </c>
      <c r="L4195" s="13" t="n">
        <f aca="false">MAX(0,D4195-K4195)</f>
        <v>0</v>
      </c>
      <c r="M4195" s="13" t="n">
        <f aca="false">MAX(0,F4195-I4195-J4195)</f>
        <v>0</v>
      </c>
      <c r="N4195" s="13" t="n">
        <f aca="false">IF(Kalender!A169="",0,J4194-H4195)</f>
        <v>0.7032278</v>
      </c>
    </row>
    <row r="4196" customFormat="false" ht="16.4" hidden="false" customHeight="false" outlineLevel="0" collapsed="false">
      <c r="A4196" s="13" t="str">
        <f aca="false">""</f>
        <v/>
      </c>
      <c r="B4196" s="13" t="n">
        <f aca="false">166</f>
        <v>166</v>
      </c>
      <c r="C4196" s="13" t="n">
        <f aca="false">IF(Szenarien!$H$22="OK",(IFERROR(SUMIF(Nutzungsprofile!$B$6:$B$11,"Schulbetrieb",Nutzungsprofile!$G$6:$G$11)*Kalender!C170/SUM(Kalender!$C$5:$C$370),0)+IFERROR(SUMIF(Nutzungsprofile!$B$6:$B$11,"Halle",Nutzungsprofile!$G$6:$G$11)*Kalender!D170/SUM(Kalender!$D$5:$D$370),0)+IFERROR(SUMIF(Nutzungsprofile!$B$6:$B$11,"Individuell",Nutzungsprofile!$G$6:$G$11)*Kalender!E170/SUM(Kalender!$E$5:$E$370),0))*Szenarien!$E$22,0)</f>
        <v>2.94</v>
      </c>
      <c r="D4196" s="13" t="n">
        <f aca="false">IF(Szenarien!$H$22="OK",(IFERROR(SUMIF(Nutzungsprofile!$B$17:$B$22,"Schulbetrieb",Nutzungsprofile!$G$17:$G$22)*Kalender!C170/SUM(Kalender!$C$5:$C$370),0)+IFERROR(SUMIF(Nutzungsprofile!$B$17:$B$22,"Halle",Nutzungsprofile!$G$17:$G$22)*Kalender!D170/SUM(Kalender!$D$5:$D$370),0)+IFERROR(SUMIF(Nutzungsprofile!$B$17:$B$22,"Individuell",Nutzungsprofile!$G$17:$G$22)*Kalender!E170/SUM(Kalender!$E$5:$E$370),0))*Szenarien!$D$22,0)</f>
        <v>4.94</v>
      </c>
      <c r="E4196" s="13" t="n">
        <f aca="false">IFERROR(MIN(C4196,Eingaben!$B$17)*Eingaben!$B$16,0)</f>
        <v>2.793</v>
      </c>
      <c r="F4196" s="13" t="n">
        <f aca="false">IFERROR(E4196*Eingaben!$B$15,0)</f>
        <v>2.5137</v>
      </c>
      <c r="G4196" s="13" t="n">
        <f aca="false">IFERROR(IF(Kalender!A170="",0,J4195*(1-Eingaben!$B$20)),0)</f>
        <v>1.709316</v>
      </c>
      <c r="H4196" s="13" t="n">
        <f aca="false">MIN(G4196,D4196)</f>
        <v>1.709316</v>
      </c>
      <c r="I4196" s="13" t="n">
        <f aca="false">IFERROR(MIN(F4196*Eingaben!$B$19,MAX(0,D4196-H4196)),0)</f>
        <v>1.75959</v>
      </c>
      <c r="J4196" s="13" t="n">
        <f aca="false">IFERROR(MIN(Eingaben!$B$18,MAX(0,F4196-I4196)),0)</f>
        <v>0.75411</v>
      </c>
      <c r="K4196" s="13" t="n">
        <f aca="false">H4196+I4196</f>
        <v>3.468906</v>
      </c>
      <c r="L4196" s="13" t="n">
        <f aca="false">MAX(0,D4196-K4196)</f>
        <v>1.471094</v>
      </c>
      <c r="M4196" s="13" t="n">
        <f aca="false">MAX(0,F4196-I4196-J4196)</f>
        <v>0</v>
      </c>
      <c r="N4196" s="13" t="n">
        <f aca="false">IF(Kalender!A170="",0,J4195-H4196)</f>
        <v>0.0348840000000001</v>
      </c>
    </row>
    <row r="4197" customFormat="false" ht="16.4" hidden="false" customHeight="false" outlineLevel="0" collapsed="false">
      <c r="A4197" s="13" t="str">
        <f aca="false">""</f>
        <v/>
      </c>
      <c r="B4197" s="13" t="n">
        <f aca="false">167</f>
        <v>167</v>
      </c>
      <c r="C4197" s="13" t="n">
        <f aca="false">IF(Szenarien!$H$22="OK",(IFERROR(SUMIF(Nutzungsprofile!$B$6:$B$11,"Schulbetrieb",Nutzungsprofile!$G$6:$G$11)*Kalender!C171/SUM(Kalender!$C$5:$C$370),0)+IFERROR(SUMIF(Nutzungsprofile!$B$6:$B$11,"Halle",Nutzungsprofile!$G$6:$G$11)*Kalender!D171/SUM(Kalender!$D$5:$D$370),0)+IFERROR(SUMIF(Nutzungsprofile!$B$6:$B$11,"Individuell",Nutzungsprofile!$G$6:$G$11)*Kalender!E171/SUM(Kalender!$E$5:$E$370),0))*Szenarien!$E$22,0)</f>
        <v>2.94</v>
      </c>
      <c r="D4197" s="13" t="n">
        <f aca="false">IF(Szenarien!$H$22="OK",(IFERROR(SUMIF(Nutzungsprofile!$B$17:$B$22,"Schulbetrieb",Nutzungsprofile!$G$17:$G$22)*Kalender!C171/SUM(Kalender!$C$5:$C$370),0)+IFERROR(SUMIF(Nutzungsprofile!$B$17:$B$22,"Halle",Nutzungsprofile!$G$17:$G$22)*Kalender!D171/SUM(Kalender!$D$5:$D$370),0)+IFERROR(SUMIF(Nutzungsprofile!$B$17:$B$22,"Individuell",Nutzungsprofile!$G$17:$G$22)*Kalender!E171/SUM(Kalender!$E$5:$E$370),0))*Szenarien!$D$22,0)</f>
        <v>4.94</v>
      </c>
      <c r="E4197" s="13" t="n">
        <f aca="false">IFERROR(MIN(C4197,Eingaben!$B$17)*Eingaben!$B$16,0)</f>
        <v>2.793</v>
      </c>
      <c r="F4197" s="13" t="n">
        <f aca="false">IFERROR(E4197*Eingaben!$B$15,0)</f>
        <v>2.5137</v>
      </c>
      <c r="G4197" s="13" t="n">
        <f aca="false">IFERROR(IF(Kalender!A171="",0,J4196*(1-Eingaben!$B$20)),0)</f>
        <v>0.7390278</v>
      </c>
      <c r="H4197" s="13" t="n">
        <f aca="false">MIN(G4197,D4197)</f>
        <v>0.7390278</v>
      </c>
      <c r="I4197" s="13" t="n">
        <f aca="false">IFERROR(MIN(F4197*Eingaben!$B$19,MAX(0,D4197-H4197)),0)</f>
        <v>1.75959</v>
      </c>
      <c r="J4197" s="13" t="n">
        <f aca="false">IFERROR(MIN(Eingaben!$B$18,MAX(0,F4197-I4197)),0)</f>
        <v>0.75411</v>
      </c>
      <c r="K4197" s="13" t="n">
        <f aca="false">H4197+I4197</f>
        <v>2.4986178</v>
      </c>
      <c r="L4197" s="13" t="n">
        <f aca="false">MAX(0,D4197-K4197)</f>
        <v>2.4413822</v>
      </c>
      <c r="M4197" s="13" t="n">
        <f aca="false">MAX(0,F4197-I4197-J4197)</f>
        <v>0</v>
      </c>
      <c r="N4197" s="13" t="n">
        <f aca="false">IF(Kalender!A171="",0,J4196-H4197)</f>
        <v>0.0150822</v>
      </c>
    </row>
    <row r="4198" customFormat="false" ht="16.4" hidden="false" customHeight="false" outlineLevel="0" collapsed="false">
      <c r="A4198" s="13" t="str">
        <f aca="false">""</f>
        <v/>
      </c>
      <c r="B4198" s="13" t="n">
        <f aca="false">168</f>
        <v>168</v>
      </c>
      <c r="C4198" s="13" t="n">
        <f aca="false">IF(Szenarien!$H$22="OK",(IFERROR(SUMIF(Nutzungsprofile!$B$6:$B$11,"Schulbetrieb",Nutzungsprofile!$G$6:$G$11)*Kalender!C172/SUM(Kalender!$C$5:$C$370),0)+IFERROR(SUMIF(Nutzungsprofile!$B$6:$B$11,"Halle",Nutzungsprofile!$G$6:$G$11)*Kalender!D172/SUM(Kalender!$D$5:$D$370),0)+IFERROR(SUMIF(Nutzungsprofile!$B$6:$B$11,"Individuell",Nutzungsprofile!$G$6:$G$11)*Kalender!E172/SUM(Kalender!$E$5:$E$370),0))*Szenarien!$E$22,0)</f>
        <v>2.94</v>
      </c>
      <c r="D4198" s="13" t="n">
        <f aca="false">IF(Szenarien!$H$22="OK",(IFERROR(SUMIF(Nutzungsprofile!$B$17:$B$22,"Schulbetrieb",Nutzungsprofile!$G$17:$G$22)*Kalender!C172/SUM(Kalender!$C$5:$C$370),0)+IFERROR(SUMIF(Nutzungsprofile!$B$17:$B$22,"Halle",Nutzungsprofile!$G$17:$G$22)*Kalender!D172/SUM(Kalender!$D$5:$D$370),0)+IFERROR(SUMIF(Nutzungsprofile!$B$17:$B$22,"Individuell",Nutzungsprofile!$G$17:$G$22)*Kalender!E172/SUM(Kalender!$E$5:$E$370),0))*Szenarien!$D$22,0)</f>
        <v>4.94</v>
      </c>
      <c r="E4198" s="13" t="n">
        <f aca="false">IFERROR(MIN(C4198,Eingaben!$B$17)*Eingaben!$B$16,0)</f>
        <v>2.793</v>
      </c>
      <c r="F4198" s="13" t="n">
        <f aca="false">IFERROR(E4198*Eingaben!$B$15,0)</f>
        <v>2.5137</v>
      </c>
      <c r="G4198" s="13" t="n">
        <f aca="false">IFERROR(IF(Kalender!A172="",0,J4197*(1-Eingaben!$B$20)),0)</f>
        <v>0.7390278</v>
      </c>
      <c r="H4198" s="13" t="n">
        <f aca="false">MIN(G4198,D4198)</f>
        <v>0.7390278</v>
      </c>
      <c r="I4198" s="13" t="n">
        <f aca="false">IFERROR(MIN(F4198*Eingaben!$B$19,MAX(0,D4198-H4198)),0)</f>
        <v>1.75959</v>
      </c>
      <c r="J4198" s="13" t="n">
        <f aca="false">IFERROR(MIN(Eingaben!$B$18,MAX(0,F4198-I4198)),0)</f>
        <v>0.75411</v>
      </c>
      <c r="K4198" s="13" t="n">
        <f aca="false">H4198+I4198</f>
        <v>2.4986178</v>
      </c>
      <c r="L4198" s="13" t="n">
        <f aca="false">MAX(0,D4198-K4198)</f>
        <v>2.4413822</v>
      </c>
      <c r="M4198" s="13" t="n">
        <f aca="false">MAX(0,F4198-I4198-J4198)</f>
        <v>0</v>
      </c>
      <c r="N4198" s="13" t="n">
        <f aca="false">IF(Kalender!A172="",0,J4197-H4198)</f>
        <v>0.0150822</v>
      </c>
    </row>
    <row r="4199" customFormat="false" ht="16.4" hidden="false" customHeight="false" outlineLevel="0" collapsed="false">
      <c r="A4199" s="13" t="str">
        <f aca="false">""</f>
        <v/>
      </c>
      <c r="B4199" s="13" t="n">
        <f aca="false">169</f>
        <v>169</v>
      </c>
      <c r="C4199" s="13" t="n">
        <f aca="false">IF(Szenarien!$H$22="OK",(IFERROR(SUMIF(Nutzungsprofile!$B$6:$B$11,"Schulbetrieb",Nutzungsprofile!$G$6:$G$11)*Kalender!C173/SUM(Kalender!$C$5:$C$370),0)+IFERROR(SUMIF(Nutzungsprofile!$B$6:$B$11,"Halle",Nutzungsprofile!$G$6:$G$11)*Kalender!D173/SUM(Kalender!$D$5:$D$370),0)+IFERROR(SUMIF(Nutzungsprofile!$B$6:$B$11,"Individuell",Nutzungsprofile!$G$6:$G$11)*Kalender!E173/SUM(Kalender!$E$5:$E$370),0))*Szenarien!$E$22,0)</f>
        <v>2.94</v>
      </c>
      <c r="D4199" s="13" t="n">
        <f aca="false">IF(Szenarien!$H$22="OK",(IFERROR(SUMIF(Nutzungsprofile!$B$17:$B$22,"Schulbetrieb",Nutzungsprofile!$G$17:$G$22)*Kalender!C173/SUM(Kalender!$C$5:$C$370),0)+IFERROR(SUMIF(Nutzungsprofile!$B$17:$B$22,"Halle",Nutzungsprofile!$G$17:$G$22)*Kalender!D173/SUM(Kalender!$D$5:$D$370),0)+IFERROR(SUMIF(Nutzungsprofile!$B$17:$B$22,"Individuell",Nutzungsprofile!$G$17:$G$22)*Kalender!E173/SUM(Kalender!$E$5:$E$370),0))*Szenarien!$D$22,0)</f>
        <v>4.94</v>
      </c>
      <c r="E4199" s="13" t="n">
        <f aca="false">IFERROR(MIN(C4199,Eingaben!$B$17)*Eingaben!$B$16,0)</f>
        <v>2.793</v>
      </c>
      <c r="F4199" s="13" t="n">
        <f aca="false">IFERROR(E4199*Eingaben!$B$15,0)</f>
        <v>2.5137</v>
      </c>
      <c r="G4199" s="13" t="n">
        <f aca="false">IFERROR(IF(Kalender!A173="",0,J4198*(1-Eingaben!$B$20)),0)</f>
        <v>0.7390278</v>
      </c>
      <c r="H4199" s="13" t="n">
        <f aca="false">MIN(G4199,D4199)</f>
        <v>0.7390278</v>
      </c>
      <c r="I4199" s="13" t="n">
        <f aca="false">IFERROR(MIN(F4199*Eingaben!$B$19,MAX(0,D4199-H4199)),0)</f>
        <v>1.75959</v>
      </c>
      <c r="J4199" s="13" t="n">
        <f aca="false">IFERROR(MIN(Eingaben!$B$18,MAX(0,F4199-I4199)),0)</f>
        <v>0.75411</v>
      </c>
      <c r="K4199" s="13" t="n">
        <f aca="false">H4199+I4199</f>
        <v>2.4986178</v>
      </c>
      <c r="L4199" s="13" t="n">
        <f aca="false">MAX(0,D4199-K4199)</f>
        <v>2.4413822</v>
      </c>
      <c r="M4199" s="13" t="n">
        <f aca="false">MAX(0,F4199-I4199-J4199)</f>
        <v>0</v>
      </c>
      <c r="N4199" s="13" t="n">
        <f aca="false">IF(Kalender!A173="",0,J4198-H4199)</f>
        <v>0.0150822</v>
      </c>
    </row>
    <row r="4200" customFormat="false" ht="16.4" hidden="false" customHeight="false" outlineLevel="0" collapsed="false">
      <c r="A4200" s="13" t="str">
        <f aca="false">""</f>
        <v/>
      </c>
      <c r="B4200" s="13" t="n">
        <f aca="false">170</f>
        <v>170</v>
      </c>
      <c r="C4200" s="13" t="n">
        <f aca="false">IF(Szenarien!$H$22="OK",(IFERROR(SUMIF(Nutzungsprofile!$B$6:$B$11,"Schulbetrieb",Nutzungsprofile!$G$6:$G$11)*Kalender!C174/SUM(Kalender!$C$5:$C$370),0)+IFERROR(SUMIF(Nutzungsprofile!$B$6:$B$11,"Halle",Nutzungsprofile!$G$6:$G$11)*Kalender!D174/SUM(Kalender!$D$5:$D$370),0)+IFERROR(SUMIF(Nutzungsprofile!$B$6:$B$11,"Individuell",Nutzungsprofile!$G$6:$G$11)*Kalender!E174/SUM(Kalender!$E$5:$E$370),0))*Szenarien!$E$22,0)</f>
        <v>2.94</v>
      </c>
      <c r="D4200" s="13" t="n">
        <f aca="false">IF(Szenarien!$H$22="OK",(IFERROR(SUMIF(Nutzungsprofile!$B$17:$B$22,"Schulbetrieb",Nutzungsprofile!$G$17:$G$22)*Kalender!C174/SUM(Kalender!$C$5:$C$370),0)+IFERROR(SUMIF(Nutzungsprofile!$B$17:$B$22,"Halle",Nutzungsprofile!$G$17:$G$22)*Kalender!D174/SUM(Kalender!$D$5:$D$370),0)+IFERROR(SUMIF(Nutzungsprofile!$B$17:$B$22,"Individuell",Nutzungsprofile!$G$17:$G$22)*Kalender!E174/SUM(Kalender!$E$5:$E$370),0))*Szenarien!$D$22,0)</f>
        <v>4.94</v>
      </c>
      <c r="E4200" s="13" t="n">
        <f aca="false">IFERROR(MIN(C4200,Eingaben!$B$17)*Eingaben!$B$16,0)</f>
        <v>2.793</v>
      </c>
      <c r="F4200" s="13" t="n">
        <f aca="false">IFERROR(E4200*Eingaben!$B$15,0)</f>
        <v>2.5137</v>
      </c>
      <c r="G4200" s="13" t="n">
        <f aca="false">IFERROR(IF(Kalender!A174="",0,J4199*(1-Eingaben!$B$20)),0)</f>
        <v>0.7390278</v>
      </c>
      <c r="H4200" s="13" t="n">
        <f aca="false">MIN(G4200,D4200)</f>
        <v>0.7390278</v>
      </c>
      <c r="I4200" s="13" t="n">
        <f aca="false">IFERROR(MIN(F4200*Eingaben!$B$19,MAX(0,D4200-H4200)),0)</f>
        <v>1.75959</v>
      </c>
      <c r="J4200" s="13" t="n">
        <f aca="false">IFERROR(MIN(Eingaben!$B$18,MAX(0,F4200-I4200)),0)</f>
        <v>0.75411</v>
      </c>
      <c r="K4200" s="13" t="n">
        <f aca="false">H4200+I4200</f>
        <v>2.4986178</v>
      </c>
      <c r="L4200" s="13" t="n">
        <f aca="false">MAX(0,D4200-K4200)</f>
        <v>2.4413822</v>
      </c>
      <c r="M4200" s="13" t="n">
        <f aca="false">MAX(0,F4200-I4200-J4200)</f>
        <v>0</v>
      </c>
      <c r="N4200" s="13" t="n">
        <f aca="false">IF(Kalender!A174="",0,J4199-H4200)</f>
        <v>0.0150822</v>
      </c>
    </row>
    <row r="4201" customFormat="false" ht="16.4" hidden="false" customHeight="false" outlineLevel="0" collapsed="false">
      <c r="A4201" s="13" t="str">
        <f aca="false">""</f>
        <v/>
      </c>
      <c r="B4201" s="13" t="n">
        <f aca="false">171</f>
        <v>171</v>
      </c>
      <c r="C4201" s="13" t="n">
        <f aca="false">IF(Szenarien!$H$22="OK",(IFERROR(SUMIF(Nutzungsprofile!$B$6:$B$11,"Schulbetrieb",Nutzungsprofile!$G$6:$G$11)*Kalender!C175/SUM(Kalender!$C$5:$C$370),0)+IFERROR(SUMIF(Nutzungsprofile!$B$6:$B$11,"Halle",Nutzungsprofile!$G$6:$G$11)*Kalender!D175/SUM(Kalender!$D$5:$D$370),0)+IFERROR(SUMIF(Nutzungsprofile!$B$6:$B$11,"Individuell",Nutzungsprofile!$G$6:$G$11)*Kalender!E175/SUM(Kalender!$E$5:$E$370),0))*Szenarien!$E$22,0)</f>
        <v>2.04</v>
      </c>
      <c r="D4201" s="13" t="n">
        <f aca="false">IF(Szenarien!$H$22="OK",(IFERROR(SUMIF(Nutzungsprofile!$B$17:$B$22,"Schulbetrieb",Nutzungsprofile!$G$17:$G$22)*Kalender!C175/SUM(Kalender!$C$5:$C$370),0)+IFERROR(SUMIF(Nutzungsprofile!$B$17:$B$22,"Halle",Nutzungsprofile!$G$17:$G$22)*Kalender!D175/SUM(Kalender!$D$5:$D$370),0)+IFERROR(SUMIF(Nutzungsprofile!$B$17:$B$22,"Individuell",Nutzungsprofile!$G$17:$G$22)*Kalender!E175/SUM(Kalender!$E$5:$E$370),0))*Szenarien!$D$22,0)</f>
        <v>0.89</v>
      </c>
      <c r="E4201" s="13" t="n">
        <f aca="false">IFERROR(MIN(C4201,Eingaben!$B$17)*Eingaben!$B$16,0)</f>
        <v>1.938</v>
      </c>
      <c r="F4201" s="13" t="n">
        <f aca="false">IFERROR(E4201*Eingaben!$B$15,0)</f>
        <v>1.7442</v>
      </c>
      <c r="G4201" s="13" t="n">
        <f aca="false">IFERROR(IF(Kalender!A175="",0,J4200*(1-Eingaben!$B$20)),0)</f>
        <v>0.7390278</v>
      </c>
      <c r="H4201" s="13" t="n">
        <f aca="false">MIN(G4201,D4201)</f>
        <v>0.7390278</v>
      </c>
      <c r="I4201" s="13" t="n">
        <f aca="false">IFERROR(MIN(F4201*Eingaben!$B$19,MAX(0,D4201-H4201)),0)</f>
        <v>0.1509722</v>
      </c>
      <c r="J4201" s="13" t="n">
        <f aca="false">IFERROR(MIN(Eingaben!$B$18,MAX(0,F4201-I4201)),0)</f>
        <v>1.5932278</v>
      </c>
      <c r="K4201" s="13" t="n">
        <f aca="false">H4201+I4201</f>
        <v>0.89</v>
      </c>
      <c r="L4201" s="13" t="n">
        <f aca="false">MAX(0,D4201-K4201)</f>
        <v>0</v>
      </c>
      <c r="M4201" s="13" t="n">
        <f aca="false">MAX(0,F4201-I4201-J4201)</f>
        <v>0</v>
      </c>
      <c r="N4201" s="13" t="n">
        <f aca="false">IF(Kalender!A175="",0,J4200-H4201)</f>
        <v>0.0150822</v>
      </c>
    </row>
    <row r="4202" customFormat="false" ht="16.4" hidden="false" customHeight="false" outlineLevel="0" collapsed="false">
      <c r="A4202" s="13" t="str">
        <f aca="false">""</f>
        <v/>
      </c>
      <c r="B4202" s="13" t="n">
        <f aca="false">172</f>
        <v>172</v>
      </c>
      <c r="C4202" s="13" t="n">
        <f aca="false">IF(Szenarien!$H$22="OK",(IFERROR(SUMIF(Nutzungsprofile!$B$6:$B$11,"Schulbetrieb",Nutzungsprofile!$G$6:$G$11)*Kalender!C176/SUM(Kalender!$C$5:$C$370),0)+IFERROR(SUMIF(Nutzungsprofile!$B$6:$B$11,"Halle",Nutzungsprofile!$G$6:$G$11)*Kalender!D176/SUM(Kalender!$D$5:$D$370),0)+IFERROR(SUMIF(Nutzungsprofile!$B$6:$B$11,"Individuell",Nutzungsprofile!$G$6:$G$11)*Kalender!E176/SUM(Kalender!$E$5:$E$370),0))*Szenarien!$E$22,0)</f>
        <v>2.04</v>
      </c>
      <c r="D4202" s="13" t="n">
        <f aca="false">IF(Szenarien!$H$22="OK",(IFERROR(SUMIF(Nutzungsprofile!$B$17:$B$22,"Schulbetrieb",Nutzungsprofile!$G$17:$G$22)*Kalender!C176/SUM(Kalender!$C$5:$C$370),0)+IFERROR(SUMIF(Nutzungsprofile!$B$17:$B$22,"Halle",Nutzungsprofile!$G$17:$G$22)*Kalender!D176/SUM(Kalender!$D$5:$D$370),0)+IFERROR(SUMIF(Nutzungsprofile!$B$17:$B$22,"Individuell",Nutzungsprofile!$G$17:$G$22)*Kalender!E176/SUM(Kalender!$E$5:$E$370),0))*Szenarien!$D$22,0)</f>
        <v>0.89</v>
      </c>
      <c r="E4202" s="13" t="n">
        <f aca="false">IFERROR(MIN(C4202,Eingaben!$B$17)*Eingaben!$B$16,0)</f>
        <v>1.938</v>
      </c>
      <c r="F4202" s="13" t="n">
        <f aca="false">IFERROR(E4202*Eingaben!$B$15,0)</f>
        <v>1.7442</v>
      </c>
      <c r="G4202" s="13" t="n">
        <f aca="false">IFERROR(IF(Kalender!A176="",0,J4201*(1-Eingaben!$B$20)),0)</f>
        <v>1.561363244</v>
      </c>
      <c r="H4202" s="13" t="n">
        <f aca="false">MIN(G4202,D4202)</f>
        <v>0.89</v>
      </c>
      <c r="I4202" s="13" t="n">
        <f aca="false">IFERROR(MIN(F4202*Eingaben!$B$19,MAX(0,D4202-H4202)),0)</f>
        <v>0</v>
      </c>
      <c r="J4202" s="13" t="n">
        <f aca="false">IFERROR(MIN(Eingaben!$B$18,MAX(0,F4202-I4202)),0)</f>
        <v>1.7442</v>
      </c>
      <c r="K4202" s="13" t="n">
        <f aca="false">H4202+I4202</f>
        <v>0.89</v>
      </c>
      <c r="L4202" s="13" t="n">
        <f aca="false">MAX(0,D4202-K4202)</f>
        <v>0</v>
      </c>
      <c r="M4202" s="13" t="n">
        <f aca="false">MAX(0,F4202-I4202-J4202)</f>
        <v>0</v>
      </c>
      <c r="N4202" s="13" t="n">
        <f aca="false">IF(Kalender!A176="",0,J4201-H4202)</f>
        <v>0.7032278</v>
      </c>
    </row>
    <row r="4203" customFormat="false" ht="16.4" hidden="false" customHeight="false" outlineLevel="0" collapsed="false">
      <c r="A4203" s="13" t="str">
        <f aca="false">""</f>
        <v/>
      </c>
      <c r="B4203" s="13" t="n">
        <f aca="false">173</f>
        <v>173</v>
      </c>
      <c r="C4203" s="13" t="n">
        <f aca="false">IF(Szenarien!$H$22="OK",(IFERROR(SUMIF(Nutzungsprofile!$B$6:$B$11,"Schulbetrieb",Nutzungsprofile!$G$6:$G$11)*Kalender!C177/SUM(Kalender!$C$5:$C$370),0)+IFERROR(SUMIF(Nutzungsprofile!$B$6:$B$11,"Halle",Nutzungsprofile!$G$6:$G$11)*Kalender!D177/SUM(Kalender!$D$5:$D$370),0)+IFERROR(SUMIF(Nutzungsprofile!$B$6:$B$11,"Individuell",Nutzungsprofile!$G$6:$G$11)*Kalender!E177/SUM(Kalender!$E$5:$E$370),0))*Szenarien!$E$22,0)</f>
        <v>2.94</v>
      </c>
      <c r="D4203" s="13" t="n">
        <f aca="false">IF(Szenarien!$H$22="OK",(IFERROR(SUMIF(Nutzungsprofile!$B$17:$B$22,"Schulbetrieb",Nutzungsprofile!$G$17:$G$22)*Kalender!C177/SUM(Kalender!$C$5:$C$370),0)+IFERROR(SUMIF(Nutzungsprofile!$B$17:$B$22,"Halle",Nutzungsprofile!$G$17:$G$22)*Kalender!D177/SUM(Kalender!$D$5:$D$370),0)+IFERROR(SUMIF(Nutzungsprofile!$B$17:$B$22,"Individuell",Nutzungsprofile!$G$17:$G$22)*Kalender!E177/SUM(Kalender!$E$5:$E$370),0))*Szenarien!$D$22,0)</f>
        <v>4.94</v>
      </c>
      <c r="E4203" s="13" t="n">
        <f aca="false">IFERROR(MIN(C4203,Eingaben!$B$17)*Eingaben!$B$16,0)</f>
        <v>2.793</v>
      </c>
      <c r="F4203" s="13" t="n">
        <f aca="false">IFERROR(E4203*Eingaben!$B$15,0)</f>
        <v>2.5137</v>
      </c>
      <c r="G4203" s="13" t="n">
        <f aca="false">IFERROR(IF(Kalender!A177="",0,J4202*(1-Eingaben!$B$20)),0)</f>
        <v>1.709316</v>
      </c>
      <c r="H4203" s="13" t="n">
        <f aca="false">MIN(G4203,D4203)</f>
        <v>1.709316</v>
      </c>
      <c r="I4203" s="13" t="n">
        <f aca="false">IFERROR(MIN(F4203*Eingaben!$B$19,MAX(0,D4203-H4203)),0)</f>
        <v>1.75959</v>
      </c>
      <c r="J4203" s="13" t="n">
        <f aca="false">IFERROR(MIN(Eingaben!$B$18,MAX(0,F4203-I4203)),0)</f>
        <v>0.75411</v>
      </c>
      <c r="K4203" s="13" t="n">
        <f aca="false">H4203+I4203</f>
        <v>3.468906</v>
      </c>
      <c r="L4203" s="13" t="n">
        <f aca="false">MAX(0,D4203-K4203)</f>
        <v>1.471094</v>
      </c>
      <c r="M4203" s="13" t="n">
        <f aca="false">MAX(0,F4203-I4203-J4203)</f>
        <v>0</v>
      </c>
      <c r="N4203" s="13" t="n">
        <f aca="false">IF(Kalender!A177="",0,J4202-H4203)</f>
        <v>0.0348840000000001</v>
      </c>
    </row>
    <row r="4204" customFormat="false" ht="16.4" hidden="false" customHeight="false" outlineLevel="0" collapsed="false">
      <c r="A4204" s="13" t="str">
        <f aca="false">""</f>
        <v/>
      </c>
      <c r="B4204" s="13" t="n">
        <f aca="false">174</f>
        <v>174</v>
      </c>
      <c r="C4204" s="13" t="n">
        <f aca="false">IF(Szenarien!$H$22="OK",(IFERROR(SUMIF(Nutzungsprofile!$B$6:$B$11,"Schulbetrieb",Nutzungsprofile!$G$6:$G$11)*Kalender!C178/SUM(Kalender!$C$5:$C$370),0)+IFERROR(SUMIF(Nutzungsprofile!$B$6:$B$11,"Halle",Nutzungsprofile!$G$6:$G$11)*Kalender!D178/SUM(Kalender!$D$5:$D$370),0)+IFERROR(SUMIF(Nutzungsprofile!$B$6:$B$11,"Individuell",Nutzungsprofile!$G$6:$G$11)*Kalender!E178/SUM(Kalender!$E$5:$E$370),0))*Szenarien!$E$22,0)</f>
        <v>2.94</v>
      </c>
      <c r="D4204" s="13" t="n">
        <f aca="false">IF(Szenarien!$H$22="OK",(IFERROR(SUMIF(Nutzungsprofile!$B$17:$B$22,"Schulbetrieb",Nutzungsprofile!$G$17:$G$22)*Kalender!C178/SUM(Kalender!$C$5:$C$370),0)+IFERROR(SUMIF(Nutzungsprofile!$B$17:$B$22,"Halle",Nutzungsprofile!$G$17:$G$22)*Kalender!D178/SUM(Kalender!$D$5:$D$370),0)+IFERROR(SUMIF(Nutzungsprofile!$B$17:$B$22,"Individuell",Nutzungsprofile!$G$17:$G$22)*Kalender!E178/SUM(Kalender!$E$5:$E$370),0))*Szenarien!$D$22,0)</f>
        <v>4.94</v>
      </c>
      <c r="E4204" s="13" t="n">
        <f aca="false">IFERROR(MIN(C4204,Eingaben!$B$17)*Eingaben!$B$16,0)</f>
        <v>2.793</v>
      </c>
      <c r="F4204" s="13" t="n">
        <f aca="false">IFERROR(E4204*Eingaben!$B$15,0)</f>
        <v>2.5137</v>
      </c>
      <c r="G4204" s="13" t="n">
        <f aca="false">IFERROR(IF(Kalender!A178="",0,J4203*(1-Eingaben!$B$20)),0)</f>
        <v>0.7390278</v>
      </c>
      <c r="H4204" s="13" t="n">
        <f aca="false">MIN(G4204,D4204)</f>
        <v>0.7390278</v>
      </c>
      <c r="I4204" s="13" t="n">
        <f aca="false">IFERROR(MIN(F4204*Eingaben!$B$19,MAX(0,D4204-H4204)),0)</f>
        <v>1.75959</v>
      </c>
      <c r="J4204" s="13" t="n">
        <f aca="false">IFERROR(MIN(Eingaben!$B$18,MAX(0,F4204-I4204)),0)</f>
        <v>0.75411</v>
      </c>
      <c r="K4204" s="13" t="n">
        <f aca="false">H4204+I4204</f>
        <v>2.4986178</v>
      </c>
      <c r="L4204" s="13" t="n">
        <f aca="false">MAX(0,D4204-K4204)</f>
        <v>2.4413822</v>
      </c>
      <c r="M4204" s="13" t="n">
        <f aca="false">MAX(0,F4204-I4204-J4204)</f>
        <v>0</v>
      </c>
      <c r="N4204" s="13" t="n">
        <f aca="false">IF(Kalender!A178="",0,J4203-H4204)</f>
        <v>0.0150822</v>
      </c>
    </row>
    <row r="4205" customFormat="false" ht="16.4" hidden="false" customHeight="false" outlineLevel="0" collapsed="false">
      <c r="A4205" s="13" t="str">
        <f aca="false">""</f>
        <v/>
      </c>
      <c r="B4205" s="13" t="n">
        <f aca="false">175</f>
        <v>175</v>
      </c>
      <c r="C4205" s="13" t="n">
        <f aca="false">IF(Szenarien!$H$22="OK",(IFERROR(SUMIF(Nutzungsprofile!$B$6:$B$11,"Schulbetrieb",Nutzungsprofile!$G$6:$G$11)*Kalender!C179/SUM(Kalender!$C$5:$C$370),0)+IFERROR(SUMIF(Nutzungsprofile!$B$6:$B$11,"Halle",Nutzungsprofile!$G$6:$G$11)*Kalender!D179/SUM(Kalender!$D$5:$D$370),0)+IFERROR(SUMIF(Nutzungsprofile!$B$6:$B$11,"Individuell",Nutzungsprofile!$G$6:$G$11)*Kalender!E179/SUM(Kalender!$E$5:$E$370),0))*Szenarien!$E$22,0)</f>
        <v>2.94</v>
      </c>
      <c r="D4205" s="13" t="n">
        <f aca="false">IF(Szenarien!$H$22="OK",(IFERROR(SUMIF(Nutzungsprofile!$B$17:$B$22,"Schulbetrieb",Nutzungsprofile!$G$17:$G$22)*Kalender!C179/SUM(Kalender!$C$5:$C$370),0)+IFERROR(SUMIF(Nutzungsprofile!$B$17:$B$22,"Halle",Nutzungsprofile!$G$17:$G$22)*Kalender!D179/SUM(Kalender!$D$5:$D$370),0)+IFERROR(SUMIF(Nutzungsprofile!$B$17:$B$22,"Individuell",Nutzungsprofile!$G$17:$G$22)*Kalender!E179/SUM(Kalender!$E$5:$E$370),0))*Szenarien!$D$22,0)</f>
        <v>4.94</v>
      </c>
      <c r="E4205" s="13" t="n">
        <f aca="false">IFERROR(MIN(C4205,Eingaben!$B$17)*Eingaben!$B$16,0)</f>
        <v>2.793</v>
      </c>
      <c r="F4205" s="13" t="n">
        <f aca="false">IFERROR(E4205*Eingaben!$B$15,0)</f>
        <v>2.5137</v>
      </c>
      <c r="G4205" s="13" t="n">
        <f aca="false">IFERROR(IF(Kalender!A179="",0,J4204*(1-Eingaben!$B$20)),0)</f>
        <v>0.7390278</v>
      </c>
      <c r="H4205" s="13" t="n">
        <f aca="false">MIN(G4205,D4205)</f>
        <v>0.7390278</v>
      </c>
      <c r="I4205" s="13" t="n">
        <f aca="false">IFERROR(MIN(F4205*Eingaben!$B$19,MAX(0,D4205-H4205)),0)</f>
        <v>1.75959</v>
      </c>
      <c r="J4205" s="13" t="n">
        <f aca="false">IFERROR(MIN(Eingaben!$B$18,MAX(0,F4205-I4205)),0)</f>
        <v>0.75411</v>
      </c>
      <c r="K4205" s="13" t="n">
        <f aca="false">H4205+I4205</f>
        <v>2.4986178</v>
      </c>
      <c r="L4205" s="13" t="n">
        <f aca="false">MAX(0,D4205-K4205)</f>
        <v>2.4413822</v>
      </c>
      <c r="M4205" s="13" t="n">
        <f aca="false">MAX(0,F4205-I4205-J4205)</f>
        <v>0</v>
      </c>
      <c r="N4205" s="13" t="n">
        <f aca="false">IF(Kalender!A179="",0,J4204-H4205)</f>
        <v>0.0150822</v>
      </c>
    </row>
    <row r="4206" customFormat="false" ht="16.4" hidden="false" customHeight="false" outlineLevel="0" collapsed="false">
      <c r="A4206" s="13" t="str">
        <f aca="false">""</f>
        <v/>
      </c>
      <c r="B4206" s="13" t="n">
        <f aca="false">176</f>
        <v>176</v>
      </c>
      <c r="C4206" s="13" t="n">
        <f aca="false">IF(Szenarien!$H$22="OK",(IFERROR(SUMIF(Nutzungsprofile!$B$6:$B$11,"Schulbetrieb",Nutzungsprofile!$G$6:$G$11)*Kalender!C180/SUM(Kalender!$C$5:$C$370),0)+IFERROR(SUMIF(Nutzungsprofile!$B$6:$B$11,"Halle",Nutzungsprofile!$G$6:$G$11)*Kalender!D180/SUM(Kalender!$D$5:$D$370),0)+IFERROR(SUMIF(Nutzungsprofile!$B$6:$B$11,"Individuell",Nutzungsprofile!$G$6:$G$11)*Kalender!E180/SUM(Kalender!$E$5:$E$370),0))*Szenarien!$E$22,0)</f>
        <v>2.94</v>
      </c>
      <c r="D4206" s="13" t="n">
        <f aca="false">IF(Szenarien!$H$22="OK",(IFERROR(SUMIF(Nutzungsprofile!$B$17:$B$22,"Schulbetrieb",Nutzungsprofile!$G$17:$G$22)*Kalender!C180/SUM(Kalender!$C$5:$C$370),0)+IFERROR(SUMIF(Nutzungsprofile!$B$17:$B$22,"Halle",Nutzungsprofile!$G$17:$G$22)*Kalender!D180/SUM(Kalender!$D$5:$D$370),0)+IFERROR(SUMIF(Nutzungsprofile!$B$17:$B$22,"Individuell",Nutzungsprofile!$G$17:$G$22)*Kalender!E180/SUM(Kalender!$E$5:$E$370),0))*Szenarien!$D$22,0)</f>
        <v>4.94</v>
      </c>
      <c r="E4206" s="13" t="n">
        <f aca="false">IFERROR(MIN(C4206,Eingaben!$B$17)*Eingaben!$B$16,0)</f>
        <v>2.793</v>
      </c>
      <c r="F4206" s="13" t="n">
        <f aca="false">IFERROR(E4206*Eingaben!$B$15,0)</f>
        <v>2.5137</v>
      </c>
      <c r="G4206" s="13" t="n">
        <f aca="false">IFERROR(IF(Kalender!A180="",0,J4205*(1-Eingaben!$B$20)),0)</f>
        <v>0.7390278</v>
      </c>
      <c r="H4206" s="13" t="n">
        <f aca="false">MIN(G4206,D4206)</f>
        <v>0.7390278</v>
      </c>
      <c r="I4206" s="13" t="n">
        <f aca="false">IFERROR(MIN(F4206*Eingaben!$B$19,MAX(0,D4206-H4206)),0)</f>
        <v>1.75959</v>
      </c>
      <c r="J4206" s="13" t="n">
        <f aca="false">IFERROR(MIN(Eingaben!$B$18,MAX(0,F4206-I4206)),0)</f>
        <v>0.75411</v>
      </c>
      <c r="K4206" s="13" t="n">
        <f aca="false">H4206+I4206</f>
        <v>2.4986178</v>
      </c>
      <c r="L4206" s="13" t="n">
        <f aca="false">MAX(0,D4206-K4206)</f>
        <v>2.4413822</v>
      </c>
      <c r="M4206" s="13" t="n">
        <f aca="false">MAX(0,F4206-I4206-J4206)</f>
        <v>0</v>
      </c>
      <c r="N4206" s="13" t="n">
        <f aca="false">IF(Kalender!A180="",0,J4205-H4206)</f>
        <v>0.0150822</v>
      </c>
    </row>
    <row r="4207" customFormat="false" ht="16.4" hidden="false" customHeight="false" outlineLevel="0" collapsed="false">
      <c r="A4207" s="13" t="str">
        <f aca="false">""</f>
        <v/>
      </c>
      <c r="B4207" s="13" t="n">
        <f aca="false">177</f>
        <v>177</v>
      </c>
      <c r="C4207" s="13" t="n">
        <f aca="false">IF(Szenarien!$H$22="OK",(IFERROR(SUMIF(Nutzungsprofile!$B$6:$B$11,"Schulbetrieb",Nutzungsprofile!$G$6:$G$11)*Kalender!C181/SUM(Kalender!$C$5:$C$370),0)+IFERROR(SUMIF(Nutzungsprofile!$B$6:$B$11,"Halle",Nutzungsprofile!$G$6:$G$11)*Kalender!D181/SUM(Kalender!$D$5:$D$370),0)+IFERROR(SUMIF(Nutzungsprofile!$B$6:$B$11,"Individuell",Nutzungsprofile!$G$6:$G$11)*Kalender!E181/SUM(Kalender!$E$5:$E$370),0))*Szenarien!$E$22,0)</f>
        <v>2.94</v>
      </c>
      <c r="D4207" s="13" t="n">
        <f aca="false">IF(Szenarien!$H$22="OK",(IFERROR(SUMIF(Nutzungsprofile!$B$17:$B$22,"Schulbetrieb",Nutzungsprofile!$G$17:$G$22)*Kalender!C181/SUM(Kalender!$C$5:$C$370),0)+IFERROR(SUMIF(Nutzungsprofile!$B$17:$B$22,"Halle",Nutzungsprofile!$G$17:$G$22)*Kalender!D181/SUM(Kalender!$D$5:$D$370),0)+IFERROR(SUMIF(Nutzungsprofile!$B$17:$B$22,"Individuell",Nutzungsprofile!$G$17:$G$22)*Kalender!E181/SUM(Kalender!$E$5:$E$370),0))*Szenarien!$D$22,0)</f>
        <v>4.94</v>
      </c>
      <c r="E4207" s="13" t="n">
        <f aca="false">IFERROR(MIN(C4207,Eingaben!$B$17)*Eingaben!$B$16,0)</f>
        <v>2.793</v>
      </c>
      <c r="F4207" s="13" t="n">
        <f aca="false">IFERROR(E4207*Eingaben!$B$15,0)</f>
        <v>2.5137</v>
      </c>
      <c r="G4207" s="13" t="n">
        <f aca="false">IFERROR(IF(Kalender!A181="",0,J4206*(1-Eingaben!$B$20)),0)</f>
        <v>0.7390278</v>
      </c>
      <c r="H4207" s="13" t="n">
        <f aca="false">MIN(G4207,D4207)</f>
        <v>0.7390278</v>
      </c>
      <c r="I4207" s="13" t="n">
        <f aca="false">IFERROR(MIN(F4207*Eingaben!$B$19,MAX(0,D4207-H4207)),0)</f>
        <v>1.75959</v>
      </c>
      <c r="J4207" s="13" t="n">
        <f aca="false">IFERROR(MIN(Eingaben!$B$18,MAX(0,F4207-I4207)),0)</f>
        <v>0.75411</v>
      </c>
      <c r="K4207" s="13" t="n">
        <f aca="false">H4207+I4207</f>
        <v>2.4986178</v>
      </c>
      <c r="L4207" s="13" t="n">
        <f aca="false">MAX(0,D4207-K4207)</f>
        <v>2.4413822</v>
      </c>
      <c r="M4207" s="13" t="n">
        <f aca="false">MAX(0,F4207-I4207-J4207)</f>
        <v>0</v>
      </c>
      <c r="N4207" s="13" t="n">
        <f aca="false">IF(Kalender!A181="",0,J4206-H4207)</f>
        <v>0.0150822</v>
      </c>
    </row>
    <row r="4208" customFormat="false" ht="16.4" hidden="false" customHeight="false" outlineLevel="0" collapsed="false">
      <c r="A4208" s="13" t="str">
        <f aca="false">""</f>
        <v/>
      </c>
      <c r="B4208" s="13" t="n">
        <f aca="false">178</f>
        <v>178</v>
      </c>
      <c r="C4208" s="13" t="n">
        <f aca="false">IF(Szenarien!$H$22="OK",(IFERROR(SUMIF(Nutzungsprofile!$B$6:$B$11,"Schulbetrieb",Nutzungsprofile!$G$6:$G$11)*Kalender!C182/SUM(Kalender!$C$5:$C$370),0)+IFERROR(SUMIF(Nutzungsprofile!$B$6:$B$11,"Halle",Nutzungsprofile!$G$6:$G$11)*Kalender!D182/SUM(Kalender!$D$5:$D$370),0)+IFERROR(SUMIF(Nutzungsprofile!$B$6:$B$11,"Individuell",Nutzungsprofile!$G$6:$G$11)*Kalender!E182/SUM(Kalender!$E$5:$E$370),0))*Szenarien!$E$22,0)</f>
        <v>2.04</v>
      </c>
      <c r="D4208" s="13" t="n">
        <f aca="false">IF(Szenarien!$H$22="OK",(IFERROR(SUMIF(Nutzungsprofile!$B$17:$B$22,"Schulbetrieb",Nutzungsprofile!$G$17:$G$22)*Kalender!C182/SUM(Kalender!$C$5:$C$370),0)+IFERROR(SUMIF(Nutzungsprofile!$B$17:$B$22,"Halle",Nutzungsprofile!$G$17:$G$22)*Kalender!D182/SUM(Kalender!$D$5:$D$370),0)+IFERROR(SUMIF(Nutzungsprofile!$B$17:$B$22,"Individuell",Nutzungsprofile!$G$17:$G$22)*Kalender!E182/SUM(Kalender!$E$5:$E$370),0))*Szenarien!$D$22,0)</f>
        <v>0.89</v>
      </c>
      <c r="E4208" s="13" t="n">
        <f aca="false">IFERROR(MIN(C4208,Eingaben!$B$17)*Eingaben!$B$16,0)</f>
        <v>1.938</v>
      </c>
      <c r="F4208" s="13" t="n">
        <f aca="false">IFERROR(E4208*Eingaben!$B$15,0)</f>
        <v>1.7442</v>
      </c>
      <c r="G4208" s="13" t="n">
        <f aca="false">IFERROR(IF(Kalender!A182="",0,J4207*(1-Eingaben!$B$20)),0)</f>
        <v>0.7390278</v>
      </c>
      <c r="H4208" s="13" t="n">
        <f aca="false">MIN(G4208,D4208)</f>
        <v>0.7390278</v>
      </c>
      <c r="I4208" s="13" t="n">
        <f aca="false">IFERROR(MIN(F4208*Eingaben!$B$19,MAX(0,D4208-H4208)),0)</f>
        <v>0.1509722</v>
      </c>
      <c r="J4208" s="13" t="n">
        <f aca="false">IFERROR(MIN(Eingaben!$B$18,MAX(0,F4208-I4208)),0)</f>
        <v>1.5932278</v>
      </c>
      <c r="K4208" s="13" t="n">
        <f aca="false">H4208+I4208</f>
        <v>0.89</v>
      </c>
      <c r="L4208" s="13" t="n">
        <f aca="false">MAX(0,D4208-K4208)</f>
        <v>0</v>
      </c>
      <c r="M4208" s="13" t="n">
        <f aca="false">MAX(0,F4208-I4208-J4208)</f>
        <v>0</v>
      </c>
      <c r="N4208" s="13" t="n">
        <f aca="false">IF(Kalender!A182="",0,J4207-H4208)</f>
        <v>0.0150822</v>
      </c>
    </row>
    <row r="4209" customFormat="false" ht="16.4" hidden="false" customHeight="false" outlineLevel="0" collapsed="false">
      <c r="A4209" s="13" t="str">
        <f aca="false">""</f>
        <v/>
      </c>
      <c r="B4209" s="13" t="n">
        <f aca="false">179</f>
        <v>179</v>
      </c>
      <c r="C4209" s="13" t="n">
        <f aca="false">IF(Szenarien!$H$22="OK",(IFERROR(SUMIF(Nutzungsprofile!$B$6:$B$11,"Schulbetrieb",Nutzungsprofile!$G$6:$G$11)*Kalender!C183/SUM(Kalender!$C$5:$C$370),0)+IFERROR(SUMIF(Nutzungsprofile!$B$6:$B$11,"Halle",Nutzungsprofile!$G$6:$G$11)*Kalender!D183/SUM(Kalender!$D$5:$D$370),0)+IFERROR(SUMIF(Nutzungsprofile!$B$6:$B$11,"Individuell",Nutzungsprofile!$G$6:$G$11)*Kalender!E183/SUM(Kalender!$E$5:$E$370),0))*Szenarien!$E$22,0)</f>
        <v>2.04</v>
      </c>
      <c r="D4209" s="13" t="n">
        <f aca="false">IF(Szenarien!$H$22="OK",(IFERROR(SUMIF(Nutzungsprofile!$B$17:$B$22,"Schulbetrieb",Nutzungsprofile!$G$17:$G$22)*Kalender!C183/SUM(Kalender!$C$5:$C$370),0)+IFERROR(SUMIF(Nutzungsprofile!$B$17:$B$22,"Halle",Nutzungsprofile!$G$17:$G$22)*Kalender!D183/SUM(Kalender!$D$5:$D$370),0)+IFERROR(SUMIF(Nutzungsprofile!$B$17:$B$22,"Individuell",Nutzungsprofile!$G$17:$G$22)*Kalender!E183/SUM(Kalender!$E$5:$E$370),0))*Szenarien!$D$22,0)</f>
        <v>0.89</v>
      </c>
      <c r="E4209" s="13" t="n">
        <f aca="false">IFERROR(MIN(C4209,Eingaben!$B$17)*Eingaben!$B$16,0)</f>
        <v>1.938</v>
      </c>
      <c r="F4209" s="13" t="n">
        <f aca="false">IFERROR(E4209*Eingaben!$B$15,0)</f>
        <v>1.7442</v>
      </c>
      <c r="G4209" s="13" t="n">
        <f aca="false">IFERROR(IF(Kalender!A183="",0,J4208*(1-Eingaben!$B$20)),0)</f>
        <v>1.561363244</v>
      </c>
      <c r="H4209" s="13" t="n">
        <f aca="false">MIN(G4209,D4209)</f>
        <v>0.89</v>
      </c>
      <c r="I4209" s="13" t="n">
        <f aca="false">IFERROR(MIN(F4209*Eingaben!$B$19,MAX(0,D4209-H4209)),0)</f>
        <v>0</v>
      </c>
      <c r="J4209" s="13" t="n">
        <f aca="false">IFERROR(MIN(Eingaben!$B$18,MAX(0,F4209-I4209)),0)</f>
        <v>1.7442</v>
      </c>
      <c r="K4209" s="13" t="n">
        <f aca="false">H4209+I4209</f>
        <v>0.89</v>
      </c>
      <c r="L4209" s="13" t="n">
        <f aca="false">MAX(0,D4209-K4209)</f>
        <v>0</v>
      </c>
      <c r="M4209" s="13" t="n">
        <f aca="false">MAX(0,F4209-I4209-J4209)</f>
        <v>0</v>
      </c>
      <c r="N4209" s="13" t="n">
        <f aca="false">IF(Kalender!A183="",0,J4208-H4209)</f>
        <v>0.7032278</v>
      </c>
    </row>
    <row r="4210" customFormat="false" ht="16.4" hidden="false" customHeight="false" outlineLevel="0" collapsed="false">
      <c r="A4210" s="13" t="str">
        <f aca="false">""</f>
        <v/>
      </c>
      <c r="B4210" s="13" t="n">
        <f aca="false">180</f>
        <v>180</v>
      </c>
      <c r="C4210" s="13" t="n">
        <f aca="false">IF(Szenarien!$H$22="OK",(IFERROR(SUMIF(Nutzungsprofile!$B$6:$B$11,"Schulbetrieb",Nutzungsprofile!$G$6:$G$11)*Kalender!C184/SUM(Kalender!$C$5:$C$370),0)+IFERROR(SUMIF(Nutzungsprofile!$B$6:$B$11,"Halle",Nutzungsprofile!$G$6:$G$11)*Kalender!D184/SUM(Kalender!$D$5:$D$370),0)+IFERROR(SUMIF(Nutzungsprofile!$B$6:$B$11,"Individuell",Nutzungsprofile!$G$6:$G$11)*Kalender!E184/SUM(Kalender!$E$5:$E$370),0))*Szenarien!$E$22,0)</f>
        <v>2.94</v>
      </c>
      <c r="D4210" s="13" t="n">
        <f aca="false">IF(Szenarien!$H$22="OK",(IFERROR(SUMIF(Nutzungsprofile!$B$17:$B$22,"Schulbetrieb",Nutzungsprofile!$G$17:$G$22)*Kalender!C184/SUM(Kalender!$C$5:$C$370),0)+IFERROR(SUMIF(Nutzungsprofile!$B$17:$B$22,"Halle",Nutzungsprofile!$G$17:$G$22)*Kalender!D184/SUM(Kalender!$D$5:$D$370),0)+IFERROR(SUMIF(Nutzungsprofile!$B$17:$B$22,"Individuell",Nutzungsprofile!$G$17:$G$22)*Kalender!E184/SUM(Kalender!$E$5:$E$370),0))*Szenarien!$D$22,0)</f>
        <v>4.94</v>
      </c>
      <c r="E4210" s="13" t="n">
        <f aca="false">IFERROR(MIN(C4210,Eingaben!$B$17)*Eingaben!$B$16,0)</f>
        <v>2.793</v>
      </c>
      <c r="F4210" s="13" t="n">
        <f aca="false">IFERROR(E4210*Eingaben!$B$15,0)</f>
        <v>2.5137</v>
      </c>
      <c r="G4210" s="13" t="n">
        <f aca="false">IFERROR(IF(Kalender!A184="",0,J4209*(1-Eingaben!$B$20)),0)</f>
        <v>1.709316</v>
      </c>
      <c r="H4210" s="13" t="n">
        <f aca="false">MIN(G4210,D4210)</f>
        <v>1.709316</v>
      </c>
      <c r="I4210" s="13" t="n">
        <f aca="false">IFERROR(MIN(F4210*Eingaben!$B$19,MAX(0,D4210-H4210)),0)</f>
        <v>1.75959</v>
      </c>
      <c r="J4210" s="13" t="n">
        <f aca="false">IFERROR(MIN(Eingaben!$B$18,MAX(0,F4210-I4210)),0)</f>
        <v>0.75411</v>
      </c>
      <c r="K4210" s="13" t="n">
        <f aca="false">H4210+I4210</f>
        <v>3.468906</v>
      </c>
      <c r="L4210" s="13" t="n">
        <f aca="false">MAX(0,D4210-K4210)</f>
        <v>1.471094</v>
      </c>
      <c r="M4210" s="13" t="n">
        <f aca="false">MAX(0,F4210-I4210-J4210)</f>
        <v>0</v>
      </c>
      <c r="N4210" s="13" t="n">
        <f aca="false">IF(Kalender!A184="",0,J4209-H4210)</f>
        <v>0.0348840000000001</v>
      </c>
    </row>
    <row r="4211" customFormat="false" ht="16.4" hidden="false" customHeight="false" outlineLevel="0" collapsed="false">
      <c r="A4211" s="13" t="str">
        <f aca="false">""</f>
        <v/>
      </c>
      <c r="B4211" s="13" t="n">
        <f aca="false">181</f>
        <v>181</v>
      </c>
      <c r="C4211" s="13" t="n">
        <f aca="false">IF(Szenarien!$H$22="OK",(IFERROR(SUMIF(Nutzungsprofile!$B$6:$B$11,"Schulbetrieb",Nutzungsprofile!$G$6:$G$11)*Kalender!C185/SUM(Kalender!$C$5:$C$370),0)+IFERROR(SUMIF(Nutzungsprofile!$B$6:$B$11,"Halle",Nutzungsprofile!$G$6:$G$11)*Kalender!D185/SUM(Kalender!$D$5:$D$370),0)+IFERROR(SUMIF(Nutzungsprofile!$B$6:$B$11,"Individuell",Nutzungsprofile!$G$6:$G$11)*Kalender!E185/SUM(Kalender!$E$5:$E$370),0))*Szenarien!$E$22,0)</f>
        <v>2.94</v>
      </c>
      <c r="D4211" s="13" t="n">
        <f aca="false">IF(Szenarien!$H$22="OK",(IFERROR(SUMIF(Nutzungsprofile!$B$17:$B$22,"Schulbetrieb",Nutzungsprofile!$G$17:$G$22)*Kalender!C185/SUM(Kalender!$C$5:$C$370),0)+IFERROR(SUMIF(Nutzungsprofile!$B$17:$B$22,"Halle",Nutzungsprofile!$G$17:$G$22)*Kalender!D185/SUM(Kalender!$D$5:$D$370),0)+IFERROR(SUMIF(Nutzungsprofile!$B$17:$B$22,"Individuell",Nutzungsprofile!$G$17:$G$22)*Kalender!E185/SUM(Kalender!$E$5:$E$370),0))*Szenarien!$D$22,0)</f>
        <v>4.94</v>
      </c>
      <c r="E4211" s="13" t="n">
        <f aca="false">IFERROR(MIN(C4211,Eingaben!$B$17)*Eingaben!$B$16,0)</f>
        <v>2.793</v>
      </c>
      <c r="F4211" s="13" t="n">
        <f aca="false">IFERROR(E4211*Eingaben!$B$15,0)</f>
        <v>2.5137</v>
      </c>
      <c r="G4211" s="13" t="n">
        <f aca="false">IFERROR(IF(Kalender!A185="",0,J4210*(1-Eingaben!$B$20)),0)</f>
        <v>0.7390278</v>
      </c>
      <c r="H4211" s="13" t="n">
        <f aca="false">MIN(G4211,D4211)</f>
        <v>0.7390278</v>
      </c>
      <c r="I4211" s="13" t="n">
        <f aca="false">IFERROR(MIN(F4211*Eingaben!$B$19,MAX(0,D4211-H4211)),0)</f>
        <v>1.75959</v>
      </c>
      <c r="J4211" s="13" t="n">
        <f aca="false">IFERROR(MIN(Eingaben!$B$18,MAX(0,F4211-I4211)),0)</f>
        <v>0.75411</v>
      </c>
      <c r="K4211" s="13" t="n">
        <f aca="false">H4211+I4211</f>
        <v>2.4986178</v>
      </c>
      <c r="L4211" s="13" t="n">
        <f aca="false">MAX(0,D4211-K4211)</f>
        <v>2.4413822</v>
      </c>
      <c r="M4211" s="13" t="n">
        <f aca="false">MAX(0,F4211-I4211-J4211)</f>
        <v>0</v>
      </c>
      <c r="N4211" s="13" t="n">
        <f aca="false">IF(Kalender!A185="",0,J4210-H4211)</f>
        <v>0.0150822</v>
      </c>
    </row>
    <row r="4212" customFormat="false" ht="16.4" hidden="false" customHeight="false" outlineLevel="0" collapsed="false">
      <c r="A4212" s="13" t="str">
        <f aca="false">""</f>
        <v/>
      </c>
      <c r="B4212" s="13" t="n">
        <f aca="false">182</f>
        <v>182</v>
      </c>
      <c r="C4212" s="13" t="n">
        <f aca="false">IF(Szenarien!$H$22="OK",(IFERROR(SUMIF(Nutzungsprofile!$B$6:$B$11,"Schulbetrieb",Nutzungsprofile!$G$6:$G$11)*Kalender!C186/SUM(Kalender!$C$5:$C$370),0)+IFERROR(SUMIF(Nutzungsprofile!$B$6:$B$11,"Halle",Nutzungsprofile!$G$6:$G$11)*Kalender!D186/SUM(Kalender!$D$5:$D$370),0)+IFERROR(SUMIF(Nutzungsprofile!$B$6:$B$11,"Individuell",Nutzungsprofile!$G$6:$G$11)*Kalender!E186/SUM(Kalender!$E$5:$E$370),0))*Szenarien!$E$22,0)</f>
        <v>2.04</v>
      </c>
      <c r="D4212" s="13" t="n">
        <f aca="false">IF(Szenarien!$H$22="OK",(IFERROR(SUMIF(Nutzungsprofile!$B$17:$B$22,"Schulbetrieb",Nutzungsprofile!$G$17:$G$22)*Kalender!C186/SUM(Kalender!$C$5:$C$370),0)+IFERROR(SUMIF(Nutzungsprofile!$B$17:$B$22,"Halle",Nutzungsprofile!$G$17:$G$22)*Kalender!D186/SUM(Kalender!$D$5:$D$370),0)+IFERROR(SUMIF(Nutzungsprofile!$B$17:$B$22,"Individuell",Nutzungsprofile!$G$17:$G$22)*Kalender!E186/SUM(Kalender!$E$5:$E$370),0))*Szenarien!$D$22,0)</f>
        <v>0.89</v>
      </c>
      <c r="E4212" s="13" t="n">
        <f aca="false">IFERROR(MIN(C4212,Eingaben!$B$17)*Eingaben!$B$16,0)</f>
        <v>1.938</v>
      </c>
      <c r="F4212" s="13" t="n">
        <f aca="false">IFERROR(E4212*Eingaben!$B$15,0)</f>
        <v>1.7442</v>
      </c>
      <c r="G4212" s="13" t="n">
        <f aca="false">IFERROR(IF(Kalender!A186="",0,J4211*(1-Eingaben!$B$20)),0)</f>
        <v>0.7390278</v>
      </c>
      <c r="H4212" s="13" t="n">
        <f aca="false">MIN(G4212,D4212)</f>
        <v>0.7390278</v>
      </c>
      <c r="I4212" s="13" t="n">
        <f aca="false">IFERROR(MIN(F4212*Eingaben!$B$19,MAX(0,D4212-H4212)),0)</f>
        <v>0.1509722</v>
      </c>
      <c r="J4212" s="13" t="n">
        <f aca="false">IFERROR(MIN(Eingaben!$B$18,MAX(0,F4212-I4212)),0)</f>
        <v>1.5932278</v>
      </c>
      <c r="K4212" s="13" t="n">
        <f aca="false">H4212+I4212</f>
        <v>0.89</v>
      </c>
      <c r="L4212" s="13" t="n">
        <f aca="false">MAX(0,D4212-K4212)</f>
        <v>0</v>
      </c>
      <c r="M4212" s="13" t="n">
        <f aca="false">MAX(0,F4212-I4212-J4212)</f>
        <v>0</v>
      </c>
      <c r="N4212" s="13" t="n">
        <f aca="false">IF(Kalender!A186="",0,J4211-H4212)</f>
        <v>0.0150822</v>
      </c>
    </row>
    <row r="4213" customFormat="false" ht="16.4" hidden="false" customHeight="false" outlineLevel="0" collapsed="false">
      <c r="A4213" s="13" t="str">
        <f aca="false">""</f>
        <v/>
      </c>
      <c r="B4213" s="13" t="n">
        <f aca="false">183</f>
        <v>183</v>
      </c>
      <c r="C4213" s="13" t="n">
        <f aca="false">IF(Szenarien!$H$22="OK",(IFERROR(SUMIF(Nutzungsprofile!$B$6:$B$11,"Schulbetrieb",Nutzungsprofile!$G$6:$G$11)*Kalender!C187/SUM(Kalender!$C$5:$C$370),0)+IFERROR(SUMIF(Nutzungsprofile!$B$6:$B$11,"Halle",Nutzungsprofile!$G$6:$G$11)*Kalender!D187/SUM(Kalender!$D$5:$D$370),0)+IFERROR(SUMIF(Nutzungsprofile!$B$6:$B$11,"Individuell",Nutzungsprofile!$G$6:$G$11)*Kalender!E187/SUM(Kalender!$E$5:$E$370),0))*Szenarien!$E$22,0)</f>
        <v>2.04</v>
      </c>
      <c r="D4213" s="13" t="n">
        <f aca="false">IF(Szenarien!$H$22="OK",(IFERROR(SUMIF(Nutzungsprofile!$B$17:$B$22,"Schulbetrieb",Nutzungsprofile!$G$17:$G$22)*Kalender!C187/SUM(Kalender!$C$5:$C$370),0)+IFERROR(SUMIF(Nutzungsprofile!$B$17:$B$22,"Halle",Nutzungsprofile!$G$17:$G$22)*Kalender!D187/SUM(Kalender!$D$5:$D$370),0)+IFERROR(SUMIF(Nutzungsprofile!$B$17:$B$22,"Individuell",Nutzungsprofile!$G$17:$G$22)*Kalender!E187/SUM(Kalender!$E$5:$E$370),0))*Szenarien!$D$22,0)</f>
        <v>0.89</v>
      </c>
      <c r="E4213" s="13" t="n">
        <f aca="false">IFERROR(MIN(C4213,Eingaben!$B$17)*Eingaben!$B$16,0)</f>
        <v>1.938</v>
      </c>
      <c r="F4213" s="13" t="n">
        <f aca="false">IFERROR(E4213*Eingaben!$B$15,0)</f>
        <v>1.7442</v>
      </c>
      <c r="G4213" s="13" t="n">
        <f aca="false">IFERROR(IF(Kalender!A187="",0,J4212*(1-Eingaben!$B$20)),0)</f>
        <v>1.561363244</v>
      </c>
      <c r="H4213" s="13" t="n">
        <f aca="false">MIN(G4213,D4213)</f>
        <v>0.89</v>
      </c>
      <c r="I4213" s="13" t="n">
        <f aca="false">IFERROR(MIN(F4213*Eingaben!$B$19,MAX(0,D4213-H4213)),0)</f>
        <v>0</v>
      </c>
      <c r="J4213" s="13" t="n">
        <f aca="false">IFERROR(MIN(Eingaben!$B$18,MAX(0,F4213-I4213)),0)</f>
        <v>1.7442</v>
      </c>
      <c r="K4213" s="13" t="n">
        <f aca="false">H4213+I4213</f>
        <v>0.89</v>
      </c>
      <c r="L4213" s="13" t="n">
        <f aca="false">MAX(0,D4213-K4213)</f>
        <v>0</v>
      </c>
      <c r="M4213" s="13" t="n">
        <f aca="false">MAX(0,F4213-I4213-J4213)</f>
        <v>0</v>
      </c>
      <c r="N4213" s="13" t="n">
        <f aca="false">IF(Kalender!A187="",0,J4212-H4213)</f>
        <v>0.7032278</v>
      </c>
    </row>
    <row r="4214" customFormat="false" ht="16.4" hidden="false" customHeight="false" outlineLevel="0" collapsed="false">
      <c r="A4214" s="13" t="str">
        <f aca="false">""</f>
        <v/>
      </c>
      <c r="B4214" s="13" t="n">
        <f aca="false">184</f>
        <v>184</v>
      </c>
      <c r="C4214" s="13" t="n">
        <f aca="false">IF(Szenarien!$H$22="OK",(IFERROR(SUMIF(Nutzungsprofile!$B$6:$B$11,"Schulbetrieb",Nutzungsprofile!$G$6:$G$11)*Kalender!C188/SUM(Kalender!$C$5:$C$370),0)+IFERROR(SUMIF(Nutzungsprofile!$B$6:$B$11,"Halle",Nutzungsprofile!$G$6:$G$11)*Kalender!D188/SUM(Kalender!$D$5:$D$370),0)+IFERROR(SUMIF(Nutzungsprofile!$B$6:$B$11,"Individuell",Nutzungsprofile!$G$6:$G$11)*Kalender!E188/SUM(Kalender!$E$5:$E$370),0))*Szenarien!$E$22,0)</f>
        <v>2.04</v>
      </c>
      <c r="D4214" s="13" t="n">
        <f aca="false">IF(Szenarien!$H$22="OK",(IFERROR(SUMIF(Nutzungsprofile!$B$17:$B$22,"Schulbetrieb",Nutzungsprofile!$G$17:$G$22)*Kalender!C188/SUM(Kalender!$C$5:$C$370),0)+IFERROR(SUMIF(Nutzungsprofile!$B$17:$B$22,"Halle",Nutzungsprofile!$G$17:$G$22)*Kalender!D188/SUM(Kalender!$D$5:$D$370),0)+IFERROR(SUMIF(Nutzungsprofile!$B$17:$B$22,"Individuell",Nutzungsprofile!$G$17:$G$22)*Kalender!E188/SUM(Kalender!$E$5:$E$370),0))*Szenarien!$D$22,0)</f>
        <v>0.89</v>
      </c>
      <c r="E4214" s="13" t="n">
        <f aca="false">IFERROR(MIN(C4214,Eingaben!$B$17)*Eingaben!$B$16,0)</f>
        <v>1.938</v>
      </c>
      <c r="F4214" s="13" t="n">
        <f aca="false">IFERROR(E4214*Eingaben!$B$15,0)</f>
        <v>1.7442</v>
      </c>
      <c r="G4214" s="13" t="n">
        <f aca="false">IFERROR(IF(Kalender!A188="",0,J4213*(1-Eingaben!$B$20)),0)</f>
        <v>1.709316</v>
      </c>
      <c r="H4214" s="13" t="n">
        <f aca="false">MIN(G4214,D4214)</f>
        <v>0.89</v>
      </c>
      <c r="I4214" s="13" t="n">
        <f aca="false">IFERROR(MIN(F4214*Eingaben!$B$19,MAX(0,D4214-H4214)),0)</f>
        <v>0</v>
      </c>
      <c r="J4214" s="13" t="n">
        <f aca="false">IFERROR(MIN(Eingaben!$B$18,MAX(0,F4214-I4214)),0)</f>
        <v>1.7442</v>
      </c>
      <c r="K4214" s="13" t="n">
        <f aca="false">H4214+I4214</f>
        <v>0.89</v>
      </c>
      <c r="L4214" s="13" t="n">
        <f aca="false">MAX(0,D4214-K4214)</f>
        <v>0</v>
      </c>
      <c r="M4214" s="13" t="n">
        <f aca="false">MAX(0,F4214-I4214-J4214)</f>
        <v>0</v>
      </c>
      <c r="N4214" s="13" t="n">
        <f aca="false">IF(Kalender!A188="",0,J4213-H4214)</f>
        <v>0.8542</v>
      </c>
    </row>
    <row r="4215" customFormat="false" ht="16.4" hidden="false" customHeight="false" outlineLevel="0" collapsed="false">
      <c r="A4215" s="13" t="str">
        <f aca="false">""</f>
        <v/>
      </c>
      <c r="B4215" s="13" t="n">
        <f aca="false">185</f>
        <v>185</v>
      </c>
      <c r="C4215" s="13" t="n">
        <f aca="false">IF(Szenarien!$H$22="OK",(IFERROR(SUMIF(Nutzungsprofile!$B$6:$B$11,"Schulbetrieb",Nutzungsprofile!$G$6:$G$11)*Kalender!C189/SUM(Kalender!$C$5:$C$370),0)+IFERROR(SUMIF(Nutzungsprofile!$B$6:$B$11,"Halle",Nutzungsprofile!$G$6:$G$11)*Kalender!D189/SUM(Kalender!$D$5:$D$370),0)+IFERROR(SUMIF(Nutzungsprofile!$B$6:$B$11,"Individuell",Nutzungsprofile!$G$6:$G$11)*Kalender!E189/SUM(Kalender!$E$5:$E$370),0))*Szenarien!$E$22,0)</f>
        <v>2.04</v>
      </c>
      <c r="D4215" s="13" t="n">
        <f aca="false">IF(Szenarien!$H$22="OK",(IFERROR(SUMIF(Nutzungsprofile!$B$17:$B$22,"Schulbetrieb",Nutzungsprofile!$G$17:$G$22)*Kalender!C189/SUM(Kalender!$C$5:$C$370),0)+IFERROR(SUMIF(Nutzungsprofile!$B$17:$B$22,"Halle",Nutzungsprofile!$G$17:$G$22)*Kalender!D189/SUM(Kalender!$D$5:$D$370),0)+IFERROR(SUMIF(Nutzungsprofile!$B$17:$B$22,"Individuell",Nutzungsprofile!$G$17:$G$22)*Kalender!E189/SUM(Kalender!$E$5:$E$370),0))*Szenarien!$D$22,0)</f>
        <v>0.89</v>
      </c>
      <c r="E4215" s="13" t="n">
        <f aca="false">IFERROR(MIN(C4215,Eingaben!$B$17)*Eingaben!$B$16,0)</f>
        <v>1.938</v>
      </c>
      <c r="F4215" s="13" t="n">
        <f aca="false">IFERROR(E4215*Eingaben!$B$15,0)</f>
        <v>1.7442</v>
      </c>
      <c r="G4215" s="13" t="n">
        <f aca="false">IFERROR(IF(Kalender!A189="",0,J4214*(1-Eingaben!$B$20)),0)</f>
        <v>1.709316</v>
      </c>
      <c r="H4215" s="13" t="n">
        <f aca="false">MIN(G4215,D4215)</f>
        <v>0.89</v>
      </c>
      <c r="I4215" s="13" t="n">
        <f aca="false">IFERROR(MIN(F4215*Eingaben!$B$19,MAX(0,D4215-H4215)),0)</f>
        <v>0</v>
      </c>
      <c r="J4215" s="13" t="n">
        <f aca="false">IFERROR(MIN(Eingaben!$B$18,MAX(0,F4215-I4215)),0)</f>
        <v>1.7442</v>
      </c>
      <c r="K4215" s="13" t="n">
        <f aca="false">H4215+I4215</f>
        <v>0.89</v>
      </c>
      <c r="L4215" s="13" t="n">
        <f aca="false">MAX(0,D4215-K4215)</f>
        <v>0</v>
      </c>
      <c r="M4215" s="13" t="n">
        <f aca="false">MAX(0,F4215-I4215-J4215)</f>
        <v>0</v>
      </c>
      <c r="N4215" s="13" t="n">
        <f aca="false">IF(Kalender!A189="",0,J4214-H4215)</f>
        <v>0.8542</v>
      </c>
    </row>
    <row r="4216" customFormat="false" ht="16.4" hidden="false" customHeight="false" outlineLevel="0" collapsed="false">
      <c r="A4216" s="13" t="str">
        <f aca="false">""</f>
        <v/>
      </c>
      <c r="B4216" s="13" t="n">
        <f aca="false">186</f>
        <v>186</v>
      </c>
      <c r="C4216" s="13" t="n">
        <f aca="false">IF(Szenarien!$H$22="OK",(IFERROR(SUMIF(Nutzungsprofile!$B$6:$B$11,"Schulbetrieb",Nutzungsprofile!$G$6:$G$11)*Kalender!C190/SUM(Kalender!$C$5:$C$370),0)+IFERROR(SUMIF(Nutzungsprofile!$B$6:$B$11,"Halle",Nutzungsprofile!$G$6:$G$11)*Kalender!D190/SUM(Kalender!$D$5:$D$370),0)+IFERROR(SUMIF(Nutzungsprofile!$B$6:$B$11,"Individuell",Nutzungsprofile!$G$6:$G$11)*Kalender!E190/SUM(Kalender!$E$5:$E$370),0))*Szenarien!$E$22,0)</f>
        <v>2.04</v>
      </c>
      <c r="D4216" s="13" t="n">
        <f aca="false">IF(Szenarien!$H$22="OK",(IFERROR(SUMIF(Nutzungsprofile!$B$17:$B$22,"Schulbetrieb",Nutzungsprofile!$G$17:$G$22)*Kalender!C190/SUM(Kalender!$C$5:$C$370),0)+IFERROR(SUMIF(Nutzungsprofile!$B$17:$B$22,"Halle",Nutzungsprofile!$G$17:$G$22)*Kalender!D190/SUM(Kalender!$D$5:$D$370),0)+IFERROR(SUMIF(Nutzungsprofile!$B$17:$B$22,"Individuell",Nutzungsprofile!$G$17:$G$22)*Kalender!E190/SUM(Kalender!$E$5:$E$370),0))*Szenarien!$D$22,0)</f>
        <v>0.89</v>
      </c>
      <c r="E4216" s="13" t="n">
        <f aca="false">IFERROR(MIN(C4216,Eingaben!$B$17)*Eingaben!$B$16,0)</f>
        <v>1.938</v>
      </c>
      <c r="F4216" s="13" t="n">
        <f aca="false">IFERROR(E4216*Eingaben!$B$15,0)</f>
        <v>1.7442</v>
      </c>
      <c r="G4216" s="13" t="n">
        <f aca="false">IFERROR(IF(Kalender!A190="",0,J4215*(1-Eingaben!$B$20)),0)</f>
        <v>1.709316</v>
      </c>
      <c r="H4216" s="13" t="n">
        <f aca="false">MIN(G4216,D4216)</f>
        <v>0.89</v>
      </c>
      <c r="I4216" s="13" t="n">
        <f aca="false">IFERROR(MIN(F4216*Eingaben!$B$19,MAX(0,D4216-H4216)),0)</f>
        <v>0</v>
      </c>
      <c r="J4216" s="13" t="n">
        <f aca="false">IFERROR(MIN(Eingaben!$B$18,MAX(0,F4216-I4216)),0)</f>
        <v>1.7442</v>
      </c>
      <c r="K4216" s="13" t="n">
        <f aca="false">H4216+I4216</f>
        <v>0.89</v>
      </c>
      <c r="L4216" s="13" t="n">
        <f aca="false">MAX(0,D4216-K4216)</f>
        <v>0</v>
      </c>
      <c r="M4216" s="13" t="n">
        <f aca="false">MAX(0,F4216-I4216-J4216)</f>
        <v>0</v>
      </c>
      <c r="N4216" s="13" t="n">
        <f aca="false">IF(Kalender!A190="",0,J4215-H4216)</f>
        <v>0.8542</v>
      </c>
    </row>
    <row r="4217" customFormat="false" ht="16.4" hidden="false" customHeight="false" outlineLevel="0" collapsed="false">
      <c r="A4217" s="13" t="str">
        <f aca="false">""</f>
        <v/>
      </c>
      <c r="B4217" s="13" t="n">
        <f aca="false">187</f>
        <v>187</v>
      </c>
      <c r="C4217" s="13" t="n">
        <f aca="false">IF(Szenarien!$H$22="OK",(IFERROR(SUMIF(Nutzungsprofile!$B$6:$B$11,"Schulbetrieb",Nutzungsprofile!$G$6:$G$11)*Kalender!C191/SUM(Kalender!$C$5:$C$370),0)+IFERROR(SUMIF(Nutzungsprofile!$B$6:$B$11,"Halle",Nutzungsprofile!$G$6:$G$11)*Kalender!D191/SUM(Kalender!$D$5:$D$370),0)+IFERROR(SUMIF(Nutzungsprofile!$B$6:$B$11,"Individuell",Nutzungsprofile!$G$6:$G$11)*Kalender!E191/SUM(Kalender!$E$5:$E$370),0))*Szenarien!$E$22,0)</f>
        <v>2.04</v>
      </c>
      <c r="D4217" s="13" t="n">
        <f aca="false">IF(Szenarien!$H$22="OK",(IFERROR(SUMIF(Nutzungsprofile!$B$17:$B$22,"Schulbetrieb",Nutzungsprofile!$G$17:$G$22)*Kalender!C191/SUM(Kalender!$C$5:$C$370),0)+IFERROR(SUMIF(Nutzungsprofile!$B$17:$B$22,"Halle",Nutzungsprofile!$G$17:$G$22)*Kalender!D191/SUM(Kalender!$D$5:$D$370),0)+IFERROR(SUMIF(Nutzungsprofile!$B$17:$B$22,"Individuell",Nutzungsprofile!$G$17:$G$22)*Kalender!E191/SUM(Kalender!$E$5:$E$370),0))*Szenarien!$D$22,0)</f>
        <v>0.89</v>
      </c>
      <c r="E4217" s="13" t="n">
        <f aca="false">IFERROR(MIN(C4217,Eingaben!$B$17)*Eingaben!$B$16,0)</f>
        <v>1.938</v>
      </c>
      <c r="F4217" s="13" t="n">
        <f aca="false">IFERROR(E4217*Eingaben!$B$15,0)</f>
        <v>1.7442</v>
      </c>
      <c r="G4217" s="13" t="n">
        <f aca="false">IFERROR(IF(Kalender!A191="",0,J4216*(1-Eingaben!$B$20)),0)</f>
        <v>1.709316</v>
      </c>
      <c r="H4217" s="13" t="n">
        <f aca="false">MIN(G4217,D4217)</f>
        <v>0.89</v>
      </c>
      <c r="I4217" s="13" t="n">
        <f aca="false">IFERROR(MIN(F4217*Eingaben!$B$19,MAX(0,D4217-H4217)),0)</f>
        <v>0</v>
      </c>
      <c r="J4217" s="13" t="n">
        <f aca="false">IFERROR(MIN(Eingaben!$B$18,MAX(0,F4217-I4217)),0)</f>
        <v>1.7442</v>
      </c>
      <c r="K4217" s="13" t="n">
        <f aca="false">H4217+I4217</f>
        <v>0.89</v>
      </c>
      <c r="L4217" s="13" t="n">
        <f aca="false">MAX(0,D4217-K4217)</f>
        <v>0</v>
      </c>
      <c r="M4217" s="13" t="n">
        <f aca="false">MAX(0,F4217-I4217-J4217)</f>
        <v>0</v>
      </c>
      <c r="N4217" s="13" t="n">
        <f aca="false">IF(Kalender!A191="",0,J4216-H4217)</f>
        <v>0.8542</v>
      </c>
    </row>
    <row r="4218" customFormat="false" ht="16.4" hidden="false" customHeight="false" outlineLevel="0" collapsed="false">
      <c r="A4218" s="13" t="str">
        <f aca="false">""</f>
        <v/>
      </c>
      <c r="B4218" s="13" t="n">
        <f aca="false">188</f>
        <v>188</v>
      </c>
      <c r="C4218" s="13" t="n">
        <f aca="false">IF(Szenarien!$H$22="OK",(IFERROR(SUMIF(Nutzungsprofile!$B$6:$B$11,"Schulbetrieb",Nutzungsprofile!$G$6:$G$11)*Kalender!C192/SUM(Kalender!$C$5:$C$370),0)+IFERROR(SUMIF(Nutzungsprofile!$B$6:$B$11,"Halle",Nutzungsprofile!$G$6:$G$11)*Kalender!D192/SUM(Kalender!$D$5:$D$370),0)+IFERROR(SUMIF(Nutzungsprofile!$B$6:$B$11,"Individuell",Nutzungsprofile!$G$6:$G$11)*Kalender!E192/SUM(Kalender!$E$5:$E$370),0))*Szenarien!$E$22,0)</f>
        <v>2.04</v>
      </c>
      <c r="D4218" s="13" t="n">
        <f aca="false">IF(Szenarien!$H$22="OK",(IFERROR(SUMIF(Nutzungsprofile!$B$17:$B$22,"Schulbetrieb",Nutzungsprofile!$G$17:$G$22)*Kalender!C192/SUM(Kalender!$C$5:$C$370),0)+IFERROR(SUMIF(Nutzungsprofile!$B$17:$B$22,"Halle",Nutzungsprofile!$G$17:$G$22)*Kalender!D192/SUM(Kalender!$D$5:$D$370),0)+IFERROR(SUMIF(Nutzungsprofile!$B$17:$B$22,"Individuell",Nutzungsprofile!$G$17:$G$22)*Kalender!E192/SUM(Kalender!$E$5:$E$370),0))*Szenarien!$D$22,0)</f>
        <v>0.89</v>
      </c>
      <c r="E4218" s="13" t="n">
        <f aca="false">IFERROR(MIN(C4218,Eingaben!$B$17)*Eingaben!$B$16,0)</f>
        <v>1.938</v>
      </c>
      <c r="F4218" s="13" t="n">
        <f aca="false">IFERROR(E4218*Eingaben!$B$15,0)</f>
        <v>1.7442</v>
      </c>
      <c r="G4218" s="13" t="n">
        <f aca="false">IFERROR(IF(Kalender!A192="",0,J4217*(1-Eingaben!$B$20)),0)</f>
        <v>1.709316</v>
      </c>
      <c r="H4218" s="13" t="n">
        <f aca="false">MIN(G4218,D4218)</f>
        <v>0.89</v>
      </c>
      <c r="I4218" s="13" t="n">
        <f aca="false">IFERROR(MIN(F4218*Eingaben!$B$19,MAX(0,D4218-H4218)),0)</f>
        <v>0</v>
      </c>
      <c r="J4218" s="13" t="n">
        <f aca="false">IFERROR(MIN(Eingaben!$B$18,MAX(0,F4218-I4218)),0)</f>
        <v>1.7442</v>
      </c>
      <c r="K4218" s="13" t="n">
        <f aca="false">H4218+I4218</f>
        <v>0.89</v>
      </c>
      <c r="L4218" s="13" t="n">
        <f aca="false">MAX(0,D4218-K4218)</f>
        <v>0</v>
      </c>
      <c r="M4218" s="13" t="n">
        <f aca="false">MAX(0,F4218-I4218-J4218)</f>
        <v>0</v>
      </c>
      <c r="N4218" s="13" t="n">
        <f aca="false">IF(Kalender!A192="",0,J4217-H4218)</f>
        <v>0.8542</v>
      </c>
    </row>
    <row r="4219" customFormat="false" ht="16.4" hidden="false" customHeight="false" outlineLevel="0" collapsed="false">
      <c r="A4219" s="13" t="str">
        <f aca="false">""</f>
        <v/>
      </c>
      <c r="B4219" s="13" t="n">
        <f aca="false">189</f>
        <v>189</v>
      </c>
      <c r="C4219" s="13" t="n">
        <f aca="false">IF(Szenarien!$H$22="OK",(IFERROR(SUMIF(Nutzungsprofile!$B$6:$B$11,"Schulbetrieb",Nutzungsprofile!$G$6:$G$11)*Kalender!C193/SUM(Kalender!$C$5:$C$370),0)+IFERROR(SUMIF(Nutzungsprofile!$B$6:$B$11,"Halle",Nutzungsprofile!$G$6:$G$11)*Kalender!D193/SUM(Kalender!$D$5:$D$370),0)+IFERROR(SUMIF(Nutzungsprofile!$B$6:$B$11,"Individuell",Nutzungsprofile!$G$6:$G$11)*Kalender!E193/SUM(Kalender!$E$5:$E$370),0))*Szenarien!$E$22,0)</f>
        <v>2.04</v>
      </c>
      <c r="D4219" s="13" t="n">
        <f aca="false">IF(Szenarien!$H$22="OK",(IFERROR(SUMIF(Nutzungsprofile!$B$17:$B$22,"Schulbetrieb",Nutzungsprofile!$G$17:$G$22)*Kalender!C193/SUM(Kalender!$C$5:$C$370),0)+IFERROR(SUMIF(Nutzungsprofile!$B$17:$B$22,"Halle",Nutzungsprofile!$G$17:$G$22)*Kalender!D193/SUM(Kalender!$D$5:$D$370),0)+IFERROR(SUMIF(Nutzungsprofile!$B$17:$B$22,"Individuell",Nutzungsprofile!$G$17:$G$22)*Kalender!E193/SUM(Kalender!$E$5:$E$370),0))*Szenarien!$D$22,0)</f>
        <v>0.89</v>
      </c>
      <c r="E4219" s="13" t="n">
        <f aca="false">IFERROR(MIN(C4219,Eingaben!$B$17)*Eingaben!$B$16,0)</f>
        <v>1.938</v>
      </c>
      <c r="F4219" s="13" t="n">
        <f aca="false">IFERROR(E4219*Eingaben!$B$15,0)</f>
        <v>1.7442</v>
      </c>
      <c r="G4219" s="13" t="n">
        <f aca="false">IFERROR(IF(Kalender!A193="",0,J4218*(1-Eingaben!$B$20)),0)</f>
        <v>1.709316</v>
      </c>
      <c r="H4219" s="13" t="n">
        <f aca="false">MIN(G4219,D4219)</f>
        <v>0.89</v>
      </c>
      <c r="I4219" s="13" t="n">
        <f aca="false">IFERROR(MIN(F4219*Eingaben!$B$19,MAX(0,D4219-H4219)),0)</f>
        <v>0</v>
      </c>
      <c r="J4219" s="13" t="n">
        <f aca="false">IFERROR(MIN(Eingaben!$B$18,MAX(0,F4219-I4219)),0)</f>
        <v>1.7442</v>
      </c>
      <c r="K4219" s="13" t="n">
        <f aca="false">H4219+I4219</f>
        <v>0.89</v>
      </c>
      <c r="L4219" s="13" t="n">
        <f aca="false">MAX(0,D4219-K4219)</f>
        <v>0</v>
      </c>
      <c r="M4219" s="13" t="n">
        <f aca="false">MAX(0,F4219-I4219-J4219)</f>
        <v>0</v>
      </c>
      <c r="N4219" s="13" t="n">
        <f aca="false">IF(Kalender!A193="",0,J4218-H4219)</f>
        <v>0.8542</v>
      </c>
    </row>
    <row r="4220" customFormat="false" ht="16.4" hidden="false" customHeight="false" outlineLevel="0" collapsed="false">
      <c r="A4220" s="13" t="str">
        <f aca="false">""</f>
        <v/>
      </c>
      <c r="B4220" s="13" t="n">
        <f aca="false">190</f>
        <v>190</v>
      </c>
      <c r="C4220" s="13" t="n">
        <f aca="false">IF(Szenarien!$H$22="OK",(IFERROR(SUMIF(Nutzungsprofile!$B$6:$B$11,"Schulbetrieb",Nutzungsprofile!$G$6:$G$11)*Kalender!C194/SUM(Kalender!$C$5:$C$370),0)+IFERROR(SUMIF(Nutzungsprofile!$B$6:$B$11,"Halle",Nutzungsprofile!$G$6:$G$11)*Kalender!D194/SUM(Kalender!$D$5:$D$370),0)+IFERROR(SUMIF(Nutzungsprofile!$B$6:$B$11,"Individuell",Nutzungsprofile!$G$6:$G$11)*Kalender!E194/SUM(Kalender!$E$5:$E$370),0))*Szenarien!$E$22,0)</f>
        <v>2.04</v>
      </c>
      <c r="D4220" s="13" t="n">
        <f aca="false">IF(Szenarien!$H$22="OK",(IFERROR(SUMIF(Nutzungsprofile!$B$17:$B$22,"Schulbetrieb",Nutzungsprofile!$G$17:$G$22)*Kalender!C194/SUM(Kalender!$C$5:$C$370),0)+IFERROR(SUMIF(Nutzungsprofile!$B$17:$B$22,"Halle",Nutzungsprofile!$G$17:$G$22)*Kalender!D194/SUM(Kalender!$D$5:$D$370),0)+IFERROR(SUMIF(Nutzungsprofile!$B$17:$B$22,"Individuell",Nutzungsprofile!$G$17:$G$22)*Kalender!E194/SUM(Kalender!$E$5:$E$370),0))*Szenarien!$D$22,0)</f>
        <v>0.89</v>
      </c>
      <c r="E4220" s="13" t="n">
        <f aca="false">IFERROR(MIN(C4220,Eingaben!$B$17)*Eingaben!$B$16,0)</f>
        <v>1.938</v>
      </c>
      <c r="F4220" s="13" t="n">
        <f aca="false">IFERROR(E4220*Eingaben!$B$15,0)</f>
        <v>1.7442</v>
      </c>
      <c r="G4220" s="13" t="n">
        <f aca="false">IFERROR(IF(Kalender!A194="",0,J4219*(1-Eingaben!$B$20)),0)</f>
        <v>1.709316</v>
      </c>
      <c r="H4220" s="13" t="n">
        <f aca="false">MIN(G4220,D4220)</f>
        <v>0.89</v>
      </c>
      <c r="I4220" s="13" t="n">
        <f aca="false">IFERROR(MIN(F4220*Eingaben!$B$19,MAX(0,D4220-H4220)),0)</f>
        <v>0</v>
      </c>
      <c r="J4220" s="13" t="n">
        <f aca="false">IFERROR(MIN(Eingaben!$B$18,MAX(0,F4220-I4220)),0)</f>
        <v>1.7442</v>
      </c>
      <c r="K4220" s="13" t="n">
        <f aca="false">H4220+I4220</f>
        <v>0.89</v>
      </c>
      <c r="L4220" s="13" t="n">
        <f aca="false">MAX(0,D4220-K4220)</f>
        <v>0</v>
      </c>
      <c r="M4220" s="13" t="n">
        <f aca="false">MAX(0,F4220-I4220-J4220)</f>
        <v>0</v>
      </c>
      <c r="N4220" s="13" t="n">
        <f aca="false">IF(Kalender!A194="",0,J4219-H4220)</f>
        <v>0.8542</v>
      </c>
    </row>
    <row r="4221" customFormat="false" ht="16.4" hidden="false" customHeight="false" outlineLevel="0" collapsed="false">
      <c r="A4221" s="13" t="str">
        <f aca="false">""</f>
        <v/>
      </c>
      <c r="B4221" s="13" t="n">
        <f aca="false">191</f>
        <v>191</v>
      </c>
      <c r="C4221" s="13" t="n">
        <f aca="false">IF(Szenarien!$H$22="OK",(IFERROR(SUMIF(Nutzungsprofile!$B$6:$B$11,"Schulbetrieb",Nutzungsprofile!$G$6:$G$11)*Kalender!C195/SUM(Kalender!$C$5:$C$370),0)+IFERROR(SUMIF(Nutzungsprofile!$B$6:$B$11,"Halle",Nutzungsprofile!$G$6:$G$11)*Kalender!D195/SUM(Kalender!$D$5:$D$370),0)+IFERROR(SUMIF(Nutzungsprofile!$B$6:$B$11,"Individuell",Nutzungsprofile!$G$6:$G$11)*Kalender!E195/SUM(Kalender!$E$5:$E$370),0))*Szenarien!$E$22,0)</f>
        <v>2.04</v>
      </c>
      <c r="D4221" s="13" t="n">
        <f aca="false">IF(Szenarien!$H$22="OK",(IFERROR(SUMIF(Nutzungsprofile!$B$17:$B$22,"Schulbetrieb",Nutzungsprofile!$G$17:$G$22)*Kalender!C195/SUM(Kalender!$C$5:$C$370),0)+IFERROR(SUMIF(Nutzungsprofile!$B$17:$B$22,"Halle",Nutzungsprofile!$G$17:$G$22)*Kalender!D195/SUM(Kalender!$D$5:$D$370),0)+IFERROR(SUMIF(Nutzungsprofile!$B$17:$B$22,"Individuell",Nutzungsprofile!$G$17:$G$22)*Kalender!E195/SUM(Kalender!$E$5:$E$370),0))*Szenarien!$D$22,0)</f>
        <v>0.89</v>
      </c>
      <c r="E4221" s="13" t="n">
        <f aca="false">IFERROR(MIN(C4221,Eingaben!$B$17)*Eingaben!$B$16,0)</f>
        <v>1.938</v>
      </c>
      <c r="F4221" s="13" t="n">
        <f aca="false">IFERROR(E4221*Eingaben!$B$15,0)</f>
        <v>1.7442</v>
      </c>
      <c r="G4221" s="13" t="n">
        <f aca="false">IFERROR(IF(Kalender!A195="",0,J4220*(1-Eingaben!$B$20)),0)</f>
        <v>1.709316</v>
      </c>
      <c r="H4221" s="13" t="n">
        <f aca="false">MIN(G4221,D4221)</f>
        <v>0.89</v>
      </c>
      <c r="I4221" s="13" t="n">
        <f aca="false">IFERROR(MIN(F4221*Eingaben!$B$19,MAX(0,D4221-H4221)),0)</f>
        <v>0</v>
      </c>
      <c r="J4221" s="13" t="n">
        <f aca="false">IFERROR(MIN(Eingaben!$B$18,MAX(0,F4221-I4221)),0)</f>
        <v>1.7442</v>
      </c>
      <c r="K4221" s="13" t="n">
        <f aca="false">H4221+I4221</f>
        <v>0.89</v>
      </c>
      <c r="L4221" s="13" t="n">
        <f aca="false">MAX(0,D4221-K4221)</f>
        <v>0</v>
      </c>
      <c r="M4221" s="13" t="n">
        <f aca="false">MAX(0,F4221-I4221-J4221)</f>
        <v>0</v>
      </c>
      <c r="N4221" s="13" t="n">
        <f aca="false">IF(Kalender!A195="",0,J4220-H4221)</f>
        <v>0.8542</v>
      </c>
    </row>
    <row r="4222" customFormat="false" ht="16.4" hidden="false" customHeight="false" outlineLevel="0" collapsed="false">
      <c r="A4222" s="13" t="str">
        <f aca="false">""</f>
        <v/>
      </c>
      <c r="B4222" s="13" t="n">
        <f aca="false">192</f>
        <v>192</v>
      </c>
      <c r="C4222" s="13" t="n">
        <f aca="false">IF(Szenarien!$H$22="OK",(IFERROR(SUMIF(Nutzungsprofile!$B$6:$B$11,"Schulbetrieb",Nutzungsprofile!$G$6:$G$11)*Kalender!C196/SUM(Kalender!$C$5:$C$370),0)+IFERROR(SUMIF(Nutzungsprofile!$B$6:$B$11,"Halle",Nutzungsprofile!$G$6:$G$11)*Kalender!D196/SUM(Kalender!$D$5:$D$370),0)+IFERROR(SUMIF(Nutzungsprofile!$B$6:$B$11,"Individuell",Nutzungsprofile!$G$6:$G$11)*Kalender!E196/SUM(Kalender!$E$5:$E$370),0))*Szenarien!$E$22,0)</f>
        <v>2.04</v>
      </c>
      <c r="D4222" s="13" t="n">
        <f aca="false">IF(Szenarien!$H$22="OK",(IFERROR(SUMIF(Nutzungsprofile!$B$17:$B$22,"Schulbetrieb",Nutzungsprofile!$G$17:$G$22)*Kalender!C196/SUM(Kalender!$C$5:$C$370),0)+IFERROR(SUMIF(Nutzungsprofile!$B$17:$B$22,"Halle",Nutzungsprofile!$G$17:$G$22)*Kalender!D196/SUM(Kalender!$D$5:$D$370),0)+IFERROR(SUMIF(Nutzungsprofile!$B$17:$B$22,"Individuell",Nutzungsprofile!$G$17:$G$22)*Kalender!E196/SUM(Kalender!$E$5:$E$370),0))*Szenarien!$D$22,0)</f>
        <v>0.89</v>
      </c>
      <c r="E4222" s="13" t="n">
        <f aca="false">IFERROR(MIN(C4222,Eingaben!$B$17)*Eingaben!$B$16,0)</f>
        <v>1.938</v>
      </c>
      <c r="F4222" s="13" t="n">
        <f aca="false">IFERROR(E4222*Eingaben!$B$15,0)</f>
        <v>1.7442</v>
      </c>
      <c r="G4222" s="13" t="n">
        <f aca="false">IFERROR(IF(Kalender!A196="",0,J4221*(1-Eingaben!$B$20)),0)</f>
        <v>1.709316</v>
      </c>
      <c r="H4222" s="13" t="n">
        <f aca="false">MIN(G4222,D4222)</f>
        <v>0.89</v>
      </c>
      <c r="I4222" s="13" t="n">
        <f aca="false">IFERROR(MIN(F4222*Eingaben!$B$19,MAX(0,D4222-H4222)),0)</f>
        <v>0</v>
      </c>
      <c r="J4222" s="13" t="n">
        <f aca="false">IFERROR(MIN(Eingaben!$B$18,MAX(0,F4222-I4222)),0)</f>
        <v>1.7442</v>
      </c>
      <c r="K4222" s="13" t="n">
        <f aca="false">H4222+I4222</f>
        <v>0.89</v>
      </c>
      <c r="L4222" s="13" t="n">
        <f aca="false">MAX(0,D4222-K4222)</f>
        <v>0</v>
      </c>
      <c r="M4222" s="13" t="n">
        <f aca="false">MAX(0,F4222-I4222-J4222)</f>
        <v>0</v>
      </c>
      <c r="N4222" s="13" t="n">
        <f aca="false">IF(Kalender!A196="",0,J4221-H4222)</f>
        <v>0.8542</v>
      </c>
    </row>
    <row r="4223" customFormat="false" ht="16.4" hidden="false" customHeight="false" outlineLevel="0" collapsed="false">
      <c r="A4223" s="13" t="str">
        <f aca="false">""</f>
        <v/>
      </c>
      <c r="B4223" s="13" t="n">
        <f aca="false">193</f>
        <v>193</v>
      </c>
      <c r="C4223" s="13" t="n">
        <f aca="false">IF(Szenarien!$H$22="OK",(IFERROR(SUMIF(Nutzungsprofile!$B$6:$B$11,"Schulbetrieb",Nutzungsprofile!$G$6:$G$11)*Kalender!C197/SUM(Kalender!$C$5:$C$370),0)+IFERROR(SUMIF(Nutzungsprofile!$B$6:$B$11,"Halle",Nutzungsprofile!$G$6:$G$11)*Kalender!D197/SUM(Kalender!$D$5:$D$370),0)+IFERROR(SUMIF(Nutzungsprofile!$B$6:$B$11,"Individuell",Nutzungsprofile!$G$6:$G$11)*Kalender!E197/SUM(Kalender!$E$5:$E$370),0))*Szenarien!$E$22,0)</f>
        <v>2.04</v>
      </c>
      <c r="D4223" s="13" t="n">
        <f aca="false">IF(Szenarien!$H$22="OK",(IFERROR(SUMIF(Nutzungsprofile!$B$17:$B$22,"Schulbetrieb",Nutzungsprofile!$G$17:$G$22)*Kalender!C197/SUM(Kalender!$C$5:$C$370),0)+IFERROR(SUMIF(Nutzungsprofile!$B$17:$B$22,"Halle",Nutzungsprofile!$G$17:$G$22)*Kalender!D197/SUM(Kalender!$D$5:$D$370),0)+IFERROR(SUMIF(Nutzungsprofile!$B$17:$B$22,"Individuell",Nutzungsprofile!$G$17:$G$22)*Kalender!E197/SUM(Kalender!$E$5:$E$370),0))*Szenarien!$D$22,0)</f>
        <v>0.89</v>
      </c>
      <c r="E4223" s="13" t="n">
        <f aca="false">IFERROR(MIN(C4223,Eingaben!$B$17)*Eingaben!$B$16,0)</f>
        <v>1.938</v>
      </c>
      <c r="F4223" s="13" t="n">
        <f aca="false">IFERROR(E4223*Eingaben!$B$15,0)</f>
        <v>1.7442</v>
      </c>
      <c r="G4223" s="13" t="n">
        <f aca="false">IFERROR(IF(Kalender!A197="",0,J4222*(1-Eingaben!$B$20)),0)</f>
        <v>1.709316</v>
      </c>
      <c r="H4223" s="13" t="n">
        <f aca="false">MIN(G4223,D4223)</f>
        <v>0.89</v>
      </c>
      <c r="I4223" s="13" t="n">
        <f aca="false">IFERROR(MIN(F4223*Eingaben!$B$19,MAX(0,D4223-H4223)),0)</f>
        <v>0</v>
      </c>
      <c r="J4223" s="13" t="n">
        <f aca="false">IFERROR(MIN(Eingaben!$B$18,MAX(0,F4223-I4223)),0)</f>
        <v>1.7442</v>
      </c>
      <c r="K4223" s="13" t="n">
        <f aca="false">H4223+I4223</f>
        <v>0.89</v>
      </c>
      <c r="L4223" s="13" t="n">
        <f aca="false">MAX(0,D4223-K4223)</f>
        <v>0</v>
      </c>
      <c r="M4223" s="13" t="n">
        <f aca="false">MAX(0,F4223-I4223-J4223)</f>
        <v>0</v>
      </c>
      <c r="N4223" s="13" t="n">
        <f aca="false">IF(Kalender!A197="",0,J4222-H4223)</f>
        <v>0.8542</v>
      </c>
    </row>
    <row r="4224" customFormat="false" ht="16.4" hidden="false" customHeight="false" outlineLevel="0" collapsed="false">
      <c r="A4224" s="13" t="str">
        <f aca="false">""</f>
        <v/>
      </c>
      <c r="B4224" s="13" t="n">
        <f aca="false">194</f>
        <v>194</v>
      </c>
      <c r="C4224" s="13" t="n">
        <f aca="false">IF(Szenarien!$H$22="OK",(IFERROR(SUMIF(Nutzungsprofile!$B$6:$B$11,"Schulbetrieb",Nutzungsprofile!$G$6:$G$11)*Kalender!C198/SUM(Kalender!$C$5:$C$370),0)+IFERROR(SUMIF(Nutzungsprofile!$B$6:$B$11,"Halle",Nutzungsprofile!$G$6:$G$11)*Kalender!D198/SUM(Kalender!$D$5:$D$370),0)+IFERROR(SUMIF(Nutzungsprofile!$B$6:$B$11,"Individuell",Nutzungsprofile!$G$6:$G$11)*Kalender!E198/SUM(Kalender!$E$5:$E$370),0))*Szenarien!$E$22,0)</f>
        <v>2.04</v>
      </c>
      <c r="D4224" s="13" t="n">
        <f aca="false">IF(Szenarien!$H$22="OK",(IFERROR(SUMIF(Nutzungsprofile!$B$17:$B$22,"Schulbetrieb",Nutzungsprofile!$G$17:$G$22)*Kalender!C198/SUM(Kalender!$C$5:$C$370),0)+IFERROR(SUMIF(Nutzungsprofile!$B$17:$B$22,"Halle",Nutzungsprofile!$G$17:$G$22)*Kalender!D198/SUM(Kalender!$D$5:$D$370),0)+IFERROR(SUMIF(Nutzungsprofile!$B$17:$B$22,"Individuell",Nutzungsprofile!$G$17:$G$22)*Kalender!E198/SUM(Kalender!$E$5:$E$370),0))*Szenarien!$D$22,0)</f>
        <v>0.89</v>
      </c>
      <c r="E4224" s="13" t="n">
        <f aca="false">IFERROR(MIN(C4224,Eingaben!$B$17)*Eingaben!$B$16,0)</f>
        <v>1.938</v>
      </c>
      <c r="F4224" s="13" t="n">
        <f aca="false">IFERROR(E4224*Eingaben!$B$15,0)</f>
        <v>1.7442</v>
      </c>
      <c r="G4224" s="13" t="n">
        <f aca="false">IFERROR(IF(Kalender!A198="",0,J4223*(1-Eingaben!$B$20)),0)</f>
        <v>1.709316</v>
      </c>
      <c r="H4224" s="13" t="n">
        <f aca="false">MIN(G4224,D4224)</f>
        <v>0.89</v>
      </c>
      <c r="I4224" s="13" t="n">
        <f aca="false">IFERROR(MIN(F4224*Eingaben!$B$19,MAX(0,D4224-H4224)),0)</f>
        <v>0</v>
      </c>
      <c r="J4224" s="13" t="n">
        <f aca="false">IFERROR(MIN(Eingaben!$B$18,MAX(0,F4224-I4224)),0)</f>
        <v>1.7442</v>
      </c>
      <c r="K4224" s="13" t="n">
        <f aca="false">H4224+I4224</f>
        <v>0.89</v>
      </c>
      <c r="L4224" s="13" t="n">
        <f aca="false">MAX(0,D4224-K4224)</f>
        <v>0</v>
      </c>
      <c r="M4224" s="13" t="n">
        <f aca="false">MAX(0,F4224-I4224-J4224)</f>
        <v>0</v>
      </c>
      <c r="N4224" s="13" t="n">
        <f aca="false">IF(Kalender!A198="",0,J4223-H4224)</f>
        <v>0.8542</v>
      </c>
    </row>
    <row r="4225" customFormat="false" ht="16.4" hidden="false" customHeight="false" outlineLevel="0" collapsed="false">
      <c r="A4225" s="13" t="str">
        <f aca="false">""</f>
        <v/>
      </c>
      <c r="B4225" s="13" t="n">
        <f aca="false">195</f>
        <v>195</v>
      </c>
      <c r="C4225" s="13" t="n">
        <f aca="false">IF(Szenarien!$H$22="OK",(IFERROR(SUMIF(Nutzungsprofile!$B$6:$B$11,"Schulbetrieb",Nutzungsprofile!$G$6:$G$11)*Kalender!C199/SUM(Kalender!$C$5:$C$370),0)+IFERROR(SUMIF(Nutzungsprofile!$B$6:$B$11,"Halle",Nutzungsprofile!$G$6:$G$11)*Kalender!D199/SUM(Kalender!$D$5:$D$370),0)+IFERROR(SUMIF(Nutzungsprofile!$B$6:$B$11,"Individuell",Nutzungsprofile!$G$6:$G$11)*Kalender!E199/SUM(Kalender!$E$5:$E$370),0))*Szenarien!$E$22,0)</f>
        <v>2.04</v>
      </c>
      <c r="D4225" s="13" t="n">
        <f aca="false">IF(Szenarien!$H$22="OK",(IFERROR(SUMIF(Nutzungsprofile!$B$17:$B$22,"Schulbetrieb",Nutzungsprofile!$G$17:$G$22)*Kalender!C199/SUM(Kalender!$C$5:$C$370),0)+IFERROR(SUMIF(Nutzungsprofile!$B$17:$B$22,"Halle",Nutzungsprofile!$G$17:$G$22)*Kalender!D199/SUM(Kalender!$D$5:$D$370),0)+IFERROR(SUMIF(Nutzungsprofile!$B$17:$B$22,"Individuell",Nutzungsprofile!$G$17:$G$22)*Kalender!E199/SUM(Kalender!$E$5:$E$370),0))*Szenarien!$D$22,0)</f>
        <v>0.89</v>
      </c>
      <c r="E4225" s="13" t="n">
        <f aca="false">IFERROR(MIN(C4225,Eingaben!$B$17)*Eingaben!$B$16,0)</f>
        <v>1.938</v>
      </c>
      <c r="F4225" s="13" t="n">
        <f aca="false">IFERROR(E4225*Eingaben!$B$15,0)</f>
        <v>1.7442</v>
      </c>
      <c r="G4225" s="13" t="n">
        <f aca="false">IFERROR(IF(Kalender!A199="",0,J4224*(1-Eingaben!$B$20)),0)</f>
        <v>1.709316</v>
      </c>
      <c r="H4225" s="13" t="n">
        <f aca="false">MIN(G4225,D4225)</f>
        <v>0.89</v>
      </c>
      <c r="I4225" s="13" t="n">
        <f aca="false">IFERROR(MIN(F4225*Eingaben!$B$19,MAX(0,D4225-H4225)),0)</f>
        <v>0</v>
      </c>
      <c r="J4225" s="13" t="n">
        <f aca="false">IFERROR(MIN(Eingaben!$B$18,MAX(0,F4225-I4225)),0)</f>
        <v>1.7442</v>
      </c>
      <c r="K4225" s="13" t="n">
        <f aca="false">H4225+I4225</f>
        <v>0.89</v>
      </c>
      <c r="L4225" s="13" t="n">
        <f aca="false">MAX(0,D4225-K4225)</f>
        <v>0</v>
      </c>
      <c r="M4225" s="13" t="n">
        <f aca="false">MAX(0,F4225-I4225-J4225)</f>
        <v>0</v>
      </c>
      <c r="N4225" s="13" t="n">
        <f aca="false">IF(Kalender!A199="",0,J4224-H4225)</f>
        <v>0.8542</v>
      </c>
    </row>
    <row r="4226" customFormat="false" ht="16.4" hidden="false" customHeight="false" outlineLevel="0" collapsed="false">
      <c r="A4226" s="13" t="str">
        <f aca="false">""</f>
        <v/>
      </c>
      <c r="B4226" s="13" t="n">
        <f aca="false">196</f>
        <v>196</v>
      </c>
      <c r="C4226" s="13" t="n">
        <f aca="false">IF(Szenarien!$H$22="OK",(IFERROR(SUMIF(Nutzungsprofile!$B$6:$B$11,"Schulbetrieb",Nutzungsprofile!$G$6:$G$11)*Kalender!C200/SUM(Kalender!$C$5:$C$370),0)+IFERROR(SUMIF(Nutzungsprofile!$B$6:$B$11,"Halle",Nutzungsprofile!$G$6:$G$11)*Kalender!D200/SUM(Kalender!$D$5:$D$370),0)+IFERROR(SUMIF(Nutzungsprofile!$B$6:$B$11,"Individuell",Nutzungsprofile!$G$6:$G$11)*Kalender!E200/SUM(Kalender!$E$5:$E$370),0))*Szenarien!$E$22,0)</f>
        <v>2.04</v>
      </c>
      <c r="D4226" s="13" t="n">
        <f aca="false">IF(Szenarien!$H$22="OK",(IFERROR(SUMIF(Nutzungsprofile!$B$17:$B$22,"Schulbetrieb",Nutzungsprofile!$G$17:$G$22)*Kalender!C200/SUM(Kalender!$C$5:$C$370),0)+IFERROR(SUMIF(Nutzungsprofile!$B$17:$B$22,"Halle",Nutzungsprofile!$G$17:$G$22)*Kalender!D200/SUM(Kalender!$D$5:$D$370),0)+IFERROR(SUMIF(Nutzungsprofile!$B$17:$B$22,"Individuell",Nutzungsprofile!$G$17:$G$22)*Kalender!E200/SUM(Kalender!$E$5:$E$370),0))*Szenarien!$D$22,0)</f>
        <v>0.89</v>
      </c>
      <c r="E4226" s="13" t="n">
        <f aca="false">IFERROR(MIN(C4226,Eingaben!$B$17)*Eingaben!$B$16,0)</f>
        <v>1.938</v>
      </c>
      <c r="F4226" s="13" t="n">
        <f aca="false">IFERROR(E4226*Eingaben!$B$15,0)</f>
        <v>1.7442</v>
      </c>
      <c r="G4226" s="13" t="n">
        <f aca="false">IFERROR(IF(Kalender!A200="",0,J4225*(1-Eingaben!$B$20)),0)</f>
        <v>1.709316</v>
      </c>
      <c r="H4226" s="13" t="n">
        <f aca="false">MIN(G4226,D4226)</f>
        <v>0.89</v>
      </c>
      <c r="I4226" s="13" t="n">
        <f aca="false">IFERROR(MIN(F4226*Eingaben!$B$19,MAX(0,D4226-H4226)),0)</f>
        <v>0</v>
      </c>
      <c r="J4226" s="13" t="n">
        <f aca="false">IFERROR(MIN(Eingaben!$B$18,MAX(0,F4226-I4226)),0)</f>
        <v>1.7442</v>
      </c>
      <c r="K4226" s="13" t="n">
        <f aca="false">H4226+I4226</f>
        <v>0.89</v>
      </c>
      <c r="L4226" s="13" t="n">
        <f aca="false">MAX(0,D4226-K4226)</f>
        <v>0</v>
      </c>
      <c r="M4226" s="13" t="n">
        <f aca="false">MAX(0,F4226-I4226-J4226)</f>
        <v>0</v>
      </c>
      <c r="N4226" s="13" t="n">
        <f aca="false">IF(Kalender!A200="",0,J4225-H4226)</f>
        <v>0.8542</v>
      </c>
    </row>
    <row r="4227" customFormat="false" ht="16.4" hidden="false" customHeight="false" outlineLevel="0" collapsed="false">
      <c r="A4227" s="13" t="str">
        <f aca="false">""</f>
        <v/>
      </c>
      <c r="B4227" s="13" t="n">
        <f aca="false">197</f>
        <v>197</v>
      </c>
      <c r="C4227" s="13" t="n">
        <f aca="false">IF(Szenarien!$H$22="OK",(IFERROR(SUMIF(Nutzungsprofile!$B$6:$B$11,"Schulbetrieb",Nutzungsprofile!$G$6:$G$11)*Kalender!C201/SUM(Kalender!$C$5:$C$370),0)+IFERROR(SUMIF(Nutzungsprofile!$B$6:$B$11,"Halle",Nutzungsprofile!$G$6:$G$11)*Kalender!D201/SUM(Kalender!$D$5:$D$370),0)+IFERROR(SUMIF(Nutzungsprofile!$B$6:$B$11,"Individuell",Nutzungsprofile!$G$6:$G$11)*Kalender!E201/SUM(Kalender!$E$5:$E$370),0))*Szenarien!$E$22,0)</f>
        <v>2.04</v>
      </c>
      <c r="D4227" s="13" t="n">
        <f aca="false">IF(Szenarien!$H$22="OK",(IFERROR(SUMIF(Nutzungsprofile!$B$17:$B$22,"Schulbetrieb",Nutzungsprofile!$G$17:$G$22)*Kalender!C201/SUM(Kalender!$C$5:$C$370),0)+IFERROR(SUMIF(Nutzungsprofile!$B$17:$B$22,"Halle",Nutzungsprofile!$G$17:$G$22)*Kalender!D201/SUM(Kalender!$D$5:$D$370),0)+IFERROR(SUMIF(Nutzungsprofile!$B$17:$B$22,"Individuell",Nutzungsprofile!$G$17:$G$22)*Kalender!E201/SUM(Kalender!$E$5:$E$370),0))*Szenarien!$D$22,0)</f>
        <v>0.89</v>
      </c>
      <c r="E4227" s="13" t="n">
        <f aca="false">IFERROR(MIN(C4227,Eingaben!$B$17)*Eingaben!$B$16,0)</f>
        <v>1.938</v>
      </c>
      <c r="F4227" s="13" t="n">
        <f aca="false">IFERROR(E4227*Eingaben!$B$15,0)</f>
        <v>1.7442</v>
      </c>
      <c r="G4227" s="13" t="n">
        <f aca="false">IFERROR(IF(Kalender!A201="",0,J4226*(1-Eingaben!$B$20)),0)</f>
        <v>1.709316</v>
      </c>
      <c r="H4227" s="13" t="n">
        <f aca="false">MIN(G4227,D4227)</f>
        <v>0.89</v>
      </c>
      <c r="I4227" s="13" t="n">
        <f aca="false">IFERROR(MIN(F4227*Eingaben!$B$19,MAX(0,D4227-H4227)),0)</f>
        <v>0</v>
      </c>
      <c r="J4227" s="13" t="n">
        <f aca="false">IFERROR(MIN(Eingaben!$B$18,MAX(0,F4227-I4227)),0)</f>
        <v>1.7442</v>
      </c>
      <c r="K4227" s="13" t="n">
        <f aca="false">H4227+I4227</f>
        <v>0.89</v>
      </c>
      <c r="L4227" s="13" t="n">
        <f aca="false">MAX(0,D4227-K4227)</f>
        <v>0</v>
      </c>
      <c r="M4227" s="13" t="n">
        <f aca="false">MAX(0,F4227-I4227-J4227)</f>
        <v>0</v>
      </c>
      <c r="N4227" s="13" t="n">
        <f aca="false">IF(Kalender!A201="",0,J4226-H4227)</f>
        <v>0.8542</v>
      </c>
    </row>
    <row r="4228" customFormat="false" ht="16.4" hidden="false" customHeight="false" outlineLevel="0" collapsed="false">
      <c r="A4228" s="13" t="str">
        <f aca="false">""</f>
        <v/>
      </c>
      <c r="B4228" s="13" t="n">
        <f aca="false">198</f>
        <v>198</v>
      </c>
      <c r="C4228" s="13" t="n">
        <f aca="false">IF(Szenarien!$H$22="OK",(IFERROR(SUMIF(Nutzungsprofile!$B$6:$B$11,"Schulbetrieb",Nutzungsprofile!$G$6:$G$11)*Kalender!C202/SUM(Kalender!$C$5:$C$370),0)+IFERROR(SUMIF(Nutzungsprofile!$B$6:$B$11,"Halle",Nutzungsprofile!$G$6:$G$11)*Kalender!D202/SUM(Kalender!$D$5:$D$370),0)+IFERROR(SUMIF(Nutzungsprofile!$B$6:$B$11,"Individuell",Nutzungsprofile!$G$6:$G$11)*Kalender!E202/SUM(Kalender!$E$5:$E$370),0))*Szenarien!$E$22,0)</f>
        <v>2.04</v>
      </c>
      <c r="D4228" s="13" t="n">
        <f aca="false">IF(Szenarien!$H$22="OK",(IFERROR(SUMIF(Nutzungsprofile!$B$17:$B$22,"Schulbetrieb",Nutzungsprofile!$G$17:$G$22)*Kalender!C202/SUM(Kalender!$C$5:$C$370),0)+IFERROR(SUMIF(Nutzungsprofile!$B$17:$B$22,"Halle",Nutzungsprofile!$G$17:$G$22)*Kalender!D202/SUM(Kalender!$D$5:$D$370),0)+IFERROR(SUMIF(Nutzungsprofile!$B$17:$B$22,"Individuell",Nutzungsprofile!$G$17:$G$22)*Kalender!E202/SUM(Kalender!$E$5:$E$370),0))*Szenarien!$D$22,0)</f>
        <v>0.89</v>
      </c>
      <c r="E4228" s="13" t="n">
        <f aca="false">IFERROR(MIN(C4228,Eingaben!$B$17)*Eingaben!$B$16,0)</f>
        <v>1.938</v>
      </c>
      <c r="F4228" s="13" t="n">
        <f aca="false">IFERROR(E4228*Eingaben!$B$15,0)</f>
        <v>1.7442</v>
      </c>
      <c r="G4228" s="13" t="n">
        <f aca="false">IFERROR(IF(Kalender!A202="",0,J4227*(1-Eingaben!$B$20)),0)</f>
        <v>1.709316</v>
      </c>
      <c r="H4228" s="13" t="n">
        <f aca="false">MIN(G4228,D4228)</f>
        <v>0.89</v>
      </c>
      <c r="I4228" s="13" t="n">
        <f aca="false">IFERROR(MIN(F4228*Eingaben!$B$19,MAX(0,D4228-H4228)),0)</f>
        <v>0</v>
      </c>
      <c r="J4228" s="13" t="n">
        <f aca="false">IFERROR(MIN(Eingaben!$B$18,MAX(0,F4228-I4228)),0)</f>
        <v>1.7442</v>
      </c>
      <c r="K4228" s="13" t="n">
        <f aca="false">H4228+I4228</f>
        <v>0.89</v>
      </c>
      <c r="L4228" s="13" t="n">
        <f aca="false">MAX(0,D4228-K4228)</f>
        <v>0</v>
      </c>
      <c r="M4228" s="13" t="n">
        <f aca="false">MAX(0,F4228-I4228-J4228)</f>
        <v>0</v>
      </c>
      <c r="N4228" s="13" t="n">
        <f aca="false">IF(Kalender!A202="",0,J4227-H4228)</f>
        <v>0.8542</v>
      </c>
    </row>
    <row r="4229" customFormat="false" ht="16.4" hidden="false" customHeight="false" outlineLevel="0" collapsed="false">
      <c r="A4229" s="13" t="str">
        <f aca="false">""</f>
        <v/>
      </c>
      <c r="B4229" s="13" t="n">
        <f aca="false">199</f>
        <v>199</v>
      </c>
      <c r="C4229" s="13" t="n">
        <f aca="false">IF(Szenarien!$H$22="OK",(IFERROR(SUMIF(Nutzungsprofile!$B$6:$B$11,"Schulbetrieb",Nutzungsprofile!$G$6:$G$11)*Kalender!C203/SUM(Kalender!$C$5:$C$370),0)+IFERROR(SUMIF(Nutzungsprofile!$B$6:$B$11,"Halle",Nutzungsprofile!$G$6:$G$11)*Kalender!D203/SUM(Kalender!$D$5:$D$370),0)+IFERROR(SUMIF(Nutzungsprofile!$B$6:$B$11,"Individuell",Nutzungsprofile!$G$6:$G$11)*Kalender!E203/SUM(Kalender!$E$5:$E$370),0))*Szenarien!$E$22,0)</f>
        <v>2.04</v>
      </c>
      <c r="D4229" s="13" t="n">
        <f aca="false">IF(Szenarien!$H$22="OK",(IFERROR(SUMIF(Nutzungsprofile!$B$17:$B$22,"Schulbetrieb",Nutzungsprofile!$G$17:$G$22)*Kalender!C203/SUM(Kalender!$C$5:$C$370),0)+IFERROR(SUMIF(Nutzungsprofile!$B$17:$B$22,"Halle",Nutzungsprofile!$G$17:$G$22)*Kalender!D203/SUM(Kalender!$D$5:$D$370),0)+IFERROR(SUMIF(Nutzungsprofile!$B$17:$B$22,"Individuell",Nutzungsprofile!$G$17:$G$22)*Kalender!E203/SUM(Kalender!$E$5:$E$370),0))*Szenarien!$D$22,0)</f>
        <v>0.89</v>
      </c>
      <c r="E4229" s="13" t="n">
        <f aca="false">IFERROR(MIN(C4229,Eingaben!$B$17)*Eingaben!$B$16,0)</f>
        <v>1.938</v>
      </c>
      <c r="F4229" s="13" t="n">
        <f aca="false">IFERROR(E4229*Eingaben!$B$15,0)</f>
        <v>1.7442</v>
      </c>
      <c r="G4229" s="13" t="n">
        <f aca="false">IFERROR(IF(Kalender!A203="",0,J4228*(1-Eingaben!$B$20)),0)</f>
        <v>1.709316</v>
      </c>
      <c r="H4229" s="13" t="n">
        <f aca="false">MIN(G4229,D4229)</f>
        <v>0.89</v>
      </c>
      <c r="I4229" s="13" t="n">
        <f aca="false">IFERROR(MIN(F4229*Eingaben!$B$19,MAX(0,D4229-H4229)),0)</f>
        <v>0</v>
      </c>
      <c r="J4229" s="13" t="n">
        <f aca="false">IFERROR(MIN(Eingaben!$B$18,MAX(0,F4229-I4229)),0)</f>
        <v>1.7442</v>
      </c>
      <c r="K4229" s="13" t="n">
        <f aca="false">H4229+I4229</f>
        <v>0.89</v>
      </c>
      <c r="L4229" s="13" t="n">
        <f aca="false">MAX(0,D4229-K4229)</f>
        <v>0</v>
      </c>
      <c r="M4229" s="13" t="n">
        <f aca="false">MAX(0,F4229-I4229-J4229)</f>
        <v>0</v>
      </c>
      <c r="N4229" s="13" t="n">
        <f aca="false">IF(Kalender!A203="",0,J4228-H4229)</f>
        <v>0.8542</v>
      </c>
    </row>
    <row r="4230" customFormat="false" ht="16.4" hidden="false" customHeight="false" outlineLevel="0" collapsed="false">
      <c r="A4230" s="13" t="str">
        <f aca="false">""</f>
        <v/>
      </c>
      <c r="B4230" s="13" t="n">
        <f aca="false">200</f>
        <v>200</v>
      </c>
      <c r="C4230" s="13" t="n">
        <f aca="false">IF(Szenarien!$H$22="OK",(IFERROR(SUMIF(Nutzungsprofile!$B$6:$B$11,"Schulbetrieb",Nutzungsprofile!$G$6:$G$11)*Kalender!C204/SUM(Kalender!$C$5:$C$370),0)+IFERROR(SUMIF(Nutzungsprofile!$B$6:$B$11,"Halle",Nutzungsprofile!$G$6:$G$11)*Kalender!D204/SUM(Kalender!$D$5:$D$370),0)+IFERROR(SUMIF(Nutzungsprofile!$B$6:$B$11,"Individuell",Nutzungsprofile!$G$6:$G$11)*Kalender!E204/SUM(Kalender!$E$5:$E$370),0))*Szenarien!$E$22,0)</f>
        <v>2.04</v>
      </c>
      <c r="D4230" s="13" t="n">
        <f aca="false">IF(Szenarien!$H$22="OK",(IFERROR(SUMIF(Nutzungsprofile!$B$17:$B$22,"Schulbetrieb",Nutzungsprofile!$G$17:$G$22)*Kalender!C204/SUM(Kalender!$C$5:$C$370),0)+IFERROR(SUMIF(Nutzungsprofile!$B$17:$B$22,"Halle",Nutzungsprofile!$G$17:$G$22)*Kalender!D204/SUM(Kalender!$D$5:$D$370),0)+IFERROR(SUMIF(Nutzungsprofile!$B$17:$B$22,"Individuell",Nutzungsprofile!$G$17:$G$22)*Kalender!E204/SUM(Kalender!$E$5:$E$370),0))*Szenarien!$D$22,0)</f>
        <v>0.89</v>
      </c>
      <c r="E4230" s="13" t="n">
        <f aca="false">IFERROR(MIN(C4230,Eingaben!$B$17)*Eingaben!$B$16,0)</f>
        <v>1.938</v>
      </c>
      <c r="F4230" s="13" t="n">
        <f aca="false">IFERROR(E4230*Eingaben!$B$15,0)</f>
        <v>1.7442</v>
      </c>
      <c r="G4230" s="13" t="n">
        <f aca="false">IFERROR(IF(Kalender!A204="",0,J4229*(1-Eingaben!$B$20)),0)</f>
        <v>1.709316</v>
      </c>
      <c r="H4230" s="13" t="n">
        <f aca="false">MIN(G4230,D4230)</f>
        <v>0.89</v>
      </c>
      <c r="I4230" s="13" t="n">
        <f aca="false">IFERROR(MIN(F4230*Eingaben!$B$19,MAX(0,D4230-H4230)),0)</f>
        <v>0</v>
      </c>
      <c r="J4230" s="13" t="n">
        <f aca="false">IFERROR(MIN(Eingaben!$B$18,MAX(0,F4230-I4230)),0)</f>
        <v>1.7442</v>
      </c>
      <c r="K4230" s="13" t="n">
        <f aca="false">H4230+I4230</f>
        <v>0.89</v>
      </c>
      <c r="L4230" s="13" t="n">
        <f aca="false">MAX(0,D4230-K4230)</f>
        <v>0</v>
      </c>
      <c r="M4230" s="13" t="n">
        <f aca="false">MAX(0,F4230-I4230-J4230)</f>
        <v>0</v>
      </c>
      <c r="N4230" s="13" t="n">
        <f aca="false">IF(Kalender!A204="",0,J4229-H4230)</f>
        <v>0.8542</v>
      </c>
    </row>
    <row r="4231" customFormat="false" ht="16.4" hidden="false" customHeight="false" outlineLevel="0" collapsed="false">
      <c r="A4231" s="13" t="str">
        <f aca="false">""</f>
        <v/>
      </c>
      <c r="B4231" s="13" t="n">
        <f aca="false">201</f>
        <v>201</v>
      </c>
      <c r="C4231" s="13" t="n">
        <f aca="false">IF(Szenarien!$H$22="OK",(IFERROR(SUMIF(Nutzungsprofile!$B$6:$B$11,"Schulbetrieb",Nutzungsprofile!$G$6:$G$11)*Kalender!C205/SUM(Kalender!$C$5:$C$370),0)+IFERROR(SUMIF(Nutzungsprofile!$B$6:$B$11,"Halle",Nutzungsprofile!$G$6:$G$11)*Kalender!D205/SUM(Kalender!$D$5:$D$370),0)+IFERROR(SUMIF(Nutzungsprofile!$B$6:$B$11,"Individuell",Nutzungsprofile!$G$6:$G$11)*Kalender!E205/SUM(Kalender!$E$5:$E$370),0))*Szenarien!$E$22,0)</f>
        <v>2.04</v>
      </c>
      <c r="D4231" s="13" t="n">
        <f aca="false">IF(Szenarien!$H$22="OK",(IFERROR(SUMIF(Nutzungsprofile!$B$17:$B$22,"Schulbetrieb",Nutzungsprofile!$G$17:$G$22)*Kalender!C205/SUM(Kalender!$C$5:$C$370),0)+IFERROR(SUMIF(Nutzungsprofile!$B$17:$B$22,"Halle",Nutzungsprofile!$G$17:$G$22)*Kalender!D205/SUM(Kalender!$D$5:$D$370),0)+IFERROR(SUMIF(Nutzungsprofile!$B$17:$B$22,"Individuell",Nutzungsprofile!$G$17:$G$22)*Kalender!E205/SUM(Kalender!$E$5:$E$370),0))*Szenarien!$D$22,0)</f>
        <v>0.89</v>
      </c>
      <c r="E4231" s="13" t="n">
        <f aca="false">IFERROR(MIN(C4231,Eingaben!$B$17)*Eingaben!$B$16,0)</f>
        <v>1.938</v>
      </c>
      <c r="F4231" s="13" t="n">
        <f aca="false">IFERROR(E4231*Eingaben!$B$15,0)</f>
        <v>1.7442</v>
      </c>
      <c r="G4231" s="13" t="n">
        <f aca="false">IFERROR(IF(Kalender!A205="",0,J4230*(1-Eingaben!$B$20)),0)</f>
        <v>1.709316</v>
      </c>
      <c r="H4231" s="13" t="n">
        <f aca="false">MIN(G4231,D4231)</f>
        <v>0.89</v>
      </c>
      <c r="I4231" s="13" t="n">
        <f aca="false">IFERROR(MIN(F4231*Eingaben!$B$19,MAX(0,D4231-H4231)),0)</f>
        <v>0</v>
      </c>
      <c r="J4231" s="13" t="n">
        <f aca="false">IFERROR(MIN(Eingaben!$B$18,MAX(0,F4231-I4231)),0)</f>
        <v>1.7442</v>
      </c>
      <c r="K4231" s="13" t="n">
        <f aca="false">H4231+I4231</f>
        <v>0.89</v>
      </c>
      <c r="L4231" s="13" t="n">
        <f aca="false">MAX(0,D4231-K4231)</f>
        <v>0</v>
      </c>
      <c r="M4231" s="13" t="n">
        <f aca="false">MAX(0,F4231-I4231-J4231)</f>
        <v>0</v>
      </c>
      <c r="N4231" s="13" t="n">
        <f aca="false">IF(Kalender!A205="",0,J4230-H4231)</f>
        <v>0.8542</v>
      </c>
    </row>
    <row r="4232" customFormat="false" ht="16.4" hidden="false" customHeight="false" outlineLevel="0" collapsed="false">
      <c r="A4232" s="13" t="str">
        <f aca="false">""</f>
        <v/>
      </c>
      <c r="B4232" s="13" t="n">
        <f aca="false">202</f>
        <v>202</v>
      </c>
      <c r="C4232" s="13" t="n">
        <f aca="false">IF(Szenarien!$H$22="OK",(IFERROR(SUMIF(Nutzungsprofile!$B$6:$B$11,"Schulbetrieb",Nutzungsprofile!$G$6:$G$11)*Kalender!C206/SUM(Kalender!$C$5:$C$370),0)+IFERROR(SUMIF(Nutzungsprofile!$B$6:$B$11,"Halle",Nutzungsprofile!$G$6:$G$11)*Kalender!D206/SUM(Kalender!$D$5:$D$370),0)+IFERROR(SUMIF(Nutzungsprofile!$B$6:$B$11,"Individuell",Nutzungsprofile!$G$6:$G$11)*Kalender!E206/SUM(Kalender!$E$5:$E$370),0))*Szenarien!$E$22,0)</f>
        <v>2.04</v>
      </c>
      <c r="D4232" s="13" t="n">
        <f aca="false">IF(Szenarien!$H$22="OK",(IFERROR(SUMIF(Nutzungsprofile!$B$17:$B$22,"Schulbetrieb",Nutzungsprofile!$G$17:$G$22)*Kalender!C206/SUM(Kalender!$C$5:$C$370),0)+IFERROR(SUMIF(Nutzungsprofile!$B$17:$B$22,"Halle",Nutzungsprofile!$G$17:$G$22)*Kalender!D206/SUM(Kalender!$D$5:$D$370),0)+IFERROR(SUMIF(Nutzungsprofile!$B$17:$B$22,"Individuell",Nutzungsprofile!$G$17:$G$22)*Kalender!E206/SUM(Kalender!$E$5:$E$370),0))*Szenarien!$D$22,0)</f>
        <v>0.89</v>
      </c>
      <c r="E4232" s="13" t="n">
        <f aca="false">IFERROR(MIN(C4232,Eingaben!$B$17)*Eingaben!$B$16,0)</f>
        <v>1.938</v>
      </c>
      <c r="F4232" s="13" t="n">
        <f aca="false">IFERROR(E4232*Eingaben!$B$15,0)</f>
        <v>1.7442</v>
      </c>
      <c r="G4232" s="13" t="n">
        <f aca="false">IFERROR(IF(Kalender!A206="",0,J4231*(1-Eingaben!$B$20)),0)</f>
        <v>1.709316</v>
      </c>
      <c r="H4232" s="13" t="n">
        <f aca="false">MIN(G4232,D4232)</f>
        <v>0.89</v>
      </c>
      <c r="I4232" s="13" t="n">
        <f aca="false">IFERROR(MIN(F4232*Eingaben!$B$19,MAX(0,D4232-H4232)),0)</f>
        <v>0</v>
      </c>
      <c r="J4232" s="13" t="n">
        <f aca="false">IFERROR(MIN(Eingaben!$B$18,MAX(0,F4232-I4232)),0)</f>
        <v>1.7442</v>
      </c>
      <c r="K4232" s="13" t="n">
        <f aca="false">H4232+I4232</f>
        <v>0.89</v>
      </c>
      <c r="L4232" s="13" t="n">
        <f aca="false">MAX(0,D4232-K4232)</f>
        <v>0</v>
      </c>
      <c r="M4232" s="13" t="n">
        <f aca="false">MAX(0,F4232-I4232-J4232)</f>
        <v>0</v>
      </c>
      <c r="N4232" s="13" t="n">
        <f aca="false">IF(Kalender!A206="",0,J4231-H4232)</f>
        <v>0.8542</v>
      </c>
    </row>
    <row r="4233" customFormat="false" ht="16.4" hidden="false" customHeight="false" outlineLevel="0" collapsed="false">
      <c r="A4233" s="13" t="str">
        <f aca="false">""</f>
        <v/>
      </c>
      <c r="B4233" s="13" t="n">
        <f aca="false">203</f>
        <v>203</v>
      </c>
      <c r="C4233" s="13" t="n">
        <f aca="false">IF(Szenarien!$H$22="OK",(IFERROR(SUMIF(Nutzungsprofile!$B$6:$B$11,"Schulbetrieb",Nutzungsprofile!$G$6:$G$11)*Kalender!C207/SUM(Kalender!$C$5:$C$370),0)+IFERROR(SUMIF(Nutzungsprofile!$B$6:$B$11,"Halle",Nutzungsprofile!$G$6:$G$11)*Kalender!D207/SUM(Kalender!$D$5:$D$370),0)+IFERROR(SUMIF(Nutzungsprofile!$B$6:$B$11,"Individuell",Nutzungsprofile!$G$6:$G$11)*Kalender!E207/SUM(Kalender!$E$5:$E$370),0))*Szenarien!$E$22,0)</f>
        <v>2.04</v>
      </c>
      <c r="D4233" s="13" t="n">
        <f aca="false">IF(Szenarien!$H$22="OK",(IFERROR(SUMIF(Nutzungsprofile!$B$17:$B$22,"Schulbetrieb",Nutzungsprofile!$G$17:$G$22)*Kalender!C207/SUM(Kalender!$C$5:$C$370),0)+IFERROR(SUMIF(Nutzungsprofile!$B$17:$B$22,"Halle",Nutzungsprofile!$G$17:$G$22)*Kalender!D207/SUM(Kalender!$D$5:$D$370),0)+IFERROR(SUMIF(Nutzungsprofile!$B$17:$B$22,"Individuell",Nutzungsprofile!$G$17:$G$22)*Kalender!E207/SUM(Kalender!$E$5:$E$370),0))*Szenarien!$D$22,0)</f>
        <v>0.89</v>
      </c>
      <c r="E4233" s="13" t="n">
        <f aca="false">IFERROR(MIN(C4233,Eingaben!$B$17)*Eingaben!$B$16,0)</f>
        <v>1.938</v>
      </c>
      <c r="F4233" s="13" t="n">
        <f aca="false">IFERROR(E4233*Eingaben!$B$15,0)</f>
        <v>1.7442</v>
      </c>
      <c r="G4233" s="13" t="n">
        <f aca="false">IFERROR(IF(Kalender!A207="",0,J4232*(1-Eingaben!$B$20)),0)</f>
        <v>1.709316</v>
      </c>
      <c r="H4233" s="13" t="n">
        <f aca="false">MIN(G4233,D4233)</f>
        <v>0.89</v>
      </c>
      <c r="I4233" s="13" t="n">
        <f aca="false">IFERROR(MIN(F4233*Eingaben!$B$19,MAX(0,D4233-H4233)),0)</f>
        <v>0</v>
      </c>
      <c r="J4233" s="13" t="n">
        <f aca="false">IFERROR(MIN(Eingaben!$B$18,MAX(0,F4233-I4233)),0)</f>
        <v>1.7442</v>
      </c>
      <c r="K4233" s="13" t="n">
        <f aca="false">H4233+I4233</f>
        <v>0.89</v>
      </c>
      <c r="L4233" s="13" t="n">
        <f aca="false">MAX(0,D4233-K4233)</f>
        <v>0</v>
      </c>
      <c r="M4233" s="13" t="n">
        <f aca="false">MAX(0,F4233-I4233-J4233)</f>
        <v>0</v>
      </c>
      <c r="N4233" s="13" t="n">
        <f aca="false">IF(Kalender!A207="",0,J4232-H4233)</f>
        <v>0.8542</v>
      </c>
    </row>
    <row r="4234" customFormat="false" ht="16.4" hidden="false" customHeight="false" outlineLevel="0" collapsed="false">
      <c r="A4234" s="13" t="str">
        <f aca="false">""</f>
        <v/>
      </c>
      <c r="B4234" s="13" t="n">
        <f aca="false">204</f>
        <v>204</v>
      </c>
      <c r="C4234" s="13" t="n">
        <f aca="false">IF(Szenarien!$H$22="OK",(IFERROR(SUMIF(Nutzungsprofile!$B$6:$B$11,"Schulbetrieb",Nutzungsprofile!$G$6:$G$11)*Kalender!C208/SUM(Kalender!$C$5:$C$370),0)+IFERROR(SUMIF(Nutzungsprofile!$B$6:$B$11,"Halle",Nutzungsprofile!$G$6:$G$11)*Kalender!D208/SUM(Kalender!$D$5:$D$370),0)+IFERROR(SUMIF(Nutzungsprofile!$B$6:$B$11,"Individuell",Nutzungsprofile!$G$6:$G$11)*Kalender!E208/SUM(Kalender!$E$5:$E$370),0))*Szenarien!$E$22,0)</f>
        <v>2.04</v>
      </c>
      <c r="D4234" s="13" t="n">
        <f aca="false">IF(Szenarien!$H$22="OK",(IFERROR(SUMIF(Nutzungsprofile!$B$17:$B$22,"Schulbetrieb",Nutzungsprofile!$G$17:$G$22)*Kalender!C208/SUM(Kalender!$C$5:$C$370),0)+IFERROR(SUMIF(Nutzungsprofile!$B$17:$B$22,"Halle",Nutzungsprofile!$G$17:$G$22)*Kalender!D208/SUM(Kalender!$D$5:$D$370),0)+IFERROR(SUMIF(Nutzungsprofile!$B$17:$B$22,"Individuell",Nutzungsprofile!$G$17:$G$22)*Kalender!E208/SUM(Kalender!$E$5:$E$370),0))*Szenarien!$D$22,0)</f>
        <v>0.89</v>
      </c>
      <c r="E4234" s="13" t="n">
        <f aca="false">IFERROR(MIN(C4234,Eingaben!$B$17)*Eingaben!$B$16,0)</f>
        <v>1.938</v>
      </c>
      <c r="F4234" s="13" t="n">
        <f aca="false">IFERROR(E4234*Eingaben!$B$15,0)</f>
        <v>1.7442</v>
      </c>
      <c r="G4234" s="13" t="n">
        <f aca="false">IFERROR(IF(Kalender!A208="",0,J4233*(1-Eingaben!$B$20)),0)</f>
        <v>1.709316</v>
      </c>
      <c r="H4234" s="13" t="n">
        <f aca="false">MIN(G4234,D4234)</f>
        <v>0.89</v>
      </c>
      <c r="I4234" s="13" t="n">
        <f aca="false">IFERROR(MIN(F4234*Eingaben!$B$19,MAX(0,D4234-H4234)),0)</f>
        <v>0</v>
      </c>
      <c r="J4234" s="13" t="n">
        <f aca="false">IFERROR(MIN(Eingaben!$B$18,MAX(0,F4234-I4234)),0)</f>
        <v>1.7442</v>
      </c>
      <c r="K4234" s="13" t="n">
        <f aca="false">H4234+I4234</f>
        <v>0.89</v>
      </c>
      <c r="L4234" s="13" t="n">
        <f aca="false">MAX(0,D4234-K4234)</f>
        <v>0</v>
      </c>
      <c r="M4234" s="13" t="n">
        <f aca="false">MAX(0,F4234-I4234-J4234)</f>
        <v>0</v>
      </c>
      <c r="N4234" s="13" t="n">
        <f aca="false">IF(Kalender!A208="",0,J4233-H4234)</f>
        <v>0.8542</v>
      </c>
    </row>
    <row r="4235" customFormat="false" ht="16.4" hidden="false" customHeight="false" outlineLevel="0" collapsed="false">
      <c r="A4235" s="13" t="str">
        <f aca="false">""</f>
        <v/>
      </c>
      <c r="B4235" s="13" t="n">
        <f aca="false">205</f>
        <v>205</v>
      </c>
      <c r="C4235" s="13" t="n">
        <f aca="false">IF(Szenarien!$H$22="OK",(IFERROR(SUMIF(Nutzungsprofile!$B$6:$B$11,"Schulbetrieb",Nutzungsprofile!$G$6:$G$11)*Kalender!C209/SUM(Kalender!$C$5:$C$370),0)+IFERROR(SUMIF(Nutzungsprofile!$B$6:$B$11,"Halle",Nutzungsprofile!$G$6:$G$11)*Kalender!D209/SUM(Kalender!$D$5:$D$370),0)+IFERROR(SUMIF(Nutzungsprofile!$B$6:$B$11,"Individuell",Nutzungsprofile!$G$6:$G$11)*Kalender!E209/SUM(Kalender!$E$5:$E$370),0))*Szenarien!$E$22,0)</f>
        <v>2.04</v>
      </c>
      <c r="D4235" s="13" t="n">
        <f aca="false">IF(Szenarien!$H$22="OK",(IFERROR(SUMIF(Nutzungsprofile!$B$17:$B$22,"Schulbetrieb",Nutzungsprofile!$G$17:$G$22)*Kalender!C209/SUM(Kalender!$C$5:$C$370),0)+IFERROR(SUMIF(Nutzungsprofile!$B$17:$B$22,"Halle",Nutzungsprofile!$G$17:$G$22)*Kalender!D209/SUM(Kalender!$D$5:$D$370),0)+IFERROR(SUMIF(Nutzungsprofile!$B$17:$B$22,"Individuell",Nutzungsprofile!$G$17:$G$22)*Kalender!E209/SUM(Kalender!$E$5:$E$370),0))*Szenarien!$D$22,0)</f>
        <v>0.89</v>
      </c>
      <c r="E4235" s="13" t="n">
        <f aca="false">IFERROR(MIN(C4235,Eingaben!$B$17)*Eingaben!$B$16,0)</f>
        <v>1.938</v>
      </c>
      <c r="F4235" s="13" t="n">
        <f aca="false">IFERROR(E4235*Eingaben!$B$15,0)</f>
        <v>1.7442</v>
      </c>
      <c r="G4235" s="13" t="n">
        <f aca="false">IFERROR(IF(Kalender!A209="",0,J4234*(1-Eingaben!$B$20)),0)</f>
        <v>1.709316</v>
      </c>
      <c r="H4235" s="13" t="n">
        <f aca="false">MIN(G4235,D4235)</f>
        <v>0.89</v>
      </c>
      <c r="I4235" s="13" t="n">
        <f aca="false">IFERROR(MIN(F4235*Eingaben!$B$19,MAX(0,D4235-H4235)),0)</f>
        <v>0</v>
      </c>
      <c r="J4235" s="13" t="n">
        <f aca="false">IFERROR(MIN(Eingaben!$B$18,MAX(0,F4235-I4235)),0)</f>
        <v>1.7442</v>
      </c>
      <c r="K4235" s="13" t="n">
        <f aca="false">H4235+I4235</f>
        <v>0.89</v>
      </c>
      <c r="L4235" s="13" t="n">
        <f aca="false">MAX(0,D4235-K4235)</f>
        <v>0</v>
      </c>
      <c r="M4235" s="13" t="n">
        <f aca="false">MAX(0,F4235-I4235-J4235)</f>
        <v>0</v>
      </c>
      <c r="N4235" s="13" t="n">
        <f aca="false">IF(Kalender!A209="",0,J4234-H4235)</f>
        <v>0.8542</v>
      </c>
    </row>
    <row r="4236" customFormat="false" ht="16.4" hidden="false" customHeight="false" outlineLevel="0" collapsed="false">
      <c r="A4236" s="13" t="str">
        <f aca="false">""</f>
        <v/>
      </c>
      <c r="B4236" s="13" t="n">
        <f aca="false">206</f>
        <v>206</v>
      </c>
      <c r="C4236" s="13" t="n">
        <f aca="false">IF(Szenarien!$H$22="OK",(IFERROR(SUMIF(Nutzungsprofile!$B$6:$B$11,"Schulbetrieb",Nutzungsprofile!$G$6:$G$11)*Kalender!C210/SUM(Kalender!$C$5:$C$370),0)+IFERROR(SUMIF(Nutzungsprofile!$B$6:$B$11,"Halle",Nutzungsprofile!$G$6:$G$11)*Kalender!D210/SUM(Kalender!$D$5:$D$370),0)+IFERROR(SUMIF(Nutzungsprofile!$B$6:$B$11,"Individuell",Nutzungsprofile!$G$6:$G$11)*Kalender!E210/SUM(Kalender!$E$5:$E$370),0))*Szenarien!$E$22,0)</f>
        <v>2.04</v>
      </c>
      <c r="D4236" s="13" t="n">
        <f aca="false">IF(Szenarien!$H$22="OK",(IFERROR(SUMIF(Nutzungsprofile!$B$17:$B$22,"Schulbetrieb",Nutzungsprofile!$G$17:$G$22)*Kalender!C210/SUM(Kalender!$C$5:$C$370),0)+IFERROR(SUMIF(Nutzungsprofile!$B$17:$B$22,"Halle",Nutzungsprofile!$G$17:$G$22)*Kalender!D210/SUM(Kalender!$D$5:$D$370),0)+IFERROR(SUMIF(Nutzungsprofile!$B$17:$B$22,"Individuell",Nutzungsprofile!$G$17:$G$22)*Kalender!E210/SUM(Kalender!$E$5:$E$370),0))*Szenarien!$D$22,0)</f>
        <v>0.89</v>
      </c>
      <c r="E4236" s="13" t="n">
        <f aca="false">IFERROR(MIN(C4236,Eingaben!$B$17)*Eingaben!$B$16,0)</f>
        <v>1.938</v>
      </c>
      <c r="F4236" s="13" t="n">
        <f aca="false">IFERROR(E4236*Eingaben!$B$15,0)</f>
        <v>1.7442</v>
      </c>
      <c r="G4236" s="13" t="n">
        <f aca="false">IFERROR(IF(Kalender!A210="",0,J4235*(1-Eingaben!$B$20)),0)</f>
        <v>1.709316</v>
      </c>
      <c r="H4236" s="13" t="n">
        <f aca="false">MIN(G4236,D4236)</f>
        <v>0.89</v>
      </c>
      <c r="I4236" s="13" t="n">
        <f aca="false">IFERROR(MIN(F4236*Eingaben!$B$19,MAX(0,D4236-H4236)),0)</f>
        <v>0</v>
      </c>
      <c r="J4236" s="13" t="n">
        <f aca="false">IFERROR(MIN(Eingaben!$B$18,MAX(0,F4236-I4236)),0)</f>
        <v>1.7442</v>
      </c>
      <c r="K4236" s="13" t="n">
        <f aca="false">H4236+I4236</f>
        <v>0.89</v>
      </c>
      <c r="L4236" s="13" t="n">
        <f aca="false">MAX(0,D4236-K4236)</f>
        <v>0</v>
      </c>
      <c r="M4236" s="13" t="n">
        <f aca="false">MAX(0,F4236-I4236-J4236)</f>
        <v>0</v>
      </c>
      <c r="N4236" s="13" t="n">
        <f aca="false">IF(Kalender!A210="",0,J4235-H4236)</f>
        <v>0.8542</v>
      </c>
    </row>
    <row r="4237" customFormat="false" ht="16.4" hidden="false" customHeight="false" outlineLevel="0" collapsed="false">
      <c r="A4237" s="13" t="str">
        <f aca="false">""</f>
        <v/>
      </c>
      <c r="B4237" s="13" t="n">
        <f aca="false">207</f>
        <v>207</v>
      </c>
      <c r="C4237" s="13" t="n">
        <f aca="false">IF(Szenarien!$H$22="OK",(IFERROR(SUMIF(Nutzungsprofile!$B$6:$B$11,"Schulbetrieb",Nutzungsprofile!$G$6:$G$11)*Kalender!C211/SUM(Kalender!$C$5:$C$370),0)+IFERROR(SUMIF(Nutzungsprofile!$B$6:$B$11,"Halle",Nutzungsprofile!$G$6:$G$11)*Kalender!D211/SUM(Kalender!$D$5:$D$370),0)+IFERROR(SUMIF(Nutzungsprofile!$B$6:$B$11,"Individuell",Nutzungsprofile!$G$6:$G$11)*Kalender!E211/SUM(Kalender!$E$5:$E$370),0))*Szenarien!$E$22,0)</f>
        <v>2.04</v>
      </c>
      <c r="D4237" s="13" t="n">
        <f aca="false">IF(Szenarien!$H$22="OK",(IFERROR(SUMIF(Nutzungsprofile!$B$17:$B$22,"Schulbetrieb",Nutzungsprofile!$G$17:$G$22)*Kalender!C211/SUM(Kalender!$C$5:$C$370),0)+IFERROR(SUMIF(Nutzungsprofile!$B$17:$B$22,"Halle",Nutzungsprofile!$G$17:$G$22)*Kalender!D211/SUM(Kalender!$D$5:$D$370),0)+IFERROR(SUMIF(Nutzungsprofile!$B$17:$B$22,"Individuell",Nutzungsprofile!$G$17:$G$22)*Kalender!E211/SUM(Kalender!$E$5:$E$370),0))*Szenarien!$D$22,0)</f>
        <v>0.89</v>
      </c>
      <c r="E4237" s="13" t="n">
        <f aca="false">IFERROR(MIN(C4237,Eingaben!$B$17)*Eingaben!$B$16,0)</f>
        <v>1.938</v>
      </c>
      <c r="F4237" s="13" t="n">
        <f aca="false">IFERROR(E4237*Eingaben!$B$15,0)</f>
        <v>1.7442</v>
      </c>
      <c r="G4237" s="13" t="n">
        <f aca="false">IFERROR(IF(Kalender!A211="",0,J4236*(1-Eingaben!$B$20)),0)</f>
        <v>1.709316</v>
      </c>
      <c r="H4237" s="13" t="n">
        <f aca="false">MIN(G4237,D4237)</f>
        <v>0.89</v>
      </c>
      <c r="I4237" s="13" t="n">
        <f aca="false">IFERROR(MIN(F4237*Eingaben!$B$19,MAX(0,D4237-H4237)),0)</f>
        <v>0</v>
      </c>
      <c r="J4237" s="13" t="n">
        <f aca="false">IFERROR(MIN(Eingaben!$B$18,MAX(0,F4237-I4237)),0)</f>
        <v>1.7442</v>
      </c>
      <c r="K4237" s="13" t="n">
        <f aca="false">H4237+I4237</f>
        <v>0.89</v>
      </c>
      <c r="L4237" s="13" t="n">
        <f aca="false">MAX(0,D4237-K4237)</f>
        <v>0</v>
      </c>
      <c r="M4237" s="13" t="n">
        <f aca="false">MAX(0,F4237-I4237-J4237)</f>
        <v>0</v>
      </c>
      <c r="N4237" s="13" t="n">
        <f aca="false">IF(Kalender!A211="",0,J4236-H4237)</f>
        <v>0.8542</v>
      </c>
    </row>
    <row r="4238" customFormat="false" ht="16.4" hidden="false" customHeight="false" outlineLevel="0" collapsed="false">
      <c r="A4238" s="13" t="str">
        <f aca="false">""</f>
        <v/>
      </c>
      <c r="B4238" s="13" t="n">
        <f aca="false">208</f>
        <v>208</v>
      </c>
      <c r="C4238" s="13" t="n">
        <f aca="false">IF(Szenarien!$H$22="OK",(IFERROR(SUMIF(Nutzungsprofile!$B$6:$B$11,"Schulbetrieb",Nutzungsprofile!$G$6:$G$11)*Kalender!C212/SUM(Kalender!$C$5:$C$370),0)+IFERROR(SUMIF(Nutzungsprofile!$B$6:$B$11,"Halle",Nutzungsprofile!$G$6:$G$11)*Kalender!D212/SUM(Kalender!$D$5:$D$370),0)+IFERROR(SUMIF(Nutzungsprofile!$B$6:$B$11,"Individuell",Nutzungsprofile!$G$6:$G$11)*Kalender!E212/SUM(Kalender!$E$5:$E$370),0))*Szenarien!$E$22,0)</f>
        <v>2.04</v>
      </c>
      <c r="D4238" s="13" t="n">
        <f aca="false">IF(Szenarien!$H$22="OK",(IFERROR(SUMIF(Nutzungsprofile!$B$17:$B$22,"Schulbetrieb",Nutzungsprofile!$G$17:$G$22)*Kalender!C212/SUM(Kalender!$C$5:$C$370),0)+IFERROR(SUMIF(Nutzungsprofile!$B$17:$B$22,"Halle",Nutzungsprofile!$G$17:$G$22)*Kalender!D212/SUM(Kalender!$D$5:$D$370),0)+IFERROR(SUMIF(Nutzungsprofile!$B$17:$B$22,"Individuell",Nutzungsprofile!$G$17:$G$22)*Kalender!E212/SUM(Kalender!$E$5:$E$370),0))*Szenarien!$D$22,0)</f>
        <v>0.89</v>
      </c>
      <c r="E4238" s="13" t="n">
        <f aca="false">IFERROR(MIN(C4238,Eingaben!$B$17)*Eingaben!$B$16,0)</f>
        <v>1.938</v>
      </c>
      <c r="F4238" s="13" t="n">
        <f aca="false">IFERROR(E4238*Eingaben!$B$15,0)</f>
        <v>1.7442</v>
      </c>
      <c r="G4238" s="13" t="n">
        <f aca="false">IFERROR(IF(Kalender!A212="",0,J4237*(1-Eingaben!$B$20)),0)</f>
        <v>1.709316</v>
      </c>
      <c r="H4238" s="13" t="n">
        <f aca="false">MIN(G4238,D4238)</f>
        <v>0.89</v>
      </c>
      <c r="I4238" s="13" t="n">
        <f aca="false">IFERROR(MIN(F4238*Eingaben!$B$19,MAX(0,D4238-H4238)),0)</f>
        <v>0</v>
      </c>
      <c r="J4238" s="13" t="n">
        <f aca="false">IFERROR(MIN(Eingaben!$B$18,MAX(0,F4238-I4238)),0)</f>
        <v>1.7442</v>
      </c>
      <c r="K4238" s="13" t="n">
        <f aca="false">H4238+I4238</f>
        <v>0.89</v>
      </c>
      <c r="L4238" s="13" t="n">
        <f aca="false">MAX(0,D4238-K4238)</f>
        <v>0</v>
      </c>
      <c r="M4238" s="13" t="n">
        <f aca="false">MAX(0,F4238-I4238-J4238)</f>
        <v>0</v>
      </c>
      <c r="N4238" s="13" t="n">
        <f aca="false">IF(Kalender!A212="",0,J4237-H4238)</f>
        <v>0.8542</v>
      </c>
    </row>
    <row r="4239" customFormat="false" ht="16.4" hidden="false" customHeight="false" outlineLevel="0" collapsed="false">
      <c r="A4239" s="13" t="str">
        <f aca="false">""</f>
        <v/>
      </c>
      <c r="B4239" s="13" t="n">
        <f aca="false">209</f>
        <v>209</v>
      </c>
      <c r="C4239" s="13" t="n">
        <f aca="false">IF(Szenarien!$H$22="OK",(IFERROR(SUMIF(Nutzungsprofile!$B$6:$B$11,"Schulbetrieb",Nutzungsprofile!$G$6:$G$11)*Kalender!C213/SUM(Kalender!$C$5:$C$370),0)+IFERROR(SUMIF(Nutzungsprofile!$B$6:$B$11,"Halle",Nutzungsprofile!$G$6:$G$11)*Kalender!D213/SUM(Kalender!$D$5:$D$370),0)+IFERROR(SUMIF(Nutzungsprofile!$B$6:$B$11,"Individuell",Nutzungsprofile!$G$6:$G$11)*Kalender!E213/SUM(Kalender!$E$5:$E$370),0))*Szenarien!$E$22,0)</f>
        <v>2.04</v>
      </c>
      <c r="D4239" s="13" t="n">
        <f aca="false">IF(Szenarien!$H$22="OK",(IFERROR(SUMIF(Nutzungsprofile!$B$17:$B$22,"Schulbetrieb",Nutzungsprofile!$G$17:$G$22)*Kalender!C213/SUM(Kalender!$C$5:$C$370),0)+IFERROR(SUMIF(Nutzungsprofile!$B$17:$B$22,"Halle",Nutzungsprofile!$G$17:$G$22)*Kalender!D213/SUM(Kalender!$D$5:$D$370),0)+IFERROR(SUMIF(Nutzungsprofile!$B$17:$B$22,"Individuell",Nutzungsprofile!$G$17:$G$22)*Kalender!E213/SUM(Kalender!$E$5:$E$370),0))*Szenarien!$D$22,0)</f>
        <v>0.89</v>
      </c>
      <c r="E4239" s="13" t="n">
        <f aca="false">IFERROR(MIN(C4239,Eingaben!$B$17)*Eingaben!$B$16,0)</f>
        <v>1.938</v>
      </c>
      <c r="F4239" s="13" t="n">
        <f aca="false">IFERROR(E4239*Eingaben!$B$15,0)</f>
        <v>1.7442</v>
      </c>
      <c r="G4239" s="13" t="n">
        <f aca="false">IFERROR(IF(Kalender!A213="",0,J4238*(1-Eingaben!$B$20)),0)</f>
        <v>1.709316</v>
      </c>
      <c r="H4239" s="13" t="n">
        <f aca="false">MIN(G4239,D4239)</f>
        <v>0.89</v>
      </c>
      <c r="I4239" s="13" t="n">
        <f aca="false">IFERROR(MIN(F4239*Eingaben!$B$19,MAX(0,D4239-H4239)),0)</f>
        <v>0</v>
      </c>
      <c r="J4239" s="13" t="n">
        <f aca="false">IFERROR(MIN(Eingaben!$B$18,MAX(0,F4239-I4239)),0)</f>
        <v>1.7442</v>
      </c>
      <c r="K4239" s="13" t="n">
        <f aca="false">H4239+I4239</f>
        <v>0.89</v>
      </c>
      <c r="L4239" s="13" t="n">
        <f aca="false">MAX(0,D4239-K4239)</f>
        <v>0</v>
      </c>
      <c r="M4239" s="13" t="n">
        <f aca="false">MAX(0,F4239-I4239-J4239)</f>
        <v>0</v>
      </c>
      <c r="N4239" s="13" t="n">
        <f aca="false">IF(Kalender!A213="",0,J4238-H4239)</f>
        <v>0.8542</v>
      </c>
    </row>
    <row r="4240" customFormat="false" ht="16.4" hidden="false" customHeight="false" outlineLevel="0" collapsed="false">
      <c r="A4240" s="13" t="str">
        <f aca="false">""</f>
        <v/>
      </c>
      <c r="B4240" s="13" t="n">
        <f aca="false">210</f>
        <v>210</v>
      </c>
      <c r="C4240" s="13" t="n">
        <f aca="false">IF(Szenarien!$H$22="OK",(IFERROR(SUMIF(Nutzungsprofile!$B$6:$B$11,"Schulbetrieb",Nutzungsprofile!$G$6:$G$11)*Kalender!C214/SUM(Kalender!$C$5:$C$370),0)+IFERROR(SUMIF(Nutzungsprofile!$B$6:$B$11,"Halle",Nutzungsprofile!$G$6:$G$11)*Kalender!D214/SUM(Kalender!$D$5:$D$370),0)+IFERROR(SUMIF(Nutzungsprofile!$B$6:$B$11,"Individuell",Nutzungsprofile!$G$6:$G$11)*Kalender!E214/SUM(Kalender!$E$5:$E$370),0))*Szenarien!$E$22,0)</f>
        <v>2.04</v>
      </c>
      <c r="D4240" s="13" t="n">
        <f aca="false">IF(Szenarien!$H$22="OK",(IFERROR(SUMIF(Nutzungsprofile!$B$17:$B$22,"Schulbetrieb",Nutzungsprofile!$G$17:$G$22)*Kalender!C214/SUM(Kalender!$C$5:$C$370),0)+IFERROR(SUMIF(Nutzungsprofile!$B$17:$B$22,"Halle",Nutzungsprofile!$G$17:$G$22)*Kalender!D214/SUM(Kalender!$D$5:$D$370),0)+IFERROR(SUMIF(Nutzungsprofile!$B$17:$B$22,"Individuell",Nutzungsprofile!$G$17:$G$22)*Kalender!E214/SUM(Kalender!$E$5:$E$370),0))*Szenarien!$D$22,0)</f>
        <v>0.89</v>
      </c>
      <c r="E4240" s="13" t="n">
        <f aca="false">IFERROR(MIN(C4240,Eingaben!$B$17)*Eingaben!$B$16,0)</f>
        <v>1.938</v>
      </c>
      <c r="F4240" s="13" t="n">
        <f aca="false">IFERROR(E4240*Eingaben!$B$15,0)</f>
        <v>1.7442</v>
      </c>
      <c r="G4240" s="13" t="n">
        <f aca="false">IFERROR(IF(Kalender!A214="",0,J4239*(1-Eingaben!$B$20)),0)</f>
        <v>1.709316</v>
      </c>
      <c r="H4240" s="13" t="n">
        <f aca="false">MIN(G4240,D4240)</f>
        <v>0.89</v>
      </c>
      <c r="I4240" s="13" t="n">
        <f aca="false">IFERROR(MIN(F4240*Eingaben!$B$19,MAX(0,D4240-H4240)),0)</f>
        <v>0</v>
      </c>
      <c r="J4240" s="13" t="n">
        <f aca="false">IFERROR(MIN(Eingaben!$B$18,MAX(0,F4240-I4240)),0)</f>
        <v>1.7442</v>
      </c>
      <c r="K4240" s="13" t="n">
        <f aca="false">H4240+I4240</f>
        <v>0.89</v>
      </c>
      <c r="L4240" s="13" t="n">
        <f aca="false">MAX(0,D4240-K4240)</f>
        <v>0</v>
      </c>
      <c r="M4240" s="13" t="n">
        <f aca="false">MAX(0,F4240-I4240-J4240)</f>
        <v>0</v>
      </c>
      <c r="N4240" s="13" t="n">
        <f aca="false">IF(Kalender!A214="",0,J4239-H4240)</f>
        <v>0.8542</v>
      </c>
    </row>
    <row r="4241" customFormat="false" ht="16.4" hidden="false" customHeight="false" outlineLevel="0" collapsed="false">
      <c r="A4241" s="13" t="str">
        <f aca="false">""</f>
        <v/>
      </c>
      <c r="B4241" s="13" t="n">
        <f aca="false">211</f>
        <v>211</v>
      </c>
      <c r="C4241" s="13" t="n">
        <f aca="false">IF(Szenarien!$H$22="OK",(IFERROR(SUMIF(Nutzungsprofile!$B$6:$B$11,"Schulbetrieb",Nutzungsprofile!$G$6:$G$11)*Kalender!C215/SUM(Kalender!$C$5:$C$370),0)+IFERROR(SUMIF(Nutzungsprofile!$B$6:$B$11,"Halle",Nutzungsprofile!$G$6:$G$11)*Kalender!D215/SUM(Kalender!$D$5:$D$370),0)+IFERROR(SUMIF(Nutzungsprofile!$B$6:$B$11,"Individuell",Nutzungsprofile!$G$6:$G$11)*Kalender!E215/SUM(Kalender!$E$5:$E$370),0))*Szenarien!$E$22,0)</f>
        <v>2.04</v>
      </c>
      <c r="D4241" s="13" t="n">
        <f aca="false">IF(Szenarien!$H$22="OK",(IFERROR(SUMIF(Nutzungsprofile!$B$17:$B$22,"Schulbetrieb",Nutzungsprofile!$G$17:$G$22)*Kalender!C215/SUM(Kalender!$C$5:$C$370),0)+IFERROR(SUMIF(Nutzungsprofile!$B$17:$B$22,"Halle",Nutzungsprofile!$G$17:$G$22)*Kalender!D215/SUM(Kalender!$D$5:$D$370),0)+IFERROR(SUMIF(Nutzungsprofile!$B$17:$B$22,"Individuell",Nutzungsprofile!$G$17:$G$22)*Kalender!E215/SUM(Kalender!$E$5:$E$370),0))*Szenarien!$D$22,0)</f>
        <v>0.89</v>
      </c>
      <c r="E4241" s="13" t="n">
        <f aca="false">IFERROR(MIN(C4241,Eingaben!$B$17)*Eingaben!$B$16,0)</f>
        <v>1.938</v>
      </c>
      <c r="F4241" s="13" t="n">
        <f aca="false">IFERROR(E4241*Eingaben!$B$15,0)</f>
        <v>1.7442</v>
      </c>
      <c r="G4241" s="13" t="n">
        <f aca="false">IFERROR(IF(Kalender!A215="",0,J4240*(1-Eingaben!$B$20)),0)</f>
        <v>1.709316</v>
      </c>
      <c r="H4241" s="13" t="n">
        <f aca="false">MIN(G4241,D4241)</f>
        <v>0.89</v>
      </c>
      <c r="I4241" s="13" t="n">
        <f aca="false">IFERROR(MIN(F4241*Eingaben!$B$19,MAX(0,D4241-H4241)),0)</f>
        <v>0</v>
      </c>
      <c r="J4241" s="13" t="n">
        <f aca="false">IFERROR(MIN(Eingaben!$B$18,MAX(0,F4241-I4241)),0)</f>
        <v>1.7442</v>
      </c>
      <c r="K4241" s="13" t="n">
        <f aca="false">H4241+I4241</f>
        <v>0.89</v>
      </c>
      <c r="L4241" s="13" t="n">
        <f aca="false">MAX(0,D4241-K4241)</f>
        <v>0</v>
      </c>
      <c r="M4241" s="13" t="n">
        <f aca="false">MAX(0,F4241-I4241-J4241)</f>
        <v>0</v>
      </c>
      <c r="N4241" s="13" t="n">
        <f aca="false">IF(Kalender!A215="",0,J4240-H4241)</f>
        <v>0.8542</v>
      </c>
    </row>
    <row r="4242" customFormat="false" ht="16.4" hidden="false" customHeight="false" outlineLevel="0" collapsed="false">
      <c r="A4242" s="13" t="str">
        <f aca="false">""</f>
        <v/>
      </c>
      <c r="B4242" s="13" t="n">
        <f aca="false">212</f>
        <v>212</v>
      </c>
      <c r="C4242" s="13" t="n">
        <f aca="false">IF(Szenarien!$H$22="OK",(IFERROR(SUMIF(Nutzungsprofile!$B$6:$B$11,"Schulbetrieb",Nutzungsprofile!$G$6:$G$11)*Kalender!C216/SUM(Kalender!$C$5:$C$370),0)+IFERROR(SUMIF(Nutzungsprofile!$B$6:$B$11,"Halle",Nutzungsprofile!$G$6:$G$11)*Kalender!D216/SUM(Kalender!$D$5:$D$370),0)+IFERROR(SUMIF(Nutzungsprofile!$B$6:$B$11,"Individuell",Nutzungsprofile!$G$6:$G$11)*Kalender!E216/SUM(Kalender!$E$5:$E$370),0))*Szenarien!$E$22,0)</f>
        <v>2.04</v>
      </c>
      <c r="D4242" s="13" t="n">
        <f aca="false">IF(Szenarien!$H$22="OK",(IFERROR(SUMIF(Nutzungsprofile!$B$17:$B$22,"Schulbetrieb",Nutzungsprofile!$G$17:$G$22)*Kalender!C216/SUM(Kalender!$C$5:$C$370),0)+IFERROR(SUMIF(Nutzungsprofile!$B$17:$B$22,"Halle",Nutzungsprofile!$G$17:$G$22)*Kalender!D216/SUM(Kalender!$D$5:$D$370),0)+IFERROR(SUMIF(Nutzungsprofile!$B$17:$B$22,"Individuell",Nutzungsprofile!$G$17:$G$22)*Kalender!E216/SUM(Kalender!$E$5:$E$370),0))*Szenarien!$D$22,0)</f>
        <v>0.89</v>
      </c>
      <c r="E4242" s="13" t="n">
        <f aca="false">IFERROR(MIN(C4242,Eingaben!$B$17)*Eingaben!$B$16,0)</f>
        <v>1.938</v>
      </c>
      <c r="F4242" s="13" t="n">
        <f aca="false">IFERROR(E4242*Eingaben!$B$15,0)</f>
        <v>1.7442</v>
      </c>
      <c r="G4242" s="13" t="n">
        <f aca="false">IFERROR(IF(Kalender!A216="",0,J4241*(1-Eingaben!$B$20)),0)</f>
        <v>1.709316</v>
      </c>
      <c r="H4242" s="13" t="n">
        <f aca="false">MIN(G4242,D4242)</f>
        <v>0.89</v>
      </c>
      <c r="I4242" s="13" t="n">
        <f aca="false">IFERROR(MIN(F4242*Eingaben!$B$19,MAX(0,D4242-H4242)),0)</f>
        <v>0</v>
      </c>
      <c r="J4242" s="13" t="n">
        <f aca="false">IFERROR(MIN(Eingaben!$B$18,MAX(0,F4242-I4242)),0)</f>
        <v>1.7442</v>
      </c>
      <c r="K4242" s="13" t="n">
        <f aca="false">H4242+I4242</f>
        <v>0.89</v>
      </c>
      <c r="L4242" s="13" t="n">
        <f aca="false">MAX(0,D4242-K4242)</f>
        <v>0</v>
      </c>
      <c r="M4242" s="13" t="n">
        <f aca="false">MAX(0,F4242-I4242-J4242)</f>
        <v>0</v>
      </c>
      <c r="N4242" s="13" t="n">
        <f aca="false">IF(Kalender!A216="",0,J4241-H4242)</f>
        <v>0.8542</v>
      </c>
    </row>
    <row r="4243" customFormat="false" ht="16.4" hidden="false" customHeight="false" outlineLevel="0" collapsed="false">
      <c r="A4243" s="13" t="str">
        <f aca="false">""</f>
        <v/>
      </c>
      <c r="B4243" s="13" t="n">
        <f aca="false">213</f>
        <v>213</v>
      </c>
      <c r="C4243" s="13" t="n">
        <f aca="false">IF(Szenarien!$H$22="OK",(IFERROR(SUMIF(Nutzungsprofile!$B$6:$B$11,"Schulbetrieb",Nutzungsprofile!$G$6:$G$11)*Kalender!C217/SUM(Kalender!$C$5:$C$370),0)+IFERROR(SUMIF(Nutzungsprofile!$B$6:$B$11,"Halle",Nutzungsprofile!$G$6:$G$11)*Kalender!D217/SUM(Kalender!$D$5:$D$370),0)+IFERROR(SUMIF(Nutzungsprofile!$B$6:$B$11,"Individuell",Nutzungsprofile!$G$6:$G$11)*Kalender!E217/SUM(Kalender!$E$5:$E$370),0))*Szenarien!$E$22,0)</f>
        <v>2.04</v>
      </c>
      <c r="D4243" s="13" t="n">
        <f aca="false">IF(Szenarien!$H$22="OK",(IFERROR(SUMIF(Nutzungsprofile!$B$17:$B$22,"Schulbetrieb",Nutzungsprofile!$G$17:$G$22)*Kalender!C217/SUM(Kalender!$C$5:$C$370),0)+IFERROR(SUMIF(Nutzungsprofile!$B$17:$B$22,"Halle",Nutzungsprofile!$G$17:$G$22)*Kalender!D217/SUM(Kalender!$D$5:$D$370),0)+IFERROR(SUMIF(Nutzungsprofile!$B$17:$B$22,"Individuell",Nutzungsprofile!$G$17:$G$22)*Kalender!E217/SUM(Kalender!$E$5:$E$370),0))*Szenarien!$D$22,0)</f>
        <v>0.89</v>
      </c>
      <c r="E4243" s="13" t="n">
        <f aca="false">IFERROR(MIN(C4243,Eingaben!$B$17)*Eingaben!$B$16,0)</f>
        <v>1.938</v>
      </c>
      <c r="F4243" s="13" t="n">
        <f aca="false">IFERROR(E4243*Eingaben!$B$15,0)</f>
        <v>1.7442</v>
      </c>
      <c r="G4243" s="13" t="n">
        <f aca="false">IFERROR(IF(Kalender!A217="",0,J4242*(1-Eingaben!$B$20)),0)</f>
        <v>1.709316</v>
      </c>
      <c r="H4243" s="13" t="n">
        <f aca="false">MIN(G4243,D4243)</f>
        <v>0.89</v>
      </c>
      <c r="I4243" s="13" t="n">
        <f aca="false">IFERROR(MIN(F4243*Eingaben!$B$19,MAX(0,D4243-H4243)),0)</f>
        <v>0</v>
      </c>
      <c r="J4243" s="13" t="n">
        <f aca="false">IFERROR(MIN(Eingaben!$B$18,MAX(0,F4243-I4243)),0)</f>
        <v>1.7442</v>
      </c>
      <c r="K4243" s="13" t="n">
        <f aca="false">H4243+I4243</f>
        <v>0.89</v>
      </c>
      <c r="L4243" s="13" t="n">
        <f aca="false">MAX(0,D4243-K4243)</f>
        <v>0</v>
      </c>
      <c r="M4243" s="13" t="n">
        <f aca="false">MAX(0,F4243-I4243-J4243)</f>
        <v>0</v>
      </c>
      <c r="N4243" s="13" t="n">
        <f aca="false">IF(Kalender!A217="",0,J4242-H4243)</f>
        <v>0.8542</v>
      </c>
    </row>
    <row r="4244" customFormat="false" ht="16.4" hidden="false" customHeight="false" outlineLevel="0" collapsed="false">
      <c r="A4244" s="13" t="str">
        <f aca="false">""</f>
        <v/>
      </c>
      <c r="B4244" s="13" t="n">
        <f aca="false">214</f>
        <v>214</v>
      </c>
      <c r="C4244" s="13" t="n">
        <f aca="false">IF(Szenarien!$H$22="OK",(IFERROR(SUMIF(Nutzungsprofile!$B$6:$B$11,"Schulbetrieb",Nutzungsprofile!$G$6:$G$11)*Kalender!C218/SUM(Kalender!$C$5:$C$370),0)+IFERROR(SUMIF(Nutzungsprofile!$B$6:$B$11,"Halle",Nutzungsprofile!$G$6:$G$11)*Kalender!D218/SUM(Kalender!$D$5:$D$370),0)+IFERROR(SUMIF(Nutzungsprofile!$B$6:$B$11,"Individuell",Nutzungsprofile!$G$6:$G$11)*Kalender!E218/SUM(Kalender!$E$5:$E$370),0))*Szenarien!$E$22,0)</f>
        <v>2.04</v>
      </c>
      <c r="D4244" s="13" t="n">
        <f aca="false">IF(Szenarien!$H$22="OK",(IFERROR(SUMIF(Nutzungsprofile!$B$17:$B$22,"Schulbetrieb",Nutzungsprofile!$G$17:$G$22)*Kalender!C218/SUM(Kalender!$C$5:$C$370),0)+IFERROR(SUMIF(Nutzungsprofile!$B$17:$B$22,"Halle",Nutzungsprofile!$G$17:$G$22)*Kalender!D218/SUM(Kalender!$D$5:$D$370),0)+IFERROR(SUMIF(Nutzungsprofile!$B$17:$B$22,"Individuell",Nutzungsprofile!$G$17:$G$22)*Kalender!E218/SUM(Kalender!$E$5:$E$370),0))*Szenarien!$D$22,0)</f>
        <v>0.89</v>
      </c>
      <c r="E4244" s="13" t="n">
        <f aca="false">IFERROR(MIN(C4244,Eingaben!$B$17)*Eingaben!$B$16,0)</f>
        <v>1.938</v>
      </c>
      <c r="F4244" s="13" t="n">
        <f aca="false">IFERROR(E4244*Eingaben!$B$15,0)</f>
        <v>1.7442</v>
      </c>
      <c r="G4244" s="13" t="n">
        <f aca="false">IFERROR(IF(Kalender!A218="",0,J4243*(1-Eingaben!$B$20)),0)</f>
        <v>1.709316</v>
      </c>
      <c r="H4244" s="13" t="n">
        <f aca="false">MIN(G4244,D4244)</f>
        <v>0.89</v>
      </c>
      <c r="I4244" s="13" t="n">
        <f aca="false">IFERROR(MIN(F4244*Eingaben!$B$19,MAX(0,D4244-H4244)),0)</f>
        <v>0</v>
      </c>
      <c r="J4244" s="13" t="n">
        <f aca="false">IFERROR(MIN(Eingaben!$B$18,MAX(0,F4244-I4244)),0)</f>
        <v>1.7442</v>
      </c>
      <c r="K4244" s="13" t="n">
        <f aca="false">H4244+I4244</f>
        <v>0.89</v>
      </c>
      <c r="L4244" s="13" t="n">
        <f aca="false">MAX(0,D4244-K4244)</f>
        <v>0</v>
      </c>
      <c r="M4244" s="13" t="n">
        <f aca="false">MAX(0,F4244-I4244-J4244)</f>
        <v>0</v>
      </c>
      <c r="N4244" s="13" t="n">
        <f aca="false">IF(Kalender!A218="",0,J4243-H4244)</f>
        <v>0.8542</v>
      </c>
    </row>
    <row r="4245" customFormat="false" ht="16.4" hidden="false" customHeight="false" outlineLevel="0" collapsed="false">
      <c r="A4245" s="13" t="str">
        <f aca="false">""</f>
        <v/>
      </c>
      <c r="B4245" s="13" t="n">
        <f aca="false">215</f>
        <v>215</v>
      </c>
      <c r="C4245" s="13" t="n">
        <f aca="false">IF(Szenarien!$H$22="OK",(IFERROR(SUMIF(Nutzungsprofile!$B$6:$B$11,"Schulbetrieb",Nutzungsprofile!$G$6:$G$11)*Kalender!C219/SUM(Kalender!$C$5:$C$370),0)+IFERROR(SUMIF(Nutzungsprofile!$B$6:$B$11,"Halle",Nutzungsprofile!$G$6:$G$11)*Kalender!D219/SUM(Kalender!$D$5:$D$370),0)+IFERROR(SUMIF(Nutzungsprofile!$B$6:$B$11,"Individuell",Nutzungsprofile!$G$6:$G$11)*Kalender!E219/SUM(Kalender!$E$5:$E$370),0))*Szenarien!$E$22,0)</f>
        <v>2.04</v>
      </c>
      <c r="D4245" s="13" t="n">
        <f aca="false">IF(Szenarien!$H$22="OK",(IFERROR(SUMIF(Nutzungsprofile!$B$17:$B$22,"Schulbetrieb",Nutzungsprofile!$G$17:$G$22)*Kalender!C219/SUM(Kalender!$C$5:$C$370),0)+IFERROR(SUMIF(Nutzungsprofile!$B$17:$B$22,"Halle",Nutzungsprofile!$G$17:$G$22)*Kalender!D219/SUM(Kalender!$D$5:$D$370),0)+IFERROR(SUMIF(Nutzungsprofile!$B$17:$B$22,"Individuell",Nutzungsprofile!$G$17:$G$22)*Kalender!E219/SUM(Kalender!$E$5:$E$370),0))*Szenarien!$D$22,0)</f>
        <v>0.89</v>
      </c>
      <c r="E4245" s="13" t="n">
        <f aca="false">IFERROR(MIN(C4245,Eingaben!$B$17)*Eingaben!$B$16,0)</f>
        <v>1.938</v>
      </c>
      <c r="F4245" s="13" t="n">
        <f aca="false">IFERROR(E4245*Eingaben!$B$15,0)</f>
        <v>1.7442</v>
      </c>
      <c r="G4245" s="13" t="n">
        <f aca="false">IFERROR(IF(Kalender!A219="",0,J4244*(1-Eingaben!$B$20)),0)</f>
        <v>1.709316</v>
      </c>
      <c r="H4245" s="13" t="n">
        <f aca="false">MIN(G4245,D4245)</f>
        <v>0.89</v>
      </c>
      <c r="I4245" s="13" t="n">
        <f aca="false">IFERROR(MIN(F4245*Eingaben!$B$19,MAX(0,D4245-H4245)),0)</f>
        <v>0</v>
      </c>
      <c r="J4245" s="13" t="n">
        <f aca="false">IFERROR(MIN(Eingaben!$B$18,MAX(0,F4245-I4245)),0)</f>
        <v>1.7442</v>
      </c>
      <c r="K4245" s="13" t="n">
        <f aca="false">H4245+I4245</f>
        <v>0.89</v>
      </c>
      <c r="L4245" s="13" t="n">
        <f aca="false">MAX(0,D4245-K4245)</f>
        <v>0</v>
      </c>
      <c r="M4245" s="13" t="n">
        <f aca="false">MAX(0,F4245-I4245-J4245)</f>
        <v>0</v>
      </c>
      <c r="N4245" s="13" t="n">
        <f aca="false">IF(Kalender!A219="",0,J4244-H4245)</f>
        <v>0.8542</v>
      </c>
    </row>
    <row r="4246" customFormat="false" ht="16.4" hidden="false" customHeight="false" outlineLevel="0" collapsed="false">
      <c r="A4246" s="13" t="str">
        <f aca="false">""</f>
        <v/>
      </c>
      <c r="B4246" s="13" t="n">
        <f aca="false">216</f>
        <v>216</v>
      </c>
      <c r="C4246" s="13" t="n">
        <f aca="false">IF(Szenarien!$H$22="OK",(IFERROR(SUMIF(Nutzungsprofile!$B$6:$B$11,"Schulbetrieb",Nutzungsprofile!$G$6:$G$11)*Kalender!C220/SUM(Kalender!$C$5:$C$370),0)+IFERROR(SUMIF(Nutzungsprofile!$B$6:$B$11,"Halle",Nutzungsprofile!$G$6:$G$11)*Kalender!D220/SUM(Kalender!$D$5:$D$370),0)+IFERROR(SUMIF(Nutzungsprofile!$B$6:$B$11,"Individuell",Nutzungsprofile!$G$6:$G$11)*Kalender!E220/SUM(Kalender!$E$5:$E$370),0))*Szenarien!$E$22,0)</f>
        <v>2.04</v>
      </c>
      <c r="D4246" s="13" t="n">
        <f aca="false">IF(Szenarien!$H$22="OK",(IFERROR(SUMIF(Nutzungsprofile!$B$17:$B$22,"Schulbetrieb",Nutzungsprofile!$G$17:$G$22)*Kalender!C220/SUM(Kalender!$C$5:$C$370),0)+IFERROR(SUMIF(Nutzungsprofile!$B$17:$B$22,"Halle",Nutzungsprofile!$G$17:$G$22)*Kalender!D220/SUM(Kalender!$D$5:$D$370),0)+IFERROR(SUMIF(Nutzungsprofile!$B$17:$B$22,"Individuell",Nutzungsprofile!$G$17:$G$22)*Kalender!E220/SUM(Kalender!$E$5:$E$370),0))*Szenarien!$D$22,0)</f>
        <v>0.89</v>
      </c>
      <c r="E4246" s="13" t="n">
        <f aca="false">IFERROR(MIN(C4246,Eingaben!$B$17)*Eingaben!$B$16,0)</f>
        <v>1.938</v>
      </c>
      <c r="F4246" s="13" t="n">
        <f aca="false">IFERROR(E4246*Eingaben!$B$15,0)</f>
        <v>1.7442</v>
      </c>
      <c r="G4246" s="13" t="n">
        <f aca="false">IFERROR(IF(Kalender!A220="",0,J4245*(1-Eingaben!$B$20)),0)</f>
        <v>1.709316</v>
      </c>
      <c r="H4246" s="13" t="n">
        <f aca="false">MIN(G4246,D4246)</f>
        <v>0.89</v>
      </c>
      <c r="I4246" s="13" t="n">
        <f aca="false">IFERROR(MIN(F4246*Eingaben!$B$19,MAX(0,D4246-H4246)),0)</f>
        <v>0</v>
      </c>
      <c r="J4246" s="13" t="n">
        <f aca="false">IFERROR(MIN(Eingaben!$B$18,MAX(0,F4246-I4246)),0)</f>
        <v>1.7442</v>
      </c>
      <c r="K4246" s="13" t="n">
        <f aca="false">H4246+I4246</f>
        <v>0.89</v>
      </c>
      <c r="L4246" s="13" t="n">
        <f aca="false">MAX(0,D4246-K4246)</f>
        <v>0</v>
      </c>
      <c r="M4246" s="13" t="n">
        <f aca="false">MAX(0,F4246-I4246-J4246)</f>
        <v>0</v>
      </c>
      <c r="N4246" s="13" t="n">
        <f aca="false">IF(Kalender!A220="",0,J4245-H4246)</f>
        <v>0.8542</v>
      </c>
    </row>
    <row r="4247" customFormat="false" ht="16.4" hidden="false" customHeight="false" outlineLevel="0" collapsed="false">
      <c r="A4247" s="13" t="str">
        <f aca="false">""</f>
        <v/>
      </c>
      <c r="B4247" s="13" t="n">
        <f aca="false">217</f>
        <v>217</v>
      </c>
      <c r="C4247" s="13" t="n">
        <f aca="false">IF(Szenarien!$H$22="OK",(IFERROR(SUMIF(Nutzungsprofile!$B$6:$B$11,"Schulbetrieb",Nutzungsprofile!$G$6:$G$11)*Kalender!C221/SUM(Kalender!$C$5:$C$370),0)+IFERROR(SUMIF(Nutzungsprofile!$B$6:$B$11,"Halle",Nutzungsprofile!$G$6:$G$11)*Kalender!D221/SUM(Kalender!$D$5:$D$370),0)+IFERROR(SUMIF(Nutzungsprofile!$B$6:$B$11,"Individuell",Nutzungsprofile!$G$6:$G$11)*Kalender!E221/SUM(Kalender!$E$5:$E$370),0))*Szenarien!$E$22,0)</f>
        <v>2.04</v>
      </c>
      <c r="D4247" s="13" t="n">
        <f aca="false">IF(Szenarien!$H$22="OK",(IFERROR(SUMIF(Nutzungsprofile!$B$17:$B$22,"Schulbetrieb",Nutzungsprofile!$G$17:$G$22)*Kalender!C221/SUM(Kalender!$C$5:$C$370),0)+IFERROR(SUMIF(Nutzungsprofile!$B$17:$B$22,"Halle",Nutzungsprofile!$G$17:$G$22)*Kalender!D221/SUM(Kalender!$D$5:$D$370),0)+IFERROR(SUMIF(Nutzungsprofile!$B$17:$B$22,"Individuell",Nutzungsprofile!$G$17:$G$22)*Kalender!E221/SUM(Kalender!$E$5:$E$370),0))*Szenarien!$D$22,0)</f>
        <v>0.89</v>
      </c>
      <c r="E4247" s="13" t="n">
        <f aca="false">IFERROR(MIN(C4247,Eingaben!$B$17)*Eingaben!$B$16,0)</f>
        <v>1.938</v>
      </c>
      <c r="F4247" s="13" t="n">
        <f aca="false">IFERROR(E4247*Eingaben!$B$15,0)</f>
        <v>1.7442</v>
      </c>
      <c r="G4247" s="13" t="n">
        <f aca="false">IFERROR(IF(Kalender!A221="",0,J4246*(1-Eingaben!$B$20)),0)</f>
        <v>1.709316</v>
      </c>
      <c r="H4247" s="13" t="n">
        <f aca="false">MIN(G4247,D4247)</f>
        <v>0.89</v>
      </c>
      <c r="I4247" s="13" t="n">
        <f aca="false">IFERROR(MIN(F4247*Eingaben!$B$19,MAX(0,D4247-H4247)),0)</f>
        <v>0</v>
      </c>
      <c r="J4247" s="13" t="n">
        <f aca="false">IFERROR(MIN(Eingaben!$B$18,MAX(0,F4247-I4247)),0)</f>
        <v>1.7442</v>
      </c>
      <c r="K4247" s="13" t="n">
        <f aca="false">H4247+I4247</f>
        <v>0.89</v>
      </c>
      <c r="L4247" s="13" t="n">
        <f aca="false">MAX(0,D4247-K4247)</f>
        <v>0</v>
      </c>
      <c r="M4247" s="13" t="n">
        <f aca="false">MAX(0,F4247-I4247-J4247)</f>
        <v>0</v>
      </c>
      <c r="N4247" s="13" t="n">
        <f aca="false">IF(Kalender!A221="",0,J4246-H4247)</f>
        <v>0.8542</v>
      </c>
    </row>
    <row r="4248" customFormat="false" ht="16.4" hidden="false" customHeight="false" outlineLevel="0" collapsed="false">
      <c r="A4248" s="13" t="str">
        <f aca="false">""</f>
        <v/>
      </c>
      <c r="B4248" s="13" t="n">
        <f aca="false">218</f>
        <v>218</v>
      </c>
      <c r="C4248" s="13" t="n">
        <f aca="false">IF(Szenarien!$H$22="OK",(IFERROR(SUMIF(Nutzungsprofile!$B$6:$B$11,"Schulbetrieb",Nutzungsprofile!$G$6:$G$11)*Kalender!C222/SUM(Kalender!$C$5:$C$370),0)+IFERROR(SUMIF(Nutzungsprofile!$B$6:$B$11,"Halle",Nutzungsprofile!$G$6:$G$11)*Kalender!D222/SUM(Kalender!$D$5:$D$370),0)+IFERROR(SUMIF(Nutzungsprofile!$B$6:$B$11,"Individuell",Nutzungsprofile!$G$6:$G$11)*Kalender!E222/SUM(Kalender!$E$5:$E$370),0))*Szenarien!$E$22,0)</f>
        <v>2.04</v>
      </c>
      <c r="D4248" s="13" t="n">
        <f aca="false">IF(Szenarien!$H$22="OK",(IFERROR(SUMIF(Nutzungsprofile!$B$17:$B$22,"Schulbetrieb",Nutzungsprofile!$G$17:$G$22)*Kalender!C222/SUM(Kalender!$C$5:$C$370),0)+IFERROR(SUMIF(Nutzungsprofile!$B$17:$B$22,"Halle",Nutzungsprofile!$G$17:$G$22)*Kalender!D222/SUM(Kalender!$D$5:$D$370),0)+IFERROR(SUMIF(Nutzungsprofile!$B$17:$B$22,"Individuell",Nutzungsprofile!$G$17:$G$22)*Kalender!E222/SUM(Kalender!$E$5:$E$370),0))*Szenarien!$D$22,0)</f>
        <v>0.89</v>
      </c>
      <c r="E4248" s="13" t="n">
        <f aca="false">IFERROR(MIN(C4248,Eingaben!$B$17)*Eingaben!$B$16,0)</f>
        <v>1.938</v>
      </c>
      <c r="F4248" s="13" t="n">
        <f aca="false">IFERROR(E4248*Eingaben!$B$15,0)</f>
        <v>1.7442</v>
      </c>
      <c r="G4248" s="13" t="n">
        <f aca="false">IFERROR(IF(Kalender!A222="",0,J4247*(1-Eingaben!$B$20)),0)</f>
        <v>1.709316</v>
      </c>
      <c r="H4248" s="13" t="n">
        <f aca="false">MIN(G4248,D4248)</f>
        <v>0.89</v>
      </c>
      <c r="I4248" s="13" t="n">
        <f aca="false">IFERROR(MIN(F4248*Eingaben!$B$19,MAX(0,D4248-H4248)),0)</f>
        <v>0</v>
      </c>
      <c r="J4248" s="13" t="n">
        <f aca="false">IFERROR(MIN(Eingaben!$B$18,MAX(0,F4248-I4248)),0)</f>
        <v>1.7442</v>
      </c>
      <c r="K4248" s="13" t="n">
        <f aca="false">H4248+I4248</f>
        <v>0.89</v>
      </c>
      <c r="L4248" s="13" t="n">
        <f aca="false">MAX(0,D4248-K4248)</f>
        <v>0</v>
      </c>
      <c r="M4248" s="13" t="n">
        <f aca="false">MAX(0,F4248-I4248-J4248)</f>
        <v>0</v>
      </c>
      <c r="N4248" s="13" t="n">
        <f aca="false">IF(Kalender!A222="",0,J4247-H4248)</f>
        <v>0.8542</v>
      </c>
    </row>
    <row r="4249" customFormat="false" ht="16.4" hidden="false" customHeight="false" outlineLevel="0" collapsed="false">
      <c r="A4249" s="13" t="str">
        <f aca="false">""</f>
        <v/>
      </c>
      <c r="B4249" s="13" t="n">
        <f aca="false">219</f>
        <v>219</v>
      </c>
      <c r="C4249" s="13" t="n">
        <f aca="false">IF(Szenarien!$H$22="OK",(IFERROR(SUMIF(Nutzungsprofile!$B$6:$B$11,"Schulbetrieb",Nutzungsprofile!$G$6:$G$11)*Kalender!C223/SUM(Kalender!$C$5:$C$370),0)+IFERROR(SUMIF(Nutzungsprofile!$B$6:$B$11,"Halle",Nutzungsprofile!$G$6:$G$11)*Kalender!D223/SUM(Kalender!$D$5:$D$370),0)+IFERROR(SUMIF(Nutzungsprofile!$B$6:$B$11,"Individuell",Nutzungsprofile!$G$6:$G$11)*Kalender!E223/SUM(Kalender!$E$5:$E$370),0))*Szenarien!$E$22,0)</f>
        <v>2.04</v>
      </c>
      <c r="D4249" s="13" t="n">
        <f aca="false">IF(Szenarien!$H$22="OK",(IFERROR(SUMIF(Nutzungsprofile!$B$17:$B$22,"Schulbetrieb",Nutzungsprofile!$G$17:$G$22)*Kalender!C223/SUM(Kalender!$C$5:$C$370),0)+IFERROR(SUMIF(Nutzungsprofile!$B$17:$B$22,"Halle",Nutzungsprofile!$G$17:$G$22)*Kalender!D223/SUM(Kalender!$D$5:$D$370),0)+IFERROR(SUMIF(Nutzungsprofile!$B$17:$B$22,"Individuell",Nutzungsprofile!$G$17:$G$22)*Kalender!E223/SUM(Kalender!$E$5:$E$370),0))*Szenarien!$D$22,0)</f>
        <v>0.89</v>
      </c>
      <c r="E4249" s="13" t="n">
        <f aca="false">IFERROR(MIN(C4249,Eingaben!$B$17)*Eingaben!$B$16,0)</f>
        <v>1.938</v>
      </c>
      <c r="F4249" s="13" t="n">
        <f aca="false">IFERROR(E4249*Eingaben!$B$15,0)</f>
        <v>1.7442</v>
      </c>
      <c r="G4249" s="13" t="n">
        <f aca="false">IFERROR(IF(Kalender!A223="",0,J4248*(1-Eingaben!$B$20)),0)</f>
        <v>1.709316</v>
      </c>
      <c r="H4249" s="13" t="n">
        <f aca="false">MIN(G4249,D4249)</f>
        <v>0.89</v>
      </c>
      <c r="I4249" s="13" t="n">
        <f aca="false">IFERROR(MIN(F4249*Eingaben!$B$19,MAX(0,D4249-H4249)),0)</f>
        <v>0</v>
      </c>
      <c r="J4249" s="13" t="n">
        <f aca="false">IFERROR(MIN(Eingaben!$B$18,MAX(0,F4249-I4249)),0)</f>
        <v>1.7442</v>
      </c>
      <c r="K4249" s="13" t="n">
        <f aca="false">H4249+I4249</f>
        <v>0.89</v>
      </c>
      <c r="L4249" s="13" t="n">
        <f aca="false">MAX(0,D4249-K4249)</f>
        <v>0</v>
      </c>
      <c r="M4249" s="13" t="n">
        <f aca="false">MAX(0,F4249-I4249-J4249)</f>
        <v>0</v>
      </c>
      <c r="N4249" s="13" t="n">
        <f aca="false">IF(Kalender!A223="",0,J4248-H4249)</f>
        <v>0.8542</v>
      </c>
    </row>
    <row r="4250" customFormat="false" ht="16.4" hidden="false" customHeight="false" outlineLevel="0" collapsed="false">
      <c r="A4250" s="13" t="str">
        <f aca="false">""</f>
        <v/>
      </c>
      <c r="B4250" s="13" t="n">
        <f aca="false">220</f>
        <v>220</v>
      </c>
      <c r="C4250" s="13" t="n">
        <f aca="false">IF(Szenarien!$H$22="OK",(IFERROR(SUMIF(Nutzungsprofile!$B$6:$B$11,"Schulbetrieb",Nutzungsprofile!$G$6:$G$11)*Kalender!C224/SUM(Kalender!$C$5:$C$370),0)+IFERROR(SUMIF(Nutzungsprofile!$B$6:$B$11,"Halle",Nutzungsprofile!$G$6:$G$11)*Kalender!D224/SUM(Kalender!$D$5:$D$370),0)+IFERROR(SUMIF(Nutzungsprofile!$B$6:$B$11,"Individuell",Nutzungsprofile!$G$6:$G$11)*Kalender!E224/SUM(Kalender!$E$5:$E$370),0))*Szenarien!$E$22,0)</f>
        <v>2.04</v>
      </c>
      <c r="D4250" s="13" t="n">
        <f aca="false">IF(Szenarien!$H$22="OK",(IFERROR(SUMIF(Nutzungsprofile!$B$17:$B$22,"Schulbetrieb",Nutzungsprofile!$G$17:$G$22)*Kalender!C224/SUM(Kalender!$C$5:$C$370),0)+IFERROR(SUMIF(Nutzungsprofile!$B$17:$B$22,"Halle",Nutzungsprofile!$G$17:$G$22)*Kalender!D224/SUM(Kalender!$D$5:$D$370),0)+IFERROR(SUMIF(Nutzungsprofile!$B$17:$B$22,"Individuell",Nutzungsprofile!$G$17:$G$22)*Kalender!E224/SUM(Kalender!$E$5:$E$370),0))*Szenarien!$D$22,0)</f>
        <v>0.89</v>
      </c>
      <c r="E4250" s="13" t="n">
        <f aca="false">IFERROR(MIN(C4250,Eingaben!$B$17)*Eingaben!$B$16,0)</f>
        <v>1.938</v>
      </c>
      <c r="F4250" s="13" t="n">
        <f aca="false">IFERROR(E4250*Eingaben!$B$15,0)</f>
        <v>1.7442</v>
      </c>
      <c r="G4250" s="13" t="n">
        <f aca="false">IFERROR(IF(Kalender!A224="",0,J4249*(1-Eingaben!$B$20)),0)</f>
        <v>1.709316</v>
      </c>
      <c r="H4250" s="13" t="n">
        <f aca="false">MIN(G4250,D4250)</f>
        <v>0.89</v>
      </c>
      <c r="I4250" s="13" t="n">
        <f aca="false">IFERROR(MIN(F4250*Eingaben!$B$19,MAX(0,D4250-H4250)),0)</f>
        <v>0</v>
      </c>
      <c r="J4250" s="13" t="n">
        <f aca="false">IFERROR(MIN(Eingaben!$B$18,MAX(0,F4250-I4250)),0)</f>
        <v>1.7442</v>
      </c>
      <c r="K4250" s="13" t="n">
        <f aca="false">H4250+I4250</f>
        <v>0.89</v>
      </c>
      <c r="L4250" s="13" t="n">
        <f aca="false">MAX(0,D4250-K4250)</f>
        <v>0</v>
      </c>
      <c r="M4250" s="13" t="n">
        <f aca="false">MAX(0,F4250-I4250-J4250)</f>
        <v>0</v>
      </c>
      <c r="N4250" s="13" t="n">
        <f aca="false">IF(Kalender!A224="",0,J4249-H4250)</f>
        <v>0.8542</v>
      </c>
    </row>
    <row r="4251" customFormat="false" ht="16.4" hidden="false" customHeight="false" outlineLevel="0" collapsed="false">
      <c r="A4251" s="13" t="str">
        <f aca="false">""</f>
        <v/>
      </c>
      <c r="B4251" s="13" t="n">
        <f aca="false">221</f>
        <v>221</v>
      </c>
      <c r="C4251" s="13" t="n">
        <f aca="false">IF(Szenarien!$H$22="OK",(IFERROR(SUMIF(Nutzungsprofile!$B$6:$B$11,"Schulbetrieb",Nutzungsprofile!$G$6:$G$11)*Kalender!C225/SUM(Kalender!$C$5:$C$370),0)+IFERROR(SUMIF(Nutzungsprofile!$B$6:$B$11,"Halle",Nutzungsprofile!$G$6:$G$11)*Kalender!D225/SUM(Kalender!$D$5:$D$370),0)+IFERROR(SUMIF(Nutzungsprofile!$B$6:$B$11,"Individuell",Nutzungsprofile!$G$6:$G$11)*Kalender!E225/SUM(Kalender!$E$5:$E$370),0))*Szenarien!$E$22,0)</f>
        <v>2.04</v>
      </c>
      <c r="D4251" s="13" t="n">
        <f aca="false">IF(Szenarien!$H$22="OK",(IFERROR(SUMIF(Nutzungsprofile!$B$17:$B$22,"Schulbetrieb",Nutzungsprofile!$G$17:$G$22)*Kalender!C225/SUM(Kalender!$C$5:$C$370),0)+IFERROR(SUMIF(Nutzungsprofile!$B$17:$B$22,"Halle",Nutzungsprofile!$G$17:$G$22)*Kalender!D225/SUM(Kalender!$D$5:$D$370),0)+IFERROR(SUMIF(Nutzungsprofile!$B$17:$B$22,"Individuell",Nutzungsprofile!$G$17:$G$22)*Kalender!E225/SUM(Kalender!$E$5:$E$370),0))*Szenarien!$D$22,0)</f>
        <v>0.89</v>
      </c>
      <c r="E4251" s="13" t="n">
        <f aca="false">IFERROR(MIN(C4251,Eingaben!$B$17)*Eingaben!$B$16,0)</f>
        <v>1.938</v>
      </c>
      <c r="F4251" s="13" t="n">
        <f aca="false">IFERROR(E4251*Eingaben!$B$15,0)</f>
        <v>1.7442</v>
      </c>
      <c r="G4251" s="13" t="n">
        <f aca="false">IFERROR(IF(Kalender!A225="",0,J4250*(1-Eingaben!$B$20)),0)</f>
        <v>1.709316</v>
      </c>
      <c r="H4251" s="13" t="n">
        <f aca="false">MIN(G4251,D4251)</f>
        <v>0.89</v>
      </c>
      <c r="I4251" s="13" t="n">
        <f aca="false">IFERROR(MIN(F4251*Eingaben!$B$19,MAX(0,D4251-H4251)),0)</f>
        <v>0</v>
      </c>
      <c r="J4251" s="13" t="n">
        <f aca="false">IFERROR(MIN(Eingaben!$B$18,MAX(0,F4251-I4251)),0)</f>
        <v>1.7442</v>
      </c>
      <c r="K4251" s="13" t="n">
        <f aca="false">H4251+I4251</f>
        <v>0.89</v>
      </c>
      <c r="L4251" s="13" t="n">
        <f aca="false">MAX(0,D4251-K4251)</f>
        <v>0</v>
      </c>
      <c r="M4251" s="13" t="n">
        <f aca="false">MAX(0,F4251-I4251-J4251)</f>
        <v>0</v>
      </c>
      <c r="N4251" s="13" t="n">
        <f aca="false">IF(Kalender!A225="",0,J4250-H4251)</f>
        <v>0.8542</v>
      </c>
    </row>
    <row r="4252" customFormat="false" ht="16.4" hidden="false" customHeight="false" outlineLevel="0" collapsed="false">
      <c r="A4252" s="13" t="str">
        <f aca="false">""</f>
        <v/>
      </c>
      <c r="B4252" s="13" t="n">
        <f aca="false">222</f>
        <v>222</v>
      </c>
      <c r="C4252" s="13" t="n">
        <f aca="false">IF(Szenarien!$H$22="OK",(IFERROR(SUMIF(Nutzungsprofile!$B$6:$B$11,"Schulbetrieb",Nutzungsprofile!$G$6:$G$11)*Kalender!C226/SUM(Kalender!$C$5:$C$370),0)+IFERROR(SUMIF(Nutzungsprofile!$B$6:$B$11,"Halle",Nutzungsprofile!$G$6:$G$11)*Kalender!D226/SUM(Kalender!$D$5:$D$370),0)+IFERROR(SUMIF(Nutzungsprofile!$B$6:$B$11,"Individuell",Nutzungsprofile!$G$6:$G$11)*Kalender!E226/SUM(Kalender!$E$5:$E$370),0))*Szenarien!$E$22,0)</f>
        <v>2.04</v>
      </c>
      <c r="D4252" s="13" t="n">
        <f aca="false">IF(Szenarien!$H$22="OK",(IFERROR(SUMIF(Nutzungsprofile!$B$17:$B$22,"Schulbetrieb",Nutzungsprofile!$G$17:$G$22)*Kalender!C226/SUM(Kalender!$C$5:$C$370),0)+IFERROR(SUMIF(Nutzungsprofile!$B$17:$B$22,"Halle",Nutzungsprofile!$G$17:$G$22)*Kalender!D226/SUM(Kalender!$D$5:$D$370),0)+IFERROR(SUMIF(Nutzungsprofile!$B$17:$B$22,"Individuell",Nutzungsprofile!$G$17:$G$22)*Kalender!E226/SUM(Kalender!$E$5:$E$370),0))*Szenarien!$D$22,0)</f>
        <v>0.89</v>
      </c>
      <c r="E4252" s="13" t="n">
        <f aca="false">IFERROR(MIN(C4252,Eingaben!$B$17)*Eingaben!$B$16,0)</f>
        <v>1.938</v>
      </c>
      <c r="F4252" s="13" t="n">
        <f aca="false">IFERROR(E4252*Eingaben!$B$15,0)</f>
        <v>1.7442</v>
      </c>
      <c r="G4252" s="13" t="n">
        <f aca="false">IFERROR(IF(Kalender!A226="",0,J4251*(1-Eingaben!$B$20)),0)</f>
        <v>1.709316</v>
      </c>
      <c r="H4252" s="13" t="n">
        <f aca="false">MIN(G4252,D4252)</f>
        <v>0.89</v>
      </c>
      <c r="I4252" s="13" t="n">
        <f aca="false">IFERROR(MIN(F4252*Eingaben!$B$19,MAX(0,D4252-H4252)),0)</f>
        <v>0</v>
      </c>
      <c r="J4252" s="13" t="n">
        <f aca="false">IFERROR(MIN(Eingaben!$B$18,MAX(0,F4252-I4252)),0)</f>
        <v>1.7442</v>
      </c>
      <c r="K4252" s="13" t="n">
        <f aca="false">H4252+I4252</f>
        <v>0.89</v>
      </c>
      <c r="L4252" s="13" t="n">
        <f aca="false">MAX(0,D4252-K4252)</f>
        <v>0</v>
      </c>
      <c r="M4252" s="13" t="n">
        <f aca="false">MAX(0,F4252-I4252-J4252)</f>
        <v>0</v>
      </c>
      <c r="N4252" s="13" t="n">
        <f aca="false">IF(Kalender!A226="",0,J4251-H4252)</f>
        <v>0.8542</v>
      </c>
    </row>
    <row r="4253" customFormat="false" ht="16.4" hidden="false" customHeight="false" outlineLevel="0" collapsed="false">
      <c r="A4253" s="13" t="str">
        <f aca="false">""</f>
        <v/>
      </c>
      <c r="B4253" s="13" t="n">
        <f aca="false">223</f>
        <v>223</v>
      </c>
      <c r="C4253" s="13" t="n">
        <f aca="false">IF(Szenarien!$H$22="OK",(IFERROR(SUMIF(Nutzungsprofile!$B$6:$B$11,"Schulbetrieb",Nutzungsprofile!$G$6:$G$11)*Kalender!C227/SUM(Kalender!$C$5:$C$370),0)+IFERROR(SUMIF(Nutzungsprofile!$B$6:$B$11,"Halle",Nutzungsprofile!$G$6:$G$11)*Kalender!D227/SUM(Kalender!$D$5:$D$370),0)+IFERROR(SUMIF(Nutzungsprofile!$B$6:$B$11,"Individuell",Nutzungsprofile!$G$6:$G$11)*Kalender!E227/SUM(Kalender!$E$5:$E$370),0))*Szenarien!$E$22,0)</f>
        <v>2.04</v>
      </c>
      <c r="D4253" s="13" t="n">
        <f aca="false">IF(Szenarien!$H$22="OK",(IFERROR(SUMIF(Nutzungsprofile!$B$17:$B$22,"Schulbetrieb",Nutzungsprofile!$G$17:$G$22)*Kalender!C227/SUM(Kalender!$C$5:$C$370),0)+IFERROR(SUMIF(Nutzungsprofile!$B$17:$B$22,"Halle",Nutzungsprofile!$G$17:$G$22)*Kalender!D227/SUM(Kalender!$D$5:$D$370),0)+IFERROR(SUMIF(Nutzungsprofile!$B$17:$B$22,"Individuell",Nutzungsprofile!$G$17:$G$22)*Kalender!E227/SUM(Kalender!$E$5:$E$370),0))*Szenarien!$D$22,0)</f>
        <v>0.89</v>
      </c>
      <c r="E4253" s="13" t="n">
        <f aca="false">IFERROR(MIN(C4253,Eingaben!$B$17)*Eingaben!$B$16,0)</f>
        <v>1.938</v>
      </c>
      <c r="F4253" s="13" t="n">
        <f aca="false">IFERROR(E4253*Eingaben!$B$15,0)</f>
        <v>1.7442</v>
      </c>
      <c r="G4253" s="13" t="n">
        <f aca="false">IFERROR(IF(Kalender!A227="",0,J4252*(1-Eingaben!$B$20)),0)</f>
        <v>1.709316</v>
      </c>
      <c r="H4253" s="13" t="n">
        <f aca="false">MIN(G4253,D4253)</f>
        <v>0.89</v>
      </c>
      <c r="I4253" s="13" t="n">
        <f aca="false">IFERROR(MIN(F4253*Eingaben!$B$19,MAX(0,D4253-H4253)),0)</f>
        <v>0</v>
      </c>
      <c r="J4253" s="13" t="n">
        <f aca="false">IFERROR(MIN(Eingaben!$B$18,MAX(0,F4253-I4253)),0)</f>
        <v>1.7442</v>
      </c>
      <c r="K4253" s="13" t="n">
        <f aca="false">H4253+I4253</f>
        <v>0.89</v>
      </c>
      <c r="L4253" s="13" t="n">
        <f aca="false">MAX(0,D4253-K4253)</f>
        <v>0</v>
      </c>
      <c r="M4253" s="13" t="n">
        <f aca="false">MAX(0,F4253-I4253-J4253)</f>
        <v>0</v>
      </c>
      <c r="N4253" s="13" t="n">
        <f aca="false">IF(Kalender!A227="",0,J4252-H4253)</f>
        <v>0.8542</v>
      </c>
    </row>
    <row r="4254" customFormat="false" ht="16.4" hidden="false" customHeight="false" outlineLevel="0" collapsed="false">
      <c r="A4254" s="13" t="str">
        <f aca="false">""</f>
        <v/>
      </c>
      <c r="B4254" s="13" t="n">
        <f aca="false">224</f>
        <v>224</v>
      </c>
      <c r="C4254" s="13" t="n">
        <f aca="false">IF(Szenarien!$H$22="OK",(IFERROR(SUMIF(Nutzungsprofile!$B$6:$B$11,"Schulbetrieb",Nutzungsprofile!$G$6:$G$11)*Kalender!C228/SUM(Kalender!$C$5:$C$370),0)+IFERROR(SUMIF(Nutzungsprofile!$B$6:$B$11,"Halle",Nutzungsprofile!$G$6:$G$11)*Kalender!D228/SUM(Kalender!$D$5:$D$370),0)+IFERROR(SUMIF(Nutzungsprofile!$B$6:$B$11,"Individuell",Nutzungsprofile!$G$6:$G$11)*Kalender!E228/SUM(Kalender!$E$5:$E$370),0))*Szenarien!$E$22,0)</f>
        <v>2.04</v>
      </c>
      <c r="D4254" s="13" t="n">
        <f aca="false">IF(Szenarien!$H$22="OK",(IFERROR(SUMIF(Nutzungsprofile!$B$17:$B$22,"Schulbetrieb",Nutzungsprofile!$G$17:$G$22)*Kalender!C228/SUM(Kalender!$C$5:$C$370),0)+IFERROR(SUMIF(Nutzungsprofile!$B$17:$B$22,"Halle",Nutzungsprofile!$G$17:$G$22)*Kalender!D228/SUM(Kalender!$D$5:$D$370),0)+IFERROR(SUMIF(Nutzungsprofile!$B$17:$B$22,"Individuell",Nutzungsprofile!$G$17:$G$22)*Kalender!E228/SUM(Kalender!$E$5:$E$370),0))*Szenarien!$D$22,0)</f>
        <v>0.89</v>
      </c>
      <c r="E4254" s="13" t="n">
        <f aca="false">IFERROR(MIN(C4254,Eingaben!$B$17)*Eingaben!$B$16,0)</f>
        <v>1.938</v>
      </c>
      <c r="F4254" s="13" t="n">
        <f aca="false">IFERROR(E4254*Eingaben!$B$15,0)</f>
        <v>1.7442</v>
      </c>
      <c r="G4254" s="13" t="n">
        <f aca="false">IFERROR(IF(Kalender!A228="",0,J4253*(1-Eingaben!$B$20)),0)</f>
        <v>1.709316</v>
      </c>
      <c r="H4254" s="13" t="n">
        <f aca="false">MIN(G4254,D4254)</f>
        <v>0.89</v>
      </c>
      <c r="I4254" s="13" t="n">
        <f aca="false">IFERROR(MIN(F4254*Eingaben!$B$19,MAX(0,D4254-H4254)),0)</f>
        <v>0</v>
      </c>
      <c r="J4254" s="13" t="n">
        <f aca="false">IFERROR(MIN(Eingaben!$B$18,MAX(0,F4254-I4254)),0)</f>
        <v>1.7442</v>
      </c>
      <c r="K4254" s="13" t="n">
        <f aca="false">H4254+I4254</f>
        <v>0.89</v>
      </c>
      <c r="L4254" s="13" t="n">
        <f aca="false">MAX(0,D4254-K4254)</f>
        <v>0</v>
      </c>
      <c r="M4254" s="13" t="n">
        <f aca="false">MAX(0,F4254-I4254-J4254)</f>
        <v>0</v>
      </c>
      <c r="N4254" s="13" t="n">
        <f aca="false">IF(Kalender!A228="",0,J4253-H4254)</f>
        <v>0.8542</v>
      </c>
    </row>
    <row r="4255" customFormat="false" ht="16.4" hidden="false" customHeight="false" outlineLevel="0" collapsed="false">
      <c r="A4255" s="13" t="str">
        <f aca="false">""</f>
        <v/>
      </c>
      <c r="B4255" s="13" t="n">
        <f aca="false">225</f>
        <v>225</v>
      </c>
      <c r="C4255" s="13" t="n">
        <f aca="false">IF(Szenarien!$H$22="OK",(IFERROR(SUMIF(Nutzungsprofile!$B$6:$B$11,"Schulbetrieb",Nutzungsprofile!$G$6:$G$11)*Kalender!C229/SUM(Kalender!$C$5:$C$370),0)+IFERROR(SUMIF(Nutzungsprofile!$B$6:$B$11,"Halle",Nutzungsprofile!$G$6:$G$11)*Kalender!D229/SUM(Kalender!$D$5:$D$370),0)+IFERROR(SUMIF(Nutzungsprofile!$B$6:$B$11,"Individuell",Nutzungsprofile!$G$6:$G$11)*Kalender!E229/SUM(Kalender!$E$5:$E$370),0))*Szenarien!$E$22,0)</f>
        <v>2.04</v>
      </c>
      <c r="D4255" s="13" t="n">
        <f aca="false">IF(Szenarien!$H$22="OK",(IFERROR(SUMIF(Nutzungsprofile!$B$17:$B$22,"Schulbetrieb",Nutzungsprofile!$G$17:$G$22)*Kalender!C229/SUM(Kalender!$C$5:$C$370),0)+IFERROR(SUMIF(Nutzungsprofile!$B$17:$B$22,"Halle",Nutzungsprofile!$G$17:$G$22)*Kalender!D229/SUM(Kalender!$D$5:$D$370),0)+IFERROR(SUMIF(Nutzungsprofile!$B$17:$B$22,"Individuell",Nutzungsprofile!$G$17:$G$22)*Kalender!E229/SUM(Kalender!$E$5:$E$370),0))*Szenarien!$D$22,0)</f>
        <v>0.89</v>
      </c>
      <c r="E4255" s="13" t="n">
        <f aca="false">IFERROR(MIN(C4255,Eingaben!$B$17)*Eingaben!$B$16,0)</f>
        <v>1.938</v>
      </c>
      <c r="F4255" s="13" t="n">
        <f aca="false">IFERROR(E4255*Eingaben!$B$15,0)</f>
        <v>1.7442</v>
      </c>
      <c r="G4255" s="13" t="n">
        <f aca="false">IFERROR(IF(Kalender!A229="",0,J4254*(1-Eingaben!$B$20)),0)</f>
        <v>1.709316</v>
      </c>
      <c r="H4255" s="13" t="n">
        <f aca="false">MIN(G4255,D4255)</f>
        <v>0.89</v>
      </c>
      <c r="I4255" s="13" t="n">
        <f aca="false">IFERROR(MIN(F4255*Eingaben!$B$19,MAX(0,D4255-H4255)),0)</f>
        <v>0</v>
      </c>
      <c r="J4255" s="13" t="n">
        <f aca="false">IFERROR(MIN(Eingaben!$B$18,MAX(0,F4255-I4255)),0)</f>
        <v>1.7442</v>
      </c>
      <c r="K4255" s="13" t="n">
        <f aca="false">H4255+I4255</f>
        <v>0.89</v>
      </c>
      <c r="L4255" s="13" t="n">
        <f aca="false">MAX(0,D4255-K4255)</f>
        <v>0</v>
      </c>
      <c r="M4255" s="13" t="n">
        <f aca="false">MAX(0,F4255-I4255-J4255)</f>
        <v>0</v>
      </c>
      <c r="N4255" s="13" t="n">
        <f aca="false">IF(Kalender!A229="",0,J4254-H4255)</f>
        <v>0.8542</v>
      </c>
    </row>
    <row r="4256" customFormat="false" ht="16.4" hidden="false" customHeight="false" outlineLevel="0" collapsed="false">
      <c r="A4256" s="13" t="str">
        <f aca="false">""</f>
        <v/>
      </c>
      <c r="B4256" s="13" t="n">
        <f aca="false">226</f>
        <v>226</v>
      </c>
      <c r="C4256" s="13" t="n">
        <f aca="false">IF(Szenarien!$H$22="OK",(IFERROR(SUMIF(Nutzungsprofile!$B$6:$B$11,"Schulbetrieb",Nutzungsprofile!$G$6:$G$11)*Kalender!C230/SUM(Kalender!$C$5:$C$370),0)+IFERROR(SUMIF(Nutzungsprofile!$B$6:$B$11,"Halle",Nutzungsprofile!$G$6:$G$11)*Kalender!D230/SUM(Kalender!$D$5:$D$370),0)+IFERROR(SUMIF(Nutzungsprofile!$B$6:$B$11,"Individuell",Nutzungsprofile!$G$6:$G$11)*Kalender!E230/SUM(Kalender!$E$5:$E$370),0))*Szenarien!$E$22,0)</f>
        <v>2.04</v>
      </c>
      <c r="D4256" s="13" t="n">
        <f aca="false">IF(Szenarien!$H$22="OK",(IFERROR(SUMIF(Nutzungsprofile!$B$17:$B$22,"Schulbetrieb",Nutzungsprofile!$G$17:$G$22)*Kalender!C230/SUM(Kalender!$C$5:$C$370),0)+IFERROR(SUMIF(Nutzungsprofile!$B$17:$B$22,"Halle",Nutzungsprofile!$G$17:$G$22)*Kalender!D230/SUM(Kalender!$D$5:$D$370),0)+IFERROR(SUMIF(Nutzungsprofile!$B$17:$B$22,"Individuell",Nutzungsprofile!$G$17:$G$22)*Kalender!E230/SUM(Kalender!$E$5:$E$370),0))*Szenarien!$D$22,0)</f>
        <v>0.89</v>
      </c>
      <c r="E4256" s="13" t="n">
        <f aca="false">IFERROR(MIN(C4256,Eingaben!$B$17)*Eingaben!$B$16,0)</f>
        <v>1.938</v>
      </c>
      <c r="F4256" s="13" t="n">
        <f aca="false">IFERROR(E4256*Eingaben!$B$15,0)</f>
        <v>1.7442</v>
      </c>
      <c r="G4256" s="13" t="n">
        <f aca="false">IFERROR(IF(Kalender!A230="",0,J4255*(1-Eingaben!$B$20)),0)</f>
        <v>1.709316</v>
      </c>
      <c r="H4256" s="13" t="n">
        <f aca="false">MIN(G4256,D4256)</f>
        <v>0.89</v>
      </c>
      <c r="I4256" s="13" t="n">
        <f aca="false">IFERROR(MIN(F4256*Eingaben!$B$19,MAX(0,D4256-H4256)),0)</f>
        <v>0</v>
      </c>
      <c r="J4256" s="13" t="n">
        <f aca="false">IFERROR(MIN(Eingaben!$B$18,MAX(0,F4256-I4256)),0)</f>
        <v>1.7442</v>
      </c>
      <c r="K4256" s="13" t="n">
        <f aca="false">H4256+I4256</f>
        <v>0.89</v>
      </c>
      <c r="L4256" s="13" t="n">
        <f aca="false">MAX(0,D4256-K4256)</f>
        <v>0</v>
      </c>
      <c r="M4256" s="13" t="n">
        <f aca="false">MAX(0,F4256-I4256-J4256)</f>
        <v>0</v>
      </c>
      <c r="N4256" s="13" t="n">
        <f aca="false">IF(Kalender!A230="",0,J4255-H4256)</f>
        <v>0.8542</v>
      </c>
    </row>
    <row r="4257" customFormat="false" ht="16.4" hidden="false" customHeight="false" outlineLevel="0" collapsed="false">
      <c r="A4257" s="13" t="str">
        <f aca="false">""</f>
        <v/>
      </c>
      <c r="B4257" s="13" t="n">
        <f aca="false">227</f>
        <v>227</v>
      </c>
      <c r="C4257" s="13" t="n">
        <f aca="false">IF(Szenarien!$H$22="OK",(IFERROR(SUMIF(Nutzungsprofile!$B$6:$B$11,"Schulbetrieb",Nutzungsprofile!$G$6:$G$11)*Kalender!C231/SUM(Kalender!$C$5:$C$370),0)+IFERROR(SUMIF(Nutzungsprofile!$B$6:$B$11,"Halle",Nutzungsprofile!$G$6:$G$11)*Kalender!D231/SUM(Kalender!$D$5:$D$370),0)+IFERROR(SUMIF(Nutzungsprofile!$B$6:$B$11,"Individuell",Nutzungsprofile!$G$6:$G$11)*Kalender!E231/SUM(Kalender!$E$5:$E$370),0))*Szenarien!$E$22,0)</f>
        <v>2.04</v>
      </c>
      <c r="D4257" s="13" t="n">
        <f aca="false">IF(Szenarien!$H$22="OK",(IFERROR(SUMIF(Nutzungsprofile!$B$17:$B$22,"Schulbetrieb",Nutzungsprofile!$G$17:$G$22)*Kalender!C231/SUM(Kalender!$C$5:$C$370),0)+IFERROR(SUMIF(Nutzungsprofile!$B$17:$B$22,"Halle",Nutzungsprofile!$G$17:$G$22)*Kalender!D231/SUM(Kalender!$D$5:$D$370),0)+IFERROR(SUMIF(Nutzungsprofile!$B$17:$B$22,"Individuell",Nutzungsprofile!$G$17:$G$22)*Kalender!E231/SUM(Kalender!$E$5:$E$370),0))*Szenarien!$D$22,0)</f>
        <v>0.89</v>
      </c>
      <c r="E4257" s="13" t="n">
        <f aca="false">IFERROR(MIN(C4257,Eingaben!$B$17)*Eingaben!$B$16,0)</f>
        <v>1.938</v>
      </c>
      <c r="F4257" s="13" t="n">
        <f aca="false">IFERROR(E4257*Eingaben!$B$15,0)</f>
        <v>1.7442</v>
      </c>
      <c r="G4257" s="13" t="n">
        <f aca="false">IFERROR(IF(Kalender!A231="",0,J4256*(1-Eingaben!$B$20)),0)</f>
        <v>1.709316</v>
      </c>
      <c r="H4257" s="13" t="n">
        <f aca="false">MIN(G4257,D4257)</f>
        <v>0.89</v>
      </c>
      <c r="I4257" s="13" t="n">
        <f aca="false">IFERROR(MIN(F4257*Eingaben!$B$19,MAX(0,D4257-H4257)),0)</f>
        <v>0</v>
      </c>
      <c r="J4257" s="13" t="n">
        <f aca="false">IFERROR(MIN(Eingaben!$B$18,MAX(0,F4257-I4257)),0)</f>
        <v>1.7442</v>
      </c>
      <c r="K4257" s="13" t="n">
        <f aca="false">H4257+I4257</f>
        <v>0.89</v>
      </c>
      <c r="L4257" s="13" t="n">
        <f aca="false">MAX(0,D4257-K4257)</f>
        <v>0</v>
      </c>
      <c r="M4257" s="13" t="n">
        <f aca="false">MAX(0,F4257-I4257-J4257)</f>
        <v>0</v>
      </c>
      <c r="N4257" s="13" t="n">
        <f aca="false">IF(Kalender!A231="",0,J4256-H4257)</f>
        <v>0.8542</v>
      </c>
    </row>
    <row r="4258" customFormat="false" ht="16.4" hidden="false" customHeight="false" outlineLevel="0" collapsed="false">
      <c r="A4258" s="13" t="str">
        <f aca="false">""</f>
        <v/>
      </c>
      <c r="B4258" s="13" t="n">
        <f aca="false">228</f>
        <v>228</v>
      </c>
      <c r="C4258" s="13" t="n">
        <f aca="false">IF(Szenarien!$H$22="OK",(IFERROR(SUMIF(Nutzungsprofile!$B$6:$B$11,"Schulbetrieb",Nutzungsprofile!$G$6:$G$11)*Kalender!C232/SUM(Kalender!$C$5:$C$370),0)+IFERROR(SUMIF(Nutzungsprofile!$B$6:$B$11,"Halle",Nutzungsprofile!$G$6:$G$11)*Kalender!D232/SUM(Kalender!$D$5:$D$370),0)+IFERROR(SUMIF(Nutzungsprofile!$B$6:$B$11,"Individuell",Nutzungsprofile!$G$6:$G$11)*Kalender!E232/SUM(Kalender!$E$5:$E$370),0))*Szenarien!$E$22,0)</f>
        <v>2.04</v>
      </c>
      <c r="D4258" s="13" t="n">
        <f aca="false">IF(Szenarien!$H$22="OK",(IFERROR(SUMIF(Nutzungsprofile!$B$17:$B$22,"Schulbetrieb",Nutzungsprofile!$G$17:$G$22)*Kalender!C232/SUM(Kalender!$C$5:$C$370),0)+IFERROR(SUMIF(Nutzungsprofile!$B$17:$B$22,"Halle",Nutzungsprofile!$G$17:$G$22)*Kalender!D232/SUM(Kalender!$D$5:$D$370),0)+IFERROR(SUMIF(Nutzungsprofile!$B$17:$B$22,"Individuell",Nutzungsprofile!$G$17:$G$22)*Kalender!E232/SUM(Kalender!$E$5:$E$370),0))*Szenarien!$D$22,0)</f>
        <v>0.89</v>
      </c>
      <c r="E4258" s="13" t="n">
        <f aca="false">IFERROR(MIN(C4258,Eingaben!$B$17)*Eingaben!$B$16,0)</f>
        <v>1.938</v>
      </c>
      <c r="F4258" s="13" t="n">
        <f aca="false">IFERROR(E4258*Eingaben!$B$15,0)</f>
        <v>1.7442</v>
      </c>
      <c r="G4258" s="13" t="n">
        <f aca="false">IFERROR(IF(Kalender!A232="",0,J4257*(1-Eingaben!$B$20)),0)</f>
        <v>1.709316</v>
      </c>
      <c r="H4258" s="13" t="n">
        <f aca="false">MIN(G4258,D4258)</f>
        <v>0.89</v>
      </c>
      <c r="I4258" s="13" t="n">
        <f aca="false">IFERROR(MIN(F4258*Eingaben!$B$19,MAX(0,D4258-H4258)),0)</f>
        <v>0</v>
      </c>
      <c r="J4258" s="13" t="n">
        <f aca="false">IFERROR(MIN(Eingaben!$B$18,MAX(0,F4258-I4258)),0)</f>
        <v>1.7442</v>
      </c>
      <c r="K4258" s="13" t="n">
        <f aca="false">H4258+I4258</f>
        <v>0.89</v>
      </c>
      <c r="L4258" s="13" t="n">
        <f aca="false">MAX(0,D4258-K4258)</f>
        <v>0</v>
      </c>
      <c r="M4258" s="13" t="n">
        <f aca="false">MAX(0,F4258-I4258-J4258)</f>
        <v>0</v>
      </c>
      <c r="N4258" s="13" t="n">
        <f aca="false">IF(Kalender!A232="",0,J4257-H4258)</f>
        <v>0.8542</v>
      </c>
    </row>
    <row r="4259" customFormat="false" ht="16.4" hidden="false" customHeight="false" outlineLevel="0" collapsed="false">
      <c r="A4259" s="13" t="str">
        <f aca="false">""</f>
        <v/>
      </c>
      <c r="B4259" s="13" t="n">
        <f aca="false">229</f>
        <v>229</v>
      </c>
      <c r="C4259" s="13" t="n">
        <f aca="false">IF(Szenarien!$H$22="OK",(IFERROR(SUMIF(Nutzungsprofile!$B$6:$B$11,"Schulbetrieb",Nutzungsprofile!$G$6:$G$11)*Kalender!C233/SUM(Kalender!$C$5:$C$370),0)+IFERROR(SUMIF(Nutzungsprofile!$B$6:$B$11,"Halle",Nutzungsprofile!$G$6:$G$11)*Kalender!D233/SUM(Kalender!$D$5:$D$370),0)+IFERROR(SUMIF(Nutzungsprofile!$B$6:$B$11,"Individuell",Nutzungsprofile!$G$6:$G$11)*Kalender!E233/SUM(Kalender!$E$5:$E$370),0))*Szenarien!$E$22,0)</f>
        <v>2.04</v>
      </c>
      <c r="D4259" s="13" t="n">
        <f aca="false">IF(Szenarien!$H$22="OK",(IFERROR(SUMIF(Nutzungsprofile!$B$17:$B$22,"Schulbetrieb",Nutzungsprofile!$G$17:$G$22)*Kalender!C233/SUM(Kalender!$C$5:$C$370),0)+IFERROR(SUMIF(Nutzungsprofile!$B$17:$B$22,"Halle",Nutzungsprofile!$G$17:$G$22)*Kalender!D233/SUM(Kalender!$D$5:$D$370),0)+IFERROR(SUMIF(Nutzungsprofile!$B$17:$B$22,"Individuell",Nutzungsprofile!$G$17:$G$22)*Kalender!E233/SUM(Kalender!$E$5:$E$370),0))*Szenarien!$D$22,0)</f>
        <v>0.89</v>
      </c>
      <c r="E4259" s="13" t="n">
        <f aca="false">IFERROR(MIN(C4259,Eingaben!$B$17)*Eingaben!$B$16,0)</f>
        <v>1.938</v>
      </c>
      <c r="F4259" s="13" t="n">
        <f aca="false">IFERROR(E4259*Eingaben!$B$15,0)</f>
        <v>1.7442</v>
      </c>
      <c r="G4259" s="13" t="n">
        <f aca="false">IFERROR(IF(Kalender!A233="",0,J4258*(1-Eingaben!$B$20)),0)</f>
        <v>1.709316</v>
      </c>
      <c r="H4259" s="13" t="n">
        <f aca="false">MIN(G4259,D4259)</f>
        <v>0.89</v>
      </c>
      <c r="I4259" s="13" t="n">
        <f aca="false">IFERROR(MIN(F4259*Eingaben!$B$19,MAX(0,D4259-H4259)),0)</f>
        <v>0</v>
      </c>
      <c r="J4259" s="13" t="n">
        <f aca="false">IFERROR(MIN(Eingaben!$B$18,MAX(0,F4259-I4259)),0)</f>
        <v>1.7442</v>
      </c>
      <c r="K4259" s="13" t="n">
        <f aca="false">H4259+I4259</f>
        <v>0.89</v>
      </c>
      <c r="L4259" s="13" t="n">
        <f aca="false">MAX(0,D4259-K4259)</f>
        <v>0</v>
      </c>
      <c r="M4259" s="13" t="n">
        <f aca="false">MAX(0,F4259-I4259-J4259)</f>
        <v>0</v>
      </c>
      <c r="N4259" s="13" t="n">
        <f aca="false">IF(Kalender!A233="",0,J4258-H4259)</f>
        <v>0.8542</v>
      </c>
    </row>
    <row r="4260" customFormat="false" ht="16.4" hidden="false" customHeight="false" outlineLevel="0" collapsed="false">
      <c r="A4260" s="13" t="str">
        <f aca="false">""</f>
        <v/>
      </c>
      <c r="B4260" s="13" t="n">
        <f aca="false">230</f>
        <v>230</v>
      </c>
      <c r="C4260" s="13" t="n">
        <f aca="false">IF(Szenarien!$H$22="OK",(IFERROR(SUMIF(Nutzungsprofile!$B$6:$B$11,"Schulbetrieb",Nutzungsprofile!$G$6:$G$11)*Kalender!C234/SUM(Kalender!$C$5:$C$370),0)+IFERROR(SUMIF(Nutzungsprofile!$B$6:$B$11,"Halle",Nutzungsprofile!$G$6:$G$11)*Kalender!D234/SUM(Kalender!$D$5:$D$370),0)+IFERROR(SUMIF(Nutzungsprofile!$B$6:$B$11,"Individuell",Nutzungsprofile!$G$6:$G$11)*Kalender!E234/SUM(Kalender!$E$5:$E$370),0))*Szenarien!$E$22,0)</f>
        <v>2.04</v>
      </c>
      <c r="D4260" s="13" t="n">
        <f aca="false">IF(Szenarien!$H$22="OK",(IFERROR(SUMIF(Nutzungsprofile!$B$17:$B$22,"Schulbetrieb",Nutzungsprofile!$G$17:$G$22)*Kalender!C234/SUM(Kalender!$C$5:$C$370),0)+IFERROR(SUMIF(Nutzungsprofile!$B$17:$B$22,"Halle",Nutzungsprofile!$G$17:$G$22)*Kalender!D234/SUM(Kalender!$D$5:$D$370),0)+IFERROR(SUMIF(Nutzungsprofile!$B$17:$B$22,"Individuell",Nutzungsprofile!$G$17:$G$22)*Kalender!E234/SUM(Kalender!$E$5:$E$370),0))*Szenarien!$D$22,0)</f>
        <v>0.89</v>
      </c>
      <c r="E4260" s="13" t="n">
        <f aca="false">IFERROR(MIN(C4260,Eingaben!$B$17)*Eingaben!$B$16,0)</f>
        <v>1.938</v>
      </c>
      <c r="F4260" s="13" t="n">
        <f aca="false">IFERROR(E4260*Eingaben!$B$15,0)</f>
        <v>1.7442</v>
      </c>
      <c r="G4260" s="13" t="n">
        <f aca="false">IFERROR(IF(Kalender!A234="",0,J4259*(1-Eingaben!$B$20)),0)</f>
        <v>1.709316</v>
      </c>
      <c r="H4260" s="13" t="n">
        <f aca="false">MIN(G4260,D4260)</f>
        <v>0.89</v>
      </c>
      <c r="I4260" s="13" t="n">
        <f aca="false">IFERROR(MIN(F4260*Eingaben!$B$19,MAX(0,D4260-H4260)),0)</f>
        <v>0</v>
      </c>
      <c r="J4260" s="13" t="n">
        <f aca="false">IFERROR(MIN(Eingaben!$B$18,MAX(0,F4260-I4260)),0)</f>
        <v>1.7442</v>
      </c>
      <c r="K4260" s="13" t="n">
        <f aca="false">H4260+I4260</f>
        <v>0.89</v>
      </c>
      <c r="L4260" s="13" t="n">
        <f aca="false">MAX(0,D4260-K4260)</f>
        <v>0</v>
      </c>
      <c r="M4260" s="13" t="n">
        <f aca="false">MAX(0,F4260-I4260-J4260)</f>
        <v>0</v>
      </c>
      <c r="N4260" s="13" t="n">
        <f aca="false">IF(Kalender!A234="",0,J4259-H4260)</f>
        <v>0.8542</v>
      </c>
    </row>
    <row r="4261" customFormat="false" ht="16.4" hidden="false" customHeight="false" outlineLevel="0" collapsed="false">
      <c r="A4261" s="13" t="str">
        <f aca="false">""</f>
        <v/>
      </c>
      <c r="B4261" s="13" t="n">
        <f aca="false">231</f>
        <v>231</v>
      </c>
      <c r="C4261" s="13" t="n">
        <f aca="false">IF(Szenarien!$H$22="OK",(IFERROR(SUMIF(Nutzungsprofile!$B$6:$B$11,"Schulbetrieb",Nutzungsprofile!$G$6:$G$11)*Kalender!C235/SUM(Kalender!$C$5:$C$370),0)+IFERROR(SUMIF(Nutzungsprofile!$B$6:$B$11,"Halle",Nutzungsprofile!$G$6:$G$11)*Kalender!D235/SUM(Kalender!$D$5:$D$370),0)+IFERROR(SUMIF(Nutzungsprofile!$B$6:$B$11,"Individuell",Nutzungsprofile!$G$6:$G$11)*Kalender!E235/SUM(Kalender!$E$5:$E$370),0))*Szenarien!$E$22,0)</f>
        <v>2.04</v>
      </c>
      <c r="D4261" s="13" t="n">
        <f aca="false">IF(Szenarien!$H$22="OK",(IFERROR(SUMIF(Nutzungsprofile!$B$17:$B$22,"Schulbetrieb",Nutzungsprofile!$G$17:$G$22)*Kalender!C235/SUM(Kalender!$C$5:$C$370),0)+IFERROR(SUMIF(Nutzungsprofile!$B$17:$B$22,"Halle",Nutzungsprofile!$G$17:$G$22)*Kalender!D235/SUM(Kalender!$D$5:$D$370),0)+IFERROR(SUMIF(Nutzungsprofile!$B$17:$B$22,"Individuell",Nutzungsprofile!$G$17:$G$22)*Kalender!E235/SUM(Kalender!$E$5:$E$370),0))*Szenarien!$D$22,0)</f>
        <v>0.89</v>
      </c>
      <c r="E4261" s="13" t="n">
        <f aca="false">IFERROR(MIN(C4261,Eingaben!$B$17)*Eingaben!$B$16,0)</f>
        <v>1.938</v>
      </c>
      <c r="F4261" s="13" t="n">
        <f aca="false">IFERROR(E4261*Eingaben!$B$15,0)</f>
        <v>1.7442</v>
      </c>
      <c r="G4261" s="13" t="n">
        <f aca="false">IFERROR(IF(Kalender!A235="",0,J4260*(1-Eingaben!$B$20)),0)</f>
        <v>1.709316</v>
      </c>
      <c r="H4261" s="13" t="n">
        <f aca="false">MIN(G4261,D4261)</f>
        <v>0.89</v>
      </c>
      <c r="I4261" s="13" t="n">
        <f aca="false">IFERROR(MIN(F4261*Eingaben!$B$19,MAX(0,D4261-H4261)),0)</f>
        <v>0</v>
      </c>
      <c r="J4261" s="13" t="n">
        <f aca="false">IFERROR(MIN(Eingaben!$B$18,MAX(0,F4261-I4261)),0)</f>
        <v>1.7442</v>
      </c>
      <c r="K4261" s="13" t="n">
        <f aca="false">H4261+I4261</f>
        <v>0.89</v>
      </c>
      <c r="L4261" s="13" t="n">
        <f aca="false">MAX(0,D4261-K4261)</f>
        <v>0</v>
      </c>
      <c r="M4261" s="13" t="n">
        <f aca="false">MAX(0,F4261-I4261-J4261)</f>
        <v>0</v>
      </c>
      <c r="N4261" s="13" t="n">
        <f aca="false">IF(Kalender!A235="",0,J4260-H4261)</f>
        <v>0.8542</v>
      </c>
    </row>
    <row r="4262" customFormat="false" ht="16.4" hidden="false" customHeight="false" outlineLevel="0" collapsed="false">
      <c r="A4262" s="13" t="str">
        <f aca="false">""</f>
        <v/>
      </c>
      <c r="B4262" s="13" t="n">
        <f aca="false">232</f>
        <v>232</v>
      </c>
      <c r="C4262" s="13" t="n">
        <f aca="false">IF(Szenarien!$H$22="OK",(IFERROR(SUMIF(Nutzungsprofile!$B$6:$B$11,"Schulbetrieb",Nutzungsprofile!$G$6:$G$11)*Kalender!C236/SUM(Kalender!$C$5:$C$370),0)+IFERROR(SUMIF(Nutzungsprofile!$B$6:$B$11,"Halle",Nutzungsprofile!$G$6:$G$11)*Kalender!D236/SUM(Kalender!$D$5:$D$370),0)+IFERROR(SUMIF(Nutzungsprofile!$B$6:$B$11,"Individuell",Nutzungsprofile!$G$6:$G$11)*Kalender!E236/SUM(Kalender!$E$5:$E$370),0))*Szenarien!$E$22,0)</f>
        <v>2.04</v>
      </c>
      <c r="D4262" s="13" t="n">
        <f aca="false">IF(Szenarien!$H$22="OK",(IFERROR(SUMIF(Nutzungsprofile!$B$17:$B$22,"Schulbetrieb",Nutzungsprofile!$G$17:$G$22)*Kalender!C236/SUM(Kalender!$C$5:$C$370),0)+IFERROR(SUMIF(Nutzungsprofile!$B$17:$B$22,"Halle",Nutzungsprofile!$G$17:$G$22)*Kalender!D236/SUM(Kalender!$D$5:$D$370),0)+IFERROR(SUMIF(Nutzungsprofile!$B$17:$B$22,"Individuell",Nutzungsprofile!$G$17:$G$22)*Kalender!E236/SUM(Kalender!$E$5:$E$370),0))*Szenarien!$D$22,0)</f>
        <v>0.89</v>
      </c>
      <c r="E4262" s="13" t="n">
        <f aca="false">IFERROR(MIN(C4262,Eingaben!$B$17)*Eingaben!$B$16,0)</f>
        <v>1.938</v>
      </c>
      <c r="F4262" s="13" t="n">
        <f aca="false">IFERROR(E4262*Eingaben!$B$15,0)</f>
        <v>1.7442</v>
      </c>
      <c r="G4262" s="13" t="n">
        <f aca="false">IFERROR(IF(Kalender!A236="",0,J4261*(1-Eingaben!$B$20)),0)</f>
        <v>1.709316</v>
      </c>
      <c r="H4262" s="13" t="n">
        <f aca="false">MIN(G4262,D4262)</f>
        <v>0.89</v>
      </c>
      <c r="I4262" s="13" t="n">
        <f aca="false">IFERROR(MIN(F4262*Eingaben!$B$19,MAX(0,D4262-H4262)),0)</f>
        <v>0</v>
      </c>
      <c r="J4262" s="13" t="n">
        <f aca="false">IFERROR(MIN(Eingaben!$B$18,MAX(0,F4262-I4262)),0)</f>
        <v>1.7442</v>
      </c>
      <c r="K4262" s="13" t="n">
        <f aca="false">H4262+I4262</f>
        <v>0.89</v>
      </c>
      <c r="L4262" s="13" t="n">
        <f aca="false">MAX(0,D4262-K4262)</f>
        <v>0</v>
      </c>
      <c r="M4262" s="13" t="n">
        <f aca="false">MAX(0,F4262-I4262-J4262)</f>
        <v>0</v>
      </c>
      <c r="N4262" s="13" t="n">
        <f aca="false">IF(Kalender!A236="",0,J4261-H4262)</f>
        <v>0.8542</v>
      </c>
    </row>
    <row r="4263" customFormat="false" ht="16.4" hidden="false" customHeight="false" outlineLevel="0" collapsed="false">
      <c r="A4263" s="13" t="str">
        <f aca="false">""</f>
        <v/>
      </c>
      <c r="B4263" s="13" t="n">
        <f aca="false">233</f>
        <v>233</v>
      </c>
      <c r="C4263" s="13" t="n">
        <f aca="false">IF(Szenarien!$H$22="OK",(IFERROR(SUMIF(Nutzungsprofile!$B$6:$B$11,"Schulbetrieb",Nutzungsprofile!$G$6:$G$11)*Kalender!C237/SUM(Kalender!$C$5:$C$370),0)+IFERROR(SUMIF(Nutzungsprofile!$B$6:$B$11,"Halle",Nutzungsprofile!$G$6:$G$11)*Kalender!D237/SUM(Kalender!$D$5:$D$370),0)+IFERROR(SUMIF(Nutzungsprofile!$B$6:$B$11,"Individuell",Nutzungsprofile!$G$6:$G$11)*Kalender!E237/SUM(Kalender!$E$5:$E$370),0))*Szenarien!$E$22,0)</f>
        <v>2.04</v>
      </c>
      <c r="D4263" s="13" t="n">
        <f aca="false">IF(Szenarien!$H$22="OK",(IFERROR(SUMIF(Nutzungsprofile!$B$17:$B$22,"Schulbetrieb",Nutzungsprofile!$G$17:$G$22)*Kalender!C237/SUM(Kalender!$C$5:$C$370),0)+IFERROR(SUMIF(Nutzungsprofile!$B$17:$B$22,"Halle",Nutzungsprofile!$G$17:$G$22)*Kalender!D237/SUM(Kalender!$D$5:$D$370),0)+IFERROR(SUMIF(Nutzungsprofile!$B$17:$B$22,"Individuell",Nutzungsprofile!$G$17:$G$22)*Kalender!E237/SUM(Kalender!$E$5:$E$370),0))*Szenarien!$D$22,0)</f>
        <v>0.89</v>
      </c>
      <c r="E4263" s="13" t="n">
        <f aca="false">IFERROR(MIN(C4263,Eingaben!$B$17)*Eingaben!$B$16,0)</f>
        <v>1.938</v>
      </c>
      <c r="F4263" s="13" t="n">
        <f aca="false">IFERROR(E4263*Eingaben!$B$15,0)</f>
        <v>1.7442</v>
      </c>
      <c r="G4263" s="13" t="n">
        <f aca="false">IFERROR(IF(Kalender!A237="",0,J4262*(1-Eingaben!$B$20)),0)</f>
        <v>1.709316</v>
      </c>
      <c r="H4263" s="13" t="n">
        <f aca="false">MIN(G4263,D4263)</f>
        <v>0.89</v>
      </c>
      <c r="I4263" s="13" t="n">
        <f aca="false">IFERROR(MIN(F4263*Eingaben!$B$19,MAX(0,D4263-H4263)),0)</f>
        <v>0</v>
      </c>
      <c r="J4263" s="13" t="n">
        <f aca="false">IFERROR(MIN(Eingaben!$B$18,MAX(0,F4263-I4263)),0)</f>
        <v>1.7442</v>
      </c>
      <c r="K4263" s="13" t="n">
        <f aca="false">H4263+I4263</f>
        <v>0.89</v>
      </c>
      <c r="L4263" s="13" t="n">
        <f aca="false">MAX(0,D4263-K4263)</f>
        <v>0</v>
      </c>
      <c r="M4263" s="13" t="n">
        <f aca="false">MAX(0,F4263-I4263-J4263)</f>
        <v>0</v>
      </c>
      <c r="N4263" s="13" t="n">
        <f aca="false">IF(Kalender!A237="",0,J4262-H4263)</f>
        <v>0.8542</v>
      </c>
    </row>
    <row r="4264" customFormat="false" ht="16.4" hidden="false" customHeight="false" outlineLevel="0" collapsed="false">
      <c r="A4264" s="13" t="str">
        <f aca="false">""</f>
        <v/>
      </c>
      <c r="B4264" s="13" t="n">
        <f aca="false">234</f>
        <v>234</v>
      </c>
      <c r="C4264" s="13" t="n">
        <f aca="false">IF(Szenarien!$H$22="OK",(IFERROR(SUMIF(Nutzungsprofile!$B$6:$B$11,"Schulbetrieb",Nutzungsprofile!$G$6:$G$11)*Kalender!C238/SUM(Kalender!$C$5:$C$370),0)+IFERROR(SUMIF(Nutzungsprofile!$B$6:$B$11,"Halle",Nutzungsprofile!$G$6:$G$11)*Kalender!D238/SUM(Kalender!$D$5:$D$370),0)+IFERROR(SUMIF(Nutzungsprofile!$B$6:$B$11,"Individuell",Nutzungsprofile!$G$6:$G$11)*Kalender!E238/SUM(Kalender!$E$5:$E$370),0))*Szenarien!$E$22,0)</f>
        <v>2.04</v>
      </c>
      <c r="D4264" s="13" t="n">
        <f aca="false">IF(Szenarien!$H$22="OK",(IFERROR(SUMIF(Nutzungsprofile!$B$17:$B$22,"Schulbetrieb",Nutzungsprofile!$G$17:$G$22)*Kalender!C238/SUM(Kalender!$C$5:$C$370),0)+IFERROR(SUMIF(Nutzungsprofile!$B$17:$B$22,"Halle",Nutzungsprofile!$G$17:$G$22)*Kalender!D238/SUM(Kalender!$D$5:$D$370),0)+IFERROR(SUMIF(Nutzungsprofile!$B$17:$B$22,"Individuell",Nutzungsprofile!$G$17:$G$22)*Kalender!E238/SUM(Kalender!$E$5:$E$370),0))*Szenarien!$D$22,0)</f>
        <v>0.89</v>
      </c>
      <c r="E4264" s="13" t="n">
        <f aca="false">IFERROR(MIN(C4264,Eingaben!$B$17)*Eingaben!$B$16,0)</f>
        <v>1.938</v>
      </c>
      <c r="F4264" s="13" t="n">
        <f aca="false">IFERROR(E4264*Eingaben!$B$15,0)</f>
        <v>1.7442</v>
      </c>
      <c r="G4264" s="13" t="n">
        <f aca="false">IFERROR(IF(Kalender!A238="",0,J4263*(1-Eingaben!$B$20)),0)</f>
        <v>1.709316</v>
      </c>
      <c r="H4264" s="13" t="n">
        <f aca="false">MIN(G4264,D4264)</f>
        <v>0.89</v>
      </c>
      <c r="I4264" s="13" t="n">
        <f aca="false">IFERROR(MIN(F4264*Eingaben!$B$19,MAX(0,D4264-H4264)),0)</f>
        <v>0</v>
      </c>
      <c r="J4264" s="13" t="n">
        <f aca="false">IFERROR(MIN(Eingaben!$B$18,MAX(0,F4264-I4264)),0)</f>
        <v>1.7442</v>
      </c>
      <c r="K4264" s="13" t="n">
        <f aca="false">H4264+I4264</f>
        <v>0.89</v>
      </c>
      <c r="L4264" s="13" t="n">
        <f aca="false">MAX(0,D4264-K4264)</f>
        <v>0</v>
      </c>
      <c r="M4264" s="13" t="n">
        <f aca="false">MAX(0,F4264-I4264-J4264)</f>
        <v>0</v>
      </c>
      <c r="N4264" s="13" t="n">
        <f aca="false">IF(Kalender!A238="",0,J4263-H4264)</f>
        <v>0.8542</v>
      </c>
    </row>
    <row r="4265" customFormat="false" ht="16.4" hidden="false" customHeight="false" outlineLevel="0" collapsed="false">
      <c r="A4265" s="13" t="str">
        <f aca="false">""</f>
        <v/>
      </c>
      <c r="B4265" s="13" t="n">
        <f aca="false">235</f>
        <v>235</v>
      </c>
      <c r="C4265" s="13" t="n">
        <f aca="false">IF(Szenarien!$H$22="OK",(IFERROR(SUMIF(Nutzungsprofile!$B$6:$B$11,"Schulbetrieb",Nutzungsprofile!$G$6:$G$11)*Kalender!C239/SUM(Kalender!$C$5:$C$370),0)+IFERROR(SUMIF(Nutzungsprofile!$B$6:$B$11,"Halle",Nutzungsprofile!$G$6:$G$11)*Kalender!D239/SUM(Kalender!$D$5:$D$370),0)+IFERROR(SUMIF(Nutzungsprofile!$B$6:$B$11,"Individuell",Nutzungsprofile!$G$6:$G$11)*Kalender!E239/SUM(Kalender!$E$5:$E$370),0))*Szenarien!$E$22,0)</f>
        <v>2.04</v>
      </c>
      <c r="D4265" s="13" t="n">
        <f aca="false">IF(Szenarien!$H$22="OK",(IFERROR(SUMIF(Nutzungsprofile!$B$17:$B$22,"Schulbetrieb",Nutzungsprofile!$G$17:$G$22)*Kalender!C239/SUM(Kalender!$C$5:$C$370),0)+IFERROR(SUMIF(Nutzungsprofile!$B$17:$B$22,"Halle",Nutzungsprofile!$G$17:$G$22)*Kalender!D239/SUM(Kalender!$D$5:$D$370),0)+IFERROR(SUMIF(Nutzungsprofile!$B$17:$B$22,"Individuell",Nutzungsprofile!$G$17:$G$22)*Kalender!E239/SUM(Kalender!$E$5:$E$370),0))*Szenarien!$D$22,0)</f>
        <v>0.89</v>
      </c>
      <c r="E4265" s="13" t="n">
        <f aca="false">IFERROR(MIN(C4265,Eingaben!$B$17)*Eingaben!$B$16,0)</f>
        <v>1.938</v>
      </c>
      <c r="F4265" s="13" t="n">
        <f aca="false">IFERROR(E4265*Eingaben!$B$15,0)</f>
        <v>1.7442</v>
      </c>
      <c r="G4265" s="13" t="n">
        <f aca="false">IFERROR(IF(Kalender!A239="",0,J4264*(1-Eingaben!$B$20)),0)</f>
        <v>1.709316</v>
      </c>
      <c r="H4265" s="13" t="n">
        <f aca="false">MIN(G4265,D4265)</f>
        <v>0.89</v>
      </c>
      <c r="I4265" s="13" t="n">
        <f aca="false">IFERROR(MIN(F4265*Eingaben!$B$19,MAX(0,D4265-H4265)),0)</f>
        <v>0</v>
      </c>
      <c r="J4265" s="13" t="n">
        <f aca="false">IFERROR(MIN(Eingaben!$B$18,MAX(0,F4265-I4265)),0)</f>
        <v>1.7442</v>
      </c>
      <c r="K4265" s="13" t="n">
        <f aca="false">H4265+I4265</f>
        <v>0.89</v>
      </c>
      <c r="L4265" s="13" t="n">
        <f aca="false">MAX(0,D4265-K4265)</f>
        <v>0</v>
      </c>
      <c r="M4265" s="13" t="n">
        <f aca="false">MAX(0,F4265-I4265-J4265)</f>
        <v>0</v>
      </c>
      <c r="N4265" s="13" t="n">
        <f aca="false">IF(Kalender!A239="",0,J4264-H4265)</f>
        <v>0.8542</v>
      </c>
    </row>
    <row r="4266" customFormat="false" ht="16.4" hidden="false" customHeight="false" outlineLevel="0" collapsed="false">
      <c r="A4266" s="13" t="str">
        <f aca="false">""</f>
        <v/>
      </c>
      <c r="B4266" s="13" t="n">
        <f aca="false">236</f>
        <v>236</v>
      </c>
      <c r="C4266" s="13" t="n">
        <f aca="false">IF(Szenarien!$H$22="OK",(IFERROR(SUMIF(Nutzungsprofile!$B$6:$B$11,"Schulbetrieb",Nutzungsprofile!$G$6:$G$11)*Kalender!C240/SUM(Kalender!$C$5:$C$370),0)+IFERROR(SUMIF(Nutzungsprofile!$B$6:$B$11,"Halle",Nutzungsprofile!$G$6:$G$11)*Kalender!D240/SUM(Kalender!$D$5:$D$370),0)+IFERROR(SUMIF(Nutzungsprofile!$B$6:$B$11,"Individuell",Nutzungsprofile!$G$6:$G$11)*Kalender!E240/SUM(Kalender!$E$5:$E$370),0))*Szenarien!$E$22,0)</f>
        <v>2.04</v>
      </c>
      <c r="D4266" s="13" t="n">
        <f aca="false">IF(Szenarien!$H$22="OK",(IFERROR(SUMIF(Nutzungsprofile!$B$17:$B$22,"Schulbetrieb",Nutzungsprofile!$G$17:$G$22)*Kalender!C240/SUM(Kalender!$C$5:$C$370),0)+IFERROR(SUMIF(Nutzungsprofile!$B$17:$B$22,"Halle",Nutzungsprofile!$G$17:$G$22)*Kalender!D240/SUM(Kalender!$D$5:$D$370),0)+IFERROR(SUMIF(Nutzungsprofile!$B$17:$B$22,"Individuell",Nutzungsprofile!$G$17:$G$22)*Kalender!E240/SUM(Kalender!$E$5:$E$370),0))*Szenarien!$D$22,0)</f>
        <v>0.89</v>
      </c>
      <c r="E4266" s="13" t="n">
        <f aca="false">IFERROR(MIN(C4266,Eingaben!$B$17)*Eingaben!$B$16,0)</f>
        <v>1.938</v>
      </c>
      <c r="F4266" s="13" t="n">
        <f aca="false">IFERROR(E4266*Eingaben!$B$15,0)</f>
        <v>1.7442</v>
      </c>
      <c r="G4266" s="13" t="n">
        <f aca="false">IFERROR(IF(Kalender!A240="",0,J4265*(1-Eingaben!$B$20)),0)</f>
        <v>1.709316</v>
      </c>
      <c r="H4266" s="13" t="n">
        <f aca="false">MIN(G4266,D4266)</f>
        <v>0.89</v>
      </c>
      <c r="I4266" s="13" t="n">
        <f aca="false">IFERROR(MIN(F4266*Eingaben!$B$19,MAX(0,D4266-H4266)),0)</f>
        <v>0</v>
      </c>
      <c r="J4266" s="13" t="n">
        <f aca="false">IFERROR(MIN(Eingaben!$B$18,MAX(0,F4266-I4266)),0)</f>
        <v>1.7442</v>
      </c>
      <c r="K4266" s="13" t="n">
        <f aca="false">H4266+I4266</f>
        <v>0.89</v>
      </c>
      <c r="L4266" s="13" t="n">
        <f aca="false">MAX(0,D4266-K4266)</f>
        <v>0</v>
      </c>
      <c r="M4266" s="13" t="n">
        <f aca="false">MAX(0,F4266-I4266-J4266)</f>
        <v>0</v>
      </c>
      <c r="N4266" s="13" t="n">
        <f aca="false">IF(Kalender!A240="",0,J4265-H4266)</f>
        <v>0.8542</v>
      </c>
    </row>
    <row r="4267" customFormat="false" ht="16.4" hidden="false" customHeight="false" outlineLevel="0" collapsed="false">
      <c r="A4267" s="13" t="str">
        <f aca="false">""</f>
        <v/>
      </c>
      <c r="B4267" s="13" t="n">
        <f aca="false">237</f>
        <v>237</v>
      </c>
      <c r="C4267" s="13" t="n">
        <f aca="false">IF(Szenarien!$H$22="OK",(IFERROR(SUMIF(Nutzungsprofile!$B$6:$B$11,"Schulbetrieb",Nutzungsprofile!$G$6:$G$11)*Kalender!C241/SUM(Kalender!$C$5:$C$370),0)+IFERROR(SUMIF(Nutzungsprofile!$B$6:$B$11,"Halle",Nutzungsprofile!$G$6:$G$11)*Kalender!D241/SUM(Kalender!$D$5:$D$370),0)+IFERROR(SUMIF(Nutzungsprofile!$B$6:$B$11,"Individuell",Nutzungsprofile!$G$6:$G$11)*Kalender!E241/SUM(Kalender!$E$5:$E$370),0))*Szenarien!$E$22,0)</f>
        <v>2.04</v>
      </c>
      <c r="D4267" s="13" t="n">
        <f aca="false">IF(Szenarien!$H$22="OK",(IFERROR(SUMIF(Nutzungsprofile!$B$17:$B$22,"Schulbetrieb",Nutzungsprofile!$G$17:$G$22)*Kalender!C241/SUM(Kalender!$C$5:$C$370),0)+IFERROR(SUMIF(Nutzungsprofile!$B$17:$B$22,"Halle",Nutzungsprofile!$G$17:$G$22)*Kalender!D241/SUM(Kalender!$D$5:$D$370),0)+IFERROR(SUMIF(Nutzungsprofile!$B$17:$B$22,"Individuell",Nutzungsprofile!$G$17:$G$22)*Kalender!E241/SUM(Kalender!$E$5:$E$370),0))*Szenarien!$D$22,0)</f>
        <v>0.89</v>
      </c>
      <c r="E4267" s="13" t="n">
        <f aca="false">IFERROR(MIN(C4267,Eingaben!$B$17)*Eingaben!$B$16,0)</f>
        <v>1.938</v>
      </c>
      <c r="F4267" s="13" t="n">
        <f aca="false">IFERROR(E4267*Eingaben!$B$15,0)</f>
        <v>1.7442</v>
      </c>
      <c r="G4267" s="13" t="n">
        <f aca="false">IFERROR(IF(Kalender!A241="",0,J4266*(1-Eingaben!$B$20)),0)</f>
        <v>1.709316</v>
      </c>
      <c r="H4267" s="13" t="n">
        <f aca="false">MIN(G4267,D4267)</f>
        <v>0.89</v>
      </c>
      <c r="I4267" s="13" t="n">
        <f aca="false">IFERROR(MIN(F4267*Eingaben!$B$19,MAX(0,D4267-H4267)),0)</f>
        <v>0</v>
      </c>
      <c r="J4267" s="13" t="n">
        <f aca="false">IFERROR(MIN(Eingaben!$B$18,MAX(0,F4267-I4267)),0)</f>
        <v>1.7442</v>
      </c>
      <c r="K4267" s="13" t="n">
        <f aca="false">H4267+I4267</f>
        <v>0.89</v>
      </c>
      <c r="L4267" s="13" t="n">
        <f aca="false">MAX(0,D4267-K4267)</f>
        <v>0</v>
      </c>
      <c r="M4267" s="13" t="n">
        <f aca="false">MAX(0,F4267-I4267-J4267)</f>
        <v>0</v>
      </c>
      <c r="N4267" s="13" t="n">
        <f aca="false">IF(Kalender!A241="",0,J4266-H4267)</f>
        <v>0.8542</v>
      </c>
    </row>
    <row r="4268" customFormat="false" ht="16.4" hidden="false" customHeight="false" outlineLevel="0" collapsed="false">
      <c r="A4268" s="13" t="str">
        <f aca="false">""</f>
        <v/>
      </c>
      <c r="B4268" s="13" t="n">
        <f aca="false">238</f>
        <v>238</v>
      </c>
      <c r="C4268" s="13" t="n">
        <f aca="false">IF(Szenarien!$H$22="OK",(IFERROR(SUMIF(Nutzungsprofile!$B$6:$B$11,"Schulbetrieb",Nutzungsprofile!$G$6:$G$11)*Kalender!C242/SUM(Kalender!$C$5:$C$370),0)+IFERROR(SUMIF(Nutzungsprofile!$B$6:$B$11,"Halle",Nutzungsprofile!$G$6:$G$11)*Kalender!D242/SUM(Kalender!$D$5:$D$370),0)+IFERROR(SUMIF(Nutzungsprofile!$B$6:$B$11,"Individuell",Nutzungsprofile!$G$6:$G$11)*Kalender!E242/SUM(Kalender!$E$5:$E$370),0))*Szenarien!$E$22,0)</f>
        <v>2.04</v>
      </c>
      <c r="D4268" s="13" t="n">
        <f aca="false">IF(Szenarien!$H$22="OK",(IFERROR(SUMIF(Nutzungsprofile!$B$17:$B$22,"Schulbetrieb",Nutzungsprofile!$G$17:$G$22)*Kalender!C242/SUM(Kalender!$C$5:$C$370),0)+IFERROR(SUMIF(Nutzungsprofile!$B$17:$B$22,"Halle",Nutzungsprofile!$G$17:$G$22)*Kalender!D242/SUM(Kalender!$D$5:$D$370),0)+IFERROR(SUMIF(Nutzungsprofile!$B$17:$B$22,"Individuell",Nutzungsprofile!$G$17:$G$22)*Kalender!E242/SUM(Kalender!$E$5:$E$370),0))*Szenarien!$D$22,0)</f>
        <v>0.89</v>
      </c>
      <c r="E4268" s="13" t="n">
        <f aca="false">IFERROR(MIN(C4268,Eingaben!$B$17)*Eingaben!$B$16,0)</f>
        <v>1.938</v>
      </c>
      <c r="F4268" s="13" t="n">
        <f aca="false">IFERROR(E4268*Eingaben!$B$15,0)</f>
        <v>1.7442</v>
      </c>
      <c r="G4268" s="13" t="n">
        <f aca="false">IFERROR(IF(Kalender!A242="",0,J4267*(1-Eingaben!$B$20)),0)</f>
        <v>1.709316</v>
      </c>
      <c r="H4268" s="13" t="n">
        <f aca="false">MIN(G4268,D4268)</f>
        <v>0.89</v>
      </c>
      <c r="I4268" s="13" t="n">
        <f aca="false">IFERROR(MIN(F4268*Eingaben!$B$19,MAX(0,D4268-H4268)),0)</f>
        <v>0</v>
      </c>
      <c r="J4268" s="13" t="n">
        <f aca="false">IFERROR(MIN(Eingaben!$B$18,MAX(0,F4268-I4268)),0)</f>
        <v>1.7442</v>
      </c>
      <c r="K4268" s="13" t="n">
        <f aca="false">H4268+I4268</f>
        <v>0.89</v>
      </c>
      <c r="L4268" s="13" t="n">
        <f aca="false">MAX(0,D4268-K4268)</f>
        <v>0</v>
      </c>
      <c r="M4268" s="13" t="n">
        <f aca="false">MAX(0,F4268-I4268-J4268)</f>
        <v>0</v>
      </c>
      <c r="N4268" s="13" t="n">
        <f aca="false">IF(Kalender!A242="",0,J4267-H4268)</f>
        <v>0.8542</v>
      </c>
    </row>
    <row r="4269" customFormat="false" ht="16.4" hidden="false" customHeight="false" outlineLevel="0" collapsed="false">
      <c r="A4269" s="13" t="str">
        <f aca="false">""</f>
        <v/>
      </c>
      <c r="B4269" s="13" t="n">
        <f aca="false">239</f>
        <v>239</v>
      </c>
      <c r="C4269" s="13" t="n">
        <f aca="false">IF(Szenarien!$H$22="OK",(IFERROR(SUMIF(Nutzungsprofile!$B$6:$B$11,"Schulbetrieb",Nutzungsprofile!$G$6:$G$11)*Kalender!C243/SUM(Kalender!$C$5:$C$370),0)+IFERROR(SUMIF(Nutzungsprofile!$B$6:$B$11,"Halle",Nutzungsprofile!$G$6:$G$11)*Kalender!D243/SUM(Kalender!$D$5:$D$370),0)+IFERROR(SUMIF(Nutzungsprofile!$B$6:$B$11,"Individuell",Nutzungsprofile!$G$6:$G$11)*Kalender!E243/SUM(Kalender!$E$5:$E$370),0))*Szenarien!$E$22,0)</f>
        <v>2.04</v>
      </c>
      <c r="D4269" s="13" t="n">
        <f aca="false">IF(Szenarien!$H$22="OK",(IFERROR(SUMIF(Nutzungsprofile!$B$17:$B$22,"Schulbetrieb",Nutzungsprofile!$G$17:$G$22)*Kalender!C243/SUM(Kalender!$C$5:$C$370),0)+IFERROR(SUMIF(Nutzungsprofile!$B$17:$B$22,"Halle",Nutzungsprofile!$G$17:$G$22)*Kalender!D243/SUM(Kalender!$D$5:$D$370),0)+IFERROR(SUMIF(Nutzungsprofile!$B$17:$B$22,"Individuell",Nutzungsprofile!$G$17:$G$22)*Kalender!E243/SUM(Kalender!$E$5:$E$370),0))*Szenarien!$D$22,0)</f>
        <v>0.89</v>
      </c>
      <c r="E4269" s="13" t="n">
        <f aca="false">IFERROR(MIN(C4269,Eingaben!$B$17)*Eingaben!$B$16,0)</f>
        <v>1.938</v>
      </c>
      <c r="F4269" s="13" t="n">
        <f aca="false">IFERROR(E4269*Eingaben!$B$15,0)</f>
        <v>1.7442</v>
      </c>
      <c r="G4269" s="13" t="n">
        <f aca="false">IFERROR(IF(Kalender!A243="",0,J4268*(1-Eingaben!$B$20)),0)</f>
        <v>1.709316</v>
      </c>
      <c r="H4269" s="13" t="n">
        <f aca="false">MIN(G4269,D4269)</f>
        <v>0.89</v>
      </c>
      <c r="I4269" s="13" t="n">
        <f aca="false">IFERROR(MIN(F4269*Eingaben!$B$19,MAX(0,D4269-H4269)),0)</f>
        <v>0</v>
      </c>
      <c r="J4269" s="13" t="n">
        <f aca="false">IFERROR(MIN(Eingaben!$B$18,MAX(0,F4269-I4269)),0)</f>
        <v>1.7442</v>
      </c>
      <c r="K4269" s="13" t="n">
        <f aca="false">H4269+I4269</f>
        <v>0.89</v>
      </c>
      <c r="L4269" s="13" t="n">
        <f aca="false">MAX(0,D4269-K4269)</f>
        <v>0</v>
      </c>
      <c r="M4269" s="13" t="n">
        <f aca="false">MAX(0,F4269-I4269-J4269)</f>
        <v>0</v>
      </c>
      <c r="N4269" s="13" t="n">
        <f aca="false">IF(Kalender!A243="",0,J4268-H4269)</f>
        <v>0.8542</v>
      </c>
    </row>
    <row r="4270" customFormat="false" ht="16.4" hidden="false" customHeight="false" outlineLevel="0" collapsed="false">
      <c r="A4270" s="13" t="str">
        <f aca="false">""</f>
        <v/>
      </c>
      <c r="B4270" s="13" t="n">
        <f aca="false">240</f>
        <v>240</v>
      </c>
      <c r="C4270" s="13" t="n">
        <f aca="false">IF(Szenarien!$H$22="OK",(IFERROR(SUMIF(Nutzungsprofile!$B$6:$B$11,"Schulbetrieb",Nutzungsprofile!$G$6:$G$11)*Kalender!C244/SUM(Kalender!$C$5:$C$370),0)+IFERROR(SUMIF(Nutzungsprofile!$B$6:$B$11,"Halle",Nutzungsprofile!$G$6:$G$11)*Kalender!D244/SUM(Kalender!$D$5:$D$370),0)+IFERROR(SUMIF(Nutzungsprofile!$B$6:$B$11,"Individuell",Nutzungsprofile!$G$6:$G$11)*Kalender!E244/SUM(Kalender!$E$5:$E$370),0))*Szenarien!$E$22,0)</f>
        <v>2.04</v>
      </c>
      <c r="D4270" s="13" t="n">
        <f aca="false">IF(Szenarien!$H$22="OK",(IFERROR(SUMIF(Nutzungsprofile!$B$17:$B$22,"Schulbetrieb",Nutzungsprofile!$G$17:$G$22)*Kalender!C244/SUM(Kalender!$C$5:$C$370),0)+IFERROR(SUMIF(Nutzungsprofile!$B$17:$B$22,"Halle",Nutzungsprofile!$G$17:$G$22)*Kalender!D244/SUM(Kalender!$D$5:$D$370),0)+IFERROR(SUMIF(Nutzungsprofile!$B$17:$B$22,"Individuell",Nutzungsprofile!$G$17:$G$22)*Kalender!E244/SUM(Kalender!$E$5:$E$370),0))*Szenarien!$D$22,0)</f>
        <v>0.89</v>
      </c>
      <c r="E4270" s="13" t="n">
        <f aca="false">IFERROR(MIN(C4270,Eingaben!$B$17)*Eingaben!$B$16,0)</f>
        <v>1.938</v>
      </c>
      <c r="F4270" s="13" t="n">
        <f aca="false">IFERROR(E4270*Eingaben!$B$15,0)</f>
        <v>1.7442</v>
      </c>
      <c r="G4270" s="13" t="n">
        <f aca="false">IFERROR(IF(Kalender!A244="",0,J4269*(1-Eingaben!$B$20)),0)</f>
        <v>1.709316</v>
      </c>
      <c r="H4270" s="13" t="n">
        <f aca="false">MIN(G4270,D4270)</f>
        <v>0.89</v>
      </c>
      <c r="I4270" s="13" t="n">
        <f aca="false">IFERROR(MIN(F4270*Eingaben!$B$19,MAX(0,D4270-H4270)),0)</f>
        <v>0</v>
      </c>
      <c r="J4270" s="13" t="n">
        <f aca="false">IFERROR(MIN(Eingaben!$B$18,MAX(0,F4270-I4270)),0)</f>
        <v>1.7442</v>
      </c>
      <c r="K4270" s="13" t="n">
        <f aca="false">H4270+I4270</f>
        <v>0.89</v>
      </c>
      <c r="L4270" s="13" t="n">
        <f aca="false">MAX(0,D4270-K4270)</f>
        <v>0</v>
      </c>
      <c r="M4270" s="13" t="n">
        <f aca="false">MAX(0,F4270-I4270-J4270)</f>
        <v>0</v>
      </c>
      <c r="N4270" s="13" t="n">
        <f aca="false">IF(Kalender!A244="",0,J4269-H4270)</f>
        <v>0.8542</v>
      </c>
    </row>
    <row r="4271" customFormat="false" ht="16.4" hidden="false" customHeight="false" outlineLevel="0" collapsed="false">
      <c r="A4271" s="13" t="str">
        <f aca="false">""</f>
        <v/>
      </c>
      <c r="B4271" s="13" t="n">
        <f aca="false">241</f>
        <v>241</v>
      </c>
      <c r="C4271" s="13" t="n">
        <f aca="false">IF(Szenarien!$H$22="OK",(IFERROR(SUMIF(Nutzungsprofile!$B$6:$B$11,"Schulbetrieb",Nutzungsprofile!$G$6:$G$11)*Kalender!C245/SUM(Kalender!$C$5:$C$370),0)+IFERROR(SUMIF(Nutzungsprofile!$B$6:$B$11,"Halle",Nutzungsprofile!$G$6:$G$11)*Kalender!D245/SUM(Kalender!$D$5:$D$370),0)+IFERROR(SUMIF(Nutzungsprofile!$B$6:$B$11,"Individuell",Nutzungsprofile!$G$6:$G$11)*Kalender!E245/SUM(Kalender!$E$5:$E$370),0))*Szenarien!$E$22,0)</f>
        <v>2.04</v>
      </c>
      <c r="D4271" s="13" t="n">
        <f aca="false">IF(Szenarien!$H$22="OK",(IFERROR(SUMIF(Nutzungsprofile!$B$17:$B$22,"Schulbetrieb",Nutzungsprofile!$G$17:$G$22)*Kalender!C245/SUM(Kalender!$C$5:$C$370),0)+IFERROR(SUMIF(Nutzungsprofile!$B$17:$B$22,"Halle",Nutzungsprofile!$G$17:$G$22)*Kalender!D245/SUM(Kalender!$D$5:$D$370),0)+IFERROR(SUMIF(Nutzungsprofile!$B$17:$B$22,"Individuell",Nutzungsprofile!$G$17:$G$22)*Kalender!E245/SUM(Kalender!$E$5:$E$370),0))*Szenarien!$D$22,0)</f>
        <v>0.89</v>
      </c>
      <c r="E4271" s="13" t="n">
        <f aca="false">IFERROR(MIN(C4271,Eingaben!$B$17)*Eingaben!$B$16,0)</f>
        <v>1.938</v>
      </c>
      <c r="F4271" s="13" t="n">
        <f aca="false">IFERROR(E4271*Eingaben!$B$15,0)</f>
        <v>1.7442</v>
      </c>
      <c r="G4271" s="13" t="n">
        <f aca="false">IFERROR(IF(Kalender!A245="",0,J4270*(1-Eingaben!$B$20)),0)</f>
        <v>1.709316</v>
      </c>
      <c r="H4271" s="13" t="n">
        <f aca="false">MIN(G4271,D4271)</f>
        <v>0.89</v>
      </c>
      <c r="I4271" s="13" t="n">
        <f aca="false">IFERROR(MIN(F4271*Eingaben!$B$19,MAX(0,D4271-H4271)),0)</f>
        <v>0</v>
      </c>
      <c r="J4271" s="13" t="n">
        <f aca="false">IFERROR(MIN(Eingaben!$B$18,MAX(0,F4271-I4271)),0)</f>
        <v>1.7442</v>
      </c>
      <c r="K4271" s="13" t="n">
        <f aca="false">H4271+I4271</f>
        <v>0.89</v>
      </c>
      <c r="L4271" s="13" t="n">
        <f aca="false">MAX(0,D4271-K4271)</f>
        <v>0</v>
      </c>
      <c r="M4271" s="13" t="n">
        <f aca="false">MAX(0,F4271-I4271-J4271)</f>
        <v>0</v>
      </c>
      <c r="N4271" s="13" t="n">
        <f aca="false">IF(Kalender!A245="",0,J4270-H4271)</f>
        <v>0.8542</v>
      </c>
    </row>
    <row r="4272" customFormat="false" ht="16.4" hidden="false" customHeight="false" outlineLevel="0" collapsed="false">
      <c r="A4272" s="13" t="str">
        <f aca="false">""</f>
        <v/>
      </c>
      <c r="B4272" s="13" t="n">
        <f aca="false">242</f>
        <v>242</v>
      </c>
      <c r="C4272" s="13" t="n">
        <f aca="false">IF(Szenarien!$H$22="OK",(IFERROR(SUMIF(Nutzungsprofile!$B$6:$B$11,"Schulbetrieb",Nutzungsprofile!$G$6:$G$11)*Kalender!C246/SUM(Kalender!$C$5:$C$370),0)+IFERROR(SUMIF(Nutzungsprofile!$B$6:$B$11,"Halle",Nutzungsprofile!$G$6:$G$11)*Kalender!D246/SUM(Kalender!$D$5:$D$370),0)+IFERROR(SUMIF(Nutzungsprofile!$B$6:$B$11,"Individuell",Nutzungsprofile!$G$6:$G$11)*Kalender!E246/SUM(Kalender!$E$5:$E$370),0))*Szenarien!$E$22,0)</f>
        <v>2.04</v>
      </c>
      <c r="D4272" s="13" t="n">
        <f aca="false">IF(Szenarien!$H$22="OK",(IFERROR(SUMIF(Nutzungsprofile!$B$17:$B$22,"Schulbetrieb",Nutzungsprofile!$G$17:$G$22)*Kalender!C246/SUM(Kalender!$C$5:$C$370),0)+IFERROR(SUMIF(Nutzungsprofile!$B$17:$B$22,"Halle",Nutzungsprofile!$G$17:$G$22)*Kalender!D246/SUM(Kalender!$D$5:$D$370),0)+IFERROR(SUMIF(Nutzungsprofile!$B$17:$B$22,"Individuell",Nutzungsprofile!$G$17:$G$22)*Kalender!E246/SUM(Kalender!$E$5:$E$370),0))*Szenarien!$D$22,0)</f>
        <v>0.89</v>
      </c>
      <c r="E4272" s="13" t="n">
        <f aca="false">IFERROR(MIN(C4272,Eingaben!$B$17)*Eingaben!$B$16,0)</f>
        <v>1.938</v>
      </c>
      <c r="F4272" s="13" t="n">
        <f aca="false">IFERROR(E4272*Eingaben!$B$15,0)</f>
        <v>1.7442</v>
      </c>
      <c r="G4272" s="13" t="n">
        <f aca="false">IFERROR(IF(Kalender!A246="",0,J4271*(1-Eingaben!$B$20)),0)</f>
        <v>1.709316</v>
      </c>
      <c r="H4272" s="13" t="n">
        <f aca="false">MIN(G4272,D4272)</f>
        <v>0.89</v>
      </c>
      <c r="I4272" s="13" t="n">
        <f aca="false">IFERROR(MIN(F4272*Eingaben!$B$19,MAX(0,D4272-H4272)),0)</f>
        <v>0</v>
      </c>
      <c r="J4272" s="13" t="n">
        <f aca="false">IFERROR(MIN(Eingaben!$B$18,MAX(0,F4272-I4272)),0)</f>
        <v>1.7442</v>
      </c>
      <c r="K4272" s="13" t="n">
        <f aca="false">H4272+I4272</f>
        <v>0.89</v>
      </c>
      <c r="L4272" s="13" t="n">
        <f aca="false">MAX(0,D4272-K4272)</f>
        <v>0</v>
      </c>
      <c r="M4272" s="13" t="n">
        <f aca="false">MAX(0,F4272-I4272-J4272)</f>
        <v>0</v>
      </c>
      <c r="N4272" s="13" t="n">
        <f aca="false">IF(Kalender!A246="",0,J4271-H4272)</f>
        <v>0.8542</v>
      </c>
    </row>
    <row r="4273" customFormat="false" ht="16.4" hidden="false" customHeight="false" outlineLevel="0" collapsed="false">
      <c r="A4273" s="13" t="str">
        <f aca="false">""</f>
        <v/>
      </c>
      <c r="B4273" s="13" t="n">
        <f aca="false">243</f>
        <v>243</v>
      </c>
      <c r="C4273" s="13" t="n">
        <f aca="false">IF(Szenarien!$H$22="OK",(IFERROR(SUMIF(Nutzungsprofile!$B$6:$B$11,"Schulbetrieb",Nutzungsprofile!$G$6:$G$11)*Kalender!C247/SUM(Kalender!$C$5:$C$370),0)+IFERROR(SUMIF(Nutzungsprofile!$B$6:$B$11,"Halle",Nutzungsprofile!$G$6:$G$11)*Kalender!D247/SUM(Kalender!$D$5:$D$370),0)+IFERROR(SUMIF(Nutzungsprofile!$B$6:$B$11,"Individuell",Nutzungsprofile!$G$6:$G$11)*Kalender!E247/SUM(Kalender!$E$5:$E$370),0))*Szenarien!$E$22,0)</f>
        <v>2.04</v>
      </c>
      <c r="D4273" s="13" t="n">
        <f aca="false">IF(Szenarien!$H$22="OK",(IFERROR(SUMIF(Nutzungsprofile!$B$17:$B$22,"Schulbetrieb",Nutzungsprofile!$G$17:$G$22)*Kalender!C247/SUM(Kalender!$C$5:$C$370),0)+IFERROR(SUMIF(Nutzungsprofile!$B$17:$B$22,"Halle",Nutzungsprofile!$G$17:$G$22)*Kalender!D247/SUM(Kalender!$D$5:$D$370),0)+IFERROR(SUMIF(Nutzungsprofile!$B$17:$B$22,"Individuell",Nutzungsprofile!$G$17:$G$22)*Kalender!E247/SUM(Kalender!$E$5:$E$370),0))*Szenarien!$D$22,0)</f>
        <v>0.89</v>
      </c>
      <c r="E4273" s="13" t="n">
        <f aca="false">IFERROR(MIN(C4273,Eingaben!$B$17)*Eingaben!$B$16,0)</f>
        <v>1.938</v>
      </c>
      <c r="F4273" s="13" t="n">
        <f aca="false">IFERROR(E4273*Eingaben!$B$15,0)</f>
        <v>1.7442</v>
      </c>
      <c r="G4273" s="13" t="n">
        <f aca="false">IFERROR(IF(Kalender!A247="",0,J4272*(1-Eingaben!$B$20)),0)</f>
        <v>1.709316</v>
      </c>
      <c r="H4273" s="13" t="n">
        <f aca="false">MIN(G4273,D4273)</f>
        <v>0.89</v>
      </c>
      <c r="I4273" s="13" t="n">
        <f aca="false">IFERROR(MIN(F4273*Eingaben!$B$19,MAX(0,D4273-H4273)),0)</f>
        <v>0</v>
      </c>
      <c r="J4273" s="13" t="n">
        <f aca="false">IFERROR(MIN(Eingaben!$B$18,MAX(0,F4273-I4273)),0)</f>
        <v>1.7442</v>
      </c>
      <c r="K4273" s="13" t="n">
        <f aca="false">H4273+I4273</f>
        <v>0.89</v>
      </c>
      <c r="L4273" s="13" t="n">
        <f aca="false">MAX(0,D4273-K4273)</f>
        <v>0</v>
      </c>
      <c r="M4273" s="13" t="n">
        <f aca="false">MAX(0,F4273-I4273-J4273)</f>
        <v>0</v>
      </c>
      <c r="N4273" s="13" t="n">
        <f aca="false">IF(Kalender!A247="",0,J4272-H4273)</f>
        <v>0.8542</v>
      </c>
    </row>
    <row r="4274" customFormat="false" ht="16.4" hidden="false" customHeight="false" outlineLevel="0" collapsed="false">
      <c r="A4274" s="13" t="str">
        <f aca="false">""</f>
        <v/>
      </c>
      <c r="B4274" s="13" t="n">
        <f aca="false">244</f>
        <v>244</v>
      </c>
      <c r="C4274" s="13" t="n">
        <f aca="false">IF(Szenarien!$H$22="OK",(IFERROR(SUMIF(Nutzungsprofile!$B$6:$B$11,"Schulbetrieb",Nutzungsprofile!$G$6:$G$11)*Kalender!C248/SUM(Kalender!$C$5:$C$370),0)+IFERROR(SUMIF(Nutzungsprofile!$B$6:$B$11,"Halle",Nutzungsprofile!$G$6:$G$11)*Kalender!D248/SUM(Kalender!$D$5:$D$370),0)+IFERROR(SUMIF(Nutzungsprofile!$B$6:$B$11,"Individuell",Nutzungsprofile!$G$6:$G$11)*Kalender!E248/SUM(Kalender!$E$5:$E$370),0))*Szenarien!$E$22,0)</f>
        <v>2.94</v>
      </c>
      <c r="D4274" s="13" t="n">
        <f aca="false">IF(Szenarien!$H$22="OK",(IFERROR(SUMIF(Nutzungsprofile!$B$17:$B$22,"Schulbetrieb",Nutzungsprofile!$G$17:$G$22)*Kalender!C248/SUM(Kalender!$C$5:$C$370),0)+IFERROR(SUMIF(Nutzungsprofile!$B$17:$B$22,"Halle",Nutzungsprofile!$G$17:$G$22)*Kalender!D248/SUM(Kalender!$D$5:$D$370),0)+IFERROR(SUMIF(Nutzungsprofile!$B$17:$B$22,"Individuell",Nutzungsprofile!$G$17:$G$22)*Kalender!E248/SUM(Kalender!$E$5:$E$370),0))*Szenarien!$D$22,0)</f>
        <v>4.94</v>
      </c>
      <c r="E4274" s="13" t="n">
        <f aca="false">IFERROR(MIN(C4274,Eingaben!$B$17)*Eingaben!$B$16,0)</f>
        <v>2.793</v>
      </c>
      <c r="F4274" s="13" t="n">
        <f aca="false">IFERROR(E4274*Eingaben!$B$15,0)</f>
        <v>2.5137</v>
      </c>
      <c r="G4274" s="13" t="n">
        <f aca="false">IFERROR(IF(Kalender!A248="",0,J4273*(1-Eingaben!$B$20)),0)</f>
        <v>1.709316</v>
      </c>
      <c r="H4274" s="13" t="n">
        <f aca="false">MIN(G4274,D4274)</f>
        <v>1.709316</v>
      </c>
      <c r="I4274" s="13" t="n">
        <f aca="false">IFERROR(MIN(F4274*Eingaben!$B$19,MAX(0,D4274-H4274)),0)</f>
        <v>1.75959</v>
      </c>
      <c r="J4274" s="13" t="n">
        <f aca="false">IFERROR(MIN(Eingaben!$B$18,MAX(0,F4274-I4274)),0)</f>
        <v>0.75411</v>
      </c>
      <c r="K4274" s="13" t="n">
        <f aca="false">H4274+I4274</f>
        <v>3.468906</v>
      </c>
      <c r="L4274" s="13" t="n">
        <f aca="false">MAX(0,D4274-K4274)</f>
        <v>1.471094</v>
      </c>
      <c r="M4274" s="13" t="n">
        <f aca="false">MAX(0,F4274-I4274-J4274)</f>
        <v>0</v>
      </c>
      <c r="N4274" s="13" t="n">
        <f aca="false">IF(Kalender!A248="",0,J4273-H4274)</f>
        <v>0.0348840000000001</v>
      </c>
    </row>
    <row r="4275" customFormat="false" ht="16.4" hidden="false" customHeight="false" outlineLevel="0" collapsed="false">
      <c r="A4275" s="13" t="str">
        <f aca="false">""</f>
        <v/>
      </c>
      <c r="B4275" s="13" t="n">
        <f aca="false">245</f>
        <v>245</v>
      </c>
      <c r="C4275" s="13" t="n">
        <f aca="false">IF(Szenarien!$H$22="OK",(IFERROR(SUMIF(Nutzungsprofile!$B$6:$B$11,"Schulbetrieb",Nutzungsprofile!$G$6:$G$11)*Kalender!C249/SUM(Kalender!$C$5:$C$370),0)+IFERROR(SUMIF(Nutzungsprofile!$B$6:$B$11,"Halle",Nutzungsprofile!$G$6:$G$11)*Kalender!D249/SUM(Kalender!$D$5:$D$370),0)+IFERROR(SUMIF(Nutzungsprofile!$B$6:$B$11,"Individuell",Nutzungsprofile!$G$6:$G$11)*Kalender!E249/SUM(Kalender!$E$5:$E$370),0))*Szenarien!$E$22,0)</f>
        <v>2.94</v>
      </c>
      <c r="D4275" s="13" t="n">
        <f aca="false">IF(Szenarien!$H$22="OK",(IFERROR(SUMIF(Nutzungsprofile!$B$17:$B$22,"Schulbetrieb",Nutzungsprofile!$G$17:$G$22)*Kalender!C249/SUM(Kalender!$C$5:$C$370),0)+IFERROR(SUMIF(Nutzungsprofile!$B$17:$B$22,"Halle",Nutzungsprofile!$G$17:$G$22)*Kalender!D249/SUM(Kalender!$D$5:$D$370),0)+IFERROR(SUMIF(Nutzungsprofile!$B$17:$B$22,"Individuell",Nutzungsprofile!$G$17:$G$22)*Kalender!E249/SUM(Kalender!$E$5:$E$370),0))*Szenarien!$D$22,0)</f>
        <v>4.94</v>
      </c>
      <c r="E4275" s="13" t="n">
        <f aca="false">IFERROR(MIN(C4275,Eingaben!$B$17)*Eingaben!$B$16,0)</f>
        <v>2.793</v>
      </c>
      <c r="F4275" s="13" t="n">
        <f aca="false">IFERROR(E4275*Eingaben!$B$15,0)</f>
        <v>2.5137</v>
      </c>
      <c r="G4275" s="13" t="n">
        <f aca="false">IFERROR(IF(Kalender!A249="",0,J4274*(1-Eingaben!$B$20)),0)</f>
        <v>0.7390278</v>
      </c>
      <c r="H4275" s="13" t="n">
        <f aca="false">MIN(G4275,D4275)</f>
        <v>0.7390278</v>
      </c>
      <c r="I4275" s="13" t="n">
        <f aca="false">IFERROR(MIN(F4275*Eingaben!$B$19,MAX(0,D4275-H4275)),0)</f>
        <v>1.75959</v>
      </c>
      <c r="J4275" s="13" t="n">
        <f aca="false">IFERROR(MIN(Eingaben!$B$18,MAX(0,F4275-I4275)),0)</f>
        <v>0.75411</v>
      </c>
      <c r="K4275" s="13" t="n">
        <f aca="false">H4275+I4275</f>
        <v>2.4986178</v>
      </c>
      <c r="L4275" s="13" t="n">
        <f aca="false">MAX(0,D4275-K4275)</f>
        <v>2.4413822</v>
      </c>
      <c r="M4275" s="13" t="n">
        <f aca="false">MAX(0,F4275-I4275-J4275)</f>
        <v>0</v>
      </c>
      <c r="N4275" s="13" t="n">
        <f aca="false">IF(Kalender!A249="",0,J4274-H4275)</f>
        <v>0.0150822</v>
      </c>
    </row>
    <row r="4276" customFormat="false" ht="16.4" hidden="false" customHeight="false" outlineLevel="0" collapsed="false">
      <c r="A4276" s="13" t="str">
        <f aca="false">""</f>
        <v/>
      </c>
      <c r="B4276" s="13" t="n">
        <f aca="false">246</f>
        <v>246</v>
      </c>
      <c r="C4276" s="13" t="n">
        <f aca="false">IF(Szenarien!$H$22="OK",(IFERROR(SUMIF(Nutzungsprofile!$B$6:$B$11,"Schulbetrieb",Nutzungsprofile!$G$6:$G$11)*Kalender!C250/SUM(Kalender!$C$5:$C$370),0)+IFERROR(SUMIF(Nutzungsprofile!$B$6:$B$11,"Halle",Nutzungsprofile!$G$6:$G$11)*Kalender!D250/SUM(Kalender!$D$5:$D$370),0)+IFERROR(SUMIF(Nutzungsprofile!$B$6:$B$11,"Individuell",Nutzungsprofile!$G$6:$G$11)*Kalender!E250/SUM(Kalender!$E$5:$E$370),0))*Szenarien!$E$22,0)</f>
        <v>2.94</v>
      </c>
      <c r="D4276" s="13" t="n">
        <f aca="false">IF(Szenarien!$H$22="OK",(IFERROR(SUMIF(Nutzungsprofile!$B$17:$B$22,"Schulbetrieb",Nutzungsprofile!$G$17:$G$22)*Kalender!C250/SUM(Kalender!$C$5:$C$370),0)+IFERROR(SUMIF(Nutzungsprofile!$B$17:$B$22,"Halle",Nutzungsprofile!$G$17:$G$22)*Kalender!D250/SUM(Kalender!$D$5:$D$370),0)+IFERROR(SUMIF(Nutzungsprofile!$B$17:$B$22,"Individuell",Nutzungsprofile!$G$17:$G$22)*Kalender!E250/SUM(Kalender!$E$5:$E$370),0))*Szenarien!$D$22,0)</f>
        <v>4.94</v>
      </c>
      <c r="E4276" s="13" t="n">
        <f aca="false">IFERROR(MIN(C4276,Eingaben!$B$17)*Eingaben!$B$16,0)</f>
        <v>2.793</v>
      </c>
      <c r="F4276" s="13" t="n">
        <f aca="false">IFERROR(E4276*Eingaben!$B$15,0)</f>
        <v>2.5137</v>
      </c>
      <c r="G4276" s="13" t="n">
        <f aca="false">IFERROR(IF(Kalender!A250="",0,J4275*(1-Eingaben!$B$20)),0)</f>
        <v>0.7390278</v>
      </c>
      <c r="H4276" s="13" t="n">
        <f aca="false">MIN(G4276,D4276)</f>
        <v>0.7390278</v>
      </c>
      <c r="I4276" s="13" t="n">
        <f aca="false">IFERROR(MIN(F4276*Eingaben!$B$19,MAX(0,D4276-H4276)),0)</f>
        <v>1.75959</v>
      </c>
      <c r="J4276" s="13" t="n">
        <f aca="false">IFERROR(MIN(Eingaben!$B$18,MAX(0,F4276-I4276)),0)</f>
        <v>0.75411</v>
      </c>
      <c r="K4276" s="13" t="n">
        <f aca="false">H4276+I4276</f>
        <v>2.4986178</v>
      </c>
      <c r="L4276" s="13" t="n">
        <f aca="false">MAX(0,D4276-K4276)</f>
        <v>2.4413822</v>
      </c>
      <c r="M4276" s="13" t="n">
        <f aca="false">MAX(0,F4276-I4276-J4276)</f>
        <v>0</v>
      </c>
      <c r="N4276" s="13" t="n">
        <f aca="false">IF(Kalender!A250="",0,J4275-H4276)</f>
        <v>0.0150822</v>
      </c>
    </row>
    <row r="4277" customFormat="false" ht="16.4" hidden="false" customHeight="false" outlineLevel="0" collapsed="false">
      <c r="A4277" s="13" t="str">
        <f aca="false">""</f>
        <v/>
      </c>
      <c r="B4277" s="13" t="n">
        <f aca="false">247</f>
        <v>247</v>
      </c>
      <c r="C4277" s="13" t="n">
        <f aca="false">IF(Szenarien!$H$22="OK",(IFERROR(SUMIF(Nutzungsprofile!$B$6:$B$11,"Schulbetrieb",Nutzungsprofile!$G$6:$G$11)*Kalender!C251/SUM(Kalender!$C$5:$C$370),0)+IFERROR(SUMIF(Nutzungsprofile!$B$6:$B$11,"Halle",Nutzungsprofile!$G$6:$G$11)*Kalender!D251/SUM(Kalender!$D$5:$D$370),0)+IFERROR(SUMIF(Nutzungsprofile!$B$6:$B$11,"Individuell",Nutzungsprofile!$G$6:$G$11)*Kalender!E251/SUM(Kalender!$E$5:$E$370),0))*Szenarien!$E$22,0)</f>
        <v>2.94</v>
      </c>
      <c r="D4277" s="13" t="n">
        <f aca="false">IF(Szenarien!$H$22="OK",(IFERROR(SUMIF(Nutzungsprofile!$B$17:$B$22,"Schulbetrieb",Nutzungsprofile!$G$17:$G$22)*Kalender!C251/SUM(Kalender!$C$5:$C$370),0)+IFERROR(SUMIF(Nutzungsprofile!$B$17:$B$22,"Halle",Nutzungsprofile!$G$17:$G$22)*Kalender!D251/SUM(Kalender!$D$5:$D$370),0)+IFERROR(SUMIF(Nutzungsprofile!$B$17:$B$22,"Individuell",Nutzungsprofile!$G$17:$G$22)*Kalender!E251/SUM(Kalender!$E$5:$E$370),0))*Szenarien!$D$22,0)</f>
        <v>4.94</v>
      </c>
      <c r="E4277" s="13" t="n">
        <f aca="false">IFERROR(MIN(C4277,Eingaben!$B$17)*Eingaben!$B$16,0)</f>
        <v>2.793</v>
      </c>
      <c r="F4277" s="13" t="n">
        <f aca="false">IFERROR(E4277*Eingaben!$B$15,0)</f>
        <v>2.5137</v>
      </c>
      <c r="G4277" s="13" t="n">
        <f aca="false">IFERROR(IF(Kalender!A251="",0,J4276*(1-Eingaben!$B$20)),0)</f>
        <v>0.7390278</v>
      </c>
      <c r="H4277" s="13" t="n">
        <f aca="false">MIN(G4277,D4277)</f>
        <v>0.7390278</v>
      </c>
      <c r="I4277" s="13" t="n">
        <f aca="false">IFERROR(MIN(F4277*Eingaben!$B$19,MAX(0,D4277-H4277)),0)</f>
        <v>1.75959</v>
      </c>
      <c r="J4277" s="13" t="n">
        <f aca="false">IFERROR(MIN(Eingaben!$B$18,MAX(0,F4277-I4277)),0)</f>
        <v>0.75411</v>
      </c>
      <c r="K4277" s="13" t="n">
        <f aca="false">H4277+I4277</f>
        <v>2.4986178</v>
      </c>
      <c r="L4277" s="13" t="n">
        <f aca="false">MAX(0,D4277-K4277)</f>
        <v>2.4413822</v>
      </c>
      <c r="M4277" s="13" t="n">
        <f aca="false">MAX(0,F4277-I4277-J4277)</f>
        <v>0</v>
      </c>
      <c r="N4277" s="13" t="n">
        <f aca="false">IF(Kalender!A251="",0,J4276-H4277)</f>
        <v>0.0150822</v>
      </c>
    </row>
    <row r="4278" customFormat="false" ht="16.4" hidden="false" customHeight="false" outlineLevel="0" collapsed="false">
      <c r="A4278" s="13" t="str">
        <f aca="false">""</f>
        <v/>
      </c>
      <c r="B4278" s="13" t="n">
        <f aca="false">248</f>
        <v>248</v>
      </c>
      <c r="C4278" s="13" t="n">
        <f aca="false">IF(Szenarien!$H$22="OK",(IFERROR(SUMIF(Nutzungsprofile!$B$6:$B$11,"Schulbetrieb",Nutzungsprofile!$G$6:$G$11)*Kalender!C252/SUM(Kalender!$C$5:$C$370),0)+IFERROR(SUMIF(Nutzungsprofile!$B$6:$B$11,"Halle",Nutzungsprofile!$G$6:$G$11)*Kalender!D252/SUM(Kalender!$D$5:$D$370),0)+IFERROR(SUMIF(Nutzungsprofile!$B$6:$B$11,"Individuell",Nutzungsprofile!$G$6:$G$11)*Kalender!E252/SUM(Kalender!$E$5:$E$370),0))*Szenarien!$E$22,0)</f>
        <v>2.04</v>
      </c>
      <c r="D4278" s="13" t="n">
        <f aca="false">IF(Szenarien!$H$22="OK",(IFERROR(SUMIF(Nutzungsprofile!$B$17:$B$22,"Schulbetrieb",Nutzungsprofile!$G$17:$G$22)*Kalender!C252/SUM(Kalender!$C$5:$C$370),0)+IFERROR(SUMIF(Nutzungsprofile!$B$17:$B$22,"Halle",Nutzungsprofile!$G$17:$G$22)*Kalender!D252/SUM(Kalender!$D$5:$D$370),0)+IFERROR(SUMIF(Nutzungsprofile!$B$17:$B$22,"Individuell",Nutzungsprofile!$G$17:$G$22)*Kalender!E252/SUM(Kalender!$E$5:$E$370),0))*Szenarien!$D$22,0)</f>
        <v>0.89</v>
      </c>
      <c r="E4278" s="13" t="n">
        <f aca="false">IFERROR(MIN(C4278,Eingaben!$B$17)*Eingaben!$B$16,0)</f>
        <v>1.938</v>
      </c>
      <c r="F4278" s="13" t="n">
        <f aca="false">IFERROR(E4278*Eingaben!$B$15,0)</f>
        <v>1.7442</v>
      </c>
      <c r="G4278" s="13" t="n">
        <f aca="false">IFERROR(IF(Kalender!A252="",0,J4277*(1-Eingaben!$B$20)),0)</f>
        <v>0.7390278</v>
      </c>
      <c r="H4278" s="13" t="n">
        <f aca="false">MIN(G4278,D4278)</f>
        <v>0.7390278</v>
      </c>
      <c r="I4278" s="13" t="n">
        <f aca="false">IFERROR(MIN(F4278*Eingaben!$B$19,MAX(0,D4278-H4278)),0)</f>
        <v>0.1509722</v>
      </c>
      <c r="J4278" s="13" t="n">
        <f aca="false">IFERROR(MIN(Eingaben!$B$18,MAX(0,F4278-I4278)),0)</f>
        <v>1.5932278</v>
      </c>
      <c r="K4278" s="13" t="n">
        <f aca="false">H4278+I4278</f>
        <v>0.89</v>
      </c>
      <c r="L4278" s="13" t="n">
        <f aca="false">MAX(0,D4278-K4278)</f>
        <v>0</v>
      </c>
      <c r="M4278" s="13" t="n">
        <f aca="false">MAX(0,F4278-I4278-J4278)</f>
        <v>0</v>
      </c>
      <c r="N4278" s="13" t="n">
        <f aca="false">IF(Kalender!A252="",0,J4277-H4278)</f>
        <v>0.0150822</v>
      </c>
    </row>
    <row r="4279" customFormat="false" ht="16.4" hidden="false" customHeight="false" outlineLevel="0" collapsed="false">
      <c r="A4279" s="13" t="str">
        <f aca="false">""</f>
        <v/>
      </c>
      <c r="B4279" s="13" t="n">
        <f aca="false">249</f>
        <v>249</v>
      </c>
      <c r="C4279" s="13" t="n">
        <f aca="false">IF(Szenarien!$H$22="OK",(IFERROR(SUMIF(Nutzungsprofile!$B$6:$B$11,"Schulbetrieb",Nutzungsprofile!$G$6:$G$11)*Kalender!C253/SUM(Kalender!$C$5:$C$370),0)+IFERROR(SUMIF(Nutzungsprofile!$B$6:$B$11,"Halle",Nutzungsprofile!$G$6:$G$11)*Kalender!D253/SUM(Kalender!$D$5:$D$370),0)+IFERROR(SUMIF(Nutzungsprofile!$B$6:$B$11,"Individuell",Nutzungsprofile!$G$6:$G$11)*Kalender!E253/SUM(Kalender!$E$5:$E$370),0))*Szenarien!$E$22,0)</f>
        <v>2.04</v>
      </c>
      <c r="D4279" s="13" t="n">
        <f aca="false">IF(Szenarien!$H$22="OK",(IFERROR(SUMIF(Nutzungsprofile!$B$17:$B$22,"Schulbetrieb",Nutzungsprofile!$G$17:$G$22)*Kalender!C253/SUM(Kalender!$C$5:$C$370),0)+IFERROR(SUMIF(Nutzungsprofile!$B$17:$B$22,"Halle",Nutzungsprofile!$G$17:$G$22)*Kalender!D253/SUM(Kalender!$D$5:$D$370),0)+IFERROR(SUMIF(Nutzungsprofile!$B$17:$B$22,"Individuell",Nutzungsprofile!$G$17:$G$22)*Kalender!E253/SUM(Kalender!$E$5:$E$370),0))*Szenarien!$D$22,0)</f>
        <v>0.89</v>
      </c>
      <c r="E4279" s="13" t="n">
        <f aca="false">IFERROR(MIN(C4279,Eingaben!$B$17)*Eingaben!$B$16,0)</f>
        <v>1.938</v>
      </c>
      <c r="F4279" s="13" t="n">
        <f aca="false">IFERROR(E4279*Eingaben!$B$15,0)</f>
        <v>1.7442</v>
      </c>
      <c r="G4279" s="13" t="n">
        <f aca="false">IFERROR(IF(Kalender!A253="",0,J4278*(1-Eingaben!$B$20)),0)</f>
        <v>1.561363244</v>
      </c>
      <c r="H4279" s="13" t="n">
        <f aca="false">MIN(G4279,D4279)</f>
        <v>0.89</v>
      </c>
      <c r="I4279" s="13" t="n">
        <f aca="false">IFERROR(MIN(F4279*Eingaben!$B$19,MAX(0,D4279-H4279)),0)</f>
        <v>0</v>
      </c>
      <c r="J4279" s="13" t="n">
        <f aca="false">IFERROR(MIN(Eingaben!$B$18,MAX(0,F4279-I4279)),0)</f>
        <v>1.7442</v>
      </c>
      <c r="K4279" s="13" t="n">
        <f aca="false">H4279+I4279</f>
        <v>0.89</v>
      </c>
      <c r="L4279" s="13" t="n">
        <f aca="false">MAX(0,D4279-K4279)</f>
        <v>0</v>
      </c>
      <c r="M4279" s="13" t="n">
        <f aca="false">MAX(0,F4279-I4279-J4279)</f>
        <v>0</v>
      </c>
      <c r="N4279" s="13" t="n">
        <f aca="false">IF(Kalender!A253="",0,J4278-H4279)</f>
        <v>0.7032278</v>
      </c>
    </row>
    <row r="4280" customFormat="false" ht="16.4" hidden="false" customHeight="false" outlineLevel="0" collapsed="false">
      <c r="A4280" s="13" t="str">
        <f aca="false">""</f>
        <v/>
      </c>
      <c r="B4280" s="13" t="n">
        <f aca="false">250</f>
        <v>250</v>
      </c>
      <c r="C4280" s="13" t="n">
        <f aca="false">IF(Szenarien!$H$22="OK",(IFERROR(SUMIF(Nutzungsprofile!$B$6:$B$11,"Schulbetrieb",Nutzungsprofile!$G$6:$G$11)*Kalender!C254/SUM(Kalender!$C$5:$C$370),0)+IFERROR(SUMIF(Nutzungsprofile!$B$6:$B$11,"Halle",Nutzungsprofile!$G$6:$G$11)*Kalender!D254/SUM(Kalender!$D$5:$D$370),0)+IFERROR(SUMIF(Nutzungsprofile!$B$6:$B$11,"Individuell",Nutzungsprofile!$G$6:$G$11)*Kalender!E254/SUM(Kalender!$E$5:$E$370),0))*Szenarien!$E$22,0)</f>
        <v>2.94</v>
      </c>
      <c r="D4280" s="13" t="n">
        <f aca="false">IF(Szenarien!$H$22="OK",(IFERROR(SUMIF(Nutzungsprofile!$B$17:$B$22,"Schulbetrieb",Nutzungsprofile!$G$17:$G$22)*Kalender!C254/SUM(Kalender!$C$5:$C$370),0)+IFERROR(SUMIF(Nutzungsprofile!$B$17:$B$22,"Halle",Nutzungsprofile!$G$17:$G$22)*Kalender!D254/SUM(Kalender!$D$5:$D$370),0)+IFERROR(SUMIF(Nutzungsprofile!$B$17:$B$22,"Individuell",Nutzungsprofile!$G$17:$G$22)*Kalender!E254/SUM(Kalender!$E$5:$E$370),0))*Szenarien!$D$22,0)</f>
        <v>4.94</v>
      </c>
      <c r="E4280" s="13" t="n">
        <f aca="false">IFERROR(MIN(C4280,Eingaben!$B$17)*Eingaben!$B$16,0)</f>
        <v>2.793</v>
      </c>
      <c r="F4280" s="13" t="n">
        <f aca="false">IFERROR(E4280*Eingaben!$B$15,0)</f>
        <v>2.5137</v>
      </c>
      <c r="G4280" s="13" t="n">
        <f aca="false">IFERROR(IF(Kalender!A254="",0,J4279*(1-Eingaben!$B$20)),0)</f>
        <v>1.709316</v>
      </c>
      <c r="H4280" s="13" t="n">
        <f aca="false">MIN(G4280,D4280)</f>
        <v>1.709316</v>
      </c>
      <c r="I4280" s="13" t="n">
        <f aca="false">IFERROR(MIN(F4280*Eingaben!$B$19,MAX(0,D4280-H4280)),0)</f>
        <v>1.75959</v>
      </c>
      <c r="J4280" s="13" t="n">
        <f aca="false">IFERROR(MIN(Eingaben!$B$18,MAX(0,F4280-I4280)),0)</f>
        <v>0.75411</v>
      </c>
      <c r="K4280" s="13" t="n">
        <f aca="false">H4280+I4280</f>
        <v>3.468906</v>
      </c>
      <c r="L4280" s="13" t="n">
        <f aca="false">MAX(0,D4280-K4280)</f>
        <v>1.471094</v>
      </c>
      <c r="M4280" s="13" t="n">
        <f aca="false">MAX(0,F4280-I4280-J4280)</f>
        <v>0</v>
      </c>
      <c r="N4280" s="13" t="n">
        <f aca="false">IF(Kalender!A254="",0,J4279-H4280)</f>
        <v>0.0348840000000001</v>
      </c>
    </row>
    <row r="4281" customFormat="false" ht="16.4" hidden="false" customHeight="false" outlineLevel="0" collapsed="false">
      <c r="A4281" s="13" t="str">
        <f aca="false">""</f>
        <v/>
      </c>
      <c r="B4281" s="13" t="n">
        <f aca="false">251</f>
        <v>251</v>
      </c>
      <c r="C4281" s="13" t="n">
        <f aca="false">IF(Szenarien!$H$22="OK",(IFERROR(SUMIF(Nutzungsprofile!$B$6:$B$11,"Schulbetrieb",Nutzungsprofile!$G$6:$G$11)*Kalender!C255/SUM(Kalender!$C$5:$C$370),0)+IFERROR(SUMIF(Nutzungsprofile!$B$6:$B$11,"Halle",Nutzungsprofile!$G$6:$G$11)*Kalender!D255/SUM(Kalender!$D$5:$D$370),0)+IFERROR(SUMIF(Nutzungsprofile!$B$6:$B$11,"Individuell",Nutzungsprofile!$G$6:$G$11)*Kalender!E255/SUM(Kalender!$E$5:$E$370),0))*Szenarien!$E$22,0)</f>
        <v>2.94</v>
      </c>
      <c r="D4281" s="13" t="n">
        <f aca="false">IF(Szenarien!$H$22="OK",(IFERROR(SUMIF(Nutzungsprofile!$B$17:$B$22,"Schulbetrieb",Nutzungsprofile!$G$17:$G$22)*Kalender!C255/SUM(Kalender!$C$5:$C$370),0)+IFERROR(SUMIF(Nutzungsprofile!$B$17:$B$22,"Halle",Nutzungsprofile!$G$17:$G$22)*Kalender!D255/SUM(Kalender!$D$5:$D$370),0)+IFERROR(SUMIF(Nutzungsprofile!$B$17:$B$22,"Individuell",Nutzungsprofile!$G$17:$G$22)*Kalender!E255/SUM(Kalender!$E$5:$E$370),0))*Szenarien!$D$22,0)</f>
        <v>4.94</v>
      </c>
      <c r="E4281" s="13" t="n">
        <f aca="false">IFERROR(MIN(C4281,Eingaben!$B$17)*Eingaben!$B$16,0)</f>
        <v>2.793</v>
      </c>
      <c r="F4281" s="13" t="n">
        <f aca="false">IFERROR(E4281*Eingaben!$B$15,0)</f>
        <v>2.5137</v>
      </c>
      <c r="G4281" s="13" t="n">
        <f aca="false">IFERROR(IF(Kalender!A255="",0,J4280*(1-Eingaben!$B$20)),0)</f>
        <v>0.7390278</v>
      </c>
      <c r="H4281" s="13" t="n">
        <f aca="false">MIN(G4281,D4281)</f>
        <v>0.7390278</v>
      </c>
      <c r="I4281" s="13" t="n">
        <f aca="false">IFERROR(MIN(F4281*Eingaben!$B$19,MAX(0,D4281-H4281)),0)</f>
        <v>1.75959</v>
      </c>
      <c r="J4281" s="13" t="n">
        <f aca="false">IFERROR(MIN(Eingaben!$B$18,MAX(0,F4281-I4281)),0)</f>
        <v>0.75411</v>
      </c>
      <c r="K4281" s="13" t="n">
        <f aca="false">H4281+I4281</f>
        <v>2.4986178</v>
      </c>
      <c r="L4281" s="13" t="n">
        <f aca="false">MAX(0,D4281-K4281)</f>
        <v>2.4413822</v>
      </c>
      <c r="M4281" s="13" t="n">
        <f aca="false">MAX(0,F4281-I4281-J4281)</f>
        <v>0</v>
      </c>
      <c r="N4281" s="13" t="n">
        <f aca="false">IF(Kalender!A255="",0,J4280-H4281)</f>
        <v>0.0150822</v>
      </c>
    </row>
    <row r="4282" customFormat="false" ht="16.4" hidden="false" customHeight="false" outlineLevel="0" collapsed="false">
      <c r="A4282" s="13" t="str">
        <f aca="false">""</f>
        <v/>
      </c>
      <c r="B4282" s="13" t="n">
        <f aca="false">252</f>
        <v>252</v>
      </c>
      <c r="C4282" s="13" t="n">
        <f aca="false">IF(Szenarien!$H$22="OK",(IFERROR(SUMIF(Nutzungsprofile!$B$6:$B$11,"Schulbetrieb",Nutzungsprofile!$G$6:$G$11)*Kalender!C256/SUM(Kalender!$C$5:$C$370),0)+IFERROR(SUMIF(Nutzungsprofile!$B$6:$B$11,"Halle",Nutzungsprofile!$G$6:$G$11)*Kalender!D256/SUM(Kalender!$D$5:$D$370),0)+IFERROR(SUMIF(Nutzungsprofile!$B$6:$B$11,"Individuell",Nutzungsprofile!$G$6:$G$11)*Kalender!E256/SUM(Kalender!$E$5:$E$370),0))*Szenarien!$E$22,0)</f>
        <v>2.94</v>
      </c>
      <c r="D4282" s="13" t="n">
        <f aca="false">IF(Szenarien!$H$22="OK",(IFERROR(SUMIF(Nutzungsprofile!$B$17:$B$22,"Schulbetrieb",Nutzungsprofile!$G$17:$G$22)*Kalender!C256/SUM(Kalender!$C$5:$C$370),0)+IFERROR(SUMIF(Nutzungsprofile!$B$17:$B$22,"Halle",Nutzungsprofile!$G$17:$G$22)*Kalender!D256/SUM(Kalender!$D$5:$D$370),0)+IFERROR(SUMIF(Nutzungsprofile!$B$17:$B$22,"Individuell",Nutzungsprofile!$G$17:$G$22)*Kalender!E256/SUM(Kalender!$E$5:$E$370),0))*Szenarien!$D$22,0)</f>
        <v>4.94</v>
      </c>
      <c r="E4282" s="13" t="n">
        <f aca="false">IFERROR(MIN(C4282,Eingaben!$B$17)*Eingaben!$B$16,0)</f>
        <v>2.793</v>
      </c>
      <c r="F4282" s="13" t="n">
        <f aca="false">IFERROR(E4282*Eingaben!$B$15,0)</f>
        <v>2.5137</v>
      </c>
      <c r="G4282" s="13" t="n">
        <f aca="false">IFERROR(IF(Kalender!A256="",0,J4281*(1-Eingaben!$B$20)),0)</f>
        <v>0.7390278</v>
      </c>
      <c r="H4282" s="13" t="n">
        <f aca="false">MIN(G4282,D4282)</f>
        <v>0.7390278</v>
      </c>
      <c r="I4282" s="13" t="n">
        <f aca="false">IFERROR(MIN(F4282*Eingaben!$B$19,MAX(0,D4282-H4282)),0)</f>
        <v>1.75959</v>
      </c>
      <c r="J4282" s="13" t="n">
        <f aca="false">IFERROR(MIN(Eingaben!$B$18,MAX(0,F4282-I4282)),0)</f>
        <v>0.75411</v>
      </c>
      <c r="K4282" s="13" t="n">
        <f aca="false">H4282+I4282</f>
        <v>2.4986178</v>
      </c>
      <c r="L4282" s="13" t="n">
        <f aca="false">MAX(0,D4282-K4282)</f>
        <v>2.4413822</v>
      </c>
      <c r="M4282" s="13" t="n">
        <f aca="false">MAX(0,F4282-I4282-J4282)</f>
        <v>0</v>
      </c>
      <c r="N4282" s="13" t="n">
        <f aca="false">IF(Kalender!A256="",0,J4281-H4282)</f>
        <v>0.0150822</v>
      </c>
    </row>
    <row r="4283" customFormat="false" ht="16.4" hidden="false" customHeight="false" outlineLevel="0" collapsed="false">
      <c r="A4283" s="13" t="str">
        <f aca="false">""</f>
        <v/>
      </c>
      <c r="B4283" s="13" t="n">
        <f aca="false">253</f>
        <v>253</v>
      </c>
      <c r="C4283" s="13" t="n">
        <f aca="false">IF(Szenarien!$H$22="OK",(IFERROR(SUMIF(Nutzungsprofile!$B$6:$B$11,"Schulbetrieb",Nutzungsprofile!$G$6:$G$11)*Kalender!C257/SUM(Kalender!$C$5:$C$370),0)+IFERROR(SUMIF(Nutzungsprofile!$B$6:$B$11,"Halle",Nutzungsprofile!$G$6:$G$11)*Kalender!D257/SUM(Kalender!$D$5:$D$370),0)+IFERROR(SUMIF(Nutzungsprofile!$B$6:$B$11,"Individuell",Nutzungsprofile!$G$6:$G$11)*Kalender!E257/SUM(Kalender!$E$5:$E$370),0))*Szenarien!$E$22,0)</f>
        <v>2.94</v>
      </c>
      <c r="D4283" s="13" t="n">
        <f aca="false">IF(Szenarien!$H$22="OK",(IFERROR(SUMIF(Nutzungsprofile!$B$17:$B$22,"Schulbetrieb",Nutzungsprofile!$G$17:$G$22)*Kalender!C257/SUM(Kalender!$C$5:$C$370),0)+IFERROR(SUMIF(Nutzungsprofile!$B$17:$B$22,"Halle",Nutzungsprofile!$G$17:$G$22)*Kalender!D257/SUM(Kalender!$D$5:$D$370),0)+IFERROR(SUMIF(Nutzungsprofile!$B$17:$B$22,"Individuell",Nutzungsprofile!$G$17:$G$22)*Kalender!E257/SUM(Kalender!$E$5:$E$370),0))*Szenarien!$D$22,0)</f>
        <v>4.94</v>
      </c>
      <c r="E4283" s="13" t="n">
        <f aca="false">IFERROR(MIN(C4283,Eingaben!$B$17)*Eingaben!$B$16,0)</f>
        <v>2.793</v>
      </c>
      <c r="F4283" s="13" t="n">
        <f aca="false">IFERROR(E4283*Eingaben!$B$15,0)</f>
        <v>2.5137</v>
      </c>
      <c r="G4283" s="13" t="n">
        <f aca="false">IFERROR(IF(Kalender!A257="",0,J4282*(1-Eingaben!$B$20)),0)</f>
        <v>0.7390278</v>
      </c>
      <c r="H4283" s="13" t="n">
        <f aca="false">MIN(G4283,D4283)</f>
        <v>0.7390278</v>
      </c>
      <c r="I4283" s="13" t="n">
        <f aca="false">IFERROR(MIN(F4283*Eingaben!$B$19,MAX(0,D4283-H4283)),0)</f>
        <v>1.75959</v>
      </c>
      <c r="J4283" s="13" t="n">
        <f aca="false">IFERROR(MIN(Eingaben!$B$18,MAX(0,F4283-I4283)),0)</f>
        <v>0.75411</v>
      </c>
      <c r="K4283" s="13" t="n">
        <f aca="false">H4283+I4283</f>
        <v>2.4986178</v>
      </c>
      <c r="L4283" s="13" t="n">
        <f aca="false">MAX(0,D4283-K4283)</f>
        <v>2.4413822</v>
      </c>
      <c r="M4283" s="13" t="n">
        <f aca="false">MAX(0,F4283-I4283-J4283)</f>
        <v>0</v>
      </c>
      <c r="N4283" s="13" t="n">
        <f aca="false">IF(Kalender!A257="",0,J4282-H4283)</f>
        <v>0.0150822</v>
      </c>
    </row>
    <row r="4284" customFormat="false" ht="16.4" hidden="false" customHeight="false" outlineLevel="0" collapsed="false">
      <c r="A4284" s="13" t="str">
        <f aca="false">""</f>
        <v/>
      </c>
      <c r="B4284" s="13" t="n">
        <f aca="false">254</f>
        <v>254</v>
      </c>
      <c r="C4284" s="13" t="n">
        <f aca="false">IF(Szenarien!$H$22="OK",(IFERROR(SUMIF(Nutzungsprofile!$B$6:$B$11,"Schulbetrieb",Nutzungsprofile!$G$6:$G$11)*Kalender!C258/SUM(Kalender!$C$5:$C$370),0)+IFERROR(SUMIF(Nutzungsprofile!$B$6:$B$11,"Halle",Nutzungsprofile!$G$6:$G$11)*Kalender!D258/SUM(Kalender!$D$5:$D$370),0)+IFERROR(SUMIF(Nutzungsprofile!$B$6:$B$11,"Individuell",Nutzungsprofile!$G$6:$G$11)*Kalender!E258/SUM(Kalender!$E$5:$E$370),0))*Szenarien!$E$22,0)</f>
        <v>2.94</v>
      </c>
      <c r="D4284" s="13" t="n">
        <f aca="false">IF(Szenarien!$H$22="OK",(IFERROR(SUMIF(Nutzungsprofile!$B$17:$B$22,"Schulbetrieb",Nutzungsprofile!$G$17:$G$22)*Kalender!C258/SUM(Kalender!$C$5:$C$370),0)+IFERROR(SUMIF(Nutzungsprofile!$B$17:$B$22,"Halle",Nutzungsprofile!$G$17:$G$22)*Kalender!D258/SUM(Kalender!$D$5:$D$370),0)+IFERROR(SUMIF(Nutzungsprofile!$B$17:$B$22,"Individuell",Nutzungsprofile!$G$17:$G$22)*Kalender!E258/SUM(Kalender!$E$5:$E$370),0))*Szenarien!$D$22,0)</f>
        <v>4.94</v>
      </c>
      <c r="E4284" s="13" t="n">
        <f aca="false">IFERROR(MIN(C4284,Eingaben!$B$17)*Eingaben!$B$16,0)</f>
        <v>2.793</v>
      </c>
      <c r="F4284" s="13" t="n">
        <f aca="false">IFERROR(E4284*Eingaben!$B$15,0)</f>
        <v>2.5137</v>
      </c>
      <c r="G4284" s="13" t="n">
        <f aca="false">IFERROR(IF(Kalender!A258="",0,J4283*(1-Eingaben!$B$20)),0)</f>
        <v>0.7390278</v>
      </c>
      <c r="H4284" s="13" t="n">
        <f aca="false">MIN(G4284,D4284)</f>
        <v>0.7390278</v>
      </c>
      <c r="I4284" s="13" t="n">
        <f aca="false">IFERROR(MIN(F4284*Eingaben!$B$19,MAX(0,D4284-H4284)),0)</f>
        <v>1.75959</v>
      </c>
      <c r="J4284" s="13" t="n">
        <f aca="false">IFERROR(MIN(Eingaben!$B$18,MAX(0,F4284-I4284)),0)</f>
        <v>0.75411</v>
      </c>
      <c r="K4284" s="13" t="n">
        <f aca="false">H4284+I4284</f>
        <v>2.4986178</v>
      </c>
      <c r="L4284" s="13" t="n">
        <f aca="false">MAX(0,D4284-K4284)</f>
        <v>2.4413822</v>
      </c>
      <c r="M4284" s="13" t="n">
        <f aca="false">MAX(0,F4284-I4284-J4284)</f>
        <v>0</v>
      </c>
      <c r="N4284" s="13" t="n">
        <f aca="false">IF(Kalender!A258="",0,J4283-H4284)</f>
        <v>0.0150822</v>
      </c>
    </row>
    <row r="4285" customFormat="false" ht="16.4" hidden="false" customHeight="false" outlineLevel="0" collapsed="false">
      <c r="A4285" s="13" t="str">
        <f aca="false">""</f>
        <v/>
      </c>
      <c r="B4285" s="13" t="n">
        <f aca="false">255</f>
        <v>255</v>
      </c>
      <c r="C4285" s="13" t="n">
        <f aca="false">IF(Szenarien!$H$22="OK",(IFERROR(SUMIF(Nutzungsprofile!$B$6:$B$11,"Schulbetrieb",Nutzungsprofile!$G$6:$G$11)*Kalender!C259/SUM(Kalender!$C$5:$C$370),0)+IFERROR(SUMIF(Nutzungsprofile!$B$6:$B$11,"Halle",Nutzungsprofile!$G$6:$G$11)*Kalender!D259/SUM(Kalender!$D$5:$D$370),0)+IFERROR(SUMIF(Nutzungsprofile!$B$6:$B$11,"Individuell",Nutzungsprofile!$G$6:$G$11)*Kalender!E259/SUM(Kalender!$E$5:$E$370),0))*Szenarien!$E$22,0)</f>
        <v>2.04</v>
      </c>
      <c r="D4285" s="13" t="n">
        <f aca="false">IF(Szenarien!$H$22="OK",(IFERROR(SUMIF(Nutzungsprofile!$B$17:$B$22,"Schulbetrieb",Nutzungsprofile!$G$17:$G$22)*Kalender!C259/SUM(Kalender!$C$5:$C$370),0)+IFERROR(SUMIF(Nutzungsprofile!$B$17:$B$22,"Halle",Nutzungsprofile!$G$17:$G$22)*Kalender!D259/SUM(Kalender!$D$5:$D$370),0)+IFERROR(SUMIF(Nutzungsprofile!$B$17:$B$22,"Individuell",Nutzungsprofile!$G$17:$G$22)*Kalender!E259/SUM(Kalender!$E$5:$E$370),0))*Szenarien!$D$22,0)</f>
        <v>0.89</v>
      </c>
      <c r="E4285" s="13" t="n">
        <f aca="false">IFERROR(MIN(C4285,Eingaben!$B$17)*Eingaben!$B$16,0)</f>
        <v>1.938</v>
      </c>
      <c r="F4285" s="13" t="n">
        <f aca="false">IFERROR(E4285*Eingaben!$B$15,0)</f>
        <v>1.7442</v>
      </c>
      <c r="G4285" s="13" t="n">
        <f aca="false">IFERROR(IF(Kalender!A259="",0,J4284*(1-Eingaben!$B$20)),0)</f>
        <v>0.7390278</v>
      </c>
      <c r="H4285" s="13" t="n">
        <f aca="false">MIN(G4285,D4285)</f>
        <v>0.7390278</v>
      </c>
      <c r="I4285" s="13" t="n">
        <f aca="false">IFERROR(MIN(F4285*Eingaben!$B$19,MAX(0,D4285-H4285)),0)</f>
        <v>0.1509722</v>
      </c>
      <c r="J4285" s="13" t="n">
        <f aca="false">IFERROR(MIN(Eingaben!$B$18,MAX(0,F4285-I4285)),0)</f>
        <v>1.5932278</v>
      </c>
      <c r="K4285" s="13" t="n">
        <f aca="false">H4285+I4285</f>
        <v>0.89</v>
      </c>
      <c r="L4285" s="13" t="n">
        <f aca="false">MAX(0,D4285-K4285)</f>
        <v>0</v>
      </c>
      <c r="M4285" s="13" t="n">
        <f aca="false">MAX(0,F4285-I4285-J4285)</f>
        <v>0</v>
      </c>
      <c r="N4285" s="13" t="n">
        <f aca="false">IF(Kalender!A259="",0,J4284-H4285)</f>
        <v>0.0150822</v>
      </c>
    </row>
    <row r="4286" customFormat="false" ht="16.4" hidden="false" customHeight="false" outlineLevel="0" collapsed="false">
      <c r="A4286" s="13" t="str">
        <f aca="false">""</f>
        <v/>
      </c>
      <c r="B4286" s="13" t="n">
        <f aca="false">256</f>
        <v>256</v>
      </c>
      <c r="C4286" s="13" t="n">
        <f aca="false">IF(Szenarien!$H$22="OK",(IFERROR(SUMIF(Nutzungsprofile!$B$6:$B$11,"Schulbetrieb",Nutzungsprofile!$G$6:$G$11)*Kalender!C260/SUM(Kalender!$C$5:$C$370),0)+IFERROR(SUMIF(Nutzungsprofile!$B$6:$B$11,"Halle",Nutzungsprofile!$G$6:$G$11)*Kalender!D260/SUM(Kalender!$D$5:$D$370),0)+IFERROR(SUMIF(Nutzungsprofile!$B$6:$B$11,"Individuell",Nutzungsprofile!$G$6:$G$11)*Kalender!E260/SUM(Kalender!$E$5:$E$370),0))*Szenarien!$E$22,0)</f>
        <v>2.04</v>
      </c>
      <c r="D4286" s="13" t="n">
        <f aca="false">IF(Szenarien!$H$22="OK",(IFERROR(SUMIF(Nutzungsprofile!$B$17:$B$22,"Schulbetrieb",Nutzungsprofile!$G$17:$G$22)*Kalender!C260/SUM(Kalender!$C$5:$C$370),0)+IFERROR(SUMIF(Nutzungsprofile!$B$17:$B$22,"Halle",Nutzungsprofile!$G$17:$G$22)*Kalender!D260/SUM(Kalender!$D$5:$D$370),0)+IFERROR(SUMIF(Nutzungsprofile!$B$17:$B$22,"Individuell",Nutzungsprofile!$G$17:$G$22)*Kalender!E260/SUM(Kalender!$E$5:$E$370),0))*Szenarien!$D$22,0)</f>
        <v>0.89</v>
      </c>
      <c r="E4286" s="13" t="n">
        <f aca="false">IFERROR(MIN(C4286,Eingaben!$B$17)*Eingaben!$B$16,0)</f>
        <v>1.938</v>
      </c>
      <c r="F4286" s="13" t="n">
        <f aca="false">IFERROR(E4286*Eingaben!$B$15,0)</f>
        <v>1.7442</v>
      </c>
      <c r="G4286" s="13" t="n">
        <f aca="false">IFERROR(IF(Kalender!A260="",0,J4285*(1-Eingaben!$B$20)),0)</f>
        <v>1.561363244</v>
      </c>
      <c r="H4286" s="13" t="n">
        <f aca="false">MIN(G4286,D4286)</f>
        <v>0.89</v>
      </c>
      <c r="I4286" s="13" t="n">
        <f aca="false">IFERROR(MIN(F4286*Eingaben!$B$19,MAX(0,D4286-H4286)),0)</f>
        <v>0</v>
      </c>
      <c r="J4286" s="13" t="n">
        <f aca="false">IFERROR(MIN(Eingaben!$B$18,MAX(0,F4286-I4286)),0)</f>
        <v>1.7442</v>
      </c>
      <c r="K4286" s="13" t="n">
        <f aca="false">H4286+I4286</f>
        <v>0.89</v>
      </c>
      <c r="L4286" s="13" t="n">
        <f aca="false">MAX(0,D4286-K4286)</f>
        <v>0</v>
      </c>
      <c r="M4286" s="13" t="n">
        <f aca="false">MAX(0,F4286-I4286-J4286)</f>
        <v>0</v>
      </c>
      <c r="N4286" s="13" t="n">
        <f aca="false">IF(Kalender!A260="",0,J4285-H4286)</f>
        <v>0.7032278</v>
      </c>
    </row>
    <row r="4287" customFormat="false" ht="16.4" hidden="false" customHeight="false" outlineLevel="0" collapsed="false">
      <c r="A4287" s="13" t="str">
        <f aca="false">""</f>
        <v/>
      </c>
      <c r="B4287" s="13" t="n">
        <f aca="false">257</f>
        <v>257</v>
      </c>
      <c r="C4287" s="13" t="n">
        <f aca="false">IF(Szenarien!$H$22="OK",(IFERROR(SUMIF(Nutzungsprofile!$B$6:$B$11,"Schulbetrieb",Nutzungsprofile!$G$6:$G$11)*Kalender!C261/SUM(Kalender!$C$5:$C$370),0)+IFERROR(SUMIF(Nutzungsprofile!$B$6:$B$11,"Halle",Nutzungsprofile!$G$6:$G$11)*Kalender!D261/SUM(Kalender!$D$5:$D$370),0)+IFERROR(SUMIF(Nutzungsprofile!$B$6:$B$11,"Individuell",Nutzungsprofile!$G$6:$G$11)*Kalender!E261/SUM(Kalender!$E$5:$E$370),0))*Szenarien!$E$22,0)</f>
        <v>2.94</v>
      </c>
      <c r="D4287" s="13" t="n">
        <f aca="false">IF(Szenarien!$H$22="OK",(IFERROR(SUMIF(Nutzungsprofile!$B$17:$B$22,"Schulbetrieb",Nutzungsprofile!$G$17:$G$22)*Kalender!C261/SUM(Kalender!$C$5:$C$370),0)+IFERROR(SUMIF(Nutzungsprofile!$B$17:$B$22,"Halle",Nutzungsprofile!$G$17:$G$22)*Kalender!D261/SUM(Kalender!$D$5:$D$370),0)+IFERROR(SUMIF(Nutzungsprofile!$B$17:$B$22,"Individuell",Nutzungsprofile!$G$17:$G$22)*Kalender!E261/SUM(Kalender!$E$5:$E$370),0))*Szenarien!$D$22,0)</f>
        <v>4.94</v>
      </c>
      <c r="E4287" s="13" t="n">
        <f aca="false">IFERROR(MIN(C4287,Eingaben!$B$17)*Eingaben!$B$16,0)</f>
        <v>2.793</v>
      </c>
      <c r="F4287" s="13" t="n">
        <f aca="false">IFERROR(E4287*Eingaben!$B$15,0)</f>
        <v>2.5137</v>
      </c>
      <c r="G4287" s="13" t="n">
        <f aca="false">IFERROR(IF(Kalender!A261="",0,J4286*(1-Eingaben!$B$20)),0)</f>
        <v>1.709316</v>
      </c>
      <c r="H4287" s="13" t="n">
        <f aca="false">MIN(G4287,D4287)</f>
        <v>1.709316</v>
      </c>
      <c r="I4287" s="13" t="n">
        <f aca="false">IFERROR(MIN(F4287*Eingaben!$B$19,MAX(0,D4287-H4287)),0)</f>
        <v>1.75959</v>
      </c>
      <c r="J4287" s="13" t="n">
        <f aca="false">IFERROR(MIN(Eingaben!$B$18,MAX(0,F4287-I4287)),0)</f>
        <v>0.75411</v>
      </c>
      <c r="K4287" s="13" t="n">
        <f aca="false">H4287+I4287</f>
        <v>3.468906</v>
      </c>
      <c r="L4287" s="13" t="n">
        <f aca="false">MAX(0,D4287-K4287)</f>
        <v>1.471094</v>
      </c>
      <c r="M4287" s="13" t="n">
        <f aca="false">MAX(0,F4287-I4287-J4287)</f>
        <v>0</v>
      </c>
      <c r="N4287" s="13" t="n">
        <f aca="false">IF(Kalender!A261="",0,J4286-H4287)</f>
        <v>0.0348840000000001</v>
      </c>
    </row>
    <row r="4288" customFormat="false" ht="16.4" hidden="false" customHeight="false" outlineLevel="0" collapsed="false">
      <c r="A4288" s="13" t="str">
        <f aca="false">""</f>
        <v/>
      </c>
      <c r="B4288" s="13" t="n">
        <f aca="false">258</f>
        <v>258</v>
      </c>
      <c r="C4288" s="13" t="n">
        <f aca="false">IF(Szenarien!$H$22="OK",(IFERROR(SUMIF(Nutzungsprofile!$B$6:$B$11,"Schulbetrieb",Nutzungsprofile!$G$6:$G$11)*Kalender!C262/SUM(Kalender!$C$5:$C$370),0)+IFERROR(SUMIF(Nutzungsprofile!$B$6:$B$11,"Halle",Nutzungsprofile!$G$6:$G$11)*Kalender!D262/SUM(Kalender!$D$5:$D$370),0)+IFERROR(SUMIF(Nutzungsprofile!$B$6:$B$11,"Individuell",Nutzungsprofile!$G$6:$G$11)*Kalender!E262/SUM(Kalender!$E$5:$E$370),0))*Szenarien!$E$22,0)</f>
        <v>2.94</v>
      </c>
      <c r="D4288" s="13" t="n">
        <f aca="false">IF(Szenarien!$H$22="OK",(IFERROR(SUMIF(Nutzungsprofile!$B$17:$B$22,"Schulbetrieb",Nutzungsprofile!$G$17:$G$22)*Kalender!C262/SUM(Kalender!$C$5:$C$370),0)+IFERROR(SUMIF(Nutzungsprofile!$B$17:$B$22,"Halle",Nutzungsprofile!$G$17:$G$22)*Kalender!D262/SUM(Kalender!$D$5:$D$370),0)+IFERROR(SUMIF(Nutzungsprofile!$B$17:$B$22,"Individuell",Nutzungsprofile!$G$17:$G$22)*Kalender!E262/SUM(Kalender!$E$5:$E$370),0))*Szenarien!$D$22,0)</f>
        <v>4.94</v>
      </c>
      <c r="E4288" s="13" t="n">
        <f aca="false">IFERROR(MIN(C4288,Eingaben!$B$17)*Eingaben!$B$16,0)</f>
        <v>2.793</v>
      </c>
      <c r="F4288" s="13" t="n">
        <f aca="false">IFERROR(E4288*Eingaben!$B$15,0)</f>
        <v>2.5137</v>
      </c>
      <c r="G4288" s="13" t="n">
        <f aca="false">IFERROR(IF(Kalender!A262="",0,J4287*(1-Eingaben!$B$20)),0)</f>
        <v>0.7390278</v>
      </c>
      <c r="H4288" s="13" t="n">
        <f aca="false">MIN(G4288,D4288)</f>
        <v>0.7390278</v>
      </c>
      <c r="I4288" s="13" t="n">
        <f aca="false">IFERROR(MIN(F4288*Eingaben!$B$19,MAX(0,D4288-H4288)),0)</f>
        <v>1.75959</v>
      </c>
      <c r="J4288" s="13" t="n">
        <f aca="false">IFERROR(MIN(Eingaben!$B$18,MAX(0,F4288-I4288)),0)</f>
        <v>0.75411</v>
      </c>
      <c r="K4288" s="13" t="n">
        <f aca="false">H4288+I4288</f>
        <v>2.4986178</v>
      </c>
      <c r="L4288" s="13" t="n">
        <f aca="false">MAX(0,D4288-K4288)</f>
        <v>2.4413822</v>
      </c>
      <c r="M4288" s="13" t="n">
        <f aca="false">MAX(0,F4288-I4288-J4288)</f>
        <v>0</v>
      </c>
      <c r="N4288" s="13" t="n">
        <f aca="false">IF(Kalender!A262="",0,J4287-H4288)</f>
        <v>0.0150822</v>
      </c>
    </row>
    <row r="4289" customFormat="false" ht="16.4" hidden="false" customHeight="false" outlineLevel="0" collapsed="false">
      <c r="A4289" s="13" t="str">
        <f aca="false">""</f>
        <v/>
      </c>
      <c r="B4289" s="13" t="n">
        <f aca="false">259</f>
        <v>259</v>
      </c>
      <c r="C4289" s="13" t="n">
        <f aca="false">IF(Szenarien!$H$22="OK",(IFERROR(SUMIF(Nutzungsprofile!$B$6:$B$11,"Schulbetrieb",Nutzungsprofile!$G$6:$G$11)*Kalender!C263/SUM(Kalender!$C$5:$C$370),0)+IFERROR(SUMIF(Nutzungsprofile!$B$6:$B$11,"Halle",Nutzungsprofile!$G$6:$G$11)*Kalender!D263/SUM(Kalender!$D$5:$D$370),0)+IFERROR(SUMIF(Nutzungsprofile!$B$6:$B$11,"Individuell",Nutzungsprofile!$G$6:$G$11)*Kalender!E263/SUM(Kalender!$E$5:$E$370),0))*Szenarien!$E$22,0)</f>
        <v>2.94</v>
      </c>
      <c r="D4289" s="13" t="n">
        <f aca="false">IF(Szenarien!$H$22="OK",(IFERROR(SUMIF(Nutzungsprofile!$B$17:$B$22,"Schulbetrieb",Nutzungsprofile!$G$17:$G$22)*Kalender!C263/SUM(Kalender!$C$5:$C$370),0)+IFERROR(SUMIF(Nutzungsprofile!$B$17:$B$22,"Halle",Nutzungsprofile!$G$17:$G$22)*Kalender!D263/SUM(Kalender!$D$5:$D$370),0)+IFERROR(SUMIF(Nutzungsprofile!$B$17:$B$22,"Individuell",Nutzungsprofile!$G$17:$G$22)*Kalender!E263/SUM(Kalender!$E$5:$E$370),0))*Szenarien!$D$22,0)</f>
        <v>4.94</v>
      </c>
      <c r="E4289" s="13" t="n">
        <f aca="false">IFERROR(MIN(C4289,Eingaben!$B$17)*Eingaben!$B$16,0)</f>
        <v>2.793</v>
      </c>
      <c r="F4289" s="13" t="n">
        <f aca="false">IFERROR(E4289*Eingaben!$B$15,0)</f>
        <v>2.5137</v>
      </c>
      <c r="G4289" s="13" t="n">
        <f aca="false">IFERROR(IF(Kalender!A263="",0,J4288*(1-Eingaben!$B$20)),0)</f>
        <v>0.7390278</v>
      </c>
      <c r="H4289" s="13" t="n">
        <f aca="false">MIN(G4289,D4289)</f>
        <v>0.7390278</v>
      </c>
      <c r="I4289" s="13" t="n">
        <f aca="false">IFERROR(MIN(F4289*Eingaben!$B$19,MAX(0,D4289-H4289)),0)</f>
        <v>1.75959</v>
      </c>
      <c r="J4289" s="13" t="n">
        <f aca="false">IFERROR(MIN(Eingaben!$B$18,MAX(0,F4289-I4289)),0)</f>
        <v>0.75411</v>
      </c>
      <c r="K4289" s="13" t="n">
        <f aca="false">H4289+I4289</f>
        <v>2.4986178</v>
      </c>
      <c r="L4289" s="13" t="n">
        <f aca="false">MAX(0,D4289-K4289)</f>
        <v>2.4413822</v>
      </c>
      <c r="M4289" s="13" t="n">
        <f aca="false">MAX(0,F4289-I4289-J4289)</f>
        <v>0</v>
      </c>
      <c r="N4289" s="13" t="n">
        <f aca="false">IF(Kalender!A263="",0,J4288-H4289)</f>
        <v>0.0150822</v>
      </c>
    </row>
    <row r="4290" customFormat="false" ht="16.4" hidden="false" customHeight="false" outlineLevel="0" collapsed="false">
      <c r="A4290" s="13" t="str">
        <f aca="false">""</f>
        <v/>
      </c>
      <c r="B4290" s="13" t="n">
        <f aca="false">260</f>
        <v>260</v>
      </c>
      <c r="C4290" s="13" t="n">
        <f aca="false">IF(Szenarien!$H$22="OK",(IFERROR(SUMIF(Nutzungsprofile!$B$6:$B$11,"Schulbetrieb",Nutzungsprofile!$G$6:$G$11)*Kalender!C264/SUM(Kalender!$C$5:$C$370),0)+IFERROR(SUMIF(Nutzungsprofile!$B$6:$B$11,"Halle",Nutzungsprofile!$G$6:$G$11)*Kalender!D264/SUM(Kalender!$D$5:$D$370),0)+IFERROR(SUMIF(Nutzungsprofile!$B$6:$B$11,"Individuell",Nutzungsprofile!$G$6:$G$11)*Kalender!E264/SUM(Kalender!$E$5:$E$370),0))*Szenarien!$E$22,0)</f>
        <v>2.94</v>
      </c>
      <c r="D4290" s="13" t="n">
        <f aca="false">IF(Szenarien!$H$22="OK",(IFERROR(SUMIF(Nutzungsprofile!$B$17:$B$22,"Schulbetrieb",Nutzungsprofile!$G$17:$G$22)*Kalender!C264/SUM(Kalender!$C$5:$C$370),0)+IFERROR(SUMIF(Nutzungsprofile!$B$17:$B$22,"Halle",Nutzungsprofile!$G$17:$G$22)*Kalender!D264/SUM(Kalender!$D$5:$D$370),0)+IFERROR(SUMIF(Nutzungsprofile!$B$17:$B$22,"Individuell",Nutzungsprofile!$G$17:$G$22)*Kalender!E264/SUM(Kalender!$E$5:$E$370),0))*Szenarien!$D$22,0)</f>
        <v>4.94</v>
      </c>
      <c r="E4290" s="13" t="n">
        <f aca="false">IFERROR(MIN(C4290,Eingaben!$B$17)*Eingaben!$B$16,0)</f>
        <v>2.793</v>
      </c>
      <c r="F4290" s="13" t="n">
        <f aca="false">IFERROR(E4290*Eingaben!$B$15,0)</f>
        <v>2.5137</v>
      </c>
      <c r="G4290" s="13" t="n">
        <f aca="false">IFERROR(IF(Kalender!A264="",0,J4289*(1-Eingaben!$B$20)),0)</f>
        <v>0.7390278</v>
      </c>
      <c r="H4290" s="13" t="n">
        <f aca="false">MIN(G4290,D4290)</f>
        <v>0.7390278</v>
      </c>
      <c r="I4290" s="13" t="n">
        <f aca="false">IFERROR(MIN(F4290*Eingaben!$B$19,MAX(0,D4290-H4290)),0)</f>
        <v>1.75959</v>
      </c>
      <c r="J4290" s="13" t="n">
        <f aca="false">IFERROR(MIN(Eingaben!$B$18,MAX(0,F4290-I4290)),0)</f>
        <v>0.75411</v>
      </c>
      <c r="K4290" s="13" t="n">
        <f aca="false">H4290+I4290</f>
        <v>2.4986178</v>
      </c>
      <c r="L4290" s="13" t="n">
        <f aca="false">MAX(0,D4290-K4290)</f>
        <v>2.4413822</v>
      </c>
      <c r="M4290" s="13" t="n">
        <f aca="false">MAX(0,F4290-I4290-J4290)</f>
        <v>0</v>
      </c>
      <c r="N4290" s="13" t="n">
        <f aca="false">IF(Kalender!A264="",0,J4289-H4290)</f>
        <v>0.0150822</v>
      </c>
    </row>
    <row r="4291" customFormat="false" ht="16.4" hidden="false" customHeight="false" outlineLevel="0" collapsed="false">
      <c r="A4291" s="13" t="str">
        <f aca="false">""</f>
        <v/>
      </c>
      <c r="B4291" s="13" t="n">
        <f aca="false">261</f>
        <v>261</v>
      </c>
      <c r="C4291" s="13" t="n">
        <f aca="false">IF(Szenarien!$H$22="OK",(IFERROR(SUMIF(Nutzungsprofile!$B$6:$B$11,"Schulbetrieb",Nutzungsprofile!$G$6:$G$11)*Kalender!C265/SUM(Kalender!$C$5:$C$370),0)+IFERROR(SUMIF(Nutzungsprofile!$B$6:$B$11,"Halle",Nutzungsprofile!$G$6:$G$11)*Kalender!D265/SUM(Kalender!$D$5:$D$370),0)+IFERROR(SUMIF(Nutzungsprofile!$B$6:$B$11,"Individuell",Nutzungsprofile!$G$6:$G$11)*Kalender!E265/SUM(Kalender!$E$5:$E$370),0))*Szenarien!$E$22,0)</f>
        <v>2.94</v>
      </c>
      <c r="D4291" s="13" t="n">
        <f aca="false">IF(Szenarien!$H$22="OK",(IFERROR(SUMIF(Nutzungsprofile!$B$17:$B$22,"Schulbetrieb",Nutzungsprofile!$G$17:$G$22)*Kalender!C265/SUM(Kalender!$C$5:$C$370),0)+IFERROR(SUMIF(Nutzungsprofile!$B$17:$B$22,"Halle",Nutzungsprofile!$G$17:$G$22)*Kalender!D265/SUM(Kalender!$D$5:$D$370),0)+IFERROR(SUMIF(Nutzungsprofile!$B$17:$B$22,"Individuell",Nutzungsprofile!$G$17:$G$22)*Kalender!E265/SUM(Kalender!$E$5:$E$370),0))*Szenarien!$D$22,0)</f>
        <v>4.94</v>
      </c>
      <c r="E4291" s="13" t="n">
        <f aca="false">IFERROR(MIN(C4291,Eingaben!$B$17)*Eingaben!$B$16,0)</f>
        <v>2.793</v>
      </c>
      <c r="F4291" s="13" t="n">
        <f aca="false">IFERROR(E4291*Eingaben!$B$15,0)</f>
        <v>2.5137</v>
      </c>
      <c r="G4291" s="13" t="n">
        <f aca="false">IFERROR(IF(Kalender!A265="",0,J4290*(1-Eingaben!$B$20)),0)</f>
        <v>0.7390278</v>
      </c>
      <c r="H4291" s="13" t="n">
        <f aca="false">MIN(G4291,D4291)</f>
        <v>0.7390278</v>
      </c>
      <c r="I4291" s="13" t="n">
        <f aca="false">IFERROR(MIN(F4291*Eingaben!$B$19,MAX(0,D4291-H4291)),0)</f>
        <v>1.75959</v>
      </c>
      <c r="J4291" s="13" t="n">
        <f aca="false">IFERROR(MIN(Eingaben!$B$18,MAX(0,F4291-I4291)),0)</f>
        <v>0.75411</v>
      </c>
      <c r="K4291" s="13" t="n">
        <f aca="false">H4291+I4291</f>
        <v>2.4986178</v>
      </c>
      <c r="L4291" s="13" t="n">
        <f aca="false">MAX(0,D4291-K4291)</f>
        <v>2.4413822</v>
      </c>
      <c r="M4291" s="13" t="n">
        <f aca="false">MAX(0,F4291-I4291-J4291)</f>
        <v>0</v>
      </c>
      <c r="N4291" s="13" t="n">
        <f aca="false">IF(Kalender!A265="",0,J4290-H4291)</f>
        <v>0.0150822</v>
      </c>
    </row>
    <row r="4292" customFormat="false" ht="16.4" hidden="false" customHeight="false" outlineLevel="0" collapsed="false">
      <c r="A4292" s="13" t="str">
        <f aca="false">""</f>
        <v/>
      </c>
      <c r="B4292" s="13" t="n">
        <f aca="false">262</f>
        <v>262</v>
      </c>
      <c r="C4292" s="13" t="n">
        <f aca="false">IF(Szenarien!$H$22="OK",(IFERROR(SUMIF(Nutzungsprofile!$B$6:$B$11,"Schulbetrieb",Nutzungsprofile!$G$6:$G$11)*Kalender!C266/SUM(Kalender!$C$5:$C$370),0)+IFERROR(SUMIF(Nutzungsprofile!$B$6:$B$11,"Halle",Nutzungsprofile!$G$6:$G$11)*Kalender!D266/SUM(Kalender!$D$5:$D$370),0)+IFERROR(SUMIF(Nutzungsprofile!$B$6:$B$11,"Individuell",Nutzungsprofile!$G$6:$G$11)*Kalender!E266/SUM(Kalender!$E$5:$E$370),0))*Szenarien!$E$22,0)</f>
        <v>2.04</v>
      </c>
      <c r="D4292" s="13" t="n">
        <f aca="false">IF(Szenarien!$H$22="OK",(IFERROR(SUMIF(Nutzungsprofile!$B$17:$B$22,"Schulbetrieb",Nutzungsprofile!$G$17:$G$22)*Kalender!C266/SUM(Kalender!$C$5:$C$370),0)+IFERROR(SUMIF(Nutzungsprofile!$B$17:$B$22,"Halle",Nutzungsprofile!$G$17:$G$22)*Kalender!D266/SUM(Kalender!$D$5:$D$370),0)+IFERROR(SUMIF(Nutzungsprofile!$B$17:$B$22,"Individuell",Nutzungsprofile!$G$17:$G$22)*Kalender!E266/SUM(Kalender!$E$5:$E$370),0))*Szenarien!$D$22,0)</f>
        <v>0.89</v>
      </c>
      <c r="E4292" s="13" t="n">
        <f aca="false">IFERROR(MIN(C4292,Eingaben!$B$17)*Eingaben!$B$16,0)</f>
        <v>1.938</v>
      </c>
      <c r="F4292" s="13" t="n">
        <f aca="false">IFERROR(E4292*Eingaben!$B$15,0)</f>
        <v>1.7442</v>
      </c>
      <c r="G4292" s="13" t="n">
        <f aca="false">IFERROR(IF(Kalender!A266="",0,J4291*(1-Eingaben!$B$20)),0)</f>
        <v>0.7390278</v>
      </c>
      <c r="H4292" s="13" t="n">
        <f aca="false">MIN(G4292,D4292)</f>
        <v>0.7390278</v>
      </c>
      <c r="I4292" s="13" t="n">
        <f aca="false">IFERROR(MIN(F4292*Eingaben!$B$19,MAX(0,D4292-H4292)),0)</f>
        <v>0.1509722</v>
      </c>
      <c r="J4292" s="13" t="n">
        <f aca="false">IFERROR(MIN(Eingaben!$B$18,MAX(0,F4292-I4292)),0)</f>
        <v>1.5932278</v>
      </c>
      <c r="K4292" s="13" t="n">
        <f aca="false">H4292+I4292</f>
        <v>0.89</v>
      </c>
      <c r="L4292" s="13" t="n">
        <f aca="false">MAX(0,D4292-K4292)</f>
        <v>0</v>
      </c>
      <c r="M4292" s="13" t="n">
        <f aca="false">MAX(0,F4292-I4292-J4292)</f>
        <v>0</v>
      </c>
      <c r="N4292" s="13" t="n">
        <f aca="false">IF(Kalender!A266="",0,J4291-H4292)</f>
        <v>0.0150822</v>
      </c>
    </row>
    <row r="4293" customFormat="false" ht="16.4" hidden="false" customHeight="false" outlineLevel="0" collapsed="false">
      <c r="A4293" s="13" t="str">
        <f aca="false">""</f>
        <v/>
      </c>
      <c r="B4293" s="13" t="n">
        <f aca="false">263</f>
        <v>263</v>
      </c>
      <c r="C4293" s="13" t="n">
        <f aca="false">IF(Szenarien!$H$22="OK",(IFERROR(SUMIF(Nutzungsprofile!$B$6:$B$11,"Schulbetrieb",Nutzungsprofile!$G$6:$G$11)*Kalender!C267/SUM(Kalender!$C$5:$C$370),0)+IFERROR(SUMIF(Nutzungsprofile!$B$6:$B$11,"Halle",Nutzungsprofile!$G$6:$G$11)*Kalender!D267/SUM(Kalender!$D$5:$D$370),0)+IFERROR(SUMIF(Nutzungsprofile!$B$6:$B$11,"Individuell",Nutzungsprofile!$G$6:$G$11)*Kalender!E267/SUM(Kalender!$E$5:$E$370),0))*Szenarien!$E$22,0)</f>
        <v>2.04</v>
      </c>
      <c r="D4293" s="13" t="n">
        <f aca="false">IF(Szenarien!$H$22="OK",(IFERROR(SUMIF(Nutzungsprofile!$B$17:$B$22,"Schulbetrieb",Nutzungsprofile!$G$17:$G$22)*Kalender!C267/SUM(Kalender!$C$5:$C$370),0)+IFERROR(SUMIF(Nutzungsprofile!$B$17:$B$22,"Halle",Nutzungsprofile!$G$17:$G$22)*Kalender!D267/SUM(Kalender!$D$5:$D$370),0)+IFERROR(SUMIF(Nutzungsprofile!$B$17:$B$22,"Individuell",Nutzungsprofile!$G$17:$G$22)*Kalender!E267/SUM(Kalender!$E$5:$E$370),0))*Szenarien!$D$22,0)</f>
        <v>0.89</v>
      </c>
      <c r="E4293" s="13" t="n">
        <f aca="false">IFERROR(MIN(C4293,Eingaben!$B$17)*Eingaben!$B$16,0)</f>
        <v>1.938</v>
      </c>
      <c r="F4293" s="13" t="n">
        <f aca="false">IFERROR(E4293*Eingaben!$B$15,0)</f>
        <v>1.7442</v>
      </c>
      <c r="G4293" s="13" t="n">
        <f aca="false">IFERROR(IF(Kalender!A267="",0,J4292*(1-Eingaben!$B$20)),0)</f>
        <v>1.561363244</v>
      </c>
      <c r="H4293" s="13" t="n">
        <f aca="false">MIN(G4293,D4293)</f>
        <v>0.89</v>
      </c>
      <c r="I4293" s="13" t="n">
        <f aca="false">IFERROR(MIN(F4293*Eingaben!$B$19,MAX(0,D4293-H4293)),0)</f>
        <v>0</v>
      </c>
      <c r="J4293" s="13" t="n">
        <f aca="false">IFERROR(MIN(Eingaben!$B$18,MAX(0,F4293-I4293)),0)</f>
        <v>1.7442</v>
      </c>
      <c r="K4293" s="13" t="n">
        <f aca="false">H4293+I4293</f>
        <v>0.89</v>
      </c>
      <c r="L4293" s="13" t="n">
        <f aca="false">MAX(0,D4293-K4293)</f>
        <v>0</v>
      </c>
      <c r="M4293" s="13" t="n">
        <f aca="false">MAX(0,F4293-I4293-J4293)</f>
        <v>0</v>
      </c>
      <c r="N4293" s="13" t="n">
        <f aca="false">IF(Kalender!A267="",0,J4292-H4293)</f>
        <v>0.7032278</v>
      </c>
    </row>
    <row r="4294" customFormat="false" ht="16.4" hidden="false" customHeight="false" outlineLevel="0" collapsed="false">
      <c r="A4294" s="13" t="str">
        <f aca="false">""</f>
        <v/>
      </c>
      <c r="B4294" s="13" t="n">
        <f aca="false">264</f>
        <v>264</v>
      </c>
      <c r="C4294" s="13" t="n">
        <f aca="false">IF(Szenarien!$H$22="OK",(IFERROR(SUMIF(Nutzungsprofile!$B$6:$B$11,"Schulbetrieb",Nutzungsprofile!$G$6:$G$11)*Kalender!C268/SUM(Kalender!$C$5:$C$370),0)+IFERROR(SUMIF(Nutzungsprofile!$B$6:$B$11,"Halle",Nutzungsprofile!$G$6:$G$11)*Kalender!D268/SUM(Kalender!$D$5:$D$370),0)+IFERROR(SUMIF(Nutzungsprofile!$B$6:$B$11,"Individuell",Nutzungsprofile!$G$6:$G$11)*Kalender!E268/SUM(Kalender!$E$5:$E$370),0))*Szenarien!$E$22,0)</f>
        <v>2.94</v>
      </c>
      <c r="D4294" s="13" t="n">
        <f aca="false">IF(Szenarien!$H$22="OK",(IFERROR(SUMIF(Nutzungsprofile!$B$17:$B$22,"Schulbetrieb",Nutzungsprofile!$G$17:$G$22)*Kalender!C268/SUM(Kalender!$C$5:$C$370),0)+IFERROR(SUMIF(Nutzungsprofile!$B$17:$B$22,"Halle",Nutzungsprofile!$G$17:$G$22)*Kalender!D268/SUM(Kalender!$D$5:$D$370),0)+IFERROR(SUMIF(Nutzungsprofile!$B$17:$B$22,"Individuell",Nutzungsprofile!$G$17:$G$22)*Kalender!E268/SUM(Kalender!$E$5:$E$370),0))*Szenarien!$D$22,0)</f>
        <v>4.94</v>
      </c>
      <c r="E4294" s="13" t="n">
        <f aca="false">IFERROR(MIN(C4294,Eingaben!$B$17)*Eingaben!$B$16,0)</f>
        <v>2.793</v>
      </c>
      <c r="F4294" s="13" t="n">
        <f aca="false">IFERROR(E4294*Eingaben!$B$15,0)</f>
        <v>2.5137</v>
      </c>
      <c r="G4294" s="13" t="n">
        <f aca="false">IFERROR(IF(Kalender!A268="",0,J4293*(1-Eingaben!$B$20)),0)</f>
        <v>1.709316</v>
      </c>
      <c r="H4294" s="13" t="n">
        <f aca="false">MIN(G4294,D4294)</f>
        <v>1.709316</v>
      </c>
      <c r="I4294" s="13" t="n">
        <f aca="false">IFERROR(MIN(F4294*Eingaben!$B$19,MAX(0,D4294-H4294)),0)</f>
        <v>1.75959</v>
      </c>
      <c r="J4294" s="13" t="n">
        <f aca="false">IFERROR(MIN(Eingaben!$B$18,MAX(0,F4294-I4294)),0)</f>
        <v>0.75411</v>
      </c>
      <c r="K4294" s="13" t="n">
        <f aca="false">H4294+I4294</f>
        <v>3.468906</v>
      </c>
      <c r="L4294" s="13" t="n">
        <f aca="false">MAX(0,D4294-K4294)</f>
        <v>1.471094</v>
      </c>
      <c r="M4294" s="13" t="n">
        <f aca="false">MAX(0,F4294-I4294-J4294)</f>
        <v>0</v>
      </c>
      <c r="N4294" s="13" t="n">
        <f aca="false">IF(Kalender!A268="",0,J4293-H4294)</f>
        <v>0.0348840000000001</v>
      </c>
    </row>
    <row r="4295" customFormat="false" ht="16.4" hidden="false" customHeight="false" outlineLevel="0" collapsed="false">
      <c r="A4295" s="13" t="str">
        <f aca="false">""</f>
        <v/>
      </c>
      <c r="B4295" s="13" t="n">
        <f aca="false">265</f>
        <v>265</v>
      </c>
      <c r="C4295" s="13" t="n">
        <f aca="false">IF(Szenarien!$H$22="OK",(IFERROR(SUMIF(Nutzungsprofile!$B$6:$B$11,"Schulbetrieb",Nutzungsprofile!$G$6:$G$11)*Kalender!C269/SUM(Kalender!$C$5:$C$370),0)+IFERROR(SUMIF(Nutzungsprofile!$B$6:$B$11,"Halle",Nutzungsprofile!$G$6:$G$11)*Kalender!D269/SUM(Kalender!$D$5:$D$370),0)+IFERROR(SUMIF(Nutzungsprofile!$B$6:$B$11,"Individuell",Nutzungsprofile!$G$6:$G$11)*Kalender!E269/SUM(Kalender!$E$5:$E$370),0))*Szenarien!$E$22,0)</f>
        <v>2.94</v>
      </c>
      <c r="D4295" s="13" t="n">
        <f aca="false">IF(Szenarien!$H$22="OK",(IFERROR(SUMIF(Nutzungsprofile!$B$17:$B$22,"Schulbetrieb",Nutzungsprofile!$G$17:$G$22)*Kalender!C269/SUM(Kalender!$C$5:$C$370),0)+IFERROR(SUMIF(Nutzungsprofile!$B$17:$B$22,"Halle",Nutzungsprofile!$G$17:$G$22)*Kalender!D269/SUM(Kalender!$D$5:$D$370),0)+IFERROR(SUMIF(Nutzungsprofile!$B$17:$B$22,"Individuell",Nutzungsprofile!$G$17:$G$22)*Kalender!E269/SUM(Kalender!$E$5:$E$370),0))*Szenarien!$D$22,0)</f>
        <v>4.94</v>
      </c>
      <c r="E4295" s="13" t="n">
        <f aca="false">IFERROR(MIN(C4295,Eingaben!$B$17)*Eingaben!$B$16,0)</f>
        <v>2.793</v>
      </c>
      <c r="F4295" s="13" t="n">
        <f aca="false">IFERROR(E4295*Eingaben!$B$15,0)</f>
        <v>2.5137</v>
      </c>
      <c r="G4295" s="13" t="n">
        <f aca="false">IFERROR(IF(Kalender!A269="",0,J4294*(1-Eingaben!$B$20)),0)</f>
        <v>0.7390278</v>
      </c>
      <c r="H4295" s="13" t="n">
        <f aca="false">MIN(G4295,D4295)</f>
        <v>0.7390278</v>
      </c>
      <c r="I4295" s="13" t="n">
        <f aca="false">IFERROR(MIN(F4295*Eingaben!$B$19,MAX(0,D4295-H4295)),0)</f>
        <v>1.75959</v>
      </c>
      <c r="J4295" s="13" t="n">
        <f aca="false">IFERROR(MIN(Eingaben!$B$18,MAX(0,F4295-I4295)),0)</f>
        <v>0.75411</v>
      </c>
      <c r="K4295" s="13" t="n">
        <f aca="false">H4295+I4295</f>
        <v>2.4986178</v>
      </c>
      <c r="L4295" s="13" t="n">
        <f aca="false">MAX(0,D4295-K4295)</f>
        <v>2.4413822</v>
      </c>
      <c r="M4295" s="13" t="n">
        <f aca="false">MAX(0,F4295-I4295-J4295)</f>
        <v>0</v>
      </c>
      <c r="N4295" s="13" t="n">
        <f aca="false">IF(Kalender!A269="",0,J4294-H4295)</f>
        <v>0.0150822</v>
      </c>
    </row>
    <row r="4296" customFormat="false" ht="16.4" hidden="false" customHeight="false" outlineLevel="0" collapsed="false">
      <c r="A4296" s="13" t="str">
        <f aca="false">""</f>
        <v/>
      </c>
      <c r="B4296" s="13" t="n">
        <f aca="false">266</f>
        <v>266</v>
      </c>
      <c r="C4296" s="13" t="n">
        <f aca="false">IF(Szenarien!$H$22="OK",(IFERROR(SUMIF(Nutzungsprofile!$B$6:$B$11,"Schulbetrieb",Nutzungsprofile!$G$6:$G$11)*Kalender!C270/SUM(Kalender!$C$5:$C$370),0)+IFERROR(SUMIF(Nutzungsprofile!$B$6:$B$11,"Halle",Nutzungsprofile!$G$6:$G$11)*Kalender!D270/SUM(Kalender!$D$5:$D$370),0)+IFERROR(SUMIF(Nutzungsprofile!$B$6:$B$11,"Individuell",Nutzungsprofile!$G$6:$G$11)*Kalender!E270/SUM(Kalender!$E$5:$E$370),0))*Szenarien!$E$22,0)</f>
        <v>2.94</v>
      </c>
      <c r="D4296" s="13" t="n">
        <f aca="false">IF(Szenarien!$H$22="OK",(IFERROR(SUMIF(Nutzungsprofile!$B$17:$B$22,"Schulbetrieb",Nutzungsprofile!$G$17:$G$22)*Kalender!C270/SUM(Kalender!$C$5:$C$370),0)+IFERROR(SUMIF(Nutzungsprofile!$B$17:$B$22,"Halle",Nutzungsprofile!$G$17:$G$22)*Kalender!D270/SUM(Kalender!$D$5:$D$370),0)+IFERROR(SUMIF(Nutzungsprofile!$B$17:$B$22,"Individuell",Nutzungsprofile!$G$17:$G$22)*Kalender!E270/SUM(Kalender!$E$5:$E$370),0))*Szenarien!$D$22,0)</f>
        <v>4.94</v>
      </c>
      <c r="E4296" s="13" t="n">
        <f aca="false">IFERROR(MIN(C4296,Eingaben!$B$17)*Eingaben!$B$16,0)</f>
        <v>2.793</v>
      </c>
      <c r="F4296" s="13" t="n">
        <f aca="false">IFERROR(E4296*Eingaben!$B$15,0)</f>
        <v>2.5137</v>
      </c>
      <c r="G4296" s="13" t="n">
        <f aca="false">IFERROR(IF(Kalender!A270="",0,J4295*(1-Eingaben!$B$20)),0)</f>
        <v>0.7390278</v>
      </c>
      <c r="H4296" s="13" t="n">
        <f aca="false">MIN(G4296,D4296)</f>
        <v>0.7390278</v>
      </c>
      <c r="I4296" s="13" t="n">
        <f aca="false">IFERROR(MIN(F4296*Eingaben!$B$19,MAX(0,D4296-H4296)),0)</f>
        <v>1.75959</v>
      </c>
      <c r="J4296" s="13" t="n">
        <f aca="false">IFERROR(MIN(Eingaben!$B$18,MAX(0,F4296-I4296)),0)</f>
        <v>0.75411</v>
      </c>
      <c r="K4296" s="13" t="n">
        <f aca="false">H4296+I4296</f>
        <v>2.4986178</v>
      </c>
      <c r="L4296" s="13" t="n">
        <f aca="false">MAX(0,D4296-K4296)</f>
        <v>2.4413822</v>
      </c>
      <c r="M4296" s="13" t="n">
        <f aca="false">MAX(0,F4296-I4296-J4296)</f>
        <v>0</v>
      </c>
      <c r="N4296" s="13" t="n">
        <f aca="false">IF(Kalender!A270="",0,J4295-H4296)</f>
        <v>0.0150822</v>
      </c>
    </row>
    <row r="4297" customFormat="false" ht="16.4" hidden="false" customHeight="false" outlineLevel="0" collapsed="false">
      <c r="A4297" s="13" t="str">
        <f aca="false">""</f>
        <v/>
      </c>
      <c r="B4297" s="13" t="n">
        <f aca="false">267</f>
        <v>267</v>
      </c>
      <c r="C4297" s="13" t="n">
        <f aca="false">IF(Szenarien!$H$22="OK",(IFERROR(SUMIF(Nutzungsprofile!$B$6:$B$11,"Schulbetrieb",Nutzungsprofile!$G$6:$G$11)*Kalender!C271/SUM(Kalender!$C$5:$C$370),0)+IFERROR(SUMIF(Nutzungsprofile!$B$6:$B$11,"Halle",Nutzungsprofile!$G$6:$G$11)*Kalender!D271/SUM(Kalender!$D$5:$D$370),0)+IFERROR(SUMIF(Nutzungsprofile!$B$6:$B$11,"Individuell",Nutzungsprofile!$G$6:$G$11)*Kalender!E271/SUM(Kalender!$E$5:$E$370),0))*Szenarien!$E$22,0)</f>
        <v>2.94</v>
      </c>
      <c r="D4297" s="13" t="n">
        <f aca="false">IF(Szenarien!$H$22="OK",(IFERROR(SUMIF(Nutzungsprofile!$B$17:$B$22,"Schulbetrieb",Nutzungsprofile!$G$17:$G$22)*Kalender!C271/SUM(Kalender!$C$5:$C$370),0)+IFERROR(SUMIF(Nutzungsprofile!$B$17:$B$22,"Halle",Nutzungsprofile!$G$17:$G$22)*Kalender!D271/SUM(Kalender!$D$5:$D$370),0)+IFERROR(SUMIF(Nutzungsprofile!$B$17:$B$22,"Individuell",Nutzungsprofile!$G$17:$G$22)*Kalender!E271/SUM(Kalender!$E$5:$E$370),0))*Szenarien!$D$22,0)</f>
        <v>4.94</v>
      </c>
      <c r="E4297" s="13" t="n">
        <f aca="false">IFERROR(MIN(C4297,Eingaben!$B$17)*Eingaben!$B$16,0)</f>
        <v>2.793</v>
      </c>
      <c r="F4297" s="13" t="n">
        <f aca="false">IFERROR(E4297*Eingaben!$B$15,0)</f>
        <v>2.5137</v>
      </c>
      <c r="G4297" s="13" t="n">
        <f aca="false">IFERROR(IF(Kalender!A271="",0,J4296*(1-Eingaben!$B$20)),0)</f>
        <v>0.7390278</v>
      </c>
      <c r="H4297" s="13" t="n">
        <f aca="false">MIN(G4297,D4297)</f>
        <v>0.7390278</v>
      </c>
      <c r="I4297" s="13" t="n">
        <f aca="false">IFERROR(MIN(F4297*Eingaben!$B$19,MAX(0,D4297-H4297)),0)</f>
        <v>1.75959</v>
      </c>
      <c r="J4297" s="13" t="n">
        <f aca="false">IFERROR(MIN(Eingaben!$B$18,MAX(0,F4297-I4297)),0)</f>
        <v>0.75411</v>
      </c>
      <c r="K4297" s="13" t="n">
        <f aca="false">H4297+I4297</f>
        <v>2.4986178</v>
      </c>
      <c r="L4297" s="13" t="n">
        <f aca="false">MAX(0,D4297-K4297)</f>
        <v>2.4413822</v>
      </c>
      <c r="M4297" s="13" t="n">
        <f aca="false">MAX(0,F4297-I4297-J4297)</f>
        <v>0</v>
      </c>
      <c r="N4297" s="13" t="n">
        <f aca="false">IF(Kalender!A271="",0,J4296-H4297)</f>
        <v>0.0150822</v>
      </c>
    </row>
    <row r="4298" customFormat="false" ht="16.4" hidden="false" customHeight="false" outlineLevel="0" collapsed="false">
      <c r="A4298" s="13" t="str">
        <f aca="false">""</f>
        <v/>
      </c>
      <c r="B4298" s="13" t="n">
        <f aca="false">268</f>
        <v>268</v>
      </c>
      <c r="C4298" s="13" t="n">
        <f aca="false">IF(Szenarien!$H$22="OK",(IFERROR(SUMIF(Nutzungsprofile!$B$6:$B$11,"Schulbetrieb",Nutzungsprofile!$G$6:$G$11)*Kalender!C272/SUM(Kalender!$C$5:$C$370),0)+IFERROR(SUMIF(Nutzungsprofile!$B$6:$B$11,"Halle",Nutzungsprofile!$G$6:$G$11)*Kalender!D272/SUM(Kalender!$D$5:$D$370),0)+IFERROR(SUMIF(Nutzungsprofile!$B$6:$B$11,"Individuell",Nutzungsprofile!$G$6:$G$11)*Kalender!E272/SUM(Kalender!$E$5:$E$370),0))*Szenarien!$E$22,0)</f>
        <v>2.94</v>
      </c>
      <c r="D4298" s="13" t="n">
        <f aca="false">IF(Szenarien!$H$22="OK",(IFERROR(SUMIF(Nutzungsprofile!$B$17:$B$22,"Schulbetrieb",Nutzungsprofile!$G$17:$G$22)*Kalender!C272/SUM(Kalender!$C$5:$C$370),0)+IFERROR(SUMIF(Nutzungsprofile!$B$17:$B$22,"Halle",Nutzungsprofile!$G$17:$G$22)*Kalender!D272/SUM(Kalender!$D$5:$D$370),0)+IFERROR(SUMIF(Nutzungsprofile!$B$17:$B$22,"Individuell",Nutzungsprofile!$G$17:$G$22)*Kalender!E272/SUM(Kalender!$E$5:$E$370),0))*Szenarien!$D$22,0)</f>
        <v>4.94</v>
      </c>
      <c r="E4298" s="13" t="n">
        <f aca="false">IFERROR(MIN(C4298,Eingaben!$B$17)*Eingaben!$B$16,0)</f>
        <v>2.793</v>
      </c>
      <c r="F4298" s="13" t="n">
        <f aca="false">IFERROR(E4298*Eingaben!$B$15,0)</f>
        <v>2.5137</v>
      </c>
      <c r="G4298" s="13" t="n">
        <f aca="false">IFERROR(IF(Kalender!A272="",0,J4297*(1-Eingaben!$B$20)),0)</f>
        <v>0.7390278</v>
      </c>
      <c r="H4298" s="13" t="n">
        <f aca="false">MIN(G4298,D4298)</f>
        <v>0.7390278</v>
      </c>
      <c r="I4298" s="13" t="n">
        <f aca="false">IFERROR(MIN(F4298*Eingaben!$B$19,MAX(0,D4298-H4298)),0)</f>
        <v>1.75959</v>
      </c>
      <c r="J4298" s="13" t="n">
        <f aca="false">IFERROR(MIN(Eingaben!$B$18,MAX(0,F4298-I4298)),0)</f>
        <v>0.75411</v>
      </c>
      <c r="K4298" s="13" t="n">
        <f aca="false">H4298+I4298</f>
        <v>2.4986178</v>
      </c>
      <c r="L4298" s="13" t="n">
        <f aca="false">MAX(0,D4298-K4298)</f>
        <v>2.4413822</v>
      </c>
      <c r="M4298" s="13" t="n">
        <f aca="false">MAX(0,F4298-I4298-J4298)</f>
        <v>0</v>
      </c>
      <c r="N4298" s="13" t="n">
        <f aca="false">IF(Kalender!A272="",0,J4297-H4298)</f>
        <v>0.0150822</v>
      </c>
    </row>
    <row r="4299" customFormat="false" ht="16.4" hidden="false" customHeight="false" outlineLevel="0" collapsed="false">
      <c r="A4299" s="13" t="str">
        <f aca="false">""</f>
        <v/>
      </c>
      <c r="B4299" s="13" t="n">
        <f aca="false">269</f>
        <v>269</v>
      </c>
      <c r="C4299" s="13" t="n">
        <f aca="false">IF(Szenarien!$H$22="OK",(IFERROR(SUMIF(Nutzungsprofile!$B$6:$B$11,"Schulbetrieb",Nutzungsprofile!$G$6:$G$11)*Kalender!C273/SUM(Kalender!$C$5:$C$370),0)+IFERROR(SUMIF(Nutzungsprofile!$B$6:$B$11,"Halle",Nutzungsprofile!$G$6:$G$11)*Kalender!D273/SUM(Kalender!$D$5:$D$370),0)+IFERROR(SUMIF(Nutzungsprofile!$B$6:$B$11,"Individuell",Nutzungsprofile!$G$6:$G$11)*Kalender!E273/SUM(Kalender!$E$5:$E$370),0))*Szenarien!$E$22,0)</f>
        <v>2.04</v>
      </c>
      <c r="D4299" s="13" t="n">
        <f aca="false">IF(Szenarien!$H$22="OK",(IFERROR(SUMIF(Nutzungsprofile!$B$17:$B$22,"Schulbetrieb",Nutzungsprofile!$G$17:$G$22)*Kalender!C273/SUM(Kalender!$C$5:$C$370),0)+IFERROR(SUMIF(Nutzungsprofile!$B$17:$B$22,"Halle",Nutzungsprofile!$G$17:$G$22)*Kalender!D273/SUM(Kalender!$D$5:$D$370),0)+IFERROR(SUMIF(Nutzungsprofile!$B$17:$B$22,"Individuell",Nutzungsprofile!$G$17:$G$22)*Kalender!E273/SUM(Kalender!$E$5:$E$370),0))*Szenarien!$D$22,0)</f>
        <v>0.89</v>
      </c>
      <c r="E4299" s="13" t="n">
        <f aca="false">IFERROR(MIN(C4299,Eingaben!$B$17)*Eingaben!$B$16,0)</f>
        <v>1.938</v>
      </c>
      <c r="F4299" s="13" t="n">
        <f aca="false">IFERROR(E4299*Eingaben!$B$15,0)</f>
        <v>1.7442</v>
      </c>
      <c r="G4299" s="13" t="n">
        <f aca="false">IFERROR(IF(Kalender!A273="",0,J4298*(1-Eingaben!$B$20)),0)</f>
        <v>0.7390278</v>
      </c>
      <c r="H4299" s="13" t="n">
        <f aca="false">MIN(G4299,D4299)</f>
        <v>0.7390278</v>
      </c>
      <c r="I4299" s="13" t="n">
        <f aca="false">IFERROR(MIN(F4299*Eingaben!$B$19,MAX(0,D4299-H4299)),0)</f>
        <v>0.1509722</v>
      </c>
      <c r="J4299" s="13" t="n">
        <f aca="false">IFERROR(MIN(Eingaben!$B$18,MAX(0,F4299-I4299)),0)</f>
        <v>1.5932278</v>
      </c>
      <c r="K4299" s="13" t="n">
        <f aca="false">H4299+I4299</f>
        <v>0.89</v>
      </c>
      <c r="L4299" s="13" t="n">
        <f aca="false">MAX(0,D4299-K4299)</f>
        <v>0</v>
      </c>
      <c r="M4299" s="13" t="n">
        <f aca="false">MAX(0,F4299-I4299-J4299)</f>
        <v>0</v>
      </c>
      <c r="N4299" s="13" t="n">
        <f aca="false">IF(Kalender!A273="",0,J4298-H4299)</f>
        <v>0.0150822</v>
      </c>
    </row>
    <row r="4300" customFormat="false" ht="16.4" hidden="false" customHeight="false" outlineLevel="0" collapsed="false">
      <c r="A4300" s="13" t="str">
        <f aca="false">""</f>
        <v/>
      </c>
      <c r="B4300" s="13" t="n">
        <f aca="false">270</f>
        <v>270</v>
      </c>
      <c r="C4300" s="13" t="n">
        <f aca="false">IF(Szenarien!$H$22="OK",(IFERROR(SUMIF(Nutzungsprofile!$B$6:$B$11,"Schulbetrieb",Nutzungsprofile!$G$6:$G$11)*Kalender!C274/SUM(Kalender!$C$5:$C$370),0)+IFERROR(SUMIF(Nutzungsprofile!$B$6:$B$11,"Halle",Nutzungsprofile!$G$6:$G$11)*Kalender!D274/SUM(Kalender!$D$5:$D$370),0)+IFERROR(SUMIF(Nutzungsprofile!$B$6:$B$11,"Individuell",Nutzungsprofile!$G$6:$G$11)*Kalender!E274/SUM(Kalender!$E$5:$E$370),0))*Szenarien!$E$22,0)</f>
        <v>2.04</v>
      </c>
      <c r="D4300" s="13" t="n">
        <f aca="false">IF(Szenarien!$H$22="OK",(IFERROR(SUMIF(Nutzungsprofile!$B$17:$B$22,"Schulbetrieb",Nutzungsprofile!$G$17:$G$22)*Kalender!C274/SUM(Kalender!$C$5:$C$370),0)+IFERROR(SUMIF(Nutzungsprofile!$B$17:$B$22,"Halle",Nutzungsprofile!$G$17:$G$22)*Kalender!D274/SUM(Kalender!$D$5:$D$370),0)+IFERROR(SUMIF(Nutzungsprofile!$B$17:$B$22,"Individuell",Nutzungsprofile!$G$17:$G$22)*Kalender!E274/SUM(Kalender!$E$5:$E$370),0))*Szenarien!$D$22,0)</f>
        <v>0.89</v>
      </c>
      <c r="E4300" s="13" t="n">
        <f aca="false">IFERROR(MIN(C4300,Eingaben!$B$17)*Eingaben!$B$16,0)</f>
        <v>1.938</v>
      </c>
      <c r="F4300" s="13" t="n">
        <f aca="false">IFERROR(E4300*Eingaben!$B$15,0)</f>
        <v>1.7442</v>
      </c>
      <c r="G4300" s="13" t="n">
        <f aca="false">IFERROR(IF(Kalender!A274="",0,J4299*(1-Eingaben!$B$20)),0)</f>
        <v>1.561363244</v>
      </c>
      <c r="H4300" s="13" t="n">
        <f aca="false">MIN(G4300,D4300)</f>
        <v>0.89</v>
      </c>
      <c r="I4300" s="13" t="n">
        <f aca="false">IFERROR(MIN(F4300*Eingaben!$B$19,MAX(0,D4300-H4300)),0)</f>
        <v>0</v>
      </c>
      <c r="J4300" s="13" t="n">
        <f aca="false">IFERROR(MIN(Eingaben!$B$18,MAX(0,F4300-I4300)),0)</f>
        <v>1.7442</v>
      </c>
      <c r="K4300" s="13" t="n">
        <f aca="false">H4300+I4300</f>
        <v>0.89</v>
      </c>
      <c r="L4300" s="13" t="n">
        <f aca="false">MAX(0,D4300-K4300)</f>
        <v>0</v>
      </c>
      <c r="M4300" s="13" t="n">
        <f aca="false">MAX(0,F4300-I4300-J4300)</f>
        <v>0</v>
      </c>
      <c r="N4300" s="13" t="n">
        <f aca="false">IF(Kalender!A274="",0,J4299-H4300)</f>
        <v>0.7032278</v>
      </c>
    </row>
    <row r="4301" customFormat="false" ht="16.4" hidden="false" customHeight="false" outlineLevel="0" collapsed="false">
      <c r="A4301" s="13" t="str">
        <f aca="false">""</f>
        <v/>
      </c>
      <c r="B4301" s="13" t="n">
        <f aca="false">271</f>
        <v>271</v>
      </c>
      <c r="C4301" s="13" t="n">
        <f aca="false">IF(Szenarien!$H$22="OK",(IFERROR(SUMIF(Nutzungsprofile!$B$6:$B$11,"Schulbetrieb",Nutzungsprofile!$G$6:$G$11)*Kalender!C275/SUM(Kalender!$C$5:$C$370),0)+IFERROR(SUMIF(Nutzungsprofile!$B$6:$B$11,"Halle",Nutzungsprofile!$G$6:$G$11)*Kalender!D275/SUM(Kalender!$D$5:$D$370),0)+IFERROR(SUMIF(Nutzungsprofile!$B$6:$B$11,"Individuell",Nutzungsprofile!$G$6:$G$11)*Kalender!E275/SUM(Kalender!$E$5:$E$370),0))*Szenarien!$E$22,0)</f>
        <v>2.94</v>
      </c>
      <c r="D4301" s="13" t="n">
        <f aca="false">IF(Szenarien!$H$22="OK",(IFERROR(SUMIF(Nutzungsprofile!$B$17:$B$22,"Schulbetrieb",Nutzungsprofile!$G$17:$G$22)*Kalender!C275/SUM(Kalender!$C$5:$C$370),0)+IFERROR(SUMIF(Nutzungsprofile!$B$17:$B$22,"Halle",Nutzungsprofile!$G$17:$G$22)*Kalender!D275/SUM(Kalender!$D$5:$D$370),0)+IFERROR(SUMIF(Nutzungsprofile!$B$17:$B$22,"Individuell",Nutzungsprofile!$G$17:$G$22)*Kalender!E275/SUM(Kalender!$E$5:$E$370),0))*Szenarien!$D$22,0)</f>
        <v>4.94</v>
      </c>
      <c r="E4301" s="13" t="n">
        <f aca="false">IFERROR(MIN(C4301,Eingaben!$B$17)*Eingaben!$B$16,0)</f>
        <v>2.793</v>
      </c>
      <c r="F4301" s="13" t="n">
        <f aca="false">IFERROR(E4301*Eingaben!$B$15,0)</f>
        <v>2.5137</v>
      </c>
      <c r="G4301" s="13" t="n">
        <f aca="false">IFERROR(IF(Kalender!A275="",0,J4300*(1-Eingaben!$B$20)),0)</f>
        <v>1.709316</v>
      </c>
      <c r="H4301" s="13" t="n">
        <f aca="false">MIN(G4301,D4301)</f>
        <v>1.709316</v>
      </c>
      <c r="I4301" s="13" t="n">
        <f aca="false">IFERROR(MIN(F4301*Eingaben!$B$19,MAX(0,D4301-H4301)),0)</f>
        <v>1.75959</v>
      </c>
      <c r="J4301" s="13" t="n">
        <f aca="false">IFERROR(MIN(Eingaben!$B$18,MAX(0,F4301-I4301)),0)</f>
        <v>0.75411</v>
      </c>
      <c r="K4301" s="13" t="n">
        <f aca="false">H4301+I4301</f>
        <v>3.468906</v>
      </c>
      <c r="L4301" s="13" t="n">
        <f aca="false">MAX(0,D4301-K4301)</f>
        <v>1.471094</v>
      </c>
      <c r="M4301" s="13" t="n">
        <f aca="false">MAX(0,F4301-I4301-J4301)</f>
        <v>0</v>
      </c>
      <c r="N4301" s="13" t="n">
        <f aca="false">IF(Kalender!A275="",0,J4300-H4301)</f>
        <v>0.0348840000000001</v>
      </c>
    </row>
    <row r="4302" customFormat="false" ht="16.4" hidden="false" customHeight="false" outlineLevel="0" collapsed="false">
      <c r="A4302" s="13" t="str">
        <f aca="false">""</f>
        <v/>
      </c>
      <c r="B4302" s="13" t="n">
        <f aca="false">272</f>
        <v>272</v>
      </c>
      <c r="C4302" s="13" t="n">
        <f aca="false">IF(Szenarien!$H$22="OK",(IFERROR(SUMIF(Nutzungsprofile!$B$6:$B$11,"Schulbetrieb",Nutzungsprofile!$G$6:$G$11)*Kalender!C276/SUM(Kalender!$C$5:$C$370),0)+IFERROR(SUMIF(Nutzungsprofile!$B$6:$B$11,"Halle",Nutzungsprofile!$G$6:$G$11)*Kalender!D276/SUM(Kalender!$D$5:$D$370),0)+IFERROR(SUMIF(Nutzungsprofile!$B$6:$B$11,"Individuell",Nutzungsprofile!$G$6:$G$11)*Kalender!E276/SUM(Kalender!$E$5:$E$370),0))*Szenarien!$E$22,0)</f>
        <v>2.94</v>
      </c>
      <c r="D4302" s="13" t="n">
        <f aca="false">IF(Szenarien!$H$22="OK",(IFERROR(SUMIF(Nutzungsprofile!$B$17:$B$22,"Schulbetrieb",Nutzungsprofile!$G$17:$G$22)*Kalender!C276/SUM(Kalender!$C$5:$C$370),0)+IFERROR(SUMIF(Nutzungsprofile!$B$17:$B$22,"Halle",Nutzungsprofile!$G$17:$G$22)*Kalender!D276/SUM(Kalender!$D$5:$D$370),0)+IFERROR(SUMIF(Nutzungsprofile!$B$17:$B$22,"Individuell",Nutzungsprofile!$G$17:$G$22)*Kalender!E276/SUM(Kalender!$E$5:$E$370),0))*Szenarien!$D$22,0)</f>
        <v>4.94</v>
      </c>
      <c r="E4302" s="13" t="n">
        <f aca="false">IFERROR(MIN(C4302,Eingaben!$B$17)*Eingaben!$B$16,0)</f>
        <v>2.793</v>
      </c>
      <c r="F4302" s="13" t="n">
        <f aca="false">IFERROR(E4302*Eingaben!$B$15,0)</f>
        <v>2.5137</v>
      </c>
      <c r="G4302" s="13" t="n">
        <f aca="false">IFERROR(IF(Kalender!A276="",0,J4301*(1-Eingaben!$B$20)),0)</f>
        <v>0.7390278</v>
      </c>
      <c r="H4302" s="13" t="n">
        <f aca="false">MIN(G4302,D4302)</f>
        <v>0.7390278</v>
      </c>
      <c r="I4302" s="13" t="n">
        <f aca="false">IFERROR(MIN(F4302*Eingaben!$B$19,MAX(0,D4302-H4302)),0)</f>
        <v>1.75959</v>
      </c>
      <c r="J4302" s="13" t="n">
        <f aca="false">IFERROR(MIN(Eingaben!$B$18,MAX(0,F4302-I4302)),0)</f>
        <v>0.75411</v>
      </c>
      <c r="K4302" s="13" t="n">
        <f aca="false">H4302+I4302</f>
        <v>2.4986178</v>
      </c>
      <c r="L4302" s="13" t="n">
        <f aca="false">MAX(0,D4302-K4302)</f>
        <v>2.4413822</v>
      </c>
      <c r="M4302" s="13" t="n">
        <f aca="false">MAX(0,F4302-I4302-J4302)</f>
        <v>0</v>
      </c>
      <c r="N4302" s="13" t="n">
        <f aca="false">IF(Kalender!A276="",0,J4301-H4302)</f>
        <v>0.0150822</v>
      </c>
    </row>
    <row r="4303" customFormat="false" ht="16.4" hidden="false" customHeight="false" outlineLevel="0" collapsed="false">
      <c r="A4303" s="13" t="str">
        <f aca="false">""</f>
        <v/>
      </c>
      <c r="B4303" s="13" t="n">
        <f aca="false">273</f>
        <v>273</v>
      </c>
      <c r="C4303" s="13" t="n">
        <f aca="false">IF(Szenarien!$H$22="OK",(IFERROR(SUMIF(Nutzungsprofile!$B$6:$B$11,"Schulbetrieb",Nutzungsprofile!$G$6:$G$11)*Kalender!C277/SUM(Kalender!$C$5:$C$370),0)+IFERROR(SUMIF(Nutzungsprofile!$B$6:$B$11,"Halle",Nutzungsprofile!$G$6:$G$11)*Kalender!D277/SUM(Kalender!$D$5:$D$370),0)+IFERROR(SUMIF(Nutzungsprofile!$B$6:$B$11,"Individuell",Nutzungsprofile!$G$6:$G$11)*Kalender!E277/SUM(Kalender!$E$5:$E$370),0))*Szenarien!$E$22,0)</f>
        <v>2.94</v>
      </c>
      <c r="D4303" s="13" t="n">
        <f aca="false">IF(Szenarien!$H$22="OK",(IFERROR(SUMIF(Nutzungsprofile!$B$17:$B$22,"Schulbetrieb",Nutzungsprofile!$G$17:$G$22)*Kalender!C277/SUM(Kalender!$C$5:$C$370),0)+IFERROR(SUMIF(Nutzungsprofile!$B$17:$B$22,"Halle",Nutzungsprofile!$G$17:$G$22)*Kalender!D277/SUM(Kalender!$D$5:$D$370),0)+IFERROR(SUMIF(Nutzungsprofile!$B$17:$B$22,"Individuell",Nutzungsprofile!$G$17:$G$22)*Kalender!E277/SUM(Kalender!$E$5:$E$370),0))*Szenarien!$D$22,0)</f>
        <v>4.94</v>
      </c>
      <c r="E4303" s="13" t="n">
        <f aca="false">IFERROR(MIN(C4303,Eingaben!$B$17)*Eingaben!$B$16,0)</f>
        <v>2.793</v>
      </c>
      <c r="F4303" s="13" t="n">
        <f aca="false">IFERROR(E4303*Eingaben!$B$15,0)</f>
        <v>2.5137</v>
      </c>
      <c r="G4303" s="13" t="n">
        <f aca="false">IFERROR(IF(Kalender!A277="",0,J4302*(1-Eingaben!$B$20)),0)</f>
        <v>0.7390278</v>
      </c>
      <c r="H4303" s="13" t="n">
        <f aca="false">MIN(G4303,D4303)</f>
        <v>0.7390278</v>
      </c>
      <c r="I4303" s="13" t="n">
        <f aca="false">IFERROR(MIN(F4303*Eingaben!$B$19,MAX(0,D4303-H4303)),0)</f>
        <v>1.75959</v>
      </c>
      <c r="J4303" s="13" t="n">
        <f aca="false">IFERROR(MIN(Eingaben!$B$18,MAX(0,F4303-I4303)),0)</f>
        <v>0.75411</v>
      </c>
      <c r="K4303" s="13" t="n">
        <f aca="false">H4303+I4303</f>
        <v>2.4986178</v>
      </c>
      <c r="L4303" s="13" t="n">
        <f aca="false">MAX(0,D4303-K4303)</f>
        <v>2.4413822</v>
      </c>
      <c r="M4303" s="13" t="n">
        <f aca="false">MAX(0,F4303-I4303-J4303)</f>
        <v>0</v>
      </c>
      <c r="N4303" s="13" t="n">
        <f aca="false">IF(Kalender!A277="",0,J4302-H4303)</f>
        <v>0.0150822</v>
      </c>
    </row>
    <row r="4304" customFormat="false" ht="16.4" hidden="false" customHeight="false" outlineLevel="0" collapsed="false">
      <c r="A4304" s="13" t="str">
        <f aca="false">""</f>
        <v/>
      </c>
      <c r="B4304" s="13" t="n">
        <f aca="false">274</f>
        <v>274</v>
      </c>
      <c r="C4304" s="13" t="n">
        <f aca="false">IF(Szenarien!$H$22="OK",(IFERROR(SUMIF(Nutzungsprofile!$B$6:$B$11,"Schulbetrieb",Nutzungsprofile!$G$6:$G$11)*Kalender!C278/SUM(Kalender!$C$5:$C$370),0)+IFERROR(SUMIF(Nutzungsprofile!$B$6:$B$11,"Halle",Nutzungsprofile!$G$6:$G$11)*Kalender!D278/SUM(Kalender!$D$5:$D$370),0)+IFERROR(SUMIF(Nutzungsprofile!$B$6:$B$11,"Individuell",Nutzungsprofile!$G$6:$G$11)*Kalender!E278/SUM(Kalender!$E$5:$E$370),0))*Szenarien!$E$22,0)</f>
        <v>2.94</v>
      </c>
      <c r="D4304" s="13" t="n">
        <f aca="false">IF(Szenarien!$H$22="OK",(IFERROR(SUMIF(Nutzungsprofile!$B$17:$B$22,"Schulbetrieb",Nutzungsprofile!$G$17:$G$22)*Kalender!C278/SUM(Kalender!$C$5:$C$370),0)+IFERROR(SUMIF(Nutzungsprofile!$B$17:$B$22,"Halle",Nutzungsprofile!$G$17:$G$22)*Kalender!D278/SUM(Kalender!$D$5:$D$370),0)+IFERROR(SUMIF(Nutzungsprofile!$B$17:$B$22,"Individuell",Nutzungsprofile!$G$17:$G$22)*Kalender!E278/SUM(Kalender!$E$5:$E$370),0))*Szenarien!$D$22,0)</f>
        <v>4.94</v>
      </c>
      <c r="E4304" s="13" t="n">
        <f aca="false">IFERROR(MIN(C4304,Eingaben!$B$17)*Eingaben!$B$16,0)</f>
        <v>2.793</v>
      </c>
      <c r="F4304" s="13" t="n">
        <f aca="false">IFERROR(E4304*Eingaben!$B$15,0)</f>
        <v>2.5137</v>
      </c>
      <c r="G4304" s="13" t="n">
        <f aca="false">IFERROR(IF(Kalender!A278="",0,J4303*(1-Eingaben!$B$20)),0)</f>
        <v>0.7390278</v>
      </c>
      <c r="H4304" s="13" t="n">
        <f aca="false">MIN(G4304,D4304)</f>
        <v>0.7390278</v>
      </c>
      <c r="I4304" s="13" t="n">
        <f aca="false">IFERROR(MIN(F4304*Eingaben!$B$19,MAX(0,D4304-H4304)),0)</f>
        <v>1.75959</v>
      </c>
      <c r="J4304" s="13" t="n">
        <f aca="false">IFERROR(MIN(Eingaben!$B$18,MAX(0,F4304-I4304)),0)</f>
        <v>0.75411</v>
      </c>
      <c r="K4304" s="13" t="n">
        <f aca="false">H4304+I4304</f>
        <v>2.4986178</v>
      </c>
      <c r="L4304" s="13" t="n">
        <f aca="false">MAX(0,D4304-K4304)</f>
        <v>2.4413822</v>
      </c>
      <c r="M4304" s="13" t="n">
        <f aca="false">MAX(0,F4304-I4304-J4304)</f>
        <v>0</v>
      </c>
      <c r="N4304" s="13" t="n">
        <f aca="false">IF(Kalender!A278="",0,J4303-H4304)</f>
        <v>0.0150822</v>
      </c>
    </row>
    <row r="4305" customFormat="false" ht="16.4" hidden="false" customHeight="false" outlineLevel="0" collapsed="false">
      <c r="A4305" s="13" t="str">
        <f aca="false">""</f>
        <v/>
      </c>
      <c r="B4305" s="13" t="n">
        <f aca="false">275</f>
        <v>275</v>
      </c>
      <c r="C4305" s="13" t="n">
        <f aca="false">IF(Szenarien!$H$22="OK",(IFERROR(SUMIF(Nutzungsprofile!$B$6:$B$11,"Schulbetrieb",Nutzungsprofile!$G$6:$G$11)*Kalender!C279/SUM(Kalender!$C$5:$C$370),0)+IFERROR(SUMIF(Nutzungsprofile!$B$6:$B$11,"Halle",Nutzungsprofile!$G$6:$G$11)*Kalender!D279/SUM(Kalender!$D$5:$D$370),0)+IFERROR(SUMIF(Nutzungsprofile!$B$6:$B$11,"Individuell",Nutzungsprofile!$G$6:$G$11)*Kalender!E279/SUM(Kalender!$E$5:$E$370),0))*Szenarien!$E$22,0)</f>
        <v>2.94</v>
      </c>
      <c r="D4305" s="13" t="n">
        <f aca="false">IF(Szenarien!$H$22="OK",(IFERROR(SUMIF(Nutzungsprofile!$B$17:$B$22,"Schulbetrieb",Nutzungsprofile!$G$17:$G$22)*Kalender!C279/SUM(Kalender!$C$5:$C$370),0)+IFERROR(SUMIF(Nutzungsprofile!$B$17:$B$22,"Halle",Nutzungsprofile!$G$17:$G$22)*Kalender!D279/SUM(Kalender!$D$5:$D$370),0)+IFERROR(SUMIF(Nutzungsprofile!$B$17:$B$22,"Individuell",Nutzungsprofile!$G$17:$G$22)*Kalender!E279/SUM(Kalender!$E$5:$E$370),0))*Szenarien!$D$22,0)</f>
        <v>4.94</v>
      </c>
      <c r="E4305" s="13" t="n">
        <f aca="false">IFERROR(MIN(C4305,Eingaben!$B$17)*Eingaben!$B$16,0)</f>
        <v>2.793</v>
      </c>
      <c r="F4305" s="13" t="n">
        <f aca="false">IFERROR(E4305*Eingaben!$B$15,0)</f>
        <v>2.5137</v>
      </c>
      <c r="G4305" s="13" t="n">
        <f aca="false">IFERROR(IF(Kalender!A279="",0,J4304*(1-Eingaben!$B$20)),0)</f>
        <v>0.7390278</v>
      </c>
      <c r="H4305" s="13" t="n">
        <f aca="false">MIN(G4305,D4305)</f>
        <v>0.7390278</v>
      </c>
      <c r="I4305" s="13" t="n">
        <f aca="false">IFERROR(MIN(F4305*Eingaben!$B$19,MAX(0,D4305-H4305)),0)</f>
        <v>1.75959</v>
      </c>
      <c r="J4305" s="13" t="n">
        <f aca="false">IFERROR(MIN(Eingaben!$B$18,MAX(0,F4305-I4305)),0)</f>
        <v>0.75411</v>
      </c>
      <c r="K4305" s="13" t="n">
        <f aca="false">H4305+I4305</f>
        <v>2.4986178</v>
      </c>
      <c r="L4305" s="13" t="n">
        <f aca="false">MAX(0,D4305-K4305)</f>
        <v>2.4413822</v>
      </c>
      <c r="M4305" s="13" t="n">
        <f aca="false">MAX(0,F4305-I4305-J4305)</f>
        <v>0</v>
      </c>
      <c r="N4305" s="13" t="n">
        <f aca="false">IF(Kalender!A279="",0,J4304-H4305)</f>
        <v>0.0150822</v>
      </c>
    </row>
    <row r="4306" customFormat="false" ht="16.4" hidden="false" customHeight="false" outlineLevel="0" collapsed="false">
      <c r="A4306" s="13" t="str">
        <f aca="false">""</f>
        <v/>
      </c>
      <c r="B4306" s="13" t="n">
        <f aca="false">276</f>
        <v>276</v>
      </c>
      <c r="C4306" s="13" t="n">
        <f aca="false">IF(Szenarien!$H$22="OK",(IFERROR(SUMIF(Nutzungsprofile!$B$6:$B$11,"Schulbetrieb",Nutzungsprofile!$G$6:$G$11)*Kalender!C280/SUM(Kalender!$C$5:$C$370),0)+IFERROR(SUMIF(Nutzungsprofile!$B$6:$B$11,"Halle",Nutzungsprofile!$G$6:$G$11)*Kalender!D280/SUM(Kalender!$D$5:$D$370),0)+IFERROR(SUMIF(Nutzungsprofile!$B$6:$B$11,"Individuell",Nutzungsprofile!$G$6:$G$11)*Kalender!E280/SUM(Kalender!$E$5:$E$370),0))*Szenarien!$E$22,0)</f>
        <v>2.04</v>
      </c>
      <c r="D4306" s="13" t="n">
        <f aca="false">IF(Szenarien!$H$22="OK",(IFERROR(SUMIF(Nutzungsprofile!$B$17:$B$22,"Schulbetrieb",Nutzungsprofile!$G$17:$G$22)*Kalender!C280/SUM(Kalender!$C$5:$C$370),0)+IFERROR(SUMIF(Nutzungsprofile!$B$17:$B$22,"Halle",Nutzungsprofile!$G$17:$G$22)*Kalender!D280/SUM(Kalender!$D$5:$D$370),0)+IFERROR(SUMIF(Nutzungsprofile!$B$17:$B$22,"Individuell",Nutzungsprofile!$G$17:$G$22)*Kalender!E280/SUM(Kalender!$E$5:$E$370),0))*Szenarien!$D$22,0)</f>
        <v>0.89</v>
      </c>
      <c r="E4306" s="13" t="n">
        <f aca="false">IFERROR(MIN(C4306,Eingaben!$B$17)*Eingaben!$B$16,0)</f>
        <v>1.938</v>
      </c>
      <c r="F4306" s="13" t="n">
        <f aca="false">IFERROR(E4306*Eingaben!$B$15,0)</f>
        <v>1.7442</v>
      </c>
      <c r="G4306" s="13" t="n">
        <f aca="false">IFERROR(IF(Kalender!A280="",0,J4305*(1-Eingaben!$B$20)),0)</f>
        <v>0.7390278</v>
      </c>
      <c r="H4306" s="13" t="n">
        <f aca="false">MIN(G4306,D4306)</f>
        <v>0.7390278</v>
      </c>
      <c r="I4306" s="13" t="n">
        <f aca="false">IFERROR(MIN(F4306*Eingaben!$B$19,MAX(0,D4306-H4306)),0)</f>
        <v>0.1509722</v>
      </c>
      <c r="J4306" s="13" t="n">
        <f aca="false">IFERROR(MIN(Eingaben!$B$18,MAX(0,F4306-I4306)),0)</f>
        <v>1.5932278</v>
      </c>
      <c r="K4306" s="13" t="n">
        <f aca="false">H4306+I4306</f>
        <v>0.89</v>
      </c>
      <c r="L4306" s="13" t="n">
        <f aca="false">MAX(0,D4306-K4306)</f>
        <v>0</v>
      </c>
      <c r="M4306" s="13" t="n">
        <f aca="false">MAX(0,F4306-I4306-J4306)</f>
        <v>0</v>
      </c>
      <c r="N4306" s="13" t="n">
        <f aca="false">IF(Kalender!A280="",0,J4305-H4306)</f>
        <v>0.0150822</v>
      </c>
    </row>
    <row r="4307" customFormat="false" ht="16.4" hidden="false" customHeight="false" outlineLevel="0" collapsed="false">
      <c r="A4307" s="13" t="str">
        <f aca="false">""</f>
        <v/>
      </c>
      <c r="B4307" s="13" t="n">
        <f aca="false">277</f>
        <v>277</v>
      </c>
      <c r="C4307" s="13" t="n">
        <f aca="false">IF(Szenarien!$H$22="OK",(IFERROR(SUMIF(Nutzungsprofile!$B$6:$B$11,"Schulbetrieb",Nutzungsprofile!$G$6:$G$11)*Kalender!C281/SUM(Kalender!$C$5:$C$370),0)+IFERROR(SUMIF(Nutzungsprofile!$B$6:$B$11,"Halle",Nutzungsprofile!$G$6:$G$11)*Kalender!D281/SUM(Kalender!$D$5:$D$370),0)+IFERROR(SUMIF(Nutzungsprofile!$B$6:$B$11,"Individuell",Nutzungsprofile!$G$6:$G$11)*Kalender!E281/SUM(Kalender!$E$5:$E$370),0))*Szenarien!$E$22,0)</f>
        <v>2.04</v>
      </c>
      <c r="D4307" s="13" t="n">
        <f aca="false">IF(Szenarien!$H$22="OK",(IFERROR(SUMIF(Nutzungsprofile!$B$17:$B$22,"Schulbetrieb",Nutzungsprofile!$G$17:$G$22)*Kalender!C281/SUM(Kalender!$C$5:$C$370),0)+IFERROR(SUMIF(Nutzungsprofile!$B$17:$B$22,"Halle",Nutzungsprofile!$G$17:$G$22)*Kalender!D281/SUM(Kalender!$D$5:$D$370),0)+IFERROR(SUMIF(Nutzungsprofile!$B$17:$B$22,"Individuell",Nutzungsprofile!$G$17:$G$22)*Kalender!E281/SUM(Kalender!$E$5:$E$370),0))*Szenarien!$D$22,0)</f>
        <v>0.89</v>
      </c>
      <c r="E4307" s="13" t="n">
        <f aca="false">IFERROR(MIN(C4307,Eingaben!$B$17)*Eingaben!$B$16,0)</f>
        <v>1.938</v>
      </c>
      <c r="F4307" s="13" t="n">
        <f aca="false">IFERROR(E4307*Eingaben!$B$15,0)</f>
        <v>1.7442</v>
      </c>
      <c r="G4307" s="13" t="n">
        <f aca="false">IFERROR(IF(Kalender!A281="",0,J4306*(1-Eingaben!$B$20)),0)</f>
        <v>1.561363244</v>
      </c>
      <c r="H4307" s="13" t="n">
        <f aca="false">MIN(G4307,D4307)</f>
        <v>0.89</v>
      </c>
      <c r="I4307" s="13" t="n">
        <f aca="false">IFERROR(MIN(F4307*Eingaben!$B$19,MAX(0,D4307-H4307)),0)</f>
        <v>0</v>
      </c>
      <c r="J4307" s="13" t="n">
        <f aca="false">IFERROR(MIN(Eingaben!$B$18,MAX(0,F4307-I4307)),0)</f>
        <v>1.7442</v>
      </c>
      <c r="K4307" s="13" t="n">
        <f aca="false">H4307+I4307</f>
        <v>0.89</v>
      </c>
      <c r="L4307" s="13" t="n">
        <f aca="false">MAX(0,D4307-K4307)</f>
        <v>0</v>
      </c>
      <c r="M4307" s="13" t="n">
        <f aca="false">MAX(0,F4307-I4307-J4307)</f>
        <v>0</v>
      </c>
      <c r="N4307" s="13" t="n">
        <f aca="false">IF(Kalender!A281="",0,J4306-H4307)</f>
        <v>0.7032278</v>
      </c>
    </row>
    <row r="4308" customFormat="false" ht="16.4" hidden="false" customHeight="false" outlineLevel="0" collapsed="false">
      <c r="A4308" s="13" t="str">
        <f aca="false">""</f>
        <v/>
      </c>
      <c r="B4308" s="13" t="n">
        <f aca="false">278</f>
        <v>278</v>
      </c>
      <c r="C4308" s="13" t="n">
        <f aca="false">IF(Szenarien!$H$22="OK",(IFERROR(SUMIF(Nutzungsprofile!$B$6:$B$11,"Schulbetrieb",Nutzungsprofile!$G$6:$G$11)*Kalender!C282/SUM(Kalender!$C$5:$C$370),0)+IFERROR(SUMIF(Nutzungsprofile!$B$6:$B$11,"Halle",Nutzungsprofile!$G$6:$G$11)*Kalender!D282/SUM(Kalender!$D$5:$D$370),0)+IFERROR(SUMIF(Nutzungsprofile!$B$6:$B$11,"Individuell",Nutzungsprofile!$G$6:$G$11)*Kalender!E282/SUM(Kalender!$E$5:$E$370),0))*Szenarien!$E$22,0)</f>
        <v>2.94</v>
      </c>
      <c r="D4308" s="13" t="n">
        <f aca="false">IF(Szenarien!$H$22="OK",(IFERROR(SUMIF(Nutzungsprofile!$B$17:$B$22,"Schulbetrieb",Nutzungsprofile!$G$17:$G$22)*Kalender!C282/SUM(Kalender!$C$5:$C$370),0)+IFERROR(SUMIF(Nutzungsprofile!$B$17:$B$22,"Halle",Nutzungsprofile!$G$17:$G$22)*Kalender!D282/SUM(Kalender!$D$5:$D$370),0)+IFERROR(SUMIF(Nutzungsprofile!$B$17:$B$22,"Individuell",Nutzungsprofile!$G$17:$G$22)*Kalender!E282/SUM(Kalender!$E$5:$E$370),0))*Szenarien!$D$22,0)</f>
        <v>4.94</v>
      </c>
      <c r="E4308" s="13" t="n">
        <f aca="false">IFERROR(MIN(C4308,Eingaben!$B$17)*Eingaben!$B$16,0)</f>
        <v>2.793</v>
      </c>
      <c r="F4308" s="13" t="n">
        <f aca="false">IFERROR(E4308*Eingaben!$B$15,0)</f>
        <v>2.5137</v>
      </c>
      <c r="G4308" s="13" t="n">
        <f aca="false">IFERROR(IF(Kalender!A282="",0,J4307*(1-Eingaben!$B$20)),0)</f>
        <v>1.709316</v>
      </c>
      <c r="H4308" s="13" t="n">
        <f aca="false">MIN(G4308,D4308)</f>
        <v>1.709316</v>
      </c>
      <c r="I4308" s="13" t="n">
        <f aca="false">IFERROR(MIN(F4308*Eingaben!$B$19,MAX(0,D4308-H4308)),0)</f>
        <v>1.75959</v>
      </c>
      <c r="J4308" s="13" t="n">
        <f aca="false">IFERROR(MIN(Eingaben!$B$18,MAX(0,F4308-I4308)),0)</f>
        <v>0.75411</v>
      </c>
      <c r="K4308" s="13" t="n">
        <f aca="false">H4308+I4308</f>
        <v>3.468906</v>
      </c>
      <c r="L4308" s="13" t="n">
        <f aca="false">MAX(0,D4308-K4308)</f>
        <v>1.471094</v>
      </c>
      <c r="M4308" s="13" t="n">
        <f aca="false">MAX(0,F4308-I4308-J4308)</f>
        <v>0</v>
      </c>
      <c r="N4308" s="13" t="n">
        <f aca="false">IF(Kalender!A282="",0,J4307-H4308)</f>
        <v>0.0348840000000001</v>
      </c>
    </row>
    <row r="4309" customFormat="false" ht="16.4" hidden="false" customHeight="false" outlineLevel="0" collapsed="false">
      <c r="A4309" s="13" t="str">
        <f aca="false">""</f>
        <v/>
      </c>
      <c r="B4309" s="13" t="n">
        <f aca="false">279</f>
        <v>279</v>
      </c>
      <c r="C4309" s="13" t="n">
        <f aca="false">IF(Szenarien!$H$22="OK",(IFERROR(SUMIF(Nutzungsprofile!$B$6:$B$11,"Schulbetrieb",Nutzungsprofile!$G$6:$G$11)*Kalender!C283/SUM(Kalender!$C$5:$C$370),0)+IFERROR(SUMIF(Nutzungsprofile!$B$6:$B$11,"Halle",Nutzungsprofile!$G$6:$G$11)*Kalender!D283/SUM(Kalender!$D$5:$D$370),0)+IFERROR(SUMIF(Nutzungsprofile!$B$6:$B$11,"Individuell",Nutzungsprofile!$G$6:$G$11)*Kalender!E283/SUM(Kalender!$E$5:$E$370),0))*Szenarien!$E$22,0)</f>
        <v>2.94</v>
      </c>
      <c r="D4309" s="13" t="n">
        <f aca="false">IF(Szenarien!$H$22="OK",(IFERROR(SUMIF(Nutzungsprofile!$B$17:$B$22,"Schulbetrieb",Nutzungsprofile!$G$17:$G$22)*Kalender!C283/SUM(Kalender!$C$5:$C$370),0)+IFERROR(SUMIF(Nutzungsprofile!$B$17:$B$22,"Halle",Nutzungsprofile!$G$17:$G$22)*Kalender!D283/SUM(Kalender!$D$5:$D$370),0)+IFERROR(SUMIF(Nutzungsprofile!$B$17:$B$22,"Individuell",Nutzungsprofile!$G$17:$G$22)*Kalender!E283/SUM(Kalender!$E$5:$E$370),0))*Szenarien!$D$22,0)</f>
        <v>4.94</v>
      </c>
      <c r="E4309" s="13" t="n">
        <f aca="false">IFERROR(MIN(C4309,Eingaben!$B$17)*Eingaben!$B$16,0)</f>
        <v>2.793</v>
      </c>
      <c r="F4309" s="13" t="n">
        <f aca="false">IFERROR(E4309*Eingaben!$B$15,0)</f>
        <v>2.5137</v>
      </c>
      <c r="G4309" s="13" t="n">
        <f aca="false">IFERROR(IF(Kalender!A283="",0,J4308*(1-Eingaben!$B$20)),0)</f>
        <v>0.7390278</v>
      </c>
      <c r="H4309" s="13" t="n">
        <f aca="false">MIN(G4309,D4309)</f>
        <v>0.7390278</v>
      </c>
      <c r="I4309" s="13" t="n">
        <f aca="false">IFERROR(MIN(F4309*Eingaben!$B$19,MAX(0,D4309-H4309)),0)</f>
        <v>1.75959</v>
      </c>
      <c r="J4309" s="13" t="n">
        <f aca="false">IFERROR(MIN(Eingaben!$B$18,MAX(0,F4309-I4309)),0)</f>
        <v>0.75411</v>
      </c>
      <c r="K4309" s="13" t="n">
        <f aca="false">H4309+I4309</f>
        <v>2.4986178</v>
      </c>
      <c r="L4309" s="13" t="n">
        <f aca="false">MAX(0,D4309-K4309)</f>
        <v>2.4413822</v>
      </c>
      <c r="M4309" s="13" t="n">
        <f aca="false">MAX(0,F4309-I4309-J4309)</f>
        <v>0</v>
      </c>
      <c r="N4309" s="13" t="n">
        <f aca="false">IF(Kalender!A283="",0,J4308-H4309)</f>
        <v>0.0150822</v>
      </c>
    </row>
    <row r="4310" customFormat="false" ht="16.4" hidden="false" customHeight="false" outlineLevel="0" collapsed="false">
      <c r="A4310" s="13" t="str">
        <f aca="false">""</f>
        <v/>
      </c>
      <c r="B4310" s="13" t="n">
        <f aca="false">280</f>
        <v>280</v>
      </c>
      <c r="C4310" s="13" t="n">
        <f aca="false">IF(Szenarien!$H$22="OK",(IFERROR(SUMIF(Nutzungsprofile!$B$6:$B$11,"Schulbetrieb",Nutzungsprofile!$G$6:$G$11)*Kalender!C284/SUM(Kalender!$C$5:$C$370),0)+IFERROR(SUMIF(Nutzungsprofile!$B$6:$B$11,"Halle",Nutzungsprofile!$G$6:$G$11)*Kalender!D284/SUM(Kalender!$D$5:$D$370),0)+IFERROR(SUMIF(Nutzungsprofile!$B$6:$B$11,"Individuell",Nutzungsprofile!$G$6:$G$11)*Kalender!E284/SUM(Kalender!$E$5:$E$370),0))*Szenarien!$E$22,0)</f>
        <v>2.94</v>
      </c>
      <c r="D4310" s="13" t="n">
        <f aca="false">IF(Szenarien!$H$22="OK",(IFERROR(SUMIF(Nutzungsprofile!$B$17:$B$22,"Schulbetrieb",Nutzungsprofile!$G$17:$G$22)*Kalender!C284/SUM(Kalender!$C$5:$C$370),0)+IFERROR(SUMIF(Nutzungsprofile!$B$17:$B$22,"Halle",Nutzungsprofile!$G$17:$G$22)*Kalender!D284/SUM(Kalender!$D$5:$D$370),0)+IFERROR(SUMIF(Nutzungsprofile!$B$17:$B$22,"Individuell",Nutzungsprofile!$G$17:$G$22)*Kalender!E284/SUM(Kalender!$E$5:$E$370),0))*Szenarien!$D$22,0)</f>
        <v>4.94</v>
      </c>
      <c r="E4310" s="13" t="n">
        <f aca="false">IFERROR(MIN(C4310,Eingaben!$B$17)*Eingaben!$B$16,0)</f>
        <v>2.793</v>
      </c>
      <c r="F4310" s="13" t="n">
        <f aca="false">IFERROR(E4310*Eingaben!$B$15,0)</f>
        <v>2.5137</v>
      </c>
      <c r="G4310" s="13" t="n">
        <f aca="false">IFERROR(IF(Kalender!A284="",0,J4309*(1-Eingaben!$B$20)),0)</f>
        <v>0.7390278</v>
      </c>
      <c r="H4310" s="13" t="n">
        <f aca="false">MIN(G4310,D4310)</f>
        <v>0.7390278</v>
      </c>
      <c r="I4310" s="13" t="n">
        <f aca="false">IFERROR(MIN(F4310*Eingaben!$B$19,MAX(0,D4310-H4310)),0)</f>
        <v>1.75959</v>
      </c>
      <c r="J4310" s="13" t="n">
        <f aca="false">IFERROR(MIN(Eingaben!$B$18,MAX(0,F4310-I4310)),0)</f>
        <v>0.75411</v>
      </c>
      <c r="K4310" s="13" t="n">
        <f aca="false">H4310+I4310</f>
        <v>2.4986178</v>
      </c>
      <c r="L4310" s="13" t="n">
        <f aca="false">MAX(0,D4310-K4310)</f>
        <v>2.4413822</v>
      </c>
      <c r="M4310" s="13" t="n">
        <f aca="false">MAX(0,F4310-I4310-J4310)</f>
        <v>0</v>
      </c>
      <c r="N4310" s="13" t="n">
        <f aca="false">IF(Kalender!A284="",0,J4309-H4310)</f>
        <v>0.0150822</v>
      </c>
    </row>
    <row r="4311" customFormat="false" ht="16.4" hidden="false" customHeight="false" outlineLevel="0" collapsed="false">
      <c r="A4311" s="13" t="str">
        <f aca="false">""</f>
        <v/>
      </c>
      <c r="B4311" s="13" t="n">
        <f aca="false">281</f>
        <v>281</v>
      </c>
      <c r="C4311" s="13" t="n">
        <f aca="false">IF(Szenarien!$H$22="OK",(IFERROR(SUMIF(Nutzungsprofile!$B$6:$B$11,"Schulbetrieb",Nutzungsprofile!$G$6:$G$11)*Kalender!C285/SUM(Kalender!$C$5:$C$370),0)+IFERROR(SUMIF(Nutzungsprofile!$B$6:$B$11,"Halle",Nutzungsprofile!$G$6:$G$11)*Kalender!D285/SUM(Kalender!$D$5:$D$370),0)+IFERROR(SUMIF(Nutzungsprofile!$B$6:$B$11,"Individuell",Nutzungsprofile!$G$6:$G$11)*Kalender!E285/SUM(Kalender!$E$5:$E$370),0))*Szenarien!$E$22,0)</f>
        <v>0.9</v>
      </c>
      <c r="D4311" s="13" t="n">
        <f aca="false">IF(Szenarien!$H$22="OK",(IFERROR(SUMIF(Nutzungsprofile!$B$17:$B$22,"Schulbetrieb",Nutzungsprofile!$G$17:$G$22)*Kalender!C285/SUM(Kalender!$C$5:$C$370),0)+IFERROR(SUMIF(Nutzungsprofile!$B$17:$B$22,"Halle",Nutzungsprofile!$G$17:$G$22)*Kalender!D285/SUM(Kalender!$D$5:$D$370),0)+IFERROR(SUMIF(Nutzungsprofile!$B$17:$B$22,"Individuell",Nutzungsprofile!$G$17:$G$22)*Kalender!E285/SUM(Kalender!$E$5:$E$370),0))*Szenarien!$D$22,0)</f>
        <v>4.05</v>
      </c>
      <c r="E4311" s="13" t="n">
        <f aca="false">IFERROR(MIN(C4311,Eingaben!$B$17)*Eingaben!$B$16,0)</f>
        <v>0.855</v>
      </c>
      <c r="F4311" s="13" t="n">
        <f aca="false">IFERROR(E4311*Eingaben!$B$15,0)</f>
        <v>0.7695</v>
      </c>
      <c r="G4311" s="13" t="n">
        <f aca="false">IFERROR(IF(Kalender!A285="",0,J4310*(1-Eingaben!$B$20)),0)</f>
        <v>0.7390278</v>
      </c>
      <c r="H4311" s="13" t="n">
        <f aca="false">MIN(G4311,D4311)</f>
        <v>0.7390278</v>
      </c>
      <c r="I4311" s="13" t="n">
        <f aca="false">IFERROR(MIN(F4311*Eingaben!$B$19,MAX(0,D4311-H4311)),0)</f>
        <v>0.53865</v>
      </c>
      <c r="J4311" s="13" t="n">
        <f aca="false">IFERROR(MIN(Eingaben!$B$18,MAX(0,F4311-I4311)),0)</f>
        <v>0.23085</v>
      </c>
      <c r="K4311" s="13" t="n">
        <f aca="false">H4311+I4311</f>
        <v>1.2776778</v>
      </c>
      <c r="L4311" s="13" t="n">
        <f aca="false">MAX(0,D4311-K4311)</f>
        <v>2.7723222</v>
      </c>
      <c r="M4311" s="13" t="n">
        <f aca="false">MAX(0,F4311-I4311-J4311)</f>
        <v>0</v>
      </c>
      <c r="N4311" s="13" t="n">
        <f aca="false">IF(Kalender!A285="",0,J4310-H4311)</f>
        <v>0.0150822</v>
      </c>
    </row>
    <row r="4312" customFormat="false" ht="16.4" hidden="false" customHeight="false" outlineLevel="0" collapsed="false">
      <c r="A4312" s="13" t="str">
        <f aca="false">""</f>
        <v/>
      </c>
      <c r="B4312" s="13" t="n">
        <f aca="false">282</f>
        <v>282</v>
      </c>
      <c r="C4312" s="13" t="n">
        <f aca="false">IF(Szenarien!$H$22="OK",(IFERROR(SUMIF(Nutzungsprofile!$B$6:$B$11,"Schulbetrieb",Nutzungsprofile!$G$6:$G$11)*Kalender!C286/SUM(Kalender!$C$5:$C$370),0)+IFERROR(SUMIF(Nutzungsprofile!$B$6:$B$11,"Halle",Nutzungsprofile!$G$6:$G$11)*Kalender!D286/SUM(Kalender!$D$5:$D$370),0)+IFERROR(SUMIF(Nutzungsprofile!$B$6:$B$11,"Individuell",Nutzungsprofile!$G$6:$G$11)*Kalender!E286/SUM(Kalender!$E$5:$E$370),0))*Szenarien!$E$22,0)</f>
        <v>0.9</v>
      </c>
      <c r="D4312" s="13" t="n">
        <f aca="false">IF(Szenarien!$H$22="OK",(IFERROR(SUMIF(Nutzungsprofile!$B$17:$B$22,"Schulbetrieb",Nutzungsprofile!$G$17:$G$22)*Kalender!C286/SUM(Kalender!$C$5:$C$370),0)+IFERROR(SUMIF(Nutzungsprofile!$B$17:$B$22,"Halle",Nutzungsprofile!$G$17:$G$22)*Kalender!D286/SUM(Kalender!$D$5:$D$370),0)+IFERROR(SUMIF(Nutzungsprofile!$B$17:$B$22,"Individuell",Nutzungsprofile!$G$17:$G$22)*Kalender!E286/SUM(Kalender!$E$5:$E$370),0))*Szenarien!$D$22,0)</f>
        <v>4.05</v>
      </c>
      <c r="E4312" s="13" t="n">
        <f aca="false">IFERROR(MIN(C4312,Eingaben!$B$17)*Eingaben!$B$16,0)</f>
        <v>0.855</v>
      </c>
      <c r="F4312" s="13" t="n">
        <f aca="false">IFERROR(E4312*Eingaben!$B$15,0)</f>
        <v>0.7695</v>
      </c>
      <c r="G4312" s="13" t="n">
        <f aca="false">IFERROR(IF(Kalender!A286="",0,J4311*(1-Eingaben!$B$20)),0)</f>
        <v>0.226233</v>
      </c>
      <c r="H4312" s="13" t="n">
        <f aca="false">MIN(G4312,D4312)</f>
        <v>0.226233</v>
      </c>
      <c r="I4312" s="13" t="n">
        <f aca="false">IFERROR(MIN(F4312*Eingaben!$B$19,MAX(0,D4312-H4312)),0)</f>
        <v>0.53865</v>
      </c>
      <c r="J4312" s="13" t="n">
        <f aca="false">IFERROR(MIN(Eingaben!$B$18,MAX(0,F4312-I4312)),0)</f>
        <v>0.23085</v>
      </c>
      <c r="K4312" s="13" t="n">
        <f aca="false">H4312+I4312</f>
        <v>0.764883</v>
      </c>
      <c r="L4312" s="13" t="n">
        <f aca="false">MAX(0,D4312-K4312)</f>
        <v>3.285117</v>
      </c>
      <c r="M4312" s="13" t="n">
        <f aca="false">MAX(0,F4312-I4312-J4312)</f>
        <v>0</v>
      </c>
      <c r="N4312" s="13" t="n">
        <f aca="false">IF(Kalender!A286="",0,J4311-H4312)</f>
        <v>0.00461700000000001</v>
      </c>
    </row>
    <row r="4313" customFormat="false" ht="16.4" hidden="false" customHeight="false" outlineLevel="0" collapsed="false">
      <c r="A4313" s="13" t="str">
        <f aca="false">""</f>
        <v/>
      </c>
      <c r="B4313" s="13" t="n">
        <f aca="false">283</f>
        <v>283</v>
      </c>
      <c r="C4313" s="13" t="n">
        <f aca="false">IF(Szenarien!$H$22="OK",(IFERROR(SUMIF(Nutzungsprofile!$B$6:$B$11,"Schulbetrieb",Nutzungsprofile!$G$6:$G$11)*Kalender!C287/SUM(Kalender!$C$5:$C$370),0)+IFERROR(SUMIF(Nutzungsprofile!$B$6:$B$11,"Halle",Nutzungsprofile!$G$6:$G$11)*Kalender!D287/SUM(Kalender!$D$5:$D$370),0)+IFERROR(SUMIF(Nutzungsprofile!$B$6:$B$11,"Individuell",Nutzungsprofile!$G$6:$G$11)*Kalender!E287/SUM(Kalender!$E$5:$E$370),0))*Szenarien!$E$22,0)</f>
        <v>0</v>
      </c>
      <c r="D4313" s="13" t="n">
        <f aca="false">IF(Szenarien!$H$22="OK",(IFERROR(SUMIF(Nutzungsprofile!$B$17:$B$22,"Schulbetrieb",Nutzungsprofile!$G$17:$G$22)*Kalender!C287/SUM(Kalender!$C$5:$C$370),0)+IFERROR(SUMIF(Nutzungsprofile!$B$17:$B$22,"Halle",Nutzungsprofile!$G$17:$G$22)*Kalender!D287/SUM(Kalender!$D$5:$D$370),0)+IFERROR(SUMIF(Nutzungsprofile!$B$17:$B$22,"Individuell",Nutzungsprofile!$G$17:$G$22)*Kalender!E287/SUM(Kalender!$E$5:$E$370),0))*Szenarien!$D$22,0)</f>
        <v>0</v>
      </c>
      <c r="E4313" s="13" t="n">
        <f aca="false">IFERROR(MIN(C4313,Eingaben!$B$17)*Eingaben!$B$16,0)</f>
        <v>0</v>
      </c>
      <c r="F4313" s="13" t="n">
        <f aca="false">IFERROR(E4313*Eingaben!$B$15,0)</f>
        <v>0</v>
      </c>
      <c r="G4313" s="13" t="n">
        <f aca="false">IFERROR(IF(Kalender!A287="",0,J4312*(1-Eingaben!$B$20)),0)</f>
        <v>0.226233</v>
      </c>
      <c r="H4313" s="13" t="n">
        <f aca="false">MIN(G4313,D4313)</f>
        <v>0</v>
      </c>
      <c r="I4313" s="13" t="n">
        <f aca="false">IFERROR(MIN(F4313*Eingaben!$B$19,MAX(0,D4313-H4313)),0)</f>
        <v>0</v>
      </c>
      <c r="J4313" s="13" t="n">
        <f aca="false">IFERROR(MIN(Eingaben!$B$18,MAX(0,F4313-I4313)),0)</f>
        <v>0</v>
      </c>
      <c r="K4313" s="13" t="n">
        <f aca="false">H4313+I4313</f>
        <v>0</v>
      </c>
      <c r="L4313" s="13" t="n">
        <f aca="false">MAX(0,D4313-K4313)</f>
        <v>0</v>
      </c>
      <c r="M4313" s="13" t="n">
        <f aca="false">MAX(0,F4313-I4313-J4313)</f>
        <v>0</v>
      </c>
      <c r="N4313" s="13" t="n">
        <f aca="false">IF(Kalender!A287="",0,J4312-H4313)</f>
        <v>0.23085</v>
      </c>
    </row>
    <row r="4314" customFormat="false" ht="16.4" hidden="false" customHeight="false" outlineLevel="0" collapsed="false">
      <c r="A4314" s="13" t="str">
        <f aca="false">""</f>
        <v/>
      </c>
      <c r="B4314" s="13" t="n">
        <f aca="false">284</f>
        <v>284</v>
      </c>
      <c r="C4314" s="13" t="n">
        <f aca="false">IF(Szenarien!$H$22="OK",(IFERROR(SUMIF(Nutzungsprofile!$B$6:$B$11,"Schulbetrieb",Nutzungsprofile!$G$6:$G$11)*Kalender!C288/SUM(Kalender!$C$5:$C$370),0)+IFERROR(SUMIF(Nutzungsprofile!$B$6:$B$11,"Halle",Nutzungsprofile!$G$6:$G$11)*Kalender!D288/SUM(Kalender!$D$5:$D$370),0)+IFERROR(SUMIF(Nutzungsprofile!$B$6:$B$11,"Individuell",Nutzungsprofile!$G$6:$G$11)*Kalender!E288/SUM(Kalender!$E$5:$E$370),0))*Szenarien!$E$22,0)</f>
        <v>0</v>
      </c>
      <c r="D4314" s="13" t="n">
        <f aca="false">IF(Szenarien!$H$22="OK",(IFERROR(SUMIF(Nutzungsprofile!$B$17:$B$22,"Schulbetrieb",Nutzungsprofile!$G$17:$G$22)*Kalender!C288/SUM(Kalender!$C$5:$C$370),0)+IFERROR(SUMIF(Nutzungsprofile!$B$17:$B$22,"Halle",Nutzungsprofile!$G$17:$G$22)*Kalender!D288/SUM(Kalender!$D$5:$D$370),0)+IFERROR(SUMIF(Nutzungsprofile!$B$17:$B$22,"Individuell",Nutzungsprofile!$G$17:$G$22)*Kalender!E288/SUM(Kalender!$E$5:$E$370),0))*Szenarien!$D$22,0)</f>
        <v>0</v>
      </c>
      <c r="E4314" s="13" t="n">
        <f aca="false">IFERROR(MIN(C4314,Eingaben!$B$17)*Eingaben!$B$16,0)</f>
        <v>0</v>
      </c>
      <c r="F4314" s="13" t="n">
        <f aca="false">IFERROR(E4314*Eingaben!$B$15,0)</f>
        <v>0</v>
      </c>
      <c r="G4314" s="13" t="n">
        <f aca="false">IFERROR(IF(Kalender!A288="",0,J4313*(1-Eingaben!$B$20)),0)</f>
        <v>0</v>
      </c>
      <c r="H4314" s="13" t="n">
        <f aca="false">MIN(G4314,D4314)</f>
        <v>0</v>
      </c>
      <c r="I4314" s="13" t="n">
        <f aca="false">IFERROR(MIN(F4314*Eingaben!$B$19,MAX(0,D4314-H4314)),0)</f>
        <v>0</v>
      </c>
      <c r="J4314" s="13" t="n">
        <f aca="false">IFERROR(MIN(Eingaben!$B$18,MAX(0,F4314-I4314)),0)</f>
        <v>0</v>
      </c>
      <c r="K4314" s="13" t="n">
        <f aca="false">H4314+I4314</f>
        <v>0</v>
      </c>
      <c r="L4314" s="13" t="n">
        <f aca="false">MAX(0,D4314-K4314)</f>
        <v>0</v>
      </c>
      <c r="M4314" s="13" t="n">
        <f aca="false">MAX(0,F4314-I4314-J4314)</f>
        <v>0</v>
      </c>
      <c r="N4314" s="13" t="n">
        <f aca="false">IF(Kalender!A288="",0,J4313-H4314)</f>
        <v>0</v>
      </c>
    </row>
    <row r="4315" customFormat="false" ht="16.4" hidden="false" customHeight="false" outlineLevel="0" collapsed="false">
      <c r="A4315" s="13" t="str">
        <f aca="false">""</f>
        <v/>
      </c>
      <c r="B4315" s="13" t="n">
        <f aca="false">285</f>
        <v>285</v>
      </c>
      <c r="C4315" s="13" t="n">
        <f aca="false">IF(Szenarien!$H$22="OK",(IFERROR(SUMIF(Nutzungsprofile!$B$6:$B$11,"Schulbetrieb",Nutzungsprofile!$G$6:$G$11)*Kalender!C289/SUM(Kalender!$C$5:$C$370),0)+IFERROR(SUMIF(Nutzungsprofile!$B$6:$B$11,"Halle",Nutzungsprofile!$G$6:$G$11)*Kalender!D289/SUM(Kalender!$D$5:$D$370),0)+IFERROR(SUMIF(Nutzungsprofile!$B$6:$B$11,"Individuell",Nutzungsprofile!$G$6:$G$11)*Kalender!E289/SUM(Kalender!$E$5:$E$370),0))*Szenarien!$E$22,0)</f>
        <v>0.9</v>
      </c>
      <c r="D4315" s="13" t="n">
        <f aca="false">IF(Szenarien!$H$22="OK",(IFERROR(SUMIF(Nutzungsprofile!$B$17:$B$22,"Schulbetrieb",Nutzungsprofile!$G$17:$G$22)*Kalender!C289/SUM(Kalender!$C$5:$C$370),0)+IFERROR(SUMIF(Nutzungsprofile!$B$17:$B$22,"Halle",Nutzungsprofile!$G$17:$G$22)*Kalender!D289/SUM(Kalender!$D$5:$D$370),0)+IFERROR(SUMIF(Nutzungsprofile!$B$17:$B$22,"Individuell",Nutzungsprofile!$G$17:$G$22)*Kalender!E289/SUM(Kalender!$E$5:$E$370),0))*Szenarien!$D$22,0)</f>
        <v>4.05</v>
      </c>
      <c r="E4315" s="13" t="n">
        <f aca="false">IFERROR(MIN(C4315,Eingaben!$B$17)*Eingaben!$B$16,0)</f>
        <v>0.855</v>
      </c>
      <c r="F4315" s="13" t="n">
        <f aca="false">IFERROR(E4315*Eingaben!$B$15,0)</f>
        <v>0.7695</v>
      </c>
      <c r="G4315" s="13" t="n">
        <f aca="false">IFERROR(IF(Kalender!A289="",0,J4314*(1-Eingaben!$B$20)),0)</f>
        <v>0</v>
      </c>
      <c r="H4315" s="13" t="n">
        <f aca="false">MIN(G4315,D4315)</f>
        <v>0</v>
      </c>
      <c r="I4315" s="13" t="n">
        <f aca="false">IFERROR(MIN(F4315*Eingaben!$B$19,MAX(0,D4315-H4315)),0)</f>
        <v>0.53865</v>
      </c>
      <c r="J4315" s="13" t="n">
        <f aca="false">IFERROR(MIN(Eingaben!$B$18,MAX(0,F4315-I4315)),0)</f>
        <v>0.23085</v>
      </c>
      <c r="K4315" s="13" t="n">
        <f aca="false">H4315+I4315</f>
        <v>0.53865</v>
      </c>
      <c r="L4315" s="13" t="n">
        <f aca="false">MAX(0,D4315-K4315)</f>
        <v>3.51135</v>
      </c>
      <c r="M4315" s="13" t="n">
        <f aca="false">MAX(0,F4315-I4315-J4315)</f>
        <v>0</v>
      </c>
      <c r="N4315" s="13" t="n">
        <f aca="false">IF(Kalender!A289="",0,J4314-H4315)</f>
        <v>0</v>
      </c>
    </row>
    <row r="4316" customFormat="false" ht="16.4" hidden="false" customHeight="false" outlineLevel="0" collapsed="false">
      <c r="A4316" s="13" t="str">
        <f aca="false">""</f>
        <v/>
      </c>
      <c r="B4316" s="13" t="n">
        <f aca="false">286</f>
        <v>286</v>
      </c>
      <c r="C4316" s="13" t="n">
        <f aca="false">IF(Szenarien!$H$22="OK",(IFERROR(SUMIF(Nutzungsprofile!$B$6:$B$11,"Schulbetrieb",Nutzungsprofile!$G$6:$G$11)*Kalender!C290/SUM(Kalender!$C$5:$C$370),0)+IFERROR(SUMIF(Nutzungsprofile!$B$6:$B$11,"Halle",Nutzungsprofile!$G$6:$G$11)*Kalender!D290/SUM(Kalender!$D$5:$D$370),0)+IFERROR(SUMIF(Nutzungsprofile!$B$6:$B$11,"Individuell",Nutzungsprofile!$G$6:$G$11)*Kalender!E290/SUM(Kalender!$E$5:$E$370),0))*Szenarien!$E$22,0)</f>
        <v>0.9</v>
      </c>
      <c r="D4316" s="13" t="n">
        <f aca="false">IF(Szenarien!$H$22="OK",(IFERROR(SUMIF(Nutzungsprofile!$B$17:$B$22,"Schulbetrieb",Nutzungsprofile!$G$17:$G$22)*Kalender!C290/SUM(Kalender!$C$5:$C$370),0)+IFERROR(SUMIF(Nutzungsprofile!$B$17:$B$22,"Halle",Nutzungsprofile!$G$17:$G$22)*Kalender!D290/SUM(Kalender!$D$5:$D$370),0)+IFERROR(SUMIF(Nutzungsprofile!$B$17:$B$22,"Individuell",Nutzungsprofile!$G$17:$G$22)*Kalender!E290/SUM(Kalender!$E$5:$E$370),0))*Szenarien!$D$22,0)</f>
        <v>4.05</v>
      </c>
      <c r="E4316" s="13" t="n">
        <f aca="false">IFERROR(MIN(C4316,Eingaben!$B$17)*Eingaben!$B$16,0)</f>
        <v>0.855</v>
      </c>
      <c r="F4316" s="13" t="n">
        <f aca="false">IFERROR(E4316*Eingaben!$B$15,0)</f>
        <v>0.7695</v>
      </c>
      <c r="G4316" s="13" t="n">
        <f aca="false">IFERROR(IF(Kalender!A290="",0,J4315*(1-Eingaben!$B$20)),0)</f>
        <v>0.226233</v>
      </c>
      <c r="H4316" s="13" t="n">
        <f aca="false">MIN(G4316,D4316)</f>
        <v>0.226233</v>
      </c>
      <c r="I4316" s="13" t="n">
        <f aca="false">IFERROR(MIN(F4316*Eingaben!$B$19,MAX(0,D4316-H4316)),0)</f>
        <v>0.53865</v>
      </c>
      <c r="J4316" s="13" t="n">
        <f aca="false">IFERROR(MIN(Eingaben!$B$18,MAX(0,F4316-I4316)),0)</f>
        <v>0.23085</v>
      </c>
      <c r="K4316" s="13" t="n">
        <f aca="false">H4316+I4316</f>
        <v>0.764883</v>
      </c>
      <c r="L4316" s="13" t="n">
        <f aca="false">MAX(0,D4316-K4316)</f>
        <v>3.285117</v>
      </c>
      <c r="M4316" s="13" t="n">
        <f aca="false">MAX(0,F4316-I4316-J4316)</f>
        <v>0</v>
      </c>
      <c r="N4316" s="13" t="n">
        <f aca="false">IF(Kalender!A290="",0,J4315-H4316)</f>
        <v>0.00461700000000001</v>
      </c>
    </row>
    <row r="4317" customFormat="false" ht="16.4" hidden="false" customHeight="false" outlineLevel="0" collapsed="false">
      <c r="A4317" s="13" t="str">
        <f aca="false">""</f>
        <v/>
      </c>
      <c r="B4317" s="13" t="n">
        <f aca="false">287</f>
        <v>287</v>
      </c>
      <c r="C4317" s="13" t="n">
        <f aca="false">IF(Szenarien!$H$22="OK",(IFERROR(SUMIF(Nutzungsprofile!$B$6:$B$11,"Schulbetrieb",Nutzungsprofile!$G$6:$G$11)*Kalender!C291/SUM(Kalender!$C$5:$C$370),0)+IFERROR(SUMIF(Nutzungsprofile!$B$6:$B$11,"Halle",Nutzungsprofile!$G$6:$G$11)*Kalender!D291/SUM(Kalender!$D$5:$D$370),0)+IFERROR(SUMIF(Nutzungsprofile!$B$6:$B$11,"Individuell",Nutzungsprofile!$G$6:$G$11)*Kalender!E291/SUM(Kalender!$E$5:$E$370),0))*Szenarien!$E$22,0)</f>
        <v>0.9</v>
      </c>
      <c r="D4317" s="13" t="n">
        <f aca="false">IF(Szenarien!$H$22="OK",(IFERROR(SUMIF(Nutzungsprofile!$B$17:$B$22,"Schulbetrieb",Nutzungsprofile!$G$17:$G$22)*Kalender!C291/SUM(Kalender!$C$5:$C$370),0)+IFERROR(SUMIF(Nutzungsprofile!$B$17:$B$22,"Halle",Nutzungsprofile!$G$17:$G$22)*Kalender!D291/SUM(Kalender!$D$5:$D$370),0)+IFERROR(SUMIF(Nutzungsprofile!$B$17:$B$22,"Individuell",Nutzungsprofile!$G$17:$G$22)*Kalender!E291/SUM(Kalender!$E$5:$E$370),0))*Szenarien!$D$22,0)</f>
        <v>4.05</v>
      </c>
      <c r="E4317" s="13" t="n">
        <f aca="false">IFERROR(MIN(C4317,Eingaben!$B$17)*Eingaben!$B$16,0)</f>
        <v>0.855</v>
      </c>
      <c r="F4317" s="13" t="n">
        <f aca="false">IFERROR(E4317*Eingaben!$B$15,0)</f>
        <v>0.7695</v>
      </c>
      <c r="G4317" s="13" t="n">
        <f aca="false">IFERROR(IF(Kalender!A291="",0,J4316*(1-Eingaben!$B$20)),0)</f>
        <v>0.226233</v>
      </c>
      <c r="H4317" s="13" t="n">
        <f aca="false">MIN(G4317,D4317)</f>
        <v>0.226233</v>
      </c>
      <c r="I4317" s="13" t="n">
        <f aca="false">IFERROR(MIN(F4317*Eingaben!$B$19,MAX(0,D4317-H4317)),0)</f>
        <v>0.53865</v>
      </c>
      <c r="J4317" s="13" t="n">
        <f aca="false">IFERROR(MIN(Eingaben!$B$18,MAX(0,F4317-I4317)),0)</f>
        <v>0.23085</v>
      </c>
      <c r="K4317" s="13" t="n">
        <f aca="false">H4317+I4317</f>
        <v>0.764883</v>
      </c>
      <c r="L4317" s="13" t="n">
        <f aca="false">MAX(0,D4317-K4317)</f>
        <v>3.285117</v>
      </c>
      <c r="M4317" s="13" t="n">
        <f aca="false">MAX(0,F4317-I4317-J4317)</f>
        <v>0</v>
      </c>
      <c r="N4317" s="13" t="n">
        <f aca="false">IF(Kalender!A291="",0,J4316-H4317)</f>
        <v>0.00461700000000001</v>
      </c>
    </row>
    <row r="4318" customFormat="false" ht="16.4" hidden="false" customHeight="false" outlineLevel="0" collapsed="false">
      <c r="A4318" s="13" t="str">
        <f aca="false">""</f>
        <v/>
      </c>
      <c r="B4318" s="13" t="n">
        <f aca="false">288</f>
        <v>288</v>
      </c>
      <c r="C4318" s="13" t="n">
        <f aca="false">IF(Szenarien!$H$22="OK",(IFERROR(SUMIF(Nutzungsprofile!$B$6:$B$11,"Schulbetrieb",Nutzungsprofile!$G$6:$G$11)*Kalender!C292/SUM(Kalender!$C$5:$C$370),0)+IFERROR(SUMIF(Nutzungsprofile!$B$6:$B$11,"Halle",Nutzungsprofile!$G$6:$G$11)*Kalender!D292/SUM(Kalender!$D$5:$D$370),0)+IFERROR(SUMIF(Nutzungsprofile!$B$6:$B$11,"Individuell",Nutzungsprofile!$G$6:$G$11)*Kalender!E292/SUM(Kalender!$E$5:$E$370),0))*Szenarien!$E$22,0)</f>
        <v>0.9</v>
      </c>
      <c r="D4318" s="13" t="n">
        <f aca="false">IF(Szenarien!$H$22="OK",(IFERROR(SUMIF(Nutzungsprofile!$B$17:$B$22,"Schulbetrieb",Nutzungsprofile!$G$17:$G$22)*Kalender!C292/SUM(Kalender!$C$5:$C$370),0)+IFERROR(SUMIF(Nutzungsprofile!$B$17:$B$22,"Halle",Nutzungsprofile!$G$17:$G$22)*Kalender!D292/SUM(Kalender!$D$5:$D$370),0)+IFERROR(SUMIF(Nutzungsprofile!$B$17:$B$22,"Individuell",Nutzungsprofile!$G$17:$G$22)*Kalender!E292/SUM(Kalender!$E$5:$E$370),0))*Szenarien!$D$22,0)</f>
        <v>4.05</v>
      </c>
      <c r="E4318" s="13" t="n">
        <f aca="false">IFERROR(MIN(C4318,Eingaben!$B$17)*Eingaben!$B$16,0)</f>
        <v>0.855</v>
      </c>
      <c r="F4318" s="13" t="n">
        <f aca="false">IFERROR(E4318*Eingaben!$B$15,0)</f>
        <v>0.7695</v>
      </c>
      <c r="G4318" s="13" t="n">
        <f aca="false">IFERROR(IF(Kalender!A292="",0,J4317*(1-Eingaben!$B$20)),0)</f>
        <v>0.226233</v>
      </c>
      <c r="H4318" s="13" t="n">
        <f aca="false">MIN(G4318,D4318)</f>
        <v>0.226233</v>
      </c>
      <c r="I4318" s="13" t="n">
        <f aca="false">IFERROR(MIN(F4318*Eingaben!$B$19,MAX(0,D4318-H4318)),0)</f>
        <v>0.53865</v>
      </c>
      <c r="J4318" s="13" t="n">
        <f aca="false">IFERROR(MIN(Eingaben!$B$18,MAX(0,F4318-I4318)),0)</f>
        <v>0.23085</v>
      </c>
      <c r="K4318" s="13" t="n">
        <f aca="false">H4318+I4318</f>
        <v>0.764883</v>
      </c>
      <c r="L4318" s="13" t="n">
        <f aca="false">MAX(0,D4318-K4318)</f>
        <v>3.285117</v>
      </c>
      <c r="M4318" s="13" t="n">
        <f aca="false">MAX(0,F4318-I4318-J4318)</f>
        <v>0</v>
      </c>
      <c r="N4318" s="13" t="n">
        <f aca="false">IF(Kalender!A292="",0,J4317-H4318)</f>
        <v>0.00461700000000001</v>
      </c>
    </row>
    <row r="4319" customFormat="false" ht="16.4" hidden="false" customHeight="false" outlineLevel="0" collapsed="false">
      <c r="A4319" s="13" t="str">
        <f aca="false">""</f>
        <v/>
      </c>
      <c r="B4319" s="13" t="n">
        <f aca="false">289</f>
        <v>289</v>
      </c>
      <c r="C4319" s="13" t="n">
        <f aca="false">IF(Szenarien!$H$22="OK",(IFERROR(SUMIF(Nutzungsprofile!$B$6:$B$11,"Schulbetrieb",Nutzungsprofile!$G$6:$G$11)*Kalender!C293/SUM(Kalender!$C$5:$C$370),0)+IFERROR(SUMIF(Nutzungsprofile!$B$6:$B$11,"Halle",Nutzungsprofile!$G$6:$G$11)*Kalender!D293/SUM(Kalender!$D$5:$D$370),0)+IFERROR(SUMIF(Nutzungsprofile!$B$6:$B$11,"Individuell",Nutzungsprofile!$G$6:$G$11)*Kalender!E293/SUM(Kalender!$E$5:$E$370),0))*Szenarien!$E$22,0)</f>
        <v>0.9</v>
      </c>
      <c r="D4319" s="13" t="n">
        <f aca="false">IF(Szenarien!$H$22="OK",(IFERROR(SUMIF(Nutzungsprofile!$B$17:$B$22,"Schulbetrieb",Nutzungsprofile!$G$17:$G$22)*Kalender!C293/SUM(Kalender!$C$5:$C$370),0)+IFERROR(SUMIF(Nutzungsprofile!$B$17:$B$22,"Halle",Nutzungsprofile!$G$17:$G$22)*Kalender!D293/SUM(Kalender!$D$5:$D$370),0)+IFERROR(SUMIF(Nutzungsprofile!$B$17:$B$22,"Individuell",Nutzungsprofile!$G$17:$G$22)*Kalender!E293/SUM(Kalender!$E$5:$E$370),0))*Szenarien!$D$22,0)</f>
        <v>4.05</v>
      </c>
      <c r="E4319" s="13" t="n">
        <f aca="false">IFERROR(MIN(C4319,Eingaben!$B$17)*Eingaben!$B$16,0)</f>
        <v>0.855</v>
      </c>
      <c r="F4319" s="13" t="n">
        <f aca="false">IFERROR(E4319*Eingaben!$B$15,0)</f>
        <v>0.7695</v>
      </c>
      <c r="G4319" s="13" t="n">
        <f aca="false">IFERROR(IF(Kalender!A293="",0,J4318*(1-Eingaben!$B$20)),0)</f>
        <v>0.226233</v>
      </c>
      <c r="H4319" s="13" t="n">
        <f aca="false">MIN(G4319,D4319)</f>
        <v>0.226233</v>
      </c>
      <c r="I4319" s="13" t="n">
        <f aca="false">IFERROR(MIN(F4319*Eingaben!$B$19,MAX(0,D4319-H4319)),0)</f>
        <v>0.53865</v>
      </c>
      <c r="J4319" s="13" t="n">
        <f aca="false">IFERROR(MIN(Eingaben!$B$18,MAX(0,F4319-I4319)),0)</f>
        <v>0.23085</v>
      </c>
      <c r="K4319" s="13" t="n">
        <f aca="false">H4319+I4319</f>
        <v>0.764883</v>
      </c>
      <c r="L4319" s="13" t="n">
        <f aca="false">MAX(0,D4319-K4319)</f>
        <v>3.285117</v>
      </c>
      <c r="M4319" s="13" t="n">
        <f aca="false">MAX(0,F4319-I4319-J4319)</f>
        <v>0</v>
      </c>
      <c r="N4319" s="13" t="n">
        <f aca="false">IF(Kalender!A293="",0,J4318-H4319)</f>
        <v>0.00461700000000001</v>
      </c>
    </row>
    <row r="4320" customFormat="false" ht="16.4" hidden="false" customHeight="false" outlineLevel="0" collapsed="false">
      <c r="A4320" s="13" t="str">
        <f aca="false">""</f>
        <v/>
      </c>
      <c r="B4320" s="13" t="n">
        <f aca="false">290</f>
        <v>290</v>
      </c>
      <c r="C4320" s="13" t="n">
        <f aca="false">IF(Szenarien!$H$22="OK",(IFERROR(SUMIF(Nutzungsprofile!$B$6:$B$11,"Schulbetrieb",Nutzungsprofile!$G$6:$G$11)*Kalender!C294/SUM(Kalender!$C$5:$C$370),0)+IFERROR(SUMIF(Nutzungsprofile!$B$6:$B$11,"Halle",Nutzungsprofile!$G$6:$G$11)*Kalender!D294/SUM(Kalender!$D$5:$D$370),0)+IFERROR(SUMIF(Nutzungsprofile!$B$6:$B$11,"Individuell",Nutzungsprofile!$G$6:$G$11)*Kalender!E294/SUM(Kalender!$E$5:$E$370),0))*Szenarien!$E$22,0)</f>
        <v>0</v>
      </c>
      <c r="D4320" s="13" t="n">
        <f aca="false">IF(Szenarien!$H$22="OK",(IFERROR(SUMIF(Nutzungsprofile!$B$17:$B$22,"Schulbetrieb",Nutzungsprofile!$G$17:$G$22)*Kalender!C294/SUM(Kalender!$C$5:$C$370),0)+IFERROR(SUMIF(Nutzungsprofile!$B$17:$B$22,"Halle",Nutzungsprofile!$G$17:$G$22)*Kalender!D294/SUM(Kalender!$D$5:$D$370),0)+IFERROR(SUMIF(Nutzungsprofile!$B$17:$B$22,"Individuell",Nutzungsprofile!$G$17:$G$22)*Kalender!E294/SUM(Kalender!$E$5:$E$370),0))*Szenarien!$D$22,0)</f>
        <v>0</v>
      </c>
      <c r="E4320" s="13" t="n">
        <f aca="false">IFERROR(MIN(C4320,Eingaben!$B$17)*Eingaben!$B$16,0)</f>
        <v>0</v>
      </c>
      <c r="F4320" s="13" t="n">
        <f aca="false">IFERROR(E4320*Eingaben!$B$15,0)</f>
        <v>0</v>
      </c>
      <c r="G4320" s="13" t="n">
        <f aca="false">IFERROR(IF(Kalender!A294="",0,J4319*(1-Eingaben!$B$20)),0)</f>
        <v>0.226233</v>
      </c>
      <c r="H4320" s="13" t="n">
        <f aca="false">MIN(G4320,D4320)</f>
        <v>0</v>
      </c>
      <c r="I4320" s="13" t="n">
        <f aca="false">IFERROR(MIN(F4320*Eingaben!$B$19,MAX(0,D4320-H4320)),0)</f>
        <v>0</v>
      </c>
      <c r="J4320" s="13" t="n">
        <f aca="false">IFERROR(MIN(Eingaben!$B$18,MAX(0,F4320-I4320)),0)</f>
        <v>0</v>
      </c>
      <c r="K4320" s="13" t="n">
        <f aca="false">H4320+I4320</f>
        <v>0</v>
      </c>
      <c r="L4320" s="13" t="n">
        <f aca="false">MAX(0,D4320-K4320)</f>
        <v>0</v>
      </c>
      <c r="M4320" s="13" t="n">
        <f aca="false">MAX(0,F4320-I4320-J4320)</f>
        <v>0</v>
      </c>
      <c r="N4320" s="13" t="n">
        <f aca="false">IF(Kalender!A294="",0,J4319-H4320)</f>
        <v>0.23085</v>
      </c>
    </row>
    <row r="4321" customFormat="false" ht="16.4" hidden="false" customHeight="false" outlineLevel="0" collapsed="false">
      <c r="A4321" s="13" t="str">
        <f aca="false">""</f>
        <v/>
      </c>
      <c r="B4321" s="13" t="n">
        <f aca="false">291</f>
        <v>291</v>
      </c>
      <c r="C4321" s="13" t="n">
        <f aca="false">IF(Szenarien!$H$22="OK",(IFERROR(SUMIF(Nutzungsprofile!$B$6:$B$11,"Schulbetrieb",Nutzungsprofile!$G$6:$G$11)*Kalender!C295/SUM(Kalender!$C$5:$C$370),0)+IFERROR(SUMIF(Nutzungsprofile!$B$6:$B$11,"Halle",Nutzungsprofile!$G$6:$G$11)*Kalender!D295/SUM(Kalender!$D$5:$D$370),0)+IFERROR(SUMIF(Nutzungsprofile!$B$6:$B$11,"Individuell",Nutzungsprofile!$G$6:$G$11)*Kalender!E295/SUM(Kalender!$E$5:$E$370),0))*Szenarien!$E$22,0)</f>
        <v>0</v>
      </c>
      <c r="D4321" s="13" t="n">
        <f aca="false">IF(Szenarien!$H$22="OK",(IFERROR(SUMIF(Nutzungsprofile!$B$17:$B$22,"Schulbetrieb",Nutzungsprofile!$G$17:$G$22)*Kalender!C295/SUM(Kalender!$C$5:$C$370),0)+IFERROR(SUMIF(Nutzungsprofile!$B$17:$B$22,"Halle",Nutzungsprofile!$G$17:$G$22)*Kalender!D295/SUM(Kalender!$D$5:$D$370),0)+IFERROR(SUMIF(Nutzungsprofile!$B$17:$B$22,"Individuell",Nutzungsprofile!$G$17:$G$22)*Kalender!E295/SUM(Kalender!$E$5:$E$370),0))*Szenarien!$D$22,0)</f>
        <v>0</v>
      </c>
      <c r="E4321" s="13" t="n">
        <f aca="false">IFERROR(MIN(C4321,Eingaben!$B$17)*Eingaben!$B$16,0)</f>
        <v>0</v>
      </c>
      <c r="F4321" s="13" t="n">
        <f aca="false">IFERROR(E4321*Eingaben!$B$15,0)</f>
        <v>0</v>
      </c>
      <c r="G4321" s="13" t="n">
        <f aca="false">IFERROR(IF(Kalender!A295="",0,J4320*(1-Eingaben!$B$20)),0)</f>
        <v>0</v>
      </c>
      <c r="H4321" s="13" t="n">
        <f aca="false">MIN(G4321,D4321)</f>
        <v>0</v>
      </c>
      <c r="I4321" s="13" t="n">
        <f aca="false">IFERROR(MIN(F4321*Eingaben!$B$19,MAX(0,D4321-H4321)),0)</f>
        <v>0</v>
      </c>
      <c r="J4321" s="13" t="n">
        <f aca="false">IFERROR(MIN(Eingaben!$B$18,MAX(0,F4321-I4321)),0)</f>
        <v>0</v>
      </c>
      <c r="K4321" s="13" t="n">
        <f aca="false">H4321+I4321</f>
        <v>0</v>
      </c>
      <c r="L4321" s="13" t="n">
        <f aca="false">MAX(0,D4321-K4321)</f>
        <v>0</v>
      </c>
      <c r="M4321" s="13" t="n">
        <f aca="false">MAX(0,F4321-I4321-J4321)</f>
        <v>0</v>
      </c>
      <c r="N4321" s="13" t="n">
        <f aca="false">IF(Kalender!A295="",0,J4320-H4321)</f>
        <v>0</v>
      </c>
    </row>
    <row r="4322" customFormat="false" ht="16.4" hidden="false" customHeight="false" outlineLevel="0" collapsed="false">
      <c r="A4322" s="13" t="str">
        <f aca="false">""</f>
        <v/>
      </c>
      <c r="B4322" s="13" t="n">
        <f aca="false">292</f>
        <v>292</v>
      </c>
      <c r="C4322" s="13" t="n">
        <f aca="false">IF(Szenarien!$H$22="OK",(IFERROR(SUMIF(Nutzungsprofile!$B$6:$B$11,"Schulbetrieb",Nutzungsprofile!$G$6:$G$11)*Kalender!C296/SUM(Kalender!$C$5:$C$370),0)+IFERROR(SUMIF(Nutzungsprofile!$B$6:$B$11,"Halle",Nutzungsprofile!$G$6:$G$11)*Kalender!D296/SUM(Kalender!$D$5:$D$370),0)+IFERROR(SUMIF(Nutzungsprofile!$B$6:$B$11,"Individuell",Nutzungsprofile!$G$6:$G$11)*Kalender!E296/SUM(Kalender!$E$5:$E$370),0))*Szenarien!$E$22,0)</f>
        <v>0.9</v>
      </c>
      <c r="D4322" s="13" t="n">
        <f aca="false">IF(Szenarien!$H$22="OK",(IFERROR(SUMIF(Nutzungsprofile!$B$17:$B$22,"Schulbetrieb",Nutzungsprofile!$G$17:$G$22)*Kalender!C296/SUM(Kalender!$C$5:$C$370),0)+IFERROR(SUMIF(Nutzungsprofile!$B$17:$B$22,"Halle",Nutzungsprofile!$G$17:$G$22)*Kalender!D296/SUM(Kalender!$D$5:$D$370),0)+IFERROR(SUMIF(Nutzungsprofile!$B$17:$B$22,"Individuell",Nutzungsprofile!$G$17:$G$22)*Kalender!E296/SUM(Kalender!$E$5:$E$370),0))*Szenarien!$D$22,0)</f>
        <v>4.05</v>
      </c>
      <c r="E4322" s="13" t="n">
        <f aca="false">IFERROR(MIN(C4322,Eingaben!$B$17)*Eingaben!$B$16,0)</f>
        <v>0.855</v>
      </c>
      <c r="F4322" s="13" t="n">
        <f aca="false">IFERROR(E4322*Eingaben!$B$15,0)</f>
        <v>0.7695</v>
      </c>
      <c r="G4322" s="13" t="n">
        <f aca="false">IFERROR(IF(Kalender!A296="",0,J4321*(1-Eingaben!$B$20)),0)</f>
        <v>0</v>
      </c>
      <c r="H4322" s="13" t="n">
        <f aca="false">MIN(G4322,D4322)</f>
        <v>0</v>
      </c>
      <c r="I4322" s="13" t="n">
        <f aca="false">IFERROR(MIN(F4322*Eingaben!$B$19,MAX(0,D4322-H4322)),0)</f>
        <v>0.53865</v>
      </c>
      <c r="J4322" s="13" t="n">
        <f aca="false">IFERROR(MIN(Eingaben!$B$18,MAX(0,F4322-I4322)),0)</f>
        <v>0.23085</v>
      </c>
      <c r="K4322" s="13" t="n">
        <f aca="false">H4322+I4322</f>
        <v>0.53865</v>
      </c>
      <c r="L4322" s="13" t="n">
        <f aca="false">MAX(0,D4322-K4322)</f>
        <v>3.51135</v>
      </c>
      <c r="M4322" s="13" t="n">
        <f aca="false">MAX(0,F4322-I4322-J4322)</f>
        <v>0</v>
      </c>
      <c r="N4322" s="13" t="n">
        <f aca="false">IF(Kalender!A296="",0,J4321-H4322)</f>
        <v>0</v>
      </c>
    </row>
    <row r="4323" customFormat="false" ht="16.4" hidden="false" customHeight="false" outlineLevel="0" collapsed="false">
      <c r="A4323" s="13" t="str">
        <f aca="false">""</f>
        <v/>
      </c>
      <c r="B4323" s="13" t="n">
        <f aca="false">293</f>
        <v>293</v>
      </c>
      <c r="C4323" s="13" t="n">
        <f aca="false">IF(Szenarien!$H$22="OK",(IFERROR(SUMIF(Nutzungsprofile!$B$6:$B$11,"Schulbetrieb",Nutzungsprofile!$G$6:$G$11)*Kalender!C297/SUM(Kalender!$C$5:$C$370),0)+IFERROR(SUMIF(Nutzungsprofile!$B$6:$B$11,"Halle",Nutzungsprofile!$G$6:$G$11)*Kalender!D297/SUM(Kalender!$D$5:$D$370),0)+IFERROR(SUMIF(Nutzungsprofile!$B$6:$B$11,"Individuell",Nutzungsprofile!$G$6:$G$11)*Kalender!E297/SUM(Kalender!$E$5:$E$370),0))*Szenarien!$E$22,0)</f>
        <v>0.9</v>
      </c>
      <c r="D4323" s="13" t="n">
        <f aca="false">IF(Szenarien!$H$22="OK",(IFERROR(SUMIF(Nutzungsprofile!$B$17:$B$22,"Schulbetrieb",Nutzungsprofile!$G$17:$G$22)*Kalender!C297/SUM(Kalender!$C$5:$C$370),0)+IFERROR(SUMIF(Nutzungsprofile!$B$17:$B$22,"Halle",Nutzungsprofile!$G$17:$G$22)*Kalender!D297/SUM(Kalender!$D$5:$D$370),0)+IFERROR(SUMIF(Nutzungsprofile!$B$17:$B$22,"Individuell",Nutzungsprofile!$G$17:$G$22)*Kalender!E297/SUM(Kalender!$E$5:$E$370),0))*Szenarien!$D$22,0)</f>
        <v>4.05</v>
      </c>
      <c r="E4323" s="13" t="n">
        <f aca="false">IFERROR(MIN(C4323,Eingaben!$B$17)*Eingaben!$B$16,0)</f>
        <v>0.855</v>
      </c>
      <c r="F4323" s="13" t="n">
        <f aca="false">IFERROR(E4323*Eingaben!$B$15,0)</f>
        <v>0.7695</v>
      </c>
      <c r="G4323" s="13" t="n">
        <f aca="false">IFERROR(IF(Kalender!A297="",0,J4322*(1-Eingaben!$B$20)),0)</f>
        <v>0.226233</v>
      </c>
      <c r="H4323" s="13" t="n">
        <f aca="false">MIN(G4323,D4323)</f>
        <v>0.226233</v>
      </c>
      <c r="I4323" s="13" t="n">
        <f aca="false">IFERROR(MIN(F4323*Eingaben!$B$19,MAX(0,D4323-H4323)),0)</f>
        <v>0.53865</v>
      </c>
      <c r="J4323" s="13" t="n">
        <f aca="false">IFERROR(MIN(Eingaben!$B$18,MAX(0,F4323-I4323)),0)</f>
        <v>0.23085</v>
      </c>
      <c r="K4323" s="13" t="n">
        <f aca="false">H4323+I4323</f>
        <v>0.764883</v>
      </c>
      <c r="L4323" s="13" t="n">
        <f aca="false">MAX(0,D4323-K4323)</f>
        <v>3.285117</v>
      </c>
      <c r="M4323" s="13" t="n">
        <f aca="false">MAX(0,F4323-I4323-J4323)</f>
        <v>0</v>
      </c>
      <c r="N4323" s="13" t="n">
        <f aca="false">IF(Kalender!A297="",0,J4322-H4323)</f>
        <v>0.00461700000000001</v>
      </c>
    </row>
    <row r="4324" customFormat="false" ht="16.4" hidden="false" customHeight="false" outlineLevel="0" collapsed="false">
      <c r="A4324" s="13" t="str">
        <f aca="false">""</f>
        <v/>
      </c>
      <c r="B4324" s="13" t="n">
        <f aca="false">294</f>
        <v>294</v>
      </c>
      <c r="C4324" s="13" t="n">
        <f aca="false">IF(Szenarien!$H$22="OK",(IFERROR(SUMIF(Nutzungsprofile!$B$6:$B$11,"Schulbetrieb",Nutzungsprofile!$G$6:$G$11)*Kalender!C298/SUM(Kalender!$C$5:$C$370),0)+IFERROR(SUMIF(Nutzungsprofile!$B$6:$B$11,"Halle",Nutzungsprofile!$G$6:$G$11)*Kalender!D298/SUM(Kalender!$D$5:$D$370),0)+IFERROR(SUMIF(Nutzungsprofile!$B$6:$B$11,"Individuell",Nutzungsprofile!$G$6:$G$11)*Kalender!E298/SUM(Kalender!$E$5:$E$370),0))*Szenarien!$E$22,0)</f>
        <v>0.9</v>
      </c>
      <c r="D4324" s="13" t="n">
        <f aca="false">IF(Szenarien!$H$22="OK",(IFERROR(SUMIF(Nutzungsprofile!$B$17:$B$22,"Schulbetrieb",Nutzungsprofile!$G$17:$G$22)*Kalender!C298/SUM(Kalender!$C$5:$C$370),0)+IFERROR(SUMIF(Nutzungsprofile!$B$17:$B$22,"Halle",Nutzungsprofile!$G$17:$G$22)*Kalender!D298/SUM(Kalender!$D$5:$D$370),0)+IFERROR(SUMIF(Nutzungsprofile!$B$17:$B$22,"Individuell",Nutzungsprofile!$G$17:$G$22)*Kalender!E298/SUM(Kalender!$E$5:$E$370),0))*Szenarien!$D$22,0)</f>
        <v>4.05</v>
      </c>
      <c r="E4324" s="13" t="n">
        <f aca="false">IFERROR(MIN(C4324,Eingaben!$B$17)*Eingaben!$B$16,0)</f>
        <v>0.855</v>
      </c>
      <c r="F4324" s="13" t="n">
        <f aca="false">IFERROR(E4324*Eingaben!$B$15,0)</f>
        <v>0.7695</v>
      </c>
      <c r="G4324" s="13" t="n">
        <f aca="false">IFERROR(IF(Kalender!A298="",0,J4323*(1-Eingaben!$B$20)),0)</f>
        <v>0.226233</v>
      </c>
      <c r="H4324" s="13" t="n">
        <f aca="false">MIN(G4324,D4324)</f>
        <v>0.226233</v>
      </c>
      <c r="I4324" s="13" t="n">
        <f aca="false">IFERROR(MIN(F4324*Eingaben!$B$19,MAX(0,D4324-H4324)),0)</f>
        <v>0.53865</v>
      </c>
      <c r="J4324" s="13" t="n">
        <f aca="false">IFERROR(MIN(Eingaben!$B$18,MAX(0,F4324-I4324)),0)</f>
        <v>0.23085</v>
      </c>
      <c r="K4324" s="13" t="n">
        <f aca="false">H4324+I4324</f>
        <v>0.764883</v>
      </c>
      <c r="L4324" s="13" t="n">
        <f aca="false">MAX(0,D4324-K4324)</f>
        <v>3.285117</v>
      </c>
      <c r="M4324" s="13" t="n">
        <f aca="false">MAX(0,F4324-I4324-J4324)</f>
        <v>0</v>
      </c>
      <c r="N4324" s="13" t="n">
        <f aca="false">IF(Kalender!A298="",0,J4323-H4324)</f>
        <v>0.00461700000000001</v>
      </c>
    </row>
    <row r="4325" customFormat="false" ht="16.4" hidden="false" customHeight="false" outlineLevel="0" collapsed="false">
      <c r="A4325" s="13" t="str">
        <f aca="false">""</f>
        <v/>
      </c>
      <c r="B4325" s="13" t="n">
        <f aca="false">295</f>
        <v>295</v>
      </c>
      <c r="C4325" s="13" t="n">
        <f aca="false">IF(Szenarien!$H$22="OK",(IFERROR(SUMIF(Nutzungsprofile!$B$6:$B$11,"Schulbetrieb",Nutzungsprofile!$G$6:$G$11)*Kalender!C299/SUM(Kalender!$C$5:$C$370),0)+IFERROR(SUMIF(Nutzungsprofile!$B$6:$B$11,"Halle",Nutzungsprofile!$G$6:$G$11)*Kalender!D299/SUM(Kalender!$D$5:$D$370),0)+IFERROR(SUMIF(Nutzungsprofile!$B$6:$B$11,"Individuell",Nutzungsprofile!$G$6:$G$11)*Kalender!E299/SUM(Kalender!$E$5:$E$370),0))*Szenarien!$E$22,0)</f>
        <v>0.9</v>
      </c>
      <c r="D4325" s="13" t="n">
        <f aca="false">IF(Szenarien!$H$22="OK",(IFERROR(SUMIF(Nutzungsprofile!$B$17:$B$22,"Schulbetrieb",Nutzungsprofile!$G$17:$G$22)*Kalender!C299/SUM(Kalender!$C$5:$C$370),0)+IFERROR(SUMIF(Nutzungsprofile!$B$17:$B$22,"Halle",Nutzungsprofile!$G$17:$G$22)*Kalender!D299/SUM(Kalender!$D$5:$D$370),0)+IFERROR(SUMIF(Nutzungsprofile!$B$17:$B$22,"Individuell",Nutzungsprofile!$G$17:$G$22)*Kalender!E299/SUM(Kalender!$E$5:$E$370),0))*Szenarien!$D$22,0)</f>
        <v>4.05</v>
      </c>
      <c r="E4325" s="13" t="n">
        <f aca="false">IFERROR(MIN(C4325,Eingaben!$B$17)*Eingaben!$B$16,0)</f>
        <v>0.855</v>
      </c>
      <c r="F4325" s="13" t="n">
        <f aca="false">IFERROR(E4325*Eingaben!$B$15,0)</f>
        <v>0.7695</v>
      </c>
      <c r="G4325" s="13" t="n">
        <f aca="false">IFERROR(IF(Kalender!A299="",0,J4324*(1-Eingaben!$B$20)),0)</f>
        <v>0.226233</v>
      </c>
      <c r="H4325" s="13" t="n">
        <f aca="false">MIN(G4325,D4325)</f>
        <v>0.226233</v>
      </c>
      <c r="I4325" s="13" t="n">
        <f aca="false">IFERROR(MIN(F4325*Eingaben!$B$19,MAX(0,D4325-H4325)),0)</f>
        <v>0.53865</v>
      </c>
      <c r="J4325" s="13" t="n">
        <f aca="false">IFERROR(MIN(Eingaben!$B$18,MAX(0,F4325-I4325)),0)</f>
        <v>0.23085</v>
      </c>
      <c r="K4325" s="13" t="n">
        <f aca="false">H4325+I4325</f>
        <v>0.764883</v>
      </c>
      <c r="L4325" s="13" t="n">
        <f aca="false">MAX(0,D4325-K4325)</f>
        <v>3.285117</v>
      </c>
      <c r="M4325" s="13" t="n">
        <f aca="false">MAX(0,F4325-I4325-J4325)</f>
        <v>0</v>
      </c>
      <c r="N4325" s="13" t="n">
        <f aca="false">IF(Kalender!A299="",0,J4324-H4325)</f>
        <v>0.00461700000000001</v>
      </c>
    </row>
    <row r="4326" customFormat="false" ht="16.4" hidden="false" customHeight="false" outlineLevel="0" collapsed="false">
      <c r="A4326" s="13" t="str">
        <f aca="false">""</f>
        <v/>
      </c>
      <c r="B4326" s="13" t="n">
        <f aca="false">296</f>
        <v>296</v>
      </c>
      <c r="C4326" s="13" t="n">
        <f aca="false">IF(Szenarien!$H$22="OK",(IFERROR(SUMIF(Nutzungsprofile!$B$6:$B$11,"Schulbetrieb",Nutzungsprofile!$G$6:$G$11)*Kalender!C300/SUM(Kalender!$C$5:$C$370),0)+IFERROR(SUMIF(Nutzungsprofile!$B$6:$B$11,"Halle",Nutzungsprofile!$G$6:$G$11)*Kalender!D300/SUM(Kalender!$D$5:$D$370),0)+IFERROR(SUMIF(Nutzungsprofile!$B$6:$B$11,"Individuell",Nutzungsprofile!$G$6:$G$11)*Kalender!E300/SUM(Kalender!$E$5:$E$370),0))*Szenarien!$E$22,0)</f>
        <v>0.9</v>
      </c>
      <c r="D4326" s="13" t="n">
        <f aca="false">IF(Szenarien!$H$22="OK",(IFERROR(SUMIF(Nutzungsprofile!$B$17:$B$22,"Schulbetrieb",Nutzungsprofile!$G$17:$G$22)*Kalender!C300/SUM(Kalender!$C$5:$C$370),0)+IFERROR(SUMIF(Nutzungsprofile!$B$17:$B$22,"Halle",Nutzungsprofile!$G$17:$G$22)*Kalender!D300/SUM(Kalender!$D$5:$D$370),0)+IFERROR(SUMIF(Nutzungsprofile!$B$17:$B$22,"Individuell",Nutzungsprofile!$G$17:$G$22)*Kalender!E300/SUM(Kalender!$E$5:$E$370),0))*Szenarien!$D$22,0)</f>
        <v>4.05</v>
      </c>
      <c r="E4326" s="13" t="n">
        <f aca="false">IFERROR(MIN(C4326,Eingaben!$B$17)*Eingaben!$B$16,0)</f>
        <v>0.855</v>
      </c>
      <c r="F4326" s="13" t="n">
        <f aca="false">IFERROR(E4326*Eingaben!$B$15,0)</f>
        <v>0.7695</v>
      </c>
      <c r="G4326" s="13" t="n">
        <f aca="false">IFERROR(IF(Kalender!A300="",0,J4325*(1-Eingaben!$B$20)),0)</f>
        <v>0.226233</v>
      </c>
      <c r="H4326" s="13" t="n">
        <f aca="false">MIN(G4326,D4326)</f>
        <v>0.226233</v>
      </c>
      <c r="I4326" s="13" t="n">
        <f aca="false">IFERROR(MIN(F4326*Eingaben!$B$19,MAX(0,D4326-H4326)),0)</f>
        <v>0.53865</v>
      </c>
      <c r="J4326" s="13" t="n">
        <f aca="false">IFERROR(MIN(Eingaben!$B$18,MAX(0,F4326-I4326)),0)</f>
        <v>0.23085</v>
      </c>
      <c r="K4326" s="13" t="n">
        <f aca="false">H4326+I4326</f>
        <v>0.764883</v>
      </c>
      <c r="L4326" s="13" t="n">
        <f aca="false">MAX(0,D4326-K4326)</f>
        <v>3.285117</v>
      </c>
      <c r="M4326" s="13" t="n">
        <f aca="false">MAX(0,F4326-I4326-J4326)</f>
        <v>0</v>
      </c>
      <c r="N4326" s="13" t="n">
        <f aca="false">IF(Kalender!A300="",0,J4325-H4326)</f>
        <v>0.00461700000000001</v>
      </c>
    </row>
    <row r="4327" customFormat="false" ht="16.4" hidden="false" customHeight="false" outlineLevel="0" collapsed="false">
      <c r="A4327" s="13" t="str">
        <f aca="false">""</f>
        <v/>
      </c>
      <c r="B4327" s="13" t="n">
        <f aca="false">297</f>
        <v>297</v>
      </c>
      <c r="C4327" s="13" t="n">
        <f aca="false">IF(Szenarien!$H$22="OK",(IFERROR(SUMIF(Nutzungsprofile!$B$6:$B$11,"Schulbetrieb",Nutzungsprofile!$G$6:$G$11)*Kalender!C301/SUM(Kalender!$C$5:$C$370),0)+IFERROR(SUMIF(Nutzungsprofile!$B$6:$B$11,"Halle",Nutzungsprofile!$G$6:$G$11)*Kalender!D301/SUM(Kalender!$D$5:$D$370),0)+IFERROR(SUMIF(Nutzungsprofile!$B$6:$B$11,"Individuell",Nutzungsprofile!$G$6:$G$11)*Kalender!E301/SUM(Kalender!$E$5:$E$370),0))*Szenarien!$E$22,0)</f>
        <v>0</v>
      </c>
      <c r="D4327" s="13" t="n">
        <f aca="false">IF(Szenarien!$H$22="OK",(IFERROR(SUMIF(Nutzungsprofile!$B$17:$B$22,"Schulbetrieb",Nutzungsprofile!$G$17:$G$22)*Kalender!C301/SUM(Kalender!$C$5:$C$370),0)+IFERROR(SUMIF(Nutzungsprofile!$B$17:$B$22,"Halle",Nutzungsprofile!$G$17:$G$22)*Kalender!D301/SUM(Kalender!$D$5:$D$370),0)+IFERROR(SUMIF(Nutzungsprofile!$B$17:$B$22,"Individuell",Nutzungsprofile!$G$17:$G$22)*Kalender!E301/SUM(Kalender!$E$5:$E$370),0))*Szenarien!$D$22,0)</f>
        <v>0</v>
      </c>
      <c r="E4327" s="13" t="n">
        <f aca="false">IFERROR(MIN(C4327,Eingaben!$B$17)*Eingaben!$B$16,0)</f>
        <v>0</v>
      </c>
      <c r="F4327" s="13" t="n">
        <f aca="false">IFERROR(E4327*Eingaben!$B$15,0)</f>
        <v>0</v>
      </c>
      <c r="G4327" s="13" t="n">
        <f aca="false">IFERROR(IF(Kalender!A301="",0,J4326*(1-Eingaben!$B$20)),0)</f>
        <v>0.226233</v>
      </c>
      <c r="H4327" s="13" t="n">
        <f aca="false">MIN(G4327,D4327)</f>
        <v>0</v>
      </c>
      <c r="I4327" s="13" t="n">
        <f aca="false">IFERROR(MIN(F4327*Eingaben!$B$19,MAX(0,D4327-H4327)),0)</f>
        <v>0</v>
      </c>
      <c r="J4327" s="13" t="n">
        <f aca="false">IFERROR(MIN(Eingaben!$B$18,MAX(0,F4327-I4327)),0)</f>
        <v>0</v>
      </c>
      <c r="K4327" s="13" t="n">
        <f aca="false">H4327+I4327</f>
        <v>0</v>
      </c>
      <c r="L4327" s="13" t="n">
        <f aca="false">MAX(0,D4327-K4327)</f>
        <v>0</v>
      </c>
      <c r="M4327" s="13" t="n">
        <f aca="false">MAX(0,F4327-I4327-J4327)</f>
        <v>0</v>
      </c>
      <c r="N4327" s="13" t="n">
        <f aca="false">IF(Kalender!A301="",0,J4326-H4327)</f>
        <v>0.23085</v>
      </c>
    </row>
    <row r="4328" customFormat="false" ht="16.4" hidden="false" customHeight="false" outlineLevel="0" collapsed="false">
      <c r="A4328" s="13" t="str">
        <f aca="false">""</f>
        <v/>
      </c>
      <c r="B4328" s="13" t="n">
        <f aca="false">298</f>
        <v>298</v>
      </c>
      <c r="C4328" s="13" t="n">
        <f aca="false">IF(Szenarien!$H$22="OK",(IFERROR(SUMIF(Nutzungsprofile!$B$6:$B$11,"Schulbetrieb",Nutzungsprofile!$G$6:$G$11)*Kalender!C302/SUM(Kalender!$C$5:$C$370),0)+IFERROR(SUMIF(Nutzungsprofile!$B$6:$B$11,"Halle",Nutzungsprofile!$G$6:$G$11)*Kalender!D302/SUM(Kalender!$D$5:$D$370),0)+IFERROR(SUMIF(Nutzungsprofile!$B$6:$B$11,"Individuell",Nutzungsprofile!$G$6:$G$11)*Kalender!E302/SUM(Kalender!$E$5:$E$370),0))*Szenarien!$E$22,0)</f>
        <v>0</v>
      </c>
      <c r="D4328" s="13" t="n">
        <f aca="false">IF(Szenarien!$H$22="OK",(IFERROR(SUMIF(Nutzungsprofile!$B$17:$B$22,"Schulbetrieb",Nutzungsprofile!$G$17:$G$22)*Kalender!C302/SUM(Kalender!$C$5:$C$370),0)+IFERROR(SUMIF(Nutzungsprofile!$B$17:$B$22,"Halle",Nutzungsprofile!$G$17:$G$22)*Kalender!D302/SUM(Kalender!$D$5:$D$370),0)+IFERROR(SUMIF(Nutzungsprofile!$B$17:$B$22,"Individuell",Nutzungsprofile!$G$17:$G$22)*Kalender!E302/SUM(Kalender!$E$5:$E$370),0))*Szenarien!$D$22,0)</f>
        <v>0</v>
      </c>
      <c r="E4328" s="13" t="n">
        <f aca="false">IFERROR(MIN(C4328,Eingaben!$B$17)*Eingaben!$B$16,0)</f>
        <v>0</v>
      </c>
      <c r="F4328" s="13" t="n">
        <f aca="false">IFERROR(E4328*Eingaben!$B$15,0)</f>
        <v>0</v>
      </c>
      <c r="G4328" s="13" t="n">
        <f aca="false">IFERROR(IF(Kalender!A302="",0,J4327*(1-Eingaben!$B$20)),0)</f>
        <v>0</v>
      </c>
      <c r="H4328" s="13" t="n">
        <f aca="false">MIN(G4328,D4328)</f>
        <v>0</v>
      </c>
      <c r="I4328" s="13" t="n">
        <f aca="false">IFERROR(MIN(F4328*Eingaben!$B$19,MAX(0,D4328-H4328)),0)</f>
        <v>0</v>
      </c>
      <c r="J4328" s="13" t="n">
        <f aca="false">IFERROR(MIN(Eingaben!$B$18,MAX(0,F4328-I4328)),0)</f>
        <v>0</v>
      </c>
      <c r="K4328" s="13" t="n">
        <f aca="false">H4328+I4328</f>
        <v>0</v>
      </c>
      <c r="L4328" s="13" t="n">
        <f aca="false">MAX(0,D4328-K4328)</f>
        <v>0</v>
      </c>
      <c r="M4328" s="13" t="n">
        <f aca="false">MAX(0,F4328-I4328-J4328)</f>
        <v>0</v>
      </c>
      <c r="N4328" s="13" t="n">
        <f aca="false">IF(Kalender!A302="",0,J4327-H4328)</f>
        <v>0</v>
      </c>
    </row>
    <row r="4329" customFormat="false" ht="16.4" hidden="false" customHeight="false" outlineLevel="0" collapsed="false">
      <c r="A4329" s="13" t="str">
        <f aca="false">""</f>
        <v/>
      </c>
      <c r="B4329" s="13" t="n">
        <f aca="false">299</f>
        <v>299</v>
      </c>
      <c r="C4329" s="13" t="n">
        <f aca="false">IF(Szenarien!$H$22="OK",(IFERROR(SUMIF(Nutzungsprofile!$B$6:$B$11,"Schulbetrieb",Nutzungsprofile!$G$6:$G$11)*Kalender!C303/SUM(Kalender!$C$5:$C$370),0)+IFERROR(SUMIF(Nutzungsprofile!$B$6:$B$11,"Halle",Nutzungsprofile!$G$6:$G$11)*Kalender!D303/SUM(Kalender!$D$5:$D$370),0)+IFERROR(SUMIF(Nutzungsprofile!$B$6:$B$11,"Individuell",Nutzungsprofile!$G$6:$G$11)*Kalender!E303/SUM(Kalender!$E$5:$E$370),0))*Szenarien!$E$22,0)</f>
        <v>0.9</v>
      </c>
      <c r="D4329" s="13" t="n">
        <f aca="false">IF(Szenarien!$H$22="OK",(IFERROR(SUMIF(Nutzungsprofile!$B$17:$B$22,"Schulbetrieb",Nutzungsprofile!$G$17:$G$22)*Kalender!C303/SUM(Kalender!$C$5:$C$370),0)+IFERROR(SUMIF(Nutzungsprofile!$B$17:$B$22,"Halle",Nutzungsprofile!$G$17:$G$22)*Kalender!D303/SUM(Kalender!$D$5:$D$370),0)+IFERROR(SUMIF(Nutzungsprofile!$B$17:$B$22,"Individuell",Nutzungsprofile!$G$17:$G$22)*Kalender!E303/SUM(Kalender!$E$5:$E$370),0))*Szenarien!$D$22,0)</f>
        <v>4.05</v>
      </c>
      <c r="E4329" s="13" t="n">
        <f aca="false">IFERROR(MIN(C4329,Eingaben!$B$17)*Eingaben!$B$16,0)</f>
        <v>0.855</v>
      </c>
      <c r="F4329" s="13" t="n">
        <f aca="false">IFERROR(E4329*Eingaben!$B$15,0)</f>
        <v>0.7695</v>
      </c>
      <c r="G4329" s="13" t="n">
        <f aca="false">IFERROR(IF(Kalender!A303="",0,J4328*(1-Eingaben!$B$20)),0)</f>
        <v>0</v>
      </c>
      <c r="H4329" s="13" t="n">
        <f aca="false">MIN(G4329,D4329)</f>
        <v>0</v>
      </c>
      <c r="I4329" s="13" t="n">
        <f aca="false">IFERROR(MIN(F4329*Eingaben!$B$19,MAX(0,D4329-H4329)),0)</f>
        <v>0.53865</v>
      </c>
      <c r="J4329" s="13" t="n">
        <f aca="false">IFERROR(MIN(Eingaben!$B$18,MAX(0,F4329-I4329)),0)</f>
        <v>0.23085</v>
      </c>
      <c r="K4329" s="13" t="n">
        <f aca="false">H4329+I4329</f>
        <v>0.53865</v>
      </c>
      <c r="L4329" s="13" t="n">
        <f aca="false">MAX(0,D4329-K4329)</f>
        <v>3.51135</v>
      </c>
      <c r="M4329" s="13" t="n">
        <f aca="false">MAX(0,F4329-I4329-J4329)</f>
        <v>0</v>
      </c>
      <c r="N4329" s="13" t="n">
        <f aca="false">IF(Kalender!A303="",0,J4328-H4329)</f>
        <v>0</v>
      </c>
    </row>
    <row r="4330" customFormat="false" ht="16.4" hidden="false" customHeight="false" outlineLevel="0" collapsed="false">
      <c r="A4330" s="13" t="str">
        <f aca="false">""</f>
        <v/>
      </c>
      <c r="B4330" s="13" t="n">
        <f aca="false">300</f>
        <v>300</v>
      </c>
      <c r="C4330" s="13" t="n">
        <f aca="false">IF(Szenarien!$H$22="OK",(IFERROR(SUMIF(Nutzungsprofile!$B$6:$B$11,"Schulbetrieb",Nutzungsprofile!$G$6:$G$11)*Kalender!C304/SUM(Kalender!$C$5:$C$370),0)+IFERROR(SUMIF(Nutzungsprofile!$B$6:$B$11,"Halle",Nutzungsprofile!$G$6:$G$11)*Kalender!D304/SUM(Kalender!$D$5:$D$370),0)+IFERROR(SUMIF(Nutzungsprofile!$B$6:$B$11,"Individuell",Nutzungsprofile!$G$6:$G$11)*Kalender!E304/SUM(Kalender!$E$5:$E$370),0))*Szenarien!$E$22,0)</f>
        <v>0.9</v>
      </c>
      <c r="D4330" s="13" t="n">
        <f aca="false">IF(Szenarien!$H$22="OK",(IFERROR(SUMIF(Nutzungsprofile!$B$17:$B$22,"Schulbetrieb",Nutzungsprofile!$G$17:$G$22)*Kalender!C304/SUM(Kalender!$C$5:$C$370),0)+IFERROR(SUMIF(Nutzungsprofile!$B$17:$B$22,"Halle",Nutzungsprofile!$G$17:$G$22)*Kalender!D304/SUM(Kalender!$D$5:$D$370),0)+IFERROR(SUMIF(Nutzungsprofile!$B$17:$B$22,"Individuell",Nutzungsprofile!$G$17:$G$22)*Kalender!E304/SUM(Kalender!$E$5:$E$370),0))*Szenarien!$D$22,0)</f>
        <v>4.05</v>
      </c>
      <c r="E4330" s="13" t="n">
        <f aca="false">IFERROR(MIN(C4330,Eingaben!$B$17)*Eingaben!$B$16,0)</f>
        <v>0.855</v>
      </c>
      <c r="F4330" s="13" t="n">
        <f aca="false">IFERROR(E4330*Eingaben!$B$15,0)</f>
        <v>0.7695</v>
      </c>
      <c r="G4330" s="13" t="n">
        <f aca="false">IFERROR(IF(Kalender!A304="",0,J4329*(1-Eingaben!$B$20)),0)</f>
        <v>0.226233</v>
      </c>
      <c r="H4330" s="13" t="n">
        <f aca="false">MIN(G4330,D4330)</f>
        <v>0.226233</v>
      </c>
      <c r="I4330" s="13" t="n">
        <f aca="false">IFERROR(MIN(F4330*Eingaben!$B$19,MAX(0,D4330-H4330)),0)</f>
        <v>0.53865</v>
      </c>
      <c r="J4330" s="13" t="n">
        <f aca="false">IFERROR(MIN(Eingaben!$B$18,MAX(0,F4330-I4330)),0)</f>
        <v>0.23085</v>
      </c>
      <c r="K4330" s="13" t="n">
        <f aca="false">H4330+I4330</f>
        <v>0.764883</v>
      </c>
      <c r="L4330" s="13" t="n">
        <f aca="false">MAX(0,D4330-K4330)</f>
        <v>3.285117</v>
      </c>
      <c r="M4330" s="13" t="n">
        <f aca="false">MAX(0,F4330-I4330-J4330)</f>
        <v>0</v>
      </c>
      <c r="N4330" s="13" t="n">
        <f aca="false">IF(Kalender!A304="",0,J4329-H4330)</f>
        <v>0.00461700000000001</v>
      </c>
    </row>
    <row r="4331" customFormat="false" ht="16.4" hidden="false" customHeight="false" outlineLevel="0" collapsed="false">
      <c r="A4331" s="13" t="str">
        <f aca="false">""</f>
        <v/>
      </c>
      <c r="B4331" s="13" t="n">
        <f aca="false">301</f>
        <v>301</v>
      </c>
      <c r="C4331" s="13" t="n">
        <f aca="false">IF(Szenarien!$H$22="OK",(IFERROR(SUMIF(Nutzungsprofile!$B$6:$B$11,"Schulbetrieb",Nutzungsprofile!$G$6:$G$11)*Kalender!C305/SUM(Kalender!$C$5:$C$370),0)+IFERROR(SUMIF(Nutzungsprofile!$B$6:$B$11,"Halle",Nutzungsprofile!$G$6:$G$11)*Kalender!D305/SUM(Kalender!$D$5:$D$370),0)+IFERROR(SUMIF(Nutzungsprofile!$B$6:$B$11,"Individuell",Nutzungsprofile!$G$6:$G$11)*Kalender!E305/SUM(Kalender!$E$5:$E$370),0))*Szenarien!$E$22,0)</f>
        <v>0.9</v>
      </c>
      <c r="D4331" s="13" t="n">
        <f aca="false">IF(Szenarien!$H$22="OK",(IFERROR(SUMIF(Nutzungsprofile!$B$17:$B$22,"Schulbetrieb",Nutzungsprofile!$G$17:$G$22)*Kalender!C305/SUM(Kalender!$C$5:$C$370),0)+IFERROR(SUMIF(Nutzungsprofile!$B$17:$B$22,"Halle",Nutzungsprofile!$G$17:$G$22)*Kalender!D305/SUM(Kalender!$D$5:$D$370),0)+IFERROR(SUMIF(Nutzungsprofile!$B$17:$B$22,"Individuell",Nutzungsprofile!$G$17:$G$22)*Kalender!E305/SUM(Kalender!$E$5:$E$370),0))*Szenarien!$D$22,0)</f>
        <v>4.05</v>
      </c>
      <c r="E4331" s="13" t="n">
        <f aca="false">IFERROR(MIN(C4331,Eingaben!$B$17)*Eingaben!$B$16,0)</f>
        <v>0.855</v>
      </c>
      <c r="F4331" s="13" t="n">
        <f aca="false">IFERROR(E4331*Eingaben!$B$15,0)</f>
        <v>0.7695</v>
      </c>
      <c r="G4331" s="13" t="n">
        <f aca="false">IFERROR(IF(Kalender!A305="",0,J4330*(1-Eingaben!$B$20)),0)</f>
        <v>0.226233</v>
      </c>
      <c r="H4331" s="13" t="n">
        <f aca="false">MIN(G4331,D4331)</f>
        <v>0.226233</v>
      </c>
      <c r="I4331" s="13" t="n">
        <f aca="false">IFERROR(MIN(F4331*Eingaben!$B$19,MAX(0,D4331-H4331)),0)</f>
        <v>0.53865</v>
      </c>
      <c r="J4331" s="13" t="n">
        <f aca="false">IFERROR(MIN(Eingaben!$B$18,MAX(0,F4331-I4331)),0)</f>
        <v>0.23085</v>
      </c>
      <c r="K4331" s="13" t="n">
        <f aca="false">H4331+I4331</f>
        <v>0.764883</v>
      </c>
      <c r="L4331" s="13" t="n">
        <f aca="false">MAX(0,D4331-K4331)</f>
        <v>3.285117</v>
      </c>
      <c r="M4331" s="13" t="n">
        <f aca="false">MAX(0,F4331-I4331-J4331)</f>
        <v>0</v>
      </c>
      <c r="N4331" s="13" t="n">
        <f aca="false">IF(Kalender!A305="",0,J4330-H4331)</f>
        <v>0.00461700000000001</v>
      </c>
    </row>
    <row r="4332" customFormat="false" ht="16.4" hidden="false" customHeight="false" outlineLevel="0" collapsed="false">
      <c r="A4332" s="13" t="str">
        <f aca="false">""</f>
        <v/>
      </c>
      <c r="B4332" s="13" t="n">
        <f aca="false">302</f>
        <v>302</v>
      </c>
      <c r="C4332" s="13" t="n">
        <f aca="false">IF(Szenarien!$H$22="OK",(IFERROR(SUMIF(Nutzungsprofile!$B$6:$B$11,"Schulbetrieb",Nutzungsprofile!$G$6:$G$11)*Kalender!C306/SUM(Kalender!$C$5:$C$370),0)+IFERROR(SUMIF(Nutzungsprofile!$B$6:$B$11,"Halle",Nutzungsprofile!$G$6:$G$11)*Kalender!D306/SUM(Kalender!$D$5:$D$370),0)+IFERROR(SUMIF(Nutzungsprofile!$B$6:$B$11,"Individuell",Nutzungsprofile!$G$6:$G$11)*Kalender!E306/SUM(Kalender!$E$5:$E$370),0))*Szenarien!$E$22,0)</f>
        <v>0.9</v>
      </c>
      <c r="D4332" s="13" t="n">
        <f aca="false">IF(Szenarien!$H$22="OK",(IFERROR(SUMIF(Nutzungsprofile!$B$17:$B$22,"Schulbetrieb",Nutzungsprofile!$G$17:$G$22)*Kalender!C306/SUM(Kalender!$C$5:$C$370),0)+IFERROR(SUMIF(Nutzungsprofile!$B$17:$B$22,"Halle",Nutzungsprofile!$G$17:$G$22)*Kalender!D306/SUM(Kalender!$D$5:$D$370),0)+IFERROR(SUMIF(Nutzungsprofile!$B$17:$B$22,"Individuell",Nutzungsprofile!$G$17:$G$22)*Kalender!E306/SUM(Kalender!$E$5:$E$370),0))*Szenarien!$D$22,0)</f>
        <v>4.05</v>
      </c>
      <c r="E4332" s="13" t="n">
        <f aca="false">IFERROR(MIN(C4332,Eingaben!$B$17)*Eingaben!$B$16,0)</f>
        <v>0.855</v>
      </c>
      <c r="F4332" s="13" t="n">
        <f aca="false">IFERROR(E4332*Eingaben!$B$15,0)</f>
        <v>0.7695</v>
      </c>
      <c r="G4332" s="13" t="n">
        <f aca="false">IFERROR(IF(Kalender!A306="",0,J4331*(1-Eingaben!$B$20)),0)</f>
        <v>0.226233</v>
      </c>
      <c r="H4332" s="13" t="n">
        <f aca="false">MIN(G4332,D4332)</f>
        <v>0.226233</v>
      </c>
      <c r="I4332" s="13" t="n">
        <f aca="false">IFERROR(MIN(F4332*Eingaben!$B$19,MAX(0,D4332-H4332)),0)</f>
        <v>0.53865</v>
      </c>
      <c r="J4332" s="13" t="n">
        <f aca="false">IFERROR(MIN(Eingaben!$B$18,MAX(0,F4332-I4332)),0)</f>
        <v>0.23085</v>
      </c>
      <c r="K4332" s="13" t="n">
        <f aca="false">H4332+I4332</f>
        <v>0.764883</v>
      </c>
      <c r="L4332" s="13" t="n">
        <f aca="false">MAX(0,D4332-K4332)</f>
        <v>3.285117</v>
      </c>
      <c r="M4332" s="13" t="n">
        <f aca="false">MAX(0,F4332-I4332-J4332)</f>
        <v>0</v>
      </c>
      <c r="N4332" s="13" t="n">
        <f aca="false">IF(Kalender!A306="",0,J4331-H4332)</f>
        <v>0.00461700000000001</v>
      </c>
    </row>
    <row r="4333" customFormat="false" ht="16.4" hidden="false" customHeight="false" outlineLevel="0" collapsed="false">
      <c r="A4333" s="13" t="str">
        <f aca="false">""</f>
        <v/>
      </c>
      <c r="B4333" s="13" t="n">
        <f aca="false">303</f>
        <v>303</v>
      </c>
      <c r="C4333" s="13" t="n">
        <f aca="false">IF(Szenarien!$H$22="OK",(IFERROR(SUMIF(Nutzungsprofile!$B$6:$B$11,"Schulbetrieb",Nutzungsprofile!$G$6:$G$11)*Kalender!C307/SUM(Kalender!$C$5:$C$370),0)+IFERROR(SUMIF(Nutzungsprofile!$B$6:$B$11,"Halle",Nutzungsprofile!$G$6:$G$11)*Kalender!D307/SUM(Kalender!$D$5:$D$370),0)+IFERROR(SUMIF(Nutzungsprofile!$B$6:$B$11,"Individuell",Nutzungsprofile!$G$6:$G$11)*Kalender!E307/SUM(Kalender!$E$5:$E$370),0))*Szenarien!$E$22,0)</f>
        <v>0.9</v>
      </c>
      <c r="D4333" s="13" t="n">
        <f aca="false">IF(Szenarien!$H$22="OK",(IFERROR(SUMIF(Nutzungsprofile!$B$17:$B$22,"Schulbetrieb",Nutzungsprofile!$G$17:$G$22)*Kalender!C307/SUM(Kalender!$C$5:$C$370),0)+IFERROR(SUMIF(Nutzungsprofile!$B$17:$B$22,"Halle",Nutzungsprofile!$G$17:$G$22)*Kalender!D307/SUM(Kalender!$D$5:$D$370),0)+IFERROR(SUMIF(Nutzungsprofile!$B$17:$B$22,"Individuell",Nutzungsprofile!$G$17:$G$22)*Kalender!E307/SUM(Kalender!$E$5:$E$370),0))*Szenarien!$D$22,0)</f>
        <v>4.05</v>
      </c>
      <c r="E4333" s="13" t="n">
        <f aca="false">IFERROR(MIN(C4333,Eingaben!$B$17)*Eingaben!$B$16,0)</f>
        <v>0.855</v>
      </c>
      <c r="F4333" s="13" t="n">
        <f aca="false">IFERROR(E4333*Eingaben!$B$15,0)</f>
        <v>0.7695</v>
      </c>
      <c r="G4333" s="13" t="n">
        <f aca="false">IFERROR(IF(Kalender!A307="",0,J4332*(1-Eingaben!$B$20)),0)</f>
        <v>0.226233</v>
      </c>
      <c r="H4333" s="13" t="n">
        <f aca="false">MIN(G4333,D4333)</f>
        <v>0.226233</v>
      </c>
      <c r="I4333" s="13" t="n">
        <f aca="false">IFERROR(MIN(F4333*Eingaben!$B$19,MAX(0,D4333-H4333)),0)</f>
        <v>0.53865</v>
      </c>
      <c r="J4333" s="13" t="n">
        <f aca="false">IFERROR(MIN(Eingaben!$B$18,MAX(0,F4333-I4333)),0)</f>
        <v>0.23085</v>
      </c>
      <c r="K4333" s="13" t="n">
        <f aca="false">H4333+I4333</f>
        <v>0.764883</v>
      </c>
      <c r="L4333" s="13" t="n">
        <f aca="false">MAX(0,D4333-K4333)</f>
        <v>3.285117</v>
      </c>
      <c r="M4333" s="13" t="n">
        <f aca="false">MAX(0,F4333-I4333-J4333)</f>
        <v>0</v>
      </c>
      <c r="N4333" s="13" t="n">
        <f aca="false">IF(Kalender!A307="",0,J4332-H4333)</f>
        <v>0.00461700000000001</v>
      </c>
    </row>
    <row r="4334" customFormat="false" ht="16.4" hidden="false" customHeight="false" outlineLevel="0" collapsed="false">
      <c r="A4334" s="13" t="str">
        <f aca="false">""</f>
        <v/>
      </c>
      <c r="B4334" s="13" t="n">
        <f aca="false">304</f>
        <v>304</v>
      </c>
      <c r="C4334" s="13" t="n">
        <f aca="false">IF(Szenarien!$H$22="OK",(IFERROR(SUMIF(Nutzungsprofile!$B$6:$B$11,"Schulbetrieb",Nutzungsprofile!$G$6:$G$11)*Kalender!C308/SUM(Kalender!$C$5:$C$370),0)+IFERROR(SUMIF(Nutzungsprofile!$B$6:$B$11,"Halle",Nutzungsprofile!$G$6:$G$11)*Kalender!D308/SUM(Kalender!$D$5:$D$370),0)+IFERROR(SUMIF(Nutzungsprofile!$B$6:$B$11,"Individuell",Nutzungsprofile!$G$6:$G$11)*Kalender!E308/SUM(Kalender!$E$5:$E$370),0))*Szenarien!$E$22,0)</f>
        <v>0</v>
      </c>
      <c r="D4334" s="13" t="n">
        <f aca="false">IF(Szenarien!$H$22="OK",(IFERROR(SUMIF(Nutzungsprofile!$B$17:$B$22,"Schulbetrieb",Nutzungsprofile!$G$17:$G$22)*Kalender!C308/SUM(Kalender!$C$5:$C$370),0)+IFERROR(SUMIF(Nutzungsprofile!$B$17:$B$22,"Halle",Nutzungsprofile!$G$17:$G$22)*Kalender!D308/SUM(Kalender!$D$5:$D$370),0)+IFERROR(SUMIF(Nutzungsprofile!$B$17:$B$22,"Individuell",Nutzungsprofile!$G$17:$G$22)*Kalender!E308/SUM(Kalender!$E$5:$E$370),0))*Szenarien!$D$22,0)</f>
        <v>0</v>
      </c>
      <c r="E4334" s="13" t="n">
        <f aca="false">IFERROR(MIN(C4334,Eingaben!$B$17)*Eingaben!$B$16,0)</f>
        <v>0</v>
      </c>
      <c r="F4334" s="13" t="n">
        <f aca="false">IFERROR(E4334*Eingaben!$B$15,0)</f>
        <v>0</v>
      </c>
      <c r="G4334" s="13" t="n">
        <f aca="false">IFERROR(IF(Kalender!A308="",0,J4333*(1-Eingaben!$B$20)),0)</f>
        <v>0.226233</v>
      </c>
      <c r="H4334" s="13" t="n">
        <f aca="false">MIN(G4334,D4334)</f>
        <v>0</v>
      </c>
      <c r="I4334" s="13" t="n">
        <f aca="false">IFERROR(MIN(F4334*Eingaben!$B$19,MAX(0,D4334-H4334)),0)</f>
        <v>0</v>
      </c>
      <c r="J4334" s="13" t="n">
        <f aca="false">IFERROR(MIN(Eingaben!$B$18,MAX(0,F4334-I4334)),0)</f>
        <v>0</v>
      </c>
      <c r="K4334" s="13" t="n">
        <f aca="false">H4334+I4334</f>
        <v>0</v>
      </c>
      <c r="L4334" s="13" t="n">
        <f aca="false">MAX(0,D4334-K4334)</f>
        <v>0</v>
      </c>
      <c r="M4334" s="13" t="n">
        <f aca="false">MAX(0,F4334-I4334-J4334)</f>
        <v>0</v>
      </c>
      <c r="N4334" s="13" t="n">
        <f aca="false">IF(Kalender!A308="",0,J4333-H4334)</f>
        <v>0.23085</v>
      </c>
    </row>
    <row r="4335" customFormat="false" ht="16.4" hidden="false" customHeight="false" outlineLevel="0" collapsed="false">
      <c r="A4335" s="13" t="str">
        <f aca="false">""</f>
        <v/>
      </c>
      <c r="B4335" s="13" t="n">
        <f aca="false">305</f>
        <v>305</v>
      </c>
      <c r="C4335" s="13" t="n">
        <f aca="false">IF(Szenarien!$H$22="OK",(IFERROR(SUMIF(Nutzungsprofile!$B$6:$B$11,"Schulbetrieb",Nutzungsprofile!$G$6:$G$11)*Kalender!C309/SUM(Kalender!$C$5:$C$370),0)+IFERROR(SUMIF(Nutzungsprofile!$B$6:$B$11,"Halle",Nutzungsprofile!$G$6:$G$11)*Kalender!D309/SUM(Kalender!$D$5:$D$370),0)+IFERROR(SUMIF(Nutzungsprofile!$B$6:$B$11,"Individuell",Nutzungsprofile!$G$6:$G$11)*Kalender!E309/SUM(Kalender!$E$5:$E$370),0))*Szenarien!$E$22,0)</f>
        <v>0</v>
      </c>
      <c r="D4335" s="13" t="n">
        <f aca="false">IF(Szenarien!$H$22="OK",(IFERROR(SUMIF(Nutzungsprofile!$B$17:$B$22,"Schulbetrieb",Nutzungsprofile!$G$17:$G$22)*Kalender!C309/SUM(Kalender!$C$5:$C$370),0)+IFERROR(SUMIF(Nutzungsprofile!$B$17:$B$22,"Halle",Nutzungsprofile!$G$17:$G$22)*Kalender!D309/SUM(Kalender!$D$5:$D$370),0)+IFERROR(SUMIF(Nutzungsprofile!$B$17:$B$22,"Individuell",Nutzungsprofile!$G$17:$G$22)*Kalender!E309/SUM(Kalender!$E$5:$E$370),0))*Szenarien!$D$22,0)</f>
        <v>0</v>
      </c>
      <c r="E4335" s="13" t="n">
        <f aca="false">IFERROR(MIN(C4335,Eingaben!$B$17)*Eingaben!$B$16,0)</f>
        <v>0</v>
      </c>
      <c r="F4335" s="13" t="n">
        <f aca="false">IFERROR(E4335*Eingaben!$B$15,0)</f>
        <v>0</v>
      </c>
      <c r="G4335" s="13" t="n">
        <f aca="false">IFERROR(IF(Kalender!A309="",0,J4334*(1-Eingaben!$B$20)),0)</f>
        <v>0</v>
      </c>
      <c r="H4335" s="13" t="n">
        <f aca="false">MIN(G4335,D4335)</f>
        <v>0</v>
      </c>
      <c r="I4335" s="13" t="n">
        <f aca="false">IFERROR(MIN(F4335*Eingaben!$B$19,MAX(0,D4335-H4335)),0)</f>
        <v>0</v>
      </c>
      <c r="J4335" s="13" t="n">
        <f aca="false">IFERROR(MIN(Eingaben!$B$18,MAX(0,F4335-I4335)),0)</f>
        <v>0</v>
      </c>
      <c r="K4335" s="13" t="n">
        <f aca="false">H4335+I4335</f>
        <v>0</v>
      </c>
      <c r="L4335" s="13" t="n">
        <f aca="false">MAX(0,D4335-K4335)</f>
        <v>0</v>
      </c>
      <c r="M4335" s="13" t="n">
        <f aca="false">MAX(0,F4335-I4335-J4335)</f>
        <v>0</v>
      </c>
      <c r="N4335" s="13" t="n">
        <f aca="false">IF(Kalender!A309="",0,J4334-H4335)</f>
        <v>0</v>
      </c>
    </row>
    <row r="4336" customFormat="false" ht="16.4" hidden="false" customHeight="false" outlineLevel="0" collapsed="false">
      <c r="A4336" s="13" t="str">
        <f aca="false">""</f>
        <v/>
      </c>
      <c r="B4336" s="13" t="n">
        <f aca="false">306</f>
        <v>306</v>
      </c>
      <c r="C4336" s="13" t="n">
        <f aca="false">IF(Szenarien!$H$22="OK",(IFERROR(SUMIF(Nutzungsprofile!$B$6:$B$11,"Schulbetrieb",Nutzungsprofile!$G$6:$G$11)*Kalender!C310/SUM(Kalender!$C$5:$C$370),0)+IFERROR(SUMIF(Nutzungsprofile!$B$6:$B$11,"Halle",Nutzungsprofile!$G$6:$G$11)*Kalender!D310/SUM(Kalender!$D$5:$D$370),0)+IFERROR(SUMIF(Nutzungsprofile!$B$6:$B$11,"Individuell",Nutzungsprofile!$G$6:$G$11)*Kalender!E310/SUM(Kalender!$E$5:$E$370),0))*Szenarien!$E$22,0)</f>
        <v>0.9</v>
      </c>
      <c r="D4336" s="13" t="n">
        <f aca="false">IF(Szenarien!$H$22="OK",(IFERROR(SUMIF(Nutzungsprofile!$B$17:$B$22,"Schulbetrieb",Nutzungsprofile!$G$17:$G$22)*Kalender!C310/SUM(Kalender!$C$5:$C$370),0)+IFERROR(SUMIF(Nutzungsprofile!$B$17:$B$22,"Halle",Nutzungsprofile!$G$17:$G$22)*Kalender!D310/SUM(Kalender!$D$5:$D$370),0)+IFERROR(SUMIF(Nutzungsprofile!$B$17:$B$22,"Individuell",Nutzungsprofile!$G$17:$G$22)*Kalender!E310/SUM(Kalender!$E$5:$E$370),0))*Szenarien!$D$22,0)</f>
        <v>4.05</v>
      </c>
      <c r="E4336" s="13" t="n">
        <f aca="false">IFERROR(MIN(C4336,Eingaben!$B$17)*Eingaben!$B$16,0)</f>
        <v>0.855</v>
      </c>
      <c r="F4336" s="13" t="n">
        <f aca="false">IFERROR(E4336*Eingaben!$B$15,0)</f>
        <v>0.7695</v>
      </c>
      <c r="G4336" s="13" t="n">
        <f aca="false">IFERROR(IF(Kalender!A310="",0,J4335*(1-Eingaben!$B$20)),0)</f>
        <v>0</v>
      </c>
      <c r="H4336" s="13" t="n">
        <f aca="false">MIN(G4336,D4336)</f>
        <v>0</v>
      </c>
      <c r="I4336" s="13" t="n">
        <f aca="false">IFERROR(MIN(F4336*Eingaben!$B$19,MAX(0,D4336-H4336)),0)</f>
        <v>0.53865</v>
      </c>
      <c r="J4336" s="13" t="n">
        <f aca="false">IFERROR(MIN(Eingaben!$B$18,MAX(0,F4336-I4336)),0)</f>
        <v>0.23085</v>
      </c>
      <c r="K4336" s="13" t="n">
        <f aca="false">H4336+I4336</f>
        <v>0.53865</v>
      </c>
      <c r="L4336" s="13" t="n">
        <f aca="false">MAX(0,D4336-K4336)</f>
        <v>3.51135</v>
      </c>
      <c r="M4336" s="13" t="n">
        <f aca="false">MAX(0,F4336-I4336-J4336)</f>
        <v>0</v>
      </c>
      <c r="N4336" s="13" t="n">
        <f aca="false">IF(Kalender!A310="",0,J4335-H4336)</f>
        <v>0</v>
      </c>
    </row>
    <row r="4337" customFormat="false" ht="16.4" hidden="false" customHeight="false" outlineLevel="0" collapsed="false">
      <c r="A4337" s="13" t="str">
        <f aca="false">""</f>
        <v/>
      </c>
      <c r="B4337" s="13" t="n">
        <f aca="false">307</f>
        <v>307</v>
      </c>
      <c r="C4337" s="13" t="n">
        <f aca="false">IF(Szenarien!$H$22="OK",(IFERROR(SUMIF(Nutzungsprofile!$B$6:$B$11,"Schulbetrieb",Nutzungsprofile!$G$6:$G$11)*Kalender!C311/SUM(Kalender!$C$5:$C$370),0)+IFERROR(SUMIF(Nutzungsprofile!$B$6:$B$11,"Halle",Nutzungsprofile!$G$6:$G$11)*Kalender!D311/SUM(Kalender!$D$5:$D$370),0)+IFERROR(SUMIF(Nutzungsprofile!$B$6:$B$11,"Individuell",Nutzungsprofile!$G$6:$G$11)*Kalender!E311/SUM(Kalender!$E$5:$E$370),0))*Szenarien!$E$22,0)</f>
        <v>0.9</v>
      </c>
      <c r="D4337" s="13" t="n">
        <f aca="false">IF(Szenarien!$H$22="OK",(IFERROR(SUMIF(Nutzungsprofile!$B$17:$B$22,"Schulbetrieb",Nutzungsprofile!$G$17:$G$22)*Kalender!C311/SUM(Kalender!$C$5:$C$370),0)+IFERROR(SUMIF(Nutzungsprofile!$B$17:$B$22,"Halle",Nutzungsprofile!$G$17:$G$22)*Kalender!D311/SUM(Kalender!$D$5:$D$370),0)+IFERROR(SUMIF(Nutzungsprofile!$B$17:$B$22,"Individuell",Nutzungsprofile!$G$17:$G$22)*Kalender!E311/SUM(Kalender!$E$5:$E$370),0))*Szenarien!$D$22,0)</f>
        <v>4.05</v>
      </c>
      <c r="E4337" s="13" t="n">
        <f aca="false">IFERROR(MIN(C4337,Eingaben!$B$17)*Eingaben!$B$16,0)</f>
        <v>0.855</v>
      </c>
      <c r="F4337" s="13" t="n">
        <f aca="false">IFERROR(E4337*Eingaben!$B$15,0)</f>
        <v>0.7695</v>
      </c>
      <c r="G4337" s="13" t="n">
        <f aca="false">IFERROR(IF(Kalender!A311="",0,J4336*(1-Eingaben!$B$20)),0)</f>
        <v>0.226233</v>
      </c>
      <c r="H4337" s="13" t="n">
        <f aca="false">MIN(G4337,D4337)</f>
        <v>0.226233</v>
      </c>
      <c r="I4337" s="13" t="n">
        <f aca="false">IFERROR(MIN(F4337*Eingaben!$B$19,MAX(0,D4337-H4337)),0)</f>
        <v>0.53865</v>
      </c>
      <c r="J4337" s="13" t="n">
        <f aca="false">IFERROR(MIN(Eingaben!$B$18,MAX(0,F4337-I4337)),0)</f>
        <v>0.23085</v>
      </c>
      <c r="K4337" s="13" t="n">
        <f aca="false">H4337+I4337</f>
        <v>0.764883</v>
      </c>
      <c r="L4337" s="13" t="n">
        <f aca="false">MAX(0,D4337-K4337)</f>
        <v>3.285117</v>
      </c>
      <c r="M4337" s="13" t="n">
        <f aca="false">MAX(0,F4337-I4337-J4337)</f>
        <v>0</v>
      </c>
      <c r="N4337" s="13" t="n">
        <f aca="false">IF(Kalender!A311="",0,J4336-H4337)</f>
        <v>0.00461700000000001</v>
      </c>
    </row>
    <row r="4338" customFormat="false" ht="16.4" hidden="false" customHeight="false" outlineLevel="0" collapsed="false">
      <c r="A4338" s="13" t="str">
        <f aca="false">""</f>
        <v/>
      </c>
      <c r="B4338" s="13" t="n">
        <f aca="false">308</f>
        <v>308</v>
      </c>
      <c r="C4338" s="13" t="n">
        <f aca="false">IF(Szenarien!$H$22="OK",(IFERROR(SUMIF(Nutzungsprofile!$B$6:$B$11,"Schulbetrieb",Nutzungsprofile!$G$6:$G$11)*Kalender!C312/SUM(Kalender!$C$5:$C$370),0)+IFERROR(SUMIF(Nutzungsprofile!$B$6:$B$11,"Halle",Nutzungsprofile!$G$6:$G$11)*Kalender!D312/SUM(Kalender!$D$5:$D$370),0)+IFERROR(SUMIF(Nutzungsprofile!$B$6:$B$11,"Individuell",Nutzungsprofile!$G$6:$G$11)*Kalender!E312/SUM(Kalender!$E$5:$E$370),0))*Szenarien!$E$22,0)</f>
        <v>0.9</v>
      </c>
      <c r="D4338" s="13" t="n">
        <f aca="false">IF(Szenarien!$H$22="OK",(IFERROR(SUMIF(Nutzungsprofile!$B$17:$B$22,"Schulbetrieb",Nutzungsprofile!$G$17:$G$22)*Kalender!C312/SUM(Kalender!$C$5:$C$370),0)+IFERROR(SUMIF(Nutzungsprofile!$B$17:$B$22,"Halle",Nutzungsprofile!$G$17:$G$22)*Kalender!D312/SUM(Kalender!$D$5:$D$370),0)+IFERROR(SUMIF(Nutzungsprofile!$B$17:$B$22,"Individuell",Nutzungsprofile!$G$17:$G$22)*Kalender!E312/SUM(Kalender!$E$5:$E$370),0))*Szenarien!$D$22,0)</f>
        <v>4.05</v>
      </c>
      <c r="E4338" s="13" t="n">
        <f aca="false">IFERROR(MIN(C4338,Eingaben!$B$17)*Eingaben!$B$16,0)</f>
        <v>0.855</v>
      </c>
      <c r="F4338" s="13" t="n">
        <f aca="false">IFERROR(E4338*Eingaben!$B$15,0)</f>
        <v>0.7695</v>
      </c>
      <c r="G4338" s="13" t="n">
        <f aca="false">IFERROR(IF(Kalender!A312="",0,J4337*(1-Eingaben!$B$20)),0)</f>
        <v>0.226233</v>
      </c>
      <c r="H4338" s="13" t="n">
        <f aca="false">MIN(G4338,D4338)</f>
        <v>0.226233</v>
      </c>
      <c r="I4338" s="13" t="n">
        <f aca="false">IFERROR(MIN(F4338*Eingaben!$B$19,MAX(0,D4338-H4338)),0)</f>
        <v>0.53865</v>
      </c>
      <c r="J4338" s="13" t="n">
        <f aca="false">IFERROR(MIN(Eingaben!$B$18,MAX(0,F4338-I4338)),0)</f>
        <v>0.23085</v>
      </c>
      <c r="K4338" s="13" t="n">
        <f aca="false">H4338+I4338</f>
        <v>0.764883</v>
      </c>
      <c r="L4338" s="13" t="n">
        <f aca="false">MAX(0,D4338-K4338)</f>
        <v>3.285117</v>
      </c>
      <c r="M4338" s="13" t="n">
        <f aca="false">MAX(0,F4338-I4338-J4338)</f>
        <v>0</v>
      </c>
      <c r="N4338" s="13" t="n">
        <f aca="false">IF(Kalender!A312="",0,J4337-H4338)</f>
        <v>0.00461700000000001</v>
      </c>
    </row>
    <row r="4339" customFormat="false" ht="16.4" hidden="false" customHeight="false" outlineLevel="0" collapsed="false">
      <c r="A4339" s="13" t="str">
        <f aca="false">""</f>
        <v/>
      </c>
      <c r="B4339" s="13" t="n">
        <f aca="false">309</f>
        <v>309</v>
      </c>
      <c r="C4339" s="13" t="n">
        <f aca="false">IF(Szenarien!$H$22="OK",(IFERROR(SUMIF(Nutzungsprofile!$B$6:$B$11,"Schulbetrieb",Nutzungsprofile!$G$6:$G$11)*Kalender!C313/SUM(Kalender!$C$5:$C$370),0)+IFERROR(SUMIF(Nutzungsprofile!$B$6:$B$11,"Halle",Nutzungsprofile!$G$6:$G$11)*Kalender!D313/SUM(Kalender!$D$5:$D$370),0)+IFERROR(SUMIF(Nutzungsprofile!$B$6:$B$11,"Individuell",Nutzungsprofile!$G$6:$G$11)*Kalender!E313/SUM(Kalender!$E$5:$E$370),0))*Szenarien!$E$22,0)</f>
        <v>0.9</v>
      </c>
      <c r="D4339" s="13" t="n">
        <f aca="false">IF(Szenarien!$H$22="OK",(IFERROR(SUMIF(Nutzungsprofile!$B$17:$B$22,"Schulbetrieb",Nutzungsprofile!$G$17:$G$22)*Kalender!C313/SUM(Kalender!$C$5:$C$370),0)+IFERROR(SUMIF(Nutzungsprofile!$B$17:$B$22,"Halle",Nutzungsprofile!$G$17:$G$22)*Kalender!D313/SUM(Kalender!$D$5:$D$370),0)+IFERROR(SUMIF(Nutzungsprofile!$B$17:$B$22,"Individuell",Nutzungsprofile!$G$17:$G$22)*Kalender!E313/SUM(Kalender!$E$5:$E$370),0))*Szenarien!$D$22,0)</f>
        <v>4.05</v>
      </c>
      <c r="E4339" s="13" t="n">
        <f aca="false">IFERROR(MIN(C4339,Eingaben!$B$17)*Eingaben!$B$16,0)</f>
        <v>0.855</v>
      </c>
      <c r="F4339" s="13" t="n">
        <f aca="false">IFERROR(E4339*Eingaben!$B$15,0)</f>
        <v>0.7695</v>
      </c>
      <c r="G4339" s="13" t="n">
        <f aca="false">IFERROR(IF(Kalender!A313="",0,J4338*(1-Eingaben!$B$20)),0)</f>
        <v>0.226233</v>
      </c>
      <c r="H4339" s="13" t="n">
        <f aca="false">MIN(G4339,D4339)</f>
        <v>0.226233</v>
      </c>
      <c r="I4339" s="13" t="n">
        <f aca="false">IFERROR(MIN(F4339*Eingaben!$B$19,MAX(0,D4339-H4339)),0)</f>
        <v>0.53865</v>
      </c>
      <c r="J4339" s="13" t="n">
        <f aca="false">IFERROR(MIN(Eingaben!$B$18,MAX(0,F4339-I4339)),0)</f>
        <v>0.23085</v>
      </c>
      <c r="K4339" s="13" t="n">
        <f aca="false">H4339+I4339</f>
        <v>0.764883</v>
      </c>
      <c r="L4339" s="13" t="n">
        <f aca="false">MAX(0,D4339-K4339)</f>
        <v>3.285117</v>
      </c>
      <c r="M4339" s="13" t="n">
        <f aca="false">MAX(0,F4339-I4339-J4339)</f>
        <v>0</v>
      </c>
      <c r="N4339" s="13" t="n">
        <f aca="false">IF(Kalender!A313="",0,J4338-H4339)</f>
        <v>0.00461700000000001</v>
      </c>
    </row>
    <row r="4340" customFormat="false" ht="16.4" hidden="false" customHeight="false" outlineLevel="0" collapsed="false">
      <c r="A4340" s="13" t="str">
        <f aca="false">""</f>
        <v/>
      </c>
      <c r="B4340" s="13" t="n">
        <f aca="false">310</f>
        <v>310</v>
      </c>
      <c r="C4340" s="13" t="n">
        <f aca="false">IF(Szenarien!$H$22="OK",(IFERROR(SUMIF(Nutzungsprofile!$B$6:$B$11,"Schulbetrieb",Nutzungsprofile!$G$6:$G$11)*Kalender!C314/SUM(Kalender!$C$5:$C$370),0)+IFERROR(SUMIF(Nutzungsprofile!$B$6:$B$11,"Halle",Nutzungsprofile!$G$6:$G$11)*Kalender!D314/SUM(Kalender!$D$5:$D$370),0)+IFERROR(SUMIF(Nutzungsprofile!$B$6:$B$11,"Individuell",Nutzungsprofile!$G$6:$G$11)*Kalender!E314/SUM(Kalender!$E$5:$E$370),0))*Szenarien!$E$22,0)</f>
        <v>0.9</v>
      </c>
      <c r="D4340" s="13" t="n">
        <f aca="false">IF(Szenarien!$H$22="OK",(IFERROR(SUMIF(Nutzungsprofile!$B$17:$B$22,"Schulbetrieb",Nutzungsprofile!$G$17:$G$22)*Kalender!C314/SUM(Kalender!$C$5:$C$370),0)+IFERROR(SUMIF(Nutzungsprofile!$B$17:$B$22,"Halle",Nutzungsprofile!$G$17:$G$22)*Kalender!D314/SUM(Kalender!$D$5:$D$370),0)+IFERROR(SUMIF(Nutzungsprofile!$B$17:$B$22,"Individuell",Nutzungsprofile!$G$17:$G$22)*Kalender!E314/SUM(Kalender!$E$5:$E$370),0))*Szenarien!$D$22,0)</f>
        <v>4.05</v>
      </c>
      <c r="E4340" s="13" t="n">
        <f aca="false">IFERROR(MIN(C4340,Eingaben!$B$17)*Eingaben!$B$16,0)</f>
        <v>0.855</v>
      </c>
      <c r="F4340" s="13" t="n">
        <f aca="false">IFERROR(E4340*Eingaben!$B$15,0)</f>
        <v>0.7695</v>
      </c>
      <c r="G4340" s="13" t="n">
        <f aca="false">IFERROR(IF(Kalender!A314="",0,J4339*(1-Eingaben!$B$20)),0)</f>
        <v>0.226233</v>
      </c>
      <c r="H4340" s="13" t="n">
        <f aca="false">MIN(G4340,D4340)</f>
        <v>0.226233</v>
      </c>
      <c r="I4340" s="13" t="n">
        <f aca="false">IFERROR(MIN(F4340*Eingaben!$B$19,MAX(0,D4340-H4340)),0)</f>
        <v>0.53865</v>
      </c>
      <c r="J4340" s="13" t="n">
        <f aca="false">IFERROR(MIN(Eingaben!$B$18,MAX(0,F4340-I4340)),0)</f>
        <v>0.23085</v>
      </c>
      <c r="K4340" s="13" t="n">
        <f aca="false">H4340+I4340</f>
        <v>0.764883</v>
      </c>
      <c r="L4340" s="13" t="n">
        <f aca="false">MAX(0,D4340-K4340)</f>
        <v>3.285117</v>
      </c>
      <c r="M4340" s="13" t="n">
        <f aca="false">MAX(0,F4340-I4340-J4340)</f>
        <v>0</v>
      </c>
      <c r="N4340" s="13" t="n">
        <f aca="false">IF(Kalender!A314="",0,J4339-H4340)</f>
        <v>0.00461700000000001</v>
      </c>
    </row>
    <row r="4341" customFormat="false" ht="16.4" hidden="false" customHeight="false" outlineLevel="0" collapsed="false">
      <c r="A4341" s="13" t="str">
        <f aca="false">""</f>
        <v/>
      </c>
      <c r="B4341" s="13" t="n">
        <f aca="false">311</f>
        <v>311</v>
      </c>
      <c r="C4341" s="13" t="n">
        <f aca="false">IF(Szenarien!$H$22="OK",(IFERROR(SUMIF(Nutzungsprofile!$B$6:$B$11,"Schulbetrieb",Nutzungsprofile!$G$6:$G$11)*Kalender!C315/SUM(Kalender!$C$5:$C$370),0)+IFERROR(SUMIF(Nutzungsprofile!$B$6:$B$11,"Halle",Nutzungsprofile!$G$6:$G$11)*Kalender!D315/SUM(Kalender!$D$5:$D$370),0)+IFERROR(SUMIF(Nutzungsprofile!$B$6:$B$11,"Individuell",Nutzungsprofile!$G$6:$G$11)*Kalender!E315/SUM(Kalender!$E$5:$E$370),0))*Szenarien!$E$22,0)</f>
        <v>0</v>
      </c>
      <c r="D4341" s="13" t="n">
        <f aca="false">IF(Szenarien!$H$22="OK",(IFERROR(SUMIF(Nutzungsprofile!$B$17:$B$22,"Schulbetrieb",Nutzungsprofile!$G$17:$G$22)*Kalender!C315/SUM(Kalender!$C$5:$C$370),0)+IFERROR(SUMIF(Nutzungsprofile!$B$17:$B$22,"Halle",Nutzungsprofile!$G$17:$G$22)*Kalender!D315/SUM(Kalender!$D$5:$D$370),0)+IFERROR(SUMIF(Nutzungsprofile!$B$17:$B$22,"Individuell",Nutzungsprofile!$G$17:$G$22)*Kalender!E315/SUM(Kalender!$E$5:$E$370),0))*Szenarien!$D$22,0)</f>
        <v>0</v>
      </c>
      <c r="E4341" s="13" t="n">
        <f aca="false">IFERROR(MIN(C4341,Eingaben!$B$17)*Eingaben!$B$16,0)</f>
        <v>0</v>
      </c>
      <c r="F4341" s="13" t="n">
        <f aca="false">IFERROR(E4341*Eingaben!$B$15,0)</f>
        <v>0</v>
      </c>
      <c r="G4341" s="13" t="n">
        <f aca="false">IFERROR(IF(Kalender!A315="",0,J4340*(1-Eingaben!$B$20)),0)</f>
        <v>0.226233</v>
      </c>
      <c r="H4341" s="13" t="n">
        <f aca="false">MIN(G4341,D4341)</f>
        <v>0</v>
      </c>
      <c r="I4341" s="13" t="n">
        <f aca="false">IFERROR(MIN(F4341*Eingaben!$B$19,MAX(0,D4341-H4341)),0)</f>
        <v>0</v>
      </c>
      <c r="J4341" s="13" t="n">
        <f aca="false">IFERROR(MIN(Eingaben!$B$18,MAX(0,F4341-I4341)),0)</f>
        <v>0</v>
      </c>
      <c r="K4341" s="13" t="n">
        <f aca="false">H4341+I4341</f>
        <v>0</v>
      </c>
      <c r="L4341" s="13" t="n">
        <f aca="false">MAX(0,D4341-K4341)</f>
        <v>0</v>
      </c>
      <c r="M4341" s="13" t="n">
        <f aca="false">MAX(0,F4341-I4341-J4341)</f>
        <v>0</v>
      </c>
      <c r="N4341" s="13" t="n">
        <f aca="false">IF(Kalender!A315="",0,J4340-H4341)</f>
        <v>0.23085</v>
      </c>
    </row>
    <row r="4342" customFormat="false" ht="16.4" hidden="false" customHeight="false" outlineLevel="0" collapsed="false">
      <c r="A4342" s="13" t="str">
        <f aca="false">""</f>
        <v/>
      </c>
      <c r="B4342" s="13" t="n">
        <f aca="false">312</f>
        <v>312</v>
      </c>
      <c r="C4342" s="13" t="n">
        <f aca="false">IF(Szenarien!$H$22="OK",(IFERROR(SUMIF(Nutzungsprofile!$B$6:$B$11,"Schulbetrieb",Nutzungsprofile!$G$6:$G$11)*Kalender!C316/SUM(Kalender!$C$5:$C$370),0)+IFERROR(SUMIF(Nutzungsprofile!$B$6:$B$11,"Halle",Nutzungsprofile!$G$6:$G$11)*Kalender!D316/SUM(Kalender!$D$5:$D$370),0)+IFERROR(SUMIF(Nutzungsprofile!$B$6:$B$11,"Individuell",Nutzungsprofile!$G$6:$G$11)*Kalender!E316/SUM(Kalender!$E$5:$E$370),0))*Szenarien!$E$22,0)</f>
        <v>0</v>
      </c>
      <c r="D4342" s="13" t="n">
        <f aca="false">IF(Szenarien!$H$22="OK",(IFERROR(SUMIF(Nutzungsprofile!$B$17:$B$22,"Schulbetrieb",Nutzungsprofile!$G$17:$G$22)*Kalender!C316/SUM(Kalender!$C$5:$C$370),0)+IFERROR(SUMIF(Nutzungsprofile!$B$17:$B$22,"Halle",Nutzungsprofile!$G$17:$G$22)*Kalender!D316/SUM(Kalender!$D$5:$D$370),0)+IFERROR(SUMIF(Nutzungsprofile!$B$17:$B$22,"Individuell",Nutzungsprofile!$G$17:$G$22)*Kalender!E316/SUM(Kalender!$E$5:$E$370),0))*Szenarien!$D$22,0)</f>
        <v>0</v>
      </c>
      <c r="E4342" s="13" t="n">
        <f aca="false">IFERROR(MIN(C4342,Eingaben!$B$17)*Eingaben!$B$16,0)</f>
        <v>0</v>
      </c>
      <c r="F4342" s="13" t="n">
        <f aca="false">IFERROR(E4342*Eingaben!$B$15,0)</f>
        <v>0</v>
      </c>
      <c r="G4342" s="13" t="n">
        <f aca="false">IFERROR(IF(Kalender!A316="",0,J4341*(1-Eingaben!$B$20)),0)</f>
        <v>0</v>
      </c>
      <c r="H4342" s="13" t="n">
        <f aca="false">MIN(G4342,D4342)</f>
        <v>0</v>
      </c>
      <c r="I4342" s="13" t="n">
        <f aca="false">IFERROR(MIN(F4342*Eingaben!$B$19,MAX(0,D4342-H4342)),0)</f>
        <v>0</v>
      </c>
      <c r="J4342" s="13" t="n">
        <f aca="false">IFERROR(MIN(Eingaben!$B$18,MAX(0,F4342-I4342)),0)</f>
        <v>0</v>
      </c>
      <c r="K4342" s="13" t="n">
        <f aca="false">H4342+I4342</f>
        <v>0</v>
      </c>
      <c r="L4342" s="13" t="n">
        <f aca="false">MAX(0,D4342-K4342)</f>
        <v>0</v>
      </c>
      <c r="M4342" s="13" t="n">
        <f aca="false">MAX(0,F4342-I4342-J4342)</f>
        <v>0</v>
      </c>
      <c r="N4342" s="13" t="n">
        <f aca="false">IF(Kalender!A316="",0,J4341-H4342)</f>
        <v>0</v>
      </c>
    </row>
    <row r="4343" customFormat="false" ht="16.4" hidden="false" customHeight="false" outlineLevel="0" collapsed="false">
      <c r="A4343" s="13" t="str">
        <f aca="false">""</f>
        <v/>
      </c>
      <c r="B4343" s="13" t="n">
        <f aca="false">313</f>
        <v>313</v>
      </c>
      <c r="C4343" s="13" t="n">
        <f aca="false">IF(Szenarien!$H$22="OK",(IFERROR(SUMIF(Nutzungsprofile!$B$6:$B$11,"Schulbetrieb",Nutzungsprofile!$G$6:$G$11)*Kalender!C317/SUM(Kalender!$C$5:$C$370),0)+IFERROR(SUMIF(Nutzungsprofile!$B$6:$B$11,"Halle",Nutzungsprofile!$G$6:$G$11)*Kalender!D317/SUM(Kalender!$D$5:$D$370),0)+IFERROR(SUMIF(Nutzungsprofile!$B$6:$B$11,"Individuell",Nutzungsprofile!$G$6:$G$11)*Kalender!E317/SUM(Kalender!$E$5:$E$370),0))*Szenarien!$E$22,0)</f>
        <v>0.9</v>
      </c>
      <c r="D4343" s="13" t="n">
        <f aca="false">IF(Szenarien!$H$22="OK",(IFERROR(SUMIF(Nutzungsprofile!$B$17:$B$22,"Schulbetrieb",Nutzungsprofile!$G$17:$G$22)*Kalender!C317/SUM(Kalender!$C$5:$C$370),0)+IFERROR(SUMIF(Nutzungsprofile!$B$17:$B$22,"Halle",Nutzungsprofile!$G$17:$G$22)*Kalender!D317/SUM(Kalender!$D$5:$D$370),0)+IFERROR(SUMIF(Nutzungsprofile!$B$17:$B$22,"Individuell",Nutzungsprofile!$G$17:$G$22)*Kalender!E317/SUM(Kalender!$E$5:$E$370),0))*Szenarien!$D$22,0)</f>
        <v>4.05</v>
      </c>
      <c r="E4343" s="13" t="n">
        <f aca="false">IFERROR(MIN(C4343,Eingaben!$B$17)*Eingaben!$B$16,0)</f>
        <v>0.855</v>
      </c>
      <c r="F4343" s="13" t="n">
        <f aca="false">IFERROR(E4343*Eingaben!$B$15,0)</f>
        <v>0.7695</v>
      </c>
      <c r="G4343" s="13" t="n">
        <f aca="false">IFERROR(IF(Kalender!A317="",0,J4342*(1-Eingaben!$B$20)),0)</f>
        <v>0</v>
      </c>
      <c r="H4343" s="13" t="n">
        <f aca="false">MIN(G4343,D4343)</f>
        <v>0</v>
      </c>
      <c r="I4343" s="13" t="n">
        <f aca="false">IFERROR(MIN(F4343*Eingaben!$B$19,MAX(0,D4343-H4343)),0)</f>
        <v>0.53865</v>
      </c>
      <c r="J4343" s="13" t="n">
        <f aca="false">IFERROR(MIN(Eingaben!$B$18,MAX(0,F4343-I4343)),0)</f>
        <v>0.23085</v>
      </c>
      <c r="K4343" s="13" t="n">
        <f aca="false">H4343+I4343</f>
        <v>0.53865</v>
      </c>
      <c r="L4343" s="13" t="n">
        <f aca="false">MAX(0,D4343-K4343)</f>
        <v>3.51135</v>
      </c>
      <c r="M4343" s="13" t="n">
        <f aca="false">MAX(0,F4343-I4343-J4343)</f>
        <v>0</v>
      </c>
      <c r="N4343" s="13" t="n">
        <f aca="false">IF(Kalender!A317="",0,J4342-H4343)</f>
        <v>0</v>
      </c>
    </row>
    <row r="4344" customFormat="false" ht="16.4" hidden="false" customHeight="false" outlineLevel="0" collapsed="false">
      <c r="A4344" s="13" t="str">
        <f aca="false">""</f>
        <v/>
      </c>
      <c r="B4344" s="13" t="n">
        <f aca="false">314</f>
        <v>314</v>
      </c>
      <c r="C4344" s="13" t="n">
        <f aca="false">IF(Szenarien!$H$22="OK",(IFERROR(SUMIF(Nutzungsprofile!$B$6:$B$11,"Schulbetrieb",Nutzungsprofile!$G$6:$G$11)*Kalender!C318/SUM(Kalender!$C$5:$C$370),0)+IFERROR(SUMIF(Nutzungsprofile!$B$6:$B$11,"Halle",Nutzungsprofile!$G$6:$G$11)*Kalender!D318/SUM(Kalender!$D$5:$D$370),0)+IFERROR(SUMIF(Nutzungsprofile!$B$6:$B$11,"Individuell",Nutzungsprofile!$G$6:$G$11)*Kalender!E318/SUM(Kalender!$E$5:$E$370),0))*Szenarien!$E$22,0)</f>
        <v>0.9</v>
      </c>
      <c r="D4344" s="13" t="n">
        <f aca="false">IF(Szenarien!$H$22="OK",(IFERROR(SUMIF(Nutzungsprofile!$B$17:$B$22,"Schulbetrieb",Nutzungsprofile!$G$17:$G$22)*Kalender!C318/SUM(Kalender!$C$5:$C$370),0)+IFERROR(SUMIF(Nutzungsprofile!$B$17:$B$22,"Halle",Nutzungsprofile!$G$17:$G$22)*Kalender!D318/SUM(Kalender!$D$5:$D$370),0)+IFERROR(SUMIF(Nutzungsprofile!$B$17:$B$22,"Individuell",Nutzungsprofile!$G$17:$G$22)*Kalender!E318/SUM(Kalender!$E$5:$E$370),0))*Szenarien!$D$22,0)</f>
        <v>4.05</v>
      </c>
      <c r="E4344" s="13" t="n">
        <f aca="false">IFERROR(MIN(C4344,Eingaben!$B$17)*Eingaben!$B$16,0)</f>
        <v>0.855</v>
      </c>
      <c r="F4344" s="13" t="n">
        <f aca="false">IFERROR(E4344*Eingaben!$B$15,0)</f>
        <v>0.7695</v>
      </c>
      <c r="G4344" s="13" t="n">
        <f aca="false">IFERROR(IF(Kalender!A318="",0,J4343*(1-Eingaben!$B$20)),0)</f>
        <v>0.226233</v>
      </c>
      <c r="H4344" s="13" t="n">
        <f aca="false">MIN(G4344,D4344)</f>
        <v>0.226233</v>
      </c>
      <c r="I4344" s="13" t="n">
        <f aca="false">IFERROR(MIN(F4344*Eingaben!$B$19,MAX(0,D4344-H4344)),0)</f>
        <v>0.53865</v>
      </c>
      <c r="J4344" s="13" t="n">
        <f aca="false">IFERROR(MIN(Eingaben!$B$18,MAX(0,F4344-I4344)),0)</f>
        <v>0.23085</v>
      </c>
      <c r="K4344" s="13" t="n">
        <f aca="false">H4344+I4344</f>
        <v>0.764883</v>
      </c>
      <c r="L4344" s="13" t="n">
        <f aca="false">MAX(0,D4344-K4344)</f>
        <v>3.285117</v>
      </c>
      <c r="M4344" s="13" t="n">
        <f aca="false">MAX(0,F4344-I4344-J4344)</f>
        <v>0</v>
      </c>
      <c r="N4344" s="13" t="n">
        <f aca="false">IF(Kalender!A318="",0,J4343-H4344)</f>
        <v>0.00461700000000001</v>
      </c>
    </row>
    <row r="4345" customFormat="false" ht="16.4" hidden="false" customHeight="false" outlineLevel="0" collapsed="false">
      <c r="A4345" s="13" t="str">
        <f aca="false">""</f>
        <v/>
      </c>
      <c r="B4345" s="13" t="n">
        <f aca="false">315</f>
        <v>315</v>
      </c>
      <c r="C4345" s="13" t="n">
        <f aca="false">IF(Szenarien!$H$22="OK",(IFERROR(SUMIF(Nutzungsprofile!$B$6:$B$11,"Schulbetrieb",Nutzungsprofile!$G$6:$G$11)*Kalender!C319/SUM(Kalender!$C$5:$C$370),0)+IFERROR(SUMIF(Nutzungsprofile!$B$6:$B$11,"Halle",Nutzungsprofile!$G$6:$G$11)*Kalender!D319/SUM(Kalender!$D$5:$D$370),0)+IFERROR(SUMIF(Nutzungsprofile!$B$6:$B$11,"Individuell",Nutzungsprofile!$G$6:$G$11)*Kalender!E319/SUM(Kalender!$E$5:$E$370),0))*Szenarien!$E$22,0)</f>
        <v>0.9</v>
      </c>
      <c r="D4345" s="13" t="n">
        <f aca="false">IF(Szenarien!$H$22="OK",(IFERROR(SUMIF(Nutzungsprofile!$B$17:$B$22,"Schulbetrieb",Nutzungsprofile!$G$17:$G$22)*Kalender!C319/SUM(Kalender!$C$5:$C$370),0)+IFERROR(SUMIF(Nutzungsprofile!$B$17:$B$22,"Halle",Nutzungsprofile!$G$17:$G$22)*Kalender!D319/SUM(Kalender!$D$5:$D$370),0)+IFERROR(SUMIF(Nutzungsprofile!$B$17:$B$22,"Individuell",Nutzungsprofile!$G$17:$G$22)*Kalender!E319/SUM(Kalender!$E$5:$E$370),0))*Szenarien!$D$22,0)</f>
        <v>4.05</v>
      </c>
      <c r="E4345" s="13" t="n">
        <f aca="false">IFERROR(MIN(C4345,Eingaben!$B$17)*Eingaben!$B$16,0)</f>
        <v>0.855</v>
      </c>
      <c r="F4345" s="13" t="n">
        <f aca="false">IFERROR(E4345*Eingaben!$B$15,0)</f>
        <v>0.7695</v>
      </c>
      <c r="G4345" s="13" t="n">
        <f aca="false">IFERROR(IF(Kalender!A319="",0,J4344*(1-Eingaben!$B$20)),0)</f>
        <v>0.226233</v>
      </c>
      <c r="H4345" s="13" t="n">
        <f aca="false">MIN(G4345,D4345)</f>
        <v>0.226233</v>
      </c>
      <c r="I4345" s="13" t="n">
        <f aca="false">IFERROR(MIN(F4345*Eingaben!$B$19,MAX(0,D4345-H4345)),0)</f>
        <v>0.53865</v>
      </c>
      <c r="J4345" s="13" t="n">
        <f aca="false">IFERROR(MIN(Eingaben!$B$18,MAX(0,F4345-I4345)),0)</f>
        <v>0.23085</v>
      </c>
      <c r="K4345" s="13" t="n">
        <f aca="false">H4345+I4345</f>
        <v>0.764883</v>
      </c>
      <c r="L4345" s="13" t="n">
        <f aca="false">MAX(0,D4345-K4345)</f>
        <v>3.285117</v>
      </c>
      <c r="M4345" s="13" t="n">
        <f aca="false">MAX(0,F4345-I4345-J4345)</f>
        <v>0</v>
      </c>
      <c r="N4345" s="13" t="n">
        <f aca="false">IF(Kalender!A319="",0,J4344-H4345)</f>
        <v>0.00461700000000001</v>
      </c>
    </row>
    <row r="4346" customFormat="false" ht="16.4" hidden="false" customHeight="false" outlineLevel="0" collapsed="false">
      <c r="A4346" s="13" t="str">
        <f aca="false">""</f>
        <v/>
      </c>
      <c r="B4346" s="13" t="n">
        <f aca="false">316</f>
        <v>316</v>
      </c>
      <c r="C4346" s="13" t="n">
        <f aca="false">IF(Szenarien!$H$22="OK",(IFERROR(SUMIF(Nutzungsprofile!$B$6:$B$11,"Schulbetrieb",Nutzungsprofile!$G$6:$G$11)*Kalender!C320/SUM(Kalender!$C$5:$C$370),0)+IFERROR(SUMIF(Nutzungsprofile!$B$6:$B$11,"Halle",Nutzungsprofile!$G$6:$G$11)*Kalender!D320/SUM(Kalender!$D$5:$D$370),0)+IFERROR(SUMIF(Nutzungsprofile!$B$6:$B$11,"Individuell",Nutzungsprofile!$G$6:$G$11)*Kalender!E320/SUM(Kalender!$E$5:$E$370),0))*Szenarien!$E$22,0)</f>
        <v>0.9</v>
      </c>
      <c r="D4346" s="13" t="n">
        <f aca="false">IF(Szenarien!$H$22="OK",(IFERROR(SUMIF(Nutzungsprofile!$B$17:$B$22,"Schulbetrieb",Nutzungsprofile!$G$17:$G$22)*Kalender!C320/SUM(Kalender!$C$5:$C$370),0)+IFERROR(SUMIF(Nutzungsprofile!$B$17:$B$22,"Halle",Nutzungsprofile!$G$17:$G$22)*Kalender!D320/SUM(Kalender!$D$5:$D$370),0)+IFERROR(SUMIF(Nutzungsprofile!$B$17:$B$22,"Individuell",Nutzungsprofile!$G$17:$G$22)*Kalender!E320/SUM(Kalender!$E$5:$E$370),0))*Szenarien!$D$22,0)</f>
        <v>4.05</v>
      </c>
      <c r="E4346" s="13" t="n">
        <f aca="false">IFERROR(MIN(C4346,Eingaben!$B$17)*Eingaben!$B$16,0)</f>
        <v>0.855</v>
      </c>
      <c r="F4346" s="13" t="n">
        <f aca="false">IFERROR(E4346*Eingaben!$B$15,0)</f>
        <v>0.7695</v>
      </c>
      <c r="G4346" s="13" t="n">
        <f aca="false">IFERROR(IF(Kalender!A320="",0,J4345*(1-Eingaben!$B$20)),0)</f>
        <v>0.226233</v>
      </c>
      <c r="H4346" s="13" t="n">
        <f aca="false">MIN(G4346,D4346)</f>
        <v>0.226233</v>
      </c>
      <c r="I4346" s="13" t="n">
        <f aca="false">IFERROR(MIN(F4346*Eingaben!$B$19,MAX(0,D4346-H4346)),0)</f>
        <v>0.53865</v>
      </c>
      <c r="J4346" s="13" t="n">
        <f aca="false">IFERROR(MIN(Eingaben!$B$18,MAX(0,F4346-I4346)),0)</f>
        <v>0.23085</v>
      </c>
      <c r="K4346" s="13" t="n">
        <f aca="false">H4346+I4346</f>
        <v>0.764883</v>
      </c>
      <c r="L4346" s="13" t="n">
        <f aca="false">MAX(0,D4346-K4346)</f>
        <v>3.285117</v>
      </c>
      <c r="M4346" s="13" t="n">
        <f aca="false">MAX(0,F4346-I4346-J4346)</f>
        <v>0</v>
      </c>
      <c r="N4346" s="13" t="n">
        <f aca="false">IF(Kalender!A320="",0,J4345-H4346)</f>
        <v>0.00461700000000001</v>
      </c>
    </row>
    <row r="4347" customFormat="false" ht="16.4" hidden="false" customHeight="false" outlineLevel="0" collapsed="false">
      <c r="A4347" s="13" t="str">
        <f aca="false">""</f>
        <v/>
      </c>
      <c r="B4347" s="13" t="n">
        <f aca="false">317</f>
        <v>317</v>
      </c>
      <c r="C4347" s="13" t="n">
        <f aca="false">IF(Szenarien!$H$22="OK",(IFERROR(SUMIF(Nutzungsprofile!$B$6:$B$11,"Schulbetrieb",Nutzungsprofile!$G$6:$G$11)*Kalender!C321/SUM(Kalender!$C$5:$C$370),0)+IFERROR(SUMIF(Nutzungsprofile!$B$6:$B$11,"Halle",Nutzungsprofile!$G$6:$G$11)*Kalender!D321/SUM(Kalender!$D$5:$D$370),0)+IFERROR(SUMIF(Nutzungsprofile!$B$6:$B$11,"Individuell",Nutzungsprofile!$G$6:$G$11)*Kalender!E321/SUM(Kalender!$E$5:$E$370),0))*Szenarien!$E$22,0)</f>
        <v>0.9</v>
      </c>
      <c r="D4347" s="13" t="n">
        <f aca="false">IF(Szenarien!$H$22="OK",(IFERROR(SUMIF(Nutzungsprofile!$B$17:$B$22,"Schulbetrieb",Nutzungsprofile!$G$17:$G$22)*Kalender!C321/SUM(Kalender!$C$5:$C$370),0)+IFERROR(SUMIF(Nutzungsprofile!$B$17:$B$22,"Halle",Nutzungsprofile!$G$17:$G$22)*Kalender!D321/SUM(Kalender!$D$5:$D$370),0)+IFERROR(SUMIF(Nutzungsprofile!$B$17:$B$22,"Individuell",Nutzungsprofile!$G$17:$G$22)*Kalender!E321/SUM(Kalender!$E$5:$E$370),0))*Szenarien!$D$22,0)</f>
        <v>4.05</v>
      </c>
      <c r="E4347" s="13" t="n">
        <f aca="false">IFERROR(MIN(C4347,Eingaben!$B$17)*Eingaben!$B$16,0)</f>
        <v>0.855</v>
      </c>
      <c r="F4347" s="13" t="n">
        <f aca="false">IFERROR(E4347*Eingaben!$B$15,0)</f>
        <v>0.7695</v>
      </c>
      <c r="G4347" s="13" t="n">
        <f aca="false">IFERROR(IF(Kalender!A321="",0,J4346*(1-Eingaben!$B$20)),0)</f>
        <v>0.226233</v>
      </c>
      <c r="H4347" s="13" t="n">
        <f aca="false">MIN(G4347,D4347)</f>
        <v>0.226233</v>
      </c>
      <c r="I4347" s="13" t="n">
        <f aca="false">IFERROR(MIN(F4347*Eingaben!$B$19,MAX(0,D4347-H4347)),0)</f>
        <v>0.53865</v>
      </c>
      <c r="J4347" s="13" t="n">
        <f aca="false">IFERROR(MIN(Eingaben!$B$18,MAX(0,F4347-I4347)),0)</f>
        <v>0.23085</v>
      </c>
      <c r="K4347" s="13" t="n">
        <f aca="false">H4347+I4347</f>
        <v>0.764883</v>
      </c>
      <c r="L4347" s="13" t="n">
        <f aca="false">MAX(0,D4347-K4347)</f>
        <v>3.285117</v>
      </c>
      <c r="M4347" s="13" t="n">
        <f aca="false">MAX(0,F4347-I4347-J4347)</f>
        <v>0</v>
      </c>
      <c r="N4347" s="13" t="n">
        <f aca="false">IF(Kalender!A321="",0,J4346-H4347)</f>
        <v>0.00461700000000001</v>
      </c>
    </row>
    <row r="4348" customFormat="false" ht="16.4" hidden="false" customHeight="false" outlineLevel="0" collapsed="false">
      <c r="A4348" s="13" t="str">
        <f aca="false">""</f>
        <v/>
      </c>
      <c r="B4348" s="13" t="n">
        <f aca="false">318</f>
        <v>318</v>
      </c>
      <c r="C4348" s="13" t="n">
        <f aca="false">IF(Szenarien!$H$22="OK",(IFERROR(SUMIF(Nutzungsprofile!$B$6:$B$11,"Schulbetrieb",Nutzungsprofile!$G$6:$G$11)*Kalender!C322/SUM(Kalender!$C$5:$C$370),0)+IFERROR(SUMIF(Nutzungsprofile!$B$6:$B$11,"Halle",Nutzungsprofile!$G$6:$G$11)*Kalender!D322/SUM(Kalender!$D$5:$D$370),0)+IFERROR(SUMIF(Nutzungsprofile!$B$6:$B$11,"Individuell",Nutzungsprofile!$G$6:$G$11)*Kalender!E322/SUM(Kalender!$E$5:$E$370),0))*Szenarien!$E$22,0)</f>
        <v>0</v>
      </c>
      <c r="D4348" s="13" t="n">
        <f aca="false">IF(Szenarien!$H$22="OK",(IFERROR(SUMIF(Nutzungsprofile!$B$17:$B$22,"Schulbetrieb",Nutzungsprofile!$G$17:$G$22)*Kalender!C322/SUM(Kalender!$C$5:$C$370),0)+IFERROR(SUMIF(Nutzungsprofile!$B$17:$B$22,"Halle",Nutzungsprofile!$G$17:$G$22)*Kalender!D322/SUM(Kalender!$D$5:$D$370),0)+IFERROR(SUMIF(Nutzungsprofile!$B$17:$B$22,"Individuell",Nutzungsprofile!$G$17:$G$22)*Kalender!E322/SUM(Kalender!$E$5:$E$370),0))*Szenarien!$D$22,0)</f>
        <v>0</v>
      </c>
      <c r="E4348" s="13" t="n">
        <f aca="false">IFERROR(MIN(C4348,Eingaben!$B$17)*Eingaben!$B$16,0)</f>
        <v>0</v>
      </c>
      <c r="F4348" s="13" t="n">
        <f aca="false">IFERROR(E4348*Eingaben!$B$15,0)</f>
        <v>0</v>
      </c>
      <c r="G4348" s="13" t="n">
        <f aca="false">IFERROR(IF(Kalender!A322="",0,J4347*(1-Eingaben!$B$20)),0)</f>
        <v>0.226233</v>
      </c>
      <c r="H4348" s="13" t="n">
        <f aca="false">MIN(G4348,D4348)</f>
        <v>0</v>
      </c>
      <c r="I4348" s="13" t="n">
        <f aca="false">IFERROR(MIN(F4348*Eingaben!$B$19,MAX(0,D4348-H4348)),0)</f>
        <v>0</v>
      </c>
      <c r="J4348" s="13" t="n">
        <f aca="false">IFERROR(MIN(Eingaben!$B$18,MAX(0,F4348-I4348)),0)</f>
        <v>0</v>
      </c>
      <c r="K4348" s="13" t="n">
        <f aca="false">H4348+I4348</f>
        <v>0</v>
      </c>
      <c r="L4348" s="13" t="n">
        <f aca="false">MAX(0,D4348-K4348)</f>
        <v>0</v>
      </c>
      <c r="M4348" s="13" t="n">
        <f aca="false">MAX(0,F4348-I4348-J4348)</f>
        <v>0</v>
      </c>
      <c r="N4348" s="13" t="n">
        <f aca="false">IF(Kalender!A322="",0,J4347-H4348)</f>
        <v>0.23085</v>
      </c>
    </row>
    <row r="4349" customFormat="false" ht="16.4" hidden="false" customHeight="false" outlineLevel="0" collapsed="false">
      <c r="A4349" s="13" t="str">
        <f aca="false">""</f>
        <v/>
      </c>
      <c r="B4349" s="13" t="n">
        <f aca="false">319</f>
        <v>319</v>
      </c>
      <c r="C4349" s="13" t="n">
        <f aca="false">IF(Szenarien!$H$22="OK",(IFERROR(SUMIF(Nutzungsprofile!$B$6:$B$11,"Schulbetrieb",Nutzungsprofile!$G$6:$G$11)*Kalender!C323/SUM(Kalender!$C$5:$C$370),0)+IFERROR(SUMIF(Nutzungsprofile!$B$6:$B$11,"Halle",Nutzungsprofile!$G$6:$G$11)*Kalender!D323/SUM(Kalender!$D$5:$D$370),0)+IFERROR(SUMIF(Nutzungsprofile!$B$6:$B$11,"Individuell",Nutzungsprofile!$G$6:$G$11)*Kalender!E323/SUM(Kalender!$E$5:$E$370),0))*Szenarien!$E$22,0)</f>
        <v>0</v>
      </c>
      <c r="D4349" s="13" t="n">
        <f aca="false">IF(Szenarien!$H$22="OK",(IFERROR(SUMIF(Nutzungsprofile!$B$17:$B$22,"Schulbetrieb",Nutzungsprofile!$G$17:$G$22)*Kalender!C323/SUM(Kalender!$C$5:$C$370),0)+IFERROR(SUMIF(Nutzungsprofile!$B$17:$B$22,"Halle",Nutzungsprofile!$G$17:$G$22)*Kalender!D323/SUM(Kalender!$D$5:$D$370),0)+IFERROR(SUMIF(Nutzungsprofile!$B$17:$B$22,"Individuell",Nutzungsprofile!$G$17:$G$22)*Kalender!E323/SUM(Kalender!$E$5:$E$370),0))*Szenarien!$D$22,0)</f>
        <v>0</v>
      </c>
      <c r="E4349" s="13" t="n">
        <f aca="false">IFERROR(MIN(C4349,Eingaben!$B$17)*Eingaben!$B$16,0)</f>
        <v>0</v>
      </c>
      <c r="F4349" s="13" t="n">
        <f aca="false">IFERROR(E4349*Eingaben!$B$15,0)</f>
        <v>0</v>
      </c>
      <c r="G4349" s="13" t="n">
        <f aca="false">IFERROR(IF(Kalender!A323="",0,J4348*(1-Eingaben!$B$20)),0)</f>
        <v>0</v>
      </c>
      <c r="H4349" s="13" t="n">
        <f aca="false">MIN(G4349,D4349)</f>
        <v>0</v>
      </c>
      <c r="I4349" s="13" t="n">
        <f aca="false">IFERROR(MIN(F4349*Eingaben!$B$19,MAX(0,D4349-H4349)),0)</f>
        <v>0</v>
      </c>
      <c r="J4349" s="13" t="n">
        <f aca="false">IFERROR(MIN(Eingaben!$B$18,MAX(0,F4349-I4349)),0)</f>
        <v>0</v>
      </c>
      <c r="K4349" s="13" t="n">
        <f aca="false">H4349+I4349</f>
        <v>0</v>
      </c>
      <c r="L4349" s="13" t="n">
        <f aca="false">MAX(0,D4349-K4349)</f>
        <v>0</v>
      </c>
      <c r="M4349" s="13" t="n">
        <f aca="false">MAX(0,F4349-I4349-J4349)</f>
        <v>0</v>
      </c>
      <c r="N4349" s="13" t="n">
        <f aca="false">IF(Kalender!A323="",0,J4348-H4349)</f>
        <v>0</v>
      </c>
    </row>
    <row r="4350" customFormat="false" ht="16.4" hidden="false" customHeight="false" outlineLevel="0" collapsed="false">
      <c r="A4350" s="13" t="str">
        <f aca="false">""</f>
        <v/>
      </c>
      <c r="B4350" s="13" t="n">
        <f aca="false">320</f>
        <v>320</v>
      </c>
      <c r="C4350" s="13" t="n">
        <f aca="false">IF(Szenarien!$H$22="OK",(IFERROR(SUMIF(Nutzungsprofile!$B$6:$B$11,"Schulbetrieb",Nutzungsprofile!$G$6:$G$11)*Kalender!C324/SUM(Kalender!$C$5:$C$370),0)+IFERROR(SUMIF(Nutzungsprofile!$B$6:$B$11,"Halle",Nutzungsprofile!$G$6:$G$11)*Kalender!D324/SUM(Kalender!$D$5:$D$370),0)+IFERROR(SUMIF(Nutzungsprofile!$B$6:$B$11,"Individuell",Nutzungsprofile!$G$6:$G$11)*Kalender!E324/SUM(Kalender!$E$5:$E$370),0))*Szenarien!$E$22,0)</f>
        <v>0.9</v>
      </c>
      <c r="D4350" s="13" t="n">
        <f aca="false">IF(Szenarien!$H$22="OK",(IFERROR(SUMIF(Nutzungsprofile!$B$17:$B$22,"Schulbetrieb",Nutzungsprofile!$G$17:$G$22)*Kalender!C324/SUM(Kalender!$C$5:$C$370),0)+IFERROR(SUMIF(Nutzungsprofile!$B$17:$B$22,"Halle",Nutzungsprofile!$G$17:$G$22)*Kalender!D324/SUM(Kalender!$D$5:$D$370),0)+IFERROR(SUMIF(Nutzungsprofile!$B$17:$B$22,"Individuell",Nutzungsprofile!$G$17:$G$22)*Kalender!E324/SUM(Kalender!$E$5:$E$370),0))*Szenarien!$D$22,0)</f>
        <v>4.05</v>
      </c>
      <c r="E4350" s="13" t="n">
        <f aca="false">IFERROR(MIN(C4350,Eingaben!$B$17)*Eingaben!$B$16,0)</f>
        <v>0.855</v>
      </c>
      <c r="F4350" s="13" t="n">
        <f aca="false">IFERROR(E4350*Eingaben!$B$15,0)</f>
        <v>0.7695</v>
      </c>
      <c r="G4350" s="13" t="n">
        <f aca="false">IFERROR(IF(Kalender!A324="",0,J4349*(1-Eingaben!$B$20)),0)</f>
        <v>0</v>
      </c>
      <c r="H4350" s="13" t="n">
        <f aca="false">MIN(G4350,D4350)</f>
        <v>0</v>
      </c>
      <c r="I4350" s="13" t="n">
        <f aca="false">IFERROR(MIN(F4350*Eingaben!$B$19,MAX(0,D4350-H4350)),0)</f>
        <v>0.53865</v>
      </c>
      <c r="J4350" s="13" t="n">
        <f aca="false">IFERROR(MIN(Eingaben!$B$18,MAX(0,F4350-I4350)),0)</f>
        <v>0.23085</v>
      </c>
      <c r="K4350" s="13" t="n">
        <f aca="false">H4350+I4350</f>
        <v>0.53865</v>
      </c>
      <c r="L4350" s="13" t="n">
        <f aca="false">MAX(0,D4350-K4350)</f>
        <v>3.51135</v>
      </c>
      <c r="M4350" s="13" t="n">
        <f aca="false">MAX(0,F4350-I4350-J4350)</f>
        <v>0</v>
      </c>
      <c r="N4350" s="13" t="n">
        <f aca="false">IF(Kalender!A324="",0,J4349-H4350)</f>
        <v>0</v>
      </c>
    </row>
    <row r="4351" customFormat="false" ht="16.4" hidden="false" customHeight="false" outlineLevel="0" collapsed="false">
      <c r="A4351" s="13" t="str">
        <f aca="false">""</f>
        <v/>
      </c>
      <c r="B4351" s="13" t="n">
        <f aca="false">321</f>
        <v>321</v>
      </c>
      <c r="C4351" s="13" t="n">
        <f aca="false">IF(Szenarien!$H$22="OK",(IFERROR(SUMIF(Nutzungsprofile!$B$6:$B$11,"Schulbetrieb",Nutzungsprofile!$G$6:$G$11)*Kalender!C325/SUM(Kalender!$C$5:$C$370),0)+IFERROR(SUMIF(Nutzungsprofile!$B$6:$B$11,"Halle",Nutzungsprofile!$G$6:$G$11)*Kalender!D325/SUM(Kalender!$D$5:$D$370),0)+IFERROR(SUMIF(Nutzungsprofile!$B$6:$B$11,"Individuell",Nutzungsprofile!$G$6:$G$11)*Kalender!E325/SUM(Kalender!$E$5:$E$370),0))*Szenarien!$E$22,0)</f>
        <v>0.9</v>
      </c>
      <c r="D4351" s="13" t="n">
        <f aca="false">IF(Szenarien!$H$22="OK",(IFERROR(SUMIF(Nutzungsprofile!$B$17:$B$22,"Schulbetrieb",Nutzungsprofile!$G$17:$G$22)*Kalender!C325/SUM(Kalender!$C$5:$C$370),0)+IFERROR(SUMIF(Nutzungsprofile!$B$17:$B$22,"Halle",Nutzungsprofile!$G$17:$G$22)*Kalender!D325/SUM(Kalender!$D$5:$D$370),0)+IFERROR(SUMIF(Nutzungsprofile!$B$17:$B$22,"Individuell",Nutzungsprofile!$G$17:$G$22)*Kalender!E325/SUM(Kalender!$E$5:$E$370),0))*Szenarien!$D$22,0)</f>
        <v>4.05</v>
      </c>
      <c r="E4351" s="13" t="n">
        <f aca="false">IFERROR(MIN(C4351,Eingaben!$B$17)*Eingaben!$B$16,0)</f>
        <v>0.855</v>
      </c>
      <c r="F4351" s="13" t="n">
        <f aca="false">IFERROR(E4351*Eingaben!$B$15,0)</f>
        <v>0.7695</v>
      </c>
      <c r="G4351" s="13" t="n">
        <f aca="false">IFERROR(IF(Kalender!A325="",0,J4350*(1-Eingaben!$B$20)),0)</f>
        <v>0.226233</v>
      </c>
      <c r="H4351" s="13" t="n">
        <f aca="false">MIN(G4351,D4351)</f>
        <v>0.226233</v>
      </c>
      <c r="I4351" s="13" t="n">
        <f aca="false">IFERROR(MIN(F4351*Eingaben!$B$19,MAX(0,D4351-H4351)),0)</f>
        <v>0.53865</v>
      </c>
      <c r="J4351" s="13" t="n">
        <f aca="false">IFERROR(MIN(Eingaben!$B$18,MAX(0,F4351-I4351)),0)</f>
        <v>0.23085</v>
      </c>
      <c r="K4351" s="13" t="n">
        <f aca="false">H4351+I4351</f>
        <v>0.764883</v>
      </c>
      <c r="L4351" s="13" t="n">
        <f aca="false">MAX(0,D4351-K4351)</f>
        <v>3.285117</v>
      </c>
      <c r="M4351" s="13" t="n">
        <f aca="false">MAX(0,F4351-I4351-J4351)</f>
        <v>0</v>
      </c>
      <c r="N4351" s="13" t="n">
        <f aca="false">IF(Kalender!A325="",0,J4350-H4351)</f>
        <v>0.00461700000000001</v>
      </c>
    </row>
    <row r="4352" customFormat="false" ht="16.4" hidden="false" customHeight="false" outlineLevel="0" collapsed="false">
      <c r="A4352" s="13" t="str">
        <f aca="false">""</f>
        <v/>
      </c>
      <c r="B4352" s="13" t="n">
        <f aca="false">322</f>
        <v>322</v>
      </c>
      <c r="C4352" s="13" t="n">
        <f aca="false">IF(Szenarien!$H$22="OK",(IFERROR(SUMIF(Nutzungsprofile!$B$6:$B$11,"Schulbetrieb",Nutzungsprofile!$G$6:$G$11)*Kalender!C326/SUM(Kalender!$C$5:$C$370),0)+IFERROR(SUMIF(Nutzungsprofile!$B$6:$B$11,"Halle",Nutzungsprofile!$G$6:$G$11)*Kalender!D326/SUM(Kalender!$D$5:$D$370),0)+IFERROR(SUMIF(Nutzungsprofile!$B$6:$B$11,"Individuell",Nutzungsprofile!$G$6:$G$11)*Kalender!E326/SUM(Kalender!$E$5:$E$370),0))*Szenarien!$E$22,0)</f>
        <v>0.9</v>
      </c>
      <c r="D4352" s="13" t="n">
        <f aca="false">IF(Szenarien!$H$22="OK",(IFERROR(SUMIF(Nutzungsprofile!$B$17:$B$22,"Schulbetrieb",Nutzungsprofile!$G$17:$G$22)*Kalender!C326/SUM(Kalender!$C$5:$C$370),0)+IFERROR(SUMIF(Nutzungsprofile!$B$17:$B$22,"Halle",Nutzungsprofile!$G$17:$G$22)*Kalender!D326/SUM(Kalender!$D$5:$D$370),0)+IFERROR(SUMIF(Nutzungsprofile!$B$17:$B$22,"Individuell",Nutzungsprofile!$G$17:$G$22)*Kalender!E326/SUM(Kalender!$E$5:$E$370),0))*Szenarien!$D$22,0)</f>
        <v>4.05</v>
      </c>
      <c r="E4352" s="13" t="n">
        <f aca="false">IFERROR(MIN(C4352,Eingaben!$B$17)*Eingaben!$B$16,0)</f>
        <v>0.855</v>
      </c>
      <c r="F4352" s="13" t="n">
        <f aca="false">IFERROR(E4352*Eingaben!$B$15,0)</f>
        <v>0.7695</v>
      </c>
      <c r="G4352" s="13" t="n">
        <f aca="false">IFERROR(IF(Kalender!A326="",0,J4351*(1-Eingaben!$B$20)),0)</f>
        <v>0.226233</v>
      </c>
      <c r="H4352" s="13" t="n">
        <f aca="false">MIN(G4352,D4352)</f>
        <v>0.226233</v>
      </c>
      <c r="I4352" s="13" t="n">
        <f aca="false">IFERROR(MIN(F4352*Eingaben!$B$19,MAX(0,D4352-H4352)),0)</f>
        <v>0.53865</v>
      </c>
      <c r="J4352" s="13" t="n">
        <f aca="false">IFERROR(MIN(Eingaben!$B$18,MAX(0,F4352-I4352)),0)</f>
        <v>0.23085</v>
      </c>
      <c r="K4352" s="13" t="n">
        <f aca="false">H4352+I4352</f>
        <v>0.764883</v>
      </c>
      <c r="L4352" s="13" t="n">
        <f aca="false">MAX(0,D4352-K4352)</f>
        <v>3.285117</v>
      </c>
      <c r="M4352" s="13" t="n">
        <f aca="false">MAX(0,F4352-I4352-J4352)</f>
        <v>0</v>
      </c>
      <c r="N4352" s="13" t="n">
        <f aca="false">IF(Kalender!A326="",0,J4351-H4352)</f>
        <v>0.00461700000000001</v>
      </c>
    </row>
    <row r="4353" customFormat="false" ht="16.4" hidden="false" customHeight="false" outlineLevel="0" collapsed="false">
      <c r="A4353" s="13" t="str">
        <f aca="false">""</f>
        <v/>
      </c>
      <c r="B4353" s="13" t="n">
        <f aca="false">323</f>
        <v>323</v>
      </c>
      <c r="C4353" s="13" t="n">
        <f aca="false">IF(Szenarien!$H$22="OK",(IFERROR(SUMIF(Nutzungsprofile!$B$6:$B$11,"Schulbetrieb",Nutzungsprofile!$G$6:$G$11)*Kalender!C327/SUM(Kalender!$C$5:$C$370),0)+IFERROR(SUMIF(Nutzungsprofile!$B$6:$B$11,"Halle",Nutzungsprofile!$G$6:$G$11)*Kalender!D327/SUM(Kalender!$D$5:$D$370),0)+IFERROR(SUMIF(Nutzungsprofile!$B$6:$B$11,"Individuell",Nutzungsprofile!$G$6:$G$11)*Kalender!E327/SUM(Kalender!$E$5:$E$370),0))*Szenarien!$E$22,0)</f>
        <v>0.9</v>
      </c>
      <c r="D4353" s="13" t="n">
        <f aca="false">IF(Szenarien!$H$22="OK",(IFERROR(SUMIF(Nutzungsprofile!$B$17:$B$22,"Schulbetrieb",Nutzungsprofile!$G$17:$G$22)*Kalender!C327/SUM(Kalender!$C$5:$C$370),0)+IFERROR(SUMIF(Nutzungsprofile!$B$17:$B$22,"Halle",Nutzungsprofile!$G$17:$G$22)*Kalender!D327/SUM(Kalender!$D$5:$D$370),0)+IFERROR(SUMIF(Nutzungsprofile!$B$17:$B$22,"Individuell",Nutzungsprofile!$G$17:$G$22)*Kalender!E327/SUM(Kalender!$E$5:$E$370),0))*Szenarien!$D$22,0)</f>
        <v>4.05</v>
      </c>
      <c r="E4353" s="13" t="n">
        <f aca="false">IFERROR(MIN(C4353,Eingaben!$B$17)*Eingaben!$B$16,0)</f>
        <v>0.855</v>
      </c>
      <c r="F4353" s="13" t="n">
        <f aca="false">IFERROR(E4353*Eingaben!$B$15,0)</f>
        <v>0.7695</v>
      </c>
      <c r="G4353" s="13" t="n">
        <f aca="false">IFERROR(IF(Kalender!A327="",0,J4352*(1-Eingaben!$B$20)),0)</f>
        <v>0.226233</v>
      </c>
      <c r="H4353" s="13" t="n">
        <f aca="false">MIN(G4353,D4353)</f>
        <v>0.226233</v>
      </c>
      <c r="I4353" s="13" t="n">
        <f aca="false">IFERROR(MIN(F4353*Eingaben!$B$19,MAX(0,D4353-H4353)),0)</f>
        <v>0.53865</v>
      </c>
      <c r="J4353" s="13" t="n">
        <f aca="false">IFERROR(MIN(Eingaben!$B$18,MAX(0,F4353-I4353)),0)</f>
        <v>0.23085</v>
      </c>
      <c r="K4353" s="13" t="n">
        <f aca="false">H4353+I4353</f>
        <v>0.764883</v>
      </c>
      <c r="L4353" s="13" t="n">
        <f aca="false">MAX(0,D4353-K4353)</f>
        <v>3.285117</v>
      </c>
      <c r="M4353" s="13" t="n">
        <f aca="false">MAX(0,F4353-I4353-J4353)</f>
        <v>0</v>
      </c>
      <c r="N4353" s="13" t="n">
        <f aca="false">IF(Kalender!A327="",0,J4352-H4353)</f>
        <v>0.00461700000000001</v>
      </c>
    </row>
    <row r="4354" customFormat="false" ht="16.4" hidden="false" customHeight="false" outlineLevel="0" collapsed="false">
      <c r="A4354" s="13" t="str">
        <f aca="false">""</f>
        <v/>
      </c>
      <c r="B4354" s="13" t="n">
        <f aca="false">324</f>
        <v>324</v>
      </c>
      <c r="C4354" s="13" t="n">
        <f aca="false">IF(Szenarien!$H$22="OK",(IFERROR(SUMIF(Nutzungsprofile!$B$6:$B$11,"Schulbetrieb",Nutzungsprofile!$G$6:$G$11)*Kalender!C328/SUM(Kalender!$C$5:$C$370),0)+IFERROR(SUMIF(Nutzungsprofile!$B$6:$B$11,"Halle",Nutzungsprofile!$G$6:$G$11)*Kalender!D328/SUM(Kalender!$D$5:$D$370),0)+IFERROR(SUMIF(Nutzungsprofile!$B$6:$B$11,"Individuell",Nutzungsprofile!$G$6:$G$11)*Kalender!E328/SUM(Kalender!$E$5:$E$370),0))*Szenarien!$E$22,0)</f>
        <v>0.9</v>
      </c>
      <c r="D4354" s="13" t="n">
        <f aca="false">IF(Szenarien!$H$22="OK",(IFERROR(SUMIF(Nutzungsprofile!$B$17:$B$22,"Schulbetrieb",Nutzungsprofile!$G$17:$G$22)*Kalender!C328/SUM(Kalender!$C$5:$C$370),0)+IFERROR(SUMIF(Nutzungsprofile!$B$17:$B$22,"Halle",Nutzungsprofile!$G$17:$G$22)*Kalender!D328/SUM(Kalender!$D$5:$D$370),0)+IFERROR(SUMIF(Nutzungsprofile!$B$17:$B$22,"Individuell",Nutzungsprofile!$G$17:$G$22)*Kalender!E328/SUM(Kalender!$E$5:$E$370),0))*Szenarien!$D$22,0)</f>
        <v>4.05</v>
      </c>
      <c r="E4354" s="13" t="n">
        <f aca="false">IFERROR(MIN(C4354,Eingaben!$B$17)*Eingaben!$B$16,0)</f>
        <v>0.855</v>
      </c>
      <c r="F4354" s="13" t="n">
        <f aca="false">IFERROR(E4354*Eingaben!$B$15,0)</f>
        <v>0.7695</v>
      </c>
      <c r="G4354" s="13" t="n">
        <f aca="false">IFERROR(IF(Kalender!A328="",0,J4353*(1-Eingaben!$B$20)),0)</f>
        <v>0.226233</v>
      </c>
      <c r="H4354" s="13" t="n">
        <f aca="false">MIN(G4354,D4354)</f>
        <v>0.226233</v>
      </c>
      <c r="I4354" s="13" t="n">
        <f aca="false">IFERROR(MIN(F4354*Eingaben!$B$19,MAX(0,D4354-H4354)),0)</f>
        <v>0.53865</v>
      </c>
      <c r="J4354" s="13" t="n">
        <f aca="false">IFERROR(MIN(Eingaben!$B$18,MAX(0,F4354-I4354)),0)</f>
        <v>0.23085</v>
      </c>
      <c r="K4354" s="13" t="n">
        <f aca="false">H4354+I4354</f>
        <v>0.764883</v>
      </c>
      <c r="L4354" s="13" t="n">
        <f aca="false">MAX(0,D4354-K4354)</f>
        <v>3.285117</v>
      </c>
      <c r="M4354" s="13" t="n">
        <f aca="false">MAX(0,F4354-I4354-J4354)</f>
        <v>0</v>
      </c>
      <c r="N4354" s="13" t="n">
        <f aca="false">IF(Kalender!A328="",0,J4353-H4354)</f>
        <v>0.00461700000000001</v>
      </c>
    </row>
    <row r="4355" customFormat="false" ht="16.4" hidden="false" customHeight="false" outlineLevel="0" collapsed="false">
      <c r="A4355" s="13" t="str">
        <f aca="false">""</f>
        <v/>
      </c>
      <c r="B4355" s="13" t="n">
        <f aca="false">325</f>
        <v>325</v>
      </c>
      <c r="C4355" s="13" t="n">
        <f aca="false">IF(Szenarien!$H$22="OK",(IFERROR(SUMIF(Nutzungsprofile!$B$6:$B$11,"Schulbetrieb",Nutzungsprofile!$G$6:$G$11)*Kalender!C329/SUM(Kalender!$C$5:$C$370),0)+IFERROR(SUMIF(Nutzungsprofile!$B$6:$B$11,"Halle",Nutzungsprofile!$G$6:$G$11)*Kalender!D329/SUM(Kalender!$D$5:$D$370),0)+IFERROR(SUMIF(Nutzungsprofile!$B$6:$B$11,"Individuell",Nutzungsprofile!$G$6:$G$11)*Kalender!E329/SUM(Kalender!$E$5:$E$370),0))*Szenarien!$E$22,0)</f>
        <v>0</v>
      </c>
      <c r="D4355" s="13" t="n">
        <f aca="false">IF(Szenarien!$H$22="OK",(IFERROR(SUMIF(Nutzungsprofile!$B$17:$B$22,"Schulbetrieb",Nutzungsprofile!$G$17:$G$22)*Kalender!C329/SUM(Kalender!$C$5:$C$370),0)+IFERROR(SUMIF(Nutzungsprofile!$B$17:$B$22,"Halle",Nutzungsprofile!$G$17:$G$22)*Kalender!D329/SUM(Kalender!$D$5:$D$370),0)+IFERROR(SUMIF(Nutzungsprofile!$B$17:$B$22,"Individuell",Nutzungsprofile!$G$17:$G$22)*Kalender!E329/SUM(Kalender!$E$5:$E$370),0))*Szenarien!$D$22,0)</f>
        <v>0</v>
      </c>
      <c r="E4355" s="13" t="n">
        <f aca="false">IFERROR(MIN(C4355,Eingaben!$B$17)*Eingaben!$B$16,0)</f>
        <v>0</v>
      </c>
      <c r="F4355" s="13" t="n">
        <f aca="false">IFERROR(E4355*Eingaben!$B$15,0)</f>
        <v>0</v>
      </c>
      <c r="G4355" s="13" t="n">
        <f aca="false">IFERROR(IF(Kalender!A329="",0,J4354*(1-Eingaben!$B$20)),0)</f>
        <v>0.226233</v>
      </c>
      <c r="H4355" s="13" t="n">
        <f aca="false">MIN(G4355,D4355)</f>
        <v>0</v>
      </c>
      <c r="I4355" s="13" t="n">
        <f aca="false">IFERROR(MIN(F4355*Eingaben!$B$19,MAX(0,D4355-H4355)),0)</f>
        <v>0</v>
      </c>
      <c r="J4355" s="13" t="n">
        <f aca="false">IFERROR(MIN(Eingaben!$B$18,MAX(0,F4355-I4355)),0)</f>
        <v>0</v>
      </c>
      <c r="K4355" s="13" t="n">
        <f aca="false">H4355+I4355</f>
        <v>0</v>
      </c>
      <c r="L4355" s="13" t="n">
        <f aca="false">MAX(0,D4355-K4355)</f>
        <v>0</v>
      </c>
      <c r="M4355" s="13" t="n">
        <f aca="false">MAX(0,F4355-I4355-J4355)</f>
        <v>0</v>
      </c>
      <c r="N4355" s="13" t="n">
        <f aca="false">IF(Kalender!A329="",0,J4354-H4355)</f>
        <v>0.23085</v>
      </c>
    </row>
    <row r="4356" customFormat="false" ht="16.4" hidden="false" customHeight="false" outlineLevel="0" collapsed="false">
      <c r="A4356" s="13" t="str">
        <f aca="false">""</f>
        <v/>
      </c>
      <c r="B4356" s="13" t="n">
        <f aca="false">326</f>
        <v>326</v>
      </c>
      <c r="C4356" s="13" t="n">
        <f aca="false">IF(Szenarien!$H$22="OK",(IFERROR(SUMIF(Nutzungsprofile!$B$6:$B$11,"Schulbetrieb",Nutzungsprofile!$G$6:$G$11)*Kalender!C330/SUM(Kalender!$C$5:$C$370),0)+IFERROR(SUMIF(Nutzungsprofile!$B$6:$B$11,"Halle",Nutzungsprofile!$G$6:$G$11)*Kalender!D330/SUM(Kalender!$D$5:$D$370),0)+IFERROR(SUMIF(Nutzungsprofile!$B$6:$B$11,"Individuell",Nutzungsprofile!$G$6:$G$11)*Kalender!E330/SUM(Kalender!$E$5:$E$370),0))*Szenarien!$E$22,0)</f>
        <v>0</v>
      </c>
      <c r="D4356" s="13" t="n">
        <f aca="false">IF(Szenarien!$H$22="OK",(IFERROR(SUMIF(Nutzungsprofile!$B$17:$B$22,"Schulbetrieb",Nutzungsprofile!$G$17:$G$22)*Kalender!C330/SUM(Kalender!$C$5:$C$370),0)+IFERROR(SUMIF(Nutzungsprofile!$B$17:$B$22,"Halle",Nutzungsprofile!$G$17:$G$22)*Kalender!D330/SUM(Kalender!$D$5:$D$370),0)+IFERROR(SUMIF(Nutzungsprofile!$B$17:$B$22,"Individuell",Nutzungsprofile!$G$17:$G$22)*Kalender!E330/SUM(Kalender!$E$5:$E$370),0))*Szenarien!$D$22,0)</f>
        <v>0</v>
      </c>
      <c r="E4356" s="13" t="n">
        <f aca="false">IFERROR(MIN(C4356,Eingaben!$B$17)*Eingaben!$B$16,0)</f>
        <v>0</v>
      </c>
      <c r="F4356" s="13" t="n">
        <f aca="false">IFERROR(E4356*Eingaben!$B$15,0)</f>
        <v>0</v>
      </c>
      <c r="G4356" s="13" t="n">
        <f aca="false">IFERROR(IF(Kalender!A330="",0,J4355*(1-Eingaben!$B$20)),0)</f>
        <v>0</v>
      </c>
      <c r="H4356" s="13" t="n">
        <f aca="false">MIN(G4356,D4356)</f>
        <v>0</v>
      </c>
      <c r="I4356" s="13" t="n">
        <f aca="false">IFERROR(MIN(F4356*Eingaben!$B$19,MAX(0,D4356-H4356)),0)</f>
        <v>0</v>
      </c>
      <c r="J4356" s="13" t="n">
        <f aca="false">IFERROR(MIN(Eingaben!$B$18,MAX(0,F4356-I4356)),0)</f>
        <v>0</v>
      </c>
      <c r="K4356" s="13" t="n">
        <f aca="false">H4356+I4356</f>
        <v>0</v>
      </c>
      <c r="L4356" s="13" t="n">
        <f aca="false">MAX(0,D4356-K4356)</f>
        <v>0</v>
      </c>
      <c r="M4356" s="13" t="n">
        <f aca="false">MAX(0,F4356-I4356-J4356)</f>
        <v>0</v>
      </c>
      <c r="N4356" s="13" t="n">
        <f aca="false">IF(Kalender!A330="",0,J4355-H4356)</f>
        <v>0</v>
      </c>
    </row>
    <row r="4357" customFormat="false" ht="16.4" hidden="false" customHeight="false" outlineLevel="0" collapsed="false">
      <c r="A4357" s="13" t="str">
        <f aca="false">""</f>
        <v/>
      </c>
      <c r="B4357" s="13" t="n">
        <f aca="false">327</f>
        <v>327</v>
      </c>
      <c r="C4357" s="13" t="n">
        <f aca="false">IF(Szenarien!$H$22="OK",(IFERROR(SUMIF(Nutzungsprofile!$B$6:$B$11,"Schulbetrieb",Nutzungsprofile!$G$6:$G$11)*Kalender!C331/SUM(Kalender!$C$5:$C$370),0)+IFERROR(SUMIF(Nutzungsprofile!$B$6:$B$11,"Halle",Nutzungsprofile!$G$6:$G$11)*Kalender!D331/SUM(Kalender!$D$5:$D$370),0)+IFERROR(SUMIF(Nutzungsprofile!$B$6:$B$11,"Individuell",Nutzungsprofile!$G$6:$G$11)*Kalender!E331/SUM(Kalender!$E$5:$E$370),0))*Szenarien!$E$22,0)</f>
        <v>0.9</v>
      </c>
      <c r="D4357" s="13" t="n">
        <f aca="false">IF(Szenarien!$H$22="OK",(IFERROR(SUMIF(Nutzungsprofile!$B$17:$B$22,"Schulbetrieb",Nutzungsprofile!$G$17:$G$22)*Kalender!C331/SUM(Kalender!$C$5:$C$370),0)+IFERROR(SUMIF(Nutzungsprofile!$B$17:$B$22,"Halle",Nutzungsprofile!$G$17:$G$22)*Kalender!D331/SUM(Kalender!$D$5:$D$370),0)+IFERROR(SUMIF(Nutzungsprofile!$B$17:$B$22,"Individuell",Nutzungsprofile!$G$17:$G$22)*Kalender!E331/SUM(Kalender!$E$5:$E$370),0))*Szenarien!$D$22,0)</f>
        <v>4.05</v>
      </c>
      <c r="E4357" s="13" t="n">
        <f aca="false">IFERROR(MIN(C4357,Eingaben!$B$17)*Eingaben!$B$16,0)</f>
        <v>0.855</v>
      </c>
      <c r="F4357" s="13" t="n">
        <f aca="false">IFERROR(E4357*Eingaben!$B$15,0)</f>
        <v>0.7695</v>
      </c>
      <c r="G4357" s="13" t="n">
        <f aca="false">IFERROR(IF(Kalender!A331="",0,J4356*(1-Eingaben!$B$20)),0)</f>
        <v>0</v>
      </c>
      <c r="H4357" s="13" t="n">
        <f aca="false">MIN(G4357,D4357)</f>
        <v>0</v>
      </c>
      <c r="I4357" s="13" t="n">
        <f aca="false">IFERROR(MIN(F4357*Eingaben!$B$19,MAX(0,D4357-H4357)),0)</f>
        <v>0.53865</v>
      </c>
      <c r="J4357" s="13" t="n">
        <f aca="false">IFERROR(MIN(Eingaben!$B$18,MAX(0,F4357-I4357)),0)</f>
        <v>0.23085</v>
      </c>
      <c r="K4357" s="13" t="n">
        <f aca="false">H4357+I4357</f>
        <v>0.53865</v>
      </c>
      <c r="L4357" s="13" t="n">
        <f aca="false">MAX(0,D4357-K4357)</f>
        <v>3.51135</v>
      </c>
      <c r="M4357" s="13" t="n">
        <f aca="false">MAX(0,F4357-I4357-J4357)</f>
        <v>0</v>
      </c>
      <c r="N4357" s="13" t="n">
        <f aca="false">IF(Kalender!A331="",0,J4356-H4357)</f>
        <v>0</v>
      </c>
    </row>
    <row r="4358" customFormat="false" ht="16.4" hidden="false" customHeight="false" outlineLevel="0" collapsed="false">
      <c r="A4358" s="13" t="str">
        <f aca="false">""</f>
        <v/>
      </c>
      <c r="B4358" s="13" t="n">
        <f aca="false">328</f>
        <v>328</v>
      </c>
      <c r="C4358" s="13" t="n">
        <f aca="false">IF(Szenarien!$H$22="OK",(IFERROR(SUMIF(Nutzungsprofile!$B$6:$B$11,"Schulbetrieb",Nutzungsprofile!$G$6:$G$11)*Kalender!C332/SUM(Kalender!$C$5:$C$370),0)+IFERROR(SUMIF(Nutzungsprofile!$B$6:$B$11,"Halle",Nutzungsprofile!$G$6:$G$11)*Kalender!D332/SUM(Kalender!$D$5:$D$370),0)+IFERROR(SUMIF(Nutzungsprofile!$B$6:$B$11,"Individuell",Nutzungsprofile!$G$6:$G$11)*Kalender!E332/SUM(Kalender!$E$5:$E$370),0))*Szenarien!$E$22,0)</f>
        <v>0.9</v>
      </c>
      <c r="D4358" s="13" t="n">
        <f aca="false">IF(Szenarien!$H$22="OK",(IFERROR(SUMIF(Nutzungsprofile!$B$17:$B$22,"Schulbetrieb",Nutzungsprofile!$G$17:$G$22)*Kalender!C332/SUM(Kalender!$C$5:$C$370),0)+IFERROR(SUMIF(Nutzungsprofile!$B$17:$B$22,"Halle",Nutzungsprofile!$G$17:$G$22)*Kalender!D332/SUM(Kalender!$D$5:$D$370),0)+IFERROR(SUMIF(Nutzungsprofile!$B$17:$B$22,"Individuell",Nutzungsprofile!$G$17:$G$22)*Kalender!E332/SUM(Kalender!$E$5:$E$370),0))*Szenarien!$D$22,0)</f>
        <v>4.05</v>
      </c>
      <c r="E4358" s="13" t="n">
        <f aca="false">IFERROR(MIN(C4358,Eingaben!$B$17)*Eingaben!$B$16,0)</f>
        <v>0.855</v>
      </c>
      <c r="F4358" s="13" t="n">
        <f aca="false">IFERROR(E4358*Eingaben!$B$15,0)</f>
        <v>0.7695</v>
      </c>
      <c r="G4358" s="13" t="n">
        <f aca="false">IFERROR(IF(Kalender!A332="",0,J4357*(1-Eingaben!$B$20)),0)</f>
        <v>0.226233</v>
      </c>
      <c r="H4358" s="13" t="n">
        <f aca="false">MIN(G4358,D4358)</f>
        <v>0.226233</v>
      </c>
      <c r="I4358" s="13" t="n">
        <f aca="false">IFERROR(MIN(F4358*Eingaben!$B$19,MAX(0,D4358-H4358)),0)</f>
        <v>0.53865</v>
      </c>
      <c r="J4358" s="13" t="n">
        <f aca="false">IFERROR(MIN(Eingaben!$B$18,MAX(0,F4358-I4358)),0)</f>
        <v>0.23085</v>
      </c>
      <c r="K4358" s="13" t="n">
        <f aca="false">H4358+I4358</f>
        <v>0.764883</v>
      </c>
      <c r="L4358" s="13" t="n">
        <f aca="false">MAX(0,D4358-K4358)</f>
        <v>3.285117</v>
      </c>
      <c r="M4358" s="13" t="n">
        <f aca="false">MAX(0,F4358-I4358-J4358)</f>
        <v>0</v>
      </c>
      <c r="N4358" s="13" t="n">
        <f aca="false">IF(Kalender!A332="",0,J4357-H4358)</f>
        <v>0.00461700000000001</v>
      </c>
    </row>
    <row r="4359" customFormat="false" ht="16.4" hidden="false" customHeight="false" outlineLevel="0" collapsed="false">
      <c r="A4359" s="13" t="str">
        <f aca="false">""</f>
        <v/>
      </c>
      <c r="B4359" s="13" t="n">
        <f aca="false">329</f>
        <v>329</v>
      </c>
      <c r="C4359" s="13" t="n">
        <f aca="false">IF(Szenarien!$H$22="OK",(IFERROR(SUMIF(Nutzungsprofile!$B$6:$B$11,"Schulbetrieb",Nutzungsprofile!$G$6:$G$11)*Kalender!C333/SUM(Kalender!$C$5:$C$370),0)+IFERROR(SUMIF(Nutzungsprofile!$B$6:$B$11,"Halle",Nutzungsprofile!$G$6:$G$11)*Kalender!D333/SUM(Kalender!$D$5:$D$370),0)+IFERROR(SUMIF(Nutzungsprofile!$B$6:$B$11,"Individuell",Nutzungsprofile!$G$6:$G$11)*Kalender!E333/SUM(Kalender!$E$5:$E$370),0))*Szenarien!$E$22,0)</f>
        <v>0</v>
      </c>
      <c r="D4359" s="13" t="n">
        <f aca="false">IF(Szenarien!$H$22="OK",(IFERROR(SUMIF(Nutzungsprofile!$B$17:$B$22,"Schulbetrieb",Nutzungsprofile!$G$17:$G$22)*Kalender!C333/SUM(Kalender!$C$5:$C$370),0)+IFERROR(SUMIF(Nutzungsprofile!$B$17:$B$22,"Halle",Nutzungsprofile!$G$17:$G$22)*Kalender!D333/SUM(Kalender!$D$5:$D$370),0)+IFERROR(SUMIF(Nutzungsprofile!$B$17:$B$22,"Individuell",Nutzungsprofile!$G$17:$G$22)*Kalender!E333/SUM(Kalender!$E$5:$E$370),0))*Szenarien!$D$22,0)</f>
        <v>0</v>
      </c>
      <c r="E4359" s="13" t="n">
        <f aca="false">IFERROR(MIN(C4359,Eingaben!$B$17)*Eingaben!$B$16,0)</f>
        <v>0</v>
      </c>
      <c r="F4359" s="13" t="n">
        <f aca="false">IFERROR(E4359*Eingaben!$B$15,0)</f>
        <v>0</v>
      </c>
      <c r="G4359" s="13" t="n">
        <f aca="false">IFERROR(IF(Kalender!A333="",0,J4358*(1-Eingaben!$B$20)),0)</f>
        <v>0.226233</v>
      </c>
      <c r="H4359" s="13" t="n">
        <f aca="false">MIN(G4359,D4359)</f>
        <v>0</v>
      </c>
      <c r="I4359" s="13" t="n">
        <f aca="false">IFERROR(MIN(F4359*Eingaben!$B$19,MAX(0,D4359-H4359)),0)</f>
        <v>0</v>
      </c>
      <c r="J4359" s="13" t="n">
        <f aca="false">IFERROR(MIN(Eingaben!$B$18,MAX(0,F4359-I4359)),0)</f>
        <v>0</v>
      </c>
      <c r="K4359" s="13" t="n">
        <f aca="false">H4359+I4359</f>
        <v>0</v>
      </c>
      <c r="L4359" s="13" t="n">
        <f aca="false">MAX(0,D4359-K4359)</f>
        <v>0</v>
      </c>
      <c r="M4359" s="13" t="n">
        <f aca="false">MAX(0,F4359-I4359-J4359)</f>
        <v>0</v>
      </c>
      <c r="N4359" s="13" t="n">
        <f aca="false">IF(Kalender!A333="",0,J4358-H4359)</f>
        <v>0.23085</v>
      </c>
    </row>
    <row r="4360" customFormat="false" ht="16.4" hidden="false" customHeight="false" outlineLevel="0" collapsed="false">
      <c r="A4360" s="13" t="str">
        <f aca="false">""</f>
        <v/>
      </c>
      <c r="B4360" s="13" t="n">
        <f aca="false">330</f>
        <v>330</v>
      </c>
      <c r="C4360" s="13" t="n">
        <f aca="false">IF(Szenarien!$H$22="OK",(IFERROR(SUMIF(Nutzungsprofile!$B$6:$B$11,"Schulbetrieb",Nutzungsprofile!$G$6:$G$11)*Kalender!C334/SUM(Kalender!$C$5:$C$370),0)+IFERROR(SUMIF(Nutzungsprofile!$B$6:$B$11,"Halle",Nutzungsprofile!$G$6:$G$11)*Kalender!D334/SUM(Kalender!$D$5:$D$370),0)+IFERROR(SUMIF(Nutzungsprofile!$B$6:$B$11,"Individuell",Nutzungsprofile!$G$6:$G$11)*Kalender!E334/SUM(Kalender!$E$5:$E$370),0))*Szenarien!$E$22,0)</f>
        <v>0</v>
      </c>
      <c r="D4360" s="13" t="n">
        <f aca="false">IF(Szenarien!$H$22="OK",(IFERROR(SUMIF(Nutzungsprofile!$B$17:$B$22,"Schulbetrieb",Nutzungsprofile!$G$17:$G$22)*Kalender!C334/SUM(Kalender!$C$5:$C$370),0)+IFERROR(SUMIF(Nutzungsprofile!$B$17:$B$22,"Halle",Nutzungsprofile!$G$17:$G$22)*Kalender!D334/SUM(Kalender!$D$5:$D$370),0)+IFERROR(SUMIF(Nutzungsprofile!$B$17:$B$22,"Individuell",Nutzungsprofile!$G$17:$G$22)*Kalender!E334/SUM(Kalender!$E$5:$E$370),0))*Szenarien!$D$22,0)</f>
        <v>0</v>
      </c>
      <c r="E4360" s="13" t="n">
        <f aca="false">IFERROR(MIN(C4360,Eingaben!$B$17)*Eingaben!$B$16,0)</f>
        <v>0</v>
      </c>
      <c r="F4360" s="13" t="n">
        <f aca="false">IFERROR(E4360*Eingaben!$B$15,0)</f>
        <v>0</v>
      </c>
      <c r="G4360" s="13" t="n">
        <f aca="false">IFERROR(IF(Kalender!A334="",0,J4359*(1-Eingaben!$B$20)),0)</f>
        <v>0</v>
      </c>
      <c r="H4360" s="13" t="n">
        <f aca="false">MIN(G4360,D4360)</f>
        <v>0</v>
      </c>
      <c r="I4360" s="13" t="n">
        <f aca="false">IFERROR(MIN(F4360*Eingaben!$B$19,MAX(0,D4360-H4360)),0)</f>
        <v>0</v>
      </c>
      <c r="J4360" s="13" t="n">
        <f aca="false">IFERROR(MIN(Eingaben!$B$18,MAX(0,F4360-I4360)),0)</f>
        <v>0</v>
      </c>
      <c r="K4360" s="13" t="n">
        <f aca="false">H4360+I4360</f>
        <v>0</v>
      </c>
      <c r="L4360" s="13" t="n">
        <f aca="false">MAX(0,D4360-K4360)</f>
        <v>0</v>
      </c>
      <c r="M4360" s="13" t="n">
        <f aca="false">MAX(0,F4360-I4360-J4360)</f>
        <v>0</v>
      </c>
      <c r="N4360" s="13" t="n">
        <f aca="false">IF(Kalender!A334="",0,J4359-H4360)</f>
        <v>0</v>
      </c>
    </row>
    <row r="4361" customFormat="false" ht="16.4" hidden="false" customHeight="false" outlineLevel="0" collapsed="false">
      <c r="A4361" s="13" t="str">
        <f aca="false">""</f>
        <v/>
      </c>
      <c r="B4361" s="13" t="n">
        <f aca="false">331</f>
        <v>331</v>
      </c>
      <c r="C4361" s="13" t="n">
        <f aca="false">IF(Szenarien!$H$22="OK",(IFERROR(SUMIF(Nutzungsprofile!$B$6:$B$11,"Schulbetrieb",Nutzungsprofile!$G$6:$G$11)*Kalender!C335/SUM(Kalender!$C$5:$C$370),0)+IFERROR(SUMIF(Nutzungsprofile!$B$6:$B$11,"Halle",Nutzungsprofile!$G$6:$G$11)*Kalender!D335/SUM(Kalender!$D$5:$D$370),0)+IFERROR(SUMIF(Nutzungsprofile!$B$6:$B$11,"Individuell",Nutzungsprofile!$G$6:$G$11)*Kalender!E335/SUM(Kalender!$E$5:$E$370),0))*Szenarien!$E$22,0)</f>
        <v>0</v>
      </c>
      <c r="D4361" s="13" t="n">
        <f aca="false">IF(Szenarien!$H$22="OK",(IFERROR(SUMIF(Nutzungsprofile!$B$17:$B$22,"Schulbetrieb",Nutzungsprofile!$G$17:$G$22)*Kalender!C335/SUM(Kalender!$C$5:$C$370),0)+IFERROR(SUMIF(Nutzungsprofile!$B$17:$B$22,"Halle",Nutzungsprofile!$G$17:$G$22)*Kalender!D335/SUM(Kalender!$D$5:$D$370),0)+IFERROR(SUMIF(Nutzungsprofile!$B$17:$B$22,"Individuell",Nutzungsprofile!$G$17:$G$22)*Kalender!E335/SUM(Kalender!$E$5:$E$370),0))*Szenarien!$D$22,0)</f>
        <v>0</v>
      </c>
      <c r="E4361" s="13" t="n">
        <f aca="false">IFERROR(MIN(C4361,Eingaben!$B$17)*Eingaben!$B$16,0)</f>
        <v>0</v>
      </c>
      <c r="F4361" s="13" t="n">
        <f aca="false">IFERROR(E4361*Eingaben!$B$15,0)</f>
        <v>0</v>
      </c>
      <c r="G4361" s="13" t="n">
        <f aca="false">IFERROR(IF(Kalender!A335="",0,J4360*(1-Eingaben!$B$20)),0)</f>
        <v>0</v>
      </c>
      <c r="H4361" s="13" t="n">
        <f aca="false">MIN(G4361,D4361)</f>
        <v>0</v>
      </c>
      <c r="I4361" s="13" t="n">
        <f aca="false">IFERROR(MIN(F4361*Eingaben!$B$19,MAX(0,D4361-H4361)),0)</f>
        <v>0</v>
      </c>
      <c r="J4361" s="13" t="n">
        <f aca="false">IFERROR(MIN(Eingaben!$B$18,MAX(0,F4361-I4361)),0)</f>
        <v>0</v>
      </c>
      <c r="K4361" s="13" t="n">
        <f aca="false">H4361+I4361</f>
        <v>0</v>
      </c>
      <c r="L4361" s="13" t="n">
        <f aca="false">MAX(0,D4361-K4361)</f>
        <v>0</v>
      </c>
      <c r="M4361" s="13" t="n">
        <f aca="false">MAX(0,F4361-I4361-J4361)</f>
        <v>0</v>
      </c>
      <c r="N4361" s="13" t="n">
        <f aca="false">IF(Kalender!A335="",0,J4360-H4361)</f>
        <v>0</v>
      </c>
    </row>
    <row r="4362" customFormat="false" ht="16.4" hidden="false" customHeight="false" outlineLevel="0" collapsed="false">
      <c r="A4362" s="13" t="str">
        <f aca="false">""</f>
        <v/>
      </c>
      <c r="B4362" s="13" t="n">
        <f aca="false">332</f>
        <v>332</v>
      </c>
      <c r="C4362" s="13" t="n">
        <f aca="false">IF(Szenarien!$H$22="OK",(IFERROR(SUMIF(Nutzungsprofile!$B$6:$B$11,"Schulbetrieb",Nutzungsprofile!$G$6:$G$11)*Kalender!C336/SUM(Kalender!$C$5:$C$370),0)+IFERROR(SUMIF(Nutzungsprofile!$B$6:$B$11,"Halle",Nutzungsprofile!$G$6:$G$11)*Kalender!D336/SUM(Kalender!$D$5:$D$370),0)+IFERROR(SUMIF(Nutzungsprofile!$B$6:$B$11,"Individuell",Nutzungsprofile!$G$6:$G$11)*Kalender!E336/SUM(Kalender!$E$5:$E$370),0))*Szenarien!$E$22,0)</f>
        <v>0</v>
      </c>
      <c r="D4362" s="13" t="n">
        <f aca="false">IF(Szenarien!$H$22="OK",(IFERROR(SUMIF(Nutzungsprofile!$B$17:$B$22,"Schulbetrieb",Nutzungsprofile!$G$17:$G$22)*Kalender!C336/SUM(Kalender!$C$5:$C$370),0)+IFERROR(SUMIF(Nutzungsprofile!$B$17:$B$22,"Halle",Nutzungsprofile!$G$17:$G$22)*Kalender!D336/SUM(Kalender!$D$5:$D$370),0)+IFERROR(SUMIF(Nutzungsprofile!$B$17:$B$22,"Individuell",Nutzungsprofile!$G$17:$G$22)*Kalender!E336/SUM(Kalender!$E$5:$E$370),0))*Szenarien!$D$22,0)</f>
        <v>0</v>
      </c>
      <c r="E4362" s="13" t="n">
        <f aca="false">IFERROR(MIN(C4362,Eingaben!$B$17)*Eingaben!$B$16,0)</f>
        <v>0</v>
      </c>
      <c r="F4362" s="13" t="n">
        <f aca="false">IFERROR(E4362*Eingaben!$B$15,0)</f>
        <v>0</v>
      </c>
      <c r="G4362" s="13" t="n">
        <f aca="false">IFERROR(IF(Kalender!A336="",0,J4361*(1-Eingaben!$B$20)),0)</f>
        <v>0</v>
      </c>
      <c r="H4362" s="13" t="n">
        <f aca="false">MIN(G4362,D4362)</f>
        <v>0</v>
      </c>
      <c r="I4362" s="13" t="n">
        <f aca="false">IFERROR(MIN(F4362*Eingaben!$B$19,MAX(0,D4362-H4362)),0)</f>
        <v>0</v>
      </c>
      <c r="J4362" s="13" t="n">
        <f aca="false">IFERROR(MIN(Eingaben!$B$18,MAX(0,F4362-I4362)),0)</f>
        <v>0</v>
      </c>
      <c r="K4362" s="13" t="n">
        <f aca="false">H4362+I4362</f>
        <v>0</v>
      </c>
      <c r="L4362" s="13" t="n">
        <f aca="false">MAX(0,D4362-K4362)</f>
        <v>0</v>
      </c>
      <c r="M4362" s="13" t="n">
        <f aca="false">MAX(0,F4362-I4362-J4362)</f>
        <v>0</v>
      </c>
      <c r="N4362" s="13" t="n">
        <f aca="false">IF(Kalender!A336="",0,J4361-H4362)</f>
        <v>0</v>
      </c>
    </row>
    <row r="4363" customFormat="false" ht="16.4" hidden="false" customHeight="false" outlineLevel="0" collapsed="false">
      <c r="A4363" s="13" t="str">
        <f aca="false">""</f>
        <v/>
      </c>
      <c r="B4363" s="13" t="n">
        <f aca="false">333</f>
        <v>333</v>
      </c>
      <c r="C4363" s="13" t="n">
        <f aca="false">IF(Szenarien!$H$22="OK",(IFERROR(SUMIF(Nutzungsprofile!$B$6:$B$11,"Schulbetrieb",Nutzungsprofile!$G$6:$G$11)*Kalender!C337/SUM(Kalender!$C$5:$C$370),0)+IFERROR(SUMIF(Nutzungsprofile!$B$6:$B$11,"Halle",Nutzungsprofile!$G$6:$G$11)*Kalender!D337/SUM(Kalender!$D$5:$D$370),0)+IFERROR(SUMIF(Nutzungsprofile!$B$6:$B$11,"Individuell",Nutzungsprofile!$G$6:$G$11)*Kalender!E337/SUM(Kalender!$E$5:$E$370),0))*Szenarien!$E$22,0)</f>
        <v>0</v>
      </c>
      <c r="D4363" s="13" t="n">
        <f aca="false">IF(Szenarien!$H$22="OK",(IFERROR(SUMIF(Nutzungsprofile!$B$17:$B$22,"Schulbetrieb",Nutzungsprofile!$G$17:$G$22)*Kalender!C337/SUM(Kalender!$C$5:$C$370),0)+IFERROR(SUMIF(Nutzungsprofile!$B$17:$B$22,"Halle",Nutzungsprofile!$G$17:$G$22)*Kalender!D337/SUM(Kalender!$D$5:$D$370),0)+IFERROR(SUMIF(Nutzungsprofile!$B$17:$B$22,"Individuell",Nutzungsprofile!$G$17:$G$22)*Kalender!E337/SUM(Kalender!$E$5:$E$370),0))*Szenarien!$D$22,0)</f>
        <v>0</v>
      </c>
      <c r="E4363" s="13" t="n">
        <f aca="false">IFERROR(MIN(C4363,Eingaben!$B$17)*Eingaben!$B$16,0)</f>
        <v>0</v>
      </c>
      <c r="F4363" s="13" t="n">
        <f aca="false">IFERROR(E4363*Eingaben!$B$15,0)</f>
        <v>0</v>
      </c>
      <c r="G4363" s="13" t="n">
        <f aca="false">IFERROR(IF(Kalender!A337="",0,J4362*(1-Eingaben!$B$20)),0)</f>
        <v>0</v>
      </c>
      <c r="H4363" s="13" t="n">
        <f aca="false">MIN(G4363,D4363)</f>
        <v>0</v>
      </c>
      <c r="I4363" s="13" t="n">
        <f aca="false">IFERROR(MIN(F4363*Eingaben!$B$19,MAX(0,D4363-H4363)),0)</f>
        <v>0</v>
      </c>
      <c r="J4363" s="13" t="n">
        <f aca="false">IFERROR(MIN(Eingaben!$B$18,MAX(0,F4363-I4363)),0)</f>
        <v>0</v>
      </c>
      <c r="K4363" s="13" t="n">
        <f aca="false">H4363+I4363</f>
        <v>0</v>
      </c>
      <c r="L4363" s="13" t="n">
        <f aca="false">MAX(0,D4363-K4363)</f>
        <v>0</v>
      </c>
      <c r="M4363" s="13" t="n">
        <f aca="false">MAX(0,F4363-I4363-J4363)</f>
        <v>0</v>
      </c>
      <c r="N4363" s="13" t="n">
        <f aca="false">IF(Kalender!A337="",0,J4362-H4363)</f>
        <v>0</v>
      </c>
    </row>
    <row r="4364" customFormat="false" ht="16.4" hidden="false" customHeight="false" outlineLevel="0" collapsed="false">
      <c r="A4364" s="13" t="str">
        <f aca="false">""</f>
        <v/>
      </c>
      <c r="B4364" s="13" t="n">
        <f aca="false">334</f>
        <v>334</v>
      </c>
      <c r="C4364" s="13" t="n">
        <f aca="false">IF(Szenarien!$H$22="OK",(IFERROR(SUMIF(Nutzungsprofile!$B$6:$B$11,"Schulbetrieb",Nutzungsprofile!$G$6:$G$11)*Kalender!C338/SUM(Kalender!$C$5:$C$370),0)+IFERROR(SUMIF(Nutzungsprofile!$B$6:$B$11,"Halle",Nutzungsprofile!$G$6:$G$11)*Kalender!D338/SUM(Kalender!$D$5:$D$370),0)+IFERROR(SUMIF(Nutzungsprofile!$B$6:$B$11,"Individuell",Nutzungsprofile!$G$6:$G$11)*Kalender!E338/SUM(Kalender!$E$5:$E$370),0))*Szenarien!$E$22,0)</f>
        <v>0</v>
      </c>
      <c r="D4364" s="13" t="n">
        <f aca="false">IF(Szenarien!$H$22="OK",(IFERROR(SUMIF(Nutzungsprofile!$B$17:$B$22,"Schulbetrieb",Nutzungsprofile!$G$17:$G$22)*Kalender!C338/SUM(Kalender!$C$5:$C$370),0)+IFERROR(SUMIF(Nutzungsprofile!$B$17:$B$22,"Halle",Nutzungsprofile!$G$17:$G$22)*Kalender!D338/SUM(Kalender!$D$5:$D$370),0)+IFERROR(SUMIF(Nutzungsprofile!$B$17:$B$22,"Individuell",Nutzungsprofile!$G$17:$G$22)*Kalender!E338/SUM(Kalender!$E$5:$E$370),0))*Szenarien!$D$22,0)</f>
        <v>0</v>
      </c>
      <c r="E4364" s="13" t="n">
        <f aca="false">IFERROR(MIN(C4364,Eingaben!$B$17)*Eingaben!$B$16,0)</f>
        <v>0</v>
      </c>
      <c r="F4364" s="13" t="n">
        <f aca="false">IFERROR(E4364*Eingaben!$B$15,0)</f>
        <v>0</v>
      </c>
      <c r="G4364" s="13" t="n">
        <f aca="false">IFERROR(IF(Kalender!A338="",0,J4363*(1-Eingaben!$B$20)),0)</f>
        <v>0</v>
      </c>
      <c r="H4364" s="13" t="n">
        <f aca="false">MIN(G4364,D4364)</f>
        <v>0</v>
      </c>
      <c r="I4364" s="13" t="n">
        <f aca="false">IFERROR(MIN(F4364*Eingaben!$B$19,MAX(0,D4364-H4364)),0)</f>
        <v>0</v>
      </c>
      <c r="J4364" s="13" t="n">
        <f aca="false">IFERROR(MIN(Eingaben!$B$18,MAX(0,F4364-I4364)),0)</f>
        <v>0</v>
      </c>
      <c r="K4364" s="13" t="n">
        <f aca="false">H4364+I4364</f>
        <v>0</v>
      </c>
      <c r="L4364" s="13" t="n">
        <f aca="false">MAX(0,D4364-K4364)</f>
        <v>0</v>
      </c>
      <c r="M4364" s="13" t="n">
        <f aca="false">MAX(0,F4364-I4364-J4364)</f>
        <v>0</v>
      </c>
      <c r="N4364" s="13" t="n">
        <f aca="false">IF(Kalender!A338="",0,J4363-H4364)</f>
        <v>0</v>
      </c>
    </row>
    <row r="4365" customFormat="false" ht="16.4" hidden="false" customHeight="false" outlineLevel="0" collapsed="false">
      <c r="A4365" s="13" t="str">
        <f aca="false">""</f>
        <v/>
      </c>
      <c r="B4365" s="13" t="n">
        <f aca="false">335</f>
        <v>335</v>
      </c>
      <c r="C4365" s="13" t="n">
        <f aca="false">IF(Szenarien!$H$22="OK",(IFERROR(SUMIF(Nutzungsprofile!$B$6:$B$11,"Schulbetrieb",Nutzungsprofile!$G$6:$G$11)*Kalender!C339/SUM(Kalender!$C$5:$C$370),0)+IFERROR(SUMIF(Nutzungsprofile!$B$6:$B$11,"Halle",Nutzungsprofile!$G$6:$G$11)*Kalender!D339/SUM(Kalender!$D$5:$D$370),0)+IFERROR(SUMIF(Nutzungsprofile!$B$6:$B$11,"Individuell",Nutzungsprofile!$G$6:$G$11)*Kalender!E339/SUM(Kalender!$E$5:$E$370),0))*Szenarien!$E$22,0)</f>
        <v>0</v>
      </c>
      <c r="D4365" s="13" t="n">
        <f aca="false">IF(Szenarien!$H$22="OK",(IFERROR(SUMIF(Nutzungsprofile!$B$17:$B$22,"Schulbetrieb",Nutzungsprofile!$G$17:$G$22)*Kalender!C339/SUM(Kalender!$C$5:$C$370),0)+IFERROR(SUMIF(Nutzungsprofile!$B$17:$B$22,"Halle",Nutzungsprofile!$G$17:$G$22)*Kalender!D339/SUM(Kalender!$D$5:$D$370),0)+IFERROR(SUMIF(Nutzungsprofile!$B$17:$B$22,"Individuell",Nutzungsprofile!$G$17:$G$22)*Kalender!E339/SUM(Kalender!$E$5:$E$370),0))*Szenarien!$D$22,0)</f>
        <v>0</v>
      </c>
      <c r="E4365" s="13" t="n">
        <f aca="false">IFERROR(MIN(C4365,Eingaben!$B$17)*Eingaben!$B$16,0)</f>
        <v>0</v>
      </c>
      <c r="F4365" s="13" t="n">
        <f aca="false">IFERROR(E4365*Eingaben!$B$15,0)</f>
        <v>0</v>
      </c>
      <c r="G4365" s="13" t="n">
        <f aca="false">IFERROR(IF(Kalender!A339="",0,J4364*(1-Eingaben!$B$20)),0)</f>
        <v>0</v>
      </c>
      <c r="H4365" s="13" t="n">
        <f aca="false">MIN(G4365,D4365)</f>
        <v>0</v>
      </c>
      <c r="I4365" s="13" t="n">
        <f aca="false">IFERROR(MIN(F4365*Eingaben!$B$19,MAX(0,D4365-H4365)),0)</f>
        <v>0</v>
      </c>
      <c r="J4365" s="13" t="n">
        <f aca="false">IFERROR(MIN(Eingaben!$B$18,MAX(0,F4365-I4365)),0)</f>
        <v>0</v>
      </c>
      <c r="K4365" s="13" t="n">
        <f aca="false">H4365+I4365</f>
        <v>0</v>
      </c>
      <c r="L4365" s="13" t="n">
        <f aca="false">MAX(0,D4365-K4365)</f>
        <v>0</v>
      </c>
      <c r="M4365" s="13" t="n">
        <f aca="false">MAX(0,F4365-I4365-J4365)</f>
        <v>0</v>
      </c>
      <c r="N4365" s="13" t="n">
        <f aca="false">IF(Kalender!A339="",0,J4364-H4365)</f>
        <v>0</v>
      </c>
    </row>
    <row r="4366" customFormat="false" ht="16.4" hidden="false" customHeight="false" outlineLevel="0" collapsed="false">
      <c r="A4366" s="13" t="str">
        <f aca="false">""</f>
        <v/>
      </c>
      <c r="B4366" s="13" t="n">
        <f aca="false">336</f>
        <v>336</v>
      </c>
      <c r="C4366" s="13" t="n">
        <f aca="false">IF(Szenarien!$H$22="OK",(IFERROR(SUMIF(Nutzungsprofile!$B$6:$B$11,"Schulbetrieb",Nutzungsprofile!$G$6:$G$11)*Kalender!C340/SUM(Kalender!$C$5:$C$370),0)+IFERROR(SUMIF(Nutzungsprofile!$B$6:$B$11,"Halle",Nutzungsprofile!$G$6:$G$11)*Kalender!D340/SUM(Kalender!$D$5:$D$370),0)+IFERROR(SUMIF(Nutzungsprofile!$B$6:$B$11,"Individuell",Nutzungsprofile!$G$6:$G$11)*Kalender!E340/SUM(Kalender!$E$5:$E$370),0))*Szenarien!$E$22,0)</f>
        <v>0</v>
      </c>
      <c r="D4366" s="13" t="n">
        <f aca="false">IF(Szenarien!$H$22="OK",(IFERROR(SUMIF(Nutzungsprofile!$B$17:$B$22,"Schulbetrieb",Nutzungsprofile!$G$17:$G$22)*Kalender!C340/SUM(Kalender!$C$5:$C$370),0)+IFERROR(SUMIF(Nutzungsprofile!$B$17:$B$22,"Halle",Nutzungsprofile!$G$17:$G$22)*Kalender!D340/SUM(Kalender!$D$5:$D$370),0)+IFERROR(SUMIF(Nutzungsprofile!$B$17:$B$22,"Individuell",Nutzungsprofile!$G$17:$G$22)*Kalender!E340/SUM(Kalender!$E$5:$E$370),0))*Szenarien!$D$22,0)</f>
        <v>0</v>
      </c>
      <c r="E4366" s="13" t="n">
        <f aca="false">IFERROR(MIN(C4366,Eingaben!$B$17)*Eingaben!$B$16,0)</f>
        <v>0</v>
      </c>
      <c r="F4366" s="13" t="n">
        <f aca="false">IFERROR(E4366*Eingaben!$B$15,0)</f>
        <v>0</v>
      </c>
      <c r="G4366" s="13" t="n">
        <f aca="false">IFERROR(IF(Kalender!A340="",0,J4365*(1-Eingaben!$B$20)),0)</f>
        <v>0</v>
      </c>
      <c r="H4366" s="13" t="n">
        <f aca="false">MIN(G4366,D4366)</f>
        <v>0</v>
      </c>
      <c r="I4366" s="13" t="n">
        <f aca="false">IFERROR(MIN(F4366*Eingaben!$B$19,MAX(0,D4366-H4366)),0)</f>
        <v>0</v>
      </c>
      <c r="J4366" s="13" t="n">
        <f aca="false">IFERROR(MIN(Eingaben!$B$18,MAX(0,F4366-I4366)),0)</f>
        <v>0</v>
      </c>
      <c r="K4366" s="13" t="n">
        <f aca="false">H4366+I4366</f>
        <v>0</v>
      </c>
      <c r="L4366" s="13" t="n">
        <f aca="false">MAX(0,D4366-K4366)</f>
        <v>0</v>
      </c>
      <c r="M4366" s="13" t="n">
        <f aca="false">MAX(0,F4366-I4366-J4366)</f>
        <v>0</v>
      </c>
      <c r="N4366" s="13" t="n">
        <f aca="false">IF(Kalender!A340="",0,J4365-H4366)</f>
        <v>0</v>
      </c>
    </row>
    <row r="4367" customFormat="false" ht="16.4" hidden="false" customHeight="false" outlineLevel="0" collapsed="false">
      <c r="A4367" s="13" t="str">
        <f aca="false">""</f>
        <v/>
      </c>
      <c r="B4367" s="13" t="n">
        <f aca="false">337</f>
        <v>337</v>
      </c>
      <c r="C4367" s="13" t="n">
        <f aca="false">IF(Szenarien!$H$22="OK",(IFERROR(SUMIF(Nutzungsprofile!$B$6:$B$11,"Schulbetrieb",Nutzungsprofile!$G$6:$G$11)*Kalender!C341/SUM(Kalender!$C$5:$C$370),0)+IFERROR(SUMIF(Nutzungsprofile!$B$6:$B$11,"Halle",Nutzungsprofile!$G$6:$G$11)*Kalender!D341/SUM(Kalender!$D$5:$D$370),0)+IFERROR(SUMIF(Nutzungsprofile!$B$6:$B$11,"Individuell",Nutzungsprofile!$G$6:$G$11)*Kalender!E341/SUM(Kalender!$E$5:$E$370),0))*Szenarien!$E$22,0)</f>
        <v>0</v>
      </c>
      <c r="D4367" s="13" t="n">
        <f aca="false">IF(Szenarien!$H$22="OK",(IFERROR(SUMIF(Nutzungsprofile!$B$17:$B$22,"Schulbetrieb",Nutzungsprofile!$G$17:$G$22)*Kalender!C341/SUM(Kalender!$C$5:$C$370),0)+IFERROR(SUMIF(Nutzungsprofile!$B$17:$B$22,"Halle",Nutzungsprofile!$G$17:$G$22)*Kalender!D341/SUM(Kalender!$D$5:$D$370),0)+IFERROR(SUMIF(Nutzungsprofile!$B$17:$B$22,"Individuell",Nutzungsprofile!$G$17:$G$22)*Kalender!E341/SUM(Kalender!$E$5:$E$370),0))*Szenarien!$D$22,0)</f>
        <v>0</v>
      </c>
      <c r="E4367" s="13" t="n">
        <f aca="false">IFERROR(MIN(C4367,Eingaben!$B$17)*Eingaben!$B$16,0)</f>
        <v>0</v>
      </c>
      <c r="F4367" s="13" t="n">
        <f aca="false">IFERROR(E4367*Eingaben!$B$15,0)</f>
        <v>0</v>
      </c>
      <c r="G4367" s="13" t="n">
        <f aca="false">IFERROR(IF(Kalender!A341="",0,J4366*(1-Eingaben!$B$20)),0)</f>
        <v>0</v>
      </c>
      <c r="H4367" s="13" t="n">
        <f aca="false">MIN(G4367,D4367)</f>
        <v>0</v>
      </c>
      <c r="I4367" s="13" t="n">
        <f aca="false">IFERROR(MIN(F4367*Eingaben!$B$19,MAX(0,D4367-H4367)),0)</f>
        <v>0</v>
      </c>
      <c r="J4367" s="13" t="n">
        <f aca="false">IFERROR(MIN(Eingaben!$B$18,MAX(0,F4367-I4367)),0)</f>
        <v>0</v>
      </c>
      <c r="K4367" s="13" t="n">
        <f aca="false">H4367+I4367</f>
        <v>0</v>
      </c>
      <c r="L4367" s="13" t="n">
        <f aca="false">MAX(0,D4367-K4367)</f>
        <v>0</v>
      </c>
      <c r="M4367" s="13" t="n">
        <f aca="false">MAX(0,F4367-I4367-J4367)</f>
        <v>0</v>
      </c>
      <c r="N4367" s="13" t="n">
        <f aca="false">IF(Kalender!A341="",0,J4366-H4367)</f>
        <v>0</v>
      </c>
    </row>
    <row r="4368" customFormat="false" ht="16.4" hidden="false" customHeight="false" outlineLevel="0" collapsed="false">
      <c r="A4368" s="13" t="str">
        <f aca="false">""</f>
        <v/>
      </c>
      <c r="B4368" s="13" t="n">
        <f aca="false">338</f>
        <v>338</v>
      </c>
      <c r="C4368" s="13" t="n">
        <f aca="false">IF(Szenarien!$H$22="OK",(IFERROR(SUMIF(Nutzungsprofile!$B$6:$B$11,"Schulbetrieb",Nutzungsprofile!$G$6:$G$11)*Kalender!C342/SUM(Kalender!$C$5:$C$370),0)+IFERROR(SUMIF(Nutzungsprofile!$B$6:$B$11,"Halle",Nutzungsprofile!$G$6:$G$11)*Kalender!D342/SUM(Kalender!$D$5:$D$370),0)+IFERROR(SUMIF(Nutzungsprofile!$B$6:$B$11,"Individuell",Nutzungsprofile!$G$6:$G$11)*Kalender!E342/SUM(Kalender!$E$5:$E$370),0))*Szenarien!$E$22,0)</f>
        <v>0</v>
      </c>
      <c r="D4368" s="13" t="n">
        <f aca="false">IF(Szenarien!$H$22="OK",(IFERROR(SUMIF(Nutzungsprofile!$B$17:$B$22,"Schulbetrieb",Nutzungsprofile!$G$17:$G$22)*Kalender!C342/SUM(Kalender!$C$5:$C$370),0)+IFERROR(SUMIF(Nutzungsprofile!$B$17:$B$22,"Halle",Nutzungsprofile!$G$17:$G$22)*Kalender!D342/SUM(Kalender!$D$5:$D$370),0)+IFERROR(SUMIF(Nutzungsprofile!$B$17:$B$22,"Individuell",Nutzungsprofile!$G$17:$G$22)*Kalender!E342/SUM(Kalender!$E$5:$E$370),0))*Szenarien!$D$22,0)</f>
        <v>0</v>
      </c>
      <c r="E4368" s="13" t="n">
        <f aca="false">IFERROR(MIN(C4368,Eingaben!$B$17)*Eingaben!$B$16,0)</f>
        <v>0</v>
      </c>
      <c r="F4368" s="13" t="n">
        <f aca="false">IFERROR(E4368*Eingaben!$B$15,0)</f>
        <v>0</v>
      </c>
      <c r="G4368" s="13" t="n">
        <f aca="false">IFERROR(IF(Kalender!A342="",0,J4367*(1-Eingaben!$B$20)),0)</f>
        <v>0</v>
      </c>
      <c r="H4368" s="13" t="n">
        <f aca="false">MIN(G4368,D4368)</f>
        <v>0</v>
      </c>
      <c r="I4368" s="13" t="n">
        <f aca="false">IFERROR(MIN(F4368*Eingaben!$B$19,MAX(0,D4368-H4368)),0)</f>
        <v>0</v>
      </c>
      <c r="J4368" s="13" t="n">
        <f aca="false">IFERROR(MIN(Eingaben!$B$18,MAX(0,F4368-I4368)),0)</f>
        <v>0</v>
      </c>
      <c r="K4368" s="13" t="n">
        <f aca="false">H4368+I4368</f>
        <v>0</v>
      </c>
      <c r="L4368" s="13" t="n">
        <f aca="false">MAX(0,D4368-K4368)</f>
        <v>0</v>
      </c>
      <c r="M4368" s="13" t="n">
        <f aca="false">MAX(0,F4368-I4368-J4368)</f>
        <v>0</v>
      </c>
      <c r="N4368" s="13" t="n">
        <f aca="false">IF(Kalender!A342="",0,J4367-H4368)</f>
        <v>0</v>
      </c>
    </row>
    <row r="4369" customFormat="false" ht="16.4" hidden="false" customHeight="false" outlineLevel="0" collapsed="false">
      <c r="A4369" s="13" t="str">
        <f aca="false">""</f>
        <v/>
      </c>
      <c r="B4369" s="13" t="n">
        <f aca="false">339</f>
        <v>339</v>
      </c>
      <c r="C4369" s="13" t="n">
        <f aca="false">IF(Szenarien!$H$22="OK",(IFERROR(SUMIF(Nutzungsprofile!$B$6:$B$11,"Schulbetrieb",Nutzungsprofile!$G$6:$G$11)*Kalender!C343/SUM(Kalender!$C$5:$C$370),0)+IFERROR(SUMIF(Nutzungsprofile!$B$6:$B$11,"Halle",Nutzungsprofile!$G$6:$G$11)*Kalender!D343/SUM(Kalender!$D$5:$D$370),0)+IFERROR(SUMIF(Nutzungsprofile!$B$6:$B$11,"Individuell",Nutzungsprofile!$G$6:$G$11)*Kalender!E343/SUM(Kalender!$E$5:$E$370),0))*Szenarien!$E$22,0)</f>
        <v>0</v>
      </c>
      <c r="D4369" s="13" t="n">
        <f aca="false">IF(Szenarien!$H$22="OK",(IFERROR(SUMIF(Nutzungsprofile!$B$17:$B$22,"Schulbetrieb",Nutzungsprofile!$G$17:$G$22)*Kalender!C343/SUM(Kalender!$C$5:$C$370),0)+IFERROR(SUMIF(Nutzungsprofile!$B$17:$B$22,"Halle",Nutzungsprofile!$G$17:$G$22)*Kalender!D343/SUM(Kalender!$D$5:$D$370),0)+IFERROR(SUMIF(Nutzungsprofile!$B$17:$B$22,"Individuell",Nutzungsprofile!$G$17:$G$22)*Kalender!E343/SUM(Kalender!$E$5:$E$370),0))*Szenarien!$D$22,0)</f>
        <v>0</v>
      </c>
      <c r="E4369" s="13" t="n">
        <f aca="false">IFERROR(MIN(C4369,Eingaben!$B$17)*Eingaben!$B$16,0)</f>
        <v>0</v>
      </c>
      <c r="F4369" s="13" t="n">
        <f aca="false">IFERROR(E4369*Eingaben!$B$15,0)</f>
        <v>0</v>
      </c>
      <c r="G4369" s="13" t="n">
        <f aca="false">IFERROR(IF(Kalender!A343="",0,J4368*(1-Eingaben!$B$20)),0)</f>
        <v>0</v>
      </c>
      <c r="H4369" s="13" t="n">
        <f aca="false">MIN(G4369,D4369)</f>
        <v>0</v>
      </c>
      <c r="I4369" s="13" t="n">
        <f aca="false">IFERROR(MIN(F4369*Eingaben!$B$19,MAX(0,D4369-H4369)),0)</f>
        <v>0</v>
      </c>
      <c r="J4369" s="13" t="n">
        <f aca="false">IFERROR(MIN(Eingaben!$B$18,MAX(0,F4369-I4369)),0)</f>
        <v>0</v>
      </c>
      <c r="K4369" s="13" t="n">
        <f aca="false">H4369+I4369</f>
        <v>0</v>
      </c>
      <c r="L4369" s="13" t="n">
        <f aca="false">MAX(0,D4369-K4369)</f>
        <v>0</v>
      </c>
      <c r="M4369" s="13" t="n">
        <f aca="false">MAX(0,F4369-I4369-J4369)</f>
        <v>0</v>
      </c>
      <c r="N4369" s="13" t="n">
        <f aca="false">IF(Kalender!A343="",0,J4368-H4369)</f>
        <v>0</v>
      </c>
    </row>
    <row r="4370" customFormat="false" ht="16.4" hidden="false" customHeight="false" outlineLevel="0" collapsed="false">
      <c r="A4370" s="13" t="str">
        <f aca="false">""</f>
        <v/>
      </c>
      <c r="B4370" s="13" t="n">
        <f aca="false">340</f>
        <v>340</v>
      </c>
      <c r="C4370" s="13" t="n">
        <f aca="false">IF(Szenarien!$H$22="OK",(IFERROR(SUMIF(Nutzungsprofile!$B$6:$B$11,"Schulbetrieb",Nutzungsprofile!$G$6:$G$11)*Kalender!C344/SUM(Kalender!$C$5:$C$370),0)+IFERROR(SUMIF(Nutzungsprofile!$B$6:$B$11,"Halle",Nutzungsprofile!$G$6:$G$11)*Kalender!D344/SUM(Kalender!$D$5:$D$370),0)+IFERROR(SUMIF(Nutzungsprofile!$B$6:$B$11,"Individuell",Nutzungsprofile!$G$6:$G$11)*Kalender!E344/SUM(Kalender!$E$5:$E$370),0))*Szenarien!$E$22,0)</f>
        <v>0</v>
      </c>
      <c r="D4370" s="13" t="n">
        <f aca="false">IF(Szenarien!$H$22="OK",(IFERROR(SUMIF(Nutzungsprofile!$B$17:$B$22,"Schulbetrieb",Nutzungsprofile!$G$17:$G$22)*Kalender!C344/SUM(Kalender!$C$5:$C$370),0)+IFERROR(SUMIF(Nutzungsprofile!$B$17:$B$22,"Halle",Nutzungsprofile!$G$17:$G$22)*Kalender!D344/SUM(Kalender!$D$5:$D$370),0)+IFERROR(SUMIF(Nutzungsprofile!$B$17:$B$22,"Individuell",Nutzungsprofile!$G$17:$G$22)*Kalender!E344/SUM(Kalender!$E$5:$E$370),0))*Szenarien!$D$22,0)</f>
        <v>0</v>
      </c>
      <c r="E4370" s="13" t="n">
        <f aca="false">IFERROR(MIN(C4370,Eingaben!$B$17)*Eingaben!$B$16,0)</f>
        <v>0</v>
      </c>
      <c r="F4370" s="13" t="n">
        <f aca="false">IFERROR(E4370*Eingaben!$B$15,0)</f>
        <v>0</v>
      </c>
      <c r="G4370" s="13" t="n">
        <f aca="false">IFERROR(IF(Kalender!A344="",0,J4369*(1-Eingaben!$B$20)),0)</f>
        <v>0</v>
      </c>
      <c r="H4370" s="13" t="n">
        <f aca="false">MIN(G4370,D4370)</f>
        <v>0</v>
      </c>
      <c r="I4370" s="13" t="n">
        <f aca="false">IFERROR(MIN(F4370*Eingaben!$B$19,MAX(0,D4370-H4370)),0)</f>
        <v>0</v>
      </c>
      <c r="J4370" s="13" t="n">
        <f aca="false">IFERROR(MIN(Eingaben!$B$18,MAX(0,F4370-I4370)),0)</f>
        <v>0</v>
      </c>
      <c r="K4370" s="13" t="n">
        <f aca="false">H4370+I4370</f>
        <v>0</v>
      </c>
      <c r="L4370" s="13" t="n">
        <f aca="false">MAX(0,D4370-K4370)</f>
        <v>0</v>
      </c>
      <c r="M4370" s="13" t="n">
        <f aca="false">MAX(0,F4370-I4370-J4370)</f>
        <v>0</v>
      </c>
      <c r="N4370" s="13" t="n">
        <f aca="false">IF(Kalender!A344="",0,J4369-H4370)</f>
        <v>0</v>
      </c>
    </row>
    <row r="4371" customFormat="false" ht="16.4" hidden="false" customHeight="false" outlineLevel="0" collapsed="false">
      <c r="A4371" s="13" t="str">
        <f aca="false">""</f>
        <v/>
      </c>
      <c r="B4371" s="13" t="n">
        <f aca="false">341</f>
        <v>341</v>
      </c>
      <c r="C4371" s="13" t="n">
        <f aca="false">IF(Szenarien!$H$22="OK",(IFERROR(SUMIF(Nutzungsprofile!$B$6:$B$11,"Schulbetrieb",Nutzungsprofile!$G$6:$G$11)*Kalender!C345/SUM(Kalender!$C$5:$C$370),0)+IFERROR(SUMIF(Nutzungsprofile!$B$6:$B$11,"Halle",Nutzungsprofile!$G$6:$G$11)*Kalender!D345/SUM(Kalender!$D$5:$D$370),0)+IFERROR(SUMIF(Nutzungsprofile!$B$6:$B$11,"Individuell",Nutzungsprofile!$G$6:$G$11)*Kalender!E345/SUM(Kalender!$E$5:$E$370),0))*Szenarien!$E$22,0)</f>
        <v>0</v>
      </c>
      <c r="D4371" s="13" t="n">
        <f aca="false">IF(Szenarien!$H$22="OK",(IFERROR(SUMIF(Nutzungsprofile!$B$17:$B$22,"Schulbetrieb",Nutzungsprofile!$G$17:$G$22)*Kalender!C345/SUM(Kalender!$C$5:$C$370),0)+IFERROR(SUMIF(Nutzungsprofile!$B$17:$B$22,"Halle",Nutzungsprofile!$G$17:$G$22)*Kalender!D345/SUM(Kalender!$D$5:$D$370),0)+IFERROR(SUMIF(Nutzungsprofile!$B$17:$B$22,"Individuell",Nutzungsprofile!$G$17:$G$22)*Kalender!E345/SUM(Kalender!$E$5:$E$370),0))*Szenarien!$D$22,0)</f>
        <v>0</v>
      </c>
      <c r="E4371" s="13" t="n">
        <f aca="false">IFERROR(MIN(C4371,Eingaben!$B$17)*Eingaben!$B$16,0)</f>
        <v>0</v>
      </c>
      <c r="F4371" s="13" t="n">
        <f aca="false">IFERROR(E4371*Eingaben!$B$15,0)</f>
        <v>0</v>
      </c>
      <c r="G4371" s="13" t="n">
        <f aca="false">IFERROR(IF(Kalender!A345="",0,J4370*(1-Eingaben!$B$20)),0)</f>
        <v>0</v>
      </c>
      <c r="H4371" s="13" t="n">
        <f aca="false">MIN(G4371,D4371)</f>
        <v>0</v>
      </c>
      <c r="I4371" s="13" t="n">
        <f aca="false">IFERROR(MIN(F4371*Eingaben!$B$19,MAX(0,D4371-H4371)),0)</f>
        <v>0</v>
      </c>
      <c r="J4371" s="13" t="n">
        <f aca="false">IFERROR(MIN(Eingaben!$B$18,MAX(0,F4371-I4371)),0)</f>
        <v>0</v>
      </c>
      <c r="K4371" s="13" t="n">
        <f aca="false">H4371+I4371</f>
        <v>0</v>
      </c>
      <c r="L4371" s="13" t="n">
        <f aca="false">MAX(0,D4371-K4371)</f>
        <v>0</v>
      </c>
      <c r="M4371" s="13" t="n">
        <f aca="false">MAX(0,F4371-I4371-J4371)</f>
        <v>0</v>
      </c>
      <c r="N4371" s="13" t="n">
        <f aca="false">IF(Kalender!A345="",0,J4370-H4371)</f>
        <v>0</v>
      </c>
    </row>
    <row r="4372" customFormat="false" ht="16.4" hidden="false" customHeight="false" outlineLevel="0" collapsed="false">
      <c r="A4372" s="13" t="str">
        <f aca="false">""</f>
        <v/>
      </c>
      <c r="B4372" s="13" t="n">
        <f aca="false">342</f>
        <v>342</v>
      </c>
      <c r="C4372" s="13" t="n">
        <f aca="false">IF(Szenarien!$H$22="OK",(IFERROR(SUMIF(Nutzungsprofile!$B$6:$B$11,"Schulbetrieb",Nutzungsprofile!$G$6:$G$11)*Kalender!C346/SUM(Kalender!$C$5:$C$370),0)+IFERROR(SUMIF(Nutzungsprofile!$B$6:$B$11,"Halle",Nutzungsprofile!$G$6:$G$11)*Kalender!D346/SUM(Kalender!$D$5:$D$370),0)+IFERROR(SUMIF(Nutzungsprofile!$B$6:$B$11,"Individuell",Nutzungsprofile!$G$6:$G$11)*Kalender!E346/SUM(Kalender!$E$5:$E$370),0))*Szenarien!$E$22,0)</f>
        <v>0</v>
      </c>
      <c r="D4372" s="13" t="n">
        <f aca="false">IF(Szenarien!$H$22="OK",(IFERROR(SUMIF(Nutzungsprofile!$B$17:$B$22,"Schulbetrieb",Nutzungsprofile!$G$17:$G$22)*Kalender!C346/SUM(Kalender!$C$5:$C$370),0)+IFERROR(SUMIF(Nutzungsprofile!$B$17:$B$22,"Halle",Nutzungsprofile!$G$17:$G$22)*Kalender!D346/SUM(Kalender!$D$5:$D$370),0)+IFERROR(SUMIF(Nutzungsprofile!$B$17:$B$22,"Individuell",Nutzungsprofile!$G$17:$G$22)*Kalender!E346/SUM(Kalender!$E$5:$E$370),0))*Szenarien!$D$22,0)</f>
        <v>0</v>
      </c>
      <c r="E4372" s="13" t="n">
        <f aca="false">IFERROR(MIN(C4372,Eingaben!$B$17)*Eingaben!$B$16,0)</f>
        <v>0</v>
      </c>
      <c r="F4372" s="13" t="n">
        <f aca="false">IFERROR(E4372*Eingaben!$B$15,0)</f>
        <v>0</v>
      </c>
      <c r="G4372" s="13" t="n">
        <f aca="false">IFERROR(IF(Kalender!A346="",0,J4371*(1-Eingaben!$B$20)),0)</f>
        <v>0</v>
      </c>
      <c r="H4372" s="13" t="n">
        <f aca="false">MIN(G4372,D4372)</f>
        <v>0</v>
      </c>
      <c r="I4372" s="13" t="n">
        <f aca="false">IFERROR(MIN(F4372*Eingaben!$B$19,MAX(0,D4372-H4372)),0)</f>
        <v>0</v>
      </c>
      <c r="J4372" s="13" t="n">
        <f aca="false">IFERROR(MIN(Eingaben!$B$18,MAX(0,F4372-I4372)),0)</f>
        <v>0</v>
      </c>
      <c r="K4372" s="13" t="n">
        <f aca="false">H4372+I4372</f>
        <v>0</v>
      </c>
      <c r="L4372" s="13" t="n">
        <f aca="false">MAX(0,D4372-K4372)</f>
        <v>0</v>
      </c>
      <c r="M4372" s="13" t="n">
        <f aca="false">MAX(0,F4372-I4372-J4372)</f>
        <v>0</v>
      </c>
      <c r="N4372" s="13" t="n">
        <f aca="false">IF(Kalender!A346="",0,J4371-H4372)</f>
        <v>0</v>
      </c>
    </row>
    <row r="4373" customFormat="false" ht="16.4" hidden="false" customHeight="false" outlineLevel="0" collapsed="false">
      <c r="A4373" s="13" t="str">
        <f aca="false">""</f>
        <v/>
      </c>
      <c r="B4373" s="13" t="n">
        <f aca="false">343</f>
        <v>343</v>
      </c>
      <c r="C4373" s="13" t="n">
        <f aca="false">IF(Szenarien!$H$22="OK",(IFERROR(SUMIF(Nutzungsprofile!$B$6:$B$11,"Schulbetrieb",Nutzungsprofile!$G$6:$G$11)*Kalender!C347/SUM(Kalender!$C$5:$C$370),0)+IFERROR(SUMIF(Nutzungsprofile!$B$6:$B$11,"Halle",Nutzungsprofile!$G$6:$G$11)*Kalender!D347/SUM(Kalender!$D$5:$D$370),0)+IFERROR(SUMIF(Nutzungsprofile!$B$6:$B$11,"Individuell",Nutzungsprofile!$G$6:$G$11)*Kalender!E347/SUM(Kalender!$E$5:$E$370),0))*Szenarien!$E$22,0)</f>
        <v>0</v>
      </c>
      <c r="D4373" s="13" t="n">
        <f aca="false">IF(Szenarien!$H$22="OK",(IFERROR(SUMIF(Nutzungsprofile!$B$17:$B$22,"Schulbetrieb",Nutzungsprofile!$G$17:$G$22)*Kalender!C347/SUM(Kalender!$C$5:$C$370),0)+IFERROR(SUMIF(Nutzungsprofile!$B$17:$B$22,"Halle",Nutzungsprofile!$G$17:$G$22)*Kalender!D347/SUM(Kalender!$D$5:$D$370),0)+IFERROR(SUMIF(Nutzungsprofile!$B$17:$B$22,"Individuell",Nutzungsprofile!$G$17:$G$22)*Kalender!E347/SUM(Kalender!$E$5:$E$370),0))*Szenarien!$D$22,0)</f>
        <v>0</v>
      </c>
      <c r="E4373" s="13" t="n">
        <f aca="false">IFERROR(MIN(C4373,Eingaben!$B$17)*Eingaben!$B$16,0)</f>
        <v>0</v>
      </c>
      <c r="F4373" s="13" t="n">
        <f aca="false">IFERROR(E4373*Eingaben!$B$15,0)</f>
        <v>0</v>
      </c>
      <c r="G4373" s="13" t="n">
        <f aca="false">IFERROR(IF(Kalender!A347="",0,J4372*(1-Eingaben!$B$20)),0)</f>
        <v>0</v>
      </c>
      <c r="H4373" s="13" t="n">
        <f aca="false">MIN(G4373,D4373)</f>
        <v>0</v>
      </c>
      <c r="I4373" s="13" t="n">
        <f aca="false">IFERROR(MIN(F4373*Eingaben!$B$19,MAX(0,D4373-H4373)),0)</f>
        <v>0</v>
      </c>
      <c r="J4373" s="13" t="n">
        <f aca="false">IFERROR(MIN(Eingaben!$B$18,MAX(0,F4373-I4373)),0)</f>
        <v>0</v>
      </c>
      <c r="K4373" s="13" t="n">
        <f aca="false">H4373+I4373</f>
        <v>0</v>
      </c>
      <c r="L4373" s="13" t="n">
        <f aca="false">MAX(0,D4373-K4373)</f>
        <v>0</v>
      </c>
      <c r="M4373" s="13" t="n">
        <f aca="false">MAX(0,F4373-I4373-J4373)</f>
        <v>0</v>
      </c>
      <c r="N4373" s="13" t="n">
        <f aca="false">IF(Kalender!A347="",0,J4372-H4373)</f>
        <v>0</v>
      </c>
    </row>
    <row r="4374" customFormat="false" ht="16.4" hidden="false" customHeight="false" outlineLevel="0" collapsed="false">
      <c r="A4374" s="13" t="str">
        <f aca="false">""</f>
        <v/>
      </c>
      <c r="B4374" s="13" t="n">
        <f aca="false">344</f>
        <v>344</v>
      </c>
      <c r="C4374" s="13" t="n">
        <f aca="false">IF(Szenarien!$H$22="OK",(IFERROR(SUMIF(Nutzungsprofile!$B$6:$B$11,"Schulbetrieb",Nutzungsprofile!$G$6:$G$11)*Kalender!C348/SUM(Kalender!$C$5:$C$370),0)+IFERROR(SUMIF(Nutzungsprofile!$B$6:$B$11,"Halle",Nutzungsprofile!$G$6:$G$11)*Kalender!D348/SUM(Kalender!$D$5:$D$370),0)+IFERROR(SUMIF(Nutzungsprofile!$B$6:$B$11,"Individuell",Nutzungsprofile!$G$6:$G$11)*Kalender!E348/SUM(Kalender!$E$5:$E$370),0))*Szenarien!$E$22,0)</f>
        <v>0</v>
      </c>
      <c r="D4374" s="13" t="n">
        <f aca="false">IF(Szenarien!$H$22="OK",(IFERROR(SUMIF(Nutzungsprofile!$B$17:$B$22,"Schulbetrieb",Nutzungsprofile!$G$17:$G$22)*Kalender!C348/SUM(Kalender!$C$5:$C$370),0)+IFERROR(SUMIF(Nutzungsprofile!$B$17:$B$22,"Halle",Nutzungsprofile!$G$17:$G$22)*Kalender!D348/SUM(Kalender!$D$5:$D$370),0)+IFERROR(SUMIF(Nutzungsprofile!$B$17:$B$22,"Individuell",Nutzungsprofile!$G$17:$G$22)*Kalender!E348/SUM(Kalender!$E$5:$E$370),0))*Szenarien!$D$22,0)</f>
        <v>0</v>
      </c>
      <c r="E4374" s="13" t="n">
        <f aca="false">IFERROR(MIN(C4374,Eingaben!$B$17)*Eingaben!$B$16,0)</f>
        <v>0</v>
      </c>
      <c r="F4374" s="13" t="n">
        <f aca="false">IFERROR(E4374*Eingaben!$B$15,0)</f>
        <v>0</v>
      </c>
      <c r="G4374" s="13" t="n">
        <f aca="false">IFERROR(IF(Kalender!A348="",0,J4373*(1-Eingaben!$B$20)),0)</f>
        <v>0</v>
      </c>
      <c r="H4374" s="13" t="n">
        <f aca="false">MIN(G4374,D4374)</f>
        <v>0</v>
      </c>
      <c r="I4374" s="13" t="n">
        <f aca="false">IFERROR(MIN(F4374*Eingaben!$B$19,MAX(0,D4374-H4374)),0)</f>
        <v>0</v>
      </c>
      <c r="J4374" s="13" t="n">
        <f aca="false">IFERROR(MIN(Eingaben!$B$18,MAX(0,F4374-I4374)),0)</f>
        <v>0</v>
      </c>
      <c r="K4374" s="13" t="n">
        <f aca="false">H4374+I4374</f>
        <v>0</v>
      </c>
      <c r="L4374" s="13" t="n">
        <f aca="false">MAX(0,D4374-K4374)</f>
        <v>0</v>
      </c>
      <c r="M4374" s="13" t="n">
        <f aca="false">MAX(0,F4374-I4374-J4374)</f>
        <v>0</v>
      </c>
      <c r="N4374" s="13" t="n">
        <f aca="false">IF(Kalender!A348="",0,J4373-H4374)</f>
        <v>0</v>
      </c>
    </row>
    <row r="4375" customFormat="false" ht="16.4" hidden="false" customHeight="false" outlineLevel="0" collapsed="false">
      <c r="A4375" s="13" t="str">
        <f aca="false">""</f>
        <v/>
      </c>
      <c r="B4375" s="13" t="n">
        <f aca="false">345</f>
        <v>345</v>
      </c>
      <c r="C4375" s="13" t="n">
        <f aca="false">IF(Szenarien!$H$22="OK",(IFERROR(SUMIF(Nutzungsprofile!$B$6:$B$11,"Schulbetrieb",Nutzungsprofile!$G$6:$G$11)*Kalender!C349/SUM(Kalender!$C$5:$C$370),0)+IFERROR(SUMIF(Nutzungsprofile!$B$6:$B$11,"Halle",Nutzungsprofile!$G$6:$G$11)*Kalender!D349/SUM(Kalender!$D$5:$D$370),0)+IFERROR(SUMIF(Nutzungsprofile!$B$6:$B$11,"Individuell",Nutzungsprofile!$G$6:$G$11)*Kalender!E349/SUM(Kalender!$E$5:$E$370),0))*Szenarien!$E$22,0)</f>
        <v>0</v>
      </c>
      <c r="D4375" s="13" t="n">
        <f aca="false">IF(Szenarien!$H$22="OK",(IFERROR(SUMIF(Nutzungsprofile!$B$17:$B$22,"Schulbetrieb",Nutzungsprofile!$G$17:$G$22)*Kalender!C349/SUM(Kalender!$C$5:$C$370),0)+IFERROR(SUMIF(Nutzungsprofile!$B$17:$B$22,"Halle",Nutzungsprofile!$G$17:$G$22)*Kalender!D349/SUM(Kalender!$D$5:$D$370),0)+IFERROR(SUMIF(Nutzungsprofile!$B$17:$B$22,"Individuell",Nutzungsprofile!$G$17:$G$22)*Kalender!E349/SUM(Kalender!$E$5:$E$370),0))*Szenarien!$D$22,0)</f>
        <v>0</v>
      </c>
      <c r="E4375" s="13" t="n">
        <f aca="false">IFERROR(MIN(C4375,Eingaben!$B$17)*Eingaben!$B$16,0)</f>
        <v>0</v>
      </c>
      <c r="F4375" s="13" t="n">
        <f aca="false">IFERROR(E4375*Eingaben!$B$15,0)</f>
        <v>0</v>
      </c>
      <c r="G4375" s="13" t="n">
        <f aca="false">IFERROR(IF(Kalender!A349="",0,J4374*(1-Eingaben!$B$20)),0)</f>
        <v>0</v>
      </c>
      <c r="H4375" s="13" t="n">
        <f aca="false">MIN(G4375,D4375)</f>
        <v>0</v>
      </c>
      <c r="I4375" s="13" t="n">
        <f aca="false">IFERROR(MIN(F4375*Eingaben!$B$19,MAX(0,D4375-H4375)),0)</f>
        <v>0</v>
      </c>
      <c r="J4375" s="13" t="n">
        <f aca="false">IFERROR(MIN(Eingaben!$B$18,MAX(0,F4375-I4375)),0)</f>
        <v>0</v>
      </c>
      <c r="K4375" s="13" t="n">
        <f aca="false">H4375+I4375</f>
        <v>0</v>
      </c>
      <c r="L4375" s="13" t="n">
        <f aca="false">MAX(0,D4375-K4375)</f>
        <v>0</v>
      </c>
      <c r="M4375" s="13" t="n">
        <f aca="false">MAX(0,F4375-I4375-J4375)</f>
        <v>0</v>
      </c>
      <c r="N4375" s="13" t="n">
        <f aca="false">IF(Kalender!A349="",0,J4374-H4375)</f>
        <v>0</v>
      </c>
    </row>
    <row r="4376" customFormat="false" ht="16.4" hidden="false" customHeight="false" outlineLevel="0" collapsed="false">
      <c r="A4376" s="13" t="str">
        <f aca="false">""</f>
        <v/>
      </c>
      <c r="B4376" s="13" t="n">
        <f aca="false">346</f>
        <v>346</v>
      </c>
      <c r="C4376" s="13" t="n">
        <f aca="false">IF(Szenarien!$H$22="OK",(IFERROR(SUMIF(Nutzungsprofile!$B$6:$B$11,"Schulbetrieb",Nutzungsprofile!$G$6:$G$11)*Kalender!C350/SUM(Kalender!$C$5:$C$370),0)+IFERROR(SUMIF(Nutzungsprofile!$B$6:$B$11,"Halle",Nutzungsprofile!$G$6:$G$11)*Kalender!D350/SUM(Kalender!$D$5:$D$370),0)+IFERROR(SUMIF(Nutzungsprofile!$B$6:$B$11,"Individuell",Nutzungsprofile!$G$6:$G$11)*Kalender!E350/SUM(Kalender!$E$5:$E$370),0))*Szenarien!$E$22,0)</f>
        <v>0</v>
      </c>
      <c r="D4376" s="13" t="n">
        <f aca="false">IF(Szenarien!$H$22="OK",(IFERROR(SUMIF(Nutzungsprofile!$B$17:$B$22,"Schulbetrieb",Nutzungsprofile!$G$17:$G$22)*Kalender!C350/SUM(Kalender!$C$5:$C$370),0)+IFERROR(SUMIF(Nutzungsprofile!$B$17:$B$22,"Halle",Nutzungsprofile!$G$17:$G$22)*Kalender!D350/SUM(Kalender!$D$5:$D$370),0)+IFERROR(SUMIF(Nutzungsprofile!$B$17:$B$22,"Individuell",Nutzungsprofile!$G$17:$G$22)*Kalender!E350/SUM(Kalender!$E$5:$E$370),0))*Szenarien!$D$22,0)</f>
        <v>0</v>
      </c>
      <c r="E4376" s="13" t="n">
        <f aca="false">IFERROR(MIN(C4376,Eingaben!$B$17)*Eingaben!$B$16,0)</f>
        <v>0</v>
      </c>
      <c r="F4376" s="13" t="n">
        <f aca="false">IFERROR(E4376*Eingaben!$B$15,0)</f>
        <v>0</v>
      </c>
      <c r="G4376" s="13" t="n">
        <f aca="false">IFERROR(IF(Kalender!A350="",0,J4375*(1-Eingaben!$B$20)),0)</f>
        <v>0</v>
      </c>
      <c r="H4376" s="13" t="n">
        <f aca="false">MIN(G4376,D4376)</f>
        <v>0</v>
      </c>
      <c r="I4376" s="13" t="n">
        <f aca="false">IFERROR(MIN(F4376*Eingaben!$B$19,MAX(0,D4376-H4376)),0)</f>
        <v>0</v>
      </c>
      <c r="J4376" s="13" t="n">
        <f aca="false">IFERROR(MIN(Eingaben!$B$18,MAX(0,F4376-I4376)),0)</f>
        <v>0</v>
      </c>
      <c r="K4376" s="13" t="n">
        <f aca="false">H4376+I4376</f>
        <v>0</v>
      </c>
      <c r="L4376" s="13" t="n">
        <f aca="false">MAX(0,D4376-K4376)</f>
        <v>0</v>
      </c>
      <c r="M4376" s="13" t="n">
        <f aca="false">MAX(0,F4376-I4376-J4376)</f>
        <v>0</v>
      </c>
      <c r="N4376" s="13" t="n">
        <f aca="false">IF(Kalender!A350="",0,J4375-H4376)</f>
        <v>0</v>
      </c>
    </row>
    <row r="4377" customFormat="false" ht="16.4" hidden="false" customHeight="false" outlineLevel="0" collapsed="false">
      <c r="A4377" s="13" t="str">
        <f aca="false">""</f>
        <v/>
      </c>
      <c r="B4377" s="13" t="n">
        <f aca="false">347</f>
        <v>347</v>
      </c>
      <c r="C4377" s="13" t="n">
        <f aca="false">IF(Szenarien!$H$22="OK",(IFERROR(SUMIF(Nutzungsprofile!$B$6:$B$11,"Schulbetrieb",Nutzungsprofile!$G$6:$G$11)*Kalender!C351/SUM(Kalender!$C$5:$C$370),0)+IFERROR(SUMIF(Nutzungsprofile!$B$6:$B$11,"Halle",Nutzungsprofile!$G$6:$G$11)*Kalender!D351/SUM(Kalender!$D$5:$D$370),0)+IFERROR(SUMIF(Nutzungsprofile!$B$6:$B$11,"Individuell",Nutzungsprofile!$G$6:$G$11)*Kalender!E351/SUM(Kalender!$E$5:$E$370),0))*Szenarien!$E$22,0)</f>
        <v>0</v>
      </c>
      <c r="D4377" s="13" t="n">
        <f aca="false">IF(Szenarien!$H$22="OK",(IFERROR(SUMIF(Nutzungsprofile!$B$17:$B$22,"Schulbetrieb",Nutzungsprofile!$G$17:$G$22)*Kalender!C351/SUM(Kalender!$C$5:$C$370),0)+IFERROR(SUMIF(Nutzungsprofile!$B$17:$B$22,"Halle",Nutzungsprofile!$G$17:$G$22)*Kalender!D351/SUM(Kalender!$D$5:$D$370),0)+IFERROR(SUMIF(Nutzungsprofile!$B$17:$B$22,"Individuell",Nutzungsprofile!$G$17:$G$22)*Kalender!E351/SUM(Kalender!$E$5:$E$370),0))*Szenarien!$D$22,0)</f>
        <v>0</v>
      </c>
      <c r="E4377" s="13" t="n">
        <f aca="false">IFERROR(MIN(C4377,Eingaben!$B$17)*Eingaben!$B$16,0)</f>
        <v>0</v>
      </c>
      <c r="F4377" s="13" t="n">
        <f aca="false">IFERROR(E4377*Eingaben!$B$15,0)</f>
        <v>0</v>
      </c>
      <c r="G4377" s="13" t="n">
        <f aca="false">IFERROR(IF(Kalender!A351="",0,J4376*(1-Eingaben!$B$20)),0)</f>
        <v>0</v>
      </c>
      <c r="H4377" s="13" t="n">
        <f aca="false">MIN(G4377,D4377)</f>
        <v>0</v>
      </c>
      <c r="I4377" s="13" t="n">
        <f aca="false">IFERROR(MIN(F4377*Eingaben!$B$19,MAX(0,D4377-H4377)),0)</f>
        <v>0</v>
      </c>
      <c r="J4377" s="13" t="n">
        <f aca="false">IFERROR(MIN(Eingaben!$B$18,MAX(0,F4377-I4377)),0)</f>
        <v>0</v>
      </c>
      <c r="K4377" s="13" t="n">
        <f aca="false">H4377+I4377</f>
        <v>0</v>
      </c>
      <c r="L4377" s="13" t="n">
        <f aca="false">MAX(0,D4377-K4377)</f>
        <v>0</v>
      </c>
      <c r="M4377" s="13" t="n">
        <f aca="false">MAX(0,F4377-I4377-J4377)</f>
        <v>0</v>
      </c>
      <c r="N4377" s="13" t="n">
        <f aca="false">IF(Kalender!A351="",0,J4376-H4377)</f>
        <v>0</v>
      </c>
    </row>
    <row r="4378" customFormat="false" ht="16.4" hidden="false" customHeight="false" outlineLevel="0" collapsed="false">
      <c r="A4378" s="13" t="str">
        <f aca="false">""</f>
        <v/>
      </c>
      <c r="B4378" s="13" t="n">
        <f aca="false">348</f>
        <v>348</v>
      </c>
      <c r="C4378" s="13" t="n">
        <f aca="false">IF(Szenarien!$H$22="OK",(IFERROR(SUMIF(Nutzungsprofile!$B$6:$B$11,"Schulbetrieb",Nutzungsprofile!$G$6:$G$11)*Kalender!C352/SUM(Kalender!$C$5:$C$370),0)+IFERROR(SUMIF(Nutzungsprofile!$B$6:$B$11,"Halle",Nutzungsprofile!$G$6:$G$11)*Kalender!D352/SUM(Kalender!$D$5:$D$370),0)+IFERROR(SUMIF(Nutzungsprofile!$B$6:$B$11,"Individuell",Nutzungsprofile!$G$6:$G$11)*Kalender!E352/SUM(Kalender!$E$5:$E$370),0))*Szenarien!$E$22,0)</f>
        <v>0</v>
      </c>
      <c r="D4378" s="13" t="n">
        <f aca="false">IF(Szenarien!$H$22="OK",(IFERROR(SUMIF(Nutzungsprofile!$B$17:$B$22,"Schulbetrieb",Nutzungsprofile!$G$17:$G$22)*Kalender!C352/SUM(Kalender!$C$5:$C$370),0)+IFERROR(SUMIF(Nutzungsprofile!$B$17:$B$22,"Halle",Nutzungsprofile!$G$17:$G$22)*Kalender!D352/SUM(Kalender!$D$5:$D$370),0)+IFERROR(SUMIF(Nutzungsprofile!$B$17:$B$22,"Individuell",Nutzungsprofile!$G$17:$G$22)*Kalender!E352/SUM(Kalender!$E$5:$E$370),0))*Szenarien!$D$22,0)</f>
        <v>0</v>
      </c>
      <c r="E4378" s="13" t="n">
        <f aca="false">IFERROR(MIN(C4378,Eingaben!$B$17)*Eingaben!$B$16,0)</f>
        <v>0</v>
      </c>
      <c r="F4378" s="13" t="n">
        <f aca="false">IFERROR(E4378*Eingaben!$B$15,0)</f>
        <v>0</v>
      </c>
      <c r="G4378" s="13" t="n">
        <f aca="false">IFERROR(IF(Kalender!A352="",0,J4377*(1-Eingaben!$B$20)),0)</f>
        <v>0</v>
      </c>
      <c r="H4378" s="13" t="n">
        <f aca="false">MIN(G4378,D4378)</f>
        <v>0</v>
      </c>
      <c r="I4378" s="13" t="n">
        <f aca="false">IFERROR(MIN(F4378*Eingaben!$B$19,MAX(0,D4378-H4378)),0)</f>
        <v>0</v>
      </c>
      <c r="J4378" s="13" t="n">
        <f aca="false">IFERROR(MIN(Eingaben!$B$18,MAX(0,F4378-I4378)),0)</f>
        <v>0</v>
      </c>
      <c r="K4378" s="13" t="n">
        <f aca="false">H4378+I4378</f>
        <v>0</v>
      </c>
      <c r="L4378" s="13" t="n">
        <f aca="false">MAX(0,D4378-K4378)</f>
        <v>0</v>
      </c>
      <c r="M4378" s="13" t="n">
        <f aca="false">MAX(0,F4378-I4378-J4378)</f>
        <v>0</v>
      </c>
      <c r="N4378" s="13" t="n">
        <f aca="false">IF(Kalender!A352="",0,J4377-H4378)</f>
        <v>0</v>
      </c>
    </row>
    <row r="4379" customFormat="false" ht="16.4" hidden="false" customHeight="false" outlineLevel="0" collapsed="false">
      <c r="A4379" s="13" t="str">
        <f aca="false">""</f>
        <v/>
      </c>
      <c r="B4379" s="13" t="n">
        <f aca="false">349</f>
        <v>349</v>
      </c>
      <c r="C4379" s="13" t="n">
        <f aca="false">IF(Szenarien!$H$22="OK",(IFERROR(SUMIF(Nutzungsprofile!$B$6:$B$11,"Schulbetrieb",Nutzungsprofile!$G$6:$G$11)*Kalender!C353/SUM(Kalender!$C$5:$C$370),0)+IFERROR(SUMIF(Nutzungsprofile!$B$6:$B$11,"Halle",Nutzungsprofile!$G$6:$G$11)*Kalender!D353/SUM(Kalender!$D$5:$D$370),0)+IFERROR(SUMIF(Nutzungsprofile!$B$6:$B$11,"Individuell",Nutzungsprofile!$G$6:$G$11)*Kalender!E353/SUM(Kalender!$E$5:$E$370),0))*Szenarien!$E$22,0)</f>
        <v>0</v>
      </c>
      <c r="D4379" s="13" t="n">
        <f aca="false">IF(Szenarien!$H$22="OK",(IFERROR(SUMIF(Nutzungsprofile!$B$17:$B$22,"Schulbetrieb",Nutzungsprofile!$G$17:$G$22)*Kalender!C353/SUM(Kalender!$C$5:$C$370),0)+IFERROR(SUMIF(Nutzungsprofile!$B$17:$B$22,"Halle",Nutzungsprofile!$G$17:$G$22)*Kalender!D353/SUM(Kalender!$D$5:$D$370),0)+IFERROR(SUMIF(Nutzungsprofile!$B$17:$B$22,"Individuell",Nutzungsprofile!$G$17:$G$22)*Kalender!E353/SUM(Kalender!$E$5:$E$370),0))*Szenarien!$D$22,0)</f>
        <v>0</v>
      </c>
      <c r="E4379" s="13" t="n">
        <f aca="false">IFERROR(MIN(C4379,Eingaben!$B$17)*Eingaben!$B$16,0)</f>
        <v>0</v>
      </c>
      <c r="F4379" s="13" t="n">
        <f aca="false">IFERROR(E4379*Eingaben!$B$15,0)</f>
        <v>0</v>
      </c>
      <c r="G4379" s="13" t="n">
        <f aca="false">IFERROR(IF(Kalender!A353="",0,J4378*(1-Eingaben!$B$20)),0)</f>
        <v>0</v>
      </c>
      <c r="H4379" s="13" t="n">
        <f aca="false">MIN(G4379,D4379)</f>
        <v>0</v>
      </c>
      <c r="I4379" s="13" t="n">
        <f aca="false">IFERROR(MIN(F4379*Eingaben!$B$19,MAX(0,D4379-H4379)),0)</f>
        <v>0</v>
      </c>
      <c r="J4379" s="13" t="n">
        <f aca="false">IFERROR(MIN(Eingaben!$B$18,MAX(0,F4379-I4379)),0)</f>
        <v>0</v>
      </c>
      <c r="K4379" s="13" t="n">
        <f aca="false">H4379+I4379</f>
        <v>0</v>
      </c>
      <c r="L4379" s="13" t="n">
        <f aca="false">MAX(0,D4379-K4379)</f>
        <v>0</v>
      </c>
      <c r="M4379" s="13" t="n">
        <f aca="false">MAX(0,F4379-I4379-J4379)</f>
        <v>0</v>
      </c>
      <c r="N4379" s="13" t="n">
        <f aca="false">IF(Kalender!A353="",0,J4378-H4379)</f>
        <v>0</v>
      </c>
    </row>
    <row r="4380" customFormat="false" ht="16.4" hidden="false" customHeight="false" outlineLevel="0" collapsed="false">
      <c r="A4380" s="13" t="str">
        <f aca="false">""</f>
        <v/>
      </c>
      <c r="B4380" s="13" t="n">
        <f aca="false">350</f>
        <v>350</v>
      </c>
      <c r="C4380" s="13" t="n">
        <f aca="false">IF(Szenarien!$H$22="OK",(IFERROR(SUMIF(Nutzungsprofile!$B$6:$B$11,"Schulbetrieb",Nutzungsprofile!$G$6:$G$11)*Kalender!C354/SUM(Kalender!$C$5:$C$370),0)+IFERROR(SUMIF(Nutzungsprofile!$B$6:$B$11,"Halle",Nutzungsprofile!$G$6:$G$11)*Kalender!D354/SUM(Kalender!$D$5:$D$370),0)+IFERROR(SUMIF(Nutzungsprofile!$B$6:$B$11,"Individuell",Nutzungsprofile!$G$6:$G$11)*Kalender!E354/SUM(Kalender!$E$5:$E$370),0))*Szenarien!$E$22,0)</f>
        <v>0</v>
      </c>
      <c r="D4380" s="13" t="n">
        <f aca="false">IF(Szenarien!$H$22="OK",(IFERROR(SUMIF(Nutzungsprofile!$B$17:$B$22,"Schulbetrieb",Nutzungsprofile!$G$17:$G$22)*Kalender!C354/SUM(Kalender!$C$5:$C$370),0)+IFERROR(SUMIF(Nutzungsprofile!$B$17:$B$22,"Halle",Nutzungsprofile!$G$17:$G$22)*Kalender!D354/SUM(Kalender!$D$5:$D$370),0)+IFERROR(SUMIF(Nutzungsprofile!$B$17:$B$22,"Individuell",Nutzungsprofile!$G$17:$G$22)*Kalender!E354/SUM(Kalender!$E$5:$E$370),0))*Szenarien!$D$22,0)</f>
        <v>0</v>
      </c>
      <c r="E4380" s="13" t="n">
        <f aca="false">IFERROR(MIN(C4380,Eingaben!$B$17)*Eingaben!$B$16,0)</f>
        <v>0</v>
      </c>
      <c r="F4380" s="13" t="n">
        <f aca="false">IFERROR(E4380*Eingaben!$B$15,0)</f>
        <v>0</v>
      </c>
      <c r="G4380" s="13" t="n">
        <f aca="false">IFERROR(IF(Kalender!A354="",0,J4379*(1-Eingaben!$B$20)),0)</f>
        <v>0</v>
      </c>
      <c r="H4380" s="13" t="n">
        <f aca="false">MIN(G4380,D4380)</f>
        <v>0</v>
      </c>
      <c r="I4380" s="13" t="n">
        <f aca="false">IFERROR(MIN(F4380*Eingaben!$B$19,MAX(0,D4380-H4380)),0)</f>
        <v>0</v>
      </c>
      <c r="J4380" s="13" t="n">
        <f aca="false">IFERROR(MIN(Eingaben!$B$18,MAX(0,F4380-I4380)),0)</f>
        <v>0</v>
      </c>
      <c r="K4380" s="13" t="n">
        <f aca="false">H4380+I4380</f>
        <v>0</v>
      </c>
      <c r="L4380" s="13" t="n">
        <f aca="false">MAX(0,D4380-K4380)</f>
        <v>0</v>
      </c>
      <c r="M4380" s="13" t="n">
        <f aca="false">MAX(0,F4380-I4380-J4380)</f>
        <v>0</v>
      </c>
      <c r="N4380" s="13" t="n">
        <f aca="false">IF(Kalender!A354="",0,J4379-H4380)</f>
        <v>0</v>
      </c>
    </row>
    <row r="4381" customFormat="false" ht="16.4" hidden="false" customHeight="false" outlineLevel="0" collapsed="false">
      <c r="A4381" s="13" t="str">
        <f aca="false">""</f>
        <v/>
      </c>
      <c r="B4381" s="13" t="n">
        <f aca="false">351</f>
        <v>351</v>
      </c>
      <c r="C4381" s="13" t="n">
        <f aca="false">IF(Szenarien!$H$22="OK",(IFERROR(SUMIF(Nutzungsprofile!$B$6:$B$11,"Schulbetrieb",Nutzungsprofile!$G$6:$G$11)*Kalender!C355/SUM(Kalender!$C$5:$C$370),0)+IFERROR(SUMIF(Nutzungsprofile!$B$6:$B$11,"Halle",Nutzungsprofile!$G$6:$G$11)*Kalender!D355/SUM(Kalender!$D$5:$D$370),0)+IFERROR(SUMIF(Nutzungsprofile!$B$6:$B$11,"Individuell",Nutzungsprofile!$G$6:$G$11)*Kalender!E355/SUM(Kalender!$E$5:$E$370),0))*Szenarien!$E$22,0)</f>
        <v>0</v>
      </c>
      <c r="D4381" s="13" t="n">
        <f aca="false">IF(Szenarien!$H$22="OK",(IFERROR(SUMIF(Nutzungsprofile!$B$17:$B$22,"Schulbetrieb",Nutzungsprofile!$G$17:$G$22)*Kalender!C355/SUM(Kalender!$C$5:$C$370),0)+IFERROR(SUMIF(Nutzungsprofile!$B$17:$B$22,"Halle",Nutzungsprofile!$G$17:$G$22)*Kalender!D355/SUM(Kalender!$D$5:$D$370),0)+IFERROR(SUMIF(Nutzungsprofile!$B$17:$B$22,"Individuell",Nutzungsprofile!$G$17:$G$22)*Kalender!E355/SUM(Kalender!$E$5:$E$370),0))*Szenarien!$D$22,0)</f>
        <v>0</v>
      </c>
      <c r="E4381" s="13" t="n">
        <f aca="false">IFERROR(MIN(C4381,Eingaben!$B$17)*Eingaben!$B$16,0)</f>
        <v>0</v>
      </c>
      <c r="F4381" s="13" t="n">
        <f aca="false">IFERROR(E4381*Eingaben!$B$15,0)</f>
        <v>0</v>
      </c>
      <c r="G4381" s="13" t="n">
        <f aca="false">IFERROR(IF(Kalender!A355="",0,J4380*(1-Eingaben!$B$20)),0)</f>
        <v>0</v>
      </c>
      <c r="H4381" s="13" t="n">
        <f aca="false">MIN(G4381,D4381)</f>
        <v>0</v>
      </c>
      <c r="I4381" s="13" t="n">
        <f aca="false">IFERROR(MIN(F4381*Eingaben!$B$19,MAX(0,D4381-H4381)),0)</f>
        <v>0</v>
      </c>
      <c r="J4381" s="13" t="n">
        <f aca="false">IFERROR(MIN(Eingaben!$B$18,MAX(0,F4381-I4381)),0)</f>
        <v>0</v>
      </c>
      <c r="K4381" s="13" t="n">
        <f aca="false">H4381+I4381</f>
        <v>0</v>
      </c>
      <c r="L4381" s="13" t="n">
        <f aca="false">MAX(0,D4381-K4381)</f>
        <v>0</v>
      </c>
      <c r="M4381" s="13" t="n">
        <f aca="false">MAX(0,F4381-I4381-J4381)</f>
        <v>0</v>
      </c>
      <c r="N4381" s="13" t="n">
        <f aca="false">IF(Kalender!A355="",0,J4380-H4381)</f>
        <v>0</v>
      </c>
    </row>
    <row r="4382" customFormat="false" ht="16.4" hidden="false" customHeight="false" outlineLevel="0" collapsed="false">
      <c r="A4382" s="13" t="str">
        <f aca="false">""</f>
        <v/>
      </c>
      <c r="B4382" s="13" t="n">
        <f aca="false">352</f>
        <v>352</v>
      </c>
      <c r="C4382" s="13" t="n">
        <f aca="false">IF(Szenarien!$H$22="OK",(IFERROR(SUMIF(Nutzungsprofile!$B$6:$B$11,"Schulbetrieb",Nutzungsprofile!$G$6:$G$11)*Kalender!C356/SUM(Kalender!$C$5:$C$370),0)+IFERROR(SUMIF(Nutzungsprofile!$B$6:$B$11,"Halle",Nutzungsprofile!$G$6:$G$11)*Kalender!D356/SUM(Kalender!$D$5:$D$370),0)+IFERROR(SUMIF(Nutzungsprofile!$B$6:$B$11,"Individuell",Nutzungsprofile!$G$6:$G$11)*Kalender!E356/SUM(Kalender!$E$5:$E$370),0))*Szenarien!$E$22,0)</f>
        <v>0</v>
      </c>
      <c r="D4382" s="13" t="n">
        <f aca="false">IF(Szenarien!$H$22="OK",(IFERROR(SUMIF(Nutzungsprofile!$B$17:$B$22,"Schulbetrieb",Nutzungsprofile!$G$17:$G$22)*Kalender!C356/SUM(Kalender!$C$5:$C$370),0)+IFERROR(SUMIF(Nutzungsprofile!$B$17:$B$22,"Halle",Nutzungsprofile!$G$17:$G$22)*Kalender!D356/SUM(Kalender!$D$5:$D$370),0)+IFERROR(SUMIF(Nutzungsprofile!$B$17:$B$22,"Individuell",Nutzungsprofile!$G$17:$G$22)*Kalender!E356/SUM(Kalender!$E$5:$E$370),0))*Szenarien!$D$22,0)</f>
        <v>0</v>
      </c>
      <c r="E4382" s="13" t="n">
        <f aca="false">IFERROR(MIN(C4382,Eingaben!$B$17)*Eingaben!$B$16,0)</f>
        <v>0</v>
      </c>
      <c r="F4382" s="13" t="n">
        <f aca="false">IFERROR(E4382*Eingaben!$B$15,0)</f>
        <v>0</v>
      </c>
      <c r="G4382" s="13" t="n">
        <f aca="false">IFERROR(IF(Kalender!A356="",0,J4381*(1-Eingaben!$B$20)),0)</f>
        <v>0</v>
      </c>
      <c r="H4382" s="13" t="n">
        <f aca="false">MIN(G4382,D4382)</f>
        <v>0</v>
      </c>
      <c r="I4382" s="13" t="n">
        <f aca="false">IFERROR(MIN(F4382*Eingaben!$B$19,MAX(0,D4382-H4382)),0)</f>
        <v>0</v>
      </c>
      <c r="J4382" s="13" t="n">
        <f aca="false">IFERROR(MIN(Eingaben!$B$18,MAX(0,F4382-I4382)),0)</f>
        <v>0</v>
      </c>
      <c r="K4382" s="13" t="n">
        <f aca="false">H4382+I4382</f>
        <v>0</v>
      </c>
      <c r="L4382" s="13" t="n">
        <f aca="false">MAX(0,D4382-K4382)</f>
        <v>0</v>
      </c>
      <c r="M4382" s="13" t="n">
        <f aca="false">MAX(0,F4382-I4382-J4382)</f>
        <v>0</v>
      </c>
      <c r="N4382" s="13" t="n">
        <f aca="false">IF(Kalender!A356="",0,J4381-H4382)</f>
        <v>0</v>
      </c>
    </row>
    <row r="4383" customFormat="false" ht="16.4" hidden="false" customHeight="false" outlineLevel="0" collapsed="false">
      <c r="A4383" s="13" t="str">
        <f aca="false">""</f>
        <v/>
      </c>
      <c r="B4383" s="13" t="n">
        <f aca="false">353</f>
        <v>353</v>
      </c>
      <c r="C4383" s="13" t="n">
        <f aca="false">IF(Szenarien!$H$22="OK",(IFERROR(SUMIF(Nutzungsprofile!$B$6:$B$11,"Schulbetrieb",Nutzungsprofile!$G$6:$G$11)*Kalender!C357/SUM(Kalender!$C$5:$C$370),0)+IFERROR(SUMIF(Nutzungsprofile!$B$6:$B$11,"Halle",Nutzungsprofile!$G$6:$G$11)*Kalender!D357/SUM(Kalender!$D$5:$D$370),0)+IFERROR(SUMIF(Nutzungsprofile!$B$6:$B$11,"Individuell",Nutzungsprofile!$G$6:$G$11)*Kalender!E357/SUM(Kalender!$E$5:$E$370),0))*Szenarien!$E$22,0)</f>
        <v>0</v>
      </c>
      <c r="D4383" s="13" t="n">
        <f aca="false">IF(Szenarien!$H$22="OK",(IFERROR(SUMIF(Nutzungsprofile!$B$17:$B$22,"Schulbetrieb",Nutzungsprofile!$G$17:$G$22)*Kalender!C357/SUM(Kalender!$C$5:$C$370),0)+IFERROR(SUMIF(Nutzungsprofile!$B$17:$B$22,"Halle",Nutzungsprofile!$G$17:$G$22)*Kalender!D357/SUM(Kalender!$D$5:$D$370),0)+IFERROR(SUMIF(Nutzungsprofile!$B$17:$B$22,"Individuell",Nutzungsprofile!$G$17:$G$22)*Kalender!E357/SUM(Kalender!$E$5:$E$370),0))*Szenarien!$D$22,0)</f>
        <v>0</v>
      </c>
      <c r="E4383" s="13" t="n">
        <f aca="false">IFERROR(MIN(C4383,Eingaben!$B$17)*Eingaben!$B$16,0)</f>
        <v>0</v>
      </c>
      <c r="F4383" s="13" t="n">
        <f aca="false">IFERROR(E4383*Eingaben!$B$15,0)</f>
        <v>0</v>
      </c>
      <c r="G4383" s="13" t="n">
        <f aca="false">IFERROR(IF(Kalender!A357="",0,J4382*(1-Eingaben!$B$20)),0)</f>
        <v>0</v>
      </c>
      <c r="H4383" s="13" t="n">
        <f aca="false">MIN(G4383,D4383)</f>
        <v>0</v>
      </c>
      <c r="I4383" s="13" t="n">
        <f aca="false">IFERROR(MIN(F4383*Eingaben!$B$19,MAX(0,D4383-H4383)),0)</f>
        <v>0</v>
      </c>
      <c r="J4383" s="13" t="n">
        <f aca="false">IFERROR(MIN(Eingaben!$B$18,MAX(0,F4383-I4383)),0)</f>
        <v>0</v>
      </c>
      <c r="K4383" s="13" t="n">
        <f aca="false">H4383+I4383</f>
        <v>0</v>
      </c>
      <c r="L4383" s="13" t="n">
        <f aca="false">MAX(0,D4383-K4383)</f>
        <v>0</v>
      </c>
      <c r="M4383" s="13" t="n">
        <f aca="false">MAX(0,F4383-I4383-J4383)</f>
        <v>0</v>
      </c>
      <c r="N4383" s="13" t="n">
        <f aca="false">IF(Kalender!A357="",0,J4382-H4383)</f>
        <v>0</v>
      </c>
    </row>
    <row r="4384" customFormat="false" ht="16.4" hidden="false" customHeight="false" outlineLevel="0" collapsed="false">
      <c r="A4384" s="13" t="str">
        <f aca="false">""</f>
        <v/>
      </c>
      <c r="B4384" s="13" t="n">
        <f aca="false">354</f>
        <v>354</v>
      </c>
      <c r="C4384" s="13" t="n">
        <f aca="false">IF(Szenarien!$H$22="OK",(IFERROR(SUMIF(Nutzungsprofile!$B$6:$B$11,"Schulbetrieb",Nutzungsprofile!$G$6:$G$11)*Kalender!C358/SUM(Kalender!$C$5:$C$370),0)+IFERROR(SUMIF(Nutzungsprofile!$B$6:$B$11,"Halle",Nutzungsprofile!$G$6:$G$11)*Kalender!D358/SUM(Kalender!$D$5:$D$370),0)+IFERROR(SUMIF(Nutzungsprofile!$B$6:$B$11,"Individuell",Nutzungsprofile!$G$6:$G$11)*Kalender!E358/SUM(Kalender!$E$5:$E$370),0))*Szenarien!$E$22,0)</f>
        <v>0</v>
      </c>
      <c r="D4384" s="13" t="n">
        <f aca="false">IF(Szenarien!$H$22="OK",(IFERROR(SUMIF(Nutzungsprofile!$B$17:$B$22,"Schulbetrieb",Nutzungsprofile!$G$17:$G$22)*Kalender!C358/SUM(Kalender!$C$5:$C$370),0)+IFERROR(SUMIF(Nutzungsprofile!$B$17:$B$22,"Halle",Nutzungsprofile!$G$17:$G$22)*Kalender!D358/SUM(Kalender!$D$5:$D$370),0)+IFERROR(SUMIF(Nutzungsprofile!$B$17:$B$22,"Individuell",Nutzungsprofile!$G$17:$G$22)*Kalender!E358/SUM(Kalender!$E$5:$E$370),0))*Szenarien!$D$22,0)</f>
        <v>0</v>
      </c>
      <c r="E4384" s="13" t="n">
        <f aca="false">IFERROR(MIN(C4384,Eingaben!$B$17)*Eingaben!$B$16,0)</f>
        <v>0</v>
      </c>
      <c r="F4384" s="13" t="n">
        <f aca="false">IFERROR(E4384*Eingaben!$B$15,0)</f>
        <v>0</v>
      </c>
      <c r="G4384" s="13" t="n">
        <f aca="false">IFERROR(IF(Kalender!A358="",0,J4383*(1-Eingaben!$B$20)),0)</f>
        <v>0</v>
      </c>
      <c r="H4384" s="13" t="n">
        <f aca="false">MIN(G4384,D4384)</f>
        <v>0</v>
      </c>
      <c r="I4384" s="13" t="n">
        <f aca="false">IFERROR(MIN(F4384*Eingaben!$B$19,MAX(0,D4384-H4384)),0)</f>
        <v>0</v>
      </c>
      <c r="J4384" s="13" t="n">
        <f aca="false">IFERROR(MIN(Eingaben!$B$18,MAX(0,F4384-I4384)),0)</f>
        <v>0</v>
      </c>
      <c r="K4384" s="13" t="n">
        <f aca="false">H4384+I4384</f>
        <v>0</v>
      </c>
      <c r="L4384" s="13" t="n">
        <f aca="false">MAX(0,D4384-K4384)</f>
        <v>0</v>
      </c>
      <c r="M4384" s="13" t="n">
        <f aca="false">MAX(0,F4384-I4384-J4384)</f>
        <v>0</v>
      </c>
      <c r="N4384" s="13" t="n">
        <f aca="false">IF(Kalender!A358="",0,J4383-H4384)</f>
        <v>0</v>
      </c>
    </row>
    <row r="4385" customFormat="false" ht="16.4" hidden="false" customHeight="false" outlineLevel="0" collapsed="false">
      <c r="A4385" s="13" t="str">
        <f aca="false">""</f>
        <v/>
      </c>
      <c r="B4385" s="13" t="n">
        <f aca="false">355</f>
        <v>355</v>
      </c>
      <c r="C4385" s="13" t="n">
        <f aca="false">IF(Szenarien!$H$22="OK",(IFERROR(SUMIF(Nutzungsprofile!$B$6:$B$11,"Schulbetrieb",Nutzungsprofile!$G$6:$G$11)*Kalender!C359/SUM(Kalender!$C$5:$C$370),0)+IFERROR(SUMIF(Nutzungsprofile!$B$6:$B$11,"Halle",Nutzungsprofile!$G$6:$G$11)*Kalender!D359/SUM(Kalender!$D$5:$D$370),0)+IFERROR(SUMIF(Nutzungsprofile!$B$6:$B$11,"Individuell",Nutzungsprofile!$G$6:$G$11)*Kalender!E359/SUM(Kalender!$E$5:$E$370),0))*Szenarien!$E$22,0)</f>
        <v>0</v>
      </c>
      <c r="D4385" s="13" t="n">
        <f aca="false">IF(Szenarien!$H$22="OK",(IFERROR(SUMIF(Nutzungsprofile!$B$17:$B$22,"Schulbetrieb",Nutzungsprofile!$G$17:$G$22)*Kalender!C359/SUM(Kalender!$C$5:$C$370),0)+IFERROR(SUMIF(Nutzungsprofile!$B$17:$B$22,"Halle",Nutzungsprofile!$G$17:$G$22)*Kalender!D359/SUM(Kalender!$D$5:$D$370),0)+IFERROR(SUMIF(Nutzungsprofile!$B$17:$B$22,"Individuell",Nutzungsprofile!$G$17:$G$22)*Kalender!E359/SUM(Kalender!$E$5:$E$370),0))*Szenarien!$D$22,0)</f>
        <v>0</v>
      </c>
      <c r="E4385" s="13" t="n">
        <f aca="false">IFERROR(MIN(C4385,Eingaben!$B$17)*Eingaben!$B$16,0)</f>
        <v>0</v>
      </c>
      <c r="F4385" s="13" t="n">
        <f aca="false">IFERROR(E4385*Eingaben!$B$15,0)</f>
        <v>0</v>
      </c>
      <c r="G4385" s="13" t="n">
        <f aca="false">IFERROR(IF(Kalender!A359="",0,J4384*(1-Eingaben!$B$20)),0)</f>
        <v>0</v>
      </c>
      <c r="H4385" s="13" t="n">
        <f aca="false">MIN(G4385,D4385)</f>
        <v>0</v>
      </c>
      <c r="I4385" s="13" t="n">
        <f aca="false">IFERROR(MIN(F4385*Eingaben!$B$19,MAX(0,D4385-H4385)),0)</f>
        <v>0</v>
      </c>
      <c r="J4385" s="13" t="n">
        <f aca="false">IFERROR(MIN(Eingaben!$B$18,MAX(0,F4385-I4385)),0)</f>
        <v>0</v>
      </c>
      <c r="K4385" s="13" t="n">
        <f aca="false">H4385+I4385</f>
        <v>0</v>
      </c>
      <c r="L4385" s="13" t="n">
        <f aca="false">MAX(0,D4385-K4385)</f>
        <v>0</v>
      </c>
      <c r="M4385" s="13" t="n">
        <f aca="false">MAX(0,F4385-I4385-J4385)</f>
        <v>0</v>
      </c>
      <c r="N4385" s="13" t="n">
        <f aca="false">IF(Kalender!A359="",0,J4384-H4385)</f>
        <v>0</v>
      </c>
    </row>
    <row r="4386" customFormat="false" ht="16.4" hidden="false" customHeight="false" outlineLevel="0" collapsed="false">
      <c r="A4386" s="13" t="str">
        <f aca="false">""</f>
        <v/>
      </c>
      <c r="B4386" s="13" t="n">
        <f aca="false">356</f>
        <v>356</v>
      </c>
      <c r="C4386" s="13" t="n">
        <f aca="false">IF(Szenarien!$H$22="OK",(IFERROR(SUMIF(Nutzungsprofile!$B$6:$B$11,"Schulbetrieb",Nutzungsprofile!$G$6:$G$11)*Kalender!C360/SUM(Kalender!$C$5:$C$370),0)+IFERROR(SUMIF(Nutzungsprofile!$B$6:$B$11,"Halle",Nutzungsprofile!$G$6:$G$11)*Kalender!D360/SUM(Kalender!$D$5:$D$370),0)+IFERROR(SUMIF(Nutzungsprofile!$B$6:$B$11,"Individuell",Nutzungsprofile!$G$6:$G$11)*Kalender!E360/SUM(Kalender!$E$5:$E$370),0))*Szenarien!$E$22,0)</f>
        <v>0</v>
      </c>
      <c r="D4386" s="13" t="n">
        <f aca="false">IF(Szenarien!$H$22="OK",(IFERROR(SUMIF(Nutzungsprofile!$B$17:$B$22,"Schulbetrieb",Nutzungsprofile!$G$17:$G$22)*Kalender!C360/SUM(Kalender!$C$5:$C$370),0)+IFERROR(SUMIF(Nutzungsprofile!$B$17:$B$22,"Halle",Nutzungsprofile!$G$17:$G$22)*Kalender!D360/SUM(Kalender!$D$5:$D$370),0)+IFERROR(SUMIF(Nutzungsprofile!$B$17:$B$22,"Individuell",Nutzungsprofile!$G$17:$G$22)*Kalender!E360/SUM(Kalender!$E$5:$E$370),0))*Szenarien!$D$22,0)</f>
        <v>0</v>
      </c>
      <c r="E4386" s="13" t="n">
        <f aca="false">IFERROR(MIN(C4386,Eingaben!$B$17)*Eingaben!$B$16,0)</f>
        <v>0</v>
      </c>
      <c r="F4386" s="13" t="n">
        <f aca="false">IFERROR(E4386*Eingaben!$B$15,0)</f>
        <v>0</v>
      </c>
      <c r="G4386" s="13" t="n">
        <f aca="false">IFERROR(IF(Kalender!A360="",0,J4385*(1-Eingaben!$B$20)),0)</f>
        <v>0</v>
      </c>
      <c r="H4386" s="13" t="n">
        <f aca="false">MIN(G4386,D4386)</f>
        <v>0</v>
      </c>
      <c r="I4386" s="13" t="n">
        <f aca="false">IFERROR(MIN(F4386*Eingaben!$B$19,MAX(0,D4386-H4386)),0)</f>
        <v>0</v>
      </c>
      <c r="J4386" s="13" t="n">
        <f aca="false">IFERROR(MIN(Eingaben!$B$18,MAX(0,F4386-I4386)),0)</f>
        <v>0</v>
      </c>
      <c r="K4386" s="13" t="n">
        <f aca="false">H4386+I4386</f>
        <v>0</v>
      </c>
      <c r="L4386" s="13" t="n">
        <f aca="false">MAX(0,D4386-K4386)</f>
        <v>0</v>
      </c>
      <c r="M4386" s="13" t="n">
        <f aca="false">MAX(0,F4386-I4386-J4386)</f>
        <v>0</v>
      </c>
      <c r="N4386" s="13" t="n">
        <f aca="false">IF(Kalender!A360="",0,J4385-H4386)</f>
        <v>0</v>
      </c>
    </row>
    <row r="4387" customFormat="false" ht="16.4" hidden="false" customHeight="false" outlineLevel="0" collapsed="false">
      <c r="A4387" s="13" t="str">
        <f aca="false">""</f>
        <v/>
      </c>
      <c r="B4387" s="13" t="n">
        <f aca="false">357</f>
        <v>357</v>
      </c>
      <c r="C4387" s="13" t="n">
        <f aca="false">IF(Szenarien!$H$22="OK",(IFERROR(SUMIF(Nutzungsprofile!$B$6:$B$11,"Schulbetrieb",Nutzungsprofile!$G$6:$G$11)*Kalender!C361/SUM(Kalender!$C$5:$C$370),0)+IFERROR(SUMIF(Nutzungsprofile!$B$6:$B$11,"Halle",Nutzungsprofile!$G$6:$G$11)*Kalender!D361/SUM(Kalender!$D$5:$D$370),0)+IFERROR(SUMIF(Nutzungsprofile!$B$6:$B$11,"Individuell",Nutzungsprofile!$G$6:$G$11)*Kalender!E361/SUM(Kalender!$E$5:$E$370),0))*Szenarien!$E$22,0)</f>
        <v>0</v>
      </c>
      <c r="D4387" s="13" t="n">
        <f aca="false">IF(Szenarien!$H$22="OK",(IFERROR(SUMIF(Nutzungsprofile!$B$17:$B$22,"Schulbetrieb",Nutzungsprofile!$G$17:$G$22)*Kalender!C361/SUM(Kalender!$C$5:$C$370),0)+IFERROR(SUMIF(Nutzungsprofile!$B$17:$B$22,"Halle",Nutzungsprofile!$G$17:$G$22)*Kalender!D361/SUM(Kalender!$D$5:$D$370),0)+IFERROR(SUMIF(Nutzungsprofile!$B$17:$B$22,"Individuell",Nutzungsprofile!$G$17:$G$22)*Kalender!E361/SUM(Kalender!$E$5:$E$370),0))*Szenarien!$D$22,0)</f>
        <v>0</v>
      </c>
      <c r="E4387" s="13" t="n">
        <f aca="false">IFERROR(MIN(C4387,Eingaben!$B$17)*Eingaben!$B$16,0)</f>
        <v>0</v>
      </c>
      <c r="F4387" s="13" t="n">
        <f aca="false">IFERROR(E4387*Eingaben!$B$15,0)</f>
        <v>0</v>
      </c>
      <c r="G4387" s="13" t="n">
        <f aca="false">IFERROR(IF(Kalender!A361="",0,J4386*(1-Eingaben!$B$20)),0)</f>
        <v>0</v>
      </c>
      <c r="H4387" s="13" t="n">
        <f aca="false">MIN(G4387,D4387)</f>
        <v>0</v>
      </c>
      <c r="I4387" s="13" t="n">
        <f aca="false">IFERROR(MIN(F4387*Eingaben!$B$19,MAX(0,D4387-H4387)),0)</f>
        <v>0</v>
      </c>
      <c r="J4387" s="13" t="n">
        <f aca="false">IFERROR(MIN(Eingaben!$B$18,MAX(0,F4387-I4387)),0)</f>
        <v>0</v>
      </c>
      <c r="K4387" s="13" t="n">
        <f aca="false">H4387+I4387</f>
        <v>0</v>
      </c>
      <c r="L4387" s="13" t="n">
        <f aca="false">MAX(0,D4387-K4387)</f>
        <v>0</v>
      </c>
      <c r="M4387" s="13" t="n">
        <f aca="false">MAX(0,F4387-I4387-J4387)</f>
        <v>0</v>
      </c>
      <c r="N4387" s="13" t="n">
        <f aca="false">IF(Kalender!A361="",0,J4386-H4387)</f>
        <v>0</v>
      </c>
    </row>
    <row r="4388" customFormat="false" ht="16.4" hidden="false" customHeight="false" outlineLevel="0" collapsed="false">
      <c r="A4388" s="13" t="str">
        <f aca="false">""</f>
        <v/>
      </c>
      <c r="B4388" s="13" t="n">
        <f aca="false">358</f>
        <v>358</v>
      </c>
      <c r="C4388" s="13" t="n">
        <f aca="false">IF(Szenarien!$H$22="OK",(IFERROR(SUMIF(Nutzungsprofile!$B$6:$B$11,"Schulbetrieb",Nutzungsprofile!$G$6:$G$11)*Kalender!C362/SUM(Kalender!$C$5:$C$370),0)+IFERROR(SUMIF(Nutzungsprofile!$B$6:$B$11,"Halle",Nutzungsprofile!$G$6:$G$11)*Kalender!D362/SUM(Kalender!$D$5:$D$370),0)+IFERROR(SUMIF(Nutzungsprofile!$B$6:$B$11,"Individuell",Nutzungsprofile!$G$6:$G$11)*Kalender!E362/SUM(Kalender!$E$5:$E$370),0))*Szenarien!$E$22,0)</f>
        <v>0</v>
      </c>
      <c r="D4388" s="13" t="n">
        <f aca="false">IF(Szenarien!$H$22="OK",(IFERROR(SUMIF(Nutzungsprofile!$B$17:$B$22,"Schulbetrieb",Nutzungsprofile!$G$17:$G$22)*Kalender!C362/SUM(Kalender!$C$5:$C$370),0)+IFERROR(SUMIF(Nutzungsprofile!$B$17:$B$22,"Halle",Nutzungsprofile!$G$17:$G$22)*Kalender!D362/SUM(Kalender!$D$5:$D$370),0)+IFERROR(SUMIF(Nutzungsprofile!$B$17:$B$22,"Individuell",Nutzungsprofile!$G$17:$G$22)*Kalender!E362/SUM(Kalender!$E$5:$E$370),0))*Szenarien!$D$22,0)</f>
        <v>0</v>
      </c>
      <c r="E4388" s="13" t="n">
        <f aca="false">IFERROR(MIN(C4388,Eingaben!$B$17)*Eingaben!$B$16,0)</f>
        <v>0</v>
      </c>
      <c r="F4388" s="13" t="n">
        <f aca="false">IFERROR(E4388*Eingaben!$B$15,0)</f>
        <v>0</v>
      </c>
      <c r="G4388" s="13" t="n">
        <f aca="false">IFERROR(IF(Kalender!A362="",0,J4387*(1-Eingaben!$B$20)),0)</f>
        <v>0</v>
      </c>
      <c r="H4388" s="13" t="n">
        <f aca="false">MIN(G4388,D4388)</f>
        <v>0</v>
      </c>
      <c r="I4388" s="13" t="n">
        <f aca="false">IFERROR(MIN(F4388*Eingaben!$B$19,MAX(0,D4388-H4388)),0)</f>
        <v>0</v>
      </c>
      <c r="J4388" s="13" t="n">
        <f aca="false">IFERROR(MIN(Eingaben!$B$18,MAX(0,F4388-I4388)),0)</f>
        <v>0</v>
      </c>
      <c r="K4388" s="13" t="n">
        <f aca="false">H4388+I4388</f>
        <v>0</v>
      </c>
      <c r="L4388" s="13" t="n">
        <f aca="false">MAX(0,D4388-K4388)</f>
        <v>0</v>
      </c>
      <c r="M4388" s="13" t="n">
        <f aca="false">MAX(0,F4388-I4388-J4388)</f>
        <v>0</v>
      </c>
      <c r="N4388" s="13" t="n">
        <f aca="false">IF(Kalender!A362="",0,J4387-H4388)</f>
        <v>0</v>
      </c>
    </row>
    <row r="4389" customFormat="false" ht="16.4" hidden="false" customHeight="false" outlineLevel="0" collapsed="false">
      <c r="A4389" s="13" t="str">
        <f aca="false">""</f>
        <v/>
      </c>
      <c r="B4389" s="13" t="n">
        <f aca="false">359</f>
        <v>359</v>
      </c>
      <c r="C4389" s="13" t="n">
        <f aca="false">IF(Szenarien!$H$22="OK",(IFERROR(SUMIF(Nutzungsprofile!$B$6:$B$11,"Schulbetrieb",Nutzungsprofile!$G$6:$G$11)*Kalender!C363/SUM(Kalender!$C$5:$C$370),0)+IFERROR(SUMIF(Nutzungsprofile!$B$6:$B$11,"Halle",Nutzungsprofile!$G$6:$G$11)*Kalender!D363/SUM(Kalender!$D$5:$D$370),0)+IFERROR(SUMIF(Nutzungsprofile!$B$6:$B$11,"Individuell",Nutzungsprofile!$G$6:$G$11)*Kalender!E363/SUM(Kalender!$E$5:$E$370),0))*Szenarien!$E$22,0)</f>
        <v>0</v>
      </c>
      <c r="D4389" s="13" t="n">
        <f aca="false">IF(Szenarien!$H$22="OK",(IFERROR(SUMIF(Nutzungsprofile!$B$17:$B$22,"Schulbetrieb",Nutzungsprofile!$G$17:$G$22)*Kalender!C363/SUM(Kalender!$C$5:$C$370),0)+IFERROR(SUMIF(Nutzungsprofile!$B$17:$B$22,"Halle",Nutzungsprofile!$G$17:$G$22)*Kalender!D363/SUM(Kalender!$D$5:$D$370),0)+IFERROR(SUMIF(Nutzungsprofile!$B$17:$B$22,"Individuell",Nutzungsprofile!$G$17:$G$22)*Kalender!E363/SUM(Kalender!$E$5:$E$370),0))*Szenarien!$D$22,0)</f>
        <v>0</v>
      </c>
      <c r="E4389" s="13" t="n">
        <f aca="false">IFERROR(MIN(C4389,Eingaben!$B$17)*Eingaben!$B$16,0)</f>
        <v>0</v>
      </c>
      <c r="F4389" s="13" t="n">
        <f aca="false">IFERROR(E4389*Eingaben!$B$15,0)</f>
        <v>0</v>
      </c>
      <c r="G4389" s="13" t="n">
        <f aca="false">IFERROR(IF(Kalender!A363="",0,J4388*(1-Eingaben!$B$20)),0)</f>
        <v>0</v>
      </c>
      <c r="H4389" s="13" t="n">
        <f aca="false">MIN(G4389,D4389)</f>
        <v>0</v>
      </c>
      <c r="I4389" s="13" t="n">
        <f aca="false">IFERROR(MIN(F4389*Eingaben!$B$19,MAX(0,D4389-H4389)),0)</f>
        <v>0</v>
      </c>
      <c r="J4389" s="13" t="n">
        <f aca="false">IFERROR(MIN(Eingaben!$B$18,MAX(0,F4389-I4389)),0)</f>
        <v>0</v>
      </c>
      <c r="K4389" s="13" t="n">
        <f aca="false">H4389+I4389</f>
        <v>0</v>
      </c>
      <c r="L4389" s="13" t="n">
        <f aca="false">MAX(0,D4389-K4389)</f>
        <v>0</v>
      </c>
      <c r="M4389" s="13" t="n">
        <f aca="false">MAX(0,F4389-I4389-J4389)</f>
        <v>0</v>
      </c>
      <c r="N4389" s="13" t="n">
        <f aca="false">IF(Kalender!A363="",0,J4388-H4389)</f>
        <v>0</v>
      </c>
    </row>
    <row r="4390" customFormat="false" ht="16.4" hidden="false" customHeight="false" outlineLevel="0" collapsed="false">
      <c r="A4390" s="13" t="str">
        <f aca="false">""</f>
        <v/>
      </c>
      <c r="B4390" s="13" t="n">
        <f aca="false">360</f>
        <v>360</v>
      </c>
      <c r="C4390" s="13" t="n">
        <f aca="false">IF(Szenarien!$H$22="OK",(IFERROR(SUMIF(Nutzungsprofile!$B$6:$B$11,"Schulbetrieb",Nutzungsprofile!$G$6:$G$11)*Kalender!C364/SUM(Kalender!$C$5:$C$370),0)+IFERROR(SUMIF(Nutzungsprofile!$B$6:$B$11,"Halle",Nutzungsprofile!$G$6:$G$11)*Kalender!D364/SUM(Kalender!$D$5:$D$370),0)+IFERROR(SUMIF(Nutzungsprofile!$B$6:$B$11,"Individuell",Nutzungsprofile!$G$6:$G$11)*Kalender!E364/SUM(Kalender!$E$5:$E$370),0))*Szenarien!$E$22,0)</f>
        <v>0</v>
      </c>
      <c r="D4390" s="13" t="n">
        <f aca="false">IF(Szenarien!$H$22="OK",(IFERROR(SUMIF(Nutzungsprofile!$B$17:$B$22,"Schulbetrieb",Nutzungsprofile!$G$17:$G$22)*Kalender!C364/SUM(Kalender!$C$5:$C$370),0)+IFERROR(SUMIF(Nutzungsprofile!$B$17:$B$22,"Halle",Nutzungsprofile!$G$17:$G$22)*Kalender!D364/SUM(Kalender!$D$5:$D$370),0)+IFERROR(SUMIF(Nutzungsprofile!$B$17:$B$22,"Individuell",Nutzungsprofile!$G$17:$G$22)*Kalender!E364/SUM(Kalender!$E$5:$E$370),0))*Szenarien!$D$22,0)</f>
        <v>0</v>
      </c>
      <c r="E4390" s="13" t="n">
        <f aca="false">IFERROR(MIN(C4390,Eingaben!$B$17)*Eingaben!$B$16,0)</f>
        <v>0</v>
      </c>
      <c r="F4390" s="13" t="n">
        <f aca="false">IFERROR(E4390*Eingaben!$B$15,0)</f>
        <v>0</v>
      </c>
      <c r="G4390" s="13" t="n">
        <f aca="false">IFERROR(IF(Kalender!A364="",0,J4389*(1-Eingaben!$B$20)),0)</f>
        <v>0</v>
      </c>
      <c r="H4390" s="13" t="n">
        <f aca="false">MIN(G4390,D4390)</f>
        <v>0</v>
      </c>
      <c r="I4390" s="13" t="n">
        <f aca="false">IFERROR(MIN(F4390*Eingaben!$B$19,MAX(0,D4390-H4390)),0)</f>
        <v>0</v>
      </c>
      <c r="J4390" s="13" t="n">
        <f aca="false">IFERROR(MIN(Eingaben!$B$18,MAX(0,F4390-I4390)),0)</f>
        <v>0</v>
      </c>
      <c r="K4390" s="13" t="n">
        <f aca="false">H4390+I4390</f>
        <v>0</v>
      </c>
      <c r="L4390" s="13" t="n">
        <f aca="false">MAX(0,D4390-K4390)</f>
        <v>0</v>
      </c>
      <c r="M4390" s="13" t="n">
        <f aca="false">MAX(0,F4390-I4390-J4390)</f>
        <v>0</v>
      </c>
      <c r="N4390" s="13" t="n">
        <f aca="false">IF(Kalender!A364="",0,J4389-H4390)</f>
        <v>0</v>
      </c>
    </row>
    <row r="4391" customFormat="false" ht="16.4" hidden="false" customHeight="false" outlineLevel="0" collapsed="false">
      <c r="A4391" s="13" t="str">
        <f aca="false">""</f>
        <v/>
      </c>
      <c r="B4391" s="13" t="n">
        <f aca="false">361</f>
        <v>361</v>
      </c>
      <c r="C4391" s="13" t="n">
        <f aca="false">IF(Szenarien!$H$22="OK",(IFERROR(SUMIF(Nutzungsprofile!$B$6:$B$11,"Schulbetrieb",Nutzungsprofile!$G$6:$G$11)*Kalender!C365/SUM(Kalender!$C$5:$C$370),0)+IFERROR(SUMIF(Nutzungsprofile!$B$6:$B$11,"Halle",Nutzungsprofile!$G$6:$G$11)*Kalender!D365/SUM(Kalender!$D$5:$D$370),0)+IFERROR(SUMIF(Nutzungsprofile!$B$6:$B$11,"Individuell",Nutzungsprofile!$G$6:$G$11)*Kalender!E365/SUM(Kalender!$E$5:$E$370),0))*Szenarien!$E$22,0)</f>
        <v>0</v>
      </c>
      <c r="D4391" s="13" t="n">
        <f aca="false">IF(Szenarien!$H$22="OK",(IFERROR(SUMIF(Nutzungsprofile!$B$17:$B$22,"Schulbetrieb",Nutzungsprofile!$G$17:$G$22)*Kalender!C365/SUM(Kalender!$C$5:$C$370),0)+IFERROR(SUMIF(Nutzungsprofile!$B$17:$B$22,"Halle",Nutzungsprofile!$G$17:$G$22)*Kalender!D365/SUM(Kalender!$D$5:$D$370),0)+IFERROR(SUMIF(Nutzungsprofile!$B$17:$B$22,"Individuell",Nutzungsprofile!$G$17:$G$22)*Kalender!E365/SUM(Kalender!$E$5:$E$370),0))*Szenarien!$D$22,0)</f>
        <v>0</v>
      </c>
      <c r="E4391" s="13" t="n">
        <f aca="false">IFERROR(MIN(C4391,Eingaben!$B$17)*Eingaben!$B$16,0)</f>
        <v>0</v>
      </c>
      <c r="F4391" s="13" t="n">
        <f aca="false">IFERROR(E4391*Eingaben!$B$15,0)</f>
        <v>0</v>
      </c>
      <c r="G4391" s="13" t="n">
        <f aca="false">IFERROR(IF(Kalender!A365="",0,J4390*(1-Eingaben!$B$20)),0)</f>
        <v>0</v>
      </c>
      <c r="H4391" s="13" t="n">
        <f aca="false">MIN(G4391,D4391)</f>
        <v>0</v>
      </c>
      <c r="I4391" s="13" t="n">
        <f aca="false">IFERROR(MIN(F4391*Eingaben!$B$19,MAX(0,D4391-H4391)),0)</f>
        <v>0</v>
      </c>
      <c r="J4391" s="13" t="n">
        <f aca="false">IFERROR(MIN(Eingaben!$B$18,MAX(0,F4391-I4391)),0)</f>
        <v>0</v>
      </c>
      <c r="K4391" s="13" t="n">
        <f aca="false">H4391+I4391</f>
        <v>0</v>
      </c>
      <c r="L4391" s="13" t="n">
        <f aca="false">MAX(0,D4391-K4391)</f>
        <v>0</v>
      </c>
      <c r="M4391" s="13" t="n">
        <f aca="false">MAX(0,F4391-I4391-J4391)</f>
        <v>0</v>
      </c>
      <c r="N4391" s="13" t="n">
        <f aca="false">IF(Kalender!A365="",0,J4390-H4391)</f>
        <v>0</v>
      </c>
    </row>
    <row r="4392" customFormat="false" ht="16.4" hidden="false" customHeight="false" outlineLevel="0" collapsed="false">
      <c r="A4392" s="13" t="str">
        <f aca="false">""</f>
        <v/>
      </c>
      <c r="B4392" s="13" t="n">
        <f aca="false">362</f>
        <v>362</v>
      </c>
      <c r="C4392" s="13" t="n">
        <f aca="false">IF(Szenarien!$H$22="OK",(IFERROR(SUMIF(Nutzungsprofile!$B$6:$B$11,"Schulbetrieb",Nutzungsprofile!$G$6:$G$11)*Kalender!C366/SUM(Kalender!$C$5:$C$370),0)+IFERROR(SUMIF(Nutzungsprofile!$B$6:$B$11,"Halle",Nutzungsprofile!$G$6:$G$11)*Kalender!D366/SUM(Kalender!$D$5:$D$370),0)+IFERROR(SUMIF(Nutzungsprofile!$B$6:$B$11,"Individuell",Nutzungsprofile!$G$6:$G$11)*Kalender!E366/SUM(Kalender!$E$5:$E$370),0))*Szenarien!$E$22,0)</f>
        <v>0</v>
      </c>
      <c r="D4392" s="13" t="n">
        <f aca="false">IF(Szenarien!$H$22="OK",(IFERROR(SUMIF(Nutzungsprofile!$B$17:$B$22,"Schulbetrieb",Nutzungsprofile!$G$17:$G$22)*Kalender!C366/SUM(Kalender!$C$5:$C$370),0)+IFERROR(SUMIF(Nutzungsprofile!$B$17:$B$22,"Halle",Nutzungsprofile!$G$17:$G$22)*Kalender!D366/SUM(Kalender!$D$5:$D$370),0)+IFERROR(SUMIF(Nutzungsprofile!$B$17:$B$22,"Individuell",Nutzungsprofile!$G$17:$G$22)*Kalender!E366/SUM(Kalender!$E$5:$E$370),0))*Szenarien!$D$22,0)</f>
        <v>0</v>
      </c>
      <c r="E4392" s="13" t="n">
        <f aca="false">IFERROR(MIN(C4392,Eingaben!$B$17)*Eingaben!$B$16,0)</f>
        <v>0</v>
      </c>
      <c r="F4392" s="13" t="n">
        <f aca="false">IFERROR(E4392*Eingaben!$B$15,0)</f>
        <v>0</v>
      </c>
      <c r="G4392" s="13" t="n">
        <f aca="false">IFERROR(IF(Kalender!A366="",0,J4391*(1-Eingaben!$B$20)),0)</f>
        <v>0</v>
      </c>
      <c r="H4392" s="13" t="n">
        <f aca="false">MIN(G4392,D4392)</f>
        <v>0</v>
      </c>
      <c r="I4392" s="13" t="n">
        <f aca="false">IFERROR(MIN(F4392*Eingaben!$B$19,MAX(0,D4392-H4392)),0)</f>
        <v>0</v>
      </c>
      <c r="J4392" s="13" t="n">
        <f aca="false">IFERROR(MIN(Eingaben!$B$18,MAX(0,F4392-I4392)),0)</f>
        <v>0</v>
      </c>
      <c r="K4392" s="13" t="n">
        <f aca="false">H4392+I4392</f>
        <v>0</v>
      </c>
      <c r="L4392" s="13" t="n">
        <f aca="false">MAX(0,D4392-K4392)</f>
        <v>0</v>
      </c>
      <c r="M4392" s="13" t="n">
        <f aca="false">MAX(0,F4392-I4392-J4392)</f>
        <v>0</v>
      </c>
      <c r="N4392" s="13" t="n">
        <f aca="false">IF(Kalender!A366="",0,J4391-H4392)</f>
        <v>0</v>
      </c>
    </row>
    <row r="4393" customFormat="false" ht="16.4" hidden="false" customHeight="false" outlineLevel="0" collapsed="false">
      <c r="A4393" s="13" t="str">
        <f aca="false">""</f>
        <v/>
      </c>
      <c r="B4393" s="13" t="n">
        <f aca="false">363</f>
        <v>363</v>
      </c>
      <c r="C4393" s="13" t="n">
        <f aca="false">IF(Szenarien!$H$22="OK",(IFERROR(SUMIF(Nutzungsprofile!$B$6:$B$11,"Schulbetrieb",Nutzungsprofile!$G$6:$G$11)*Kalender!C367/SUM(Kalender!$C$5:$C$370),0)+IFERROR(SUMIF(Nutzungsprofile!$B$6:$B$11,"Halle",Nutzungsprofile!$G$6:$G$11)*Kalender!D367/SUM(Kalender!$D$5:$D$370),0)+IFERROR(SUMIF(Nutzungsprofile!$B$6:$B$11,"Individuell",Nutzungsprofile!$G$6:$G$11)*Kalender!E367/SUM(Kalender!$E$5:$E$370),0))*Szenarien!$E$22,0)</f>
        <v>0</v>
      </c>
      <c r="D4393" s="13" t="n">
        <f aca="false">IF(Szenarien!$H$22="OK",(IFERROR(SUMIF(Nutzungsprofile!$B$17:$B$22,"Schulbetrieb",Nutzungsprofile!$G$17:$G$22)*Kalender!C367/SUM(Kalender!$C$5:$C$370),0)+IFERROR(SUMIF(Nutzungsprofile!$B$17:$B$22,"Halle",Nutzungsprofile!$G$17:$G$22)*Kalender!D367/SUM(Kalender!$D$5:$D$370),0)+IFERROR(SUMIF(Nutzungsprofile!$B$17:$B$22,"Individuell",Nutzungsprofile!$G$17:$G$22)*Kalender!E367/SUM(Kalender!$E$5:$E$370),0))*Szenarien!$D$22,0)</f>
        <v>0</v>
      </c>
      <c r="E4393" s="13" t="n">
        <f aca="false">IFERROR(MIN(C4393,Eingaben!$B$17)*Eingaben!$B$16,0)</f>
        <v>0</v>
      </c>
      <c r="F4393" s="13" t="n">
        <f aca="false">IFERROR(E4393*Eingaben!$B$15,0)</f>
        <v>0</v>
      </c>
      <c r="G4393" s="13" t="n">
        <f aca="false">IFERROR(IF(Kalender!A367="",0,J4392*(1-Eingaben!$B$20)),0)</f>
        <v>0</v>
      </c>
      <c r="H4393" s="13" t="n">
        <f aca="false">MIN(G4393,D4393)</f>
        <v>0</v>
      </c>
      <c r="I4393" s="13" t="n">
        <f aca="false">IFERROR(MIN(F4393*Eingaben!$B$19,MAX(0,D4393-H4393)),0)</f>
        <v>0</v>
      </c>
      <c r="J4393" s="13" t="n">
        <f aca="false">IFERROR(MIN(Eingaben!$B$18,MAX(0,F4393-I4393)),0)</f>
        <v>0</v>
      </c>
      <c r="K4393" s="13" t="n">
        <f aca="false">H4393+I4393</f>
        <v>0</v>
      </c>
      <c r="L4393" s="13" t="n">
        <f aca="false">MAX(0,D4393-K4393)</f>
        <v>0</v>
      </c>
      <c r="M4393" s="13" t="n">
        <f aca="false">MAX(0,F4393-I4393-J4393)</f>
        <v>0</v>
      </c>
      <c r="N4393" s="13" t="n">
        <f aca="false">IF(Kalender!A367="",0,J4392-H4393)</f>
        <v>0</v>
      </c>
    </row>
    <row r="4394" customFormat="false" ht="16.4" hidden="false" customHeight="false" outlineLevel="0" collapsed="false">
      <c r="A4394" s="13" t="str">
        <f aca="false">""</f>
        <v/>
      </c>
      <c r="B4394" s="13" t="n">
        <f aca="false">364</f>
        <v>364</v>
      </c>
      <c r="C4394" s="13" t="n">
        <f aca="false">IF(Szenarien!$H$22="OK",(IFERROR(SUMIF(Nutzungsprofile!$B$6:$B$11,"Schulbetrieb",Nutzungsprofile!$G$6:$G$11)*Kalender!C368/SUM(Kalender!$C$5:$C$370),0)+IFERROR(SUMIF(Nutzungsprofile!$B$6:$B$11,"Halle",Nutzungsprofile!$G$6:$G$11)*Kalender!D368/SUM(Kalender!$D$5:$D$370),0)+IFERROR(SUMIF(Nutzungsprofile!$B$6:$B$11,"Individuell",Nutzungsprofile!$G$6:$G$11)*Kalender!E368/SUM(Kalender!$E$5:$E$370),0))*Szenarien!$E$22,0)</f>
        <v>0</v>
      </c>
      <c r="D4394" s="13" t="n">
        <f aca="false">IF(Szenarien!$H$22="OK",(IFERROR(SUMIF(Nutzungsprofile!$B$17:$B$22,"Schulbetrieb",Nutzungsprofile!$G$17:$G$22)*Kalender!C368/SUM(Kalender!$C$5:$C$370),0)+IFERROR(SUMIF(Nutzungsprofile!$B$17:$B$22,"Halle",Nutzungsprofile!$G$17:$G$22)*Kalender!D368/SUM(Kalender!$D$5:$D$370),0)+IFERROR(SUMIF(Nutzungsprofile!$B$17:$B$22,"Individuell",Nutzungsprofile!$G$17:$G$22)*Kalender!E368/SUM(Kalender!$E$5:$E$370),0))*Szenarien!$D$22,0)</f>
        <v>0</v>
      </c>
      <c r="E4394" s="13" t="n">
        <f aca="false">IFERROR(MIN(C4394,Eingaben!$B$17)*Eingaben!$B$16,0)</f>
        <v>0</v>
      </c>
      <c r="F4394" s="13" t="n">
        <f aca="false">IFERROR(E4394*Eingaben!$B$15,0)</f>
        <v>0</v>
      </c>
      <c r="G4394" s="13" t="n">
        <f aca="false">IFERROR(IF(Kalender!A368="",0,J4393*(1-Eingaben!$B$20)),0)</f>
        <v>0</v>
      </c>
      <c r="H4394" s="13" t="n">
        <f aca="false">MIN(G4394,D4394)</f>
        <v>0</v>
      </c>
      <c r="I4394" s="13" t="n">
        <f aca="false">IFERROR(MIN(F4394*Eingaben!$B$19,MAX(0,D4394-H4394)),0)</f>
        <v>0</v>
      </c>
      <c r="J4394" s="13" t="n">
        <f aca="false">IFERROR(MIN(Eingaben!$B$18,MAX(0,F4394-I4394)),0)</f>
        <v>0</v>
      </c>
      <c r="K4394" s="13" t="n">
        <f aca="false">H4394+I4394</f>
        <v>0</v>
      </c>
      <c r="L4394" s="13" t="n">
        <f aca="false">MAX(0,D4394-K4394)</f>
        <v>0</v>
      </c>
      <c r="M4394" s="13" t="n">
        <f aca="false">MAX(0,F4394-I4394-J4394)</f>
        <v>0</v>
      </c>
      <c r="N4394" s="13" t="n">
        <f aca="false">IF(Kalender!A368="",0,J4393-H4394)</f>
        <v>0</v>
      </c>
    </row>
    <row r="4395" customFormat="false" ht="16.4" hidden="false" customHeight="false" outlineLevel="0" collapsed="false">
      <c r="A4395" s="13" t="str">
        <f aca="false">""</f>
        <v/>
      </c>
      <c r="B4395" s="13" t="n">
        <f aca="false">365</f>
        <v>365</v>
      </c>
      <c r="C4395" s="13" t="n">
        <f aca="false">IF(Szenarien!$H$22="OK",(IFERROR(SUMIF(Nutzungsprofile!$B$6:$B$11,"Schulbetrieb",Nutzungsprofile!$G$6:$G$11)*Kalender!C369/SUM(Kalender!$C$5:$C$370),0)+IFERROR(SUMIF(Nutzungsprofile!$B$6:$B$11,"Halle",Nutzungsprofile!$G$6:$G$11)*Kalender!D369/SUM(Kalender!$D$5:$D$370),0)+IFERROR(SUMIF(Nutzungsprofile!$B$6:$B$11,"Individuell",Nutzungsprofile!$G$6:$G$11)*Kalender!E369/SUM(Kalender!$E$5:$E$370),0))*Szenarien!$E$22,0)</f>
        <v>0</v>
      </c>
      <c r="D4395" s="13" t="n">
        <f aca="false">IF(Szenarien!$H$22="OK",(IFERROR(SUMIF(Nutzungsprofile!$B$17:$B$22,"Schulbetrieb",Nutzungsprofile!$G$17:$G$22)*Kalender!C369/SUM(Kalender!$C$5:$C$370),0)+IFERROR(SUMIF(Nutzungsprofile!$B$17:$B$22,"Halle",Nutzungsprofile!$G$17:$G$22)*Kalender!D369/SUM(Kalender!$D$5:$D$370),0)+IFERROR(SUMIF(Nutzungsprofile!$B$17:$B$22,"Individuell",Nutzungsprofile!$G$17:$G$22)*Kalender!E369/SUM(Kalender!$E$5:$E$370),0))*Szenarien!$D$22,0)</f>
        <v>0</v>
      </c>
      <c r="E4395" s="13" t="n">
        <f aca="false">IFERROR(MIN(C4395,Eingaben!$B$17)*Eingaben!$B$16,0)</f>
        <v>0</v>
      </c>
      <c r="F4395" s="13" t="n">
        <f aca="false">IFERROR(E4395*Eingaben!$B$15,0)</f>
        <v>0</v>
      </c>
      <c r="G4395" s="13" t="n">
        <f aca="false">IFERROR(IF(Kalender!A369="",0,J4394*(1-Eingaben!$B$20)),0)</f>
        <v>0</v>
      </c>
      <c r="H4395" s="13" t="n">
        <f aca="false">MIN(G4395,D4395)</f>
        <v>0</v>
      </c>
      <c r="I4395" s="13" t="n">
        <f aca="false">IFERROR(MIN(F4395*Eingaben!$B$19,MAX(0,D4395-H4395)),0)</f>
        <v>0</v>
      </c>
      <c r="J4395" s="13" t="n">
        <f aca="false">IFERROR(MIN(Eingaben!$B$18,MAX(0,F4395-I4395)),0)</f>
        <v>0</v>
      </c>
      <c r="K4395" s="13" t="n">
        <f aca="false">H4395+I4395</f>
        <v>0</v>
      </c>
      <c r="L4395" s="13" t="n">
        <f aca="false">MAX(0,D4395-K4395)</f>
        <v>0</v>
      </c>
      <c r="M4395" s="13" t="n">
        <f aca="false">MAX(0,F4395-I4395-J4395)</f>
        <v>0</v>
      </c>
      <c r="N4395" s="13" t="n">
        <f aca="false">IF(Kalender!A369="",0,J4394-H4395)</f>
        <v>0</v>
      </c>
    </row>
    <row r="4396" customFormat="false" ht="16.4" hidden="false" customHeight="false" outlineLevel="0" collapsed="false">
      <c r="A4396" s="13" t="str">
        <f aca="false">""</f>
        <v/>
      </c>
      <c r="B4396" s="13" t="n">
        <f aca="false">366</f>
        <v>366</v>
      </c>
      <c r="C4396" s="13" t="n">
        <f aca="false">IF(Szenarien!$H$22="OK",(IFERROR(SUMIF(Nutzungsprofile!$B$6:$B$11,"Schulbetrieb",Nutzungsprofile!$G$6:$G$11)*Kalender!C370/SUM(Kalender!$C$5:$C$370),0)+IFERROR(SUMIF(Nutzungsprofile!$B$6:$B$11,"Halle",Nutzungsprofile!$G$6:$G$11)*Kalender!D370/SUM(Kalender!$D$5:$D$370),0)+IFERROR(SUMIF(Nutzungsprofile!$B$6:$B$11,"Individuell",Nutzungsprofile!$G$6:$G$11)*Kalender!E370/SUM(Kalender!$E$5:$E$370),0))*Szenarien!$E$22,0)</f>
        <v>0</v>
      </c>
      <c r="D4396" s="13" t="n">
        <f aca="false">IF(Szenarien!$H$22="OK",(IFERROR(SUMIF(Nutzungsprofile!$B$17:$B$22,"Schulbetrieb",Nutzungsprofile!$G$17:$G$22)*Kalender!C370/SUM(Kalender!$C$5:$C$370),0)+IFERROR(SUMIF(Nutzungsprofile!$B$17:$B$22,"Halle",Nutzungsprofile!$G$17:$G$22)*Kalender!D370/SUM(Kalender!$D$5:$D$370),0)+IFERROR(SUMIF(Nutzungsprofile!$B$17:$B$22,"Individuell",Nutzungsprofile!$G$17:$G$22)*Kalender!E370/SUM(Kalender!$E$5:$E$370),0))*Szenarien!$D$22,0)</f>
        <v>0</v>
      </c>
      <c r="E4396" s="13" t="n">
        <f aca="false">IFERROR(MIN(C4396,Eingaben!$B$17)*Eingaben!$B$16,0)</f>
        <v>0</v>
      </c>
      <c r="F4396" s="13" t="n">
        <f aca="false">IFERROR(E4396*Eingaben!$B$15,0)</f>
        <v>0</v>
      </c>
      <c r="G4396" s="13" t="n">
        <f aca="false">IFERROR(IF(Kalender!A370="",0,J4395*(1-Eingaben!$B$20)),0)</f>
        <v>0</v>
      </c>
      <c r="H4396" s="13" t="n">
        <f aca="false">MIN(G4396,D4396)</f>
        <v>0</v>
      </c>
      <c r="I4396" s="13" t="n">
        <f aca="false">IFERROR(MIN(F4396*Eingaben!$B$19,MAX(0,D4396-H4396)),0)</f>
        <v>0</v>
      </c>
      <c r="J4396" s="13" t="n">
        <f aca="false">IFERROR(MIN(Eingaben!$B$18,MAX(0,F4396-I4396)),0)</f>
        <v>0</v>
      </c>
      <c r="K4396" s="13" t="n">
        <f aca="false">H4396+I4396</f>
        <v>0</v>
      </c>
      <c r="L4396" s="13" t="n">
        <f aca="false">MAX(0,D4396-K4396)</f>
        <v>0</v>
      </c>
      <c r="M4396" s="13" t="n">
        <f aca="false">MAX(0,F4396-I4396-J4396)</f>
        <v>0</v>
      </c>
      <c r="N4396" s="13" t="n">
        <f aca="false">IF(Kalender!A370="",0,J4395-H4396)</f>
        <v>0</v>
      </c>
    </row>
    <row r="4397" customFormat="false" ht="31.3" hidden="false" customHeight="false" outlineLevel="0" collapsed="false">
      <c r="A4397" s="13" t="str">
        <f aca="false">"Betriebskosten +20 %"</f>
        <v>Betriebskosten +20 %</v>
      </c>
      <c r="B4397" s="13" t="n">
        <f aca="false">1</f>
        <v>1</v>
      </c>
      <c r="C4397" s="13" t="n">
        <f aca="false">IF(Szenarien!$H$23="OK",(IFERROR(SUMIF(Nutzungsprofile!$B$6:$B$11,"Schulbetrieb",Nutzungsprofile!$G$6:$G$11)*Kalender!C5/SUM(Kalender!$C$5:$C$370),0)+IFERROR(SUMIF(Nutzungsprofile!$B$6:$B$11,"Halle",Nutzungsprofile!$G$6:$G$11)*Kalender!D5/SUM(Kalender!$D$5:$D$370),0)+IFERROR(SUMIF(Nutzungsprofile!$B$6:$B$11,"Individuell",Nutzungsprofile!$G$6:$G$11)*Kalender!E5/SUM(Kalender!$E$5:$E$370),0))*Szenarien!$E$23,0)</f>
        <v>2.94</v>
      </c>
      <c r="D4397" s="13" t="n">
        <f aca="false">IF(Szenarien!$H$23="OK",(IFERROR(SUMIF(Nutzungsprofile!$B$17:$B$22,"Schulbetrieb",Nutzungsprofile!$G$17:$G$22)*Kalender!C5/SUM(Kalender!$C$5:$C$370),0)+IFERROR(SUMIF(Nutzungsprofile!$B$17:$B$22,"Halle",Nutzungsprofile!$G$17:$G$22)*Kalender!D5/SUM(Kalender!$D$5:$D$370),0)+IFERROR(SUMIF(Nutzungsprofile!$B$17:$B$22,"Individuell",Nutzungsprofile!$G$17:$G$22)*Kalender!E5/SUM(Kalender!$E$5:$E$370),0))*Szenarien!$D$23,0)</f>
        <v>4.94</v>
      </c>
      <c r="E4397" s="13" t="n">
        <f aca="false">IFERROR(MIN(C4397,Eingaben!$B$17)*Eingaben!$B$16,0)</f>
        <v>2.793</v>
      </c>
      <c r="F4397" s="13" t="n">
        <f aca="false">IFERROR(E4397*Eingaben!$B$15,0)</f>
        <v>2.5137</v>
      </c>
      <c r="G4397" s="13" t="n">
        <f aca="false">0</f>
        <v>0</v>
      </c>
      <c r="H4397" s="13" t="n">
        <f aca="false">MIN(G4397,D4397)</f>
        <v>0</v>
      </c>
      <c r="I4397" s="13" t="n">
        <f aca="false">IFERROR(MIN(F4397*Eingaben!$B$19,MAX(0,D4397-H4397)),0)</f>
        <v>1.75959</v>
      </c>
      <c r="J4397" s="13" t="n">
        <f aca="false">IFERROR(MIN(Eingaben!$B$18,MAX(0,F4397-I4397)),0)</f>
        <v>0.75411</v>
      </c>
      <c r="K4397" s="13" t="n">
        <f aca="false">H4397+I4397</f>
        <v>1.75959</v>
      </c>
      <c r="L4397" s="13" t="n">
        <f aca="false">MAX(0,D4397-K4397)</f>
        <v>3.18041</v>
      </c>
      <c r="M4397" s="13" t="n">
        <f aca="false">MAX(0,F4397-I4397-J4397)</f>
        <v>0</v>
      </c>
      <c r="N4397" s="13" t="n">
        <f aca="false">0</f>
        <v>0</v>
      </c>
    </row>
    <row r="4398" customFormat="false" ht="16.4" hidden="false" customHeight="false" outlineLevel="0" collapsed="false">
      <c r="A4398" s="13" t="str">
        <f aca="false">""</f>
        <v/>
      </c>
      <c r="B4398" s="13" t="n">
        <f aca="false">2</f>
        <v>2</v>
      </c>
      <c r="C4398" s="13" t="n">
        <f aca="false">IF(Szenarien!$H$23="OK",(IFERROR(SUMIF(Nutzungsprofile!$B$6:$B$11,"Schulbetrieb",Nutzungsprofile!$G$6:$G$11)*Kalender!C6/SUM(Kalender!$C$5:$C$370),0)+IFERROR(SUMIF(Nutzungsprofile!$B$6:$B$11,"Halle",Nutzungsprofile!$G$6:$G$11)*Kalender!D6/SUM(Kalender!$D$5:$D$370),0)+IFERROR(SUMIF(Nutzungsprofile!$B$6:$B$11,"Individuell",Nutzungsprofile!$G$6:$G$11)*Kalender!E6/SUM(Kalender!$E$5:$E$370),0))*Szenarien!$E$23,0)</f>
        <v>2.94</v>
      </c>
      <c r="D4398" s="13" t="n">
        <f aca="false">IF(Szenarien!$H$23="OK",(IFERROR(SUMIF(Nutzungsprofile!$B$17:$B$22,"Schulbetrieb",Nutzungsprofile!$G$17:$G$22)*Kalender!C6/SUM(Kalender!$C$5:$C$370),0)+IFERROR(SUMIF(Nutzungsprofile!$B$17:$B$22,"Halle",Nutzungsprofile!$G$17:$G$22)*Kalender!D6/SUM(Kalender!$D$5:$D$370),0)+IFERROR(SUMIF(Nutzungsprofile!$B$17:$B$22,"Individuell",Nutzungsprofile!$G$17:$G$22)*Kalender!E6/SUM(Kalender!$E$5:$E$370),0))*Szenarien!$D$23,0)</f>
        <v>4.94</v>
      </c>
      <c r="E4398" s="13" t="n">
        <f aca="false">IFERROR(MIN(C4398,Eingaben!$B$17)*Eingaben!$B$16,0)</f>
        <v>2.793</v>
      </c>
      <c r="F4398" s="13" t="n">
        <f aca="false">IFERROR(E4398*Eingaben!$B$15,0)</f>
        <v>2.5137</v>
      </c>
      <c r="G4398" s="13" t="n">
        <f aca="false">IFERROR(IF(Kalender!A6="",0,J4397*(1-Eingaben!$B$20)),0)</f>
        <v>0.7390278</v>
      </c>
      <c r="H4398" s="13" t="n">
        <f aca="false">MIN(G4398,D4398)</f>
        <v>0.7390278</v>
      </c>
      <c r="I4398" s="13" t="n">
        <f aca="false">IFERROR(MIN(F4398*Eingaben!$B$19,MAX(0,D4398-H4398)),0)</f>
        <v>1.75959</v>
      </c>
      <c r="J4398" s="13" t="n">
        <f aca="false">IFERROR(MIN(Eingaben!$B$18,MAX(0,F4398-I4398)),0)</f>
        <v>0.75411</v>
      </c>
      <c r="K4398" s="13" t="n">
        <f aca="false">H4398+I4398</f>
        <v>2.4986178</v>
      </c>
      <c r="L4398" s="13" t="n">
        <f aca="false">MAX(0,D4398-K4398)</f>
        <v>2.4413822</v>
      </c>
      <c r="M4398" s="13" t="n">
        <f aca="false">MAX(0,F4398-I4398-J4398)</f>
        <v>0</v>
      </c>
      <c r="N4398" s="13" t="n">
        <f aca="false">IF(Kalender!A6="",0,J4397-H4398)</f>
        <v>0.0150822</v>
      </c>
    </row>
    <row r="4399" customFormat="false" ht="16.4" hidden="false" customHeight="false" outlineLevel="0" collapsed="false">
      <c r="A4399" s="13" t="str">
        <f aca="false">""</f>
        <v/>
      </c>
      <c r="B4399" s="13" t="n">
        <f aca="false">3</f>
        <v>3</v>
      </c>
      <c r="C4399" s="13" t="n">
        <f aca="false">IF(Szenarien!$H$23="OK",(IFERROR(SUMIF(Nutzungsprofile!$B$6:$B$11,"Schulbetrieb",Nutzungsprofile!$G$6:$G$11)*Kalender!C7/SUM(Kalender!$C$5:$C$370),0)+IFERROR(SUMIF(Nutzungsprofile!$B$6:$B$11,"Halle",Nutzungsprofile!$G$6:$G$11)*Kalender!D7/SUM(Kalender!$D$5:$D$370),0)+IFERROR(SUMIF(Nutzungsprofile!$B$6:$B$11,"Individuell",Nutzungsprofile!$G$6:$G$11)*Kalender!E7/SUM(Kalender!$E$5:$E$370),0))*Szenarien!$E$23,0)</f>
        <v>2.04</v>
      </c>
      <c r="D4399" s="13" t="n">
        <f aca="false">IF(Szenarien!$H$23="OK",(IFERROR(SUMIF(Nutzungsprofile!$B$17:$B$22,"Schulbetrieb",Nutzungsprofile!$G$17:$G$22)*Kalender!C7/SUM(Kalender!$C$5:$C$370),0)+IFERROR(SUMIF(Nutzungsprofile!$B$17:$B$22,"Halle",Nutzungsprofile!$G$17:$G$22)*Kalender!D7/SUM(Kalender!$D$5:$D$370),0)+IFERROR(SUMIF(Nutzungsprofile!$B$17:$B$22,"Individuell",Nutzungsprofile!$G$17:$G$22)*Kalender!E7/SUM(Kalender!$E$5:$E$370),0))*Szenarien!$D$23,0)</f>
        <v>0.89</v>
      </c>
      <c r="E4399" s="13" t="n">
        <f aca="false">IFERROR(MIN(C4399,Eingaben!$B$17)*Eingaben!$B$16,0)</f>
        <v>1.938</v>
      </c>
      <c r="F4399" s="13" t="n">
        <f aca="false">IFERROR(E4399*Eingaben!$B$15,0)</f>
        <v>1.7442</v>
      </c>
      <c r="G4399" s="13" t="n">
        <f aca="false">IFERROR(IF(Kalender!A7="",0,J4398*(1-Eingaben!$B$20)),0)</f>
        <v>0.7390278</v>
      </c>
      <c r="H4399" s="13" t="n">
        <f aca="false">MIN(G4399,D4399)</f>
        <v>0.7390278</v>
      </c>
      <c r="I4399" s="13" t="n">
        <f aca="false">IFERROR(MIN(F4399*Eingaben!$B$19,MAX(0,D4399-H4399)),0)</f>
        <v>0.1509722</v>
      </c>
      <c r="J4399" s="13" t="n">
        <f aca="false">IFERROR(MIN(Eingaben!$B$18,MAX(0,F4399-I4399)),0)</f>
        <v>1.5932278</v>
      </c>
      <c r="K4399" s="13" t="n">
        <f aca="false">H4399+I4399</f>
        <v>0.89</v>
      </c>
      <c r="L4399" s="13" t="n">
        <f aca="false">MAX(0,D4399-K4399)</f>
        <v>0</v>
      </c>
      <c r="M4399" s="13" t="n">
        <f aca="false">MAX(0,F4399-I4399-J4399)</f>
        <v>0</v>
      </c>
      <c r="N4399" s="13" t="n">
        <f aca="false">IF(Kalender!A7="",0,J4398-H4399)</f>
        <v>0.0150822</v>
      </c>
    </row>
    <row r="4400" customFormat="false" ht="16.4" hidden="false" customHeight="false" outlineLevel="0" collapsed="false">
      <c r="A4400" s="13" t="str">
        <f aca="false">""</f>
        <v/>
      </c>
      <c r="B4400" s="13" t="n">
        <f aca="false">4</f>
        <v>4</v>
      </c>
      <c r="C4400" s="13" t="n">
        <f aca="false">IF(Szenarien!$H$23="OK",(IFERROR(SUMIF(Nutzungsprofile!$B$6:$B$11,"Schulbetrieb",Nutzungsprofile!$G$6:$G$11)*Kalender!C8/SUM(Kalender!$C$5:$C$370),0)+IFERROR(SUMIF(Nutzungsprofile!$B$6:$B$11,"Halle",Nutzungsprofile!$G$6:$G$11)*Kalender!D8/SUM(Kalender!$D$5:$D$370),0)+IFERROR(SUMIF(Nutzungsprofile!$B$6:$B$11,"Individuell",Nutzungsprofile!$G$6:$G$11)*Kalender!E8/SUM(Kalender!$E$5:$E$370),0))*Szenarien!$E$23,0)</f>
        <v>2.04</v>
      </c>
      <c r="D4400" s="13" t="n">
        <f aca="false">IF(Szenarien!$H$23="OK",(IFERROR(SUMIF(Nutzungsprofile!$B$17:$B$22,"Schulbetrieb",Nutzungsprofile!$G$17:$G$22)*Kalender!C8/SUM(Kalender!$C$5:$C$370),0)+IFERROR(SUMIF(Nutzungsprofile!$B$17:$B$22,"Halle",Nutzungsprofile!$G$17:$G$22)*Kalender!D8/SUM(Kalender!$D$5:$D$370),0)+IFERROR(SUMIF(Nutzungsprofile!$B$17:$B$22,"Individuell",Nutzungsprofile!$G$17:$G$22)*Kalender!E8/SUM(Kalender!$E$5:$E$370),0))*Szenarien!$D$23,0)</f>
        <v>0.89</v>
      </c>
      <c r="E4400" s="13" t="n">
        <f aca="false">IFERROR(MIN(C4400,Eingaben!$B$17)*Eingaben!$B$16,0)</f>
        <v>1.938</v>
      </c>
      <c r="F4400" s="13" t="n">
        <f aca="false">IFERROR(E4400*Eingaben!$B$15,0)</f>
        <v>1.7442</v>
      </c>
      <c r="G4400" s="13" t="n">
        <f aca="false">IFERROR(IF(Kalender!A8="",0,J4399*(1-Eingaben!$B$20)),0)</f>
        <v>1.561363244</v>
      </c>
      <c r="H4400" s="13" t="n">
        <f aca="false">MIN(G4400,D4400)</f>
        <v>0.89</v>
      </c>
      <c r="I4400" s="13" t="n">
        <f aca="false">IFERROR(MIN(F4400*Eingaben!$B$19,MAX(0,D4400-H4400)),0)</f>
        <v>0</v>
      </c>
      <c r="J4400" s="13" t="n">
        <f aca="false">IFERROR(MIN(Eingaben!$B$18,MAX(0,F4400-I4400)),0)</f>
        <v>1.7442</v>
      </c>
      <c r="K4400" s="13" t="n">
        <f aca="false">H4400+I4400</f>
        <v>0.89</v>
      </c>
      <c r="L4400" s="13" t="n">
        <f aca="false">MAX(0,D4400-K4400)</f>
        <v>0</v>
      </c>
      <c r="M4400" s="13" t="n">
        <f aca="false">MAX(0,F4400-I4400-J4400)</f>
        <v>0</v>
      </c>
      <c r="N4400" s="13" t="n">
        <f aca="false">IF(Kalender!A8="",0,J4399-H4400)</f>
        <v>0.7032278</v>
      </c>
    </row>
    <row r="4401" customFormat="false" ht="16.4" hidden="false" customHeight="false" outlineLevel="0" collapsed="false">
      <c r="A4401" s="13" t="str">
        <f aca="false">""</f>
        <v/>
      </c>
      <c r="B4401" s="13" t="n">
        <f aca="false">5</f>
        <v>5</v>
      </c>
      <c r="C4401" s="13" t="n">
        <f aca="false">IF(Szenarien!$H$23="OK",(IFERROR(SUMIF(Nutzungsprofile!$B$6:$B$11,"Schulbetrieb",Nutzungsprofile!$G$6:$G$11)*Kalender!C9/SUM(Kalender!$C$5:$C$370),0)+IFERROR(SUMIF(Nutzungsprofile!$B$6:$B$11,"Halle",Nutzungsprofile!$G$6:$G$11)*Kalender!D9/SUM(Kalender!$D$5:$D$370),0)+IFERROR(SUMIF(Nutzungsprofile!$B$6:$B$11,"Individuell",Nutzungsprofile!$G$6:$G$11)*Kalender!E9/SUM(Kalender!$E$5:$E$370),0))*Szenarien!$E$23,0)</f>
        <v>2.94</v>
      </c>
      <c r="D4401" s="13" t="n">
        <f aca="false">IF(Szenarien!$H$23="OK",(IFERROR(SUMIF(Nutzungsprofile!$B$17:$B$22,"Schulbetrieb",Nutzungsprofile!$G$17:$G$22)*Kalender!C9/SUM(Kalender!$C$5:$C$370),0)+IFERROR(SUMIF(Nutzungsprofile!$B$17:$B$22,"Halle",Nutzungsprofile!$G$17:$G$22)*Kalender!D9/SUM(Kalender!$D$5:$D$370),0)+IFERROR(SUMIF(Nutzungsprofile!$B$17:$B$22,"Individuell",Nutzungsprofile!$G$17:$G$22)*Kalender!E9/SUM(Kalender!$E$5:$E$370),0))*Szenarien!$D$23,0)</f>
        <v>4.94</v>
      </c>
      <c r="E4401" s="13" t="n">
        <f aca="false">IFERROR(MIN(C4401,Eingaben!$B$17)*Eingaben!$B$16,0)</f>
        <v>2.793</v>
      </c>
      <c r="F4401" s="13" t="n">
        <f aca="false">IFERROR(E4401*Eingaben!$B$15,0)</f>
        <v>2.5137</v>
      </c>
      <c r="G4401" s="13" t="n">
        <f aca="false">IFERROR(IF(Kalender!A9="",0,J4400*(1-Eingaben!$B$20)),0)</f>
        <v>1.709316</v>
      </c>
      <c r="H4401" s="13" t="n">
        <f aca="false">MIN(G4401,D4401)</f>
        <v>1.709316</v>
      </c>
      <c r="I4401" s="13" t="n">
        <f aca="false">IFERROR(MIN(F4401*Eingaben!$B$19,MAX(0,D4401-H4401)),0)</f>
        <v>1.75959</v>
      </c>
      <c r="J4401" s="13" t="n">
        <f aca="false">IFERROR(MIN(Eingaben!$B$18,MAX(0,F4401-I4401)),0)</f>
        <v>0.75411</v>
      </c>
      <c r="K4401" s="13" t="n">
        <f aca="false">H4401+I4401</f>
        <v>3.468906</v>
      </c>
      <c r="L4401" s="13" t="n">
        <f aca="false">MAX(0,D4401-K4401)</f>
        <v>1.471094</v>
      </c>
      <c r="M4401" s="13" t="n">
        <f aca="false">MAX(0,F4401-I4401-J4401)</f>
        <v>0</v>
      </c>
      <c r="N4401" s="13" t="n">
        <f aca="false">IF(Kalender!A9="",0,J4400-H4401)</f>
        <v>0.0348840000000001</v>
      </c>
    </row>
    <row r="4402" customFormat="false" ht="16.4" hidden="false" customHeight="false" outlineLevel="0" collapsed="false">
      <c r="A4402" s="13" t="str">
        <f aca="false">""</f>
        <v/>
      </c>
      <c r="B4402" s="13" t="n">
        <f aca="false">6</f>
        <v>6</v>
      </c>
      <c r="C4402" s="13" t="n">
        <f aca="false">IF(Szenarien!$H$23="OK",(IFERROR(SUMIF(Nutzungsprofile!$B$6:$B$11,"Schulbetrieb",Nutzungsprofile!$G$6:$G$11)*Kalender!C10/SUM(Kalender!$C$5:$C$370),0)+IFERROR(SUMIF(Nutzungsprofile!$B$6:$B$11,"Halle",Nutzungsprofile!$G$6:$G$11)*Kalender!D10/SUM(Kalender!$D$5:$D$370),0)+IFERROR(SUMIF(Nutzungsprofile!$B$6:$B$11,"Individuell",Nutzungsprofile!$G$6:$G$11)*Kalender!E10/SUM(Kalender!$E$5:$E$370),0))*Szenarien!$E$23,0)</f>
        <v>2.94</v>
      </c>
      <c r="D4402" s="13" t="n">
        <f aca="false">IF(Szenarien!$H$23="OK",(IFERROR(SUMIF(Nutzungsprofile!$B$17:$B$22,"Schulbetrieb",Nutzungsprofile!$G$17:$G$22)*Kalender!C10/SUM(Kalender!$C$5:$C$370),0)+IFERROR(SUMIF(Nutzungsprofile!$B$17:$B$22,"Halle",Nutzungsprofile!$G$17:$G$22)*Kalender!D10/SUM(Kalender!$D$5:$D$370),0)+IFERROR(SUMIF(Nutzungsprofile!$B$17:$B$22,"Individuell",Nutzungsprofile!$G$17:$G$22)*Kalender!E10/SUM(Kalender!$E$5:$E$370),0))*Szenarien!$D$23,0)</f>
        <v>4.94</v>
      </c>
      <c r="E4402" s="13" t="n">
        <f aca="false">IFERROR(MIN(C4402,Eingaben!$B$17)*Eingaben!$B$16,0)</f>
        <v>2.793</v>
      </c>
      <c r="F4402" s="13" t="n">
        <f aca="false">IFERROR(E4402*Eingaben!$B$15,0)</f>
        <v>2.5137</v>
      </c>
      <c r="G4402" s="13" t="n">
        <f aca="false">IFERROR(IF(Kalender!A10="",0,J4401*(1-Eingaben!$B$20)),0)</f>
        <v>0.7390278</v>
      </c>
      <c r="H4402" s="13" t="n">
        <f aca="false">MIN(G4402,D4402)</f>
        <v>0.7390278</v>
      </c>
      <c r="I4402" s="13" t="n">
        <f aca="false">IFERROR(MIN(F4402*Eingaben!$B$19,MAX(0,D4402-H4402)),0)</f>
        <v>1.75959</v>
      </c>
      <c r="J4402" s="13" t="n">
        <f aca="false">IFERROR(MIN(Eingaben!$B$18,MAX(0,F4402-I4402)),0)</f>
        <v>0.75411</v>
      </c>
      <c r="K4402" s="13" t="n">
        <f aca="false">H4402+I4402</f>
        <v>2.4986178</v>
      </c>
      <c r="L4402" s="13" t="n">
        <f aca="false">MAX(0,D4402-K4402)</f>
        <v>2.4413822</v>
      </c>
      <c r="M4402" s="13" t="n">
        <f aca="false">MAX(0,F4402-I4402-J4402)</f>
        <v>0</v>
      </c>
      <c r="N4402" s="13" t="n">
        <f aca="false">IF(Kalender!A10="",0,J4401-H4402)</f>
        <v>0.0150822</v>
      </c>
    </row>
    <row r="4403" customFormat="false" ht="16.4" hidden="false" customHeight="false" outlineLevel="0" collapsed="false">
      <c r="A4403" s="13" t="str">
        <f aca="false">""</f>
        <v/>
      </c>
      <c r="B4403" s="13" t="n">
        <f aca="false">7</f>
        <v>7</v>
      </c>
      <c r="C4403" s="13" t="n">
        <f aca="false">IF(Szenarien!$H$23="OK",(IFERROR(SUMIF(Nutzungsprofile!$B$6:$B$11,"Schulbetrieb",Nutzungsprofile!$G$6:$G$11)*Kalender!C11/SUM(Kalender!$C$5:$C$370),0)+IFERROR(SUMIF(Nutzungsprofile!$B$6:$B$11,"Halle",Nutzungsprofile!$G$6:$G$11)*Kalender!D11/SUM(Kalender!$D$5:$D$370),0)+IFERROR(SUMIF(Nutzungsprofile!$B$6:$B$11,"Individuell",Nutzungsprofile!$G$6:$G$11)*Kalender!E11/SUM(Kalender!$E$5:$E$370),0))*Szenarien!$E$23,0)</f>
        <v>2.94</v>
      </c>
      <c r="D4403" s="13" t="n">
        <f aca="false">IF(Szenarien!$H$23="OK",(IFERROR(SUMIF(Nutzungsprofile!$B$17:$B$22,"Schulbetrieb",Nutzungsprofile!$G$17:$G$22)*Kalender!C11/SUM(Kalender!$C$5:$C$370),0)+IFERROR(SUMIF(Nutzungsprofile!$B$17:$B$22,"Halle",Nutzungsprofile!$G$17:$G$22)*Kalender!D11/SUM(Kalender!$D$5:$D$370),0)+IFERROR(SUMIF(Nutzungsprofile!$B$17:$B$22,"Individuell",Nutzungsprofile!$G$17:$G$22)*Kalender!E11/SUM(Kalender!$E$5:$E$370),0))*Szenarien!$D$23,0)</f>
        <v>4.94</v>
      </c>
      <c r="E4403" s="13" t="n">
        <f aca="false">IFERROR(MIN(C4403,Eingaben!$B$17)*Eingaben!$B$16,0)</f>
        <v>2.793</v>
      </c>
      <c r="F4403" s="13" t="n">
        <f aca="false">IFERROR(E4403*Eingaben!$B$15,0)</f>
        <v>2.5137</v>
      </c>
      <c r="G4403" s="13" t="n">
        <f aca="false">IFERROR(IF(Kalender!A11="",0,J4402*(1-Eingaben!$B$20)),0)</f>
        <v>0.7390278</v>
      </c>
      <c r="H4403" s="13" t="n">
        <f aca="false">MIN(G4403,D4403)</f>
        <v>0.7390278</v>
      </c>
      <c r="I4403" s="13" t="n">
        <f aca="false">IFERROR(MIN(F4403*Eingaben!$B$19,MAX(0,D4403-H4403)),0)</f>
        <v>1.75959</v>
      </c>
      <c r="J4403" s="13" t="n">
        <f aca="false">IFERROR(MIN(Eingaben!$B$18,MAX(0,F4403-I4403)),0)</f>
        <v>0.75411</v>
      </c>
      <c r="K4403" s="13" t="n">
        <f aca="false">H4403+I4403</f>
        <v>2.4986178</v>
      </c>
      <c r="L4403" s="13" t="n">
        <f aca="false">MAX(0,D4403-K4403)</f>
        <v>2.4413822</v>
      </c>
      <c r="M4403" s="13" t="n">
        <f aca="false">MAX(0,F4403-I4403-J4403)</f>
        <v>0</v>
      </c>
      <c r="N4403" s="13" t="n">
        <f aca="false">IF(Kalender!A11="",0,J4402-H4403)</f>
        <v>0.0150822</v>
      </c>
    </row>
    <row r="4404" customFormat="false" ht="16.4" hidden="false" customHeight="false" outlineLevel="0" collapsed="false">
      <c r="A4404" s="13" t="str">
        <f aca="false">""</f>
        <v/>
      </c>
      <c r="B4404" s="13" t="n">
        <f aca="false">8</f>
        <v>8</v>
      </c>
      <c r="C4404" s="13" t="n">
        <f aca="false">IF(Szenarien!$H$23="OK",(IFERROR(SUMIF(Nutzungsprofile!$B$6:$B$11,"Schulbetrieb",Nutzungsprofile!$G$6:$G$11)*Kalender!C12/SUM(Kalender!$C$5:$C$370),0)+IFERROR(SUMIF(Nutzungsprofile!$B$6:$B$11,"Halle",Nutzungsprofile!$G$6:$G$11)*Kalender!D12/SUM(Kalender!$D$5:$D$370),0)+IFERROR(SUMIF(Nutzungsprofile!$B$6:$B$11,"Individuell",Nutzungsprofile!$G$6:$G$11)*Kalender!E12/SUM(Kalender!$E$5:$E$370),0))*Szenarien!$E$23,0)</f>
        <v>2.94</v>
      </c>
      <c r="D4404" s="13" t="n">
        <f aca="false">IF(Szenarien!$H$23="OK",(IFERROR(SUMIF(Nutzungsprofile!$B$17:$B$22,"Schulbetrieb",Nutzungsprofile!$G$17:$G$22)*Kalender!C12/SUM(Kalender!$C$5:$C$370),0)+IFERROR(SUMIF(Nutzungsprofile!$B$17:$B$22,"Halle",Nutzungsprofile!$G$17:$G$22)*Kalender!D12/SUM(Kalender!$D$5:$D$370),0)+IFERROR(SUMIF(Nutzungsprofile!$B$17:$B$22,"Individuell",Nutzungsprofile!$G$17:$G$22)*Kalender!E12/SUM(Kalender!$E$5:$E$370),0))*Szenarien!$D$23,0)</f>
        <v>4.94</v>
      </c>
      <c r="E4404" s="13" t="n">
        <f aca="false">IFERROR(MIN(C4404,Eingaben!$B$17)*Eingaben!$B$16,0)</f>
        <v>2.793</v>
      </c>
      <c r="F4404" s="13" t="n">
        <f aca="false">IFERROR(E4404*Eingaben!$B$15,0)</f>
        <v>2.5137</v>
      </c>
      <c r="G4404" s="13" t="n">
        <f aca="false">IFERROR(IF(Kalender!A12="",0,J4403*(1-Eingaben!$B$20)),0)</f>
        <v>0.7390278</v>
      </c>
      <c r="H4404" s="13" t="n">
        <f aca="false">MIN(G4404,D4404)</f>
        <v>0.7390278</v>
      </c>
      <c r="I4404" s="13" t="n">
        <f aca="false">IFERROR(MIN(F4404*Eingaben!$B$19,MAX(0,D4404-H4404)),0)</f>
        <v>1.75959</v>
      </c>
      <c r="J4404" s="13" t="n">
        <f aca="false">IFERROR(MIN(Eingaben!$B$18,MAX(0,F4404-I4404)),0)</f>
        <v>0.75411</v>
      </c>
      <c r="K4404" s="13" t="n">
        <f aca="false">H4404+I4404</f>
        <v>2.4986178</v>
      </c>
      <c r="L4404" s="13" t="n">
        <f aca="false">MAX(0,D4404-K4404)</f>
        <v>2.4413822</v>
      </c>
      <c r="M4404" s="13" t="n">
        <f aca="false">MAX(0,F4404-I4404-J4404)</f>
        <v>0</v>
      </c>
      <c r="N4404" s="13" t="n">
        <f aca="false">IF(Kalender!A12="",0,J4403-H4404)</f>
        <v>0.0150822</v>
      </c>
    </row>
    <row r="4405" customFormat="false" ht="16.4" hidden="false" customHeight="false" outlineLevel="0" collapsed="false">
      <c r="A4405" s="13" t="str">
        <f aca="false">""</f>
        <v/>
      </c>
      <c r="B4405" s="13" t="n">
        <f aca="false">9</f>
        <v>9</v>
      </c>
      <c r="C4405" s="13" t="n">
        <f aca="false">IF(Szenarien!$H$23="OK",(IFERROR(SUMIF(Nutzungsprofile!$B$6:$B$11,"Schulbetrieb",Nutzungsprofile!$G$6:$G$11)*Kalender!C13/SUM(Kalender!$C$5:$C$370),0)+IFERROR(SUMIF(Nutzungsprofile!$B$6:$B$11,"Halle",Nutzungsprofile!$G$6:$G$11)*Kalender!D13/SUM(Kalender!$D$5:$D$370),0)+IFERROR(SUMIF(Nutzungsprofile!$B$6:$B$11,"Individuell",Nutzungsprofile!$G$6:$G$11)*Kalender!E13/SUM(Kalender!$E$5:$E$370),0))*Szenarien!$E$23,0)</f>
        <v>2.94</v>
      </c>
      <c r="D4405" s="13" t="n">
        <f aca="false">IF(Szenarien!$H$23="OK",(IFERROR(SUMIF(Nutzungsprofile!$B$17:$B$22,"Schulbetrieb",Nutzungsprofile!$G$17:$G$22)*Kalender!C13/SUM(Kalender!$C$5:$C$370),0)+IFERROR(SUMIF(Nutzungsprofile!$B$17:$B$22,"Halle",Nutzungsprofile!$G$17:$G$22)*Kalender!D13/SUM(Kalender!$D$5:$D$370),0)+IFERROR(SUMIF(Nutzungsprofile!$B$17:$B$22,"Individuell",Nutzungsprofile!$G$17:$G$22)*Kalender!E13/SUM(Kalender!$E$5:$E$370),0))*Szenarien!$D$23,0)</f>
        <v>4.94</v>
      </c>
      <c r="E4405" s="13" t="n">
        <f aca="false">IFERROR(MIN(C4405,Eingaben!$B$17)*Eingaben!$B$16,0)</f>
        <v>2.793</v>
      </c>
      <c r="F4405" s="13" t="n">
        <f aca="false">IFERROR(E4405*Eingaben!$B$15,0)</f>
        <v>2.5137</v>
      </c>
      <c r="G4405" s="13" t="n">
        <f aca="false">IFERROR(IF(Kalender!A13="",0,J4404*(1-Eingaben!$B$20)),0)</f>
        <v>0.7390278</v>
      </c>
      <c r="H4405" s="13" t="n">
        <f aca="false">MIN(G4405,D4405)</f>
        <v>0.7390278</v>
      </c>
      <c r="I4405" s="13" t="n">
        <f aca="false">IFERROR(MIN(F4405*Eingaben!$B$19,MAX(0,D4405-H4405)),0)</f>
        <v>1.75959</v>
      </c>
      <c r="J4405" s="13" t="n">
        <f aca="false">IFERROR(MIN(Eingaben!$B$18,MAX(0,F4405-I4405)),0)</f>
        <v>0.75411</v>
      </c>
      <c r="K4405" s="13" t="n">
        <f aca="false">H4405+I4405</f>
        <v>2.4986178</v>
      </c>
      <c r="L4405" s="13" t="n">
        <f aca="false">MAX(0,D4405-K4405)</f>
        <v>2.4413822</v>
      </c>
      <c r="M4405" s="13" t="n">
        <f aca="false">MAX(0,F4405-I4405-J4405)</f>
        <v>0</v>
      </c>
      <c r="N4405" s="13" t="n">
        <f aca="false">IF(Kalender!A13="",0,J4404-H4405)</f>
        <v>0.0150822</v>
      </c>
    </row>
    <row r="4406" customFormat="false" ht="16.4" hidden="false" customHeight="false" outlineLevel="0" collapsed="false">
      <c r="A4406" s="13" t="str">
        <f aca="false">""</f>
        <v/>
      </c>
      <c r="B4406" s="13" t="n">
        <f aca="false">10</f>
        <v>10</v>
      </c>
      <c r="C4406" s="13" t="n">
        <f aca="false">IF(Szenarien!$H$23="OK",(IFERROR(SUMIF(Nutzungsprofile!$B$6:$B$11,"Schulbetrieb",Nutzungsprofile!$G$6:$G$11)*Kalender!C14/SUM(Kalender!$C$5:$C$370),0)+IFERROR(SUMIF(Nutzungsprofile!$B$6:$B$11,"Halle",Nutzungsprofile!$G$6:$G$11)*Kalender!D14/SUM(Kalender!$D$5:$D$370),0)+IFERROR(SUMIF(Nutzungsprofile!$B$6:$B$11,"Individuell",Nutzungsprofile!$G$6:$G$11)*Kalender!E14/SUM(Kalender!$E$5:$E$370),0))*Szenarien!$E$23,0)</f>
        <v>2.04</v>
      </c>
      <c r="D4406" s="13" t="n">
        <f aca="false">IF(Szenarien!$H$23="OK",(IFERROR(SUMIF(Nutzungsprofile!$B$17:$B$22,"Schulbetrieb",Nutzungsprofile!$G$17:$G$22)*Kalender!C14/SUM(Kalender!$C$5:$C$370),0)+IFERROR(SUMIF(Nutzungsprofile!$B$17:$B$22,"Halle",Nutzungsprofile!$G$17:$G$22)*Kalender!D14/SUM(Kalender!$D$5:$D$370),0)+IFERROR(SUMIF(Nutzungsprofile!$B$17:$B$22,"Individuell",Nutzungsprofile!$G$17:$G$22)*Kalender!E14/SUM(Kalender!$E$5:$E$370),0))*Szenarien!$D$23,0)</f>
        <v>0.89</v>
      </c>
      <c r="E4406" s="13" t="n">
        <f aca="false">IFERROR(MIN(C4406,Eingaben!$B$17)*Eingaben!$B$16,0)</f>
        <v>1.938</v>
      </c>
      <c r="F4406" s="13" t="n">
        <f aca="false">IFERROR(E4406*Eingaben!$B$15,0)</f>
        <v>1.7442</v>
      </c>
      <c r="G4406" s="13" t="n">
        <f aca="false">IFERROR(IF(Kalender!A14="",0,J4405*(1-Eingaben!$B$20)),0)</f>
        <v>0.7390278</v>
      </c>
      <c r="H4406" s="13" t="n">
        <f aca="false">MIN(G4406,D4406)</f>
        <v>0.7390278</v>
      </c>
      <c r="I4406" s="13" t="n">
        <f aca="false">IFERROR(MIN(F4406*Eingaben!$B$19,MAX(0,D4406-H4406)),0)</f>
        <v>0.1509722</v>
      </c>
      <c r="J4406" s="13" t="n">
        <f aca="false">IFERROR(MIN(Eingaben!$B$18,MAX(0,F4406-I4406)),0)</f>
        <v>1.5932278</v>
      </c>
      <c r="K4406" s="13" t="n">
        <f aca="false">H4406+I4406</f>
        <v>0.89</v>
      </c>
      <c r="L4406" s="13" t="n">
        <f aca="false">MAX(0,D4406-K4406)</f>
        <v>0</v>
      </c>
      <c r="M4406" s="13" t="n">
        <f aca="false">MAX(0,F4406-I4406-J4406)</f>
        <v>0</v>
      </c>
      <c r="N4406" s="13" t="n">
        <f aca="false">IF(Kalender!A14="",0,J4405-H4406)</f>
        <v>0.0150822</v>
      </c>
    </row>
    <row r="4407" customFormat="false" ht="16.4" hidden="false" customHeight="false" outlineLevel="0" collapsed="false">
      <c r="A4407" s="13" t="str">
        <f aca="false">""</f>
        <v/>
      </c>
      <c r="B4407" s="13" t="n">
        <f aca="false">11</f>
        <v>11</v>
      </c>
      <c r="C4407" s="13" t="n">
        <f aca="false">IF(Szenarien!$H$23="OK",(IFERROR(SUMIF(Nutzungsprofile!$B$6:$B$11,"Schulbetrieb",Nutzungsprofile!$G$6:$G$11)*Kalender!C15/SUM(Kalender!$C$5:$C$370),0)+IFERROR(SUMIF(Nutzungsprofile!$B$6:$B$11,"Halle",Nutzungsprofile!$G$6:$G$11)*Kalender!D15/SUM(Kalender!$D$5:$D$370),0)+IFERROR(SUMIF(Nutzungsprofile!$B$6:$B$11,"Individuell",Nutzungsprofile!$G$6:$G$11)*Kalender!E15/SUM(Kalender!$E$5:$E$370),0))*Szenarien!$E$23,0)</f>
        <v>2.04</v>
      </c>
      <c r="D4407" s="13" t="n">
        <f aca="false">IF(Szenarien!$H$23="OK",(IFERROR(SUMIF(Nutzungsprofile!$B$17:$B$22,"Schulbetrieb",Nutzungsprofile!$G$17:$G$22)*Kalender!C15/SUM(Kalender!$C$5:$C$370),0)+IFERROR(SUMIF(Nutzungsprofile!$B$17:$B$22,"Halle",Nutzungsprofile!$G$17:$G$22)*Kalender!D15/SUM(Kalender!$D$5:$D$370),0)+IFERROR(SUMIF(Nutzungsprofile!$B$17:$B$22,"Individuell",Nutzungsprofile!$G$17:$G$22)*Kalender!E15/SUM(Kalender!$E$5:$E$370),0))*Szenarien!$D$23,0)</f>
        <v>0.89</v>
      </c>
      <c r="E4407" s="13" t="n">
        <f aca="false">IFERROR(MIN(C4407,Eingaben!$B$17)*Eingaben!$B$16,0)</f>
        <v>1.938</v>
      </c>
      <c r="F4407" s="13" t="n">
        <f aca="false">IFERROR(E4407*Eingaben!$B$15,0)</f>
        <v>1.7442</v>
      </c>
      <c r="G4407" s="13" t="n">
        <f aca="false">IFERROR(IF(Kalender!A15="",0,J4406*(1-Eingaben!$B$20)),0)</f>
        <v>1.561363244</v>
      </c>
      <c r="H4407" s="13" t="n">
        <f aca="false">MIN(G4407,D4407)</f>
        <v>0.89</v>
      </c>
      <c r="I4407" s="13" t="n">
        <f aca="false">IFERROR(MIN(F4407*Eingaben!$B$19,MAX(0,D4407-H4407)),0)</f>
        <v>0</v>
      </c>
      <c r="J4407" s="13" t="n">
        <f aca="false">IFERROR(MIN(Eingaben!$B$18,MAX(0,F4407-I4407)),0)</f>
        <v>1.7442</v>
      </c>
      <c r="K4407" s="13" t="n">
        <f aca="false">H4407+I4407</f>
        <v>0.89</v>
      </c>
      <c r="L4407" s="13" t="n">
        <f aca="false">MAX(0,D4407-K4407)</f>
        <v>0</v>
      </c>
      <c r="M4407" s="13" t="n">
        <f aca="false">MAX(0,F4407-I4407-J4407)</f>
        <v>0</v>
      </c>
      <c r="N4407" s="13" t="n">
        <f aca="false">IF(Kalender!A15="",0,J4406-H4407)</f>
        <v>0.7032278</v>
      </c>
    </row>
    <row r="4408" customFormat="false" ht="16.4" hidden="false" customHeight="false" outlineLevel="0" collapsed="false">
      <c r="A4408" s="13" t="str">
        <f aca="false">""</f>
        <v/>
      </c>
      <c r="B4408" s="13" t="n">
        <f aca="false">12</f>
        <v>12</v>
      </c>
      <c r="C4408" s="13" t="n">
        <f aca="false">IF(Szenarien!$H$23="OK",(IFERROR(SUMIF(Nutzungsprofile!$B$6:$B$11,"Schulbetrieb",Nutzungsprofile!$G$6:$G$11)*Kalender!C16/SUM(Kalender!$C$5:$C$370),0)+IFERROR(SUMIF(Nutzungsprofile!$B$6:$B$11,"Halle",Nutzungsprofile!$G$6:$G$11)*Kalender!D16/SUM(Kalender!$D$5:$D$370),0)+IFERROR(SUMIF(Nutzungsprofile!$B$6:$B$11,"Individuell",Nutzungsprofile!$G$6:$G$11)*Kalender!E16/SUM(Kalender!$E$5:$E$370),0))*Szenarien!$E$23,0)</f>
        <v>2.94</v>
      </c>
      <c r="D4408" s="13" t="n">
        <f aca="false">IF(Szenarien!$H$23="OK",(IFERROR(SUMIF(Nutzungsprofile!$B$17:$B$22,"Schulbetrieb",Nutzungsprofile!$G$17:$G$22)*Kalender!C16/SUM(Kalender!$C$5:$C$370),0)+IFERROR(SUMIF(Nutzungsprofile!$B$17:$B$22,"Halle",Nutzungsprofile!$G$17:$G$22)*Kalender!D16/SUM(Kalender!$D$5:$D$370),0)+IFERROR(SUMIF(Nutzungsprofile!$B$17:$B$22,"Individuell",Nutzungsprofile!$G$17:$G$22)*Kalender!E16/SUM(Kalender!$E$5:$E$370),0))*Szenarien!$D$23,0)</f>
        <v>4.94</v>
      </c>
      <c r="E4408" s="13" t="n">
        <f aca="false">IFERROR(MIN(C4408,Eingaben!$B$17)*Eingaben!$B$16,0)</f>
        <v>2.793</v>
      </c>
      <c r="F4408" s="13" t="n">
        <f aca="false">IFERROR(E4408*Eingaben!$B$15,0)</f>
        <v>2.5137</v>
      </c>
      <c r="G4408" s="13" t="n">
        <f aca="false">IFERROR(IF(Kalender!A16="",0,J4407*(1-Eingaben!$B$20)),0)</f>
        <v>1.709316</v>
      </c>
      <c r="H4408" s="13" t="n">
        <f aca="false">MIN(G4408,D4408)</f>
        <v>1.709316</v>
      </c>
      <c r="I4408" s="13" t="n">
        <f aca="false">IFERROR(MIN(F4408*Eingaben!$B$19,MAX(0,D4408-H4408)),0)</f>
        <v>1.75959</v>
      </c>
      <c r="J4408" s="13" t="n">
        <f aca="false">IFERROR(MIN(Eingaben!$B$18,MAX(0,F4408-I4408)),0)</f>
        <v>0.75411</v>
      </c>
      <c r="K4408" s="13" t="n">
        <f aca="false">H4408+I4408</f>
        <v>3.468906</v>
      </c>
      <c r="L4408" s="13" t="n">
        <f aca="false">MAX(0,D4408-K4408)</f>
        <v>1.471094</v>
      </c>
      <c r="M4408" s="13" t="n">
        <f aca="false">MAX(0,F4408-I4408-J4408)</f>
        <v>0</v>
      </c>
      <c r="N4408" s="13" t="n">
        <f aca="false">IF(Kalender!A16="",0,J4407-H4408)</f>
        <v>0.0348840000000001</v>
      </c>
    </row>
    <row r="4409" customFormat="false" ht="16.4" hidden="false" customHeight="false" outlineLevel="0" collapsed="false">
      <c r="A4409" s="13" t="str">
        <f aca="false">""</f>
        <v/>
      </c>
      <c r="B4409" s="13" t="n">
        <f aca="false">13</f>
        <v>13</v>
      </c>
      <c r="C4409" s="13" t="n">
        <f aca="false">IF(Szenarien!$H$23="OK",(IFERROR(SUMIF(Nutzungsprofile!$B$6:$B$11,"Schulbetrieb",Nutzungsprofile!$G$6:$G$11)*Kalender!C17/SUM(Kalender!$C$5:$C$370),0)+IFERROR(SUMIF(Nutzungsprofile!$B$6:$B$11,"Halle",Nutzungsprofile!$G$6:$G$11)*Kalender!D17/SUM(Kalender!$D$5:$D$370),0)+IFERROR(SUMIF(Nutzungsprofile!$B$6:$B$11,"Individuell",Nutzungsprofile!$G$6:$G$11)*Kalender!E17/SUM(Kalender!$E$5:$E$370),0))*Szenarien!$E$23,0)</f>
        <v>2.94</v>
      </c>
      <c r="D4409" s="13" t="n">
        <f aca="false">IF(Szenarien!$H$23="OK",(IFERROR(SUMIF(Nutzungsprofile!$B$17:$B$22,"Schulbetrieb",Nutzungsprofile!$G$17:$G$22)*Kalender!C17/SUM(Kalender!$C$5:$C$370),0)+IFERROR(SUMIF(Nutzungsprofile!$B$17:$B$22,"Halle",Nutzungsprofile!$G$17:$G$22)*Kalender!D17/SUM(Kalender!$D$5:$D$370),0)+IFERROR(SUMIF(Nutzungsprofile!$B$17:$B$22,"Individuell",Nutzungsprofile!$G$17:$G$22)*Kalender!E17/SUM(Kalender!$E$5:$E$370),0))*Szenarien!$D$23,0)</f>
        <v>4.94</v>
      </c>
      <c r="E4409" s="13" t="n">
        <f aca="false">IFERROR(MIN(C4409,Eingaben!$B$17)*Eingaben!$B$16,0)</f>
        <v>2.793</v>
      </c>
      <c r="F4409" s="13" t="n">
        <f aca="false">IFERROR(E4409*Eingaben!$B$15,0)</f>
        <v>2.5137</v>
      </c>
      <c r="G4409" s="13" t="n">
        <f aca="false">IFERROR(IF(Kalender!A17="",0,J4408*(1-Eingaben!$B$20)),0)</f>
        <v>0.7390278</v>
      </c>
      <c r="H4409" s="13" t="n">
        <f aca="false">MIN(G4409,D4409)</f>
        <v>0.7390278</v>
      </c>
      <c r="I4409" s="13" t="n">
        <f aca="false">IFERROR(MIN(F4409*Eingaben!$B$19,MAX(0,D4409-H4409)),0)</f>
        <v>1.75959</v>
      </c>
      <c r="J4409" s="13" t="n">
        <f aca="false">IFERROR(MIN(Eingaben!$B$18,MAX(0,F4409-I4409)),0)</f>
        <v>0.75411</v>
      </c>
      <c r="K4409" s="13" t="n">
        <f aca="false">H4409+I4409</f>
        <v>2.4986178</v>
      </c>
      <c r="L4409" s="13" t="n">
        <f aca="false">MAX(0,D4409-K4409)</f>
        <v>2.4413822</v>
      </c>
      <c r="M4409" s="13" t="n">
        <f aca="false">MAX(0,F4409-I4409-J4409)</f>
        <v>0</v>
      </c>
      <c r="N4409" s="13" t="n">
        <f aca="false">IF(Kalender!A17="",0,J4408-H4409)</f>
        <v>0.0150822</v>
      </c>
    </row>
    <row r="4410" customFormat="false" ht="16.4" hidden="false" customHeight="false" outlineLevel="0" collapsed="false">
      <c r="A4410" s="13" t="str">
        <f aca="false">""</f>
        <v/>
      </c>
      <c r="B4410" s="13" t="n">
        <f aca="false">14</f>
        <v>14</v>
      </c>
      <c r="C4410" s="13" t="n">
        <f aca="false">IF(Szenarien!$H$23="OK",(IFERROR(SUMIF(Nutzungsprofile!$B$6:$B$11,"Schulbetrieb",Nutzungsprofile!$G$6:$G$11)*Kalender!C18/SUM(Kalender!$C$5:$C$370),0)+IFERROR(SUMIF(Nutzungsprofile!$B$6:$B$11,"Halle",Nutzungsprofile!$G$6:$G$11)*Kalender!D18/SUM(Kalender!$D$5:$D$370),0)+IFERROR(SUMIF(Nutzungsprofile!$B$6:$B$11,"Individuell",Nutzungsprofile!$G$6:$G$11)*Kalender!E18/SUM(Kalender!$E$5:$E$370),0))*Szenarien!$E$23,0)</f>
        <v>2.94</v>
      </c>
      <c r="D4410" s="13" t="n">
        <f aca="false">IF(Szenarien!$H$23="OK",(IFERROR(SUMIF(Nutzungsprofile!$B$17:$B$22,"Schulbetrieb",Nutzungsprofile!$G$17:$G$22)*Kalender!C18/SUM(Kalender!$C$5:$C$370),0)+IFERROR(SUMIF(Nutzungsprofile!$B$17:$B$22,"Halle",Nutzungsprofile!$G$17:$G$22)*Kalender!D18/SUM(Kalender!$D$5:$D$370),0)+IFERROR(SUMIF(Nutzungsprofile!$B$17:$B$22,"Individuell",Nutzungsprofile!$G$17:$G$22)*Kalender!E18/SUM(Kalender!$E$5:$E$370),0))*Szenarien!$D$23,0)</f>
        <v>4.94</v>
      </c>
      <c r="E4410" s="13" t="n">
        <f aca="false">IFERROR(MIN(C4410,Eingaben!$B$17)*Eingaben!$B$16,0)</f>
        <v>2.793</v>
      </c>
      <c r="F4410" s="13" t="n">
        <f aca="false">IFERROR(E4410*Eingaben!$B$15,0)</f>
        <v>2.5137</v>
      </c>
      <c r="G4410" s="13" t="n">
        <f aca="false">IFERROR(IF(Kalender!A18="",0,J4409*(1-Eingaben!$B$20)),0)</f>
        <v>0.7390278</v>
      </c>
      <c r="H4410" s="13" t="n">
        <f aca="false">MIN(G4410,D4410)</f>
        <v>0.7390278</v>
      </c>
      <c r="I4410" s="13" t="n">
        <f aca="false">IFERROR(MIN(F4410*Eingaben!$B$19,MAX(0,D4410-H4410)),0)</f>
        <v>1.75959</v>
      </c>
      <c r="J4410" s="13" t="n">
        <f aca="false">IFERROR(MIN(Eingaben!$B$18,MAX(0,F4410-I4410)),0)</f>
        <v>0.75411</v>
      </c>
      <c r="K4410" s="13" t="n">
        <f aca="false">H4410+I4410</f>
        <v>2.4986178</v>
      </c>
      <c r="L4410" s="13" t="n">
        <f aca="false">MAX(0,D4410-K4410)</f>
        <v>2.4413822</v>
      </c>
      <c r="M4410" s="13" t="n">
        <f aca="false">MAX(0,F4410-I4410-J4410)</f>
        <v>0</v>
      </c>
      <c r="N4410" s="13" t="n">
        <f aca="false">IF(Kalender!A18="",0,J4409-H4410)</f>
        <v>0.0150822</v>
      </c>
    </row>
    <row r="4411" customFormat="false" ht="16.4" hidden="false" customHeight="false" outlineLevel="0" collapsed="false">
      <c r="A4411" s="13" t="str">
        <f aca="false">""</f>
        <v/>
      </c>
      <c r="B4411" s="13" t="n">
        <f aca="false">15</f>
        <v>15</v>
      </c>
      <c r="C4411" s="13" t="n">
        <f aca="false">IF(Szenarien!$H$23="OK",(IFERROR(SUMIF(Nutzungsprofile!$B$6:$B$11,"Schulbetrieb",Nutzungsprofile!$G$6:$G$11)*Kalender!C19/SUM(Kalender!$C$5:$C$370),0)+IFERROR(SUMIF(Nutzungsprofile!$B$6:$B$11,"Halle",Nutzungsprofile!$G$6:$G$11)*Kalender!D19/SUM(Kalender!$D$5:$D$370),0)+IFERROR(SUMIF(Nutzungsprofile!$B$6:$B$11,"Individuell",Nutzungsprofile!$G$6:$G$11)*Kalender!E19/SUM(Kalender!$E$5:$E$370),0))*Szenarien!$E$23,0)</f>
        <v>2.94</v>
      </c>
      <c r="D4411" s="13" t="n">
        <f aca="false">IF(Szenarien!$H$23="OK",(IFERROR(SUMIF(Nutzungsprofile!$B$17:$B$22,"Schulbetrieb",Nutzungsprofile!$G$17:$G$22)*Kalender!C19/SUM(Kalender!$C$5:$C$370),0)+IFERROR(SUMIF(Nutzungsprofile!$B$17:$B$22,"Halle",Nutzungsprofile!$G$17:$G$22)*Kalender!D19/SUM(Kalender!$D$5:$D$370),0)+IFERROR(SUMIF(Nutzungsprofile!$B$17:$B$22,"Individuell",Nutzungsprofile!$G$17:$G$22)*Kalender!E19/SUM(Kalender!$E$5:$E$370),0))*Szenarien!$D$23,0)</f>
        <v>4.94</v>
      </c>
      <c r="E4411" s="13" t="n">
        <f aca="false">IFERROR(MIN(C4411,Eingaben!$B$17)*Eingaben!$B$16,0)</f>
        <v>2.793</v>
      </c>
      <c r="F4411" s="13" t="n">
        <f aca="false">IFERROR(E4411*Eingaben!$B$15,0)</f>
        <v>2.5137</v>
      </c>
      <c r="G4411" s="13" t="n">
        <f aca="false">IFERROR(IF(Kalender!A19="",0,J4410*(1-Eingaben!$B$20)),0)</f>
        <v>0.7390278</v>
      </c>
      <c r="H4411" s="13" t="n">
        <f aca="false">MIN(G4411,D4411)</f>
        <v>0.7390278</v>
      </c>
      <c r="I4411" s="13" t="n">
        <f aca="false">IFERROR(MIN(F4411*Eingaben!$B$19,MAX(0,D4411-H4411)),0)</f>
        <v>1.75959</v>
      </c>
      <c r="J4411" s="13" t="n">
        <f aca="false">IFERROR(MIN(Eingaben!$B$18,MAX(0,F4411-I4411)),0)</f>
        <v>0.75411</v>
      </c>
      <c r="K4411" s="13" t="n">
        <f aca="false">H4411+I4411</f>
        <v>2.4986178</v>
      </c>
      <c r="L4411" s="13" t="n">
        <f aca="false">MAX(0,D4411-K4411)</f>
        <v>2.4413822</v>
      </c>
      <c r="M4411" s="13" t="n">
        <f aca="false">MAX(0,F4411-I4411-J4411)</f>
        <v>0</v>
      </c>
      <c r="N4411" s="13" t="n">
        <f aca="false">IF(Kalender!A19="",0,J4410-H4411)</f>
        <v>0.0150822</v>
      </c>
    </row>
    <row r="4412" customFormat="false" ht="16.4" hidden="false" customHeight="false" outlineLevel="0" collapsed="false">
      <c r="A4412" s="13" t="str">
        <f aca="false">""</f>
        <v/>
      </c>
      <c r="B4412" s="13" t="n">
        <f aca="false">16</f>
        <v>16</v>
      </c>
      <c r="C4412" s="13" t="n">
        <f aca="false">IF(Szenarien!$H$23="OK",(IFERROR(SUMIF(Nutzungsprofile!$B$6:$B$11,"Schulbetrieb",Nutzungsprofile!$G$6:$G$11)*Kalender!C20/SUM(Kalender!$C$5:$C$370),0)+IFERROR(SUMIF(Nutzungsprofile!$B$6:$B$11,"Halle",Nutzungsprofile!$G$6:$G$11)*Kalender!D20/SUM(Kalender!$D$5:$D$370),0)+IFERROR(SUMIF(Nutzungsprofile!$B$6:$B$11,"Individuell",Nutzungsprofile!$G$6:$G$11)*Kalender!E20/SUM(Kalender!$E$5:$E$370),0))*Szenarien!$E$23,0)</f>
        <v>2.94</v>
      </c>
      <c r="D4412" s="13" t="n">
        <f aca="false">IF(Szenarien!$H$23="OK",(IFERROR(SUMIF(Nutzungsprofile!$B$17:$B$22,"Schulbetrieb",Nutzungsprofile!$G$17:$G$22)*Kalender!C20/SUM(Kalender!$C$5:$C$370),0)+IFERROR(SUMIF(Nutzungsprofile!$B$17:$B$22,"Halle",Nutzungsprofile!$G$17:$G$22)*Kalender!D20/SUM(Kalender!$D$5:$D$370),0)+IFERROR(SUMIF(Nutzungsprofile!$B$17:$B$22,"Individuell",Nutzungsprofile!$G$17:$G$22)*Kalender!E20/SUM(Kalender!$E$5:$E$370),0))*Szenarien!$D$23,0)</f>
        <v>4.94</v>
      </c>
      <c r="E4412" s="13" t="n">
        <f aca="false">IFERROR(MIN(C4412,Eingaben!$B$17)*Eingaben!$B$16,0)</f>
        <v>2.793</v>
      </c>
      <c r="F4412" s="13" t="n">
        <f aca="false">IFERROR(E4412*Eingaben!$B$15,0)</f>
        <v>2.5137</v>
      </c>
      <c r="G4412" s="13" t="n">
        <f aca="false">IFERROR(IF(Kalender!A20="",0,J4411*(1-Eingaben!$B$20)),0)</f>
        <v>0.7390278</v>
      </c>
      <c r="H4412" s="13" t="n">
        <f aca="false">MIN(G4412,D4412)</f>
        <v>0.7390278</v>
      </c>
      <c r="I4412" s="13" t="n">
        <f aca="false">IFERROR(MIN(F4412*Eingaben!$B$19,MAX(0,D4412-H4412)),0)</f>
        <v>1.75959</v>
      </c>
      <c r="J4412" s="13" t="n">
        <f aca="false">IFERROR(MIN(Eingaben!$B$18,MAX(0,F4412-I4412)),0)</f>
        <v>0.75411</v>
      </c>
      <c r="K4412" s="13" t="n">
        <f aca="false">H4412+I4412</f>
        <v>2.4986178</v>
      </c>
      <c r="L4412" s="13" t="n">
        <f aca="false">MAX(0,D4412-K4412)</f>
        <v>2.4413822</v>
      </c>
      <c r="M4412" s="13" t="n">
        <f aca="false">MAX(0,F4412-I4412-J4412)</f>
        <v>0</v>
      </c>
      <c r="N4412" s="13" t="n">
        <f aca="false">IF(Kalender!A20="",0,J4411-H4412)</f>
        <v>0.0150822</v>
      </c>
    </row>
    <row r="4413" customFormat="false" ht="16.4" hidden="false" customHeight="false" outlineLevel="0" collapsed="false">
      <c r="A4413" s="13" t="str">
        <f aca="false">""</f>
        <v/>
      </c>
      <c r="B4413" s="13" t="n">
        <f aca="false">17</f>
        <v>17</v>
      </c>
      <c r="C4413" s="13" t="n">
        <f aca="false">IF(Szenarien!$H$23="OK",(IFERROR(SUMIF(Nutzungsprofile!$B$6:$B$11,"Schulbetrieb",Nutzungsprofile!$G$6:$G$11)*Kalender!C21/SUM(Kalender!$C$5:$C$370),0)+IFERROR(SUMIF(Nutzungsprofile!$B$6:$B$11,"Halle",Nutzungsprofile!$G$6:$G$11)*Kalender!D21/SUM(Kalender!$D$5:$D$370),0)+IFERROR(SUMIF(Nutzungsprofile!$B$6:$B$11,"Individuell",Nutzungsprofile!$G$6:$G$11)*Kalender!E21/SUM(Kalender!$E$5:$E$370),0))*Szenarien!$E$23,0)</f>
        <v>2.04</v>
      </c>
      <c r="D4413" s="13" t="n">
        <f aca="false">IF(Szenarien!$H$23="OK",(IFERROR(SUMIF(Nutzungsprofile!$B$17:$B$22,"Schulbetrieb",Nutzungsprofile!$G$17:$G$22)*Kalender!C21/SUM(Kalender!$C$5:$C$370),0)+IFERROR(SUMIF(Nutzungsprofile!$B$17:$B$22,"Halle",Nutzungsprofile!$G$17:$G$22)*Kalender!D21/SUM(Kalender!$D$5:$D$370),0)+IFERROR(SUMIF(Nutzungsprofile!$B$17:$B$22,"Individuell",Nutzungsprofile!$G$17:$G$22)*Kalender!E21/SUM(Kalender!$E$5:$E$370),0))*Szenarien!$D$23,0)</f>
        <v>0.89</v>
      </c>
      <c r="E4413" s="13" t="n">
        <f aca="false">IFERROR(MIN(C4413,Eingaben!$B$17)*Eingaben!$B$16,0)</f>
        <v>1.938</v>
      </c>
      <c r="F4413" s="13" t="n">
        <f aca="false">IFERROR(E4413*Eingaben!$B$15,0)</f>
        <v>1.7442</v>
      </c>
      <c r="G4413" s="13" t="n">
        <f aca="false">IFERROR(IF(Kalender!A21="",0,J4412*(1-Eingaben!$B$20)),0)</f>
        <v>0.7390278</v>
      </c>
      <c r="H4413" s="13" t="n">
        <f aca="false">MIN(G4413,D4413)</f>
        <v>0.7390278</v>
      </c>
      <c r="I4413" s="13" t="n">
        <f aca="false">IFERROR(MIN(F4413*Eingaben!$B$19,MAX(0,D4413-H4413)),0)</f>
        <v>0.1509722</v>
      </c>
      <c r="J4413" s="13" t="n">
        <f aca="false">IFERROR(MIN(Eingaben!$B$18,MAX(0,F4413-I4413)),0)</f>
        <v>1.5932278</v>
      </c>
      <c r="K4413" s="13" t="n">
        <f aca="false">H4413+I4413</f>
        <v>0.89</v>
      </c>
      <c r="L4413" s="13" t="n">
        <f aca="false">MAX(0,D4413-K4413)</f>
        <v>0</v>
      </c>
      <c r="M4413" s="13" t="n">
        <f aca="false">MAX(0,F4413-I4413-J4413)</f>
        <v>0</v>
      </c>
      <c r="N4413" s="13" t="n">
        <f aca="false">IF(Kalender!A21="",0,J4412-H4413)</f>
        <v>0.0150822</v>
      </c>
    </row>
    <row r="4414" customFormat="false" ht="16.4" hidden="false" customHeight="false" outlineLevel="0" collapsed="false">
      <c r="A4414" s="13" t="str">
        <f aca="false">""</f>
        <v/>
      </c>
      <c r="B4414" s="13" t="n">
        <f aca="false">18</f>
        <v>18</v>
      </c>
      <c r="C4414" s="13" t="n">
        <f aca="false">IF(Szenarien!$H$23="OK",(IFERROR(SUMIF(Nutzungsprofile!$B$6:$B$11,"Schulbetrieb",Nutzungsprofile!$G$6:$G$11)*Kalender!C22/SUM(Kalender!$C$5:$C$370),0)+IFERROR(SUMIF(Nutzungsprofile!$B$6:$B$11,"Halle",Nutzungsprofile!$G$6:$G$11)*Kalender!D22/SUM(Kalender!$D$5:$D$370),0)+IFERROR(SUMIF(Nutzungsprofile!$B$6:$B$11,"Individuell",Nutzungsprofile!$G$6:$G$11)*Kalender!E22/SUM(Kalender!$E$5:$E$370),0))*Szenarien!$E$23,0)</f>
        <v>2.04</v>
      </c>
      <c r="D4414" s="13" t="n">
        <f aca="false">IF(Szenarien!$H$23="OK",(IFERROR(SUMIF(Nutzungsprofile!$B$17:$B$22,"Schulbetrieb",Nutzungsprofile!$G$17:$G$22)*Kalender!C22/SUM(Kalender!$C$5:$C$370),0)+IFERROR(SUMIF(Nutzungsprofile!$B$17:$B$22,"Halle",Nutzungsprofile!$G$17:$G$22)*Kalender!D22/SUM(Kalender!$D$5:$D$370),0)+IFERROR(SUMIF(Nutzungsprofile!$B$17:$B$22,"Individuell",Nutzungsprofile!$G$17:$G$22)*Kalender!E22/SUM(Kalender!$E$5:$E$370),0))*Szenarien!$D$23,0)</f>
        <v>0.89</v>
      </c>
      <c r="E4414" s="13" t="n">
        <f aca="false">IFERROR(MIN(C4414,Eingaben!$B$17)*Eingaben!$B$16,0)</f>
        <v>1.938</v>
      </c>
      <c r="F4414" s="13" t="n">
        <f aca="false">IFERROR(E4414*Eingaben!$B$15,0)</f>
        <v>1.7442</v>
      </c>
      <c r="G4414" s="13" t="n">
        <f aca="false">IFERROR(IF(Kalender!A22="",0,J4413*(1-Eingaben!$B$20)),0)</f>
        <v>1.561363244</v>
      </c>
      <c r="H4414" s="13" t="n">
        <f aca="false">MIN(G4414,D4414)</f>
        <v>0.89</v>
      </c>
      <c r="I4414" s="13" t="n">
        <f aca="false">IFERROR(MIN(F4414*Eingaben!$B$19,MAX(0,D4414-H4414)),0)</f>
        <v>0</v>
      </c>
      <c r="J4414" s="13" t="n">
        <f aca="false">IFERROR(MIN(Eingaben!$B$18,MAX(0,F4414-I4414)),0)</f>
        <v>1.7442</v>
      </c>
      <c r="K4414" s="13" t="n">
        <f aca="false">H4414+I4414</f>
        <v>0.89</v>
      </c>
      <c r="L4414" s="13" t="n">
        <f aca="false">MAX(0,D4414-K4414)</f>
        <v>0</v>
      </c>
      <c r="M4414" s="13" t="n">
        <f aca="false">MAX(0,F4414-I4414-J4414)</f>
        <v>0</v>
      </c>
      <c r="N4414" s="13" t="n">
        <f aca="false">IF(Kalender!A22="",0,J4413-H4414)</f>
        <v>0.7032278</v>
      </c>
    </row>
    <row r="4415" customFormat="false" ht="16.4" hidden="false" customHeight="false" outlineLevel="0" collapsed="false">
      <c r="A4415" s="13" t="str">
        <f aca="false">""</f>
        <v/>
      </c>
      <c r="B4415" s="13" t="n">
        <f aca="false">19</f>
        <v>19</v>
      </c>
      <c r="C4415" s="13" t="n">
        <f aca="false">IF(Szenarien!$H$23="OK",(IFERROR(SUMIF(Nutzungsprofile!$B$6:$B$11,"Schulbetrieb",Nutzungsprofile!$G$6:$G$11)*Kalender!C23/SUM(Kalender!$C$5:$C$370),0)+IFERROR(SUMIF(Nutzungsprofile!$B$6:$B$11,"Halle",Nutzungsprofile!$G$6:$G$11)*Kalender!D23/SUM(Kalender!$D$5:$D$370),0)+IFERROR(SUMIF(Nutzungsprofile!$B$6:$B$11,"Individuell",Nutzungsprofile!$G$6:$G$11)*Kalender!E23/SUM(Kalender!$E$5:$E$370),0))*Szenarien!$E$23,0)</f>
        <v>2.94</v>
      </c>
      <c r="D4415" s="13" t="n">
        <f aca="false">IF(Szenarien!$H$23="OK",(IFERROR(SUMIF(Nutzungsprofile!$B$17:$B$22,"Schulbetrieb",Nutzungsprofile!$G$17:$G$22)*Kalender!C23/SUM(Kalender!$C$5:$C$370),0)+IFERROR(SUMIF(Nutzungsprofile!$B$17:$B$22,"Halle",Nutzungsprofile!$G$17:$G$22)*Kalender!D23/SUM(Kalender!$D$5:$D$370),0)+IFERROR(SUMIF(Nutzungsprofile!$B$17:$B$22,"Individuell",Nutzungsprofile!$G$17:$G$22)*Kalender!E23/SUM(Kalender!$E$5:$E$370),0))*Szenarien!$D$23,0)</f>
        <v>4.94</v>
      </c>
      <c r="E4415" s="13" t="n">
        <f aca="false">IFERROR(MIN(C4415,Eingaben!$B$17)*Eingaben!$B$16,0)</f>
        <v>2.793</v>
      </c>
      <c r="F4415" s="13" t="n">
        <f aca="false">IFERROR(E4415*Eingaben!$B$15,0)</f>
        <v>2.5137</v>
      </c>
      <c r="G4415" s="13" t="n">
        <f aca="false">IFERROR(IF(Kalender!A23="",0,J4414*(1-Eingaben!$B$20)),0)</f>
        <v>1.709316</v>
      </c>
      <c r="H4415" s="13" t="n">
        <f aca="false">MIN(G4415,D4415)</f>
        <v>1.709316</v>
      </c>
      <c r="I4415" s="13" t="n">
        <f aca="false">IFERROR(MIN(F4415*Eingaben!$B$19,MAX(0,D4415-H4415)),0)</f>
        <v>1.75959</v>
      </c>
      <c r="J4415" s="13" t="n">
        <f aca="false">IFERROR(MIN(Eingaben!$B$18,MAX(0,F4415-I4415)),0)</f>
        <v>0.75411</v>
      </c>
      <c r="K4415" s="13" t="n">
        <f aca="false">H4415+I4415</f>
        <v>3.468906</v>
      </c>
      <c r="L4415" s="13" t="n">
        <f aca="false">MAX(0,D4415-K4415)</f>
        <v>1.471094</v>
      </c>
      <c r="M4415" s="13" t="n">
        <f aca="false">MAX(0,F4415-I4415-J4415)</f>
        <v>0</v>
      </c>
      <c r="N4415" s="13" t="n">
        <f aca="false">IF(Kalender!A23="",0,J4414-H4415)</f>
        <v>0.0348840000000001</v>
      </c>
    </row>
    <row r="4416" customFormat="false" ht="16.4" hidden="false" customHeight="false" outlineLevel="0" collapsed="false">
      <c r="A4416" s="13" t="str">
        <f aca="false">""</f>
        <v/>
      </c>
      <c r="B4416" s="13" t="n">
        <f aca="false">20</f>
        <v>20</v>
      </c>
      <c r="C4416" s="13" t="n">
        <f aca="false">IF(Szenarien!$H$23="OK",(IFERROR(SUMIF(Nutzungsprofile!$B$6:$B$11,"Schulbetrieb",Nutzungsprofile!$G$6:$G$11)*Kalender!C24/SUM(Kalender!$C$5:$C$370),0)+IFERROR(SUMIF(Nutzungsprofile!$B$6:$B$11,"Halle",Nutzungsprofile!$G$6:$G$11)*Kalender!D24/SUM(Kalender!$D$5:$D$370),0)+IFERROR(SUMIF(Nutzungsprofile!$B$6:$B$11,"Individuell",Nutzungsprofile!$G$6:$G$11)*Kalender!E24/SUM(Kalender!$E$5:$E$370),0))*Szenarien!$E$23,0)</f>
        <v>2.94</v>
      </c>
      <c r="D4416" s="13" t="n">
        <f aca="false">IF(Szenarien!$H$23="OK",(IFERROR(SUMIF(Nutzungsprofile!$B$17:$B$22,"Schulbetrieb",Nutzungsprofile!$G$17:$G$22)*Kalender!C24/SUM(Kalender!$C$5:$C$370),0)+IFERROR(SUMIF(Nutzungsprofile!$B$17:$B$22,"Halle",Nutzungsprofile!$G$17:$G$22)*Kalender!D24/SUM(Kalender!$D$5:$D$370),0)+IFERROR(SUMIF(Nutzungsprofile!$B$17:$B$22,"Individuell",Nutzungsprofile!$G$17:$G$22)*Kalender!E24/SUM(Kalender!$E$5:$E$370),0))*Szenarien!$D$23,0)</f>
        <v>4.94</v>
      </c>
      <c r="E4416" s="13" t="n">
        <f aca="false">IFERROR(MIN(C4416,Eingaben!$B$17)*Eingaben!$B$16,0)</f>
        <v>2.793</v>
      </c>
      <c r="F4416" s="13" t="n">
        <f aca="false">IFERROR(E4416*Eingaben!$B$15,0)</f>
        <v>2.5137</v>
      </c>
      <c r="G4416" s="13" t="n">
        <f aca="false">IFERROR(IF(Kalender!A24="",0,J4415*(1-Eingaben!$B$20)),0)</f>
        <v>0.7390278</v>
      </c>
      <c r="H4416" s="13" t="n">
        <f aca="false">MIN(G4416,D4416)</f>
        <v>0.7390278</v>
      </c>
      <c r="I4416" s="13" t="n">
        <f aca="false">IFERROR(MIN(F4416*Eingaben!$B$19,MAX(0,D4416-H4416)),0)</f>
        <v>1.75959</v>
      </c>
      <c r="J4416" s="13" t="n">
        <f aca="false">IFERROR(MIN(Eingaben!$B$18,MAX(0,F4416-I4416)),0)</f>
        <v>0.75411</v>
      </c>
      <c r="K4416" s="13" t="n">
        <f aca="false">H4416+I4416</f>
        <v>2.4986178</v>
      </c>
      <c r="L4416" s="13" t="n">
        <f aca="false">MAX(0,D4416-K4416)</f>
        <v>2.4413822</v>
      </c>
      <c r="M4416" s="13" t="n">
        <f aca="false">MAX(0,F4416-I4416-J4416)</f>
        <v>0</v>
      </c>
      <c r="N4416" s="13" t="n">
        <f aca="false">IF(Kalender!A24="",0,J4415-H4416)</f>
        <v>0.0150822</v>
      </c>
    </row>
    <row r="4417" customFormat="false" ht="16.4" hidden="false" customHeight="false" outlineLevel="0" collapsed="false">
      <c r="A4417" s="13" t="str">
        <f aca="false">""</f>
        <v/>
      </c>
      <c r="B4417" s="13" t="n">
        <f aca="false">21</f>
        <v>21</v>
      </c>
      <c r="C4417" s="13" t="n">
        <f aca="false">IF(Szenarien!$H$23="OK",(IFERROR(SUMIF(Nutzungsprofile!$B$6:$B$11,"Schulbetrieb",Nutzungsprofile!$G$6:$G$11)*Kalender!C25/SUM(Kalender!$C$5:$C$370),0)+IFERROR(SUMIF(Nutzungsprofile!$B$6:$B$11,"Halle",Nutzungsprofile!$G$6:$G$11)*Kalender!D25/SUM(Kalender!$D$5:$D$370),0)+IFERROR(SUMIF(Nutzungsprofile!$B$6:$B$11,"Individuell",Nutzungsprofile!$G$6:$G$11)*Kalender!E25/SUM(Kalender!$E$5:$E$370),0))*Szenarien!$E$23,0)</f>
        <v>2.94</v>
      </c>
      <c r="D4417" s="13" t="n">
        <f aca="false">IF(Szenarien!$H$23="OK",(IFERROR(SUMIF(Nutzungsprofile!$B$17:$B$22,"Schulbetrieb",Nutzungsprofile!$G$17:$G$22)*Kalender!C25/SUM(Kalender!$C$5:$C$370),0)+IFERROR(SUMIF(Nutzungsprofile!$B$17:$B$22,"Halle",Nutzungsprofile!$G$17:$G$22)*Kalender!D25/SUM(Kalender!$D$5:$D$370),0)+IFERROR(SUMIF(Nutzungsprofile!$B$17:$B$22,"Individuell",Nutzungsprofile!$G$17:$G$22)*Kalender!E25/SUM(Kalender!$E$5:$E$370),0))*Szenarien!$D$23,0)</f>
        <v>4.94</v>
      </c>
      <c r="E4417" s="13" t="n">
        <f aca="false">IFERROR(MIN(C4417,Eingaben!$B$17)*Eingaben!$B$16,0)</f>
        <v>2.793</v>
      </c>
      <c r="F4417" s="13" t="n">
        <f aca="false">IFERROR(E4417*Eingaben!$B$15,0)</f>
        <v>2.5137</v>
      </c>
      <c r="G4417" s="13" t="n">
        <f aca="false">IFERROR(IF(Kalender!A25="",0,J4416*(1-Eingaben!$B$20)),0)</f>
        <v>0.7390278</v>
      </c>
      <c r="H4417" s="13" t="n">
        <f aca="false">MIN(G4417,D4417)</f>
        <v>0.7390278</v>
      </c>
      <c r="I4417" s="13" t="n">
        <f aca="false">IFERROR(MIN(F4417*Eingaben!$B$19,MAX(0,D4417-H4417)),0)</f>
        <v>1.75959</v>
      </c>
      <c r="J4417" s="13" t="n">
        <f aca="false">IFERROR(MIN(Eingaben!$B$18,MAX(0,F4417-I4417)),0)</f>
        <v>0.75411</v>
      </c>
      <c r="K4417" s="13" t="n">
        <f aca="false">H4417+I4417</f>
        <v>2.4986178</v>
      </c>
      <c r="L4417" s="13" t="n">
        <f aca="false">MAX(0,D4417-K4417)</f>
        <v>2.4413822</v>
      </c>
      <c r="M4417" s="13" t="n">
        <f aca="false">MAX(0,F4417-I4417-J4417)</f>
        <v>0</v>
      </c>
      <c r="N4417" s="13" t="n">
        <f aca="false">IF(Kalender!A25="",0,J4416-H4417)</f>
        <v>0.0150822</v>
      </c>
    </row>
    <row r="4418" customFormat="false" ht="16.4" hidden="false" customHeight="false" outlineLevel="0" collapsed="false">
      <c r="A4418" s="13" t="str">
        <f aca="false">""</f>
        <v/>
      </c>
      <c r="B4418" s="13" t="n">
        <f aca="false">22</f>
        <v>22</v>
      </c>
      <c r="C4418" s="13" t="n">
        <f aca="false">IF(Szenarien!$H$23="OK",(IFERROR(SUMIF(Nutzungsprofile!$B$6:$B$11,"Schulbetrieb",Nutzungsprofile!$G$6:$G$11)*Kalender!C26/SUM(Kalender!$C$5:$C$370),0)+IFERROR(SUMIF(Nutzungsprofile!$B$6:$B$11,"Halle",Nutzungsprofile!$G$6:$G$11)*Kalender!D26/SUM(Kalender!$D$5:$D$370),0)+IFERROR(SUMIF(Nutzungsprofile!$B$6:$B$11,"Individuell",Nutzungsprofile!$G$6:$G$11)*Kalender!E26/SUM(Kalender!$E$5:$E$370),0))*Szenarien!$E$23,0)</f>
        <v>2.94</v>
      </c>
      <c r="D4418" s="13" t="n">
        <f aca="false">IF(Szenarien!$H$23="OK",(IFERROR(SUMIF(Nutzungsprofile!$B$17:$B$22,"Schulbetrieb",Nutzungsprofile!$G$17:$G$22)*Kalender!C26/SUM(Kalender!$C$5:$C$370),0)+IFERROR(SUMIF(Nutzungsprofile!$B$17:$B$22,"Halle",Nutzungsprofile!$G$17:$G$22)*Kalender!D26/SUM(Kalender!$D$5:$D$370),0)+IFERROR(SUMIF(Nutzungsprofile!$B$17:$B$22,"Individuell",Nutzungsprofile!$G$17:$G$22)*Kalender!E26/SUM(Kalender!$E$5:$E$370),0))*Szenarien!$D$23,0)</f>
        <v>4.94</v>
      </c>
      <c r="E4418" s="13" t="n">
        <f aca="false">IFERROR(MIN(C4418,Eingaben!$B$17)*Eingaben!$B$16,0)</f>
        <v>2.793</v>
      </c>
      <c r="F4418" s="13" t="n">
        <f aca="false">IFERROR(E4418*Eingaben!$B$15,0)</f>
        <v>2.5137</v>
      </c>
      <c r="G4418" s="13" t="n">
        <f aca="false">IFERROR(IF(Kalender!A26="",0,J4417*(1-Eingaben!$B$20)),0)</f>
        <v>0.7390278</v>
      </c>
      <c r="H4418" s="13" t="n">
        <f aca="false">MIN(G4418,D4418)</f>
        <v>0.7390278</v>
      </c>
      <c r="I4418" s="13" t="n">
        <f aca="false">IFERROR(MIN(F4418*Eingaben!$B$19,MAX(0,D4418-H4418)),0)</f>
        <v>1.75959</v>
      </c>
      <c r="J4418" s="13" t="n">
        <f aca="false">IFERROR(MIN(Eingaben!$B$18,MAX(0,F4418-I4418)),0)</f>
        <v>0.75411</v>
      </c>
      <c r="K4418" s="13" t="n">
        <f aca="false">H4418+I4418</f>
        <v>2.4986178</v>
      </c>
      <c r="L4418" s="13" t="n">
        <f aca="false">MAX(0,D4418-K4418)</f>
        <v>2.4413822</v>
      </c>
      <c r="M4418" s="13" t="n">
        <f aca="false">MAX(0,F4418-I4418-J4418)</f>
        <v>0</v>
      </c>
      <c r="N4418" s="13" t="n">
        <f aca="false">IF(Kalender!A26="",0,J4417-H4418)</f>
        <v>0.0150822</v>
      </c>
    </row>
    <row r="4419" customFormat="false" ht="16.4" hidden="false" customHeight="false" outlineLevel="0" collapsed="false">
      <c r="A4419" s="13" t="str">
        <f aca="false">""</f>
        <v/>
      </c>
      <c r="B4419" s="13" t="n">
        <f aca="false">23</f>
        <v>23</v>
      </c>
      <c r="C4419" s="13" t="n">
        <f aca="false">IF(Szenarien!$H$23="OK",(IFERROR(SUMIF(Nutzungsprofile!$B$6:$B$11,"Schulbetrieb",Nutzungsprofile!$G$6:$G$11)*Kalender!C27/SUM(Kalender!$C$5:$C$370),0)+IFERROR(SUMIF(Nutzungsprofile!$B$6:$B$11,"Halle",Nutzungsprofile!$G$6:$G$11)*Kalender!D27/SUM(Kalender!$D$5:$D$370),0)+IFERROR(SUMIF(Nutzungsprofile!$B$6:$B$11,"Individuell",Nutzungsprofile!$G$6:$G$11)*Kalender!E27/SUM(Kalender!$E$5:$E$370),0))*Szenarien!$E$23,0)</f>
        <v>2.94</v>
      </c>
      <c r="D4419" s="13" t="n">
        <f aca="false">IF(Szenarien!$H$23="OK",(IFERROR(SUMIF(Nutzungsprofile!$B$17:$B$22,"Schulbetrieb",Nutzungsprofile!$G$17:$G$22)*Kalender!C27/SUM(Kalender!$C$5:$C$370),0)+IFERROR(SUMIF(Nutzungsprofile!$B$17:$B$22,"Halle",Nutzungsprofile!$G$17:$G$22)*Kalender!D27/SUM(Kalender!$D$5:$D$370),0)+IFERROR(SUMIF(Nutzungsprofile!$B$17:$B$22,"Individuell",Nutzungsprofile!$G$17:$G$22)*Kalender!E27/SUM(Kalender!$E$5:$E$370),0))*Szenarien!$D$23,0)</f>
        <v>4.94</v>
      </c>
      <c r="E4419" s="13" t="n">
        <f aca="false">IFERROR(MIN(C4419,Eingaben!$B$17)*Eingaben!$B$16,0)</f>
        <v>2.793</v>
      </c>
      <c r="F4419" s="13" t="n">
        <f aca="false">IFERROR(E4419*Eingaben!$B$15,0)</f>
        <v>2.5137</v>
      </c>
      <c r="G4419" s="13" t="n">
        <f aca="false">IFERROR(IF(Kalender!A27="",0,J4418*(1-Eingaben!$B$20)),0)</f>
        <v>0.7390278</v>
      </c>
      <c r="H4419" s="13" t="n">
        <f aca="false">MIN(G4419,D4419)</f>
        <v>0.7390278</v>
      </c>
      <c r="I4419" s="13" t="n">
        <f aca="false">IFERROR(MIN(F4419*Eingaben!$B$19,MAX(0,D4419-H4419)),0)</f>
        <v>1.75959</v>
      </c>
      <c r="J4419" s="13" t="n">
        <f aca="false">IFERROR(MIN(Eingaben!$B$18,MAX(0,F4419-I4419)),0)</f>
        <v>0.75411</v>
      </c>
      <c r="K4419" s="13" t="n">
        <f aca="false">H4419+I4419</f>
        <v>2.4986178</v>
      </c>
      <c r="L4419" s="13" t="n">
        <f aca="false">MAX(0,D4419-K4419)</f>
        <v>2.4413822</v>
      </c>
      <c r="M4419" s="13" t="n">
        <f aca="false">MAX(0,F4419-I4419-J4419)</f>
        <v>0</v>
      </c>
      <c r="N4419" s="13" t="n">
        <f aca="false">IF(Kalender!A27="",0,J4418-H4419)</f>
        <v>0.0150822</v>
      </c>
    </row>
    <row r="4420" customFormat="false" ht="16.4" hidden="false" customHeight="false" outlineLevel="0" collapsed="false">
      <c r="A4420" s="13" t="str">
        <f aca="false">""</f>
        <v/>
      </c>
      <c r="B4420" s="13" t="n">
        <f aca="false">24</f>
        <v>24</v>
      </c>
      <c r="C4420" s="13" t="n">
        <f aca="false">IF(Szenarien!$H$23="OK",(IFERROR(SUMIF(Nutzungsprofile!$B$6:$B$11,"Schulbetrieb",Nutzungsprofile!$G$6:$G$11)*Kalender!C28/SUM(Kalender!$C$5:$C$370),0)+IFERROR(SUMIF(Nutzungsprofile!$B$6:$B$11,"Halle",Nutzungsprofile!$G$6:$G$11)*Kalender!D28/SUM(Kalender!$D$5:$D$370),0)+IFERROR(SUMIF(Nutzungsprofile!$B$6:$B$11,"Individuell",Nutzungsprofile!$G$6:$G$11)*Kalender!E28/SUM(Kalender!$E$5:$E$370),0))*Szenarien!$E$23,0)</f>
        <v>2.04</v>
      </c>
      <c r="D4420" s="13" t="n">
        <f aca="false">IF(Szenarien!$H$23="OK",(IFERROR(SUMIF(Nutzungsprofile!$B$17:$B$22,"Schulbetrieb",Nutzungsprofile!$G$17:$G$22)*Kalender!C28/SUM(Kalender!$C$5:$C$370),0)+IFERROR(SUMIF(Nutzungsprofile!$B$17:$B$22,"Halle",Nutzungsprofile!$G$17:$G$22)*Kalender!D28/SUM(Kalender!$D$5:$D$370),0)+IFERROR(SUMIF(Nutzungsprofile!$B$17:$B$22,"Individuell",Nutzungsprofile!$G$17:$G$22)*Kalender!E28/SUM(Kalender!$E$5:$E$370),0))*Szenarien!$D$23,0)</f>
        <v>0.89</v>
      </c>
      <c r="E4420" s="13" t="n">
        <f aca="false">IFERROR(MIN(C4420,Eingaben!$B$17)*Eingaben!$B$16,0)</f>
        <v>1.938</v>
      </c>
      <c r="F4420" s="13" t="n">
        <f aca="false">IFERROR(E4420*Eingaben!$B$15,0)</f>
        <v>1.7442</v>
      </c>
      <c r="G4420" s="13" t="n">
        <f aca="false">IFERROR(IF(Kalender!A28="",0,J4419*(1-Eingaben!$B$20)),0)</f>
        <v>0.7390278</v>
      </c>
      <c r="H4420" s="13" t="n">
        <f aca="false">MIN(G4420,D4420)</f>
        <v>0.7390278</v>
      </c>
      <c r="I4420" s="13" t="n">
        <f aca="false">IFERROR(MIN(F4420*Eingaben!$B$19,MAX(0,D4420-H4420)),0)</f>
        <v>0.1509722</v>
      </c>
      <c r="J4420" s="13" t="n">
        <f aca="false">IFERROR(MIN(Eingaben!$B$18,MAX(0,F4420-I4420)),0)</f>
        <v>1.5932278</v>
      </c>
      <c r="K4420" s="13" t="n">
        <f aca="false">H4420+I4420</f>
        <v>0.89</v>
      </c>
      <c r="L4420" s="13" t="n">
        <f aca="false">MAX(0,D4420-K4420)</f>
        <v>0</v>
      </c>
      <c r="M4420" s="13" t="n">
        <f aca="false">MAX(0,F4420-I4420-J4420)</f>
        <v>0</v>
      </c>
      <c r="N4420" s="13" t="n">
        <f aca="false">IF(Kalender!A28="",0,J4419-H4420)</f>
        <v>0.0150822</v>
      </c>
    </row>
    <row r="4421" customFormat="false" ht="16.4" hidden="false" customHeight="false" outlineLevel="0" collapsed="false">
      <c r="A4421" s="13" t="str">
        <f aca="false">""</f>
        <v/>
      </c>
      <c r="B4421" s="13" t="n">
        <f aca="false">25</f>
        <v>25</v>
      </c>
      <c r="C4421" s="13" t="n">
        <f aca="false">IF(Szenarien!$H$23="OK",(IFERROR(SUMIF(Nutzungsprofile!$B$6:$B$11,"Schulbetrieb",Nutzungsprofile!$G$6:$G$11)*Kalender!C29/SUM(Kalender!$C$5:$C$370),0)+IFERROR(SUMIF(Nutzungsprofile!$B$6:$B$11,"Halle",Nutzungsprofile!$G$6:$G$11)*Kalender!D29/SUM(Kalender!$D$5:$D$370),0)+IFERROR(SUMIF(Nutzungsprofile!$B$6:$B$11,"Individuell",Nutzungsprofile!$G$6:$G$11)*Kalender!E29/SUM(Kalender!$E$5:$E$370),0))*Szenarien!$E$23,0)</f>
        <v>2.04</v>
      </c>
      <c r="D4421" s="13" t="n">
        <f aca="false">IF(Szenarien!$H$23="OK",(IFERROR(SUMIF(Nutzungsprofile!$B$17:$B$22,"Schulbetrieb",Nutzungsprofile!$G$17:$G$22)*Kalender!C29/SUM(Kalender!$C$5:$C$370),0)+IFERROR(SUMIF(Nutzungsprofile!$B$17:$B$22,"Halle",Nutzungsprofile!$G$17:$G$22)*Kalender!D29/SUM(Kalender!$D$5:$D$370),0)+IFERROR(SUMIF(Nutzungsprofile!$B$17:$B$22,"Individuell",Nutzungsprofile!$G$17:$G$22)*Kalender!E29/SUM(Kalender!$E$5:$E$370),0))*Szenarien!$D$23,0)</f>
        <v>0.89</v>
      </c>
      <c r="E4421" s="13" t="n">
        <f aca="false">IFERROR(MIN(C4421,Eingaben!$B$17)*Eingaben!$B$16,0)</f>
        <v>1.938</v>
      </c>
      <c r="F4421" s="13" t="n">
        <f aca="false">IFERROR(E4421*Eingaben!$B$15,0)</f>
        <v>1.7442</v>
      </c>
      <c r="G4421" s="13" t="n">
        <f aca="false">IFERROR(IF(Kalender!A29="",0,J4420*(1-Eingaben!$B$20)),0)</f>
        <v>1.561363244</v>
      </c>
      <c r="H4421" s="13" t="n">
        <f aca="false">MIN(G4421,D4421)</f>
        <v>0.89</v>
      </c>
      <c r="I4421" s="13" t="n">
        <f aca="false">IFERROR(MIN(F4421*Eingaben!$B$19,MAX(0,D4421-H4421)),0)</f>
        <v>0</v>
      </c>
      <c r="J4421" s="13" t="n">
        <f aca="false">IFERROR(MIN(Eingaben!$B$18,MAX(0,F4421-I4421)),0)</f>
        <v>1.7442</v>
      </c>
      <c r="K4421" s="13" t="n">
        <f aca="false">H4421+I4421</f>
        <v>0.89</v>
      </c>
      <c r="L4421" s="13" t="n">
        <f aca="false">MAX(0,D4421-K4421)</f>
        <v>0</v>
      </c>
      <c r="M4421" s="13" t="n">
        <f aca="false">MAX(0,F4421-I4421-J4421)</f>
        <v>0</v>
      </c>
      <c r="N4421" s="13" t="n">
        <f aca="false">IF(Kalender!A29="",0,J4420-H4421)</f>
        <v>0.7032278</v>
      </c>
    </row>
    <row r="4422" customFormat="false" ht="16.4" hidden="false" customHeight="false" outlineLevel="0" collapsed="false">
      <c r="A4422" s="13" t="str">
        <f aca="false">""</f>
        <v/>
      </c>
      <c r="B4422" s="13" t="n">
        <f aca="false">26</f>
        <v>26</v>
      </c>
      <c r="C4422" s="13" t="n">
        <f aca="false">IF(Szenarien!$H$23="OK",(IFERROR(SUMIF(Nutzungsprofile!$B$6:$B$11,"Schulbetrieb",Nutzungsprofile!$G$6:$G$11)*Kalender!C30/SUM(Kalender!$C$5:$C$370),0)+IFERROR(SUMIF(Nutzungsprofile!$B$6:$B$11,"Halle",Nutzungsprofile!$G$6:$G$11)*Kalender!D30/SUM(Kalender!$D$5:$D$370),0)+IFERROR(SUMIF(Nutzungsprofile!$B$6:$B$11,"Individuell",Nutzungsprofile!$G$6:$G$11)*Kalender!E30/SUM(Kalender!$E$5:$E$370),0))*Szenarien!$E$23,0)</f>
        <v>2.94</v>
      </c>
      <c r="D4422" s="13" t="n">
        <f aca="false">IF(Szenarien!$H$23="OK",(IFERROR(SUMIF(Nutzungsprofile!$B$17:$B$22,"Schulbetrieb",Nutzungsprofile!$G$17:$G$22)*Kalender!C30/SUM(Kalender!$C$5:$C$370),0)+IFERROR(SUMIF(Nutzungsprofile!$B$17:$B$22,"Halle",Nutzungsprofile!$G$17:$G$22)*Kalender!D30/SUM(Kalender!$D$5:$D$370),0)+IFERROR(SUMIF(Nutzungsprofile!$B$17:$B$22,"Individuell",Nutzungsprofile!$G$17:$G$22)*Kalender!E30/SUM(Kalender!$E$5:$E$370),0))*Szenarien!$D$23,0)</f>
        <v>4.94</v>
      </c>
      <c r="E4422" s="13" t="n">
        <f aca="false">IFERROR(MIN(C4422,Eingaben!$B$17)*Eingaben!$B$16,0)</f>
        <v>2.793</v>
      </c>
      <c r="F4422" s="13" t="n">
        <f aca="false">IFERROR(E4422*Eingaben!$B$15,0)</f>
        <v>2.5137</v>
      </c>
      <c r="G4422" s="13" t="n">
        <f aca="false">IFERROR(IF(Kalender!A30="",0,J4421*(1-Eingaben!$B$20)),0)</f>
        <v>1.709316</v>
      </c>
      <c r="H4422" s="13" t="n">
        <f aca="false">MIN(G4422,D4422)</f>
        <v>1.709316</v>
      </c>
      <c r="I4422" s="13" t="n">
        <f aca="false">IFERROR(MIN(F4422*Eingaben!$B$19,MAX(0,D4422-H4422)),0)</f>
        <v>1.75959</v>
      </c>
      <c r="J4422" s="13" t="n">
        <f aca="false">IFERROR(MIN(Eingaben!$B$18,MAX(0,F4422-I4422)),0)</f>
        <v>0.75411</v>
      </c>
      <c r="K4422" s="13" t="n">
        <f aca="false">H4422+I4422</f>
        <v>3.468906</v>
      </c>
      <c r="L4422" s="13" t="n">
        <f aca="false">MAX(0,D4422-K4422)</f>
        <v>1.471094</v>
      </c>
      <c r="M4422" s="13" t="n">
        <f aca="false">MAX(0,F4422-I4422-J4422)</f>
        <v>0</v>
      </c>
      <c r="N4422" s="13" t="n">
        <f aca="false">IF(Kalender!A30="",0,J4421-H4422)</f>
        <v>0.0348840000000001</v>
      </c>
    </row>
    <row r="4423" customFormat="false" ht="16.4" hidden="false" customHeight="false" outlineLevel="0" collapsed="false">
      <c r="A4423" s="13" t="str">
        <f aca="false">""</f>
        <v/>
      </c>
      <c r="B4423" s="13" t="n">
        <f aca="false">27</f>
        <v>27</v>
      </c>
      <c r="C4423" s="13" t="n">
        <f aca="false">IF(Szenarien!$H$23="OK",(IFERROR(SUMIF(Nutzungsprofile!$B$6:$B$11,"Schulbetrieb",Nutzungsprofile!$G$6:$G$11)*Kalender!C31/SUM(Kalender!$C$5:$C$370),0)+IFERROR(SUMIF(Nutzungsprofile!$B$6:$B$11,"Halle",Nutzungsprofile!$G$6:$G$11)*Kalender!D31/SUM(Kalender!$D$5:$D$370),0)+IFERROR(SUMIF(Nutzungsprofile!$B$6:$B$11,"Individuell",Nutzungsprofile!$G$6:$G$11)*Kalender!E31/SUM(Kalender!$E$5:$E$370),0))*Szenarien!$E$23,0)</f>
        <v>2.94</v>
      </c>
      <c r="D4423" s="13" t="n">
        <f aca="false">IF(Szenarien!$H$23="OK",(IFERROR(SUMIF(Nutzungsprofile!$B$17:$B$22,"Schulbetrieb",Nutzungsprofile!$G$17:$G$22)*Kalender!C31/SUM(Kalender!$C$5:$C$370),0)+IFERROR(SUMIF(Nutzungsprofile!$B$17:$B$22,"Halle",Nutzungsprofile!$G$17:$G$22)*Kalender!D31/SUM(Kalender!$D$5:$D$370),0)+IFERROR(SUMIF(Nutzungsprofile!$B$17:$B$22,"Individuell",Nutzungsprofile!$G$17:$G$22)*Kalender!E31/SUM(Kalender!$E$5:$E$370),0))*Szenarien!$D$23,0)</f>
        <v>4.94</v>
      </c>
      <c r="E4423" s="13" t="n">
        <f aca="false">IFERROR(MIN(C4423,Eingaben!$B$17)*Eingaben!$B$16,0)</f>
        <v>2.793</v>
      </c>
      <c r="F4423" s="13" t="n">
        <f aca="false">IFERROR(E4423*Eingaben!$B$15,0)</f>
        <v>2.5137</v>
      </c>
      <c r="G4423" s="13" t="n">
        <f aca="false">IFERROR(IF(Kalender!A31="",0,J4422*(1-Eingaben!$B$20)),0)</f>
        <v>0.7390278</v>
      </c>
      <c r="H4423" s="13" t="n">
        <f aca="false">MIN(G4423,D4423)</f>
        <v>0.7390278</v>
      </c>
      <c r="I4423" s="13" t="n">
        <f aca="false">IFERROR(MIN(F4423*Eingaben!$B$19,MAX(0,D4423-H4423)),0)</f>
        <v>1.75959</v>
      </c>
      <c r="J4423" s="13" t="n">
        <f aca="false">IFERROR(MIN(Eingaben!$B$18,MAX(0,F4423-I4423)),0)</f>
        <v>0.75411</v>
      </c>
      <c r="K4423" s="13" t="n">
        <f aca="false">H4423+I4423</f>
        <v>2.4986178</v>
      </c>
      <c r="L4423" s="13" t="n">
        <f aca="false">MAX(0,D4423-K4423)</f>
        <v>2.4413822</v>
      </c>
      <c r="M4423" s="13" t="n">
        <f aca="false">MAX(0,F4423-I4423-J4423)</f>
        <v>0</v>
      </c>
      <c r="N4423" s="13" t="n">
        <f aca="false">IF(Kalender!A31="",0,J4422-H4423)</f>
        <v>0.0150822</v>
      </c>
    </row>
    <row r="4424" customFormat="false" ht="16.4" hidden="false" customHeight="false" outlineLevel="0" collapsed="false">
      <c r="A4424" s="13" t="str">
        <f aca="false">""</f>
        <v/>
      </c>
      <c r="B4424" s="13" t="n">
        <f aca="false">28</f>
        <v>28</v>
      </c>
      <c r="C4424" s="13" t="n">
        <f aca="false">IF(Szenarien!$H$23="OK",(IFERROR(SUMIF(Nutzungsprofile!$B$6:$B$11,"Schulbetrieb",Nutzungsprofile!$G$6:$G$11)*Kalender!C32/SUM(Kalender!$C$5:$C$370),0)+IFERROR(SUMIF(Nutzungsprofile!$B$6:$B$11,"Halle",Nutzungsprofile!$G$6:$G$11)*Kalender!D32/SUM(Kalender!$D$5:$D$370),0)+IFERROR(SUMIF(Nutzungsprofile!$B$6:$B$11,"Individuell",Nutzungsprofile!$G$6:$G$11)*Kalender!E32/SUM(Kalender!$E$5:$E$370),0))*Szenarien!$E$23,0)</f>
        <v>2.94</v>
      </c>
      <c r="D4424" s="13" t="n">
        <f aca="false">IF(Szenarien!$H$23="OK",(IFERROR(SUMIF(Nutzungsprofile!$B$17:$B$22,"Schulbetrieb",Nutzungsprofile!$G$17:$G$22)*Kalender!C32/SUM(Kalender!$C$5:$C$370),0)+IFERROR(SUMIF(Nutzungsprofile!$B$17:$B$22,"Halle",Nutzungsprofile!$G$17:$G$22)*Kalender!D32/SUM(Kalender!$D$5:$D$370),0)+IFERROR(SUMIF(Nutzungsprofile!$B$17:$B$22,"Individuell",Nutzungsprofile!$G$17:$G$22)*Kalender!E32/SUM(Kalender!$E$5:$E$370),0))*Szenarien!$D$23,0)</f>
        <v>4.94</v>
      </c>
      <c r="E4424" s="13" t="n">
        <f aca="false">IFERROR(MIN(C4424,Eingaben!$B$17)*Eingaben!$B$16,0)</f>
        <v>2.793</v>
      </c>
      <c r="F4424" s="13" t="n">
        <f aca="false">IFERROR(E4424*Eingaben!$B$15,0)</f>
        <v>2.5137</v>
      </c>
      <c r="G4424" s="13" t="n">
        <f aca="false">IFERROR(IF(Kalender!A32="",0,J4423*(1-Eingaben!$B$20)),0)</f>
        <v>0.7390278</v>
      </c>
      <c r="H4424" s="13" t="n">
        <f aca="false">MIN(G4424,D4424)</f>
        <v>0.7390278</v>
      </c>
      <c r="I4424" s="13" t="n">
        <f aca="false">IFERROR(MIN(F4424*Eingaben!$B$19,MAX(0,D4424-H4424)),0)</f>
        <v>1.75959</v>
      </c>
      <c r="J4424" s="13" t="n">
        <f aca="false">IFERROR(MIN(Eingaben!$B$18,MAX(0,F4424-I4424)),0)</f>
        <v>0.75411</v>
      </c>
      <c r="K4424" s="13" t="n">
        <f aca="false">H4424+I4424</f>
        <v>2.4986178</v>
      </c>
      <c r="L4424" s="13" t="n">
        <f aca="false">MAX(0,D4424-K4424)</f>
        <v>2.4413822</v>
      </c>
      <c r="M4424" s="13" t="n">
        <f aca="false">MAX(0,F4424-I4424-J4424)</f>
        <v>0</v>
      </c>
      <c r="N4424" s="13" t="n">
        <f aca="false">IF(Kalender!A32="",0,J4423-H4424)</f>
        <v>0.0150822</v>
      </c>
    </row>
    <row r="4425" customFormat="false" ht="16.4" hidden="false" customHeight="false" outlineLevel="0" collapsed="false">
      <c r="A4425" s="13" t="str">
        <f aca="false">""</f>
        <v/>
      </c>
      <c r="B4425" s="13" t="n">
        <f aca="false">29</f>
        <v>29</v>
      </c>
      <c r="C4425" s="13" t="n">
        <f aca="false">IF(Szenarien!$H$23="OK",(IFERROR(SUMIF(Nutzungsprofile!$B$6:$B$11,"Schulbetrieb",Nutzungsprofile!$G$6:$G$11)*Kalender!C33/SUM(Kalender!$C$5:$C$370),0)+IFERROR(SUMIF(Nutzungsprofile!$B$6:$B$11,"Halle",Nutzungsprofile!$G$6:$G$11)*Kalender!D33/SUM(Kalender!$D$5:$D$370),0)+IFERROR(SUMIF(Nutzungsprofile!$B$6:$B$11,"Individuell",Nutzungsprofile!$G$6:$G$11)*Kalender!E33/SUM(Kalender!$E$5:$E$370),0))*Szenarien!$E$23,0)</f>
        <v>2.94</v>
      </c>
      <c r="D4425" s="13" t="n">
        <f aca="false">IF(Szenarien!$H$23="OK",(IFERROR(SUMIF(Nutzungsprofile!$B$17:$B$22,"Schulbetrieb",Nutzungsprofile!$G$17:$G$22)*Kalender!C33/SUM(Kalender!$C$5:$C$370),0)+IFERROR(SUMIF(Nutzungsprofile!$B$17:$B$22,"Halle",Nutzungsprofile!$G$17:$G$22)*Kalender!D33/SUM(Kalender!$D$5:$D$370),0)+IFERROR(SUMIF(Nutzungsprofile!$B$17:$B$22,"Individuell",Nutzungsprofile!$G$17:$G$22)*Kalender!E33/SUM(Kalender!$E$5:$E$370),0))*Szenarien!$D$23,0)</f>
        <v>4.94</v>
      </c>
      <c r="E4425" s="13" t="n">
        <f aca="false">IFERROR(MIN(C4425,Eingaben!$B$17)*Eingaben!$B$16,0)</f>
        <v>2.793</v>
      </c>
      <c r="F4425" s="13" t="n">
        <f aca="false">IFERROR(E4425*Eingaben!$B$15,0)</f>
        <v>2.5137</v>
      </c>
      <c r="G4425" s="13" t="n">
        <f aca="false">IFERROR(IF(Kalender!A33="",0,J4424*(1-Eingaben!$B$20)),0)</f>
        <v>0.7390278</v>
      </c>
      <c r="H4425" s="13" t="n">
        <f aca="false">MIN(G4425,D4425)</f>
        <v>0.7390278</v>
      </c>
      <c r="I4425" s="13" t="n">
        <f aca="false">IFERROR(MIN(F4425*Eingaben!$B$19,MAX(0,D4425-H4425)),0)</f>
        <v>1.75959</v>
      </c>
      <c r="J4425" s="13" t="n">
        <f aca="false">IFERROR(MIN(Eingaben!$B$18,MAX(0,F4425-I4425)),0)</f>
        <v>0.75411</v>
      </c>
      <c r="K4425" s="13" t="n">
        <f aca="false">H4425+I4425</f>
        <v>2.4986178</v>
      </c>
      <c r="L4425" s="13" t="n">
        <f aca="false">MAX(0,D4425-K4425)</f>
        <v>2.4413822</v>
      </c>
      <c r="M4425" s="13" t="n">
        <f aca="false">MAX(0,F4425-I4425-J4425)</f>
        <v>0</v>
      </c>
      <c r="N4425" s="13" t="n">
        <f aca="false">IF(Kalender!A33="",0,J4424-H4425)</f>
        <v>0.0150822</v>
      </c>
    </row>
    <row r="4426" customFormat="false" ht="16.4" hidden="false" customHeight="false" outlineLevel="0" collapsed="false">
      <c r="A4426" s="13" t="str">
        <f aca="false">""</f>
        <v/>
      </c>
      <c r="B4426" s="13" t="n">
        <f aca="false">30</f>
        <v>30</v>
      </c>
      <c r="C4426" s="13" t="n">
        <f aca="false">IF(Szenarien!$H$23="OK",(IFERROR(SUMIF(Nutzungsprofile!$B$6:$B$11,"Schulbetrieb",Nutzungsprofile!$G$6:$G$11)*Kalender!C34/SUM(Kalender!$C$5:$C$370),0)+IFERROR(SUMIF(Nutzungsprofile!$B$6:$B$11,"Halle",Nutzungsprofile!$G$6:$G$11)*Kalender!D34/SUM(Kalender!$D$5:$D$370),0)+IFERROR(SUMIF(Nutzungsprofile!$B$6:$B$11,"Individuell",Nutzungsprofile!$G$6:$G$11)*Kalender!E34/SUM(Kalender!$E$5:$E$370),0))*Szenarien!$E$23,0)</f>
        <v>2.94</v>
      </c>
      <c r="D4426" s="13" t="n">
        <f aca="false">IF(Szenarien!$H$23="OK",(IFERROR(SUMIF(Nutzungsprofile!$B$17:$B$22,"Schulbetrieb",Nutzungsprofile!$G$17:$G$22)*Kalender!C34/SUM(Kalender!$C$5:$C$370),0)+IFERROR(SUMIF(Nutzungsprofile!$B$17:$B$22,"Halle",Nutzungsprofile!$G$17:$G$22)*Kalender!D34/SUM(Kalender!$D$5:$D$370),0)+IFERROR(SUMIF(Nutzungsprofile!$B$17:$B$22,"Individuell",Nutzungsprofile!$G$17:$G$22)*Kalender!E34/SUM(Kalender!$E$5:$E$370),0))*Szenarien!$D$23,0)</f>
        <v>4.94</v>
      </c>
      <c r="E4426" s="13" t="n">
        <f aca="false">IFERROR(MIN(C4426,Eingaben!$B$17)*Eingaben!$B$16,0)</f>
        <v>2.793</v>
      </c>
      <c r="F4426" s="13" t="n">
        <f aca="false">IFERROR(E4426*Eingaben!$B$15,0)</f>
        <v>2.5137</v>
      </c>
      <c r="G4426" s="13" t="n">
        <f aca="false">IFERROR(IF(Kalender!A34="",0,J4425*(1-Eingaben!$B$20)),0)</f>
        <v>0.7390278</v>
      </c>
      <c r="H4426" s="13" t="n">
        <f aca="false">MIN(G4426,D4426)</f>
        <v>0.7390278</v>
      </c>
      <c r="I4426" s="13" t="n">
        <f aca="false">IFERROR(MIN(F4426*Eingaben!$B$19,MAX(0,D4426-H4426)),0)</f>
        <v>1.75959</v>
      </c>
      <c r="J4426" s="13" t="n">
        <f aca="false">IFERROR(MIN(Eingaben!$B$18,MAX(0,F4426-I4426)),0)</f>
        <v>0.75411</v>
      </c>
      <c r="K4426" s="13" t="n">
        <f aca="false">H4426+I4426</f>
        <v>2.4986178</v>
      </c>
      <c r="L4426" s="13" t="n">
        <f aca="false">MAX(0,D4426-K4426)</f>
        <v>2.4413822</v>
      </c>
      <c r="M4426" s="13" t="n">
        <f aca="false">MAX(0,F4426-I4426-J4426)</f>
        <v>0</v>
      </c>
      <c r="N4426" s="13" t="n">
        <f aca="false">IF(Kalender!A34="",0,J4425-H4426)</f>
        <v>0.0150822</v>
      </c>
    </row>
    <row r="4427" customFormat="false" ht="16.4" hidden="false" customHeight="false" outlineLevel="0" collapsed="false">
      <c r="A4427" s="13" t="str">
        <f aca="false">""</f>
        <v/>
      </c>
      <c r="B4427" s="13" t="n">
        <f aca="false">31</f>
        <v>31</v>
      </c>
      <c r="C4427" s="13" t="n">
        <f aca="false">IF(Szenarien!$H$23="OK",(IFERROR(SUMIF(Nutzungsprofile!$B$6:$B$11,"Schulbetrieb",Nutzungsprofile!$G$6:$G$11)*Kalender!C35/SUM(Kalender!$C$5:$C$370),0)+IFERROR(SUMIF(Nutzungsprofile!$B$6:$B$11,"Halle",Nutzungsprofile!$G$6:$G$11)*Kalender!D35/SUM(Kalender!$D$5:$D$370),0)+IFERROR(SUMIF(Nutzungsprofile!$B$6:$B$11,"Individuell",Nutzungsprofile!$G$6:$G$11)*Kalender!E35/SUM(Kalender!$E$5:$E$370),0))*Szenarien!$E$23,0)</f>
        <v>2.04</v>
      </c>
      <c r="D4427" s="13" t="n">
        <f aca="false">IF(Szenarien!$H$23="OK",(IFERROR(SUMIF(Nutzungsprofile!$B$17:$B$22,"Schulbetrieb",Nutzungsprofile!$G$17:$G$22)*Kalender!C35/SUM(Kalender!$C$5:$C$370),0)+IFERROR(SUMIF(Nutzungsprofile!$B$17:$B$22,"Halle",Nutzungsprofile!$G$17:$G$22)*Kalender!D35/SUM(Kalender!$D$5:$D$370),0)+IFERROR(SUMIF(Nutzungsprofile!$B$17:$B$22,"Individuell",Nutzungsprofile!$G$17:$G$22)*Kalender!E35/SUM(Kalender!$E$5:$E$370),0))*Szenarien!$D$23,0)</f>
        <v>0.89</v>
      </c>
      <c r="E4427" s="13" t="n">
        <f aca="false">IFERROR(MIN(C4427,Eingaben!$B$17)*Eingaben!$B$16,0)</f>
        <v>1.938</v>
      </c>
      <c r="F4427" s="13" t="n">
        <f aca="false">IFERROR(E4427*Eingaben!$B$15,0)</f>
        <v>1.7442</v>
      </c>
      <c r="G4427" s="13" t="n">
        <f aca="false">IFERROR(IF(Kalender!A35="",0,J4426*(1-Eingaben!$B$20)),0)</f>
        <v>0.7390278</v>
      </c>
      <c r="H4427" s="13" t="n">
        <f aca="false">MIN(G4427,D4427)</f>
        <v>0.7390278</v>
      </c>
      <c r="I4427" s="13" t="n">
        <f aca="false">IFERROR(MIN(F4427*Eingaben!$B$19,MAX(0,D4427-H4427)),0)</f>
        <v>0.1509722</v>
      </c>
      <c r="J4427" s="13" t="n">
        <f aca="false">IFERROR(MIN(Eingaben!$B$18,MAX(0,F4427-I4427)),0)</f>
        <v>1.5932278</v>
      </c>
      <c r="K4427" s="13" t="n">
        <f aca="false">H4427+I4427</f>
        <v>0.89</v>
      </c>
      <c r="L4427" s="13" t="n">
        <f aca="false">MAX(0,D4427-K4427)</f>
        <v>0</v>
      </c>
      <c r="M4427" s="13" t="n">
        <f aca="false">MAX(0,F4427-I4427-J4427)</f>
        <v>0</v>
      </c>
      <c r="N4427" s="13" t="n">
        <f aca="false">IF(Kalender!A35="",0,J4426-H4427)</f>
        <v>0.0150822</v>
      </c>
    </row>
    <row r="4428" customFormat="false" ht="16.4" hidden="false" customHeight="false" outlineLevel="0" collapsed="false">
      <c r="A4428" s="13" t="str">
        <f aca="false">""</f>
        <v/>
      </c>
      <c r="B4428" s="13" t="n">
        <f aca="false">32</f>
        <v>32</v>
      </c>
      <c r="C4428" s="13" t="n">
        <f aca="false">IF(Szenarien!$H$23="OK",(IFERROR(SUMIF(Nutzungsprofile!$B$6:$B$11,"Schulbetrieb",Nutzungsprofile!$G$6:$G$11)*Kalender!C36/SUM(Kalender!$C$5:$C$370),0)+IFERROR(SUMIF(Nutzungsprofile!$B$6:$B$11,"Halle",Nutzungsprofile!$G$6:$G$11)*Kalender!D36/SUM(Kalender!$D$5:$D$370),0)+IFERROR(SUMIF(Nutzungsprofile!$B$6:$B$11,"Individuell",Nutzungsprofile!$G$6:$G$11)*Kalender!E36/SUM(Kalender!$E$5:$E$370),0))*Szenarien!$E$23,0)</f>
        <v>2.04</v>
      </c>
      <c r="D4428" s="13" t="n">
        <f aca="false">IF(Szenarien!$H$23="OK",(IFERROR(SUMIF(Nutzungsprofile!$B$17:$B$22,"Schulbetrieb",Nutzungsprofile!$G$17:$G$22)*Kalender!C36/SUM(Kalender!$C$5:$C$370),0)+IFERROR(SUMIF(Nutzungsprofile!$B$17:$B$22,"Halle",Nutzungsprofile!$G$17:$G$22)*Kalender!D36/SUM(Kalender!$D$5:$D$370),0)+IFERROR(SUMIF(Nutzungsprofile!$B$17:$B$22,"Individuell",Nutzungsprofile!$G$17:$G$22)*Kalender!E36/SUM(Kalender!$E$5:$E$370),0))*Szenarien!$D$23,0)</f>
        <v>0.89</v>
      </c>
      <c r="E4428" s="13" t="n">
        <f aca="false">IFERROR(MIN(C4428,Eingaben!$B$17)*Eingaben!$B$16,0)</f>
        <v>1.938</v>
      </c>
      <c r="F4428" s="13" t="n">
        <f aca="false">IFERROR(E4428*Eingaben!$B$15,0)</f>
        <v>1.7442</v>
      </c>
      <c r="G4428" s="13" t="n">
        <f aca="false">IFERROR(IF(Kalender!A36="",0,J4427*(1-Eingaben!$B$20)),0)</f>
        <v>1.561363244</v>
      </c>
      <c r="H4428" s="13" t="n">
        <f aca="false">MIN(G4428,D4428)</f>
        <v>0.89</v>
      </c>
      <c r="I4428" s="13" t="n">
        <f aca="false">IFERROR(MIN(F4428*Eingaben!$B$19,MAX(0,D4428-H4428)),0)</f>
        <v>0</v>
      </c>
      <c r="J4428" s="13" t="n">
        <f aca="false">IFERROR(MIN(Eingaben!$B$18,MAX(0,F4428-I4428)),0)</f>
        <v>1.7442</v>
      </c>
      <c r="K4428" s="13" t="n">
        <f aca="false">H4428+I4428</f>
        <v>0.89</v>
      </c>
      <c r="L4428" s="13" t="n">
        <f aca="false">MAX(0,D4428-K4428)</f>
        <v>0</v>
      </c>
      <c r="M4428" s="13" t="n">
        <f aca="false">MAX(0,F4428-I4428-J4428)</f>
        <v>0</v>
      </c>
      <c r="N4428" s="13" t="n">
        <f aca="false">IF(Kalender!A36="",0,J4427-H4428)</f>
        <v>0.7032278</v>
      </c>
    </row>
    <row r="4429" customFormat="false" ht="16.4" hidden="false" customHeight="false" outlineLevel="0" collapsed="false">
      <c r="A4429" s="13" t="str">
        <f aca="false">""</f>
        <v/>
      </c>
      <c r="B4429" s="13" t="n">
        <f aca="false">33</f>
        <v>33</v>
      </c>
      <c r="C4429" s="13" t="n">
        <f aca="false">IF(Szenarien!$H$23="OK",(IFERROR(SUMIF(Nutzungsprofile!$B$6:$B$11,"Schulbetrieb",Nutzungsprofile!$G$6:$G$11)*Kalender!C37/SUM(Kalender!$C$5:$C$370),0)+IFERROR(SUMIF(Nutzungsprofile!$B$6:$B$11,"Halle",Nutzungsprofile!$G$6:$G$11)*Kalender!D37/SUM(Kalender!$D$5:$D$370),0)+IFERROR(SUMIF(Nutzungsprofile!$B$6:$B$11,"Individuell",Nutzungsprofile!$G$6:$G$11)*Kalender!E37/SUM(Kalender!$E$5:$E$370),0))*Szenarien!$E$23,0)</f>
        <v>2.94</v>
      </c>
      <c r="D4429" s="13" t="n">
        <f aca="false">IF(Szenarien!$H$23="OK",(IFERROR(SUMIF(Nutzungsprofile!$B$17:$B$22,"Schulbetrieb",Nutzungsprofile!$G$17:$G$22)*Kalender!C37/SUM(Kalender!$C$5:$C$370),0)+IFERROR(SUMIF(Nutzungsprofile!$B$17:$B$22,"Halle",Nutzungsprofile!$G$17:$G$22)*Kalender!D37/SUM(Kalender!$D$5:$D$370),0)+IFERROR(SUMIF(Nutzungsprofile!$B$17:$B$22,"Individuell",Nutzungsprofile!$G$17:$G$22)*Kalender!E37/SUM(Kalender!$E$5:$E$370),0))*Szenarien!$D$23,0)</f>
        <v>4.94</v>
      </c>
      <c r="E4429" s="13" t="n">
        <f aca="false">IFERROR(MIN(C4429,Eingaben!$B$17)*Eingaben!$B$16,0)</f>
        <v>2.793</v>
      </c>
      <c r="F4429" s="13" t="n">
        <f aca="false">IFERROR(E4429*Eingaben!$B$15,0)</f>
        <v>2.5137</v>
      </c>
      <c r="G4429" s="13" t="n">
        <f aca="false">IFERROR(IF(Kalender!A37="",0,J4428*(1-Eingaben!$B$20)),0)</f>
        <v>1.709316</v>
      </c>
      <c r="H4429" s="13" t="n">
        <f aca="false">MIN(G4429,D4429)</f>
        <v>1.709316</v>
      </c>
      <c r="I4429" s="13" t="n">
        <f aca="false">IFERROR(MIN(F4429*Eingaben!$B$19,MAX(0,D4429-H4429)),0)</f>
        <v>1.75959</v>
      </c>
      <c r="J4429" s="13" t="n">
        <f aca="false">IFERROR(MIN(Eingaben!$B$18,MAX(0,F4429-I4429)),0)</f>
        <v>0.75411</v>
      </c>
      <c r="K4429" s="13" t="n">
        <f aca="false">H4429+I4429</f>
        <v>3.468906</v>
      </c>
      <c r="L4429" s="13" t="n">
        <f aca="false">MAX(0,D4429-K4429)</f>
        <v>1.471094</v>
      </c>
      <c r="M4429" s="13" t="n">
        <f aca="false">MAX(0,F4429-I4429-J4429)</f>
        <v>0</v>
      </c>
      <c r="N4429" s="13" t="n">
        <f aca="false">IF(Kalender!A37="",0,J4428-H4429)</f>
        <v>0.0348840000000001</v>
      </c>
    </row>
    <row r="4430" customFormat="false" ht="16.4" hidden="false" customHeight="false" outlineLevel="0" collapsed="false">
      <c r="A4430" s="13" t="str">
        <f aca="false">""</f>
        <v/>
      </c>
      <c r="B4430" s="13" t="n">
        <f aca="false">34</f>
        <v>34</v>
      </c>
      <c r="C4430" s="13" t="n">
        <f aca="false">IF(Szenarien!$H$23="OK",(IFERROR(SUMIF(Nutzungsprofile!$B$6:$B$11,"Schulbetrieb",Nutzungsprofile!$G$6:$G$11)*Kalender!C38/SUM(Kalender!$C$5:$C$370),0)+IFERROR(SUMIF(Nutzungsprofile!$B$6:$B$11,"Halle",Nutzungsprofile!$G$6:$G$11)*Kalender!D38/SUM(Kalender!$D$5:$D$370),0)+IFERROR(SUMIF(Nutzungsprofile!$B$6:$B$11,"Individuell",Nutzungsprofile!$G$6:$G$11)*Kalender!E38/SUM(Kalender!$E$5:$E$370),0))*Szenarien!$E$23,0)</f>
        <v>2.94</v>
      </c>
      <c r="D4430" s="13" t="n">
        <f aca="false">IF(Szenarien!$H$23="OK",(IFERROR(SUMIF(Nutzungsprofile!$B$17:$B$22,"Schulbetrieb",Nutzungsprofile!$G$17:$G$22)*Kalender!C38/SUM(Kalender!$C$5:$C$370),0)+IFERROR(SUMIF(Nutzungsprofile!$B$17:$B$22,"Halle",Nutzungsprofile!$G$17:$G$22)*Kalender!D38/SUM(Kalender!$D$5:$D$370),0)+IFERROR(SUMIF(Nutzungsprofile!$B$17:$B$22,"Individuell",Nutzungsprofile!$G$17:$G$22)*Kalender!E38/SUM(Kalender!$E$5:$E$370),0))*Szenarien!$D$23,0)</f>
        <v>4.94</v>
      </c>
      <c r="E4430" s="13" t="n">
        <f aca="false">IFERROR(MIN(C4430,Eingaben!$B$17)*Eingaben!$B$16,0)</f>
        <v>2.793</v>
      </c>
      <c r="F4430" s="13" t="n">
        <f aca="false">IFERROR(E4430*Eingaben!$B$15,0)</f>
        <v>2.5137</v>
      </c>
      <c r="G4430" s="13" t="n">
        <f aca="false">IFERROR(IF(Kalender!A38="",0,J4429*(1-Eingaben!$B$20)),0)</f>
        <v>0.7390278</v>
      </c>
      <c r="H4430" s="13" t="n">
        <f aca="false">MIN(G4430,D4430)</f>
        <v>0.7390278</v>
      </c>
      <c r="I4430" s="13" t="n">
        <f aca="false">IFERROR(MIN(F4430*Eingaben!$B$19,MAX(0,D4430-H4430)),0)</f>
        <v>1.75959</v>
      </c>
      <c r="J4430" s="13" t="n">
        <f aca="false">IFERROR(MIN(Eingaben!$B$18,MAX(0,F4430-I4430)),0)</f>
        <v>0.75411</v>
      </c>
      <c r="K4430" s="13" t="n">
        <f aca="false">H4430+I4430</f>
        <v>2.4986178</v>
      </c>
      <c r="L4430" s="13" t="n">
        <f aca="false">MAX(0,D4430-K4430)</f>
        <v>2.4413822</v>
      </c>
      <c r="M4430" s="13" t="n">
        <f aca="false">MAX(0,F4430-I4430-J4430)</f>
        <v>0</v>
      </c>
      <c r="N4430" s="13" t="n">
        <f aca="false">IF(Kalender!A38="",0,J4429-H4430)</f>
        <v>0.0150822</v>
      </c>
    </row>
    <row r="4431" customFormat="false" ht="16.4" hidden="false" customHeight="false" outlineLevel="0" collapsed="false">
      <c r="A4431" s="13" t="str">
        <f aca="false">""</f>
        <v/>
      </c>
      <c r="B4431" s="13" t="n">
        <f aca="false">35</f>
        <v>35</v>
      </c>
      <c r="C4431" s="13" t="n">
        <f aca="false">IF(Szenarien!$H$23="OK",(IFERROR(SUMIF(Nutzungsprofile!$B$6:$B$11,"Schulbetrieb",Nutzungsprofile!$G$6:$G$11)*Kalender!C39/SUM(Kalender!$C$5:$C$370),0)+IFERROR(SUMIF(Nutzungsprofile!$B$6:$B$11,"Halle",Nutzungsprofile!$G$6:$G$11)*Kalender!D39/SUM(Kalender!$D$5:$D$370),0)+IFERROR(SUMIF(Nutzungsprofile!$B$6:$B$11,"Individuell",Nutzungsprofile!$G$6:$G$11)*Kalender!E39/SUM(Kalender!$E$5:$E$370),0))*Szenarien!$E$23,0)</f>
        <v>2.94</v>
      </c>
      <c r="D4431" s="13" t="n">
        <f aca="false">IF(Szenarien!$H$23="OK",(IFERROR(SUMIF(Nutzungsprofile!$B$17:$B$22,"Schulbetrieb",Nutzungsprofile!$G$17:$G$22)*Kalender!C39/SUM(Kalender!$C$5:$C$370),0)+IFERROR(SUMIF(Nutzungsprofile!$B$17:$B$22,"Halle",Nutzungsprofile!$G$17:$G$22)*Kalender!D39/SUM(Kalender!$D$5:$D$370),0)+IFERROR(SUMIF(Nutzungsprofile!$B$17:$B$22,"Individuell",Nutzungsprofile!$G$17:$G$22)*Kalender!E39/SUM(Kalender!$E$5:$E$370),0))*Szenarien!$D$23,0)</f>
        <v>4.94</v>
      </c>
      <c r="E4431" s="13" t="n">
        <f aca="false">IFERROR(MIN(C4431,Eingaben!$B$17)*Eingaben!$B$16,0)</f>
        <v>2.793</v>
      </c>
      <c r="F4431" s="13" t="n">
        <f aca="false">IFERROR(E4431*Eingaben!$B$15,0)</f>
        <v>2.5137</v>
      </c>
      <c r="G4431" s="13" t="n">
        <f aca="false">IFERROR(IF(Kalender!A39="",0,J4430*(1-Eingaben!$B$20)),0)</f>
        <v>0.7390278</v>
      </c>
      <c r="H4431" s="13" t="n">
        <f aca="false">MIN(G4431,D4431)</f>
        <v>0.7390278</v>
      </c>
      <c r="I4431" s="13" t="n">
        <f aca="false">IFERROR(MIN(F4431*Eingaben!$B$19,MAX(0,D4431-H4431)),0)</f>
        <v>1.75959</v>
      </c>
      <c r="J4431" s="13" t="n">
        <f aca="false">IFERROR(MIN(Eingaben!$B$18,MAX(0,F4431-I4431)),0)</f>
        <v>0.75411</v>
      </c>
      <c r="K4431" s="13" t="n">
        <f aca="false">H4431+I4431</f>
        <v>2.4986178</v>
      </c>
      <c r="L4431" s="13" t="n">
        <f aca="false">MAX(0,D4431-K4431)</f>
        <v>2.4413822</v>
      </c>
      <c r="M4431" s="13" t="n">
        <f aca="false">MAX(0,F4431-I4431-J4431)</f>
        <v>0</v>
      </c>
      <c r="N4431" s="13" t="n">
        <f aca="false">IF(Kalender!A39="",0,J4430-H4431)</f>
        <v>0.0150822</v>
      </c>
    </row>
    <row r="4432" customFormat="false" ht="16.4" hidden="false" customHeight="false" outlineLevel="0" collapsed="false">
      <c r="A4432" s="13" t="str">
        <f aca="false">""</f>
        <v/>
      </c>
      <c r="B4432" s="13" t="n">
        <f aca="false">36</f>
        <v>36</v>
      </c>
      <c r="C4432" s="13" t="n">
        <f aca="false">IF(Szenarien!$H$23="OK",(IFERROR(SUMIF(Nutzungsprofile!$B$6:$B$11,"Schulbetrieb",Nutzungsprofile!$G$6:$G$11)*Kalender!C40/SUM(Kalender!$C$5:$C$370),0)+IFERROR(SUMIF(Nutzungsprofile!$B$6:$B$11,"Halle",Nutzungsprofile!$G$6:$G$11)*Kalender!D40/SUM(Kalender!$D$5:$D$370),0)+IFERROR(SUMIF(Nutzungsprofile!$B$6:$B$11,"Individuell",Nutzungsprofile!$G$6:$G$11)*Kalender!E40/SUM(Kalender!$E$5:$E$370),0))*Szenarien!$E$23,0)</f>
        <v>2.94</v>
      </c>
      <c r="D4432" s="13" t="n">
        <f aca="false">IF(Szenarien!$H$23="OK",(IFERROR(SUMIF(Nutzungsprofile!$B$17:$B$22,"Schulbetrieb",Nutzungsprofile!$G$17:$G$22)*Kalender!C40/SUM(Kalender!$C$5:$C$370),0)+IFERROR(SUMIF(Nutzungsprofile!$B$17:$B$22,"Halle",Nutzungsprofile!$G$17:$G$22)*Kalender!D40/SUM(Kalender!$D$5:$D$370),0)+IFERROR(SUMIF(Nutzungsprofile!$B$17:$B$22,"Individuell",Nutzungsprofile!$G$17:$G$22)*Kalender!E40/SUM(Kalender!$E$5:$E$370),0))*Szenarien!$D$23,0)</f>
        <v>4.94</v>
      </c>
      <c r="E4432" s="13" t="n">
        <f aca="false">IFERROR(MIN(C4432,Eingaben!$B$17)*Eingaben!$B$16,0)</f>
        <v>2.793</v>
      </c>
      <c r="F4432" s="13" t="n">
        <f aca="false">IFERROR(E4432*Eingaben!$B$15,0)</f>
        <v>2.5137</v>
      </c>
      <c r="G4432" s="13" t="n">
        <f aca="false">IFERROR(IF(Kalender!A40="",0,J4431*(1-Eingaben!$B$20)),0)</f>
        <v>0.7390278</v>
      </c>
      <c r="H4432" s="13" t="n">
        <f aca="false">MIN(G4432,D4432)</f>
        <v>0.7390278</v>
      </c>
      <c r="I4432" s="13" t="n">
        <f aca="false">IFERROR(MIN(F4432*Eingaben!$B$19,MAX(0,D4432-H4432)),0)</f>
        <v>1.75959</v>
      </c>
      <c r="J4432" s="13" t="n">
        <f aca="false">IFERROR(MIN(Eingaben!$B$18,MAX(0,F4432-I4432)),0)</f>
        <v>0.75411</v>
      </c>
      <c r="K4432" s="13" t="n">
        <f aca="false">H4432+I4432</f>
        <v>2.4986178</v>
      </c>
      <c r="L4432" s="13" t="n">
        <f aca="false">MAX(0,D4432-K4432)</f>
        <v>2.4413822</v>
      </c>
      <c r="M4432" s="13" t="n">
        <f aca="false">MAX(0,F4432-I4432-J4432)</f>
        <v>0</v>
      </c>
      <c r="N4432" s="13" t="n">
        <f aca="false">IF(Kalender!A40="",0,J4431-H4432)</f>
        <v>0.0150822</v>
      </c>
    </row>
    <row r="4433" customFormat="false" ht="16.4" hidden="false" customHeight="false" outlineLevel="0" collapsed="false">
      <c r="A4433" s="13" t="str">
        <f aca="false">""</f>
        <v/>
      </c>
      <c r="B4433" s="13" t="n">
        <f aca="false">37</f>
        <v>37</v>
      </c>
      <c r="C4433" s="13" t="n">
        <f aca="false">IF(Szenarien!$H$23="OK",(IFERROR(SUMIF(Nutzungsprofile!$B$6:$B$11,"Schulbetrieb",Nutzungsprofile!$G$6:$G$11)*Kalender!C41/SUM(Kalender!$C$5:$C$370),0)+IFERROR(SUMIF(Nutzungsprofile!$B$6:$B$11,"Halle",Nutzungsprofile!$G$6:$G$11)*Kalender!D41/SUM(Kalender!$D$5:$D$370),0)+IFERROR(SUMIF(Nutzungsprofile!$B$6:$B$11,"Individuell",Nutzungsprofile!$G$6:$G$11)*Kalender!E41/SUM(Kalender!$E$5:$E$370),0))*Szenarien!$E$23,0)</f>
        <v>2.94</v>
      </c>
      <c r="D4433" s="13" t="n">
        <f aca="false">IF(Szenarien!$H$23="OK",(IFERROR(SUMIF(Nutzungsprofile!$B$17:$B$22,"Schulbetrieb",Nutzungsprofile!$G$17:$G$22)*Kalender!C41/SUM(Kalender!$C$5:$C$370),0)+IFERROR(SUMIF(Nutzungsprofile!$B$17:$B$22,"Halle",Nutzungsprofile!$G$17:$G$22)*Kalender!D41/SUM(Kalender!$D$5:$D$370),0)+IFERROR(SUMIF(Nutzungsprofile!$B$17:$B$22,"Individuell",Nutzungsprofile!$G$17:$G$22)*Kalender!E41/SUM(Kalender!$E$5:$E$370),0))*Szenarien!$D$23,0)</f>
        <v>4.94</v>
      </c>
      <c r="E4433" s="13" t="n">
        <f aca="false">IFERROR(MIN(C4433,Eingaben!$B$17)*Eingaben!$B$16,0)</f>
        <v>2.793</v>
      </c>
      <c r="F4433" s="13" t="n">
        <f aca="false">IFERROR(E4433*Eingaben!$B$15,0)</f>
        <v>2.5137</v>
      </c>
      <c r="G4433" s="13" t="n">
        <f aca="false">IFERROR(IF(Kalender!A41="",0,J4432*(1-Eingaben!$B$20)),0)</f>
        <v>0.7390278</v>
      </c>
      <c r="H4433" s="13" t="n">
        <f aca="false">MIN(G4433,D4433)</f>
        <v>0.7390278</v>
      </c>
      <c r="I4433" s="13" t="n">
        <f aca="false">IFERROR(MIN(F4433*Eingaben!$B$19,MAX(0,D4433-H4433)),0)</f>
        <v>1.75959</v>
      </c>
      <c r="J4433" s="13" t="n">
        <f aca="false">IFERROR(MIN(Eingaben!$B$18,MAX(0,F4433-I4433)),0)</f>
        <v>0.75411</v>
      </c>
      <c r="K4433" s="13" t="n">
        <f aca="false">H4433+I4433</f>
        <v>2.4986178</v>
      </c>
      <c r="L4433" s="13" t="n">
        <f aca="false">MAX(0,D4433-K4433)</f>
        <v>2.4413822</v>
      </c>
      <c r="M4433" s="13" t="n">
        <f aca="false">MAX(0,F4433-I4433-J4433)</f>
        <v>0</v>
      </c>
      <c r="N4433" s="13" t="n">
        <f aca="false">IF(Kalender!A41="",0,J4432-H4433)</f>
        <v>0.0150822</v>
      </c>
    </row>
    <row r="4434" customFormat="false" ht="16.4" hidden="false" customHeight="false" outlineLevel="0" collapsed="false">
      <c r="A4434" s="13" t="str">
        <f aca="false">""</f>
        <v/>
      </c>
      <c r="B4434" s="13" t="n">
        <f aca="false">38</f>
        <v>38</v>
      </c>
      <c r="C4434" s="13" t="n">
        <f aca="false">IF(Szenarien!$H$23="OK",(IFERROR(SUMIF(Nutzungsprofile!$B$6:$B$11,"Schulbetrieb",Nutzungsprofile!$G$6:$G$11)*Kalender!C42/SUM(Kalender!$C$5:$C$370),0)+IFERROR(SUMIF(Nutzungsprofile!$B$6:$B$11,"Halle",Nutzungsprofile!$G$6:$G$11)*Kalender!D42/SUM(Kalender!$D$5:$D$370),0)+IFERROR(SUMIF(Nutzungsprofile!$B$6:$B$11,"Individuell",Nutzungsprofile!$G$6:$G$11)*Kalender!E42/SUM(Kalender!$E$5:$E$370),0))*Szenarien!$E$23,0)</f>
        <v>2.04</v>
      </c>
      <c r="D4434" s="13" t="n">
        <f aca="false">IF(Szenarien!$H$23="OK",(IFERROR(SUMIF(Nutzungsprofile!$B$17:$B$22,"Schulbetrieb",Nutzungsprofile!$G$17:$G$22)*Kalender!C42/SUM(Kalender!$C$5:$C$370),0)+IFERROR(SUMIF(Nutzungsprofile!$B$17:$B$22,"Halle",Nutzungsprofile!$G$17:$G$22)*Kalender!D42/SUM(Kalender!$D$5:$D$370),0)+IFERROR(SUMIF(Nutzungsprofile!$B$17:$B$22,"Individuell",Nutzungsprofile!$G$17:$G$22)*Kalender!E42/SUM(Kalender!$E$5:$E$370),0))*Szenarien!$D$23,0)</f>
        <v>0.89</v>
      </c>
      <c r="E4434" s="13" t="n">
        <f aca="false">IFERROR(MIN(C4434,Eingaben!$B$17)*Eingaben!$B$16,0)</f>
        <v>1.938</v>
      </c>
      <c r="F4434" s="13" t="n">
        <f aca="false">IFERROR(E4434*Eingaben!$B$15,0)</f>
        <v>1.7442</v>
      </c>
      <c r="G4434" s="13" t="n">
        <f aca="false">IFERROR(IF(Kalender!A42="",0,J4433*(1-Eingaben!$B$20)),0)</f>
        <v>0.7390278</v>
      </c>
      <c r="H4434" s="13" t="n">
        <f aca="false">MIN(G4434,D4434)</f>
        <v>0.7390278</v>
      </c>
      <c r="I4434" s="13" t="n">
        <f aca="false">IFERROR(MIN(F4434*Eingaben!$B$19,MAX(0,D4434-H4434)),0)</f>
        <v>0.1509722</v>
      </c>
      <c r="J4434" s="13" t="n">
        <f aca="false">IFERROR(MIN(Eingaben!$B$18,MAX(0,F4434-I4434)),0)</f>
        <v>1.5932278</v>
      </c>
      <c r="K4434" s="13" t="n">
        <f aca="false">H4434+I4434</f>
        <v>0.89</v>
      </c>
      <c r="L4434" s="13" t="n">
        <f aca="false">MAX(0,D4434-K4434)</f>
        <v>0</v>
      </c>
      <c r="M4434" s="13" t="n">
        <f aca="false">MAX(0,F4434-I4434-J4434)</f>
        <v>0</v>
      </c>
      <c r="N4434" s="13" t="n">
        <f aca="false">IF(Kalender!A42="",0,J4433-H4434)</f>
        <v>0.0150822</v>
      </c>
    </row>
    <row r="4435" customFormat="false" ht="16.4" hidden="false" customHeight="false" outlineLevel="0" collapsed="false">
      <c r="A4435" s="13" t="str">
        <f aca="false">""</f>
        <v/>
      </c>
      <c r="B4435" s="13" t="n">
        <f aca="false">39</f>
        <v>39</v>
      </c>
      <c r="C4435" s="13" t="n">
        <f aca="false">IF(Szenarien!$H$23="OK",(IFERROR(SUMIF(Nutzungsprofile!$B$6:$B$11,"Schulbetrieb",Nutzungsprofile!$G$6:$G$11)*Kalender!C43/SUM(Kalender!$C$5:$C$370),0)+IFERROR(SUMIF(Nutzungsprofile!$B$6:$B$11,"Halle",Nutzungsprofile!$G$6:$G$11)*Kalender!D43/SUM(Kalender!$D$5:$D$370),0)+IFERROR(SUMIF(Nutzungsprofile!$B$6:$B$11,"Individuell",Nutzungsprofile!$G$6:$G$11)*Kalender!E43/SUM(Kalender!$E$5:$E$370),0))*Szenarien!$E$23,0)</f>
        <v>2.04</v>
      </c>
      <c r="D4435" s="13" t="n">
        <f aca="false">IF(Szenarien!$H$23="OK",(IFERROR(SUMIF(Nutzungsprofile!$B$17:$B$22,"Schulbetrieb",Nutzungsprofile!$G$17:$G$22)*Kalender!C43/SUM(Kalender!$C$5:$C$370),0)+IFERROR(SUMIF(Nutzungsprofile!$B$17:$B$22,"Halle",Nutzungsprofile!$G$17:$G$22)*Kalender!D43/SUM(Kalender!$D$5:$D$370),0)+IFERROR(SUMIF(Nutzungsprofile!$B$17:$B$22,"Individuell",Nutzungsprofile!$G$17:$G$22)*Kalender!E43/SUM(Kalender!$E$5:$E$370),0))*Szenarien!$D$23,0)</f>
        <v>0.89</v>
      </c>
      <c r="E4435" s="13" t="n">
        <f aca="false">IFERROR(MIN(C4435,Eingaben!$B$17)*Eingaben!$B$16,0)</f>
        <v>1.938</v>
      </c>
      <c r="F4435" s="13" t="n">
        <f aca="false">IFERROR(E4435*Eingaben!$B$15,0)</f>
        <v>1.7442</v>
      </c>
      <c r="G4435" s="13" t="n">
        <f aca="false">IFERROR(IF(Kalender!A43="",0,J4434*(1-Eingaben!$B$20)),0)</f>
        <v>1.561363244</v>
      </c>
      <c r="H4435" s="13" t="n">
        <f aca="false">MIN(G4435,D4435)</f>
        <v>0.89</v>
      </c>
      <c r="I4435" s="13" t="n">
        <f aca="false">IFERROR(MIN(F4435*Eingaben!$B$19,MAX(0,D4435-H4435)),0)</f>
        <v>0</v>
      </c>
      <c r="J4435" s="13" t="n">
        <f aca="false">IFERROR(MIN(Eingaben!$B$18,MAX(0,F4435-I4435)),0)</f>
        <v>1.7442</v>
      </c>
      <c r="K4435" s="13" t="n">
        <f aca="false">H4435+I4435</f>
        <v>0.89</v>
      </c>
      <c r="L4435" s="13" t="n">
        <f aca="false">MAX(0,D4435-K4435)</f>
        <v>0</v>
      </c>
      <c r="M4435" s="13" t="n">
        <f aca="false">MAX(0,F4435-I4435-J4435)</f>
        <v>0</v>
      </c>
      <c r="N4435" s="13" t="n">
        <f aca="false">IF(Kalender!A43="",0,J4434-H4435)</f>
        <v>0.7032278</v>
      </c>
    </row>
    <row r="4436" customFormat="false" ht="16.4" hidden="false" customHeight="false" outlineLevel="0" collapsed="false">
      <c r="A4436" s="13" t="str">
        <f aca="false">""</f>
        <v/>
      </c>
      <c r="B4436" s="13" t="n">
        <f aca="false">40</f>
        <v>40</v>
      </c>
      <c r="C4436" s="13" t="n">
        <f aca="false">IF(Szenarien!$H$23="OK",(IFERROR(SUMIF(Nutzungsprofile!$B$6:$B$11,"Schulbetrieb",Nutzungsprofile!$G$6:$G$11)*Kalender!C44/SUM(Kalender!$C$5:$C$370),0)+IFERROR(SUMIF(Nutzungsprofile!$B$6:$B$11,"Halle",Nutzungsprofile!$G$6:$G$11)*Kalender!D44/SUM(Kalender!$D$5:$D$370),0)+IFERROR(SUMIF(Nutzungsprofile!$B$6:$B$11,"Individuell",Nutzungsprofile!$G$6:$G$11)*Kalender!E44/SUM(Kalender!$E$5:$E$370),0))*Szenarien!$E$23,0)</f>
        <v>2.94</v>
      </c>
      <c r="D4436" s="13" t="n">
        <f aca="false">IF(Szenarien!$H$23="OK",(IFERROR(SUMIF(Nutzungsprofile!$B$17:$B$22,"Schulbetrieb",Nutzungsprofile!$G$17:$G$22)*Kalender!C44/SUM(Kalender!$C$5:$C$370),0)+IFERROR(SUMIF(Nutzungsprofile!$B$17:$B$22,"Halle",Nutzungsprofile!$G$17:$G$22)*Kalender!D44/SUM(Kalender!$D$5:$D$370),0)+IFERROR(SUMIF(Nutzungsprofile!$B$17:$B$22,"Individuell",Nutzungsprofile!$G$17:$G$22)*Kalender!E44/SUM(Kalender!$E$5:$E$370),0))*Szenarien!$D$23,0)</f>
        <v>4.94</v>
      </c>
      <c r="E4436" s="13" t="n">
        <f aca="false">IFERROR(MIN(C4436,Eingaben!$B$17)*Eingaben!$B$16,0)</f>
        <v>2.793</v>
      </c>
      <c r="F4436" s="13" t="n">
        <f aca="false">IFERROR(E4436*Eingaben!$B$15,0)</f>
        <v>2.5137</v>
      </c>
      <c r="G4436" s="13" t="n">
        <f aca="false">IFERROR(IF(Kalender!A44="",0,J4435*(1-Eingaben!$B$20)),0)</f>
        <v>1.709316</v>
      </c>
      <c r="H4436" s="13" t="n">
        <f aca="false">MIN(G4436,D4436)</f>
        <v>1.709316</v>
      </c>
      <c r="I4436" s="13" t="n">
        <f aca="false">IFERROR(MIN(F4436*Eingaben!$B$19,MAX(0,D4436-H4436)),0)</f>
        <v>1.75959</v>
      </c>
      <c r="J4436" s="13" t="n">
        <f aca="false">IFERROR(MIN(Eingaben!$B$18,MAX(0,F4436-I4436)),0)</f>
        <v>0.75411</v>
      </c>
      <c r="K4436" s="13" t="n">
        <f aca="false">H4436+I4436</f>
        <v>3.468906</v>
      </c>
      <c r="L4436" s="13" t="n">
        <f aca="false">MAX(0,D4436-K4436)</f>
        <v>1.471094</v>
      </c>
      <c r="M4436" s="13" t="n">
        <f aca="false">MAX(0,F4436-I4436-J4436)</f>
        <v>0</v>
      </c>
      <c r="N4436" s="13" t="n">
        <f aca="false">IF(Kalender!A44="",0,J4435-H4436)</f>
        <v>0.0348840000000001</v>
      </c>
    </row>
    <row r="4437" customFormat="false" ht="16.4" hidden="false" customHeight="false" outlineLevel="0" collapsed="false">
      <c r="A4437" s="13" t="str">
        <f aca="false">""</f>
        <v/>
      </c>
      <c r="B4437" s="13" t="n">
        <f aca="false">41</f>
        <v>41</v>
      </c>
      <c r="C4437" s="13" t="n">
        <f aca="false">IF(Szenarien!$H$23="OK",(IFERROR(SUMIF(Nutzungsprofile!$B$6:$B$11,"Schulbetrieb",Nutzungsprofile!$G$6:$G$11)*Kalender!C45/SUM(Kalender!$C$5:$C$370),0)+IFERROR(SUMIF(Nutzungsprofile!$B$6:$B$11,"Halle",Nutzungsprofile!$G$6:$G$11)*Kalender!D45/SUM(Kalender!$D$5:$D$370),0)+IFERROR(SUMIF(Nutzungsprofile!$B$6:$B$11,"Individuell",Nutzungsprofile!$G$6:$G$11)*Kalender!E45/SUM(Kalender!$E$5:$E$370),0))*Szenarien!$E$23,0)</f>
        <v>2.94</v>
      </c>
      <c r="D4437" s="13" t="n">
        <f aca="false">IF(Szenarien!$H$23="OK",(IFERROR(SUMIF(Nutzungsprofile!$B$17:$B$22,"Schulbetrieb",Nutzungsprofile!$G$17:$G$22)*Kalender!C45/SUM(Kalender!$C$5:$C$370),0)+IFERROR(SUMIF(Nutzungsprofile!$B$17:$B$22,"Halle",Nutzungsprofile!$G$17:$G$22)*Kalender!D45/SUM(Kalender!$D$5:$D$370),0)+IFERROR(SUMIF(Nutzungsprofile!$B$17:$B$22,"Individuell",Nutzungsprofile!$G$17:$G$22)*Kalender!E45/SUM(Kalender!$E$5:$E$370),0))*Szenarien!$D$23,0)</f>
        <v>4.94</v>
      </c>
      <c r="E4437" s="13" t="n">
        <f aca="false">IFERROR(MIN(C4437,Eingaben!$B$17)*Eingaben!$B$16,0)</f>
        <v>2.793</v>
      </c>
      <c r="F4437" s="13" t="n">
        <f aca="false">IFERROR(E4437*Eingaben!$B$15,0)</f>
        <v>2.5137</v>
      </c>
      <c r="G4437" s="13" t="n">
        <f aca="false">IFERROR(IF(Kalender!A45="",0,J4436*(1-Eingaben!$B$20)),0)</f>
        <v>0.7390278</v>
      </c>
      <c r="H4437" s="13" t="n">
        <f aca="false">MIN(G4437,D4437)</f>
        <v>0.7390278</v>
      </c>
      <c r="I4437" s="13" t="n">
        <f aca="false">IFERROR(MIN(F4437*Eingaben!$B$19,MAX(0,D4437-H4437)),0)</f>
        <v>1.75959</v>
      </c>
      <c r="J4437" s="13" t="n">
        <f aca="false">IFERROR(MIN(Eingaben!$B$18,MAX(0,F4437-I4437)),0)</f>
        <v>0.75411</v>
      </c>
      <c r="K4437" s="13" t="n">
        <f aca="false">H4437+I4437</f>
        <v>2.4986178</v>
      </c>
      <c r="L4437" s="13" t="n">
        <f aca="false">MAX(0,D4437-K4437)</f>
        <v>2.4413822</v>
      </c>
      <c r="M4437" s="13" t="n">
        <f aca="false">MAX(0,F4437-I4437-J4437)</f>
        <v>0</v>
      </c>
      <c r="N4437" s="13" t="n">
        <f aca="false">IF(Kalender!A45="",0,J4436-H4437)</f>
        <v>0.0150822</v>
      </c>
    </row>
    <row r="4438" customFormat="false" ht="16.4" hidden="false" customHeight="false" outlineLevel="0" collapsed="false">
      <c r="A4438" s="13" t="str">
        <f aca="false">""</f>
        <v/>
      </c>
      <c r="B4438" s="13" t="n">
        <f aca="false">42</f>
        <v>42</v>
      </c>
      <c r="C4438" s="13" t="n">
        <f aca="false">IF(Szenarien!$H$23="OK",(IFERROR(SUMIF(Nutzungsprofile!$B$6:$B$11,"Schulbetrieb",Nutzungsprofile!$G$6:$G$11)*Kalender!C46/SUM(Kalender!$C$5:$C$370),0)+IFERROR(SUMIF(Nutzungsprofile!$B$6:$B$11,"Halle",Nutzungsprofile!$G$6:$G$11)*Kalender!D46/SUM(Kalender!$D$5:$D$370),0)+IFERROR(SUMIF(Nutzungsprofile!$B$6:$B$11,"Individuell",Nutzungsprofile!$G$6:$G$11)*Kalender!E46/SUM(Kalender!$E$5:$E$370),0))*Szenarien!$E$23,0)</f>
        <v>2.94</v>
      </c>
      <c r="D4438" s="13" t="n">
        <f aca="false">IF(Szenarien!$H$23="OK",(IFERROR(SUMIF(Nutzungsprofile!$B$17:$B$22,"Schulbetrieb",Nutzungsprofile!$G$17:$G$22)*Kalender!C46/SUM(Kalender!$C$5:$C$370),0)+IFERROR(SUMIF(Nutzungsprofile!$B$17:$B$22,"Halle",Nutzungsprofile!$G$17:$G$22)*Kalender!D46/SUM(Kalender!$D$5:$D$370),0)+IFERROR(SUMIF(Nutzungsprofile!$B$17:$B$22,"Individuell",Nutzungsprofile!$G$17:$G$22)*Kalender!E46/SUM(Kalender!$E$5:$E$370),0))*Szenarien!$D$23,0)</f>
        <v>4.94</v>
      </c>
      <c r="E4438" s="13" t="n">
        <f aca="false">IFERROR(MIN(C4438,Eingaben!$B$17)*Eingaben!$B$16,0)</f>
        <v>2.793</v>
      </c>
      <c r="F4438" s="13" t="n">
        <f aca="false">IFERROR(E4438*Eingaben!$B$15,0)</f>
        <v>2.5137</v>
      </c>
      <c r="G4438" s="13" t="n">
        <f aca="false">IFERROR(IF(Kalender!A46="",0,J4437*(1-Eingaben!$B$20)),0)</f>
        <v>0.7390278</v>
      </c>
      <c r="H4438" s="13" t="n">
        <f aca="false">MIN(G4438,D4438)</f>
        <v>0.7390278</v>
      </c>
      <c r="I4438" s="13" t="n">
        <f aca="false">IFERROR(MIN(F4438*Eingaben!$B$19,MAX(0,D4438-H4438)),0)</f>
        <v>1.75959</v>
      </c>
      <c r="J4438" s="13" t="n">
        <f aca="false">IFERROR(MIN(Eingaben!$B$18,MAX(0,F4438-I4438)),0)</f>
        <v>0.75411</v>
      </c>
      <c r="K4438" s="13" t="n">
        <f aca="false">H4438+I4438</f>
        <v>2.4986178</v>
      </c>
      <c r="L4438" s="13" t="n">
        <f aca="false">MAX(0,D4438-K4438)</f>
        <v>2.4413822</v>
      </c>
      <c r="M4438" s="13" t="n">
        <f aca="false">MAX(0,F4438-I4438-J4438)</f>
        <v>0</v>
      </c>
      <c r="N4438" s="13" t="n">
        <f aca="false">IF(Kalender!A46="",0,J4437-H4438)</f>
        <v>0.0150822</v>
      </c>
    </row>
    <row r="4439" customFormat="false" ht="16.4" hidden="false" customHeight="false" outlineLevel="0" collapsed="false">
      <c r="A4439" s="13" t="str">
        <f aca="false">""</f>
        <v/>
      </c>
      <c r="B4439" s="13" t="n">
        <f aca="false">43</f>
        <v>43</v>
      </c>
      <c r="C4439" s="13" t="n">
        <f aca="false">IF(Szenarien!$H$23="OK",(IFERROR(SUMIF(Nutzungsprofile!$B$6:$B$11,"Schulbetrieb",Nutzungsprofile!$G$6:$G$11)*Kalender!C47/SUM(Kalender!$C$5:$C$370),0)+IFERROR(SUMIF(Nutzungsprofile!$B$6:$B$11,"Halle",Nutzungsprofile!$G$6:$G$11)*Kalender!D47/SUM(Kalender!$D$5:$D$370),0)+IFERROR(SUMIF(Nutzungsprofile!$B$6:$B$11,"Individuell",Nutzungsprofile!$G$6:$G$11)*Kalender!E47/SUM(Kalender!$E$5:$E$370),0))*Szenarien!$E$23,0)</f>
        <v>2.94</v>
      </c>
      <c r="D4439" s="13" t="n">
        <f aca="false">IF(Szenarien!$H$23="OK",(IFERROR(SUMIF(Nutzungsprofile!$B$17:$B$22,"Schulbetrieb",Nutzungsprofile!$G$17:$G$22)*Kalender!C47/SUM(Kalender!$C$5:$C$370),0)+IFERROR(SUMIF(Nutzungsprofile!$B$17:$B$22,"Halle",Nutzungsprofile!$G$17:$G$22)*Kalender!D47/SUM(Kalender!$D$5:$D$370),0)+IFERROR(SUMIF(Nutzungsprofile!$B$17:$B$22,"Individuell",Nutzungsprofile!$G$17:$G$22)*Kalender!E47/SUM(Kalender!$E$5:$E$370),0))*Szenarien!$D$23,0)</f>
        <v>4.94</v>
      </c>
      <c r="E4439" s="13" t="n">
        <f aca="false">IFERROR(MIN(C4439,Eingaben!$B$17)*Eingaben!$B$16,0)</f>
        <v>2.793</v>
      </c>
      <c r="F4439" s="13" t="n">
        <f aca="false">IFERROR(E4439*Eingaben!$B$15,0)</f>
        <v>2.5137</v>
      </c>
      <c r="G4439" s="13" t="n">
        <f aca="false">IFERROR(IF(Kalender!A47="",0,J4438*(1-Eingaben!$B$20)),0)</f>
        <v>0.7390278</v>
      </c>
      <c r="H4439" s="13" t="n">
        <f aca="false">MIN(G4439,D4439)</f>
        <v>0.7390278</v>
      </c>
      <c r="I4439" s="13" t="n">
        <f aca="false">IFERROR(MIN(F4439*Eingaben!$B$19,MAX(0,D4439-H4439)),0)</f>
        <v>1.75959</v>
      </c>
      <c r="J4439" s="13" t="n">
        <f aca="false">IFERROR(MIN(Eingaben!$B$18,MAX(0,F4439-I4439)),0)</f>
        <v>0.75411</v>
      </c>
      <c r="K4439" s="13" t="n">
        <f aca="false">H4439+I4439</f>
        <v>2.4986178</v>
      </c>
      <c r="L4439" s="13" t="n">
        <f aca="false">MAX(0,D4439-K4439)</f>
        <v>2.4413822</v>
      </c>
      <c r="M4439" s="13" t="n">
        <f aca="false">MAX(0,F4439-I4439-J4439)</f>
        <v>0</v>
      </c>
      <c r="N4439" s="13" t="n">
        <f aca="false">IF(Kalender!A47="",0,J4438-H4439)</f>
        <v>0.0150822</v>
      </c>
    </row>
    <row r="4440" customFormat="false" ht="16.4" hidden="false" customHeight="false" outlineLevel="0" collapsed="false">
      <c r="A4440" s="13" t="str">
        <f aca="false">""</f>
        <v/>
      </c>
      <c r="B4440" s="13" t="n">
        <f aca="false">44</f>
        <v>44</v>
      </c>
      <c r="C4440" s="13" t="n">
        <f aca="false">IF(Szenarien!$H$23="OK",(IFERROR(SUMIF(Nutzungsprofile!$B$6:$B$11,"Schulbetrieb",Nutzungsprofile!$G$6:$G$11)*Kalender!C48/SUM(Kalender!$C$5:$C$370),0)+IFERROR(SUMIF(Nutzungsprofile!$B$6:$B$11,"Halle",Nutzungsprofile!$G$6:$G$11)*Kalender!D48/SUM(Kalender!$D$5:$D$370),0)+IFERROR(SUMIF(Nutzungsprofile!$B$6:$B$11,"Individuell",Nutzungsprofile!$G$6:$G$11)*Kalender!E48/SUM(Kalender!$E$5:$E$370),0))*Szenarien!$E$23,0)</f>
        <v>2.94</v>
      </c>
      <c r="D4440" s="13" t="n">
        <f aca="false">IF(Szenarien!$H$23="OK",(IFERROR(SUMIF(Nutzungsprofile!$B$17:$B$22,"Schulbetrieb",Nutzungsprofile!$G$17:$G$22)*Kalender!C48/SUM(Kalender!$C$5:$C$370),0)+IFERROR(SUMIF(Nutzungsprofile!$B$17:$B$22,"Halle",Nutzungsprofile!$G$17:$G$22)*Kalender!D48/SUM(Kalender!$D$5:$D$370),0)+IFERROR(SUMIF(Nutzungsprofile!$B$17:$B$22,"Individuell",Nutzungsprofile!$G$17:$G$22)*Kalender!E48/SUM(Kalender!$E$5:$E$370),0))*Szenarien!$D$23,0)</f>
        <v>4.94</v>
      </c>
      <c r="E4440" s="13" t="n">
        <f aca="false">IFERROR(MIN(C4440,Eingaben!$B$17)*Eingaben!$B$16,0)</f>
        <v>2.793</v>
      </c>
      <c r="F4440" s="13" t="n">
        <f aca="false">IFERROR(E4440*Eingaben!$B$15,0)</f>
        <v>2.5137</v>
      </c>
      <c r="G4440" s="13" t="n">
        <f aca="false">IFERROR(IF(Kalender!A48="",0,J4439*(1-Eingaben!$B$20)),0)</f>
        <v>0.7390278</v>
      </c>
      <c r="H4440" s="13" t="n">
        <f aca="false">MIN(G4440,D4440)</f>
        <v>0.7390278</v>
      </c>
      <c r="I4440" s="13" t="n">
        <f aca="false">IFERROR(MIN(F4440*Eingaben!$B$19,MAX(0,D4440-H4440)),0)</f>
        <v>1.75959</v>
      </c>
      <c r="J4440" s="13" t="n">
        <f aca="false">IFERROR(MIN(Eingaben!$B$18,MAX(0,F4440-I4440)),0)</f>
        <v>0.75411</v>
      </c>
      <c r="K4440" s="13" t="n">
        <f aca="false">H4440+I4440</f>
        <v>2.4986178</v>
      </c>
      <c r="L4440" s="13" t="n">
        <f aca="false">MAX(0,D4440-K4440)</f>
        <v>2.4413822</v>
      </c>
      <c r="M4440" s="13" t="n">
        <f aca="false">MAX(0,F4440-I4440-J4440)</f>
        <v>0</v>
      </c>
      <c r="N4440" s="13" t="n">
        <f aca="false">IF(Kalender!A48="",0,J4439-H4440)</f>
        <v>0.0150822</v>
      </c>
    </row>
    <row r="4441" customFormat="false" ht="16.4" hidden="false" customHeight="false" outlineLevel="0" collapsed="false">
      <c r="A4441" s="13" t="str">
        <f aca="false">""</f>
        <v/>
      </c>
      <c r="B4441" s="13" t="n">
        <f aca="false">45</f>
        <v>45</v>
      </c>
      <c r="C4441" s="13" t="n">
        <f aca="false">IF(Szenarien!$H$23="OK",(IFERROR(SUMIF(Nutzungsprofile!$B$6:$B$11,"Schulbetrieb",Nutzungsprofile!$G$6:$G$11)*Kalender!C49/SUM(Kalender!$C$5:$C$370),0)+IFERROR(SUMIF(Nutzungsprofile!$B$6:$B$11,"Halle",Nutzungsprofile!$G$6:$G$11)*Kalender!D49/SUM(Kalender!$D$5:$D$370),0)+IFERROR(SUMIF(Nutzungsprofile!$B$6:$B$11,"Individuell",Nutzungsprofile!$G$6:$G$11)*Kalender!E49/SUM(Kalender!$E$5:$E$370),0))*Szenarien!$E$23,0)</f>
        <v>2.04</v>
      </c>
      <c r="D4441" s="13" t="n">
        <f aca="false">IF(Szenarien!$H$23="OK",(IFERROR(SUMIF(Nutzungsprofile!$B$17:$B$22,"Schulbetrieb",Nutzungsprofile!$G$17:$G$22)*Kalender!C49/SUM(Kalender!$C$5:$C$370),0)+IFERROR(SUMIF(Nutzungsprofile!$B$17:$B$22,"Halle",Nutzungsprofile!$G$17:$G$22)*Kalender!D49/SUM(Kalender!$D$5:$D$370),0)+IFERROR(SUMIF(Nutzungsprofile!$B$17:$B$22,"Individuell",Nutzungsprofile!$G$17:$G$22)*Kalender!E49/SUM(Kalender!$E$5:$E$370),0))*Szenarien!$D$23,0)</f>
        <v>0.89</v>
      </c>
      <c r="E4441" s="13" t="n">
        <f aca="false">IFERROR(MIN(C4441,Eingaben!$B$17)*Eingaben!$B$16,0)</f>
        <v>1.938</v>
      </c>
      <c r="F4441" s="13" t="n">
        <f aca="false">IFERROR(E4441*Eingaben!$B$15,0)</f>
        <v>1.7442</v>
      </c>
      <c r="G4441" s="13" t="n">
        <f aca="false">IFERROR(IF(Kalender!A49="",0,J4440*(1-Eingaben!$B$20)),0)</f>
        <v>0.7390278</v>
      </c>
      <c r="H4441" s="13" t="n">
        <f aca="false">MIN(G4441,D4441)</f>
        <v>0.7390278</v>
      </c>
      <c r="I4441" s="13" t="n">
        <f aca="false">IFERROR(MIN(F4441*Eingaben!$B$19,MAX(0,D4441-H4441)),0)</f>
        <v>0.1509722</v>
      </c>
      <c r="J4441" s="13" t="n">
        <f aca="false">IFERROR(MIN(Eingaben!$B$18,MAX(0,F4441-I4441)),0)</f>
        <v>1.5932278</v>
      </c>
      <c r="K4441" s="13" t="n">
        <f aca="false">H4441+I4441</f>
        <v>0.89</v>
      </c>
      <c r="L4441" s="13" t="n">
        <f aca="false">MAX(0,D4441-K4441)</f>
        <v>0</v>
      </c>
      <c r="M4441" s="13" t="n">
        <f aca="false">MAX(0,F4441-I4441-J4441)</f>
        <v>0</v>
      </c>
      <c r="N4441" s="13" t="n">
        <f aca="false">IF(Kalender!A49="",0,J4440-H4441)</f>
        <v>0.0150822</v>
      </c>
    </row>
    <row r="4442" customFormat="false" ht="16.4" hidden="false" customHeight="false" outlineLevel="0" collapsed="false">
      <c r="A4442" s="13" t="str">
        <f aca="false">""</f>
        <v/>
      </c>
      <c r="B4442" s="13" t="n">
        <f aca="false">46</f>
        <v>46</v>
      </c>
      <c r="C4442" s="13" t="n">
        <f aca="false">IF(Szenarien!$H$23="OK",(IFERROR(SUMIF(Nutzungsprofile!$B$6:$B$11,"Schulbetrieb",Nutzungsprofile!$G$6:$G$11)*Kalender!C50/SUM(Kalender!$C$5:$C$370),0)+IFERROR(SUMIF(Nutzungsprofile!$B$6:$B$11,"Halle",Nutzungsprofile!$G$6:$G$11)*Kalender!D50/SUM(Kalender!$D$5:$D$370),0)+IFERROR(SUMIF(Nutzungsprofile!$B$6:$B$11,"Individuell",Nutzungsprofile!$G$6:$G$11)*Kalender!E50/SUM(Kalender!$E$5:$E$370),0))*Szenarien!$E$23,0)</f>
        <v>2.04</v>
      </c>
      <c r="D4442" s="13" t="n">
        <f aca="false">IF(Szenarien!$H$23="OK",(IFERROR(SUMIF(Nutzungsprofile!$B$17:$B$22,"Schulbetrieb",Nutzungsprofile!$G$17:$G$22)*Kalender!C50/SUM(Kalender!$C$5:$C$370),0)+IFERROR(SUMIF(Nutzungsprofile!$B$17:$B$22,"Halle",Nutzungsprofile!$G$17:$G$22)*Kalender!D50/SUM(Kalender!$D$5:$D$370),0)+IFERROR(SUMIF(Nutzungsprofile!$B$17:$B$22,"Individuell",Nutzungsprofile!$G$17:$G$22)*Kalender!E50/SUM(Kalender!$E$5:$E$370),0))*Szenarien!$D$23,0)</f>
        <v>0.89</v>
      </c>
      <c r="E4442" s="13" t="n">
        <f aca="false">IFERROR(MIN(C4442,Eingaben!$B$17)*Eingaben!$B$16,0)</f>
        <v>1.938</v>
      </c>
      <c r="F4442" s="13" t="n">
        <f aca="false">IFERROR(E4442*Eingaben!$B$15,0)</f>
        <v>1.7442</v>
      </c>
      <c r="G4442" s="13" t="n">
        <f aca="false">IFERROR(IF(Kalender!A50="",0,J4441*(1-Eingaben!$B$20)),0)</f>
        <v>1.561363244</v>
      </c>
      <c r="H4442" s="13" t="n">
        <f aca="false">MIN(G4442,D4442)</f>
        <v>0.89</v>
      </c>
      <c r="I4442" s="13" t="n">
        <f aca="false">IFERROR(MIN(F4442*Eingaben!$B$19,MAX(0,D4442-H4442)),0)</f>
        <v>0</v>
      </c>
      <c r="J4442" s="13" t="n">
        <f aca="false">IFERROR(MIN(Eingaben!$B$18,MAX(0,F4442-I4442)),0)</f>
        <v>1.7442</v>
      </c>
      <c r="K4442" s="13" t="n">
        <f aca="false">H4442+I4442</f>
        <v>0.89</v>
      </c>
      <c r="L4442" s="13" t="n">
        <f aca="false">MAX(0,D4442-K4442)</f>
        <v>0</v>
      </c>
      <c r="M4442" s="13" t="n">
        <f aca="false">MAX(0,F4442-I4442-J4442)</f>
        <v>0</v>
      </c>
      <c r="N4442" s="13" t="n">
        <f aca="false">IF(Kalender!A50="",0,J4441-H4442)</f>
        <v>0.7032278</v>
      </c>
    </row>
    <row r="4443" customFormat="false" ht="16.4" hidden="false" customHeight="false" outlineLevel="0" collapsed="false">
      <c r="A4443" s="13" t="str">
        <f aca="false">""</f>
        <v/>
      </c>
      <c r="B4443" s="13" t="n">
        <f aca="false">47</f>
        <v>47</v>
      </c>
      <c r="C4443" s="13" t="n">
        <f aca="false">IF(Szenarien!$H$23="OK",(IFERROR(SUMIF(Nutzungsprofile!$B$6:$B$11,"Schulbetrieb",Nutzungsprofile!$G$6:$G$11)*Kalender!C51/SUM(Kalender!$C$5:$C$370),0)+IFERROR(SUMIF(Nutzungsprofile!$B$6:$B$11,"Halle",Nutzungsprofile!$G$6:$G$11)*Kalender!D51/SUM(Kalender!$D$5:$D$370),0)+IFERROR(SUMIF(Nutzungsprofile!$B$6:$B$11,"Individuell",Nutzungsprofile!$G$6:$G$11)*Kalender!E51/SUM(Kalender!$E$5:$E$370),0))*Szenarien!$E$23,0)</f>
        <v>2.94</v>
      </c>
      <c r="D4443" s="13" t="n">
        <f aca="false">IF(Szenarien!$H$23="OK",(IFERROR(SUMIF(Nutzungsprofile!$B$17:$B$22,"Schulbetrieb",Nutzungsprofile!$G$17:$G$22)*Kalender!C51/SUM(Kalender!$C$5:$C$370),0)+IFERROR(SUMIF(Nutzungsprofile!$B$17:$B$22,"Halle",Nutzungsprofile!$G$17:$G$22)*Kalender!D51/SUM(Kalender!$D$5:$D$370),0)+IFERROR(SUMIF(Nutzungsprofile!$B$17:$B$22,"Individuell",Nutzungsprofile!$G$17:$G$22)*Kalender!E51/SUM(Kalender!$E$5:$E$370),0))*Szenarien!$D$23,0)</f>
        <v>4.94</v>
      </c>
      <c r="E4443" s="13" t="n">
        <f aca="false">IFERROR(MIN(C4443,Eingaben!$B$17)*Eingaben!$B$16,0)</f>
        <v>2.793</v>
      </c>
      <c r="F4443" s="13" t="n">
        <f aca="false">IFERROR(E4443*Eingaben!$B$15,0)</f>
        <v>2.5137</v>
      </c>
      <c r="G4443" s="13" t="n">
        <f aca="false">IFERROR(IF(Kalender!A51="",0,J4442*(1-Eingaben!$B$20)),0)</f>
        <v>1.709316</v>
      </c>
      <c r="H4443" s="13" t="n">
        <f aca="false">MIN(G4443,D4443)</f>
        <v>1.709316</v>
      </c>
      <c r="I4443" s="13" t="n">
        <f aca="false">IFERROR(MIN(F4443*Eingaben!$B$19,MAX(0,D4443-H4443)),0)</f>
        <v>1.75959</v>
      </c>
      <c r="J4443" s="13" t="n">
        <f aca="false">IFERROR(MIN(Eingaben!$B$18,MAX(0,F4443-I4443)),0)</f>
        <v>0.75411</v>
      </c>
      <c r="K4443" s="13" t="n">
        <f aca="false">H4443+I4443</f>
        <v>3.468906</v>
      </c>
      <c r="L4443" s="13" t="n">
        <f aca="false">MAX(0,D4443-K4443)</f>
        <v>1.471094</v>
      </c>
      <c r="M4443" s="13" t="n">
        <f aca="false">MAX(0,F4443-I4443-J4443)</f>
        <v>0</v>
      </c>
      <c r="N4443" s="13" t="n">
        <f aca="false">IF(Kalender!A51="",0,J4442-H4443)</f>
        <v>0.0348840000000001</v>
      </c>
    </row>
    <row r="4444" customFormat="false" ht="16.4" hidden="false" customHeight="false" outlineLevel="0" collapsed="false">
      <c r="A4444" s="13" t="str">
        <f aca="false">""</f>
        <v/>
      </c>
      <c r="B4444" s="13" t="n">
        <f aca="false">48</f>
        <v>48</v>
      </c>
      <c r="C4444" s="13" t="n">
        <f aca="false">IF(Szenarien!$H$23="OK",(IFERROR(SUMIF(Nutzungsprofile!$B$6:$B$11,"Schulbetrieb",Nutzungsprofile!$G$6:$G$11)*Kalender!C52/SUM(Kalender!$C$5:$C$370),0)+IFERROR(SUMIF(Nutzungsprofile!$B$6:$B$11,"Halle",Nutzungsprofile!$G$6:$G$11)*Kalender!D52/SUM(Kalender!$D$5:$D$370),0)+IFERROR(SUMIF(Nutzungsprofile!$B$6:$B$11,"Individuell",Nutzungsprofile!$G$6:$G$11)*Kalender!E52/SUM(Kalender!$E$5:$E$370),0))*Szenarien!$E$23,0)</f>
        <v>2.94</v>
      </c>
      <c r="D4444" s="13" t="n">
        <f aca="false">IF(Szenarien!$H$23="OK",(IFERROR(SUMIF(Nutzungsprofile!$B$17:$B$22,"Schulbetrieb",Nutzungsprofile!$G$17:$G$22)*Kalender!C52/SUM(Kalender!$C$5:$C$370),0)+IFERROR(SUMIF(Nutzungsprofile!$B$17:$B$22,"Halle",Nutzungsprofile!$G$17:$G$22)*Kalender!D52/SUM(Kalender!$D$5:$D$370),0)+IFERROR(SUMIF(Nutzungsprofile!$B$17:$B$22,"Individuell",Nutzungsprofile!$G$17:$G$22)*Kalender!E52/SUM(Kalender!$E$5:$E$370),0))*Szenarien!$D$23,0)</f>
        <v>4.94</v>
      </c>
      <c r="E4444" s="13" t="n">
        <f aca="false">IFERROR(MIN(C4444,Eingaben!$B$17)*Eingaben!$B$16,0)</f>
        <v>2.793</v>
      </c>
      <c r="F4444" s="13" t="n">
        <f aca="false">IFERROR(E4444*Eingaben!$B$15,0)</f>
        <v>2.5137</v>
      </c>
      <c r="G4444" s="13" t="n">
        <f aca="false">IFERROR(IF(Kalender!A52="",0,J4443*(1-Eingaben!$B$20)),0)</f>
        <v>0.7390278</v>
      </c>
      <c r="H4444" s="13" t="n">
        <f aca="false">MIN(G4444,D4444)</f>
        <v>0.7390278</v>
      </c>
      <c r="I4444" s="13" t="n">
        <f aca="false">IFERROR(MIN(F4444*Eingaben!$B$19,MAX(0,D4444-H4444)),0)</f>
        <v>1.75959</v>
      </c>
      <c r="J4444" s="13" t="n">
        <f aca="false">IFERROR(MIN(Eingaben!$B$18,MAX(0,F4444-I4444)),0)</f>
        <v>0.75411</v>
      </c>
      <c r="K4444" s="13" t="n">
        <f aca="false">H4444+I4444</f>
        <v>2.4986178</v>
      </c>
      <c r="L4444" s="13" t="n">
        <f aca="false">MAX(0,D4444-K4444)</f>
        <v>2.4413822</v>
      </c>
      <c r="M4444" s="13" t="n">
        <f aca="false">MAX(0,F4444-I4444-J4444)</f>
        <v>0</v>
      </c>
      <c r="N4444" s="13" t="n">
        <f aca="false">IF(Kalender!A52="",0,J4443-H4444)</f>
        <v>0.0150822</v>
      </c>
    </row>
    <row r="4445" customFormat="false" ht="16.4" hidden="false" customHeight="false" outlineLevel="0" collapsed="false">
      <c r="A4445" s="13" t="str">
        <f aca="false">""</f>
        <v/>
      </c>
      <c r="B4445" s="13" t="n">
        <f aca="false">49</f>
        <v>49</v>
      </c>
      <c r="C4445" s="13" t="n">
        <f aca="false">IF(Szenarien!$H$23="OK",(IFERROR(SUMIF(Nutzungsprofile!$B$6:$B$11,"Schulbetrieb",Nutzungsprofile!$G$6:$G$11)*Kalender!C53/SUM(Kalender!$C$5:$C$370),0)+IFERROR(SUMIF(Nutzungsprofile!$B$6:$B$11,"Halle",Nutzungsprofile!$G$6:$G$11)*Kalender!D53/SUM(Kalender!$D$5:$D$370),0)+IFERROR(SUMIF(Nutzungsprofile!$B$6:$B$11,"Individuell",Nutzungsprofile!$G$6:$G$11)*Kalender!E53/SUM(Kalender!$E$5:$E$370),0))*Szenarien!$E$23,0)</f>
        <v>2.94</v>
      </c>
      <c r="D4445" s="13" t="n">
        <f aca="false">IF(Szenarien!$H$23="OK",(IFERROR(SUMIF(Nutzungsprofile!$B$17:$B$22,"Schulbetrieb",Nutzungsprofile!$G$17:$G$22)*Kalender!C53/SUM(Kalender!$C$5:$C$370),0)+IFERROR(SUMIF(Nutzungsprofile!$B$17:$B$22,"Halle",Nutzungsprofile!$G$17:$G$22)*Kalender!D53/SUM(Kalender!$D$5:$D$370),0)+IFERROR(SUMIF(Nutzungsprofile!$B$17:$B$22,"Individuell",Nutzungsprofile!$G$17:$G$22)*Kalender!E53/SUM(Kalender!$E$5:$E$370),0))*Szenarien!$D$23,0)</f>
        <v>4.94</v>
      </c>
      <c r="E4445" s="13" t="n">
        <f aca="false">IFERROR(MIN(C4445,Eingaben!$B$17)*Eingaben!$B$16,0)</f>
        <v>2.793</v>
      </c>
      <c r="F4445" s="13" t="n">
        <f aca="false">IFERROR(E4445*Eingaben!$B$15,0)</f>
        <v>2.5137</v>
      </c>
      <c r="G4445" s="13" t="n">
        <f aca="false">IFERROR(IF(Kalender!A53="",0,J4444*(1-Eingaben!$B$20)),0)</f>
        <v>0.7390278</v>
      </c>
      <c r="H4445" s="13" t="n">
        <f aca="false">MIN(G4445,D4445)</f>
        <v>0.7390278</v>
      </c>
      <c r="I4445" s="13" t="n">
        <f aca="false">IFERROR(MIN(F4445*Eingaben!$B$19,MAX(0,D4445-H4445)),0)</f>
        <v>1.75959</v>
      </c>
      <c r="J4445" s="13" t="n">
        <f aca="false">IFERROR(MIN(Eingaben!$B$18,MAX(0,F4445-I4445)),0)</f>
        <v>0.75411</v>
      </c>
      <c r="K4445" s="13" t="n">
        <f aca="false">H4445+I4445</f>
        <v>2.4986178</v>
      </c>
      <c r="L4445" s="13" t="n">
        <f aca="false">MAX(0,D4445-K4445)</f>
        <v>2.4413822</v>
      </c>
      <c r="M4445" s="13" t="n">
        <f aca="false">MAX(0,F4445-I4445-J4445)</f>
        <v>0</v>
      </c>
      <c r="N4445" s="13" t="n">
        <f aca="false">IF(Kalender!A53="",0,J4444-H4445)</f>
        <v>0.0150822</v>
      </c>
    </row>
    <row r="4446" customFormat="false" ht="16.4" hidden="false" customHeight="false" outlineLevel="0" collapsed="false">
      <c r="A4446" s="13" t="str">
        <f aca="false">""</f>
        <v/>
      </c>
      <c r="B4446" s="13" t="n">
        <f aca="false">50</f>
        <v>50</v>
      </c>
      <c r="C4446" s="13" t="n">
        <f aca="false">IF(Szenarien!$H$23="OK",(IFERROR(SUMIF(Nutzungsprofile!$B$6:$B$11,"Schulbetrieb",Nutzungsprofile!$G$6:$G$11)*Kalender!C54/SUM(Kalender!$C$5:$C$370),0)+IFERROR(SUMIF(Nutzungsprofile!$B$6:$B$11,"Halle",Nutzungsprofile!$G$6:$G$11)*Kalender!D54/SUM(Kalender!$D$5:$D$370),0)+IFERROR(SUMIF(Nutzungsprofile!$B$6:$B$11,"Individuell",Nutzungsprofile!$G$6:$G$11)*Kalender!E54/SUM(Kalender!$E$5:$E$370),0))*Szenarien!$E$23,0)</f>
        <v>2.94</v>
      </c>
      <c r="D4446" s="13" t="n">
        <f aca="false">IF(Szenarien!$H$23="OK",(IFERROR(SUMIF(Nutzungsprofile!$B$17:$B$22,"Schulbetrieb",Nutzungsprofile!$G$17:$G$22)*Kalender!C54/SUM(Kalender!$C$5:$C$370),0)+IFERROR(SUMIF(Nutzungsprofile!$B$17:$B$22,"Halle",Nutzungsprofile!$G$17:$G$22)*Kalender!D54/SUM(Kalender!$D$5:$D$370),0)+IFERROR(SUMIF(Nutzungsprofile!$B$17:$B$22,"Individuell",Nutzungsprofile!$G$17:$G$22)*Kalender!E54/SUM(Kalender!$E$5:$E$370),0))*Szenarien!$D$23,0)</f>
        <v>4.94</v>
      </c>
      <c r="E4446" s="13" t="n">
        <f aca="false">IFERROR(MIN(C4446,Eingaben!$B$17)*Eingaben!$B$16,0)</f>
        <v>2.793</v>
      </c>
      <c r="F4446" s="13" t="n">
        <f aca="false">IFERROR(E4446*Eingaben!$B$15,0)</f>
        <v>2.5137</v>
      </c>
      <c r="G4446" s="13" t="n">
        <f aca="false">IFERROR(IF(Kalender!A54="",0,J4445*(1-Eingaben!$B$20)),0)</f>
        <v>0.7390278</v>
      </c>
      <c r="H4446" s="13" t="n">
        <f aca="false">MIN(G4446,D4446)</f>
        <v>0.7390278</v>
      </c>
      <c r="I4446" s="13" t="n">
        <f aca="false">IFERROR(MIN(F4446*Eingaben!$B$19,MAX(0,D4446-H4446)),0)</f>
        <v>1.75959</v>
      </c>
      <c r="J4446" s="13" t="n">
        <f aca="false">IFERROR(MIN(Eingaben!$B$18,MAX(0,F4446-I4446)),0)</f>
        <v>0.75411</v>
      </c>
      <c r="K4446" s="13" t="n">
        <f aca="false">H4446+I4446</f>
        <v>2.4986178</v>
      </c>
      <c r="L4446" s="13" t="n">
        <f aca="false">MAX(0,D4446-K4446)</f>
        <v>2.4413822</v>
      </c>
      <c r="M4446" s="13" t="n">
        <f aca="false">MAX(0,F4446-I4446-J4446)</f>
        <v>0</v>
      </c>
      <c r="N4446" s="13" t="n">
        <f aca="false">IF(Kalender!A54="",0,J4445-H4446)</f>
        <v>0.0150822</v>
      </c>
    </row>
    <row r="4447" customFormat="false" ht="16.4" hidden="false" customHeight="false" outlineLevel="0" collapsed="false">
      <c r="A4447" s="13" t="str">
        <f aca="false">""</f>
        <v/>
      </c>
      <c r="B4447" s="13" t="n">
        <f aca="false">51</f>
        <v>51</v>
      </c>
      <c r="C4447" s="13" t="n">
        <f aca="false">IF(Szenarien!$H$23="OK",(IFERROR(SUMIF(Nutzungsprofile!$B$6:$B$11,"Schulbetrieb",Nutzungsprofile!$G$6:$G$11)*Kalender!C55/SUM(Kalender!$C$5:$C$370),0)+IFERROR(SUMIF(Nutzungsprofile!$B$6:$B$11,"Halle",Nutzungsprofile!$G$6:$G$11)*Kalender!D55/SUM(Kalender!$D$5:$D$370),0)+IFERROR(SUMIF(Nutzungsprofile!$B$6:$B$11,"Individuell",Nutzungsprofile!$G$6:$G$11)*Kalender!E55/SUM(Kalender!$E$5:$E$370),0))*Szenarien!$E$23,0)</f>
        <v>2.94</v>
      </c>
      <c r="D4447" s="13" t="n">
        <f aca="false">IF(Szenarien!$H$23="OK",(IFERROR(SUMIF(Nutzungsprofile!$B$17:$B$22,"Schulbetrieb",Nutzungsprofile!$G$17:$G$22)*Kalender!C55/SUM(Kalender!$C$5:$C$370),0)+IFERROR(SUMIF(Nutzungsprofile!$B$17:$B$22,"Halle",Nutzungsprofile!$G$17:$G$22)*Kalender!D55/SUM(Kalender!$D$5:$D$370),0)+IFERROR(SUMIF(Nutzungsprofile!$B$17:$B$22,"Individuell",Nutzungsprofile!$G$17:$G$22)*Kalender!E55/SUM(Kalender!$E$5:$E$370),0))*Szenarien!$D$23,0)</f>
        <v>4.94</v>
      </c>
      <c r="E4447" s="13" t="n">
        <f aca="false">IFERROR(MIN(C4447,Eingaben!$B$17)*Eingaben!$B$16,0)</f>
        <v>2.793</v>
      </c>
      <c r="F4447" s="13" t="n">
        <f aca="false">IFERROR(E4447*Eingaben!$B$15,0)</f>
        <v>2.5137</v>
      </c>
      <c r="G4447" s="13" t="n">
        <f aca="false">IFERROR(IF(Kalender!A55="",0,J4446*(1-Eingaben!$B$20)),0)</f>
        <v>0.7390278</v>
      </c>
      <c r="H4447" s="13" t="n">
        <f aca="false">MIN(G4447,D4447)</f>
        <v>0.7390278</v>
      </c>
      <c r="I4447" s="13" t="n">
        <f aca="false">IFERROR(MIN(F4447*Eingaben!$B$19,MAX(0,D4447-H4447)),0)</f>
        <v>1.75959</v>
      </c>
      <c r="J4447" s="13" t="n">
        <f aca="false">IFERROR(MIN(Eingaben!$B$18,MAX(0,F4447-I4447)),0)</f>
        <v>0.75411</v>
      </c>
      <c r="K4447" s="13" t="n">
        <f aca="false">H4447+I4447</f>
        <v>2.4986178</v>
      </c>
      <c r="L4447" s="13" t="n">
        <f aca="false">MAX(0,D4447-K4447)</f>
        <v>2.4413822</v>
      </c>
      <c r="M4447" s="13" t="n">
        <f aca="false">MAX(0,F4447-I4447-J4447)</f>
        <v>0</v>
      </c>
      <c r="N4447" s="13" t="n">
        <f aca="false">IF(Kalender!A55="",0,J4446-H4447)</f>
        <v>0.0150822</v>
      </c>
    </row>
    <row r="4448" customFormat="false" ht="16.4" hidden="false" customHeight="false" outlineLevel="0" collapsed="false">
      <c r="A4448" s="13" t="str">
        <f aca="false">""</f>
        <v/>
      </c>
      <c r="B4448" s="13" t="n">
        <f aca="false">52</f>
        <v>52</v>
      </c>
      <c r="C4448" s="13" t="n">
        <f aca="false">IF(Szenarien!$H$23="OK",(IFERROR(SUMIF(Nutzungsprofile!$B$6:$B$11,"Schulbetrieb",Nutzungsprofile!$G$6:$G$11)*Kalender!C56/SUM(Kalender!$C$5:$C$370),0)+IFERROR(SUMIF(Nutzungsprofile!$B$6:$B$11,"Halle",Nutzungsprofile!$G$6:$G$11)*Kalender!D56/SUM(Kalender!$D$5:$D$370),0)+IFERROR(SUMIF(Nutzungsprofile!$B$6:$B$11,"Individuell",Nutzungsprofile!$G$6:$G$11)*Kalender!E56/SUM(Kalender!$E$5:$E$370),0))*Szenarien!$E$23,0)</f>
        <v>2.04</v>
      </c>
      <c r="D4448" s="13" t="n">
        <f aca="false">IF(Szenarien!$H$23="OK",(IFERROR(SUMIF(Nutzungsprofile!$B$17:$B$22,"Schulbetrieb",Nutzungsprofile!$G$17:$G$22)*Kalender!C56/SUM(Kalender!$C$5:$C$370),0)+IFERROR(SUMIF(Nutzungsprofile!$B$17:$B$22,"Halle",Nutzungsprofile!$G$17:$G$22)*Kalender!D56/SUM(Kalender!$D$5:$D$370),0)+IFERROR(SUMIF(Nutzungsprofile!$B$17:$B$22,"Individuell",Nutzungsprofile!$G$17:$G$22)*Kalender!E56/SUM(Kalender!$E$5:$E$370),0))*Szenarien!$D$23,0)</f>
        <v>0.89</v>
      </c>
      <c r="E4448" s="13" t="n">
        <f aca="false">IFERROR(MIN(C4448,Eingaben!$B$17)*Eingaben!$B$16,0)</f>
        <v>1.938</v>
      </c>
      <c r="F4448" s="13" t="n">
        <f aca="false">IFERROR(E4448*Eingaben!$B$15,0)</f>
        <v>1.7442</v>
      </c>
      <c r="G4448" s="13" t="n">
        <f aca="false">IFERROR(IF(Kalender!A56="",0,J4447*(1-Eingaben!$B$20)),0)</f>
        <v>0.7390278</v>
      </c>
      <c r="H4448" s="13" t="n">
        <f aca="false">MIN(G4448,D4448)</f>
        <v>0.7390278</v>
      </c>
      <c r="I4448" s="13" t="n">
        <f aca="false">IFERROR(MIN(F4448*Eingaben!$B$19,MAX(0,D4448-H4448)),0)</f>
        <v>0.1509722</v>
      </c>
      <c r="J4448" s="13" t="n">
        <f aca="false">IFERROR(MIN(Eingaben!$B$18,MAX(0,F4448-I4448)),0)</f>
        <v>1.5932278</v>
      </c>
      <c r="K4448" s="13" t="n">
        <f aca="false">H4448+I4448</f>
        <v>0.89</v>
      </c>
      <c r="L4448" s="13" t="n">
        <f aca="false">MAX(0,D4448-K4448)</f>
        <v>0</v>
      </c>
      <c r="M4448" s="13" t="n">
        <f aca="false">MAX(0,F4448-I4448-J4448)</f>
        <v>0</v>
      </c>
      <c r="N4448" s="13" t="n">
        <f aca="false">IF(Kalender!A56="",0,J4447-H4448)</f>
        <v>0.0150822</v>
      </c>
    </row>
    <row r="4449" customFormat="false" ht="16.4" hidden="false" customHeight="false" outlineLevel="0" collapsed="false">
      <c r="A4449" s="13" t="str">
        <f aca="false">""</f>
        <v/>
      </c>
      <c r="B4449" s="13" t="n">
        <f aca="false">53</f>
        <v>53</v>
      </c>
      <c r="C4449" s="13" t="n">
        <f aca="false">IF(Szenarien!$H$23="OK",(IFERROR(SUMIF(Nutzungsprofile!$B$6:$B$11,"Schulbetrieb",Nutzungsprofile!$G$6:$G$11)*Kalender!C57/SUM(Kalender!$C$5:$C$370),0)+IFERROR(SUMIF(Nutzungsprofile!$B$6:$B$11,"Halle",Nutzungsprofile!$G$6:$G$11)*Kalender!D57/SUM(Kalender!$D$5:$D$370),0)+IFERROR(SUMIF(Nutzungsprofile!$B$6:$B$11,"Individuell",Nutzungsprofile!$G$6:$G$11)*Kalender!E57/SUM(Kalender!$E$5:$E$370),0))*Szenarien!$E$23,0)</f>
        <v>2.04</v>
      </c>
      <c r="D4449" s="13" t="n">
        <f aca="false">IF(Szenarien!$H$23="OK",(IFERROR(SUMIF(Nutzungsprofile!$B$17:$B$22,"Schulbetrieb",Nutzungsprofile!$G$17:$G$22)*Kalender!C57/SUM(Kalender!$C$5:$C$370),0)+IFERROR(SUMIF(Nutzungsprofile!$B$17:$B$22,"Halle",Nutzungsprofile!$G$17:$G$22)*Kalender!D57/SUM(Kalender!$D$5:$D$370),0)+IFERROR(SUMIF(Nutzungsprofile!$B$17:$B$22,"Individuell",Nutzungsprofile!$G$17:$G$22)*Kalender!E57/SUM(Kalender!$E$5:$E$370),0))*Szenarien!$D$23,0)</f>
        <v>0.89</v>
      </c>
      <c r="E4449" s="13" t="n">
        <f aca="false">IFERROR(MIN(C4449,Eingaben!$B$17)*Eingaben!$B$16,0)</f>
        <v>1.938</v>
      </c>
      <c r="F4449" s="13" t="n">
        <f aca="false">IFERROR(E4449*Eingaben!$B$15,0)</f>
        <v>1.7442</v>
      </c>
      <c r="G4449" s="13" t="n">
        <f aca="false">IFERROR(IF(Kalender!A57="",0,J4448*(1-Eingaben!$B$20)),0)</f>
        <v>1.561363244</v>
      </c>
      <c r="H4449" s="13" t="n">
        <f aca="false">MIN(G4449,D4449)</f>
        <v>0.89</v>
      </c>
      <c r="I4449" s="13" t="n">
        <f aca="false">IFERROR(MIN(F4449*Eingaben!$B$19,MAX(0,D4449-H4449)),0)</f>
        <v>0</v>
      </c>
      <c r="J4449" s="13" t="n">
        <f aca="false">IFERROR(MIN(Eingaben!$B$18,MAX(0,F4449-I4449)),0)</f>
        <v>1.7442</v>
      </c>
      <c r="K4449" s="13" t="n">
        <f aca="false">H4449+I4449</f>
        <v>0.89</v>
      </c>
      <c r="L4449" s="13" t="n">
        <f aca="false">MAX(0,D4449-K4449)</f>
        <v>0</v>
      </c>
      <c r="M4449" s="13" t="n">
        <f aca="false">MAX(0,F4449-I4449-J4449)</f>
        <v>0</v>
      </c>
      <c r="N4449" s="13" t="n">
        <f aca="false">IF(Kalender!A57="",0,J4448-H4449)</f>
        <v>0.7032278</v>
      </c>
    </row>
    <row r="4450" customFormat="false" ht="16.4" hidden="false" customHeight="false" outlineLevel="0" collapsed="false">
      <c r="A4450" s="13" t="str">
        <f aca="false">""</f>
        <v/>
      </c>
      <c r="B4450" s="13" t="n">
        <f aca="false">54</f>
        <v>54</v>
      </c>
      <c r="C4450" s="13" t="n">
        <f aca="false">IF(Szenarien!$H$23="OK",(IFERROR(SUMIF(Nutzungsprofile!$B$6:$B$11,"Schulbetrieb",Nutzungsprofile!$G$6:$G$11)*Kalender!C58/SUM(Kalender!$C$5:$C$370),0)+IFERROR(SUMIF(Nutzungsprofile!$B$6:$B$11,"Halle",Nutzungsprofile!$G$6:$G$11)*Kalender!D58/SUM(Kalender!$D$5:$D$370),0)+IFERROR(SUMIF(Nutzungsprofile!$B$6:$B$11,"Individuell",Nutzungsprofile!$G$6:$G$11)*Kalender!E58/SUM(Kalender!$E$5:$E$370),0))*Szenarien!$E$23,0)</f>
        <v>2.94</v>
      </c>
      <c r="D4450" s="13" t="n">
        <f aca="false">IF(Szenarien!$H$23="OK",(IFERROR(SUMIF(Nutzungsprofile!$B$17:$B$22,"Schulbetrieb",Nutzungsprofile!$G$17:$G$22)*Kalender!C58/SUM(Kalender!$C$5:$C$370),0)+IFERROR(SUMIF(Nutzungsprofile!$B$17:$B$22,"Halle",Nutzungsprofile!$G$17:$G$22)*Kalender!D58/SUM(Kalender!$D$5:$D$370),0)+IFERROR(SUMIF(Nutzungsprofile!$B$17:$B$22,"Individuell",Nutzungsprofile!$G$17:$G$22)*Kalender!E58/SUM(Kalender!$E$5:$E$370),0))*Szenarien!$D$23,0)</f>
        <v>4.94</v>
      </c>
      <c r="E4450" s="13" t="n">
        <f aca="false">IFERROR(MIN(C4450,Eingaben!$B$17)*Eingaben!$B$16,0)</f>
        <v>2.793</v>
      </c>
      <c r="F4450" s="13" t="n">
        <f aca="false">IFERROR(E4450*Eingaben!$B$15,0)</f>
        <v>2.5137</v>
      </c>
      <c r="G4450" s="13" t="n">
        <f aca="false">IFERROR(IF(Kalender!A58="",0,J4449*(1-Eingaben!$B$20)),0)</f>
        <v>1.709316</v>
      </c>
      <c r="H4450" s="13" t="n">
        <f aca="false">MIN(G4450,D4450)</f>
        <v>1.709316</v>
      </c>
      <c r="I4450" s="13" t="n">
        <f aca="false">IFERROR(MIN(F4450*Eingaben!$B$19,MAX(0,D4450-H4450)),0)</f>
        <v>1.75959</v>
      </c>
      <c r="J4450" s="13" t="n">
        <f aca="false">IFERROR(MIN(Eingaben!$B$18,MAX(0,F4450-I4450)),0)</f>
        <v>0.75411</v>
      </c>
      <c r="K4450" s="13" t="n">
        <f aca="false">H4450+I4450</f>
        <v>3.468906</v>
      </c>
      <c r="L4450" s="13" t="n">
        <f aca="false">MAX(0,D4450-K4450)</f>
        <v>1.471094</v>
      </c>
      <c r="M4450" s="13" t="n">
        <f aca="false">MAX(0,F4450-I4450-J4450)</f>
        <v>0</v>
      </c>
      <c r="N4450" s="13" t="n">
        <f aca="false">IF(Kalender!A58="",0,J4449-H4450)</f>
        <v>0.0348840000000001</v>
      </c>
    </row>
    <row r="4451" customFormat="false" ht="16.4" hidden="false" customHeight="false" outlineLevel="0" collapsed="false">
      <c r="A4451" s="13" t="str">
        <f aca="false">""</f>
        <v/>
      </c>
      <c r="B4451" s="13" t="n">
        <f aca="false">55</f>
        <v>55</v>
      </c>
      <c r="C4451" s="13" t="n">
        <f aca="false">IF(Szenarien!$H$23="OK",(IFERROR(SUMIF(Nutzungsprofile!$B$6:$B$11,"Schulbetrieb",Nutzungsprofile!$G$6:$G$11)*Kalender!C59/SUM(Kalender!$C$5:$C$370),0)+IFERROR(SUMIF(Nutzungsprofile!$B$6:$B$11,"Halle",Nutzungsprofile!$G$6:$G$11)*Kalender!D59/SUM(Kalender!$D$5:$D$370),0)+IFERROR(SUMIF(Nutzungsprofile!$B$6:$B$11,"Individuell",Nutzungsprofile!$G$6:$G$11)*Kalender!E59/SUM(Kalender!$E$5:$E$370),0))*Szenarien!$E$23,0)</f>
        <v>2.94</v>
      </c>
      <c r="D4451" s="13" t="n">
        <f aca="false">IF(Szenarien!$H$23="OK",(IFERROR(SUMIF(Nutzungsprofile!$B$17:$B$22,"Schulbetrieb",Nutzungsprofile!$G$17:$G$22)*Kalender!C59/SUM(Kalender!$C$5:$C$370),0)+IFERROR(SUMIF(Nutzungsprofile!$B$17:$B$22,"Halle",Nutzungsprofile!$G$17:$G$22)*Kalender!D59/SUM(Kalender!$D$5:$D$370),0)+IFERROR(SUMIF(Nutzungsprofile!$B$17:$B$22,"Individuell",Nutzungsprofile!$G$17:$G$22)*Kalender!E59/SUM(Kalender!$E$5:$E$370),0))*Szenarien!$D$23,0)</f>
        <v>4.94</v>
      </c>
      <c r="E4451" s="13" t="n">
        <f aca="false">IFERROR(MIN(C4451,Eingaben!$B$17)*Eingaben!$B$16,0)</f>
        <v>2.793</v>
      </c>
      <c r="F4451" s="13" t="n">
        <f aca="false">IFERROR(E4451*Eingaben!$B$15,0)</f>
        <v>2.5137</v>
      </c>
      <c r="G4451" s="13" t="n">
        <f aca="false">IFERROR(IF(Kalender!A59="",0,J4450*(1-Eingaben!$B$20)),0)</f>
        <v>0.7390278</v>
      </c>
      <c r="H4451" s="13" t="n">
        <f aca="false">MIN(G4451,D4451)</f>
        <v>0.7390278</v>
      </c>
      <c r="I4451" s="13" t="n">
        <f aca="false">IFERROR(MIN(F4451*Eingaben!$B$19,MAX(0,D4451-H4451)),0)</f>
        <v>1.75959</v>
      </c>
      <c r="J4451" s="13" t="n">
        <f aca="false">IFERROR(MIN(Eingaben!$B$18,MAX(0,F4451-I4451)),0)</f>
        <v>0.75411</v>
      </c>
      <c r="K4451" s="13" t="n">
        <f aca="false">H4451+I4451</f>
        <v>2.4986178</v>
      </c>
      <c r="L4451" s="13" t="n">
        <f aca="false">MAX(0,D4451-K4451)</f>
        <v>2.4413822</v>
      </c>
      <c r="M4451" s="13" t="n">
        <f aca="false">MAX(0,F4451-I4451-J4451)</f>
        <v>0</v>
      </c>
      <c r="N4451" s="13" t="n">
        <f aca="false">IF(Kalender!A59="",0,J4450-H4451)</f>
        <v>0.0150822</v>
      </c>
    </row>
    <row r="4452" customFormat="false" ht="16.4" hidden="false" customHeight="false" outlineLevel="0" collapsed="false">
      <c r="A4452" s="13" t="str">
        <f aca="false">""</f>
        <v/>
      </c>
      <c r="B4452" s="13" t="n">
        <f aca="false">56</f>
        <v>56</v>
      </c>
      <c r="C4452" s="13" t="n">
        <f aca="false">IF(Szenarien!$H$23="OK",(IFERROR(SUMIF(Nutzungsprofile!$B$6:$B$11,"Schulbetrieb",Nutzungsprofile!$G$6:$G$11)*Kalender!C60/SUM(Kalender!$C$5:$C$370),0)+IFERROR(SUMIF(Nutzungsprofile!$B$6:$B$11,"Halle",Nutzungsprofile!$G$6:$G$11)*Kalender!D60/SUM(Kalender!$D$5:$D$370),0)+IFERROR(SUMIF(Nutzungsprofile!$B$6:$B$11,"Individuell",Nutzungsprofile!$G$6:$G$11)*Kalender!E60/SUM(Kalender!$E$5:$E$370),0))*Szenarien!$E$23,0)</f>
        <v>2.94</v>
      </c>
      <c r="D4452" s="13" t="n">
        <f aca="false">IF(Szenarien!$H$23="OK",(IFERROR(SUMIF(Nutzungsprofile!$B$17:$B$22,"Schulbetrieb",Nutzungsprofile!$G$17:$G$22)*Kalender!C60/SUM(Kalender!$C$5:$C$370),0)+IFERROR(SUMIF(Nutzungsprofile!$B$17:$B$22,"Halle",Nutzungsprofile!$G$17:$G$22)*Kalender!D60/SUM(Kalender!$D$5:$D$370),0)+IFERROR(SUMIF(Nutzungsprofile!$B$17:$B$22,"Individuell",Nutzungsprofile!$G$17:$G$22)*Kalender!E60/SUM(Kalender!$E$5:$E$370),0))*Szenarien!$D$23,0)</f>
        <v>4.94</v>
      </c>
      <c r="E4452" s="13" t="n">
        <f aca="false">IFERROR(MIN(C4452,Eingaben!$B$17)*Eingaben!$B$16,0)</f>
        <v>2.793</v>
      </c>
      <c r="F4452" s="13" t="n">
        <f aca="false">IFERROR(E4452*Eingaben!$B$15,0)</f>
        <v>2.5137</v>
      </c>
      <c r="G4452" s="13" t="n">
        <f aca="false">IFERROR(IF(Kalender!A60="",0,J4451*(1-Eingaben!$B$20)),0)</f>
        <v>0.7390278</v>
      </c>
      <c r="H4452" s="13" t="n">
        <f aca="false">MIN(G4452,D4452)</f>
        <v>0.7390278</v>
      </c>
      <c r="I4452" s="13" t="n">
        <f aca="false">IFERROR(MIN(F4452*Eingaben!$B$19,MAX(0,D4452-H4452)),0)</f>
        <v>1.75959</v>
      </c>
      <c r="J4452" s="13" t="n">
        <f aca="false">IFERROR(MIN(Eingaben!$B$18,MAX(0,F4452-I4452)),0)</f>
        <v>0.75411</v>
      </c>
      <c r="K4452" s="13" t="n">
        <f aca="false">H4452+I4452</f>
        <v>2.4986178</v>
      </c>
      <c r="L4452" s="13" t="n">
        <f aca="false">MAX(0,D4452-K4452)</f>
        <v>2.4413822</v>
      </c>
      <c r="M4452" s="13" t="n">
        <f aca="false">MAX(0,F4452-I4452-J4452)</f>
        <v>0</v>
      </c>
      <c r="N4452" s="13" t="n">
        <f aca="false">IF(Kalender!A60="",0,J4451-H4452)</f>
        <v>0.0150822</v>
      </c>
    </row>
    <row r="4453" customFormat="false" ht="16.4" hidden="false" customHeight="false" outlineLevel="0" collapsed="false">
      <c r="A4453" s="13" t="str">
        <f aca="false">""</f>
        <v/>
      </c>
      <c r="B4453" s="13" t="n">
        <f aca="false">57</f>
        <v>57</v>
      </c>
      <c r="C4453" s="13" t="n">
        <f aca="false">IF(Szenarien!$H$23="OK",(IFERROR(SUMIF(Nutzungsprofile!$B$6:$B$11,"Schulbetrieb",Nutzungsprofile!$G$6:$G$11)*Kalender!C61/SUM(Kalender!$C$5:$C$370),0)+IFERROR(SUMIF(Nutzungsprofile!$B$6:$B$11,"Halle",Nutzungsprofile!$G$6:$G$11)*Kalender!D61/SUM(Kalender!$D$5:$D$370),0)+IFERROR(SUMIF(Nutzungsprofile!$B$6:$B$11,"Individuell",Nutzungsprofile!$G$6:$G$11)*Kalender!E61/SUM(Kalender!$E$5:$E$370),0))*Szenarien!$E$23,0)</f>
        <v>2.94</v>
      </c>
      <c r="D4453" s="13" t="n">
        <f aca="false">IF(Szenarien!$H$23="OK",(IFERROR(SUMIF(Nutzungsprofile!$B$17:$B$22,"Schulbetrieb",Nutzungsprofile!$G$17:$G$22)*Kalender!C61/SUM(Kalender!$C$5:$C$370),0)+IFERROR(SUMIF(Nutzungsprofile!$B$17:$B$22,"Halle",Nutzungsprofile!$G$17:$G$22)*Kalender!D61/SUM(Kalender!$D$5:$D$370),0)+IFERROR(SUMIF(Nutzungsprofile!$B$17:$B$22,"Individuell",Nutzungsprofile!$G$17:$G$22)*Kalender!E61/SUM(Kalender!$E$5:$E$370),0))*Szenarien!$D$23,0)</f>
        <v>4.94</v>
      </c>
      <c r="E4453" s="13" t="n">
        <f aca="false">IFERROR(MIN(C4453,Eingaben!$B$17)*Eingaben!$B$16,0)</f>
        <v>2.793</v>
      </c>
      <c r="F4453" s="13" t="n">
        <f aca="false">IFERROR(E4453*Eingaben!$B$15,0)</f>
        <v>2.5137</v>
      </c>
      <c r="G4453" s="13" t="n">
        <f aca="false">IFERROR(IF(Kalender!A61="",0,J4452*(1-Eingaben!$B$20)),0)</f>
        <v>0.7390278</v>
      </c>
      <c r="H4453" s="13" t="n">
        <f aca="false">MIN(G4453,D4453)</f>
        <v>0.7390278</v>
      </c>
      <c r="I4453" s="13" t="n">
        <f aca="false">IFERROR(MIN(F4453*Eingaben!$B$19,MAX(0,D4453-H4453)),0)</f>
        <v>1.75959</v>
      </c>
      <c r="J4453" s="13" t="n">
        <f aca="false">IFERROR(MIN(Eingaben!$B$18,MAX(0,F4453-I4453)),0)</f>
        <v>0.75411</v>
      </c>
      <c r="K4453" s="13" t="n">
        <f aca="false">H4453+I4453</f>
        <v>2.4986178</v>
      </c>
      <c r="L4453" s="13" t="n">
        <f aca="false">MAX(0,D4453-K4453)</f>
        <v>2.4413822</v>
      </c>
      <c r="M4453" s="13" t="n">
        <f aca="false">MAX(0,F4453-I4453-J4453)</f>
        <v>0</v>
      </c>
      <c r="N4453" s="13" t="n">
        <f aca="false">IF(Kalender!A61="",0,J4452-H4453)</f>
        <v>0.0150822</v>
      </c>
    </row>
    <row r="4454" customFormat="false" ht="16.4" hidden="false" customHeight="false" outlineLevel="0" collapsed="false">
      <c r="A4454" s="13" t="str">
        <f aca="false">""</f>
        <v/>
      </c>
      <c r="B4454" s="13" t="n">
        <f aca="false">58</f>
        <v>58</v>
      </c>
      <c r="C4454" s="13" t="n">
        <f aca="false">IF(Szenarien!$H$23="OK",(IFERROR(SUMIF(Nutzungsprofile!$B$6:$B$11,"Schulbetrieb",Nutzungsprofile!$G$6:$G$11)*Kalender!C62/SUM(Kalender!$C$5:$C$370),0)+IFERROR(SUMIF(Nutzungsprofile!$B$6:$B$11,"Halle",Nutzungsprofile!$G$6:$G$11)*Kalender!D62/SUM(Kalender!$D$5:$D$370),0)+IFERROR(SUMIF(Nutzungsprofile!$B$6:$B$11,"Individuell",Nutzungsprofile!$G$6:$G$11)*Kalender!E62/SUM(Kalender!$E$5:$E$370),0))*Szenarien!$E$23,0)</f>
        <v>2.94</v>
      </c>
      <c r="D4454" s="13" t="n">
        <f aca="false">IF(Szenarien!$H$23="OK",(IFERROR(SUMIF(Nutzungsprofile!$B$17:$B$22,"Schulbetrieb",Nutzungsprofile!$G$17:$G$22)*Kalender!C62/SUM(Kalender!$C$5:$C$370),0)+IFERROR(SUMIF(Nutzungsprofile!$B$17:$B$22,"Halle",Nutzungsprofile!$G$17:$G$22)*Kalender!D62/SUM(Kalender!$D$5:$D$370),0)+IFERROR(SUMIF(Nutzungsprofile!$B$17:$B$22,"Individuell",Nutzungsprofile!$G$17:$G$22)*Kalender!E62/SUM(Kalender!$E$5:$E$370),0))*Szenarien!$D$23,0)</f>
        <v>4.94</v>
      </c>
      <c r="E4454" s="13" t="n">
        <f aca="false">IFERROR(MIN(C4454,Eingaben!$B$17)*Eingaben!$B$16,0)</f>
        <v>2.793</v>
      </c>
      <c r="F4454" s="13" t="n">
        <f aca="false">IFERROR(E4454*Eingaben!$B$15,0)</f>
        <v>2.5137</v>
      </c>
      <c r="G4454" s="13" t="n">
        <f aca="false">IFERROR(IF(Kalender!A62="",0,J4453*(1-Eingaben!$B$20)),0)</f>
        <v>0.7390278</v>
      </c>
      <c r="H4454" s="13" t="n">
        <f aca="false">MIN(G4454,D4454)</f>
        <v>0.7390278</v>
      </c>
      <c r="I4454" s="13" t="n">
        <f aca="false">IFERROR(MIN(F4454*Eingaben!$B$19,MAX(0,D4454-H4454)),0)</f>
        <v>1.75959</v>
      </c>
      <c r="J4454" s="13" t="n">
        <f aca="false">IFERROR(MIN(Eingaben!$B$18,MAX(0,F4454-I4454)),0)</f>
        <v>0.75411</v>
      </c>
      <c r="K4454" s="13" t="n">
        <f aca="false">H4454+I4454</f>
        <v>2.4986178</v>
      </c>
      <c r="L4454" s="13" t="n">
        <f aca="false">MAX(0,D4454-K4454)</f>
        <v>2.4413822</v>
      </c>
      <c r="M4454" s="13" t="n">
        <f aca="false">MAX(0,F4454-I4454-J4454)</f>
        <v>0</v>
      </c>
      <c r="N4454" s="13" t="n">
        <f aca="false">IF(Kalender!A62="",0,J4453-H4454)</f>
        <v>0.0150822</v>
      </c>
    </row>
    <row r="4455" customFormat="false" ht="16.4" hidden="false" customHeight="false" outlineLevel="0" collapsed="false">
      <c r="A4455" s="13" t="str">
        <f aca="false">""</f>
        <v/>
      </c>
      <c r="B4455" s="13" t="n">
        <f aca="false">59</f>
        <v>59</v>
      </c>
      <c r="C4455" s="13" t="n">
        <f aca="false">IF(Szenarien!$H$23="OK",(IFERROR(SUMIF(Nutzungsprofile!$B$6:$B$11,"Schulbetrieb",Nutzungsprofile!$G$6:$G$11)*Kalender!C63/SUM(Kalender!$C$5:$C$370),0)+IFERROR(SUMIF(Nutzungsprofile!$B$6:$B$11,"Halle",Nutzungsprofile!$G$6:$G$11)*Kalender!D63/SUM(Kalender!$D$5:$D$370),0)+IFERROR(SUMIF(Nutzungsprofile!$B$6:$B$11,"Individuell",Nutzungsprofile!$G$6:$G$11)*Kalender!E63/SUM(Kalender!$E$5:$E$370),0))*Szenarien!$E$23,0)</f>
        <v>2.04</v>
      </c>
      <c r="D4455" s="13" t="n">
        <f aca="false">IF(Szenarien!$H$23="OK",(IFERROR(SUMIF(Nutzungsprofile!$B$17:$B$22,"Schulbetrieb",Nutzungsprofile!$G$17:$G$22)*Kalender!C63/SUM(Kalender!$C$5:$C$370),0)+IFERROR(SUMIF(Nutzungsprofile!$B$17:$B$22,"Halle",Nutzungsprofile!$G$17:$G$22)*Kalender!D63/SUM(Kalender!$D$5:$D$370),0)+IFERROR(SUMIF(Nutzungsprofile!$B$17:$B$22,"Individuell",Nutzungsprofile!$G$17:$G$22)*Kalender!E63/SUM(Kalender!$E$5:$E$370),0))*Szenarien!$D$23,0)</f>
        <v>0.89</v>
      </c>
      <c r="E4455" s="13" t="n">
        <f aca="false">IFERROR(MIN(C4455,Eingaben!$B$17)*Eingaben!$B$16,0)</f>
        <v>1.938</v>
      </c>
      <c r="F4455" s="13" t="n">
        <f aca="false">IFERROR(E4455*Eingaben!$B$15,0)</f>
        <v>1.7442</v>
      </c>
      <c r="G4455" s="13" t="n">
        <f aca="false">IFERROR(IF(Kalender!A63="",0,J4454*(1-Eingaben!$B$20)),0)</f>
        <v>0.7390278</v>
      </c>
      <c r="H4455" s="13" t="n">
        <f aca="false">MIN(G4455,D4455)</f>
        <v>0.7390278</v>
      </c>
      <c r="I4455" s="13" t="n">
        <f aca="false">IFERROR(MIN(F4455*Eingaben!$B$19,MAX(0,D4455-H4455)),0)</f>
        <v>0.1509722</v>
      </c>
      <c r="J4455" s="13" t="n">
        <f aca="false">IFERROR(MIN(Eingaben!$B$18,MAX(0,F4455-I4455)),0)</f>
        <v>1.5932278</v>
      </c>
      <c r="K4455" s="13" t="n">
        <f aca="false">H4455+I4455</f>
        <v>0.89</v>
      </c>
      <c r="L4455" s="13" t="n">
        <f aca="false">MAX(0,D4455-K4455)</f>
        <v>0</v>
      </c>
      <c r="M4455" s="13" t="n">
        <f aca="false">MAX(0,F4455-I4455-J4455)</f>
        <v>0</v>
      </c>
      <c r="N4455" s="13" t="n">
        <f aca="false">IF(Kalender!A63="",0,J4454-H4455)</f>
        <v>0.0150822</v>
      </c>
    </row>
    <row r="4456" customFormat="false" ht="16.4" hidden="false" customHeight="false" outlineLevel="0" collapsed="false">
      <c r="A4456" s="13" t="str">
        <f aca="false">""</f>
        <v/>
      </c>
      <c r="B4456" s="13" t="n">
        <f aca="false">60</f>
        <v>60</v>
      </c>
      <c r="C4456" s="13" t="n">
        <f aca="false">IF(Szenarien!$H$23="OK",(IFERROR(SUMIF(Nutzungsprofile!$B$6:$B$11,"Schulbetrieb",Nutzungsprofile!$G$6:$G$11)*Kalender!C64/SUM(Kalender!$C$5:$C$370),0)+IFERROR(SUMIF(Nutzungsprofile!$B$6:$B$11,"Halle",Nutzungsprofile!$G$6:$G$11)*Kalender!D64/SUM(Kalender!$D$5:$D$370),0)+IFERROR(SUMIF(Nutzungsprofile!$B$6:$B$11,"Individuell",Nutzungsprofile!$G$6:$G$11)*Kalender!E64/SUM(Kalender!$E$5:$E$370),0))*Szenarien!$E$23,0)</f>
        <v>2.04</v>
      </c>
      <c r="D4456" s="13" t="n">
        <f aca="false">IF(Szenarien!$H$23="OK",(IFERROR(SUMIF(Nutzungsprofile!$B$17:$B$22,"Schulbetrieb",Nutzungsprofile!$G$17:$G$22)*Kalender!C64/SUM(Kalender!$C$5:$C$370),0)+IFERROR(SUMIF(Nutzungsprofile!$B$17:$B$22,"Halle",Nutzungsprofile!$G$17:$G$22)*Kalender!D64/SUM(Kalender!$D$5:$D$370),0)+IFERROR(SUMIF(Nutzungsprofile!$B$17:$B$22,"Individuell",Nutzungsprofile!$G$17:$G$22)*Kalender!E64/SUM(Kalender!$E$5:$E$370),0))*Szenarien!$D$23,0)</f>
        <v>0.89</v>
      </c>
      <c r="E4456" s="13" t="n">
        <f aca="false">IFERROR(MIN(C4456,Eingaben!$B$17)*Eingaben!$B$16,0)</f>
        <v>1.938</v>
      </c>
      <c r="F4456" s="13" t="n">
        <f aca="false">IFERROR(E4456*Eingaben!$B$15,0)</f>
        <v>1.7442</v>
      </c>
      <c r="G4456" s="13" t="n">
        <f aca="false">IFERROR(IF(Kalender!A64="",0,J4455*(1-Eingaben!$B$20)),0)</f>
        <v>1.561363244</v>
      </c>
      <c r="H4456" s="13" t="n">
        <f aca="false">MIN(G4456,D4456)</f>
        <v>0.89</v>
      </c>
      <c r="I4456" s="13" t="n">
        <f aca="false">IFERROR(MIN(F4456*Eingaben!$B$19,MAX(0,D4456-H4456)),0)</f>
        <v>0</v>
      </c>
      <c r="J4456" s="13" t="n">
        <f aca="false">IFERROR(MIN(Eingaben!$B$18,MAX(0,F4456-I4456)),0)</f>
        <v>1.7442</v>
      </c>
      <c r="K4456" s="13" t="n">
        <f aca="false">H4456+I4456</f>
        <v>0.89</v>
      </c>
      <c r="L4456" s="13" t="n">
        <f aca="false">MAX(0,D4456-K4456)</f>
        <v>0</v>
      </c>
      <c r="M4456" s="13" t="n">
        <f aca="false">MAX(0,F4456-I4456-J4456)</f>
        <v>0</v>
      </c>
      <c r="N4456" s="13" t="n">
        <f aca="false">IF(Kalender!A64="",0,J4455-H4456)</f>
        <v>0.7032278</v>
      </c>
    </row>
    <row r="4457" customFormat="false" ht="16.4" hidden="false" customHeight="false" outlineLevel="0" collapsed="false">
      <c r="A4457" s="13" t="str">
        <f aca="false">""</f>
        <v/>
      </c>
      <c r="B4457" s="13" t="n">
        <f aca="false">61</f>
        <v>61</v>
      </c>
      <c r="C4457" s="13" t="n">
        <f aca="false">IF(Szenarien!$H$23="OK",(IFERROR(SUMIF(Nutzungsprofile!$B$6:$B$11,"Schulbetrieb",Nutzungsprofile!$G$6:$G$11)*Kalender!C65/SUM(Kalender!$C$5:$C$370),0)+IFERROR(SUMIF(Nutzungsprofile!$B$6:$B$11,"Halle",Nutzungsprofile!$G$6:$G$11)*Kalender!D65/SUM(Kalender!$D$5:$D$370),0)+IFERROR(SUMIF(Nutzungsprofile!$B$6:$B$11,"Individuell",Nutzungsprofile!$G$6:$G$11)*Kalender!E65/SUM(Kalender!$E$5:$E$370),0))*Szenarien!$E$23,0)</f>
        <v>2.94</v>
      </c>
      <c r="D4457" s="13" t="n">
        <f aca="false">IF(Szenarien!$H$23="OK",(IFERROR(SUMIF(Nutzungsprofile!$B$17:$B$22,"Schulbetrieb",Nutzungsprofile!$G$17:$G$22)*Kalender!C65/SUM(Kalender!$C$5:$C$370),0)+IFERROR(SUMIF(Nutzungsprofile!$B$17:$B$22,"Halle",Nutzungsprofile!$G$17:$G$22)*Kalender!D65/SUM(Kalender!$D$5:$D$370),0)+IFERROR(SUMIF(Nutzungsprofile!$B$17:$B$22,"Individuell",Nutzungsprofile!$G$17:$G$22)*Kalender!E65/SUM(Kalender!$E$5:$E$370),0))*Szenarien!$D$23,0)</f>
        <v>4.94</v>
      </c>
      <c r="E4457" s="13" t="n">
        <f aca="false">IFERROR(MIN(C4457,Eingaben!$B$17)*Eingaben!$B$16,0)</f>
        <v>2.793</v>
      </c>
      <c r="F4457" s="13" t="n">
        <f aca="false">IFERROR(E4457*Eingaben!$B$15,0)</f>
        <v>2.5137</v>
      </c>
      <c r="G4457" s="13" t="n">
        <f aca="false">IFERROR(IF(Kalender!A65="",0,J4456*(1-Eingaben!$B$20)),0)</f>
        <v>1.709316</v>
      </c>
      <c r="H4457" s="13" t="n">
        <f aca="false">MIN(G4457,D4457)</f>
        <v>1.709316</v>
      </c>
      <c r="I4457" s="13" t="n">
        <f aca="false">IFERROR(MIN(F4457*Eingaben!$B$19,MAX(0,D4457-H4457)),0)</f>
        <v>1.75959</v>
      </c>
      <c r="J4457" s="13" t="n">
        <f aca="false">IFERROR(MIN(Eingaben!$B$18,MAX(0,F4457-I4457)),0)</f>
        <v>0.75411</v>
      </c>
      <c r="K4457" s="13" t="n">
        <f aca="false">H4457+I4457</f>
        <v>3.468906</v>
      </c>
      <c r="L4457" s="13" t="n">
        <f aca="false">MAX(0,D4457-K4457)</f>
        <v>1.471094</v>
      </c>
      <c r="M4457" s="13" t="n">
        <f aca="false">MAX(0,F4457-I4457-J4457)</f>
        <v>0</v>
      </c>
      <c r="N4457" s="13" t="n">
        <f aca="false">IF(Kalender!A65="",0,J4456-H4457)</f>
        <v>0.0348840000000001</v>
      </c>
    </row>
    <row r="4458" customFormat="false" ht="16.4" hidden="false" customHeight="false" outlineLevel="0" collapsed="false">
      <c r="A4458" s="13" t="str">
        <f aca="false">""</f>
        <v/>
      </c>
      <c r="B4458" s="13" t="n">
        <f aca="false">62</f>
        <v>62</v>
      </c>
      <c r="C4458" s="13" t="n">
        <f aca="false">IF(Szenarien!$H$23="OK",(IFERROR(SUMIF(Nutzungsprofile!$B$6:$B$11,"Schulbetrieb",Nutzungsprofile!$G$6:$G$11)*Kalender!C66/SUM(Kalender!$C$5:$C$370),0)+IFERROR(SUMIF(Nutzungsprofile!$B$6:$B$11,"Halle",Nutzungsprofile!$G$6:$G$11)*Kalender!D66/SUM(Kalender!$D$5:$D$370),0)+IFERROR(SUMIF(Nutzungsprofile!$B$6:$B$11,"Individuell",Nutzungsprofile!$G$6:$G$11)*Kalender!E66/SUM(Kalender!$E$5:$E$370),0))*Szenarien!$E$23,0)</f>
        <v>2.94</v>
      </c>
      <c r="D4458" s="13" t="n">
        <f aca="false">IF(Szenarien!$H$23="OK",(IFERROR(SUMIF(Nutzungsprofile!$B$17:$B$22,"Schulbetrieb",Nutzungsprofile!$G$17:$G$22)*Kalender!C66/SUM(Kalender!$C$5:$C$370),0)+IFERROR(SUMIF(Nutzungsprofile!$B$17:$B$22,"Halle",Nutzungsprofile!$G$17:$G$22)*Kalender!D66/SUM(Kalender!$D$5:$D$370),0)+IFERROR(SUMIF(Nutzungsprofile!$B$17:$B$22,"Individuell",Nutzungsprofile!$G$17:$G$22)*Kalender!E66/SUM(Kalender!$E$5:$E$370),0))*Szenarien!$D$23,0)</f>
        <v>4.94</v>
      </c>
      <c r="E4458" s="13" t="n">
        <f aca="false">IFERROR(MIN(C4458,Eingaben!$B$17)*Eingaben!$B$16,0)</f>
        <v>2.793</v>
      </c>
      <c r="F4458" s="13" t="n">
        <f aca="false">IFERROR(E4458*Eingaben!$B$15,0)</f>
        <v>2.5137</v>
      </c>
      <c r="G4458" s="13" t="n">
        <f aca="false">IFERROR(IF(Kalender!A66="",0,J4457*(1-Eingaben!$B$20)),0)</f>
        <v>0.7390278</v>
      </c>
      <c r="H4458" s="13" t="n">
        <f aca="false">MIN(G4458,D4458)</f>
        <v>0.7390278</v>
      </c>
      <c r="I4458" s="13" t="n">
        <f aca="false">IFERROR(MIN(F4458*Eingaben!$B$19,MAX(0,D4458-H4458)),0)</f>
        <v>1.75959</v>
      </c>
      <c r="J4458" s="13" t="n">
        <f aca="false">IFERROR(MIN(Eingaben!$B$18,MAX(0,F4458-I4458)),0)</f>
        <v>0.75411</v>
      </c>
      <c r="K4458" s="13" t="n">
        <f aca="false">H4458+I4458</f>
        <v>2.4986178</v>
      </c>
      <c r="L4458" s="13" t="n">
        <f aca="false">MAX(0,D4458-K4458)</f>
        <v>2.4413822</v>
      </c>
      <c r="M4458" s="13" t="n">
        <f aca="false">MAX(0,F4458-I4458-J4458)</f>
        <v>0</v>
      </c>
      <c r="N4458" s="13" t="n">
        <f aca="false">IF(Kalender!A66="",0,J4457-H4458)</f>
        <v>0.0150822</v>
      </c>
    </row>
    <row r="4459" customFormat="false" ht="16.4" hidden="false" customHeight="false" outlineLevel="0" collapsed="false">
      <c r="A4459" s="13" t="str">
        <f aca="false">""</f>
        <v/>
      </c>
      <c r="B4459" s="13" t="n">
        <f aca="false">63</f>
        <v>63</v>
      </c>
      <c r="C4459" s="13" t="n">
        <f aca="false">IF(Szenarien!$H$23="OK",(IFERROR(SUMIF(Nutzungsprofile!$B$6:$B$11,"Schulbetrieb",Nutzungsprofile!$G$6:$G$11)*Kalender!C67/SUM(Kalender!$C$5:$C$370),0)+IFERROR(SUMIF(Nutzungsprofile!$B$6:$B$11,"Halle",Nutzungsprofile!$G$6:$G$11)*Kalender!D67/SUM(Kalender!$D$5:$D$370),0)+IFERROR(SUMIF(Nutzungsprofile!$B$6:$B$11,"Individuell",Nutzungsprofile!$G$6:$G$11)*Kalender!E67/SUM(Kalender!$E$5:$E$370),0))*Szenarien!$E$23,0)</f>
        <v>2.94</v>
      </c>
      <c r="D4459" s="13" t="n">
        <f aca="false">IF(Szenarien!$H$23="OK",(IFERROR(SUMIF(Nutzungsprofile!$B$17:$B$22,"Schulbetrieb",Nutzungsprofile!$G$17:$G$22)*Kalender!C67/SUM(Kalender!$C$5:$C$370),0)+IFERROR(SUMIF(Nutzungsprofile!$B$17:$B$22,"Halle",Nutzungsprofile!$G$17:$G$22)*Kalender!D67/SUM(Kalender!$D$5:$D$370),0)+IFERROR(SUMIF(Nutzungsprofile!$B$17:$B$22,"Individuell",Nutzungsprofile!$G$17:$G$22)*Kalender!E67/SUM(Kalender!$E$5:$E$370),0))*Szenarien!$D$23,0)</f>
        <v>4.94</v>
      </c>
      <c r="E4459" s="13" t="n">
        <f aca="false">IFERROR(MIN(C4459,Eingaben!$B$17)*Eingaben!$B$16,0)</f>
        <v>2.793</v>
      </c>
      <c r="F4459" s="13" t="n">
        <f aca="false">IFERROR(E4459*Eingaben!$B$15,0)</f>
        <v>2.5137</v>
      </c>
      <c r="G4459" s="13" t="n">
        <f aca="false">IFERROR(IF(Kalender!A67="",0,J4458*(1-Eingaben!$B$20)),0)</f>
        <v>0.7390278</v>
      </c>
      <c r="H4459" s="13" t="n">
        <f aca="false">MIN(G4459,D4459)</f>
        <v>0.7390278</v>
      </c>
      <c r="I4459" s="13" t="n">
        <f aca="false">IFERROR(MIN(F4459*Eingaben!$B$19,MAX(0,D4459-H4459)),0)</f>
        <v>1.75959</v>
      </c>
      <c r="J4459" s="13" t="n">
        <f aca="false">IFERROR(MIN(Eingaben!$B$18,MAX(0,F4459-I4459)),0)</f>
        <v>0.75411</v>
      </c>
      <c r="K4459" s="13" t="n">
        <f aca="false">H4459+I4459</f>
        <v>2.4986178</v>
      </c>
      <c r="L4459" s="13" t="n">
        <f aca="false">MAX(0,D4459-K4459)</f>
        <v>2.4413822</v>
      </c>
      <c r="M4459" s="13" t="n">
        <f aca="false">MAX(0,F4459-I4459-J4459)</f>
        <v>0</v>
      </c>
      <c r="N4459" s="13" t="n">
        <f aca="false">IF(Kalender!A67="",0,J4458-H4459)</f>
        <v>0.0150822</v>
      </c>
    </row>
    <row r="4460" customFormat="false" ht="16.4" hidden="false" customHeight="false" outlineLevel="0" collapsed="false">
      <c r="A4460" s="13" t="str">
        <f aca="false">""</f>
        <v/>
      </c>
      <c r="B4460" s="13" t="n">
        <f aca="false">64</f>
        <v>64</v>
      </c>
      <c r="C4460" s="13" t="n">
        <f aca="false">IF(Szenarien!$H$23="OK",(IFERROR(SUMIF(Nutzungsprofile!$B$6:$B$11,"Schulbetrieb",Nutzungsprofile!$G$6:$G$11)*Kalender!C68/SUM(Kalender!$C$5:$C$370),0)+IFERROR(SUMIF(Nutzungsprofile!$B$6:$B$11,"Halle",Nutzungsprofile!$G$6:$G$11)*Kalender!D68/SUM(Kalender!$D$5:$D$370),0)+IFERROR(SUMIF(Nutzungsprofile!$B$6:$B$11,"Individuell",Nutzungsprofile!$G$6:$G$11)*Kalender!E68/SUM(Kalender!$E$5:$E$370),0))*Szenarien!$E$23,0)</f>
        <v>2.94</v>
      </c>
      <c r="D4460" s="13" t="n">
        <f aca="false">IF(Szenarien!$H$23="OK",(IFERROR(SUMIF(Nutzungsprofile!$B$17:$B$22,"Schulbetrieb",Nutzungsprofile!$G$17:$G$22)*Kalender!C68/SUM(Kalender!$C$5:$C$370),0)+IFERROR(SUMIF(Nutzungsprofile!$B$17:$B$22,"Halle",Nutzungsprofile!$G$17:$G$22)*Kalender!D68/SUM(Kalender!$D$5:$D$370),0)+IFERROR(SUMIF(Nutzungsprofile!$B$17:$B$22,"Individuell",Nutzungsprofile!$G$17:$G$22)*Kalender!E68/SUM(Kalender!$E$5:$E$370),0))*Szenarien!$D$23,0)</f>
        <v>4.94</v>
      </c>
      <c r="E4460" s="13" t="n">
        <f aca="false">IFERROR(MIN(C4460,Eingaben!$B$17)*Eingaben!$B$16,0)</f>
        <v>2.793</v>
      </c>
      <c r="F4460" s="13" t="n">
        <f aca="false">IFERROR(E4460*Eingaben!$B$15,0)</f>
        <v>2.5137</v>
      </c>
      <c r="G4460" s="13" t="n">
        <f aca="false">IFERROR(IF(Kalender!A68="",0,J4459*(1-Eingaben!$B$20)),0)</f>
        <v>0.7390278</v>
      </c>
      <c r="H4460" s="13" t="n">
        <f aca="false">MIN(G4460,D4460)</f>
        <v>0.7390278</v>
      </c>
      <c r="I4460" s="13" t="n">
        <f aca="false">IFERROR(MIN(F4460*Eingaben!$B$19,MAX(0,D4460-H4460)),0)</f>
        <v>1.75959</v>
      </c>
      <c r="J4460" s="13" t="n">
        <f aca="false">IFERROR(MIN(Eingaben!$B$18,MAX(0,F4460-I4460)),0)</f>
        <v>0.75411</v>
      </c>
      <c r="K4460" s="13" t="n">
        <f aca="false">H4460+I4460</f>
        <v>2.4986178</v>
      </c>
      <c r="L4460" s="13" t="n">
        <f aca="false">MAX(0,D4460-K4460)</f>
        <v>2.4413822</v>
      </c>
      <c r="M4460" s="13" t="n">
        <f aca="false">MAX(0,F4460-I4460-J4460)</f>
        <v>0</v>
      </c>
      <c r="N4460" s="13" t="n">
        <f aca="false">IF(Kalender!A68="",0,J4459-H4460)</f>
        <v>0.0150822</v>
      </c>
    </row>
    <row r="4461" customFormat="false" ht="16.4" hidden="false" customHeight="false" outlineLevel="0" collapsed="false">
      <c r="A4461" s="13" t="str">
        <f aca="false">""</f>
        <v/>
      </c>
      <c r="B4461" s="13" t="n">
        <f aca="false">65</f>
        <v>65</v>
      </c>
      <c r="C4461" s="13" t="n">
        <f aca="false">IF(Szenarien!$H$23="OK",(IFERROR(SUMIF(Nutzungsprofile!$B$6:$B$11,"Schulbetrieb",Nutzungsprofile!$G$6:$G$11)*Kalender!C69/SUM(Kalender!$C$5:$C$370),0)+IFERROR(SUMIF(Nutzungsprofile!$B$6:$B$11,"Halle",Nutzungsprofile!$G$6:$G$11)*Kalender!D69/SUM(Kalender!$D$5:$D$370),0)+IFERROR(SUMIF(Nutzungsprofile!$B$6:$B$11,"Individuell",Nutzungsprofile!$G$6:$G$11)*Kalender!E69/SUM(Kalender!$E$5:$E$370),0))*Szenarien!$E$23,0)</f>
        <v>2.94</v>
      </c>
      <c r="D4461" s="13" t="n">
        <f aca="false">IF(Szenarien!$H$23="OK",(IFERROR(SUMIF(Nutzungsprofile!$B$17:$B$22,"Schulbetrieb",Nutzungsprofile!$G$17:$G$22)*Kalender!C69/SUM(Kalender!$C$5:$C$370),0)+IFERROR(SUMIF(Nutzungsprofile!$B$17:$B$22,"Halle",Nutzungsprofile!$G$17:$G$22)*Kalender!D69/SUM(Kalender!$D$5:$D$370),0)+IFERROR(SUMIF(Nutzungsprofile!$B$17:$B$22,"Individuell",Nutzungsprofile!$G$17:$G$22)*Kalender!E69/SUM(Kalender!$E$5:$E$370),0))*Szenarien!$D$23,0)</f>
        <v>4.94</v>
      </c>
      <c r="E4461" s="13" t="n">
        <f aca="false">IFERROR(MIN(C4461,Eingaben!$B$17)*Eingaben!$B$16,0)</f>
        <v>2.793</v>
      </c>
      <c r="F4461" s="13" t="n">
        <f aca="false">IFERROR(E4461*Eingaben!$B$15,0)</f>
        <v>2.5137</v>
      </c>
      <c r="G4461" s="13" t="n">
        <f aca="false">IFERROR(IF(Kalender!A69="",0,J4460*(1-Eingaben!$B$20)),0)</f>
        <v>0.7390278</v>
      </c>
      <c r="H4461" s="13" t="n">
        <f aca="false">MIN(G4461,D4461)</f>
        <v>0.7390278</v>
      </c>
      <c r="I4461" s="13" t="n">
        <f aca="false">IFERROR(MIN(F4461*Eingaben!$B$19,MAX(0,D4461-H4461)),0)</f>
        <v>1.75959</v>
      </c>
      <c r="J4461" s="13" t="n">
        <f aca="false">IFERROR(MIN(Eingaben!$B$18,MAX(0,F4461-I4461)),0)</f>
        <v>0.75411</v>
      </c>
      <c r="K4461" s="13" t="n">
        <f aca="false">H4461+I4461</f>
        <v>2.4986178</v>
      </c>
      <c r="L4461" s="13" t="n">
        <f aca="false">MAX(0,D4461-K4461)</f>
        <v>2.4413822</v>
      </c>
      <c r="M4461" s="13" t="n">
        <f aca="false">MAX(0,F4461-I4461-J4461)</f>
        <v>0</v>
      </c>
      <c r="N4461" s="13" t="n">
        <f aca="false">IF(Kalender!A69="",0,J4460-H4461)</f>
        <v>0.0150822</v>
      </c>
    </row>
    <row r="4462" customFormat="false" ht="16.4" hidden="false" customHeight="false" outlineLevel="0" collapsed="false">
      <c r="A4462" s="13" t="str">
        <f aca="false">""</f>
        <v/>
      </c>
      <c r="B4462" s="13" t="n">
        <f aca="false">66</f>
        <v>66</v>
      </c>
      <c r="C4462" s="13" t="n">
        <f aca="false">IF(Szenarien!$H$23="OK",(IFERROR(SUMIF(Nutzungsprofile!$B$6:$B$11,"Schulbetrieb",Nutzungsprofile!$G$6:$G$11)*Kalender!C70/SUM(Kalender!$C$5:$C$370),0)+IFERROR(SUMIF(Nutzungsprofile!$B$6:$B$11,"Halle",Nutzungsprofile!$G$6:$G$11)*Kalender!D70/SUM(Kalender!$D$5:$D$370),0)+IFERROR(SUMIF(Nutzungsprofile!$B$6:$B$11,"Individuell",Nutzungsprofile!$G$6:$G$11)*Kalender!E70/SUM(Kalender!$E$5:$E$370),0))*Szenarien!$E$23,0)</f>
        <v>2.04</v>
      </c>
      <c r="D4462" s="13" t="n">
        <f aca="false">IF(Szenarien!$H$23="OK",(IFERROR(SUMIF(Nutzungsprofile!$B$17:$B$22,"Schulbetrieb",Nutzungsprofile!$G$17:$G$22)*Kalender!C70/SUM(Kalender!$C$5:$C$370),0)+IFERROR(SUMIF(Nutzungsprofile!$B$17:$B$22,"Halle",Nutzungsprofile!$G$17:$G$22)*Kalender!D70/SUM(Kalender!$D$5:$D$370),0)+IFERROR(SUMIF(Nutzungsprofile!$B$17:$B$22,"Individuell",Nutzungsprofile!$G$17:$G$22)*Kalender!E70/SUM(Kalender!$E$5:$E$370),0))*Szenarien!$D$23,0)</f>
        <v>0.89</v>
      </c>
      <c r="E4462" s="13" t="n">
        <f aca="false">IFERROR(MIN(C4462,Eingaben!$B$17)*Eingaben!$B$16,0)</f>
        <v>1.938</v>
      </c>
      <c r="F4462" s="13" t="n">
        <f aca="false">IFERROR(E4462*Eingaben!$B$15,0)</f>
        <v>1.7442</v>
      </c>
      <c r="G4462" s="13" t="n">
        <f aca="false">IFERROR(IF(Kalender!A70="",0,J4461*(1-Eingaben!$B$20)),0)</f>
        <v>0.7390278</v>
      </c>
      <c r="H4462" s="13" t="n">
        <f aca="false">MIN(G4462,D4462)</f>
        <v>0.7390278</v>
      </c>
      <c r="I4462" s="13" t="n">
        <f aca="false">IFERROR(MIN(F4462*Eingaben!$B$19,MAX(0,D4462-H4462)),0)</f>
        <v>0.1509722</v>
      </c>
      <c r="J4462" s="13" t="n">
        <f aca="false">IFERROR(MIN(Eingaben!$B$18,MAX(0,F4462-I4462)),0)</f>
        <v>1.5932278</v>
      </c>
      <c r="K4462" s="13" t="n">
        <f aca="false">H4462+I4462</f>
        <v>0.89</v>
      </c>
      <c r="L4462" s="13" t="n">
        <f aca="false">MAX(0,D4462-K4462)</f>
        <v>0</v>
      </c>
      <c r="M4462" s="13" t="n">
        <f aca="false">MAX(0,F4462-I4462-J4462)</f>
        <v>0</v>
      </c>
      <c r="N4462" s="13" t="n">
        <f aca="false">IF(Kalender!A70="",0,J4461-H4462)</f>
        <v>0.0150822</v>
      </c>
    </row>
    <row r="4463" customFormat="false" ht="16.4" hidden="false" customHeight="false" outlineLevel="0" collapsed="false">
      <c r="A4463" s="13" t="str">
        <f aca="false">""</f>
        <v/>
      </c>
      <c r="B4463" s="13" t="n">
        <f aca="false">67</f>
        <v>67</v>
      </c>
      <c r="C4463" s="13" t="n">
        <f aca="false">IF(Szenarien!$H$23="OK",(IFERROR(SUMIF(Nutzungsprofile!$B$6:$B$11,"Schulbetrieb",Nutzungsprofile!$G$6:$G$11)*Kalender!C71/SUM(Kalender!$C$5:$C$370),0)+IFERROR(SUMIF(Nutzungsprofile!$B$6:$B$11,"Halle",Nutzungsprofile!$G$6:$G$11)*Kalender!D71/SUM(Kalender!$D$5:$D$370),0)+IFERROR(SUMIF(Nutzungsprofile!$B$6:$B$11,"Individuell",Nutzungsprofile!$G$6:$G$11)*Kalender!E71/SUM(Kalender!$E$5:$E$370),0))*Szenarien!$E$23,0)</f>
        <v>2.04</v>
      </c>
      <c r="D4463" s="13" t="n">
        <f aca="false">IF(Szenarien!$H$23="OK",(IFERROR(SUMIF(Nutzungsprofile!$B$17:$B$22,"Schulbetrieb",Nutzungsprofile!$G$17:$G$22)*Kalender!C71/SUM(Kalender!$C$5:$C$370),0)+IFERROR(SUMIF(Nutzungsprofile!$B$17:$B$22,"Halle",Nutzungsprofile!$G$17:$G$22)*Kalender!D71/SUM(Kalender!$D$5:$D$370),0)+IFERROR(SUMIF(Nutzungsprofile!$B$17:$B$22,"Individuell",Nutzungsprofile!$G$17:$G$22)*Kalender!E71/SUM(Kalender!$E$5:$E$370),0))*Szenarien!$D$23,0)</f>
        <v>0.89</v>
      </c>
      <c r="E4463" s="13" t="n">
        <f aca="false">IFERROR(MIN(C4463,Eingaben!$B$17)*Eingaben!$B$16,0)</f>
        <v>1.938</v>
      </c>
      <c r="F4463" s="13" t="n">
        <f aca="false">IFERROR(E4463*Eingaben!$B$15,0)</f>
        <v>1.7442</v>
      </c>
      <c r="G4463" s="13" t="n">
        <f aca="false">IFERROR(IF(Kalender!A71="",0,J4462*(1-Eingaben!$B$20)),0)</f>
        <v>1.561363244</v>
      </c>
      <c r="H4463" s="13" t="n">
        <f aca="false">MIN(G4463,D4463)</f>
        <v>0.89</v>
      </c>
      <c r="I4463" s="13" t="n">
        <f aca="false">IFERROR(MIN(F4463*Eingaben!$B$19,MAX(0,D4463-H4463)),0)</f>
        <v>0</v>
      </c>
      <c r="J4463" s="13" t="n">
        <f aca="false">IFERROR(MIN(Eingaben!$B$18,MAX(0,F4463-I4463)),0)</f>
        <v>1.7442</v>
      </c>
      <c r="K4463" s="13" t="n">
        <f aca="false">H4463+I4463</f>
        <v>0.89</v>
      </c>
      <c r="L4463" s="13" t="n">
        <f aca="false">MAX(0,D4463-K4463)</f>
        <v>0</v>
      </c>
      <c r="M4463" s="13" t="n">
        <f aca="false">MAX(0,F4463-I4463-J4463)</f>
        <v>0</v>
      </c>
      <c r="N4463" s="13" t="n">
        <f aca="false">IF(Kalender!A71="",0,J4462-H4463)</f>
        <v>0.7032278</v>
      </c>
    </row>
    <row r="4464" customFormat="false" ht="16.4" hidden="false" customHeight="false" outlineLevel="0" collapsed="false">
      <c r="A4464" s="13" t="str">
        <f aca="false">""</f>
        <v/>
      </c>
      <c r="B4464" s="13" t="n">
        <f aca="false">68</f>
        <v>68</v>
      </c>
      <c r="C4464" s="13" t="n">
        <f aca="false">IF(Szenarien!$H$23="OK",(IFERROR(SUMIF(Nutzungsprofile!$B$6:$B$11,"Schulbetrieb",Nutzungsprofile!$G$6:$G$11)*Kalender!C72/SUM(Kalender!$C$5:$C$370),0)+IFERROR(SUMIF(Nutzungsprofile!$B$6:$B$11,"Halle",Nutzungsprofile!$G$6:$G$11)*Kalender!D72/SUM(Kalender!$D$5:$D$370),0)+IFERROR(SUMIF(Nutzungsprofile!$B$6:$B$11,"Individuell",Nutzungsprofile!$G$6:$G$11)*Kalender!E72/SUM(Kalender!$E$5:$E$370),0))*Szenarien!$E$23,0)</f>
        <v>2.94</v>
      </c>
      <c r="D4464" s="13" t="n">
        <f aca="false">IF(Szenarien!$H$23="OK",(IFERROR(SUMIF(Nutzungsprofile!$B$17:$B$22,"Schulbetrieb",Nutzungsprofile!$G$17:$G$22)*Kalender!C72/SUM(Kalender!$C$5:$C$370),0)+IFERROR(SUMIF(Nutzungsprofile!$B$17:$B$22,"Halle",Nutzungsprofile!$G$17:$G$22)*Kalender!D72/SUM(Kalender!$D$5:$D$370),0)+IFERROR(SUMIF(Nutzungsprofile!$B$17:$B$22,"Individuell",Nutzungsprofile!$G$17:$G$22)*Kalender!E72/SUM(Kalender!$E$5:$E$370),0))*Szenarien!$D$23,0)</f>
        <v>4.94</v>
      </c>
      <c r="E4464" s="13" t="n">
        <f aca="false">IFERROR(MIN(C4464,Eingaben!$B$17)*Eingaben!$B$16,0)</f>
        <v>2.793</v>
      </c>
      <c r="F4464" s="13" t="n">
        <f aca="false">IFERROR(E4464*Eingaben!$B$15,0)</f>
        <v>2.5137</v>
      </c>
      <c r="G4464" s="13" t="n">
        <f aca="false">IFERROR(IF(Kalender!A72="",0,J4463*(1-Eingaben!$B$20)),0)</f>
        <v>1.709316</v>
      </c>
      <c r="H4464" s="13" t="n">
        <f aca="false">MIN(G4464,D4464)</f>
        <v>1.709316</v>
      </c>
      <c r="I4464" s="13" t="n">
        <f aca="false">IFERROR(MIN(F4464*Eingaben!$B$19,MAX(0,D4464-H4464)),0)</f>
        <v>1.75959</v>
      </c>
      <c r="J4464" s="13" t="n">
        <f aca="false">IFERROR(MIN(Eingaben!$B$18,MAX(0,F4464-I4464)),0)</f>
        <v>0.75411</v>
      </c>
      <c r="K4464" s="13" t="n">
        <f aca="false">H4464+I4464</f>
        <v>3.468906</v>
      </c>
      <c r="L4464" s="13" t="n">
        <f aca="false">MAX(0,D4464-K4464)</f>
        <v>1.471094</v>
      </c>
      <c r="M4464" s="13" t="n">
        <f aca="false">MAX(0,F4464-I4464-J4464)</f>
        <v>0</v>
      </c>
      <c r="N4464" s="13" t="n">
        <f aca="false">IF(Kalender!A72="",0,J4463-H4464)</f>
        <v>0.0348840000000001</v>
      </c>
    </row>
    <row r="4465" customFormat="false" ht="16.4" hidden="false" customHeight="false" outlineLevel="0" collapsed="false">
      <c r="A4465" s="13" t="str">
        <f aca="false">""</f>
        <v/>
      </c>
      <c r="B4465" s="13" t="n">
        <f aca="false">69</f>
        <v>69</v>
      </c>
      <c r="C4465" s="13" t="n">
        <f aca="false">IF(Szenarien!$H$23="OK",(IFERROR(SUMIF(Nutzungsprofile!$B$6:$B$11,"Schulbetrieb",Nutzungsprofile!$G$6:$G$11)*Kalender!C73/SUM(Kalender!$C$5:$C$370),0)+IFERROR(SUMIF(Nutzungsprofile!$B$6:$B$11,"Halle",Nutzungsprofile!$G$6:$G$11)*Kalender!D73/SUM(Kalender!$D$5:$D$370),0)+IFERROR(SUMIF(Nutzungsprofile!$B$6:$B$11,"Individuell",Nutzungsprofile!$G$6:$G$11)*Kalender!E73/SUM(Kalender!$E$5:$E$370),0))*Szenarien!$E$23,0)</f>
        <v>2.94</v>
      </c>
      <c r="D4465" s="13" t="n">
        <f aca="false">IF(Szenarien!$H$23="OK",(IFERROR(SUMIF(Nutzungsprofile!$B$17:$B$22,"Schulbetrieb",Nutzungsprofile!$G$17:$G$22)*Kalender!C73/SUM(Kalender!$C$5:$C$370),0)+IFERROR(SUMIF(Nutzungsprofile!$B$17:$B$22,"Halle",Nutzungsprofile!$G$17:$G$22)*Kalender!D73/SUM(Kalender!$D$5:$D$370),0)+IFERROR(SUMIF(Nutzungsprofile!$B$17:$B$22,"Individuell",Nutzungsprofile!$G$17:$G$22)*Kalender!E73/SUM(Kalender!$E$5:$E$370),0))*Szenarien!$D$23,0)</f>
        <v>4.94</v>
      </c>
      <c r="E4465" s="13" t="n">
        <f aca="false">IFERROR(MIN(C4465,Eingaben!$B$17)*Eingaben!$B$16,0)</f>
        <v>2.793</v>
      </c>
      <c r="F4465" s="13" t="n">
        <f aca="false">IFERROR(E4465*Eingaben!$B$15,0)</f>
        <v>2.5137</v>
      </c>
      <c r="G4465" s="13" t="n">
        <f aca="false">IFERROR(IF(Kalender!A73="",0,J4464*(1-Eingaben!$B$20)),0)</f>
        <v>0.7390278</v>
      </c>
      <c r="H4465" s="13" t="n">
        <f aca="false">MIN(G4465,D4465)</f>
        <v>0.7390278</v>
      </c>
      <c r="I4465" s="13" t="n">
        <f aca="false">IFERROR(MIN(F4465*Eingaben!$B$19,MAX(0,D4465-H4465)),0)</f>
        <v>1.75959</v>
      </c>
      <c r="J4465" s="13" t="n">
        <f aca="false">IFERROR(MIN(Eingaben!$B$18,MAX(0,F4465-I4465)),0)</f>
        <v>0.75411</v>
      </c>
      <c r="K4465" s="13" t="n">
        <f aca="false">H4465+I4465</f>
        <v>2.4986178</v>
      </c>
      <c r="L4465" s="13" t="n">
        <f aca="false">MAX(0,D4465-K4465)</f>
        <v>2.4413822</v>
      </c>
      <c r="M4465" s="13" t="n">
        <f aca="false">MAX(0,F4465-I4465-J4465)</f>
        <v>0</v>
      </c>
      <c r="N4465" s="13" t="n">
        <f aca="false">IF(Kalender!A73="",0,J4464-H4465)</f>
        <v>0.0150822</v>
      </c>
    </row>
    <row r="4466" customFormat="false" ht="16.4" hidden="false" customHeight="false" outlineLevel="0" collapsed="false">
      <c r="A4466" s="13" t="str">
        <f aca="false">""</f>
        <v/>
      </c>
      <c r="B4466" s="13" t="n">
        <f aca="false">70</f>
        <v>70</v>
      </c>
      <c r="C4466" s="13" t="n">
        <f aca="false">IF(Szenarien!$H$23="OK",(IFERROR(SUMIF(Nutzungsprofile!$B$6:$B$11,"Schulbetrieb",Nutzungsprofile!$G$6:$G$11)*Kalender!C74/SUM(Kalender!$C$5:$C$370),0)+IFERROR(SUMIF(Nutzungsprofile!$B$6:$B$11,"Halle",Nutzungsprofile!$G$6:$G$11)*Kalender!D74/SUM(Kalender!$D$5:$D$370),0)+IFERROR(SUMIF(Nutzungsprofile!$B$6:$B$11,"Individuell",Nutzungsprofile!$G$6:$G$11)*Kalender!E74/SUM(Kalender!$E$5:$E$370),0))*Szenarien!$E$23,0)</f>
        <v>2.94</v>
      </c>
      <c r="D4466" s="13" t="n">
        <f aca="false">IF(Szenarien!$H$23="OK",(IFERROR(SUMIF(Nutzungsprofile!$B$17:$B$22,"Schulbetrieb",Nutzungsprofile!$G$17:$G$22)*Kalender!C74/SUM(Kalender!$C$5:$C$370),0)+IFERROR(SUMIF(Nutzungsprofile!$B$17:$B$22,"Halle",Nutzungsprofile!$G$17:$G$22)*Kalender!D74/SUM(Kalender!$D$5:$D$370),0)+IFERROR(SUMIF(Nutzungsprofile!$B$17:$B$22,"Individuell",Nutzungsprofile!$G$17:$G$22)*Kalender!E74/SUM(Kalender!$E$5:$E$370),0))*Szenarien!$D$23,0)</f>
        <v>4.94</v>
      </c>
      <c r="E4466" s="13" t="n">
        <f aca="false">IFERROR(MIN(C4466,Eingaben!$B$17)*Eingaben!$B$16,0)</f>
        <v>2.793</v>
      </c>
      <c r="F4466" s="13" t="n">
        <f aca="false">IFERROR(E4466*Eingaben!$B$15,0)</f>
        <v>2.5137</v>
      </c>
      <c r="G4466" s="13" t="n">
        <f aca="false">IFERROR(IF(Kalender!A74="",0,J4465*(1-Eingaben!$B$20)),0)</f>
        <v>0.7390278</v>
      </c>
      <c r="H4466" s="13" t="n">
        <f aca="false">MIN(G4466,D4466)</f>
        <v>0.7390278</v>
      </c>
      <c r="I4466" s="13" t="n">
        <f aca="false">IFERROR(MIN(F4466*Eingaben!$B$19,MAX(0,D4466-H4466)),0)</f>
        <v>1.75959</v>
      </c>
      <c r="J4466" s="13" t="n">
        <f aca="false">IFERROR(MIN(Eingaben!$B$18,MAX(0,F4466-I4466)),0)</f>
        <v>0.75411</v>
      </c>
      <c r="K4466" s="13" t="n">
        <f aca="false">H4466+I4466</f>
        <v>2.4986178</v>
      </c>
      <c r="L4466" s="13" t="n">
        <f aca="false">MAX(0,D4466-K4466)</f>
        <v>2.4413822</v>
      </c>
      <c r="M4466" s="13" t="n">
        <f aca="false">MAX(0,F4466-I4466-J4466)</f>
        <v>0</v>
      </c>
      <c r="N4466" s="13" t="n">
        <f aca="false">IF(Kalender!A74="",0,J4465-H4466)</f>
        <v>0.0150822</v>
      </c>
    </row>
    <row r="4467" customFormat="false" ht="16.4" hidden="false" customHeight="false" outlineLevel="0" collapsed="false">
      <c r="A4467" s="13" t="str">
        <f aca="false">""</f>
        <v/>
      </c>
      <c r="B4467" s="13" t="n">
        <f aca="false">71</f>
        <v>71</v>
      </c>
      <c r="C4467" s="13" t="n">
        <f aca="false">IF(Szenarien!$H$23="OK",(IFERROR(SUMIF(Nutzungsprofile!$B$6:$B$11,"Schulbetrieb",Nutzungsprofile!$G$6:$G$11)*Kalender!C75/SUM(Kalender!$C$5:$C$370),0)+IFERROR(SUMIF(Nutzungsprofile!$B$6:$B$11,"Halle",Nutzungsprofile!$G$6:$G$11)*Kalender!D75/SUM(Kalender!$D$5:$D$370),0)+IFERROR(SUMIF(Nutzungsprofile!$B$6:$B$11,"Individuell",Nutzungsprofile!$G$6:$G$11)*Kalender!E75/SUM(Kalender!$E$5:$E$370),0))*Szenarien!$E$23,0)</f>
        <v>2.94</v>
      </c>
      <c r="D4467" s="13" t="n">
        <f aca="false">IF(Szenarien!$H$23="OK",(IFERROR(SUMIF(Nutzungsprofile!$B$17:$B$22,"Schulbetrieb",Nutzungsprofile!$G$17:$G$22)*Kalender!C75/SUM(Kalender!$C$5:$C$370),0)+IFERROR(SUMIF(Nutzungsprofile!$B$17:$B$22,"Halle",Nutzungsprofile!$G$17:$G$22)*Kalender!D75/SUM(Kalender!$D$5:$D$370),0)+IFERROR(SUMIF(Nutzungsprofile!$B$17:$B$22,"Individuell",Nutzungsprofile!$G$17:$G$22)*Kalender!E75/SUM(Kalender!$E$5:$E$370),0))*Szenarien!$D$23,0)</f>
        <v>4.94</v>
      </c>
      <c r="E4467" s="13" t="n">
        <f aca="false">IFERROR(MIN(C4467,Eingaben!$B$17)*Eingaben!$B$16,0)</f>
        <v>2.793</v>
      </c>
      <c r="F4467" s="13" t="n">
        <f aca="false">IFERROR(E4467*Eingaben!$B$15,0)</f>
        <v>2.5137</v>
      </c>
      <c r="G4467" s="13" t="n">
        <f aca="false">IFERROR(IF(Kalender!A75="",0,J4466*(1-Eingaben!$B$20)),0)</f>
        <v>0.7390278</v>
      </c>
      <c r="H4467" s="13" t="n">
        <f aca="false">MIN(G4467,D4467)</f>
        <v>0.7390278</v>
      </c>
      <c r="I4467" s="13" t="n">
        <f aca="false">IFERROR(MIN(F4467*Eingaben!$B$19,MAX(0,D4467-H4467)),0)</f>
        <v>1.75959</v>
      </c>
      <c r="J4467" s="13" t="n">
        <f aca="false">IFERROR(MIN(Eingaben!$B$18,MAX(0,F4467-I4467)),0)</f>
        <v>0.75411</v>
      </c>
      <c r="K4467" s="13" t="n">
        <f aca="false">H4467+I4467</f>
        <v>2.4986178</v>
      </c>
      <c r="L4467" s="13" t="n">
        <f aca="false">MAX(0,D4467-K4467)</f>
        <v>2.4413822</v>
      </c>
      <c r="M4467" s="13" t="n">
        <f aca="false">MAX(0,F4467-I4467-J4467)</f>
        <v>0</v>
      </c>
      <c r="N4467" s="13" t="n">
        <f aca="false">IF(Kalender!A75="",0,J4466-H4467)</f>
        <v>0.0150822</v>
      </c>
    </row>
    <row r="4468" customFormat="false" ht="16.4" hidden="false" customHeight="false" outlineLevel="0" collapsed="false">
      <c r="A4468" s="13" t="str">
        <f aca="false">""</f>
        <v/>
      </c>
      <c r="B4468" s="13" t="n">
        <f aca="false">72</f>
        <v>72</v>
      </c>
      <c r="C4468" s="13" t="n">
        <f aca="false">IF(Szenarien!$H$23="OK",(IFERROR(SUMIF(Nutzungsprofile!$B$6:$B$11,"Schulbetrieb",Nutzungsprofile!$G$6:$G$11)*Kalender!C76/SUM(Kalender!$C$5:$C$370),0)+IFERROR(SUMIF(Nutzungsprofile!$B$6:$B$11,"Halle",Nutzungsprofile!$G$6:$G$11)*Kalender!D76/SUM(Kalender!$D$5:$D$370),0)+IFERROR(SUMIF(Nutzungsprofile!$B$6:$B$11,"Individuell",Nutzungsprofile!$G$6:$G$11)*Kalender!E76/SUM(Kalender!$E$5:$E$370),0))*Szenarien!$E$23,0)</f>
        <v>2.94</v>
      </c>
      <c r="D4468" s="13" t="n">
        <f aca="false">IF(Szenarien!$H$23="OK",(IFERROR(SUMIF(Nutzungsprofile!$B$17:$B$22,"Schulbetrieb",Nutzungsprofile!$G$17:$G$22)*Kalender!C76/SUM(Kalender!$C$5:$C$370),0)+IFERROR(SUMIF(Nutzungsprofile!$B$17:$B$22,"Halle",Nutzungsprofile!$G$17:$G$22)*Kalender!D76/SUM(Kalender!$D$5:$D$370),0)+IFERROR(SUMIF(Nutzungsprofile!$B$17:$B$22,"Individuell",Nutzungsprofile!$G$17:$G$22)*Kalender!E76/SUM(Kalender!$E$5:$E$370),0))*Szenarien!$D$23,0)</f>
        <v>4.94</v>
      </c>
      <c r="E4468" s="13" t="n">
        <f aca="false">IFERROR(MIN(C4468,Eingaben!$B$17)*Eingaben!$B$16,0)</f>
        <v>2.793</v>
      </c>
      <c r="F4468" s="13" t="n">
        <f aca="false">IFERROR(E4468*Eingaben!$B$15,0)</f>
        <v>2.5137</v>
      </c>
      <c r="G4468" s="13" t="n">
        <f aca="false">IFERROR(IF(Kalender!A76="",0,J4467*(1-Eingaben!$B$20)),0)</f>
        <v>0.7390278</v>
      </c>
      <c r="H4468" s="13" t="n">
        <f aca="false">MIN(G4468,D4468)</f>
        <v>0.7390278</v>
      </c>
      <c r="I4468" s="13" t="n">
        <f aca="false">IFERROR(MIN(F4468*Eingaben!$B$19,MAX(0,D4468-H4468)),0)</f>
        <v>1.75959</v>
      </c>
      <c r="J4468" s="13" t="n">
        <f aca="false">IFERROR(MIN(Eingaben!$B$18,MAX(0,F4468-I4468)),0)</f>
        <v>0.75411</v>
      </c>
      <c r="K4468" s="13" t="n">
        <f aca="false">H4468+I4468</f>
        <v>2.4986178</v>
      </c>
      <c r="L4468" s="13" t="n">
        <f aca="false">MAX(0,D4468-K4468)</f>
        <v>2.4413822</v>
      </c>
      <c r="M4468" s="13" t="n">
        <f aca="false">MAX(0,F4468-I4468-J4468)</f>
        <v>0</v>
      </c>
      <c r="N4468" s="13" t="n">
        <f aca="false">IF(Kalender!A76="",0,J4467-H4468)</f>
        <v>0.0150822</v>
      </c>
    </row>
    <row r="4469" customFormat="false" ht="16.4" hidden="false" customHeight="false" outlineLevel="0" collapsed="false">
      <c r="A4469" s="13" t="str">
        <f aca="false">""</f>
        <v/>
      </c>
      <c r="B4469" s="13" t="n">
        <f aca="false">73</f>
        <v>73</v>
      </c>
      <c r="C4469" s="13" t="n">
        <f aca="false">IF(Szenarien!$H$23="OK",(IFERROR(SUMIF(Nutzungsprofile!$B$6:$B$11,"Schulbetrieb",Nutzungsprofile!$G$6:$G$11)*Kalender!C77/SUM(Kalender!$C$5:$C$370),0)+IFERROR(SUMIF(Nutzungsprofile!$B$6:$B$11,"Halle",Nutzungsprofile!$G$6:$G$11)*Kalender!D77/SUM(Kalender!$D$5:$D$370),0)+IFERROR(SUMIF(Nutzungsprofile!$B$6:$B$11,"Individuell",Nutzungsprofile!$G$6:$G$11)*Kalender!E77/SUM(Kalender!$E$5:$E$370),0))*Szenarien!$E$23,0)</f>
        <v>2.04</v>
      </c>
      <c r="D4469" s="13" t="n">
        <f aca="false">IF(Szenarien!$H$23="OK",(IFERROR(SUMIF(Nutzungsprofile!$B$17:$B$22,"Schulbetrieb",Nutzungsprofile!$G$17:$G$22)*Kalender!C77/SUM(Kalender!$C$5:$C$370),0)+IFERROR(SUMIF(Nutzungsprofile!$B$17:$B$22,"Halle",Nutzungsprofile!$G$17:$G$22)*Kalender!D77/SUM(Kalender!$D$5:$D$370),0)+IFERROR(SUMIF(Nutzungsprofile!$B$17:$B$22,"Individuell",Nutzungsprofile!$G$17:$G$22)*Kalender!E77/SUM(Kalender!$E$5:$E$370),0))*Szenarien!$D$23,0)</f>
        <v>0.89</v>
      </c>
      <c r="E4469" s="13" t="n">
        <f aca="false">IFERROR(MIN(C4469,Eingaben!$B$17)*Eingaben!$B$16,0)</f>
        <v>1.938</v>
      </c>
      <c r="F4469" s="13" t="n">
        <f aca="false">IFERROR(E4469*Eingaben!$B$15,0)</f>
        <v>1.7442</v>
      </c>
      <c r="G4469" s="13" t="n">
        <f aca="false">IFERROR(IF(Kalender!A77="",0,J4468*(1-Eingaben!$B$20)),0)</f>
        <v>0.7390278</v>
      </c>
      <c r="H4469" s="13" t="n">
        <f aca="false">MIN(G4469,D4469)</f>
        <v>0.7390278</v>
      </c>
      <c r="I4469" s="13" t="n">
        <f aca="false">IFERROR(MIN(F4469*Eingaben!$B$19,MAX(0,D4469-H4469)),0)</f>
        <v>0.1509722</v>
      </c>
      <c r="J4469" s="13" t="n">
        <f aca="false">IFERROR(MIN(Eingaben!$B$18,MAX(0,F4469-I4469)),0)</f>
        <v>1.5932278</v>
      </c>
      <c r="K4469" s="13" t="n">
        <f aca="false">H4469+I4469</f>
        <v>0.89</v>
      </c>
      <c r="L4469" s="13" t="n">
        <f aca="false">MAX(0,D4469-K4469)</f>
        <v>0</v>
      </c>
      <c r="M4469" s="13" t="n">
        <f aca="false">MAX(0,F4469-I4469-J4469)</f>
        <v>0</v>
      </c>
      <c r="N4469" s="13" t="n">
        <f aca="false">IF(Kalender!A77="",0,J4468-H4469)</f>
        <v>0.0150822</v>
      </c>
    </row>
    <row r="4470" customFormat="false" ht="16.4" hidden="false" customHeight="false" outlineLevel="0" collapsed="false">
      <c r="A4470" s="13" t="str">
        <f aca="false">""</f>
        <v/>
      </c>
      <c r="B4470" s="13" t="n">
        <f aca="false">74</f>
        <v>74</v>
      </c>
      <c r="C4470" s="13" t="n">
        <f aca="false">IF(Szenarien!$H$23="OK",(IFERROR(SUMIF(Nutzungsprofile!$B$6:$B$11,"Schulbetrieb",Nutzungsprofile!$G$6:$G$11)*Kalender!C78/SUM(Kalender!$C$5:$C$370),0)+IFERROR(SUMIF(Nutzungsprofile!$B$6:$B$11,"Halle",Nutzungsprofile!$G$6:$G$11)*Kalender!D78/SUM(Kalender!$D$5:$D$370),0)+IFERROR(SUMIF(Nutzungsprofile!$B$6:$B$11,"Individuell",Nutzungsprofile!$G$6:$G$11)*Kalender!E78/SUM(Kalender!$E$5:$E$370),0))*Szenarien!$E$23,0)</f>
        <v>2.04</v>
      </c>
      <c r="D4470" s="13" t="n">
        <f aca="false">IF(Szenarien!$H$23="OK",(IFERROR(SUMIF(Nutzungsprofile!$B$17:$B$22,"Schulbetrieb",Nutzungsprofile!$G$17:$G$22)*Kalender!C78/SUM(Kalender!$C$5:$C$370),0)+IFERROR(SUMIF(Nutzungsprofile!$B$17:$B$22,"Halle",Nutzungsprofile!$G$17:$G$22)*Kalender!D78/SUM(Kalender!$D$5:$D$370),0)+IFERROR(SUMIF(Nutzungsprofile!$B$17:$B$22,"Individuell",Nutzungsprofile!$G$17:$G$22)*Kalender!E78/SUM(Kalender!$E$5:$E$370),0))*Szenarien!$D$23,0)</f>
        <v>0.89</v>
      </c>
      <c r="E4470" s="13" t="n">
        <f aca="false">IFERROR(MIN(C4470,Eingaben!$B$17)*Eingaben!$B$16,0)</f>
        <v>1.938</v>
      </c>
      <c r="F4470" s="13" t="n">
        <f aca="false">IFERROR(E4470*Eingaben!$B$15,0)</f>
        <v>1.7442</v>
      </c>
      <c r="G4470" s="13" t="n">
        <f aca="false">IFERROR(IF(Kalender!A78="",0,J4469*(1-Eingaben!$B$20)),0)</f>
        <v>1.561363244</v>
      </c>
      <c r="H4470" s="13" t="n">
        <f aca="false">MIN(G4470,D4470)</f>
        <v>0.89</v>
      </c>
      <c r="I4470" s="13" t="n">
        <f aca="false">IFERROR(MIN(F4470*Eingaben!$B$19,MAX(0,D4470-H4470)),0)</f>
        <v>0</v>
      </c>
      <c r="J4470" s="13" t="n">
        <f aca="false">IFERROR(MIN(Eingaben!$B$18,MAX(0,F4470-I4470)),0)</f>
        <v>1.7442</v>
      </c>
      <c r="K4470" s="13" t="n">
        <f aca="false">H4470+I4470</f>
        <v>0.89</v>
      </c>
      <c r="L4470" s="13" t="n">
        <f aca="false">MAX(0,D4470-K4470)</f>
        <v>0</v>
      </c>
      <c r="M4470" s="13" t="n">
        <f aca="false">MAX(0,F4470-I4470-J4470)</f>
        <v>0</v>
      </c>
      <c r="N4470" s="13" t="n">
        <f aca="false">IF(Kalender!A78="",0,J4469-H4470)</f>
        <v>0.7032278</v>
      </c>
    </row>
    <row r="4471" customFormat="false" ht="16.4" hidden="false" customHeight="false" outlineLevel="0" collapsed="false">
      <c r="A4471" s="13" t="str">
        <f aca="false">""</f>
        <v/>
      </c>
      <c r="B4471" s="13" t="n">
        <f aca="false">75</f>
        <v>75</v>
      </c>
      <c r="C4471" s="13" t="n">
        <f aca="false">IF(Szenarien!$H$23="OK",(IFERROR(SUMIF(Nutzungsprofile!$B$6:$B$11,"Schulbetrieb",Nutzungsprofile!$G$6:$G$11)*Kalender!C79/SUM(Kalender!$C$5:$C$370),0)+IFERROR(SUMIF(Nutzungsprofile!$B$6:$B$11,"Halle",Nutzungsprofile!$G$6:$G$11)*Kalender!D79/SUM(Kalender!$D$5:$D$370),0)+IFERROR(SUMIF(Nutzungsprofile!$B$6:$B$11,"Individuell",Nutzungsprofile!$G$6:$G$11)*Kalender!E79/SUM(Kalender!$E$5:$E$370),0))*Szenarien!$E$23,0)</f>
        <v>2.94</v>
      </c>
      <c r="D4471" s="13" t="n">
        <f aca="false">IF(Szenarien!$H$23="OK",(IFERROR(SUMIF(Nutzungsprofile!$B$17:$B$22,"Schulbetrieb",Nutzungsprofile!$G$17:$G$22)*Kalender!C79/SUM(Kalender!$C$5:$C$370),0)+IFERROR(SUMIF(Nutzungsprofile!$B$17:$B$22,"Halle",Nutzungsprofile!$G$17:$G$22)*Kalender!D79/SUM(Kalender!$D$5:$D$370),0)+IFERROR(SUMIF(Nutzungsprofile!$B$17:$B$22,"Individuell",Nutzungsprofile!$G$17:$G$22)*Kalender!E79/SUM(Kalender!$E$5:$E$370),0))*Szenarien!$D$23,0)</f>
        <v>4.94</v>
      </c>
      <c r="E4471" s="13" t="n">
        <f aca="false">IFERROR(MIN(C4471,Eingaben!$B$17)*Eingaben!$B$16,0)</f>
        <v>2.793</v>
      </c>
      <c r="F4471" s="13" t="n">
        <f aca="false">IFERROR(E4471*Eingaben!$B$15,0)</f>
        <v>2.5137</v>
      </c>
      <c r="G4471" s="13" t="n">
        <f aca="false">IFERROR(IF(Kalender!A79="",0,J4470*(1-Eingaben!$B$20)),0)</f>
        <v>1.709316</v>
      </c>
      <c r="H4471" s="13" t="n">
        <f aca="false">MIN(G4471,D4471)</f>
        <v>1.709316</v>
      </c>
      <c r="I4471" s="13" t="n">
        <f aca="false">IFERROR(MIN(F4471*Eingaben!$B$19,MAX(0,D4471-H4471)),0)</f>
        <v>1.75959</v>
      </c>
      <c r="J4471" s="13" t="n">
        <f aca="false">IFERROR(MIN(Eingaben!$B$18,MAX(0,F4471-I4471)),0)</f>
        <v>0.75411</v>
      </c>
      <c r="K4471" s="13" t="n">
        <f aca="false">H4471+I4471</f>
        <v>3.468906</v>
      </c>
      <c r="L4471" s="13" t="n">
        <f aca="false">MAX(0,D4471-K4471)</f>
        <v>1.471094</v>
      </c>
      <c r="M4471" s="13" t="n">
        <f aca="false">MAX(0,F4471-I4471-J4471)</f>
        <v>0</v>
      </c>
      <c r="N4471" s="13" t="n">
        <f aca="false">IF(Kalender!A79="",0,J4470-H4471)</f>
        <v>0.0348840000000001</v>
      </c>
    </row>
    <row r="4472" customFormat="false" ht="16.4" hidden="false" customHeight="false" outlineLevel="0" collapsed="false">
      <c r="A4472" s="13" t="str">
        <f aca="false">""</f>
        <v/>
      </c>
      <c r="B4472" s="13" t="n">
        <f aca="false">76</f>
        <v>76</v>
      </c>
      <c r="C4472" s="13" t="n">
        <f aca="false">IF(Szenarien!$H$23="OK",(IFERROR(SUMIF(Nutzungsprofile!$B$6:$B$11,"Schulbetrieb",Nutzungsprofile!$G$6:$G$11)*Kalender!C80/SUM(Kalender!$C$5:$C$370),0)+IFERROR(SUMIF(Nutzungsprofile!$B$6:$B$11,"Halle",Nutzungsprofile!$G$6:$G$11)*Kalender!D80/SUM(Kalender!$D$5:$D$370),0)+IFERROR(SUMIF(Nutzungsprofile!$B$6:$B$11,"Individuell",Nutzungsprofile!$G$6:$G$11)*Kalender!E80/SUM(Kalender!$E$5:$E$370),0))*Szenarien!$E$23,0)</f>
        <v>2.94</v>
      </c>
      <c r="D4472" s="13" t="n">
        <f aca="false">IF(Szenarien!$H$23="OK",(IFERROR(SUMIF(Nutzungsprofile!$B$17:$B$22,"Schulbetrieb",Nutzungsprofile!$G$17:$G$22)*Kalender!C80/SUM(Kalender!$C$5:$C$370),0)+IFERROR(SUMIF(Nutzungsprofile!$B$17:$B$22,"Halle",Nutzungsprofile!$G$17:$G$22)*Kalender!D80/SUM(Kalender!$D$5:$D$370),0)+IFERROR(SUMIF(Nutzungsprofile!$B$17:$B$22,"Individuell",Nutzungsprofile!$G$17:$G$22)*Kalender!E80/SUM(Kalender!$E$5:$E$370),0))*Szenarien!$D$23,0)</f>
        <v>4.94</v>
      </c>
      <c r="E4472" s="13" t="n">
        <f aca="false">IFERROR(MIN(C4472,Eingaben!$B$17)*Eingaben!$B$16,0)</f>
        <v>2.793</v>
      </c>
      <c r="F4472" s="13" t="n">
        <f aca="false">IFERROR(E4472*Eingaben!$B$15,0)</f>
        <v>2.5137</v>
      </c>
      <c r="G4472" s="13" t="n">
        <f aca="false">IFERROR(IF(Kalender!A80="",0,J4471*(1-Eingaben!$B$20)),0)</f>
        <v>0.7390278</v>
      </c>
      <c r="H4472" s="13" t="n">
        <f aca="false">MIN(G4472,D4472)</f>
        <v>0.7390278</v>
      </c>
      <c r="I4472" s="13" t="n">
        <f aca="false">IFERROR(MIN(F4472*Eingaben!$B$19,MAX(0,D4472-H4472)),0)</f>
        <v>1.75959</v>
      </c>
      <c r="J4472" s="13" t="n">
        <f aca="false">IFERROR(MIN(Eingaben!$B$18,MAX(0,F4472-I4472)),0)</f>
        <v>0.75411</v>
      </c>
      <c r="K4472" s="13" t="n">
        <f aca="false">H4472+I4472</f>
        <v>2.4986178</v>
      </c>
      <c r="L4472" s="13" t="n">
        <f aca="false">MAX(0,D4472-K4472)</f>
        <v>2.4413822</v>
      </c>
      <c r="M4472" s="13" t="n">
        <f aca="false">MAX(0,F4472-I4472-J4472)</f>
        <v>0</v>
      </c>
      <c r="N4472" s="13" t="n">
        <f aca="false">IF(Kalender!A80="",0,J4471-H4472)</f>
        <v>0.0150822</v>
      </c>
    </row>
    <row r="4473" customFormat="false" ht="16.4" hidden="false" customHeight="false" outlineLevel="0" collapsed="false">
      <c r="A4473" s="13" t="str">
        <f aca="false">""</f>
        <v/>
      </c>
      <c r="B4473" s="13" t="n">
        <f aca="false">77</f>
        <v>77</v>
      </c>
      <c r="C4473" s="13" t="n">
        <f aca="false">IF(Szenarien!$H$23="OK",(IFERROR(SUMIF(Nutzungsprofile!$B$6:$B$11,"Schulbetrieb",Nutzungsprofile!$G$6:$G$11)*Kalender!C81/SUM(Kalender!$C$5:$C$370),0)+IFERROR(SUMIF(Nutzungsprofile!$B$6:$B$11,"Halle",Nutzungsprofile!$G$6:$G$11)*Kalender!D81/SUM(Kalender!$D$5:$D$370),0)+IFERROR(SUMIF(Nutzungsprofile!$B$6:$B$11,"Individuell",Nutzungsprofile!$G$6:$G$11)*Kalender!E81/SUM(Kalender!$E$5:$E$370),0))*Szenarien!$E$23,0)</f>
        <v>2.94</v>
      </c>
      <c r="D4473" s="13" t="n">
        <f aca="false">IF(Szenarien!$H$23="OK",(IFERROR(SUMIF(Nutzungsprofile!$B$17:$B$22,"Schulbetrieb",Nutzungsprofile!$G$17:$G$22)*Kalender!C81/SUM(Kalender!$C$5:$C$370),0)+IFERROR(SUMIF(Nutzungsprofile!$B$17:$B$22,"Halle",Nutzungsprofile!$G$17:$G$22)*Kalender!D81/SUM(Kalender!$D$5:$D$370),0)+IFERROR(SUMIF(Nutzungsprofile!$B$17:$B$22,"Individuell",Nutzungsprofile!$G$17:$G$22)*Kalender!E81/SUM(Kalender!$E$5:$E$370),0))*Szenarien!$D$23,0)</f>
        <v>4.94</v>
      </c>
      <c r="E4473" s="13" t="n">
        <f aca="false">IFERROR(MIN(C4473,Eingaben!$B$17)*Eingaben!$B$16,0)</f>
        <v>2.793</v>
      </c>
      <c r="F4473" s="13" t="n">
        <f aca="false">IFERROR(E4473*Eingaben!$B$15,0)</f>
        <v>2.5137</v>
      </c>
      <c r="G4473" s="13" t="n">
        <f aca="false">IFERROR(IF(Kalender!A81="",0,J4472*(1-Eingaben!$B$20)),0)</f>
        <v>0.7390278</v>
      </c>
      <c r="H4473" s="13" t="n">
        <f aca="false">MIN(G4473,D4473)</f>
        <v>0.7390278</v>
      </c>
      <c r="I4473" s="13" t="n">
        <f aca="false">IFERROR(MIN(F4473*Eingaben!$B$19,MAX(0,D4473-H4473)),0)</f>
        <v>1.75959</v>
      </c>
      <c r="J4473" s="13" t="n">
        <f aca="false">IFERROR(MIN(Eingaben!$B$18,MAX(0,F4473-I4473)),0)</f>
        <v>0.75411</v>
      </c>
      <c r="K4473" s="13" t="n">
        <f aca="false">H4473+I4473</f>
        <v>2.4986178</v>
      </c>
      <c r="L4473" s="13" t="n">
        <f aca="false">MAX(0,D4473-K4473)</f>
        <v>2.4413822</v>
      </c>
      <c r="M4473" s="13" t="n">
        <f aca="false">MAX(0,F4473-I4473-J4473)</f>
        <v>0</v>
      </c>
      <c r="N4473" s="13" t="n">
        <f aca="false">IF(Kalender!A81="",0,J4472-H4473)</f>
        <v>0.0150822</v>
      </c>
    </row>
    <row r="4474" customFormat="false" ht="16.4" hidden="false" customHeight="false" outlineLevel="0" collapsed="false">
      <c r="A4474" s="13" t="str">
        <f aca="false">""</f>
        <v/>
      </c>
      <c r="B4474" s="13" t="n">
        <f aca="false">78</f>
        <v>78</v>
      </c>
      <c r="C4474" s="13" t="n">
        <f aca="false">IF(Szenarien!$H$23="OK",(IFERROR(SUMIF(Nutzungsprofile!$B$6:$B$11,"Schulbetrieb",Nutzungsprofile!$G$6:$G$11)*Kalender!C82/SUM(Kalender!$C$5:$C$370),0)+IFERROR(SUMIF(Nutzungsprofile!$B$6:$B$11,"Halle",Nutzungsprofile!$G$6:$G$11)*Kalender!D82/SUM(Kalender!$D$5:$D$370),0)+IFERROR(SUMIF(Nutzungsprofile!$B$6:$B$11,"Individuell",Nutzungsprofile!$G$6:$G$11)*Kalender!E82/SUM(Kalender!$E$5:$E$370),0))*Szenarien!$E$23,0)</f>
        <v>2.94</v>
      </c>
      <c r="D4474" s="13" t="n">
        <f aca="false">IF(Szenarien!$H$23="OK",(IFERROR(SUMIF(Nutzungsprofile!$B$17:$B$22,"Schulbetrieb",Nutzungsprofile!$G$17:$G$22)*Kalender!C82/SUM(Kalender!$C$5:$C$370),0)+IFERROR(SUMIF(Nutzungsprofile!$B$17:$B$22,"Halle",Nutzungsprofile!$G$17:$G$22)*Kalender!D82/SUM(Kalender!$D$5:$D$370),0)+IFERROR(SUMIF(Nutzungsprofile!$B$17:$B$22,"Individuell",Nutzungsprofile!$G$17:$G$22)*Kalender!E82/SUM(Kalender!$E$5:$E$370),0))*Szenarien!$D$23,0)</f>
        <v>4.94</v>
      </c>
      <c r="E4474" s="13" t="n">
        <f aca="false">IFERROR(MIN(C4474,Eingaben!$B$17)*Eingaben!$B$16,0)</f>
        <v>2.793</v>
      </c>
      <c r="F4474" s="13" t="n">
        <f aca="false">IFERROR(E4474*Eingaben!$B$15,0)</f>
        <v>2.5137</v>
      </c>
      <c r="G4474" s="13" t="n">
        <f aca="false">IFERROR(IF(Kalender!A82="",0,J4473*(1-Eingaben!$B$20)),0)</f>
        <v>0.7390278</v>
      </c>
      <c r="H4474" s="13" t="n">
        <f aca="false">MIN(G4474,D4474)</f>
        <v>0.7390278</v>
      </c>
      <c r="I4474" s="13" t="n">
        <f aca="false">IFERROR(MIN(F4474*Eingaben!$B$19,MAX(0,D4474-H4474)),0)</f>
        <v>1.75959</v>
      </c>
      <c r="J4474" s="13" t="n">
        <f aca="false">IFERROR(MIN(Eingaben!$B$18,MAX(0,F4474-I4474)),0)</f>
        <v>0.75411</v>
      </c>
      <c r="K4474" s="13" t="n">
        <f aca="false">H4474+I4474</f>
        <v>2.4986178</v>
      </c>
      <c r="L4474" s="13" t="n">
        <f aca="false">MAX(0,D4474-K4474)</f>
        <v>2.4413822</v>
      </c>
      <c r="M4474" s="13" t="n">
        <f aca="false">MAX(0,F4474-I4474-J4474)</f>
        <v>0</v>
      </c>
      <c r="N4474" s="13" t="n">
        <f aca="false">IF(Kalender!A82="",0,J4473-H4474)</f>
        <v>0.0150822</v>
      </c>
    </row>
    <row r="4475" customFormat="false" ht="16.4" hidden="false" customHeight="false" outlineLevel="0" collapsed="false">
      <c r="A4475" s="13" t="str">
        <f aca="false">""</f>
        <v/>
      </c>
      <c r="B4475" s="13" t="n">
        <f aca="false">79</f>
        <v>79</v>
      </c>
      <c r="C4475" s="13" t="n">
        <f aca="false">IF(Szenarien!$H$23="OK",(IFERROR(SUMIF(Nutzungsprofile!$B$6:$B$11,"Schulbetrieb",Nutzungsprofile!$G$6:$G$11)*Kalender!C83/SUM(Kalender!$C$5:$C$370),0)+IFERROR(SUMIF(Nutzungsprofile!$B$6:$B$11,"Halle",Nutzungsprofile!$G$6:$G$11)*Kalender!D83/SUM(Kalender!$D$5:$D$370),0)+IFERROR(SUMIF(Nutzungsprofile!$B$6:$B$11,"Individuell",Nutzungsprofile!$G$6:$G$11)*Kalender!E83/SUM(Kalender!$E$5:$E$370),0))*Szenarien!$E$23,0)</f>
        <v>2.94</v>
      </c>
      <c r="D4475" s="13" t="n">
        <f aca="false">IF(Szenarien!$H$23="OK",(IFERROR(SUMIF(Nutzungsprofile!$B$17:$B$22,"Schulbetrieb",Nutzungsprofile!$G$17:$G$22)*Kalender!C83/SUM(Kalender!$C$5:$C$370),0)+IFERROR(SUMIF(Nutzungsprofile!$B$17:$B$22,"Halle",Nutzungsprofile!$G$17:$G$22)*Kalender!D83/SUM(Kalender!$D$5:$D$370),0)+IFERROR(SUMIF(Nutzungsprofile!$B$17:$B$22,"Individuell",Nutzungsprofile!$G$17:$G$22)*Kalender!E83/SUM(Kalender!$E$5:$E$370),0))*Szenarien!$D$23,0)</f>
        <v>4.94</v>
      </c>
      <c r="E4475" s="13" t="n">
        <f aca="false">IFERROR(MIN(C4475,Eingaben!$B$17)*Eingaben!$B$16,0)</f>
        <v>2.793</v>
      </c>
      <c r="F4475" s="13" t="n">
        <f aca="false">IFERROR(E4475*Eingaben!$B$15,0)</f>
        <v>2.5137</v>
      </c>
      <c r="G4475" s="13" t="n">
        <f aca="false">IFERROR(IF(Kalender!A83="",0,J4474*(1-Eingaben!$B$20)),0)</f>
        <v>0.7390278</v>
      </c>
      <c r="H4475" s="13" t="n">
        <f aca="false">MIN(G4475,D4475)</f>
        <v>0.7390278</v>
      </c>
      <c r="I4475" s="13" t="n">
        <f aca="false">IFERROR(MIN(F4475*Eingaben!$B$19,MAX(0,D4475-H4475)),0)</f>
        <v>1.75959</v>
      </c>
      <c r="J4475" s="13" t="n">
        <f aca="false">IFERROR(MIN(Eingaben!$B$18,MAX(0,F4475-I4475)),0)</f>
        <v>0.75411</v>
      </c>
      <c r="K4475" s="13" t="n">
        <f aca="false">H4475+I4475</f>
        <v>2.4986178</v>
      </c>
      <c r="L4475" s="13" t="n">
        <f aca="false">MAX(0,D4475-K4475)</f>
        <v>2.4413822</v>
      </c>
      <c r="M4475" s="13" t="n">
        <f aca="false">MAX(0,F4475-I4475-J4475)</f>
        <v>0</v>
      </c>
      <c r="N4475" s="13" t="n">
        <f aca="false">IF(Kalender!A83="",0,J4474-H4475)</f>
        <v>0.0150822</v>
      </c>
    </row>
    <row r="4476" customFormat="false" ht="16.4" hidden="false" customHeight="false" outlineLevel="0" collapsed="false">
      <c r="A4476" s="13" t="str">
        <f aca="false">""</f>
        <v/>
      </c>
      <c r="B4476" s="13" t="n">
        <f aca="false">80</f>
        <v>80</v>
      </c>
      <c r="C4476" s="13" t="n">
        <f aca="false">IF(Szenarien!$H$23="OK",(IFERROR(SUMIF(Nutzungsprofile!$B$6:$B$11,"Schulbetrieb",Nutzungsprofile!$G$6:$G$11)*Kalender!C84/SUM(Kalender!$C$5:$C$370),0)+IFERROR(SUMIF(Nutzungsprofile!$B$6:$B$11,"Halle",Nutzungsprofile!$G$6:$G$11)*Kalender!D84/SUM(Kalender!$D$5:$D$370),0)+IFERROR(SUMIF(Nutzungsprofile!$B$6:$B$11,"Individuell",Nutzungsprofile!$G$6:$G$11)*Kalender!E84/SUM(Kalender!$E$5:$E$370),0))*Szenarien!$E$23,0)</f>
        <v>2.04</v>
      </c>
      <c r="D4476" s="13" t="n">
        <f aca="false">IF(Szenarien!$H$23="OK",(IFERROR(SUMIF(Nutzungsprofile!$B$17:$B$22,"Schulbetrieb",Nutzungsprofile!$G$17:$G$22)*Kalender!C84/SUM(Kalender!$C$5:$C$370),0)+IFERROR(SUMIF(Nutzungsprofile!$B$17:$B$22,"Halle",Nutzungsprofile!$G$17:$G$22)*Kalender!D84/SUM(Kalender!$D$5:$D$370),0)+IFERROR(SUMIF(Nutzungsprofile!$B$17:$B$22,"Individuell",Nutzungsprofile!$G$17:$G$22)*Kalender!E84/SUM(Kalender!$E$5:$E$370),0))*Szenarien!$D$23,0)</f>
        <v>0.89</v>
      </c>
      <c r="E4476" s="13" t="n">
        <f aca="false">IFERROR(MIN(C4476,Eingaben!$B$17)*Eingaben!$B$16,0)</f>
        <v>1.938</v>
      </c>
      <c r="F4476" s="13" t="n">
        <f aca="false">IFERROR(E4476*Eingaben!$B$15,0)</f>
        <v>1.7442</v>
      </c>
      <c r="G4476" s="13" t="n">
        <f aca="false">IFERROR(IF(Kalender!A84="",0,J4475*(1-Eingaben!$B$20)),0)</f>
        <v>0.7390278</v>
      </c>
      <c r="H4476" s="13" t="n">
        <f aca="false">MIN(G4476,D4476)</f>
        <v>0.7390278</v>
      </c>
      <c r="I4476" s="13" t="n">
        <f aca="false">IFERROR(MIN(F4476*Eingaben!$B$19,MAX(0,D4476-H4476)),0)</f>
        <v>0.1509722</v>
      </c>
      <c r="J4476" s="13" t="n">
        <f aca="false">IFERROR(MIN(Eingaben!$B$18,MAX(0,F4476-I4476)),0)</f>
        <v>1.5932278</v>
      </c>
      <c r="K4476" s="13" t="n">
        <f aca="false">H4476+I4476</f>
        <v>0.89</v>
      </c>
      <c r="L4476" s="13" t="n">
        <f aca="false">MAX(0,D4476-K4476)</f>
        <v>0</v>
      </c>
      <c r="M4476" s="13" t="n">
        <f aca="false">MAX(0,F4476-I4476-J4476)</f>
        <v>0</v>
      </c>
      <c r="N4476" s="13" t="n">
        <f aca="false">IF(Kalender!A84="",0,J4475-H4476)</f>
        <v>0.0150822</v>
      </c>
    </row>
    <row r="4477" customFormat="false" ht="16.4" hidden="false" customHeight="false" outlineLevel="0" collapsed="false">
      <c r="A4477" s="13" t="str">
        <f aca="false">""</f>
        <v/>
      </c>
      <c r="B4477" s="13" t="n">
        <f aca="false">81</f>
        <v>81</v>
      </c>
      <c r="C4477" s="13" t="n">
        <f aca="false">IF(Szenarien!$H$23="OK",(IFERROR(SUMIF(Nutzungsprofile!$B$6:$B$11,"Schulbetrieb",Nutzungsprofile!$G$6:$G$11)*Kalender!C85/SUM(Kalender!$C$5:$C$370),0)+IFERROR(SUMIF(Nutzungsprofile!$B$6:$B$11,"Halle",Nutzungsprofile!$G$6:$G$11)*Kalender!D85/SUM(Kalender!$D$5:$D$370),0)+IFERROR(SUMIF(Nutzungsprofile!$B$6:$B$11,"Individuell",Nutzungsprofile!$G$6:$G$11)*Kalender!E85/SUM(Kalender!$E$5:$E$370),0))*Szenarien!$E$23,0)</f>
        <v>2.04</v>
      </c>
      <c r="D4477" s="13" t="n">
        <f aca="false">IF(Szenarien!$H$23="OK",(IFERROR(SUMIF(Nutzungsprofile!$B$17:$B$22,"Schulbetrieb",Nutzungsprofile!$G$17:$G$22)*Kalender!C85/SUM(Kalender!$C$5:$C$370),0)+IFERROR(SUMIF(Nutzungsprofile!$B$17:$B$22,"Halle",Nutzungsprofile!$G$17:$G$22)*Kalender!D85/SUM(Kalender!$D$5:$D$370),0)+IFERROR(SUMIF(Nutzungsprofile!$B$17:$B$22,"Individuell",Nutzungsprofile!$G$17:$G$22)*Kalender!E85/SUM(Kalender!$E$5:$E$370),0))*Szenarien!$D$23,0)</f>
        <v>0.89</v>
      </c>
      <c r="E4477" s="13" t="n">
        <f aca="false">IFERROR(MIN(C4477,Eingaben!$B$17)*Eingaben!$B$16,0)</f>
        <v>1.938</v>
      </c>
      <c r="F4477" s="13" t="n">
        <f aca="false">IFERROR(E4477*Eingaben!$B$15,0)</f>
        <v>1.7442</v>
      </c>
      <c r="G4477" s="13" t="n">
        <f aca="false">IFERROR(IF(Kalender!A85="",0,J4476*(1-Eingaben!$B$20)),0)</f>
        <v>1.561363244</v>
      </c>
      <c r="H4477" s="13" t="n">
        <f aca="false">MIN(G4477,D4477)</f>
        <v>0.89</v>
      </c>
      <c r="I4477" s="13" t="n">
        <f aca="false">IFERROR(MIN(F4477*Eingaben!$B$19,MAX(0,D4477-H4477)),0)</f>
        <v>0</v>
      </c>
      <c r="J4477" s="13" t="n">
        <f aca="false">IFERROR(MIN(Eingaben!$B$18,MAX(0,F4477-I4477)),0)</f>
        <v>1.7442</v>
      </c>
      <c r="K4477" s="13" t="n">
        <f aca="false">H4477+I4477</f>
        <v>0.89</v>
      </c>
      <c r="L4477" s="13" t="n">
        <f aca="false">MAX(0,D4477-K4477)</f>
        <v>0</v>
      </c>
      <c r="M4477" s="13" t="n">
        <f aca="false">MAX(0,F4477-I4477-J4477)</f>
        <v>0</v>
      </c>
      <c r="N4477" s="13" t="n">
        <f aca="false">IF(Kalender!A85="",0,J4476-H4477)</f>
        <v>0.7032278</v>
      </c>
    </row>
    <row r="4478" customFormat="false" ht="16.4" hidden="false" customHeight="false" outlineLevel="0" collapsed="false">
      <c r="A4478" s="13" t="str">
        <f aca="false">""</f>
        <v/>
      </c>
      <c r="B4478" s="13" t="n">
        <f aca="false">82</f>
        <v>82</v>
      </c>
      <c r="C4478" s="13" t="n">
        <f aca="false">IF(Szenarien!$H$23="OK",(IFERROR(SUMIF(Nutzungsprofile!$B$6:$B$11,"Schulbetrieb",Nutzungsprofile!$G$6:$G$11)*Kalender!C86/SUM(Kalender!$C$5:$C$370),0)+IFERROR(SUMIF(Nutzungsprofile!$B$6:$B$11,"Halle",Nutzungsprofile!$G$6:$G$11)*Kalender!D86/SUM(Kalender!$D$5:$D$370),0)+IFERROR(SUMIF(Nutzungsprofile!$B$6:$B$11,"Individuell",Nutzungsprofile!$G$6:$G$11)*Kalender!E86/SUM(Kalender!$E$5:$E$370),0))*Szenarien!$E$23,0)</f>
        <v>2.94</v>
      </c>
      <c r="D4478" s="13" t="n">
        <f aca="false">IF(Szenarien!$H$23="OK",(IFERROR(SUMIF(Nutzungsprofile!$B$17:$B$22,"Schulbetrieb",Nutzungsprofile!$G$17:$G$22)*Kalender!C86/SUM(Kalender!$C$5:$C$370),0)+IFERROR(SUMIF(Nutzungsprofile!$B$17:$B$22,"Halle",Nutzungsprofile!$G$17:$G$22)*Kalender!D86/SUM(Kalender!$D$5:$D$370),0)+IFERROR(SUMIF(Nutzungsprofile!$B$17:$B$22,"Individuell",Nutzungsprofile!$G$17:$G$22)*Kalender!E86/SUM(Kalender!$E$5:$E$370),0))*Szenarien!$D$23,0)</f>
        <v>4.94</v>
      </c>
      <c r="E4478" s="13" t="n">
        <f aca="false">IFERROR(MIN(C4478,Eingaben!$B$17)*Eingaben!$B$16,0)</f>
        <v>2.793</v>
      </c>
      <c r="F4478" s="13" t="n">
        <f aca="false">IFERROR(E4478*Eingaben!$B$15,0)</f>
        <v>2.5137</v>
      </c>
      <c r="G4478" s="13" t="n">
        <f aca="false">IFERROR(IF(Kalender!A86="",0,J4477*(1-Eingaben!$B$20)),0)</f>
        <v>1.709316</v>
      </c>
      <c r="H4478" s="13" t="n">
        <f aca="false">MIN(G4478,D4478)</f>
        <v>1.709316</v>
      </c>
      <c r="I4478" s="13" t="n">
        <f aca="false">IFERROR(MIN(F4478*Eingaben!$B$19,MAX(0,D4478-H4478)),0)</f>
        <v>1.75959</v>
      </c>
      <c r="J4478" s="13" t="n">
        <f aca="false">IFERROR(MIN(Eingaben!$B$18,MAX(0,F4478-I4478)),0)</f>
        <v>0.75411</v>
      </c>
      <c r="K4478" s="13" t="n">
        <f aca="false">H4478+I4478</f>
        <v>3.468906</v>
      </c>
      <c r="L4478" s="13" t="n">
        <f aca="false">MAX(0,D4478-K4478)</f>
        <v>1.471094</v>
      </c>
      <c r="M4478" s="13" t="n">
        <f aca="false">MAX(0,F4478-I4478-J4478)</f>
        <v>0</v>
      </c>
      <c r="N4478" s="13" t="n">
        <f aca="false">IF(Kalender!A86="",0,J4477-H4478)</f>
        <v>0.0348840000000001</v>
      </c>
    </row>
    <row r="4479" customFormat="false" ht="16.4" hidden="false" customHeight="false" outlineLevel="0" collapsed="false">
      <c r="A4479" s="13" t="str">
        <f aca="false">""</f>
        <v/>
      </c>
      <c r="B4479" s="13" t="n">
        <f aca="false">83</f>
        <v>83</v>
      </c>
      <c r="C4479" s="13" t="n">
        <f aca="false">IF(Szenarien!$H$23="OK",(IFERROR(SUMIF(Nutzungsprofile!$B$6:$B$11,"Schulbetrieb",Nutzungsprofile!$G$6:$G$11)*Kalender!C87/SUM(Kalender!$C$5:$C$370),0)+IFERROR(SUMIF(Nutzungsprofile!$B$6:$B$11,"Halle",Nutzungsprofile!$G$6:$G$11)*Kalender!D87/SUM(Kalender!$D$5:$D$370),0)+IFERROR(SUMIF(Nutzungsprofile!$B$6:$B$11,"Individuell",Nutzungsprofile!$G$6:$G$11)*Kalender!E87/SUM(Kalender!$E$5:$E$370),0))*Szenarien!$E$23,0)</f>
        <v>2.94</v>
      </c>
      <c r="D4479" s="13" t="n">
        <f aca="false">IF(Szenarien!$H$23="OK",(IFERROR(SUMIF(Nutzungsprofile!$B$17:$B$22,"Schulbetrieb",Nutzungsprofile!$G$17:$G$22)*Kalender!C87/SUM(Kalender!$C$5:$C$370),0)+IFERROR(SUMIF(Nutzungsprofile!$B$17:$B$22,"Halle",Nutzungsprofile!$G$17:$G$22)*Kalender!D87/SUM(Kalender!$D$5:$D$370),0)+IFERROR(SUMIF(Nutzungsprofile!$B$17:$B$22,"Individuell",Nutzungsprofile!$G$17:$G$22)*Kalender!E87/SUM(Kalender!$E$5:$E$370),0))*Szenarien!$D$23,0)</f>
        <v>4.94</v>
      </c>
      <c r="E4479" s="13" t="n">
        <f aca="false">IFERROR(MIN(C4479,Eingaben!$B$17)*Eingaben!$B$16,0)</f>
        <v>2.793</v>
      </c>
      <c r="F4479" s="13" t="n">
        <f aca="false">IFERROR(E4479*Eingaben!$B$15,0)</f>
        <v>2.5137</v>
      </c>
      <c r="G4479" s="13" t="n">
        <f aca="false">IFERROR(IF(Kalender!A87="",0,J4478*(1-Eingaben!$B$20)),0)</f>
        <v>0.7390278</v>
      </c>
      <c r="H4479" s="13" t="n">
        <f aca="false">MIN(G4479,D4479)</f>
        <v>0.7390278</v>
      </c>
      <c r="I4479" s="13" t="n">
        <f aca="false">IFERROR(MIN(F4479*Eingaben!$B$19,MAX(0,D4479-H4479)),0)</f>
        <v>1.75959</v>
      </c>
      <c r="J4479" s="13" t="n">
        <f aca="false">IFERROR(MIN(Eingaben!$B$18,MAX(0,F4479-I4479)),0)</f>
        <v>0.75411</v>
      </c>
      <c r="K4479" s="13" t="n">
        <f aca="false">H4479+I4479</f>
        <v>2.4986178</v>
      </c>
      <c r="L4479" s="13" t="n">
        <f aca="false">MAX(0,D4479-K4479)</f>
        <v>2.4413822</v>
      </c>
      <c r="M4479" s="13" t="n">
        <f aca="false">MAX(0,F4479-I4479-J4479)</f>
        <v>0</v>
      </c>
      <c r="N4479" s="13" t="n">
        <f aca="false">IF(Kalender!A87="",0,J4478-H4479)</f>
        <v>0.0150822</v>
      </c>
    </row>
    <row r="4480" customFormat="false" ht="16.4" hidden="false" customHeight="false" outlineLevel="0" collapsed="false">
      <c r="A4480" s="13" t="str">
        <f aca="false">""</f>
        <v/>
      </c>
      <c r="B4480" s="13" t="n">
        <f aca="false">84</f>
        <v>84</v>
      </c>
      <c r="C4480" s="13" t="n">
        <f aca="false">IF(Szenarien!$H$23="OK",(IFERROR(SUMIF(Nutzungsprofile!$B$6:$B$11,"Schulbetrieb",Nutzungsprofile!$G$6:$G$11)*Kalender!C88/SUM(Kalender!$C$5:$C$370),0)+IFERROR(SUMIF(Nutzungsprofile!$B$6:$B$11,"Halle",Nutzungsprofile!$G$6:$G$11)*Kalender!D88/SUM(Kalender!$D$5:$D$370),0)+IFERROR(SUMIF(Nutzungsprofile!$B$6:$B$11,"Individuell",Nutzungsprofile!$G$6:$G$11)*Kalender!E88/SUM(Kalender!$E$5:$E$370),0))*Szenarien!$E$23,0)</f>
        <v>2.94</v>
      </c>
      <c r="D4480" s="13" t="n">
        <f aca="false">IF(Szenarien!$H$23="OK",(IFERROR(SUMIF(Nutzungsprofile!$B$17:$B$22,"Schulbetrieb",Nutzungsprofile!$G$17:$G$22)*Kalender!C88/SUM(Kalender!$C$5:$C$370),0)+IFERROR(SUMIF(Nutzungsprofile!$B$17:$B$22,"Halle",Nutzungsprofile!$G$17:$G$22)*Kalender!D88/SUM(Kalender!$D$5:$D$370),0)+IFERROR(SUMIF(Nutzungsprofile!$B$17:$B$22,"Individuell",Nutzungsprofile!$G$17:$G$22)*Kalender!E88/SUM(Kalender!$E$5:$E$370),0))*Szenarien!$D$23,0)</f>
        <v>4.94</v>
      </c>
      <c r="E4480" s="13" t="n">
        <f aca="false">IFERROR(MIN(C4480,Eingaben!$B$17)*Eingaben!$B$16,0)</f>
        <v>2.793</v>
      </c>
      <c r="F4480" s="13" t="n">
        <f aca="false">IFERROR(E4480*Eingaben!$B$15,0)</f>
        <v>2.5137</v>
      </c>
      <c r="G4480" s="13" t="n">
        <f aca="false">IFERROR(IF(Kalender!A88="",0,J4479*(1-Eingaben!$B$20)),0)</f>
        <v>0.7390278</v>
      </c>
      <c r="H4480" s="13" t="n">
        <f aca="false">MIN(G4480,D4480)</f>
        <v>0.7390278</v>
      </c>
      <c r="I4480" s="13" t="n">
        <f aca="false">IFERROR(MIN(F4480*Eingaben!$B$19,MAX(0,D4480-H4480)),0)</f>
        <v>1.75959</v>
      </c>
      <c r="J4480" s="13" t="n">
        <f aca="false">IFERROR(MIN(Eingaben!$B$18,MAX(0,F4480-I4480)),0)</f>
        <v>0.75411</v>
      </c>
      <c r="K4480" s="13" t="n">
        <f aca="false">H4480+I4480</f>
        <v>2.4986178</v>
      </c>
      <c r="L4480" s="13" t="n">
        <f aca="false">MAX(0,D4480-K4480)</f>
        <v>2.4413822</v>
      </c>
      <c r="M4480" s="13" t="n">
        <f aca="false">MAX(0,F4480-I4480-J4480)</f>
        <v>0</v>
      </c>
      <c r="N4480" s="13" t="n">
        <f aca="false">IF(Kalender!A88="",0,J4479-H4480)</f>
        <v>0.0150822</v>
      </c>
    </row>
    <row r="4481" customFormat="false" ht="16.4" hidden="false" customHeight="false" outlineLevel="0" collapsed="false">
      <c r="A4481" s="13" t="str">
        <f aca="false">""</f>
        <v/>
      </c>
      <c r="B4481" s="13" t="n">
        <f aca="false">85</f>
        <v>85</v>
      </c>
      <c r="C4481" s="13" t="n">
        <f aca="false">IF(Szenarien!$H$23="OK",(IFERROR(SUMIF(Nutzungsprofile!$B$6:$B$11,"Schulbetrieb",Nutzungsprofile!$G$6:$G$11)*Kalender!C89/SUM(Kalender!$C$5:$C$370),0)+IFERROR(SUMIF(Nutzungsprofile!$B$6:$B$11,"Halle",Nutzungsprofile!$G$6:$G$11)*Kalender!D89/SUM(Kalender!$D$5:$D$370),0)+IFERROR(SUMIF(Nutzungsprofile!$B$6:$B$11,"Individuell",Nutzungsprofile!$G$6:$G$11)*Kalender!E89/SUM(Kalender!$E$5:$E$370),0))*Szenarien!$E$23,0)</f>
        <v>2.94</v>
      </c>
      <c r="D4481" s="13" t="n">
        <f aca="false">IF(Szenarien!$H$23="OK",(IFERROR(SUMIF(Nutzungsprofile!$B$17:$B$22,"Schulbetrieb",Nutzungsprofile!$G$17:$G$22)*Kalender!C89/SUM(Kalender!$C$5:$C$370),0)+IFERROR(SUMIF(Nutzungsprofile!$B$17:$B$22,"Halle",Nutzungsprofile!$G$17:$G$22)*Kalender!D89/SUM(Kalender!$D$5:$D$370),0)+IFERROR(SUMIF(Nutzungsprofile!$B$17:$B$22,"Individuell",Nutzungsprofile!$G$17:$G$22)*Kalender!E89/SUM(Kalender!$E$5:$E$370),0))*Szenarien!$D$23,0)</f>
        <v>4.94</v>
      </c>
      <c r="E4481" s="13" t="n">
        <f aca="false">IFERROR(MIN(C4481,Eingaben!$B$17)*Eingaben!$B$16,0)</f>
        <v>2.793</v>
      </c>
      <c r="F4481" s="13" t="n">
        <f aca="false">IFERROR(E4481*Eingaben!$B$15,0)</f>
        <v>2.5137</v>
      </c>
      <c r="G4481" s="13" t="n">
        <f aca="false">IFERROR(IF(Kalender!A89="",0,J4480*(1-Eingaben!$B$20)),0)</f>
        <v>0.7390278</v>
      </c>
      <c r="H4481" s="13" t="n">
        <f aca="false">MIN(G4481,D4481)</f>
        <v>0.7390278</v>
      </c>
      <c r="I4481" s="13" t="n">
        <f aca="false">IFERROR(MIN(F4481*Eingaben!$B$19,MAX(0,D4481-H4481)),0)</f>
        <v>1.75959</v>
      </c>
      <c r="J4481" s="13" t="n">
        <f aca="false">IFERROR(MIN(Eingaben!$B$18,MAX(0,F4481-I4481)),0)</f>
        <v>0.75411</v>
      </c>
      <c r="K4481" s="13" t="n">
        <f aca="false">H4481+I4481</f>
        <v>2.4986178</v>
      </c>
      <c r="L4481" s="13" t="n">
        <f aca="false">MAX(0,D4481-K4481)</f>
        <v>2.4413822</v>
      </c>
      <c r="M4481" s="13" t="n">
        <f aca="false">MAX(0,F4481-I4481-J4481)</f>
        <v>0</v>
      </c>
      <c r="N4481" s="13" t="n">
        <f aca="false">IF(Kalender!A89="",0,J4480-H4481)</f>
        <v>0.0150822</v>
      </c>
    </row>
    <row r="4482" customFormat="false" ht="16.4" hidden="false" customHeight="false" outlineLevel="0" collapsed="false">
      <c r="A4482" s="13" t="str">
        <f aca="false">""</f>
        <v/>
      </c>
      <c r="B4482" s="13" t="n">
        <f aca="false">86</f>
        <v>86</v>
      </c>
      <c r="C4482" s="13" t="n">
        <f aca="false">IF(Szenarien!$H$23="OK",(IFERROR(SUMIF(Nutzungsprofile!$B$6:$B$11,"Schulbetrieb",Nutzungsprofile!$G$6:$G$11)*Kalender!C90/SUM(Kalender!$C$5:$C$370),0)+IFERROR(SUMIF(Nutzungsprofile!$B$6:$B$11,"Halle",Nutzungsprofile!$G$6:$G$11)*Kalender!D90/SUM(Kalender!$D$5:$D$370),0)+IFERROR(SUMIF(Nutzungsprofile!$B$6:$B$11,"Individuell",Nutzungsprofile!$G$6:$G$11)*Kalender!E90/SUM(Kalender!$E$5:$E$370),0))*Szenarien!$E$23,0)</f>
        <v>2.94</v>
      </c>
      <c r="D4482" s="13" t="n">
        <f aca="false">IF(Szenarien!$H$23="OK",(IFERROR(SUMIF(Nutzungsprofile!$B$17:$B$22,"Schulbetrieb",Nutzungsprofile!$G$17:$G$22)*Kalender!C90/SUM(Kalender!$C$5:$C$370),0)+IFERROR(SUMIF(Nutzungsprofile!$B$17:$B$22,"Halle",Nutzungsprofile!$G$17:$G$22)*Kalender!D90/SUM(Kalender!$D$5:$D$370),0)+IFERROR(SUMIF(Nutzungsprofile!$B$17:$B$22,"Individuell",Nutzungsprofile!$G$17:$G$22)*Kalender!E90/SUM(Kalender!$E$5:$E$370),0))*Szenarien!$D$23,0)</f>
        <v>4.94</v>
      </c>
      <c r="E4482" s="13" t="n">
        <f aca="false">IFERROR(MIN(C4482,Eingaben!$B$17)*Eingaben!$B$16,0)</f>
        <v>2.793</v>
      </c>
      <c r="F4482" s="13" t="n">
        <f aca="false">IFERROR(E4482*Eingaben!$B$15,0)</f>
        <v>2.5137</v>
      </c>
      <c r="G4482" s="13" t="n">
        <f aca="false">IFERROR(IF(Kalender!A90="",0,J4481*(1-Eingaben!$B$20)),0)</f>
        <v>0.7390278</v>
      </c>
      <c r="H4482" s="13" t="n">
        <f aca="false">MIN(G4482,D4482)</f>
        <v>0.7390278</v>
      </c>
      <c r="I4482" s="13" t="n">
        <f aca="false">IFERROR(MIN(F4482*Eingaben!$B$19,MAX(0,D4482-H4482)),0)</f>
        <v>1.75959</v>
      </c>
      <c r="J4482" s="13" t="n">
        <f aca="false">IFERROR(MIN(Eingaben!$B$18,MAX(0,F4482-I4482)),0)</f>
        <v>0.75411</v>
      </c>
      <c r="K4482" s="13" t="n">
        <f aca="false">H4482+I4482</f>
        <v>2.4986178</v>
      </c>
      <c r="L4482" s="13" t="n">
        <f aca="false">MAX(0,D4482-K4482)</f>
        <v>2.4413822</v>
      </c>
      <c r="M4482" s="13" t="n">
        <f aca="false">MAX(0,F4482-I4482-J4482)</f>
        <v>0</v>
      </c>
      <c r="N4482" s="13" t="n">
        <f aca="false">IF(Kalender!A90="",0,J4481-H4482)</f>
        <v>0.0150822</v>
      </c>
    </row>
    <row r="4483" customFormat="false" ht="16.4" hidden="false" customHeight="false" outlineLevel="0" collapsed="false">
      <c r="A4483" s="13" t="str">
        <f aca="false">""</f>
        <v/>
      </c>
      <c r="B4483" s="13" t="n">
        <f aca="false">87</f>
        <v>87</v>
      </c>
      <c r="C4483" s="13" t="n">
        <f aca="false">IF(Szenarien!$H$23="OK",(IFERROR(SUMIF(Nutzungsprofile!$B$6:$B$11,"Schulbetrieb",Nutzungsprofile!$G$6:$G$11)*Kalender!C91/SUM(Kalender!$C$5:$C$370),0)+IFERROR(SUMIF(Nutzungsprofile!$B$6:$B$11,"Halle",Nutzungsprofile!$G$6:$G$11)*Kalender!D91/SUM(Kalender!$D$5:$D$370),0)+IFERROR(SUMIF(Nutzungsprofile!$B$6:$B$11,"Individuell",Nutzungsprofile!$G$6:$G$11)*Kalender!E91/SUM(Kalender!$E$5:$E$370),0))*Szenarien!$E$23,0)</f>
        <v>2.04</v>
      </c>
      <c r="D4483" s="13" t="n">
        <f aca="false">IF(Szenarien!$H$23="OK",(IFERROR(SUMIF(Nutzungsprofile!$B$17:$B$22,"Schulbetrieb",Nutzungsprofile!$G$17:$G$22)*Kalender!C91/SUM(Kalender!$C$5:$C$370),0)+IFERROR(SUMIF(Nutzungsprofile!$B$17:$B$22,"Halle",Nutzungsprofile!$G$17:$G$22)*Kalender!D91/SUM(Kalender!$D$5:$D$370),0)+IFERROR(SUMIF(Nutzungsprofile!$B$17:$B$22,"Individuell",Nutzungsprofile!$G$17:$G$22)*Kalender!E91/SUM(Kalender!$E$5:$E$370),0))*Szenarien!$D$23,0)</f>
        <v>0.89</v>
      </c>
      <c r="E4483" s="13" t="n">
        <f aca="false">IFERROR(MIN(C4483,Eingaben!$B$17)*Eingaben!$B$16,0)</f>
        <v>1.938</v>
      </c>
      <c r="F4483" s="13" t="n">
        <f aca="false">IFERROR(E4483*Eingaben!$B$15,0)</f>
        <v>1.7442</v>
      </c>
      <c r="G4483" s="13" t="n">
        <f aca="false">IFERROR(IF(Kalender!A91="",0,J4482*(1-Eingaben!$B$20)),0)</f>
        <v>0.7390278</v>
      </c>
      <c r="H4483" s="13" t="n">
        <f aca="false">MIN(G4483,D4483)</f>
        <v>0.7390278</v>
      </c>
      <c r="I4483" s="13" t="n">
        <f aca="false">IFERROR(MIN(F4483*Eingaben!$B$19,MAX(0,D4483-H4483)),0)</f>
        <v>0.1509722</v>
      </c>
      <c r="J4483" s="13" t="n">
        <f aca="false">IFERROR(MIN(Eingaben!$B$18,MAX(0,F4483-I4483)),0)</f>
        <v>1.5932278</v>
      </c>
      <c r="K4483" s="13" t="n">
        <f aca="false">H4483+I4483</f>
        <v>0.89</v>
      </c>
      <c r="L4483" s="13" t="n">
        <f aca="false">MAX(0,D4483-K4483)</f>
        <v>0</v>
      </c>
      <c r="M4483" s="13" t="n">
        <f aca="false">MAX(0,F4483-I4483-J4483)</f>
        <v>0</v>
      </c>
      <c r="N4483" s="13" t="n">
        <f aca="false">IF(Kalender!A91="",0,J4482-H4483)</f>
        <v>0.0150822</v>
      </c>
    </row>
    <row r="4484" customFormat="false" ht="16.4" hidden="false" customHeight="false" outlineLevel="0" collapsed="false">
      <c r="A4484" s="13" t="str">
        <f aca="false">""</f>
        <v/>
      </c>
      <c r="B4484" s="13" t="n">
        <f aca="false">88</f>
        <v>88</v>
      </c>
      <c r="C4484" s="13" t="n">
        <f aca="false">IF(Szenarien!$H$23="OK",(IFERROR(SUMIF(Nutzungsprofile!$B$6:$B$11,"Schulbetrieb",Nutzungsprofile!$G$6:$G$11)*Kalender!C92/SUM(Kalender!$C$5:$C$370),0)+IFERROR(SUMIF(Nutzungsprofile!$B$6:$B$11,"Halle",Nutzungsprofile!$G$6:$G$11)*Kalender!D92/SUM(Kalender!$D$5:$D$370),0)+IFERROR(SUMIF(Nutzungsprofile!$B$6:$B$11,"Individuell",Nutzungsprofile!$G$6:$G$11)*Kalender!E92/SUM(Kalender!$E$5:$E$370),0))*Szenarien!$E$23,0)</f>
        <v>2.04</v>
      </c>
      <c r="D4484" s="13" t="n">
        <f aca="false">IF(Szenarien!$H$23="OK",(IFERROR(SUMIF(Nutzungsprofile!$B$17:$B$22,"Schulbetrieb",Nutzungsprofile!$G$17:$G$22)*Kalender!C92/SUM(Kalender!$C$5:$C$370),0)+IFERROR(SUMIF(Nutzungsprofile!$B$17:$B$22,"Halle",Nutzungsprofile!$G$17:$G$22)*Kalender!D92/SUM(Kalender!$D$5:$D$370),0)+IFERROR(SUMIF(Nutzungsprofile!$B$17:$B$22,"Individuell",Nutzungsprofile!$G$17:$G$22)*Kalender!E92/SUM(Kalender!$E$5:$E$370),0))*Szenarien!$D$23,0)</f>
        <v>0.89</v>
      </c>
      <c r="E4484" s="13" t="n">
        <f aca="false">IFERROR(MIN(C4484,Eingaben!$B$17)*Eingaben!$B$16,0)</f>
        <v>1.938</v>
      </c>
      <c r="F4484" s="13" t="n">
        <f aca="false">IFERROR(E4484*Eingaben!$B$15,0)</f>
        <v>1.7442</v>
      </c>
      <c r="G4484" s="13" t="n">
        <f aca="false">IFERROR(IF(Kalender!A92="",0,J4483*(1-Eingaben!$B$20)),0)</f>
        <v>1.561363244</v>
      </c>
      <c r="H4484" s="13" t="n">
        <f aca="false">MIN(G4484,D4484)</f>
        <v>0.89</v>
      </c>
      <c r="I4484" s="13" t="n">
        <f aca="false">IFERROR(MIN(F4484*Eingaben!$B$19,MAX(0,D4484-H4484)),0)</f>
        <v>0</v>
      </c>
      <c r="J4484" s="13" t="n">
        <f aca="false">IFERROR(MIN(Eingaben!$B$18,MAX(0,F4484-I4484)),0)</f>
        <v>1.7442</v>
      </c>
      <c r="K4484" s="13" t="n">
        <f aca="false">H4484+I4484</f>
        <v>0.89</v>
      </c>
      <c r="L4484" s="13" t="n">
        <f aca="false">MAX(0,D4484-K4484)</f>
        <v>0</v>
      </c>
      <c r="M4484" s="13" t="n">
        <f aca="false">MAX(0,F4484-I4484-J4484)</f>
        <v>0</v>
      </c>
      <c r="N4484" s="13" t="n">
        <f aca="false">IF(Kalender!A92="",0,J4483-H4484)</f>
        <v>0.7032278</v>
      </c>
    </row>
    <row r="4485" customFormat="false" ht="16.4" hidden="false" customHeight="false" outlineLevel="0" collapsed="false">
      <c r="A4485" s="13" t="str">
        <f aca="false">""</f>
        <v/>
      </c>
      <c r="B4485" s="13" t="n">
        <f aca="false">89</f>
        <v>89</v>
      </c>
      <c r="C4485" s="13" t="n">
        <f aca="false">IF(Szenarien!$H$23="OK",(IFERROR(SUMIF(Nutzungsprofile!$B$6:$B$11,"Schulbetrieb",Nutzungsprofile!$G$6:$G$11)*Kalender!C93/SUM(Kalender!$C$5:$C$370),0)+IFERROR(SUMIF(Nutzungsprofile!$B$6:$B$11,"Halle",Nutzungsprofile!$G$6:$G$11)*Kalender!D93/SUM(Kalender!$D$5:$D$370),0)+IFERROR(SUMIF(Nutzungsprofile!$B$6:$B$11,"Individuell",Nutzungsprofile!$G$6:$G$11)*Kalender!E93/SUM(Kalender!$E$5:$E$370),0))*Szenarien!$E$23,0)</f>
        <v>2.94</v>
      </c>
      <c r="D4485" s="13" t="n">
        <f aca="false">IF(Szenarien!$H$23="OK",(IFERROR(SUMIF(Nutzungsprofile!$B$17:$B$22,"Schulbetrieb",Nutzungsprofile!$G$17:$G$22)*Kalender!C93/SUM(Kalender!$C$5:$C$370),0)+IFERROR(SUMIF(Nutzungsprofile!$B$17:$B$22,"Halle",Nutzungsprofile!$G$17:$G$22)*Kalender!D93/SUM(Kalender!$D$5:$D$370),0)+IFERROR(SUMIF(Nutzungsprofile!$B$17:$B$22,"Individuell",Nutzungsprofile!$G$17:$G$22)*Kalender!E93/SUM(Kalender!$E$5:$E$370),0))*Szenarien!$D$23,0)</f>
        <v>4.94</v>
      </c>
      <c r="E4485" s="13" t="n">
        <f aca="false">IFERROR(MIN(C4485,Eingaben!$B$17)*Eingaben!$B$16,0)</f>
        <v>2.793</v>
      </c>
      <c r="F4485" s="13" t="n">
        <f aca="false">IFERROR(E4485*Eingaben!$B$15,0)</f>
        <v>2.5137</v>
      </c>
      <c r="G4485" s="13" t="n">
        <f aca="false">IFERROR(IF(Kalender!A93="",0,J4484*(1-Eingaben!$B$20)),0)</f>
        <v>1.709316</v>
      </c>
      <c r="H4485" s="13" t="n">
        <f aca="false">MIN(G4485,D4485)</f>
        <v>1.709316</v>
      </c>
      <c r="I4485" s="13" t="n">
        <f aca="false">IFERROR(MIN(F4485*Eingaben!$B$19,MAX(0,D4485-H4485)),0)</f>
        <v>1.75959</v>
      </c>
      <c r="J4485" s="13" t="n">
        <f aca="false">IFERROR(MIN(Eingaben!$B$18,MAX(0,F4485-I4485)),0)</f>
        <v>0.75411</v>
      </c>
      <c r="K4485" s="13" t="n">
        <f aca="false">H4485+I4485</f>
        <v>3.468906</v>
      </c>
      <c r="L4485" s="13" t="n">
        <f aca="false">MAX(0,D4485-K4485)</f>
        <v>1.471094</v>
      </c>
      <c r="M4485" s="13" t="n">
        <f aca="false">MAX(0,F4485-I4485-J4485)</f>
        <v>0</v>
      </c>
      <c r="N4485" s="13" t="n">
        <f aca="false">IF(Kalender!A93="",0,J4484-H4485)</f>
        <v>0.0348840000000001</v>
      </c>
    </row>
    <row r="4486" customFormat="false" ht="16.4" hidden="false" customHeight="false" outlineLevel="0" collapsed="false">
      <c r="A4486" s="13" t="str">
        <f aca="false">""</f>
        <v/>
      </c>
      <c r="B4486" s="13" t="n">
        <f aca="false">90</f>
        <v>90</v>
      </c>
      <c r="C4486" s="13" t="n">
        <f aca="false">IF(Szenarien!$H$23="OK",(IFERROR(SUMIF(Nutzungsprofile!$B$6:$B$11,"Schulbetrieb",Nutzungsprofile!$G$6:$G$11)*Kalender!C94/SUM(Kalender!$C$5:$C$370),0)+IFERROR(SUMIF(Nutzungsprofile!$B$6:$B$11,"Halle",Nutzungsprofile!$G$6:$G$11)*Kalender!D94/SUM(Kalender!$D$5:$D$370),0)+IFERROR(SUMIF(Nutzungsprofile!$B$6:$B$11,"Individuell",Nutzungsprofile!$G$6:$G$11)*Kalender!E94/SUM(Kalender!$E$5:$E$370),0))*Szenarien!$E$23,0)</f>
        <v>2.94</v>
      </c>
      <c r="D4486" s="13" t="n">
        <f aca="false">IF(Szenarien!$H$23="OK",(IFERROR(SUMIF(Nutzungsprofile!$B$17:$B$22,"Schulbetrieb",Nutzungsprofile!$G$17:$G$22)*Kalender!C94/SUM(Kalender!$C$5:$C$370),0)+IFERROR(SUMIF(Nutzungsprofile!$B$17:$B$22,"Halle",Nutzungsprofile!$G$17:$G$22)*Kalender!D94/SUM(Kalender!$D$5:$D$370),0)+IFERROR(SUMIF(Nutzungsprofile!$B$17:$B$22,"Individuell",Nutzungsprofile!$G$17:$G$22)*Kalender!E94/SUM(Kalender!$E$5:$E$370),0))*Szenarien!$D$23,0)</f>
        <v>4.94</v>
      </c>
      <c r="E4486" s="13" t="n">
        <f aca="false">IFERROR(MIN(C4486,Eingaben!$B$17)*Eingaben!$B$16,0)</f>
        <v>2.793</v>
      </c>
      <c r="F4486" s="13" t="n">
        <f aca="false">IFERROR(E4486*Eingaben!$B$15,0)</f>
        <v>2.5137</v>
      </c>
      <c r="G4486" s="13" t="n">
        <f aca="false">IFERROR(IF(Kalender!A94="",0,J4485*(1-Eingaben!$B$20)),0)</f>
        <v>0.7390278</v>
      </c>
      <c r="H4486" s="13" t="n">
        <f aca="false">MIN(G4486,D4486)</f>
        <v>0.7390278</v>
      </c>
      <c r="I4486" s="13" t="n">
        <f aca="false">IFERROR(MIN(F4486*Eingaben!$B$19,MAX(0,D4486-H4486)),0)</f>
        <v>1.75959</v>
      </c>
      <c r="J4486" s="13" t="n">
        <f aca="false">IFERROR(MIN(Eingaben!$B$18,MAX(0,F4486-I4486)),0)</f>
        <v>0.75411</v>
      </c>
      <c r="K4486" s="13" t="n">
        <f aca="false">H4486+I4486</f>
        <v>2.4986178</v>
      </c>
      <c r="L4486" s="13" t="n">
        <f aca="false">MAX(0,D4486-K4486)</f>
        <v>2.4413822</v>
      </c>
      <c r="M4486" s="13" t="n">
        <f aca="false">MAX(0,F4486-I4486-J4486)</f>
        <v>0</v>
      </c>
      <c r="N4486" s="13" t="n">
        <f aca="false">IF(Kalender!A94="",0,J4485-H4486)</f>
        <v>0.0150822</v>
      </c>
    </row>
    <row r="4487" customFormat="false" ht="16.4" hidden="false" customHeight="false" outlineLevel="0" collapsed="false">
      <c r="A4487" s="13" t="str">
        <f aca="false">""</f>
        <v/>
      </c>
      <c r="B4487" s="13" t="n">
        <f aca="false">91</f>
        <v>91</v>
      </c>
      <c r="C4487" s="13" t="n">
        <f aca="false">IF(Szenarien!$H$23="OK",(IFERROR(SUMIF(Nutzungsprofile!$B$6:$B$11,"Schulbetrieb",Nutzungsprofile!$G$6:$G$11)*Kalender!C95/SUM(Kalender!$C$5:$C$370),0)+IFERROR(SUMIF(Nutzungsprofile!$B$6:$B$11,"Halle",Nutzungsprofile!$G$6:$G$11)*Kalender!D95/SUM(Kalender!$D$5:$D$370),0)+IFERROR(SUMIF(Nutzungsprofile!$B$6:$B$11,"Individuell",Nutzungsprofile!$G$6:$G$11)*Kalender!E95/SUM(Kalender!$E$5:$E$370),0))*Szenarien!$E$23,0)</f>
        <v>2.94</v>
      </c>
      <c r="D4487" s="13" t="n">
        <f aca="false">IF(Szenarien!$H$23="OK",(IFERROR(SUMIF(Nutzungsprofile!$B$17:$B$22,"Schulbetrieb",Nutzungsprofile!$G$17:$G$22)*Kalender!C95/SUM(Kalender!$C$5:$C$370),0)+IFERROR(SUMIF(Nutzungsprofile!$B$17:$B$22,"Halle",Nutzungsprofile!$G$17:$G$22)*Kalender!D95/SUM(Kalender!$D$5:$D$370),0)+IFERROR(SUMIF(Nutzungsprofile!$B$17:$B$22,"Individuell",Nutzungsprofile!$G$17:$G$22)*Kalender!E95/SUM(Kalender!$E$5:$E$370),0))*Szenarien!$D$23,0)</f>
        <v>4.94</v>
      </c>
      <c r="E4487" s="13" t="n">
        <f aca="false">IFERROR(MIN(C4487,Eingaben!$B$17)*Eingaben!$B$16,0)</f>
        <v>2.793</v>
      </c>
      <c r="F4487" s="13" t="n">
        <f aca="false">IFERROR(E4487*Eingaben!$B$15,0)</f>
        <v>2.5137</v>
      </c>
      <c r="G4487" s="13" t="n">
        <f aca="false">IFERROR(IF(Kalender!A95="",0,J4486*(1-Eingaben!$B$20)),0)</f>
        <v>0.7390278</v>
      </c>
      <c r="H4487" s="13" t="n">
        <f aca="false">MIN(G4487,D4487)</f>
        <v>0.7390278</v>
      </c>
      <c r="I4487" s="13" t="n">
        <f aca="false">IFERROR(MIN(F4487*Eingaben!$B$19,MAX(0,D4487-H4487)),0)</f>
        <v>1.75959</v>
      </c>
      <c r="J4487" s="13" t="n">
        <f aca="false">IFERROR(MIN(Eingaben!$B$18,MAX(0,F4487-I4487)),0)</f>
        <v>0.75411</v>
      </c>
      <c r="K4487" s="13" t="n">
        <f aca="false">H4487+I4487</f>
        <v>2.4986178</v>
      </c>
      <c r="L4487" s="13" t="n">
        <f aca="false">MAX(0,D4487-K4487)</f>
        <v>2.4413822</v>
      </c>
      <c r="M4487" s="13" t="n">
        <f aca="false">MAX(0,F4487-I4487-J4487)</f>
        <v>0</v>
      </c>
      <c r="N4487" s="13" t="n">
        <f aca="false">IF(Kalender!A95="",0,J4486-H4487)</f>
        <v>0.0150822</v>
      </c>
    </row>
    <row r="4488" customFormat="false" ht="16.4" hidden="false" customHeight="false" outlineLevel="0" collapsed="false">
      <c r="A4488" s="13" t="str">
        <f aca="false">""</f>
        <v/>
      </c>
      <c r="B4488" s="13" t="n">
        <f aca="false">92</f>
        <v>92</v>
      </c>
      <c r="C4488" s="13" t="n">
        <f aca="false">IF(Szenarien!$H$23="OK",(IFERROR(SUMIF(Nutzungsprofile!$B$6:$B$11,"Schulbetrieb",Nutzungsprofile!$G$6:$G$11)*Kalender!C96/SUM(Kalender!$C$5:$C$370),0)+IFERROR(SUMIF(Nutzungsprofile!$B$6:$B$11,"Halle",Nutzungsprofile!$G$6:$G$11)*Kalender!D96/SUM(Kalender!$D$5:$D$370),0)+IFERROR(SUMIF(Nutzungsprofile!$B$6:$B$11,"Individuell",Nutzungsprofile!$G$6:$G$11)*Kalender!E96/SUM(Kalender!$E$5:$E$370),0))*Szenarien!$E$23,0)</f>
        <v>2.94</v>
      </c>
      <c r="D4488" s="13" t="n">
        <f aca="false">IF(Szenarien!$H$23="OK",(IFERROR(SUMIF(Nutzungsprofile!$B$17:$B$22,"Schulbetrieb",Nutzungsprofile!$G$17:$G$22)*Kalender!C96/SUM(Kalender!$C$5:$C$370),0)+IFERROR(SUMIF(Nutzungsprofile!$B$17:$B$22,"Halle",Nutzungsprofile!$G$17:$G$22)*Kalender!D96/SUM(Kalender!$D$5:$D$370),0)+IFERROR(SUMIF(Nutzungsprofile!$B$17:$B$22,"Individuell",Nutzungsprofile!$G$17:$G$22)*Kalender!E96/SUM(Kalender!$E$5:$E$370),0))*Szenarien!$D$23,0)</f>
        <v>4.94</v>
      </c>
      <c r="E4488" s="13" t="n">
        <f aca="false">IFERROR(MIN(C4488,Eingaben!$B$17)*Eingaben!$B$16,0)</f>
        <v>2.793</v>
      </c>
      <c r="F4488" s="13" t="n">
        <f aca="false">IFERROR(E4488*Eingaben!$B$15,0)</f>
        <v>2.5137</v>
      </c>
      <c r="G4488" s="13" t="n">
        <f aca="false">IFERROR(IF(Kalender!A96="",0,J4487*(1-Eingaben!$B$20)),0)</f>
        <v>0.7390278</v>
      </c>
      <c r="H4488" s="13" t="n">
        <f aca="false">MIN(G4488,D4488)</f>
        <v>0.7390278</v>
      </c>
      <c r="I4488" s="13" t="n">
        <f aca="false">IFERROR(MIN(F4488*Eingaben!$B$19,MAX(0,D4488-H4488)),0)</f>
        <v>1.75959</v>
      </c>
      <c r="J4488" s="13" t="n">
        <f aca="false">IFERROR(MIN(Eingaben!$B$18,MAX(0,F4488-I4488)),0)</f>
        <v>0.75411</v>
      </c>
      <c r="K4488" s="13" t="n">
        <f aca="false">H4488+I4488</f>
        <v>2.4986178</v>
      </c>
      <c r="L4488" s="13" t="n">
        <f aca="false">MAX(0,D4488-K4488)</f>
        <v>2.4413822</v>
      </c>
      <c r="M4488" s="13" t="n">
        <f aca="false">MAX(0,F4488-I4488-J4488)</f>
        <v>0</v>
      </c>
      <c r="N4488" s="13" t="n">
        <f aca="false">IF(Kalender!A96="",0,J4487-H4488)</f>
        <v>0.0150822</v>
      </c>
    </row>
    <row r="4489" customFormat="false" ht="16.4" hidden="false" customHeight="false" outlineLevel="0" collapsed="false">
      <c r="A4489" s="13" t="str">
        <f aca="false">""</f>
        <v/>
      </c>
      <c r="B4489" s="13" t="n">
        <f aca="false">93</f>
        <v>93</v>
      </c>
      <c r="C4489" s="13" t="n">
        <f aca="false">IF(Szenarien!$H$23="OK",(IFERROR(SUMIF(Nutzungsprofile!$B$6:$B$11,"Schulbetrieb",Nutzungsprofile!$G$6:$G$11)*Kalender!C97/SUM(Kalender!$C$5:$C$370),0)+IFERROR(SUMIF(Nutzungsprofile!$B$6:$B$11,"Halle",Nutzungsprofile!$G$6:$G$11)*Kalender!D97/SUM(Kalender!$D$5:$D$370),0)+IFERROR(SUMIF(Nutzungsprofile!$B$6:$B$11,"Individuell",Nutzungsprofile!$G$6:$G$11)*Kalender!E97/SUM(Kalender!$E$5:$E$370),0))*Szenarien!$E$23,0)</f>
        <v>2.94</v>
      </c>
      <c r="D4489" s="13" t="n">
        <f aca="false">IF(Szenarien!$H$23="OK",(IFERROR(SUMIF(Nutzungsprofile!$B$17:$B$22,"Schulbetrieb",Nutzungsprofile!$G$17:$G$22)*Kalender!C97/SUM(Kalender!$C$5:$C$370),0)+IFERROR(SUMIF(Nutzungsprofile!$B$17:$B$22,"Halle",Nutzungsprofile!$G$17:$G$22)*Kalender!D97/SUM(Kalender!$D$5:$D$370),0)+IFERROR(SUMIF(Nutzungsprofile!$B$17:$B$22,"Individuell",Nutzungsprofile!$G$17:$G$22)*Kalender!E97/SUM(Kalender!$E$5:$E$370),0))*Szenarien!$D$23,0)</f>
        <v>4.94</v>
      </c>
      <c r="E4489" s="13" t="n">
        <f aca="false">IFERROR(MIN(C4489,Eingaben!$B$17)*Eingaben!$B$16,0)</f>
        <v>2.793</v>
      </c>
      <c r="F4489" s="13" t="n">
        <f aca="false">IFERROR(E4489*Eingaben!$B$15,0)</f>
        <v>2.5137</v>
      </c>
      <c r="G4489" s="13" t="n">
        <f aca="false">IFERROR(IF(Kalender!A97="",0,J4488*(1-Eingaben!$B$20)),0)</f>
        <v>0.7390278</v>
      </c>
      <c r="H4489" s="13" t="n">
        <f aca="false">MIN(G4489,D4489)</f>
        <v>0.7390278</v>
      </c>
      <c r="I4489" s="13" t="n">
        <f aca="false">IFERROR(MIN(F4489*Eingaben!$B$19,MAX(0,D4489-H4489)),0)</f>
        <v>1.75959</v>
      </c>
      <c r="J4489" s="13" t="n">
        <f aca="false">IFERROR(MIN(Eingaben!$B$18,MAX(0,F4489-I4489)),0)</f>
        <v>0.75411</v>
      </c>
      <c r="K4489" s="13" t="n">
        <f aca="false">H4489+I4489</f>
        <v>2.4986178</v>
      </c>
      <c r="L4489" s="13" t="n">
        <f aca="false">MAX(0,D4489-K4489)</f>
        <v>2.4413822</v>
      </c>
      <c r="M4489" s="13" t="n">
        <f aca="false">MAX(0,F4489-I4489-J4489)</f>
        <v>0</v>
      </c>
      <c r="N4489" s="13" t="n">
        <f aca="false">IF(Kalender!A97="",0,J4488-H4489)</f>
        <v>0.0150822</v>
      </c>
    </row>
    <row r="4490" customFormat="false" ht="16.4" hidden="false" customHeight="false" outlineLevel="0" collapsed="false">
      <c r="A4490" s="13" t="str">
        <f aca="false">""</f>
        <v/>
      </c>
      <c r="B4490" s="13" t="n">
        <f aca="false">94</f>
        <v>94</v>
      </c>
      <c r="C4490" s="13" t="n">
        <f aca="false">IF(Szenarien!$H$23="OK",(IFERROR(SUMIF(Nutzungsprofile!$B$6:$B$11,"Schulbetrieb",Nutzungsprofile!$G$6:$G$11)*Kalender!C98/SUM(Kalender!$C$5:$C$370),0)+IFERROR(SUMIF(Nutzungsprofile!$B$6:$B$11,"Halle",Nutzungsprofile!$G$6:$G$11)*Kalender!D98/SUM(Kalender!$D$5:$D$370),0)+IFERROR(SUMIF(Nutzungsprofile!$B$6:$B$11,"Individuell",Nutzungsprofile!$G$6:$G$11)*Kalender!E98/SUM(Kalender!$E$5:$E$370),0))*Szenarien!$E$23,0)</f>
        <v>2.04</v>
      </c>
      <c r="D4490" s="13" t="n">
        <f aca="false">IF(Szenarien!$H$23="OK",(IFERROR(SUMIF(Nutzungsprofile!$B$17:$B$22,"Schulbetrieb",Nutzungsprofile!$G$17:$G$22)*Kalender!C98/SUM(Kalender!$C$5:$C$370),0)+IFERROR(SUMIF(Nutzungsprofile!$B$17:$B$22,"Halle",Nutzungsprofile!$G$17:$G$22)*Kalender!D98/SUM(Kalender!$D$5:$D$370),0)+IFERROR(SUMIF(Nutzungsprofile!$B$17:$B$22,"Individuell",Nutzungsprofile!$G$17:$G$22)*Kalender!E98/SUM(Kalender!$E$5:$E$370),0))*Szenarien!$D$23,0)</f>
        <v>0.89</v>
      </c>
      <c r="E4490" s="13" t="n">
        <f aca="false">IFERROR(MIN(C4490,Eingaben!$B$17)*Eingaben!$B$16,0)</f>
        <v>1.938</v>
      </c>
      <c r="F4490" s="13" t="n">
        <f aca="false">IFERROR(E4490*Eingaben!$B$15,0)</f>
        <v>1.7442</v>
      </c>
      <c r="G4490" s="13" t="n">
        <f aca="false">IFERROR(IF(Kalender!A98="",0,J4489*(1-Eingaben!$B$20)),0)</f>
        <v>0.7390278</v>
      </c>
      <c r="H4490" s="13" t="n">
        <f aca="false">MIN(G4490,D4490)</f>
        <v>0.7390278</v>
      </c>
      <c r="I4490" s="13" t="n">
        <f aca="false">IFERROR(MIN(F4490*Eingaben!$B$19,MAX(0,D4490-H4490)),0)</f>
        <v>0.1509722</v>
      </c>
      <c r="J4490" s="13" t="n">
        <f aca="false">IFERROR(MIN(Eingaben!$B$18,MAX(0,F4490-I4490)),0)</f>
        <v>1.5932278</v>
      </c>
      <c r="K4490" s="13" t="n">
        <f aca="false">H4490+I4490</f>
        <v>0.89</v>
      </c>
      <c r="L4490" s="13" t="n">
        <f aca="false">MAX(0,D4490-K4490)</f>
        <v>0</v>
      </c>
      <c r="M4490" s="13" t="n">
        <f aca="false">MAX(0,F4490-I4490-J4490)</f>
        <v>0</v>
      </c>
      <c r="N4490" s="13" t="n">
        <f aca="false">IF(Kalender!A98="",0,J4489-H4490)</f>
        <v>0.0150822</v>
      </c>
    </row>
    <row r="4491" customFormat="false" ht="16.4" hidden="false" customHeight="false" outlineLevel="0" collapsed="false">
      <c r="A4491" s="13" t="str">
        <f aca="false">""</f>
        <v/>
      </c>
      <c r="B4491" s="13" t="n">
        <f aca="false">95</f>
        <v>95</v>
      </c>
      <c r="C4491" s="13" t="n">
        <f aca="false">IF(Szenarien!$H$23="OK",(IFERROR(SUMIF(Nutzungsprofile!$B$6:$B$11,"Schulbetrieb",Nutzungsprofile!$G$6:$G$11)*Kalender!C99/SUM(Kalender!$C$5:$C$370),0)+IFERROR(SUMIF(Nutzungsprofile!$B$6:$B$11,"Halle",Nutzungsprofile!$G$6:$G$11)*Kalender!D99/SUM(Kalender!$D$5:$D$370),0)+IFERROR(SUMIF(Nutzungsprofile!$B$6:$B$11,"Individuell",Nutzungsprofile!$G$6:$G$11)*Kalender!E99/SUM(Kalender!$E$5:$E$370),0))*Szenarien!$E$23,0)</f>
        <v>2.04</v>
      </c>
      <c r="D4491" s="13" t="n">
        <f aca="false">IF(Szenarien!$H$23="OK",(IFERROR(SUMIF(Nutzungsprofile!$B$17:$B$22,"Schulbetrieb",Nutzungsprofile!$G$17:$G$22)*Kalender!C99/SUM(Kalender!$C$5:$C$370),0)+IFERROR(SUMIF(Nutzungsprofile!$B$17:$B$22,"Halle",Nutzungsprofile!$G$17:$G$22)*Kalender!D99/SUM(Kalender!$D$5:$D$370),0)+IFERROR(SUMIF(Nutzungsprofile!$B$17:$B$22,"Individuell",Nutzungsprofile!$G$17:$G$22)*Kalender!E99/SUM(Kalender!$E$5:$E$370),0))*Szenarien!$D$23,0)</f>
        <v>0.89</v>
      </c>
      <c r="E4491" s="13" t="n">
        <f aca="false">IFERROR(MIN(C4491,Eingaben!$B$17)*Eingaben!$B$16,0)</f>
        <v>1.938</v>
      </c>
      <c r="F4491" s="13" t="n">
        <f aca="false">IFERROR(E4491*Eingaben!$B$15,0)</f>
        <v>1.7442</v>
      </c>
      <c r="G4491" s="13" t="n">
        <f aca="false">IFERROR(IF(Kalender!A99="",0,J4490*(1-Eingaben!$B$20)),0)</f>
        <v>1.561363244</v>
      </c>
      <c r="H4491" s="13" t="n">
        <f aca="false">MIN(G4491,D4491)</f>
        <v>0.89</v>
      </c>
      <c r="I4491" s="13" t="n">
        <f aca="false">IFERROR(MIN(F4491*Eingaben!$B$19,MAX(0,D4491-H4491)),0)</f>
        <v>0</v>
      </c>
      <c r="J4491" s="13" t="n">
        <f aca="false">IFERROR(MIN(Eingaben!$B$18,MAX(0,F4491-I4491)),0)</f>
        <v>1.7442</v>
      </c>
      <c r="K4491" s="13" t="n">
        <f aca="false">H4491+I4491</f>
        <v>0.89</v>
      </c>
      <c r="L4491" s="13" t="n">
        <f aca="false">MAX(0,D4491-K4491)</f>
        <v>0</v>
      </c>
      <c r="M4491" s="13" t="n">
        <f aca="false">MAX(0,F4491-I4491-J4491)</f>
        <v>0</v>
      </c>
      <c r="N4491" s="13" t="n">
        <f aca="false">IF(Kalender!A99="",0,J4490-H4491)</f>
        <v>0.7032278</v>
      </c>
    </row>
    <row r="4492" customFormat="false" ht="16.4" hidden="false" customHeight="false" outlineLevel="0" collapsed="false">
      <c r="A4492" s="13" t="str">
        <f aca="false">""</f>
        <v/>
      </c>
      <c r="B4492" s="13" t="n">
        <f aca="false">96</f>
        <v>96</v>
      </c>
      <c r="C4492" s="13" t="n">
        <f aca="false">IF(Szenarien!$H$23="OK",(IFERROR(SUMIF(Nutzungsprofile!$B$6:$B$11,"Schulbetrieb",Nutzungsprofile!$G$6:$G$11)*Kalender!C100/SUM(Kalender!$C$5:$C$370),0)+IFERROR(SUMIF(Nutzungsprofile!$B$6:$B$11,"Halle",Nutzungsprofile!$G$6:$G$11)*Kalender!D100/SUM(Kalender!$D$5:$D$370),0)+IFERROR(SUMIF(Nutzungsprofile!$B$6:$B$11,"Individuell",Nutzungsprofile!$G$6:$G$11)*Kalender!E100/SUM(Kalender!$E$5:$E$370),0))*Szenarien!$E$23,0)</f>
        <v>2.94</v>
      </c>
      <c r="D4492" s="13" t="n">
        <f aca="false">IF(Szenarien!$H$23="OK",(IFERROR(SUMIF(Nutzungsprofile!$B$17:$B$22,"Schulbetrieb",Nutzungsprofile!$G$17:$G$22)*Kalender!C100/SUM(Kalender!$C$5:$C$370),0)+IFERROR(SUMIF(Nutzungsprofile!$B$17:$B$22,"Halle",Nutzungsprofile!$G$17:$G$22)*Kalender!D100/SUM(Kalender!$D$5:$D$370),0)+IFERROR(SUMIF(Nutzungsprofile!$B$17:$B$22,"Individuell",Nutzungsprofile!$G$17:$G$22)*Kalender!E100/SUM(Kalender!$E$5:$E$370),0))*Szenarien!$D$23,0)</f>
        <v>4.94</v>
      </c>
      <c r="E4492" s="13" t="n">
        <f aca="false">IFERROR(MIN(C4492,Eingaben!$B$17)*Eingaben!$B$16,0)</f>
        <v>2.793</v>
      </c>
      <c r="F4492" s="13" t="n">
        <f aca="false">IFERROR(E4492*Eingaben!$B$15,0)</f>
        <v>2.5137</v>
      </c>
      <c r="G4492" s="13" t="n">
        <f aca="false">IFERROR(IF(Kalender!A100="",0,J4491*(1-Eingaben!$B$20)),0)</f>
        <v>1.709316</v>
      </c>
      <c r="H4492" s="13" t="n">
        <f aca="false">MIN(G4492,D4492)</f>
        <v>1.709316</v>
      </c>
      <c r="I4492" s="13" t="n">
        <f aca="false">IFERROR(MIN(F4492*Eingaben!$B$19,MAX(0,D4492-H4492)),0)</f>
        <v>1.75959</v>
      </c>
      <c r="J4492" s="13" t="n">
        <f aca="false">IFERROR(MIN(Eingaben!$B$18,MAX(0,F4492-I4492)),0)</f>
        <v>0.75411</v>
      </c>
      <c r="K4492" s="13" t="n">
        <f aca="false">H4492+I4492</f>
        <v>3.468906</v>
      </c>
      <c r="L4492" s="13" t="n">
        <f aca="false">MAX(0,D4492-K4492)</f>
        <v>1.471094</v>
      </c>
      <c r="M4492" s="13" t="n">
        <f aca="false">MAX(0,F4492-I4492-J4492)</f>
        <v>0</v>
      </c>
      <c r="N4492" s="13" t="n">
        <f aca="false">IF(Kalender!A100="",0,J4491-H4492)</f>
        <v>0.0348840000000001</v>
      </c>
    </row>
    <row r="4493" customFormat="false" ht="16.4" hidden="false" customHeight="false" outlineLevel="0" collapsed="false">
      <c r="A4493" s="13" t="str">
        <f aca="false">""</f>
        <v/>
      </c>
      <c r="B4493" s="13" t="n">
        <f aca="false">97</f>
        <v>97</v>
      </c>
      <c r="C4493" s="13" t="n">
        <f aca="false">IF(Szenarien!$H$23="OK",(IFERROR(SUMIF(Nutzungsprofile!$B$6:$B$11,"Schulbetrieb",Nutzungsprofile!$G$6:$G$11)*Kalender!C101/SUM(Kalender!$C$5:$C$370),0)+IFERROR(SUMIF(Nutzungsprofile!$B$6:$B$11,"Halle",Nutzungsprofile!$G$6:$G$11)*Kalender!D101/SUM(Kalender!$D$5:$D$370),0)+IFERROR(SUMIF(Nutzungsprofile!$B$6:$B$11,"Individuell",Nutzungsprofile!$G$6:$G$11)*Kalender!E101/SUM(Kalender!$E$5:$E$370),0))*Szenarien!$E$23,0)</f>
        <v>2.94</v>
      </c>
      <c r="D4493" s="13" t="n">
        <f aca="false">IF(Szenarien!$H$23="OK",(IFERROR(SUMIF(Nutzungsprofile!$B$17:$B$22,"Schulbetrieb",Nutzungsprofile!$G$17:$G$22)*Kalender!C101/SUM(Kalender!$C$5:$C$370),0)+IFERROR(SUMIF(Nutzungsprofile!$B$17:$B$22,"Halle",Nutzungsprofile!$G$17:$G$22)*Kalender!D101/SUM(Kalender!$D$5:$D$370),0)+IFERROR(SUMIF(Nutzungsprofile!$B$17:$B$22,"Individuell",Nutzungsprofile!$G$17:$G$22)*Kalender!E101/SUM(Kalender!$E$5:$E$370),0))*Szenarien!$D$23,0)</f>
        <v>4.94</v>
      </c>
      <c r="E4493" s="13" t="n">
        <f aca="false">IFERROR(MIN(C4493,Eingaben!$B$17)*Eingaben!$B$16,0)</f>
        <v>2.793</v>
      </c>
      <c r="F4493" s="13" t="n">
        <f aca="false">IFERROR(E4493*Eingaben!$B$15,0)</f>
        <v>2.5137</v>
      </c>
      <c r="G4493" s="13" t="n">
        <f aca="false">IFERROR(IF(Kalender!A101="",0,J4492*(1-Eingaben!$B$20)),0)</f>
        <v>0.7390278</v>
      </c>
      <c r="H4493" s="13" t="n">
        <f aca="false">MIN(G4493,D4493)</f>
        <v>0.7390278</v>
      </c>
      <c r="I4493" s="13" t="n">
        <f aca="false">IFERROR(MIN(F4493*Eingaben!$B$19,MAX(0,D4493-H4493)),0)</f>
        <v>1.75959</v>
      </c>
      <c r="J4493" s="13" t="n">
        <f aca="false">IFERROR(MIN(Eingaben!$B$18,MAX(0,F4493-I4493)),0)</f>
        <v>0.75411</v>
      </c>
      <c r="K4493" s="13" t="n">
        <f aca="false">H4493+I4493</f>
        <v>2.4986178</v>
      </c>
      <c r="L4493" s="13" t="n">
        <f aca="false">MAX(0,D4493-K4493)</f>
        <v>2.4413822</v>
      </c>
      <c r="M4493" s="13" t="n">
        <f aca="false">MAX(0,F4493-I4493-J4493)</f>
        <v>0</v>
      </c>
      <c r="N4493" s="13" t="n">
        <f aca="false">IF(Kalender!A101="",0,J4492-H4493)</f>
        <v>0.0150822</v>
      </c>
    </row>
    <row r="4494" customFormat="false" ht="16.4" hidden="false" customHeight="false" outlineLevel="0" collapsed="false">
      <c r="A4494" s="13" t="str">
        <f aca="false">""</f>
        <v/>
      </c>
      <c r="B4494" s="13" t="n">
        <f aca="false">98</f>
        <v>98</v>
      </c>
      <c r="C4494" s="13" t="n">
        <f aca="false">IF(Szenarien!$H$23="OK",(IFERROR(SUMIF(Nutzungsprofile!$B$6:$B$11,"Schulbetrieb",Nutzungsprofile!$G$6:$G$11)*Kalender!C102/SUM(Kalender!$C$5:$C$370),0)+IFERROR(SUMIF(Nutzungsprofile!$B$6:$B$11,"Halle",Nutzungsprofile!$G$6:$G$11)*Kalender!D102/SUM(Kalender!$D$5:$D$370),0)+IFERROR(SUMIF(Nutzungsprofile!$B$6:$B$11,"Individuell",Nutzungsprofile!$G$6:$G$11)*Kalender!E102/SUM(Kalender!$E$5:$E$370),0))*Szenarien!$E$23,0)</f>
        <v>2.94</v>
      </c>
      <c r="D4494" s="13" t="n">
        <f aca="false">IF(Szenarien!$H$23="OK",(IFERROR(SUMIF(Nutzungsprofile!$B$17:$B$22,"Schulbetrieb",Nutzungsprofile!$G$17:$G$22)*Kalender!C102/SUM(Kalender!$C$5:$C$370),0)+IFERROR(SUMIF(Nutzungsprofile!$B$17:$B$22,"Halle",Nutzungsprofile!$G$17:$G$22)*Kalender!D102/SUM(Kalender!$D$5:$D$370),0)+IFERROR(SUMIF(Nutzungsprofile!$B$17:$B$22,"Individuell",Nutzungsprofile!$G$17:$G$22)*Kalender!E102/SUM(Kalender!$E$5:$E$370),0))*Szenarien!$D$23,0)</f>
        <v>4.94</v>
      </c>
      <c r="E4494" s="13" t="n">
        <f aca="false">IFERROR(MIN(C4494,Eingaben!$B$17)*Eingaben!$B$16,0)</f>
        <v>2.793</v>
      </c>
      <c r="F4494" s="13" t="n">
        <f aca="false">IFERROR(E4494*Eingaben!$B$15,0)</f>
        <v>2.5137</v>
      </c>
      <c r="G4494" s="13" t="n">
        <f aca="false">IFERROR(IF(Kalender!A102="",0,J4493*(1-Eingaben!$B$20)),0)</f>
        <v>0.7390278</v>
      </c>
      <c r="H4494" s="13" t="n">
        <f aca="false">MIN(G4494,D4494)</f>
        <v>0.7390278</v>
      </c>
      <c r="I4494" s="13" t="n">
        <f aca="false">IFERROR(MIN(F4494*Eingaben!$B$19,MAX(0,D4494-H4494)),0)</f>
        <v>1.75959</v>
      </c>
      <c r="J4494" s="13" t="n">
        <f aca="false">IFERROR(MIN(Eingaben!$B$18,MAX(0,F4494-I4494)),0)</f>
        <v>0.75411</v>
      </c>
      <c r="K4494" s="13" t="n">
        <f aca="false">H4494+I4494</f>
        <v>2.4986178</v>
      </c>
      <c r="L4494" s="13" t="n">
        <f aca="false">MAX(0,D4494-K4494)</f>
        <v>2.4413822</v>
      </c>
      <c r="M4494" s="13" t="n">
        <f aca="false">MAX(0,F4494-I4494-J4494)</f>
        <v>0</v>
      </c>
      <c r="N4494" s="13" t="n">
        <f aca="false">IF(Kalender!A102="",0,J4493-H4494)</f>
        <v>0.0150822</v>
      </c>
    </row>
    <row r="4495" customFormat="false" ht="16.4" hidden="false" customHeight="false" outlineLevel="0" collapsed="false">
      <c r="A4495" s="13" t="str">
        <f aca="false">""</f>
        <v/>
      </c>
      <c r="B4495" s="13" t="n">
        <f aca="false">99</f>
        <v>99</v>
      </c>
      <c r="C4495" s="13" t="n">
        <f aca="false">IF(Szenarien!$H$23="OK",(IFERROR(SUMIF(Nutzungsprofile!$B$6:$B$11,"Schulbetrieb",Nutzungsprofile!$G$6:$G$11)*Kalender!C103/SUM(Kalender!$C$5:$C$370),0)+IFERROR(SUMIF(Nutzungsprofile!$B$6:$B$11,"Halle",Nutzungsprofile!$G$6:$G$11)*Kalender!D103/SUM(Kalender!$D$5:$D$370),0)+IFERROR(SUMIF(Nutzungsprofile!$B$6:$B$11,"Individuell",Nutzungsprofile!$G$6:$G$11)*Kalender!E103/SUM(Kalender!$E$5:$E$370),0))*Szenarien!$E$23,0)</f>
        <v>2.94</v>
      </c>
      <c r="D4495" s="13" t="n">
        <f aca="false">IF(Szenarien!$H$23="OK",(IFERROR(SUMIF(Nutzungsprofile!$B$17:$B$22,"Schulbetrieb",Nutzungsprofile!$G$17:$G$22)*Kalender!C103/SUM(Kalender!$C$5:$C$370),0)+IFERROR(SUMIF(Nutzungsprofile!$B$17:$B$22,"Halle",Nutzungsprofile!$G$17:$G$22)*Kalender!D103/SUM(Kalender!$D$5:$D$370),0)+IFERROR(SUMIF(Nutzungsprofile!$B$17:$B$22,"Individuell",Nutzungsprofile!$G$17:$G$22)*Kalender!E103/SUM(Kalender!$E$5:$E$370),0))*Szenarien!$D$23,0)</f>
        <v>4.94</v>
      </c>
      <c r="E4495" s="13" t="n">
        <f aca="false">IFERROR(MIN(C4495,Eingaben!$B$17)*Eingaben!$B$16,0)</f>
        <v>2.793</v>
      </c>
      <c r="F4495" s="13" t="n">
        <f aca="false">IFERROR(E4495*Eingaben!$B$15,0)</f>
        <v>2.5137</v>
      </c>
      <c r="G4495" s="13" t="n">
        <f aca="false">IFERROR(IF(Kalender!A103="",0,J4494*(1-Eingaben!$B$20)),0)</f>
        <v>0.7390278</v>
      </c>
      <c r="H4495" s="13" t="n">
        <f aca="false">MIN(G4495,D4495)</f>
        <v>0.7390278</v>
      </c>
      <c r="I4495" s="13" t="n">
        <f aca="false">IFERROR(MIN(F4495*Eingaben!$B$19,MAX(0,D4495-H4495)),0)</f>
        <v>1.75959</v>
      </c>
      <c r="J4495" s="13" t="n">
        <f aca="false">IFERROR(MIN(Eingaben!$B$18,MAX(0,F4495-I4495)),0)</f>
        <v>0.75411</v>
      </c>
      <c r="K4495" s="13" t="n">
        <f aca="false">H4495+I4495</f>
        <v>2.4986178</v>
      </c>
      <c r="L4495" s="13" t="n">
        <f aca="false">MAX(0,D4495-K4495)</f>
        <v>2.4413822</v>
      </c>
      <c r="M4495" s="13" t="n">
        <f aca="false">MAX(0,F4495-I4495-J4495)</f>
        <v>0</v>
      </c>
      <c r="N4495" s="13" t="n">
        <f aca="false">IF(Kalender!A103="",0,J4494-H4495)</f>
        <v>0.0150822</v>
      </c>
    </row>
    <row r="4496" customFormat="false" ht="16.4" hidden="false" customHeight="false" outlineLevel="0" collapsed="false">
      <c r="A4496" s="13" t="str">
        <f aca="false">""</f>
        <v/>
      </c>
      <c r="B4496" s="13" t="n">
        <f aca="false">100</f>
        <v>100</v>
      </c>
      <c r="C4496" s="13" t="n">
        <f aca="false">IF(Szenarien!$H$23="OK",(IFERROR(SUMIF(Nutzungsprofile!$B$6:$B$11,"Schulbetrieb",Nutzungsprofile!$G$6:$G$11)*Kalender!C104/SUM(Kalender!$C$5:$C$370),0)+IFERROR(SUMIF(Nutzungsprofile!$B$6:$B$11,"Halle",Nutzungsprofile!$G$6:$G$11)*Kalender!D104/SUM(Kalender!$D$5:$D$370),0)+IFERROR(SUMIF(Nutzungsprofile!$B$6:$B$11,"Individuell",Nutzungsprofile!$G$6:$G$11)*Kalender!E104/SUM(Kalender!$E$5:$E$370),0))*Szenarien!$E$23,0)</f>
        <v>2.94</v>
      </c>
      <c r="D4496" s="13" t="n">
        <f aca="false">IF(Szenarien!$H$23="OK",(IFERROR(SUMIF(Nutzungsprofile!$B$17:$B$22,"Schulbetrieb",Nutzungsprofile!$G$17:$G$22)*Kalender!C104/SUM(Kalender!$C$5:$C$370),0)+IFERROR(SUMIF(Nutzungsprofile!$B$17:$B$22,"Halle",Nutzungsprofile!$G$17:$G$22)*Kalender!D104/SUM(Kalender!$D$5:$D$370),0)+IFERROR(SUMIF(Nutzungsprofile!$B$17:$B$22,"Individuell",Nutzungsprofile!$G$17:$G$22)*Kalender!E104/SUM(Kalender!$E$5:$E$370),0))*Szenarien!$D$23,0)</f>
        <v>4.94</v>
      </c>
      <c r="E4496" s="13" t="n">
        <f aca="false">IFERROR(MIN(C4496,Eingaben!$B$17)*Eingaben!$B$16,0)</f>
        <v>2.793</v>
      </c>
      <c r="F4496" s="13" t="n">
        <f aca="false">IFERROR(E4496*Eingaben!$B$15,0)</f>
        <v>2.5137</v>
      </c>
      <c r="G4496" s="13" t="n">
        <f aca="false">IFERROR(IF(Kalender!A104="",0,J4495*(1-Eingaben!$B$20)),0)</f>
        <v>0.7390278</v>
      </c>
      <c r="H4496" s="13" t="n">
        <f aca="false">MIN(G4496,D4496)</f>
        <v>0.7390278</v>
      </c>
      <c r="I4496" s="13" t="n">
        <f aca="false">IFERROR(MIN(F4496*Eingaben!$B$19,MAX(0,D4496-H4496)),0)</f>
        <v>1.75959</v>
      </c>
      <c r="J4496" s="13" t="n">
        <f aca="false">IFERROR(MIN(Eingaben!$B$18,MAX(0,F4496-I4496)),0)</f>
        <v>0.75411</v>
      </c>
      <c r="K4496" s="13" t="n">
        <f aca="false">H4496+I4496</f>
        <v>2.4986178</v>
      </c>
      <c r="L4496" s="13" t="n">
        <f aca="false">MAX(0,D4496-K4496)</f>
        <v>2.4413822</v>
      </c>
      <c r="M4496" s="13" t="n">
        <f aca="false">MAX(0,F4496-I4496-J4496)</f>
        <v>0</v>
      </c>
      <c r="N4496" s="13" t="n">
        <f aca="false">IF(Kalender!A104="",0,J4495-H4496)</f>
        <v>0.0150822</v>
      </c>
    </row>
    <row r="4497" customFormat="false" ht="16.4" hidden="false" customHeight="false" outlineLevel="0" collapsed="false">
      <c r="A4497" s="13" t="str">
        <f aca="false">""</f>
        <v/>
      </c>
      <c r="B4497" s="13" t="n">
        <f aca="false">101</f>
        <v>101</v>
      </c>
      <c r="C4497" s="13" t="n">
        <f aca="false">IF(Szenarien!$H$23="OK",(IFERROR(SUMIF(Nutzungsprofile!$B$6:$B$11,"Schulbetrieb",Nutzungsprofile!$G$6:$G$11)*Kalender!C105/SUM(Kalender!$C$5:$C$370),0)+IFERROR(SUMIF(Nutzungsprofile!$B$6:$B$11,"Halle",Nutzungsprofile!$G$6:$G$11)*Kalender!D105/SUM(Kalender!$D$5:$D$370),0)+IFERROR(SUMIF(Nutzungsprofile!$B$6:$B$11,"Individuell",Nutzungsprofile!$G$6:$G$11)*Kalender!E105/SUM(Kalender!$E$5:$E$370),0))*Szenarien!$E$23,0)</f>
        <v>2.04</v>
      </c>
      <c r="D4497" s="13" t="n">
        <f aca="false">IF(Szenarien!$H$23="OK",(IFERROR(SUMIF(Nutzungsprofile!$B$17:$B$22,"Schulbetrieb",Nutzungsprofile!$G$17:$G$22)*Kalender!C105/SUM(Kalender!$C$5:$C$370),0)+IFERROR(SUMIF(Nutzungsprofile!$B$17:$B$22,"Halle",Nutzungsprofile!$G$17:$G$22)*Kalender!D105/SUM(Kalender!$D$5:$D$370),0)+IFERROR(SUMIF(Nutzungsprofile!$B$17:$B$22,"Individuell",Nutzungsprofile!$G$17:$G$22)*Kalender!E105/SUM(Kalender!$E$5:$E$370),0))*Szenarien!$D$23,0)</f>
        <v>0.89</v>
      </c>
      <c r="E4497" s="13" t="n">
        <f aca="false">IFERROR(MIN(C4497,Eingaben!$B$17)*Eingaben!$B$16,0)</f>
        <v>1.938</v>
      </c>
      <c r="F4497" s="13" t="n">
        <f aca="false">IFERROR(E4497*Eingaben!$B$15,0)</f>
        <v>1.7442</v>
      </c>
      <c r="G4497" s="13" t="n">
        <f aca="false">IFERROR(IF(Kalender!A105="",0,J4496*(1-Eingaben!$B$20)),0)</f>
        <v>0.7390278</v>
      </c>
      <c r="H4497" s="13" t="n">
        <f aca="false">MIN(G4497,D4497)</f>
        <v>0.7390278</v>
      </c>
      <c r="I4497" s="13" t="n">
        <f aca="false">IFERROR(MIN(F4497*Eingaben!$B$19,MAX(0,D4497-H4497)),0)</f>
        <v>0.1509722</v>
      </c>
      <c r="J4497" s="13" t="n">
        <f aca="false">IFERROR(MIN(Eingaben!$B$18,MAX(0,F4497-I4497)),0)</f>
        <v>1.5932278</v>
      </c>
      <c r="K4497" s="13" t="n">
        <f aca="false">H4497+I4497</f>
        <v>0.89</v>
      </c>
      <c r="L4497" s="13" t="n">
        <f aca="false">MAX(0,D4497-K4497)</f>
        <v>0</v>
      </c>
      <c r="M4497" s="13" t="n">
        <f aca="false">MAX(0,F4497-I4497-J4497)</f>
        <v>0</v>
      </c>
      <c r="N4497" s="13" t="n">
        <f aca="false">IF(Kalender!A105="",0,J4496-H4497)</f>
        <v>0.0150822</v>
      </c>
    </row>
    <row r="4498" customFormat="false" ht="16.4" hidden="false" customHeight="false" outlineLevel="0" collapsed="false">
      <c r="A4498" s="13" t="str">
        <f aca="false">""</f>
        <v/>
      </c>
      <c r="B4498" s="13" t="n">
        <f aca="false">102</f>
        <v>102</v>
      </c>
      <c r="C4498" s="13" t="n">
        <f aca="false">IF(Szenarien!$H$23="OK",(IFERROR(SUMIF(Nutzungsprofile!$B$6:$B$11,"Schulbetrieb",Nutzungsprofile!$G$6:$G$11)*Kalender!C106/SUM(Kalender!$C$5:$C$370),0)+IFERROR(SUMIF(Nutzungsprofile!$B$6:$B$11,"Halle",Nutzungsprofile!$G$6:$G$11)*Kalender!D106/SUM(Kalender!$D$5:$D$370),0)+IFERROR(SUMIF(Nutzungsprofile!$B$6:$B$11,"Individuell",Nutzungsprofile!$G$6:$G$11)*Kalender!E106/SUM(Kalender!$E$5:$E$370),0))*Szenarien!$E$23,0)</f>
        <v>2.04</v>
      </c>
      <c r="D4498" s="13" t="n">
        <f aca="false">IF(Szenarien!$H$23="OK",(IFERROR(SUMIF(Nutzungsprofile!$B$17:$B$22,"Schulbetrieb",Nutzungsprofile!$G$17:$G$22)*Kalender!C106/SUM(Kalender!$C$5:$C$370),0)+IFERROR(SUMIF(Nutzungsprofile!$B$17:$B$22,"Halle",Nutzungsprofile!$G$17:$G$22)*Kalender!D106/SUM(Kalender!$D$5:$D$370),0)+IFERROR(SUMIF(Nutzungsprofile!$B$17:$B$22,"Individuell",Nutzungsprofile!$G$17:$G$22)*Kalender!E106/SUM(Kalender!$E$5:$E$370),0))*Szenarien!$D$23,0)</f>
        <v>0.89</v>
      </c>
      <c r="E4498" s="13" t="n">
        <f aca="false">IFERROR(MIN(C4498,Eingaben!$B$17)*Eingaben!$B$16,0)</f>
        <v>1.938</v>
      </c>
      <c r="F4498" s="13" t="n">
        <f aca="false">IFERROR(E4498*Eingaben!$B$15,0)</f>
        <v>1.7442</v>
      </c>
      <c r="G4498" s="13" t="n">
        <f aca="false">IFERROR(IF(Kalender!A106="",0,J4497*(1-Eingaben!$B$20)),0)</f>
        <v>1.561363244</v>
      </c>
      <c r="H4498" s="13" t="n">
        <f aca="false">MIN(G4498,D4498)</f>
        <v>0.89</v>
      </c>
      <c r="I4498" s="13" t="n">
        <f aca="false">IFERROR(MIN(F4498*Eingaben!$B$19,MAX(0,D4498-H4498)),0)</f>
        <v>0</v>
      </c>
      <c r="J4498" s="13" t="n">
        <f aca="false">IFERROR(MIN(Eingaben!$B$18,MAX(0,F4498-I4498)),0)</f>
        <v>1.7442</v>
      </c>
      <c r="K4498" s="13" t="n">
        <f aca="false">H4498+I4498</f>
        <v>0.89</v>
      </c>
      <c r="L4498" s="13" t="n">
        <f aca="false">MAX(0,D4498-K4498)</f>
        <v>0</v>
      </c>
      <c r="M4498" s="13" t="n">
        <f aca="false">MAX(0,F4498-I4498-J4498)</f>
        <v>0</v>
      </c>
      <c r="N4498" s="13" t="n">
        <f aca="false">IF(Kalender!A106="",0,J4497-H4498)</f>
        <v>0.7032278</v>
      </c>
    </row>
    <row r="4499" customFormat="false" ht="16.4" hidden="false" customHeight="false" outlineLevel="0" collapsed="false">
      <c r="A4499" s="13" t="str">
        <f aca="false">""</f>
        <v/>
      </c>
      <c r="B4499" s="13" t="n">
        <f aca="false">103</f>
        <v>103</v>
      </c>
      <c r="C4499" s="13" t="n">
        <f aca="false">IF(Szenarien!$H$23="OK",(IFERROR(SUMIF(Nutzungsprofile!$B$6:$B$11,"Schulbetrieb",Nutzungsprofile!$G$6:$G$11)*Kalender!C107/SUM(Kalender!$C$5:$C$370),0)+IFERROR(SUMIF(Nutzungsprofile!$B$6:$B$11,"Halle",Nutzungsprofile!$G$6:$G$11)*Kalender!D107/SUM(Kalender!$D$5:$D$370),0)+IFERROR(SUMIF(Nutzungsprofile!$B$6:$B$11,"Individuell",Nutzungsprofile!$G$6:$G$11)*Kalender!E107/SUM(Kalender!$E$5:$E$370),0))*Szenarien!$E$23,0)</f>
        <v>2.94</v>
      </c>
      <c r="D4499" s="13" t="n">
        <f aca="false">IF(Szenarien!$H$23="OK",(IFERROR(SUMIF(Nutzungsprofile!$B$17:$B$22,"Schulbetrieb",Nutzungsprofile!$G$17:$G$22)*Kalender!C107/SUM(Kalender!$C$5:$C$370),0)+IFERROR(SUMIF(Nutzungsprofile!$B$17:$B$22,"Halle",Nutzungsprofile!$G$17:$G$22)*Kalender!D107/SUM(Kalender!$D$5:$D$370),0)+IFERROR(SUMIF(Nutzungsprofile!$B$17:$B$22,"Individuell",Nutzungsprofile!$G$17:$G$22)*Kalender!E107/SUM(Kalender!$E$5:$E$370),0))*Szenarien!$D$23,0)</f>
        <v>4.94</v>
      </c>
      <c r="E4499" s="13" t="n">
        <f aca="false">IFERROR(MIN(C4499,Eingaben!$B$17)*Eingaben!$B$16,0)</f>
        <v>2.793</v>
      </c>
      <c r="F4499" s="13" t="n">
        <f aca="false">IFERROR(E4499*Eingaben!$B$15,0)</f>
        <v>2.5137</v>
      </c>
      <c r="G4499" s="13" t="n">
        <f aca="false">IFERROR(IF(Kalender!A107="",0,J4498*(1-Eingaben!$B$20)),0)</f>
        <v>1.709316</v>
      </c>
      <c r="H4499" s="13" t="n">
        <f aca="false">MIN(G4499,D4499)</f>
        <v>1.709316</v>
      </c>
      <c r="I4499" s="13" t="n">
        <f aca="false">IFERROR(MIN(F4499*Eingaben!$B$19,MAX(0,D4499-H4499)),0)</f>
        <v>1.75959</v>
      </c>
      <c r="J4499" s="13" t="n">
        <f aca="false">IFERROR(MIN(Eingaben!$B$18,MAX(0,F4499-I4499)),0)</f>
        <v>0.75411</v>
      </c>
      <c r="K4499" s="13" t="n">
        <f aca="false">H4499+I4499</f>
        <v>3.468906</v>
      </c>
      <c r="L4499" s="13" t="n">
        <f aca="false">MAX(0,D4499-K4499)</f>
        <v>1.471094</v>
      </c>
      <c r="M4499" s="13" t="n">
        <f aca="false">MAX(0,F4499-I4499-J4499)</f>
        <v>0</v>
      </c>
      <c r="N4499" s="13" t="n">
        <f aca="false">IF(Kalender!A107="",0,J4498-H4499)</f>
        <v>0.0348840000000001</v>
      </c>
    </row>
    <row r="4500" customFormat="false" ht="16.4" hidden="false" customHeight="false" outlineLevel="0" collapsed="false">
      <c r="A4500" s="13" t="str">
        <f aca="false">""</f>
        <v/>
      </c>
      <c r="B4500" s="13" t="n">
        <f aca="false">104</f>
        <v>104</v>
      </c>
      <c r="C4500" s="13" t="n">
        <f aca="false">IF(Szenarien!$H$23="OK",(IFERROR(SUMIF(Nutzungsprofile!$B$6:$B$11,"Schulbetrieb",Nutzungsprofile!$G$6:$G$11)*Kalender!C108/SUM(Kalender!$C$5:$C$370),0)+IFERROR(SUMIF(Nutzungsprofile!$B$6:$B$11,"Halle",Nutzungsprofile!$G$6:$G$11)*Kalender!D108/SUM(Kalender!$D$5:$D$370),0)+IFERROR(SUMIF(Nutzungsprofile!$B$6:$B$11,"Individuell",Nutzungsprofile!$G$6:$G$11)*Kalender!E108/SUM(Kalender!$E$5:$E$370),0))*Szenarien!$E$23,0)</f>
        <v>2.94</v>
      </c>
      <c r="D4500" s="13" t="n">
        <f aca="false">IF(Szenarien!$H$23="OK",(IFERROR(SUMIF(Nutzungsprofile!$B$17:$B$22,"Schulbetrieb",Nutzungsprofile!$G$17:$G$22)*Kalender!C108/SUM(Kalender!$C$5:$C$370),0)+IFERROR(SUMIF(Nutzungsprofile!$B$17:$B$22,"Halle",Nutzungsprofile!$G$17:$G$22)*Kalender!D108/SUM(Kalender!$D$5:$D$370),0)+IFERROR(SUMIF(Nutzungsprofile!$B$17:$B$22,"Individuell",Nutzungsprofile!$G$17:$G$22)*Kalender!E108/SUM(Kalender!$E$5:$E$370),0))*Szenarien!$D$23,0)</f>
        <v>4.94</v>
      </c>
      <c r="E4500" s="13" t="n">
        <f aca="false">IFERROR(MIN(C4500,Eingaben!$B$17)*Eingaben!$B$16,0)</f>
        <v>2.793</v>
      </c>
      <c r="F4500" s="13" t="n">
        <f aca="false">IFERROR(E4500*Eingaben!$B$15,0)</f>
        <v>2.5137</v>
      </c>
      <c r="G4500" s="13" t="n">
        <f aca="false">IFERROR(IF(Kalender!A108="",0,J4499*(1-Eingaben!$B$20)),0)</f>
        <v>0.7390278</v>
      </c>
      <c r="H4500" s="13" t="n">
        <f aca="false">MIN(G4500,D4500)</f>
        <v>0.7390278</v>
      </c>
      <c r="I4500" s="13" t="n">
        <f aca="false">IFERROR(MIN(F4500*Eingaben!$B$19,MAX(0,D4500-H4500)),0)</f>
        <v>1.75959</v>
      </c>
      <c r="J4500" s="13" t="n">
        <f aca="false">IFERROR(MIN(Eingaben!$B$18,MAX(0,F4500-I4500)),0)</f>
        <v>0.75411</v>
      </c>
      <c r="K4500" s="13" t="n">
        <f aca="false">H4500+I4500</f>
        <v>2.4986178</v>
      </c>
      <c r="L4500" s="13" t="n">
        <f aca="false">MAX(0,D4500-K4500)</f>
        <v>2.4413822</v>
      </c>
      <c r="M4500" s="13" t="n">
        <f aca="false">MAX(0,F4500-I4500-J4500)</f>
        <v>0</v>
      </c>
      <c r="N4500" s="13" t="n">
        <f aca="false">IF(Kalender!A108="",0,J4499-H4500)</f>
        <v>0.0150822</v>
      </c>
    </row>
    <row r="4501" customFormat="false" ht="16.4" hidden="false" customHeight="false" outlineLevel="0" collapsed="false">
      <c r="A4501" s="13" t="str">
        <f aca="false">""</f>
        <v/>
      </c>
      <c r="B4501" s="13" t="n">
        <f aca="false">105</f>
        <v>105</v>
      </c>
      <c r="C4501" s="13" t="n">
        <f aca="false">IF(Szenarien!$H$23="OK",(IFERROR(SUMIF(Nutzungsprofile!$B$6:$B$11,"Schulbetrieb",Nutzungsprofile!$G$6:$G$11)*Kalender!C109/SUM(Kalender!$C$5:$C$370),0)+IFERROR(SUMIF(Nutzungsprofile!$B$6:$B$11,"Halle",Nutzungsprofile!$G$6:$G$11)*Kalender!D109/SUM(Kalender!$D$5:$D$370),0)+IFERROR(SUMIF(Nutzungsprofile!$B$6:$B$11,"Individuell",Nutzungsprofile!$G$6:$G$11)*Kalender!E109/SUM(Kalender!$E$5:$E$370),0))*Szenarien!$E$23,0)</f>
        <v>2.94</v>
      </c>
      <c r="D4501" s="13" t="n">
        <f aca="false">IF(Szenarien!$H$23="OK",(IFERROR(SUMIF(Nutzungsprofile!$B$17:$B$22,"Schulbetrieb",Nutzungsprofile!$G$17:$G$22)*Kalender!C109/SUM(Kalender!$C$5:$C$370),0)+IFERROR(SUMIF(Nutzungsprofile!$B$17:$B$22,"Halle",Nutzungsprofile!$G$17:$G$22)*Kalender!D109/SUM(Kalender!$D$5:$D$370),0)+IFERROR(SUMIF(Nutzungsprofile!$B$17:$B$22,"Individuell",Nutzungsprofile!$G$17:$G$22)*Kalender!E109/SUM(Kalender!$E$5:$E$370),0))*Szenarien!$D$23,0)</f>
        <v>4.94</v>
      </c>
      <c r="E4501" s="13" t="n">
        <f aca="false">IFERROR(MIN(C4501,Eingaben!$B$17)*Eingaben!$B$16,0)</f>
        <v>2.793</v>
      </c>
      <c r="F4501" s="13" t="n">
        <f aca="false">IFERROR(E4501*Eingaben!$B$15,0)</f>
        <v>2.5137</v>
      </c>
      <c r="G4501" s="13" t="n">
        <f aca="false">IFERROR(IF(Kalender!A109="",0,J4500*(1-Eingaben!$B$20)),0)</f>
        <v>0.7390278</v>
      </c>
      <c r="H4501" s="13" t="n">
        <f aca="false">MIN(G4501,D4501)</f>
        <v>0.7390278</v>
      </c>
      <c r="I4501" s="13" t="n">
        <f aca="false">IFERROR(MIN(F4501*Eingaben!$B$19,MAX(0,D4501-H4501)),0)</f>
        <v>1.75959</v>
      </c>
      <c r="J4501" s="13" t="n">
        <f aca="false">IFERROR(MIN(Eingaben!$B$18,MAX(0,F4501-I4501)),0)</f>
        <v>0.75411</v>
      </c>
      <c r="K4501" s="13" t="n">
        <f aca="false">H4501+I4501</f>
        <v>2.4986178</v>
      </c>
      <c r="L4501" s="13" t="n">
        <f aca="false">MAX(0,D4501-K4501)</f>
        <v>2.4413822</v>
      </c>
      <c r="M4501" s="13" t="n">
        <f aca="false">MAX(0,F4501-I4501-J4501)</f>
        <v>0</v>
      </c>
      <c r="N4501" s="13" t="n">
        <f aca="false">IF(Kalender!A109="",0,J4500-H4501)</f>
        <v>0.0150822</v>
      </c>
    </row>
    <row r="4502" customFormat="false" ht="16.4" hidden="false" customHeight="false" outlineLevel="0" collapsed="false">
      <c r="A4502" s="13" t="str">
        <f aca="false">""</f>
        <v/>
      </c>
      <c r="B4502" s="13" t="n">
        <f aca="false">106</f>
        <v>106</v>
      </c>
      <c r="C4502" s="13" t="n">
        <f aca="false">IF(Szenarien!$H$23="OK",(IFERROR(SUMIF(Nutzungsprofile!$B$6:$B$11,"Schulbetrieb",Nutzungsprofile!$G$6:$G$11)*Kalender!C110/SUM(Kalender!$C$5:$C$370),0)+IFERROR(SUMIF(Nutzungsprofile!$B$6:$B$11,"Halle",Nutzungsprofile!$G$6:$G$11)*Kalender!D110/SUM(Kalender!$D$5:$D$370),0)+IFERROR(SUMIF(Nutzungsprofile!$B$6:$B$11,"Individuell",Nutzungsprofile!$G$6:$G$11)*Kalender!E110/SUM(Kalender!$E$5:$E$370),0))*Szenarien!$E$23,0)</f>
        <v>2.94</v>
      </c>
      <c r="D4502" s="13" t="n">
        <f aca="false">IF(Szenarien!$H$23="OK",(IFERROR(SUMIF(Nutzungsprofile!$B$17:$B$22,"Schulbetrieb",Nutzungsprofile!$G$17:$G$22)*Kalender!C110/SUM(Kalender!$C$5:$C$370),0)+IFERROR(SUMIF(Nutzungsprofile!$B$17:$B$22,"Halle",Nutzungsprofile!$G$17:$G$22)*Kalender!D110/SUM(Kalender!$D$5:$D$370),0)+IFERROR(SUMIF(Nutzungsprofile!$B$17:$B$22,"Individuell",Nutzungsprofile!$G$17:$G$22)*Kalender!E110/SUM(Kalender!$E$5:$E$370),0))*Szenarien!$D$23,0)</f>
        <v>4.94</v>
      </c>
      <c r="E4502" s="13" t="n">
        <f aca="false">IFERROR(MIN(C4502,Eingaben!$B$17)*Eingaben!$B$16,0)</f>
        <v>2.793</v>
      </c>
      <c r="F4502" s="13" t="n">
        <f aca="false">IFERROR(E4502*Eingaben!$B$15,0)</f>
        <v>2.5137</v>
      </c>
      <c r="G4502" s="13" t="n">
        <f aca="false">IFERROR(IF(Kalender!A110="",0,J4501*(1-Eingaben!$B$20)),0)</f>
        <v>0.7390278</v>
      </c>
      <c r="H4502" s="13" t="n">
        <f aca="false">MIN(G4502,D4502)</f>
        <v>0.7390278</v>
      </c>
      <c r="I4502" s="13" t="n">
        <f aca="false">IFERROR(MIN(F4502*Eingaben!$B$19,MAX(0,D4502-H4502)),0)</f>
        <v>1.75959</v>
      </c>
      <c r="J4502" s="13" t="n">
        <f aca="false">IFERROR(MIN(Eingaben!$B$18,MAX(0,F4502-I4502)),0)</f>
        <v>0.75411</v>
      </c>
      <c r="K4502" s="13" t="n">
        <f aca="false">H4502+I4502</f>
        <v>2.4986178</v>
      </c>
      <c r="L4502" s="13" t="n">
        <f aca="false">MAX(0,D4502-K4502)</f>
        <v>2.4413822</v>
      </c>
      <c r="M4502" s="13" t="n">
        <f aca="false">MAX(0,F4502-I4502-J4502)</f>
        <v>0</v>
      </c>
      <c r="N4502" s="13" t="n">
        <f aca="false">IF(Kalender!A110="",0,J4501-H4502)</f>
        <v>0.0150822</v>
      </c>
    </row>
    <row r="4503" customFormat="false" ht="16.4" hidden="false" customHeight="false" outlineLevel="0" collapsed="false">
      <c r="A4503" s="13" t="str">
        <f aca="false">""</f>
        <v/>
      </c>
      <c r="B4503" s="13" t="n">
        <f aca="false">107</f>
        <v>107</v>
      </c>
      <c r="C4503" s="13" t="n">
        <f aca="false">IF(Szenarien!$H$23="OK",(IFERROR(SUMIF(Nutzungsprofile!$B$6:$B$11,"Schulbetrieb",Nutzungsprofile!$G$6:$G$11)*Kalender!C111/SUM(Kalender!$C$5:$C$370),0)+IFERROR(SUMIF(Nutzungsprofile!$B$6:$B$11,"Halle",Nutzungsprofile!$G$6:$G$11)*Kalender!D111/SUM(Kalender!$D$5:$D$370),0)+IFERROR(SUMIF(Nutzungsprofile!$B$6:$B$11,"Individuell",Nutzungsprofile!$G$6:$G$11)*Kalender!E111/SUM(Kalender!$E$5:$E$370),0))*Szenarien!$E$23,0)</f>
        <v>2.94</v>
      </c>
      <c r="D4503" s="13" t="n">
        <f aca="false">IF(Szenarien!$H$23="OK",(IFERROR(SUMIF(Nutzungsprofile!$B$17:$B$22,"Schulbetrieb",Nutzungsprofile!$G$17:$G$22)*Kalender!C111/SUM(Kalender!$C$5:$C$370),0)+IFERROR(SUMIF(Nutzungsprofile!$B$17:$B$22,"Halle",Nutzungsprofile!$G$17:$G$22)*Kalender!D111/SUM(Kalender!$D$5:$D$370),0)+IFERROR(SUMIF(Nutzungsprofile!$B$17:$B$22,"Individuell",Nutzungsprofile!$G$17:$G$22)*Kalender!E111/SUM(Kalender!$E$5:$E$370),0))*Szenarien!$D$23,0)</f>
        <v>4.94</v>
      </c>
      <c r="E4503" s="13" t="n">
        <f aca="false">IFERROR(MIN(C4503,Eingaben!$B$17)*Eingaben!$B$16,0)</f>
        <v>2.793</v>
      </c>
      <c r="F4503" s="13" t="n">
        <f aca="false">IFERROR(E4503*Eingaben!$B$15,0)</f>
        <v>2.5137</v>
      </c>
      <c r="G4503" s="13" t="n">
        <f aca="false">IFERROR(IF(Kalender!A111="",0,J4502*(1-Eingaben!$B$20)),0)</f>
        <v>0.7390278</v>
      </c>
      <c r="H4503" s="13" t="n">
        <f aca="false">MIN(G4503,D4503)</f>
        <v>0.7390278</v>
      </c>
      <c r="I4503" s="13" t="n">
        <f aca="false">IFERROR(MIN(F4503*Eingaben!$B$19,MAX(0,D4503-H4503)),0)</f>
        <v>1.75959</v>
      </c>
      <c r="J4503" s="13" t="n">
        <f aca="false">IFERROR(MIN(Eingaben!$B$18,MAX(0,F4503-I4503)),0)</f>
        <v>0.75411</v>
      </c>
      <c r="K4503" s="13" t="n">
        <f aca="false">H4503+I4503</f>
        <v>2.4986178</v>
      </c>
      <c r="L4503" s="13" t="n">
        <f aca="false">MAX(0,D4503-K4503)</f>
        <v>2.4413822</v>
      </c>
      <c r="M4503" s="13" t="n">
        <f aca="false">MAX(0,F4503-I4503-J4503)</f>
        <v>0</v>
      </c>
      <c r="N4503" s="13" t="n">
        <f aca="false">IF(Kalender!A111="",0,J4502-H4503)</f>
        <v>0.0150822</v>
      </c>
    </row>
    <row r="4504" customFormat="false" ht="16.4" hidden="false" customHeight="false" outlineLevel="0" collapsed="false">
      <c r="A4504" s="13" t="str">
        <f aca="false">""</f>
        <v/>
      </c>
      <c r="B4504" s="13" t="n">
        <f aca="false">108</f>
        <v>108</v>
      </c>
      <c r="C4504" s="13" t="n">
        <f aca="false">IF(Szenarien!$H$23="OK",(IFERROR(SUMIF(Nutzungsprofile!$B$6:$B$11,"Schulbetrieb",Nutzungsprofile!$G$6:$G$11)*Kalender!C112/SUM(Kalender!$C$5:$C$370),0)+IFERROR(SUMIF(Nutzungsprofile!$B$6:$B$11,"Halle",Nutzungsprofile!$G$6:$G$11)*Kalender!D112/SUM(Kalender!$D$5:$D$370),0)+IFERROR(SUMIF(Nutzungsprofile!$B$6:$B$11,"Individuell",Nutzungsprofile!$G$6:$G$11)*Kalender!E112/SUM(Kalender!$E$5:$E$370),0))*Szenarien!$E$23,0)</f>
        <v>2.04</v>
      </c>
      <c r="D4504" s="13" t="n">
        <f aca="false">IF(Szenarien!$H$23="OK",(IFERROR(SUMIF(Nutzungsprofile!$B$17:$B$22,"Schulbetrieb",Nutzungsprofile!$G$17:$G$22)*Kalender!C112/SUM(Kalender!$C$5:$C$370),0)+IFERROR(SUMIF(Nutzungsprofile!$B$17:$B$22,"Halle",Nutzungsprofile!$G$17:$G$22)*Kalender!D112/SUM(Kalender!$D$5:$D$370),0)+IFERROR(SUMIF(Nutzungsprofile!$B$17:$B$22,"Individuell",Nutzungsprofile!$G$17:$G$22)*Kalender!E112/SUM(Kalender!$E$5:$E$370),0))*Szenarien!$D$23,0)</f>
        <v>0.89</v>
      </c>
      <c r="E4504" s="13" t="n">
        <f aca="false">IFERROR(MIN(C4504,Eingaben!$B$17)*Eingaben!$B$16,0)</f>
        <v>1.938</v>
      </c>
      <c r="F4504" s="13" t="n">
        <f aca="false">IFERROR(E4504*Eingaben!$B$15,0)</f>
        <v>1.7442</v>
      </c>
      <c r="G4504" s="13" t="n">
        <f aca="false">IFERROR(IF(Kalender!A112="",0,J4503*(1-Eingaben!$B$20)),0)</f>
        <v>0.7390278</v>
      </c>
      <c r="H4504" s="13" t="n">
        <f aca="false">MIN(G4504,D4504)</f>
        <v>0.7390278</v>
      </c>
      <c r="I4504" s="13" t="n">
        <f aca="false">IFERROR(MIN(F4504*Eingaben!$B$19,MAX(0,D4504-H4504)),0)</f>
        <v>0.1509722</v>
      </c>
      <c r="J4504" s="13" t="n">
        <f aca="false">IFERROR(MIN(Eingaben!$B$18,MAX(0,F4504-I4504)),0)</f>
        <v>1.5932278</v>
      </c>
      <c r="K4504" s="13" t="n">
        <f aca="false">H4504+I4504</f>
        <v>0.89</v>
      </c>
      <c r="L4504" s="13" t="n">
        <f aca="false">MAX(0,D4504-K4504)</f>
        <v>0</v>
      </c>
      <c r="M4504" s="13" t="n">
        <f aca="false">MAX(0,F4504-I4504-J4504)</f>
        <v>0</v>
      </c>
      <c r="N4504" s="13" t="n">
        <f aca="false">IF(Kalender!A112="",0,J4503-H4504)</f>
        <v>0.0150822</v>
      </c>
    </row>
    <row r="4505" customFormat="false" ht="16.4" hidden="false" customHeight="false" outlineLevel="0" collapsed="false">
      <c r="A4505" s="13" t="str">
        <f aca="false">""</f>
        <v/>
      </c>
      <c r="B4505" s="13" t="n">
        <f aca="false">109</f>
        <v>109</v>
      </c>
      <c r="C4505" s="13" t="n">
        <f aca="false">IF(Szenarien!$H$23="OK",(IFERROR(SUMIF(Nutzungsprofile!$B$6:$B$11,"Schulbetrieb",Nutzungsprofile!$G$6:$G$11)*Kalender!C113/SUM(Kalender!$C$5:$C$370),0)+IFERROR(SUMIF(Nutzungsprofile!$B$6:$B$11,"Halle",Nutzungsprofile!$G$6:$G$11)*Kalender!D113/SUM(Kalender!$D$5:$D$370),0)+IFERROR(SUMIF(Nutzungsprofile!$B$6:$B$11,"Individuell",Nutzungsprofile!$G$6:$G$11)*Kalender!E113/SUM(Kalender!$E$5:$E$370),0))*Szenarien!$E$23,0)</f>
        <v>2.04</v>
      </c>
      <c r="D4505" s="13" t="n">
        <f aca="false">IF(Szenarien!$H$23="OK",(IFERROR(SUMIF(Nutzungsprofile!$B$17:$B$22,"Schulbetrieb",Nutzungsprofile!$G$17:$G$22)*Kalender!C113/SUM(Kalender!$C$5:$C$370),0)+IFERROR(SUMIF(Nutzungsprofile!$B$17:$B$22,"Halle",Nutzungsprofile!$G$17:$G$22)*Kalender!D113/SUM(Kalender!$D$5:$D$370),0)+IFERROR(SUMIF(Nutzungsprofile!$B$17:$B$22,"Individuell",Nutzungsprofile!$G$17:$G$22)*Kalender!E113/SUM(Kalender!$E$5:$E$370),0))*Szenarien!$D$23,0)</f>
        <v>0.89</v>
      </c>
      <c r="E4505" s="13" t="n">
        <f aca="false">IFERROR(MIN(C4505,Eingaben!$B$17)*Eingaben!$B$16,0)</f>
        <v>1.938</v>
      </c>
      <c r="F4505" s="13" t="n">
        <f aca="false">IFERROR(E4505*Eingaben!$B$15,0)</f>
        <v>1.7442</v>
      </c>
      <c r="G4505" s="13" t="n">
        <f aca="false">IFERROR(IF(Kalender!A113="",0,J4504*(1-Eingaben!$B$20)),0)</f>
        <v>1.561363244</v>
      </c>
      <c r="H4505" s="13" t="n">
        <f aca="false">MIN(G4505,D4505)</f>
        <v>0.89</v>
      </c>
      <c r="I4505" s="13" t="n">
        <f aca="false">IFERROR(MIN(F4505*Eingaben!$B$19,MAX(0,D4505-H4505)),0)</f>
        <v>0</v>
      </c>
      <c r="J4505" s="13" t="n">
        <f aca="false">IFERROR(MIN(Eingaben!$B$18,MAX(0,F4505-I4505)),0)</f>
        <v>1.7442</v>
      </c>
      <c r="K4505" s="13" t="n">
        <f aca="false">H4505+I4505</f>
        <v>0.89</v>
      </c>
      <c r="L4505" s="13" t="n">
        <f aca="false">MAX(0,D4505-K4505)</f>
        <v>0</v>
      </c>
      <c r="M4505" s="13" t="n">
        <f aca="false">MAX(0,F4505-I4505-J4505)</f>
        <v>0</v>
      </c>
      <c r="N4505" s="13" t="n">
        <f aca="false">IF(Kalender!A113="",0,J4504-H4505)</f>
        <v>0.7032278</v>
      </c>
    </row>
    <row r="4506" customFormat="false" ht="16.4" hidden="false" customHeight="false" outlineLevel="0" collapsed="false">
      <c r="A4506" s="13" t="str">
        <f aca="false">""</f>
        <v/>
      </c>
      <c r="B4506" s="13" t="n">
        <f aca="false">110</f>
        <v>110</v>
      </c>
      <c r="C4506" s="13" t="n">
        <f aca="false">IF(Szenarien!$H$23="OK",(IFERROR(SUMIF(Nutzungsprofile!$B$6:$B$11,"Schulbetrieb",Nutzungsprofile!$G$6:$G$11)*Kalender!C114/SUM(Kalender!$C$5:$C$370),0)+IFERROR(SUMIF(Nutzungsprofile!$B$6:$B$11,"Halle",Nutzungsprofile!$G$6:$G$11)*Kalender!D114/SUM(Kalender!$D$5:$D$370),0)+IFERROR(SUMIF(Nutzungsprofile!$B$6:$B$11,"Individuell",Nutzungsprofile!$G$6:$G$11)*Kalender!E114/SUM(Kalender!$E$5:$E$370),0))*Szenarien!$E$23,0)</f>
        <v>2.94</v>
      </c>
      <c r="D4506" s="13" t="n">
        <f aca="false">IF(Szenarien!$H$23="OK",(IFERROR(SUMIF(Nutzungsprofile!$B$17:$B$22,"Schulbetrieb",Nutzungsprofile!$G$17:$G$22)*Kalender!C114/SUM(Kalender!$C$5:$C$370),0)+IFERROR(SUMIF(Nutzungsprofile!$B$17:$B$22,"Halle",Nutzungsprofile!$G$17:$G$22)*Kalender!D114/SUM(Kalender!$D$5:$D$370),0)+IFERROR(SUMIF(Nutzungsprofile!$B$17:$B$22,"Individuell",Nutzungsprofile!$G$17:$G$22)*Kalender!E114/SUM(Kalender!$E$5:$E$370),0))*Szenarien!$D$23,0)</f>
        <v>4.94</v>
      </c>
      <c r="E4506" s="13" t="n">
        <f aca="false">IFERROR(MIN(C4506,Eingaben!$B$17)*Eingaben!$B$16,0)</f>
        <v>2.793</v>
      </c>
      <c r="F4506" s="13" t="n">
        <f aca="false">IFERROR(E4506*Eingaben!$B$15,0)</f>
        <v>2.5137</v>
      </c>
      <c r="G4506" s="13" t="n">
        <f aca="false">IFERROR(IF(Kalender!A114="",0,J4505*(1-Eingaben!$B$20)),0)</f>
        <v>1.709316</v>
      </c>
      <c r="H4506" s="13" t="n">
        <f aca="false">MIN(G4506,D4506)</f>
        <v>1.709316</v>
      </c>
      <c r="I4506" s="13" t="n">
        <f aca="false">IFERROR(MIN(F4506*Eingaben!$B$19,MAX(0,D4506-H4506)),0)</f>
        <v>1.75959</v>
      </c>
      <c r="J4506" s="13" t="n">
        <f aca="false">IFERROR(MIN(Eingaben!$B$18,MAX(0,F4506-I4506)),0)</f>
        <v>0.75411</v>
      </c>
      <c r="K4506" s="13" t="n">
        <f aca="false">H4506+I4506</f>
        <v>3.468906</v>
      </c>
      <c r="L4506" s="13" t="n">
        <f aca="false">MAX(0,D4506-K4506)</f>
        <v>1.471094</v>
      </c>
      <c r="M4506" s="13" t="n">
        <f aca="false">MAX(0,F4506-I4506-J4506)</f>
        <v>0</v>
      </c>
      <c r="N4506" s="13" t="n">
        <f aca="false">IF(Kalender!A114="",0,J4505-H4506)</f>
        <v>0.0348840000000001</v>
      </c>
    </row>
    <row r="4507" customFormat="false" ht="16.4" hidden="false" customHeight="false" outlineLevel="0" collapsed="false">
      <c r="A4507" s="13" t="str">
        <f aca="false">""</f>
        <v/>
      </c>
      <c r="B4507" s="13" t="n">
        <f aca="false">111</f>
        <v>111</v>
      </c>
      <c r="C4507" s="13" t="n">
        <f aca="false">IF(Szenarien!$H$23="OK",(IFERROR(SUMIF(Nutzungsprofile!$B$6:$B$11,"Schulbetrieb",Nutzungsprofile!$G$6:$G$11)*Kalender!C115/SUM(Kalender!$C$5:$C$370),0)+IFERROR(SUMIF(Nutzungsprofile!$B$6:$B$11,"Halle",Nutzungsprofile!$G$6:$G$11)*Kalender!D115/SUM(Kalender!$D$5:$D$370),0)+IFERROR(SUMIF(Nutzungsprofile!$B$6:$B$11,"Individuell",Nutzungsprofile!$G$6:$G$11)*Kalender!E115/SUM(Kalender!$E$5:$E$370),0))*Szenarien!$E$23,0)</f>
        <v>2.94</v>
      </c>
      <c r="D4507" s="13" t="n">
        <f aca="false">IF(Szenarien!$H$23="OK",(IFERROR(SUMIF(Nutzungsprofile!$B$17:$B$22,"Schulbetrieb",Nutzungsprofile!$G$17:$G$22)*Kalender!C115/SUM(Kalender!$C$5:$C$370),0)+IFERROR(SUMIF(Nutzungsprofile!$B$17:$B$22,"Halle",Nutzungsprofile!$G$17:$G$22)*Kalender!D115/SUM(Kalender!$D$5:$D$370),0)+IFERROR(SUMIF(Nutzungsprofile!$B$17:$B$22,"Individuell",Nutzungsprofile!$G$17:$G$22)*Kalender!E115/SUM(Kalender!$E$5:$E$370),0))*Szenarien!$D$23,0)</f>
        <v>4.94</v>
      </c>
      <c r="E4507" s="13" t="n">
        <f aca="false">IFERROR(MIN(C4507,Eingaben!$B$17)*Eingaben!$B$16,0)</f>
        <v>2.793</v>
      </c>
      <c r="F4507" s="13" t="n">
        <f aca="false">IFERROR(E4507*Eingaben!$B$15,0)</f>
        <v>2.5137</v>
      </c>
      <c r="G4507" s="13" t="n">
        <f aca="false">IFERROR(IF(Kalender!A115="",0,J4506*(1-Eingaben!$B$20)),0)</f>
        <v>0.7390278</v>
      </c>
      <c r="H4507" s="13" t="n">
        <f aca="false">MIN(G4507,D4507)</f>
        <v>0.7390278</v>
      </c>
      <c r="I4507" s="13" t="n">
        <f aca="false">IFERROR(MIN(F4507*Eingaben!$B$19,MAX(0,D4507-H4507)),0)</f>
        <v>1.75959</v>
      </c>
      <c r="J4507" s="13" t="n">
        <f aca="false">IFERROR(MIN(Eingaben!$B$18,MAX(0,F4507-I4507)),0)</f>
        <v>0.75411</v>
      </c>
      <c r="K4507" s="13" t="n">
        <f aca="false">H4507+I4507</f>
        <v>2.4986178</v>
      </c>
      <c r="L4507" s="13" t="n">
        <f aca="false">MAX(0,D4507-K4507)</f>
        <v>2.4413822</v>
      </c>
      <c r="M4507" s="13" t="n">
        <f aca="false">MAX(0,F4507-I4507-J4507)</f>
        <v>0</v>
      </c>
      <c r="N4507" s="13" t="n">
        <f aca="false">IF(Kalender!A115="",0,J4506-H4507)</f>
        <v>0.0150822</v>
      </c>
    </row>
    <row r="4508" customFormat="false" ht="16.4" hidden="false" customHeight="false" outlineLevel="0" collapsed="false">
      <c r="A4508" s="13" t="str">
        <f aca="false">""</f>
        <v/>
      </c>
      <c r="B4508" s="13" t="n">
        <f aca="false">112</f>
        <v>112</v>
      </c>
      <c r="C4508" s="13" t="n">
        <f aca="false">IF(Szenarien!$H$23="OK",(IFERROR(SUMIF(Nutzungsprofile!$B$6:$B$11,"Schulbetrieb",Nutzungsprofile!$G$6:$G$11)*Kalender!C116/SUM(Kalender!$C$5:$C$370),0)+IFERROR(SUMIF(Nutzungsprofile!$B$6:$B$11,"Halle",Nutzungsprofile!$G$6:$G$11)*Kalender!D116/SUM(Kalender!$D$5:$D$370),0)+IFERROR(SUMIF(Nutzungsprofile!$B$6:$B$11,"Individuell",Nutzungsprofile!$G$6:$G$11)*Kalender!E116/SUM(Kalender!$E$5:$E$370),0))*Szenarien!$E$23,0)</f>
        <v>2.94</v>
      </c>
      <c r="D4508" s="13" t="n">
        <f aca="false">IF(Szenarien!$H$23="OK",(IFERROR(SUMIF(Nutzungsprofile!$B$17:$B$22,"Schulbetrieb",Nutzungsprofile!$G$17:$G$22)*Kalender!C116/SUM(Kalender!$C$5:$C$370),0)+IFERROR(SUMIF(Nutzungsprofile!$B$17:$B$22,"Halle",Nutzungsprofile!$G$17:$G$22)*Kalender!D116/SUM(Kalender!$D$5:$D$370),0)+IFERROR(SUMIF(Nutzungsprofile!$B$17:$B$22,"Individuell",Nutzungsprofile!$G$17:$G$22)*Kalender!E116/SUM(Kalender!$E$5:$E$370),0))*Szenarien!$D$23,0)</f>
        <v>4.94</v>
      </c>
      <c r="E4508" s="13" t="n">
        <f aca="false">IFERROR(MIN(C4508,Eingaben!$B$17)*Eingaben!$B$16,0)</f>
        <v>2.793</v>
      </c>
      <c r="F4508" s="13" t="n">
        <f aca="false">IFERROR(E4508*Eingaben!$B$15,0)</f>
        <v>2.5137</v>
      </c>
      <c r="G4508" s="13" t="n">
        <f aca="false">IFERROR(IF(Kalender!A116="",0,J4507*(1-Eingaben!$B$20)),0)</f>
        <v>0.7390278</v>
      </c>
      <c r="H4508" s="13" t="n">
        <f aca="false">MIN(G4508,D4508)</f>
        <v>0.7390278</v>
      </c>
      <c r="I4508" s="13" t="n">
        <f aca="false">IFERROR(MIN(F4508*Eingaben!$B$19,MAX(0,D4508-H4508)),0)</f>
        <v>1.75959</v>
      </c>
      <c r="J4508" s="13" t="n">
        <f aca="false">IFERROR(MIN(Eingaben!$B$18,MAX(0,F4508-I4508)),0)</f>
        <v>0.75411</v>
      </c>
      <c r="K4508" s="13" t="n">
        <f aca="false">H4508+I4508</f>
        <v>2.4986178</v>
      </c>
      <c r="L4508" s="13" t="n">
        <f aca="false">MAX(0,D4508-K4508)</f>
        <v>2.4413822</v>
      </c>
      <c r="M4508" s="13" t="n">
        <f aca="false">MAX(0,F4508-I4508-J4508)</f>
        <v>0</v>
      </c>
      <c r="N4508" s="13" t="n">
        <f aca="false">IF(Kalender!A116="",0,J4507-H4508)</f>
        <v>0.0150822</v>
      </c>
    </row>
    <row r="4509" customFormat="false" ht="16.4" hidden="false" customHeight="false" outlineLevel="0" collapsed="false">
      <c r="A4509" s="13" t="str">
        <f aca="false">""</f>
        <v/>
      </c>
      <c r="B4509" s="13" t="n">
        <f aca="false">113</f>
        <v>113</v>
      </c>
      <c r="C4509" s="13" t="n">
        <f aca="false">IF(Szenarien!$H$23="OK",(IFERROR(SUMIF(Nutzungsprofile!$B$6:$B$11,"Schulbetrieb",Nutzungsprofile!$G$6:$G$11)*Kalender!C117/SUM(Kalender!$C$5:$C$370),0)+IFERROR(SUMIF(Nutzungsprofile!$B$6:$B$11,"Halle",Nutzungsprofile!$G$6:$G$11)*Kalender!D117/SUM(Kalender!$D$5:$D$370),0)+IFERROR(SUMIF(Nutzungsprofile!$B$6:$B$11,"Individuell",Nutzungsprofile!$G$6:$G$11)*Kalender!E117/SUM(Kalender!$E$5:$E$370),0))*Szenarien!$E$23,0)</f>
        <v>2.94</v>
      </c>
      <c r="D4509" s="13" t="n">
        <f aca="false">IF(Szenarien!$H$23="OK",(IFERROR(SUMIF(Nutzungsprofile!$B$17:$B$22,"Schulbetrieb",Nutzungsprofile!$G$17:$G$22)*Kalender!C117/SUM(Kalender!$C$5:$C$370),0)+IFERROR(SUMIF(Nutzungsprofile!$B$17:$B$22,"Halle",Nutzungsprofile!$G$17:$G$22)*Kalender!D117/SUM(Kalender!$D$5:$D$370),0)+IFERROR(SUMIF(Nutzungsprofile!$B$17:$B$22,"Individuell",Nutzungsprofile!$G$17:$G$22)*Kalender!E117/SUM(Kalender!$E$5:$E$370),0))*Szenarien!$D$23,0)</f>
        <v>4.94</v>
      </c>
      <c r="E4509" s="13" t="n">
        <f aca="false">IFERROR(MIN(C4509,Eingaben!$B$17)*Eingaben!$B$16,0)</f>
        <v>2.793</v>
      </c>
      <c r="F4509" s="13" t="n">
        <f aca="false">IFERROR(E4509*Eingaben!$B$15,0)</f>
        <v>2.5137</v>
      </c>
      <c r="G4509" s="13" t="n">
        <f aca="false">IFERROR(IF(Kalender!A117="",0,J4508*(1-Eingaben!$B$20)),0)</f>
        <v>0.7390278</v>
      </c>
      <c r="H4509" s="13" t="n">
        <f aca="false">MIN(G4509,D4509)</f>
        <v>0.7390278</v>
      </c>
      <c r="I4509" s="13" t="n">
        <f aca="false">IFERROR(MIN(F4509*Eingaben!$B$19,MAX(0,D4509-H4509)),0)</f>
        <v>1.75959</v>
      </c>
      <c r="J4509" s="13" t="n">
        <f aca="false">IFERROR(MIN(Eingaben!$B$18,MAX(0,F4509-I4509)),0)</f>
        <v>0.75411</v>
      </c>
      <c r="K4509" s="13" t="n">
        <f aca="false">H4509+I4509</f>
        <v>2.4986178</v>
      </c>
      <c r="L4509" s="13" t="n">
        <f aca="false">MAX(0,D4509-K4509)</f>
        <v>2.4413822</v>
      </c>
      <c r="M4509" s="13" t="n">
        <f aca="false">MAX(0,F4509-I4509-J4509)</f>
        <v>0</v>
      </c>
      <c r="N4509" s="13" t="n">
        <f aca="false">IF(Kalender!A117="",0,J4508-H4509)</f>
        <v>0.0150822</v>
      </c>
    </row>
    <row r="4510" customFormat="false" ht="16.4" hidden="false" customHeight="false" outlineLevel="0" collapsed="false">
      <c r="A4510" s="13" t="str">
        <f aca="false">""</f>
        <v/>
      </c>
      <c r="B4510" s="13" t="n">
        <f aca="false">114</f>
        <v>114</v>
      </c>
      <c r="C4510" s="13" t="n">
        <f aca="false">IF(Szenarien!$H$23="OK",(IFERROR(SUMIF(Nutzungsprofile!$B$6:$B$11,"Schulbetrieb",Nutzungsprofile!$G$6:$G$11)*Kalender!C118/SUM(Kalender!$C$5:$C$370),0)+IFERROR(SUMIF(Nutzungsprofile!$B$6:$B$11,"Halle",Nutzungsprofile!$G$6:$G$11)*Kalender!D118/SUM(Kalender!$D$5:$D$370),0)+IFERROR(SUMIF(Nutzungsprofile!$B$6:$B$11,"Individuell",Nutzungsprofile!$G$6:$G$11)*Kalender!E118/SUM(Kalender!$E$5:$E$370),0))*Szenarien!$E$23,0)</f>
        <v>2.94</v>
      </c>
      <c r="D4510" s="13" t="n">
        <f aca="false">IF(Szenarien!$H$23="OK",(IFERROR(SUMIF(Nutzungsprofile!$B$17:$B$22,"Schulbetrieb",Nutzungsprofile!$G$17:$G$22)*Kalender!C118/SUM(Kalender!$C$5:$C$370),0)+IFERROR(SUMIF(Nutzungsprofile!$B$17:$B$22,"Halle",Nutzungsprofile!$G$17:$G$22)*Kalender!D118/SUM(Kalender!$D$5:$D$370),0)+IFERROR(SUMIF(Nutzungsprofile!$B$17:$B$22,"Individuell",Nutzungsprofile!$G$17:$G$22)*Kalender!E118/SUM(Kalender!$E$5:$E$370),0))*Szenarien!$D$23,0)</f>
        <v>4.94</v>
      </c>
      <c r="E4510" s="13" t="n">
        <f aca="false">IFERROR(MIN(C4510,Eingaben!$B$17)*Eingaben!$B$16,0)</f>
        <v>2.793</v>
      </c>
      <c r="F4510" s="13" t="n">
        <f aca="false">IFERROR(E4510*Eingaben!$B$15,0)</f>
        <v>2.5137</v>
      </c>
      <c r="G4510" s="13" t="n">
        <f aca="false">IFERROR(IF(Kalender!A118="",0,J4509*(1-Eingaben!$B$20)),0)</f>
        <v>0.7390278</v>
      </c>
      <c r="H4510" s="13" t="n">
        <f aca="false">MIN(G4510,D4510)</f>
        <v>0.7390278</v>
      </c>
      <c r="I4510" s="13" t="n">
        <f aca="false">IFERROR(MIN(F4510*Eingaben!$B$19,MAX(0,D4510-H4510)),0)</f>
        <v>1.75959</v>
      </c>
      <c r="J4510" s="13" t="n">
        <f aca="false">IFERROR(MIN(Eingaben!$B$18,MAX(0,F4510-I4510)),0)</f>
        <v>0.75411</v>
      </c>
      <c r="K4510" s="13" t="n">
        <f aca="false">H4510+I4510</f>
        <v>2.4986178</v>
      </c>
      <c r="L4510" s="13" t="n">
        <f aca="false">MAX(0,D4510-K4510)</f>
        <v>2.4413822</v>
      </c>
      <c r="M4510" s="13" t="n">
        <f aca="false">MAX(0,F4510-I4510-J4510)</f>
        <v>0</v>
      </c>
      <c r="N4510" s="13" t="n">
        <f aca="false">IF(Kalender!A118="",0,J4509-H4510)</f>
        <v>0.0150822</v>
      </c>
    </row>
    <row r="4511" customFormat="false" ht="16.4" hidden="false" customHeight="false" outlineLevel="0" collapsed="false">
      <c r="A4511" s="13" t="str">
        <f aca="false">""</f>
        <v/>
      </c>
      <c r="B4511" s="13" t="n">
        <f aca="false">115</f>
        <v>115</v>
      </c>
      <c r="C4511" s="13" t="n">
        <f aca="false">IF(Szenarien!$H$23="OK",(IFERROR(SUMIF(Nutzungsprofile!$B$6:$B$11,"Schulbetrieb",Nutzungsprofile!$G$6:$G$11)*Kalender!C119/SUM(Kalender!$C$5:$C$370),0)+IFERROR(SUMIF(Nutzungsprofile!$B$6:$B$11,"Halle",Nutzungsprofile!$G$6:$G$11)*Kalender!D119/SUM(Kalender!$D$5:$D$370),0)+IFERROR(SUMIF(Nutzungsprofile!$B$6:$B$11,"Individuell",Nutzungsprofile!$G$6:$G$11)*Kalender!E119/SUM(Kalender!$E$5:$E$370),0))*Szenarien!$E$23,0)</f>
        <v>2.04</v>
      </c>
      <c r="D4511" s="13" t="n">
        <f aca="false">IF(Szenarien!$H$23="OK",(IFERROR(SUMIF(Nutzungsprofile!$B$17:$B$22,"Schulbetrieb",Nutzungsprofile!$G$17:$G$22)*Kalender!C119/SUM(Kalender!$C$5:$C$370),0)+IFERROR(SUMIF(Nutzungsprofile!$B$17:$B$22,"Halle",Nutzungsprofile!$G$17:$G$22)*Kalender!D119/SUM(Kalender!$D$5:$D$370),0)+IFERROR(SUMIF(Nutzungsprofile!$B$17:$B$22,"Individuell",Nutzungsprofile!$G$17:$G$22)*Kalender!E119/SUM(Kalender!$E$5:$E$370),0))*Szenarien!$D$23,0)</f>
        <v>0.89</v>
      </c>
      <c r="E4511" s="13" t="n">
        <f aca="false">IFERROR(MIN(C4511,Eingaben!$B$17)*Eingaben!$B$16,0)</f>
        <v>1.938</v>
      </c>
      <c r="F4511" s="13" t="n">
        <f aca="false">IFERROR(E4511*Eingaben!$B$15,0)</f>
        <v>1.7442</v>
      </c>
      <c r="G4511" s="13" t="n">
        <f aca="false">IFERROR(IF(Kalender!A119="",0,J4510*(1-Eingaben!$B$20)),0)</f>
        <v>0.7390278</v>
      </c>
      <c r="H4511" s="13" t="n">
        <f aca="false">MIN(G4511,D4511)</f>
        <v>0.7390278</v>
      </c>
      <c r="I4511" s="13" t="n">
        <f aca="false">IFERROR(MIN(F4511*Eingaben!$B$19,MAX(0,D4511-H4511)),0)</f>
        <v>0.1509722</v>
      </c>
      <c r="J4511" s="13" t="n">
        <f aca="false">IFERROR(MIN(Eingaben!$B$18,MAX(0,F4511-I4511)),0)</f>
        <v>1.5932278</v>
      </c>
      <c r="K4511" s="13" t="n">
        <f aca="false">H4511+I4511</f>
        <v>0.89</v>
      </c>
      <c r="L4511" s="13" t="n">
        <f aca="false">MAX(0,D4511-K4511)</f>
        <v>0</v>
      </c>
      <c r="M4511" s="13" t="n">
        <f aca="false">MAX(0,F4511-I4511-J4511)</f>
        <v>0</v>
      </c>
      <c r="N4511" s="13" t="n">
        <f aca="false">IF(Kalender!A119="",0,J4510-H4511)</f>
        <v>0.0150822</v>
      </c>
    </row>
    <row r="4512" customFormat="false" ht="16.4" hidden="false" customHeight="false" outlineLevel="0" collapsed="false">
      <c r="A4512" s="13" t="str">
        <f aca="false">""</f>
        <v/>
      </c>
      <c r="B4512" s="13" t="n">
        <f aca="false">116</f>
        <v>116</v>
      </c>
      <c r="C4512" s="13" t="n">
        <f aca="false">IF(Szenarien!$H$23="OK",(IFERROR(SUMIF(Nutzungsprofile!$B$6:$B$11,"Schulbetrieb",Nutzungsprofile!$G$6:$G$11)*Kalender!C120/SUM(Kalender!$C$5:$C$370),0)+IFERROR(SUMIF(Nutzungsprofile!$B$6:$B$11,"Halle",Nutzungsprofile!$G$6:$G$11)*Kalender!D120/SUM(Kalender!$D$5:$D$370),0)+IFERROR(SUMIF(Nutzungsprofile!$B$6:$B$11,"Individuell",Nutzungsprofile!$G$6:$G$11)*Kalender!E120/SUM(Kalender!$E$5:$E$370),0))*Szenarien!$E$23,0)</f>
        <v>2.04</v>
      </c>
      <c r="D4512" s="13" t="n">
        <f aca="false">IF(Szenarien!$H$23="OK",(IFERROR(SUMIF(Nutzungsprofile!$B$17:$B$22,"Schulbetrieb",Nutzungsprofile!$G$17:$G$22)*Kalender!C120/SUM(Kalender!$C$5:$C$370),0)+IFERROR(SUMIF(Nutzungsprofile!$B$17:$B$22,"Halle",Nutzungsprofile!$G$17:$G$22)*Kalender!D120/SUM(Kalender!$D$5:$D$370),0)+IFERROR(SUMIF(Nutzungsprofile!$B$17:$B$22,"Individuell",Nutzungsprofile!$G$17:$G$22)*Kalender!E120/SUM(Kalender!$E$5:$E$370),0))*Szenarien!$D$23,0)</f>
        <v>0.89</v>
      </c>
      <c r="E4512" s="13" t="n">
        <f aca="false">IFERROR(MIN(C4512,Eingaben!$B$17)*Eingaben!$B$16,0)</f>
        <v>1.938</v>
      </c>
      <c r="F4512" s="13" t="n">
        <f aca="false">IFERROR(E4512*Eingaben!$B$15,0)</f>
        <v>1.7442</v>
      </c>
      <c r="G4512" s="13" t="n">
        <f aca="false">IFERROR(IF(Kalender!A120="",0,J4511*(1-Eingaben!$B$20)),0)</f>
        <v>1.561363244</v>
      </c>
      <c r="H4512" s="13" t="n">
        <f aca="false">MIN(G4512,D4512)</f>
        <v>0.89</v>
      </c>
      <c r="I4512" s="13" t="n">
        <f aca="false">IFERROR(MIN(F4512*Eingaben!$B$19,MAX(0,D4512-H4512)),0)</f>
        <v>0</v>
      </c>
      <c r="J4512" s="13" t="n">
        <f aca="false">IFERROR(MIN(Eingaben!$B$18,MAX(0,F4512-I4512)),0)</f>
        <v>1.7442</v>
      </c>
      <c r="K4512" s="13" t="n">
        <f aca="false">H4512+I4512</f>
        <v>0.89</v>
      </c>
      <c r="L4512" s="13" t="n">
        <f aca="false">MAX(0,D4512-K4512)</f>
        <v>0</v>
      </c>
      <c r="M4512" s="13" t="n">
        <f aca="false">MAX(0,F4512-I4512-J4512)</f>
        <v>0</v>
      </c>
      <c r="N4512" s="13" t="n">
        <f aca="false">IF(Kalender!A120="",0,J4511-H4512)</f>
        <v>0.7032278</v>
      </c>
    </row>
    <row r="4513" customFormat="false" ht="16.4" hidden="false" customHeight="false" outlineLevel="0" collapsed="false">
      <c r="A4513" s="13" t="str">
        <f aca="false">""</f>
        <v/>
      </c>
      <c r="B4513" s="13" t="n">
        <f aca="false">117</f>
        <v>117</v>
      </c>
      <c r="C4513" s="13" t="n">
        <f aca="false">IF(Szenarien!$H$23="OK",(IFERROR(SUMIF(Nutzungsprofile!$B$6:$B$11,"Schulbetrieb",Nutzungsprofile!$G$6:$G$11)*Kalender!C121/SUM(Kalender!$C$5:$C$370),0)+IFERROR(SUMIF(Nutzungsprofile!$B$6:$B$11,"Halle",Nutzungsprofile!$G$6:$G$11)*Kalender!D121/SUM(Kalender!$D$5:$D$370),0)+IFERROR(SUMIF(Nutzungsprofile!$B$6:$B$11,"Individuell",Nutzungsprofile!$G$6:$G$11)*Kalender!E121/SUM(Kalender!$E$5:$E$370),0))*Szenarien!$E$23,0)</f>
        <v>2.94</v>
      </c>
      <c r="D4513" s="13" t="n">
        <f aca="false">IF(Szenarien!$H$23="OK",(IFERROR(SUMIF(Nutzungsprofile!$B$17:$B$22,"Schulbetrieb",Nutzungsprofile!$G$17:$G$22)*Kalender!C121/SUM(Kalender!$C$5:$C$370),0)+IFERROR(SUMIF(Nutzungsprofile!$B$17:$B$22,"Halle",Nutzungsprofile!$G$17:$G$22)*Kalender!D121/SUM(Kalender!$D$5:$D$370),0)+IFERROR(SUMIF(Nutzungsprofile!$B$17:$B$22,"Individuell",Nutzungsprofile!$G$17:$G$22)*Kalender!E121/SUM(Kalender!$E$5:$E$370),0))*Szenarien!$D$23,0)</f>
        <v>4.94</v>
      </c>
      <c r="E4513" s="13" t="n">
        <f aca="false">IFERROR(MIN(C4513,Eingaben!$B$17)*Eingaben!$B$16,0)</f>
        <v>2.793</v>
      </c>
      <c r="F4513" s="13" t="n">
        <f aca="false">IFERROR(E4513*Eingaben!$B$15,0)</f>
        <v>2.5137</v>
      </c>
      <c r="G4513" s="13" t="n">
        <f aca="false">IFERROR(IF(Kalender!A121="",0,J4512*(1-Eingaben!$B$20)),0)</f>
        <v>1.709316</v>
      </c>
      <c r="H4513" s="13" t="n">
        <f aca="false">MIN(G4513,D4513)</f>
        <v>1.709316</v>
      </c>
      <c r="I4513" s="13" t="n">
        <f aca="false">IFERROR(MIN(F4513*Eingaben!$B$19,MAX(0,D4513-H4513)),0)</f>
        <v>1.75959</v>
      </c>
      <c r="J4513" s="13" t="n">
        <f aca="false">IFERROR(MIN(Eingaben!$B$18,MAX(0,F4513-I4513)),0)</f>
        <v>0.75411</v>
      </c>
      <c r="K4513" s="13" t="n">
        <f aca="false">H4513+I4513</f>
        <v>3.468906</v>
      </c>
      <c r="L4513" s="13" t="n">
        <f aca="false">MAX(0,D4513-K4513)</f>
        <v>1.471094</v>
      </c>
      <c r="M4513" s="13" t="n">
        <f aca="false">MAX(0,F4513-I4513-J4513)</f>
        <v>0</v>
      </c>
      <c r="N4513" s="13" t="n">
        <f aca="false">IF(Kalender!A121="",0,J4512-H4513)</f>
        <v>0.0348840000000001</v>
      </c>
    </row>
    <row r="4514" customFormat="false" ht="16.4" hidden="false" customHeight="false" outlineLevel="0" collapsed="false">
      <c r="A4514" s="13" t="str">
        <f aca="false">""</f>
        <v/>
      </c>
      <c r="B4514" s="13" t="n">
        <f aca="false">118</f>
        <v>118</v>
      </c>
      <c r="C4514" s="13" t="n">
        <f aca="false">IF(Szenarien!$H$23="OK",(IFERROR(SUMIF(Nutzungsprofile!$B$6:$B$11,"Schulbetrieb",Nutzungsprofile!$G$6:$G$11)*Kalender!C122/SUM(Kalender!$C$5:$C$370),0)+IFERROR(SUMIF(Nutzungsprofile!$B$6:$B$11,"Halle",Nutzungsprofile!$G$6:$G$11)*Kalender!D122/SUM(Kalender!$D$5:$D$370),0)+IFERROR(SUMIF(Nutzungsprofile!$B$6:$B$11,"Individuell",Nutzungsprofile!$G$6:$G$11)*Kalender!E122/SUM(Kalender!$E$5:$E$370),0))*Szenarien!$E$23,0)</f>
        <v>2.94</v>
      </c>
      <c r="D4514" s="13" t="n">
        <f aca="false">IF(Szenarien!$H$23="OK",(IFERROR(SUMIF(Nutzungsprofile!$B$17:$B$22,"Schulbetrieb",Nutzungsprofile!$G$17:$G$22)*Kalender!C122/SUM(Kalender!$C$5:$C$370),0)+IFERROR(SUMIF(Nutzungsprofile!$B$17:$B$22,"Halle",Nutzungsprofile!$G$17:$G$22)*Kalender!D122/SUM(Kalender!$D$5:$D$370),0)+IFERROR(SUMIF(Nutzungsprofile!$B$17:$B$22,"Individuell",Nutzungsprofile!$G$17:$G$22)*Kalender!E122/SUM(Kalender!$E$5:$E$370),0))*Szenarien!$D$23,0)</f>
        <v>4.94</v>
      </c>
      <c r="E4514" s="13" t="n">
        <f aca="false">IFERROR(MIN(C4514,Eingaben!$B$17)*Eingaben!$B$16,0)</f>
        <v>2.793</v>
      </c>
      <c r="F4514" s="13" t="n">
        <f aca="false">IFERROR(E4514*Eingaben!$B$15,0)</f>
        <v>2.5137</v>
      </c>
      <c r="G4514" s="13" t="n">
        <f aca="false">IFERROR(IF(Kalender!A122="",0,J4513*(1-Eingaben!$B$20)),0)</f>
        <v>0.7390278</v>
      </c>
      <c r="H4514" s="13" t="n">
        <f aca="false">MIN(G4514,D4514)</f>
        <v>0.7390278</v>
      </c>
      <c r="I4514" s="13" t="n">
        <f aca="false">IFERROR(MIN(F4514*Eingaben!$B$19,MAX(0,D4514-H4514)),0)</f>
        <v>1.75959</v>
      </c>
      <c r="J4514" s="13" t="n">
        <f aca="false">IFERROR(MIN(Eingaben!$B$18,MAX(0,F4514-I4514)),0)</f>
        <v>0.75411</v>
      </c>
      <c r="K4514" s="13" t="n">
        <f aca="false">H4514+I4514</f>
        <v>2.4986178</v>
      </c>
      <c r="L4514" s="13" t="n">
        <f aca="false">MAX(0,D4514-K4514)</f>
        <v>2.4413822</v>
      </c>
      <c r="M4514" s="13" t="n">
        <f aca="false">MAX(0,F4514-I4514-J4514)</f>
        <v>0</v>
      </c>
      <c r="N4514" s="13" t="n">
        <f aca="false">IF(Kalender!A122="",0,J4513-H4514)</f>
        <v>0.0150822</v>
      </c>
    </row>
    <row r="4515" customFormat="false" ht="16.4" hidden="false" customHeight="false" outlineLevel="0" collapsed="false">
      <c r="A4515" s="13" t="str">
        <f aca="false">""</f>
        <v/>
      </c>
      <c r="B4515" s="13" t="n">
        <f aca="false">119</f>
        <v>119</v>
      </c>
      <c r="C4515" s="13" t="n">
        <f aca="false">IF(Szenarien!$H$23="OK",(IFERROR(SUMIF(Nutzungsprofile!$B$6:$B$11,"Schulbetrieb",Nutzungsprofile!$G$6:$G$11)*Kalender!C123/SUM(Kalender!$C$5:$C$370),0)+IFERROR(SUMIF(Nutzungsprofile!$B$6:$B$11,"Halle",Nutzungsprofile!$G$6:$G$11)*Kalender!D123/SUM(Kalender!$D$5:$D$370),0)+IFERROR(SUMIF(Nutzungsprofile!$B$6:$B$11,"Individuell",Nutzungsprofile!$G$6:$G$11)*Kalender!E123/SUM(Kalender!$E$5:$E$370),0))*Szenarien!$E$23,0)</f>
        <v>2.94</v>
      </c>
      <c r="D4515" s="13" t="n">
        <f aca="false">IF(Szenarien!$H$23="OK",(IFERROR(SUMIF(Nutzungsprofile!$B$17:$B$22,"Schulbetrieb",Nutzungsprofile!$G$17:$G$22)*Kalender!C123/SUM(Kalender!$C$5:$C$370),0)+IFERROR(SUMIF(Nutzungsprofile!$B$17:$B$22,"Halle",Nutzungsprofile!$G$17:$G$22)*Kalender!D123/SUM(Kalender!$D$5:$D$370),0)+IFERROR(SUMIF(Nutzungsprofile!$B$17:$B$22,"Individuell",Nutzungsprofile!$G$17:$G$22)*Kalender!E123/SUM(Kalender!$E$5:$E$370),0))*Szenarien!$D$23,0)</f>
        <v>4.94</v>
      </c>
      <c r="E4515" s="13" t="n">
        <f aca="false">IFERROR(MIN(C4515,Eingaben!$B$17)*Eingaben!$B$16,0)</f>
        <v>2.793</v>
      </c>
      <c r="F4515" s="13" t="n">
        <f aca="false">IFERROR(E4515*Eingaben!$B$15,0)</f>
        <v>2.5137</v>
      </c>
      <c r="G4515" s="13" t="n">
        <f aca="false">IFERROR(IF(Kalender!A123="",0,J4514*(1-Eingaben!$B$20)),0)</f>
        <v>0.7390278</v>
      </c>
      <c r="H4515" s="13" t="n">
        <f aca="false">MIN(G4515,D4515)</f>
        <v>0.7390278</v>
      </c>
      <c r="I4515" s="13" t="n">
        <f aca="false">IFERROR(MIN(F4515*Eingaben!$B$19,MAX(0,D4515-H4515)),0)</f>
        <v>1.75959</v>
      </c>
      <c r="J4515" s="13" t="n">
        <f aca="false">IFERROR(MIN(Eingaben!$B$18,MAX(0,F4515-I4515)),0)</f>
        <v>0.75411</v>
      </c>
      <c r="K4515" s="13" t="n">
        <f aca="false">H4515+I4515</f>
        <v>2.4986178</v>
      </c>
      <c r="L4515" s="13" t="n">
        <f aca="false">MAX(0,D4515-K4515)</f>
        <v>2.4413822</v>
      </c>
      <c r="M4515" s="13" t="n">
        <f aca="false">MAX(0,F4515-I4515-J4515)</f>
        <v>0</v>
      </c>
      <c r="N4515" s="13" t="n">
        <f aca="false">IF(Kalender!A123="",0,J4514-H4515)</f>
        <v>0.0150822</v>
      </c>
    </row>
    <row r="4516" customFormat="false" ht="16.4" hidden="false" customHeight="false" outlineLevel="0" collapsed="false">
      <c r="A4516" s="13" t="str">
        <f aca="false">""</f>
        <v/>
      </c>
      <c r="B4516" s="13" t="n">
        <f aca="false">120</f>
        <v>120</v>
      </c>
      <c r="C4516" s="13" t="n">
        <f aca="false">IF(Szenarien!$H$23="OK",(IFERROR(SUMIF(Nutzungsprofile!$B$6:$B$11,"Schulbetrieb",Nutzungsprofile!$G$6:$G$11)*Kalender!C124/SUM(Kalender!$C$5:$C$370),0)+IFERROR(SUMIF(Nutzungsprofile!$B$6:$B$11,"Halle",Nutzungsprofile!$G$6:$G$11)*Kalender!D124/SUM(Kalender!$D$5:$D$370),0)+IFERROR(SUMIF(Nutzungsprofile!$B$6:$B$11,"Individuell",Nutzungsprofile!$G$6:$G$11)*Kalender!E124/SUM(Kalender!$E$5:$E$370),0))*Szenarien!$E$23,0)</f>
        <v>2.94</v>
      </c>
      <c r="D4516" s="13" t="n">
        <f aca="false">IF(Szenarien!$H$23="OK",(IFERROR(SUMIF(Nutzungsprofile!$B$17:$B$22,"Schulbetrieb",Nutzungsprofile!$G$17:$G$22)*Kalender!C124/SUM(Kalender!$C$5:$C$370),0)+IFERROR(SUMIF(Nutzungsprofile!$B$17:$B$22,"Halle",Nutzungsprofile!$G$17:$G$22)*Kalender!D124/SUM(Kalender!$D$5:$D$370),0)+IFERROR(SUMIF(Nutzungsprofile!$B$17:$B$22,"Individuell",Nutzungsprofile!$G$17:$G$22)*Kalender!E124/SUM(Kalender!$E$5:$E$370),0))*Szenarien!$D$23,0)</f>
        <v>4.94</v>
      </c>
      <c r="E4516" s="13" t="n">
        <f aca="false">IFERROR(MIN(C4516,Eingaben!$B$17)*Eingaben!$B$16,0)</f>
        <v>2.793</v>
      </c>
      <c r="F4516" s="13" t="n">
        <f aca="false">IFERROR(E4516*Eingaben!$B$15,0)</f>
        <v>2.5137</v>
      </c>
      <c r="G4516" s="13" t="n">
        <f aca="false">IFERROR(IF(Kalender!A124="",0,J4515*(1-Eingaben!$B$20)),0)</f>
        <v>0.7390278</v>
      </c>
      <c r="H4516" s="13" t="n">
        <f aca="false">MIN(G4516,D4516)</f>
        <v>0.7390278</v>
      </c>
      <c r="I4516" s="13" t="n">
        <f aca="false">IFERROR(MIN(F4516*Eingaben!$B$19,MAX(0,D4516-H4516)),0)</f>
        <v>1.75959</v>
      </c>
      <c r="J4516" s="13" t="n">
        <f aca="false">IFERROR(MIN(Eingaben!$B$18,MAX(0,F4516-I4516)),0)</f>
        <v>0.75411</v>
      </c>
      <c r="K4516" s="13" t="n">
        <f aca="false">H4516+I4516</f>
        <v>2.4986178</v>
      </c>
      <c r="L4516" s="13" t="n">
        <f aca="false">MAX(0,D4516-K4516)</f>
        <v>2.4413822</v>
      </c>
      <c r="M4516" s="13" t="n">
        <f aca="false">MAX(0,F4516-I4516-J4516)</f>
        <v>0</v>
      </c>
      <c r="N4516" s="13" t="n">
        <f aca="false">IF(Kalender!A124="",0,J4515-H4516)</f>
        <v>0.0150822</v>
      </c>
    </row>
    <row r="4517" customFormat="false" ht="16.4" hidden="false" customHeight="false" outlineLevel="0" collapsed="false">
      <c r="A4517" s="13" t="str">
        <f aca="false">""</f>
        <v/>
      </c>
      <c r="B4517" s="13" t="n">
        <f aca="false">121</f>
        <v>121</v>
      </c>
      <c r="C4517" s="13" t="n">
        <f aca="false">IF(Szenarien!$H$23="OK",(IFERROR(SUMIF(Nutzungsprofile!$B$6:$B$11,"Schulbetrieb",Nutzungsprofile!$G$6:$G$11)*Kalender!C125/SUM(Kalender!$C$5:$C$370),0)+IFERROR(SUMIF(Nutzungsprofile!$B$6:$B$11,"Halle",Nutzungsprofile!$G$6:$G$11)*Kalender!D125/SUM(Kalender!$D$5:$D$370),0)+IFERROR(SUMIF(Nutzungsprofile!$B$6:$B$11,"Individuell",Nutzungsprofile!$G$6:$G$11)*Kalender!E125/SUM(Kalender!$E$5:$E$370),0))*Szenarien!$E$23,0)</f>
        <v>2.94</v>
      </c>
      <c r="D4517" s="13" t="n">
        <f aca="false">IF(Szenarien!$H$23="OK",(IFERROR(SUMIF(Nutzungsprofile!$B$17:$B$22,"Schulbetrieb",Nutzungsprofile!$G$17:$G$22)*Kalender!C125/SUM(Kalender!$C$5:$C$370),0)+IFERROR(SUMIF(Nutzungsprofile!$B$17:$B$22,"Halle",Nutzungsprofile!$G$17:$G$22)*Kalender!D125/SUM(Kalender!$D$5:$D$370),0)+IFERROR(SUMIF(Nutzungsprofile!$B$17:$B$22,"Individuell",Nutzungsprofile!$G$17:$G$22)*Kalender!E125/SUM(Kalender!$E$5:$E$370),0))*Szenarien!$D$23,0)</f>
        <v>4.94</v>
      </c>
      <c r="E4517" s="13" t="n">
        <f aca="false">IFERROR(MIN(C4517,Eingaben!$B$17)*Eingaben!$B$16,0)</f>
        <v>2.793</v>
      </c>
      <c r="F4517" s="13" t="n">
        <f aca="false">IFERROR(E4517*Eingaben!$B$15,0)</f>
        <v>2.5137</v>
      </c>
      <c r="G4517" s="13" t="n">
        <f aca="false">IFERROR(IF(Kalender!A125="",0,J4516*(1-Eingaben!$B$20)),0)</f>
        <v>0.7390278</v>
      </c>
      <c r="H4517" s="13" t="n">
        <f aca="false">MIN(G4517,D4517)</f>
        <v>0.7390278</v>
      </c>
      <c r="I4517" s="13" t="n">
        <f aca="false">IFERROR(MIN(F4517*Eingaben!$B$19,MAX(0,D4517-H4517)),0)</f>
        <v>1.75959</v>
      </c>
      <c r="J4517" s="13" t="n">
        <f aca="false">IFERROR(MIN(Eingaben!$B$18,MAX(0,F4517-I4517)),0)</f>
        <v>0.75411</v>
      </c>
      <c r="K4517" s="13" t="n">
        <f aca="false">H4517+I4517</f>
        <v>2.4986178</v>
      </c>
      <c r="L4517" s="13" t="n">
        <f aca="false">MAX(0,D4517-K4517)</f>
        <v>2.4413822</v>
      </c>
      <c r="M4517" s="13" t="n">
        <f aca="false">MAX(0,F4517-I4517-J4517)</f>
        <v>0</v>
      </c>
      <c r="N4517" s="13" t="n">
        <f aca="false">IF(Kalender!A125="",0,J4516-H4517)</f>
        <v>0.0150822</v>
      </c>
    </row>
    <row r="4518" customFormat="false" ht="16.4" hidden="false" customHeight="false" outlineLevel="0" collapsed="false">
      <c r="A4518" s="13" t="str">
        <f aca="false">""</f>
        <v/>
      </c>
      <c r="B4518" s="13" t="n">
        <f aca="false">122</f>
        <v>122</v>
      </c>
      <c r="C4518" s="13" t="n">
        <f aca="false">IF(Szenarien!$H$23="OK",(IFERROR(SUMIF(Nutzungsprofile!$B$6:$B$11,"Schulbetrieb",Nutzungsprofile!$G$6:$G$11)*Kalender!C126/SUM(Kalender!$C$5:$C$370),0)+IFERROR(SUMIF(Nutzungsprofile!$B$6:$B$11,"Halle",Nutzungsprofile!$G$6:$G$11)*Kalender!D126/SUM(Kalender!$D$5:$D$370),0)+IFERROR(SUMIF(Nutzungsprofile!$B$6:$B$11,"Individuell",Nutzungsprofile!$G$6:$G$11)*Kalender!E126/SUM(Kalender!$E$5:$E$370),0))*Szenarien!$E$23,0)</f>
        <v>2.04</v>
      </c>
      <c r="D4518" s="13" t="n">
        <f aca="false">IF(Szenarien!$H$23="OK",(IFERROR(SUMIF(Nutzungsprofile!$B$17:$B$22,"Schulbetrieb",Nutzungsprofile!$G$17:$G$22)*Kalender!C126/SUM(Kalender!$C$5:$C$370),0)+IFERROR(SUMIF(Nutzungsprofile!$B$17:$B$22,"Halle",Nutzungsprofile!$G$17:$G$22)*Kalender!D126/SUM(Kalender!$D$5:$D$370),0)+IFERROR(SUMIF(Nutzungsprofile!$B$17:$B$22,"Individuell",Nutzungsprofile!$G$17:$G$22)*Kalender!E126/SUM(Kalender!$E$5:$E$370),0))*Szenarien!$D$23,0)</f>
        <v>0.89</v>
      </c>
      <c r="E4518" s="13" t="n">
        <f aca="false">IFERROR(MIN(C4518,Eingaben!$B$17)*Eingaben!$B$16,0)</f>
        <v>1.938</v>
      </c>
      <c r="F4518" s="13" t="n">
        <f aca="false">IFERROR(E4518*Eingaben!$B$15,0)</f>
        <v>1.7442</v>
      </c>
      <c r="G4518" s="13" t="n">
        <f aca="false">IFERROR(IF(Kalender!A126="",0,J4517*(1-Eingaben!$B$20)),0)</f>
        <v>0.7390278</v>
      </c>
      <c r="H4518" s="13" t="n">
        <f aca="false">MIN(G4518,D4518)</f>
        <v>0.7390278</v>
      </c>
      <c r="I4518" s="13" t="n">
        <f aca="false">IFERROR(MIN(F4518*Eingaben!$B$19,MAX(0,D4518-H4518)),0)</f>
        <v>0.1509722</v>
      </c>
      <c r="J4518" s="13" t="n">
        <f aca="false">IFERROR(MIN(Eingaben!$B$18,MAX(0,F4518-I4518)),0)</f>
        <v>1.5932278</v>
      </c>
      <c r="K4518" s="13" t="n">
        <f aca="false">H4518+I4518</f>
        <v>0.89</v>
      </c>
      <c r="L4518" s="13" t="n">
        <f aca="false">MAX(0,D4518-K4518)</f>
        <v>0</v>
      </c>
      <c r="M4518" s="13" t="n">
        <f aca="false">MAX(0,F4518-I4518-J4518)</f>
        <v>0</v>
      </c>
      <c r="N4518" s="13" t="n">
        <f aca="false">IF(Kalender!A126="",0,J4517-H4518)</f>
        <v>0.0150822</v>
      </c>
    </row>
    <row r="4519" customFormat="false" ht="16.4" hidden="false" customHeight="false" outlineLevel="0" collapsed="false">
      <c r="A4519" s="13" t="str">
        <f aca="false">""</f>
        <v/>
      </c>
      <c r="B4519" s="13" t="n">
        <f aca="false">123</f>
        <v>123</v>
      </c>
      <c r="C4519" s="13" t="n">
        <f aca="false">IF(Szenarien!$H$23="OK",(IFERROR(SUMIF(Nutzungsprofile!$B$6:$B$11,"Schulbetrieb",Nutzungsprofile!$G$6:$G$11)*Kalender!C127/SUM(Kalender!$C$5:$C$370),0)+IFERROR(SUMIF(Nutzungsprofile!$B$6:$B$11,"Halle",Nutzungsprofile!$G$6:$G$11)*Kalender!D127/SUM(Kalender!$D$5:$D$370),0)+IFERROR(SUMIF(Nutzungsprofile!$B$6:$B$11,"Individuell",Nutzungsprofile!$G$6:$G$11)*Kalender!E127/SUM(Kalender!$E$5:$E$370),0))*Szenarien!$E$23,0)</f>
        <v>2.04</v>
      </c>
      <c r="D4519" s="13" t="n">
        <f aca="false">IF(Szenarien!$H$23="OK",(IFERROR(SUMIF(Nutzungsprofile!$B$17:$B$22,"Schulbetrieb",Nutzungsprofile!$G$17:$G$22)*Kalender!C127/SUM(Kalender!$C$5:$C$370),0)+IFERROR(SUMIF(Nutzungsprofile!$B$17:$B$22,"Halle",Nutzungsprofile!$G$17:$G$22)*Kalender!D127/SUM(Kalender!$D$5:$D$370),0)+IFERROR(SUMIF(Nutzungsprofile!$B$17:$B$22,"Individuell",Nutzungsprofile!$G$17:$G$22)*Kalender!E127/SUM(Kalender!$E$5:$E$370),0))*Szenarien!$D$23,0)</f>
        <v>0.89</v>
      </c>
      <c r="E4519" s="13" t="n">
        <f aca="false">IFERROR(MIN(C4519,Eingaben!$B$17)*Eingaben!$B$16,0)</f>
        <v>1.938</v>
      </c>
      <c r="F4519" s="13" t="n">
        <f aca="false">IFERROR(E4519*Eingaben!$B$15,0)</f>
        <v>1.7442</v>
      </c>
      <c r="G4519" s="13" t="n">
        <f aca="false">IFERROR(IF(Kalender!A127="",0,J4518*(1-Eingaben!$B$20)),0)</f>
        <v>1.561363244</v>
      </c>
      <c r="H4519" s="13" t="n">
        <f aca="false">MIN(G4519,D4519)</f>
        <v>0.89</v>
      </c>
      <c r="I4519" s="13" t="n">
        <f aca="false">IFERROR(MIN(F4519*Eingaben!$B$19,MAX(0,D4519-H4519)),0)</f>
        <v>0</v>
      </c>
      <c r="J4519" s="13" t="n">
        <f aca="false">IFERROR(MIN(Eingaben!$B$18,MAX(0,F4519-I4519)),0)</f>
        <v>1.7442</v>
      </c>
      <c r="K4519" s="13" t="n">
        <f aca="false">H4519+I4519</f>
        <v>0.89</v>
      </c>
      <c r="L4519" s="13" t="n">
        <f aca="false">MAX(0,D4519-K4519)</f>
        <v>0</v>
      </c>
      <c r="M4519" s="13" t="n">
        <f aca="false">MAX(0,F4519-I4519-J4519)</f>
        <v>0</v>
      </c>
      <c r="N4519" s="13" t="n">
        <f aca="false">IF(Kalender!A127="",0,J4518-H4519)</f>
        <v>0.7032278</v>
      </c>
    </row>
    <row r="4520" customFormat="false" ht="16.4" hidden="false" customHeight="false" outlineLevel="0" collapsed="false">
      <c r="A4520" s="13" t="str">
        <f aca="false">""</f>
        <v/>
      </c>
      <c r="B4520" s="13" t="n">
        <f aca="false">124</f>
        <v>124</v>
      </c>
      <c r="C4520" s="13" t="n">
        <f aca="false">IF(Szenarien!$H$23="OK",(IFERROR(SUMIF(Nutzungsprofile!$B$6:$B$11,"Schulbetrieb",Nutzungsprofile!$G$6:$G$11)*Kalender!C128/SUM(Kalender!$C$5:$C$370),0)+IFERROR(SUMIF(Nutzungsprofile!$B$6:$B$11,"Halle",Nutzungsprofile!$G$6:$G$11)*Kalender!D128/SUM(Kalender!$D$5:$D$370),0)+IFERROR(SUMIF(Nutzungsprofile!$B$6:$B$11,"Individuell",Nutzungsprofile!$G$6:$G$11)*Kalender!E128/SUM(Kalender!$E$5:$E$370),0))*Szenarien!$E$23,0)</f>
        <v>2.94</v>
      </c>
      <c r="D4520" s="13" t="n">
        <f aca="false">IF(Szenarien!$H$23="OK",(IFERROR(SUMIF(Nutzungsprofile!$B$17:$B$22,"Schulbetrieb",Nutzungsprofile!$G$17:$G$22)*Kalender!C128/SUM(Kalender!$C$5:$C$370),0)+IFERROR(SUMIF(Nutzungsprofile!$B$17:$B$22,"Halle",Nutzungsprofile!$G$17:$G$22)*Kalender!D128/SUM(Kalender!$D$5:$D$370),0)+IFERROR(SUMIF(Nutzungsprofile!$B$17:$B$22,"Individuell",Nutzungsprofile!$G$17:$G$22)*Kalender!E128/SUM(Kalender!$E$5:$E$370),0))*Szenarien!$D$23,0)</f>
        <v>4.94</v>
      </c>
      <c r="E4520" s="13" t="n">
        <f aca="false">IFERROR(MIN(C4520,Eingaben!$B$17)*Eingaben!$B$16,0)</f>
        <v>2.793</v>
      </c>
      <c r="F4520" s="13" t="n">
        <f aca="false">IFERROR(E4520*Eingaben!$B$15,0)</f>
        <v>2.5137</v>
      </c>
      <c r="G4520" s="13" t="n">
        <f aca="false">IFERROR(IF(Kalender!A128="",0,J4519*(1-Eingaben!$B$20)),0)</f>
        <v>1.709316</v>
      </c>
      <c r="H4520" s="13" t="n">
        <f aca="false">MIN(G4520,D4520)</f>
        <v>1.709316</v>
      </c>
      <c r="I4520" s="13" t="n">
        <f aca="false">IFERROR(MIN(F4520*Eingaben!$B$19,MAX(0,D4520-H4520)),0)</f>
        <v>1.75959</v>
      </c>
      <c r="J4520" s="13" t="n">
        <f aca="false">IFERROR(MIN(Eingaben!$B$18,MAX(0,F4520-I4520)),0)</f>
        <v>0.75411</v>
      </c>
      <c r="K4520" s="13" t="n">
        <f aca="false">H4520+I4520</f>
        <v>3.468906</v>
      </c>
      <c r="L4520" s="13" t="n">
        <f aca="false">MAX(0,D4520-K4520)</f>
        <v>1.471094</v>
      </c>
      <c r="M4520" s="13" t="n">
        <f aca="false">MAX(0,F4520-I4520-J4520)</f>
        <v>0</v>
      </c>
      <c r="N4520" s="13" t="n">
        <f aca="false">IF(Kalender!A128="",0,J4519-H4520)</f>
        <v>0.0348840000000001</v>
      </c>
    </row>
    <row r="4521" customFormat="false" ht="16.4" hidden="false" customHeight="false" outlineLevel="0" collapsed="false">
      <c r="A4521" s="13" t="str">
        <f aca="false">""</f>
        <v/>
      </c>
      <c r="B4521" s="13" t="n">
        <f aca="false">125</f>
        <v>125</v>
      </c>
      <c r="C4521" s="13" t="n">
        <f aca="false">IF(Szenarien!$H$23="OK",(IFERROR(SUMIF(Nutzungsprofile!$B$6:$B$11,"Schulbetrieb",Nutzungsprofile!$G$6:$G$11)*Kalender!C129/SUM(Kalender!$C$5:$C$370),0)+IFERROR(SUMIF(Nutzungsprofile!$B$6:$B$11,"Halle",Nutzungsprofile!$G$6:$G$11)*Kalender!D129/SUM(Kalender!$D$5:$D$370),0)+IFERROR(SUMIF(Nutzungsprofile!$B$6:$B$11,"Individuell",Nutzungsprofile!$G$6:$G$11)*Kalender!E129/SUM(Kalender!$E$5:$E$370),0))*Szenarien!$E$23,0)</f>
        <v>2.94</v>
      </c>
      <c r="D4521" s="13" t="n">
        <f aca="false">IF(Szenarien!$H$23="OK",(IFERROR(SUMIF(Nutzungsprofile!$B$17:$B$22,"Schulbetrieb",Nutzungsprofile!$G$17:$G$22)*Kalender!C129/SUM(Kalender!$C$5:$C$370),0)+IFERROR(SUMIF(Nutzungsprofile!$B$17:$B$22,"Halle",Nutzungsprofile!$G$17:$G$22)*Kalender!D129/SUM(Kalender!$D$5:$D$370),0)+IFERROR(SUMIF(Nutzungsprofile!$B$17:$B$22,"Individuell",Nutzungsprofile!$G$17:$G$22)*Kalender!E129/SUM(Kalender!$E$5:$E$370),0))*Szenarien!$D$23,0)</f>
        <v>4.94</v>
      </c>
      <c r="E4521" s="13" t="n">
        <f aca="false">IFERROR(MIN(C4521,Eingaben!$B$17)*Eingaben!$B$16,0)</f>
        <v>2.793</v>
      </c>
      <c r="F4521" s="13" t="n">
        <f aca="false">IFERROR(E4521*Eingaben!$B$15,0)</f>
        <v>2.5137</v>
      </c>
      <c r="G4521" s="13" t="n">
        <f aca="false">IFERROR(IF(Kalender!A129="",0,J4520*(1-Eingaben!$B$20)),0)</f>
        <v>0.7390278</v>
      </c>
      <c r="H4521" s="13" t="n">
        <f aca="false">MIN(G4521,D4521)</f>
        <v>0.7390278</v>
      </c>
      <c r="I4521" s="13" t="n">
        <f aca="false">IFERROR(MIN(F4521*Eingaben!$B$19,MAX(0,D4521-H4521)),0)</f>
        <v>1.75959</v>
      </c>
      <c r="J4521" s="13" t="n">
        <f aca="false">IFERROR(MIN(Eingaben!$B$18,MAX(0,F4521-I4521)),0)</f>
        <v>0.75411</v>
      </c>
      <c r="K4521" s="13" t="n">
        <f aca="false">H4521+I4521</f>
        <v>2.4986178</v>
      </c>
      <c r="L4521" s="13" t="n">
        <f aca="false">MAX(0,D4521-K4521)</f>
        <v>2.4413822</v>
      </c>
      <c r="M4521" s="13" t="n">
        <f aca="false">MAX(0,F4521-I4521-J4521)</f>
        <v>0</v>
      </c>
      <c r="N4521" s="13" t="n">
        <f aca="false">IF(Kalender!A129="",0,J4520-H4521)</f>
        <v>0.0150822</v>
      </c>
    </row>
    <row r="4522" customFormat="false" ht="16.4" hidden="false" customHeight="false" outlineLevel="0" collapsed="false">
      <c r="A4522" s="13" t="str">
        <f aca="false">""</f>
        <v/>
      </c>
      <c r="B4522" s="13" t="n">
        <f aca="false">126</f>
        <v>126</v>
      </c>
      <c r="C4522" s="13" t="n">
        <f aca="false">IF(Szenarien!$H$23="OK",(IFERROR(SUMIF(Nutzungsprofile!$B$6:$B$11,"Schulbetrieb",Nutzungsprofile!$G$6:$G$11)*Kalender!C130/SUM(Kalender!$C$5:$C$370),0)+IFERROR(SUMIF(Nutzungsprofile!$B$6:$B$11,"Halle",Nutzungsprofile!$G$6:$G$11)*Kalender!D130/SUM(Kalender!$D$5:$D$370),0)+IFERROR(SUMIF(Nutzungsprofile!$B$6:$B$11,"Individuell",Nutzungsprofile!$G$6:$G$11)*Kalender!E130/SUM(Kalender!$E$5:$E$370),0))*Szenarien!$E$23,0)</f>
        <v>2.94</v>
      </c>
      <c r="D4522" s="13" t="n">
        <f aca="false">IF(Szenarien!$H$23="OK",(IFERROR(SUMIF(Nutzungsprofile!$B$17:$B$22,"Schulbetrieb",Nutzungsprofile!$G$17:$G$22)*Kalender!C130/SUM(Kalender!$C$5:$C$370),0)+IFERROR(SUMIF(Nutzungsprofile!$B$17:$B$22,"Halle",Nutzungsprofile!$G$17:$G$22)*Kalender!D130/SUM(Kalender!$D$5:$D$370),0)+IFERROR(SUMIF(Nutzungsprofile!$B$17:$B$22,"Individuell",Nutzungsprofile!$G$17:$G$22)*Kalender!E130/SUM(Kalender!$E$5:$E$370),0))*Szenarien!$D$23,0)</f>
        <v>4.94</v>
      </c>
      <c r="E4522" s="13" t="n">
        <f aca="false">IFERROR(MIN(C4522,Eingaben!$B$17)*Eingaben!$B$16,0)</f>
        <v>2.793</v>
      </c>
      <c r="F4522" s="13" t="n">
        <f aca="false">IFERROR(E4522*Eingaben!$B$15,0)</f>
        <v>2.5137</v>
      </c>
      <c r="G4522" s="13" t="n">
        <f aca="false">IFERROR(IF(Kalender!A130="",0,J4521*(1-Eingaben!$B$20)),0)</f>
        <v>0.7390278</v>
      </c>
      <c r="H4522" s="13" t="n">
        <f aca="false">MIN(G4522,D4522)</f>
        <v>0.7390278</v>
      </c>
      <c r="I4522" s="13" t="n">
        <f aca="false">IFERROR(MIN(F4522*Eingaben!$B$19,MAX(0,D4522-H4522)),0)</f>
        <v>1.75959</v>
      </c>
      <c r="J4522" s="13" t="n">
        <f aca="false">IFERROR(MIN(Eingaben!$B$18,MAX(0,F4522-I4522)),0)</f>
        <v>0.75411</v>
      </c>
      <c r="K4522" s="13" t="n">
        <f aca="false">H4522+I4522</f>
        <v>2.4986178</v>
      </c>
      <c r="L4522" s="13" t="n">
        <f aca="false">MAX(0,D4522-K4522)</f>
        <v>2.4413822</v>
      </c>
      <c r="M4522" s="13" t="n">
        <f aca="false">MAX(0,F4522-I4522-J4522)</f>
        <v>0</v>
      </c>
      <c r="N4522" s="13" t="n">
        <f aca="false">IF(Kalender!A130="",0,J4521-H4522)</f>
        <v>0.0150822</v>
      </c>
    </row>
    <row r="4523" customFormat="false" ht="16.4" hidden="false" customHeight="false" outlineLevel="0" collapsed="false">
      <c r="A4523" s="13" t="str">
        <f aca="false">""</f>
        <v/>
      </c>
      <c r="B4523" s="13" t="n">
        <f aca="false">127</f>
        <v>127</v>
      </c>
      <c r="C4523" s="13" t="n">
        <f aca="false">IF(Szenarien!$H$23="OK",(IFERROR(SUMIF(Nutzungsprofile!$B$6:$B$11,"Schulbetrieb",Nutzungsprofile!$G$6:$G$11)*Kalender!C131/SUM(Kalender!$C$5:$C$370),0)+IFERROR(SUMIF(Nutzungsprofile!$B$6:$B$11,"Halle",Nutzungsprofile!$G$6:$G$11)*Kalender!D131/SUM(Kalender!$D$5:$D$370),0)+IFERROR(SUMIF(Nutzungsprofile!$B$6:$B$11,"Individuell",Nutzungsprofile!$G$6:$G$11)*Kalender!E131/SUM(Kalender!$E$5:$E$370),0))*Szenarien!$E$23,0)</f>
        <v>2.94</v>
      </c>
      <c r="D4523" s="13" t="n">
        <f aca="false">IF(Szenarien!$H$23="OK",(IFERROR(SUMIF(Nutzungsprofile!$B$17:$B$22,"Schulbetrieb",Nutzungsprofile!$G$17:$G$22)*Kalender!C131/SUM(Kalender!$C$5:$C$370),0)+IFERROR(SUMIF(Nutzungsprofile!$B$17:$B$22,"Halle",Nutzungsprofile!$G$17:$G$22)*Kalender!D131/SUM(Kalender!$D$5:$D$370),0)+IFERROR(SUMIF(Nutzungsprofile!$B$17:$B$22,"Individuell",Nutzungsprofile!$G$17:$G$22)*Kalender!E131/SUM(Kalender!$E$5:$E$370),0))*Szenarien!$D$23,0)</f>
        <v>4.94</v>
      </c>
      <c r="E4523" s="13" t="n">
        <f aca="false">IFERROR(MIN(C4523,Eingaben!$B$17)*Eingaben!$B$16,0)</f>
        <v>2.793</v>
      </c>
      <c r="F4523" s="13" t="n">
        <f aca="false">IFERROR(E4523*Eingaben!$B$15,0)</f>
        <v>2.5137</v>
      </c>
      <c r="G4523" s="13" t="n">
        <f aca="false">IFERROR(IF(Kalender!A131="",0,J4522*(1-Eingaben!$B$20)),0)</f>
        <v>0.7390278</v>
      </c>
      <c r="H4523" s="13" t="n">
        <f aca="false">MIN(G4523,D4523)</f>
        <v>0.7390278</v>
      </c>
      <c r="I4523" s="13" t="n">
        <f aca="false">IFERROR(MIN(F4523*Eingaben!$B$19,MAX(0,D4523-H4523)),0)</f>
        <v>1.75959</v>
      </c>
      <c r="J4523" s="13" t="n">
        <f aca="false">IFERROR(MIN(Eingaben!$B$18,MAX(0,F4523-I4523)),0)</f>
        <v>0.75411</v>
      </c>
      <c r="K4523" s="13" t="n">
        <f aca="false">H4523+I4523</f>
        <v>2.4986178</v>
      </c>
      <c r="L4523" s="13" t="n">
        <f aca="false">MAX(0,D4523-K4523)</f>
        <v>2.4413822</v>
      </c>
      <c r="M4523" s="13" t="n">
        <f aca="false">MAX(0,F4523-I4523-J4523)</f>
        <v>0</v>
      </c>
      <c r="N4523" s="13" t="n">
        <f aca="false">IF(Kalender!A131="",0,J4522-H4523)</f>
        <v>0.0150822</v>
      </c>
    </row>
    <row r="4524" customFormat="false" ht="16.4" hidden="false" customHeight="false" outlineLevel="0" collapsed="false">
      <c r="A4524" s="13" t="str">
        <f aca="false">""</f>
        <v/>
      </c>
      <c r="B4524" s="13" t="n">
        <f aca="false">128</f>
        <v>128</v>
      </c>
      <c r="C4524" s="13" t="n">
        <f aca="false">IF(Szenarien!$H$23="OK",(IFERROR(SUMIF(Nutzungsprofile!$B$6:$B$11,"Schulbetrieb",Nutzungsprofile!$G$6:$G$11)*Kalender!C132/SUM(Kalender!$C$5:$C$370),0)+IFERROR(SUMIF(Nutzungsprofile!$B$6:$B$11,"Halle",Nutzungsprofile!$G$6:$G$11)*Kalender!D132/SUM(Kalender!$D$5:$D$370),0)+IFERROR(SUMIF(Nutzungsprofile!$B$6:$B$11,"Individuell",Nutzungsprofile!$G$6:$G$11)*Kalender!E132/SUM(Kalender!$E$5:$E$370),0))*Szenarien!$E$23,0)</f>
        <v>2.94</v>
      </c>
      <c r="D4524" s="13" t="n">
        <f aca="false">IF(Szenarien!$H$23="OK",(IFERROR(SUMIF(Nutzungsprofile!$B$17:$B$22,"Schulbetrieb",Nutzungsprofile!$G$17:$G$22)*Kalender!C132/SUM(Kalender!$C$5:$C$370),0)+IFERROR(SUMIF(Nutzungsprofile!$B$17:$B$22,"Halle",Nutzungsprofile!$G$17:$G$22)*Kalender!D132/SUM(Kalender!$D$5:$D$370),0)+IFERROR(SUMIF(Nutzungsprofile!$B$17:$B$22,"Individuell",Nutzungsprofile!$G$17:$G$22)*Kalender!E132/SUM(Kalender!$E$5:$E$370),0))*Szenarien!$D$23,0)</f>
        <v>4.94</v>
      </c>
      <c r="E4524" s="13" t="n">
        <f aca="false">IFERROR(MIN(C4524,Eingaben!$B$17)*Eingaben!$B$16,0)</f>
        <v>2.793</v>
      </c>
      <c r="F4524" s="13" t="n">
        <f aca="false">IFERROR(E4524*Eingaben!$B$15,0)</f>
        <v>2.5137</v>
      </c>
      <c r="G4524" s="13" t="n">
        <f aca="false">IFERROR(IF(Kalender!A132="",0,J4523*(1-Eingaben!$B$20)),0)</f>
        <v>0.7390278</v>
      </c>
      <c r="H4524" s="13" t="n">
        <f aca="false">MIN(G4524,D4524)</f>
        <v>0.7390278</v>
      </c>
      <c r="I4524" s="13" t="n">
        <f aca="false">IFERROR(MIN(F4524*Eingaben!$B$19,MAX(0,D4524-H4524)),0)</f>
        <v>1.75959</v>
      </c>
      <c r="J4524" s="13" t="n">
        <f aca="false">IFERROR(MIN(Eingaben!$B$18,MAX(0,F4524-I4524)),0)</f>
        <v>0.75411</v>
      </c>
      <c r="K4524" s="13" t="n">
        <f aca="false">H4524+I4524</f>
        <v>2.4986178</v>
      </c>
      <c r="L4524" s="13" t="n">
        <f aca="false">MAX(0,D4524-K4524)</f>
        <v>2.4413822</v>
      </c>
      <c r="M4524" s="13" t="n">
        <f aca="false">MAX(0,F4524-I4524-J4524)</f>
        <v>0</v>
      </c>
      <c r="N4524" s="13" t="n">
        <f aca="false">IF(Kalender!A132="",0,J4523-H4524)</f>
        <v>0.0150822</v>
      </c>
    </row>
    <row r="4525" customFormat="false" ht="16.4" hidden="false" customHeight="false" outlineLevel="0" collapsed="false">
      <c r="A4525" s="13" t="str">
        <f aca="false">""</f>
        <v/>
      </c>
      <c r="B4525" s="13" t="n">
        <f aca="false">129</f>
        <v>129</v>
      </c>
      <c r="C4525" s="13" t="n">
        <f aca="false">IF(Szenarien!$H$23="OK",(IFERROR(SUMIF(Nutzungsprofile!$B$6:$B$11,"Schulbetrieb",Nutzungsprofile!$G$6:$G$11)*Kalender!C133/SUM(Kalender!$C$5:$C$370),0)+IFERROR(SUMIF(Nutzungsprofile!$B$6:$B$11,"Halle",Nutzungsprofile!$G$6:$G$11)*Kalender!D133/SUM(Kalender!$D$5:$D$370),0)+IFERROR(SUMIF(Nutzungsprofile!$B$6:$B$11,"Individuell",Nutzungsprofile!$G$6:$G$11)*Kalender!E133/SUM(Kalender!$E$5:$E$370),0))*Szenarien!$E$23,0)</f>
        <v>2.04</v>
      </c>
      <c r="D4525" s="13" t="n">
        <f aca="false">IF(Szenarien!$H$23="OK",(IFERROR(SUMIF(Nutzungsprofile!$B$17:$B$22,"Schulbetrieb",Nutzungsprofile!$G$17:$G$22)*Kalender!C133/SUM(Kalender!$C$5:$C$370),0)+IFERROR(SUMIF(Nutzungsprofile!$B$17:$B$22,"Halle",Nutzungsprofile!$G$17:$G$22)*Kalender!D133/SUM(Kalender!$D$5:$D$370),0)+IFERROR(SUMIF(Nutzungsprofile!$B$17:$B$22,"Individuell",Nutzungsprofile!$G$17:$G$22)*Kalender!E133/SUM(Kalender!$E$5:$E$370),0))*Szenarien!$D$23,0)</f>
        <v>0.89</v>
      </c>
      <c r="E4525" s="13" t="n">
        <f aca="false">IFERROR(MIN(C4525,Eingaben!$B$17)*Eingaben!$B$16,0)</f>
        <v>1.938</v>
      </c>
      <c r="F4525" s="13" t="n">
        <f aca="false">IFERROR(E4525*Eingaben!$B$15,0)</f>
        <v>1.7442</v>
      </c>
      <c r="G4525" s="13" t="n">
        <f aca="false">IFERROR(IF(Kalender!A133="",0,J4524*(1-Eingaben!$B$20)),0)</f>
        <v>0.7390278</v>
      </c>
      <c r="H4525" s="13" t="n">
        <f aca="false">MIN(G4525,D4525)</f>
        <v>0.7390278</v>
      </c>
      <c r="I4525" s="13" t="n">
        <f aca="false">IFERROR(MIN(F4525*Eingaben!$B$19,MAX(0,D4525-H4525)),0)</f>
        <v>0.1509722</v>
      </c>
      <c r="J4525" s="13" t="n">
        <f aca="false">IFERROR(MIN(Eingaben!$B$18,MAX(0,F4525-I4525)),0)</f>
        <v>1.5932278</v>
      </c>
      <c r="K4525" s="13" t="n">
        <f aca="false">H4525+I4525</f>
        <v>0.89</v>
      </c>
      <c r="L4525" s="13" t="n">
        <f aca="false">MAX(0,D4525-K4525)</f>
        <v>0</v>
      </c>
      <c r="M4525" s="13" t="n">
        <f aca="false">MAX(0,F4525-I4525-J4525)</f>
        <v>0</v>
      </c>
      <c r="N4525" s="13" t="n">
        <f aca="false">IF(Kalender!A133="",0,J4524-H4525)</f>
        <v>0.0150822</v>
      </c>
    </row>
    <row r="4526" customFormat="false" ht="16.4" hidden="false" customHeight="false" outlineLevel="0" collapsed="false">
      <c r="A4526" s="13" t="str">
        <f aca="false">""</f>
        <v/>
      </c>
      <c r="B4526" s="13" t="n">
        <f aca="false">130</f>
        <v>130</v>
      </c>
      <c r="C4526" s="13" t="n">
        <f aca="false">IF(Szenarien!$H$23="OK",(IFERROR(SUMIF(Nutzungsprofile!$B$6:$B$11,"Schulbetrieb",Nutzungsprofile!$G$6:$G$11)*Kalender!C134/SUM(Kalender!$C$5:$C$370),0)+IFERROR(SUMIF(Nutzungsprofile!$B$6:$B$11,"Halle",Nutzungsprofile!$G$6:$G$11)*Kalender!D134/SUM(Kalender!$D$5:$D$370),0)+IFERROR(SUMIF(Nutzungsprofile!$B$6:$B$11,"Individuell",Nutzungsprofile!$G$6:$G$11)*Kalender!E134/SUM(Kalender!$E$5:$E$370),0))*Szenarien!$E$23,0)</f>
        <v>2.04</v>
      </c>
      <c r="D4526" s="13" t="n">
        <f aca="false">IF(Szenarien!$H$23="OK",(IFERROR(SUMIF(Nutzungsprofile!$B$17:$B$22,"Schulbetrieb",Nutzungsprofile!$G$17:$G$22)*Kalender!C134/SUM(Kalender!$C$5:$C$370),0)+IFERROR(SUMIF(Nutzungsprofile!$B$17:$B$22,"Halle",Nutzungsprofile!$G$17:$G$22)*Kalender!D134/SUM(Kalender!$D$5:$D$370),0)+IFERROR(SUMIF(Nutzungsprofile!$B$17:$B$22,"Individuell",Nutzungsprofile!$G$17:$G$22)*Kalender!E134/SUM(Kalender!$E$5:$E$370),0))*Szenarien!$D$23,0)</f>
        <v>0.89</v>
      </c>
      <c r="E4526" s="13" t="n">
        <f aca="false">IFERROR(MIN(C4526,Eingaben!$B$17)*Eingaben!$B$16,0)</f>
        <v>1.938</v>
      </c>
      <c r="F4526" s="13" t="n">
        <f aca="false">IFERROR(E4526*Eingaben!$B$15,0)</f>
        <v>1.7442</v>
      </c>
      <c r="G4526" s="13" t="n">
        <f aca="false">IFERROR(IF(Kalender!A134="",0,J4525*(1-Eingaben!$B$20)),0)</f>
        <v>1.561363244</v>
      </c>
      <c r="H4526" s="13" t="n">
        <f aca="false">MIN(G4526,D4526)</f>
        <v>0.89</v>
      </c>
      <c r="I4526" s="13" t="n">
        <f aca="false">IFERROR(MIN(F4526*Eingaben!$B$19,MAX(0,D4526-H4526)),0)</f>
        <v>0</v>
      </c>
      <c r="J4526" s="13" t="n">
        <f aca="false">IFERROR(MIN(Eingaben!$B$18,MAX(0,F4526-I4526)),0)</f>
        <v>1.7442</v>
      </c>
      <c r="K4526" s="13" t="n">
        <f aca="false">H4526+I4526</f>
        <v>0.89</v>
      </c>
      <c r="L4526" s="13" t="n">
        <f aca="false">MAX(0,D4526-K4526)</f>
        <v>0</v>
      </c>
      <c r="M4526" s="13" t="n">
        <f aca="false">MAX(0,F4526-I4526-J4526)</f>
        <v>0</v>
      </c>
      <c r="N4526" s="13" t="n">
        <f aca="false">IF(Kalender!A134="",0,J4525-H4526)</f>
        <v>0.7032278</v>
      </c>
    </row>
    <row r="4527" customFormat="false" ht="16.4" hidden="false" customHeight="false" outlineLevel="0" collapsed="false">
      <c r="A4527" s="13" t="str">
        <f aca="false">""</f>
        <v/>
      </c>
      <c r="B4527" s="13" t="n">
        <f aca="false">131</f>
        <v>131</v>
      </c>
      <c r="C4527" s="13" t="n">
        <f aca="false">IF(Szenarien!$H$23="OK",(IFERROR(SUMIF(Nutzungsprofile!$B$6:$B$11,"Schulbetrieb",Nutzungsprofile!$G$6:$G$11)*Kalender!C135/SUM(Kalender!$C$5:$C$370),0)+IFERROR(SUMIF(Nutzungsprofile!$B$6:$B$11,"Halle",Nutzungsprofile!$G$6:$G$11)*Kalender!D135/SUM(Kalender!$D$5:$D$370),0)+IFERROR(SUMIF(Nutzungsprofile!$B$6:$B$11,"Individuell",Nutzungsprofile!$G$6:$G$11)*Kalender!E135/SUM(Kalender!$E$5:$E$370),0))*Szenarien!$E$23,0)</f>
        <v>2.94</v>
      </c>
      <c r="D4527" s="13" t="n">
        <f aca="false">IF(Szenarien!$H$23="OK",(IFERROR(SUMIF(Nutzungsprofile!$B$17:$B$22,"Schulbetrieb",Nutzungsprofile!$G$17:$G$22)*Kalender!C135/SUM(Kalender!$C$5:$C$370),0)+IFERROR(SUMIF(Nutzungsprofile!$B$17:$B$22,"Halle",Nutzungsprofile!$G$17:$G$22)*Kalender!D135/SUM(Kalender!$D$5:$D$370),0)+IFERROR(SUMIF(Nutzungsprofile!$B$17:$B$22,"Individuell",Nutzungsprofile!$G$17:$G$22)*Kalender!E135/SUM(Kalender!$E$5:$E$370),0))*Szenarien!$D$23,0)</f>
        <v>4.94</v>
      </c>
      <c r="E4527" s="13" t="n">
        <f aca="false">IFERROR(MIN(C4527,Eingaben!$B$17)*Eingaben!$B$16,0)</f>
        <v>2.793</v>
      </c>
      <c r="F4527" s="13" t="n">
        <f aca="false">IFERROR(E4527*Eingaben!$B$15,0)</f>
        <v>2.5137</v>
      </c>
      <c r="G4527" s="13" t="n">
        <f aca="false">IFERROR(IF(Kalender!A135="",0,J4526*(1-Eingaben!$B$20)),0)</f>
        <v>1.709316</v>
      </c>
      <c r="H4527" s="13" t="n">
        <f aca="false">MIN(G4527,D4527)</f>
        <v>1.709316</v>
      </c>
      <c r="I4527" s="13" t="n">
        <f aca="false">IFERROR(MIN(F4527*Eingaben!$B$19,MAX(0,D4527-H4527)),0)</f>
        <v>1.75959</v>
      </c>
      <c r="J4527" s="13" t="n">
        <f aca="false">IFERROR(MIN(Eingaben!$B$18,MAX(0,F4527-I4527)),0)</f>
        <v>0.75411</v>
      </c>
      <c r="K4527" s="13" t="n">
        <f aca="false">H4527+I4527</f>
        <v>3.468906</v>
      </c>
      <c r="L4527" s="13" t="n">
        <f aca="false">MAX(0,D4527-K4527)</f>
        <v>1.471094</v>
      </c>
      <c r="M4527" s="13" t="n">
        <f aca="false">MAX(0,F4527-I4527-J4527)</f>
        <v>0</v>
      </c>
      <c r="N4527" s="13" t="n">
        <f aca="false">IF(Kalender!A135="",0,J4526-H4527)</f>
        <v>0.0348840000000001</v>
      </c>
    </row>
    <row r="4528" customFormat="false" ht="16.4" hidden="false" customHeight="false" outlineLevel="0" collapsed="false">
      <c r="A4528" s="13" t="str">
        <f aca="false">""</f>
        <v/>
      </c>
      <c r="B4528" s="13" t="n">
        <f aca="false">132</f>
        <v>132</v>
      </c>
      <c r="C4528" s="13" t="n">
        <f aca="false">IF(Szenarien!$H$23="OK",(IFERROR(SUMIF(Nutzungsprofile!$B$6:$B$11,"Schulbetrieb",Nutzungsprofile!$G$6:$G$11)*Kalender!C136/SUM(Kalender!$C$5:$C$370),0)+IFERROR(SUMIF(Nutzungsprofile!$B$6:$B$11,"Halle",Nutzungsprofile!$G$6:$G$11)*Kalender!D136/SUM(Kalender!$D$5:$D$370),0)+IFERROR(SUMIF(Nutzungsprofile!$B$6:$B$11,"Individuell",Nutzungsprofile!$G$6:$G$11)*Kalender!E136/SUM(Kalender!$E$5:$E$370),0))*Szenarien!$E$23,0)</f>
        <v>2.94</v>
      </c>
      <c r="D4528" s="13" t="n">
        <f aca="false">IF(Szenarien!$H$23="OK",(IFERROR(SUMIF(Nutzungsprofile!$B$17:$B$22,"Schulbetrieb",Nutzungsprofile!$G$17:$G$22)*Kalender!C136/SUM(Kalender!$C$5:$C$370),0)+IFERROR(SUMIF(Nutzungsprofile!$B$17:$B$22,"Halle",Nutzungsprofile!$G$17:$G$22)*Kalender!D136/SUM(Kalender!$D$5:$D$370),0)+IFERROR(SUMIF(Nutzungsprofile!$B$17:$B$22,"Individuell",Nutzungsprofile!$G$17:$G$22)*Kalender!E136/SUM(Kalender!$E$5:$E$370),0))*Szenarien!$D$23,0)</f>
        <v>4.94</v>
      </c>
      <c r="E4528" s="13" t="n">
        <f aca="false">IFERROR(MIN(C4528,Eingaben!$B$17)*Eingaben!$B$16,0)</f>
        <v>2.793</v>
      </c>
      <c r="F4528" s="13" t="n">
        <f aca="false">IFERROR(E4528*Eingaben!$B$15,0)</f>
        <v>2.5137</v>
      </c>
      <c r="G4528" s="13" t="n">
        <f aca="false">IFERROR(IF(Kalender!A136="",0,J4527*(1-Eingaben!$B$20)),0)</f>
        <v>0.7390278</v>
      </c>
      <c r="H4528" s="13" t="n">
        <f aca="false">MIN(G4528,D4528)</f>
        <v>0.7390278</v>
      </c>
      <c r="I4528" s="13" t="n">
        <f aca="false">IFERROR(MIN(F4528*Eingaben!$B$19,MAX(0,D4528-H4528)),0)</f>
        <v>1.75959</v>
      </c>
      <c r="J4528" s="13" t="n">
        <f aca="false">IFERROR(MIN(Eingaben!$B$18,MAX(0,F4528-I4528)),0)</f>
        <v>0.75411</v>
      </c>
      <c r="K4528" s="13" t="n">
        <f aca="false">H4528+I4528</f>
        <v>2.4986178</v>
      </c>
      <c r="L4528" s="13" t="n">
        <f aca="false">MAX(0,D4528-K4528)</f>
        <v>2.4413822</v>
      </c>
      <c r="M4528" s="13" t="n">
        <f aca="false">MAX(0,F4528-I4528-J4528)</f>
        <v>0</v>
      </c>
      <c r="N4528" s="13" t="n">
        <f aca="false">IF(Kalender!A136="",0,J4527-H4528)</f>
        <v>0.0150822</v>
      </c>
    </row>
    <row r="4529" customFormat="false" ht="16.4" hidden="false" customHeight="false" outlineLevel="0" collapsed="false">
      <c r="A4529" s="13" t="str">
        <f aca="false">""</f>
        <v/>
      </c>
      <c r="B4529" s="13" t="n">
        <f aca="false">133</f>
        <v>133</v>
      </c>
      <c r="C4529" s="13" t="n">
        <f aca="false">IF(Szenarien!$H$23="OK",(IFERROR(SUMIF(Nutzungsprofile!$B$6:$B$11,"Schulbetrieb",Nutzungsprofile!$G$6:$G$11)*Kalender!C137/SUM(Kalender!$C$5:$C$370),0)+IFERROR(SUMIF(Nutzungsprofile!$B$6:$B$11,"Halle",Nutzungsprofile!$G$6:$G$11)*Kalender!D137/SUM(Kalender!$D$5:$D$370),0)+IFERROR(SUMIF(Nutzungsprofile!$B$6:$B$11,"Individuell",Nutzungsprofile!$G$6:$G$11)*Kalender!E137/SUM(Kalender!$E$5:$E$370),0))*Szenarien!$E$23,0)</f>
        <v>2.94</v>
      </c>
      <c r="D4529" s="13" t="n">
        <f aca="false">IF(Szenarien!$H$23="OK",(IFERROR(SUMIF(Nutzungsprofile!$B$17:$B$22,"Schulbetrieb",Nutzungsprofile!$G$17:$G$22)*Kalender!C137/SUM(Kalender!$C$5:$C$370),0)+IFERROR(SUMIF(Nutzungsprofile!$B$17:$B$22,"Halle",Nutzungsprofile!$G$17:$G$22)*Kalender!D137/SUM(Kalender!$D$5:$D$370),0)+IFERROR(SUMIF(Nutzungsprofile!$B$17:$B$22,"Individuell",Nutzungsprofile!$G$17:$G$22)*Kalender!E137/SUM(Kalender!$E$5:$E$370),0))*Szenarien!$D$23,0)</f>
        <v>4.94</v>
      </c>
      <c r="E4529" s="13" t="n">
        <f aca="false">IFERROR(MIN(C4529,Eingaben!$B$17)*Eingaben!$B$16,0)</f>
        <v>2.793</v>
      </c>
      <c r="F4529" s="13" t="n">
        <f aca="false">IFERROR(E4529*Eingaben!$B$15,0)</f>
        <v>2.5137</v>
      </c>
      <c r="G4529" s="13" t="n">
        <f aca="false">IFERROR(IF(Kalender!A137="",0,J4528*(1-Eingaben!$B$20)),0)</f>
        <v>0.7390278</v>
      </c>
      <c r="H4529" s="13" t="n">
        <f aca="false">MIN(G4529,D4529)</f>
        <v>0.7390278</v>
      </c>
      <c r="I4529" s="13" t="n">
        <f aca="false">IFERROR(MIN(F4529*Eingaben!$B$19,MAX(0,D4529-H4529)),0)</f>
        <v>1.75959</v>
      </c>
      <c r="J4529" s="13" t="n">
        <f aca="false">IFERROR(MIN(Eingaben!$B$18,MAX(0,F4529-I4529)),0)</f>
        <v>0.75411</v>
      </c>
      <c r="K4529" s="13" t="n">
        <f aca="false">H4529+I4529</f>
        <v>2.4986178</v>
      </c>
      <c r="L4529" s="13" t="n">
        <f aca="false">MAX(0,D4529-K4529)</f>
        <v>2.4413822</v>
      </c>
      <c r="M4529" s="13" t="n">
        <f aca="false">MAX(0,F4529-I4529-J4529)</f>
        <v>0</v>
      </c>
      <c r="N4529" s="13" t="n">
        <f aca="false">IF(Kalender!A137="",0,J4528-H4529)</f>
        <v>0.0150822</v>
      </c>
    </row>
    <row r="4530" customFormat="false" ht="16.4" hidden="false" customHeight="false" outlineLevel="0" collapsed="false">
      <c r="A4530" s="13" t="str">
        <f aca="false">""</f>
        <v/>
      </c>
      <c r="B4530" s="13" t="n">
        <f aca="false">134</f>
        <v>134</v>
      </c>
      <c r="C4530" s="13" t="n">
        <f aca="false">IF(Szenarien!$H$23="OK",(IFERROR(SUMIF(Nutzungsprofile!$B$6:$B$11,"Schulbetrieb",Nutzungsprofile!$G$6:$G$11)*Kalender!C138/SUM(Kalender!$C$5:$C$370),0)+IFERROR(SUMIF(Nutzungsprofile!$B$6:$B$11,"Halle",Nutzungsprofile!$G$6:$G$11)*Kalender!D138/SUM(Kalender!$D$5:$D$370),0)+IFERROR(SUMIF(Nutzungsprofile!$B$6:$B$11,"Individuell",Nutzungsprofile!$G$6:$G$11)*Kalender!E138/SUM(Kalender!$E$5:$E$370),0))*Szenarien!$E$23,0)</f>
        <v>2.94</v>
      </c>
      <c r="D4530" s="13" t="n">
        <f aca="false">IF(Szenarien!$H$23="OK",(IFERROR(SUMIF(Nutzungsprofile!$B$17:$B$22,"Schulbetrieb",Nutzungsprofile!$G$17:$G$22)*Kalender!C138/SUM(Kalender!$C$5:$C$370),0)+IFERROR(SUMIF(Nutzungsprofile!$B$17:$B$22,"Halle",Nutzungsprofile!$G$17:$G$22)*Kalender!D138/SUM(Kalender!$D$5:$D$370),0)+IFERROR(SUMIF(Nutzungsprofile!$B$17:$B$22,"Individuell",Nutzungsprofile!$G$17:$G$22)*Kalender!E138/SUM(Kalender!$E$5:$E$370),0))*Szenarien!$D$23,0)</f>
        <v>4.94</v>
      </c>
      <c r="E4530" s="13" t="n">
        <f aca="false">IFERROR(MIN(C4530,Eingaben!$B$17)*Eingaben!$B$16,0)</f>
        <v>2.793</v>
      </c>
      <c r="F4530" s="13" t="n">
        <f aca="false">IFERROR(E4530*Eingaben!$B$15,0)</f>
        <v>2.5137</v>
      </c>
      <c r="G4530" s="13" t="n">
        <f aca="false">IFERROR(IF(Kalender!A138="",0,J4529*(1-Eingaben!$B$20)),0)</f>
        <v>0.7390278</v>
      </c>
      <c r="H4530" s="13" t="n">
        <f aca="false">MIN(G4530,D4530)</f>
        <v>0.7390278</v>
      </c>
      <c r="I4530" s="13" t="n">
        <f aca="false">IFERROR(MIN(F4530*Eingaben!$B$19,MAX(0,D4530-H4530)),0)</f>
        <v>1.75959</v>
      </c>
      <c r="J4530" s="13" t="n">
        <f aca="false">IFERROR(MIN(Eingaben!$B$18,MAX(0,F4530-I4530)),0)</f>
        <v>0.75411</v>
      </c>
      <c r="K4530" s="13" t="n">
        <f aca="false">H4530+I4530</f>
        <v>2.4986178</v>
      </c>
      <c r="L4530" s="13" t="n">
        <f aca="false">MAX(0,D4530-K4530)</f>
        <v>2.4413822</v>
      </c>
      <c r="M4530" s="13" t="n">
        <f aca="false">MAX(0,F4530-I4530-J4530)</f>
        <v>0</v>
      </c>
      <c r="N4530" s="13" t="n">
        <f aca="false">IF(Kalender!A138="",0,J4529-H4530)</f>
        <v>0.0150822</v>
      </c>
    </row>
    <row r="4531" customFormat="false" ht="16.4" hidden="false" customHeight="false" outlineLevel="0" collapsed="false">
      <c r="A4531" s="13" t="str">
        <f aca="false">""</f>
        <v/>
      </c>
      <c r="B4531" s="13" t="n">
        <f aca="false">135</f>
        <v>135</v>
      </c>
      <c r="C4531" s="13" t="n">
        <f aca="false">IF(Szenarien!$H$23="OK",(IFERROR(SUMIF(Nutzungsprofile!$B$6:$B$11,"Schulbetrieb",Nutzungsprofile!$G$6:$G$11)*Kalender!C139/SUM(Kalender!$C$5:$C$370),0)+IFERROR(SUMIF(Nutzungsprofile!$B$6:$B$11,"Halle",Nutzungsprofile!$G$6:$G$11)*Kalender!D139/SUM(Kalender!$D$5:$D$370),0)+IFERROR(SUMIF(Nutzungsprofile!$B$6:$B$11,"Individuell",Nutzungsprofile!$G$6:$G$11)*Kalender!E139/SUM(Kalender!$E$5:$E$370),0))*Szenarien!$E$23,0)</f>
        <v>2.94</v>
      </c>
      <c r="D4531" s="13" t="n">
        <f aca="false">IF(Szenarien!$H$23="OK",(IFERROR(SUMIF(Nutzungsprofile!$B$17:$B$22,"Schulbetrieb",Nutzungsprofile!$G$17:$G$22)*Kalender!C139/SUM(Kalender!$C$5:$C$370),0)+IFERROR(SUMIF(Nutzungsprofile!$B$17:$B$22,"Halle",Nutzungsprofile!$G$17:$G$22)*Kalender!D139/SUM(Kalender!$D$5:$D$370),0)+IFERROR(SUMIF(Nutzungsprofile!$B$17:$B$22,"Individuell",Nutzungsprofile!$G$17:$G$22)*Kalender!E139/SUM(Kalender!$E$5:$E$370),0))*Szenarien!$D$23,0)</f>
        <v>4.94</v>
      </c>
      <c r="E4531" s="13" t="n">
        <f aca="false">IFERROR(MIN(C4531,Eingaben!$B$17)*Eingaben!$B$16,0)</f>
        <v>2.793</v>
      </c>
      <c r="F4531" s="13" t="n">
        <f aca="false">IFERROR(E4531*Eingaben!$B$15,0)</f>
        <v>2.5137</v>
      </c>
      <c r="G4531" s="13" t="n">
        <f aca="false">IFERROR(IF(Kalender!A139="",0,J4530*(1-Eingaben!$B$20)),0)</f>
        <v>0.7390278</v>
      </c>
      <c r="H4531" s="13" t="n">
        <f aca="false">MIN(G4531,D4531)</f>
        <v>0.7390278</v>
      </c>
      <c r="I4531" s="13" t="n">
        <f aca="false">IFERROR(MIN(F4531*Eingaben!$B$19,MAX(0,D4531-H4531)),0)</f>
        <v>1.75959</v>
      </c>
      <c r="J4531" s="13" t="n">
        <f aca="false">IFERROR(MIN(Eingaben!$B$18,MAX(0,F4531-I4531)),0)</f>
        <v>0.75411</v>
      </c>
      <c r="K4531" s="13" t="n">
        <f aca="false">H4531+I4531</f>
        <v>2.4986178</v>
      </c>
      <c r="L4531" s="13" t="n">
        <f aca="false">MAX(0,D4531-K4531)</f>
        <v>2.4413822</v>
      </c>
      <c r="M4531" s="13" t="n">
        <f aca="false">MAX(0,F4531-I4531-J4531)</f>
        <v>0</v>
      </c>
      <c r="N4531" s="13" t="n">
        <f aca="false">IF(Kalender!A139="",0,J4530-H4531)</f>
        <v>0.0150822</v>
      </c>
    </row>
    <row r="4532" customFormat="false" ht="16.4" hidden="false" customHeight="false" outlineLevel="0" collapsed="false">
      <c r="A4532" s="13" t="str">
        <f aca="false">""</f>
        <v/>
      </c>
      <c r="B4532" s="13" t="n">
        <f aca="false">136</f>
        <v>136</v>
      </c>
      <c r="C4532" s="13" t="n">
        <f aca="false">IF(Szenarien!$H$23="OK",(IFERROR(SUMIF(Nutzungsprofile!$B$6:$B$11,"Schulbetrieb",Nutzungsprofile!$G$6:$G$11)*Kalender!C140/SUM(Kalender!$C$5:$C$370),0)+IFERROR(SUMIF(Nutzungsprofile!$B$6:$B$11,"Halle",Nutzungsprofile!$G$6:$G$11)*Kalender!D140/SUM(Kalender!$D$5:$D$370),0)+IFERROR(SUMIF(Nutzungsprofile!$B$6:$B$11,"Individuell",Nutzungsprofile!$G$6:$G$11)*Kalender!E140/SUM(Kalender!$E$5:$E$370),0))*Szenarien!$E$23,0)</f>
        <v>2.04</v>
      </c>
      <c r="D4532" s="13" t="n">
        <f aca="false">IF(Szenarien!$H$23="OK",(IFERROR(SUMIF(Nutzungsprofile!$B$17:$B$22,"Schulbetrieb",Nutzungsprofile!$G$17:$G$22)*Kalender!C140/SUM(Kalender!$C$5:$C$370),0)+IFERROR(SUMIF(Nutzungsprofile!$B$17:$B$22,"Halle",Nutzungsprofile!$G$17:$G$22)*Kalender!D140/SUM(Kalender!$D$5:$D$370),0)+IFERROR(SUMIF(Nutzungsprofile!$B$17:$B$22,"Individuell",Nutzungsprofile!$G$17:$G$22)*Kalender!E140/SUM(Kalender!$E$5:$E$370),0))*Szenarien!$D$23,0)</f>
        <v>0.89</v>
      </c>
      <c r="E4532" s="13" t="n">
        <f aca="false">IFERROR(MIN(C4532,Eingaben!$B$17)*Eingaben!$B$16,0)</f>
        <v>1.938</v>
      </c>
      <c r="F4532" s="13" t="n">
        <f aca="false">IFERROR(E4532*Eingaben!$B$15,0)</f>
        <v>1.7442</v>
      </c>
      <c r="G4532" s="13" t="n">
        <f aca="false">IFERROR(IF(Kalender!A140="",0,J4531*(1-Eingaben!$B$20)),0)</f>
        <v>0.7390278</v>
      </c>
      <c r="H4532" s="13" t="n">
        <f aca="false">MIN(G4532,D4532)</f>
        <v>0.7390278</v>
      </c>
      <c r="I4532" s="13" t="n">
        <f aca="false">IFERROR(MIN(F4532*Eingaben!$B$19,MAX(0,D4532-H4532)),0)</f>
        <v>0.1509722</v>
      </c>
      <c r="J4532" s="13" t="n">
        <f aca="false">IFERROR(MIN(Eingaben!$B$18,MAX(0,F4532-I4532)),0)</f>
        <v>1.5932278</v>
      </c>
      <c r="K4532" s="13" t="n">
        <f aca="false">H4532+I4532</f>
        <v>0.89</v>
      </c>
      <c r="L4532" s="13" t="n">
        <f aca="false">MAX(0,D4532-K4532)</f>
        <v>0</v>
      </c>
      <c r="M4532" s="13" t="n">
        <f aca="false">MAX(0,F4532-I4532-J4532)</f>
        <v>0</v>
      </c>
      <c r="N4532" s="13" t="n">
        <f aca="false">IF(Kalender!A140="",0,J4531-H4532)</f>
        <v>0.0150822</v>
      </c>
    </row>
    <row r="4533" customFormat="false" ht="16.4" hidden="false" customHeight="false" outlineLevel="0" collapsed="false">
      <c r="A4533" s="13" t="str">
        <f aca="false">""</f>
        <v/>
      </c>
      <c r="B4533" s="13" t="n">
        <f aca="false">137</f>
        <v>137</v>
      </c>
      <c r="C4533" s="13" t="n">
        <f aca="false">IF(Szenarien!$H$23="OK",(IFERROR(SUMIF(Nutzungsprofile!$B$6:$B$11,"Schulbetrieb",Nutzungsprofile!$G$6:$G$11)*Kalender!C141/SUM(Kalender!$C$5:$C$370),0)+IFERROR(SUMIF(Nutzungsprofile!$B$6:$B$11,"Halle",Nutzungsprofile!$G$6:$G$11)*Kalender!D141/SUM(Kalender!$D$5:$D$370),0)+IFERROR(SUMIF(Nutzungsprofile!$B$6:$B$11,"Individuell",Nutzungsprofile!$G$6:$G$11)*Kalender!E141/SUM(Kalender!$E$5:$E$370),0))*Szenarien!$E$23,0)</f>
        <v>2.04</v>
      </c>
      <c r="D4533" s="13" t="n">
        <f aca="false">IF(Szenarien!$H$23="OK",(IFERROR(SUMIF(Nutzungsprofile!$B$17:$B$22,"Schulbetrieb",Nutzungsprofile!$G$17:$G$22)*Kalender!C141/SUM(Kalender!$C$5:$C$370),0)+IFERROR(SUMIF(Nutzungsprofile!$B$17:$B$22,"Halle",Nutzungsprofile!$G$17:$G$22)*Kalender!D141/SUM(Kalender!$D$5:$D$370),0)+IFERROR(SUMIF(Nutzungsprofile!$B$17:$B$22,"Individuell",Nutzungsprofile!$G$17:$G$22)*Kalender!E141/SUM(Kalender!$E$5:$E$370),0))*Szenarien!$D$23,0)</f>
        <v>0.89</v>
      </c>
      <c r="E4533" s="13" t="n">
        <f aca="false">IFERROR(MIN(C4533,Eingaben!$B$17)*Eingaben!$B$16,0)</f>
        <v>1.938</v>
      </c>
      <c r="F4533" s="13" t="n">
        <f aca="false">IFERROR(E4533*Eingaben!$B$15,0)</f>
        <v>1.7442</v>
      </c>
      <c r="G4533" s="13" t="n">
        <f aca="false">IFERROR(IF(Kalender!A141="",0,J4532*(1-Eingaben!$B$20)),0)</f>
        <v>1.561363244</v>
      </c>
      <c r="H4533" s="13" t="n">
        <f aca="false">MIN(G4533,D4533)</f>
        <v>0.89</v>
      </c>
      <c r="I4533" s="13" t="n">
        <f aca="false">IFERROR(MIN(F4533*Eingaben!$B$19,MAX(0,D4533-H4533)),0)</f>
        <v>0</v>
      </c>
      <c r="J4533" s="13" t="n">
        <f aca="false">IFERROR(MIN(Eingaben!$B$18,MAX(0,F4533-I4533)),0)</f>
        <v>1.7442</v>
      </c>
      <c r="K4533" s="13" t="n">
        <f aca="false">H4533+I4533</f>
        <v>0.89</v>
      </c>
      <c r="L4533" s="13" t="n">
        <f aca="false">MAX(0,D4533-K4533)</f>
        <v>0</v>
      </c>
      <c r="M4533" s="13" t="n">
        <f aca="false">MAX(0,F4533-I4533-J4533)</f>
        <v>0</v>
      </c>
      <c r="N4533" s="13" t="n">
        <f aca="false">IF(Kalender!A141="",0,J4532-H4533)</f>
        <v>0.7032278</v>
      </c>
    </row>
    <row r="4534" customFormat="false" ht="16.4" hidden="false" customHeight="false" outlineLevel="0" collapsed="false">
      <c r="A4534" s="13" t="str">
        <f aca="false">""</f>
        <v/>
      </c>
      <c r="B4534" s="13" t="n">
        <f aca="false">138</f>
        <v>138</v>
      </c>
      <c r="C4534" s="13" t="n">
        <f aca="false">IF(Szenarien!$H$23="OK",(IFERROR(SUMIF(Nutzungsprofile!$B$6:$B$11,"Schulbetrieb",Nutzungsprofile!$G$6:$G$11)*Kalender!C142/SUM(Kalender!$C$5:$C$370),0)+IFERROR(SUMIF(Nutzungsprofile!$B$6:$B$11,"Halle",Nutzungsprofile!$G$6:$G$11)*Kalender!D142/SUM(Kalender!$D$5:$D$370),0)+IFERROR(SUMIF(Nutzungsprofile!$B$6:$B$11,"Individuell",Nutzungsprofile!$G$6:$G$11)*Kalender!E142/SUM(Kalender!$E$5:$E$370),0))*Szenarien!$E$23,0)</f>
        <v>2.94</v>
      </c>
      <c r="D4534" s="13" t="n">
        <f aca="false">IF(Szenarien!$H$23="OK",(IFERROR(SUMIF(Nutzungsprofile!$B$17:$B$22,"Schulbetrieb",Nutzungsprofile!$G$17:$G$22)*Kalender!C142/SUM(Kalender!$C$5:$C$370),0)+IFERROR(SUMIF(Nutzungsprofile!$B$17:$B$22,"Halle",Nutzungsprofile!$G$17:$G$22)*Kalender!D142/SUM(Kalender!$D$5:$D$370),0)+IFERROR(SUMIF(Nutzungsprofile!$B$17:$B$22,"Individuell",Nutzungsprofile!$G$17:$G$22)*Kalender!E142/SUM(Kalender!$E$5:$E$370),0))*Szenarien!$D$23,0)</f>
        <v>4.94</v>
      </c>
      <c r="E4534" s="13" t="n">
        <f aca="false">IFERROR(MIN(C4534,Eingaben!$B$17)*Eingaben!$B$16,0)</f>
        <v>2.793</v>
      </c>
      <c r="F4534" s="13" t="n">
        <f aca="false">IFERROR(E4534*Eingaben!$B$15,0)</f>
        <v>2.5137</v>
      </c>
      <c r="G4534" s="13" t="n">
        <f aca="false">IFERROR(IF(Kalender!A142="",0,J4533*(1-Eingaben!$B$20)),0)</f>
        <v>1.709316</v>
      </c>
      <c r="H4534" s="13" t="n">
        <f aca="false">MIN(G4534,D4534)</f>
        <v>1.709316</v>
      </c>
      <c r="I4534" s="13" t="n">
        <f aca="false">IFERROR(MIN(F4534*Eingaben!$B$19,MAX(0,D4534-H4534)),0)</f>
        <v>1.75959</v>
      </c>
      <c r="J4534" s="13" t="n">
        <f aca="false">IFERROR(MIN(Eingaben!$B$18,MAX(0,F4534-I4534)),0)</f>
        <v>0.75411</v>
      </c>
      <c r="K4534" s="13" t="n">
        <f aca="false">H4534+I4534</f>
        <v>3.468906</v>
      </c>
      <c r="L4534" s="13" t="n">
        <f aca="false">MAX(0,D4534-K4534)</f>
        <v>1.471094</v>
      </c>
      <c r="M4534" s="13" t="n">
        <f aca="false">MAX(0,F4534-I4534-J4534)</f>
        <v>0</v>
      </c>
      <c r="N4534" s="13" t="n">
        <f aca="false">IF(Kalender!A142="",0,J4533-H4534)</f>
        <v>0.0348840000000001</v>
      </c>
    </row>
    <row r="4535" customFormat="false" ht="16.4" hidden="false" customHeight="false" outlineLevel="0" collapsed="false">
      <c r="A4535" s="13" t="str">
        <f aca="false">""</f>
        <v/>
      </c>
      <c r="B4535" s="13" t="n">
        <f aca="false">139</f>
        <v>139</v>
      </c>
      <c r="C4535" s="13" t="n">
        <f aca="false">IF(Szenarien!$H$23="OK",(IFERROR(SUMIF(Nutzungsprofile!$B$6:$B$11,"Schulbetrieb",Nutzungsprofile!$G$6:$G$11)*Kalender!C143/SUM(Kalender!$C$5:$C$370),0)+IFERROR(SUMIF(Nutzungsprofile!$B$6:$B$11,"Halle",Nutzungsprofile!$G$6:$G$11)*Kalender!D143/SUM(Kalender!$D$5:$D$370),0)+IFERROR(SUMIF(Nutzungsprofile!$B$6:$B$11,"Individuell",Nutzungsprofile!$G$6:$G$11)*Kalender!E143/SUM(Kalender!$E$5:$E$370),0))*Szenarien!$E$23,0)</f>
        <v>2.94</v>
      </c>
      <c r="D4535" s="13" t="n">
        <f aca="false">IF(Szenarien!$H$23="OK",(IFERROR(SUMIF(Nutzungsprofile!$B$17:$B$22,"Schulbetrieb",Nutzungsprofile!$G$17:$G$22)*Kalender!C143/SUM(Kalender!$C$5:$C$370),0)+IFERROR(SUMIF(Nutzungsprofile!$B$17:$B$22,"Halle",Nutzungsprofile!$G$17:$G$22)*Kalender!D143/SUM(Kalender!$D$5:$D$370),0)+IFERROR(SUMIF(Nutzungsprofile!$B$17:$B$22,"Individuell",Nutzungsprofile!$G$17:$G$22)*Kalender!E143/SUM(Kalender!$E$5:$E$370),0))*Szenarien!$D$23,0)</f>
        <v>4.94</v>
      </c>
      <c r="E4535" s="13" t="n">
        <f aca="false">IFERROR(MIN(C4535,Eingaben!$B$17)*Eingaben!$B$16,0)</f>
        <v>2.793</v>
      </c>
      <c r="F4535" s="13" t="n">
        <f aca="false">IFERROR(E4535*Eingaben!$B$15,0)</f>
        <v>2.5137</v>
      </c>
      <c r="G4535" s="13" t="n">
        <f aca="false">IFERROR(IF(Kalender!A143="",0,J4534*(1-Eingaben!$B$20)),0)</f>
        <v>0.7390278</v>
      </c>
      <c r="H4535" s="13" t="n">
        <f aca="false">MIN(G4535,D4535)</f>
        <v>0.7390278</v>
      </c>
      <c r="I4535" s="13" t="n">
        <f aca="false">IFERROR(MIN(F4535*Eingaben!$B$19,MAX(0,D4535-H4535)),0)</f>
        <v>1.75959</v>
      </c>
      <c r="J4535" s="13" t="n">
        <f aca="false">IFERROR(MIN(Eingaben!$B$18,MAX(0,F4535-I4535)),0)</f>
        <v>0.75411</v>
      </c>
      <c r="K4535" s="13" t="n">
        <f aca="false">H4535+I4535</f>
        <v>2.4986178</v>
      </c>
      <c r="L4535" s="13" t="n">
        <f aca="false">MAX(0,D4535-K4535)</f>
        <v>2.4413822</v>
      </c>
      <c r="M4535" s="13" t="n">
        <f aca="false">MAX(0,F4535-I4535-J4535)</f>
        <v>0</v>
      </c>
      <c r="N4535" s="13" t="n">
        <f aca="false">IF(Kalender!A143="",0,J4534-H4535)</f>
        <v>0.0150822</v>
      </c>
    </row>
    <row r="4536" customFormat="false" ht="16.4" hidden="false" customHeight="false" outlineLevel="0" collapsed="false">
      <c r="A4536" s="13" t="str">
        <f aca="false">""</f>
        <v/>
      </c>
      <c r="B4536" s="13" t="n">
        <f aca="false">140</f>
        <v>140</v>
      </c>
      <c r="C4536" s="13" t="n">
        <f aca="false">IF(Szenarien!$H$23="OK",(IFERROR(SUMIF(Nutzungsprofile!$B$6:$B$11,"Schulbetrieb",Nutzungsprofile!$G$6:$G$11)*Kalender!C144/SUM(Kalender!$C$5:$C$370),0)+IFERROR(SUMIF(Nutzungsprofile!$B$6:$B$11,"Halle",Nutzungsprofile!$G$6:$G$11)*Kalender!D144/SUM(Kalender!$D$5:$D$370),0)+IFERROR(SUMIF(Nutzungsprofile!$B$6:$B$11,"Individuell",Nutzungsprofile!$G$6:$G$11)*Kalender!E144/SUM(Kalender!$E$5:$E$370),0))*Szenarien!$E$23,0)</f>
        <v>2.94</v>
      </c>
      <c r="D4536" s="13" t="n">
        <f aca="false">IF(Szenarien!$H$23="OK",(IFERROR(SUMIF(Nutzungsprofile!$B$17:$B$22,"Schulbetrieb",Nutzungsprofile!$G$17:$G$22)*Kalender!C144/SUM(Kalender!$C$5:$C$370),0)+IFERROR(SUMIF(Nutzungsprofile!$B$17:$B$22,"Halle",Nutzungsprofile!$G$17:$G$22)*Kalender!D144/SUM(Kalender!$D$5:$D$370),0)+IFERROR(SUMIF(Nutzungsprofile!$B$17:$B$22,"Individuell",Nutzungsprofile!$G$17:$G$22)*Kalender!E144/SUM(Kalender!$E$5:$E$370),0))*Szenarien!$D$23,0)</f>
        <v>4.94</v>
      </c>
      <c r="E4536" s="13" t="n">
        <f aca="false">IFERROR(MIN(C4536,Eingaben!$B$17)*Eingaben!$B$16,0)</f>
        <v>2.793</v>
      </c>
      <c r="F4536" s="13" t="n">
        <f aca="false">IFERROR(E4536*Eingaben!$B$15,0)</f>
        <v>2.5137</v>
      </c>
      <c r="G4536" s="13" t="n">
        <f aca="false">IFERROR(IF(Kalender!A144="",0,J4535*(1-Eingaben!$B$20)),0)</f>
        <v>0.7390278</v>
      </c>
      <c r="H4536" s="13" t="n">
        <f aca="false">MIN(G4536,D4536)</f>
        <v>0.7390278</v>
      </c>
      <c r="I4536" s="13" t="n">
        <f aca="false">IFERROR(MIN(F4536*Eingaben!$B$19,MAX(0,D4536-H4536)),0)</f>
        <v>1.75959</v>
      </c>
      <c r="J4536" s="13" t="n">
        <f aca="false">IFERROR(MIN(Eingaben!$B$18,MAX(0,F4536-I4536)),0)</f>
        <v>0.75411</v>
      </c>
      <c r="K4536" s="13" t="n">
        <f aca="false">H4536+I4536</f>
        <v>2.4986178</v>
      </c>
      <c r="L4536" s="13" t="n">
        <f aca="false">MAX(0,D4536-K4536)</f>
        <v>2.4413822</v>
      </c>
      <c r="M4536" s="13" t="n">
        <f aca="false">MAX(0,F4536-I4536-J4536)</f>
        <v>0</v>
      </c>
      <c r="N4536" s="13" t="n">
        <f aca="false">IF(Kalender!A144="",0,J4535-H4536)</f>
        <v>0.0150822</v>
      </c>
    </row>
    <row r="4537" customFormat="false" ht="16.4" hidden="false" customHeight="false" outlineLevel="0" collapsed="false">
      <c r="A4537" s="13" t="str">
        <f aca="false">""</f>
        <v/>
      </c>
      <c r="B4537" s="13" t="n">
        <f aca="false">141</f>
        <v>141</v>
      </c>
      <c r="C4537" s="13" t="n">
        <f aca="false">IF(Szenarien!$H$23="OK",(IFERROR(SUMIF(Nutzungsprofile!$B$6:$B$11,"Schulbetrieb",Nutzungsprofile!$G$6:$G$11)*Kalender!C145/SUM(Kalender!$C$5:$C$370),0)+IFERROR(SUMIF(Nutzungsprofile!$B$6:$B$11,"Halle",Nutzungsprofile!$G$6:$G$11)*Kalender!D145/SUM(Kalender!$D$5:$D$370),0)+IFERROR(SUMIF(Nutzungsprofile!$B$6:$B$11,"Individuell",Nutzungsprofile!$G$6:$G$11)*Kalender!E145/SUM(Kalender!$E$5:$E$370),0))*Szenarien!$E$23,0)</f>
        <v>2.94</v>
      </c>
      <c r="D4537" s="13" t="n">
        <f aca="false">IF(Szenarien!$H$23="OK",(IFERROR(SUMIF(Nutzungsprofile!$B$17:$B$22,"Schulbetrieb",Nutzungsprofile!$G$17:$G$22)*Kalender!C145/SUM(Kalender!$C$5:$C$370),0)+IFERROR(SUMIF(Nutzungsprofile!$B$17:$B$22,"Halle",Nutzungsprofile!$G$17:$G$22)*Kalender!D145/SUM(Kalender!$D$5:$D$370),0)+IFERROR(SUMIF(Nutzungsprofile!$B$17:$B$22,"Individuell",Nutzungsprofile!$G$17:$G$22)*Kalender!E145/SUM(Kalender!$E$5:$E$370),0))*Szenarien!$D$23,0)</f>
        <v>4.94</v>
      </c>
      <c r="E4537" s="13" t="n">
        <f aca="false">IFERROR(MIN(C4537,Eingaben!$B$17)*Eingaben!$B$16,0)</f>
        <v>2.793</v>
      </c>
      <c r="F4537" s="13" t="n">
        <f aca="false">IFERROR(E4537*Eingaben!$B$15,0)</f>
        <v>2.5137</v>
      </c>
      <c r="G4537" s="13" t="n">
        <f aca="false">IFERROR(IF(Kalender!A145="",0,J4536*(1-Eingaben!$B$20)),0)</f>
        <v>0.7390278</v>
      </c>
      <c r="H4537" s="13" t="n">
        <f aca="false">MIN(G4537,D4537)</f>
        <v>0.7390278</v>
      </c>
      <c r="I4537" s="13" t="n">
        <f aca="false">IFERROR(MIN(F4537*Eingaben!$B$19,MAX(0,D4537-H4537)),0)</f>
        <v>1.75959</v>
      </c>
      <c r="J4537" s="13" t="n">
        <f aca="false">IFERROR(MIN(Eingaben!$B$18,MAX(0,F4537-I4537)),0)</f>
        <v>0.75411</v>
      </c>
      <c r="K4537" s="13" t="n">
        <f aca="false">H4537+I4537</f>
        <v>2.4986178</v>
      </c>
      <c r="L4537" s="13" t="n">
        <f aca="false">MAX(0,D4537-K4537)</f>
        <v>2.4413822</v>
      </c>
      <c r="M4537" s="13" t="n">
        <f aca="false">MAX(0,F4537-I4537-J4537)</f>
        <v>0</v>
      </c>
      <c r="N4537" s="13" t="n">
        <f aca="false">IF(Kalender!A145="",0,J4536-H4537)</f>
        <v>0.0150822</v>
      </c>
    </row>
    <row r="4538" customFormat="false" ht="16.4" hidden="false" customHeight="false" outlineLevel="0" collapsed="false">
      <c r="A4538" s="13" t="str">
        <f aca="false">""</f>
        <v/>
      </c>
      <c r="B4538" s="13" t="n">
        <f aca="false">142</f>
        <v>142</v>
      </c>
      <c r="C4538" s="13" t="n">
        <f aca="false">IF(Szenarien!$H$23="OK",(IFERROR(SUMIF(Nutzungsprofile!$B$6:$B$11,"Schulbetrieb",Nutzungsprofile!$G$6:$G$11)*Kalender!C146/SUM(Kalender!$C$5:$C$370),0)+IFERROR(SUMIF(Nutzungsprofile!$B$6:$B$11,"Halle",Nutzungsprofile!$G$6:$G$11)*Kalender!D146/SUM(Kalender!$D$5:$D$370),0)+IFERROR(SUMIF(Nutzungsprofile!$B$6:$B$11,"Individuell",Nutzungsprofile!$G$6:$G$11)*Kalender!E146/SUM(Kalender!$E$5:$E$370),0))*Szenarien!$E$23,0)</f>
        <v>2.94</v>
      </c>
      <c r="D4538" s="13" t="n">
        <f aca="false">IF(Szenarien!$H$23="OK",(IFERROR(SUMIF(Nutzungsprofile!$B$17:$B$22,"Schulbetrieb",Nutzungsprofile!$G$17:$G$22)*Kalender!C146/SUM(Kalender!$C$5:$C$370),0)+IFERROR(SUMIF(Nutzungsprofile!$B$17:$B$22,"Halle",Nutzungsprofile!$G$17:$G$22)*Kalender!D146/SUM(Kalender!$D$5:$D$370),0)+IFERROR(SUMIF(Nutzungsprofile!$B$17:$B$22,"Individuell",Nutzungsprofile!$G$17:$G$22)*Kalender!E146/SUM(Kalender!$E$5:$E$370),0))*Szenarien!$D$23,0)</f>
        <v>4.94</v>
      </c>
      <c r="E4538" s="13" t="n">
        <f aca="false">IFERROR(MIN(C4538,Eingaben!$B$17)*Eingaben!$B$16,0)</f>
        <v>2.793</v>
      </c>
      <c r="F4538" s="13" t="n">
        <f aca="false">IFERROR(E4538*Eingaben!$B$15,0)</f>
        <v>2.5137</v>
      </c>
      <c r="G4538" s="13" t="n">
        <f aca="false">IFERROR(IF(Kalender!A146="",0,J4537*(1-Eingaben!$B$20)),0)</f>
        <v>0.7390278</v>
      </c>
      <c r="H4538" s="13" t="n">
        <f aca="false">MIN(G4538,D4538)</f>
        <v>0.7390278</v>
      </c>
      <c r="I4538" s="13" t="n">
        <f aca="false">IFERROR(MIN(F4538*Eingaben!$B$19,MAX(0,D4538-H4538)),0)</f>
        <v>1.75959</v>
      </c>
      <c r="J4538" s="13" t="n">
        <f aca="false">IFERROR(MIN(Eingaben!$B$18,MAX(0,F4538-I4538)),0)</f>
        <v>0.75411</v>
      </c>
      <c r="K4538" s="13" t="n">
        <f aca="false">H4538+I4538</f>
        <v>2.4986178</v>
      </c>
      <c r="L4538" s="13" t="n">
        <f aca="false">MAX(0,D4538-K4538)</f>
        <v>2.4413822</v>
      </c>
      <c r="M4538" s="13" t="n">
        <f aca="false">MAX(0,F4538-I4538-J4538)</f>
        <v>0</v>
      </c>
      <c r="N4538" s="13" t="n">
        <f aca="false">IF(Kalender!A146="",0,J4537-H4538)</f>
        <v>0.0150822</v>
      </c>
    </row>
    <row r="4539" customFormat="false" ht="16.4" hidden="false" customHeight="false" outlineLevel="0" collapsed="false">
      <c r="A4539" s="13" t="str">
        <f aca="false">""</f>
        <v/>
      </c>
      <c r="B4539" s="13" t="n">
        <f aca="false">143</f>
        <v>143</v>
      </c>
      <c r="C4539" s="13" t="n">
        <f aca="false">IF(Szenarien!$H$23="OK",(IFERROR(SUMIF(Nutzungsprofile!$B$6:$B$11,"Schulbetrieb",Nutzungsprofile!$G$6:$G$11)*Kalender!C147/SUM(Kalender!$C$5:$C$370),0)+IFERROR(SUMIF(Nutzungsprofile!$B$6:$B$11,"Halle",Nutzungsprofile!$G$6:$G$11)*Kalender!D147/SUM(Kalender!$D$5:$D$370),0)+IFERROR(SUMIF(Nutzungsprofile!$B$6:$B$11,"Individuell",Nutzungsprofile!$G$6:$G$11)*Kalender!E147/SUM(Kalender!$E$5:$E$370),0))*Szenarien!$E$23,0)</f>
        <v>2.04</v>
      </c>
      <c r="D4539" s="13" t="n">
        <f aca="false">IF(Szenarien!$H$23="OK",(IFERROR(SUMIF(Nutzungsprofile!$B$17:$B$22,"Schulbetrieb",Nutzungsprofile!$G$17:$G$22)*Kalender!C147/SUM(Kalender!$C$5:$C$370),0)+IFERROR(SUMIF(Nutzungsprofile!$B$17:$B$22,"Halle",Nutzungsprofile!$G$17:$G$22)*Kalender!D147/SUM(Kalender!$D$5:$D$370),0)+IFERROR(SUMIF(Nutzungsprofile!$B$17:$B$22,"Individuell",Nutzungsprofile!$G$17:$G$22)*Kalender!E147/SUM(Kalender!$E$5:$E$370),0))*Szenarien!$D$23,0)</f>
        <v>0.89</v>
      </c>
      <c r="E4539" s="13" t="n">
        <f aca="false">IFERROR(MIN(C4539,Eingaben!$B$17)*Eingaben!$B$16,0)</f>
        <v>1.938</v>
      </c>
      <c r="F4539" s="13" t="n">
        <f aca="false">IFERROR(E4539*Eingaben!$B$15,0)</f>
        <v>1.7442</v>
      </c>
      <c r="G4539" s="13" t="n">
        <f aca="false">IFERROR(IF(Kalender!A147="",0,J4538*(1-Eingaben!$B$20)),0)</f>
        <v>0.7390278</v>
      </c>
      <c r="H4539" s="13" t="n">
        <f aca="false">MIN(G4539,D4539)</f>
        <v>0.7390278</v>
      </c>
      <c r="I4539" s="13" t="n">
        <f aca="false">IFERROR(MIN(F4539*Eingaben!$B$19,MAX(0,D4539-H4539)),0)</f>
        <v>0.1509722</v>
      </c>
      <c r="J4539" s="13" t="n">
        <f aca="false">IFERROR(MIN(Eingaben!$B$18,MAX(0,F4539-I4539)),0)</f>
        <v>1.5932278</v>
      </c>
      <c r="K4539" s="13" t="n">
        <f aca="false">H4539+I4539</f>
        <v>0.89</v>
      </c>
      <c r="L4539" s="13" t="n">
        <f aca="false">MAX(0,D4539-K4539)</f>
        <v>0</v>
      </c>
      <c r="M4539" s="13" t="n">
        <f aca="false">MAX(0,F4539-I4539-J4539)</f>
        <v>0</v>
      </c>
      <c r="N4539" s="13" t="n">
        <f aca="false">IF(Kalender!A147="",0,J4538-H4539)</f>
        <v>0.0150822</v>
      </c>
    </row>
    <row r="4540" customFormat="false" ht="16.4" hidden="false" customHeight="false" outlineLevel="0" collapsed="false">
      <c r="A4540" s="13" t="str">
        <f aca="false">""</f>
        <v/>
      </c>
      <c r="B4540" s="13" t="n">
        <f aca="false">144</f>
        <v>144</v>
      </c>
      <c r="C4540" s="13" t="n">
        <f aca="false">IF(Szenarien!$H$23="OK",(IFERROR(SUMIF(Nutzungsprofile!$B$6:$B$11,"Schulbetrieb",Nutzungsprofile!$G$6:$G$11)*Kalender!C148/SUM(Kalender!$C$5:$C$370),0)+IFERROR(SUMIF(Nutzungsprofile!$B$6:$B$11,"Halle",Nutzungsprofile!$G$6:$G$11)*Kalender!D148/SUM(Kalender!$D$5:$D$370),0)+IFERROR(SUMIF(Nutzungsprofile!$B$6:$B$11,"Individuell",Nutzungsprofile!$G$6:$G$11)*Kalender!E148/SUM(Kalender!$E$5:$E$370),0))*Szenarien!$E$23,0)</f>
        <v>2.04</v>
      </c>
      <c r="D4540" s="13" t="n">
        <f aca="false">IF(Szenarien!$H$23="OK",(IFERROR(SUMIF(Nutzungsprofile!$B$17:$B$22,"Schulbetrieb",Nutzungsprofile!$G$17:$G$22)*Kalender!C148/SUM(Kalender!$C$5:$C$370),0)+IFERROR(SUMIF(Nutzungsprofile!$B$17:$B$22,"Halle",Nutzungsprofile!$G$17:$G$22)*Kalender!D148/SUM(Kalender!$D$5:$D$370),0)+IFERROR(SUMIF(Nutzungsprofile!$B$17:$B$22,"Individuell",Nutzungsprofile!$G$17:$G$22)*Kalender!E148/SUM(Kalender!$E$5:$E$370),0))*Szenarien!$D$23,0)</f>
        <v>0.89</v>
      </c>
      <c r="E4540" s="13" t="n">
        <f aca="false">IFERROR(MIN(C4540,Eingaben!$B$17)*Eingaben!$B$16,0)</f>
        <v>1.938</v>
      </c>
      <c r="F4540" s="13" t="n">
        <f aca="false">IFERROR(E4540*Eingaben!$B$15,0)</f>
        <v>1.7442</v>
      </c>
      <c r="G4540" s="13" t="n">
        <f aca="false">IFERROR(IF(Kalender!A148="",0,J4539*(1-Eingaben!$B$20)),0)</f>
        <v>1.561363244</v>
      </c>
      <c r="H4540" s="13" t="n">
        <f aca="false">MIN(G4540,D4540)</f>
        <v>0.89</v>
      </c>
      <c r="I4540" s="13" t="n">
        <f aca="false">IFERROR(MIN(F4540*Eingaben!$B$19,MAX(0,D4540-H4540)),0)</f>
        <v>0</v>
      </c>
      <c r="J4540" s="13" t="n">
        <f aca="false">IFERROR(MIN(Eingaben!$B$18,MAX(0,F4540-I4540)),0)</f>
        <v>1.7442</v>
      </c>
      <c r="K4540" s="13" t="n">
        <f aca="false">H4540+I4540</f>
        <v>0.89</v>
      </c>
      <c r="L4540" s="13" t="n">
        <f aca="false">MAX(0,D4540-K4540)</f>
        <v>0</v>
      </c>
      <c r="M4540" s="13" t="n">
        <f aca="false">MAX(0,F4540-I4540-J4540)</f>
        <v>0</v>
      </c>
      <c r="N4540" s="13" t="n">
        <f aca="false">IF(Kalender!A148="",0,J4539-H4540)</f>
        <v>0.7032278</v>
      </c>
    </row>
    <row r="4541" customFormat="false" ht="16.4" hidden="false" customHeight="false" outlineLevel="0" collapsed="false">
      <c r="A4541" s="13" t="str">
        <f aca="false">""</f>
        <v/>
      </c>
      <c r="B4541" s="13" t="n">
        <f aca="false">145</f>
        <v>145</v>
      </c>
      <c r="C4541" s="13" t="n">
        <f aca="false">IF(Szenarien!$H$23="OK",(IFERROR(SUMIF(Nutzungsprofile!$B$6:$B$11,"Schulbetrieb",Nutzungsprofile!$G$6:$G$11)*Kalender!C149/SUM(Kalender!$C$5:$C$370),0)+IFERROR(SUMIF(Nutzungsprofile!$B$6:$B$11,"Halle",Nutzungsprofile!$G$6:$G$11)*Kalender!D149/SUM(Kalender!$D$5:$D$370),0)+IFERROR(SUMIF(Nutzungsprofile!$B$6:$B$11,"Individuell",Nutzungsprofile!$G$6:$G$11)*Kalender!E149/SUM(Kalender!$E$5:$E$370),0))*Szenarien!$E$23,0)</f>
        <v>2.94</v>
      </c>
      <c r="D4541" s="13" t="n">
        <f aca="false">IF(Szenarien!$H$23="OK",(IFERROR(SUMIF(Nutzungsprofile!$B$17:$B$22,"Schulbetrieb",Nutzungsprofile!$G$17:$G$22)*Kalender!C149/SUM(Kalender!$C$5:$C$370),0)+IFERROR(SUMIF(Nutzungsprofile!$B$17:$B$22,"Halle",Nutzungsprofile!$G$17:$G$22)*Kalender!D149/SUM(Kalender!$D$5:$D$370),0)+IFERROR(SUMIF(Nutzungsprofile!$B$17:$B$22,"Individuell",Nutzungsprofile!$G$17:$G$22)*Kalender!E149/SUM(Kalender!$E$5:$E$370),0))*Szenarien!$D$23,0)</f>
        <v>4.94</v>
      </c>
      <c r="E4541" s="13" t="n">
        <f aca="false">IFERROR(MIN(C4541,Eingaben!$B$17)*Eingaben!$B$16,0)</f>
        <v>2.793</v>
      </c>
      <c r="F4541" s="13" t="n">
        <f aca="false">IFERROR(E4541*Eingaben!$B$15,0)</f>
        <v>2.5137</v>
      </c>
      <c r="G4541" s="13" t="n">
        <f aca="false">IFERROR(IF(Kalender!A149="",0,J4540*(1-Eingaben!$B$20)),0)</f>
        <v>1.709316</v>
      </c>
      <c r="H4541" s="13" t="n">
        <f aca="false">MIN(G4541,D4541)</f>
        <v>1.709316</v>
      </c>
      <c r="I4541" s="13" t="n">
        <f aca="false">IFERROR(MIN(F4541*Eingaben!$B$19,MAX(0,D4541-H4541)),0)</f>
        <v>1.75959</v>
      </c>
      <c r="J4541" s="13" t="n">
        <f aca="false">IFERROR(MIN(Eingaben!$B$18,MAX(0,F4541-I4541)),0)</f>
        <v>0.75411</v>
      </c>
      <c r="K4541" s="13" t="n">
        <f aca="false">H4541+I4541</f>
        <v>3.468906</v>
      </c>
      <c r="L4541" s="13" t="n">
        <f aca="false">MAX(0,D4541-K4541)</f>
        <v>1.471094</v>
      </c>
      <c r="M4541" s="13" t="n">
        <f aca="false">MAX(0,F4541-I4541-J4541)</f>
        <v>0</v>
      </c>
      <c r="N4541" s="13" t="n">
        <f aca="false">IF(Kalender!A149="",0,J4540-H4541)</f>
        <v>0.0348840000000001</v>
      </c>
    </row>
    <row r="4542" customFormat="false" ht="16.4" hidden="false" customHeight="false" outlineLevel="0" collapsed="false">
      <c r="A4542" s="13" t="str">
        <f aca="false">""</f>
        <v/>
      </c>
      <c r="B4542" s="13" t="n">
        <f aca="false">146</f>
        <v>146</v>
      </c>
      <c r="C4542" s="13" t="n">
        <f aca="false">IF(Szenarien!$H$23="OK",(IFERROR(SUMIF(Nutzungsprofile!$B$6:$B$11,"Schulbetrieb",Nutzungsprofile!$G$6:$G$11)*Kalender!C150/SUM(Kalender!$C$5:$C$370),0)+IFERROR(SUMIF(Nutzungsprofile!$B$6:$B$11,"Halle",Nutzungsprofile!$G$6:$G$11)*Kalender!D150/SUM(Kalender!$D$5:$D$370),0)+IFERROR(SUMIF(Nutzungsprofile!$B$6:$B$11,"Individuell",Nutzungsprofile!$G$6:$G$11)*Kalender!E150/SUM(Kalender!$E$5:$E$370),0))*Szenarien!$E$23,0)</f>
        <v>2.94</v>
      </c>
      <c r="D4542" s="13" t="n">
        <f aca="false">IF(Szenarien!$H$23="OK",(IFERROR(SUMIF(Nutzungsprofile!$B$17:$B$22,"Schulbetrieb",Nutzungsprofile!$G$17:$G$22)*Kalender!C150/SUM(Kalender!$C$5:$C$370),0)+IFERROR(SUMIF(Nutzungsprofile!$B$17:$B$22,"Halle",Nutzungsprofile!$G$17:$G$22)*Kalender!D150/SUM(Kalender!$D$5:$D$370),0)+IFERROR(SUMIF(Nutzungsprofile!$B$17:$B$22,"Individuell",Nutzungsprofile!$G$17:$G$22)*Kalender!E150/SUM(Kalender!$E$5:$E$370),0))*Szenarien!$D$23,0)</f>
        <v>4.94</v>
      </c>
      <c r="E4542" s="13" t="n">
        <f aca="false">IFERROR(MIN(C4542,Eingaben!$B$17)*Eingaben!$B$16,0)</f>
        <v>2.793</v>
      </c>
      <c r="F4542" s="13" t="n">
        <f aca="false">IFERROR(E4542*Eingaben!$B$15,0)</f>
        <v>2.5137</v>
      </c>
      <c r="G4542" s="13" t="n">
        <f aca="false">IFERROR(IF(Kalender!A150="",0,J4541*(1-Eingaben!$B$20)),0)</f>
        <v>0.7390278</v>
      </c>
      <c r="H4542" s="13" t="n">
        <f aca="false">MIN(G4542,D4542)</f>
        <v>0.7390278</v>
      </c>
      <c r="I4542" s="13" t="n">
        <f aca="false">IFERROR(MIN(F4542*Eingaben!$B$19,MAX(0,D4542-H4542)),0)</f>
        <v>1.75959</v>
      </c>
      <c r="J4542" s="13" t="n">
        <f aca="false">IFERROR(MIN(Eingaben!$B$18,MAX(0,F4542-I4542)),0)</f>
        <v>0.75411</v>
      </c>
      <c r="K4542" s="13" t="n">
        <f aca="false">H4542+I4542</f>
        <v>2.4986178</v>
      </c>
      <c r="L4542" s="13" t="n">
        <f aca="false">MAX(0,D4542-K4542)</f>
        <v>2.4413822</v>
      </c>
      <c r="M4542" s="13" t="n">
        <f aca="false">MAX(0,F4542-I4542-J4542)</f>
        <v>0</v>
      </c>
      <c r="N4542" s="13" t="n">
        <f aca="false">IF(Kalender!A150="",0,J4541-H4542)</f>
        <v>0.0150822</v>
      </c>
    </row>
    <row r="4543" customFormat="false" ht="16.4" hidden="false" customHeight="false" outlineLevel="0" collapsed="false">
      <c r="A4543" s="13" t="str">
        <f aca="false">""</f>
        <v/>
      </c>
      <c r="B4543" s="13" t="n">
        <f aca="false">147</f>
        <v>147</v>
      </c>
      <c r="C4543" s="13" t="n">
        <f aca="false">IF(Szenarien!$H$23="OK",(IFERROR(SUMIF(Nutzungsprofile!$B$6:$B$11,"Schulbetrieb",Nutzungsprofile!$G$6:$G$11)*Kalender!C151/SUM(Kalender!$C$5:$C$370),0)+IFERROR(SUMIF(Nutzungsprofile!$B$6:$B$11,"Halle",Nutzungsprofile!$G$6:$G$11)*Kalender!D151/SUM(Kalender!$D$5:$D$370),0)+IFERROR(SUMIF(Nutzungsprofile!$B$6:$B$11,"Individuell",Nutzungsprofile!$G$6:$G$11)*Kalender!E151/SUM(Kalender!$E$5:$E$370),0))*Szenarien!$E$23,0)</f>
        <v>2.94</v>
      </c>
      <c r="D4543" s="13" t="n">
        <f aca="false">IF(Szenarien!$H$23="OK",(IFERROR(SUMIF(Nutzungsprofile!$B$17:$B$22,"Schulbetrieb",Nutzungsprofile!$G$17:$G$22)*Kalender!C151/SUM(Kalender!$C$5:$C$370),0)+IFERROR(SUMIF(Nutzungsprofile!$B$17:$B$22,"Halle",Nutzungsprofile!$G$17:$G$22)*Kalender!D151/SUM(Kalender!$D$5:$D$370),0)+IFERROR(SUMIF(Nutzungsprofile!$B$17:$B$22,"Individuell",Nutzungsprofile!$G$17:$G$22)*Kalender!E151/SUM(Kalender!$E$5:$E$370),0))*Szenarien!$D$23,0)</f>
        <v>4.94</v>
      </c>
      <c r="E4543" s="13" t="n">
        <f aca="false">IFERROR(MIN(C4543,Eingaben!$B$17)*Eingaben!$B$16,0)</f>
        <v>2.793</v>
      </c>
      <c r="F4543" s="13" t="n">
        <f aca="false">IFERROR(E4543*Eingaben!$B$15,0)</f>
        <v>2.5137</v>
      </c>
      <c r="G4543" s="13" t="n">
        <f aca="false">IFERROR(IF(Kalender!A151="",0,J4542*(1-Eingaben!$B$20)),0)</f>
        <v>0.7390278</v>
      </c>
      <c r="H4543" s="13" t="n">
        <f aca="false">MIN(G4543,D4543)</f>
        <v>0.7390278</v>
      </c>
      <c r="I4543" s="13" t="n">
        <f aca="false">IFERROR(MIN(F4543*Eingaben!$B$19,MAX(0,D4543-H4543)),0)</f>
        <v>1.75959</v>
      </c>
      <c r="J4543" s="13" t="n">
        <f aca="false">IFERROR(MIN(Eingaben!$B$18,MAX(0,F4543-I4543)),0)</f>
        <v>0.75411</v>
      </c>
      <c r="K4543" s="13" t="n">
        <f aca="false">H4543+I4543</f>
        <v>2.4986178</v>
      </c>
      <c r="L4543" s="13" t="n">
        <f aca="false">MAX(0,D4543-K4543)</f>
        <v>2.4413822</v>
      </c>
      <c r="M4543" s="13" t="n">
        <f aca="false">MAX(0,F4543-I4543-J4543)</f>
        <v>0</v>
      </c>
      <c r="N4543" s="13" t="n">
        <f aca="false">IF(Kalender!A151="",0,J4542-H4543)</f>
        <v>0.0150822</v>
      </c>
    </row>
    <row r="4544" customFormat="false" ht="16.4" hidden="false" customHeight="false" outlineLevel="0" collapsed="false">
      <c r="A4544" s="13" t="str">
        <f aca="false">""</f>
        <v/>
      </c>
      <c r="B4544" s="13" t="n">
        <f aca="false">148</f>
        <v>148</v>
      </c>
      <c r="C4544" s="13" t="n">
        <f aca="false">IF(Szenarien!$H$23="OK",(IFERROR(SUMIF(Nutzungsprofile!$B$6:$B$11,"Schulbetrieb",Nutzungsprofile!$G$6:$G$11)*Kalender!C152/SUM(Kalender!$C$5:$C$370),0)+IFERROR(SUMIF(Nutzungsprofile!$B$6:$B$11,"Halle",Nutzungsprofile!$G$6:$G$11)*Kalender!D152/SUM(Kalender!$D$5:$D$370),0)+IFERROR(SUMIF(Nutzungsprofile!$B$6:$B$11,"Individuell",Nutzungsprofile!$G$6:$G$11)*Kalender!E152/SUM(Kalender!$E$5:$E$370),0))*Szenarien!$E$23,0)</f>
        <v>2.94</v>
      </c>
      <c r="D4544" s="13" t="n">
        <f aca="false">IF(Szenarien!$H$23="OK",(IFERROR(SUMIF(Nutzungsprofile!$B$17:$B$22,"Schulbetrieb",Nutzungsprofile!$G$17:$G$22)*Kalender!C152/SUM(Kalender!$C$5:$C$370),0)+IFERROR(SUMIF(Nutzungsprofile!$B$17:$B$22,"Halle",Nutzungsprofile!$G$17:$G$22)*Kalender!D152/SUM(Kalender!$D$5:$D$370),0)+IFERROR(SUMIF(Nutzungsprofile!$B$17:$B$22,"Individuell",Nutzungsprofile!$G$17:$G$22)*Kalender!E152/SUM(Kalender!$E$5:$E$370),0))*Szenarien!$D$23,0)</f>
        <v>4.94</v>
      </c>
      <c r="E4544" s="13" t="n">
        <f aca="false">IFERROR(MIN(C4544,Eingaben!$B$17)*Eingaben!$B$16,0)</f>
        <v>2.793</v>
      </c>
      <c r="F4544" s="13" t="n">
        <f aca="false">IFERROR(E4544*Eingaben!$B$15,0)</f>
        <v>2.5137</v>
      </c>
      <c r="G4544" s="13" t="n">
        <f aca="false">IFERROR(IF(Kalender!A152="",0,J4543*(1-Eingaben!$B$20)),0)</f>
        <v>0.7390278</v>
      </c>
      <c r="H4544" s="13" t="n">
        <f aca="false">MIN(G4544,D4544)</f>
        <v>0.7390278</v>
      </c>
      <c r="I4544" s="13" t="n">
        <f aca="false">IFERROR(MIN(F4544*Eingaben!$B$19,MAX(0,D4544-H4544)),0)</f>
        <v>1.75959</v>
      </c>
      <c r="J4544" s="13" t="n">
        <f aca="false">IFERROR(MIN(Eingaben!$B$18,MAX(0,F4544-I4544)),0)</f>
        <v>0.75411</v>
      </c>
      <c r="K4544" s="13" t="n">
        <f aca="false">H4544+I4544</f>
        <v>2.4986178</v>
      </c>
      <c r="L4544" s="13" t="n">
        <f aca="false">MAX(0,D4544-K4544)</f>
        <v>2.4413822</v>
      </c>
      <c r="M4544" s="13" t="n">
        <f aca="false">MAX(0,F4544-I4544-J4544)</f>
        <v>0</v>
      </c>
      <c r="N4544" s="13" t="n">
        <f aca="false">IF(Kalender!A152="",0,J4543-H4544)</f>
        <v>0.0150822</v>
      </c>
    </row>
    <row r="4545" customFormat="false" ht="16.4" hidden="false" customHeight="false" outlineLevel="0" collapsed="false">
      <c r="A4545" s="13" t="str">
        <f aca="false">""</f>
        <v/>
      </c>
      <c r="B4545" s="13" t="n">
        <f aca="false">149</f>
        <v>149</v>
      </c>
      <c r="C4545" s="13" t="n">
        <f aca="false">IF(Szenarien!$H$23="OK",(IFERROR(SUMIF(Nutzungsprofile!$B$6:$B$11,"Schulbetrieb",Nutzungsprofile!$G$6:$G$11)*Kalender!C153/SUM(Kalender!$C$5:$C$370),0)+IFERROR(SUMIF(Nutzungsprofile!$B$6:$B$11,"Halle",Nutzungsprofile!$G$6:$G$11)*Kalender!D153/SUM(Kalender!$D$5:$D$370),0)+IFERROR(SUMIF(Nutzungsprofile!$B$6:$B$11,"Individuell",Nutzungsprofile!$G$6:$G$11)*Kalender!E153/SUM(Kalender!$E$5:$E$370),0))*Szenarien!$E$23,0)</f>
        <v>2.94</v>
      </c>
      <c r="D4545" s="13" t="n">
        <f aca="false">IF(Szenarien!$H$23="OK",(IFERROR(SUMIF(Nutzungsprofile!$B$17:$B$22,"Schulbetrieb",Nutzungsprofile!$G$17:$G$22)*Kalender!C153/SUM(Kalender!$C$5:$C$370),0)+IFERROR(SUMIF(Nutzungsprofile!$B$17:$B$22,"Halle",Nutzungsprofile!$G$17:$G$22)*Kalender!D153/SUM(Kalender!$D$5:$D$370),0)+IFERROR(SUMIF(Nutzungsprofile!$B$17:$B$22,"Individuell",Nutzungsprofile!$G$17:$G$22)*Kalender!E153/SUM(Kalender!$E$5:$E$370),0))*Szenarien!$D$23,0)</f>
        <v>4.94</v>
      </c>
      <c r="E4545" s="13" t="n">
        <f aca="false">IFERROR(MIN(C4545,Eingaben!$B$17)*Eingaben!$B$16,0)</f>
        <v>2.793</v>
      </c>
      <c r="F4545" s="13" t="n">
        <f aca="false">IFERROR(E4545*Eingaben!$B$15,0)</f>
        <v>2.5137</v>
      </c>
      <c r="G4545" s="13" t="n">
        <f aca="false">IFERROR(IF(Kalender!A153="",0,J4544*(1-Eingaben!$B$20)),0)</f>
        <v>0.7390278</v>
      </c>
      <c r="H4545" s="13" t="n">
        <f aca="false">MIN(G4545,D4545)</f>
        <v>0.7390278</v>
      </c>
      <c r="I4545" s="13" t="n">
        <f aca="false">IFERROR(MIN(F4545*Eingaben!$B$19,MAX(0,D4545-H4545)),0)</f>
        <v>1.75959</v>
      </c>
      <c r="J4545" s="13" t="n">
        <f aca="false">IFERROR(MIN(Eingaben!$B$18,MAX(0,F4545-I4545)),0)</f>
        <v>0.75411</v>
      </c>
      <c r="K4545" s="13" t="n">
        <f aca="false">H4545+I4545</f>
        <v>2.4986178</v>
      </c>
      <c r="L4545" s="13" t="n">
        <f aca="false">MAX(0,D4545-K4545)</f>
        <v>2.4413822</v>
      </c>
      <c r="M4545" s="13" t="n">
        <f aca="false">MAX(0,F4545-I4545-J4545)</f>
        <v>0</v>
      </c>
      <c r="N4545" s="13" t="n">
        <f aca="false">IF(Kalender!A153="",0,J4544-H4545)</f>
        <v>0.0150822</v>
      </c>
    </row>
    <row r="4546" customFormat="false" ht="16.4" hidden="false" customHeight="false" outlineLevel="0" collapsed="false">
      <c r="A4546" s="13" t="str">
        <f aca="false">""</f>
        <v/>
      </c>
      <c r="B4546" s="13" t="n">
        <f aca="false">150</f>
        <v>150</v>
      </c>
      <c r="C4546" s="13" t="n">
        <f aca="false">IF(Szenarien!$H$23="OK",(IFERROR(SUMIF(Nutzungsprofile!$B$6:$B$11,"Schulbetrieb",Nutzungsprofile!$G$6:$G$11)*Kalender!C154/SUM(Kalender!$C$5:$C$370),0)+IFERROR(SUMIF(Nutzungsprofile!$B$6:$B$11,"Halle",Nutzungsprofile!$G$6:$G$11)*Kalender!D154/SUM(Kalender!$D$5:$D$370),0)+IFERROR(SUMIF(Nutzungsprofile!$B$6:$B$11,"Individuell",Nutzungsprofile!$G$6:$G$11)*Kalender!E154/SUM(Kalender!$E$5:$E$370),0))*Szenarien!$E$23,0)</f>
        <v>2.04</v>
      </c>
      <c r="D4546" s="13" t="n">
        <f aca="false">IF(Szenarien!$H$23="OK",(IFERROR(SUMIF(Nutzungsprofile!$B$17:$B$22,"Schulbetrieb",Nutzungsprofile!$G$17:$G$22)*Kalender!C154/SUM(Kalender!$C$5:$C$370),0)+IFERROR(SUMIF(Nutzungsprofile!$B$17:$B$22,"Halle",Nutzungsprofile!$G$17:$G$22)*Kalender!D154/SUM(Kalender!$D$5:$D$370),0)+IFERROR(SUMIF(Nutzungsprofile!$B$17:$B$22,"Individuell",Nutzungsprofile!$G$17:$G$22)*Kalender!E154/SUM(Kalender!$E$5:$E$370),0))*Szenarien!$D$23,0)</f>
        <v>0.89</v>
      </c>
      <c r="E4546" s="13" t="n">
        <f aca="false">IFERROR(MIN(C4546,Eingaben!$B$17)*Eingaben!$B$16,0)</f>
        <v>1.938</v>
      </c>
      <c r="F4546" s="13" t="n">
        <f aca="false">IFERROR(E4546*Eingaben!$B$15,0)</f>
        <v>1.7442</v>
      </c>
      <c r="G4546" s="13" t="n">
        <f aca="false">IFERROR(IF(Kalender!A154="",0,J4545*(1-Eingaben!$B$20)),0)</f>
        <v>0.7390278</v>
      </c>
      <c r="H4546" s="13" t="n">
        <f aca="false">MIN(G4546,D4546)</f>
        <v>0.7390278</v>
      </c>
      <c r="I4546" s="13" t="n">
        <f aca="false">IFERROR(MIN(F4546*Eingaben!$B$19,MAX(0,D4546-H4546)),0)</f>
        <v>0.1509722</v>
      </c>
      <c r="J4546" s="13" t="n">
        <f aca="false">IFERROR(MIN(Eingaben!$B$18,MAX(0,F4546-I4546)),0)</f>
        <v>1.5932278</v>
      </c>
      <c r="K4546" s="13" t="n">
        <f aca="false">H4546+I4546</f>
        <v>0.89</v>
      </c>
      <c r="L4546" s="13" t="n">
        <f aca="false">MAX(0,D4546-K4546)</f>
        <v>0</v>
      </c>
      <c r="M4546" s="13" t="n">
        <f aca="false">MAX(0,F4546-I4546-J4546)</f>
        <v>0</v>
      </c>
      <c r="N4546" s="13" t="n">
        <f aca="false">IF(Kalender!A154="",0,J4545-H4546)</f>
        <v>0.0150822</v>
      </c>
    </row>
    <row r="4547" customFormat="false" ht="16.4" hidden="false" customHeight="false" outlineLevel="0" collapsed="false">
      <c r="A4547" s="13" t="str">
        <f aca="false">""</f>
        <v/>
      </c>
      <c r="B4547" s="13" t="n">
        <f aca="false">151</f>
        <v>151</v>
      </c>
      <c r="C4547" s="13" t="n">
        <f aca="false">IF(Szenarien!$H$23="OK",(IFERROR(SUMIF(Nutzungsprofile!$B$6:$B$11,"Schulbetrieb",Nutzungsprofile!$G$6:$G$11)*Kalender!C155/SUM(Kalender!$C$5:$C$370),0)+IFERROR(SUMIF(Nutzungsprofile!$B$6:$B$11,"Halle",Nutzungsprofile!$G$6:$G$11)*Kalender!D155/SUM(Kalender!$D$5:$D$370),0)+IFERROR(SUMIF(Nutzungsprofile!$B$6:$B$11,"Individuell",Nutzungsprofile!$G$6:$G$11)*Kalender!E155/SUM(Kalender!$E$5:$E$370),0))*Szenarien!$E$23,0)</f>
        <v>2.04</v>
      </c>
      <c r="D4547" s="13" t="n">
        <f aca="false">IF(Szenarien!$H$23="OK",(IFERROR(SUMIF(Nutzungsprofile!$B$17:$B$22,"Schulbetrieb",Nutzungsprofile!$G$17:$G$22)*Kalender!C155/SUM(Kalender!$C$5:$C$370),0)+IFERROR(SUMIF(Nutzungsprofile!$B$17:$B$22,"Halle",Nutzungsprofile!$G$17:$G$22)*Kalender!D155/SUM(Kalender!$D$5:$D$370),0)+IFERROR(SUMIF(Nutzungsprofile!$B$17:$B$22,"Individuell",Nutzungsprofile!$G$17:$G$22)*Kalender!E155/SUM(Kalender!$E$5:$E$370),0))*Szenarien!$D$23,0)</f>
        <v>0.89</v>
      </c>
      <c r="E4547" s="13" t="n">
        <f aca="false">IFERROR(MIN(C4547,Eingaben!$B$17)*Eingaben!$B$16,0)</f>
        <v>1.938</v>
      </c>
      <c r="F4547" s="13" t="n">
        <f aca="false">IFERROR(E4547*Eingaben!$B$15,0)</f>
        <v>1.7442</v>
      </c>
      <c r="G4547" s="13" t="n">
        <f aca="false">IFERROR(IF(Kalender!A155="",0,J4546*(1-Eingaben!$B$20)),0)</f>
        <v>1.561363244</v>
      </c>
      <c r="H4547" s="13" t="n">
        <f aca="false">MIN(G4547,D4547)</f>
        <v>0.89</v>
      </c>
      <c r="I4547" s="13" t="n">
        <f aca="false">IFERROR(MIN(F4547*Eingaben!$B$19,MAX(0,D4547-H4547)),0)</f>
        <v>0</v>
      </c>
      <c r="J4547" s="13" t="n">
        <f aca="false">IFERROR(MIN(Eingaben!$B$18,MAX(0,F4547-I4547)),0)</f>
        <v>1.7442</v>
      </c>
      <c r="K4547" s="13" t="n">
        <f aca="false">H4547+I4547</f>
        <v>0.89</v>
      </c>
      <c r="L4547" s="13" t="n">
        <f aca="false">MAX(0,D4547-K4547)</f>
        <v>0</v>
      </c>
      <c r="M4547" s="13" t="n">
        <f aca="false">MAX(0,F4547-I4547-J4547)</f>
        <v>0</v>
      </c>
      <c r="N4547" s="13" t="n">
        <f aca="false">IF(Kalender!A155="",0,J4546-H4547)</f>
        <v>0.7032278</v>
      </c>
    </row>
    <row r="4548" customFormat="false" ht="16.4" hidden="false" customHeight="false" outlineLevel="0" collapsed="false">
      <c r="A4548" s="13" t="str">
        <f aca="false">""</f>
        <v/>
      </c>
      <c r="B4548" s="13" t="n">
        <f aca="false">152</f>
        <v>152</v>
      </c>
      <c r="C4548" s="13" t="n">
        <f aca="false">IF(Szenarien!$H$23="OK",(IFERROR(SUMIF(Nutzungsprofile!$B$6:$B$11,"Schulbetrieb",Nutzungsprofile!$G$6:$G$11)*Kalender!C156/SUM(Kalender!$C$5:$C$370),0)+IFERROR(SUMIF(Nutzungsprofile!$B$6:$B$11,"Halle",Nutzungsprofile!$G$6:$G$11)*Kalender!D156/SUM(Kalender!$D$5:$D$370),0)+IFERROR(SUMIF(Nutzungsprofile!$B$6:$B$11,"Individuell",Nutzungsprofile!$G$6:$G$11)*Kalender!E156/SUM(Kalender!$E$5:$E$370),0))*Szenarien!$E$23,0)</f>
        <v>2.94</v>
      </c>
      <c r="D4548" s="13" t="n">
        <f aca="false">IF(Szenarien!$H$23="OK",(IFERROR(SUMIF(Nutzungsprofile!$B$17:$B$22,"Schulbetrieb",Nutzungsprofile!$G$17:$G$22)*Kalender!C156/SUM(Kalender!$C$5:$C$370),0)+IFERROR(SUMIF(Nutzungsprofile!$B$17:$B$22,"Halle",Nutzungsprofile!$G$17:$G$22)*Kalender!D156/SUM(Kalender!$D$5:$D$370),0)+IFERROR(SUMIF(Nutzungsprofile!$B$17:$B$22,"Individuell",Nutzungsprofile!$G$17:$G$22)*Kalender!E156/SUM(Kalender!$E$5:$E$370),0))*Szenarien!$D$23,0)</f>
        <v>4.94</v>
      </c>
      <c r="E4548" s="13" t="n">
        <f aca="false">IFERROR(MIN(C4548,Eingaben!$B$17)*Eingaben!$B$16,0)</f>
        <v>2.793</v>
      </c>
      <c r="F4548" s="13" t="n">
        <f aca="false">IFERROR(E4548*Eingaben!$B$15,0)</f>
        <v>2.5137</v>
      </c>
      <c r="G4548" s="13" t="n">
        <f aca="false">IFERROR(IF(Kalender!A156="",0,J4547*(1-Eingaben!$B$20)),0)</f>
        <v>1.709316</v>
      </c>
      <c r="H4548" s="13" t="n">
        <f aca="false">MIN(G4548,D4548)</f>
        <v>1.709316</v>
      </c>
      <c r="I4548" s="13" t="n">
        <f aca="false">IFERROR(MIN(F4548*Eingaben!$B$19,MAX(0,D4548-H4548)),0)</f>
        <v>1.75959</v>
      </c>
      <c r="J4548" s="13" t="n">
        <f aca="false">IFERROR(MIN(Eingaben!$B$18,MAX(0,F4548-I4548)),0)</f>
        <v>0.75411</v>
      </c>
      <c r="K4548" s="13" t="n">
        <f aca="false">H4548+I4548</f>
        <v>3.468906</v>
      </c>
      <c r="L4548" s="13" t="n">
        <f aca="false">MAX(0,D4548-K4548)</f>
        <v>1.471094</v>
      </c>
      <c r="M4548" s="13" t="n">
        <f aca="false">MAX(0,F4548-I4548-J4548)</f>
        <v>0</v>
      </c>
      <c r="N4548" s="13" t="n">
        <f aca="false">IF(Kalender!A156="",0,J4547-H4548)</f>
        <v>0.0348840000000001</v>
      </c>
    </row>
    <row r="4549" customFormat="false" ht="16.4" hidden="false" customHeight="false" outlineLevel="0" collapsed="false">
      <c r="A4549" s="13" t="str">
        <f aca="false">""</f>
        <v/>
      </c>
      <c r="B4549" s="13" t="n">
        <f aca="false">153</f>
        <v>153</v>
      </c>
      <c r="C4549" s="13" t="n">
        <f aca="false">IF(Szenarien!$H$23="OK",(IFERROR(SUMIF(Nutzungsprofile!$B$6:$B$11,"Schulbetrieb",Nutzungsprofile!$G$6:$G$11)*Kalender!C157/SUM(Kalender!$C$5:$C$370),0)+IFERROR(SUMIF(Nutzungsprofile!$B$6:$B$11,"Halle",Nutzungsprofile!$G$6:$G$11)*Kalender!D157/SUM(Kalender!$D$5:$D$370),0)+IFERROR(SUMIF(Nutzungsprofile!$B$6:$B$11,"Individuell",Nutzungsprofile!$G$6:$G$11)*Kalender!E157/SUM(Kalender!$E$5:$E$370),0))*Szenarien!$E$23,0)</f>
        <v>2.94</v>
      </c>
      <c r="D4549" s="13" t="n">
        <f aca="false">IF(Szenarien!$H$23="OK",(IFERROR(SUMIF(Nutzungsprofile!$B$17:$B$22,"Schulbetrieb",Nutzungsprofile!$G$17:$G$22)*Kalender!C157/SUM(Kalender!$C$5:$C$370),0)+IFERROR(SUMIF(Nutzungsprofile!$B$17:$B$22,"Halle",Nutzungsprofile!$G$17:$G$22)*Kalender!D157/SUM(Kalender!$D$5:$D$370),0)+IFERROR(SUMIF(Nutzungsprofile!$B$17:$B$22,"Individuell",Nutzungsprofile!$G$17:$G$22)*Kalender!E157/SUM(Kalender!$E$5:$E$370),0))*Szenarien!$D$23,0)</f>
        <v>4.94</v>
      </c>
      <c r="E4549" s="13" t="n">
        <f aca="false">IFERROR(MIN(C4549,Eingaben!$B$17)*Eingaben!$B$16,0)</f>
        <v>2.793</v>
      </c>
      <c r="F4549" s="13" t="n">
        <f aca="false">IFERROR(E4549*Eingaben!$B$15,0)</f>
        <v>2.5137</v>
      </c>
      <c r="G4549" s="13" t="n">
        <f aca="false">IFERROR(IF(Kalender!A157="",0,J4548*(1-Eingaben!$B$20)),0)</f>
        <v>0.7390278</v>
      </c>
      <c r="H4549" s="13" t="n">
        <f aca="false">MIN(G4549,D4549)</f>
        <v>0.7390278</v>
      </c>
      <c r="I4549" s="13" t="n">
        <f aca="false">IFERROR(MIN(F4549*Eingaben!$B$19,MAX(0,D4549-H4549)),0)</f>
        <v>1.75959</v>
      </c>
      <c r="J4549" s="13" t="n">
        <f aca="false">IFERROR(MIN(Eingaben!$B$18,MAX(0,F4549-I4549)),0)</f>
        <v>0.75411</v>
      </c>
      <c r="K4549" s="13" t="n">
        <f aca="false">H4549+I4549</f>
        <v>2.4986178</v>
      </c>
      <c r="L4549" s="13" t="n">
        <f aca="false">MAX(0,D4549-K4549)</f>
        <v>2.4413822</v>
      </c>
      <c r="M4549" s="13" t="n">
        <f aca="false">MAX(0,F4549-I4549-J4549)</f>
        <v>0</v>
      </c>
      <c r="N4549" s="13" t="n">
        <f aca="false">IF(Kalender!A157="",0,J4548-H4549)</f>
        <v>0.0150822</v>
      </c>
    </row>
    <row r="4550" customFormat="false" ht="16.4" hidden="false" customHeight="false" outlineLevel="0" collapsed="false">
      <c r="A4550" s="13" t="str">
        <f aca="false">""</f>
        <v/>
      </c>
      <c r="B4550" s="13" t="n">
        <f aca="false">154</f>
        <v>154</v>
      </c>
      <c r="C4550" s="13" t="n">
        <f aca="false">IF(Szenarien!$H$23="OK",(IFERROR(SUMIF(Nutzungsprofile!$B$6:$B$11,"Schulbetrieb",Nutzungsprofile!$G$6:$G$11)*Kalender!C158/SUM(Kalender!$C$5:$C$370),0)+IFERROR(SUMIF(Nutzungsprofile!$B$6:$B$11,"Halle",Nutzungsprofile!$G$6:$G$11)*Kalender!D158/SUM(Kalender!$D$5:$D$370),0)+IFERROR(SUMIF(Nutzungsprofile!$B$6:$B$11,"Individuell",Nutzungsprofile!$G$6:$G$11)*Kalender!E158/SUM(Kalender!$E$5:$E$370),0))*Szenarien!$E$23,0)</f>
        <v>2.94</v>
      </c>
      <c r="D4550" s="13" t="n">
        <f aca="false">IF(Szenarien!$H$23="OK",(IFERROR(SUMIF(Nutzungsprofile!$B$17:$B$22,"Schulbetrieb",Nutzungsprofile!$G$17:$G$22)*Kalender!C158/SUM(Kalender!$C$5:$C$370),0)+IFERROR(SUMIF(Nutzungsprofile!$B$17:$B$22,"Halle",Nutzungsprofile!$G$17:$G$22)*Kalender!D158/SUM(Kalender!$D$5:$D$370),0)+IFERROR(SUMIF(Nutzungsprofile!$B$17:$B$22,"Individuell",Nutzungsprofile!$G$17:$G$22)*Kalender!E158/SUM(Kalender!$E$5:$E$370),0))*Szenarien!$D$23,0)</f>
        <v>4.94</v>
      </c>
      <c r="E4550" s="13" t="n">
        <f aca="false">IFERROR(MIN(C4550,Eingaben!$B$17)*Eingaben!$B$16,0)</f>
        <v>2.793</v>
      </c>
      <c r="F4550" s="13" t="n">
        <f aca="false">IFERROR(E4550*Eingaben!$B$15,0)</f>
        <v>2.5137</v>
      </c>
      <c r="G4550" s="13" t="n">
        <f aca="false">IFERROR(IF(Kalender!A158="",0,J4549*(1-Eingaben!$B$20)),0)</f>
        <v>0.7390278</v>
      </c>
      <c r="H4550" s="13" t="n">
        <f aca="false">MIN(G4550,D4550)</f>
        <v>0.7390278</v>
      </c>
      <c r="I4550" s="13" t="n">
        <f aca="false">IFERROR(MIN(F4550*Eingaben!$B$19,MAX(0,D4550-H4550)),0)</f>
        <v>1.75959</v>
      </c>
      <c r="J4550" s="13" t="n">
        <f aca="false">IFERROR(MIN(Eingaben!$B$18,MAX(0,F4550-I4550)),0)</f>
        <v>0.75411</v>
      </c>
      <c r="K4550" s="13" t="n">
        <f aca="false">H4550+I4550</f>
        <v>2.4986178</v>
      </c>
      <c r="L4550" s="13" t="n">
        <f aca="false">MAX(0,D4550-K4550)</f>
        <v>2.4413822</v>
      </c>
      <c r="M4550" s="13" t="n">
        <f aca="false">MAX(0,F4550-I4550-J4550)</f>
        <v>0</v>
      </c>
      <c r="N4550" s="13" t="n">
        <f aca="false">IF(Kalender!A158="",0,J4549-H4550)</f>
        <v>0.0150822</v>
      </c>
    </row>
    <row r="4551" customFormat="false" ht="16.4" hidden="false" customHeight="false" outlineLevel="0" collapsed="false">
      <c r="A4551" s="13" t="str">
        <f aca="false">""</f>
        <v/>
      </c>
      <c r="B4551" s="13" t="n">
        <f aca="false">155</f>
        <v>155</v>
      </c>
      <c r="C4551" s="13" t="n">
        <f aca="false">IF(Szenarien!$H$23="OK",(IFERROR(SUMIF(Nutzungsprofile!$B$6:$B$11,"Schulbetrieb",Nutzungsprofile!$G$6:$G$11)*Kalender!C159/SUM(Kalender!$C$5:$C$370),0)+IFERROR(SUMIF(Nutzungsprofile!$B$6:$B$11,"Halle",Nutzungsprofile!$G$6:$G$11)*Kalender!D159/SUM(Kalender!$D$5:$D$370),0)+IFERROR(SUMIF(Nutzungsprofile!$B$6:$B$11,"Individuell",Nutzungsprofile!$G$6:$G$11)*Kalender!E159/SUM(Kalender!$E$5:$E$370),0))*Szenarien!$E$23,0)</f>
        <v>2.94</v>
      </c>
      <c r="D4551" s="13" t="n">
        <f aca="false">IF(Szenarien!$H$23="OK",(IFERROR(SUMIF(Nutzungsprofile!$B$17:$B$22,"Schulbetrieb",Nutzungsprofile!$G$17:$G$22)*Kalender!C159/SUM(Kalender!$C$5:$C$370),0)+IFERROR(SUMIF(Nutzungsprofile!$B$17:$B$22,"Halle",Nutzungsprofile!$G$17:$G$22)*Kalender!D159/SUM(Kalender!$D$5:$D$370),0)+IFERROR(SUMIF(Nutzungsprofile!$B$17:$B$22,"Individuell",Nutzungsprofile!$G$17:$G$22)*Kalender!E159/SUM(Kalender!$E$5:$E$370),0))*Szenarien!$D$23,0)</f>
        <v>4.94</v>
      </c>
      <c r="E4551" s="13" t="n">
        <f aca="false">IFERROR(MIN(C4551,Eingaben!$B$17)*Eingaben!$B$16,0)</f>
        <v>2.793</v>
      </c>
      <c r="F4551" s="13" t="n">
        <f aca="false">IFERROR(E4551*Eingaben!$B$15,0)</f>
        <v>2.5137</v>
      </c>
      <c r="G4551" s="13" t="n">
        <f aca="false">IFERROR(IF(Kalender!A159="",0,J4550*(1-Eingaben!$B$20)),0)</f>
        <v>0.7390278</v>
      </c>
      <c r="H4551" s="13" t="n">
        <f aca="false">MIN(G4551,D4551)</f>
        <v>0.7390278</v>
      </c>
      <c r="I4551" s="13" t="n">
        <f aca="false">IFERROR(MIN(F4551*Eingaben!$B$19,MAX(0,D4551-H4551)),0)</f>
        <v>1.75959</v>
      </c>
      <c r="J4551" s="13" t="n">
        <f aca="false">IFERROR(MIN(Eingaben!$B$18,MAX(0,F4551-I4551)),0)</f>
        <v>0.75411</v>
      </c>
      <c r="K4551" s="13" t="n">
        <f aca="false">H4551+I4551</f>
        <v>2.4986178</v>
      </c>
      <c r="L4551" s="13" t="n">
        <f aca="false">MAX(0,D4551-K4551)</f>
        <v>2.4413822</v>
      </c>
      <c r="M4551" s="13" t="n">
        <f aca="false">MAX(0,F4551-I4551-J4551)</f>
        <v>0</v>
      </c>
      <c r="N4551" s="13" t="n">
        <f aca="false">IF(Kalender!A159="",0,J4550-H4551)</f>
        <v>0.0150822</v>
      </c>
    </row>
    <row r="4552" customFormat="false" ht="16.4" hidden="false" customHeight="false" outlineLevel="0" collapsed="false">
      <c r="A4552" s="13" t="str">
        <f aca="false">""</f>
        <v/>
      </c>
      <c r="B4552" s="13" t="n">
        <f aca="false">156</f>
        <v>156</v>
      </c>
      <c r="C4552" s="13" t="n">
        <f aca="false">IF(Szenarien!$H$23="OK",(IFERROR(SUMIF(Nutzungsprofile!$B$6:$B$11,"Schulbetrieb",Nutzungsprofile!$G$6:$G$11)*Kalender!C160/SUM(Kalender!$C$5:$C$370),0)+IFERROR(SUMIF(Nutzungsprofile!$B$6:$B$11,"Halle",Nutzungsprofile!$G$6:$G$11)*Kalender!D160/SUM(Kalender!$D$5:$D$370),0)+IFERROR(SUMIF(Nutzungsprofile!$B$6:$B$11,"Individuell",Nutzungsprofile!$G$6:$G$11)*Kalender!E160/SUM(Kalender!$E$5:$E$370),0))*Szenarien!$E$23,0)</f>
        <v>2.94</v>
      </c>
      <c r="D4552" s="13" t="n">
        <f aca="false">IF(Szenarien!$H$23="OK",(IFERROR(SUMIF(Nutzungsprofile!$B$17:$B$22,"Schulbetrieb",Nutzungsprofile!$G$17:$G$22)*Kalender!C160/SUM(Kalender!$C$5:$C$370),0)+IFERROR(SUMIF(Nutzungsprofile!$B$17:$B$22,"Halle",Nutzungsprofile!$G$17:$G$22)*Kalender!D160/SUM(Kalender!$D$5:$D$370),0)+IFERROR(SUMIF(Nutzungsprofile!$B$17:$B$22,"Individuell",Nutzungsprofile!$G$17:$G$22)*Kalender!E160/SUM(Kalender!$E$5:$E$370),0))*Szenarien!$D$23,0)</f>
        <v>4.94</v>
      </c>
      <c r="E4552" s="13" t="n">
        <f aca="false">IFERROR(MIN(C4552,Eingaben!$B$17)*Eingaben!$B$16,0)</f>
        <v>2.793</v>
      </c>
      <c r="F4552" s="13" t="n">
        <f aca="false">IFERROR(E4552*Eingaben!$B$15,0)</f>
        <v>2.5137</v>
      </c>
      <c r="G4552" s="13" t="n">
        <f aca="false">IFERROR(IF(Kalender!A160="",0,J4551*(1-Eingaben!$B$20)),0)</f>
        <v>0.7390278</v>
      </c>
      <c r="H4552" s="13" t="n">
        <f aca="false">MIN(G4552,D4552)</f>
        <v>0.7390278</v>
      </c>
      <c r="I4552" s="13" t="n">
        <f aca="false">IFERROR(MIN(F4552*Eingaben!$B$19,MAX(0,D4552-H4552)),0)</f>
        <v>1.75959</v>
      </c>
      <c r="J4552" s="13" t="n">
        <f aca="false">IFERROR(MIN(Eingaben!$B$18,MAX(0,F4552-I4552)),0)</f>
        <v>0.75411</v>
      </c>
      <c r="K4552" s="13" t="n">
        <f aca="false">H4552+I4552</f>
        <v>2.4986178</v>
      </c>
      <c r="L4552" s="13" t="n">
        <f aca="false">MAX(0,D4552-K4552)</f>
        <v>2.4413822</v>
      </c>
      <c r="M4552" s="13" t="n">
        <f aca="false">MAX(0,F4552-I4552-J4552)</f>
        <v>0</v>
      </c>
      <c r="N4552" s="13" t="n">
        <f aca="false">IF(Kalender!A160="",0,J4551-H4552)</f>
        <v>0.0150822</v>
      </c>
    </row>
    <row r="4553" customFormat="false" ht="16.4" hidden="false" customHeight="false" outlineLevel="0" collapsed="false">
      <c r="A4553" s="13" t="str">
        <f aca="false">""</f>
        <v/>
      </c>
      <c r="B4553" s="13" t="n">
        <f aca="false">157</f>
        <v>157</v>
      </c>
      <c r="C4553" s="13" t="n">
        <f aca="false">IF(Szenarien!$H$23="OK",(IFERROR(SUMIF(Nutzungsprofile!$B$6:$B$11,"Schulbetrieb",Nutzungsprofile!$G$6:$G$11)*Kalender!C161/SUM(Kalender!$C$5:$C$370),0)+IFERROR(SUMIF(Nutzungsprofile!$B$6:$B$11,"Halle",Nutzungsprofile!$G$6:$G$11)*Kalender!D161/SUM(Kalender!$D$5:$D$370),0)+IFERROR(SUMIF(Nutzungsprofile!$B$6:$B$11,"Individuell",Nutzungsprofile!$G$6:$G$11)*Kalender!E161/SUM(Kalender!$E$5:$E$370),0))*Szenarien!$E$23,0)</f>
        <v>2.04</v>
      </c>
      <c r="D4553" s="13" t="n">
        <f aca="false">IF(Szenarien!$H$23="OK",(IFERROR(SUMIF(Nutzungsprofile!$B$17:$B$22,"Schulbetrieb",Nutzungsprofile!$G$17:$G$22)*Kalender!C161/SUM(Kalender!$C$5:$C$370),0)+IFERROR(SUMIF(Nutzungsprofile!$B$17:$B$22,"Halle",Nutzungsprofile!$G$17:$G$22)*Kalender!D161/SUM(Kalender!$D$5:$D$370),0)+IFERROR(SUMIF(Nutzungsprofile!$B$17:$B$22,"Individuell",Nutzungsprofile!$G$17:$G$22)*Kalender!E161/SUM(Kalender!$E$5:$E$370),0))*Szenarien!$D$23,0)</f>
        <v>0.89</v>
      </c>
      <c r="E4553" s="13" t="n">
        <f aca="false">IFERROR(MIN(C4553,Eingaben!$B$17)*Eingaben!$B$16,0)</f>
        <v>1.938</v>
      </c>
      <c r="F4553" s="13" t="n">
        <f aca="false">IFERROR(E4553*Eingaben!$B$15,0)</f>
        <v>1.7442</v>
      </c>
      <c r="G4553" s="13" t="n">
        <f aca="false">IFERROR(IF(Kalender!A161="",0,J4552*(1-Eingaben!$B$20)),0)</f>
        <v>0.7390278</v>
      </c>
      <c r="H4553" s="13" t="n">
        <f aca="false">MIN(G4553,D4553)</f>
        <v>0.7390278</v>
      </c>
      <c r="I4553" s="13" t="n">
        <f aca="false">IFERROR(MIN(F4553*Eingaben!$B$19,MAX(0,D4553-H4553)),0)</f>
        <v>0.1509722</v>
      </c>
      <c r="J4553" s="13" t="n">
        <f aca="false">IFERROR(MIN(Eingaben!$B$18,MAX(0,F4553-I4553)),0)</f>
        <v>1.5932278</v>
      </c>
      <c r="K4553" s="13" t="n">
        <f aca="false">H4553+I4553</f>
        <v>0.89</v>
      </c>
      <c r="L4553" s="13" t="n">
        <f aca="false">MAX(0,D4553-K4553)</f>
        <v>0</v>
      </c>
      <c r="M4553" s="13" t="n">
        <f aca="false">MAX(0,F4553-I4553-J4553)</f>
        <v>0</v>
      </c>
      <c r="N4553" s="13" t="n">
        <f aca="false">IF(Kalender!A161="",0,J4552-H4553)</f>
        <v>0.0150822</v>
      </c>
    </row>
    <row r="4554" customFormat="false" ht="16.4" hidden="false" customHeight="false" outlineLevel="0" collapsed="false">
      <c r="A4554" s="13" t="str">
        <f aca="false">""</f>
        <v/>
      </c>
      <c r="B4554" s="13" t="n">
        <f aca="false">158</f>
        <v>158</v>
      </c>
      <c r="C4554" s="13" t="n">
        <f aca="false">IF(Szenarien!$H$23="OK",(IFERROR(SUMIF(Nutzungsprofile!$B$6:$B$11,"Schulbetrieb",Nutzungsprofile!$G$6:$G$11)*Kalender!C162/SUM(Kalender!$C$5:$C$370),0)+IFERROR(SUMIF(Nutzungsprofile!$B$6:$B$11,"Halle",Nutzungsprofile!$G$6:$G$11)*Kalender!D162/SUM(Kalender!$D$5:$D$370),0)+IFERROR(SUMIF(Nutzungsprofile!$B$6:$B$11,"Individuell",Nutzungsprofile!$G$6:$G$11)*Kalender!E162/SUM(Kalender!$E$5:$E$370),0))*Szenarien!$E$23,0)</f>
        <v>2.04</v>
      </c>
      <c r="D4554" s="13" t="n">
        <f aca="false">IF(Szenarien!$H$23="OK",(IFERROR(SUMIF(Nutzungsprofile!$B$17:$B$22,"Schulbetrieb",Nutzungsprofile!$G$17:$G$22)*Kalender!C162/SUM(Kalender!$C$5:$C$370),0)+IFERROR(SUMIF(Nutzungsprofile!$B$17:$B$22,"Halle",Nutzungsprofile!$G$17:$G$22)*Kalender!D162/SUM(Kalender!$D$5:$D$370),0)+IFERROR(SUMIF(Nutzungsprofile!$B$17:$B$22,"Individuell",Nutzungsprofile!$G$17:$G$22)*Kalender!E162/SUM(Kalender!$E$5:$E$370),0))*Szenarien!$D$23,0)</f>
        <v>0.89</v>
      </c>
      <c r="E4554" s="13" t="n">
        <f aca="false">IFERROR(MIN(C4554,Eingaben!$B$17)*Eingaben!$B$16,0)</f>
        <v>1.938</v>
      </c>
      <c r="F4554" s="13" t="n">
        <f aca="false">IFERROR(E4554*Eingaben!$B$15,0)</f>
        <v>1.7442</v>
      </c>
      <c r="G4554" s="13" t="n">
        <f aca="false">IFERROR(IF(Kalender!A162="",0,J4553*(1-Eingaben!$B$20)),0)</f>
        <v>1.561363244</v>
      </c>
      <c r="H4554" s="13" t="n">
        <f aca="false">MIN(G4554,D4554)</f>
        <v>0.89</v>
      </c>
      <c r="I4554" s="13" t="n">
        <f aca="false">IFERROR(MIN(F4554*Eingaben!$B$19,MAX(0,D4554-H4554)),0)</f>
        <v>0</v>
      </c>
      <c r="J4554" s="13" t="n">
        <f aca="false">IFERROR(MIN(Eingaben!$B$18,MAX(0,F4554-I4554)),0)</f>
        <v>1.7442</v>
      </c>
      <c r="K4554" s="13" t="n">
        <f aca="false">H4554+I4554</f>
        <v>0.89</v>
      </c>
      <c r="L4554" s="13" t="n">
        <f aca="false">MAX(0,D4554-K4554)</f>
        <v>0</v>
      </c>
      <c r="M4554" s="13" t="n">
        <f aca="false">MAX(0,F4554-I4554-J4554)</f>
        <v>0</v>
      </c>
      <c r="N4554" s="13" t="n">
        <f aca="false">IF(Kalender!A162="",0,J4553-H4554)</f>
        <v>0.7032278</v>
      </c>
    </row>
    <row r="4555" customFormat="false" ht="16.4" hidden="false" customHeight="false" outlineLevel="0" collapsed="false">
      <c r="A4555" s="13" t="str">
        <f aca="false">""</f>
        <v/>
      </c>
      <c r="B4555" s="13" t="n">
        <f aca="false">159</f>
        <v>159</v>
      </c>
      <c r="C4555" s="13" t="n">
        <f aca="false">IF(Szenarien!$H$23="OK",(IFERROR(SUMIF(Nutzungsprofile!$B$6:$B$11,"Schulbetrieb",Nutzungsprofile!$G$6:$G$11)*Kalender!C163/SUM(Kalender!$C$5:$C$370),0)+IFERROR(SUMIF(Nutzungsprofile!$B$6:$B$11,"Halle",Nutzungsprofile!$G$6:$G$11)*Kalender!D163/SUM(Kalender!$D$5:$D$370),0)+IFERROR(SUMIF(Nutzungsprofile!$B$6:$B$11,"Individuell",Nutzungsprofile!$G$6:$G$11)*Kalender!E163/SUM(Kalender!$E$5:$E$370),0))*Szenarien!$E$23,0)</f>
        <v>2.94</v>
      </c>
      <c r="D4555" s="13" t="n">
        <f aca="false">IF(Szenarien!$H$23="OK",(IFERROR(SUMIF(Nutzungsprofile!$B$17:$B$22,"Schulbetrieb",Nutzungsprofile!$G$17:$G$22)*Kalender!C163/SUM(Kalender!$C$5:$C$370),0)+IFERROR(SUMIF(Nutzungsprofile!$B$17:$B$22,"Halle",Nutzungsprofile!$G$17:$G$22)*Kalender!D163/SUM(Kalender!$D$5:$D$370),0)+IFERROR(SUMIF(Nutzungsprofile!$B$17:$B$22,"Individuell",Nutzungsprofile!$G$17:$G$22)*Kalender!E163/SUM(Kalender!$E$5:$E$370),0))*Szenarien!$D$23,0)</f>
        <v>4.94</v>
      </c>
      <c r="E4555" s="13" t="n">
        <f aca="false">IFERROR(MIN(C4555,Eingaben!$B$17)*Eingaben!$B$16,0)</f>
        <v>2.793</v>
      </c>
      <c r="F4555" s="13" t="n">
        <f aca="false">IFERROR(E4555*Eingaben!$B$15,0)</f>
        <v>2.5137</v>
      </c>
      <c r="G4555" s="13" t="n">
        <f aca="false">IFERROR(IF(Kalender!A163="",0,J4554*(1-Eingaben!$B$20)),0)</f>
        <v>1.709316</v>
      </c>
      <c r="H4555" s="13" t="n">
        <f aca="false">MIN(G4555,D4555)</f>
        <v>1.709316</v>
      </c>
      <c r="I4555" s="13" t="n">
        <f aca="false">IFERROR(MIN(F4555*Eingaben!$B$19,MAX(0,D4555-H4555)),0)</f>
        <v>1.75959</v>
      </c>
      <c r="J4555" s="13" t="n">
        <f aca="false">IFERROR(MIN(Eingaben!$B$18,MAX(0,F4555-I4555)),0)</f>
        <v>0.75411</v>
      </c>
      <c r="K4555" s="13" t="n">
        <f aca="false">H4555+I4555</f>
        <v>3.468906</v>
      </c>
      <c r="L4555" s="13" t="n">
        <f aca="false">MAX(0,D4555-K4555)</f>
        <v>1.471094</v>
      </c>
      <c r="M4555" s="13" t="n">
        <f aca="false">MAX(0,F4555-I4555-J4555)</f>
        <v>0</v>
      </c>
      <c r="N4555" s="13" t="n">
        <f aca="false">IF(Kalender!A163="",0,J4554-H4555)</f>
        <v>0.0348840000000001</v>
      </c>
    </row>
    <row r="4556" customFormat="false" ht="16.4" hidden="false" customHeight="false" outlineLevel="0" collapsed="false">
      <c r="A4556" s="13" t="str">
        <f aca="false">""</f>
        <v/>
      </c>
      <c r="B4556" s="13" t="n">
        <f aca="false">160</f>
        <v>160</v>
      </c>
      <c r="C4556" s="13" t="n">
        <f aca="false">IF(Szenarien!$H$23="OK",(IFERROR(SUMIF(Nutzungsprofile!$B$6:$B$11,"Schulbetrieb",Nutzungsprofile!$G$6:$G$11)*Kalender!C164/SUM(Kalender!$C$5:$C$370),0)+IFERROR(SUMIF(Nutzungsprofile!$B$6:$B$11,"Halle",Nutzungsprofile!$G$6:$G$11)*Kalender!D164/SUM(Kalender!$D$5:$D$370),0)+IFERROR(SUMIF(Nutzungsprofile!$B$6:$B$11,"Individuell",Nutzungsprofile!$G$6:$G$11)*Kalender!E164/SUM(Kalender!$E$5:$E$370),0))*Szenarien!$E$23,0)</f>
        <v>2.94</v>
      </c>
      <c r="D4556" s="13" t="n">
        <f aca="false">IF(Szenarien!$H$23="OK",(IFERROR(SUMIF(Nutzungsprofile!$B$17:$B$22,"Schulbetrieb",Nutzungsprofile!$G$17:$G$22)*Kalender!C164/SUM(Kalender!$C$5:$C$370),0)+IFERROR(SUMIF(Nutzungsprofile!$B$17:$B$22,"Halle",Nutzungsprofile!$G$17:$G$22)*Kalender!D164/SUM(Kalender!$D$5:$D$370),0)+IFERROR(SUMIF(Nutzungsprofile!$B$17:$B$22,"Individuell",Nutzungsprofile!$G$17:$G$22)*Kalender!E164/SUM(Kalender!$E$5:$E$370),0))*Szenarien!$D$23,0)</f>
        <v>4.94</v>
      </c>
      <c r="E4556" s="13" t="n">
        <f aca="false">IFERROR(MIN(C4556,Eingaben!$B$17)*Eingaben!$B$16,0)</f>
        <v>2.793</v>
      </c>
      <c r="F4556" s="13" t="n">
        <f aca="false">IFERROR(E4556*Eingaben!$B$15,0)</f>
        <v>2.5137</v>
      </c>
      <c r="G4556" s="13" t="n">
        <f aca="false">IFERROR(IF(Kalender!A164="",0,J4555*(1-Eingaben!$B$20)),0)</f>
        <v>0.7390278</v>
      </c>
      <c r="H4556" s="13" t="n">
        <f aca="false">MIN(G4556,D4556)</f>
        <v>0.7390278</v>
      </c>
      <c r="I4556" s="13" t="n">
        <f aca="false">IFERROR(MIN(F4556*Eingaben!$B$19,MAX(0,D4556-H4556)),0)</f>
        <v>1.75959</v>
      </c>
      <c r="J4556" s="13" t="n">
        <f aca="false">IFERROR(MIN(Eingaben!$B$18,MAX(0,F4556-I4556)),0)</f>
        <v>0.75411</v>
      </c>
      <c r="K4556" s="13" t="n">
        <f aca="false">H4556+I4556</f>
        <v>2.4986178</v>
      </c>
      <c r="L4556" s="13" t="n">
        <f aca="false">MAX(0,D4556-K4556)</f>
        <v>2.4413822</v>
      </c>
      <c r="M4556" s="13" t="n">
        <f aca="false">MAX(0,F4556-I4556-J4556)</f>
        <v>0</v>
      </c>
      <c r="N4556" s="13" t="n">
        <f aca="false">IF(Kalender!A164="",0,J4555-H4556)</f>
        <v>0.0150822</v>
      </c>
    </row>
    <row r="4557" customFormat="false" ht="16.4" hidden="false" customHeight="false" outlineLevel="0" collapsed="false">
      <c r="A4557" s="13" t="str">
        <f aca="false">""</f>
        <v/>
      </c>
      <c r="B4557" s="13" t="n">
        <f aca="false">161</f>
        <v>161</v>
      </c>
      <c r="C4557" s="13" t="n">
        <f aca="false">IF(Szenarien!$H$23="OK",(IFERROR(SUMIF(Nutzungsprofile!$B$6:$B$11,"Schulbetrieb",Nutzungsprofile!$G$6:$G$11)*Kalender!C165/SUM(Kalender!$C$5:$C$370),0)+IFERROR(SUMIF(Nutzungsprofile!$B$6:$B$11,"Halle",Nutzungsprofile!$G$6:$G$11)*Kalender!D165/SUM(Kalender!$D$5:$D$370),0)+IFERROR(SUMIF(Nutzungsprofile!$B$6:$B$11,"Individuell",Nutzungsprofile!$G$6:$G$11)*Kalender!E165/SUM(Kalender!$E$5:$E$370),0))*Szenarien!$E$23,0)</f>
        <v>2.94</v>
      </c>
      <c r="D4557" s="13" t="n">
        <f aca="false">IF(Szenarien!$H$23="OK",(IFERROR(SUMIF(Nutzungsprofile!$B$17:$B$22,"Schulbetrieb",Nutzungsprofile!$G$17:$G$22)*Kalender!C165/SUM(Kalender!$C$5:$C$370),0)+IFERROR(SUMIF(Nutzungsprofile!$B$17:$B$22,"Halle",Nutzungsprofile!$G$17:$G$22)*Kalender!D165/SUM(Kalender!$D$5:$D$370),0)+IFERROR(SUMIF(Nutzungsprofile!$B$17:$B$22,"Individuell",Nutzungsprofile!$G$17:$G$22)*Kalender!E165/SUM(Kalender!$E$5:$E$370),0))*Szenarien!$D$23,0)</f>
        <v>4.94</v>
      </c>
      <c r="E4557" s="13" t="n">
        <f aca="false">IFERROR(MIN(C4557,Eingaben!$B$17)*Eingaben!$B$16,0)</f>
        <v>2.793</v>
      </c>
      <c r="F4557" s="13" t="n">
        <f aca="false">IFERROR(E4557*Eingaben!$B$15,0)</f>
        <v>2.5137</v>
      </c>
      <c r="G4557" s="13" t="n">
        <f aca="false">IFERROR(IF(Kalender!A165="",0,J4556*(1-Eingaben!$B$20)),0)</f>
        <v>0.7390278</v>
      </c>
      <c r="H4557" s="13" t="n">
        <f aca="false">MIN(G4557,D4557)</f>
        <v>0.7390278</v>
      </c>
      <c r="I4557" s="13" t="n">
        <f aca="false">IFERROR(MIN(F4557*Eingaben!$B$19,MAX(0,D4557-H4557)),0)</f>
        <v>1.75959</v>
      </c>
      <c r="J4557" s="13" t="n">
        <f aca="false">IFERROR(MIN(Eingaben!$B$18,MAX(0,F4557-I4557)),0)</f>
        <v>0.75411</v>
      </c>
      <c r="K4557" s="13" t="n">
        <f aca="false">H4557+I4557</f>
        <v>2.4986178</v>
      </c>
      <c r="L4557" s="13" t="n">
        <f aca="false">MAX(0,D4557-K4557)</f>
        <v>2.4413822</v>
      </c>
      <c r="M4557" s="13" t="n">
        <f aca="false">MAX(0,F4557-I4557-J4557)</f>
        <v>0</v>
      </c>
      <c r="N4557" s="13" t="n">
        <f aca="false">IF(Kalender!A165="",0,J4556-H4557)</f>
        <v>0.0150822</v>
      </c>
    </row>
    <row r="4558" customFormat="false" ht="16.4" hidden="false" customHeight="false" outlineLevel="0" collapsed="false">
      <c r="A4558" s="13" t="str">
        <f aca="false">""</f>
        <v/>
      </c>
      <c r="B4558" s="13" t="n">
        <f aca="false">162</f>
        <v>162</v>
      </c>
      <c r="C4558" s="13" t="n">
        <f aca="false">IF(Szenarien!$H$23="OK",(IFERROR(SUMIF(Nutzungsprofile!$B$6:$B$11,"Schulbetrieb",Nutzungsprofile!$G$6:$G$11)*Kalender!C166/SUM(Kalender!$C$5:$C$370),0)+IFERROR(SUMIF(Nutzungsprofile!$B$6:$B$11,"Halle",Nutzungsprofile!$G$6:$G$11)*Kalender!D166/SUM(Kalender!$D$5:$D$370),0)+IFERROR(SUMIF(Nutzungsprofile!$B$6:$B$11,"Individuell",Nutzungsprofile!$G$6:$G$11)*Kalender!E166/SUM(Kalender!$E$5:$E$370),0))*Szenarien!$E$23,0)</f>
        <v>2.94</v>
      </c>
      <c r="D4558" s="13" t="n">
        <f aca="false">IF(Szenarien!$H$23="OK",(IFERROR(SUMIF(Nutzungsprofile!$B$17:$B$22,"Schulbetrieb",Nutzungsprofile!$G$17:$G$22)*Kalender!C166/SUM(Kalender!$C$5:$C$370),0)+IFERROR(SUMIF(Nutzungsprofile!$B$17:$B$22,"Halle",Nutzungsprofile!$G$17:$G$22)*Kalender!D166/SUM(Kalender!$D$5:$D$370),0)+IFERROR(SUMIF(Nutzungsprofile!$B$17:$B$22,"Individuell",Nutzungsprofile!$G$17:$G$22)*Kalender!E166/SUM(Kalender!$E$5:$E$370),0))*Szenarien!$D$23,0)</f>
        <v>4.94</v>
      </c>
      <c r="E4558" s="13" t="n">
        <f aca="false">IFERROR(MIN(C4558,Eingaben!$B$17)*Eingaben!$B$16,0)</f>
        <v>2.793</v>
      </c>
      <c r="F4558" s="13" t="n">
        <f aca="false">IFERROR(E4558*Eingaben!$B$15,0)</f>
        <v>2.5137</v>
      </c>
      <c r="G4558" s="13" t="n">
        <f aca="false">IFERROR(IF(Kalender!A166="",0,J4557*(1-Eingaben!$B$20)),0)</f>
        <v>0.7390278</v>
      </c>
      <c r="H4558" s="13" t="n">
        <f aca="false">MIN(G4558,D4558)</f>
        <v>0.7390278</v>
      </c>
      <c r="I4558" s="13" t="n">
        <f aca="false">IFERROR(MIN(F4558*Eingaben!$B$19,MAX(0,D4558-H4558)),0)</f>
        <v>1.75959</v>
      </c>
      <c r="J4558" s="13" t="n">
        <f aca="false">IFERROR(MIN(Eingaben!$B$18,MAX(0,F4558-I4558)),0)</f>
        <v>0.75411</v>
      </c>
      <c r="K4558" s="13" t="n">
        <f aca="false">H4558+I4558</f>
        <v>2.4986178</v>
      </c>
      <c r="L4558" s="13" t="n">
        <f aca="false">MAX(0,D4558-K4558)</f>
        <v>2.4413822</v>
      </c>
      <c r="M4558" s="13" t="n">
        <f aca="false">MAX(0,F4558-I4558-J4558)</f>
        <v>0</v>
      </c>
      <c r="N4558" s="13" t="n">
        <f aca="false">IF(Kalender!A166="",0,J4557-H4558)</f>
        <v>0.0150822</v>
      </c>
    </row>
    <row r="4559" customFormat="false" ht="16.4" hidden="false" customHeight="false" outlineLevel="0" collapsed="false">
      <c r="A4559" s="13" t="str">
        <f aca="false">""</f>
        <v/>
      </c>
      <c r="B4559" s="13" t="n">
        <f aca="false">163</f>
        <v>163</v>
      </c>
      <c r="C4559" s="13" t="n">
        <f aca="false">IF(Szenarien!$H$23="OK",(IFERROR(SUMIF(Nutzungsprofile!$B$6:$B$11,"Schulbetrieb",Nutzungsprofile!$G$6:$G$11)*Kalender!C167/SUM(Kalender!$C$5:$C$370),0)+IFERROR(SUMIF(Nutzungsprofile!$B$6:$B$11,"Halle",Nutzungsprofile!$G$6:$G$11)*Kalender!D167/SUM(Kalender!$D$5:$D$370),0)+IFERROR(SUMIF(Nutzungsprofile!$B$6:$B$11,"Individuell",Nutzungsprofile!$G$6:$G$11)*Kalender!E167/SUM(Kalender!$E$5:$E$370),0))*Szenarien!$E$23,0)</f>
        <v>2.94</v>
      </c>
      <c r="D4559" s="13" t="n">
        <f aca="false">IF(Szenarien!$H$23="OK",(IFERROR(SUMIF(Nutzungsprofile!$B$17:$B$22,"Schulbetrieb",Nutzungsprofile!$G$17:$G$22)*Kalender!C167/SUM(Kalender!$C$5:$C$370),0)+IFERROR(SUMIF(Nutzungsprofile!$B$17:$B$22,"Halle",Nutzungsprofile!$G$17:$G$22)*Kalender!D167/SUM(Kalender!$D$5:$D$370),0)+IFERROR(SUMIF(Nutzungsprofile!$B$17:$B$22,"Individuell",Nutzungsprofile!$G$17:$G$22)*Kalender!E167/SUM(Kalender!$E$5:$E$370),0))*Szenarien!$D$23,0)</f>
        <v>4.94</v>
      </c>
      <c r="E4559" s="13" t="n">
        <f aca="false">IFERROR(MIN(C4559,Eingaben!$B$17)*Eingaben!$B$16,0)</f>
        <v>2.793</v>
      </c>
      <c r="F4559" s="13" t="n">
        <f aca="false">IFERROR(E4559*Eingaben!$B$15,0)</f>
        <v>2.5137</v>
      </c>
      <c r="G4559" s="13" t="n">
        <f aca="false">IFERROR(IF(Kalender!A167="",0,J4558*(1-Eingaben!$B$20)),0)</f>
        <v>0.7390278</v>
      </c>
      <c r="H4559" s="13" t="n">
        <f aca="false">MIN(G4559,D4559)</f>
        <v>0.7390278</v>
      </c>
      <c r="I4559" s="13" t="n">
        <f aca="false">IFERROR(MIN(F4559*Eingaben!$B$19,MAX(0,D4559-H4559)),0)</f>
        <v>1.75959</v>
      </c>
      <c r="J4559" s="13" t="n">
        <f aca="false">IFERROR(MIN(Eingaben!$B$18,MAX(0,F4559-I4559)),0)</f>
        <v>0.75411</v>
      </c>
      <c r="K4559" s="13" t="n">
        <f aca="false">H4559+I4559</f>
        <v>2.4986178</v>
      </c>
      <c r="L4559" s="13" t="n">
        <f aca="false">MAX(0,D4559-K4559)</f>
        <v>2.4413822</v>
      </c>
      <c r="M4559" s="13" t="n">
        <f aca="false">MAX(0,F4559-I4559-J4559)</f>
        <v>0</v>
      </c>
      <c r="N4559" s="13" t="n">
        <f aca="false">IF(Kalender!A167="",0,J4558-H4559)</f>
        <v>0.0150822</v>
      </c>
    </row>
    <row r="4560" customFormat="false" ht="16.4" hidden="false" customHeight="false" outlineLevel="0" collapsed="false">
      <c r="A4560" s="13" t="str">
        <f aca="false">""</f>
        <v/>
      </c>
      <c r="B4560" s="13" t="n">
        <f aca="false">164</f>
        <v>164</v>
      </c>
      <c r="C4560" s="13" t="n">
        <f aca="false">IF(Szenarien!$H$23="OK",(IFERROR(SUMIF(Nutzungsprofile!$B$6:$B$11,"Schulbetrieb",Nutzungsprofile!$G$6:$G$11)*Kalender!C168/SUM(Kalender!$C$5:$C$370),0)+IFERROR(SUMIF(Nutzungsprofile!$B$6:$B$11,"Halle",Nutzungsprofile!$G$6:$G$11)*Kalender!D168/SUM(Kalender!$D$5:$D$370),0)+IFERROR(SUMIF(Nutzungsprofile!$B$6:$B$11,"Individuell",Nutzungsprofile!$G$6:$G$11)*Kalender!E168/SUM(Kalender!$E$5:$E$370),0))*Szenarien!$E$23,0)</f>
        <v>2.04</v>
      </c>
      <c r="D4560" s="13" t="n">
        <f aca="false">IF(Szenarien!$H$23="OK",(IFERROR(SUMIF(Nutzungsprofile!$B$17:$B$22,"Schulbetrieb",Nutzungsprofile!$G$17:$G$22)*Kalender!C168/SUM(Kalender!$C$5:$C$370),0)+IFERROR(SUMIF(Nutzungsprofile!$B$17:$B$22,"Halle",Nutzungsprofile!$G$17:$G$22)*Kalender!D168/SUM(Kalender!$D$5:$D$370),0)+IFERROR(SUMIF(Nutzungsprofile!$B$17:$B$22,"Individuell",Nutzungsprofile!$G$17:$G$22)*Kalender!E168/SUM(Kalender!$E$5:$E$370),0))*Szenarien!$D$23,0)</f>
        <v>0.89</v>
      </c>
      <c r="E4560" s="13" t="n">
        <f aca="false">IFERROR(MIN(C4560,Eingaben!$B$17)*Eingaben!$B$16,0)</f>
        <v>1.938</v>
      </c>
      <c r="F4560" s="13" t="n">
        <f aca="false">IFERROR(E4560*Eingaben!$B$15,0)</f>
        <v>1.7442</v>
      </c>
      <c r="G4560" s="13" t="n">
        <f aca="false">IFERROR(IF(Kalender!A168="",0,J4559*(1-Eingaben!$B$20)),0)</f>
        <v>0.7390278</v>
      </c>
      <c r="H4560" s="13" t="n">
        <f aca="false">MIN(G4560,D4560)</f>
        <v>0.7390278</v>
      </c>
      <c r="I4560" s="13" t="n">
        <f aca="false">IFERROR(MIN(F4560*Eingaben!$B$19,MAX(0,D4560-H4560)),0)</f>
        <v>0.1509722</v>
      </c>
      <c r="J4560" s="13" t="n">
        <f aca="false">IFERROR(MIN(Eingaben!$B$18,MAX(0,F4560-I4560)),0)</f>
        <v>1.5932278</v>
      </c>
      <c r="K4560" s="13" t="n">
        <f aca="false">H4560+I4560</f>
        <v>0.89</v>
      </c>
      <c r="L4560" s="13" t="n">
        <f aca="false">MAX(0,D4560-K4560)</f>
        <v>0</v>
      </c>
      <c r="M4560" s="13" t="n">
        <f aca="false">MAX(0,F4560-I4560-J4560)</f>
        <v>0</v>
      </c>
      <c r="N4560" s="13" t="n">
        <f aca="false">IF(Kalender!A168="",0,J4559-H4560)</f>
        <v>0.0150822</v>
      </c>
    </row>
    <row r="4561" customFormat="false" ht="16.4" hidden="false" customHeight="false" outlineLevel="0" collapsed="false">
      <c r="A4561" s="13" t="str">
        <f aca="false">""</f>
        <v/>
      </c>
      <c r="B4561" s="13" t="n">
        <f aca="false">165</f>
        <v>165</v>
      </c>
      <c r="C4561" s="13" t="n">
        <f aca="false">IF(Szenarien!$H$23="OK",(IFERROR(SUMIF(Nutzungsprofile!$B$6:$B$11,"Schulbetrieb",Nutzungsprofile!$G$6:$G$11)*Kalender!C169/SUM(Kalender!$C$5:$C$370),0)+IFERROR(SUMIF(Nutzungsprofile!$B$6:$B$11,"Halle",Nutzungsprofile!$G$6:$G$11)*Kalender!D169/SUM(Kalender!$D$5:$D$370),0)+IFERROR(SUMIF(Nutzungsprofile!$B$6:$B$11,"Individuell",Nutzungsprofile!$G$6:$G$11)*Kalender!E169/SUM(Kalender!$E$5:$E$370),0))*Szenarien!$E$23,0)</f>
        <v>2.04</v>
      </c>
      <c r="D4561" s="13" t="n">
        <f aca="false">IF(Szenarien!$H$23="OK",(IFERROR(SUMIF(Nutzungsprofile!$B$17:$B$22,"Schulbetrieb",Nutzungsprofile!$G$17:$G$22)*Kalender!C169/SUM(Kalender!$C$5:$C$370),0)+IFERROR(SUMIF(Nutzungsprofile!$B$17:$B$22,"Halle",Nutzungsprofile!$G$17:$G$22)*Kalender!D169/SUM(Kalender!$D$5:$D$370),0)+IFERROR(SUMIF(Nutzungsprofile!$B$17:$B$22,"Individuell",Nutzungsprofile!$G$17:$G$22)*Kalender!E169/SUM(Kalender!$E$5:$E$370),0))*Szenarien!$D$23,0)</f>
        <v>0.89</v>
      </c>
      <c r="E4561" s="13" t="n">
        <f aca="false">IFERROR(MIN(C4561,Eingaben!$B$17)*Eingaben!$B$16,0)</f>
        <v>1.938</v>
      </c>
      <c r="F4561" s="13" t="n">
        <f aca="false">IFERROR(E4561*Eingaben!$B$15,0)</f>
        <v>1.7442</v>
      </c>
      <c r="G4561" s="13" t="n">
        <f aca="false">IFERROR(IF(Kalender!A169="",0,J4560*(1-Eingaben!$B$20)),0)</f>
        <v>1.561363244</v>
      </c>
      <c r="H4561" s="13" t="n">
        <f aca="false">MIN(G4561,D4561)</f>
        <v>0.89</v>
      </c>
      <c r="I4561" s="13" t="n">
        <f aca="false">IFERROR(MIN(F4561*Eingaben!$B$19,MAX(0,D4561-H4561)),0)</f>
        <v>0</v>
      </c>
      <c r="J4561" s="13" t="n">
        <f aca="false">IFERROR(MIN(Eingaben!$B$18,MAX(0,F4561-I4561)),0)</f>
        <v>1.7442</v>
      </c>
      <c r="K4561" s="13" t="n">
        <f aca="false">H4561+I4561</f>
        <v>0.89</v>
      </c>
      <c r="L4561" s="13" t="n">
        <f aca="false">MAX(0,D4561-K4561)</f>
        <v>0</v>
      </c>
      <c r="M4561" s="13" t="n">
        <f aca="false">MAX(0,F4561-I4561-J4561)</f>
        <v>0</v>
      </c>
      <c r="N4561" s="13" t="n">
        <f aca="false">IF(Kalender!A169="",0,J4560-H4561)</f>
        <v>0.7032278</v>
      </c>
    </row>
    <row r="4562" customFormat="false" ht="16.4" hidden="false" customHeight="false" outlineLevel="0" collapsed="false">
      <c r="A4562" s="13" t="str">
        <f aca="false">""</f>
        <v/>
      </c>
      <c r="B4562" s="13" t="n">
        <f aca="false">166</f>
        <v>166</v>
      </c>
      <c r="C4562" s="13" t="n">
        <f aca="false">IF(Szenarien!$H$23="OK",(IFERROR(SUMIF(Nutzungsprofile!$B$6:$B$11,"Schulbetrieb",Nutzungsprofile!$G$6:$G$11)*Kalender!C170/SUM(Kalender!$C$5:$C$370),0)+IFERROR(SUMIF(Nutzungsprofile!$B$6:$B$11,"Halle",Nutzungsprofile!$G$6:$G$11)*Kalender!D170/SUM(Kalender!$D$5:$D$370),0)+IFERROR(SUMIF(Nutzungsprofile!$B$6:$B$11,"Individuell",Nutzungsprofile!$G$6:$G$11)*Kalender!E170/SUM(Kalender!$E$5:$E$370),0))*Szenarien!$E$23,0)</f>
        <v>2.94</v>
      </c>
      <c r="D4562" s="13" t="n">
        <f aca="false">IF(Szenarien!$H$23="OK",(IFERROR(SUMIF(Nutzungsprofile!$B$17:$B$22,"Schulbetrieb",Nutzungsprofile!$G$17:$G$22)*Kalender!C170/SUM(Kalender!$C$5:$C$370),0)+IFERROR(SUMIF(Nutzungsprofile!$B$17:$B$22,"Halle",Nutzungsprofile!$G$17:$G$22)*Kalender!D170/SUM(Kalender!$D$5:$D$370),0)+IFERROR(SUMIF(Nutzungsprofile!$B$17:$B$22,"Individuell",Nutzungsprofile!$G$17:$G$22)*Kalender!E170/SUM(Kalender!$E$5:$E$370),0))*Szenarien!$D$23,0)</f>
        <v>4.94</v>
      </c>
      <c r="E4562" s="13" t="n">
        <f aca="false">IFERROR(MIN(C4562,Eingaben!$B$17)*Eingaben!$B$16,0)</f>
        <v>2.793</v>
      </c>
      <c r="F4562" s="13" t="n">
        <f aca="false">IFERROR(E4562*Eingaben!$B$15,0)</f>
        <v>2.5137</v>
      </c>
      <c r="G4562" s="13" t="n">
        <f aca="false">IFERROR(IF(Kalender!A170="",0,J4561*(1-Eingaben!$B$20)),0)</f>
        <v>1.709316</v>
      </c>
      <c r="H4562" s="13" t="n">
        <f aca="false">MIN(G4562,D4562)</f>
        <v>1.709316</v>
      </c>
      <c r="I4562" s="13" t="n">
        <f aca="false">IFERROR(MIN(F4562*Eingaben!$B$19,MAX(0,D4562-H4562)),0)</f>
        <v>1.75959</v>
      </c>
      <c r="J4562" s="13" t="n">
        <f aca="false">IFERROR(MIN(Eingaben!$B$18,MAX(0,F4562-I4562)),0)</f>
        <v>0.75411</v>
      </c>
      <c r="K4562" s="13" t="n">
        <f aca="false">H4562+I4562</f>
        <v>3.468906</v>
      </c>
      <c r="L4562" s="13" t="n">
        <f aca="false">MAX(0,D4562-K4562)</f>
        <v>1.471094</v>
      </c>
      <c r="M4562" s="13" t="n">
        <f aca="false">MAX(0,F4562-I4562-J4562)</f>
        <v>0</v>
      </c>
      <c r="N4562" s="13" t="n">
        <f aca="false">IF(Kalender!A170="",0,J4561-H4562)</f>
        <v>0.0348840000000001</v>
      </c>
    </row>
    <row r="4563" customFormat="false" ht="16.4" hidden="false" customHeight="false" outlineLevel="0" collapsed="false">
      <c r="A4563" s="13" t="str">
        <f aca="false">""</f>
        <v/>
      </c>
      <c r="B4563" s="13" t="n">
        <f aca="false">167</f>
        <v>167</v>
      </c>
      <c r="C4563" s="13" t="n">
        <f aca="false">IF(Szenarien!$H$23="OK",(IFERROR(SUMIF(Nutzungsprofile!$B$6:$B$11,"Schulbetrieb",Nutzungsprofile!$G$6:$G$11)*Kalender!C171/SUM(Kalender!$C$5:$C$370),0)+IFERROR(SUMIF(Nutzungsprofile!$B$6:$B$11,"Halle",Nutzungsprofile!$G$6:$G$11)*Kalender!D171/SUM(Kalender!$D$5:$D$370),0)+IFERROR(SUMIF(Nutzungsprofile!$B$6:$B$11,"Individuell",Nutzungsprofile!$G$6:$G$11)*Kalender!E171/SUM(Kalender!$E$5:$E$370),0))*Szenarien!$E$23,0)</f>
        <v>2.94</v>
      </c>
      <c r="D4563" s="13" t="n">
        <f aca="false">IF(Szenarien!$H$23="OK",(IFERROR(SUMIF(Nutzungsprofile!$B$17:$B$22,"Schulbetrieb",Nutzungsprofile!$G$17:$G$22)*Kalender!C171/SUM(Kalender!$C$5:$C$370),0)+IFERROR(SUMIF(Nutzungsprofile!$B$17:$B$22,"Halle",Nutzungsprofile!$G$17:$G$22)*Kalender!D171/SUM(Kalender!$D$5:$D$370),0)+IFERROR(SUMIF(Nutzungsprofile!$B$17:$B$22,"Individuell",Nutzungsprofile!$G$17:$G$22)*Kalender!E171/SUM(Kalender!$E$5:$E$370),0))*Szenarien!$D$23,0)</f>
        <v>4.94</v>
      </c>
      <c r="E4563" s="13" t="n">
        <f aca="false">IFERROR(MIN(C4563,Eingaben!$B$17)*Eingaben!$B$16,0)</f>
        <v>2.793</v>
      </c>
      <c r="F4563" s="13" t="n">
        <f aca="false">IFERROR(E4563*Eingaben!$B$15,0)</f>
        <v>2.5137</v>
      </c>
      <c r="G4563" s="13" t="n">
        <f aca="false">IFERROR(IF(Kalender!A171="",0,J4562*(1-Eingaben!$B$20)),0)</f>
        <v>0.7390278</v>
      </c>
      <c r="H4563" s="13" t="n">
        <f aca="false">MIN(G4563,D4563)</f>
        <v>0.7390278</v>
      </c>
      <c r="I4563" s="13" t="n">
        <f aca="false">IFERROR(MIN(F4563*Eingaben!$B$19,MAX(0,D4563-H4563)),0)</f>
        <v>1.75959</v>
      </c>
      <c r="J4563" s="13" t="n">
        <f aca="false">IFERROR(MIN(Eingaben!$B$18,MAX(0,F4563-I4563)),0)</f>
        <v>0.75411</v>
      </c>
      <c r="K4563" s="13" t="n">
        <f aca="false">H4563+I4563</f>
        <v>2.4986178</v>
      </c>
      <c r="L4563" s="13" t="n">
        <f aca="false">MAX(0,D4563-K4563)</f>
        <v>2.4413822</v>
      </c>
      <c r="M4563" s="13" t="n">
        <f aca="false">MAX(0,F4563-I4563-J4563)</f>
        <v>0</v>
      </c>
      <c r="N4563" s="13" t="n">
        <f aca="false">IF(Kalender!A171="",0,J4562-H4563)</f>
        <v>0.0150822</v>
      </c>
    </row>
    <row r="4564" customFormat="false" ht="16.4" hidden="false" customHeight="false" outlineLevel="0" collapsed="false">
      <c r="A4564" s="13" t="str">
        <f aca="false">""</f>
        <v/>
      </c>
      <c r="B4564" s="13" t="n">
        <f aca="false">168</f>
        <v>168</v>
      </c>
      <c r="C4564" s="13" t="n">
        <f aca="false">IF(Szenarien!$H$23="OK",(IFERROR(SUMIF(Nutzungsprofile!$B$6:$B$11,"Schulbetrieb",Nutzungsprofile!$G$6:$G$11)*Kalender!C172/SUM(Kalender!$C$5:$C$370),0)+IFERROR(SUMIF(Nutzungsprofile!$B$6:$B$11,"Halle",Nutzungsprofile!$G$6:$G$11)*Kalender!D172/SUM(Kalender!$D$5:$D$370),0)+IFERROR(SUMIF(Nutzungsprofile!$B$6:$B$11,"Individuell",Nutzungsprofile!$G$6:$G$11)*Kalender!E172/SUM(Kalender!$E$5:$E$370),0))*Szenarien!$E$23,0)</f>
        <v>2.94</v>
      </c>
      <c r="D4564" s="13" t="n">
        <f aca="false">IF(Szenarien!$H$23="OK",(IFERROR(SUMIF(Nutzungsprofile!$B$17:$B$22,"Schulbetrieb",Nutzungsprofile!$G$17:$G$22)*Kalender!C172/SUM(Kalender!$C$5:$C$370),0)+IFERROR(SUMIF(Nutzungsprofile!$B$17:$B$22,"Halle",Nutzungsprofile!$G$17:$G$22)*Kalender!D172/SUM(Kalender!$D$5:$D$370),0)+IFERROR(SUMIF(Nutzungsprofile!$B$17:$B$22,"Individuell",Nutzungsprofile!$G$17:$G$22)*Kalender!E172/SUM(Kalender!$E$5:$E$370),0))*Szenarien!$D$23,0)</f>
        <v>4.94</v>
      </c>
      <c r="E4564" s="13" t="n">
        <f aca="false">IFERROR(MIN(C4564,Eingaben!$B$17)*Eingaben!$B$16,0)</f>
        <v>2.793</v>
      </c>
      <c r="F4564" s="13" t="n">
        <f aca="false">IFERROR(E4564*Eingaben!$B$15,0)</f>
        <v>2.5137</v>
      </c>
      <c r="G4564" s="13" t="n">
        <f aca="false">IFERROR(IF(Kalender!A172="",0,J4563*(1-Eingaben!$B$20)),0)</f>
        <v>0.7390278</v>
      </c>
      <c r="H4564" s="13" t="n">
        <f aca="false">MIN(G4564,D4564)</f>
        <v>0.7390278</v>
      </c>
      <c r="I4564" s="13" t="n">
        <f aca="false">IFERROR(MIN(F4564*Eingaben!$B$19,MAX(0,D4564-H4564)),0)</f>
        <v>1.75959</v>
      </c>
      <c r="J4564" s="13" t="n">
        <f aca="false">IFERROR(MIN(Eingaben!$B$18,MAX(0,F4564-I4564)),0)</f>
        <v>0.75411</v>
      </c>
      <c r="K4564" s="13" t="n">
        <f aca="false">H4564+I4564</f>
        <v>2.4986178</v>
      </c>
      <c r="L4564" s="13" t="n">
        <f aca="false">MAX(0,D4564-K4564)</f>
        <v>2.4413822</v>
      </c>
      <c r="M4564" s="13" t="n">
        <f aca="false">MAX(0,F4564-I4564-J4564)</f>
        <v>0</v>
      </c>
      <c r="N4564" s="13" t="n">
        <f aca="false">IF(Kalender!A172="",0,J4563-H4564)</f>
        <v>0.0150822</v>
      </c>
    </row>
    <row r="4565" customFormat="false" ht="16.4" hidden="false" customHeight="false" outlineLevel="0" collapsed="false">
      <c r="A4565" s="13" t="str">
        <f aca="false">""</f>
        <v/>
      </c>
      <c r="B4565" s="13" t="n">
        <f aca="false">169</f>
        <v>169</v>
      </c>
      <c r="C4565" s="13" t="n">
        <f aca="false">IF(Szenarien!$H$23="OK",(IFERROR(SUMIF(Nutzungsprofile!$B$6:$B$11,"Schulbetrieb",Nutzungsprofile!$G$6:$G$11)*Kalender!C173/SUM(Kalender!$C$5:$C$370),0)+IFERROR(SUMIF(Nutzungsprofile!$B$6:$B$11,"Halle",Nutzungsprofile!$G$6:$G$11)*Kalender!D173/SUM(Kalender!$D$5:$D$370),0)+IFERROR(SUMIF(Nutzungsprofile!$B$6:$B$11,"Individuell",Nutzungsprofile!$G$6:$G$11)*Kalender!E173/SUM(Kalender!$E$5:$E$370),0))*Szenarien!$E$23,0)</f>
        <v>2.94</v>
      </c>
      <c r="D4565" s="13" t="n">
        <f aca="false">IF(Szenarien!$H$23="OK",(IFERROR(SUMIF(Nutzungsprofile!$B$17:$B$22,"Schulbetrieb",Nutzungsprofile!$G$17:$G$22)*Kalender!C173/SUM(Kalender!$C$5:$C$370),0)+IFERROR(SUMIF(Nutzungsprofile!$B$17:$B$22,"Halle",Nutzungsprofile!$G$17:$G$22)*Kalender!D173/SUM(Kalender!$D$5:$D$370),0)+IFERROR(SUMIF(Nutzungsprofile!$B$17:$B$22,"Individuell",Nutzungsprofile!$G$17:$G$22)*Kalender!E173/SUM(Kalender!$E$5:$E$370),0))*Szenarien!$D$23,0)</f>
        <v>4.94</v>
      </c>
      <c r="E4565" s="13" t="n">
        <f aca="false">IFERROR(MIN(C4565,Eingaben!$B$17)*Eingaben!$B$16,0)</f>
        <v>2.793</v>
      </c>
      <c r="F4565" s="13" t="n">
        <f aca="false">IFERROR(E4565*Eingaben!$B$15,0)</f>
        <v>2.5137</v>
      </c>
      <c r="G4565" s="13" t="n">
        <f aca="false">IFERROR(IF(Kalender!A173="",0,J4564*(1-Eingaben!$B$20)),0)</f>
        <v>0.7390278</v>
      </c>
      <c r="H4565" s="13" t="n">
        <f aca="false">MIN(G4565,D4565)</f>
        <v>0.7390278</v>
      </c>
      <c r="I4565" s="13" t="n">
        <f aca="false">IFERROR(MIN(F4565*Eingaben!$B$19,MAX(0,D4565-H4565)),0)</f>
        <v>1.75959</v>
      </c>
      <c r="J4565" s="13" t="n">
        <f aca="false">IFERROR(MIN(Eingaben!$B$18,MAX(0,F4565-I4565)),0)</f>
        <v>0.75411</v>
      </c>
      <c r="K4565" s="13" t="n">
        <f aca="false">H4565+I4565</f>
        <v>2.4986178</v>
      </c>
      <c r="L4565" s="13" t="n">
        <f aca="false">MAX(0,D4565-K4565)</f>
        <v>2.4413822</v>
      </c>
      <c r="M4565" s="13" t="n">
        <f aca="false">MAX(0,F4565-I4565-J4565)</f>
        <v>0</v>
      </c>
      <c r="N4565" s="13" t="n">
        <f aca="false">IF(Kalender!A173="",0,J4564-H4565)</f>
        <v>0.0150822</v>
      </c>
    </row>
    <row r="4566" customFormat="false" ht="16.4" hidden="false" customHeight="false" outlineLevel="0" collapsed="false">
      <c r="A4566" s="13" t="str">
        <f aca="false">""</f>
        <v/>
      </c>
      <c r="B4566" s="13" t="n">
        <f aca="false">170</f>
        <v>170</v>
      </c>
      <c r="C4566" s="13" t="n">
        <f aca="false">IF(Szenarien!$H$23="OK",(IFERROR(SUMIF(Nutzungsprofile!$B$6:$B$11,"Schulbetrieb",Nutzungsprofile!$G$6:$G$11)*Kalender!C174/SUM(Kalender!$C$5:$C$370),0)+IFERROR(SUMIF(Nutzungsprofile!$B$6:$B$11,"Halle",Nutzungsprofile!$G$6:$G$11)*Kalender!D174/SUM(Kalender!$D$5:$D$370),0)+IFERROR(SUMIF(Nutzungsprofile!$B$6:$B$11,"Individuell",Nutzungsprofile!$G$6:$G$11)*Kalender!E174/SUM(Kalender!$E$5:$E$370),0))*Szenarien!$E$23,0)</f>
        <v>2.94</v>
      </c>
      <c r="D4566" s="13" t="n">
        <f aca="false">IF(Szenarien!$H$23="OK",(IFERROR(SUMIF(Nutzungsprofile!$B$17:$B$22,"Schulbetrieb",Nutzungsprofile!$G$17:$G$22)*Kalender!C174/SUM(Kalender!$C$5:$C$370),0)+IFERROR(SUMIF(Nutzungsprofile!$B$17:$B$22,"Halle",Nutzungsprofile!$G$17:$G$22)*Kalender!D174/SUM(Kalender!$D$5:$D$370),0)+IFERROR(SUMIF(Nutzungsprofile!$B$17:$B$22,"Individuell",Nutzungsprofile!$G$17:$G$22)*Kalender!E174/SUM(Kalender!$E$5:$E$370),0))*Szenarien!$D$23,0)</f>
        <v>4.94</v>
      </c>
      <c r="E4566" s="13" t="n">
        <f aca="false">IFERROR(MIN(C4566,Eingaben!$B$17)*Eingaben!$B$16,0)</f>
        <v>2.793</v>
      </c>
      <c r="F4566" s="13" t="n">
        <f aca="false">IFERROR(E4566*Eingaben!$B$15,0)</f>
        <v>2.5137</v>
      </c>
      <c r="G4566" s="13" t="n">
        <f aca="false">IFERROR(IF(Kalender!A174="",0,J4565*(1-Eingaben!$B$20)),0)</f>
        <v>0.7390278</v>
      </c>
      <c r="H4566" s="13" t="n">
        <f aca="false">MIN(G4566,D4566)</f>
        <v>0.7390278</v>
      </c>
      <c r="I4566" s="13" t="n">
        <f aca="false">IFERROR(MIN(F4566*Eingaben!$B$19,MAX(0,D4566-H4566)),0)</f>
        <v>1.75959</v>
      </c>
      <c r="J4566" s="13" t="n">
        <f aca="false">IFERROR(MIN(Eingaben!$B$18,MAX(0,F4566-I4566)),0)</f>
        <v>0.75411</v>
      </c>
      <c r="K4566" s="13" t="n">
        <f aca="false">H4566+I4566</f>
        <v>2.4986178</v>
      </c>
      <c r="L4566" s="13" t="n">
        <f aca="false">MAX(0,D4566-K4566)</f>
        <v>2.4413822</v>
      </c>
      <c r="M4566" s="13" t="n">
        <f aca="false">MAX(0,F4566-I4566-J4566)</f>
        <v>0</v>
      </c>
      <c r="N4566" s="13" t="n">
        <f aca="false">IF(Kalender!A174="",0,J4565-H4566)</f>
        <v>0.0150822</v>
      </c>
    </row>
    <row r="4567" customFormat="false" ht="16.4" hidden="false" customHeight="false" outlineLevel="0" collapsed="false">
      <c r="A4567" s="13" t="str">
        <f aca="false">""</f>
        <v/>
      </c>
      <c r="B4567" s="13" t="n">
        <f aca="false">171</f>
        <v>171</v>
      </c>
      <c r="C4567" s="13" t="n">
        <f aca="false">IF(Szenarien!$H$23="OK",(IFERROR(SUMIF(Nutzungsprofile!$B$6:$B$11,"Schulbetrieb",Nutzungsprofile!$G$6:$G$11)*Kalender!C175/SUM(Kalender!$C$5:$C$370),0)+IFERROR(SUMIF(Nutzungsprofile!$B$6:$B$11,"Halle",Nutzungsprofile!$G$6:$G$11)*Kalender!D175/SUM(Kalender!$D$5:$D$370),0)+IFERROR(SUMIF(Nutzungsprofile!$B$6:$B$11,"Individuell",Nutzungsprofile!$G$6:$G$11)*Kalender!E175/SUM(Kalender!$E$5:$E$370),0))*Szenarien!$E$23,0)</f>
        <v>2.04</v>
      </c>
      <c r="D4567" s="13" t="n">
        <f aca="false">IF(Szenarien!$H$23="OK",(IFERROR(SUMIF(Nutzungsprofile!$B$17:$B$22,"Schulbetrieb",Nutzungsprofile!$G$17:$G$22)*Kalender!C175/SUM(Kalender!$C$5:$C$370),0)+IFERROR(SUMIF(Nutzungsprofile!$B$17:$B$22,"Halle",Nutzungsprofile!$G$17:$G$22)*Kalender!D175/SUM(Kalender!$D$5:$D$370),0)+IFERROR(SUMIF(Nutzungsprofile!$B$17:$B$22,"Individuell",Nutzungsprofile!$G$17:$G$22)*Kalender!E175/SUM(Kalender!$E$5:$E$370),0))*Szenarien!$D$23,0)</f>
        <v>0.89</v>
      </c>
      <c r="E4567" s="13" t="n">
        <f aca="false">IFERROR(MIN(C4567,Eingaben!$B$17)*Eingaben!$B$16,0)</f>
        <v>1.938</v>
      </c>
      <c r="F4567" s="13" t="n">
        <f aca="false">IFERROR(E4567*Eingaben!$B$15,0)</f>
        <v>1.7442</v>
      </c>
      <c r="G4567" s="13" t="n">
        <f aca="false">IFERROR(IF(Kalender!A175="",0,J4566*(1-Eingaben!$B$20)),0)</f>
        <v>0.7390278</v>
      </c>
      <c r="H4567" s="13" t="n">
        <f aca="false">MIN(G4567,D4567)</f>
        <v>0.7390278</v>
      </c>
      <c r="I4567" s="13" t="n">
        <f aca="false">IFERROR(MIN(F4567*Eingaben!$B$19,MAX(0,D4567-H4567)),0)</f>
        <v>0.1509722</v>
      </c>
      <c r="J4567" s="13" t="n">
        <f aca="false">IFERROR(MIN(Eingaben!$B$18,MAX(0,F4567-I4567)),0)</f>
        <v>1.5932278</v>
      </c>
      <c r="K4567" s="13" t="n">
        <f aca="false">H4567+I4567</f>
        <v>0.89</v>
      </c>
      <c r="L4567" s="13" t="n">
        <f aca="false">MAX(0,D4567-K4567)</f>
        <v>0</v>
      </c>
      <c r="M4567" s="13" t="n">
        <f aca="false">MAX(0,F4567-I4567-J4567)</f>
        <v>0</v>
      </c>
      <c r="N4567" s="13" t="n">
        <f aca="false">IF(Kalender!A175="",0,J4566-H4567)</f>
        <v>0.0150822</v>
      </c>
    </row>
    <row r="4568" customFormat="false" ht="16.4" hidden="false" customHeight="false" outlineLevel="0" collapsed="false">
      <c r="A4568" s="13" t="str">
        <f aca="false">""</f>
        <v/>
      </c>
      <c r="B4568" s="13" t="n">
        <f aca="false">172</f>
        <v>172</v>
      </c>
      <c r="C4568" s="13" t="n">
        <f aca="false">IF(Szenarien!$H$23="OK",(IFERROR(SUMIF(Nutzungsprofile!$B$6:$B$11,"Schulbetrieb",Nutzungsprofile!$G$6:$G$11)*Kalender!C176/SUM(Kalender!$C$5:$C$370),0)+IFERROR(SUMIF(Nutzungsprofile!$B$6:$B$11,"Halle",Nutzungsprofile!$G$6:$G$11)*Kalender!D176/SUM(Kalender!$D$5:$D$370),0)+IFERROR(SUMIF(Nutzungsprofile!$B$6:$B$11,"Individuell",Nutzungsprofile!$G$6:$G$11)*Kalender!E176/SUM(Kalender!$E$5:$E$370),0))*Szenarien!$E$23,0)</f>
        <v>2.04</v>
      </c>
      <c r="D4568" s="13" t="n">
        <f aca="false">IF(Szenarien!$H$23="OK",(IFERROR(SUMIF(Nutzungsprofile!$B$17:$B$22,"Schulbetrieb",Nutzungsprofile!$G$17:$G$22)*Kalender!C176/SUM(Kalender!$C$5:$C$370),0)+IFERROR(SUMIF(Nutzungsprofile!$B$17:$B$22,"Halle",Nutzungsprofile!$G$17:$G$22)*Kalender!D176/SUM(Kalender!$D$5:$D$370),0)+IFERROR(SUMIF(Nutzungsprofile!$B$17:$B$22,"Individuell",Nutzungsprofile!$G$17:$G$22)*Kalender!E176/SUM(Kalender!$E$5:$E$370),0))*Szenarien!$D$23,0)</f>
        <v>0.89</v>
      </c>
      <c r="E4568" s="13" t="n">
        <f aca="false">IFERROR(MIN(C4568,Eingaben!$B$17)*Eingaben!$B$16,0)</f>
        <v>1.938</v>
      </c>
      <c r="F4568" s="13" t="n">
        <f aca="false">IFERROR(E4568*Eingaben!$B$15,0)</f>
        <v>1.7442</v>
      </c>
      <c r="G4568" s="13" t="n">
        <f aca="false">IFERROR(IF(Kalender!A176="",0,J4567*(1-Eingaben!$B$20)),0)</f>
        <v>1.561363244</v>
      </c>
      <c r="H4568" s="13" t="n">
        <f aca="false">MIN(G4568,D4568)</f>
        <v>0.89</v>
      </c>
      <c r="I4568" s="13" t="n">
        <f aca="false">IFERROR(MIN(F4568*Eingaben!$B$19,MAX(0,D4568-H4568)),0)</f>
        <v>0</v>
      </c>
      <c r="J4568" s="13" t="n">
        <f aca="false">IFERROR(MIN(Eingaben!$B$18,MAX(0,F4568-I4568)),0)</f>
        <v>1.7442</v>
      </c>
      <c r="K4568" s="13" t="n">
        <f aca="false">H4568+I4568</f>
        <v>0.89</v>
      </c>
      <c r="L4568" s="13" t="n">
        <f aca="false">MAX(0,D4568-K4568)</f>
        <v>0</v>
      </c>
      <c r="M4568" s="13" t="n">
        <f aca="false">MAX(0,F4568-I4568-J4568)</f>
        <v>0</v>
      </c>
      <c r="N4568" s="13" t="n">
        <f aca="false">IF(Kalender!A176="",0,J4567-H4568)</f>
        <v>0.7032278</v>
      </c>
    </row>
    <row r="4569" customFormat="false" ht="16.4" hidden="false" customHeight="false" outlineLevel="0" collapsed="false">
      <c r="A4569" s="13" t="str">
        <f aca="false">""</f>
        <v/>
      </c>
      <c r="B4569" s="13" t="n">
        <f aca="false">173</f>
        <v>173</v>
      </c>
      <c r="C4569" s="13" t="n">
        <f aca="false">IF(Szenarien!$H$23="OK",(IFERROR(SUMIF(Nutzungsprofile!$B$6:$B$11,"Schulbetrieb",Nutzungsprofile!$G$6:$G$11)*Kalender!C177/SUM(Kalender!$C$5:$C$370),0)+IFERROR(SUMIF(Nutzungsprofile!$B$6:$B$11,"Halle",Nutzungsprofile!$G$6:$G$11)*Kalender!D177/SUM(Kalender!$D$5:$D$370),0)+IFERROR(SUMIF(Nutzungsprofile!$B$6:$B$11,"Individuell",Nutzungsprofile!$G$6:$G$11)*Kalender!E177/SUM(Kalender!$E$5:$E$370),0))*Szenarien!$E$23,0)</f>
        <v>2.94</v>
      </c>
      <c r="D4569" s="13" t="n">
        <f aca="false">IF(Szenarien!$H$23="OK",(IFERROR(SUMIF(Nutzungsprofile!$B$17:$B$22,"Schulbetrieb",Nutzungsprofile!$G$17:$G$22)*Kalender!C177/SUM(Kalender!$C$5:$C$370),0)+IFERROR(SUMIF(Nutzungsprofile!$B$17:$B$22,"Halle",Nutzungsprofile!$G$17:$G$22)*Kalender!D177/SUM(Kalender!$D$5:$D$370),0)+IFERROR(SUMIF(Nutzungsprofile!$B$17:$B$22,"Individuell",Nutzungsprofile!$G$17:$G$22)*Kalender!E177/SUM(Kalender!$E$5:$E$370),0))*Szenarien!$D$23,0)</f>
        <v>4.94</v>
      </c>
      <c r="E4569" s="13" t="n">
        <f aca="false">IFERROR(MIN(C4569,Eingaben!$B$17)*Eingaben!$B$16,0)</f>
        <v>2.793</v>
      </c>
      <c r="F4569" s="13" t="n">
        <f aca="false">IFERROR(E4569*Eingaben!$B$15,0)</f>
        <v>2.5137</v>
      </c>
      <c r="G4569" s="13" t="n">
        <f aca="false">IFERROR(IF(Kalender!A177="",0,J4568*(1-Eingaben!$B$20)),0)</f>
        <v>1.709316</v>
      </c>
      <c r="H4569" s="13" t="n">
        <f aca="false">MIN(G4569,D4569)</f>
        <v>1.709316</v>
      </c>
      <c r="I4569" s="13" t="n">
        <f aca="false">IFERROR(MIN(F4569*Eingaben!$B$19,MAX(0,D4569-H4569)),0)</f>
        <v>1.75959</v>
      </c>
      <c r="J4569" s="13" t="n">
        <f aca="false">IFERROR(MIN(Eingaben!$B$18,MAX(0,F4569-I4569)),0)</f>
        <v>0.75411</v>
      </c>
      <c r="K4569" s="13" t="n">
        <f aca="false">H4569+I4569</f>
        <v>3.468906</v>
      </c>
      <c r="L4569" s="13" t="n">
        <f aca="false">MAX(0,D4569-K4569)</f>
        <v>1.471094</v>
      </c>
      <c r="M4569" s="13" t="n">
        <f aca="false">MAX(0,F4569-I4569-J4569)</f>
        <v>0</v>
      </c>
      <c r="N4569" s="13" t="n">
        <f aca="false">IF(Kalender!A177="",0,J4568-H4569)</f>
        <v>0.0348840000000001</v>
      </c>
    </row>
    <row r="4570" customFormat="false" ht="16.4" hidden="false" customHeight="false" outlineLevel="0" collapsed="false">
      <c r="A4570" s="13" t="str">
        <f aca="false">""</f>
        <v/>
      </c>
      <c r="B4570" s="13" t="n">
        <f aca="false">174</f>
        <v>174</v>
      </c>
      <c r="C4570" s="13" t="n">
        <f aca="false">IF(Szenarien!$H$23="OK",(IFERROR(SUMIF(Nutzungsprofile!$B$6:$B$11,"Schulbetrieb",Nutzungsprofile!$G$6:$G$11)*Kalender!C178/SUM(Kalender!$C$5:$C$370),0)+IFERROR(SUMIF(Nutzungsprofile!$B$6:$B$11,"Halle",Nutzungsprofile!$G$6:$G$11)*Kalender!D178/SUM(Kalender!$D$5:$D$370),0)+IFERROR(SUMIF(Nutzungsprofile!$B$6:$B$11,"Individuell",Nutzungsprofile!$G$6:$G$11)*Kalender!E178/SUM(Kalender!$E$5:$E$370),0))*Szenarien!$E$23,0)</f>
        <v>2.94</v>
      </c>
      <c r="D4570" s="13" t="n">
        <f aca="false">IF(Szenarien!$H$23="OK",(IFERROR(SUMIF(Nutzungsprofile!$B$17:$B$22,"Schulbetrieb",Nutzungsprofile!$G$17:$G$22)*Kalender!C178/SUM(Kalender!$C$5:$C$370),0)+IFERROR(SUMIF(Nutzungsprofile!$B$17:$B$22,"Halle",Nutzungsprofile!$G$17:$G$22)*Kalender!D178/SUM(Kalender!$D$5:$D$370),0)+IFERROR(SUMIF(Nutzungsprofile!$B$17:$B$22,"Individuell",Nutzungsprofile!$G$17:$G$22)*Kalender!E178/SUM(Kalender!$E$5:$E$370),0))*Szenarien!$D$23,0)</f>
        <v>4.94</v>
      </c>
      <c r="E4570" s="13" t="n">
        <f aca="false">IFERROR(MIN(C4570,Eingaben!$B$17)*Eingaben!$B$16,0)</f>
        <v>2.793</v>
      </c>
      <c r="F4570" s="13" t="n">
        <f aca="false">IFERROR(E4570*Eingaben!$B$15,0)</f>
        <v>2.5137</v>
      </c>
      <c r="G4570" s="13" t="n">
        <f aca="false">IFERROR(IF(Kalender!A178="",0,J4569*(1-Eingaben!$B$20)),0)</f>
        <v>0.7390278</v>
      </c>
      <c r="H4570" s="13" t="n">
        <f aca="false">MIN(G4570,D4570)</f>
        <v>0.7390278</v>
      </c>
      <c r="I4570" s="13" t="n">
        <f aca="false">IFERROR(MIN(F4570*Eingaben!$B$19,MAX(0,D4570-H4570)),0)</f>
        <v>1.75959</v>
      </c>
      <c r="J4570" s="13" t="n">
        <f aca="false">IFERROR(MIN(Eingaben!$B$18,MAX(0,F4570-I4570)),0)</f>
        <v>0.75411</v>
      </c>
      <c r="K4570" s="13" t="n">
        <f aca="false">H4570+I4570</f>
        <v>2.4986178</v>
      </c>
      <c r="L4570" s="13" t="n">
        <f aca="false">MAX(0,D4570-K4570)</f>
        <v>2.4413822</v>
      </c>
      <c r="M4570" s="13" t="n">
        <f aca="false">MAX(0,F4570-I4570-J4570)</f>
        <v>0</v>
      </c>
      <c r="N4570" s="13" t="n">
        <f aca="false">IF(Kalender!A178="",0,J4569-H4570)</f>
        <v>0.0150822</v>
      </c>
    </row>
    <row r="4571" customFormat="false" ht="16.4" hidden="false" customHeight="false" outlineLevel="0" collapsed="false">
      <c r="A4571" s="13" t="str">
        <f aca="false">""</f>
        <v/>
      </c>
      <c r="B4571" s="13" t="n">
        <f aca="false">175</f>
        <v>175</v>
      </c>
      <c r="C4571" s="13" t="n">
        <f aca="false">IF(Szenarien!$H$23="OK",(IFERROR(SUMIF(Nutzungsprofile!$B$6:$B$11,"Schulbetrieb",Nutzungsprofile!$G$6:$G$11)*Kalender!C179/SUM(Kalender!$C$5:$C$370),0)+IFERROR(SUMIF(Nutzungsprofile!$B$6:$B$11,"Halle",Nutzungsprofile!$G$6:$G$11)*Kalender!D179/SUM(Kalender!$D$5:$D$370),0)+IFERROR(SUMIF(Nutzungsprofile!$B$6:$B$11,"Individuell",Nutzungsprofile!$G$6:$G$11)*Kalender!E179/SUM(Kalender!$E$5:$E$370),0))*Szenarien!$E$23,0)</f>
        <v>2.94</v>
      </c>
      <c r="D4571" s="13" t="n">
        <f aca="false">IF(Szenarien!$H$23="OK",(IFERROR(SUMIF(Nutzungsprofile!$B$17:$B$22,"Schulbetrieb",Nutzungsprofile!$G$17:$G$22)*Kalender!C179/SUM(Kalender!$C$5:$C$370),0)+IFERROR(SUMIF(Nutzungsprofile!$B$17:$B$22,"Halle",Nutzungsprofile!$G$17:$G$22)*Kalender!D179/SUM(Kalender!$D$5:$D$370),0)+IFERROR(SUMIF(Nutzungsprofile!$B$17:$B$22,"Individuell",Nutzungsprofile!$G$17:$G$22)*Kalender!E179/SUM(Kalender!$E$5:$E$370),0))*Szenarien!$D$23,0)</f>
        <v>4.94</v>
      </c>
      <c r="E4571" s="13" t="n">
        <f aca="false">IFERROR(MIN(C4571,Eingaben!$B$17)*Eingaben!$B$16,0)</f>
        <v>2.793</v>
      </c>
      <c r="F4571" s="13" t="n">
        <f aca="false">IFERROR(E4571*Eingaben!$B$15,0)</f>
        <v>2.5137</v>
      </c>
      <c r="G4571" s="13" t="n">
        <f aca="false">IFERROR(IF(Kalender!A179="",0,J4570*(1-Eingaben!$B$20)),0)</f>
        <v>0.7390278</v>
      </c>
      <c r="H4571" s="13" t="n">
        <f aca="false">MIN(G4571,D4571)</f>
        <v>0.7390278</v>
      </c>
      <c r="I4571" s="13" t="n">
        <f aca="false">IFERROR(MIN(F4571*Eingaben!$B$19,MAX(0,D4571-H4571)),0)</f>
        <v>1.75959</v>
      </c>
      <c r="J4571" s="13" t="n">
        <f aca="false">IFERROR(MIN(Eingaben!$B$18,MAX(0,F4571-I4571)),0)</f>
        <v>0.75411</v>
      </c>
      <c r="K4571" s="13" t="n">
        <f aca="false">H4571+I4571</f>
        <v>2.4986178</v>
      </c>
      <c r="L4571" s="13" t="n">
        <f aca="false">MAX(0,D4571-K4571)</f>
        <v>2.4413822</v>
      </c>
      <c r="M4571" s="13" t="n">
        <f aca="false">MAX(0,F4571-I4571-J4571)</f>
        <v>0</v>
      </c>
      <c r="N4571" s="13" t="n">
        <f aca="false">IF(Kalender!A179="",0,J4570-H4571)</f>
        <v>0.0150822</v>
      </c>
    </row>
    <row r="4572" customFormat="false" ht="16.4" hidden="false" customHeight="false" outlineLevel="0" collapsed="false">
      <c r="A4572" s="13" t="str">
        <f aca="false">""</f>
        <v/>
      </c>
      <c r="B4572" s="13" t="n">
        <f aca="false">176</f>
        <v>176</v>
      </c>
      <c r="C4572" s="13" t="n">
        <f aca="false">IF(Szenarien!$H$23="OK",(IFERROR(SUMIF(Nutzungsprofile!$B$6:$B$11,"Schulbetrieb",Nutzungsprofile!$G$6:$G$11)*Kalender!C180/SUM(Kalender!$C$5:$C$370),0)+IFERROR(SUMIF(Nutzungsprofile!$B$6:$B$11,"Halle",Nutzungsprofile!$G$6:$G$11)*Kalender!D180/SUM(Kalender!$D$5:$D$370),0)+IFERROR(SUMIF(Nutzungsprofile!$B$6:$B$11,"Individuell",Nutzungsprofile!$G$6:$G$11)*Kalender!E180/SUM(Kalender!$E$5:$E$370),0))*Szenarien!$E$23,0)</f>
        <v>2.94</v>
      </c>
      <c r="D4572" s="13" t="n">
        <f aca="false">IF(Szenarien!$H$23="OK",(IFERROR(SUMIF(Nutzungsprofile!$B$17:$B$22,"Schulbetrieb",Nutzungsprofile!$G$17:$G$22)*Kalender!C180/SUM(Kalender!$C$5:$C$370),0)+IFERROR(SUMIF(Nutzungsprofile!$B$17:$B$22,"Halle",Nutzungsprofile!$G$17:$G$22)*Kalender!D180/SUM(Kalender!$D$5:$D$370),0)+IFERROR(SUMIF(Nutzungsprofile!$B$17:$B$22,"Individuell",Nutzungsprofile!$G$17:$G$22)*Kalender!E180/SUM(Kalender!$E$5:$E$370),0))*Szenarien!$D$23,0)</f>
        <v>4.94</v>
      </c>
      <c r="E4572" s="13" t="n">
        <f aca="false">IFERROR(MIN(C4572,Eingaben!$B$17)*Eingaben!$B$16,0)</f>
        <v>2.793</v>
      </c>
      <c r="F4572" s="13" t="n">
        <f aca="false">IFERROR(E4572*Eingaben!$B$15,0)</f>
        <v>2.5137</v>
      </c>
      <c r="G4572" s="13" t="n">
        <f aca="false">IFERROR(IF(Kalender!A180="",0,J4571*(1-Eingaben!$B$20)),0)</f>
        <v>0.7390278</v>
      </c>
      <c r="H4572" s="13" t="n">
        <f aca="false">MIN(G4572,D4572)</f>
        <v>0.7390278</v>
      </c>
      <c r="I4572" s="13" t="n">
        <f aca="false">IFERROR(MIN(F4572*Eingaben!$B$19,MAX(0,D4572-H4572)),0)</f>
        <v>1.75959</v>
      </c>
      <c r="J4572" s="13" t="n">
        <f aca="false">IFERROR(MIN(Eingaben!$B$18,MAX(0,F4572-I4572)),0)</f>
        <v>0.75411</v>
      </c>
      <c r="K4572" s="13" t="n">
        <f aca="false">H4572+I4572</f>
        <v>2.4986178</v>
      </c>
      <c r="L4572" s="13" t="n">
        <f aca="false">MAX(0,D4572-K4572)</f>
        <v>2.4413822</v>
      </c>
      <c r="M4572" s="13" t="n">
        <f aca="false">MAX(0,F4572-I4572-J4572)</f>
        <v>0</v>
      </c>
      <c r="N4572" s="13" t="n">
        <f aca="false">IF(Kalender!A180="",0,J4571-H4572)</f>
        <v>0.0150822</v>
      </c>
    </row>
    <row r="4573" customFormat="false" ht="16.4" hidden="false" customHeight="false" outlineLevel="0" collapsed="false">
      <c r="A4573" s="13" t="str">
        <f aca="false">""</f>
        <v/>
      </c>
      <c r="B4573" s="13" t="n">
        <f aca="false">177</f>
        <v>177</v>
      </c>
      <c r="C4573" s="13" t="n">
        <f aca="false">IF(Szenarien!$H$23="OK",(IFERROR(SUMIF(Nutzungsprofile!$B$6:$B$11,"Schulbetrieb",Nutzungsprofile!$G$6:$G$11)*Kalender!C181/SUM(Kalender!$C$5:$C$370),0)+IFERROR(SUMIF(Nutzungsprofile!$B$6:$B$11,"Halle",Nutzungsprofile!$G$6:$G$11)*Kalender!D181/SUM(Kalender!$D$5:$D$370),0)+IFERROR(SUMIF(Nutzungsprofile!$B$6:$B$11,"Individuell",Nutzungsprofile!$G$6:$G$11)*Kalender!E181/SUM(Kalender!$E$5:$E$370),0))*Szenarien!$E$23,0)</f>
        <v>2.94</v>
      </c>
      <c r="D4573" s="13" t="n">
        <f aca="false">IF(Szenarien!$H$23="OK",(IFERROR(SUMIF(Nutzungsprofile!$B$17:$B$22,"Schulbetrieb",Nutzungsprofile!$G$17:$G$22)*Kalender!C181/SUM(Kalender!$C$5:$C$370),0)+IFERROR(SUMIF(Nutzungsprofile!$B$17:$B$22,"Halle",Nutzungsprofile!$G$17:$G$22)*Kalender!D181/SUM(Kalender!$D$5:$D$370),0)+IFERROR(SUMIF(Nutzungsprofile!$B$17:$B$22,"Individuell",Nutzungsprofile!$G$17:$G$22)*Kalender!E181/SUM(Kalender!$E$5:$E$370),0))*Szenarien!$D$23,0)</f>
        <v>4.94</v>
      </c>
      <c r="E4573" s="13" t="n">
        <f aca="false">IFERROR(MIN(C4573,Eingaben!$B$17)*Eingaben!$B$16,0)</f>
        <v>2.793</v>
      </c>
      <c r="F4573" s="13" t="n">
        <f aca="false">IFERROR(E4573*Eingaben!$B$15,0)</f>
        <v>2.5137</v>
      </c>
      <c r="G4573" s="13" t="n">
        <f aca="false">IFERROR(IF(Kalender!A181="",0,J4572*(1-Eingaben!$B$20)),0)</f>
        <v>0.7390278</v>
      </c>
      <c r="H4573" s="13" t="n">
        <f aca="false">MIN(G4573,D4573)</f>
        <v>0.7390278</v>
      </c>
      <c r="I4573" s="13" t="n">
        <f aca="false">IFERROR(MIN(F4573*Eingaben!$B$19,MAX(0,D4573-H4573)),0)</f>
        <v>1.75959</v>
      </c>
      <c r="J4573" s="13" t="n">
        <f aca="false">IFERROR(MIN(Eingaben!$B$18,MAX(0,F4573-I4573)),0)</f>
        <v>0.75411</v>
      </c>
      <c r="K4573" s="13" t="n">
        <f aca="false">H4573+I4573</f>
        <v>2.4986178</v>
      </c>
      <c r="L4573" s="13" t="n">
        <f aca="false">MAX(0,D4573-K4573)</f>
        <v>2.4413822</v>
      </c>
      <c r="M4573" s="13" t="n">
        <f aca="false">MAX(0,F4573-I4573-J4573)</f>
        <v>0</v>
      </c>
      <c r="N4573" s="13" t="n">
        <f aca="false">IF(Kalender!A181="",0,J4572-H4573)</f>
        <v>0.0150822</v>
      </c>
    </row>
    <row r="4574" customFormat="false" ht="16.4" hidden="false" customHeight="false" outlineLevel="0" collapsed="false">
      <c r="A4574" s="13" t="str">
        <f aca="false">""</f>
        <v/>
      </c>
      <c r="B4574" s="13" t="n">
        <f aca="false">178</f>
        <v>178</v>
      </c>
      <c r="C4574" s="13" t="n">
        <f aca="false">IF(Szenarien!$H$23="OK",(IFERROR(SUMIF(Nutzungsprofile!$B$6:$B$11,"Schulbetrieb",Nutzungsprofile!$G$6:$G$11)*Kalender!C182/SUM(Kalender!$C$5:$C$370),0)+IFERROR(SUMIF(Nutzungsprofile!$B$6:$B$11,"Halle",Nutzungsprofile!$G$6:$G$11)*Kalender!D182/SUM(Kalender!$D$5:$D$370),0)+IFERROR(SUMIF(Nutzungsprofile!$B$6:$B$11,"Individuell",Nutzungsprofile!$G$6:$G$11)*Kalender!E182/SUM(Kalender!$E$5:$E$370),0))*Szenarien!$E$23,0)</f>
        <v>2.04</v>
      </c>
      <c r="D4574" s="13" t="n">
        <f aca="false">IF(Szenarien!$H$23="OK",(IFERROR(SUMIF(Nutzungsprofile!$B$17:$B$22,"Schulbetrieb",Nutzungsprofile!$G$17:$G$22)*Kalender!C182/SUM(Kalender!$C$5:$C$370),0)+IFERROR(SUMIF(Nutzungsprofile!$B$17:$B$22,"Halle",Nutzungsprofile!$G$17:$G$22)*Kalender!D182/SUM(Kalender!$D$5:$D$370),0)+IFERROR(SUMIF(Nutzungsprofile!$B$17:$B$22,"Individuell",Nutzungsprofile!$G$17:$G$22)*Kalender!E182/SUM(Kalender!$E$5:$E$370),0))*Szenarien!$D$23,0)</f>
        <v>0.89</v>
      </c>
      <c r="E4574" s="13" t="n">
        <f aca="false">IFERROR(MIN(C4574,Eingaben!$B$17)*Eingaben!$B$16,0)</f>
        <v>1.938</v>
      </c>
      <c r="F4574" s="13" t="n">
        <f aca="false">IFERROR(E4574*Eingaben!$B$15,0)</f>
        <v>1.7442</v>
      </c>
      <c r="G4574" s="13" t="n">
        <f aca="false">IFERROR(IF(Kalender!A182="",0,J4573*(1-Eingaben!$B$20)),0)</f>
        <v>0.7390278</v>
      </c>
      <c r="H4574" s="13" t="n">
        <f aca="false">MIN(G4574,D4574)</f>
        <v>0.7390278</v>
      </c>
      <c r="I4574" s="13" t="n">
        <f aca="false">IFERROR(MIN(F4574*Eingaben!$B$19,MAX(0,D4574-H4574)),0)</f>
        <v>0.1509722</v>
      </c>
      <c r="J4574" s="13" t="n">
        <f aca="false">IFERROR(MIN(Eingaben!$B$18,MAX(0,F4574-I4574)),0)</f>
        <v>1.5932278</v>
      </c>
      <c r="K4574" s="13" t="n">
        <f aca="false">H4574+I4574</f>
        <v>0.89</v>
      </c>
      <c r="L4574" s="13" t="n">
        <f aca="false">MAX(0,D4574-K4574)</f>
        <v>0</v>
      </c>
      <c r="M4574" s="13" t="n">
        <f aca="false">MAX(0,F4574-I4574-J4574)</f>
        <v>0</v>
      </c>
      <c r="N4574" s="13" t="n">
        <f aca="false">IF(Kalender!A182="",0,J4573-H4574)</f>
        <v>0.0150822</v>
      </c>
    </row>
    <row r="4575" customFormat="false" ht="16.4" hidden="false" customHeight="false" outlineLevel="0" collapsed="false">
      <c r="A4575" s="13" t="str">
        <f aca="false">""</f>
        <v/>
      </c>
      <c r="B4575" s="13" t="n">
        <f aca="false">179</f>
        <v>179</v>
      </c>
      <c r="C4575" s="13" t="n">
        <f aca="false">IF(Szenarien!$H$23="OK",(IFERROR(SUMIF(Nutzungsprofile!$B$6:$B$11,"Schulbetrieb",Nutzungsprofile!$G$6:$G$11)*Kalender!C183/SUM(Kalender!$C$5:$C$370),0)+IFERROR(SUMIF(Nutzungsprofile!$B$6:$B$11,"Halle",Nutzungsprofile!$G$6:$G$11)*Kalender!D183/SUM(Kalender!$D$5:$D$370),0)+IFERROR(SUMIF(Nutzungsprofile!$B$6:$B$11,"Individuell",Nutzungsprofile!$G$6:$G$11)*Kalender!E183/SUM(Kalender!$E$5:$E$370),0))*Szenarien!$E$23,0)</f>
        <v>2.04</v>
      </c>
      <c r="D4575" s="13" t="n">
        <f aca="false">IF(Szenarien!$H$23="OK",(IFERROR(SUMIF(Nutzungsprofile!$B$17:$B$22,"Schulbetrieb",Nutzungsprofile!$G$17:$G$22)*Kalender!C183/SUM(Kalender!$C$5:$C$370),0)+IFERROR(SUMIF(Nutzungsprofile!$B$17:$B$22,"Halle",Nutzungsprofile!$G$17:$G$22)*Kalender!D183/SUM(Kalender!$D$5:$D$370),0)+IFERROR(SUMIF(Nutzungsprofile!$B$17:$B$22,"Individuell",Nutzungsprofile!$G$17:$G$22)*Kalender!E183/SUM(Kalender!$E$5:$E$370),0))*Szenarien!$D$23,0)</f>
        <v>0.89</v>
      </c>
      <c r="E4575" s="13" t="n">
        <f aca="false">IFERROR(MIN(C4575,Eingaben!$B$17)*Eingaben!$B$16,0)</f>
        <v>1.938</v>
      </c>
      <c r="F4575" s="13" t="n">
        <f aca="false">IFERROR(E4575*Eingaben!$B$15,0)</f>
        <v>1.7442</v>
      </c>
      <c r="G4575" s="13" t="n">
        <f aca="false">IFERROR(IF(Kalender!A183="",0,J4574*(1-Eingaben!$B$20)),0)</f>
        <v>1.561363244</v>
      </c>
      <c r="H4575" s="13" t="n">
        <f aca="false">MIN(G4575,D4575)</f>
        <v>0.89</v>
      </c>
      <c r="I4575" s="13" t="n">
        <f aca="false">IFERROR(MIN(F4575*Eingaben!$B$19,MAX(0,D4575-H4575)),0)</f>
        <v>0</v>
      </c>
      <c r="J4575" s="13" t="n">
        <f aca="false">IFERROR(MIN(Eingaben!$B$18,MAX(0,F4575-I4575)),0)</f>
        <v>1.7442</v>
      </c>
      <c r="K4575" s="13" t="n">
        <f aca="false">H4575+I4575</f>
        <v>0.89</v>
      </c>
      <c r="L4575" s="13" t="n">
        <f aca="false">MAX(0,D4575-K4575)</f>
        <v>0</v>
      </c>
      <c r="M4575" s="13" t="n">
        <f aca="false">MAX(0,F4575-I4575-J4575)</f>
        <v>0</v>
      </c>
      <c r="N4575" s="13" t="n">
        <f aca="false">IF(Kalender!A183="",0,J4574-H4575)</f>
        <v>0.7032278</v>
      </c>
    </row>
    <row r="4576" customFormat="false" ht="16.4" hidden="false" customHeight="false" outlineLevel="0" collapsed="false">
      <c r="A4576" s="13" t="str">
        <f aca="false">""</f>
        <v/>
      </c>
      <c r="B4576" s="13" t="n">
        <f aca="false">180</f>
        <v>180</v>
      </c>
      <c r="C4576" s="13" t="n">
        <f aca="false">IF(Szenarien!$H$23="OK",(IFERROR(SUMIF(Nutzungsprofile!$B$6:$B$11,"Schulbetrieb",Nutzungsprofile!$G$6:$G$11)*Kalender!C184/SUM(Kalender!$C$5:$C$370),0)+IFERROR(SUMIF(Nutzungsprofile!$B$6:$B$11,"Halle",Nutzungsprofile!$G$6:$G$11)*Kalender!D184/SUM(Kalender!$D$5:$D$370),0)+IFERROR(SUMIF(Nutzungsprofile!$B$6:$B$11,"Individuell",Nutzungsprofile!$G$6:$G$11)*Kalender!E184/SUM(Kalender!$E$5:$E$370),0))*Szenarien!$E$23,0)</f>
        <v>2.94</v>
      </c>
      <c r="D4576" s="13" t="n">
        <f aca="false">IF(Szenarien!$H$23="OK",(IFERROR(SUMIF(Nutzungsprofile!$B$17:$B$22,"Schulbetrieb",Nutzungsprofile!$G$17:$G$22)*Kalender!C184/SUM(Kalender!$C$5:$C$370),0)+IFERROR(SUMIF(Nutzungsprofile!$B$17:$B$22,"Halle",Nutzungsprofile!$G$17:$G$22)*Kalender!D184/SUM(Kalender!$D$5:$D$370),0)+IFERROR(SUMIF(Nutzungsprofile!$B$17:$B$22,"Individuell",Nutzungsprofile!$G$17:$G$22)*Kalender!E184/SUM(Kalender!$E$5:$E$370),0))*Szenarien!$D$23,0)</f>
        <v>4.94</v>
      </c>
      <c r="E4576" s="13" t="n">
        <f aca="false">IFERROR(MIN(C4576,Eingaben!$B$17)*Eingaben!$B$16,0)</f>
        <v>2.793</v>
      </c>
      <c r="F4576" s="13" t="n">
        <f aca="false">IFERROR(E4576*Eingaben!$B$15,0)</f>
        <v>2.5137</v>
      </c>
      <c r="G4576" s="13" t="n">
        <f aca="false">IFERROR(IF(Kalender!A184="",0,J4575*(1-Eingaben!$B$20)),0)</f>
        <v>1.709316</v>
      </c>
      <c r="H4576" s="13" t="n">
        <f aca="false">MIN(G4576,D4576)</f>
        <v>1.709316</v>
      </c>
      <c r="I4576" s="13" t="n">
        <f aca="false">IFERROR(MIN(F4576*Eingaben!$B$19,MAX(0,D4576-H4576)),0)</f>
        <v>1.75959</v>
      </c>
      <c r="J4576" s="13" t="n">
        <f aca="false">IFERROR(MIN(Eingaben!$B$18,MAX(0,F4576-I4576)),0)</f>
        <v>0.75411</v>
      </c>
      <c r="K4576" s="13" t="n">
        <f aca="false">H4576+I4576</f>
        <v>3.468906</v>
      </c>
      <c r="L4576" s="13" t="n">
        <f aca="false">MAX(0,D4576-K4576)</f>
        <v>1.471094</v>
      </c>
      <c r="M4576" s="13" t="n">
        <f aca="false">MAX(0,F4576-I4576-J4576)</f>
        <v>0</v>
      </c>
      <c r="N4576" s="13" t="n">
        <f aca="false">IF(Kalender!A184="",0,J4575-H4576)</f>
        <v>0.0348840000000001</v>
      </c>
    </row>
    <row r="4577" customFormat="false" ht="16.4" hidden="false" customHeight="false" outlineLevel="0" collapsed="false">
      <c r="A4577" s="13" t="str">
        <f aca="false">""</f>
        <v/>
      </c>
      <c r="B4577" s="13" t="n">
        <f aca="false">181</f>
        <v>181</v>
      </c>
      <c r="C4577" s="13" t="n">
        <f aca="false">IF(Szenarien!$H$23="OK",(IFERROR(SUMIF(Nutzungsprofile!$B$6:$B$11,"Schulbetrieb",Nutzungsprofile!$G$6:$G$11)*Kalender!C185/SUM(Kalender!$C$5:$C$370),0)+IFERROR(SUMIF(Nutzungsprofile!$B$6:$B$11,"Halle",Nutzungsprofile!$G$6:$G$11)*Kalender!D185/SUM(Kalender!$D$5:$D$370),0)+IFERROR(SUMIF(Nutzungsprofile!$B$6:$B$11,"Individuell",Nutzungsprofile!$G$6:$G$11)*Kalender!E185/SUM(Kalender!$E$5:$E$370),0))*Szenarien!$E$23,0)</f>
        <v>2.94</v>
      </c>
      <c r="D4577" s="13" t="n">
        <f aca="false">IF(Szenarien!$H$23="OK",(IFERROR(SUMIF(Nutzungsprofile!$B$17:$B$22,"Schulbetrieb",Nutzungsprofile!$G$17:$G$22)*Kalender!C185/SUM(Kalender!$C$5:$C$370),0)+IFERROR(SUMIF(Nutzungsprofile!$B$17:$B$22,"Halle",Nutzungsprofile!$G$17:$G$22)*Kalender!D185/SUM(Kalender!$D$5:$D$370),0)+IFERROR(SUMIF(Nutzungsprofile!$B$17:$B$22,"Individuell",Nutzungsprofile!$G$17:$G$22)*Kalender!E185/SUM(Kalender!$E$5:$E$370),0))*Szenarien!$D$23,0)</f>
        <v>4.94</v>
      </c>
      <c r="E4577" s="13" t="n">
        <f aca="false">IFERROR(MIN(C4577,Eingaben!$B$17)*Eingaben!$B$16,0)</f>
        <v>2.793</v>
      </c>
      <c r="F4577" s="13" t="n">
        <f aca="false">IFERROR(E4577*Eingaben!$B$15,0)</f>
        <v>2.5137</v>
      </c>
      <c r="G4577" s="13" t="n">
        <f aca="false">IFERROR(IF(Kalender!A185="",0,J4576*(1-Eingaben!$B$20)),0)</f>
        <v>0.7390278</v>
      </c>
      <c r="H4577" s="13" t="n">
        <f aca="false">MIN(G4577,D4577)</f>
        <v>0.7390278</v>
      </c>
      <c r="I4577" s="13" t="n">
        <f aca="false">IFERROR(MIN(F4577*Eingaben!$B$19,MAX(0,D4577-H4577)),0)</f>
        <v>1.75959</v>
      </c>
      <c r="J4577" s="13" t="n">
        <f aca="false">IFERROR(MIN(Eingaben!$B$18,MAX(0,F4577-I4577)),0)</f>
        <v>0.75411</v>
      </c>
      <c r="K4577" s="13" t="n">
        <f aca="false">H4577+I4577</f>
        <v>2.4986178</v>
      </c>
      <c r="L4577" s="13" t="n">
        <f aca="false">MAX(0,D4577-K4577)</f>
        <v>2.4413822</v>
      </c>
      <c r="M4577" s="13" t="n">
        <f aca="false">MAX(0,F4577-I4577-J4577)</f>
        <v>0</v>
      </c>
      <c r="N4577" s="13" t="n">
        <f aca="false">IF(Kalender!A185="",0,J4576-H4577)</f>
        <v>0.0150822</v>
      </c>
    </row>
    <row r="4578" customFormat="false" ht="16.4" hidden="false" customHeight="false" outlineLevel="0" collapsed="false">
      <c r="A4578" s="13" t="str">
        <f aca="false">""</f>
        <v/>
      </c>
      <c r="B4578" s="13" t="n">
        <f aca="false">182</f>
        <v>182</v>
      </c>
      <c r="C4578" s="13" t="n">
        <f aca="false">IF(Szenarien!$H$23="OK",(IFERROR(SUMIF(Nutzungsprofile!$B$6:$B$11,"Schulbetrieb",Nutzungsprofile!$G$6:$G$11)*Kalender!C186/SUM(Kalender!$C$5:$C$370),0)+IFERROR(SUMIF(Nutzungsprofile!$B$6:$B$11,"Halle",Nutzungsprofile!$G$6:$G$11)*Kalender!D186/SUM(Kalender!$D$5:$D$370),0)+IFERROR(SUMIF(Nutzungsprofile!$B$6:$B$11,"Individuell",Nutzungsprofile!$G$6:$G$11)*Kalender!E186/SUM(Kalender!$E$5:$E$370),0))*Szenarien!$E$23,0)</f>
        <v>2.04</v>
      </c>
      <c r="D4578" s="13" t="n">
        <f aca="false">IF(Szenarien!$H$23="OK",(IFERROR(SUMIF(Nutzungsprofile!$B$17:$B$22,"Schulbetrieb",Nutzungsprofile!$G$17:$G$22)*Kalender!C186/SUM(Kalender!$C$5:$C$370),0)+IFERROR(SUMIF(Nutzungsprofile!$B$17:$B$22,"Halle",Nutzungsprofile!$G$17:$G$22)*Kalender!D186/SUM(Kalender!$D$5:$D$370),0)+IFERROR(SUMIF(Nutzungsprofile!$B$17:$B$22,"Individuell",Nutzungsprofile!$G$17:$G$22)*Kalender!E186/SUM(Kalender!$E$5:$E$370),0))*Szenarien!$D$23,0)</f>
        <v>0.89</v>
      </c>
      <c r="E4578" s="13" t="n">
        <f aca="false">IFERROR(MIN(C4578,Eingaben!$B$17)*Eingaben!$B$16,0)</f>
        <v>1.938</v>
      </c>
      <c r="F4578" s="13" t="n">
        <f aca="false">IFERROR(E4578*Eingaben!$B$15,0)</f>
        <v>1.7442</v>
      </c>
      <c r="G4578" s="13" t="n">
        <f aca="false">IFERROR(IF(Kalender!A186="",0,J4577*(1-Eingaben!$B$20)),0)</f>
        <v>0.7390278</v>
      </c>
      <c r="H4578" s="13" t="n">
        <f aca="false">MIN(G4578,D4578)</f>
        <v>0.7390278</v>
      </c>
      <c r="I4578" s="13" t="n">
        <f aca="false">IFERROR(MIN(F4578*Eingaben!$B$19,MAX(0,D4578-H4578)),0)</f>
        <v>0.1509722</v>
      </c>
      <c r="J4578" s="13" t="n">
        <f aca="false">IFERROR(MIN(Eingaben!$B$18,MAX(0,F4578-I4578)),0)</f>
        <v>1.5932278</v>
      </c>
      <c r="K4578" s="13" t="n">
        <f aca="false">H4578+I4578</f>
        <v>0.89</v>
      </c>
      <c r="L4578" s="13" t="n">
        <f aca="false">MAX(0,D4578-K4578)</f>
        <v>0</v>
      </c>
      <c r="M4578" s="13" t="n">
        <f aca="false">MAX(0,F4578-I4578-J4578)</f>
        <v>0</v>
      </c>
      <c r="N4578" s="13" t="n">
        <f aca="false">IF(Kalender!A186="",0,J4577-H4578)</f>
        <v>0.0150822</v>
      </c>
    </row>
    <row r="4579" customFormat="false" ht="16.4" hidden="false" customHeight="false" outlineLevel="0" collapsed="false">
      <c r="A4579" s="13" t="str">
        <f aca="false">""</f>
        <v/>
      </c>
      <c r="B4579" s="13" t="n">
        <f aca="false">183</f>
        <v>183</v>
      </c>
      <c r="C4579" s="13" t="n">
        <f aca="false">IF(Szenarien!$H$23="OK",(IFERROR(SUMIF(Nutzungsprofile!$B$6:$B$11,"Schulbetrieb",Nutzungsprofile!$G$6:$G$11)*Kalender!C187/SUM(Kalender!$C$5:$C$370),0)+IFERROR(SUMIF(Nutzungsprofile!$B$6:$B$11,"Halle",Nutzungsprofile!$G$6:$G$11)*Kalender!D187/SUM(Kalender!$D$5:$D$370),0)+IFERROR(SUMIF(Nutzungsprofile!$B$6:$B$11,"Individuell",Nutzungsprofile!$G$6:$G$11)*Kalender!E187/SUM(Kalender!$E$5:$E$370),0))*Szenarien!$E$23,0)</f>
        <v>2.04</v>
      </c>
      <c r="D4579" s="13" t="n">
        <f aca="false">IF(Szenarien!$H$23="OK",(IFERROR(SUMIF(Nutzungsprofile!$B$17:$B$22,"Schulbetrieb",Nutzungsprofile!$G$17:$G$22)*Kalender!C187/SUM(Kalender!$C$5:$C$370),0)+IFERROR(SUMIF(Nutzungsprofile!$B$17:$B$22,"Halle",Nutzungsprofile!$G$17:$G$22)*Kalender!D187/SUM(Kalender!$D$5:$D$370),0)+IFERROR(SUMIF(Nutzungsprofile!$B$17:$B$22,"Individuell",Nutzungsprofile!$G$17:$G$22)*Kalender!E187/SUM(Kalender!$E$5:$E$370),0))*Szenarien!$D$23,0)</f>
        <v>0.89</v>
      </c>
      <c r="E4579" s="13" t="n">
        <f aca="false">IFERROR(MIN(C4579,Eingaben!$B$17)*Eingaben!$B$16,0)</f>
        <v>1.938</v>
      </c>
      <c r="F4579" s="13" t="n">
        <f aca="false">IFERROR(E4579*Eingaben!$B$15,0)</f>
        <v>1.7442</v>
      </c>
      <c r="G4579" s="13" t="n">
        <f aca="false">IFERROR(IF(Kalender!A187="",0,J4578*(1-Eingaben!$B$20)),0)</f>
        <v>1.561363244</v>
      </c>
      <c r="H4579" s="13" t="n">
        <f aca="false">MIN(G4579,D4579)</f>
        <v>0.89</v>
      </c>
      <c r="I4579" s="13" t="n">
        <f aca="false">IFERROR(MIN(F4579*Eingaben!$B$19,MAX(0,D4579-H4579)),0)</f>
        <v>0</v>
      </c>
      <c r="J4579" s="13" t="n">
        <f aca="false">IFERROR(MIN(Eingaben!$B$18,MAX(0,F4579-I4579)),0)</f>
        <v>1.7442</v>
      </c>
      <c r="K4579" s="13" t="n">
        <f aca="false">H4579+I4579</f>
        <v>0.89</v>
      </c>
      <c r="L4579" s="13" t="n">
        <f aca="false">MAX(0,D4579-K4579)</f>
        <v>0</v>
      </c>
      <c r="M4579" s="13" t="n">
        <f aca="false">MAX(0,F4579-I4579-J4579)</f>
        <v>0</v>
      </c>
      <c r="N4579" s="13" t="n">
        <f aca="false">IF(Kalender!A187="",0,J4578-H4579)</f>
        <v>0.7032278</v>
      </c>
    </row>
    <row r="4580" customFormat="false" ht="16.4" hidden="false" customHeight="false" outlineLevel="0" collapsed="false">
      <c r="A4580" s="13" t="str">
        <f aca="false">""</f>
        <v/>
      </c>
      <c r="B4580" s="13" t="n">
        <f aca="false">184</f>
        <v>184</v>
      </c>
      <c r="C4580" s="13" t="n">
        <f aca="false">IF(Szenarien!$H$23="OK",(IFERROR(SUMIF(Nutzungsprofile!$B$6:$B$11,"Schulbetrieb",Nutzungsprofile!$G$6:$G$11)*Kalender!C188/SUM(Kalender!$C$5:$C$370),0)+IFERROR(SUMIF(Nutzungsprofile!$B$6:$B$11,"Halle",Nutzungsprofile!$G$6:$G$11)*Kalender!D188/SUM(Kalender!$D$5:$D$370),0)+IFERROR(SUMIF(Nutzungsprofile!$B$6:$B$11,"Individuell",Nutzungsprofile!$G$6:$G$11)*Kalender!E188/SUM(Kalender!$E$5:$E$370),0))*Szenarien!$E$23,0)</f>
        <v>2.04</v>
      </c>
      <c r="D4580" s="13" t="n">
        <f aca="false">IF(Szenarien!$H$23="OK",(IFERROR(SUMIF(Nutzungsprofile!$B$17:$B$22,"Schulbetrieb",Nutzungsprofile!$G$17:$G$22)*Kalender!C188/SUM(Kalender!$C$5:$C$370),0)+IFERROR(SUMIF(Nutzungsprofile!$B$17:$B$22,"Halle",Nutzungsprofile!$G$17:$G$22)*Kalender!D188/SUM(Kalender!$D$5:$D$370),0)+IFERROR(SUMIF(Nutzungsprofile!$B$17:$B$22,"Individuell",Nutzungsprofile!$G$17:$G$22)*Kalender!E188/SUM(Kalender!$E$5:$E$370),0))*Szenarien!$D$23,0)</f>
        <v>0.89</v>
      </c>
      <c r="E4580" s="13" t="n">
        <f aca="false">IFERROR(MIN(C4580,Eingaben!$B$17)*Eingaben!$B$16,0)</f>
        <v>1.938</v>
      </c>
      <c r="F4580" s="13" t="n">
        <f aca="false">IFERROR(E4580*Eingaben!$B$15,0)</f>
        <v>1.7442</v>
      </c>
      <c r="G4580" s="13" t="n">
        <f aca="false">IFERROR(IF(Kalender!A188="",0,J4579*(1-Eingaben!$B$20)),0)</f>
        <v>1.709316</v>
      </c>
      <c r="H4580" s="13" t="n">
        <f aca="false">MIN(G4580,D4580)</f>
        <v>0.89</v>
      </c>
      <c r="I4580" s="13" t="n">
        <f aca="false">IFERROR(MIN(F4580*Eingaben!$B$19,MAX(0,D4580-H4580)),0)</f>
        <v>0</v>
      </c>
      <c r="J4580" s="13" t="n">
        <f aca="false">IFERROR(MIN(Eingaben!$B$18,MAX(0,F4580-I4580)),0)</f>
        <v>1.7442</v>
      </c>
      <c r="K4580" s="13" t="n">
        <f aca="false">H4580+I4580</f>
        <v>0.89</v>
      </c>
      <c r="L4580" s="13" t="n">
        <f aca="false">MAX(0,D4580-K4580)</f>
        <v>0</v>
      </c>
      <c r="M4580" s="13" t="n">
        <f aca="false">MAX(0,F4580-I4580-J4580)</f>
        <v>0</v>
      </c>
      <c r="N4580" s="13" t="n">
        <f aca="false">IF(Kalender!A188="",0,J4579-H4580)</f>
        <v>0.8542</v>
      </c>
    </row>
    <row r="4581" customFormat="false" ht="16.4" hidden="false" customHeight="false" outlineLevel="0" collapsed="false">
      <c r="A4581" s="13" t="str">
        <f aca="false">""</f>
        <v/>
      </c>
      <c r="B4581" s="13" t="n">
        <f aca="false">185</f>
        <v>185</v>
      </c>
      <c r="C4581" s="13" t="n">
        <f aca="false">IF(Szenarien!$H$23="OK",(IFERROR(SUMIF(Nutzungsprofile!$B$6:$B$11,"Schulbetrieb",Nutzungsprofile!$G$6:$G$11)*Kalender!C189/SUM(Kalender!$C$5:$C$370),0)+IFERROR(SUMIF(Nutzungsprofile!$B$6:$B$11,"Halle",Nutzungsprofile!$G$6:$G$11)*Kalender!D189/SUM(Kalender!$D$5:$D$370),0)+IFERROR(SUMIF(Nutzungsprofile!$B$6:$B$11,"Individuell",Nutzungsprofile!$G$6:$G$11)*Kalender!E189/SUM(Kalender!$E$5:$E$370),0))*Szenarien!$E$23,0)</f>
        <v>2.04</v>
      </c>
      <c r="D4581" s="13" t="n">
        <f aca="false">IF(Szenarien!$H$23="OK",(IFERROR(SUMIF(Nutzungsprofile!$B$17:$B$22,"Schulbetrieb",Nutzungsprofile!$G$17:$G$22)*Kalender!C189/SUM(Kalender!$C$5:$C$370),0)+IFERROR(SUMIF(Nutzungsprofile!$B$17:$B$22,"Halle",Nutzungsprofile!$G$17:$G$22)*Kalender!D189/SUM(Kalender!$D$5:$D$370),0)+IFERROR(SUMIF(Nutzungsprofile!$B$17:$B$22,"Individuell",Nutzungsprofile!$G$17:$G$22)*Kalender!E189/SUM(Kalender!$E$5:$E$370),0))*Szenarien!$D$23,0)</f>
        <v>0.89</v>
      </c>
      <c r="E4581" s="13" t="n">
        <f aca="false">IFERROR(MIN(C4581,Eingaben!$B$17)*Eingaben!$B$16,0)</f>
        <v>1.938</v>
      </c>
      <c r="F4581" s="13" t="n">
        <f aca="false">IFERROR(E4581*Eingaben!$B$15,0)</f>
        <v>1.7442</v>
      </c>
      <c r="G4581" s="13" t="n">
        <f aca="false">IFERROR(IF(Kalender!A189="",0,J4580*(1-Eingaben!$B$20)),0)</f>
        <v>1.709316</v>
      </c>
      <c r="H4581" s="13" t="n">
        <f aca="false">MIN(G4581,D4581)</f>
        <v>0.89</v>
      </c>
      <c r="I4581" s="13" t="n">
        <f aca="false">IFERROR(MIN(F4581*Eingaben!$B$19,MAX(0,D4581-H4581)),0)</f>
        <v>0</v>
      </c>
      <c r="J4581" s="13" t="n">
        <f aca="false">IFERROR(MIN(Eingaben!$B$18,MAX(0,F4581-I4581)),0)</f>
        <v>1.7442</v>
      </c>
      <c r="K4581" s="13" t="n">
        <f aca="false">H4581+I4581</f>
        <v>0.89</v>
      </c>
      <c r="L4581" s="13" t="n">
        <f aca="false">MAX(0,D4581-K4581)</f>
        <v>0</v>
      </c>
      <c r="M4581" s="13" t="n">
        <f aca="false">MAX(0,F4581-I4581-J4581)</f>
        <v>0</v>
      </c>
      <c r="N4581" s="13" t="n">
        <f aca="false">IF(Kalender!A189="",0,J4580-H4581)</f>
        <v>0.8542</v>
      </c>
    </row>
    <row r="4582" customFormat="false" ht="16.4" hidden="false" customHeight="false" outlineLevel="0" collapsed="false">
      <c r="A4582" s="13" t="str">
        <f aca="false">""</f>
        <v/>
      </c>
      <c r="B4582" s="13" t="n">
        <f aca="false">186</f>
        <v>186</v>
      </c>
      <c r="C4582" s="13" t="n">
        <f aca="false">IF(Szenarien!$H$23="OK",(IFERROR(SUMIF(Nutzungsprofile!$B$6:$B$11,"Schulbetrieb",Nutzungsprofile!$G$6:$G$11)*Kalender!C190/SUM(Kalender!$C$5:$C$370),0)+IFERROR(SUMIF(Nutzungsprofile!$B$6:$B$11,"Halle",Nutzungsprofile!$G$6:$G$11)*Kalender!D190/SUM(Kalender!$D$5:$D$370),0)+IFERROR(SUMIF(Nutzungsprofile!$B$6:$B$11,"Individuell",Nutzungsprofile!$G$6:$G$11)*Kalender!E190/SUM(Kalender!$E$5:$E$370),0))*Szenarien!$E$23,0)</f>
        <v>2.04</v>
      </c>
      <c r="D4582" s="13" t="n">
        <f aca="false">IF(Szenarien!$H$23="OK",(IFERROR(SUMIF(Nutzungsprofile!$B$17:$B$22,"Schulbetrieb",Nutzungsprofile!$G$17:$G$22)*Kalender!C190/SUM(Kalender!$C$5:$C$370),0)+IFERROR(SUMIF(Nutzungsprofile!$B$17:$B$22,"Halle",Nutzungsprofile!$G$17:$G$22)*Kalender!D190/SUM(Kalender!$D$5:$D$370),0)+IFERROR(SUMIF(Nutzungsprofile!$B$17:$B$22,"Individuell",Nutzungsprofile!$G$17:$G$22)*Kalender!E190/SUM(Kalender!$E$5:$E$370),0))*Szenarien!$D$23,0)</f>
        <v>0.89</v>
      </c>
      <c r="E4582" s="13" t="n">
        <f aca="false">IFERROR(MIN(C4582,Eingaben!$B$17)*Eingaben!$B$16,0)</f>
        <v>1.938</v>
      </c>
      <c r="F4582" s="13" t="n">
        <f aca="false">IFERROR(E4582*Eingaben!$B$15,0)</f>
        <v>1.7442</v>
      </c>
      <c r="G4582" s="13" t="n">
        <f aca="false">IFERROR(IF(Kalender!A190="",0,J4581*(1-Eingaben!$B$20)),0)</f>
        <v>1.709316</v>
      </c>
      <c r="H4582" s="13" t="n">
        <f aca="false">MIN(G4582,D4582)</f>
        <v>0.89</v>
      </c>
      <c r="I4582" s="13" t="n">
        <f aca="false">IFERROR(MIN(F4582*Eingaben!$B$19,MAX(0,D4582-H4582)),0)</f>
        <v>0</v>
      </c>
      <c r="J4582" s="13" t="n">
        <f aca="false">IFERROR(MIN(Eingaben!$B$18,MAX(0,F4582-I4582)),0)</f>
        <v>1.7442</v>
      </c>
      <c r="K4582" s="13" t="n">
        <f aca="false">H4582+I4582</f>
        <v>0.89</v>
      </c>
      <c r="L4582" s="13" t="n">
        <f aca="false">MAX(0,D4582-K4582)</f>
        <v>0</v>
      </c>
      <c r="M4582" s="13" t="n">
        <f aca="false">MAX(0,F4582-I4582-J4582)</f>
        <v>0</v>
      </c>
      <c r="N4582" s="13" t="n">
        <f aca="false">IF(Kalender!A190="",0,J4581-H4582)</f>
        <v>0.8542</v>
      </c>
    </row>
    <row r="4583" customFormat="false" ht="16.4" hidden="false" customHeight="false" outlineLevel="0" collapsed="false">
      <c r="A4583" s="13" t="str">
        <f aca="false">""</f>
        <v/>
      </c>
      <c r="B4583" s="13" t="n">
        <f aca="false">187</f>
        <v>187</v>
      </c>
      <c r="C4583" s="13" t="n">
        <f aca="false">IF(Szenarien!$H$23="OK",(IFERROR(SUMIF(Nutzungsprofile!$B$6:$B$11,"Schulbetrieb",Nutzungsprofile!$G$6:$G$11)*Kalender!C191/SUM(Kalender!$C$5:$C$370),0)+IFERROR(SUMIF(Nutzungsprofile!$B$6:$B$11,"Halle",Nutzungsprofile!$G$6:$G$11)*Kalender!D191/SUM(Kalender!$D$5:$D$370),0)+IFERROR(SUMIF(Nutzungsprofile!$B$6:$B$11,"Individuell",Nutzungsprofile!$G$6:$G$11)*Kalender!E191/SUM(Kalender!$E$5:$E$370),0))*Szenarien!$E$23,0)</f>
        <v>2.04</v>
      </c>
      <c r="D4583" s="13" t="n">
        <f aca="false">IF(Szenarien!$H$23="OK",(IFERROR(SUMIF(Nutzungsprofile!$B$17:$B$22,"Schulbetrieb",Nutzungsprofile!$G$17:$G$22)*Kalender!C191/SUM(Kalender!$C$5:$C$370),0)+IFERROR(SUMIF(Nutzungsprofile!$B$17:$B$22,"Halle",Nutzungsprofile!$G$17:$G$22)*Kalender!D191/SUM(Kalender!$D$5:$D$370),0)+IFERROR(SUMIF(Nutzungsprofile!$B$17:$B$22,"Individuell",Nutzungsprofile!$G$17:$G$22)*Kalender!E191/SUM(Kalender!$E$5:$E$370),0))*Szenarien!$D$23,0)</f>
        <v>0.89</v>
      </c>
      <c r="E4583" s="13" t="n">
        <f aca="false">IFERROR(MIN(C4583,Eingaben!$B$17)*Eingaben!$B$16,0)</f>
        <v>1.938</v>
      </c>
      <c r="F4583" s="13" t="n">
        <f aca="false">IFERROR(E4583*Eingaben!$B$15,0)</f>
        <v>1.7442</v>
      </c>
      <c r="G4583" s="13" t="n">
        <f aca="false">IFERROR(IF(Kalender!A191="",0,J4582*(1-Eingaben!$B$20)),0)</f>
        <v>1.709316</v>
      </c>
      <c r="H4583" s="13" t="n">
        <f aca="false">MIN(G4583,D4583)</f>
        <v>0.89</v>
      </c>
      <c r="I4583" s="13" t="n">
        <f aca="false">IFERROR(MIN(F4583*Eingaben!$B$19,MAX(0,D4583-H4583)),0)</f>
        <v>0</v>
      </c>
      <c r="J4583" s="13" t="n">
        <f aca="false">IFERROR(MIN(Eingaben!$B$18,MAX(0,F4583-I4583)),0)</f>
        <v>1.7442</v>
      </c>
      <c r="K4583" s="13" t="n">
        <f aca="false">H4583+I4583</f>
        <v>0.89</v>
      </c>
      <c r="L4583" s="13" t="n">
        <f aca="false">MAX(0,D4583-K4583)</f>
        <v>0</v>
      </c>
      <c r="M4583" s="13" t="n">
        <f aca="false">MAX(0,F4583-I4583-J4583)</f>
        <v>0</v>
      </c>
      <c r="N4583" s="13" t="n">
        <f aca="false">IF(Kalender!A191="",0,J4582-H4583)</f>
        <v>0.8542</v>
      </c>
    </row>
    <row r="4584" customFormat="false" ht="16.4" hidden="false" customHeight="false" outlineLevel="0" collapsed="false">
      <c r="A4584" s="13" t="str">
        <f aca="false">""</f>
        <v/>
      </c>
      <c r="B4584" s="13" t="n">
        <f aca="false">188</f>
        <v>188</v>
      </c>
      <c r="C4584" s="13" t="n">
        <f aca="false">IF(Szenarien!$H$23="OK",(IFERROR(SUMIF(Nutzungsprofile!$B$6:$B$11,"Schulbetrieb",Nutzungsprofile!$G$6:$G$11)*Kalender!C192/SUM(Kalender!$C$5:$C$370),0)+IFERROR(SUMIF(Nutzungsprofile!$B$6:$B$11,"Halle",Nutzungsprofile!$G$6:$G$11)*Kalender!D192/SUM(Kalender!$D$5:$D$370),0)+IFERROR(SUMIF(Nutzungsprofile!$B$6:$B$11,"Individuell",Nutzungsprofile!$G$6:$G$11)*Kalender!E192/SUM(Kalender!$E$5:$E$370),0))*Szenarien!$E$23,0)</f>
        <v>2.04</v>
      </c>
      <c r="D4584" s="13" t="n">
        <f aca="false">IF(Szenarien!$H$23="OK",(IFERROR(SUMIF(Nutzungsprofile!$B$17:$B$22,"Schulbetrieb",Nutzungsprofile!$G$17:$G$22)*Kalender!C192/SUM(Kalender!$C$5:$C$370),0)+IFERROR(SUMIF(Nutzungsprofile!$B$17:$B$22,"Halle",Nutzungsprofile!$G$17:$G$22)*Kalender!D192/SUM(Kalender!$D$5:$D$370),0)+IFERROR(SUMIF(Nutzungsprofile!$B$17:$B$22,"Individuell",Nutzungsprofile!$G$17:$G$22)*Kalender!E192/SUM(Kalender!$E$5:$E$370),0))*Szenarien!$D$23,0)</f>
        <v>0.89</v>
      </c>
      <c r="E4584" s="13" t="n">
        <f aca="false">IFERROR(MIN(C4584,Eingaben!$B$17)*Eingaben!$B$16,0)</f>
        <v>1.938</v>
      </c>
      <c r="F4584" s="13" t="n">
        <f aca="false">IFERROR(E4584*Eingaben!$B$15,0)</f>
        <v>1.7442</v>
      </c>
      <c r="G4584" s="13" t="n">
        <f aca="false">IFERROR(IF(Kalender!A192="",0,J4583*(1-Eingaben!$B$20)),0)</f>
        <v>1.709316</v>
      </c>
      <c r="H4584" s="13" t="n">
        <f aca="false">MIN(G4584,D4584)</f>
        <v>0.89</v>
      </c>
      <c r="I4584" s="13" t="n">
        <f aca="false">IFERROR(MIN(F4584*Eingaben!$B$19,MAX(0,D4584-H4584)),0)</f>
        <v>0</v>
      </c>
      <c r="J4584" s="13" t="n">
        <f aca="false">IFERROR(MIN(Eingaben!$B$18,MAX(0,F4584-I4584)),0)</f>
        <v>1.7442</v>
      </c>
      <c r="K4584" s="13" t="n">
        <f aca="false">H4584+I4584</f>
        <v>0.89</v>
      </c>
      <c r="L4584" s="13" t="n">
        <f aca="false">MAX(0,D4584-K4584)</f>
        <v>0</v>
      </c>
      <c r="M4584" s="13" t="n">
        <f aca="false">MAX(0,F4584-I4584-J4584)</f>
        <v>0</v>
      </c>
      <c r="N4584" s="13" t="n">
        <f aca="false">IF(Kalender!A192="",0,J4583-H4584)</f>
        <v>0.8542</v>
      </c>
    </row>
    <row r="4585" customFormat="false" ht="16.4" hidden="false" customHeight="false" outlineLevel="0" collapsed="false">
      <c r="A4585" s="13" t="str">
        <f aca="false">""</f>
        <v/>
      </c>
      <c r="B4585" s="13" t="n">
        <f aca="false">189</f>
        <v>189</v>
      </c>
      <c r="C4585" s="13" t="n">
        <f aca="false">IF(Szenarien!$H$23="OK",(IFERROR(SUMIF(Nutzungsprofile!$B$6:$B$11,"Schulbetrieb",Nutzungsprofile!$G$6:$G$11)*Kalender!C193/SUM(Kalender!$C$5:$C$370),0)+IFERROR(SUMIF(Nutzungsprofile!$B$6:$B$11,"Halle",Nutzungsprofile!$G$6:$G$11)*Kalender!D193/SUM(Kalender!$D$5:$D$370),0)+IFERROR(SUMIF(Nutzungsprofile!$B$6:$B$11,"Individuell",Nutzungsprofile!$G$6:$G$11)*Kalender!E193/SUM(Kalender!$E$5:$E$370),0))*Szenarien!$E$23,0)</f>
        <v>2.04</v>
      </c>
      <c r="D4585" s="13" t="n">
        <f aca="false">IF(Szenarien!$H$23="OK",(IFERROR(SUMIF(Nutzungsprofile!$B$17:$B$22,"Schulbetrieb",Nutzungsprofile!$G$17:$G$22)*Kalender!C193/SUM(Kalender!$C$5:$C$370),0)+IFERROR(SUMIF(Nutzungsprofile!$B$17:$B$22,"Halle",Nutzungsprofile!$G$17:$G$22)*Kalender!D193/SUM(Kalender!$D$5:$D$370),0)+IFERROR(SUMIF(Nutzungsprofile!$B$17:$B$22,"Individuell",Nutzungsprofile!$G$17:$G$22)*Kalender!E193/SUM(Kalender!$E$5:$E$370),0))*Szenarien!$D$23,0)</f>
        <v>0.89</v>
      </c>
      <c r="E4585" s="13" t="n">
        <f aca="false">IFERROR(MIN(C4585,Eingaben!$B$17)*Eingaben!$B$16,0)</f>
        <v>1.938</v>
      </c>
      <c r="F4585" s="13" t="n">
        <f aca="false">IFERROR(E4585*Eingaben!$B$15,0)</f>
        <v>1.7442</v>
      </c>
      <c r="G4585" s="13" t="n">
        <f aca="false">IFERROR(IF(Kalender!A193="",0,J4584*(1-Eingaben!$B$20)),0)</f>
        <v>1.709316</v>
      </c>
      <c r="H4585" s="13" t="n">
        <f aca="false">MIN(G4585,D4585)</f>
        <v>0.89</v>
      </c>
      <c r="I4585" s="13" t="n">
        <f aca="false">IFERROR(MIN(F4585*Eingaben!$B$19,MAX(0,D4585-H4585)),0)</f>
        <v>0</v>
      </c>
      <c r="J4585" s="13" t="n">
        <f aca="false">IFERROR(MIN(Eingaben!$B$18,MAX(0,F4585-I4585)),0)</f>
        <v>1.7442</v>
      </c>
      <c r="K4585" s="13" t="n">
        <f aca="false">H4585+I4585</f>
        <v>0.89</v>
      </c>
      <c r="L4585" s="13" t="n">
        <f aca="false">MAX(0,D4585-K4585)</f>
        <v>0</v>
      </c>
      <c r="M4585" s="13" t="n">
        <f aca="false">MAX(0,F4585-I4585-J4585)</f>
        <v>0</v>
      </c>
      <c r="N4585" s="13" t="n">
        <f aca="false">IF(Kalender!A193="",0,J4584-H4585)</f>
        <v>0.8542</v>
      </c>
    </row>
    <row r="4586" customFormat="false" ht="16.4" hidden="false" customHeight="false" outlineLevel="0" collapsed="false">
      <c r="A4586" s="13" t="str">
        <f aca="false">""</f>
        <v/>
      </c>
      <c r="B4586" s="13" t="n">
        <f aca="false">190</f>
        <v>190</v>
      </c>
      <c r="C4586" s="13" t="n">
        <f aca="false">IF(Szenarien!$H$23="OK",(IFERROR(SUMIF(Nutzungsprofile!$B$6:$B$11,"Schulbetrieb",Nutzungsprofile!$G$6:$G$11)*Kalender!C194/SUM(Kalender!$C$5:$C$370),0)+IFERROR(SUMIF(Nutzungsprofile!$B$6:$B$11,"Halle",Nutzungsprofile!$G$6:$G$11)*Kalender!D194/SUM(Kalender!$D$5:$D$370),0)+IFERROR(SUMIF(Nutzungsprofile!$B$6:$B$11,"Individuell",Nutzungsprofile!$G$6:$G$11)*Kalender!E194/SUM(Kalender!$E$5:$E$370),0))*Szenarien!$E$23,0)</f>
        <v>2.04</v>
      </c>
      <c r="D4586" s="13" t="n">
        <f aca="false">IF(Szenarien!$H$23="OK",(IFERROR(SUMIF(Nutzungsprofile!$B$17:$B$22,"Schulbetrieb",Nutzungsprofile!$G$17:$G$22)*Kalender!C194/SUM(Kalender!$C$5:$C$370),0)+IFERROR(SUMIF(Nutzungsprofile!$B$17:$B$22,"Halle",Nutzungsprofile!$G$17:$G$22)*Kalender!D194/SUM(Kalender!$D$5:$D$370),0)+IFERROR(SUMIF(Nutzungsprofile!$B$17:$B$22,"Individuell",Nutzungsprofile!$G$17:$G$22)*Kalender!E194/SUM(Kalender!$E$5:$E$370),0))*Szenarien!$D$23,0)</f>
        <v>0.89</v>
      </c>
      <c r="E4586" s="13" t="n">
        <f aca="false">IFERROR(MIN(C4586,Eingaben!$B$17)*Eingaben!$B$16,0)</f>
        <v>1.938</v>
      </c>
      <c r="F4586" s="13" t="n">
        <f aca="false">IFERROR(E4586*Eingaben!$B$15,0)</f>
        <v>1.7442</v>
      </c>
      <c r="G4586" s="13" t="n">
        <f aca="false">IFERROR(IF(Kalender!A194="",0,J4585*(1-Eingaben!$B$20)),0)</f>
        <v>1.709316</v>
      </c>
      <c r="H4586" s="13" t="n">
        <f aca="false">MIN(G4586,D4586)</f>
        <v>0.89</v>
      </c>
      <c r="I4586" s="13" t="n">
        <f aca="false">IFERROR(MIN(F4586*Eingaben!$B$19,MAX(0,D4586-H4586)),0)</f>
        <v>0</v>
      </c>
      <c r="J4586" s="13" t="n">
        <f aca="false">IFERROR(MIN(Eingaben!$B$18,MAX(0,F4586-I4586)),0)</f>
        <v>1.7442</v>
      </c>
      <c r="K4586" s="13" t="n">
        <f aca="false">H4586+I4586</f>
        <v>0.89</v>
      </c>
      <c r="L4586" s="13" t="n">
        <f aca="false">MAX(0,D4586-K4586)</f>
        <v>0</v>
      </c>
      <c r="M4586" s="13" t="n">
        <f aca="false">MAX(0,F4586-I4586-J4586)</f>
        <v>0</v>
      </c>
      <c r="N4586" s="13" t="n">
        <f aca="false">IF(Kalender!A194="",0,J4585-H4586)</f>
        <v>0.8542</v>
      </c>
    </row>
    <row r="4587" customFormat="false" ht="16.4" hidden="false" customHeight="false" outlineLevel="0" collapsed="false">
      <c r="A4587" s="13" t="str">
        <f aca="false">""</f>
        <v/>
      </c>
      <c r="B4587" s="13" t="n">
        <f aca="false">191</f>
        <v>191</v>
      </c>
      <c r="C4587" s="13" t="n">
        <f aca="false">IF(Szenarien!$H$23="OK",(IFERROR(SUMIF(Nutzungsprofile!$B$6:$B$11,"Schulbetrieb",Nutzungsprofile!$G$6:$G$11)*Kalender!C195/SUM(Kalender!$C$5:$C$370),0)+IFERROR(SUMIF(Nutzungsprofile!$B$6:$B$11,"Halle",Nutzungsprofile!$G$6:$G$11)*Kalender!D195/SUM(Kalender!$D$5:$D$370),0)+IFERROR(SUMIF(Nutzungsprofile!$B$6:$B$11,"Individuell",Nutzungsprofile!$G$6:$G$11)*Kalender!E195/SUM(Kalender!$E$5:$E$370),0))*Szenarien!$E$23,0)</f>
        <v>2.04</v>
      </c>
      <c r="D4587" s="13" t="n">
        <f aca="false">IF(Szenarien!$H$23="OK",(IFERROR(SUMIF(Nutzungsprofile!$B$17:$B$22,"Schulbetrieb",Nutzungsprofile!$G$17:$G$22)*Kalender!C195/SUM(Kalender!$C$5:$C$370),0)+IFERROR(SUMIF(Nutzungsprofile!$B$17:$B$22,"Halle",Nutzungsprofile!$G$17:$G$22)*Kalender!D195/SUM(Kalender!$D$5:$D$370),0)+IFERROR(SUMIF(Nutzungsprofile!$B$17:$B$22,"Individuell",Nutzungsprofile!$G$17:$G$22)*Kalender!E195/SUM(Kalender!$E$5:$E$370),0))*Szenarien!$D$23,0)</f>
        <v>0.89</v>
      </c>
      <c r="E4587" s="13" t="n">
        <f aca="false">IFERROR(MIN(C4587,Eingaben!$B$17)*Eingaben!$B$16,0)</f>
        <v>1.938</v>
      </c>
      <c r="F4587" s="13" t="n">
        <f aca="false">IFERROR(E4587*Eingaben!$B$15,0)</f>
        <v>1.7442</v>
      </c>
      <c r="G4587" s="13" t="n">
        <f aca="false">IFERROR(IF(Kalender!A195="",0,J4586*(1-Eingaben!$B$20)),0)</f>
        <v>1.709316</v>
      </c>
      <c r="H4587" s="13" t="n">
        <f aca="false">MIN(G4587,D4587)</f>
        <v>0.89</v>
      </c>
      <c r="I4587" s="13" t="n">
        <f aca="false">IFERROR(MIN(F4587*Eingaben!$B$19,MAX(0,D4587-H4587)),0)</f>
        <v>0</v>
      </c>
      <c r="J4587" s="13" t="n">
        <f aca="false">IFERROR(MIN(Eingaben!$B$18,MAX(0,F4587-I4587)),0)</f>
        <v>1.7442</v>
      </c>
      <c r="K4587" s="13" t="n">
        <f aca="false">H4587+I4587</f>
        <v>0.89</v>
      </c>
      <c r="L4587" s="13" t="n">
        <f aca="false">MAX(0,D4587-K4587)</f>
        <v>0</v>
      </c>
      <c r="M4587" s="13" t="n">
        <f aca="false">MAX(0,F4587-I4587-J4587)</f>
        <v>0</v>
      </c>
      <c r="N4587" s="13" t="n">
        <f aca="false">IF(Kalender!A195="",0,J4586-H4587)</f>
        <v>0.8542</v>
      </c>
    </row>
    <row r="4588" customFormat="false" ht="16.4" hidden="false" customHeight="false" outlineLevel="0" collapsed="false">
      <c r="A4588" s="13" t="str">
        <f aca="false">""</f>
        <v/>
      </c>
      <c r="B4588" s="13" t="n">
        <f aca="false">192</f>
        <v>192</v>
      </c>
      <c r="C4588" s="13" t="n">
        <f aca="false">IF(Szenarien!$H$23="OK",(IFERROR(SUMIF(Nutzungsprofile!$B$6:$B$11,"Schulbetrieb",Nutzungsprofile!$G$6:$G$11)*Kalender!C196/SUM(Kalender!$C$5:$C$370),0)+IFERROR(SUMIF(Nutzungsprofile!$B$6:$B$11,"Halle",Nutzungsprofile!$G$6:$G$11)*Kalender!D196/SUM(Kalender!$D$5:$D$370),0)+IFERROR(SUMIF(Nutzungsprofile!$B$6:$B$11,"Individuell",Nutzungsprofile!$G$6:$G$11)*Kalender!E196/SUM(Kalender!$E$5:$E$370),0))*Szenarien!$E$23,0)</f>
        <v>2.04</v>
      </c>
      <c r="D4588" s="13" t="n">
        <f aca="false">IF(Szenarien!$H$23="OK",(IFERROR(SUMIF(Nutzungsprofile!$B$17:$B$22,"Schulbetrieb",Nutzungsprofile!$G$17:$G$22)*Kalender!C196/SUM(Kalender!$C$5:$C$370),0)+IFERROR(SUMIF(Nutzungsprofile!$B$17:$B$22,"Halle",Nutzungsprofile!$G$17:$G$22)*Kalender!D196/SUM(Kalender!$D$5:$D$370),0)+IFERROR(SUMIF(Nutzungsprofile!$B$17:$B$22,"Individuell",Nutzungsprofile!$G$17:$G$22)*Kalender!E196/SUM(Kalender!$E$5:$E$370),0))*Szenarien!$D$23,0)</f>
        <v>0.89</v>
      </c>
      <c r="E4588" s="13" t="n">
        <f aca="false">IFERROR(MIN(C4588,Eingaben!$B$17)*Eingaben!$B$16,0)</f>
        <v>1.938</v>
      </c>
      <c r="F4588" s="13" t="n">
        <f aca="false">IFERROR(E4588*Eingaben!$B$15,0)</f>
        <v>1.7442</v>
      </c>
      <c r="G4588" s="13" t="n">
        <f aca="false">IFERROR(IF(Kalender!A196="",0,J4587*(1-Eingaben!$B$20)),0)</f>
        <v>1.709316</v>
      </c>
      <c r="H4588" s="13" t="n">
        <f aca="false">MIN(G4588,D4588)</f>
        <v>0.89</v>
      </c>
      <c r="I4588" s="13" t="n">
        <f aca="false">IFERROR(MIN(F4588*Eingaben!$B$19,MAX(0,D4588-H4588)),0)</f>
        <v>0</v>
      </c>
      <c r="J4588" s="13" t="n">
        <f aca="false">IFERROR(MIN(Eingaben!$B$18,MAX(0,F4588-I4588)),0)</f>
        <v>1.7442</v>
      </c>
      <c r="K4588" s="13" t="n">
        <f aca="false">H4588+I4588</f>
        <v>0.89</v>
      </c>
      <c r="L4588" s="13" t="n">
        <f aca="false">MAX(0,D4588-K4588)</f>
        <v>0</v>
      </c>
      <c r="M4588" s="13" t="n">
        <f aca="false">MAX(0,F4588-I4588-J4588)</f>
        <v>0</v>
      </c>
      <c r="N4588" s="13" t="n">
        <f aca="false">IF(Kalender!A196="",0,J4587-H4588)</f>
        <v>0.8542</v>
      </c>
    </row>
    <row r="4589" customFormat="false" ht="16.4" hidden="false" customHeight="false" outlineLevel="0" collapsed="false">
      <c r="A4589" s="13" t="str">
        <f aca="false">""</f>
        <v/>
      </c>
      <c r="B4589" s="13" t="n">
        <f aca="false">193</f>
        <v>193</v>
      </c>
      <c r="C4589" s="13" t="n">
        <f aca="false">IF(Szenarien!$H$23="OK",(IFERROR(SUMIF(Nutzungsprofile!$B$6:$B$11,"Schulbetrieb",Nutzungsprofile!$G$6:$G$11)*Kalender!C197/SUM(Kalender!$C$5:$C$370),0)+IFERROR(SUMIF(Nutzungsprofile!$B$6:$B$11,"Halle",Nutzungsprofile!$G$6:$G$11)*Kalender!D197/SUM(Kalender!$D$5:$D$370),0)+IFERROR(SUMIF(Nutzungsprofile!$B$6:$B$11,"Individuell",Nutzungsprofile!$G$6:$G$11)*Kalender!E197/SUM(Kalender!$E$5:$E$370),0))*Szenarien!$E$23,0)</f>
        <v>2.04</v>
      </c>
      <c r="D4589" s="13" t="n">
        <f aca="false">IF(Szenarien!$H$23="OK",(IFERROR(SUMIF(Nutzungsprofile!$B$17:$B$22,"Schulbetrieb",Nutzungsprofile!$G$17:$G$22)*Kalender!C197/SUM(Kalender!$C$5:$C$370),0)+IFERROR(SUMIF(Nutzungsprofile!$B$17:$B$22,"Halle",Nutzungsprofile!$G$17:$G$22)*Kalender!D197/SUM(Kalender!$D$5:$D$370),0)+IFERROR(SUMIF(Nutzungsprofile!$B$17:$B$22,"Individuell",Nutzungsprofile!$G$17:$G$22)*Kalender!E197/SUM(Kalender!$E$5:$E$370),0))*Szenarien!$D$23,0)</f>
        <v>0.89</v>
      </c>
      <c r="E4589" s="13" t="n">
        <f aca="false">IFERROR(MIN(C4589,Eingaben!$B$17)*Eingaben!$B$16,0)</f>
        <v>1.938</v>
      </c>
      <c r="F4589" s="13" t="n">
        <f aca="false">IFERROR(E4589*Eingaben!$B$15,0)</f>
        <v>1.7442</v>
      </c>
      <c r="G4589" s="13" t="n">
        <f aca="false">IFERROR(IF(Kalender!A197="",0,J4588*(1-Eingaben!$B$20)),0)</f>
        <v>1.709316</v>
      </c>
      <c r="H4589" s="13" t="n">
        <f aca="false">MIN(G4589,D4589)</f>
        <v>0.89</v>
      </c>
      <c r="I4589" s="13" t="n">
        <f aca="false">IFERROR(MIN(F4589*Eingaben!$B$19,MAX(0,D4589-H4589)),0)</f>
        <v>0</v>
      </c>
      <c r="J4589" s="13" t="n">
        <f aca="false">IFERROR(MIN(Eingaben!$B$18,MAX(0,F4589-I4589)),0)</f>
        <v>1.7442</v>
      </c>
      <c r="K4589" s="13" t="n">
        <f aca="false">H4589+I4589</f>
        <v>0.89</v>
      </c>
      <c r="L4589" s="13" t="n">
        <f aca="false">MAX(0,D4589-K4589)</f>
        <v>0</v>
      </c>
      <c r="M4589" s="13" t="n">
        <f aca="false">MAX(0,F4589-I4589-J4589)</f>
        <v>0</v>
      </c>
      <c r="N4589" s="13" t="n">
        <f aca="false">IF(Kalender!A197="",0,J4588-H4589)</f>
        <v>0.8542</v>
      </c>
    </row>
    <row r="4590" customFormat="false" ht="16.4" hidden="false" customHeight="false" outlineLevel="0" collapsed="false">
      <c r="A4590" s="13" t="str">
        <f aca="false">""</f>
        <v/>
      </c>
      <c r="B4590" s="13" t="n">
        <f aca="false">194</f>
        <v>194</v>
      </c>
      <c r="C4590" s="13" t="n">
        <f aca="false">IF(Szenarien!$H$23="OK",(IFERROR(SUMIF(Nutzungsprofile!$B$6:$B$11,"Schulbetrieb",Nutzungsprofile!$G$6:$G$11)*Kalender!C198/SUM(Kalender!$C$5:$C$370),0)+IFERROR(SUMIF(Nutzungsprofile!$B$6:$B$11,"Halle",Nutzungsprofile!$G$6:$G$11)*Kalender!D198/SUM(Kalender!$D$5:$D$370),0)+IFERROR(SUMIF(Nutzungsprofile!$B$6:$B$11,"Individuell",Nutzungsprofile!$G$6:$G$11)*Kalender!E198/SUM(Kalender!$E$5:$E$370),0))*Szenarien!$E$23,0)</f>
        <v>2.04</v>
      </c>
      <c r="D4590" s="13" t="n">
        <f aca="false">IF(Szenarien!$H$23="OK",(IFERROR(SUMIF(Nutzungsprofile!$B$17:$B$22,"Schulbetrieb",Nutzungsprofile!$G$17:$G$22)*Kalender!C198/SUM(Kalender!$C$5:$C$370),0)+IFERROR(SUMIF(Nutzungsprofile!$B$17:$B$22,"Halle",Nutzungsprofile!$G$17:$G$22)*Kalender!D198/SUM(Kalender!$D$5:$D$370),0)+IFERROR(SUMIF(Nutzungsprofile!$B$17:$B$22,"Individuell",Nutzungsprofile!$G$17:$G$22)*Kalender!E198/SUM(Kalender!$E$5:$E$370),0))*Szenarien!$D$23,0)</f>
        <v>0.89</v>
      </c>
      <c r="E4590" s="13" t="n">
        <f aca="false">IFERROR(MIN(C4590,Eingaben!$B$17)*Eingaben!$B$16,0)</f>
        <v>1.938</v>
      </c>
      <c r="F4590" s="13" t="n">
        <f aca="false">IFERROR(E4590*Eingaben!$B$15,0)</f>
        <v>1.7442</v>
      </c>
      <c r="G4590" s="13" t="n">
        <f aca="false">IFERROR(IF(Kalender!A198="",0,J4589*(1-Eingaben!$B$20)),0)</f>
        <v>1.709316</v>
      </c>
      <c r="H4590" s="13" t="n">
        <f aca="false">MIN(G4590,D4590)</f>
        <v>0.89</v>
      </c>
      <c r="I4590" s="13" t="n">
        <f aca="false">IFERROR(MIN(F4590*Eingaben!$B$19,MAX(0,D4590-H4590)),0)</f>
        <v>0</v>
      </c>
      <c r="J4590" s="13" t="n">
        <f aca="false">IFERROR(MIN(Eingaben!$B$18,MAX(0,F4590-I4590)),0)</f>
        <v>1.7442</v>
      </c>
      <c r="K4590" s="13" t="n">
        <f aca="false">H4590+I4590</f>
        <v>0.89</v>
      </c>
      <c r="L4590" s="13" t="n">
        <f aca="false">MAX(0,D4590-K4590)</f>
        <v>0</v>
      </c>
      <c r="M4590" s="13" t="n">
        <f aca="false">MAX(0,F4590-I4590-J4590)</f>
        <v>0</v>
      </c>
      <c r="N4590" s="13" t="n">
        <f aca="false">IF(Kalender!A198="",0,J4589-H4590)</f>
        <v>0.8542</v>
      </c>
    </row>
    <row r="4591" customFormat="false" ht="16.4" hidden="false" customHeight="false" outlineLevel="0" collapsed="false">
      <c r="A4591" s="13" t="str">
        <f aca="false">""</f>
        <v/>
      </c>
      <c r="B4591" s="13" t="n">
        <f aca="false">195</f>
        <v>195</v>
      </c>
      <c r="C4591" s="13" t="n">
        <f aca="false">IF(Szenarien!$H$23="OK",(IFERROR(SUMIF(Nutzungsprofile!$B$6:$B$11,"Schulbetrieb",Nutzungsprofile!$G$6:$G$11)*Kalender!C199/SUM(Kalender!$C$5:$C$370),0)+IFERROR(SUMIF(Nutzungsprofile!$B$6:$B$11,"Halle",Nutzungsprofile!$G$6:$G$11)*Kalender!D199/SUM(Kalender!$D$5:$D$370),0)+IFERROR(SUMIF(Nutzungsprofile!$B$6:$B$11,"Individuell",Nutzungsprofile!$G$6:$G$11)*Kalender!E199/SUM(Kalender!$E$5:$E$370),0))*Szenarien!$E$23,0)</f>
        <v>2.04</v>
      </c>
      <c r="D4591" s="13" t="n">
        <f aca="false">IF(Szenarien!$H$23="OK",(IFERROR(SUMIF(Nutzungsprofile!$B$17:$B$22,"Schulbetrieb",Nutzungsprofile!$G$17:$G$22)*Kalender!C199/SUM(Kalender!$C$5:$C$370),0)+IFERROR(SUMIF(Nutzungsprofile!$B$17:$B$22,"Halle",Nutzungsprofile!$G$17:$G$22)*Kalender!D199/SUM(Kalender!$D$5:$D$370),0)+IFERROR(SUMIF(Nutzungsprofile!$B$17:$B$22,"Individuell",Nutzungsprofile!$G$17:$G$22)*Kalender!E199/SUM(Kalender!$E$5:$E$370),0))*Szenarien!$D$23,0)</f>
        <v>0.89</v>
      </c>
      <c r="E4591" s="13" t="n">
        <f aca="false">IFERROR(MIN(C4591,Eingaben!$B$17)*Eingaben!$B$16,0)</f>
        <v>1.938</v>
      </c>
      <c r="F4591" s="13" t="n">
        <f aca="false">IFERROR(E4591*Eingaben!$B$15,0)</f>
        <v>1.7442</v>
      </c>
      <c r="G4591" s="13" t="n">
        <f aca="false">IFERROR(IF(Kalender!A199="",0,J4590*(1-Eingaben!$B$20)),0)</f>
        <v>1.709316</v>
      </c>
      <c r="H4591" s="13" t="n">
        <f aca="false">MIN(G4591,D4591)</f>
        <v>0.89</v>
      </c>
      <c r="I4591" s="13" t="n">
        <f aca="false">IFERROR(MIN(F4591*Eingaben!$B$19,MAX(0,D4591-H4591)),0)</f>
        <v>0</v>
      </c>
      <c r="J4591" s="13" t="n">
        <f aca="false">IFERROR(MIN(Eingaben!$B$18,MAX(0,F4591-I4591)),0)</f>
        <v>1.7442</v>
      </c>
      <c r="K4591" s="13" t="n">
        <f aca="false">H4591+I4591</f>
        <v>0.89</v>
      </c>
      <c r="L4591" s="13" t="n">
        <f aca="false">MAX(0,D4591-K4591)</f>
        <v>0</v>
      </c>
      <c r="M4591" s="13" t="n">
        <f aca="false">MAX(0,F4591-I4591-J4591)</f>
        <v>0</v>
      </c>
      <c r="N4591" s="13" t="n">
        <f aca="false">IF(Kalender!A199="",0,J4590-H4591)</f>
        <v>0.8542</v>
      </c>
    </row>
    <row r="4592" customFormat="false" ht="16.4" hidden="false" customHeight="false" outlineLevel="0" collapsed="false">
      <c r="A4592" s="13" t="str">
        <f aca="false">""</f>
        <v/>
      </c>
      <c r="B4592" s="13" t="n">
        <f aca="false">196</f>
        <v>196</v>
      </c>
      <c r="C4592" s="13" t="n">
        <f aca="false">IF(Szenarien!$H$23="OK",(IFERROR(SUMIF(Nutzungsprofile!$B$6:$B$11,"Schulbetrieb",Nutzungsprofile!$G$6:$G$11)*Kalender!C200/SUM(Kalender!$C$5:$C$370),0)+IFERROR(SUMIF(Nutzungsprofile!$B$6:$B$11,"Halle",Nutzungsprofile!$G$6:$G$11)*Kalender!D200/SUM(Kalender!$D$5:$D$370),0)+IFERROR(SUMIF(Nutzungsprofile!$B$6:$B$11,"Individuell",Nutzungsprofile!$G$6:$G$11)*Kalender!E200/SUM(Kalender!$E$5:$E$370),0))*Szenarien!$E$23,0)</f>
        <v>2.04</v>
      </c>
      <c r="D4592" s="13" t="n">
        <f aca="false">IF(Szenarien!$H$23="OK",(IFERROR(SUMIF(Nutzungsprofile!$B$17:$B$22,"Schulbetrieb",Nutzungsprofile!$G$17:$G$22)*Kalender!C200/SUM(Kalender!$C$5:$C$370),0)+IFERROR(SUMIF(Nutzungsprofile!$B$17:$B$22,"Halle",Nutzungsprofile!$G$17:$G$22)*Kalender!D200/SUM(Kalender!$D$5:$D$370),0)+IFERROR(SUMIF(Nutzungsprofile!$B$17:$B$22,"Individuell",Nutzungsprofile!$G$17:$G$22)*Kalender!E200/SUM(Kalender!$E$5:$E$370),0))*Szenarien!$D$23,0)</f>
        <v>0.89</v>
      </c>
      <c r="E4592" s="13" t="n">
        <f aca="false">IFERROR(MIN(C4592,Eingaben!$B$17)*Eingaben!$B$16,0)</f>
        <v>1.938</v>
      </c>
      <c r="F4592" s="13" t="n">
        <f aca="false">IFERROR(E4592*Eingaben!$B$15,0)</f>
        <v>1.7442</v>
      </c>
      <c r="G4592" s="13" t="n">
        <f aca="false">IFERROR(IF(Kalender!A200="",0,J4591*(1-Eingaben!$B$20)),0)</f>
        <v>1.709316</v>
      </c>
      <c r="H4592" s="13" t="n">
        <f aca="false">MIN(G4592,D4592)</f>
        <v>0.89</v>
      </c>
      <c r="I4592" s="13" t="n">
        <f aca="false">IFERROR(MIN(F4592*Eingaben!$B$19,MAX(0,D4592-H4592)),0)</f>
        <v>0</v>
      </c>
      <c r="J4592" s="13" t="n">
        <f aca="false">IFERROR(MIN(Eingaben!$B$18,MAX(0,F4592-I4592)),0)</f>
        <v>1.7442</v>
      </c>
      <c r="K4592" s="13" t="n">
        <f aca="false">H4592+I4592</f>
        <v>0.89</v>
      </c>
      <c r="L4592" s="13" t="n">
        <f aca="false">MAX(0,D4592-K4592)</f>
        <v>0</v>
      </c>
      <c r="M4592" s="13" t="n">
        <f aca="false">MAX(0,F4592-I4592-J4592)</f>
        <v>0</v>
      </c>
      <c r="N4592" s="13" t="n">
        <f aca="false">IF(Kalender!A200="",0,J4591-H4592)</f>
        <v>0.8542</v>
      </c>
    </row>
    <row r="4593" customFormat="false" ht="16.4" hidden="false" customHeight="false" outlineLevel="0" collapsed="false">
      <c r="A4593" s="13" t="str">
        <f aca="false">""</f>
        <v/>
      </c>
      <c r="B4593" s="13" t="n">
        <f aca="false">197</f>
        <v>197</v>
      </c>
      <c r="C4593" s="13" t="n">
        <f aca="false">IF(Szenarien!$H$23="OK",(IFERROR(SUMIF(Nutzungsprofile!$B$6:$B$11,"Schulbetrieb",Nutzungsprofile!$G$6:$G$11)*Kalender!C201/SUM(Kalender!$C$5:$C$370),0)+IFERROR(SUMIF(Nutzungsprofile!$B$6:$B$11,"Halle",Nutzungsprofile!$G$6:$G$11)*Kalender!D201/SUM(Kalender!$D$5:$D$370),0)+IFERROR(SUMIF(Nutzungsprofile!$B$6:$B$11,"Individuell",Nutzungsprofile!$G$6:$G$11)*Kalender!E201/SUM(Kalender!$E$5:$E$370),0))*Szenarien!$E$23,0)</f>
        <v>2.04</v>
      </c>
      <c r="D4593" s="13" t="n">
        <f aca="false">IF(Szenarien!$H$23="OK",(IFERROR(SUMIF(Nutzungsprofile!$B$17:$B$22,"Schulbetrieb",Nutzungsprofile!$G$17:$G$22)*Kalender!C201/SUM(Kalender!$C$5:$C$370),0)+IFERROR(SUMIF(Nutzungsprofile!$B$17:$B$22,"Halle",Nutzungsprofile!$G$17:$G$22)*Kalender!D201/SUM(Kalender!$D$5:$D$370),0)+IFERROR(SUMIF(Nutzungsprofile!$B$17:$B$22,"Individuell",Nutzungsprofile!$G$17:$G$22)*Kalender!E201/SUM(Kalender!$E$5:$E$370),0))*Szenarien!$D$23,0)</f>
        <v>0.89</v>
      </c>
      <c r="E4593" s="13" t="n">
        <f aca="false">IFERROR(MIN(C4593,Eingaben!$B$17)*Eingaben!$B$16,0)</f>
        <v>1.938</v>
      </c>
      <c r="F4593" s="13" t="n">
        <f aca="false">IFERROR(E4593*Eingaben!$B$15,0)</f>
        <v>1.7442</v>
      </c>
      <c r="G4593" s="13" t="n">
        <f aca="false">IFERROR(IF(Kalender!A201="",0,J4592*(1-Eingaben!$B$20)),0)</f>
        <v>1.709316</v>
      </c>
      <c r="H4593" s="13" t="n">
        <f aca="false">MIN(G4593,D4593)</f>
        <v>0.89</v>
      </c>
      <c r="I4593" s="13" t="n">
        <f aca="false">IFERROR(MIN(F4593*Eingaben!$B$19,MAX(0,D4593-H4593)),0)</f>
        <v>0</v>
      </c>
      <c r="J4593" s="13" t="n">
        <f aca="false">IFERROR(MIN(Eingaben!$B$18,MAX(0,F4593-I4593)),0)</f>
        <v>1.7442</v>
      </c>
      <c r="K4593" s="13" t="n">
        <f aca="false">H4593+I4593</f>
        <v>0.89</v>
      </c>
      <c r="L4593" s="13" t="n">
        <f aca="false">MAX(0,D4593-K4593)</f>
        <v>0</v>
      </c>
      <c r="M4593" s="13" t="n">
        <f aca="false">MAX(0,F4593-I4593-J4593)</f>
        <v>0</v>
      </c>
      <c r="N4593" s="13" t="n">
        <f aca="false">IF(Kalender!A201="",0,J4592-H4593)</f>
        <v>0.8542</v>
      </c>
    </row>
    <row r="4594" customFormat="false" ht="16.4" hidden="false" customHeight="false" outlineLevel="0" collapsed="false">
      <c r="A4594" s="13" t="str">
        <f aca="false">""</f>
        <v/>
      </c>
      <c r="B4594" s="13" t="n">
        <f aca="false">198</f>
        <v>198</v>
      </c>
      <c r="C4594" s="13" t="n">
        <f aca="false">IF(Szenarien!$H$23="OK",(IFERROR(SUMIF(Nutzungsprofile!$B$6:$B$11,"Schulbetrieb",Nutzungsprofile!$G$6:$G$11)*Kalender!C202/SUM(Kalender!$C$5:$C$370),0)+IFERROR(SUMIF(Nutzungsprofile!$B$6:$B$11,"Halle",Nutzungsprofile!$G$6:$G$11)*Kalender!D202/SUM(Kalender!$D$5:$D$370),0)+IFERROR(SUMIF(Nutzungsprofile!$B$6:$B$11,"Individuell",Nutzungsprofile!$G$6:$G$11)*Kalender!E202/SUM(Kalender!$E$5:$E$370),0))*Szenarien!$E$23,0)</f>
        <v>2.04</v>
      </c>
      <c r="D4594" s="13" t="n">
        <f aca="false">IF(Szenarien!$H$23="OK",(IFERROR(SUMIF(Nutzungsprofile!$B$17:$B$22,"Schulbetrieb",Nutzungsprofile!$G$17:$G$22)*Kalender!C202/SUM(Kalender!$C$5:$C$370),0)+IFERROR(SUMIF(Nutzungsprofile!$B$17:$B$22,"Halle",Nutzungsprofile!$G$17:$G$22)*Kalender!D202/SUM(Kalender!$D$5:$D$370),0)+IFERROR(SUMIF(Nutzungsprofile!$B$17:$B$22,"Individuell",Nutzungsprofile!$G$17:$G$22)*Kalender!E202/SUM(Kalender!$E$5:$E$370),0))*Szenarien!$D$23,0)</f>
        <v>0.89</v>
      </c>
      <c r="E4594" s="13" t="n">
        <f aca="false">IFERROR(MIN(C4594,Eingaben!$B$17)*Eingaben!$B$16,0)</f>
        <v>1.938</v>
      </c>
      <c r="F4594" s="13" t="n">
        <f aca="false">IFERROR(E4594*Eingaben!$B$15,0)</f>
        <v>1.7442</v>
      </c>
      <c r="G4594" s="13" t="n">
        <f aca="false">IFERROR(IF(Kalender!A202="",0,J4593*(1-Eingaben!$B$20)),0)</f>
        <v>1.709316</v>
      </c>
      <c r="H4594" s="13" t="n">
        <f aca="false">MIN(G4594,D4594)</f>
        <v>0.89</v>
      </c>
      <c r="I4594" s="13" t="n">
        <f aca="false">IFERROR(MIN(F4594*Eingaben!$B$19,MAX(0,D4594-H4594)),0)</f>
        <v>0</v>
      </c>
      <c r="J4594" s="13" t="n">
        <f aca="false">IFERROR(MIN(Eingaben!$B$18,MAX(0,F4594-I4594)),0)</f>
        <v>1.7442</v>
      </c>
      <c r="K4594" s="13" t="n">
        <f aca="false">H4594+I4594</f>
        <v>0.89</v>
      </c>
      <c r="L4594" s="13" t="n">
        <f aca="false">MAX(0,D4594-K4594)</f>
        <v>0</v>
      </c>
      <c r="M4594" s="13" t="n">
        <f aca="false">MAX(0,F4594-I4594-J4594)</f>
        <v>0</v>
      </c>
      <c r="N4594" s="13" t="n">
        <f aca="false">IF(Kalender!A202="",0,J4593-H4594)</f>
        <v>0.8542</v>
      </c>
    </row>
    <row r="4595" customFormat="false" ht="16.4" hidden="false" customHeight="false" outlineLevel="0" collapsed="false">
      <c r="A4595" s="13" t="str">
        <f aca="false">""</f>
        <v/>
      </c>
      <c r="B4595" s="13" t="n">
        <f aca="false">199</f>
        <v>199</v>
      </c>
      <c r="C4595" s="13" t="n">
        <f aca="false">IF(Szenarien!$H$23="OK",(IFERROR(SUMIF(Nutzungsprofile!$B$6:$B$11,"Schulbetrieb",Nutzungsprofile!$G$6:$G$11)*Kalender!C203/SUM(Kalender!$C$5:$C$370),0)+IFERROR(SUMIF(Nutzungsprofile!$B$6:$B$11,"Halle",Nutzungsprofile!$G$6:$G$11)*Kalender!D203/SUM(Kalender!$D$5:$D$370),0)+IFERROR(SUMIF(Nutzungsprofile!$B$6:$B$11,"Individuell",Nutzungsprofile!$G$6:$G$11)*Kalender!E203/SUM(Kalender!$E$5:$E$370),0))*Szenarien!$E$23,0)</f>
        <v>2.04</v>
      </c>
      <c r="D4595" s="13" t="n">
        <f aca="false">IF(Szenarien!$H$23="OK",(IFERROR(SUMIF(Nutzungsprofile!$B$17:$B$22,"Schulbetrieb",Nutzungsprofile!$G$17:$G$22)*Kalender!C203/SUM(Kalender!$C$5:$C$370),0)+IFERROR(SUMIF(Nutzungsprofile!$B$17:$B$22,"Halle",Nutzungsprofile!$G$17:$G$22)*Kalender!D203/SUM(Kalender!$D$5:$D$370),0)+IFERROR(SUMIF(Nutzungsprofile!$B$17:$B$22,"Individuell",Nutzungsprofile!$G$17:$G$22)*Kalender!E203/SUM(Kalender!$E$5:$E$370),0))*Szenarien!$D$23,0)</f>
        <v>0.89</v>
      </c>
      <c r="E4595" s="13" t="n">
        <f aca="false">IFERROR(MIN(C4595,Eingaben!$B$17)*Eingaben!$B$16,0)</f>
        <v>1.938</v>
      </c>
      <c r="F4595" s="13" t="n">
        <f aca="false">IFERROR(E4595*Eingaben!$B$15,0)</f>
        <v>1.7442</v>
      </c>
      <c r="G4595" s="13" t="n">
        <f aca="false">IFERROR(IF(Kalender!A203="",0,J4594*(1-Eingaben!$B$20)),0)</f>
        <v>1.709316</v>
      </c>
      <c r="H4595" s="13" t="n">
        <f aca="false">MIN(G4595,D4595)</f>
        <v>0.89</v>
      </c>
      <c r="I4595" s="13" t="n">
        <f aca="false">IFERROR(MIN(F4595*Eingaben!$B$19,MAX(0,D4595-H4595)),0)</f>
        <v>0</v>
      </c>
      <c r="J4595" s="13" t="n">
        <f aca="false">IFERROR(MIN(Eingaben!$B$18,MAX(0,F4595-I4595)),0)</f>
        <v>1.7442</v>
      </c>
      <c r="K4595" s="13" t="n">
        <f aca="false">H4595+I4595</f>
        <v>0.89</v>
      </c>
      <c r="L4595" s="13" t="n">
        <f aca="false">MAX(0,D4595-K4595)</f>
        <v>0</v>
      </c>
      <c r="M4595" s="13" t="n">
        <f aca="false">MAX(0,F4595-I4595-J4595)</f>
        <v>0</v>
      </c>
      <c r="N4595" s="13" t="n">
        <f aca="false">IF(Kalender!A203="",0,J4594-H4595)</f>
        <v>0.8542</v>
      </c>
    </row>
    <row r="4596" customFormat="false" ht="16.4" hidden="false" customHeight="false" outlineLevel="0" collapsed="false">
      <c r="A4596" s="13" t="str">
        <f aca="false">""</f>
        <v/>
      </c>
      <c r="B4596" s="13" t="n">
        <f aca="false">200</f>
        <v>200</v>
      </c>
      <c r="C4596" s="13" t="n">
        <f aca="false">IF(Szenarien!$H$23="OK",(IFERROR(SUMIF(Nutzungsprofile!$B$6:$B$11,"Schulbetrieb",Nutzungsprofile!$G$6:$G$11)*Kalender!C204/SUM(Kalender!$C$5:$C$370),0)+IFERROR(SUMIF(Nutzungsprofile!$B$6:$B$11,"Halle",Nutzungsprofile!$G$6:$G$11)*Kalender!D204/SUM(Kalender!$D$5:$D$370),0)+IFERROR(SUMIF(Nutzungsprofile!$B$6:$B$11,"Individuell",Nutzungsprofile!$G$6:$G$11)*Kalender!E204/SUM(Kalender!$E$5:$E$370),0))*Szenarien!$E$23,0)</f>
        <v>2.04</v>
      </c>
      <c r="D4596" s="13" t="n">
        <f aca="false">IF(Szenarien!$H$23="OK",(IFERROR(SUMIF(Nutzungsprofile!$B$17:$B$22,"Schulbetrieb",Nutzungsprofile!$G$17:$G$22)*Kalender!C204/SUM(Kalender!$C$5:$C$370),0)+IFERROR(SUMIF(Nutzungsprofile!$B$17:$B$22,"Halle",Nutzungsprofile!$G$17:$G$22)*Kalender!D204/SUM(Kalender!$D$5:$D$370),0)+IFERROR(SUMIF(Nutzungsprofile!$B$17:$B$22,"Individuell",Nutzungsprofile!$G$17:$G$22)*Kalender!E204/SUM(Kalender!$E$5:$E$370),0))*Szenarien!$D$23,0)</f>
        <v>0.89</v>
      </c>
      <c r="E4596" s="13" t="n">
        <f aca="false">IFERROR(MIN(C4596,Eingaben!$B$17)*Eingaben!$B$16,0)</f>
        <v>1.938</v>
      </c>
      <c r="F4596" s="13" t="n">
        <f aca="false">IFERROR(E4596*Eingaben!$B$15,0)</f>
        <v>1.7442</v>
      </c>
      <c r="G4596" s="13" t="n">
        <f aca="false">IFERROR(IF(Kalender!A204="",0,J4595*(1-Eingaben!$B$20)),0)</f>
        <v>1.709316</v>
      </c>
      <c r="H4596" s="13" t="n">
        <f aca="false">MIN(G4596,D4596)</f>
        <v>0.89</v>
      </c>
      <c r="I4596" s="13" t="n">
        <f aca="false">IFERROR(MIN(F4596*Eingaben!$B$19,MAX(0,D4596-H4596)),0)</f>
        <v>0</v>
      </c>
      <c r="J4596" s="13" t="n">
        <f aca="false">IFERROR(MIN(Eingaben!$B$18,MAX(0,F4596-I4596)),0)</f>
        <v>1.7442</v>
      </c>
      <c r="K4596" s="13" t="n">
        <f aca="false">H4596+I4596</f>
        <v>0.89</v>
      </c>
      <c r="L4596" s="13" t="n">
        <f aca="false">MAX(0,D4596-K4596)</f>
        <v>0</v>
      </c>
      <c r="M4596" s="13" t="n">
        <f aca="false">MAX(0,F4596-I4596-J4596)</f>
        <v>0</v>
      </c>
      <c r="N4596" s="13" t="n">
        <f aca="false">IF(Kalender!A204="",0,J4595-H4596)</f>
        <v>0.8542</v>
      </c>
    </row>
    <row r="4597" customFormat="false" ht="16.4" hidden="false" customHeight="false" outlineLevel="0" collapsed="false">
      <c r="A4597" s="13" t="str">
        <f aca="false">""</f>
        <v/>
      </c>
      <c r="B4597" s="13" t="n">
        <f aca="false">201</f>
        <v>201</v>
      </c>
      <c r="C4597" s="13" t="n">
        <f aca="false">IF(Szenarien!$H$23="OK",(IFERROR(SUMIF(Nutzungsprofile!$B$6:$B$11,"Schulbetrieb",Nutzungsprofile!$G$6:$G$11)*Kalender!C205/SUM(Kalender!$C$5:$C$370),0)+IFERROR(SUMIF(Nutzungsprofile!$B$6:$B$11,"Halle",Nutzungsprofile!$G$6:$G$11)*Kalender!D205/SUM(Kalender!$D$5:$D$370),0)+IFERROR(SUMIF(Nutzungsprofile!$B$6:$B$11,"Individuell",Nutzungsprofile!$G$6:$G$11)*Kalender!E205/SUM(Kalender!$E$5:$E$370),0))*Szenarien!$E$23,0)</f>
        <v>2.04</v>
      </c>
      <c r="D4597" s="13" t="n">
        <f aca="false">IF(Szenarien!$H$23="OK",(IFERROR(SUMIF(Nutzungsprofile!$B$17:$B$22,"Schulbetrieb",Nutzungsprofile!$G$17:$G$22)*Kalender!C205/SUM(Kalender!$C$5:$C$370),0)+IFERROR(SUMIF(Nutzungsprofile!$B$17:$B$22,"Halle",Nutzungsprofile!$G$17:$G$22)*Kalender!D205/SUM(Kalender!$D$5:$D$370),0)+IFERROR(SUMIF(Nutzungsprofile!$B$17:$B$22,"Individuell",Nutzungsprofile!$G$17:$G$22)*Kalender!E205/SUM(Kalender!$E$5:$E$370),0))*Szenarien!$D$23,0)</f>
        <v>0.89</v>
      </c>
      <c r="E4597" s="13" t="n">
        <f aca="false">IFERROR(MIN(C4597,Eingaben!$B$17)*Eingaben!$B$16,0)</f>
        <v>1.938</v>
      </c>
      <c r="F4597" s="13" t="n">
        <f aca="false">IFERROR(E4597*Eingaben!$B$15,0)</f>
        <v>1.7442</v>
      </c>
      <c r="G4597" s="13" t="n">
        <f aca="false">IFERROR(IF(Kalender!A205="",0,J4596*(1-Eingaben!$B$20)),0)</f>
        <v>1.709316</v>
      </c>
      <c r="H4597" s="13" t="n">
        <f aca="false">MIN(G4597,D4597)</f>
        <v>0.89</v>
      </c>
      <c r="I4597" s="13" t="n">
        <f aca="false">IFERROR(MIN(F4597*Eingaben!$B$19,MAX(0,D4597-H4597)),0)</f>
        <v>0</v>
      </c>
      <c r="J4597" s="13" t="n">
        <f aca="false">IFERROR(MIN(Eingaben!$B$18,MAX(0,F4597-I4597)),0)</f>
        <v>1.7442</v>
      </c>
      <c r="K4597" s="13" t="n">
        <f aca="false">H4597+I4597</f>
        <v>0.89</v>
      </c>
      <c r="L4597" s="13" t="n">
        <f aca="false">MAX(0,D4597-K4597)</f>
        <v>0</v>
      </c>
      <c r="M4597" s="13" t="n">
        <f aca="false">MAX(0,F4597-I4597-J4597)</f>
        <v>0</v>
      </c>
      <c r="N4597" s="13" t="n">
        <f aca="false">IF(Kalender!A205="",0,J4596-H4597)</f>
        <v>0.8542</v>
      </c>
    </row>
    <row r="4598" customFormat="false" ht="16.4" hidden="false" customHeight="false" outlineLevel="0" collapsed="false">
      <c r="A4598" s="13" t="str">
        <f aca="false">""</f>
        <v/>
      </c>
      <c r="B4598" s="13" t="n">
        <f aca="false">202</f>
        <v>202</v>
      </c>
      <c r="C4598" s="13" t="n">
        <f aca="false">IF(Szenarien!$H$23="OK",(IFERROR(SUMIF(Nutzungsprofile!$B$6:$B$11,"Schulbetrieb",Nutzungsprofile!$G$6:$G$11)*Kalender!C206/SUM(Kalender!$C$5:$C$370),0)+IFERROR(SUMIF(Nutzungsprofile!$B$6:$B$11,"Halle",Nutzungsprofile!$G$6:$G$11)*Kalender!D206/SUM(Kalender!$D$5:$D$370),0)+IFERROR(SUMIF(Nutzungsprofile!$B$6:$B$11,"Individuell",Nutzungsprofile!$G$6:$G$11)*Kalender!E206/SUM(Kalender!$E$5:$E$370),0))*Szenarien!$E$23,0)</f>
        <v>2.04</v>
      </c>
      <c r="D4598" s="13" t="n">
        <f aca="false">IF(Szenarien!$H$23="OK",(IFERROR(SUMIF(Nutzungsprofile!$B$17:$B$22,"Schulbetrieb",Nutzungsprofile!$G$17:$G$22)*Kalender!C206/SUM(Kalender!$C$5:$C$370),0)+IFERROR(SUMIF(Nutzungsprofile!$B$17:$B$22,"Halle",Nutzungsprofile!$G$17:$G$22)*Kalender!D206/SUM(Kalender!$D$5:$D$370),0)+IFERROR(SUMIF(Nutzungsprofile!$B$17:$B$22,"Individuell",Nutzungsprofile!$G$17:$G$22)*Kalender!E206/SUM(Kalender!$E$5:$E$370),0))*Szenarien!$D$23,0)</f>
        <v>0.89</v>
      </c>
      <c r="E4598" s="13" t="n">
        <f aca="false">IFERROR(MIN(C4598,Eingaben!$B$17)*Eingaben!$B$16,0)</f>
        <v>1.938</v>
      </c>
      <c r="F4598" s="13" t="n">
        <f aca="false">IFERROR(E4598*Eingaben!$B$15,0)</f>
        <v>1.7442</v>
      </c>
      <c r="G4598" s="13" t="n">
        <f aca="false">IFERROR(IF(Kalender!A206="",0,J4597*(1-Eingaben!$B$20)),0)</f>
        <v>1.709316</v>
      </c>
      <c r="H4598" s="13" t="n">
        <f aca="false">MIN(G4598,D4598)</f>
        <v>0.89</v>
      </c>
      <c r="I4598" s="13" t="n">
        <f aca="false">IFERROR(MIN(F4598*Eingaben!$B$19,MAX(0,D4598-H4598)),0)</f>
        <v>0</v>
      </c>
      <c r="J4598" s="13" t="n">
        <f aca="false">IFERROR(MIN(Eingaben!$B$18,MAX(0,F4598-I4598)),0)</f>
        <v>1.7442</v>
      </c>
      <c r="K4598" s="13" t="n">
        <f aca="false">H4598+I4598</f>
        <v>0.89</v>
      </c>
      <c r="L4598" s="13" t="n">
        <f aca="false">MAX(0,D4598-K4598)</f>
        <v>0</v>
      </c>
      <c r="M4598" s="13" t="n">
        <f aca="false">MAX(0,F4598-I4598-J4598)</f>
        <v>0</v>
      </c>
      <c r="N4598" s="13" t="n">
        <f aca="false">IF(Kalender!A206="",0,J4597-H4598)</f>
        <v>0.8542</v>
      </c>
    </row>
    <row r="4599" customFormat="false" ht="16.4" hidden="false" customHeight="false" outlineLevel="0" collapsed="false">
      <c r="A4599" s="13" t="str">
        <f aca="false">""</f>
        <v/>
      </c>
      <c r="B4599" s="13" t="n">
        <f aca="false">203</f>
        <v>203</v>
      </c>
      <c r="C4599" s="13" t="n">
        <f aca="false">IF(Szenarien!$H$23="OK",(IFERROR(SUMIF(Nutzungsprofile!$B$6:$B$11,"Schulbetrieb",Nutzungsprofile!$G$6:$G$11)*Kalender!C207/SUM(Kalender!$C$5:$C$370),0)+IFERROR(SUMIF(Nutzungsprofile!$B$6:$B$11,"Halle",Nutzungsprofile!$G$6:$G$11)*Kalender!D207/SUM(Kalender!$D$5:$D$370),0)+IFERROR(SUMIF(Nutzungsprofile!$B$6:$B$11,"Individuell",Nutzungsprofile!$G$6:$G$11)*Kalender!E207/SUM(Kalender!$E$5:$E$370),0))*Szenarien!$E$23,0)</f>
        <v>2.04</v>
      </c>
      <c r="D4599" s="13" t="n">
        <f aca="false">IF(Szenarien!$H$23="OK",(IFERROR(SUMIF(Nutzungsprofile!$B$17:$B$22,"Schulbetrieb",Nutzungsprofile!$G$17:$G$22)*Kalender!C207/SUM(Kalender!$C$5:$C$370),0)+IFERROR(SUMIF(Nutzungsprofile!$B$17:$B$22,"Halle",Nutzungsprofile!$G$17:$G$22)*Kalender!D207/SUM(Kalender!$D$5:$D$370),0)+IFERROR(SUMIF(Nutzungsprofile!$B$17:$B$22,"Individuell",Nutzungsprofile!$G$17:$G$22)*Kalender!E207/SUM(Kalender!$E$5:$E$370),0))*Szenarien!$D$23,0)</f>
        <v>0.89</v>
      </c>
      <c r="E4599" s="13" t="n">
        <f aca="false">IFERROR(MIN(C4599,Eingaben!$B$17)*Eingaben!$B$16,0)</f>
        <v>1.938</v>
      </c>
      <c r="F4599" s="13" t="n">
        <f aca="false">IFERROR(E4599*Eingaben!$B$15,0)</f>
        <v>1.7442</v>
      </c>
      <c r="G4599" s="13" t="n">
        <f aca="false">IFERROR(IF(Kalender!A207="",0,J4598*(1-Eingaben!$B$20)),0)</f>
        <v>1.709316</v>
      </c>
      <c r="H4599" s="13" t="n">
        <f aca="false">MIN(G4599,D4599)</f>
        <v>0.89</v>
      </c>
      <c r="I4599" s="13" t="n">
        <f aca="false">IFERROR(MIN(F4599*Eingaben!$B$19,MAX(0,D4599-H4599)),0)</f>
        <v>0</v>
      </c>
      <c r="J4599" s="13" t="n">
        <f aca="false">IFERROR(MIN(Eingaben!$B$18,MAX(0,F4599-I4599)),0)</f>
        <v>1.7442</v>
      </c>
      <c r="K4599" s="13" t="n">
        <f aca="false">H4599+I4599</f>
        <v>0.89</v>
      </c>
      <c r="L4599" s="13" t="n">
        <f aca="false">MAX(0,D4599-K4599)</f>
        <v>0</v>
      </c>
      <c r="M4599" s="13" t="n">
        <f aca="false">MAX(0,F4599-I4599-J4599)</f>
        <v>0</v>
      </c>
      <c r="N4599" s="13" t="n">
        <f aca="false">IF(Kalender!A207="",0,J4598-H4599)</f>
        <v>0.8542</v>
      </c>
    </row>
    <row r="4600" customFormat="false" ht="16.4" hidden="false" customHeight="false" outlineLevel="0" collapsed="false">
      <c r="A4600" s="13" t="str">
        <f aca="false">""</f>
        <v/>
      </c>
      <c r="B4600" s="13" t="n">
        <f aca="false">204</f>
        <v>204</v>
      </c>
      <c r="C4600" s="13" t="n">
        <f aca="false">IF(Szenarien!$H$23="OK",(IFERROR(SUMIF(Nutzungsprofile!$B$6:$B$11,"Schulbetrieb",Nutzungsprofile!$G$6:$G$11)*Kalender!C208/SUM(Kalender!$C$5:$C$370),0)+IFERROR(SUMIF(Nutzungsprofile!$B$6:$B$11,"Halle",Nutzungsprofile!$G$6:$G$11)*Kalender!D208/SUM(Kalender!$D$5:$D$370),0)+IFERROR(SUMIF(Nutzungsprofile!$B$6:$B$11,"Individuell",Nutzungsprofile!$G$6:$G$11)*Kalender!E208/SUM(Kalender!$E$5:$E$370),0))*Szenarien!$E$23,0)</f>
        <v>2.04</v>
      </c>
      <c r="D4600" s="13" t="n">
        <f aca="false">IF(Szenarien!$H$23="OK",(IFERROR(SUMIF(Nutzungsprofile!$B$17:$B$22,"Schulbetrieb",Nutzungsprofile!$G$17:$G$22)*Kalender!C208/SUM(Kalender!$C$5:$C$370),0)+IFERROR(SUMIF(Nutzungsprofile!$B$17:$B$22,"Halle",Nutzungsprofile!$G$17:$G$22)*Kalender!D208/SUM(Kalender!$D$5:$D$370),0)+IFERROR(SUMIF(Nutzungsprofile!$B$17:$B$22,"Individuell",Nutzungsprofile!$G$17:$G$22)*Kalender!E208/SUM(Kalender!$E$5:$E$370),0))*Szenarien!$D$23,0)</f>
        <v>0.89</v>
      </c>
      <c r="E4600" s="13" t="n">
        <f aca="false">IFERROR(MIN(C4600,Eingaben!$B$17)*Eingaben!$B$16,0)</f>
        <v>1.938</v>
      </c>
      <c r="F4600" s="13" t="n">
        <f aca="false">IFERROR(E4600*Eingaben!$B$15,0)</f>
        <v>1.7442</v>
      </c>
      <c r="G4600" s="13" t="n">
        <f aca="false">IFERROR(IF(Kalender!A208="",0,J4599*(1-Eingaben!$B$20)),0)</f>
        <v>1.709316</v>
      </c>
      <c r="H4600" s="13" t="n">
        <f aca="false">MIN(G4600,D4600)</f>
        <v>0.89</v>
      </c>
      <c r="I4600" s="13" t="n">
        <f aca="false">IFERROR(MIN(F4600*Eingaben!$B$19,MAX(0,D4600-H4600)),0)</f>
        <v>0</v>
      </c>
      <c r="J4600" s="13" t="n">
        <f aca="false">IFERROR(MIN(Eingaben!$B$18,MAX(0,F4600-I4600)),0)</f>
        <v>1.7442</v>
      </c>
      <c r="K4600" s="13" t="n">
        <f aca="false">H4600+I4600</f>
        <v>0.89</v>
      </c>
      <c r="L4600" s="13" t="n">
        <f aca="false">MAX(0,D4600-K4600)</f>
        <v>0</v>
      </c>
      <c r="M4600" s="13" t="n">
        <f aca="false">MAX(0,F4600-I4600-J4600)</f>
        <v>0</v>
      </c>
      <c r="N4600" s="13" t="n">
        <f aca="false">IF(Kalender!A208="",0,J4599-H4600)</f>
        <v>0.8542</v>
      </c>
    </row>
    <row r="4601" customFormat="false" ht="16.4" hidden="false" customHeight="false" outlineLevel="0" collapsed="false">
      <c r="A4601" s="13" t="str">
        <f aca="false">""</f>
        <v/>
      </c>
      <c r="B4601" s="13" t="n">
        <f aca="false">205</f>
        <v>205</v>
      </c>
      <c r="C4601" s="13" t="n">
        <f aca="false">IF(Szenarien!$H$23="OK",(IFERROR(SUMIF(Nutzungsprofile!$B$6:$B$11,"Schulbetrieb",Nutzungsprofile!$G$6:$G$11)*Kalender!C209/SUM(Kalender!$C$5:$C$370),0)+IFERROR(SUMIF(Nutzungsprofile!$B$6:$B$11,"Halle",Nutzungsprofile!$G$6:$G$11)*Kalender!D209/SUM(Kalender!$D$5:$D$370),0)+IFERROR(SUMIF(Nutzungsprofile!$B$6:$B$11,"Individuell",Nutzungsprofile!$G$6:$G$11)*Kalender!E209/SUM(Kalender!$E$5:$E$370),0))*Szenarien!$E$23,0)</f>
        <v>2.04</v>
      </c>
      <c r="D4601" s="13" t="n">
        <f aca="false">IF(Szenarien!$H$23="OK",(IFERROR(SUMIF(Nutzungsprofile!$B$17:$B$22,"Schulbetrieb",Nutzungsprofile!$G$17:$G$22)*Kalender!C209/SUM(Kalender!$C$5:$C$370),0)+IFERROR(SUMIF(Nutzungsprofile!$B$17:$B$22,"Halle",Nutzungsprofile!$G$17:$G$22)*Kalender!D209/SUM(Kalender!$D$5:$D$370),0)+IFERROR(SUMIF(Nutzungsprofile!$B$17:$B$22,"Individuell",Nutzungsprofile!$G$17:$G$22)*Kalender!E209/SUM(Kalender!$E$5:$E$370),0))*Szenarien!$D$23,0)</f>
        <v>0.89</v>
      </c>
      <c r="E4601" s="13" t="n">
        <f aca="false">IFERROR(MIN(C4601,Eingaben!$B$17)*Eingaben!$B$16,0)</f>
        <v>1.938</v>
      </c>
      <c r="F4601" s="13" t="n">
        <f aca="false">IFERROR(E4601*Eingaben!$B$15,0)</f>
        <v>1.7442</v>
      </c>
      <c r="G4601" s="13" t="n">
        <f aca="false">IFERROR(IF(Kalender!A209="",0,J4600*(1-Eingaben!$B$20)),0)</f>
        <v>1.709316</v>
      </c>
      <c r="H4601" s="13" t="n">
        <f aca="false">MIN(G4601,D4601)</f>
        <v>0.89</v>
      </c>
      <c r="I4601" s="13" t="n">
        <f aca="false">IFERROR(MIN(F4601*Eingaben!$B$19,MAX(0,D4601-H4601)),0)</f>
        <v>0</v>
      </c>
      <c r="J4601" s="13" t="n">
        <f aca="false">IFERROR(MIN(Eingaben!$B$18,MAX(0,F4601-I4601)),0)</f>
        <v>1.7442</v>
      </c>
      <c r="K4601" s="13" t="n">
        <f aca="false">H4601+I4601</f>
        <v>0.89</v>
      </c>
      <c r="L4601" s="13" t="n">
        <f aca="false">MAX(0,D4601-K4601)</f>
        <v>0</v>
      </c>
      <c r="M4601" s="13" t="n">
        <f aca="false">MAX(0,F4601-I4601-J4601)</f>
        <v>0</v>
      </c>
      <c r="N4601" s="13" t="n">
        <f aca="false">IF(Kalender!A209="",0,J4600-H4601)</f>
        <v>0.8542</v>
      </c>
    </row>
    <row r="4602" customFormat="false" ht="16.4" hidden="false" customHeight="false" outlineLevel="0" collapsed="false">
      <c r="A4602" s="13" t="str">
        <f aca="false">""</f>
        <v/>
      </c>
      <c r="B4602" s="13" t="n">
        <f aca="false">206</f>
        <v>206</v>
      </c>
      <c r="C4602" s="13" t="n">
        <f aca="false">IF(Szenarien!$H$23="OK",(IFERROR(SUMIF(Nutzungsprofile!$B$6:$B$11,"Schulbetrieb",Nutzungsprofile!$G$6:$G$11)*Kalender!C210/SUM(Kalender!$C$5:$C$370),0)+IFERROR(SUMIF(Nutzungsprofile!$B$6:$B$11,"Halle",Nutzungsprofile!$G$6:$G$11)*Kalender!D210/SUM(Kalender!$D$5:$D$370),0)+IFERROR(SUMIF(Nutzungsprofile!$B$6:$B$11,"Individuell",Nutzungsprofile!$G$6:$G$11)*Kalender!E210/SUM(Kalender!$E$5:$E$370),0))*Szenarien!$E$23,0)</f>
        <v>2.04</v>
      </c>
      <c r="D4602" s="13" t="n">
        <f aca="false">IF(Szenarien!$H$23="OK",(IFERROR(SUMIF(Nutzungsprofile!$B$17:$B$22,"Schulbetrieb",Nutzungsprofile!$G$17:$G$22)*Kalender!C210/SUM(Kalender!$C$5:$C$370),0)+IFERROR(SUMIF(Nutzungsprofile!$B$17:$B$22,"Halle",Nutzungsprofile!$G$17:$G$22)*Kalender!D210/SUM(Kalender!$D$5:$D$370),0)+IFERROR(SUMIF(Nutzungsprofile!$B$17:$B$22,"Individuell",Nutzungsprofile!$G$17:$G$22)*Kalender!E210/SUM(Kalender!$E$5:$E$370),0))*Szenarien!$D$23,0)</f>
        <v>0.89</v>
      </c>
      <c r="E4602" s="13" t="n">
        <f aca="false">IFERROR(MIN(C4602,Eingaben!$B$17)*Eingaben!$B$16,0)</f>
        <v>1.938</v>
      </c>
      <c r="F4602" s="13" t="n">
        <f aca="false">IFERROR(E4602*Eingaben!$B$15,0)</f>
        <v>1.7442</v>
      </c>
      <c r="G4602" s="13" t="n">
        <f aca="false">IFERROR(IF(Kalender!A210="",0,J4601*(1-Eingaben!$B$20)),0)</f>
        <v>1.709316</v>
      </c>
      <c r="H4602" s="13" t="n">
        <f aca="false">MIN(G4602,D4602)</f>
        <v>0.89</v>
      </c>
      <c r="I4602" s="13" t="n">
        <f aca="false">IFERROR(MIN(F4602*Eingaben!$B$19,MAX(0,D4602-H4602)),0)</f>
        <v>0</v>
      </c>
      <c r="J4602" s="13" t="n">
        <f aca="false">IFERROR(MIN(Eingaben!$B$18,MAX(0,F4602-I4602)),0)</f>
        <v>1.7442</v>
      </c>
      <c r="K4602" s="13" t="n">
        <f aca="false">H4602+I4602</f>
        <v>0.89</v>
      </c>
      <c r="L4602" s="13" t="n">
        <f aca="false">MAX(0,D4602-K4602)</f>
        <v>0</v>
      </c>
      <c r="M4602" s="13" t="n">
        <f aca="false">MAX(0,F4602-I4602-J4602)</f>
        <v>0</v>
      </c>
      <c r="N4602" s="13" t="n">
        <f aca="false">IF(Kalender!A210="",0,J4601-H4602)</f>
        <v>0.8542</v>
      </c>
    </row>
    <row r="4603" customFormat="false" ht="16.4" hidden="false" customHeight="false" outlineLevel="0" collapsed="false">
      <c r="A4603" s="13" t="str">
        <f aca="false">""</f>
        <v/>
      </c>
      <c r="B4603" s="13" t="n">
        <f aca="false">207</f>
        <v>207</v>
      </c>
      <c r="C4603" s="13" t="n">
        <f aca="false">IF(Szenarien!$H$23="OK",(IFERROR(SUMIF(Nutzungsprofile!$B$6:$B$11,"Schulbetrieb",Nutzungsprofile!$G$6:$G$11)*Kalender!C211/SUM(Kalender!$C$5:$C$370),0)+IFERROR(SUMIF(Nutzungsprofile!$B$6:$B$11,"Halle",Nutzungsprofile!$G$6:$G$11)*Kalender!D211/SUM(Kalender!$D$5:$D$370),0)+IFERROR(SUMIF(Nutzungsprofile!$B$6:$B$11,"Individuell",Nutzungsprofile!$G$6:$G$11)*Kalender!E211/SUM(Kalender!$E$5:$E$370),0))*Szenarien!$E$23,0)</f>
        <v>2.04</v>
      </c>
      <c r="D4603" s="13" t="n">
        <f aca="false">IF(Szenarien!$H$23="OK",(IFERROR(SUMIF(Nutzungsprofile!$B$17:$B$22,"Schulbetrieb",Nutzungsprofile!$G$17:$G$22)*Kalender!C211/SUM(Kalender!$C$5:$C$370),0)+IFERROR(SUMIF(Nutzungsprofile!$B$17:$B$22,"Halle",Nutzungsprofile!$G$17:$G$22)*Kalender!D211/SUM(Kalender!$D$5:$D$370),0)+IFERROR(SUMIF(Nutzungsprofile!$B$17:$B$22,"Individuell",Nutzungsprofile!$G$17:$G$22)*Kalender!E211/SUM(Kalender!$E$5:$E$370),0))*Szenarien!$D$23,0)</f>
        <v>0.89</v>
      </c>
      <c r="E4603" s="13" t="n">
        <f aca="false">IFERROR(MIN(C4603,Eingaben!$B$17)*Eingaben!$B$16,0)</f>
        <v>1.938</v>
      </c>
      <c r="F4603" s="13" t="n">
        <f aca="false">IFERROR(E4603*Eingaben!$B$15,0)</f>
        <v>1.7442</v>
      </c>
      <c r="G4603" s="13" t="n">
        <f aca="false">IFERROR(IF(Kalender!A211="",0,J4602*(1-Eingaben!$B$20)),0)</f>
        <v>1.709316</v>
      </c>
      <c r="H4603" s="13" t="n">
        <f aca="false">MIN(G4603,D4603)</f>
        <v>0.89</v>
      </c>
      <c r="I4603" s="13" t="n">
        <f aca="false">IFERROR(MIN(F4603*Eingaben!$B$19,MAX(0,D4603-H4603)),0)</f>
        <v>0</v>
      </c>
      <c r="J4603" s="13" t="n">
        <f aca="false">IFERROR(MIN(Eingaben!$B$18,MAX(0,F4603-I4603)),0)</f>
        <v>1.7442</v>
      </c>
      <c r="K4603" s="13" t="n">
        <f aca="false">H4603+I4603</f>
        <v>0.89</v>
      </c>
      <c r="L4603" s="13" t="n">
        <f aca="false">MAX(0,D4603-K4603)</f>
        <v>0</v>
      </c>
      <c r="M4603" s="13" t="n">
        <f aca="false">MAX(0,F4603-I4603-J4603)</f>
        <v>0</v>
      </c>
      <c r="N4603" s="13" t="n">
        <f aca="false">IF(Kalender!A211="",0,J4602-H4603)</f>
        <v>0.8542</v>
      </c>
    </row>
    <row r="4604" customFormat="false" ht="16.4" hidden="false" customHeight="false" outlineLevel="0" collapsed="false">
      <c r="A4604" s="13" t="str">
        <f aca="false">""</f>
        <v/>
      </c>
      <c r="B4604" s="13" t="n">
        <f aca="false">208</f>
        <v>208</v>
      </c>
      <c r="C4604" s="13" t="n">
        <f aca="false">IF(Szenarien!$H$23="OK",(IFERROR(SUMIF(Nutzungsprofile!$B$6:$B$11,"Schulbetrieb",Nutzungsprofile!$G$6:$G$11)*Kalender!C212/SUM(Kalender!$C$5:$C$370),0)+IFERROR(SUMIF(Nutzungsprofile!$B$6:$B$11,"Halle",Nutzungsprofile!$G$6:$G$11)*Kalender!D212/SUM(Kalender!$D$5:$D$370),0)+IFERROR(SUMIF(Nutzungsprofile!$B$6:$B$11,"Individuell",Nutzungsprofile!$G$6:$G$11)*Kalender!E212/SUM(Kalender!$E$5:$E$370),0))*Szenarien!$E$23,0)</f>
        <v>2.04</v>
      </c>
      <c r="D4604" s="13" t="n">
        <f aca="false">IF(Szenarien!$H$23="OK",(IFERROR(SUMIF(Nutzungsprofile!$B$17:$B$22,"Schulbetrieb",Nutzungsprofile!$G$17:$G$22)*Kalender!C212/SUM(Kalender!$C$5:$C$370),0)+IFERROR(SUMIF(Nutzungsprofile!$B$17:$B$22,"Halle",Nutzungsprofile!$G$17:$G$22)*Kalender!D212/SUM(Kalender!$D$5:$D$370),0)+IFERROR(SUMIF(Nutzungsprofile!$B$17:$B$22,"Individuell",Nutzungsprofile!$G$17:$G$22)*Kalender!E212/SUM(Kalender!$E$5:$E$370),0))*Szenarien!$D$23,0)</f>
        <v>0.89</v>
      </c>
      <c r="E4604" s="13" t="n">
        <f aca="false">IFERROR(MIN(C4604,Eingaben!$B$17)*Eingaben!$B$16,0)</f>
        <v>1.938</v>
      </c>
      <c r="F4604" s="13" t="n">
        <f aca="false">IFERROR(E4604*Eingaben!$B$15,0)</f>
        <v>1.7442</v>
      </c>
      <c r="G4604" s="13" t="n">
        <f aca="false">IFERROR(IF(Kalender!A212="",0,J4603*(1-Eingaben!$B$20)),0)</f>
        <v>1.709316</v>
      </c>
      <c r="H4604" s="13" t="n">
        <f aca="false">MIN(G4604,D4604)</f>
        <v>0.89</v>
      </c>
      <c r="I4604" s="13" t="n">
        <f aca="false">IFERROR(MIN(F4604*Eingaben!$B$19,MAX(0,D4604-H4604)),0)</f>
        <v>0</v>
      </c>
      <c r="J4604" s="13" t="n">
        <f aca="false">IFERROR(MIN(Eingaben!$B$18,MAX(0,F4604-I4604)),0)</f>
        <v>1.7442</v>
      </c>
      <c r="K4604" s="13" t="n">
        <f aca="false">H4604+I4604</f>
        <v>0.89</v>
      </c>
      <c r="L4604" s="13" t="n">
        <f aca="false">MAX(0,D4604-K4604)</f>
        <v>0</v>
      </c>
      <c r="M4604" s="13" t="n">
        <f aca="false">MAX(0,F4604-I4604-J4604)</f>
        <v>0</v>
      </c>
      <c r="N4604" s="13" t="n">
        <f aca="false">IF(Kalender!A212="",0,J4603-H4604)</f>
        <v>0.8542</v>
      </c>
    </row>
    <row r="4605" customFormat="false" ht="16.4" hidden="false" customHeight="false" outlineLevel="0" collapsed="false">
      <c r="A4605" s="13" t="str">
        <f aca="false">""</f>
        <v/>
      </c>
      <c r="B4605" s="13" t="n">
        <f aca="false">209</f>
        <v>209</v>
      </c>
      <c r="C4605" s="13" t="n">
        <f aca="false">IF(Szenarien!$H$23="OK",(IFERROR(SUMIF(Nutzungsprofile!$B$6:$B$11,"Schulbetrieb",Nutzungsprofile!$G$6:$G$11)*Kalender!C213/SUM(Kalender!$C$5:$C$370),0)+IFERROR(SUMIF(Nutzungsprofile!$B$6:$B$11,"Halle",Nutzungsprofile!$G$6:$G$11)*Kalender!D213/SUM(Kalender!$D$5:$D$370),0)+IFERROR(SUMIF(Nutzungsprofile!$B$6:$B$11,"Individuell",Nutzungsprofile!$G$6:$G$11)*Kalender!E213/SUM(Kalender!$E$5:$E$370),0))*Szenarien!$E$23,0)</f>
        <v>2.04</v>
      </c>
      <c r="D4605" s="13" t="n">
        <f aca="false">IF(Szenarien!$H$23="OK",(IFERROR(SUMIF(Nutzungsprofile!$B$17:$B$22,"Schulbetrieb",Nutzungsprofile!$G$17:$G$22)*Kalender!C213/SUM(Kalender!$C$5:$C$370),0)+IFERROR(SUMIF(Nutzungsprofile!$B$17:$B$22,"Halle",Nutzungsprofile!$G$17:$G$22)*Kalender!D213/SUM(Kalender!$D$5:$D$370),0)+IFERROR(SUMIF(Nutzungsprofile!$B$17:$B$22,"Individuell",Nutzungsprofile!$G$17:$G$22)*Kalender!E213/SUM(Kalender!$E$5:$E$370),0))*Szenarien!$D$23,0)</f>
        <v>0.89</v>
      </c>
      <c r="E4605" s="13" t="n">
        <f aca="false">IFERROR(MIN(C4605,Eingaben!$B$17)*Eingaben!$B$16,0)</f>
        <v>1.938</v>
      </c>
      <c r="F4605" s="13" t="n">
        <f aca="false">IFERROR(E4605*Eingaben!$B$15,0)</f>
        <v>1.7442</v>
      </c>
      <c r="G4605" s="13" t="n">
        <f aca="false">IFERROR(IF(Kalender!A213="",0,J4604*(1-Eingaben!$B$20)),0)</f>
        <v>1.709316</v>
      </c>
      <c r="H4605" s="13" t="n">
        <f aca="false">MIN(G4605,D4605)</f>
        <v>0.89</v>
      </c>
      <c r="I4605" s="13" t="n">
        <f aca="false">IFERROR(MIN(F4605*Eingaben!$B$19,MAX(0,D4605-H4605)),0)</f>
        <v>0</v>
      </c>
      <c r="J4605" s="13" t="n">
        <f aca="false">IFERROR(MIN(Eingaben!$B$18,MAX(0,F4605-I4605)),0)</f>
        <v>1.7442</v>
      </c>
      <c r="K4605" s="13" t="n">
        <f aca="false">H4605+I4605</f>
        <v>0.89</v>
      </c>
      <c r="L4605" s="13" t="n">
        <f aca="false">MAX(0,D4605-K4605)</f>
        <v>0</v>
      </c>
      <c r="M4605" s="13" t="n">
        <f aca="false">MAX(0,F4605-I4605-J4605)</f>
        <v>0</v>
      </c>
      <c r="N4605" s="13" t="n">
        <f aca="false">IF(Kalender!A213="",0,J4604-H4605)</f>
        <v>0.8542</v>
      </c>
    </row>
    <row r="4606" customFormat="false" ht="16.4" hidden="false" customHeight="false" outlineLevel="0" collapsed="false">
      <c r="A4606" s="13" t="str">
        <f aca="false">""</f>
        <v/>
      </c>
      <c r="B4606" s="13" t="n">
        <f aca="false">210</f>
        <v>210</v>
      </c>
      <c r="C4606" s="13" t="n">
        <f aca="false">IF(Szenarien!$H$23="OK",(IFERROR(SUMIF(Nutzungsprofile!$B$6:$B$11,"Schulbetrieb",Nutzungsprofile!$G$6:$G$11)*Kalender!C214/SUM(Kalender!$C$5:$C$370),0)+IFERROR(SUMIF(Nutzungsprofile!$B$6:$B$11,"Halle",Nutzungsprofile!$G$6:$G$11)*Kalender!D214/SUM(Kalender!$D$5:$D$370),0)+IFERROR(SUMIF(Nutzungsprofile!$B$6:$B$11,"Individuell",Nutzungsprofile!$G$6:$G$11)*Kalender!E214/SUM(Kalender!$E$5:$E$370),0))*Szenarien!$E$23,0)</f>
        <v>2.04</v>
      </c>
      <c r="D4606" s="13" t="n">
        <f aca="false">IF(Szenarien!$H$23="OK",(IFERROR(SUMIF(Nutzungsprofile!$B$17:$B$22,"Schulbetrieb",Nutzungsprofile!$G$17:$G$22)*Kalender!C214/SUM(Kalender!$C$5:$C$370),0)+IFERROR(SUMIF(Nutzungsprofile!$B$17:$B$22,"Halle",Nutzungsprofile!$G$17:$G$22)*Kalender!D214/SUM(Kalender!$D$5:$D$370),0)+IFERROR(SUMIF(Nutzungsprofile!$B$17:$B$22,"Individuell",Nutzungsprofile!$G$17:$G$22)*Kalender!E214/SUM(Kalender!$E$5:$E$370),0))*Szenarien!$D$23,0)</f>
        <v>0.89</v>
      </c>
      <c r="E4606" s="13" t="n">
        <f aca="false">IFERROR(MIN(C4606,Eingaben!$B$17)*Eingaben!$B$16,0)</f>
        <v>1.938</v>
      </c>
      <c r="F4606" s="13" t="n">
        <f aca="false">IFERROR(E4606*Eingaben!$B$15,0)</f>
        <v>1.7442</v>
      </c>
      <c r="G4606" s="13" t="n">
        <f aca="false">IFERROR(IF(Kalender!A214="",0,J4605*(1-Eingaben!$B$20)),0)</f>
        <v>1.709316</v>
      </c>
      <c r="H4606" s="13" t="n">
        <f aca="false">MIN(G4606,D4606)</f>
        <v>0.89</v>
      </c>
      <c r="I4606" s="13" t="n">
        <f aca="false">IFERROR(MIN(F4606*Eingaben!$B$19,MAX(0,D4606-H4606)),0)</f>
        <v>0</v>
      </c>
      <c r="J4606" s="13" t="n">
        <f aca="false">IFERROR(MIN(Eingaben!$B$18,MAX(0,F4606-I4606)),0)</f>
        <v>1.7442</v>
      </c>
      <c r="K4606" s="13" t="n">
        <f aca="false">H4606+I4606</f>
        <v>0.89</v>
      </c>
      <c r="L4606" s="13" t="n">
        <f aca="false">MAX(0,D4606-K4606)</f>
        <v>0</v>
      </c>
      <c r="M4606" s="13" t="n">
        <f aca="false">MAX(0,F4606-I4606-J4606)</f>
        <v>0</v>
      </c>
      <c r="N4606" s="13" t="n">
        <f aca="false">IF(Kalender!A214="",0,J4605-H4606)</f>
        <v>0.8542</v>
      </c>
    </row>
    <row r="4607" customFormat="false" ht="16.4" hidden="false" customHeight="false" outlineLevel="0" collapsed="false">
      <c r="A4607" s="13" t="str">
        <f aca="false">""</f>
        <v/>
      </c>
      <c r="B4607" s="13" t="n">
        <f aca="false">211</f>
        <v>211</v>
      </c>
      <c r="C4607" s="13" t="n">
        <f aca="false">IF(Szenarien!$H$23="OK",(IFERROR(SUMIF(Nutzungsprofile!$B$6:$B$11,"Schulbetrieb",Nutzungsprofile!$G$6:$G$11)*Kalender!C215/SUM(Kalender!$C$5:$C$370),0)+IFERROR(SUMIF(Nutzungsprofile!$B$6:$B$11,"Halle",Nutzungsprofile!$G$6:$G$11)*Kalender!D215/SUM(Kalender!$D$5:$D$370),0)+IFERROR(SUMIF(Nutzungsprofile!$B$6:$B$11,"Individuell",Nutzungsprofile!$G$6:$G$11)*Kalender!E215/SUM(Kalender!$E$5:$E$370),0))*Szenarien!$E$23,0)</f>
        <v>2.04</v>
      </c>
      <c r="D4607" s="13" t="n">
        <f aca="false">IF(Szenarien!$H$23="OK",(IFERROR(SUMIF(Nutzungsprofile!$B$17:$B$22,"Schulbetrieb",Nutzungsprofile!$G$17:$G$22)*Kalender!C215/SUM(Kalender!$C$5:$C$370),0)+IFERROR(SUMIF(Nutzungsprofile!$B$17:$B$22,"Halle",Nutzungsprofile!$G$17:$G$22)*Kalender!D215/SUM(Kalender!$D$5:$D$370),0)+IFERROR(SUMIF(Nutzungsprofile!$B$17:$B$22,"Individuell",Nutzungsprofile!$G$17:$G$22)*Kalender!E215/SUM(Kalender!$E$5:$E$370),0))*Szenarien!$D$23,0)</f>
        <v>0.89</v>
      </c>
      <c r="E4607" s="13" t="n">
        <f aca="false">IFERROR(MIN(C4607,Eingaben!$B$17)*Eingaben!$B$16,0)</f>
        <v>1.938</v>
      </c>
      <c r="F4607" s="13" t="n">
        <f aca="false">IFERROR(E4607*Eingaben!$B$15,0)</f>
        <v>1.7442</v>
      </c>
      <c r="G4607" s="13" t="n">
        <f aca="false">IFERROR(IF(Kalender!A215="",0,J4606*(1-Eingaben!$B$20)),0)</f>
        <v>1.709316</v>
      </c>
      <c r="H4607" s="13" t="n">
        <f aca="false">MIN(G4607,D4607)</f>
        <v>0.89</v>
      </c>
      <c r="I4607" s="13" t="n">
        <f aca="false">IFERROR(MIN(F4607*Eingaben!$B$19,MAX(0,D4607-H4607)),0)</f>
        <v>0</v>
      </c>
      <c r="J4607" s="13" t="n">
        <f aca="false">IFERROR(MIN(Eingaben!$B$18,MAX(0,F4607-I4607)),0)</f>
        <v>1.7442</v>
      </c>
      <c r="K4607" s="13" t="n">
        <f aca="false">H4607+I4607</f>
        <v>0.89</v>
      </c>
      <c r="L4607" s="13" t="n">
        <f aca="false">MAX(0,D4607-K4607)</f>
        <v>0</v>
      </c>
      <c r="M4607" s="13" t="n">
        <f aca="false">MAX(0,F4607-I4607-J4607)</f>
        <v>0</v>
      </c>
      <c r="N4607" s="13" t="n">
        <f aca="false">IF(Kalender!A215="",0,J4606-H4607)</f>
        <v>0.8542</v>
      </c>
    </row>
    <row r="4608" customFormat="false" ht="16.4" hidden="false" customHeight="false" outlineLevel="0" collapsed="false">
      <c r="A4608" s="13" t="str">
        <f aca="false">""</f>
        <v/>
      </c>
      <c r="B4608" s="13" t="n">
        <f aca="false">212</f>
        <v>212</v>
      </c>
      <c r="C4608" s="13" t="n">
        <f aca="false">IF(Szenarien!$H$23="OK",(IFERROR(SUMIF(Nutzungsprofile!$B$6:$B$11,"Schulbetrieb",Nutzungsprofile!$G$6:$G$11)*Kalender!C216/SUM(Kalender!$C$5:$C$370),0)+IFERROR(SUMIF(Nutzungsprofile!$B$6:$B$11,"Halle",Nutzungsprofile!$G$6:$G$11)*Kalender!D216/SUM(Kalender!$D$5:$D$370),0)+IFERROR(SUMIF(Nutzungsprofile!$B$6:$B$11,"Individuell",Nutzungsprofile!$G$6:$G$11)*Kalender!E216/SUM(Kalender!$E$5:$E$370),0))*Szenarien!$E$23,0)</f>
        <v>2.04</v>
      </c>
      <c r="D4608" s="13" t="n">
        <f aca="false">IF(Szenarien!$H$23="OK",(IFERROR(SUMIF(Nutzungsprofile!$B$17:$B$22,"Schulbetrieb",Nutzungsprofile!$G$17:$G$22)*Kalender!C216/SUM(Kalender!$C$5:$C$370),0)+IFERROR(SUMIF(Nutzungsprofile!$B$17:$B$22,"Halle",Nutzungsprofile!$G$17:$G$22)*Kalender!D216/SUM(Kalender!$D$5:$D$370),0)+IFERROR(SUMIF(Nutzungsprofile!$B$17:$B$22,"Individuell",Nutzungsprofile!$G$17:$G$22)*Kalender!E216/SUM(Kalender!$E$5:$E$370),0))*Szenarien!$D$23,0)</f>
        <v>0.89</v>
      </c>
      <c r="E4608" s="13" t="n">
        <f aca="false">IFERROR(MIN(C4608,Eingaben!$B$17)*Eingaben!$B$16,0)</f>
        <v>1.938</v>
      </c>
      <c r="F4608" s="13" t="n">
        <f aca="false">IFERROR(E4608*Eingaben!$B$15,0)</f>
        <v>1.7442</v>
      </c>
      <c r="G4608" s="13" t="n">
        <f aca="false">IFERROR(IF(Kalender!A216="",0,J4607*(1-Eingaben!$B$20)),0)</f>
        <v>1.709316</v>
      </c>
      <c r="H4608" s="13" t="n">
        <f aca="false">MIN(G4608,D4608)</f>
        <v>0.89</v>
      </c>
      <c r="I4608" s="13" t="n">
        <f aca="false">IFERROR(MIN(F4608*Eingaben!$B$19,MAX(0,D4608-H4608)),0)</f>
        <v>0</v>
      </c>
      <c r="J4608" s="13" t="n">
        <f aca="false">IFERROR(MIN(Eingaben!$B$18,MAX(0,F4608-I4608)),0)</f>
        <v>1.7442</v>
      </c>
      <c r="K4608" s="13" t="n">
        <f aca="false">H4608+I4608</f>
        <v>0.89</v>
      </c>
      <c r="L4608" s="13" t="n">
        <f aca="false">MAX(0,D4608-K4608)</f>
        <v>0</v>
      </c>
      <c r="M4608" s="13" t="n">
        <f aca="false">MAX(0,F4608-I4608-J4608)</f>
        <v>0</v>
      </c>
      <c r="N4608" s="13" t="n">
        <f aca="false">IF(Kalender!A216="",0,J4607-H4608)</f>
        <v>0.8542</v>
      </c>
    </row>
    <row r="4609" customFormat="false" ht="16.4" hidden="false" customHeight="false" outlineLevel="0" collapsed="false">
      <c r="A4609" s="13" t="str">
        <f aca="false">""</f>
        <v/>
      </c>
      <c r="B4609" s="13" t="n">
        <f aca="false">213</f>
        <v>213</v>
      </c>
      <c r="C4609" s="13" t="n">
        <f aca="false">IF(Szenarien!$H$23="OK",(IFERROR(SUMIF(Nutzungsprofile!$B$6:$B$11,"Schulbetrieb",Nutzungsprofile!$G$6:$G$11)*Kalender!C217/SUM(Kalender!$C$5:$C$370),0)+IFERROR(SUMIF(Nutzungsprofile!$B$6:$B$11,"Halle",Nutzungsprofile!$G$6:$G$11)*Kalender!D217/SUM(Kalender!$D$5:$D$370),0)+IFERROR(SUMIF(Nutzungsprofile!$B$6:$B$11,"Individuell",Nutzungsprofile!$G$6:$G$11)*Kalender!E217/SUM(Kalender!$E$5:$E$370),0))*Szenarien!$E$23,0)</f>
        <v>2.04</v>
      </c>
      <c r="D4609" s="13" t="n">
        <f aca="false">IF(Szenarien!$H$23="OK",(IFERROR(SUMIF(Nutzungsprofile!$B$17:$B$22,"Schulbetrieb",Nutzungsprofile!$G$17:$G$22)*Kalender!C217/SUM(Kalender!$C$5:$C$370),0)+IFERROR(SUMIF(Nutzungsprofile!$B$17:$B$22,"Halle",Nutzungsprofile!$G$17:$G$22)*Kalender!D217/SUM(Kalender!$D$5:$D$370),0)+IFERROR(SUMIF(Nutzungsprofile!$B$17:$B$22,"Individuell",Nutzungsprofile!$G$17:$G$22)*Kalender!E217/SUM(Kalender!$E$5:$E$370),0))*Szenarien!$D$23,0)</f>
        <v>0.89</v>
      </c>
      <c r="E4609" s="13" t="n">
        <f aca="false">IFERROR(MIN(C4609,Eingaben!$B$17)*Eingaben!$B$16,0)</f>
        <v>1.938</v>
      </c>
      <c r="F4609" s="13" t="n">
        <f aca="false">IFERROR(E4609*Eingaben!$B$15,0)</f>
        <v>1.7442</v>
      </c>
      <c r="G4609" s="13" t="n">
        <f aca="false">IFERROR(IF(Kalender!A217="",0,J4608*(1-Eingaben!$B$20)),0)</f>
        <v>1.709316</v>
      </c>
      <c r="H4609" s="13" t="n">
        <f aca="false">MIN(G4609,D4609)</f>
        <v>0.89</v>
      </c>
      <c r="I4609" s="13" t="n">
        <f aca="false">IFERROR(MIN(F4609*Eingaben!$B$19,MAX(0,D4609-H4609)),0)</f>
        <v>0</v>
      </c>
      <c r="J4609" s="13" t="n">
        <f aca="false">IFERROR(MIN(Eingaben!$B$18,MAX(0,F4609-I4609)),0)</f>
        <v>1.7442</v>
      </c>
      <c r="K4609" s="13" t="n">
        <f aca="false">H4609+I4609</f>
        <v>0.89</v>
      </c>
      <c r="L4609" s="13" t="n">
        <f aca="false">MAX(0,D4609-K4609)</f>
        <v>0</v>
      </c>
      <c r="M4609" s="13" t="n">
        <f aca="false">MAX(0,F4609-I4609-J4609)</f>
        <v>0</v>
      </c>
      <c r="N4609" s="13" t="n">
        <f aca="false">IF(Kalender!A217="",0,J4608-H4609)</f>
        <v>0.8542</v>
      </c>
    </row>
    <row r="4610" customFormat="false" ht="16.4" hidden="false" customHeight="false" outlineLevel="0" collapsed="false">
      <c r="A4610" s="13" t="str">
        <f aca="false">""</f>
        <v/>
      </c>
      <c r="B4610" s="13" t="n">
        <f aca="false">214</f>
        <v>214</v>
      </c>
      <c r="C4610" s="13" t="n">
        <f aca="false">IF(Szenarien!$H$23="OK",(IFERROR(SUMIF(Nutzungsprofile!$B$6:$B$11,"Schulbetrieb",Nutzungsprofile!$G$6:$G$11)*Kalender!C218/SUM(Kalender!$C$5:$C$370),0)+IFERROR(SUMIF(Nutzungsprofile!$B$6:$B$11,"Halle",Nutzungsprofile!$G$6:$G$11)*Kalender!D218/SUM(Kalender!$D$5:$D$370),0)+IFERROR(SUMIF(Nutzungsprofile!$B$6:$B$11,"Individuell",Nutzungsprofile!$G$6:$G$11)*Kalender!E218/SUM(Kalender!$E$5:$E$370),0))*Szenarien!$E$23,0)</f>
        <v>2.04</v>
      </c>
      <c r="D4610" s="13" t="n">
        <f aca="false">IF(Szenarien!$H$23="OK",(IFERROR(SUMIF(Nutzungsprofile!$B$17:$B$22,"Schulbetrieb",Nutzungsprofile!$G$17:$G$22)*Kalender!C218/SUM(Kalender!$C$5:$C$370),0)+IFERROR(SUMIF(Nutzungsprofile!$B$17:$B$22,"Halle",Nutzungsprofile!$G$17:$G$22)*Kalender!D218/SUM(Kalender!$D$5:$D$370),0)+IFERROR(SUMIF(Nutzungsprofile!$B$17:$B$22,"Individuell",Nutzungsprofile!$G$17:$G$22)*Kalender!E218/SUM(Kalender!$E$5:$E$370),0))*Szenarien!$D$23,0)</f>
        <v>0.89</v>
      </c>
      <c r="E4610" s="13" t="n">
        <f aca="false">IFERROR(MIN(C4610,Eingaben!$B$17)*Eingaben!$B$16,0)</f>
        <v>1.938</v>
      </c>
      <c r="F4610" s="13" t="n">
        <f aca="false">IFERROR(E4610*Eingaben!$B$15,0)</f>
        <v>1.7442</v>
      </c>
      <c r="G4610" s="13" t="n">
        <f aca="false">IFERROR(IF(Kalender!A218="",0,J4609*(1-Eingaben!$B$20)),0)</f>
        <v>1.709316</v>
      </c>
      <c r="H4610" s="13" t="n">
        <f aca="false">MIN(G4610,D4610)</f>
        <v>0.89</v>
      </c>
      <c r="I4610" s="13" t="n">
        <f aca="false">IFERROR(MIN(F4610*Eingaben!$B$19,MAX(0,D4610-H4610)),0)</f>
        <v>0</v>
      </c>
      <c r="J4610" s="13" t="n">
        <f aca="false">IFERROR(MIN(Eingaben!$B$18,MAX(0,F4610-I4610)),0)</f>
        <v>1.7442</v>
      </c>
      <c r="K4610" s="13" t="n">
        <f aca="false">H4610+I4610</f>
        <v>0.89</v>
      </c>
      <c r="L4610" s="13" t="n">
        <f aca="false">MAX(0,D4610-K4610)</f>
        <v>0</v>
      </c>
      <c r="M4610" s="13" t="n">
        <f aca="false">MAX(0,F4610-I4610-J4610)</f>
        <v>0</v>
      </c>
      <c r="N4610" s="13" t="n">
        <f aca="false">IF(Kalender!A218="",0,J4609-H4610)</f>
        <v>0.8542</v>
      </c>
    </row>
    <row r="4611" customFormat="false" ht="16.4" hidden="false" customHeight="false" outlineLevel="0" collapsed="false">
      <c r="A4611" s="13" t="str">
        <f aca="false">""</f>
        <v/>
      </c>
      <c r="B4611" s="13" t="n">
        <f aca="false">215</f>
        <v>215</v>
      </c>
      <c r="C4611" s="13" t="n">
        <f aca="false">IF(Szenarien!$H$23="OK",(IFERROR(SUMIF(Nutzungsprofile!$B$6:$B$11,"Schulbetrieb",Nutzungsprofile!$G$6:$G$11)*Kalender!C219/SUM(Kalender!$C$5:$C$370),0)+IFERROR(SUMIF(Nutzungsprofile!$B$6:$B$11,"Halle",Nutzungsprofile!$G$6:$G$11)*Kalender!D219/SUM(Kalender!$D$5:$D$370),0)+IFERROR(SUMIF(Nutzungsprofile!$B$6:$B$11,"Individuell",Nutzungsprofile!$G$6:$G$11)*Kalender!E219/SUM(Kalender!$E$5:$E$370),0))*Szenarien!$E$23,0)</f>
        <v>2.04</v>
      </c>
      <c r="D4611" s="13" t="n">
        <f aca="false">IF(Szenarien!$H$23="OK",(IFERROR(SUMIF(Nutzungsprofile!$B$17:$B$22,"Schulbetrieb",Nutzungsprofile!$G$17:$G$22)*Kalender!C219/SUM(Kalender!$C$5:$C$370),0)+IFERROR(SUMIF(Nutzungsprofile!$B$17:$B$22,"Halle",Nutzungsprofile!$G$17:$G$22)*Kalender!D219/SUM(Kalender!$D$5:$D$370),0)+IFERROR(SUMIF(Nutzungsprofile!$B$17:$B$22,"Individuell",Nutzungsprofile!$G$17:$G$22)*Kalender!E219/SUM(Kalender!$E$5:$E$370),0))*Szenarien!$D$23,0)</f>
        <v>0.89</v>
      </c>
      <c r="E4611" s="13" t="n">
        <f aca="false">IFERROR(MIN(C4611,Eingaben!$B$17)*Eingaben!$B$16,0)</f>
        <v>1.938</v>
      </c>
      <c r="F4611" s="13" t="n">
        <f aca="false">IFERROR(E4611*Eingaben!$B$15,0)</f>
        <v>1.7442</v>
      </c>
      <c r="G4611" s="13" t="n">
        <f aca="false">IFERROR(IF(Kalender!A219="",0,J4610*(1-Eingaben!$B$20)),0)</f>
        <v>1.709316</v>
      </c>
      <c r="H4611" s="13" t="n">
        <f aca="false">MIN(G4611,D4611)</f>
        <v>0.89</v>
      </c>
      <c r="I4611" s="13" t="n">
        <f aca="false">IFERROR(MIN(F4611*Eingaben!$B$19,MAX(0,D4611-H4611)),0)</f>
        <v>0</v>
      </c>
      <c r="J4611" s="13" t="n">
        <f aca="false">IFERROR(MIN(Eingaben!$B$18,MAX(0,F4611-I4611)),0)</f>
        <v>1.7442</v>
      </c>
      <c r="K4611" s="13" t="n">
        <f aca="false">H4611+I4611</f>
        <v>0.89</v>
      </c>
      <c r="L4611" s="13" t="n">
        <f aca="false">MAX(0,D4611-K4611)</f>
        <v>0</v>
      </c>
      <c r="M4611" s="13" t="n">
        <f aca="false">MAX(0,F4611-I4611-J4611)</f>
        <v>0</v>
      </c>
      <c r="N4611" s="13" t="n">
        <f aca="false">IF(Kalender!A219="",0,J4610-H4611)</f>
        <v>0.8542</v>
      </c>
    </row>
    <row r="4612" customFormat="false" ht="16.4" hidden="false" customHeight="false" outlineLevel="0" collapsed="false">
      <c r="A4612" s="13" t="str">
        <f aca="false">""</f>
        <v/>
      </c>
      <c r="B4612" s="13" t="n">
        <f aca="false">216</f>
        <v>216</v>
      </c>
      <c r="C4612" s="13" t="n">
        <f aca="false">IF(Szenarien!$H$23="OK",(IFERROR(SUMIF(Nutzungsprofile!$B$6:$B$11,"Schulbetrieb",Nutzungsprofile!$G$6:$G$11)*Kalender!C220/SUM(Kalender!$C$5:$C$370),0)+IFERROR(SUMIF(Nutzungsprofile!$B$6:$B$11,"Halle",Nutzungsprofile!$G$6:$G$11)*Kalender!D220/SUM(Kalender!$D$5:$D$370),0)+IFERROR(SUMIF(Nutzungsprofile!$B$6:$B$11,"Individuell",Nutzungsprofile!$G$6:$G$11)*Kalender!E220/SUM(Kalender!$E$5:$E$370),0))*Szenarien!$E$23,0)</f>
        <v>2.04</v>
      </c>
      <c r="D4612" s="13" t="n">
        <f aca="false">IF(Szenarien!$H$23="OK",(IFERROR(SUMIF(Nutzungsprofile!$B$17:$B$22,"Schulbetrieb",Nutzungsprofile!$G$17:$G$22)*Kalender!C220/SUM(Kalender!$C$5:$C$370),0)+IFERROR(SUMIF(Nutzungsprofile!$B$17:$B$22,"Halle",Nutzungsprofile!$G$17:$G$22)*Kalender!D220/SUM(Kalender!$D$5:$D$370),0)+IFERROR(SUMIF(Nutzungsprofile!$B$17:$B$22,"Individuell",Nutzungsprofile!$G$17:$G$22)*Kalender!E220/SUM(Kalender!$E$5:$E$370),0))*Szenarien!$D$23,0)</f>
        <v>0.89</v>
      </c>
      <c r="E4612" s="13" t="n">
        <f aca="false">IFERROR(MIN(C4612,Eingaben!$B$17)*Eingaben!$B$16,0)</f>
        <v>1.938</v>
      </c>
      <c r="F4612" s="13" t="n">
        <f aca="false">IFERROR(E4612*Eingaben!$B$15,0)</f>
        <v>1.7442</v>
      </c>
      <c r="G4612" s="13" t="n">
        <f aca="false">IFERROR(IF(Kalender!A220="",0,J4611*(1-Eingaben!$B$20)),0)</f>
        <v>1.709316</v>
      </c>
      <c r="H4612" s="13" t="n">
        <f aca="false">MIN(G4612,D4612)</f>
        <v>0.89</v>
      </c>
      <c r="I4612" s="13" t="n">
        <f aca="false">IFERROR(MIN(F4612*Eingaben!$B$19,MAX(0,D4612-H4612)),0)</f>
        <v>0</v>
      </c>
      <c r="J4612" s="13" t="n">
        <f aca="false">IFERROR(MIN(Eingaben!$B$18,MAX(0,F4612-I4612)),0)</f>
        <v>1.7442</v>
      </c>
      <c r="K4612" s="13" t="n">
        <f aca="false">H4612+I4612</f>
        <v>0.89</v>
      </c>
      <c r="L4612" s="13" t="n">
        <f aca="false">MAX(0,D4612-K4612)</f>
        <v>0</v>
      </c>
      <c r="M4612" s="13" t="n">
        <f aca="false">MAX(0,F4612-I4612-J4612)</f>
        <v>0</v>
      </c>
      <c r="N4612" s="13" t="n">
        <f aca="false">IF(Kalender!A220="",0,J4611-H4612)</f>
        <v>0.8542</v>
      </c>
    </row>
    <row r="4613" customFormat="false" ht="16.4" hidden="false" customHeight="false" outlineLevel="0" collapsed="false">
      <c r="A4613" s="13" t="str">
        <f aca="false">""</f>
        <v/>
      </c>
      <c r="B4613" s="13" t="n">
        <f aca="false">217</f>
        <v>217</v>
      </c>
      <c r="C4613" s="13" t="n">
        <f aca="false">IF(Szenarien!$H$23="OK",(IFERROR(SUMIF(Nutzungsprofile!$B$6:$B$11,"Schulbetrieb",Nutzungsprofile!$G$6:$G$11)*Kalender!C221/SUM(Kalender!$C$5:$C$370),0)+IFERROR(SUMIF(Nutzungsprofile!$B$6:$B$11,"Halle",Nutzungsprofile!$G$6:$G$11)*Kalender!D221/SUM(Kalender!$D$5:$D$370),0)+IFERROR(SUMIF(Nutzungsprofile!$B$6:$B$11,"Individuell",Nutzungsprofile!$G$6:$G$11)*Kalender!E221/SUM(Kalender!$E$5:$E$370),0))*Szenarien!$E$23,0)</f>
        <v>2.04</v>
      </c>
      <c r="D4613" s="13" t="n">
        <f aca="false">IF(Szenarien!$H$23="OK",(IFERROR(SUMIF(Nutzungsprofile!$B$17:$B$22,"Schulbetrieb",Nutzungsprofile!$G$17:$G$22)*Kalender!C221/SUM(Kalender!$C$5:$C$370),0)+IFERROR(SUMIF(Nutzungsprofile!$B$17:$B$22,"Halle",Nutzungsprofile!$G$17:$G$22)*Kalender!D221/SUM(Kalender!$D$5:$D$370),0)+IFERROR(SUMIF(Nutzungsprofile!$B$17:$B$22,"Individuell",Nutzungsprofile!$G$17:$G$22)*Kalender!E221/SUM(Kalender!$E$5:$E$370),0))*Szenarien!$D$23,0)</f>
        <v>0.89</v>
      </c>
      <c r="E4613" s="13" t="n">
        <f aca="false">IFERROR(MIN(C4613,Eingaben!$B$17)*Eingaben!$B$16,0)</f>
        <v>1.938</v>
      </c>
      <c r="F4613" s="13" t="n">
        <f aca="false">IFERROR(E4613*Eingaben!$B$15,0)</f>
        <v>1.7442</v>
      </c>
      <c r="G4613" s="13" t="n">
        <f aca="false">IFERROR(IF(Kalender!A221="",0,J4612*(1-Eingaben!$B$20)),0)</f>
        <v>1.709316</v>
      </c>
      <c r="H4613" s="13" t="n">
        <f aca="false">MIN(G4613,D4613)</f>
        <v>0.89</v>
      </c>
      <c r="I4613" s="13" t="n">
        <f aca="false">IFERROR(MIN(F4613*Eingaben!$B$19,MAX(0,D4613-H4613)),0)</f>
        <v>0</v>
      </c>
      <c r="J4613" s="13" t="n">
        <f aca="false">IFERROR(MIN(Eingaben!$B$18,MAX(0,F4613-I4613)),0)</f>
        <v>1.7442</v>
      </c>
      <c r="K4613" s="13" t="n">
        <f aca="false">H4613+I4613</f>
        <v>0.89</v>
      </c>
      <c r="L4613" s="13" t="n">
        <f aca="false">MAX(0,D4613-K4613)</f>
        <v>0</v>
      </c>
      <c r="M4613" s="13" t="n">
        <f aca="false">MAX(0,F4613-I4613-J4613)</f>
        <v>0</v>
      </c>
      <c r="N4613" s="13" t="n">
        <f aca="false">IF(Kalender!A221="",0,J4612-H4613)</f>
        <v>0.8542</v>
      </c>
    </row>
    <row r="4614" customFormat="false" ht="16.4" hidden="false" customHeight="false" outlineLevel="0" collapsed="false">
      <c r="A4614" s="13" t="str">
        <f aca="false">""</f>
        <v/>
      </c>
      <c r="B4614" s="13" t="n">
        <f aca="false">218</f>
        <v>218</v>
      </c>
      <c r="C4614" s="13" t="n">
        <f aca="false">IF(Szenarien!$H$23="OK",(IFERROR(SUMIF(Nutzungsprofile!$B$6:$B$11,"Schulbetrieb",Nutzungsprofile!$G$6:$G$11)*Kalender!C222/SUM(Kalender!$C$5:$C$370),0)+IFERROR(SUMIF(Nutzungsprofile!$B$6:$B$11,"Halle",Nutzungsprofile!$G$6:$G$11)*Kalender!D222/SUM(Kalender!$D$5:$D$370),0)+IFERROR(SUMIF(Nutzungsprofile!$B$6:$B$11,"Individuell",Nutzungsprofile!$G$6:$G$11)*Kalender!E222/SUM(Kalender!$E$5:$E$370),0))*Szenarien!$E$23,0)</f>
        <v>2.04</v>
      </c>
      <c r="D4614" s="13" t="n">
        <f aca="false">IF(Szenarien!$H$23="OK",(IFERROR(SUMIF(Nutzungsprofile!$B$17:$B$22,"Schulbetrieb",Nutzungsprofile!$G$17:$G$22)*Kalender!C222/SUM(Kalender!$C$5:$C$370),0)+IFERROR(SUMIF(Nutzungsprofile!$B$17:$B$22,"Halle",Nutzungsprofile!$G$17:$G$22)*Kalender!D222/SUM(Kalender!$D$5:$D$370),0)+IFERROR(SUMIF(Nutzungsprofile!$B$17:$B$22,"Individuell",Nutzungsprofile!$G$17:$G$22)*Kalender!E222/SUM(Kalender!$E$5:$E$370),0))*Szenarien!$D$23,0)</f>
        <v>0.89</v>
      </c>
      <c r="E4614" s="13" t="n">
        <f aca="false">IFERROR(MIN(C4614,Eingaben!$B$17)*Eingaben!$B$16,0)</f>
        <v>1.938</v>
      </c>
      <c r="F4614" s="13" t="n">
        <f aca="false">IFERROR(E4614*Eingaben!$B$15,0)</f>
        <v>1.7442</v>
      </c>
      <c r="G4614" s="13" t="n">
        <f aca="false">IFERROR(IF(Kalender!A222="",0,J4613*(1-Eingaben!$B$20)),0)</f>
        <v>1.709316</v>
      </c>
      <c r="H4614" s="13" t="n">
        <f aca="false">MIN(G4614,D4614)</f>
        <v>0.89</v>
      </c>
      <c r="I4614" s="13" t="n">
        <f aca="false">IFERROR(MIN(F4614*Eingaben!$B$19,MAX(0,D4614-H4614)),0)</f>
        <v>0</v>
      </c>
      <c r="J4614" s="13" t="n">
        <f aca="false">IFERROR(MIN(Eingaben!$B$18,MAX(0,F4614-I4614)),0)</f>
        <v>1.7442</v>
      </c>
      <c r="K4614" s="13" t="n">
        <f aca="false">H4614+I4614</f>
        <v>0.89</v>
      </c>
      <c r="L4614" s="13" t="n">
        <f aca="false">MAX(0,D4614-K4614)</f>
        <v>0</v>
      </c>
      <c r="M4614" s="13" t="n">
        <f aca="false">MAX(0,F4614-I4614-J4614)</f>
        <v>0</v>
      </c>
      <c r="N4614" s="13" t="n">
        <f aca="false">IF(Kalender!A222="",0,J4613-H4614)</f>
        <v>0.8542</v>
      </c>
    </row>
    <row r="4615" customFormat="false" ht="16.4" hidden="false" customHeight="false" outlineLevel="0" collapsed="false">
      <c r="A4615" s="13" t="str">
        <f aca="false">""</f>
        <v/>
      </c>
      <c r="B4615" s="13" t="n">
        <f aca="false">219</f>
        <v>219</v>
      </c>
      <c r="C4615" s="13" t="n">
        <f aca="false">IF(Szenarien!$H$23="OK",(IFERROR(SUMIF(Nutzungsprofile!$B$6:$B$11,"Schulbetrieb",Nutzungsprofile!$G$6:$G$11)*Kalender!C223/SUM(Kalender!$C$5:$C$370),0)+IFERROR(SUMIF(Nutzungsprofile!$B$6:$B$11,"Halle",Nutzungsprofile!$G$6:$G$11)*Kalender!D223/SUM(Kalender!$D$5:$D$370),0)+IFERROR(SUMIF(Nutzungsprofile!$B$6:$B$11,"Individuell",Nutzungsprofile!$G$6:$G$11)*Kalender!E223/SUM(Kalender!$E$5:$E$370),0))*Szenarien!$E$23,0)</f>
        <v>2.04</v>
      </c>
      <c r="D4615" s="13" t="n">
        <f aca="false">IF(Szenarien!$H$23="OK",(IFERROR(SUMIF(Nutzungsprofile!$B$17:$B$22,"Schulbetrieb",Nutzungsprofile!$G$17:$G$22)*Kalender!C223/SUM(Kalender!$C$5:$C$370),0)+IFERROR(SUMIF(Nutzungsprofile!$B$17:$B$22,"Halle",Nutzungsprofile!$G$17:$G$22)*Kalender!D223/SUM(Kalender!$D$5:$D$370),0)+IFERROR(SUMIF(Nutzungsprofile!$B$17:$B$22,"Individuell",Nutzungsprofile!$G$17:$G$22)*Kalender!E223/SUM(Kalender!$E$5:$E$370),0))*Szenarien!$D$23,0)</f>
        <v>0.89</v>
      </c>
      <c r="E4615" s="13" t="n">
        <f aca="false">IFERROR(MIN(C4615,Eingaben!$B$17)*Eingaben!$B$16,0)</f>
        <v>1.938</v>
      </c>
      <c r="F4615" s="13" t="n">
        <f aca="false">IFERROR(E4615*Eingaben!$B$15,0)</f>
        <v>1.7442</v>
      </c>
      <c r="G4615" s="13" t="n">
        <f aca="false">IFERROR(IF(Kalender!A223="",0,J4614*(1-Eingaben!$B$20)),0)</f>
        <v>1.709316</v>
      </c>
      <c r="H4615" s="13" t="n">
        <f aca="false">MIN(G4615,D4615)</f>
        <v>0.89</v>
      </c>
      <c r="I4615" s="13" t="n">
        <f aca="false">IFERROR(MIN(F4615*Eingaben!$B$19,MAX(0,D4615-H4615)),0)</f>
        <v>0</v>
      </c>
      <c r="J4615" s="13" t="n">
        <f aca="false">IFERROR(MIN(Eingaben!$B$18,MAX(0,F4615-I4615)),0)</f>
        <v>1.7442</v>
      </c>
      <c r="K4615" s="13" t="n">
        <f aca="false">H4615+I4615</f>
        <v>0.89</v>
      </c>
      <c r="L4615" s="13" t="n">
        <f aca="false">MAX(0,D4615-K4615)</f>
        <v>0</v>
      </c>
      <c r="M4615" s="13" t="n">
        <f aca="false">MAX(0,F4615-I4615-J4615)</f>
        <v>0</v>
      </c>
      <c r="N4615" s="13" t="n">
        <f aca="false">IF(Kalender!A223="",0,J4614-H4615)</f>
        <v>0.8542</v>
      </c>
    </row>
    <row r="4616" customFormat="false" ht="16.4" hidden="false" customHeight="false" outlineLevel="0" collapsed="false">
      <c r="A4616" s="13" t="str">
        <f aca="false">""</f>
        <v/>
      </c>
      <c r="B4616" s="13" t="n">
        <f aca="false">220</f>
        <v>220</v>
      </c>
      <c r="C4616" s="13" t="n">
        <f aca="false">IF(Szenarien!$H$23="OK",(IFERROR(SUMIF(Nutzungsprofile!$B$6:$B$11,"Schulbetrieb",Nutzungsprofile!$G$6:$G$11)*Kalender!C224/SUM(Kalender!$C$5:$C$370),0)+IFERROR(SUMIF(Nutzungsprofile!$B$6:$B$11,"Halle",Nutzungsprofile!$G$6:$G$11)*Kalender!D224/SUM(Kalender!$D$5:$D$370),0)+IFERROR(SUMIF(Nutzungsprofile!$B$6:$B$11,"Individuell",Nutzungsprofile!$G$6:$G$11)*Kalender!E224/SUM(Kalender!$E$5:$E$370),0))*Szenarien!$E$23,0)</f>
        <v>2.04</v>
      </c>
      <c r="D4616" s="13" t="n">
        <f aca="false">IF(Szenarien!$H$23="OK",(IFERROR(SUMIF(Nutzungsprofile!$B$17:$B$22,"Schulbetrieb",Nutzungsprofile!$G$17:$G$22)*Kalender!C224/SUM(Kalender!$C$5:$C$370),0)+IFERROR(SUMIF(Nutzungsprofile!$B$17:$B$22,"Halle",Nutzungsprofile!$G$17:$G$22)*Kalender!D224/SUM(Kalender!$D$5:$D$370),0)+IFERROR(SUMIF(Nutzungsprofile!$B$17:$B$22,"Individuell",Nutzungsprofile!$G$17:$G$22)*Kalender!E224/SUM(Kalender!$E$5:$E$370),0))*Szenarien!$D$23,0)</f>
        <v>0.89</v>
      </c>
      <c r="E4616" s="13" t="n">
        <f aca="false">IFERROR(MIN(C4616,Eingaben!$B$17)*Eingaben!$B$16,0)</f>
        <v>1.938</v>
      </c>
      <c r="F4616" s="13" t="n">
        <f aca="false">IFERROR(E4616*Eingaben!$B$15,0)</f>
        <v>1.7442</v>
      </c>
      <c r="G4616" s="13" t="n">
        <f aca="false">IFERROR(IF(Kalender!A224="",0,J4615*(1-Eingaben!$B$20)),0)</f>
        <v>1.709316</v>
      </c>
      <c r="H4616" s="13" t="n">
        <f aca="false">MIN(G4616,D4616)</f>
        <v>0.89</v>
      </c>
      <c r="I4616" s="13" t="n">
        <f aca="false">IFERROR(MIN(F4616*Eingaben!$B$19,MAX(0,D4616-H4616)),0)</f>
        <v>0</v>
      </c>
      <c r="J4616" s="13" t="n">
        <f aca="false">IFERROR(MIN(Eingaben!$B$18,MAX(0,F4616-I4616)),0)</f>
        <v>1.7442</v>
      </c>
      <c r="K4616" s="13" t="n">
        <f aca="false">H4616+I4616</f>
        <v>0.89</v>
      </c>
      <c r="L4616" s="13" t="n">
        <f aca="false">MAX(0,D4616-K4616)</f>
        <v>0</v>
      </c>
      <c r="M4616" s="13" t="n">
        <f aca="false">MAX(0,F4616-I4616-J4616)</f>
        <v>0</v>
      </c>
      <c r="N4616" s="13" t="n">
        <f aca="false">IF(Kalender!A224="",0,J4615-H4616)</f>
        <v>0.8542</v>
      </c>
    </row>
    <row r="4617" customFormat="false" ht="16.4" hidden="false" customHeight="false" outlineLevel="0" collapsed="false">
      <c r="A4617" s="13" t="str">
        <f aca="false">""</f>
        <v/>
      </c>
      <c r="B4617" s="13" t="n">
        <f aca="false">221</f>
        <v>221</v>
      </c>
      <c r="C4617" s="13" t="n">
        <f aca="false">IF(Szenarien!$H$23="OK",(IFERROR(SUMIF(Nutzungsprofile!$B$6:$B$11,"Schulbetrieb",Nutzungsprofile!$G$6:$G$11)*Kalender!C225/SUM(Kalender!$C$5:$C$370),0)+IFERROR(SUMIF(Nutzungsprofile!$B$6:$B$11,"Halle",Nutzungsprofile!$G$6:$G$11)*Kalender!D225/SUM(Kalender!$D$5:$D$370),0)+IFERROR(SUMIF(Nutzungsprofile!$B$6:$B$11,"Individuell",Nutzungsprofile!$G$6:$G$11)*Kalender!E225/SUM(Kalender!$E$5:$E$370),0))*Szenarien!$E$23,0)</f>
        <v>2.04</v>
      </c>
      <c r="D4617" s="13" t="n">
        <f aca="false">IF(Szenarien!$H$23="OK",(IFERROR(SUMIF(Nutzungsprofile!$B$17:$B$22,"Schulbetrieb",Nutzungsprofile!$G$17:$G$22)*Kalender!C225/SUM(Kalender!$C$5:$C$370),0)+IFERROR(SUMIF(Nutzungsprofile!$B$17:$B$22,"Halle",Nutzungsprofile!$G$17:$G$22)*Kalender!D225/SUM(Kalender!$D$5:$D$370),0)+IFERROR(SUMIF(Nutzungsprofile!$B$17:$B$22,"Individuell",Nutzungsprofile!$G$17:$G$22)*Kalender!E225/SUM(Kalender!$E$5:$E$370),0))*Szenarien!$D$23,0)</f>
        <v>0.89</v>
      </c>
      <c r="E4617" s="13" t="n">
        <f aca="false">IFERROR(MIN(C4617,Eingaben!$B$17)*Eingaben!$B$16,0)</f>
        <v>1.938</v>
      </c>
      <c r="F4617" s="13" t="n">
        <f aca="false">IFERROR(E4617*Eingaben!$B$15,0)</f>
        <v>1.7442</v>
      </c>
      <c r="G4617" s="13" t="n">
        <f aca="false">IFERROR(IF(Kalender!A225="",0,J4616*(1-Eingaben!$B$20)),0)</f>
        <v>1.709316</v>
      </c>
      <c r="H4617" s="13" t="n">
        <f aca="false">MIN(G4617,D4617)</f>
        <v>0.89</v>
      </c>
      <c r="I4617" s="13" t="n">
        <f aca="false">IFERROR(MIN(F4617*Eingaben!$B$19,MAX(0,D4617-H4617)),0)</f>
        <v>0</v>
      </c>
      <c r="J4617" s="13" t="n">
        <f aca="false">IFERROR(MIN(Eingaben!$B$18,MAX(0,F4617-I4617)),0)</f>
        <v>1.7442</v>
      </c>
      <c r="K4617" s="13" t="n">
        <f aca="false">H4617+I4617</f>
        <v>0.89</v>
      </c>
      <c r="L4617" s="13" t="n">
        <f aca="false">MAX(0,D4617-K4617)</f>
        <v>0</v>
      </c>
      <c r="M4617" s="13" t="n">
        <f aca="false">MAX(0,F4617-I4617-J4617)</f>
        <v>0</v>
      </c>
      <c r="N4617" s="13" t="n">
        <f aca="false">IF(Kalender!A225="",0,J4616-H4617)</f>
        <v>0.8542</v>
      </c>
    </row>
    <row r="4618" customFormat="false" ht="16.4" hidden="false" customHeight="false" outlineLevel="0" collapsed="false">
      <c r="A4618" s="13" t="str">
        <f aca="false">""</f>
        <v/>
      </c>
      <c r="B4618" s="13" t="n">
        <f aca="false">222</f>
        <v>222</v>
      </c>
      <c r="C4618" s="13" t="n">
        <f aca="false">IF(Szenarien!$H$23="OK",(IFERROR(SUMIF(Nutzungsprofile!$B$6:$B$11,"Schulbetrieb",Nutzungsprofile!$G$6:$G$11)*Kalender!C226/SUM(Kalender!$C$5:$C$370),0)+IFERROR(SUMIF(Nutzungsprofile!$B$6:$B$11,"Halle",Nutzungsprofile!$G$6:$G$11)*Kalender!D226/SUM(Kalender!$D$5:$D$370),0)+IFERROR(SUMIF(Nutzungsprofile!$B$6:$B$11,"Individuell",Nutzungsprofile!$G$6:$G$11)*Kalender!E226/SUM(Kalender!$E$5:$E$370),0))*Szenarien!$E$23,0)</f>
        <v>2.04</v>
      </c>
      <c r="D4618" s="13" t="n">
        <f aca="false">IF(Szenarien!$H$23="OK",(IFERROR(SUMIF(Nutzungsprofile!$B$17:$B$22,"Schulbetrieb",Nutzungsprofile!$G$17:$G$22)*Kalender!C226/SUM(Kalender!$C$5:$C$370),0)+IFERROR(SUMIF(Nutzungsprofile!$B$17:$B$22,"Halle",Nutzungsprofile!$G$17:$G$22)*Kalender!D226/SUM(Kalender!$D$5:$D$370),0)+IFERROR(SUMIF(Nutzungsprofile!$B$17:$B$22,"Individuell",Nutzungsprofile!$G$17:$G$22)*Kalender!E226/SUM(Kalender!$E$5:$E$370),0))*Szenarien!$D$23,0)</f>
        <v>0.89</v>
      </c>
      <c r="E4618" s="13" t="n">
        <f aca="false">IFERROR(MIN(C4618,Eingaben!$B$17)*Eingaben!$B$16,0)</f>
        <v>1.938</v>
      </c>
      <c r="F4618" s="13" t="n">
        <f aca="false">IFERROR(E4618*Eingaben!$B$15,0)</f>
        <v>1.7442</v>
      </c>
      <c r="G4618" s="13" t="n">
        <f aca="false">IFERROR(IF(Kalender!A226="",0,J4617*(1-Eingaben!$B$20)),0)</f>
        <v>1.709316</v>
      </c>
      <c r="H4618" s="13" t="n">
        <f aca="false">MIN(G4618,D4618)</f>
        <v>0.89</v>
      </c>
      <c r="I4618" s="13" t="n">
        <f aca="false">IFERROR(MIN(F4618*Eingaben!$B$19,MAX(0,D4618-H4618)),0)</f>
        <v>0</v>
      </c>
      <c r="J4618" s="13" t="n">
        <f aca="false">IFERROR(MIN(Eingaben!$B$18,MAX(0,F4618-I4618)),0)</f>
        <v>1.7442</v>
      </c>
      <c r="K4618" s="13" t="n">
        <f aca="false">H4618+I4618</f>
        <v>0.89</v>
      </c>
      <c r="L4618" s="13" t="n">
        <f aca="false">MAX(0,D4618-K4618)</f>
        <v>0</v>
      </c>
      <c r="M4618" s="13" t="n">
        <f aca="false">MAX(0,F4618-I4618-J4618)</f>
        <v>0</v>
      </c>
      <c r="N4618" s="13" t="n">
        <f aca="false">IF(Kalender!A226="",0,J4617-H4618)</f>
        <v>0.8542</v>
      </c>
    </row>
    <row r="4619" customFormat="false" ht="16.4" hidden="false" customHeight="false" outlineLevel="0" collapsed="false">
      <c r="A4619" s="13" t="str">
        <f aca="false">""</f>
        <v/>
      </c>
      <c r="B4619" s="13" t="n">
        <f aca="false">223</f>
        <v>223</v>
      </c>
      <c r="C4619" s="13" t="n">
        <f aca="false">IF(Szenarien!$H$23="OK",(IFERROR(SUMIF(Nutzungsprofile!$B$6:$B$11,"Schulbetrieb",Nutzungsprofile!$G$6:$G$11)*Kalender!C227/SUM(Kalender!$C$5:$C$370),0)+IFERROR(SUMIF(Nutzungsprofile!$B$6:$B$11,"Halle",Nutzungsprofile!$G$6:$G$11)*Kalender!D227/SUM(Kalender!$D$5:$D$370),0)+IFERROR(SUMIF(Nutzungsprofile!$B$6:$B$11,"Individuell",Nutzungsprofile!$G$6:$G$11)*Kalender!E227/SUM(Kalender!$E$5:$E$370),0))*Szenarien!$E$23,0)</f>
        <v>2.04</v>
      </c>
      <c r="D4619" s="13" t="n">
        <f aca="false">IF(Szenarien!$H$23="OK",(IFERROR(SUMIF(Nutzungsprofile!$B$17:$B$22,"Schulbetrieb",Nutzungsprofile!$G$17:$G$22)*Kalender!C227/SUM(Kalender!$C$5:$C$370),0)+IFERROR(SUMIF(Nutzungsprofile!$B$17:$B$22,"Halle",Nutzungsprofile!$G$17:$G$22)*Kalender!D227/SUM(Kalender!$D$5:$D$370),0)+IFERROR(SUMIF(Nutzungsprofile!$B$17:$B$22,"Individuell",Nutzungsprofile!$G$17:$G$22)*Kalender!E227/SUM(Kalender!$E$5:$E$370),0))*Szenarien!$D$23,0)</f>
        <v>0.89</v>
      </c>
      <c r="E4619" s="13" t="n">
        <f aca="false">IFERROR(MIN(C4619,Eingaben!$B$17)*Eingaben!$B$16,0)</f>
        <v>1.938</v>
      </c>
      <c r="F4619" s="13" t="n">
        <f aca="false">IFERROR(E4619*Eingaben!$B$15,0)</f>
        <v>1.7442</v>
      </c>
      <c r="G4619" s="13" t="n">
        <f aca="false">IFERROR(IF(Kalender!A227="",0,J4618*(1-Eingaben!$B$20)),0)</f>
        <v>1.709316</v>
      </c>
      <c r="H4619" s="13" t="n">
        <f aca="false">MIN(G4619,D4619)</f>
        <v>0.89</v>
      </c>
      <c r="I4619" s="13" t="n">
        <f aca="false">IFERROR(MIN(F4619*Eingaben!$B$19,MAX(0,D4619-H4619)),0)</f>
        <v>0</v>
      </c>
      <c r="J4619" s="13" t="n">
        <f aca="false">IFERROR(MIN(Eingaben!$B$18,MAX(0,F4619-I4619)),0)</f>
        <v>1.7442</v>
      </c>
      <c r="K4619" s="13" t="n">
        <f aca="false">H4619+I4619</f>
        <v>0.89</v>
      </c>
      <c r="L4619" s="13" t="n">
        <f aca="false">MAX(0,D4619-K4619)</f>
        <v>0</v>
      </c>
      <c r="M4619" s="13" t="n">
        <f aca="false">MAX(0,F4619-I4619-J4619)</f>
        <v>0</v>
      </c>
      <c r="N4619" s="13" t="n">
        <f aca="false">IF(Kalender!A227="",0,J4618-H4619)</f>
        <v>0.8542</v>
      </c>
    </row>
    <row r="4620" customFormat="false" ht="16.4" hidden="false" customHeight="false" outlineLevel="0" collapsed="false">
      <c r="A4620" s="13" t="str">
        <f aca="false">""</f>
        <v/>
      </c>
      <c r="B4620" s="13" t="n">
        <f aca="false">224</f>
        <v>224</v>
      </c>
      <c r="C4620" s="13" t="n">
        <f aca="false">IF(Szenarien!$H$23="OK",(IFERROR(SUMIF(Nutzungsprofile!$B$6:$B$11,"Schulbetrieb",Nutzungsprofile!$G$6:$G$11)*Kalender!C228/SUM(Kalender!$C$5:$C$370),0)+IFERROR(SUMIF(Nutzungsprofile!$B$6:$B$11,"Halle",Nutzungsprofile!$G$6:$G$11)*Kalender!D228/SUM(Kalender!$D$5:$D$370),0)+IFERROR(SUMIF(Nutzungsprofile!$B$6:$B$11,"Individuell",Nutzungsprofile!$G$6:$G$11)*Kalender!E228/SUM(Kalender!$E$5:$E$370),0))*Szenarien!$E$23,0)</f>
        <v>2.04</v>
      </c>
      <c r="D4620" s="13" t="n">
        <f aca="false">IF(Szenarien!$H$23="OK",(IFERROR(SUMIF(Nutzungsprofile!$B$17:$B$22,"Schulbetrieb",Nutzungsprofile!$G$17:$G$22)*Kalender!C228/SUM(Kalender!$C$5:$C$370),0)+IFERROR(SUMIF(Nutzungsprofile!$B$17:$B$22,"Halle",Nutzungsprofile!$G$17:$G$22)*Kalender!D228/SUM(Kalender!$D$5:$D$370),0)+IFERROR(SUMIF(Nutzungsprofile!$B$17:$B$22,"Individuell",Nutzungsprofile!$G$17:$G$22)*Kalender!E228/SUM(Kalender!$E$5:$E$370),0))*Szenarien!$D$23,0)</f>
        <v>0.89</v>
      </c>
      <c r="E4620" s="13" t="n">
        <f aca="false">IFERROR(MIN(C4620,Eingaben!$B$17)*Eingaben!$B$16,0)</f>
        <v>1.938</v>
      </c>
      <c r="F4620" s="13" t="n">
        <f aca="false">IFERROR(E4620*Eingaben!$B$15,0)</f>
        <v>1.7442</v>
      </c>
      <c r="G4620" s="13" t="n">
        <f aca="false">IFERROR(IF(Kalender!A228="",0,J4619*(1-Eingaben!$B$20)),0)</f>
        <v>1.709316</v>
      </c>
      <c r="H4620" s="13" t="n">
        <f aca="false">MIN(G4620,D4620)</f>
        <v>0.89</v>
      </c>
      <c r="I4620" s="13" t="n">
        <f aca="false">IFERROR(MIN(F4620*Eingaben!$B$19,MAX(0,D4620-H4620)),0)</f>
        <v>0</v>
      </c>
      <c r="J4620" s="13" t="n">
        <f aca="false">IFERROR(MIN(Eingaben!$B$18,MAX(0,F4620-I4620)),0)</f>
        <v>1.7442</v>
      </c>
      <c r="K4620" s="13" t="n">
        <f aca="false">H4620+I4620</f>
        <v>0.89</v>
      </c>
      <c r="L4620" s="13" t="n">
        <f aca="false">MAX(0,D4620-K4620)</f>
        <v>0</v>
      </c>
      <c r="M4620" s="13" t="n">
        <f aca="false">MAX(0,F4620-I4620-J4620)</f>
        <v>0</v>
      </c>
      <c r="N4620" s="13" t="n">
        <f aca="false">IF(Kalender!A228="",0,J4619-H4620)</f>
        <v>0.8542</v>
      </c>
    </row>
    <row r="4621" customFormat="false" ht="16.4" hidden="false" customHeight="false" outlineLevel="0" collapsed="false">
      <c r="A4621" s="13" t="str">
        <f aca="false">""</f>
        <v/>
      </c>
      <c r="B4621" s="13" t="n">
        <f aca="false">225</f>
        <v>225</v>
      </c>
      <c r="C4621" s="13" t="n">
        <f aca="false">IF(Szenarien!$H$23="OK",(IFERROR(SUMIF(Nutzungsprofile!$B$6:$B$11,"Schulbetrieb",Nutzungsprofile!$G$6:$G$11)*Kalender!C229/SUM(Kalender!$C$5:$C$370),0)+IFERROR(SUMIF(Nutzungsprofile!$B$6:$B$11,"Halle",Nutzungsprofile!$G$6:$G$11)*Kalender!D229/SUM(Kalender!$D$5:$D$370),0)+IFERROR(SUMIF(Nutzungsprofile!$B$6:$B$11,"Individuell",Nutzungsprofile!$G$6:$G$11)*Kalender!E229/SUM(Kalender!$E$5:$E$370),0))*Szenarien!$E$23,0)</f>
        <v>2.04</v>
      </c>
      <c r="D4621" s="13" t="n">
        <f aca="false">IF(Szenarien!$H$23="OK",(IFERROR(SUMIF(Nutzungsprofile!$B$17:$B$22,"Schulbetrieb",Nutzungsprofile!$G$17:$G$22)*Kalender!C229/SUM(Kalender!$C$5:$C$370),0)+IFERROR(SUMIF(Nutzungsprofile!$B$17:$B$22,"Halle",Nutzungsprofile!$G$17:$G$22)*Kalender!D229/SUM(Kalender!$D$5:$D$370),0)+IFERROR(SUMIF(Nutzungsprofile!$B$17:$B$22,"Individuell",Nutzungsprofile!$G$17:$G$22)*Kalender!E229/SUM(Kalender!$E$5:$E$370),0))*Szenarien!$D$23,0)</f>
        <v>0.89</v>
      </c>
      <c r="E4621" s="13" t="n">
        <f aca="false">IFERROR(MIN(C4621,Eingaben!$B$17)*Eingaben!$B$16,0)</f>
        <v>1.938</v>
      </c>
      <c r="F4621" s="13" t="n">
        <f aca="false">IFERROR(E4621*Eingaben!$B$15,0)</f>
        <v>1.7442</v>
      </c>
      <c r="G4621" s="13" t="n">
        <f aca="false">IFERROR(IF(Kalender!A229="",0,J4620*(1-Eingaben!$B$20)),0)</f>
        <v>1.709316</v>
      </c>
      <c r="H4621" s="13" t="n">
        <f aca="false">MIN(G4621,D4621)</f>
        <v>0.89</v>
      </c>
      <c r="I4621" s="13" t="n">
        <f aca="false">IFERROR(MIN(F4621*Eingaben!$B$19,MAX(0,D4621-H4621)),0)</f>
        <v>0</v>
      </c>
      <c r="J4621" s="13" t="n">
        <f aca="false">IFERROR(MIN(Eingaben!$B$18,MAX(0,F4621-I4621)),0)</f>
        <v>1.7442</v>
      </c>
      <c r="K4621" s="13" t="n">
        <f aca="false">H4621+I4621</f>
        <v>0.89</v>
      </c>
      <c r="L4621" s="13" t="n">
        <f aca="false">MAX(0,D4621-K4621)</f>
        <v>0</v>
      </c>
      <c r="M4621" s="13" t="n">
        <f aca="false">MAX(0,F4621-I4621-J4621)</f>
        <v>0</v>
      </c>
      <c r="N4621" s="13" t="n">
        <f aca="false">IF(Kalender!A229="",0,J4620-H4621)</f>
        <v>0.8542</v>
      </c>
    </row>
    <row r="4622" customFormat="false" ht="16.4" hidden="false" customHeight="false" outlineLevel="0" collapsed="false">
      <c r="A4622" s="13" t="str">
        <f aca="false">""</f>
        <v/>
      </c>
      <c r="B4622" s="13" t="n">
        <f aca="false">226</f>
        <v>226</v>
      </c>
      <c r="C4622" s="13" t="n">
        <f aca="false">IF(Szenarien!$H$23="OK",(IFERROR(SUMIF(Nutzungsprofile!$B$6:$B$11,"Schulbetrieb",Nutzungsprofile!$G$6:$G$11)*Kalender!C230/SUM(Kalender!$C$5:$C$370),0)+IFERROR(SUMIF(Nutzungsprofile!$B$6:$B$11,"Halle",Nutzungsprofile!$G$6:$G$11)*Kalender!D230/SUM(Kalender!$D$5:$D$370),0)+IFERROR(SUMIF(Nutzungsprofile!$B$6:$B$11,"Individuell",Nutzungsprofile!$G$6:$G$11)*Kalender!E230/SUM(Kalender!$E$5:$E$370),0))*Szenarien!$E$23,0)</f>
        <v>2.04</v>
      </c>
      <c r="D4622" s="13" t="n">
        <f aca="false">IF(Szenarien!$H$23="OK",(IFERROR(SUMIF(Nutzungsprofile!$B$17:$B$22,"Schulbetrieb",Nutzungsprofile!$G$17:$G$22)*Kalender!C230/SUM(Kalender!$C$5:$C$370),0)+IFERROR(SUMIF(Nutzungsprofile!$B$17:$B$22,"Halle",Nutzungsprofile!$G$17:$G$22)*Kalender!D230/SUM(Kalender!$D$5:$D$370),0)+IFERROR(SUMIF(Nutzungsprofile!$B$17:$B$22,"Individuell",Nutzungsprofile!$G$17:$G$22)*Kalender!E230/SUM(Kalender!$E$5:$E$370),0))*Szenarien!$D$23,0)</f>
        <v>0.89</v>
      </c>
      <c r="E4622" s="13" t="n">
        <f aca="false">IFERROR(MIN(C4622,Eingaben!$B$17)*Eingaben!$B$16,0)</f>
        <v>1.938</v>
      </c>
      <c r="F4622" s="13" t="n">
        <f aca="false">IFERROR(E4622*Eingaben!$B$15,0)</f>
        <v>1.7442</v>
      </c>
      <c r="G4622" s="13" t="n">
        <f aca="false">IFERROR(IF(Kalender!A230="",0,J4621*(1-Eingaben!$B$20)),0)</f>
        <v>1.709316</v>
      </c>
      <c r="H4622" s="13" t="n">
        <f aca="false">MIN(G4622,D4622)</f>
        <v>0.89</v>
      </c>
      <c r="I4622" s="13" t="n">
        <f aca="false">IFERROR(MIN(F4622*Eingaben!$B$19,MAX(0,D4622-H4622)),0)</f>
        <v>0</v>
      </c>
      <c r="J4622" s="13" t="n">
        <f aca="false">IFERROR(MIN(Eingaben!$B$18,MAX(0,F4622-I4622)),0)</f>
        <v>1.7442</v>
      </c>
      <c r="K4622" s="13" t="n">
        <f aca="false">H4622+I4622</f>
        <v>0.89</v>
      </c>
      <c r="L4622" s="13" t="n">
        <f aca="false">MAX(0,D4622-K4622)</f>
        <v>0</v>
      </c>
      <c r="M4622" s="13" t="n">
        <f aca="false">MAX(0,F4622-I4622-J4622)</f>
        <v>0</v>
      </c>
      <c r="N4622" s="13" t="n">
        <f aca="false">IF(Kalender!A230="",0,J4621-H4622)</f>
        <v>0.8542</v>
      </c>
    </row>
    <row r="4623" customFormat="false" ht="16.4" hidden="false" customHeight="false" outlineLevel="0" collapsed="false">
      <c r="A4623" s="13" t="str">
        <f aca="false">""</f>
        <v/>
      </c>
      <c r="B4623" s="13" t="n">
        <f aca="false">227</f>
        <v>227</v>
      </c>
      <c r="C4623" s="13" t="n">
        <f aca="false">IF(Szenarien!$H$23="OK",(IFERROR(SUMIF(Nutzungsprofile!$B$6:$B$11,"Schulbetrieb",Nutzungsprofile!$G$6:$G$11)*Kalender!C231/SUM(Kalender!$C$5:$C$370),0)+IFERROR(SUMIF(Nutzungsprofile!$B$6:$B$11,"Halle",Nutzungsprofile!$G$6:$G$11)*Kalender!D231/SUM(Kalender!$D$5:$D$370),0)+IFERROR(SUMIF(Nutzungsprofile!$B$6:$B$11,"Individuell",Nutzungsprofile!$G$6:$G$11)*Kalender!E231/SUM(Kalender!$E$5:$E$370),0))*Szenarien!$E$23,0)</f>
        <v>2.04</v>
      </c>
      <c r="D4623" s="13" t="n">
        <f aca="false">IF(Szenarien!$H$23="OK",(IFERROR(SUMIF(Nutzungsprofile!$B$17:$B$22,"Schulbetrieb",Nutzungsprofile!$G$17:$G$22)*Kalender!C231/SUM(Kalender!$C$5:$C$370),0)+IFERROR(SUMIF(Nutzungsprofile!$B$17:$B$22,"Halle",Nutzungsprofile!$G$17:$G$22)*Kalender!D231/SUM(Kalender!$D$5:$D$370),0)+IFERROR(SUMIF(Nutzungsprofile!$B$17:$B$22,"Individuell",Nutzungsprofile!$G$17:$G$22)*Kalender!E231/SUM(Kalender!$E$5:$E$370),0))*Szenarien!$D$23,0)</f>
        <v>0.89</v>
      </c>
      <c r="E4623" s="13" t="n">
        <f aca="false">IFERROR(MIN(C4623,Eingaben!$B$17)*Eingaben!$B$16,0)</f>
        <v>1.938</v>
      </c>
      <c r="F4623" s="13" t="n">
        <f aca="false">IFERROR(E4623*Eingaben!$B$15,0)</f>
        <v>1.7442</v>
      </c>
      <c r="G4623" s="13" t="n">
        <f aca="false">IFERROR(IF(Kalender!A231="",0,J4622*(1-Eingaben!$B$20)),0)</f>
        <v>1.709316</v>
      </c>
      <c r="H4623" s="13" t="n">
        <f aca="false">MIN(G4623,D4623)</f>
        <v>0.89</v>
      </c>
      <c r="I4623" s="13" t="n">
        <f aca="false">IFERROR(MIN(F4623*Eingaben!$B$19,MAX(0,D4623-H4623)),0)</f>
        <v>0</v>
      </c>
      <c r="J4623" s="13" t="n">
        <f aca="false">IFERROR(MIN(Eingaben!$B$18,MAX(0,F4623-I4623)),0)</f>
        <v>1.7442</v>
      </c>
      <c r="K4623" s="13" t="n">
        <f aca="false">H4623+I4623</f>
        <v>0.89</v>
      </c>
      <c r="L4623" s="13" t="n">
        <f aca="false">MAX(0,D4623-K4623)</f>
        <v>0</v>
      </c>
      <c r="M4623" s="13" t="n">
        <f aca="false">MAX(0,F4623-I4623-J4623)</f>
        <v>0</v>
      </c>
      <c r="N4623" s="13" t="n">
        <f aca="false">IF(Kalender!A231="",0,J4622-H4623)</f>
        <v>0.8542</v>
      </c>
    </row>
    <row r="4624" customFormat="false" ht="16.4" hidden="false" customHeight="false" outlineLevel="0" collapsed="false">
      <c r="A4624" s="13" t="str">
        <f aca="false">""</f>
        <v/>
      </c>
      <c r="B4624" s="13" t="n">
        <f aca="false">228</f>
        <v>228</v>
      </c>
      <c r="C4624" s="13" t="n">
        <f aca="false">IF(Szenarien!$H$23="OK",(IFERROR(SUMIF(Nutzungsprofile!$B$6:$B$11,"Schulbetrieb",Nutzungsprofile!$G$6:$G$11)*Kalender!C232/SUM(Kalender!$C$5:$C$370),0)+IFERROR(SUMIF(Nutzungsprofile!$B$6:$B$11,"Halle",Nutzungsprofile!$G$6:$G$11)*Kalender!D232/SUM(Kalender!$D$5:$D$370),0)+IFERROR(SUMIF(Nutzungsprofile!$B$6:$B$11,"Individuell",Nutzungsprofile!$G$6:$G$11)*Kalender!E232/SUM(Kalender!$E$5:$E$370),0))*Szenarien!$E$23,0)</f>
        <v>2.04</v>
      </c>
      <c r="D4624" s="13" t="n">
        <f aca="false">IF(Szenarien!$H$23="OK",(IFERROR(SUMIF(Nutzungsprofile!$B$17:$B$22,"Schulbetrieb",Nutzungsprofile!$G$17:$G$22)*Kalender!C232/SUM(Kalender!$C$5:$C$370),0)+IFERROR(SUMIF(Nutzungsprofile!$B$17:$B$22,"Halle",Nutzungsprofile!$G$17:$G$22)*Kalender!D232/SUM(Kalender!$D$5:$D$370),0)+IFERROR(SUMIF(Nutzungsprofile!$B$17:$B$22,"Individuell",Nutzungsprofile!$G$17:$G$22)*Kalender!E232/SUM(Kalender!$E$5:$E$370),0))*Szenarien!$D$23,0)</f>
        <v>0.89</v>
      </c>
      <c r="E4624" s="13" t="n">
        <f aca="false">IFERROR(MIN(C4624,Eingaben!$B$17)*Eingaben!$B$16,0)</f>
        <v>1.938</v>
      </c>
      <c r="F4624" s="13" t="n">
        <f aca="false">IFERROR(E4624*Eingaben!$B$15,0)</f>
        <v>1.7442</v>
      </c>
      <c r="G4624" s="13" t="n">
        <f aca="false">IFERROR(IF(Kalender!A232="",0,J4623*(1-Eingaben!$B$20)),0)</f>
        <v>1.709316</v>
      </c>
      <c r="H4624" s="13" t="n">
        <f aca="false">MIN(G4624,D4624)</f>
        <v>0.89</v>
      </c>
      <c r="I4624" s="13" t="n">
        <f aca="false">IFERROR(MIN(F4624*Eingaben!$B$19,MAX(0,D4624-H4624)),0)</f>
        <v>0</v>
      </c>
      <c r="J4624" s="13" t="n">
        <f aca="false">IFERROR(MIN(Eingaben!$B$18,MAX(0,F4624-I4624)),0)</f>
        <v>1.7442</v>
      </c>
      <c r="K4624" s="13" t="n">
        <f aca="false">H4624+I4624</f>
        <v>0.89</v>
      </c>
      <c r="L4624" s="13" t="n">
        <f aca="false">MAX(0,D4624-K4624)</f>
        <v>0</v>
      </c>
      <c r="M4624" s="13" t="n">
        <f aca="false">MAX(0,F4624-I4624-J4624)</f>
        <v>0</v>
      </c>
      <c r="N4624" s="13" t="n">
        <f aca="false">IF(Kalender!A232="",0,J4623-H4624)</f>
        <v>0.8542</v>
      </c>
    </row>
    <row r="4625" customFormat="false" ht="16.4" hidden="false" customHeight="false" outlineLevel="0" collapsed="false">
      <c r="A4625" s="13" t="str">
        <f aca="false">""</f>
        <v/>
      </c>
      <c r="B4625" s="13" t="n">
        <f aca="false">229</f>
        <v>229</v>
      </c>
      <c r="C4625" s="13" t="n">
        <f aca="false">IF(Szenarien!$H$23="OK",(IFERROR(SUMIF(Nutzungsprofile!$B$6:$B$11,"Schulbetrieb",Nutzungsprofile!$G$6:$G$11)*Kalender!C233/SUM(Kalender!$C$5:$C$370),0)+IFERROR(SUMIF(Nutzungsprofile!$B$6:$B$11,"Halle",Nutzungsprofile!$G$6:$G$11)*Kalender!D233/SUM(Kalender!$D$5:$D$370),0)+IFERROR(SUMIF(Nutzungsprofile!$B$6:$B$11,"Individuell",Nutzungsprofile!$G$6:$G$11)*Kalender!E233/SUM(Kalender!$E$5:$E$370),0))*Szenarien!$E$23,0)</f>
        <v>2.04</v>
      </c>
      <c r="D4625" s="13" t="n">
        <f aca="false">IF(Szenarien!$H$23="OK",(IFERROR(SUMIF(Nutzungsprofile!$B$17:$B$22,"Schulbetrieb",Nutzungsprofile!$G$17:$G$22)*Kalender!C233/SUM(Kalender!$C$5:$C$370),0)+IFERROR(SUMIF(Nutzungsprofile!$B$17:$B$22,"Halle",Nutzungsprofile!$G$17:$G$22)*Kalender!D233/SUM(Kalender!$D$5:$D$370),0)+IFERROR(SUMIF(Nutzungsprofile!$B$17:$B$22,"Individuell",Nutzungsprofile!$G$17:$G$22)*Kalender!E233/SUM(Kalender!$E$5:$E$370),0))*Szenarien!$D$23,0)</f>
        <v>0.89</v>
      </c>
      <c r="E4625" s="13" t="n">
        <f aca="false">IFERROR(MIN(C4625,Eingaben!$B$17)*Eingaben!$B$16,0)</f>
        <v>1.938</v>
      </c>
      <c r="F4625" s="13" t="n">
        <f aca="false">IFERROR(E4625*Eingaben!$B$15,0)</f>
        <v>1.7442</v>
      </c>
      <c r="G4625" s="13" t="n">
        <f aca="false">IFERROR(IF(Kalender!A233="",0,J4624*(1-Eingaben!$B$20)),0)</f>
        <v>1.709316</v>
      </c>
      <c r="H4625" s="13" t="n">
        <f aca="false">MIN(G4625,D4625)</f>
        <v>0.89</v>
      </c>
      <c r="I4625" s="13" t="n">
        <f aca="false">IFERROR(MIN(F4625*Eingaben!$B$19,MAX(0,D4625-H4625)),0)</f>
        <v>0</v>
      </c>
      <c r="J4625" s="13" t="n">
        <f aca="false">IFERROR(MIN(Eingaben!$B$18,MAX(0,F4625-I4625)),0)</f>
        <v>1.7442</v>
      </c>
      <c r="K4625" s="13" t="n">
        <f aca="false">H4625+I4625</f>
        <v>0.89</v>
      </c>
      <c r="L4625" s="13" t="n">
        <f aca="false">MAX(0,D4625-K4625)</f>
        <v>0</v>
      </c>
      <c r="M4625" s="13" t="n">
        <f aca="false">MAX(0,F4625-I4625-J4625)</f>
        <v>0</v>
      </c>
      <c r="N4625" s="13" t="n">
        <f aca="false">IF(Kalender!A233="",0,J4624-H4625)</f>
        <v>0.8542</v>
      </c>
    </row>
    <row r="4626" customFormat="false" ht="16.4" hidden="false" customHeight="false" outlineLevel="0" collapsed="false">
      <c r="A4626" s="13" t="str">
        <f aca="false">""</f>
        <v/>
      </c>
      <c r="B4626" s="13" t="n">
        <f aca="false">230</f>
        <v>230</v>
      </c>
      <c r="C4626" s="13" t="n">
        <f aca="false">IF(Szenarien!$H$23="OK",(IFERROR(SUMIF(Nutzungsprofile!$B$6:$B$11,"Schulbetrieb",Nutzungsprofile!$G$6:$G$11)*Kalender!C234/SUM(Kalender!$C$5:$C$370),0)+IFERROR(SUMIF(Nutzungsprofile!$B$6:$B$11,"Halle",Nutzungsprofile!$G$6:$G$11)*Kalender!D234/SUM(Kalender!$D$5:$D$370),0)+IFERROR(SUMIF(Nutzungsprofile!$B$6:$B$11,"Individuell",Nutzungsprofile!$G$6:$G$11)*Kalender!E234/SUM(Kalender!$E$5:$E$370),0))*Szenarien!$E$23,0)</f>
        <v>2.04</v>
      </c>
      <c r="D4626" s="13" t="n">
        <f aca="false">IF(Szenarien!$H$23="OK",(IFERROR(SUMIF(Nutzungsprofile!$B$17:$B$22,"Schulbetrieb",Nutzungsprofile!$G$17:$G$22)*Kalender!C234/SUM(Kalender!$C$5:$C$370),0)+IFERROR(SUMIF(Nutzungsprofile!$B$17:$B$22,"Halle",Nutzungsprofile!$G$17:$G$22)*Kalender!D234/SUM(Kalender!$D$5:$D$370),0)+IFERROR(SUMIF(Nutzungsprofile!$B$17:$B$22,"Individuell",Nutzungsprofile!$G$17:$G$22)*Kalender!E234/SUM(Kalender!$E$5:$E$370),0))*Szenarien!$D$23,0)</f>
        <v>0.89</v>
      </c>
      <c r="E4626" s="13" t="n">
        <f aca="false">IFERROR(MIN(C4626,Eingaben!$B$17)*Eingaben!$B$16,0)</f>
        <v>1.938</v>
      </c>
      <c r="F4626" s="13" t="n">
        <f aca="false">IFERROR(E4626*Eingaben!$B$15,0)</f>
        <v>1.7442</v>
      </c>
      <c r="G4626" s="13" t="n">
        <f aca="false">IFERROR(IF(Kalender!A234="",0,J4625*(1-Eingaben!$B$20)),0)</f>
        <v>1.709316</v>
      </c>
      <c r="H4626" s="13" t="n">
        <f aca="false">MIN(G4626,D4626)</f>
        <v>0.89</v>
      </c>
      <c r="I4626" s="13" t="n">
        <f aca="false">IFERROR(MIN(F4626*Eingaben!$B$19,MAX(0,D4626-H4626)),0)</f>
        <v>0</v>
      </c>
      <c r="J4626" s="13" t="n">
        <f aca="false">IFERROR(MIN(Eingaben!$B$18,MAX(0,F4626-I4626)),0)</f>
        <v>1.7442</v>
      </c>
      <c r="K4626" s="13" t="n">
        <f aca="false">H4626+I4626</f>
        <v>0.89</v>
      </c>
      <c r="L4626" s="13" t="n">
        <f aca="false">MAX(0,D4626-K4626)</f>
        <v>0</v>
      </c>
      <c r="M4626" s="13" t="n">
        <f aca="false">MAX(0,F4626-I4626-J4626)</f>
        <v>0</v>
      </c>
      <c r="N4626" s="13" t="n">
        <f aca="false">IF(Kalender!A234="",0,J4625-H4626)</f>
        <v>0.8542</v>
      </c>
    </row>
    <row r="4627" customFormat="false" ht="16.4" hidden="false" customHeight="false" outlineLevel="0" collapsed="false">
      <c r="A4627" s="13" t="str">
        <f aca="false">""</f>
        <v/>
      </c>
      <c r="B4627" s="13" t="n">
        <f aca="false">231</f>
        <v>231</v>
      </c>
      <c r="C4627" s="13" t="n">
        <f aca="false">IF(Szenarien!$H$23="OK",(IFERROR(SUMIF(Nutzungsprofile!$B$6:$B$11,"Schulbetrieb",Nutzungsprofile!$G$6:$G$11)*Kalender!C235/SUM(Kalender!$C$5:$C$370),0)+IFERROR(SUMIF(Nutzungsprofile!$B$6:$B$11,"Halle",Nutzungsprofile!$G$6:$G$11)*Kalender!D235/SUM(Kalender!$D$5:$D$370),0)+IFERROR(SUMIF(Nutzungsprofile!$B$6:$B$11,"Individuell",Nutzungsprofile!$G$6:$G$11)*Kalender!E235/SUM(Kalender!$E$5:$E$370),0))*Szenarien!$E$23,0)</f>
        <v>2.04</v>
      </c>
      <c r="D4627" s="13" t="n">
        <f aca="false">IF(Szenarien!$H$23="OK",(IFERROR(SUMIF(Nutzungsprofile!$B$17:$B$22,"Schulbetrieb",Nutzungsprofile!$G$17:$G$22)*Kalender!C235/SUM(Kalender!$C$5:$C$370),0)+IFERROR(SUMIF(Nutzungsprofile!$B$17:$B$22,"Halle",Nutzungsprofile!$G$17:$G$22)*Kalender!D235/SUM(Kalender!$D$5:$D$370),0)+IFERROR(SUMIF(Nutzungsprofile!$B$17:$B$22,"Individuell",Nutzungsprofile!$G$17:$G$22)*Kalender!E235/SUM(Kalender!$E$5:$E$370),0))*Szenarien!$D$23,0)</f>
        <v>0.89</v>
      </c>
      <c r="E4627" s="13" t="n">
        <f aca="false">IFERROR(MIN(C4627,Eingaben!$B$17)*Eingaben!$B$16,0)</f>
        <v>1.938</v>
      </c>
      <c r="F4627" s="13" t="n">
        <f aca="false">IFERROR(E4627*Eingaben!$B$15,0)</f>
        <v>1.7442</v>
      </c>
      <c r="G4627" s="13" t="n">
        <f aca="false">IFERROR(IF(Kalender!A235="",0,J4626*(1-Eingaben!$B$20)),0)</f>
        <v>1.709316</v>
      </c>
      <c r="H4627" s="13" t="n">
        <f aca="false">MIN(G4627,D4627)</f>
        <v>0.89</v>
      </c>
      <c r="I4627" s="13" t="n">
        <f aca="false">IFERROR(MIN(F4627*Eingaben!$B$19,MAX(0,D4627-H4627)),0)</f>
        <v>0</v>
      </c>
      <c r="J4627" s="13" t="n">
        <f aca="false">IFERROR(MIN(Eingaben!$B$18,MAX(0,F4627-I4627)),0)</f>
        <v>1.7442</v>
      </c>
      <c r="K4627" s="13" t="n">
        <f aca="false">H4627+I4627</f>
        <v>0.89</v>
      </c>
      <c r="L4627" s="13" t="n">
        <f aca="false">MAX(0,D4627-K4627)</f>
        <v>0</v>
      </c>
      <c r="M4627" s="13" t="n">
        <f aca="false">MAX(0,F4627-I4627-J4627)</f>
        <v>0</v>
      </c>
      <c r="N4627" s="13" t="n">
        <f aca="false">IF(Kalender!A235="",0,J4626-H4627)</f>
        <v>0.8542</v>
      </c>
    </row>
    <row r="4628" customFormat="false" ht="16.4" hidden="false" customHeight="false" outlineLevel="0" collapsed="false">
      <c r="A4628" s="13" t="str">
        <f aca="false">""</f>
        <v/>
      </c>
      <c r="B4628" s="13" t="n">
        <f aca="false">232</f>
        <v>232</v>
      </c>
      <c r="C4628" s="13" t="n">
        <f aca="false">IF(Szenarien!$H$23="OK",(IFERROR(SUMIF(Nutzungsprofile!$B$6:$B$11,"Schulbetrieb",Nutzungsprofile!$G$6:$G$11)*Kalender!C236/SUM(Kalender!$C$5:$C$370),0)+IFERROR(SUMIF(Nutzungsprofile!$B$6:$B$11,"Halle",Nutzungsprofile!$G$6:$G$11)*Kalender!D236/SUM(Kalender!$D$5:$D$370),0)+IFERROR(SUMIF(Nutzungsprofile!$B$6:$B$11,"Individuell",Nutzungsprofile!$G$6:$G$11)*Kalender!E236/SUM(Kalender!$E$5:$E$370),0))*Szenarien!$E$23,0)</f>
        <v>2.04</v>
      </c>
      <c r="D4628" s="13" t="n">
        <f aca="false">IF(Szenarien!$H$23="OK",(IFERROR(SUMIF(Nutzungsprofile!$B$17:$B$22,"Schulbetrieb",Nutzungsprofile!$G$17:$G$22)*Kalender!C236/SUM(Kalender!$C$5:$C$370),0)+IFERROR(SUMIF(Nutzungsprofile!$B$17:$B$22,"Halle",Nutzungsprofile!$G$17:$G$22)*Kalender!D236/SUM(Kalender!$D$5:$D$370),0)+IFERROR(SUMIF(Nutzungsprofile!$B$17:$B$22,"Individuell",Nutzungsprofile!$G$17:$G$22)*Kalender!E236/SUM(Kalender!$E$5:$E$370),0))*Szenarien!$D$23,0)</f>
        <v>0.89</v>
      </c>
      <c r="E4628" s="13" t="n">
        <f aca="false">IFERROR(MIN(C4628,Eingaben!$B$17)*Eingaben!$B$16,0)</f>
        <v>1.938</v>
      </c>
      <c r="F4628" s="13" t="n">
        <f aca="false">IFERROR(E4628*Eingaben!$B$15,0)</f>
        <v>1.7442</v>
      </c>
      <c r="G4628" s="13" t="n">
        <f aca="false">IFERROR(IF(Kalender!A236="",0,J4627*(1-Eingaben!$B$20)),0)</f>
        <v>1.709316</v>
      </c>
      <c r="H4628" s="13" t="n">
        <f aca="false">MIN(G4628,D4628)</f>
        <v>0.89</v>
      </c>
      <c r="I4628" s="13" t="n">
        <f aca="false">IFERROR(MIN(F4628*Eingaben!$B$19,MAX(0,D4628-H4628)),0)</f>
        <v>0</v>
      </c>
      <c r="J4628" s="13" t="n">
        <f aca="false">IFERROR(MIN(Eingaben!$B$18,MAX(0,F4628-I4628)),0)</f>
        <v>1.7442</v>
      </c>
      <c r="K4628" s="13" t="n">
        <f aca="false">H4628+I4628</f>
        <v>0.89</v>
      </c>
      <c r="L4628" s="13" t="n">
        <f aca="false">MAX(0,D4628-K4628)</f>
        <v>0</v>
      </c>
      <c r="M4628" s="13" t="n">
        <f aca="false">MAX(0,F4628-I4628-J4628)</f>
        <v>0</v>
      </c>
      <c r="N4628" s="13" t="n">
        <f aca="false">IF(Kalender!A236="",0,J4627-H4628)</f>
        <v>0.8542</v>
      </c>
    </row>
    <row r="4629" customFormat="false" ht="16.4" hidden="false" customHeight="false" outlineLevel="0" collapsed="false">
      <c r="A4629" s="13" t="str">
        <f aca="false">""</f>
        <v/>
      </c>
      <c r="B4629" s="13" t="n">
        <f aca="false">233</f>
        <v>233</v>
      </c>
      <c r="C4629" s="13" t="n">
        <f aca="false">IF(Szenarien!$H$23="OK",(IFERROR(SUMIF(Nutzungsprofile!$B$6:$B$11,"Schulbetrieb",Nutzungsprofile!$G$6:$G$11)*Kalender!C237/SUM(Kalender!$C$5:$C$370),0)+IFERROR(SUMIF(Nutzungsprofile!$B$6:$B$11,"Halle",Nutzungsprofile!$G$6:$G$11)*Kalender!D237/SUM(Kalender!$D$5:$D$370),0)+IFERROR(SUMIF(Nutzungsprofile!$B$6:$B$11,"Individuell",Nutzungsprofile!$G$6:$G$11)*Kalender!E237/SUM(Kalender!$E$5:$E$370),0))*Szenarien!$E$23,0)</f>
        <v>2.04</v>
      </c>
      <c r="D4629" s="13" t="n">
        <f aca="false">IF(Szenarien!$H$23="OK",(IFERROR(SUMIF(Nutzungsprofile!$B$17:$B$22,"Schulbetrieb",Nutzungsprofile!$G$17:$G$22)*Kalender!C237/SUM(Kalender!$C$5:$C$370),0)+IFERROR(SUMIF(Nutzungsprofile!$B$17:$B$22,"Halle",Nutzungsprofile!$G$17:$G$22)*Kalender!D237/SUM(Kalender!$D$5:$D$370),0)+IFERROR(SUMIF(Nutzungsprofile!$B$17:$B$22,"Individuell",Nutzungsprofile!$G$17:$G$22)*Kalender!E237/SUM(Kalender!$E$5:$E$370),0))*Szenarien!$D$23,0)</f>
        <v>0.89</v>
      </c>
      <c r="E4629" s="13" t="n">
        <f aca="false">IFERROR(MIN(C4629,Eingaben!$B$17)*Eingaben!$B$16,0)</f>
        <v>1.938</v>
      </c>
      <c r="F4629" s="13" t="n">
        <f aca="false">IFERROR(E4629*Eingaben!$B$15,0)</f>
        <v>1.7442</v>
      </c>
      <c r="G4629" s="13" t="n">
        <f aca="false">IFERROR(IF(Kalender!A237="",0,J4628*(1-Eingaben!$B$20)),0)</f>
        <v>1.709316</v>
      </c>
      <c r="H4629" s="13" t="n">
        <f aca="false">MIN(G4629,D4629)</f>
        <v>0.89</v>
      </c>
      <c r="I4629" s="13" t="n">
        <f aca="false">IFERROR(MIN(F4629*Eingaben!$B$19,MAX(0,D4629-H4629)),0)</f>
        <v>0</v>
      </c>
      <c r="J4629" s="13" t="n">
        <f aca="false">IFERROR(MIN(Eingaben!$B$18,MAX(0,F4629-I4629)),0)</f>
        <v>1.7442</v>
      </c>
      <c r="K4629" s="13" t="n">
        <f aca="false">H4629+I4629</f>
        <v>0.89</v>
      </c>
      <c r="L4629" s="13" t="n">
        <f aca="false">MAX(0,D4629-K4629)</f>
        <v>0</v>
      </c>
      <c r="M4629" s="13" t="n">
        <f aca="false">MAX(0,F4629-I4629-J4629)</f>
        <v>0</v>
      </c>
      <c r="N4629" s="13" t="n">
        <f aca="false">IF(Kalender!A237="",0,J4628-H4629)</f>
        <v>0.8542</v>
      </c>
    </row>
    <row r="4630" customFormat="false" ht="16.4" hidden="false" customHeight="false" outlineLevel="0" collapsed="false">
      <c r="A4630" s="13" t="str">
        <f aca="false">""</f>
        <v/>
      </c>
      <c r="B4630" s="13" t="n">
        <f aca="false">234</f>
        <v>234</v>
      </c>
      <c r="C4630" s="13" t="n">
        <f aca="false">IF(Szenarien!$H$23="OK",(IFERROR(SUMIF(Nutzungsprofile!$B$6:$B$11,"Schulbetrieb",Nutzungsprofile!$G$6:$G$11)*Kalender!C238/SUM(Kalender!$C$5:$C$370),0)+IFERROR(SUMIF(Nutzungsprofile!$B$6:$B$11,"Halle",Nutzungsprofile!$G$6:$G$11)*Kalender!D238/SUM(Kalender!$D$5:$D$370),0)+IFERROR(SUMIF(Nutzungsprofile!$B$6:$B$11,"Individuell",Nutzungsprofile!$G$6:$G$11)*Kalender!E238/SUM(Kalender!$E$5:$E$370),0))*Szenarien!$E$23,0)</f>
        <v>2.04</v>
      </c>
      <c r="D4630" s="13" t="n">
        <f aca="false">IF(Szenarien!$H$23="OK",(IFERROR(SUMIF(Nutzungsprofile!$B$17:$B$22,"Schulbetrieb",Nutzungsprofile!$G$17:$G$22)*Kalender!C238/SUM(Kalender!$C$5:$C$370),0)+IFERROR(SUMIF(Nutzungsprofile!$B$17:$B$22,"Halle",Nutzungsprofile!$G$17:$G$22)*Kalender!D238/SUM(Kalender!$D$5:$D$370),0)+IFERROR(SUMIF(Nutzungsprofile!$B$17:$B$22,"Individuell",Nutzungsprofile!$G$17:$G$22)*Kalender!E238/SUM(Kalender!$E$5:$E$370),0))*Szenarien!$D$23,0)</f>
        <v>0.89</v>
      </c>
      <c r="E4630" s="13" t="n">
        <f aca="false">IFERROR(MIN(C4630,Eingaben!$B$17)*Eingaben!$B$16,0)</f>
        <v>1.938</v>
      </c>
      <c r="F4630" s="13" t="n">
        <f aca="false">IFERROR(E4630*Eingaben!$B$15,0)</f>
        <v>1.7442</v>
      </c>
      <c r="G4630" s="13" t="n">
        <f aca="false">IFERROR(IF(Kalender!A238="",0,J4629*(1-Eingaben!$B$20)),0)</f>
        <v>1.709316</v>
      </c>
      <c r="H4630" s="13" t="n">
        <f aca="false">MIN(G4630,D4630)</f>
        <v>0.89</v>
      </c>
      <c r="I4630" s="13" t="n">
        <f aca="false">IFERROR(MIN(F4630*Eingaben!$B$19,MAX(0,D4630-H4630)),0)</f>
        <v>0</v>
      </c>
      <c r="J4630" s="13" t="n">
        <f aca="false">IFERROR(MIN(Eingaben!$B$18,MAX(0,F4630-I4630)),0)</f>
        <v>1.7442</v>
      </c>
      <c r="K4630" s="13" t="n">
        <f aca="false">H4630+I4630</f>
        <v>0.89</v>
      </c>
      <c r="L4630" s="13" t="n">
        <f aca="false">MAX(0,D4630-K4630)</f>
        <v>0</v>
      </c>
      <c r="M4630" s="13" t="n">
        <f aca="false">MAX(0,F4630-I4630-J4630)</f>
        <v>0</v>
      </c>
      <c r="N4630" s="13" t="n">
        <f aca="false">IF(Kalender!A238="",0,J4629-H4630)</f>
        <v>0.8542</v>
      </c>
    </row>
    <row r="4631" customFormat="false" ht="16.4" hidden="false" customHeight="false" outlineLevel="0" collapsed="false">
      <c r="A4631" s="13" t="str">
        <f aca="false">""</f>
        <v/>
      </c>
      <c r="B4631" s="13" t="n">
        <f aca="false">235</f>
        <v>235</v>
      </c>
      <c r="C4631" s="13" t="n">
        <f aca="false">IF(Szenarien!$H$23="OK",(IFERROR(SUMIF(Nutzungsprofile!$B$6:$B$11,"Schulbetrieb",Nutzungsprofile!$G$6:$G$11)*Kalender!C239/SUM(Kalender!$C$5:$C$370),0)+IFERROR(SUMIF(Nutzungsprofile!$B$6:$B$11,"Halle",Nutzungsprofile!$G$6:$G$11)*Kalender!D239/SUM(Kalender!$D$5:$D$370),0)+IFERROR(SUMIF(Nutzungsprofile!$B$6:$B$11,"Individuell",Nutzungsprofile!$G$6:$G$11)*Kalender!E239/SUM(Kalender!$E$5:$E$370),0))*Szenarien!$E$23,0)</f>
        <v>2.04</v>
      </c>
      <c r="D4631" s="13" t="n">
        <f aca="false">IF(Szenarien!$H$23="OK",(IFERROR(SUMIF(Nutzungsprofile!$B$17:$B$22,"Schulbetrieb",Nutzungsprofile!$G$17:$G$22)*Kalender!C239/SUM(Kalender!$C$5:$C$370),0)+IFERROR(SUMIF(Nutzungsprofile!$B$17:$B$22,"Halle",Nutzungsprofile!$G$17:$G$22)*Kalender!D239/SUM(Kalender!$D$5:$D$370),0)+IFERROR(SUMIF(Nutzungsprofile!$B$17:$B$22,"Individuell",Nutzungsprofile!$G$17:$G$22)*Kalender!E239/SUM(Kalender!$E$5:$E$370),0))*Szenarien!$D$23,0)</f>
        <v>0.89</v>
      </c>
      <c r="E4631" s="13" t="n">
        <f aca="false">IFERROR(MIN(C4631,Eingaben!$B$17)*Eingaben!$B$16,0)</f>
        <v>1.938</v>
      </c>
      <c r="F4631" s="13" t="n">
        <f aca="false">IFERROR(E4631*Eingaben!$B$15,0)</f>
        <v>1.7442</v>
      </c>
      <c r="G4631" s="13" t="n">
        <f aca="false">IFERROR(IF(Kalender!A239="",0,J4630*(1-Eingaben!$B$20)),0)</f>
        <v>1.709316</v>
      </c>
      <c r="H4631" s="13" t="n">
        <f aca="false">MIN(G4631,D4631)</f>
        <v>0.89</v>
      </c>
      <c r="I4631" s="13" t="n">
        <f aca="false">IFERROR(MIN(F4631*Eingaben!$B$19,MAX(0,D4631-H4631)),0)</f>
        <v>0</v>
      </c>
      <c r="J4631" s="13" t="n">
        <f aca="false">IFERROR(MIN(Eingaben!$B$18,MAX(0,F4631-I4631)),0)</f>
        <v>1.7442</v>
      </c>
      <c r="K4631" s="13" t="n">
        <f aca="false">H4631+I4631</f>
        <v>0.89</v>
      </c>
      <c r="L4631" s="13" t="n">
        <f aca="false">MAX(0,D4631-K4631)</f>
        <v>0</v>
      </c>
      <c r="M4631" s="13" t="n">
        <f aca="false">MAX(0,F4631-I4631-J4631)</f>
        <v>0</v>
      </c>
      <c r="N4631" s="13" t="n">
        <f aca="false">IF(Kalender!A239="",0,J4630-H4631)</f>
        <v>0.8542</v>
      </c>
    </row>
    <row r="4632" customFormat="false" ht="16.4" hidden="false" customHeight="false" outlineLevel="0" collapsed="false">
      <c r="A4632" s="13" t="str">
        <f aca="false">""</f>
        <v/>
      </c>
      <c r="B4632" s="13" t="n">
        <f aca="false">236</f>
        <v>236</v>
      </c>
      <c r="C4632" s="13" t="n">
        <f aca="false">IF(Szenarien!$H$23="OK",(IFERROR(SUMIF(Nutzungsprofile!$B$6:$B$11,"Schulbetrieb",Nutzungsprofile!$G$6:$G$11)*Kalender!C240/SUM(Kalender!$C$5:$C$370),0)+IFERROR(SUMIF(Nutzungsprofile!$B$6:$B$11,"Halle",Nutzungsprofile!$G$6:$G$11)*Kalender!D240/SUM(Kalender!$D$5:$D$370),0)+IFERROR(SUMIF(Nutzungsprofile!$B$6:$B$11,"Individuell",Nutzungsprofile!$G$6:$G$11)*Kalender!E240/SUM(Kalender!$E$5:$E$370),0))*Szenarien!$E$23,0)</f>
        <v>2.04</v>
      </c>
      <c r="D4632" s="13" t="n">
        <f aca="false">IF(Szenarien!$H$23="OK",(IFERROR(SUMIF(Nutzungsprofile!$B$17:$B$22,"Schulbetrieb",Nutzungsprofile!$G$17:$G$22)*Kalender!C240/SUM(Kalender!$C$5:$C$370),0)+IFERROR(SUMIF(Nutzungsprofile!$B$17:$B$22,"Halle",Nutzungsprofile!$G$17:$G$22)*Kalender!D240/SUM(Kalender!$D$5:$D$370),0)+IFERROR(SUMIF(Nutzungsprofile!$B$17:$B$22,"Individuell",Nutzungsprofile!$G$17:$G$22)*Kalender!E240/SUM(Kalender!$E$5:$E$370),0))*Szenarien!$D$23,0)</f>
        <v>0.89</v>
      </c>
      <c r="E4632" s="13" t="n">
        <f aca="false">IFERROR(MIN(C4632,Eingaben!$B$17)*Eingaben!$B$16,0)</f>
        <v>1.938</v>
      </c>
      <c r="F4632" s="13" t="n">
        <f aca="false">IFERROR(E4632*Eingaben!$B$15,0)</f>
        <v>1.7442</v>
      </c>
      <c r="G4632" s="13" t="n">
        <f aca="false">IFERROR(IF(Kalender!A240="",0,J4631*(1-Eingaben!$B$20)),0)</f>
        <v>1.709316</v>
      </c>
      <c r="H4632" s="13" t="n">
        <f aca="false">MIN(G4632,D4632)</f>
        <v>0.89</v>
      </c>
      <c r="I4632" s="13" t="n">
        <f aca="false">IFERROR(MIN(F4632*Eingaben!$B$19,MAX(0,D4632-H4632)),0)</f>
        <v>0</v>
      </c>
      <c r="J4632" s="13" t="n">
        <f aca="false">IFERROR(MIN(Eingaben!$B$18,MAX(0,F4632-I4632)),0)</f>
        <v>1.7442</v>
      </c>
      <c r="K4632" s="13" t="n">
        <f aca="false">H4632+I4632</f>
        <v>0.89</v>
      </c>
      <c r="L4632" s="13" t="n">
        <f aca="false">MAX(0,D4632-K4632)</f>
        <v>0</v>
      </c>
      <c r="M4632" s="13" t="n">
        <f aca="false">MAX(0,F4632-I4632-J4632)</f>
        <v>0</v>
      </c>
      <c r="N4632" s="13" t="n">
        <f aca="false">IF(Kalender!A240="",0,J4631-H4632)</f>
        <v>0.8542</v>
      </c>
    </row>
    <row r="4633" customFormat="false" ht="16.4" hidden="false" customHeight="false" outlineLevel="0" collapsed="false">
      <c r="A4633" s="13" t="str">
        <f aca="false">""</f>
        <v/>
      </c>
      <c r="B4633" s="13" t="n">
        <f aca="false">237</f>
        <v>237</v>
      </c>
      <c r="C4633" s="13" t="n">
        <f aca="false">IF(Szenarien!$H$23="OK",(IFERROR(SUMIF(Nutzungsprofile!$B$6:$B$11,"Schulbetrieb",Nutzungsprofile!$G$6:$G$11)*Kalender!C241/SUM(Kalender!$C$5:$C$370),0)+IFERROR(SUMIF(Nutzungsprofile!$B$6:$B$11,"Halle",Nutzungsprofile!$G$6:$G$11)*Kalender!D241/SUM(Kalender!$D$5:$D$370),0)+IFERROR(SUMIF(Nutzungsprofile!$B$6:$B$11,"Individuell",Nutzungsprofile!$G$6:$G$11)*Kalender!E241/SUM(Kalender!$E$5:$E$370),0))*Szenarien!$E$23,0)</f>
        <v>2.04</v>
      </c>
      <c r="D4633" s="13" t="n">
        <f aca="false">IF(Szenarien!$H$23="OK",(IFERROR(SUMIF(Nutzungsprofile!$B$17:$B$22,"Schulbetrieb",Nutzungsprofile!$G$17:$G$22)*Kalender!C241/SUM(Kalender!$C$5:$C$370),0)+IFERROR(SUMIF(Nutzungsprofile!$B$17:$B$22,"Halle",Nutzungsprofile!$G$17:$G$22)*Kalender!D241/SUM(Kalender!$D$5:$D$370),0)+IFERROR(SUMIF(Nutzungsprofile!$B$17:$B$22,"Individuell",Nutzungsprofile!$G$17:$G$22)*Kalender!E241/SUM(Kalender!$E$5:$E$370),0))*Szenarien!$D$23,0)</f>
        <v>0.89</v>
      </c>
      <c r="E4633" s="13" t="n">
        <f aca="false">IFERROR(MIN(C4633,Eingaben!$B$17)*Eingaben!$B$16,0)</f>
        <v>1.938</v>
      </c>
      <c r="F4633" s="13" t="n">
        <f aca="false">IFERROR(E4633*Eingaben!$B$15,0)</f>
        <v>1.7442</v>
      </c>
      <c r="G4633" s="13" t="n">
        <f aca="false">IFERROR(IF(Kalender!A241="",0,J4632*(1-Eingaben!$B$20)),0)</f>
        <v>1.709316</v>
      </c>
      <c r="H4633" s="13" t="n">
        <f aca="false">MIN(G4633,D4633)</f>
        <v>0.89</v>
      </c>
      <c r="I4633" s="13" t="n">
        <f aca="false">IFERROR(MIN(F4633*Eingaben!$B$19,MAX(0,D4633-H4633)),0)</f>
        <v>0</v>
      </c>
      <c r="J4633" s="13" t="n">
        <f aca="false">IFERROR(MIN(Eingaben!$B$18,MAX(0,F4633-I4633)),0)</f>
        <v>1.7442</v>
      </c>
      <c r="K4633" s="13" t="n">
        <f aca="false">H4633+I4633</f>
        <v>0.89</v>
      </c>
      <c r="L4633" s="13" t="n">
        <f aca="false">MAX(0,D4633-K4633)</f>
        <v>0</v>
      </c>
      <c r="M4633" s="13" t="n">
        <f aca="false">MAX(0,F4633-I4633-J4633)</f>
        <v>0</v>
      </c>
      <c r="N4633" s="13" t="n">
        <f aca="false">IF(Kalender!A241="",0,J4632-H4633)</f>
        <v>0.8542</v>
      </c>
    </row>
    <row r="4634" customFormat="false" ht="16.4" hidden="false" customHeight="false" outlineLevel="0" collapsed="false">
      <c r="A4634" s="13" t="str">
        <f aca="false">""</f>
        <v/>
      </c>
      <c r="B4634" s="13" t="n">
        <f aca="false">238</f>
        <v>238</v>
      </c>
      <c r="C4634" s="13" t="n">
        <f aca="false">IF(Szenarien!$H$23="OK",(IFERROR(SUMIF(Nutzungsprofile!$B$6:$B$11,"Schulbetrieb",Nutzungsprofile!$G$6:$G$11)*Kalender!C242/SUM(Kalender!$C$5:$C$370),0)+IFERROR(SUMIF(Nutzungsprofile!$B$6:$B$11,"Halle",Nutzungsprofile!$G$6:$G$11)*Kalender!D242/SUM(Kalender!$D$5:$D$370),0)+IFERROR(SUMIF(Nutzungsprofile!$B$6:$B$11,"Individuell",Nutzungsprofile!$G$6:$G$11)*Kalender!E242/SUM(Kalender!$E$5:$E$370),0))*Szenarien!$E$23,0)</f>
        <v>2.04</v>
      </c>
      <c r="D4634" s="13" t="n">
        <f aca="false">IF(Szenarien!$H$23="OK",(IFERROR(SUMIF(Nutzungsprofile!$B$17:$B$22,"Schulbetrieb",Nutzungsprofile!$G$17:$G$22)*Kalender!C242/SUM(Kalender!$C$5:$C$370),0)+IFERROR(SUMIF(Nutzungsprofile!$B$17:$B$22,"Halle",Nutzungsprofile!$G$17:$G$22)*Kalender!D242/SUM(Kalender!$D$5:$D$370),0)+IFERROR(SUMIF(Nutzungsprofile!$B$17:$B$22,"Individuell",Nutzungsprofile!$G$17:$G$22)*Kalender!E242/SUM(Kalender!$E$5:$E$370),0))*Szenarien!$D$23,0)</f>
        <v>0.89</v>
      </c>
      <c r="E4634" s="13" t="n">
        <f aca="false">IFERROR(MIN(C4634,Eingaben!$B$17)*Eingaben!$B$16,0)</f>
        <v>1.938</v>
      </c>
      <c r="F4634" s="13" t="n">
        <f aca="false">IFERROR(E4634*Eingaben!$B$15,0)</f>
        <v>1.7442</v>
      </c>
      <c r="G4634" s="13" t="n">
        <f aca="false">IFERROR(IF(Kalender!A242="",0,J4633*(1-Eingaben!$B$20)),0)</f>
        <v>1.709316</v>
      </c>
      <c r="H4634" s="13" t="n">
        <f aca="false">MIN(G4634,D4634)</f>
        <v>0.89</v>
      </c>
      <c r="I4634" s="13" t="n">
        <f aca="false">IFERROR(MIN(F4634*Eingaben!$B$19,MAX(0,D4634-H4634)),0)</f>
        <v>0</v>
      </c>
      <c r="J4634" s="13" t="n">
        <f aca="false">IFERROR(MIN(Eingaben!$B$18,MAX(0,F4634-I4634)),0)</f>
        <v>1.7442</v>
      </c>
      <c r="K4634" s="13" t="n">
        <f aca="false">H4634+I4634</f>
        <v>0.89</v>
      </c>
      <c r="L4634" s="13" t="n">
        <f aca="false">MAX(0,D4634-K4634)</f>
        <v>0</v>
      </c>
      <c r="M4634" s="13" t="n">
        <f aca="false">MAX(0,F4634-I4634-J4634)</f>
        <v>0</v>
      </c>
      <c r="N4634" s="13" t="n">
        <f aca="false">IF(Kalender!A242="",0,J4633-H4634)</f>
        <v>0.8542</v>
      </c>
    </row>
    <row r="4635" customFormat="false" ht="16.4" hidden="false" customHeight="false" outlineLevel="0" collapsed="false">
      <c r="A4635" s="13" t="str">
        <f aca="false">""</f>
        <v/>
      </c>
      <c r="B4635" s="13" t="n">
        <f aca="false">239</f>
        <v>239</v>
      </c>
      <c r="C4635" s="13" t="n">
        <f aca="false">IF(Szenarien!$H$23="OK",(IFERROR(SUMIF(Nutzungsprofile!$B$6:$B$11,"Schulbetrieb",Nutzungsprofile!$G$6:$G$11)*Kalender!C243/SUM(Kalender!$C$5:$C$370),0)+IFERROR(SUMIF(Nutzungsprofile!$B$6:$B$11,"Halle",Nutzungsprofile!$G$6:$G$11)*Kalender!D243/SUM(Kalender!$D$5:$D$370),0)+IFERROR(SUMIF(Nutzungsprofile!$B$6:$B$11,"Individuell",Nutzungsprofile!$G$6:$G$11)*Kalender!E243/SUM(Kalender!$E$5:$E$370),0))*Szenarien!$E$23,0)</f>
        <v>2.04</v>
      </c>
      <c r="D4635" s="13" t="n">
        <f aca="false">IF(Szenarien!$H$23="OK",(IFERROR(SUMIF(Nutzungsprofile!$B$17:$B$22,"Schulbetrieb",Nutzungsprofile!$G$17:$G$22)*Kalender!C243/SUM(Kalender!$C$5:$C$370),0)+IFERROR(SUMIF(Nutzungsprofile!$B$17:$B$22,"Halle",Nutzungsprofile!$G$17:$G$22)*Kalender!D243/SUM(Kalender!$D$5:$D$370),0)+IFERROR(SUMIF(Nutzungsprofile!$B$17:$B$22,"Individuell",Nutzungsprofile!$G$17:$G$22)*Kalender!E243/SUM(Kalender!$E$5:$E$370),0))*Szenarien!$D$23,0)</f>
        <v>0.89</v>
      </c>
      <c r="E4635" s="13" t="n">
        <f aca="false">IFERROR(MIN(C4635,Eingaben!$B$17)*Eingaben!$B$16,0)</f>
        <v>1.938</v>
      </c>
      <c r="F4635" s="13" t="n">
        <f aca="false">IFERROR(E4635*Eingaben!$B$15,0)</f>
        <v>1.7442</v>
      </c>
      <c r="G4635" s="13" t="n">
        <f aca="false">IFERROR(IF(Kalender!A243="",0,J4634*(1-Eingaben!$B$20)),0)</f>
        <v>1.709316</v>
      </c>
      <c r="H4635" s="13" t="n">
        <f aca="false">MIN(G4635,D4635)</f>
        <v>0.89</v>
      </c>
      <c r="I4635" s="13" t="n">
        <f aca="false">IFERROR(MIN(F4635*Eingaben!$B$19,MAX(0,D4635-H4635)),0)</f>
        <v>0</v>
      </c>
      <c r="J4635" s="13" t="n">
        <f aca="false">IFERROR(MIN(Eingaben!$B$18,MAX(0,F4635-I4635)),0)</f>
        <v>1.7442</v>
      </c>
      <c r="K4635" s="13" t="n">
        <f aca="false">H4635+I4635</f>
        <v>0.89</v>
      </c>
      <c r="L4635" s="13" t="n">
        <f aca="false">MAX(0,D4635-K4635)</f>
        <v>0</v>
      </c>
      <c r="M4635" s="13" t="n">
        <f aca="false">MAX(0,F4635-I4635-J4635)</f>
        <v>0</v>
      </c>
      <c r="N4635" s="13" t="n">
        <f aca="false">IF(Kalender!A243="",0,J4634-H4635)</f>
        <v>0.8542</v>
      </c>
    </row>
    <row r="4636" customFormat="false" ht="16.4" hidden="false" customHeight="false" outlineLevel="0" collapsed="false">
      <c r="A4636" s="13" t="str">
        <f aca="false">""</f>
        <v/>
      </c>
      <c r="B4636" s="13" t="n">
        <f aca="false">240</f>
        <v>240</v>
      </c>
      <c r="C4636" s="13" t="n">
        <f aca="false">IF(Szenarien!$H$23="OK",(IFERROR(SUMIF(Nutzungsprofile!$B$6:$B$11,"Schulbetrieb",Nutzungsprofile!$G$6:$G$11)*Kalender!C244/SUM(Kalender!$C$5:$C$370),0)+IFERROR(SUMIF(Nutzungsprofile!$B$6:$B$11,"Halle",Nutzungsprofile!$G$6:$G$11)*Kalender!D244/SUM(Kalender!$D$5:$D$370),0)+IFERROR(SUMIF(Nutzungsprofile!$B$6:$B$11,"Individuell",Nutzungsprofile!$G$6:$G$11)*Kalender!E244/SUM(Kalender!$E$5:$E$370),0))*Szenarien!$E$23,0)</f>
        <v>2.04</v>
      </c>
      <c r="D4636" s="13" t="n">
        <f aca="false">IF(Szenarien!$H$23="OK",(IFERROR(SUMIF(Nutzungsprofile!$B$17:$B$22,"Schulbetrieb",Nutzungsprofile!$G$17:$G$22)*Kalender!C244/SUM(Kalender!$C$5:$C$370),0)+IFERROR(SUMIF(Nutzungsprofile!$B$17:$B$22,"Halle",Nutzungsprofile!$G$17:$G$22)*Kalender!D244/SUM(Kalender!$D$5:$D$370),0)+IFERROR(SUMIF(Nutzungsprofile!$B$17:$B$22,"Individuell",Nutzungsprofile!$G$17:$G$22)*Kalender!E244/SUM(Kalender!$E$5:$E$370),0))*Szenarien!$D$23,0)</f>
        <v>0.89</v>
      </c>
      <c r="E4636" s="13" t="n">
        <f aca="false">IFERROR(MIN(C4636,Eingaben!$B$17)*Eingaben!$B$16,0)</f>
        <v>1.938</v>
      </c>
      <c r="F4636" s="13" t="n">
        <f aca="false">IFERROR(E4636*Eingaben!$B$15,0)</f>
        <v>1.7442</v>
      </c>
      <c r="G4636" s="13" t="n">
        <f aca="false">IFERROR(IF(Kalender!A244="",0,J4635*(1-Eingaben!$B$20)),0)</f>
        <v>1.709316</v>
      </c>
      <c r="H4636" s="13" t="n">
        <f aca="false">MIN(G4636,D4636)</f>
        <v>0.89</v>
      </c>
      <c r="I4636" s="13" t="n">
        <f aca="false">IFERROR(MIN(F4636*Eingaben!$B$19,MAX(0,D4636-H4636)),0)</f>
        <v>0</v>
      </c>
      <c r="J4636" s="13" t="n">
        <f aca="false">IFERROR(MIN(Eingaben!$B$18,MAX(0,F4636-I4636)),0)</f>
        <v>1.7442</v>
      </c>
      <c r="K4636" s="13" t="n">
        <f aca="false">H4636+I4636</f>
        <v>0.89</v>
      </c>
      <c r="L4636" s="13" t="n">
        <f aca="false">MAX(0,D4636-K4636)</f>
        <v>0</v>
      </c>
      <c r="M4636" s="13" t="n">
        <f aca="false">MAX(0,F4636-I4636-J4636)</f>
        <v>0</v>
      </c>
      <c r="N4636" s="13" t="n">
        <f aca="false">IF(Kalender!A244="",0,J4635-H4636)</f>
        <v>0.8542</v>
      </c>
    </row>
    <row r="4637" customFormat="false" ht="16.4" hidden="false" customHeight="false" outlineLevel="0" collapsed="false">
      <c r="A4637" s="13" t="str">
        <f aca="false">""</f>
        <v/>
      </c>
      <c r="B4637" s="13" t="n">
        <f aca="false">241</f>
        <v>241</v>
      </c>
      <c r="C4637" s="13" t="n">
        <f aca="false">IF(Szenarien!$H$23="OK",(IFERROR(SUMIF(Nutzungsprofile!$B$6:$B$11,"Schulbetrieb",Nutzungsprofile!$G$6:$G$11)*Kalender!C245/SUM(Kalender!$C$5:$C$370),0)+IFERROR(SUMIF(Nutzungsprofile!$B$6:$B$11,"Halle",Nutzungsprofile!$G$6:$G$11)*Kalender!D245/SUM(Kalender!$D$5:$D$370),0)+IFERROR(SUMIF(Nutzungsprofile!$B$6:$B$11,"Individuell",Nutzungsprofile!$G$6:$G$11)*Kalender!E245/SUM(Kalender!$E$5:$E$370),0))*Szenarien!$E$23,0)</f>
        <v>2.04</v>
      </c>
      <c r="D4637" s="13" t="n">
        <f aca="false">IF(Szenarien!$H$23="OK",(IFERROR(SUMIF(Nutzungsprofile!$B$17:$B$22,"Schulbetrieb",Nutzungsprofile!$G$17:$G$22)*Kalender!C245/SUM(Kalender!$C$5:$C$370),0)+IFERROR(SUMIF(Nutzungsprofile!$B$17:$B$22,"Halle",Nutzungsprofile!$G$17:$G$22)*Kalender!D245/SUM(Kalender!$D$5:$D$370),0)+IFERROR(SUMIF(Nutzungsprofile!$B$17:$B$22,"Individuell",Nutzungsprofile!$G$17:$G$22)*Kalender!E245/SUM(Kalender!$E$5:$E$370),0))*Szenarien!$D$23,0)</f>
        <v>0.89</v>
      </c>
      <c r="E4637" s="13" t="n">
        <f aca="false">IFERROR(MIN(C4637,Eingaben!$B$17)*Eingaben!$B$16,0)</f>
        <v>1.938</v>
      </c>
      <c r="F4637" s="13" t="n">
        <f aca="false">IFERROR(E4637*Eingaben!$B$15,0)</f>
        <v>1.7442</v>
      </c>
      <c r="G4637" s="13" t="n">
        <f aca="false">IFERROR(IF(Kalender!A245="",0,J4636*(1-Eingaben!$B$20)),0)</f>
        <v>1.709316</v>
      </c>
      <c r="H4637" s="13" t="n">
        <f aca="false">MIN(G4637,D4637)</f>
        <v>0.89</v>
      </c>
      <c r="I4637" s="13" t="n">
        <f aca="false">IFERROR(MIN(F4637*Eingaben!$B$19,MAX(0,D4637-H4637)),0)</f>
        <v>0</v>
      </c>
      <c r="J4637" s="13" t="n">
        <f aca="false">IFERROR(MIN(Eingaben!$B$18,MAX(0,F4637-I4637)),0)</f>
        <v>1.7442</v>
      </c>
      <c r="K4637" s="13" t="n">
        <f aca="false">H4637+I4637</f>
        <v>0.89</v>
      </c>
      <c r="L4637" s="13" t="n">
        <f aca="false">MAX(0,D4637-K4637)</f>
        <v>0</v>
      </c>
      <c r="M4637" s="13" t="n">
        <f aca="false">MAX(0,F4637-I4637-J4637)</f>
        <v>0</v>
      </c>
      <c r="N4637" s="13" t="n">
        <f aca="false">IF(Kalender!A245="",0,J4636-H4637)</f>
        <v>0.8542</v>
      </c>
    </row>
    <row r="4638" customFormat="false" ht="16.4" hidden="false" customHeight="false" outlineLevel="0" collapsed="false">
      <c r="A4638" s="13" t="str">
        <f aca="false">""</f>
        <v/>
      </c>
      <c r="B4638" s="13" t="n">
        <f aca="false">242</f>
        <v>242</v>
      </c>
      <c r="C4638" s="13" t="n">
        <f aca="false">IF(Szenarien!$H$23="OK",(IFERROR(SUMIF(Nutzungsprofile!$B$6:$B$11,"Schulbetrieb",Nutzungsprofile!$G$6:$G$11)*Kalender!C246/SUM(Kalender!$C$5:$C$370),0)+IFERROR(SUMIF(Nutzungsprofile!$B$6:$B$11,"Halle",Nutzungsprofile!$G$6:$G$11)*Kalender!D246/SUM(Kalender!$D$5:$D$370),0)+IFERROR(SUMIF(Nutzungsprofile!$B$6:$B$11,"Individuell",Nutzungsprofile!$G$6:$G$11)*Kalender!E246/SUM(Kalender!$E$5:$E$370),0))*Szenarien!$E$23,0)</f>
        <v>2.04</v>
      </c>
      <c r="D4638" s="13" t="n">
        <f aca="false">IF(Szenarien!$H$23="OK",(IFERROR(SUMIF(Nutzungsprofile!$B$17:$B$22,"Schulbetrieb",Nutzungsprofile!$G$17:$G$22)*Kalender!C246/SUM(Kalender!$C$5:$C$370),0)+IFERROR(SUMIF(Nutzungsprofile!$B$17:$B$22,"Halle",Nutzungsprofile!$G$17:$G$22)*Kalender!D246/SUM(Kalender!$D$5:$D$370),0)+IFERROR(SUMIF(Nutzungsprofile!$B$17:$B$22,"Individuell",Nutzungsprofile!$G$17:$G$22)*Kalender!E246/SUM(Kalender!$E$5:$E$370),0))*Szenarien!$D$23,0)</f>
        <v>0.89</v>
      </c>
      <c r="E4638" s="13" t="n">
        <f aca="false">IFERROR(MIN(C4638,Eingaben!$B$17)*Eingaben!$B$16,0)</f>
        <v>1.938</v>
      </c>
      <c r="F4638" s="13" t="n">
        <f aca="false">IFERROR(E4638*Eingaben!$B$15,0)</f>
        <v>1.7442</v>
      </c>
      <c r="G4638" s="13" t="n">
        <f aca="false">IFERROR(IF(Kalender!A246="",0,J4637*(1-Eingaben!$B$20)),0)</f>
        <v>1.709316</v>
      </c>
      <c r="H4638" s="13" t="n">
        <f aca="false">MIN(G4638,D4638)</f>
        <v>0.89</v>
      </c>
      <c r="I4638" s="13" t="n">
        <f aca="false">IFERROR(MIN(F4638*Eingaben!$B$19,MAX(0,D4638-H4638)),0)</f>
        <v>0</v>
      </c>
      <c r="J4638" s="13" t="n">
        <f aca="false">IFERROR(MIN(Eingaben!$B$18,MAX(0,F4638-I4638)),0)</f>
        <v>1.7442</v>
      </c>
      <c r="K4638" s="13" t="n">
        <f aca="false">H4638+I4638</f>
        <v>0.89</v>
      </c>
      <c r="L4638" s="13" t="n">
        <f aca="false">MAX(0,D4638-K4638)</f>
        <v>0</v>
      </c>
      <c r="M4638" s="13" t="n">
        <f aca="false">MAX(0,F4638-I4638-J4638)</f>
        <v>0</v>
      </c>
      <c r="N4638" s="13" t="n">
        <f aca="false">IF(Kalender!A246="",0,J4637-H4638)</f>
        <v>0.8542</v>
      </c>
    </row>
    <row r="4639" customFormat="false" ht="16.4" hidden="false" customHeight="false" outlineLevel="0" collapsed="false">
      <c r="A4639" s="13" t="str">
        <f aca="false">""</f>
        <v/>
      </c>
      <c r="B4639" s="13" t="n">
        <f aca="false">243</f>
        <v>243</v>
      </c>
      <c r="C4639" s="13" t="n">
        <f aca="false">IF(Szenarien!$H$23="OK",(IFERROR(SUMIF(Nutzungsprofile!$B$6:$B$11,"Schulbetrieb",Nutzungsprofile!$G$6:$G$11)*Kalender!C247/SUM(Kalender!$C$5:$C$370),0)+IFERROR(SUMIF(Nutzungsprofile!$B$6:$B$11,"Halle",Nutzungsprofile!$G$6:$G$11)*Kalender!D247/SUM(Kalender!$D$5:$D$370),0)+IFERROR(SUMIF(Nutzungsprofile!$B$6:$B$11,"Individuell",Nutzungsprofile!$G$6:$G$11)*Kalender!E247/SUM(Kalender!$E$5:$E$370),0))*Szenarien!$E$23,0)</f>
        <v>2.04</v>
      </c>
      <c r="D4639" s="13" t="n">
        <f aca="false">IF(Szenarien!$H$23="OK",(IFERROR(SUMIF(Nutzungsprofile!$B$17:$B$22,"Schulbetrieb",Nutzungsprofile!$G$17:$G$22)*Kalender!C247/SUM(Kalender!$C$5:$C$370),0)+IFERROR(SUMIF(Nutzungsprofile!$B$17:$B$22,"Halle",Nutzungsprofile!$G$17:$G$22)*Kalender!D247/SUM(Kalender!$D$5:$D$370),0)+IFERROR(SUMIF(Nutzungsprofile!$B$17:$B$22,"Individuell",Nutzungsprofile!$G$17:$G$22)*Kalender!E247/SUM(Kalender!$E$5:$E$370),0))*Szenarien!$D$23,0)</f>
        <v>0.89</v>
      </c>
      <c r="E4639" s="13" t="n">
        <f aca="false">IFERROR(MIN(C4639,Eingaben!$B$17)*Eingaben!$B$16,0)</f>
        <v>1.938</v>
      </c>
      <c r="F4639" s="13" t="n">
        <f aca="false">IFERROR(E4639*Eingaben!$B$15,0)</f>
        <v>1.7442</v>
      </c>
      <c r="G4639" s="13" t="n">
        <f aca="false">IFERROR(IF(Kalender!A247="",0,J4638*(1-Eingaben!$B$20)),0)</f>
        <v>1.709316</v>
      </c>
      <c r="H4639" s="13" t="n">
        <f aca="false">MIN(G4639,D4639)</f>
        <v>0.89</v>
      </c>
      <c r="I4639" s="13" t="n">
        <f aca="false">IFERROR(MIN(F4639*Eingaben!$B$19,MAX(0,D4639-H4639)),0)</f>
        <v>0</v>
      </c>
      <c r="J4639" s="13" t="n">
        <f aca="false">IFERROR(MIN(Eingaben!$B$18,MAX(0,F4639-I4639)),0)</f>
        <v>1.7442</v>
      </c>
      <c r="K4639" s="13" t="n">
        <f aca="false">H4639+I4639</f>
        <v>0.89</v>
      </c>
      <c r="L4639" s="13" t="n">
        <f aca="false">MAX(0,D4639-K4639)</f>
        <v>0</v>
      </c>
      <c r="M4639" s="13" t="n">
        <f aca="false">MAX(0,F4639-I4639-J4639)</f>
        <v>0</v>
      </c>
      <c r="N4639" s="13" t="n">
        <f aca="false">IF(Kalender!A247="",0,J4638-H4639)</f>
        <v>0.8542</v>
      </c>
    </row>
    <row r="4640" customFormat="false" ht="16.4" hidden="false" customHeight="false" outlineLevel="0" collapsed="false">
      <c r="A4640" s="13" t="str">
        <f aca="false">""</f>
        <v/>
      </c>
      <c r="B4640" s="13" t="n">
        <f aca="false">244</f>
        <v>244</v>
      </c>
      <c r="C4640" s="13" t="n">
        <f aca="false">IF(Szenarien!$H$23="OK",(IFERROR(SUMIF(Nutzungsprofile!$B$6:$B$11,"Schulbetrieb",Nutzungsprofile!$G$6:$G$11)*Kalender!C248/SUM(Kalender!$C$5:$C$370),0)+IFERROR(SUMIF(Nutzungsprofile!$B$6:$B$11,"Halle",Nutzungsprofile!$G$6:$G$11)*Kalender!D248/SUM(Kalender!$D$5:$D$370),0)+IFERROR(SUMIF(Nutzungsprofile!$B$6:$B$11,"Individuell",Nutzungsprofile!$G$6:$G$11)*Kalender!E248/SUM(Kalender!$E$5:$E$370),0))*Szenarien!$E$23,0)</f>
        <v>2.94</v>
      </c>
      <c r="D4640" s="13" t="n">
        <f aca="false">IF(Szenarien!$H$23="OK",(IFERROR(SUMIF(Nutzungsprofile!$B$17:$B$22,"Schulbetrieb",Nutzungsprofile!$G$17:$G$22)*Kalender!C248/SUM(Kalender!$C$5:$C$370),0)+IFERROR(SUMIF(Nutzungsprofile!$B$17:$B$22,"Halle",Nutzungsprofile!$G$17:$G$22)*Kalender!D248/SUM(Kalender!$D$5:$D$370),0)+IFERROR(SUMIF(Nutzungsprofile!$B$17:$B$22,"Individuell",Nutzungsprofile!$G$17:$G$22)*Kalender!E248/SUM(Kalender!$E$5:$E$370),0))*Szenarien!$D$23,0)</f>
        <v>4.94</v>
      </c>
      <c r="E4640" s="13" t="n">
        <f aca="false">IFERROR(MIN(C4640,Eingaben!$B$17)*Eingaben!$B$16,0)</f>
        <v>2.793</v>
      </c>
      <c r="F4640" s="13" t="n">
        <f aca="false">IFERROR(E4640*Eingaben!$B$15,0)</f>
        <v>2.5137</v>
      </c>
      <c r="G4640" s="13" t="n">
        <f aca="false">IFERROR(IF(Kalender!A248="",0,J4639*(1-Eingaben!$B$20)),0)</f>
        <v>1.709316</v>
      </c>
      <c r="H4640" s="13" t="n">
        <f aca="false">MIN(G4640,D4640)</f>
        <v>1.709316</v>
      </c>
      <c r="I4640" s="13" t="n">
        <f aca="false">IFERROR(MIN(F4640*Eingaben!$B$19,MAX(0,D4640-H4640)),0)</f>
        <v>1.75959</v>
      </c>
      <c r="J4640" s="13" t="n">
        <f aca="false">IFERROR(MIN(Eingaben!$B$18,MAX(0,F4640-I4640)),0)</f>
        <v>0.75411</v>
      </c>
      <c r="K4640" s="13" t="n">
        <f aca="false">H4640+I4640</f>
        <v>3.468906</v>
      </c>
      <c r="L4640" s="13" t="n">
        <f aca="false">MAX(0,D4640-K4640)</f>
        <v>1.471094</v>
      </c>
      <c r="M4640" s="13" t="n">
        <f aca="false">MAX(0,F4640-I4640-J4640)</f>
        <v>0</v>
      </c>
      <c r="N4640" s="13" t="n">
        <f aca="false">IF(Kalender!A248="",0,J4639-H4640)</f>
        <v>0.0348840000000001</v>
      </c>
    </row>
    <row r="4641" customFormat="false" ht="16.4" hidden="false" customHeight="false" outlineLevel="0" collapsed="false">
      <c r="A4641" s="13" t="str">
        <f aca="false">""</f>
        <v/>
      </c>
      <c r="B4641" s="13" t="n">
        <f aca="false">245</f>
        <v>245</v>
      </c>
      <c r="C4641" s="13" t="n">
        <f aca="false">IF(Szenarien!$H$23="OK",(IFERROR(SUMIF(Nutzungsprofile!$B$6:$B$11,"Schulbetrieb",Nutzungsprofile!$G$6:$G$11)*Kalender!C249/SUM(Kalender!$C$5:$C$370),0)+IFERROR(SUMIF(Nutzungsprofile!$B$6:$B$11,"Halle",Nutzungsprofile!$G$6:$G$11)*Kalender!D249/SUM(Kalender!$D$5:$D$370),0)+IFERROR(SUMIF(Nutzungsprofile!$B$6:$B$11,"Individuell",Nutzungsprofile!$G$6:$G$11)*Kalender!E249/SUM(Kalender!$E$5:$E$370),0))*Szenarien!$E$23,0)</f>
        <v>2.94</v>
      </c>
      <c r="D4641" s="13" t="n">
        <f aca="false">IF(Szenarien!$H$23="OK",(IFERROR(SUMIF(Nutzungsprofile!$B$17:$B$22,"Schulbetrieb",Nutzungsprofile!$G$17:$G$22)*Kalender!C249/SUM(Kalender!$C$5:$C$370),0)+IFERROR(SUMIF(Nutzungsprofile!$B$17:$B$22,"Halle",Nutzungsprofile!$G$17:$G$22)*Kalender!D249/SUM(Kalender!$D$5:$D$370),0)+IFERROR(SUMIF(Nutzungsprofile!$B$17:$B$22,"Individuell",Nutzungsprofile!$G$17:$G$22)*Kalender!E249/SUM(Kalender!$E$5:$E$370),0))*Szenarien!$D$23,0)</f>
        <v>4.94</v>
      </c>
      <c r="E4641" s="13" t="n">
        <f aca="false">IFERROR(MIN(C4641,Eingaben!$B$17)*Eingaben!$B$16,0)</f>
        <v>2.793</v>
      </c>
      <c r="F4641" s="13" t="n">
        <f aca="false">IFERROR(E4641*Eingaben!$B$15,0)</f>
        <v>2.5137</v>
      </c>
      <c r="G4641" s="13" t="n">
        <f aca="false">IFERROR(IF(Kalender!A249="",0,J4640*(1-Eingaben!$B$20)),0)</f>
        <v>0.7390278</v>
      </c>
      <c r="H4641" s="13" t="n">
        <f aca="false">MIN(G4641,D4641)</f>
        <v>0.7390278</v>
      </c>
      <c r="I4641" s="13" t="n">
        <f aca="false">IFERROR(MIN(F4641*Eingaben!$B$19,MAX(0,D4641-H4641)),0)</f>
        <v>1.75959</v>
      </c>
      <c r="J4641" s="13" t="n">
        <f aca="false">IFERROR(MIN(Eingaben!$B$18,MAX(0,F4641-I4641)),0)</f>
        <v>0.75411</v>
      </c>
      <c r="K4641" s="13" t="n">
        <f aca="false">H4641+I4641</f>
        <v>2.4986178</v>
      </c>
      <c r="L4641" s="13" t="n">
        <f aca="false">MAX(0,D4641-K4641)</f>
        <v>2.4413822</v>
      </c>
      <c r="M4641" s="13" t="n">
        <f aca="false">MAX(0,F4641-I4641-J4641)</f>
        <v>0</v>
      </c>
      <c r="N4641" s="13" t="n">
        <f aca="false">IF(Kalender!A249="",0,J4640-H4641)</f>
        <v>0.0150822</v>
      </c>
    </row>
    <row r="4642" customFormat="false" ht="16.4" hidden="false" customHeight="false" outlineLevel="0" collapsed="false">
      <c r="A4642" s="13" t="str">
        <f aca="false">""</f>
        <v/>
      </c>
      <c r="B4642" s="13" t="n">
        <f aca="false">246</f>
        <v>246</v>
      </c>
      <c r="C4642" s="13" t="n">
        <f aca="false">IF(Szenarien!$H$23="OK",(IFERROR(SUMIF(Nutzungsprofile!$B$6:$B$11,"Schulbetrieb",Nutzungsprofile!$G$6:$G$11)*Kalender!C250/SUM(Kalender!$C$5:$C$370),0)+IFERROR(SUMIF(Nutzungsprofile!$B$6:$B$11,"Halle",Nutzungsprofile!$G$6:$G$11)*Kalender!D250/SUM(Kalender!$D$5:$D$370),0)+IFERROR(SUMIF(Nutzungsprofile!$B$6:$B$11,"Individuell",Nutzungsprofile!$G$6:$G$11)*Kalender!E250/SUM(Kalender!$E$5:$E$370),0))*Szenarien!$E$23,0)</f>
        <v>2.94</v>
      </c>
      <c r="D4642" s="13" t="n">
        <f aca="false">IF(Szenarien!$H$23="OK",(IFERROR(SUMIF(Nutzungsprofile!$B$17:$B$22,"Schulbetrieb",Nutzungsprofile!$G$17:$G$22)*Kalender!C250/SUM(Kalender!$C$5:$C$370),0)+IFERROR(SUMIF(Nutzungsprofile!$B$17:$B$22,"Halle",Nutzungsprofile!$G$17:$G$22)*Kalender!D250/SUM(Kalender!$D$5:$D$370),0)+IFERROR(SUMIF(Nutzungsprofile!$B$17:$B$22,"Individuell",Nutzungsprofile!$G$17:$G$22)*Kalender!E250/SUM(Kalender!$E$5:$E$370),0))*Szenarien!$D$23,0)</f>
        <v>4.94</v>
      </c>
      <c r="E4642" s="13" t="n">
        <f aca="false">IFERROR(MIN(C4642,Eingaben!$B$17)*Eingaben!$B$16,0)</f>
        <v>2.793</v>
      </c>
      <c r="F4642" s="13" t="n">
        <f aca="false">IFERROR(E4642*Eingaben!$B$15,0)</f>
        <v>2.5137</v>
      </c>
      <c r="G4642" s="13" t="n">
        <f aca="false">IFERROR(IF(Kalender!A250="",0,J4641*(1-Eingaben!$B$20)),0)</f>
        <v>0.7390278</v>
      </c>
      <c r="H4642" s="13" t="n">
        <f aca="false">MIN(G4642,D4642)</f>
        <v>0.7390278</v>
      </c>
      <c r="I4642" s="13" t="n">
        <f aca="false">IFERROR(MIN(F4642*Eingaben!$B$19,MAX(0,D4642-H4642)),0)</f>
        <v>1.75959</v>
      </c>
      <c r="J4642" s="13" t="n">
        <f aca="false">IFERROR(MIN(Eingaben!$B$18,MAX(0,F4642-I4642)),0)</f>
        <v>0.75411</v>
      </c>
      <c r="K4642" s="13" t="n">
        <f aca="false">H4642+I4642</f>
        <v>2.4986178</v>
      </c>
      <c r="L4642" s="13" t="n">
        <f aca="false">MAX(0,D4642-K4642)</f>
        <v>2.4413822</v>
      </c>
      <c r="M4642" s="13" t="n">
        <f aca="false">MAX(0,F4642-I4642-J4642)</f>
        <v>0</v>
      </c>
      <c r="N4642" s="13" t="n">
        <f aca="false">IF(Kalender!A250="",0,J4641-H4642)</f>
        <v>0.0150822</v>
      </c>
    </row>
    <row r="4643" customFormat="false" ht="16.4" hidden="false" customHeight="false" outlineLevel="0" collapsed="false">
      <c r="A4643" s="13" t="str">
        <f aca="false">""</f>
        <v/>
      </c>
      <c r="B4643" s="13" t="n">
        <f aca="false">247</f>
        <v>247</v>
      </c>
      <c r="C4643" s="13" t="n">
        <f aca="false">IF(Szenarien!$H$23="OK",(IFERROR(SUMIF(Nutzungsprofile!$B$6:$B$11,"Schulbetrieb",Nutzungsprofile!$G$6:$G$11)*Kalender!C251/SUM(Kalender!$C$5:$C$370),0)+IFERROR(SUMIF(Nutzungsprofile!$B$6:$B$11,"Halle",Nutzungsprofile!$G$6:$G$11)*Kalender!D251/SUM(Kalender!$D$5:$D$370),0)+IFERROR(SUMIF(Nutzungsprofile!$B$6:$B$11,"Individuell",Nutzungsprofile!$G$6:$G$11)*Kalender!E251/SUM(Kalender!$E$5:$E$370),0))*Szenarien!$E$23,0)</f>
        <v>2.94</v>
      </c>
      <c r="D4643" s="13" t="n">
        <f aca="false">IF(Szenarien!$H$23="OK",(IFERROR(SUMIF(Nutzungsprofile!$B$17:$B$22,"Schulbetrieb",Nutzungsprofile!$G$17:$G$22)*Kalender!C251/SUM(Kalender!$C$5:$C$370),0)+IFERROR(SUMIF(Nutzungsprofile!$B$17:$B$22,"Halle",Nutzungsprofile!$G$17:$G$22)*Kalender!D251/SUM(Kalender!$D$5:$D$370),0)+IFERROR(SUMIF(Nutzungsprofile!$B$17:$B$22,"Individuell",Nutzungsprofile!$G$17:$G$22)*Kalender!E251/SUM(Kalender!$E$5:$E$370),0))*Szenarien!$D$23,0)</f>
        <v>4.94</v>
      </c>
      <c r="E4643" s="13" t="n">
        <f aca="false">IFERROR(MIN(C4643,Eingaben!$B$17)*Eingaben!$B$16,0)</f>
        <v>2.793</v>
      </c>
      <c r="F4643" s="13" t="n">
        <f aca="false">IFERROR(E4643*Eingaben!$B$15,0)</f>
        <v>2.5137</v>
      </c>
      <c r="G4643" s="13" t="n">
        <f aca="false">IFERROR(IF(Kalender!A251="",0,J4642*(1-Eingaben!$B$20)),0)</f>
        <v>0.7390278</v>
      </c>
      <c r="H4643" s="13" t="n">
        <f aca="false">MIN(G4643,D4643)</f>
        <v>0.7390278</v>
      </c>
      <c r="I4643" s="13" t="n">
        <f aca="false">IFERROR(MIN(F4643*Eingaben!$B$19,MAX(0,D4643-H4643)),0)</f>
        <v>1.75959</v>
      </c>
      <c r="J4643" s="13" t="n">
        <f aca="false">IFERROR(MIN(Eingaben!$B$18,MAX(0,F4643-I4643)),0)</f>
        <v>0.75411</v>
      </c>
      <c r="K4643" s="13" t="n">
        <f aca="false">H4643+I4643</f>
        <v>2.4986178</v>
      </c>
      <c r="L4643" s="13" t="n">
        <f aca="false">MAX(0,D4643-K4643)</f>
        <v>2.4413822</v>
      </c>
      <c r="M4643" s="13" t="n">
        <f aca="false">MAX(0,F4643-I4643-J4643)</f>
        <v>0</v>
      </c>
      <c r="N4643" s="13" t="n">
        <f aca="false">IF(Kalender!A251="",0,J4642-H4643)</f>
        <v>0.0150822</v>
      </c>
    </row>
    <row r="4644" customFormat="false" ht="16.4" hidden="false" customHeight="false" outlineLevel="0" collapsed="false">
      <c r="A4644" s="13" t="str">
        <f aca="false">""</f>
        <v/>
      </c>
      <c r="B4644" s="13" t="n">
        <f aca="false">248</f>
        <v>248</v>
      </c>
      <c r="C4644" s="13" t="n">
        <f aca="false">IF(Szenarien!$H$23="OK",(IFERROR(SUMIF(Nutzungsprofile!$B$6:$B$11,"Schulbetrieb",Nutzungsprofile!$G$6:$G$11)*Kalender!C252/SUM(Kalender!$C$5:$C$370),0)+IFERROR(SUMIF(Nutzungsprofile!$B$6:$B$11,"Halle",Nutzungsprofile!$G$6:$G$11)*Kalender!D252/SUM(Kalender!$D$5:$D$370),0)+IFERROR(SUMIF(Nutzungsprofile!$B$6:$B$11,"Individuell",Nutzungsprofile!$G$6:$G$11)*Kalender!E252/SUM(Kalender!$E$5:$E$370),0))*Szenarien!$E$23,0)</f>
        <v>2.04</v>
      </c>
      <c r="D4644" s="13" t="n">
        <f aca="false">IF(Szenarien!$H$23="OK",(IFERROR(SUMIF(Nutzungsprofile!$B$17:$B$22,"Schulbetrieb",Nutzungsprofile!$G$17:$G$22)*Kalender!C252/SUM(Kalender!$C$5:$C$370),0)+IFERROR(SUMIF(Nutzungsprofile!$B$17:$B$22,"Halle",Nutzungsprofile!$G$17:$G$22)*Kalender!D252/SUM(Kalender!$D$5:$D$370),0)+IFERROR(SUMIF(Nutzungsprofile!$B$17:$B$22,"Individuell",Nutzungsprofile!$G$17:$G$22)*Kalender!E252/SUM(Kalender!$E$5:$E$370),0))*Szenarien!$D$23,0)</f>
        <v>0.89</v>
      </c>
      <c r="E4644" s="13" t="n">
        <f aca="false">IFERROR(MIN(C4644,Eingaben!$B$17)*Eingaben!$B$16,0)</f>
        <v>1.938</v>
      </c>
      <c r="F4644" s="13" t="n">
        <f aca="false">IFERROR(E4644*Eingaben!$B$15,0)</f>
        <v>1.7442</v>
      </c>
      <c r="G4644" s="13" t="n">
        <f aca="false">IFERROR(IF(Kalender!A252="",0,J4643*(1-Eingaben!$B$20)),0)</f>
        <v>0.7390278</v>
      </c>
      <c r="H4644" s="13" t="n">
        <f aca="false">MIN(G4644,D4644)</f>
        <v>0.7390278</v>
      </c>
      <c r="I4644" s="13" t="n">
        <f aca="false">IFERROR(MIN(F4644*Eingaben!$B$19,MAX(0,D4644-H4644)),0)</f>
        <v>0.1509722</v>
      </c>
      <c r="J4644" s="13" t="n">
        <f aca="false">IFERROR(MIN(Eingaben!$B$18,MAX(0,F4644-I4644)),0)</f>
        <v>1.5932278</v>
      </c>
      <c r="K4644" s="13" t="n">
        <f aca="false">H4644+I4644</f>
        <v>0.89</v>
      </c>
      <c r="L4644" s="13" t="n">
        <f aca="false">MAX(0,D4644-K4644)</f>
        <v>0</v>
      </c>
      <c r="M4644" s="13" t="n">
        <f aca="false">MAX(0,F4644-I4644-J4644)</f>
        <v>0</v>
      </c>
      <c r="N4644" s="13" t="n">
        <f aca="false">IF(Kalender!A252="",0,J4643-H4644)</f>
        <v>0.0150822</v>
      </c>
    </row>
    <row r="4645" customFormat="false" ht="16.4" hidden="false" customHeight="false" outlineLevel="0" collapsed="false">
      <c r="A4645" s="13" t="str">
        <f aca="false">""</f>
        <v/>
      </c>
      <c r="B4645" s="13" t="n">
        <f aca="false">249</f>
        <v>249</v>
      </c>
      <c r="C4645" s="13" t="n">
        <f aca="false">IF(Szenarien!$H$23="OK",(IFERROR(SUMIF(Nutzungsprofile!$B$6:$B$11,"Schulbetrieb",Nutzungsprofile!$G$6:$G$11)*Kalender!C253/SUM(Kalender!$C$5:$C$370),0)+IFERROR(SUMIF(Nutzungsprofile!$B$6:$B$11,"Halle",Nutzungsprofile!$G$6:$G$11)*Kalender!D253/SUM(Kalender!$D$5:$D$370),0)+IFERROR(SUMIF(Nutzungsprofile!$B$6:$B$11,"Individuell",Nutzungsprofile!$G$6:$G$11)*Kalender!E253/SUM(Kalender!$E$5:$E$370),0))*Szenarien!$E$23,0)</f>
        <v>2.04</v>
      </c>
      <c r="D4645" s="13" t="n">
        <f aca="false">IF(Szenarien!$H$23="OK",(IFERROR(SUMIF(Nutzungsprofile!$B$17:$B$22,"Schulbetrieb",Nutzungsprofile!$G$17:$G$22)*Kalender!C253/SUM(Kalender!$C$5:$C$370),0)+IFERROR(SUMIF(Nutzungsprofile!$B$17:$B$22,"Halle",Nutzungsprofile!$G$17:$G$22)*Kalender!D253/SUM(Kalender!$D$5:$D$370),0)+IFERROR(SUMIF(Nutzungsprofile!$B$17:$B$22,"Individuell",Nutzungsprofile!$G$17:$G$22)*Kalender!E253/SUM(Kalender!$E$5:$E$370),0))*Szenarien!$D$23,0)</f>
        <v>0.89</v>
      </c>
      <c r="E4645" s="13" t="n">
        <f aca="false">IFERROR(MIN(C4645,Eingaben!$B$17)*Eingaben!$B$16,0)</f>
        <v>1.938</v>
      </c>
      <c r="F4645" s="13" t="n">
        <f aca="false">IFERROR(E4645*Eingaben!$B$15,0)</f>
        <v>1.7442</v>
      </c>
      <c r="G4645" s="13" t="n">
        <f aca="false">IFERROR(IF(Kalender!A253="",0,J4644*(1-Eingaben!$B$20)),0)</f>
        <v>1.561363244</v>
      </c>
      <c r="H4645" s="13" t="n">
        <f aca="false">MIN(G4645,D4645)</f>
        <v>0.89</v>
      </c>
      <c r="I4645" s="13" t="n">
        <f aca="false">IFERROR(MIN(F4645*Eingaben!$B$19,MAX(0,D4645-H4645)),0)</f>
        <v>0</v>
      </c>
      <c r="J4645" s="13" t="n">
        <f aca="false">IFERROR(MIN(Eingaben!$B$18,MAX(0,F4645-I4645)),0)</f>
        <v>1.7442</v>
      </c>
      <c r="K4645" s="13" t="n">
        <f aca="false">H4645+I4645</f>
        <v>0.89</v>
      </c>
      <c r="L4645" s="13" t="n">
        <f aca="false">MAX(0,D4645-K4645)</f>
        <v>0</v>
      </c>
      <c r="M4645" s="13" t="n">
        <f aca="false">MAX(0,F4645-I4645-J4645)</f>
        <v>0</v>
      </c>
      <c r="N4645" s="13" t="n">
        <f aca="false">IF(Kalender!A253="",0,J4644-H4645)</f>
        <v>0.7032278</v>
      </c>
    </row>
    <row r="4646" customFormat="false" ht="16.4" hidden="false" customHeight="false" outlineLevel="0" collapsed="false">
      <c r="A4646" s="13" t="str">
        <f aca="false">""</f>
        <v/>
      </c>
      <c r="B4646" s="13" t="n">
        <f aca="false">250</f>
        <v>250</v>
      </c>
      <c r="C4646" s="13" t="n">
        <f aca="false">IF(Szenarien!$H$23="OK",(IFERROR(SUMIF(Nutzungsprofile!$B$6:$B$11,"Schulbetrieb",Nutzungsprofile!$G$6:$G$11)*Kalender!C254/SUM(Kalender!$C$5:$C$370),0)+IFERROR(SUMIF(Nutzungsprofile!$B$6:$B$11,"Halle",Nutzungsprofile!$G$6:$G$11)*Kalender!D254/SUM(Kalender!$D$5:$D$370),0)+IFERROR(SUMIF(Nutzungsprofile!$B$6:$B$11,"Individuell",Nutzungsprofile!$G$6:$G$11)*Kalender!E254/SUM(Kalender!$E$5:$E$370),0))*Szenarien!$E$23,0)</f>
        <v>2.94</v>
      </c>
      <c r="D4646" s="13" t="n">
        <f aca="false">IF(Szenarien!$H$23="OK",(IFERROR(SUMIF(Nutzungsprofile!$B$17:$B$22,"Schulbetrieb",Nutzungsprofile!$G$17:$G$22)*Kalender!C254/SUM(Kalender!$C$5:$C$370),0)+IFERROR(SUMIF(Nutzungsprofile!$B$17:$B$22,"Halle",Nutzungsprofile!$G$17:$G$22)*Kalender!D254/SUM(Kalender!$D$5:$D$370),0)+IFERROR(SUMIF(Nutzungsprofile!$B$17:$B$22,"Individuell",Nutzungsprofile!$G$17:$G$22)*Kalender!E254/SUM(Kalender!$E$5:$E$370),0))*Szenarien!$D$23,0)</f>
        <v>4.94</v>
      </c>
      <c r="E4646" s="13" t="n">
        <f aca="false">IFERROR(MIN(C4646,Eingaben!$B$17)*Eingaben!$B$16,0)</f>
        <v>2.793</v>
      </c>
      <c r="F4646" s="13" t="n">
        <f aca="false">IFERROR(E4646*Eingaben!$B$15,0)</f>
        <v>2.5137</v>
      </c>
      <c r="G4646" s="13" t="n">
        <f aca="false">IFERROR(IF(Kalender!A254="",0,J4645*(1-Eingaben!$B$20)),0)</f>
        <v>1.709316</v>
      </c>
      <c r="H4646" s="13" t="n">
        <f aca="false">MIN(G4646,D4646)</f>
        <v>1.709316</v>
      </c>
      <c r="I4646" s="13" t="n">
        <f aca="false">IFERROR(MIN(F4646*Eingaben!$B$19,MAX(0,D4646-H4646)),0)</f>
        <v>1.75959</v>
      </c>
      <c r="J4646" s="13" t="n">
        <f aca="false">IFERROR(MIN(Eingaben!$B$18,MAX(0,F4646-I4646)),0)</f>
        <v>0.75411</v>
      </c>
      <c r="K4646" s="13" t="n">
        <f aca="false">H4646+I4646</f>
        <v>3.468906</v>
      </c>
      <c r="L4646" s="13" t="n">
        <f aca="false">MAX(0,D4646-K4646)</f>
        <v>1.471094</v>
      </c>
      <c r="M4646" s="13" t="n">
        <f aca="false">MAX(0,F4646-I4646-J4646)</f>
        <v>0</v>
      </c>
      <c r="N4646" s="13" t="n">
        <f aca="false">IF(Kalender!A254="",0,J4645-H4646)</f>
        <v>0.0348840000000001</v>
      </c>
    </row>
    <row r="4647" customFormat="false" ht="16.4" hidden="false" customHeight="false" outlineLevel="0" collapsed="false">
      <c r="A4647" s="13" t="str">
        <f aca="false">""</f>
        <v/>
      </c>
      <c r="B4647" s="13" t="n">
        <f aca="false">251</f>
        <v>251</v>
      </c>
      <c r="C4647" s="13" t="n">
        <f aca="false">IF(Szenarien!$H$23="OK",(IFERROR(SUMIF(Nutzungsprofile!$B$6:$B$11,"Schulbetrieb",Nutzungsprofile!$G$6:$G$11)*Kalender!C255/SUM(Kalender!$C$5:$C$370),0)+IFERROR(SUMIF(Nutzungsprofile!$B$6:$B$11,"Halle",Nutzungsprofile!$G$6:$G$11)*Kalender!D255/SUM(Kalender!$D$5:$D$370),0)+IFERROR(SUMIF(Nutzungsprofile!$B$6:$B$11,"Individuell",Nutzungsprofile!$G$6:$G$11)*Kalender!E255/SUM(Kalender!$E$5:$E$370),0))*Szenarien!$E$23,0)</f>
        <v>2.94</v>
      </c>
      <c r="D4647" s="13" t="n">
        <f aca="false">IF(Szenarien!$H$23="OK",(IFERROR(SUMIF(Nutzungsprofile!$B$17:$B$22,"Schulbetrieb",Nutzungsprofile!$G$17:$G$22)*Kalender!C255/SUM(Kalender!$C$5:$C$370),0)+IFERROR(SUMIF(Nutzungsprofile!$B$17:$B$22,"Halle",Nutzungsprofile!$G$17:$G$22)*Kalender!D255/SUM(Kalender!$D$5:$D$370),0)+IFERROR(SUMIF(Nutzungsprofile!$B$17:$B$22,"Individuell",Nutzungsprofile!$G$17:$G$22)*Kalender!E255/SUM(Kalender!$E$5:$E$370),0))*Szenarien!$D$23,0)</f>
        <v>4.94</v>
      </c>
      <c r="E4647" s="13" t="n">
        <f aca="false">IFERROR(MIN(C4647,Eingaben!$B$17)*Eingaben!$B$16,0)</f>
        <v>2.793</v>
      </c>
      <c r="F4647" s="13" t="n">
        <f aca="false">IFERROR(E4647*Eingaben!$B$15,0)</f>
        <v>2.5137</v>
      </c>
      <c r="G4647" s="13" t="n">
        <f aca="false">IFERROR(IF(Kalender!A255="",0,J4646*(1-Eingaben!$B$20)),0)</f>
        <v>0.7390278</v>
      </c>
      <c r="H4647" s="13" t="n">
        <f aca="false">MIN(G4647,D4647)</f>
        <v>0.7390278</v>
      </c>
      <c r="I4647" s="13" t="n">
        <f aca="false">IFERROR(MIN(F4647*Eingaben!$B$19,MAX(0,D4647-H4647)),0)</f>
        <v>1.75959</v>
      </c>
      <c r="J4647" s="13" t="n">
        <f aca="false">IFERROR(MIN(Eingaben!$B$18,MAX(0,F4647-I4647)),0)</f>
        <v>0.75411</v>
      </c>
      <c r="K4647" s="13" t="n">
        <f aca="false">H4647+I4647</f>
        <v>2.4986178</v>
      </c>
      <c r="L4647" s="13" t="n">
        <f aca="false">MAX(0,D4647-K4647)</f>
        <v>2.4413822</v>
      </c>
      <c r="M4647" s="13" t="n">
        <f aca="false">MAX(0,F4647-I4647-J4647)</f>
        <v>0</v>
      </c>
      <c r="N4647" s="13" t="n">
        <f aca="false">IF(Kalender!A255="",0,J4646-H4647)</f>
        <v>0.0150822</v>
      </c>
    </row>
    <row r="4648" customFormat="false" ht="16.4" hidden="false" customHeight="false" outlineLevel="0" collapsed="false">
      <c r="A4648" s="13" t="str">
        <f aca="false">""</f>
        <v/>
      </c>
      <c r="B4648" s="13" t="n">
        <f aca="false">252</f>
        <v>252</v>
      </c>
      <c r="C4648" s="13" t="n">
        <f aca="false">IF(Szenarien!$H$23="OK",(IFERROR(SUMIF(Nutzungsprofile!$B$6:$B$11,"Schulbetrieb",Nutzungsprofile!$G$6:$G$11)*Kalender!C256/SUM(Kalender!$C$5:$C$370),0)+IFERROR(SUMIF(Nutzungsprofile!$B$6:$B$11,"Halle",Nutzungsprofile!$G$6:$G$11)*Kalender!D256/SUM(Kalender!$D$5:$D$370),0)+IFERROR(SUMIF(Nutzungsprofile!$B$6:$B$11,"Individuell",Nutzungsprofile!$G$6:$G$11)*Kalender!E256/SUM(Kalender!$E$5:$E$370),0))*Szenarien!$E$23,0)</f>
        <v>2.94</v>
      </c>
      <c r="D4648" s="13" t="n">
        <f aca="false">IF(Szenarien!$H$23="OK",(IFERROR(SUMIF(Nutzungsprofile!$B$17:$B$22,"Schulbetrieb",Nutzungsprofile!$G$17:$G$22)*Kalender!C256/SUM(Kalender!$C$5:$C$370),0)+IFERROR(SUMIF(Nutzungsprofile!$B$17:$B$22,"Halle",Nutzungsprofile!$G$17:$G$22)*Kalender!D256/SUM(Kalender!$D$5:$D$370),0)+IFERROR(SUMIF(Nutzungsprofile!$B$17:$B$22,"Individuell",Nutzungsprofile!$G$17:$G$22)*Kalender!E256/SUM(Kalender!$E$5:$E$370),0))*Szenarien!$D$23,0)</f>
        <v>4.94</v>
      </c>
      <c r="E4648" s="13" t="n">
        <f aca="false">IFERROR(MIN(C4648,Eingaben!$B$17)*Eingaben!$B$16,0)</f>
        <v>2.793</v>
      </c>
      <c r="F4648" s="13" t="n">
        <f aca="false">IFERROR(E4648*Eingaben!$B$15,0)</f>
        <v>2.5137</v>
      </c>
      <c r="G4648" s="13" t="n">
        <f aca="false">IFERROR(IF(Kalender!A256="",0,J4647*(1-Eingaben!$B$20)),0)</f>
        <v>0.7390278</v>
      </c>
      <c r="H4648" s="13" t="n">
        <f aca="false">MIN(G4648,D4648)</f>
        <v>0.7390278</v>
      </c>
      <c r="I4648" s="13" t="n">
        <f aca="false">IFERROR(MIN(F4648*Eingaben!$B$19,MAX(0,D4648-H4648)),0)</f>
        <v>1.75959</v>
      </c>
      <c r="J4648" s="13" t="n">
        <f aca="false">IFERROR(MIN(Eingaben!$B$18,MAX(0,F4648-I4648)),0)</f>
        <v>0.75411</v>
      </c>
      <c r="K4648" s="13" t="n">
        <f aca="false">H4648+I4648</f>
        <v>2.4986178</v>
      </c>
      <c r="L4648" s="13" t="n">
        <f aca="false">MAX(0,D4648-K4648)</f>
        <v>2.4413822</v>
      </c>
      <c r="M4648" s="13" t="n">
        <f aca="false">MAX(0,F4648-I4648-J4648)</f>
        <v>0</v>
      </c>
      <c r="N4648" s="13" t="n">
        <f aca="false">IF(Kalender!A256="",0,J4647-H4648)</f>
        <v>0.0150822</v>
      </c>
    </row>
    <row r="4649" customFormat="false" ht="16.4" hidden="false" customHeight="false" outlineLevel="0" collapsed="false">
      <c r="A4649" s="13" t="str">
        <f aca="false">""</f>
        <v/>
      </c>
      <c r="B4649" s="13" t="n">
        <f aca="false">253</f>
        <v>253</v>
      </c>
      <c r="C4649" s="13" t="n">
        <f aca="false">IF(Szenarien!$H$23="OK",(IFERROR(SUMIF(Nutzungsprofile!$B$6:$B$11,"Schulbetrieb",Nutzungsprofile!$G$6:$G$11)*Kalender!C257/SUM(Kalender!$C$5:$C$370),0)+IFERROR(SUMIF(Nutzungsprofile!$B$6:$B$11,"Halle",Nutzungsprofile!$G$6:$G$11)*Kalender!D257/SUM(Kalender!$D$5:$D$370),0)+IFERROR(SUMIF(Nutzungsprofile!$B$6:$B$11,"Individuell",Nutzungsprofile!$G$6:$G$11)*Kalender!E257/SUM(Kalender!$E$5:$E$370),0))*Szenarien!$E$23,0)</f>
        <v>2.94</v>
      </c>
      <c r="D4649" s="13" t="n">
        <f aca="false">IF(Szenarien!$H$23="OK",(IFERROR(SUMIF(Nutzungsprofile!$B$17:$B$22,"Schulbetrieb",Nutzungsprofile!$G$17:$G$22)*Kalender!C257/SUM(Kalender!$C$5:$C$370),0)+IFERROR(SUMIF(Nutzungsprofile!$B$17:$B$22,"Halle",Nutzungsprofile!$G$17:$G$22)*Kalender!D257/SUM(Kalender!$D$5:$D$370),0)+IFERROR(SUMIF(Nutzungsprofile!$B$17:$B$22,"Individuell",Nutzungsprofile!$G$17:$G$22)*Kalender!E257/SUM(Kalender!$E$5:$E$370),0))*Szenarien!$D$23,0)</f>
        <v>4.94</v>
      </c>
      <c r="E4649" s="13" t="n">
        <f aca="false">IFERROR(MIN(C4649,Eingaben!$B$17)*Eingaben!$B$16,0)</f>
        <v>2.793</v>
      </c>
      <c r="F4649" s="13" t="n">
        <f aca="false">IFERROR(E4649*Eingaben!$B$15,0)</f>
        <v>2.5137</v>
      </c>
      <c r="G4649" s="13" t="n">
        <f aca="false">IFERROR(IF(Kalender!A257="",0,J4648*(1-Eingaben!$B$20)),0)</f>
        <v>0.7390278</v>
      </c>
      <c r="H4649" s="13" t="n">
        <f aca="false">MIN(G4649,D4649)</f>
        <v>0.7390278</v>
      </c>
      <c r="I4649" s="13" t="n">
        <f aca="false">IFERROR(MIN(F4649*Eingaben!$B$19,MAX(0,D4649-H4649)),0)</f>
        <v>1.75959</v>
      </c>
      <c r="J4649" s="13" t="n">
        <f aca="false">IFERROR(MIN(Eingaben!$B$18,MAX(0,F4649-I4649)),0)</f>
        <v>0.75411</v>
      </c>
      <c r="K4649" s="13" t="n">
        <f aca="false">H4649+I4649</f>
        <v>2.4986178</v>
      </c>
      <c r="L4649" s="13" t="n">
        <f aca="false">MAX(0,D4649-K4649)</f>
        <v>2.4413822</v>
      </c>
      <c r="M4649" s="13" t="n">
        <f aca="false">MAX(0,F4649-I4649-J4649)</f>
        <v>0</v>
      </c>
      <c r="N4649" s="13" t="n">
        <f aca="false">IF(Kalender!A257="",0,J4648-H4649)</f>
        <v>0.0150822</v>
      </c>
    </row>
    <row r="4650" customFormat="false" ht="16.4" hidden="false" customHeight="false" outlineLevel="0" collapsed="false">
      <c r="A4650" s="13" t="str">
        <f aca="false">""</f>
        <v/>
      </c>
      <c r="B4650" s="13" t="n">
        <f aca="false">254</f>
        <v>254</v>
      </c>
      <c r="C4650" s="13" t="n">
        <f aca="false">IF(Szenarien!$H$23="OK",(IFERROR(SUMIF(Nutzungsprofile!$B$6:$B$11,"Schulbetrieb",Nutzungsprofile!$G$6:$G$11)*Kalender!C258/SUM(Kalender!$C$5:$C$370),0)+IFERROR(SUMIF(Nutzungsprofile!$B$6:$B$11,"Halle",Nutzungsprofile!$G$6:$G$11)*Kalender!D258/SUM(Kalender!$D$5:$D$370),0)+IFERROR(SUMIF(Nutzungsprofile!$B$6:$B$11,"Individuell",Nutzungsprofile!$G$6:$G$11)*Kalender!E258/SUM(Kalender!$E$5:$E$370),0))*Szenarien!$E$23,0)</f>
        <v>2.94</v>
      </c>
      <c r="D4650" s="13" t="n">
        <f aca="false">IF(Szenarien!$H$23="OK",(IFERROR(SUMIF(Nutzungsprofile!$B$17:$B$22,"Schulbetrieb",Nutzungsprofile!$G$17:$G$22)*Kalender!C258/SUM(Kalender!$C$5:$C$370),0)+IFERROR(SUMIF(Nutzungsprofile!$B$17:$B$22,"Halle",Nutzungsprofile!$G$17:$G$22)*Kalender!D258/SUM(Kalender!$D$5:$D$370),0)+IFERROR(SUMIF(Nutzungsprofile!$B$17:$B$22,"Individuell",Nutzungsprofile!$G$17:$G$22)*Kalender!E258/SUM(Kalender!$E$5:$E$370),0))*Szenarien!$D$23,0)</f>
        <v>4.94</v>
      </c>
      <c r="E4650" s="13" t="n">
        <f aca="false">IFERROR(MIN(C4650,Eingaben!$B$17)*Eingaben!$B$16,0)</f>
        <v>2.793</v>
      </c>
      <c r="F4650" s="13" t="n">
        <f aca="false">IFERROR(E4650*Eingaben!$B$15,0)</f>
        <v>2.5137</v>
      </c>
      <c r="G4650" s="13" t="n">
        <f aca="false">IFERROR(IF(Kalender!A258="",0,J4649*(1-Eingaben!$B$20)),0)</f>
        <v>0.7390278</v>
      </c>
      <c r="H4650" s="13" t="n">
        <f aca="false">MIN(G4650,D4650)</f>
        <v>0.7390278</v>
      </c>
      <c r="I4650" s="13" t="n">
        <f aca="false">IFERROR(MIN(F4650*Eingaben!$B$19,MAX(0,D4650-H4650)),0)</f>
        <v>1.75959</v>
      </c>
      <c r="J4650" s="13" t="n">
        <f aca="false">IFERROR(MIN(Eingaben!$B$18,MAX(0,F4650-I4650)),0)</f>
        <v>0.75411</v>
      </c>
      <c r="K4650" s="13" t="n">
        <f aca="false">H4650+I4650</f>
        <v>2.4986178</v>
      </c>
      <c r="L4650" s="13" t="n">
        <f aca="false">MAX(0,D4650-K4650)</f>
        <v>2.4413822</v>
      </c>
      <c r="M4650" s="13" t="n">
        <f aca="false">MAX(0,F4650-I4650-J4650)</f>
        <v>0</v>
      </c>
      <c r="N4650" s="13" t="n">
        <f aca="false">IF(Kalender!A258="",0,J4649-H4650)</f>
        <v>0.0150822</v>
      </c>
    </row>
    <row r="4651" customFormat="false" ht="16.4" hidden="false" customHeight="false" outlineLevel="0" collapsed="false">
      <c r="A4651" s="13" t="str">
        <f aca="false">""</f>
        <v/>
      </c>
      <c r="B4651" s="13" t="n">
        <f aca="false">255</f>
        <v>255</v>
      </c>
      <c r="C4651" s="13" t="n">
        <f aca="false">IF(Szenarien!$H$23="OK",(IFERROR(SUMIF(Nutzungsprofile!$B$6:$B$11,"Schulbetrieb",Nutzungsprofile!$G$6:$G$11)*Kalender!C259/SUM(Kalender!$C$5:$C$370),0)+IFERROR(SUMIF(Nutzungsprofile!$B$6:$B$11,"Halle",Nutzungsprofile!$G$6:$G$11)*Kalender!D259/SUM(Kalender!$D$5:$D$370),0)+IFERROR(SUMIF(Nutzungsprofile!$B$6:$B$11,"Individuell",Nutzungsprofile!$G$6:$G$11)*Kalender!E259/SUM(Kalender!$E$5:$E$370),0))*Szenarien!$E$23,0)</f>
        <v>2.04</v>
      </c>
      <c r="D4651" s="13" t="n">
        <f aca="false">IF(Szenarien!$H$23="OK",(IFERROR(SUMIF(Nutzungsprofile!$B$17:$B$22,"Schulbetrieb",Nutzungsprofile!$G$17:$G$22)*Kalender!C259/SUM(Kalender!$C$5:$C$370),0)+IFERROR(SUMIF(Nutzungsprofile!$B$17:$B$22,"Halle",Nutzungsprofile!$G$17:$G$22)*Kalender!D259/SUM(Kalender!$D$5:$D$370),0)+IFERROR(SUMIF(Nutzungsprofile!$B$17:$B$22,"Individuell",Nutzungsprofile!$G$17:$G$22)*Kalender!E259/SUM(Kalender!$E$5:$E$370),0))*Szenarien!$D$23,0)</f>
        <v>0.89</v>
      </c>
      <c r="E4651" s="13" t="n">
        <f aca="false">IFERROR(MIN(C4651,Eingaben!$B$17)*Eingaben!$B$16,0)</f>
        <v>1.938</v>
      </c>
      <c r="F4651" s="13" t="n">
        <f aca="false">IFERROR(E4651*Eingaben!$B$15,0)</f>
        <v>1.7442</v>
      </c>
      <c r="G4651" s="13" t="n">
        <f aca="false">IFERROR(IF(Kalender!A259="",0,J4650*(1-Eingaben!$B$20)),0)</f>
        <v>0.7390278</v>
      </c>
      <c r="H4651" s="13" t="n">
        <f aca="false">MIN(G4651,D4651)</f>
        <v>0.7390278</v>
      </c>
      <c r="I4651" s="13" t="n">
        <f aca="false">IFERROR(MIN(F4651*Eingaben!$B$19,MAX(0,D4651-H4651)),0)</f>
        <v>0.1509722</v>
      </c>
      <c r="J4651" s="13" t="n">
        <f aca="false">IFERROR(MIN(Eingaben!$B$18,MAX(0,F4651-I4651)),0)</f>
        <v>1.5932278</v>
      </c>
      <c r="K4651" s="13" t="n">
        <f aca="false">H4651+I4651</f>
        <v>0.89</v>
      </c>
      <c r="L4651" s="13" t="n">
        <f aca="false">MAX(0,D4651-K4651)</f>
        <v>0</v>
      </c>
      <c r="M4651" s="13" t="n">
        <f aca="false">MAX(0,F4651-I4651-J4651)</f>
        <v>0</v>
      </c>
      <c r="N4651" s="13" t="n">
        <f aca="false">IF(Kalender!A259="",0,J4650-H4651)</f>
        <v>0.0150822</v>
      </c>
    </row>
    <row r="4652" customFormat="false" ht="16.4" hidden="false" customHeight="false" outlineLevel="0" collapsed="false">
      <c r="A4652" s="13" t="str">
        <f aca="false">""</f>
        <v/>
      </c>
      <c r="B4652" s="13" t="n">
        <f aca="false">256</f>
        <v>256</v>
      </c>
      <c r="C4652" s="13" t="n">
        <f aca="false">IF(Szenarien!$H$23="OK",(IFERROR(SUMIF(Nutzungsprofile!$B$6:$B$11,"Schulbetrieb",Nutzungsprofile!$G$6:$G$11)*Kalender!C260/SUM(Kalender!$C$5:$C$370),0)+IFERROR(SUMIF(Nutzungsprofile!$B$6:$B$11,"Halle",Nutzungsprofile!$G$6:$G$11)*Kalender!D260/SUM(Kalender!$D$5:$D$370),0)+IFERROR(SUMIF(Nutzungsprofile!$B$6:$B$11,"Individuell",Nutzungsprofile!$G$6:$G$11)*Kalender!E260/SUM(Kalender!$E$5:$E$370),0))*Szenarien!$E$23,0)</f>
        <v>2.04</v>
      </c>
      <c r="D4652" s="13" t="n">
        <f aca="false">IF(Szenarien!$H$23="OK",(IFERROR(SUMIF(Nutzungsprofile!$B$17:$B$22,"Schulbetrieb",Nutzungsprofile!$G$17:$G$22)*Kalender!C260/SUM(Kalender!$C$5:$C$370),0)+IFERROR(SUMIF(Nutzungsprofile!$B$17:$B$22,"Halle",Nutzungsprofile!$G$17:$G$22)*Kalender!D260/SUM(Kalender!$D$5:$D$370),0)+IFERROR(SUMIF(Nutzungsprofile!$B$17:$B$22,"Individuell",Nutzungsprofile!$G$17:$G$22)*Kalender!E260/SUM(Kalender!$E$5:$E$370),0))*Szenarien!$D$23,0)</f>
        <v>0.89</v>
      </c>
      <c r="E4652" s="13" t="n">
        <f aca="false">IFERROR(MIN(C4652,Eingaben!$B$17)*Eingaben!$B$16,0)</f>
        <v>1.938</v>
      </c>
      <c r="F4652" s="13" t="n">
        <f aca="false">IFERROR(E4652*Eingaben!$B$15,0)</f>
        <v>1.7442</v>
      </c>
      <c r="G4652" s="13" t="n">
        <f aca="false">IFERROR(IF(Kalender!A260="",0,J4651*(1-Eingaben!$B$20)),0)</f>
        <v>1.561363244</v>
      </c>
      <c r="H4652" s="13" t="n">
        <f aca="false">MIN(G4652,D4652)</f>
        <v>0.89</v>
      </c>
      <c r="I4652" s="13" t="n">
        <f aca="false">IFERROR(MIN(F4652*Eingaben!$B$19,MAX(0,D4652-H4652)),0)</f>
        <v>0</v>
      </c>
      <c r="J4652" s="13" t="n">
        <f aca="false">IFERROR(MIN(Eingaben!$B$18,MAX(0,F4652-I4652)),0)</f>
        <v>1.7442</v>
      </c>
      <c r="K4652" s="13" t="n">
        <f aca="false">H4652+I4652</f>
        <v>0.89</v>
      </c>
      <c r="L4652" s="13" t="n">
        <f aca="false">MAX(0,D4652-K4652)</f>
        <v>0</v>
      </c>
      <c r="M4652" s="13" t="n">
        <f aca="false">MAX(0,F4652-I4652-J4652)</f>
        <v>0</v>
      </c>
      <c r="N4652" s="13" t="n">
        <f aca="false">IF(Kalender!A260="",0,J4651-H4652)</f>
        <v>0.7032278</v>
      </c>
    </row>
    <row r="4653" customFormat="false" ht="16.4" hidden="false" customHeight="false" outlineLevel="0" collapsed="false">
      <c r="A4653" s="13" t="str">
        <f aca="false">""</f>
        <v/>
      </c>
      <c r="B4653" s="13" t="n">
        <f aca="false">257</f>
        <v>257</v>
      </c>
      <c r="C4653" s="13" t="n">
        <f aca="false">IF(Szenarien!$H$23="OK",(IFERROR(SUMIF(Nutzungsprofile!$B$6:$B$11,"Schulbetrieb",Nutzungsprofile!$G$6:$G$11)*Kalender!C261/SUM(Kalender!$C$5:$C$370),0)+IFERROR(SUMIF(Nutzungsprofile!$B$6:$B$11,"Halle",Nutzungsprofile!$G$6:$G$11)*Kalender!D261/SUM(Kalender!$D$5:$D$370),0)+IFERROR(SUMIF(Nutzungsprofile!$B$6:$B$11,"Individuell",Nutzungsprofile!$G$6:$G$11)*Kalender!E261/SUM(Kalender!$E$5:$E$370),0))*Szenarien!$E$23,0)</f>
        <v>2.94</v>
      </c>
      <c r="D4653" s="13" t="n">
        <f aca="false">IF(Szenarien!$H$23="OK",(IFERROR(SUMIF(Nutzungsprofile!$B$17:$B$22,"Schulbetrieb",Nutzungsprofile!$G$17:$G$22)*Kalender!C261/SUM(Kalender!$C$5:$C$370),0)+IFERROR(SUMIF(Nutzungsprofile!$B$17:$B$22,"Halle",Nutzungsprofile!$G$17:$G$22)*Kalender!D261/SUM(Kalender!$D$5:$D$370),0)+IFERROR(SUMIF(Nutzungsprofile!$B$17:$B$22,"Individuell",Nutzungsprofile!$G$17:$G$22)*Kalender!E261/SUM(Kalender!$E$5:$E$370),0))*Szenarien!$D$23,0)</f>
        <v>4.94</v>
      </c>
      <c r="E4653" s="13" t="n">
        <f aca="false">IFERROR(MIN(C4653,Eingaben!$B$17)*Eingaben!$B$16,0)</f>
        <v>2.793</v>
      </c>
      <c r="F4653" s="13" t="n">
        <f aca="false">IFERROR(E4653*Eingaben!$B$15,0)</f>
        <v>2.5137</v>
      </c>
      <c r="G4653" s="13" t="n">
        <f aca="false">IFERROR(IF(Kalender!A261="",0,J4652*(1-Eingaben!$B$20)),0)</f>
        <v>1.709316</v>
      </c>
      <c r="H4653" s="13" t="n">
        <f aca="false">MIN(G4653,D4653)</f>
        <v>1.709316</v>
      </c>
      <c r="I4653" s="13" t="n">
        <f aca="false">IFERROR(MIN(F4653*Eingaben!$B$19,MAX(0,D4653-H4653)),0)</f>
        <v>1.75959</v>
      </c>
      <c r="J4653" s="13" t="n">
        <f aca="false">IFERROR(MIN(Eingaben!$B$18,MAX(0,F4653-I4653)),0)</f>
        <v>0.75411</v>
      </c>
      <c r="K4653" s="13" t="n">
        <f aca="false">H4653+I4653</f>
        <v>3.468906</v>
      </c>
      <c r="L4653" s="13" t="n">
        <f aca="false">MAX(0,D4653-K4653)</f>
        <v>1.471094</v>
      </c>
      <c r="M4653" s="13" t="n">
        <f aca="false">MAX(0,F4653-I4653-J4653)</f>
        <v>0</v>
      </c>
      <c r="N4653" s="13" t="n">
        <f aca="false">IF(Kalender!A261="",0,J4652-H4653)</f>
        <v>0.0348840000000001</v>
      </c>
    </row>
    <row r="4654" customFormat="false" ht="16.4" hidden="false" customHeight="false" outlineLevel="0" collapsed="false">
      <c r="A4654" s="13" t="str">
        <f aca="false">""</f>
        <v/>
      </c>
      <c r="B4654" s="13" t="n">
        <f aca="false">258</f>
        <v>258</v>
      </c>
      <c r="C4654" s="13" t="n">
        <f aca="false">IF(Szenarien!$H$23="OK",(IFERROR(SUMIF(Nutzungsprofile!$B$6:$B$11,"Schulbetrieb",Nutzungsprofile!$G$6:$G$11)*Kalender!C262/SUM(Kalender!$C$5:$C$370),0)+IFERROR(SUMIF(Nutzungsprofile!$B$6:$B$11,"Halle",Nutzungsprofile!$G$6:$G$11)*Kalender!D262/SUM(Kalender!$D$5:$D$370),0)+IFERROR(SUMIF(Nutzungsprofile!$B$6:$B$11,"Individuell",Nutzungsprofile!$G$6:$G$11)*Kalender!E262/SUM(Kalender!$E$5:$E$370),0))*Szenarien!$E$23,0)</f>
        <v>2.94</v>
      </c>
      <c r="D4654" s="13" t="n">
        <f aca="false">IF(Szenarien!$H$23="OK",(IFERROR(SUMIF(Nutzungsprofile!$B$17:$B$22,"Schulbetrieb",Nutzungsprofile!$G$17:$G$22)*Kalender!C262/SUM(Kalender!$C$5:$C$370),0)+IFERROR(SUMIF(Nutzungsprofile!$B$17:$B$22,"Halle",Nutzungsprofile!$G$17:$G$22)*Kalender!D262/SUM(Kalender!$D$5:$D$370),0)+IFERROR(SUMIF(Nutzungsprofile!$B$17:$B$22,"Individuell",Nutzungsprofile!$G$17:$G$22)*Kalender!E262/SUM(Kalender!$E$5:$E$370),0))*Szenarien!$D$23,0)</f>
        <v>4.94</v>
      </c>
      <c r="E4654" s="13" t="n">
        <f aca="false">IFERROR(MIN(C4654,Eingaben!$B$17)*Eingaben!$B$16,0)</f>
        <v>2.793</v>
      </c>
      <c r="F4654" s="13" t="n">
        <f aca="false">IFERROR(E4654*Eingaben!$B$15,0)</f>
        <v>2.5137</v>
      </c>
      <c r="G4654" s="13" t="n">
        <f aca="false">IFERROR(IF(Kalender!A262="",0,J4653*(1-Eingaben!$B$20)),0)</f>
        <v>0.7390278</v>
      </c>
      <c r="H4654" s="13" t="n">
        <f aca="false">MIN(G4654,D4654)</f>
        <v>0.7390278</v>
      </c>
      <c r="I4654" s="13" t="n">
        <f aca="false">IFERROR(MIN(F4654*Eingaben!$B$19,MAX(0,D4654-H4654)),0)</f>
        <v>1.75959</v>
      </c>
      <c r="J4654" s="13" t="n">
        <f aca="false">IFERROR(MIN(Eingaben!$B$18,MAX(0,F4654-I4654)),0)</f>
        <v>0.75411</v>
      </c>
      <c r="K4654" s="13" t="n">
        <f aca="false">H4654+I4654</f>
        <v>2.4986178</v>
      </c>
      <c r="L4654" s="13" t="n">
        <f aca="false">MAX(0,D4654-K4654)</f>
        <v>2.4413822</v>
      </c>
      <c r="M4654" s="13" t="n">
        <f aca="false">MAX(0,F4654-I4654-J4654)</f>
        <v>0</v>
      </c>
      <c r="N4654" s="13" t="n">
        <f aca="false">IF(Kalender!A262="",0,J4653-H4654)</f>
        <v>0.0150822</v>
      </c>
    </row>
    <row r="4655" customFormat="false" ht="16.4" hidden="false" customHeight="false" outlineLevel="0" collapsed="false">
      <c r="A4655" s="13" t="str">
        <f aca="false">""</f>
        <v/>
      </c>
      <c r="B4655" s="13" t="n">
        <f aca="false">259</f>
        <v>259</v>
      </c>
      <c r="C4655" s="13" t="n">
        <f aca="false">IF(Szenarien!$H$23="OK",(IFERROR(SUMIF(Nutzungsprofile!$B$6:$B$11,"Schulbetrieb",Nutzungsprofile!$G$6:$G$11)*Kalender!C263/SUM(Kalender!$C$5:$C$370),0)+IFERROR(SUMIF(Nutzungsprofile!$B$6:$B$11,"Halle",Nutzungsprofile!$G$6:$G$11)*Kalender!D263/SUM(Kalender!$D$5:$D$370),0)+IFERROR(SUMIF(Nutzungsprofile!$B$6:$B$11,"Individuell",Nutzungsprofile!$G$6:$G$11)*Kalender!E263/SUM(Kalender!$E$5:$E$370),0))*Szenarien!$E$23,0)</f>
        <v>2.94</v>
      </c>
      <c r="D4655" s="13" t="n">
        <f aca="false">IF(Szenarien!$H$23="OK",(IFERROR(SUMIF(Nutzungsprofile!$B$17:$B$22,"Schulbetrieb",Nutzungsprofile!$G$17:$G$22)*Kalender!C263/SUM(Kalender!$C$5:$C$370),0)+IFERROR(SUMIF(Nutzungsprofile!$B$17:$B$22,"Halle",Nutzungsprofile!$G$17:$G$22)*Kalender!D263/SUM(Kalender!$D$5:$D$370),0)+IFERROR(SUMIF(Nutzungsprofile!$B$17:$B$22,"Individuell",Nutzungsprofile!$G$17:$G$22)*Kalender!E263/SUM(Kalender!$E$5:$E$370),0))*Szenarien!$D$23,0)</f>
        <v>4.94</v>
      </c>
      <c r="E4655" s="13" t="n">
        <f aca="false">IFERROR(MIN(C4655,Eingaben!$B$17)*Eingaben!$B$16,0)</f>
        <v>2.793</v>
      </c>
      <c r="F4655" s="13" t="n">
        <f aca="false">IFERROR(E4655*Eingaben!$B$15,0)</f>
        <v>2.5137</v>
      </c>
      <c r="G4655" s="13" t="n">
        <f aca="false">IFERROR(IF(Kalender!A263="",0,J4654*(1-Eingaben!$B$20)),0)</f>
        <v>0.7390278</v>
      </c>
      <c r="H4655" s="13" t="n">
        <f aca="false">MIN(G4655,D4655)</f>
        <v>0.7390278</v>
      </c>
      <c r="I4655" s="13" t="n">
        <f aca="false">IFERROR(MIN(F4655*Eingaben!$B$19,MAX(0,D4655-H4655)),0)</f>
        <v>1.75959</v>
      </c>
      <c r="J4655" s="13" t="n">
        <f aca="false">IFERROR(MIN(Eingaben!$B$18,MAX(0,F4655-I4655)),0)</f>
        <v>0.75411</v>
      </c>
      <c r="K4655" s="13" t="n">
        <f aca="false">H4655+I4655</f>
        <v>2.4986178</v>
      </c>
      <c r="L4655" s="13" t="n">
        <f aca="false">MAX(0,D4655-K4655)</f>
        <v>2.4413822</v>
      </c>
      <c r="M4655" s="13" t="n">
        <f aca="false">MAX(0,F4655-I4655-J4655)</f>
        <v>0</v>
      </c>
      <c r="N4655" s="13" t="n">
        <f aca="false">IF(Kalender!A263="",0,J4654-H4655)</f>
        <v>0.0150822</v>
      </c>
    </row>
    <row r="4656" customFormat="false" ht="16.4" hidden="false" customHeight="false" outlineLevel="0" collapsed="false">
      <c r="A4656" s="13" t="str">
        <f aca="false">""</f>
        <v/>
      </c>
      <c r="B4656" s="13" t="n">
        <f aca="false">260</f>
        <v>260</v>
      </c>
      <c r="C4656" s="13" t="n">
        <f aca="false">IF(Szenarien!$H$23="OK",(IFERROR(SUMIF(Nutzungsprofile!$B$6:$B$11,"Schulbetrieb",Nutzungsprofile!$G$6:$G$11)*Kalender!C264/SUM(Kalender!$C$5:$C$370),0)+IFERROR(SUMIF(Nutzungsprofile!$B$6:$B$11,"Halle",Nutzungsprofile!$G$6:$G$11)*Kalender!D264/SUM(Kalender!$D$5:$D$370),0)+IFERROR(SUMIF(Nutzungsprofile!$B$6:$B$11,"Individuell",Nutzungsprofile!$G$6:$G$11)*Kalender!E264/SUM(Kalender!$E$5:$E$370),0))*Szenarien!$E$23,0)</f>
        <v>2.94</v>
      </c>
      <c r="D4656" s="13" t="n">
        <f aca="false">IF(Szenarien!$H$23="OK",(IFERROR(SUMIF(Nutzungsprofile!$B$17:$B$22,"Schulbetrieb",Nutzungsprofile!$G$17:$G$22)*Kalender!C264/SUM(Kalender!$C$5:$C$370),0)+IFERROR(SUMIF(Nutzungsprofile!$B$17:$B$22,"Halle",Nutzungsprofile!$G$17:$G$22)*Kalender!D264/SUM(Kalender!$D$5:$D$370),0)+IFERROR(SUMIF(Nutzungsprofile!$B$17:$B$22,"Individuell",Nutzungsprofile!$G$17:$G$22)*Kalender!E264/SUM(Kalender!$E$5:$E$370),0))*Szenarien!$D$23,0)</f>
        <v>4.94</v>
      </c>
      <c r="E4656" s="13" t="n">
        <f aca="false">IFERROR(MIN(C4656,Eingaben!$B$17)*Eingaben!$B$16,0)</f>
        <v>2.793</v>
      </c>
      <c r="F4656" s="13" t="n">
        <f aca="false">IFERROR(E4656*Eingaben!$B$15,0)</f>
        <v>2.5137</v>
      </c>
      <c r="G4656" s="13" t="n">
        <f aca="false">IFERROR(IF(Kalender!A264="",0,J4655*(1-Eingaben!$B$20)),0)</f>
        <v>0.7390278</v>
      </c>
      <c r="H4656" s="13" t="n">
        <f aca="false">MIN(G4656,D4656)</f>
        <v>0.7390278</v>
      </c>
      <c r="I4656" s="13" t="n">
        <f aca="false">IFERROR(MIN(F4656*Eingaben!$B$19,MAX(0,D4656-H4656)),0)</f>
        <v>1.75959</v>
      </c>
      <c r="J4656" s="13" t="n">
        <f aca="false">IFERROR(MIN(Eingaben!$B$18,MAX(0,F4656-I4656)),0)</f>
        <v>0.75411</v>
      </c>
      <c r="K4656" s="13" t="n">
        <f aca="false">H4656+I4656</f>
        <v>2.4986178</v>
      </c>
      <c r="L4656" s="13" t="n">
        <f aca="false">MAX(0,D4656-K4656)</f>
        <v>2.4413822</v>
      </c>
      <c r="M4656" s="13" t="n">
        <f aca="false">MAX(0,F4656-I4656-J4656)</f>
        <v>0</v>
      </c>
      <c r="N4656" s="13" t="n">
        <f aca="false">IF(Kalender!A264="",0,J4655-H4656)</f>
        <v>0.0150822</v>
      </c>
    </row>
    <row r="4657" customFormat="false" ht="16.4" hidden="false" customHeight="false" outlineLevel="0" collapsed="false">
      <c r="A4657" s="13" t="str">
        <f aca="false">""</f>
        <v/>
      </c>
      <c r="B4657" s="13" t="n">
        <f aca="false">261</f>
        <v>261</v>
      </c>
      <c r="C4657" s="13" t="n">
        <f aca="false">IF(Szenarien!$H$23="OK",(IFERROR(SUMIF(Nutzungsprofile!$B$6:$B$11,"Schulbetrieb",Nutzungsprofile!$G$6:$G$11)*Kalender!C265/SUM(Kalender!$C$5:$C$370),0)+IFERROR(SUMIF(Nutzungsprofile!$B$6:$B$11,"Halle",Nutzungsprofile!$G$6:$G$11)*Kalender!D265/SUM(Kalender!$D$5:$D$370),0)+IFERROR(SUMIF(Nutzungsprofile!$B$6:$B$11,"Individuell",Nutzungsprofile!$G$6:$G$11)*Kalender!E265/SUM(Kalender!$E$5:$E$370),0))*Szenarien!$E$23,0)</f>
        <v>2.94</v>
      </c>
      <c r="D4657" s="13" t="n">
        <f aca="false">IF(Szenarien!$H$23="OK",(IFERROR(SUMIF(Nutzungsprofile!$B$17:$B$22,"Schulbetrieb",Nutzungsprofile!$G$17:$G$22)*Kalender!C265/SUM(Kalender!$C$5:$C$370),0)+IFERROR(SUMIF(Nutzungsprofile!$B$17:$B$22,"Halle",Nutzungsprofile!$G$17:$G$22)*Kalender!D265/SUM(Kalender!$D$5:$D$370),0)+IFERROR(SUMIF(Nutzungsprofile!$B$17:$B$22,"Individuell",Nutzungsprofile!$G$17:$G$22)*Kalender!E265/SUM(Kalender!$E$5:$E$370),0))*Szenarien!$D$23,0)</f>
        <v>4.94</v>
      </c>
      <c r="E4657" s="13" t="n">
        <f aca="false">IFERROR(MIN(C4657,Eingaben!$B$17)*Eingaben!$B$16,0)</f>
        <v>2.793</v>
      </c>
      <c r="F4657" s="13" t="n">
        <f aca="false">IFERROR(E4657*Eingaben!$B$15,0)</f>
        <v>2.5137</v>
      </c>
      <c r="G4657" s="13" t="n">
        <f aca="false">IFERROR(IF(Kalender!A265="",0,J4656*(1-Eingaben!$B$20)),0)</f>
        <v>0.7390278</v>
      </c>
      <c r="H4657" s="13" t="n">
        <f aca="false">MIN(G4657,D4657)</f>
        <v>0.7390278</v>
      </c>
      <c r="I4657" s="13" t="n">
        <f aca="false">IFERROR(MIN(F4657*Eingaben!$B$19,MAX(0,D4657-H4657)),0)</f>
        <v>1.75959</v>
      </c>
      <c r="J4657" s="13" t="n">
        <f aca="false">IFERROR(MIN(Eingaben!$B$18,MAX(0,F4657-I4657)),0)</f>
        <v>0.75411</v>
      </c>
      <c r="K4657" s="13" t="n">
        <f aca="false">H4657+I4657</f>
        <v>2.4986178</v>
      </c>
      <c r="L4657" s="13" t="n">
        <f aca="false">MAX(0,D4657-K4657)</f>
        <v>2.4413822</v>
      </c>
      <c r="M4657" s="13" t="n">
        <f aca="false">MAX(0,F4657-I4657-J4657)</f>
        <v>0</v>
      </c>
      <c r="N4657" s="13" t="n">
        <f aca="false">IF(Kalender!A265="",0,J4656-H4657)</f>
        <v>0.0150822</v>
      </c>
    </row>
    <row r="4658" customFormat="false" ht="16.4" hidden="false" customHeight="false" outlineLevel="0" collapsed="false">
      <c r="A4658" s="13" t="str">
        <f aca="false">""</f>
        <v/>
      </c>
      <c r="B4658" s="13" t="n">
        <f aca="false">262</f>
        <v>262</v>
      </c>
      <c r="C4658" s="13" t="n">
        <f aca="false">IF(Szenarien!$H$23="OK",(IFERROR(SUMIF(Nutzungsprofile!$B$6:$B$11,"Schulbetrieb",Nutzungsprofile!$G$6:$G$11)*Kalender!C266/SUM(Kalender!$C$5:$C$370),0)+IFERROR(SUMIF(Nutzungsprofile!$B$6:$B$11,"Halle",Nutzungsprofile!$G$6:$G$11)*Kalender!D266/SUM(Kalender!$D$5:$D$370),0)+IFERROR(SUMIF(Nutzungsprofile!$B$6:$B$11,"Individuell",Nutzungsprofile!$G$6:$G$11)*Kalender!E266/SUM(Kalender!$E$5:$E$370),0))*Szenarien!$E$23,0)</f>
        <v>2.04</v>
      </c>
      <c r="D4658" s="13" t="n">
        <f aca="false">IF(Szenarien!$H$23="OK",(IFERROR(SUMIF(Nutzungsprofile!$B$17:$B$22,"Schulbetrieb",Nutzungsprofile!$G$17:$G$22)*Kalender!C266/SUM(Kalender!$C$5:$C$370),0)+IFERROR(SUMIF(Nutzungsprofile!$B$17:$B$22,"Halle",Nutzungsprofile!$G$17:$G$22)*Kalender!D266/SUM(Kalender!$D$5:$D$370),0)+IFERROR(SUMIF(Nutzungsprofile!$B$17:$B$22,"Individuell",Nutzungsprofile!$G$17:$G$22)*Kalender!E266/SUM(Kalender!$E$5:$E$370),0))*Szenarien!$D$23,0)</f>
        <v>0.89</v>
      </c>
      <c r="E4658" s="13" t="n">
        <f aca="false">IFERROR(MIN(C4658,Eingaben!$B$17)*Eingaben!$B$16,0)</f>
        <v>1.938</v>
      </c>
      <c r="F4658" s="13" t="n">
        <f aca="false">IFERROR(E4658*Eingaben!$B$15,0)</f>
        <v>1.7442</v>
      </c>
      <c r="G4658" s="13" t="n">
        <f aca="false">IFERROR(IF(Kalender!A266="",0,J4657*(1-Eingaben!$B$20)),0)</f>
        <v>0.7390278</v>
      </c>
      <c r="H4658" s="13" t="n">
        <f aca="false">MIN(G4658,D4658)</f>
        <v>0.7390278</v>
      </c>
      <c r="I4658" s="13" t="n">
        <f aca="false">IFERROR(MIN(F4658*Eingaben!$B$19,MAX(0,D4658-H4658)),0)</f>
        <v>0.1509722</v>
      </c>
      <c r="J4658" s="13" t="n">
        <f aca="false">IFERROR(MIN(Eingaben!$B$18,MAX(0,F4658-I4658)),0)</f>
        <v>1.5932278</v>
      </c>
      <c r="K4658" s="13" t="n">
        <f aca="false">H4658+I4658</f>
        <v>0.89</v>
      </c>
      <c r="L4658" s="13" t="n">
        <f aca="false">MAX(0,D4658-K4658)</f>
        <v>0</v>
      </c>
      <c r="M4658" s="13" t="n">
        <f aca="false">MAX(0,F4658-I4658-J4658)</f>
        <v>0</v>
      </c>
      <c r="N4658" s="13" t="n">
        <f aca="false">IF(Kalender!A266="",0,J4657-H4658)</f>
        <v>0.0150822</v>
      </c>
    </row>
    <row r="4659" customFormat="false" ht="16.4" hidden="false" customHeight="false" outlineLevel="0" collapsed="false">
      <c r="A4659" s="13" t="str">
        <f aca="false">""</f>
        <v/>
      </c>
      <c r="B4659" s="13" t="n">
        <f aca="false">263</f>
        <v>263</v>
      </c>
      <c r="C4659" s="13" t="n">
        <f aca="false">IF(Szenarien!$H$23="OK",(IFERROR(SUMIF(Nutzungsprofile!$B$6:$B$11,"Schulbetrieb",Nutzungsprofile!$G$6:$G$11)*Kalender!C267/SUM(Kalender!$C$5:$C$370),0)+IFERROR(SUMIF(Nutzungsprofile!$B$6:$B$11,"Halle",Nutzungsprofile!$G$6:$G$11)*Kalender!D267/SUM(Kalender!$D$5:$D$370),0)+IFERROR(SUMIF(Nutzungsprofile!$B$6:$B$11,"Individuell",Nutzungsprofile!$G$6:$G$11)*Kalender!E267/SUM(Kalender!$E$5:$E$370),0))*Szenarien!$E$23,0)</f>
        <v>2.04</v>
      </c>
      <c r="D4659" s="13" t="n">
        <f aca="false">IF(Szenarien!$H$23="OK",(IFERROR(SUMIF(Nutzungsprofile!$B$17:$B$22,"Schulbetrieb",Nutzungsprofile!$G$17:$G$22)*Kalender!C267/SUM(Kalender!$C$5:$C$370),0)+IFERROR(SUMIF(Nutzungsprofile!$B$17:$B$22,"Halle",Nutzungsprofile!$G$17:$G$22)*Kalender!D267/SUM(Kalender!$D$5:$D$370),0)+IFERROR(SUMIF(Nutzungsprofile!$B$17:$B$22,"Individuell",Nutzungsprofile!$G$17:$G$22)*Kalender!E267/SUM(Kalender!$E$5:$E$370),0))*Szenarien!$D$23,0)</f>
        <v>0.89</v>
      </c>
      <c r="E4659" s="13" t="n">
        <f aca="false">IFERROR(MIN(C4659,Eingaben!$B$17)*Eingaben!$B$16,0)</f>
        <v>1.938</v>
      </c>
      <c r="F4659" s="13" t="n">
        <f aca="false">IFERROR(E4659*Eingaben!$B$15,0)</f>
        <v>1.7442</v>
      </c>
      <c r="G4659" s="13" t="n">
        <f aca="false">IFERROR(IF(Kalender!A267="",0,J4658*(1-Eingaben!$B$20)),0)</f>
        <v>1.561363244</v>
      </c>
      <c r="H4659" s="13" t="n">
        <f aca="false">MIN(G4659,D4659)</f>
        <v>0.89</v>
      </c>
      <c r="I4659" s="13" t="n">
        <f aca="false">IFERROR(MIN(F4659*Eingaben!$B$19,MAX(0,D4659-H4659)),0)</f>
        <v>0</v>
      </c>
      <c r="J4659" s="13" t="n">
        <f aca="false">IFERROR(MIN(Eingaben!$B$18,MAX(0,F4659-I4659)),0)</f>
        <v>1.7442</v>
      </c>
      <c r="K4659" s="13" t="n">
        <f aca="false">H4659+I4659</f>
        <v>0.89</v>
      </c>
      <c r="L4659" s="13" t="n">
        <f aca="false">MAX(0,D4659-K4659)</f>
        <v>0</v>
      </c>
      <c r="M4659" s="13" t="n">
        <f aca="false">MAX(0,F4659-I4659-J4659)</f>
        <v>0</v>
      </c>
      <c r="N4659" s="13" t="n">
        <f aca="false">IF(Kalender!A267="",0,J4658-H4659)</f>
        <v>0.7032278</v>
      </c>
    </row>
    <row r="4660" customFormat="false" ht="16.4" hidden="false" customHeight="false" outlineLevel="0" collapsed="false">
      <c r="A4660" s="13" t="str">
        <f aca="false">""</f>
        <v/>
      </c>
      <c r="B4660" s="13" t="n">
        <f aca="false">264</f>
        <v>264</v>
      </c>
      <c r="C4660" s="13" t="n">
        <f aca="false">IF(Szenarien!$H$23="OK",(IFERROR(SUMIF(Nutzungsprofile!$B$6:$B$11,"Schulbetrieb",Nutzungsprofile!$G$6:$G$11)*Kalender!C268/SUM(Kalender!$C$5:$C$370),0)+IFERROR(SUMIF(Nutzungsprofile!$B$6:$B$11,"Halle",Nutzungsprofile!$G$6:$G$11)*Kalender!D268/SUM(Kalender!$D$5:$D$370),0)+IFERROR(SUMIF(Nutzungsprofile!$B$6:$B$11,"Individuell",Nutzungsprofile!$G$6:$G$11)*Kalender!E268/SUM(Kalender!$E$5:$E$370),0))*Szenarien!$E$23,0)</f>
        <v>2.94</v>
      </c>
      <c r="D4660" s="13" t="n">
        <f aca="false">IF(Szenarien!$H$23="OK",(IFERROR(SUMIF(Nutzungsprofile!$B$17:$B$22,"Schulbetrieb",Nutzungsprofile!$G$17:$G$22)*Kalender!C268/SUM(Kalender!$C$5:$C$370),0)+IFERROR(SUMIF(Nutzungsprofile!$B$17:$B$22,"Halle",Nutzungsprofile!$G$17:$G$22)*Kalender!D268/SUM(Kalender!$D$5:$D$370),0)+IFERROR(SUMIF(Nutzungsprofile!$B$17:$B$22,"Individuell",Nutzungsprofile!$G$17:$G$22)*Kalender!E268/SUM(Kalender!$E$5:$E$370),0))*Szenarien!$D$23,0)</f>
        <v>4.94</v>
      </c>
      <c r="E4660" s="13" t="n">
        <f aca="false">IFERROR(MIN(C4660,Eingaben!$B$17)*Eingaben!$B$16,0)</f>
        <v>2.793</v>
      </c>
      <c r="F4660" s="13" t="n">
        <f aca="false">IFERROR(E4660*Eingaben!$B$15,0)</f>
        <v>2.5137</v>
      </c>
      <c r="G4660" s="13" t="n">
        <f aca="false">IFERROR(IF(Kalender!A268="",0,J4659*(1-Eingaben!$B$20)),0)</f>
        <v>1.709316</v>
      </c>
      <c r="H4660" s="13" t="n">
        <f aca="false">MIN(G4660,D4660)</f>
        <v>1.709316</v>
      </c>
      <c r="I4660" s="13" t="n">
        <f aca="false">IFERROR(MIN(F4660*Eingaben!$B$19,MAX(0,D4660-H4660)),0)</f>
        <v>1.75959</v>
      </c>
      <c r="J4660" s="13" t="n">
        <f aca="false">IFERROR(MIN(Eingaben!$B$18,MAX(0,F4660-I4660)),0)</f>
        <v>0.75411</v>
      </c>
      <c r="K4660" s="13" t="n">
        <f aca="false">H4660+I4660</f>
        <v>3.468906</v>
      </c>
      <c r="L4660" s="13" t="n">
        <f aca="false">MAX(0,D4660-K4660)</f>
        <v>1.471094</v>
      </c>
      <c r="M4660" s="13" t="n">
        <f aca="false">MAX(0,F4660-I4660-J4660)</f>
        <v>0</v>
      </c>
      <c r="N4660" s="13" t="n">
        <f aca="false">IF(Kalender!A268="",0,J4659-H4660)</f>
        <v>0.0348840000000001</v>
      </c>
    </row>
    <row r="4661" customFormat="false" ht="16.4" hidden="false" customHeight="false" outlineLevel="0" collapsed="false">
      <c r="A4661" s="13" t="str">
        <f aca="false">""</f>
        <v/>
      </c>
      <c r="B4661" s="13" t="n">
        <f aca="false">265</f>
        <v>265</v>
      </c>
      <c r="C4661" s="13" t="n">
        <f aca="false">IF(Szenarien!$H$23="OK",(IFERROR(SUMIF(Nutzungsprofile!$B$6:$B$11,"Schulbetrieb",Nutzungsprofile!$G$6:$G$11)*Kalender!C269/SUM(Kalender!$C$5:$C$370),0)+IFERROR(SUMIF(Nutzungsprofile!$B$6:$B$11,"Halle",Nutzungsprofile!$G$6:$G$11)*Kalender!D269/SUM(Kalender!$D$5:$D$370),0)+IFERROR(SUMIF(Nutzungsprofile!$B$6:$B$11,"Individuell",Nutzungsprofile!$G$6:$G$11)*Kalender!E269/SUM(Kalender!$E$5:$E$370),0))*Szenarien!$E$23,0)</f>
        <v>2.94</v>
      </c>
      <c r="D4661" s="13" t="n">
        <f aca="false">IF(Szenarien!$H$23="OK",(IFERROR(SUMIF(Nutzungsprofile!$B$17:$B$22,"Schulbetrieb",Nutzungsprofile!$G$17:$G$22)*Kalender!C269/SUM(Kalender!$C$5:$C$370),0)+IFERROR(SUMIF(Nutzungsprofile!$B$17:$B$22,"Halle",Nutzungsprofile!$G$17:$G$22)*Kalender!D269/SUM(Kalender!$D$5:$D$370),0)+IFERROR(SUMIF(Nutzungsprofile!$B$17:$B$22,"Individuell",Nutzungsprofile!$G$17:$G$22)*Kalender!E269/SUM(Kalender!$E$5:$E$370),0))*Szenarien!$D$23,0)</f>
        <v>4.94</v>
      </c>
      <c r="E4661" s="13" t="n">
        <f aca="false">IFERROR(MIN(C4661,Eingaben!$B$17)*Eingaben!$B$16,0)</f>
        <v>2.793</v>
      </c>
      <c r="F4661" s="13" t="n">
        <f aca="false">IFERROR(E4661*Eingaben!$B$15,0)</f>
        <v>2.5137</v>
      </c>
      <c r="G4661" s="13" t="n">
        <f aca="false">IFERROR(IF(Kalender!A269="",0,J4660*(1-Eingaben!$B$20)),0)</f>
        <v>0.7390278</v>
      </c>
      <c r="H4661" s="13" t="n">
        <f aca="false">MIN(G4661,D4661)</f>
        <v>0.7390278</v>
      </c>
      <c r="I4661" s="13" t="n">
        <f aca="false">IFERROR(MIN(F4661*Eingaben!$B$19,MAX(0,D4661-H4661)),0)</f>
        <v>1.75959</v>
      </c>
      <c r="J4661" s="13" t="n">
        <f aca="false">IFERROR(MIN(Eingaben!$B$18,MAX(0,F4661-I4661)),0)</f>
        <v>0.75411</v>
      </c>
      <c r="K4661" s="13" t="n">
        <f aca="false">H4661+I4661</f>
        <v>2.4986178</v>
      </c>
      <c r="L4661" s="13" t="n">
        <f aca="false">MAX(0,D4661-K4661)</f>
        <v>2.4413822</v>
      </c>
      <c r="M4661" s="13" t="n">
        <f aca="false">MAX(0,F4661-I4661-J4661)</f>
        <v>0</v>
      </c>
      <c r="N4661" s="13" t="n">
        <f aca="false">IF(Kalender!A269="",0,J4660-H4661)</f>
        <v>0.0150822</v>
      </c>
    </row>
    <row r="4662" customFormat="false" ht="16.4" hidden="false" customHeight="false" outlineLevel="0" collapsed="false">
      <c r="A4662" s="13" t="str">
        <f aca="false">""</f>
        <v/>
      </c>
      <c r="B4662" s="13" t="n">
        <f aca="false">266</f>
        <v>266</v>
      </c>
      <c r="C4662" s="13" t="n">
        <f aca="false">IF(Szenarien!$H$23="OK",(IFERROR(SUMIF(Nutzungsprofile!$B$6:$B$11,"Schulbetrieb",Nutzungsprofile!$G$6:$G$11)*Kalender!C270/SUM(Kalender!$C$5:$C$370),0)+IFERROR(SUMIF(Nutzungsprofile!$B$6:$B$11,"Halle",Nutzungsprofile!$G$6:$G$11)*Kalender!D270/SUM(Kalender!$D$5:$D$370),0)+IFERROR(SUMIF(Nutzungsprofile!$B$6:$B$11,"Individuell",Nutzungsprofile!$G$6:$G$11)*Kalender!E270/SUM(Kalender!$E$5:$E$370),0))*Szenarien!$E$23,0)</f>
        <v>2.94</v>
      </c>
      <c r="D4662" s="13" t="n">
        <f aca="false">IF(Szenarien!$H$23="OK",(IFERROR(SUMIF(Nutzungsprofile!$B$17:$B$22,"Schulbetrieb",Nutzungsprofile!$G$17:$G$22)*Kalender!C270/SUM(Kalender!$C$5:$C$370),0)+IFERROR(SUMIF(Nutzungsprofile!$B$17:$B$22,"Halle",Nutzungsprofile!$G$17:$G$22)*Kalender!D270/SUM(Kalender!$D$5:$D$370),0)+IFERROR(SUMIF(Nutzungsprofile!$B$17:$B$22,"Individuell",Nutzungsprofile!$G$17:$G$22)*Kalender!E270/SUM(Kalender!$E$5:$E$370),0))*Szenarien!$D$23,0)</f>
        <v>4.94</v>
      </c>
      <c r="E4662" s="13" t="n">
        <f aca="false">IFERROR(MIN(C4662,Eingaben!$B$17)*Eingaben!$B$16,0)</f>
        <v>2.793</v>
      </c>
      <c r="F4662" s="13" t="n">
        <f aca="false">IFERROR(E4662*Eingaben!$B$15,0)</f>
        <v>2.5137</v>
      </c>
      <c r="G4662" s="13" t="n">
        <f aca="false">IFERROR(IF(Kalender!A270="",0,J4661*(1-Eingaben!$B$20)),0)</f>
        <v>0.7390278</v>
      </c>
      <c r="H4662" s="13" t="n">
        <f aca="false">MIN(G4662,D4662)</f>
        <v>0.7390278</v>
      </c>
      <c r="I4662" s="13" t="n">
        <f aca="false">IFERROR(MIN(F4662*Eingaben!$B$19,MAX(0,D4662-H4662)),0)</f>
        <v>1.75959</v>
      </c>
      <c r="J4662" s="13" t="n">
        <f aca="false">IFERROR(MIN(Eingaben!$B$18,MAX(0,F4662-I4662)),0)</f>
        <v>0.75411</v>
      </c>
      <c r="K4662" s="13" t="n">
        <f aca="false">H4662+I4662</f>
        <v>2.4986178</v>
      </c>
      <c r="L4662" s="13" t="n">
        <f aca="false">MAX(0,D4662-K4662)</f>
        <v>2.4413822</v>
      </c>
      <c r="M4662" s="13" t="n">
        <f aca="false">MAX(0,F4662-I4662-J4662)</f>
        <v>0</v>
      </c>
      <c r="N4662" s="13" t="n">
        <f aca="false">IF(Kalender!A270="",0,J4661-H4662)</f>
        <v>0.0150822</v>
      </c>
    </row>
    <row r="4663" customFormat="false" ht="16.4" hidden="false" customHeight="false" outlineLevel="0" collapsed="false">
      <c r="A4663" s="13" t="str">
        <f aca="false">""</f>
        <v/>
      </c>
      <c r="B4663" s="13" t="n">
        <f aca="false">267</f>
        <v>267</v>
      </c>
      <c r="C4663" s="13" t="n">
        <f aca="false">IF(Szenarien!$H$23="OK",(IFERROR(SUMIF(Nutzungsprofile!$B$6:$B$11,"Schulbetrieb",Nutzungsprofile!$G$6:$G$11)*Kalender!C271/SUM(Kalender!$C$5:$C$370),0)+IFERROR(SUMIF(Nutzungsprofile!$B$6:$B$11,"Halle",Nutzungsprofile!$G$6:$G$11)*Kalender!D271/SUM(Kalender!$D$5:$D$370),0)+IFERROR(SUMIF(Nutzungsprofile!$B$6:$B$11,"Individuell",Nutzungsprofile!$G$6:$G$11)*Kalender!E271/SUM(Kalender!$E$5:$E$370),0))*Szenarien!$E$23,0)</f>
        <v>2.94</v>
      </c>
      <c r="D4663" s="13" t="n">
        <f aca="false">IF(Szenarien!$H$23="OK",(IFERROR(SUMIF(Nutzungsprofile!$B$17:$B$22,"Schulbetrieb",Nutzungsprofile!$G$17:$G$22)*Kalender!C271/SUM(Kalender!$C$5:$C$370),0)+IFERROR(SUMIF(Nutzungsprofile!$B$17:$B$22,"Halle",Nutzungsprofile!$G$17:$G$22)*Kalender!D271/SUM(Kalender!$D$5:$D$370),0)+IFERROR(SUMIF(Nutzungsprofile!$B$17:$B$22,"Individuell",Nutzungsprofile!$G$17:$G$22)*Kalender!E271/SUM(Kalender!$E$5:$E$370),0))*Szenarien!$D$23,0)</f>
        <v>4.94</v>
      </c>
      <c r="E4663" s="13" t="n">
        <f aca="false">IFERROR(MIN(C4663,Eingaben!$B$17)*Eingaben!$B$16,0)</f>
        <v>2.793</v>
      </c>
      <c r="F4663" s="13" t="n">
        <f aca="false">IFERROR(E4663*Eingaben!$B$15,0)</f>
        <v>2.5137</v>
      </c>
      <c r="G4663" s="13" t="n">
        <f aca="false">IFERROR(IF(Kalender!A271="",0,J4662*(1-Eingaben!$B$20)),0)</f>
        <v>0.7390278</v>
      </c>
      <c r="H4663" s="13" t="n">
        <f aca="false">MIN(G4663,D4663)</f>
        <v>0.7390278</v>
      </c>
      <c r="I4663" s="13" t="n">
        <f aca="false">IFERROR(MIN(F4663*Eingaben!$B$19,MAX(0,D4663-H4663)),0)</f>
        <v>1.75959</v>
      </c>
      <c r="J4663" s="13" t="n">
        <f aca="false">IFERROR(MIN(Eingaben!$B$18,MAX(0,F4663-I4663)),0)</f>
        <v>0.75411</v>
      </c>
      <c r="K4663" s="13" t="n">
        <f aca="false">H4663+I4663</f>
        <v>2.4986178</v>
      </c>
      <c r="L4663" s="13" t="n">
        <f aca="false">MAX(0,D4663-K4663)</f>
        <v>2.4413822</v>
      </c>
      <c r="M4663" s="13" t="n">
        <f aca="false">MAX(0,F4663-I4663-J4663)</f>
        <v>0</v>
      </c>
      <c r="N4663" s="13" t="n">
        <f aca="false">IF(Kalender!A271="",0,J4662-H4663)</f>
        <v>0.0150822</v>
      </c>
    </row>
    <row r="4664" customFormat="false" ht="16.4" hidden="false" customHeight="false" outlineLevel="0" collapsed="false">
      <c r="A4664" s="13" t="str">
        <f aca="false">""</f>
        <v/>
      </c>
      <c r="B4664" s="13" t="n">
        <f aca="false">268</f>
        <v>268</v>
      </c>
      <c r="C4664" s="13" t="n">
        <f aca="false">IF(Szenarien!$H$23="OK",(IFERROR(SUMIF(Nutzungsprofile!$B$6:$B$11,"Schulbetrieb",Nutzungsprofile!$G$6:$G$11)*Kalender!C272/SUM(Kalender!$C$5:$C$370),0)+IFERROR(SUMIF(Nutzungsprofile!$B$6:$B$11,"Halle",Nutzungsprofile!$G$6:$G$11)*Kalender!D272/SUM(Kalender!$D$5:$D$370),0)+IFERROR(SUMIF(Nutzungsprofile!$B$6:$B$11,"Individuell",Nutzungsprofile!$G$6:$G$11)*Kalender!E272/SUM(Kalender!$E$5:$E$370),0))*Szenarien!$E$23,0)</f>
        <v>2.94</v>
      </c>
      <c r="D4664" s="13" t="n">
        <f aca="false">IF(Szenarien!$H$23="OK",(IFERROR(SUMIF(Nutzungsprofile!$B$17:$B$22,"Schulbetrieb",Nutzungsprofile!$G$17:$G$22)*Kalender!C272/SUM(Kalender!$C$5:$C$370),0)+IFERROR(SUMIF(Nutzungsprofile!$B$17:$B$22,"Halle",Nutzungsprofile!$G$17:$G$22)*Kalender!D272/SUM(Kalender!$D$5:$D$370),0)+IFERROR(SUMIF(Nutzungsprofile!$B$17:$B$22,"Individuell",Nutzungsprofile!$G$17:$G$22)*Kalender!E272/SUM(Kalender!$E$5:$E$370),0))*Szenarien!$D$23,0)</f>
        <v>4.94</v>
      </c>
      <c r="E4664" s="13" t="n">
        <f aca="false">IFERROR(MIN(C4664,Eingaben!$B$17)*Eingaben!$B$16,0)</f>
        <v>2.793</v>
      </c>
      <c r="F4664" s="13" t="n">
        <f aca="false">IFERROR(E4664*Eingaben!$B$15,0)</f>
        <v>2.5137</v>
      </c>
      <c r="G4664" s="13" t="n">
        <f aca="false">IFERROR(IF(Kalender!A272="",0,J4663*(1-Eingaben!$B$20)),0)</f>
        <v>0.7390278</v>
      </c>
      <c r="H4664" s="13" t="n">
        <f aca="false">MIN(G4664,D4664)</f>
        <v>0.7390278</v>
      </c>
      <c r="I4664" s="13" t="n">
        <f aca="false">IFERROR(MIN(F4664*Eingaben!$B$19,MAX(0,D4664-H4664)),0)</f>
        <v>1.75959</v>
      </c>
      <c r="J4664" s="13" t="n">
        <f aca="false">IFERROR(MIN(Eingaben!$B$18,MAX(0,F4664-I4664)),0)</f>
        <v>0.75411</v>
      </c>
      <c r="K4664" s="13" t="n">
        <f aca="false">H4664+I4664</f>
        <v>2.4986178</v>
      </c>
      <c r="L4664" s="13" t="n">
        <f aca="false">MAX(0,D4664-K4664)</f>
        <v>2.4413822</v>
      </c>
      <c r="M4664" s="13" t="n">
        <f aca="false">MAX(0,F4664-I4664-J4664)</f>
        <v>0</v>
      </c>
      <c r="N4664" s="13" t="n">
        <f aca="false">IF(Kalender!A272="",0,J4663-H4664)</f>
        <v>0.0150822</v>
      </c>
    </row>
    <row r="4665" customFormat="false" ht="16.4" hidden="false" customHeight="false" outlineLevel="0" collapsed="false">
      <c r="A4665" s="13" t="str">
        <f aca="false">""</f>
        <v/>
      </c>
      <c r="B4665" s="13" t="n">
        <f aca="false">269</f>
        <v>269</v>
      </c>
      <c r="C4665" s="13" t="n">
        <f aca="false">IF(Szenarien!$H$23="OK",(IFERROR(SUMIF(Nutzungsprofile!$B$6:$B$11,"Schulbetrieb",Nutzungsprofile!$G$6:$G$11)*Kalender!C273/SUM(Kalender!$C$5:$C$370),0)+IFERROR(SUMIF(Nutzungsprofile!$B$6:$B$11,"Halle",Nutzungsprofile!$G$6:$G$11)*Kalender!D273/SUM(Kalender!$D$5:$D$370),0)+IFERROR(SUMIF(Nutzungsprofile!$B$6:$B$11,"Individuell",Nutzungsprofile!$G$6:$G$11)*Kalender!E273/SUM(Kalender!$E$5:$E$370),0))*Szenarien!$E$23,0)</f>
        <v>2.04</v>
      </c>
      <c r="D4665" s="13" t="n">
        <f aca="false">IF(Szenarien!$H$23="OK",(IFERROR(SUMIF(Nutzungsprofile!$B$17:$B$22,"Schulbetrieb",Nutzungsprofile!$G$17:$G$22)*Kalender!C273/SUM(Kalender!$C$5:$C$370),0)+IFERROR(SUMIF(Nutzungsprofile!$B$17:$B$22,"Halle",Nutzungsprofile!$G$17:$G$22)*Kalender!D273/SUM(Kalender!$D$5:$D$370),0)+IFERROR(SUMIF(Nutzungsprofile!$B$17:$B$22,"Individuell",Nutzungsprofile!$G$17:$G$22)*Kalender!E273/SUM(Kalender!$E$5:$E$370),0))*Szenarien!$D$23,0)</f>
        <v>0.89</v>
      </c>
      <c r="E4665" s="13" t="n">
        <f aca="false">IFERROR(MIN(C4665,Eingaben!$B$17)*Eingaben!$B$16,0)</f>
        <v>1.938</v>
      </c>
      <c r="F4665" s="13" t="n">
        <f aca="false">IFERROR(E4665*Eingaben!$B$15,0)</f>
        <v>1.7442</v>
      </c>
      <c r="G4665" s="13" t="n">
        <f aca="false">IFERROR(IF(Kalender!A273="",0,J4664*(1-Eingaben!$B$20)),0)</f>
        <v>0.7390278</v>
      </c>
      <c r="H4665" s="13" t="n">
        <f aca="false">MIN(G4665,D4665)</f>
        <v>0.7390278</v>
      </c>
      <c r="I4665" s="13" t="n">
        <f aca="false">IFERROR(MIN(F4665*Eingaben!$B$19,MAX(0,D4665-H4665)),0)</f>
        <v>0.1509722</v>
      </c>
      <c r="J4665" s="13" t="n">
        <f aca="false">IFERROR(MIN(Eingaben!$B$18,MAX(0,F4665-I4665)),0)</f>
        <v>1.5932278</v>
      </c>
      <c r="K4665" s="13" t="n">
        <f aca="false">H4665+I4665</f>
        <v>0.89</v>
      </c>
      <c r="L4665" s="13" t="n">
        <f aca="false">MAX(0,D4665-K4665)</f>
        <v>0</v>
      </c>
      <c r="M4665" s="13" t="n">
        <f aca="false">MAX(0,F4665-I4665-J4665)</f>
        <v>0</v>
      </c>
      <c r="N4665" s="13" t="n">
        <f aca="false">IF(Kalender!A273="",0,J4664-H4665)</f>
        <v>0.0150822</v>
      </c>
    </row>
    <row r="4666" customFormat="false" ht="16.4" hidden="false" customHeight="false" outlineLevel="0" collapsed="false">
      <c r="A4666" s="13" t="str">
        <f aca="false">""</f>
        <v/>
      </c>
      <c r="B4666" s="13" t="n">
        <f aca="false">270</f>
        <v>270</v>
      </c>
      <c r="C4666" s="13" t="n">
        <f aca="false">IF(Szenarien!$H$23="OK",(IFERROR(SUMIF(Nutzungsprofile!$B$6:$B$11,"Schulbetrieb",Nutzungsprofile!$G$6:$G$11)*Kalender!C274/SUM(Kalender!$C$5:$C$370),0)+IFERROR(SUMIF(Nutzungsprofile!$B$6:$B$11,"Halle",Nutzungsprofile!$G$6:$G$11)*Kalender!D274/SUM(Kalender!$D$5:$D$370),0)+IFERROR(SUMIF(Nutzungsprofile!$B$6:$B$11,"Individuell",Nutzungsprofile!$G$6:$G$11)*Kalender!E274/SUM(Kalender!$E$5:$E$370),0))*Szenarien!$E$23,0)</f>
        <v>2.04</v>
      </c>
      <c r="D4666" s="13" t="n">
        <f aca="false">IF(Szenarien!$H$23="OK",(IFERROR(SUMIF(Nutzungsprofile!$B$17:$B$22,"Schulbetrieb",Nutzungsprofile!$G$17:$G$22)*Kalender!C274/SUM(Kalender!$C$5:$C$370),0)+IFERROR(SUMIF(Nutzungsprofile!$B$17:$B$22,"Halle",Nutzungsprofile!$G$17:$G$22)*Kalender!D274/SUM(Kalender!$D$5:$D$370),0)+IFERROR(SUMIF(Nutzungsprofile!$B$17:$B$22,"Individuell",Nutzungsprofile!$G$17:$G$22)*Kalender!E274/SUM(Kalender!$E$5:$E$370),0))*Szenarien!$D$23,0)</f>
        <v>0.89</v>
      </c>
      <c r="E4666" s="13" t="n">
        <f aca="false">IFERROR(MIN(C4666,Eingaben!$B$17)*Eingaben!$B$16,0)</f>
        <v>1.938</v>
      </c>
      <c r="F4666" s="13" t="n">
        <f aca="false">IFERROR(E4666*Eingaben!$B$15,0)</f>
        <v>1.7442</v>
      </c>
      <c r="G4666" s="13" t="n">
        <f aca="false">IFERROR(IF(Kalender!A274="",0,J4665*(1-Eingaben!$B$20)),0)</f>
        <v>1.561363244</v>
      </c>
      <c r="H4666" s="13" t="n">
        <f aca="false">MIN(G4666,D4666)</f>
        <v>0.89</v>
      </c>
      <c r="I4666" s="13" t="n">
        <f aca="false">IFERROR(MIN(F4666*Eingaben!$B$19,MAX(0,D4666-H4666)),0)</f>
        <v>0</v>
      </c>
      <c r="J4666" s="13" t="n">
        <f aca="false">IFERROR(MIN(Eingaben!$B$18,MAX(0,F4666-I4666)),0)</f>
        <v>1.7442</v>
      </c>
      <c r="K4666" s="13" t="n">
        <f aca="false">H4666+I4666</f>
        <v>0.89</v>
      </c>
      <c r="L4666" s="13" t="n">
        <f aca="false">MAX(0,D4666-K4666)</f>
        <v>0</v>
      </c>
      <c r="M4666" s="13" t="n">
        <f aca="false">MAX(0,F4666-I4666-J4666)</f>
        <v>0</v>
      </c>
      <c r="N4666" s="13" t="n">
        <f aca="false">IF(Kalender!A274="",0,J4665-H4666)</f>
        <v>0.7032278</v>
      </c>
    </row>
    <row r="4667" customFormat="false" ht="16.4" hidden="false" customHeight="false" outlineLevel="0" collapsed="false">
      <c r="A4667" s="13" t="str">
        <f aca="false">""</f>
        <v/>
      </c>
      <c r="B4667" s="13" t="n">
        <f aca="false">271</f>
        <v>271</v>
      </c>
      <c r="C4667" s="13" t="n">
        <f aca="false">IF(Szenarien!$H$23="OK",(IFERROR(SUMIF(Nutzungsprofile!$B$6:$B$11,"Schulbetrieb",Nutzungsprofile!$G$6:$G$11)*Kalender!C275/SUM(Kalender!$C$5:$C$370),0)+IFERROR(SUMIF(Nutzungsprofile!$B$6:$B$11,"Halle",Nutzungsprofile!$G$6:$G$11)*Kalender!D275/SUM(Kalender!$D$5:$D$370),0)+IFERROR(SUMIF(Nutzungsprofile!$B$6:$B$11,"Individuell",Nutzungsprofile!$G$6:$G$11)*Kalender!E275/SUM(Kalender!$E$5:$E$370),0))*Szenarien!$E$23,0)</f>
        <v>2.94</v>
      </c>
      <c r="D4667" s="13" t="n">
        <f aca="false">IF(Szenarien!$H$23="OK",(IFERROR(SUMIF(Nutzungsprofile!$B$17:$B$22,"Schulbetrieb",Nutzungsprofile!$G$17:$G$22)*Kalender!C275/SUM(Kalender!$C$5:$C$370),0)+IFERROR(SUMIF(Nutzungsprofile!$B$17:$B$22,"Halle",Nutzungsprofile!$G$17:$G$22)*Kalender!D275/SUM(Kalender!$D$5:$D$370),0)+IFERROR(SUMIF(Nutzungsprofile!$B$17:$B$22,"Individuell",Nutzungsprofile!$G$17:$G$22)*Kalender!E275/SUM(Kalender!$E$5:$E$370),0))*Szenarien!$D$23,0)</f>
        <v>4.94</v>
      </c>
      <c r="E4667" s="13" t="n">
        <f aca="false">IFERROR(MIN(C4667,Eingaben!$B$17)*Eingaben!$B$16,0)</f>
        <v>2.793</v>
      </c>
      <c r="F4667" s="13" t="n">
        <f aca="false">IFERROR(E4667*Eingaben!$B$15,0)</f>
        <v>2.5137</v>
      </c>
      <c r="G4667" s="13" t="n">
        <f aca="false">IFERROR(IF(Kalender!A275="",0,J4666*(1-Eingaben!$B$20)),0)</f>
        <v>1.709316</v>
      </c>
      <c r="H4667" s="13" t="n">
        <f aca="false">MIN(G4667,D4667)</f>
        <v>1.709316</v>
      </c>
      <c r="I4667" s="13" t="n">
        <f aca="false">IFERROR(MIN(F4667*Eingaben!$B$19,MAX(0,D4667-H4667)),0)</f>
        <v>1.75959</v>
      </c>
      <c r="J4667" s="13" t="n">
        <f aca="false">IFERROR(MIN(Eingaben!$B$18,MAX(0,F4667-I4667)),0)</f>
        <v>0.75411</v>
      </c>
      <c r="K4667" s="13" t="n">
        <f aca="false">H4667+I4667</f>
        <v>3.468906</v>
      </c>
      <c r="L4667" s="13" t="n">
        <f aca="false">MAX(0,D4667-K4667)</f>
        <v>1.471094</v>
      </c>
      <c r="M4667" s="13" t="n">
        <f aca="false">MAX(0,F4667-I4667-J4667)</f>
        <v>0</v>
      </c>
      <c r="N4667" s="13" t="n">
        <f aca="false">IF(Kalender!A275="",0,J4666-H4667)</f>
        <v>0.0348840000000001</v>
      </c>
    </row>
    <row r="4668" customFormat="false" ht="16.4" hidden="false" customHeight="false" outlineLevel="0" collapsed="false">
      <c r="A4668" s="13" t="str">
        <f aca="false">""</f>
        <v/>
      </c>
      <c r="B4668" s="13" t="n">
        <f aca="false">272</f>
        <v>272</v>
      </c>
      <c r="C4668" s="13" t="n">
        <f aca="false">IF(Szenarien!$H$23="OK",(IFERROR(SUMIF(Nutzungsprofile!$B$6:$B$11,"Schulbetrieb",Nutzungsprofile!$G$6:$G$11)*Kalender!C276/SUM(Kalender!$C$5:$C$370),0)+IFERROR(SUMIF(Nutzungsprofile!$B$6:$B$11,"Halle",Nutzungsprofile!$G$6:$G$11)*Kalender!D276/SUM(Kalender!$D$5:$D$370),0)+IFERROR(SUMIF(Nutzungsprofile!$B$6:$B$11,"Individuell",Nutzungsprofile!$G$6:$G$11)*Kalender!E276/SUM(Kalender!$E$5:$E$370),0))*Szenarien!$E$23,0)</f>
        <v>2.94</v>
      </c>
      <c r="D4668" s="13" t="n">
        <f aca="false">IF(Szenarien!$H$23="OK",(IFERROR(SUMIF(Nutzungsprofile!$B$17:$B$22,"Schulbetrieb",Nutzungsprofile!$G$17:$G$22)*Kalender!C276/SUM(Kalender!$C$5:$C$370),0)+IFERROR(SUMIF(Nutzungsprofile!$B$17:$B$22,"Halle",Nutzungsprofile!$G$17:$G$22)*Kalender!D276/SUM(Kalender!$D$5:$D$370),0)+IFERROR(SUMIF(Nutzungsprofile!$B$17:$B$22,"Individuell",Nutzungsprofile!$G$17:$G$22)*Kalender!E276/SUM(Kalender!$E$5:$E$370),0))*Szenarien!$D$23,0)</f>
        <v>4.94</v>
      </c>
      <c r="E4668" s="13" t="n">
        <f aca="false">IFERROR(MIN(C4668,Eingaben!$B$17)*Eingaben!$B$16,0)</f>
        <v>2.793</v>
      </c>
      <c r="F4668" s="13" t="n">
        <f aca="false">IFERROR(E4668*Eingaben!$B$15,0)</f>
        <v>2.5137</v>
      </c>
      <c r="G4668" s="13" t="n">
        <f aca="false">IFERROR(IF(Kalender!A276="",0,J4667*(1-Eingaben!$B$20)),0)</f>
        <v>0.7390278</v>
      </c>
      <c r="H4668" s="13" t="n">
        <f aca="false">MIN(G4668,D4668)</f>
        <v>0.7390278</v>
      </c>
      <c r="I4668" s="13" t="n">
        <f aca="false">IFERROR(MIN(F4668*Eingaben!$B$19,MAX(0,D4668-H4668)),0)</f>
        <v>1.75959</v>
      </c>
      <c r="J4668" s="13" t="n">
        <f aca="false">IFERROR(MIN(Eingaben!$B$18,MAX(0,F4668-I4668)),0)</f>
        <v>0.75411</v>
      </c>
      <c r="K4668" s="13" t="n">
        <f aca="false">H4668+I4668</f>
        <v>2.4986178</v>
      </c>
      <c r="L4668" s="13" t="n">
        <f aca="false">MAX(0,D4668-K4668)</f>
        <v>2.4413822</v>
      </c>
      <c r="M4668" s="13" t="n">
        <f aca="false">MAX(0,F4668-I4668-J4668)</f>
        <v>0</v>
      </c>
      <c r="N4668" s="13" t="n">
        <f aca="false">IF(Kalender!A276="",0,J4667-H4668)</f>
        <v>0.0150822</v>
      </c>
    </row>
    <row r="4669" customFormat="false" ht="16.4" hidden="false" customHeight="false" outlineLevel="0" collapsed="false">
      <c r="A4669" s="13" t="str">
        <f aca="false">""</f>
        <v/>
      </c>
      <c r="B4669" s="13" t="n">
        <f aca="false">273</f>
        <v>273</v>
      </c>
      <c r="C4669" s="13" t="n">
        <f aca="false">IF(Szenarien!$H$23="OK",(IFERROR(SUMIF(Nutzungsprofile!$B$6:$B$11,"Schulbetrieb",Nutzungsprofile!$G$6:$G$11)*Kalender!C277/SUM(Kalender!$C$5:$C$370),0)+IFERROR(SUMIF(Nutzungsprofile!$B$6:$B$11,"Halle",Nutzungsprofile!$G$6:$G$11)*Kalender!D277/SUM(Kalender!$D$5:$D$370),0)+IFERROR(SUMIF(Nutzungsprofile!$B$6:$B$11,"Individuell",Nutzungsprofile!$G$6:$G$11)*Kalender!E277/SUM(Kalender!$E$5:$E$370),0))*Szenarien!$E$23,0)</f>
        <v>2.94</v>
      </c>
      <c r="D4669" s="13" t="n">
        <f aca="false">IF(Szenarien!$H$23="OK",(IFERROR(SUMIF(Nutzungsprofile!$B$17:$B$22,"Schulbetrieb",Nutzungsprofile!$G$17:$G$22)*Kalender!C277/SUM(Kalender!$C$5:$C$370),0)+IFERROR(SUMIF(Nutzungsprofile!$B$17:$B$22,"Halle",Nutzungsprofile!$G$17:$G$22)*Kalender!D277/SUM(Kalender!$D$5:$D$370),0)+IFERROR(SUMIF(Nutzungsprofile!$B$17:$B$22,"Individuell",Nutzungsprofile!$G$17:$G$22)*Kalender!E277/SUM(Kalender!$E$5:$E$370),0))*Szenarien!$D$23,0)</f>
        <v>4.94</v>
      </c>
      <c r="E4669" s="13" t="n">
        <f aca="false">IFERROR(MIN(C4669,Eingaben!$B$17)*Eingaben!$B$16,0)</f>
        <v>2.793</v>
      </c>
      <c r="F4669" s="13" t="n">
        <f aca="false">IFERROR(E4669*Eingaben!$B$15,0)</f>
        <v>2.5137</v>
      </c>
      <c r="G4669" s="13" t="n">
        <f aca="false">IFERROR(IF(Kalender!A277="",0,J4668*(1-Eingaben!$B$20)),0)</f>
        <v>0.7390278</v>
      </c>
      <c r="H4669" s="13" t="n">
        <f aca="false">MIN(G4669,D4669)</f>
        <v>0.7390278</v>
      </c>
      <c r="I4669" s="13" t="n">
        <f aca="false">IFERROR(MIN(F4669*Eingaben!$B$19,MAX(0,D4669-H4669)),0)</f>
        <v>1.75959</v>
      </c>
      <c r="J4669" s="13" t="n">
        <f aca="false">IFERROR(MIN(Eingaben!$B$18,MAX(0,F4669-I4669)),0)</f>
        <v>0.75411</v>
      </c>
      <c r="K4669" s="13" t="n">
        <f aca="false">H4669+I4669</f>
        <v>2.4986178</v>
      </c>
      <c r="L4669" s="13" t="n">
        <f aca="false">MAX(0,D4669-K4669)</f>
        <v>2.4413822</v>
      </c>
      <c r="M4669" s="13" t="n">
        <f aca="false">MAX(0,F4669-I4669-J4669)</f>
        <v>0</v>
      </c>
      <c r="N4669" s="13" t="n">
        <f aca="false">IF(Kalender!A277="",0,J4668-H4669)</f>
        <v>0.0150822</v>
      </c>
    </row>
    <row r="4670" customFormat="false" ht="16.4" hidden="false" customHeight="false" outlineLevel="0" collapsed="false">
      <c r="A4670" s="13" t="str">
        <f aca="false">""</f>
        <v/>
      </c>
      <c r="B4670" s="13" t="n">
        <f aca="false">274</f>
        <v>274</v>
      </c>
      <c r="C4670" s="13" t="n">
        <f aca="false">IF(Szenarien!$H$23="OK",(IFERROR(SUMIF(Nutzungsprofile!$B$6:$B$11,"Schulbetrieb",Nutzungsprofile!$G$6:$G$11)*Kalender!C278/SUM(Kalender!$C$5:$C$370),0)+IFERROR(SUMIF(Nutzungsprofile!$B$6:$B$11,"Halle",Nutzungsprofile!$G$6:$G$11)*Kalender!D278/SUM(Kalender!$D$5:$D$370),0)+IFERROR(SUMIF(Nutzungsprofile!$B$6:$B$11,"Individuell",Nutzungsprofile!$G$6:$G$11)*Kalender!E278/SUM(Kalender!$E$5:$E$370),0))*Szenarien!$E$23,0)</f>
        <v>2.94</v>
      </c>
      <c r="D4670" s="13" t="n">
        <f aca="false">IF(Szenarien!$H$23="OK",(IFERROR(SUMIF(Nutzungsprofile!$B$17:$B$22,"Schulbetrieb",Nutzungsprofile!$G$17:$G$22)*Kalender!C278/SUM(Kalender!$C$5:$C$370),0)+IFERROR(SUMIF(Nutzungsprofile!$B$17:$B$22,"Halle",Nutzungsprofile!$G$17:$G$22)*Kalender!D278/SUM(Kalender!$D$5:$D$370),0)+IFERROR(SUMIF(Nutzungsprofile!$B$17:$B$22,"Individuell",Nutzungsprofile!$G$17:$G$22)*Kalender!E278/SUM(Kalender!$E$5:$E$370),0))*Szenarien!$D$23,0)</f>
        <v>4.94</v>
      </c>
      <c r="E4670" s="13" t="n">
        <f aca="false">IFERROR(MIN(C4670,Eingaben!$B$17)*Eingaben!$B$16,0)</f>
        <v>2.793</v>
      </c>
      <c r="F4670" s="13" t="n">
        <f aca="false">IFERROR(E4670*Eingaben!$B$15,0)</f>
        <v>2.5137</v>
      </c>
      <c r="G4670" s="13" t="n">
        <f aca="false">IFERROR(IF(Kalender!A278="",0,J4669*(1-Eingaben!$B$20)),0)</f>
        <v>0.7390278</v>
      </c>
      <c r="H4670" s="13" t="n">
        <f aca="false">MIN(G4670,D4670)</f>
        <v>0.7390278</v>
      </c>
      <c r="I4670" s="13" t="n">
        <f aca="false">IFERROR(MIN(F4670*Eingaben!$B$19,MAX(0,D4670-H4670)),0)</f>
        <v>1.75959</v>
      </c>
      <c r="J4670" s="13" t="n">
        <f aca="false">IFERROR(MIN(Eingaben!$B$18,MAX(0,F4670-I4670)),0)</f>
        <v>0.75411</v>
      </c>
      <c r="K4670" s="13" t="n">
        <f aca="false">H4670+I4670</f>
        <v>2.4986178</v>
      </c>
      <c r="L4670" s="13" t="n">
        <f aca="false">MAX(0,D4670-K4670)</f>
        <v>2.4413822</v>
      </c>
      <c r="M4670" s="13" t="n">
        <f aca="false">MAX(0,F4670-I4670-J4670)</f>
        <v>0</v>
      </c>
      <c r="N4670" s="13" t="n">
        <f aca="false">IF(Kalender!A278="",0,J4669-H4670)</f>
        <v>0.0150822</v>
      </c>
    </row>
    <row r="4671" customFormat="false" ht="16.4" hidden="false" customHeight="false" outlineLevel="0" collapsed="false">
      <c r="A4671" s="13" t="str">
        <f aca="false">""</f>
        <v/>
      </c>
      <c r="B4671" s="13" t="n">
        <f aca="false">275</f>
        <v>275</v>
      </c>
      <c r="C4671" s="13" t="n">
        <f aca="false">IF(Szenarien!$H$23="OK",(IFERROR(SUMIF(Nutzungsprofile!$B$6:$B$11,"Schulbetrieb",Nutzungsprofile!$G$6:$G$11)*Kalender!C279/SUM(Kalender!$C$5:$C$370),0)+IFERROR(SUMIF(Nutzungsprofile!$B$6:$B$11,"Halle",Nutzungsprofile!$G$6:$G$11)*Kalender!D279/SUM(Kalender!$D$5:$D$370),0)+IFERROR(SUMIF(Nutzungsprofile!$B$6:$B$11,"Individuell",Nutzungsprofile!$G$6:$G$11)*Kalender!E279/SUM(Kalender!$E$5:$E$370),0))*Szenarien!$E$23,0)</f>
        <v>2.94</v>
      </c>
      <c r="D4671" s="13" t="n">
        <f aca="false">IF(Szenarien!$H$23="OK",(IFERROR(SUMIF(Nutzungsprofile!$B$17:$B$22,"Schulbetrieb",Nutzungsprofile!$G$17:$G$22)*Kalender!C279/SUM(Kalender!$C$5:$C$370),0)+IFERROR(SUMIF(Nutzungsprofile!$B$17:$B$22,"Halle",Nutzungsprofile!$G$17:$G$22)*Kalender!D279/SUM(Kalender!$D$5:$D$370),0)+IFERROR(SUMIF(Nutzungsprofile!$B$17:$B$22,"Individuell",Nutzungsprofile!$G$17:$G$22)*Kalender!E279/SUM(Kalender!$E$5:$E$370),0))*Szenarien!$D$23,0)</f>
        <v>4.94</v>
      </c>
      <c r="E4671" s="13" t="n">
        <f aca="false">IFERROR(MIN(C4671,Eingaben!$B$17)*Eingaben!$B$16,0)</f>
        <v>2.793</v>
      </c>
      <c r="F4671" s="13" t="n">
        <f aca="false">IFERROR(E4671*Eingaben!$B$15,0)</f>
        <v>2.5137</v>
      </c>
      <c r="G4671" s="13" t="n">
        <f aca="false">IFERROR(IF(Kalender!A279="",0,J4670*(1-Eingaben!$B$20)),0)</f>
        <v>0.7390278</v>
      </c>
      <c r="H4671" s="13" t="n">
        <f aca="false">MIN(G4671,D4671)</f>
        <v>0.7390278</v>
      </c>
      <c r="I4671" s="13" t="n">
        <f aca="false">IFERROR(MIN(F4671*Eingaben!$B$19,MAX(0,D4671-H4671)),0)</f>
        <v>1.75959</v>
      </c>
      <c r="J4671" s="13" t="n">
        <f aca="false">IFERROR(MIN(Eingaben!$B$18,MAX(0,F4671-I4671)),0)</f>
        <v>0.75411</v>
      </c>
      <c r="K4671" s="13" t="n">
        <f aca="false">H4671+I4671</f>
        <v>2.4986178</v>
      </c>
      <c r="L4671" s="13" t="n">
        <f aca="false">MAX(0,D4671-K4671)</f>
        <v>2.4413822</v>
      </c>
      <c r="M4671" s="13" t="n">
        <f aca="false">MAX(0,F4671-I4671-J4671)</f>
        <v>0</v>
      </c>
      <c r="N4671" s="13" t="n">
        <f aca="false">IF(Kalender!A279="",0,J4670-H4671)</f>
        <v>0.0150822</v>
      </c>
    </row>
    <row r="4672" customFormat="false" ht="16.4" hidden="false" customHeight="false" outlineLevel="0" collapsed="false">
      <c r="A4672" s="13" t="str">
        <f aca="false">""</f>
        <v/>
      </c>
      <c r="B4672" s="13" t="n">
        <f aca="false">276</f>
        <v>276</v>
      </c>
      <c r="C4672" s="13" t="n">
        <f aca="false">IF(Szenarien!$H$23="OK",(IFERROR(SUMIF(Nutzungsprofile!$B$6:$B$11,"Schulbetrieb",Nutzungsprofile!$G$6:$G$11)*Kalender!C280/SUM(Kalender!$C$5:$C$370),0)+IFERROR(SUMIF(Nutzungsprofile!$B$6:$B$11,"Halle",Nutzungsprofile!$G$6:$G$11)*Kalender!D280/SUM(Kalender!$D$5:$D$370),0)+IFERROR(SUMIF(Nutzungsprofile!$B$6:$B$11,"Individuell",Nutzungsprofile!$G$6:$G$11)*Kalender!E280/SUM(Kalender!$E$5:$E$370),0))*Szenarien!$E$23,0)</f>
        <v>2.04</v>
      </c>
      <c r="D4672" s="13" t="n">
        <f aca="false">IF(Szenarien!$H$23="OK",(IFERROR(SUMIF(Nutzungsprofile!$B$17:$B$22,"Schulbetrieb",Nutzungsprofile!$G$17:$G$22)*Kalender!C280/SUM(Kalender!$C$5:$C$370),0)+IFERROR(SUMIF(Nutzungsprofile!$B$17:$B$22,"Halle",Nutzungsprofile!$G$17:$G$22)*Kalender!D280/SUM(Kalender!$D$5:$D$370),0)+IFERROR(SUMIF(Nutzungsprofile!$B$17:$B$22,"Individuell",Nutzungsprofile!$G$17:$G$22)*Kalender!E280/SUM(Kalender!$E$5:$E$370),0))*Szenarien!$D$23,0)</f>
        <v>0.89</v>
      </c>
      <c r="E4672" s="13" t="n">
        <f aca="false">IFERROR(MIN(C4672,Eingaben!$B$17)*Eingaben!$B$16,0)</f>
        <v>1.938</v>
      </c>
      <c r="F4672" s="13" t="n">
        <f aca="false">IFERROR(E4672*Eingaben!$B$15,0)</f>
        <v>1.7442</v>
      </c>
      <c r="G4672" s="13" t="n">
        <f aca="false">IFERROR(IF(Kalender!A280="",0,J4671*(1-Eingaben!$B$20)),0)</f>
        <v>0.7390278</v>
      </c>
      <c r="H4672" s="13" t="n">
        <f aca="false">MIN(G4672,D4672)</f>
        <v>0.7390278</v>
      </c>
      <c r="I4672" s="13" t="n">
        <f aca="false">IFERROR(MIN(F4672*Eingaben!$B$19,MAX(0,D4672-H4672)),0)</f>
        <v>0.1509722</v>
      </c>
      <c r="J4672" s="13" t="n">
        <f aca="false">IFERROR(MIN(Eingaben!$B$18,MAX(0,F4672-I4672)),0)</f>
        <v>1.5932278</v>
      </c>
      <c r="K4672" s="13" t="n">
        <f aca="false">H4672+I4672</f>
        <v>0.89</v>
      </c>
      <c r="L4672" s="13" t="n">
        <f aca="false">MAX(0,D4672-K4672)</f>
        <v>0</v>
      </c>
      <c r="M4672" s="13" t="n">
        <f aca="false">MAX(0,F4672-I4672-J4672)</f>
        <v>0</v>
      </c>
      <c r="N4672" s="13" t="n">
        <f aca="false">IF(Kalender!A280="",0,J4671-H4672)</f>
        <v>0.0150822</v>
      </c>
    </row>
    <row r="4673" customFormat="false" ht="16.4" hidden="false" customHeight="false" outlineLevel="0" collapsed="false">
      <c r="A4673" s="13" t="str">
        <f aca="false">""</f>
        <v/>
      </c>
      <c r="B4673" s="13" t="n">
        <f aca="false">277</f>
        <v>277</v>
      </c>
      <c r="C4673" s="13" t="n">
        <f aca="false">IF(Szenarien!$H$23="OK",(IFERROR(SUMIF(Nutzungsprofile!$B$6:$B$11,"Schulbetrieb",Nutzungsprofile!$G$6:$G$11)*Kalender!C281/SUM(Kalender!$C$5:$C$370),0)+IFERROR(SUMIF(Nutzungsprofile!$B$6:$B$11,"Halle",Nutzungsprofile!$G$6:$G$11)*Kalender!D281/SUM(Kalender!$D$5:$D$370),0)+IFERROR(SUMIF(Nutzungsprofile!$B$6:$B$11,"Individuell",Nutzungsprofile!$G$6:$G$11)*Kalender!E281/SUM(Kalender!$E$5:$E$370),0))*Szenarien!$E$23,0)</f>
        <v>2.04</v>
      </c>
      <c r="D4673" s="13" t="n">
        <f aca="false">IF(Szenarien!$H$23="OK",(IFERROR(SUMIF(Nutzungsprofile!$B$17:$B$22,"Schulbetrieb",Nutzungsprofile!$G$17:$G$22)*Kalender!C281/SUM(Kalender!$C$5:$C$370),0)+IFERROR(SUMIF(Nutzungsprofile!$B$17:$B$22,"Halle",Nutzungsprofile!$G$17:$G$22)*Kalender!D281/SUM(Kalender!$D$5:$D$370),0)+IFERROR(SUMIF(Nutzungsprofile!$B$17:$B$22,"Individuell",Nutzungsprofile!$G$17:$G$22)*Kalender!E281/SUM(Kalender!$E$5:$E$370),0))*Szenarien!$D$23,0)</f>
        <v>0.89</v>
      </c>
      <c r="E4673" s="13" t="n">
        <f aca="false">IFERROR(MIN(C4673,Eingaben!$B$17)*Eingaben!$B$16,0)</f>
        <v>1.938</v>
      </c>
      <c r="F4673" s="13" t="n">
        <f aca="false">IFERROR(E4673*Eingaben!$B$15,0)</f>
        <v>1.7442</v>
      </c>
      <c r="G4673" s="13" t="n">
        <f aca="false">IFERROR(IF(Kalender!A281="",0,J4672*(1-Eingaben!$B$20)),0)</f>
        <v>1.561363244</v>
      </c>
      <c r="H4673" s="13" t="n">
        <f aca="false">MIN(G4673,D4673)</f>
        <v>0.89</v>
      </c>
      <c r="I4673" s="13" t="n">
        <f aca="false">IFERROR(MIN(F4673*Eingaben!$B$19,MAX(0,D4673-H4673)),0)</f>
        <v>0</v>
      </c>
      <c r="J4673" s="13" t="n">
        <f aca="false">IFERROR(MIN(Eingaben!$B$18,MAX(0,F4673-I4673)),0)</f>
        <v>1.7442</v>
      </c>
      <c r="K4673" s="13" t="n">
        <f aca="false">H4673+I4673</f>
        <v>0.89</v>
      </c>
      <c r="L4673" s="13" t="n">
        <f aca="false">MAX(0,D4673-K4673)</f>
        <v>0</v>
      </c>
      <c r="M4673" s="13" t="n">
        <f aca="false">MAX(0,F4673-I4673-J4673)</f>
        <v>0</v>
      </c>
      <c r="N4673" s="13" t="n">
        <f aca="false">IF(Kalender!A281="",0,J4672-H4673)</f>
        <v>0.7032278</v>
      </c>
    </row>
    <row r="4674" customFormat="false" ht="16.4" hidden="false" customHeight="false" outlineLevel="0" collapsed="false">
      <c r="A4674" s="13" t="str">
        <f aca="false">""</f>
        <v/>
      </c>
      <c r="B4674" s="13" t="n">
        <f aca="false">278</f>
        <v>278</v>
      </c>
      <c r="C4674" s="13" t="n">
        <f aca="false">IF(Szenarien!$H$23="OK",(IFERROR(SUMIF(Nutzungsprofile!$B$6:$B$11,"Schulbetrieb",Nutzungsprofile!$G$6:$G$11)*Kalender!C282/SUM(Kalender!$C$5:$C$370),0)+IFERROR(SUMIF(Nutzungsprofile!$B$6:$B$11,"Halle",Nutzungsprofile!$G$6:$G$11)*Kalender!D282/SUM(Kalender!$D$5:$D$370),0)+IFERROR(SUMIF(Nutzungsprofile!$B$6:$B$11,"Individuell",Nutzungsprofile!$G$6:$G$11)*Kalender!E282/SUM(Kalender!$E$5:$E$370),0))*Szenarien!$E$23,0)</f>
        <v>2.94</v>
      </c>
      <c r="D4674" s="13" t="n">
        <f aca="false">IF(Szenarien!$H$23="OK",(IFERROR(SUMIF(Nutzungsprofile!$B$17:$B$22,"Schulbetrieb",Nutzungsprofile!$G$17:$G$22)*Kalender!C282/SUM(Kalender!$C$5:$C$370),0)+IFERROR(SUMIF(Nutzungsprofile!$B$17:$B$22,"Halle",Nutzungsprofile!$G$17:$G$22)*Kalender!D282/SUM(Kalender!$D$5:$D$370),0)+IFERROR(SUMIF(Nutzungsprofile!$B$17:$B$22,"Individuell",Nutzungsprofile!$G$17:$G$22)*Kalender!E282/SUM(Kalender!$E$5:$E$370),0))*Szenarien!$D$23,0)</f>
        <v>4.94</v>
      </c>
      <c r="E4674" s="13" t="n">
        <f aca="false">IFERROR(MIN(C4674,Eingaben!$B$17)*Eingaben!$B$16,0)</f>
        <v>2.793</v>
      </c>
      <c r="F4674" s="13" t="n">
        <f aca="false">IFERROR(E4674*Eingaben!$B$15,0)</f>
        <v>2.5137</v>
      </c>
      <c r="G4674" s="13" t="n">
        <f aca="false">IFERROR(IF(Kalender!A282="",0,J4673*(1-Eingaben!$B$20)),0)</f>
        <v>1.709316</v>
      </c>
      <c r="H4674" s="13" t="n">
        <f aca="false">MIN(G4674,D4674)</f>
        <v>1.709316</v>
      </c>
      <c r="I4674" s="13" t="n">
        <f aca="false">IFERROR(MIN(F4674*Eingaben!$B$19,MAX(0,D4674-H4674)),0)</f>
        <v>1.75959</v>
      </c>
      <c r="J4674" s="13" t="n">
        <f aca="false">IFERROR(MIN(Eingaben!$B$18,MAX(0,F4674-I4674)),0)</f>
        <v>0.75411</v>
      </c>
      <c r="K4674" s="13" t="n">
        <f aca="false">H4674+I4674</f>
        <v>3.468906</v>
      </c>
      <c r="L4674" s="13" t="n">
        <f aca="false">MAX(0,D4674-K4674)</f>
        <v>1.471094</v>
      </c>
      <c r="M4674" s="13" t="n">
        <f aca="false">MAX(0,F4674-I4674-J4674)</f>
        <v>0</v>
      </c>
      <c r="N4674" s="13" t="n">
        <f aca="false">IF(Kalender!A282="",0,J4673-H4674)</f>
        <v>0.0348840000000001</v>
      </c>
    </row>
    <row r="4675" customFormat="false" ht="16.4" hidden="false" customHeight="false" outlineLevel="0" collapsed="false">
      <c r="A4675" s="13" t="str">
        <f aca="false">""</f>
        <v/>
      </c>
      <c r="B4675" s="13" t="n">
        <f aca="false">279</f>
        <v>279</v>
      </c>
      <c r="C4675" s="13" t="n">
        <f aca="false">IF(Szenarien!$H$23="OK",(IFERROR(SUMIF(Nutzungsprofile!$B$6:$B$11,"Schulbetrieb",Nutzungsprofile!$G$6:$G$11)*Kalender!C283/SUM(Kalender!$C$5:$C$370),0)+IFERROR(SUMIF(Nutzungsprofile!$B$6:$B$11,"Halle",Nutzungsprofile!$G$6:$G$11)*Kalender!D283/SUM(Kalender!$D$5:$D$370),0)+IFERROR(SUMIF(Nutzungsprofile!$B$6:$B$11,"Individuell",Nutzungsprofile!$G$6:$G$11)*Kalender!E283/SUM(Kalender!$E$5:$E$370),0))*Szenarien!$E$23,0)</f>
        <v>2.94</v>
      </c>
      <c r="D4675" s="13" t="n">
        <f aca="false">IF(Szenarien!$H$23="OK",(IFERROR(SUMIF(Nutzungsprofile!$B$17:$B$22,"Schulbetrieb",Nutzungsprofile!$G$17:$G$22)*Kalender!C283/SUM(Kalender!$C$5:$C$370),0)+IFERROR(SUMIF(Nutzungsprofile!$B$17:$B$22,"Halle",Nutzungsprofile!$G$17:$G$22)*Kalender!D283/SUM(Kalender!$D$5:$D$370),0)+IFERROR(SUMIF(Nutzungsprofile!$B$17:$B$22,"Individuell",Nutzungsprofile!$G$17:$G$22)*Kalender!E283/SUM(Kalender!$E$5:$E$370),0))*Szenarien!$D$23,0)</f>
        <v>4.94</v>
      </c>
      <c r="E4675" s="13" t="n">
        <f aca="false">IFERROR(MIN(C4675,Eingaben!$B$17)*Eingaben!$B$16,0)</f>
        <v>2.793</v>
      </c>
      <c r="F4675" s="13" t="n">
        <f aca="false">IFERROR(E4675*Eingaben!$B$15,0)</f>
        <v>2.5137</v>
      </c>
      <c r="G4675" s="13" t="n">
        <f aca="false">IFERROR(IF(Kalender!A283="",0,J4674*(1-Eingaben!$B$20)),0)</f>
        <v>0.7390278</v>
      </c>
      <c r="H4675" s="13" t="n">
        <f aca="false">MIN(G4675,D4675)</f>
        <v>0.7390278</v>
      </c>
      <c r="I4675" s="13" t="n">
        <f aca="false">IFERROR(MIN(F4675*Eingaben!$B$19,MAX(0,D4675-H4675)),0)</f>
        <v>1.75959</v>
      </c>
      <c r="J4675" s="13" t="n">
        <f aca="false">IFERROR(MIN(Eingaben!$B$18,MAX(0,F4675-I4675)),0)</f>
        <v>0.75411</v>
      </c>
      <c r="K4675" s="13" t="n">
        <f aca="false">H4675+I4675</f>
        <v>2.4986178</v>
      </c>
      <c r="L4675" s="13" t="n">
        <f aca="false">MAX(0,D4675-K4675)</f>
        <v>2.4413822</v>
      </c>
      <c r="M4675" s="13" t="n">
        <f aca="false">MAX(0,F4675-I4675-J4675)</f>
        <v>0</v>
      </c>
      <c r="N4675" s="13" t="n">
        <f aca="false">IF(Kalender!A283="",0,J4674-H4675)</f>
        <v>0.0150822</v>
      </c>
    </row>
    <row r="4676" customFormat="false" ht="16.4" hidden="false" customHeight="false" outlineLevel="0" collapsed="false">
      <c r="A4676" s="13" t="str">
        <f aca="false">""</f>
        <v/>
      </c>
      <c r="B4676" s="13" t="n">
        <f aca="false">280</f>
        <v>280</v>
      </c>
      <c r="C4676" s="13" t="n">
        <f aca="false">IF(Szenarien!$H$23="OK",(IFERROR(SUMIF(Nutzungsprofile!$B$6:$B$11,"Schulbetrieb",Nutzungsprofile!$G$6:$G$11)*Kalender!C284/SUM(Kalender!$C$5:$C$370),0)+IFERROR(SUMIF(Nutzungsprofile!$B$6:$B$11,"Halle",Nutzungsprofile!$G$6:$G$11)*Kalender!D284/SUM(Kalender!$D$5:$D$370),0)+IFERROR(SUMIF(Nutzungsprofile!$B$6:$B$11,"Individuell",Nutzungsprofile!$G$6:$G$11)*Kalender!E284/SUM(Kalender!$E$5:$E$370),0))*Szenarien!$E$23,0)</f>
        <v>2.94</v>
      </c>
      <c r="D4676" s="13" t="n">
        <f aca="false">IF(Szenarien!$H$23="OK",(IFERROR(SUMIF(Nutzungsprofile!$B$17:$B$22,"Schulbetrieb",Nutzungsprofile!$G$17:$G$22)*Kalender!C284/SUM(Kalender!$C$5:$C$370),0)+IFERROR(SUMIF(Nutzungsprofile!$B$17:$B$22,"Halle",Nutzungsprofile!$G$17:$G$22)*Kalender!D284/SUM(Kalender!$D$5:$D$370),0)+IFERROR(SUMIF(Nutzungsprofile!$B$17:$B$22,"Individuell",Nutzungsprofile!$G$17:$G$22)*Kalender!E284/SUM(Kalender!$E$5:$E$370),0))*Szenarien!$D$23,0)</f>
        <v>4.94</v>
      </c>
      <c r="E4676" s="13" t="n">
        <f aca="false">IFERROR(MIN(C4676,Eingaben!$B$17)*Eingaben!$B$16,0)</f>
        <v>2.793</v>
      </c>
      <c r="F4676" s="13" t="n">
        <f aca="false">IFERROR(E4676*Eingaben!$B$15,0)</f>
        <v>2.5137</v>
      </c>
      <c r="G4676" s="13" t="n">
        <f aca="false">IFERROR(IF(Kalender!A284="",0,J4675*(1-Eingaben!$B$20)),0)</f>
        <v>0.7390278</v>
      </c>
      <c r="H4676" s="13" t="n">
        <f aca="false">MIN(G4676,D4676)</f>
        <v>0.7390278</v>
      </c>
      <c r="I4676" s="13" t="n">
        <f aca="false">IFERROR(MIN(F4676*Eingaben!$B$19,MAX(0,D4676-H4676)),0)</f>
        <v>1.75959</v>
      </c>
      <c r="J4676" s="13" t="n">
        <f aca="false">IFERROR(MIN(Eingaben!$B$18,MAX(0,F4676-I4676)),0)</f>
        <v>0.75411</v>
      </c>
      <c r="K4676" s="13" t="n">
        <f aca="false">H4676+I4676</f>
        <v>2.4986178</v>
      </c>
      <c r="L4676" s="13" t="n">
        <f aca="false">MAX(0,D4676-K4676)</f>
        <v>2.4413822</v>
      </c>
      <c r="M4676" s="13" t="n">
        <f aca="false">MAX(0,F4676-I4676-J4676)</f>
        <v>0</v>
      </c>
      <c r="N4676" s="13" t="n">
        <f aca="false">IF(Kalender!A284="",0,J4675-H4676)</f>
        <v>0.0150822</v>
      </c>
    </row>
    <row r="4677" customFormat="false" ht="16.4" hidden="false" customHeight="false" outlineLevel="0" collapsed="false">
      <c r="A4677" s="13" t="str">
        <f aca="false">""</f>
        <v/>
      </c>
      <c r="B4677" s="13" t="n">
        <f aca="false">281</f>
        <v>281</v>
      </c>
      <c r="C4677" s="13" t="n">
        <f aca="false">IF(Szenarien!$H$23="OK",(IFERROR(SUMIF(Nutzungsprofile!$B$6:$B$11,"Schulbetrieb",Nutzungsprofile!$G$6:$G$11)*Kalender!C285/SUM(Kalender!$C$5:$C$370),0)+IFERROR(SUMIF(Nutzungsprofile!$B$6:$B$11,"Halle",Nutzungsprofile!$G$6:$G$11)*Kalender!D285/SUM(Kalender!$D$5:$D$370),0)+IFERROR(SUMIF(Nutzungsprofile!$B$6:$B$11,"Individuell",Nutzungsprofile!$G$6:$G$11)*Kalender!E285/SUM(Kalender!$E$5:$E$370),0))*Szenarien!$E$23,0)</f>
        <v>0.9</v>
      </c>
      <c r="D4677" s="13" t="n">
        <f aca="false">IF(Szenarien!$H$23="OK",(IFERROR(SUMIF(Nutzungsprofile!$B$17:$B$22,"Schulbetrieb",Nutzungsprofile!$G$17:$G$22)*Kalender!C285/SUM(Kalender!$C$5:$C$370),0)+IFERROR(SUMIF(Nutzungsprofile!$B$17:$B$22,"Halle",Nutzungsprofile!$G$17:$G$22)*Kalender!D285/SUM(Kalender!$D$5:$D$370),0)+IFERROR(SUMIF(Nutzungsprofile!$B$17:$B$22,"Individuell",Nutzungsprofile!$G$17:$G$22)*Kalender!E285/SUM(Kalender!$E$5:$E$370),0))*Szenarien!$D$23,0)</f>
        <v>4.05</v>
      </c>
      <c r="E4677" s="13" t="n">
        <f aca="false">IFERROR(MIN(C4677,Eingaben!$B$17)*Eingaben!$B$16,0)</f>
        <v>0.855</v>
      </c>
      <c r="F4677" s="13" t="n">
        <f aca="false">IFERROR(E4677*Eingaben!$B$15,0)</f>
        <v>0.7695</v>
      </c>
      <c r="G4677" s="13" t="n">
        <f aca="false">IFERROR(IF(Kalender!A285="",0,J4676*(1-Eingaben!$B$20)),0)</f>
        <v>0.7390278</v>
      </c>
      <c r="H4677" s="13" t="n">
        <f aca="false">MIN(G4677,D4677)</f>
        <v>0.7390278</v>
      </c>
      <c r="I4677" s="13" t="n">
        <f aca="false">IFERROR(MIN(F4677*Eingaben!$B$19,MAX(0,D4677-H4677)),0)</f>
        <v>0.53865</v>
      </c>
      <c r="J4677" s="13" t="n">
        <f aca="false">IFERROR(MIN(Eingaben!$B$18,MAX(0,F4677-I4677)),0)</f>
        <v>0.23085</v>
      </c>
      <c r="K4677" s="13" t="n">
        <f aca="false">H4677+I4677</f>
        <v>1.2776778</v>
      </c>
      <c r="L4677" s="13" t="n">
        <f aca="false">MAX(0,D4677-K4677)</f>
        <v>2.7723222</v>
      </c>
      <c r="M4677" s="13" t="n">
        <f aca="false">MAX(0,F4677-I4677-J4677)</f>
        <v>0</v>
      </c>
      <c r="N4677" s="13" t="n">
        <f aca="false">IF(Kalender!A285="",0,J4676-H4677)</f>
        <v>0.0150822</v>
      </c>
    </row>
    <row r="4678" customFormat="false" ht="16.4" hidden="false" customHeight="false" outlineLevel="0" collapsed="false">
      <c r="A4678" s="13" t="str">
        <f aca="false">""</f>
        <v/>
      </c>
      <c r="B4678" s="13" t="n">
        <f aca="false">282</f>
        <v>282</v>
      </c>
      <c r="C4678" s="13" t="n">
        <f aca="false">IF(Szenarien!$H$23="OK",(IFERROR(SUMIF(Nutzungsprofile!$B$6:$B$11,"Schulbetrieb",Nutzungsprofile!$G$6:$G$11)*Kalender!C286/SUM(Kalender!$C$5:$C$370),0)+IFERROR(SUMIF(Nutzungsprofile!$B$6:$B$11,"Halle",Nutzungsprofile!$G$6:$G$11)*Kalender!D286/SUM(Kalender!$D$5:$D$370),0)+IFERROR(SUMIF(Nutzungsprofile!$B$6:$B$11,"Individuell",Nutzungsprofile!$G$6:$G$11)*Kalender!E286/SUM(Kalender!$E$5:$E$370),0))*Szenarien!$E$23,0)</f>
        <v>0.9</v>
      </c>
      <c r="D4678" s="13" t="n">
        <f aca="false">IF(Szenarien!$H$23="OK",(IFERROR(SUMIF(Nutzungsprofile!$B$17:$B$22,"Schulbetrieb",Nutzungsprofile!$G$17:$G$22)*Kalender!C286/SUM(Kalender!$C$5:$C$370),0)+IFERROR(SUMIF(Nutzungsprofile!$B$17:$B$22,"Halle",Nutzungsprofile!$G$17:$G$22)*Kalender!D286/SUM(Kalender!$D$5:$D$370),0)+IFERROR(SUMIF(Nutzungsprofile!$B$17:$B$22,"Individuell",Nutzungsprofile!$G$17:$G$22)*Kalender!E286/SUM(Kalender!$E$5:$E$370),0))*Szenarien!$D$23,0)</f>
        <v>4.05</v>
      </c>
      <c r="E4678" s="13" t="n">
        <f aca="false">IFERROR(MIN(C4678,Eingaben!$B$17)*Eingaben!$B$16,0)</f>
        <v>0.855</v>
      </c>
      <c r="F4678" s="13" t="n">
        <f aca="false">IFERROR(E4678*Eingaben!$B$15,0)</f>
        <v>0.7695</v>
      </c>
      <c r="G4678" s="13" t="n">
        <f aca="false">IFERROR(IF(Kalender!A286="",0,J4677*(1-Eingaben!$B$20)),0)</f>
        <v>0.226233</v>
      </c>
      <c r="H4678" s="13" t="n">
        <f aca="false">MIN(G4678,D4678)</f>
        <v>0.226233</v>
      </c>
      <c r="I4678" s="13" t="n">
        <f aca="false">IFERROR(MIN(F4678*Eingaben!$B$19,MAX(0,D4678-H4678)),0)</f>
        <v>0.53865</v>
      </c>
      <c r="J4678" s="13" t="n">
        <f aca="false">IFERROR(MIN(Eingaben!$B$18,MAX(0,F4678-I4678)),0)</f>
        <v>0.23085</v>
      </c>
      <c r="K4678" s="13" t="n">
        <f aca="false">H4678+I4678</f>
        <v>0.764883</v>
      </c>
      <c r="L4678" s="13" t="n">
        <f aca="false">MAX(0,D4678-K4678)</f>
        <v>3.285117</v>
      </c>
      <c r="M4678" s="13" t="n">
        <f aca="false">MAX(0,F4678-I4678-J4678)</f>
        <v>0</v>
      </c>
      <c r="N4678" s="13" t="n">
        <f aca="false">IF(Kalender!A286="",0,J4677-H4678)</f>
        <v>0.00461700000000001</v>
      </c>
    </row>
    <row r="4679" customFormat="false" ht="16.4" hidden="false" customHeight="false" outlineLevel="0" collapsed="false">
      <c r="A4679" s="13" t="str">
        <f aca="false">""</f>
        <v/>
      </c>
      <c r="B4679" s="13" t="n">
        <f aca="false">283</f>
        <v>283</v>
      </c>
      <c r="C4679" s="13" t="n">
        <f aca="false">IF(Szenarien!$H$23="OK",(IFERROR(SUMIF(Nutzungsprofile!$B$6:$B$11,"Schulbetrieb",Nutzungsprofile!$G$6:$G$11)*Kalender!C287/SUM(Kalender!$C$5:$C$370),0)+IFERROR(SUMIF(Nutzungsprofile!$B$6:$B$11,"Halle",Nutzungsprofile!$G$6:$G$11)*Kalender!D287/SUM(Kalender!$D$5:$D$370),0)+IFERROR(SUMIF(Nutzungsprofile!$B$6:$B$11,"Individuell",Nutzungsprofile!$G$6:$G$11)*Kalender!E287/SUM(Kalender!$E$5:$E$370),0))*Szenarien!$E$23,0)</f>
        <v>0</v>
      </c>
      <c r="D4679" s="13" t="n">
        <f aca="false">IF(Szenarien!$H$23="OK",(IFERROR(SUMIF(Nutzungsprofile!$B$17:$B$22,"Schulbetrieb",Nutzungsprofile!$G$17:$G$22)*Kalender!C287/SUM(Kalender!$C$5:$C$370),0)+IFERROR(SUMIF(Nutzungsprofile!$B$17:$B$22,"Halle",Nutzungsprofile!$G$17:$G$22)*Kalender!D287/SUM(Kalender!$D$5:$D$370),0)+IFERROR(SUMIF(Nutzungsprofile!$B$17:$B$22,"Individuell",Nutzungsprofile!$G$17:$G$22)*Kalender!E287/SUM(Kalender!$E$5:$E$370),0))*Szenarien!$D$23,0)</f>
        <v>0</v>
      </c>
      <c r="E4679" s="13" t="n">
        <f aca="false">IFERROR(MIN(C4679,Eingaben!$B$17)*Eingaben!$B$16,0)</f>
        <v>0</v>
      </c>
      <c r="F4679" s="13" t="n">
        <f aca="false">IFERROR(E4679*Eingaben!$B$15,0)</f>
        <v>0</v>
      </c>
      <c r="G4679" s="13" t="n">
        <f aca="false">IFERROR(IF(Kalender!A287="",0,J4678*(1-Eingaben!$B$20)),0)</f>
        <v>0.226233</v>
      </c>
      <c r="H4679" s="13" t="n">
        <f aca="false">MIN(G4679,D4679)</f>
        <v>0</v>
      </c>
      <c r="I4679" s="13" t="n">
        <f aca="false">IFERROR(MIN(F4679*Eingaben!$B$19,MAX(0,D4679-H4679)),0)</f>
        <v>0</v>
      </c>
      <c r="J4679" s="13" t="n">
        <f aca="false">IFERROR(MIN(Eingaben!$B$18,MAX(0,F4679-I4679)),0)</f>
        <v>0</v>
      </c>
      <c r="K4679" s="13" t="n">
        <f aca="false">H4679+I4679</f>
        <v>0</v>
      </c>
      <c r="L4679" s="13" t="n">
        <f aca="false">MAX(0,D4679-K4679)</f>
        <v>0</v>
      </c>
      <c r="M4679" s="13" t="n">
        <f aca="false">MAX(0,F4679-I4679-J4679)</f>
        <v>0</v>
      </c>
      <c r="N4679" s="13" t="n">
        <f aca="false">IF(Kalender!A287="",0,J4678-H4679)</f>
        <v>0.23085</v>
      </c>
    </row>
    <row r="4680" customFormat="false" ht="16.4" hidden="false" customHeight="false" outlineLevel="0" collapsed="false">
      <c r="A4680" s="13" t="str">
        <f aca="false">""</f>
        <v/>
      </c>
      <c r="B4680" s="13" t="n">
        <f aca="false">284</f>
        <v>284</v>
      </c>
      <c r="C4680" s="13" t="n">
        <f aca="false">IF(Szenarien!$H$23="OK",(IFERROR(SUMIF(Nutzungsprofile!$B$6:$B$11,"Schulbetrieb",Nutzungsprofile!$G$6:$G$11)*Kalender!C288/SUM(Kalender!$C$5:$C$370),0)+IFERROR(SUMIF(Nutzungsprofile!$B$6:$B$11,"Halle",Nutzungsprofile!$G$6:$G$11)*Kalender!D288/SUM(Kalender!$D$5:$D$370),0)+IFERROR(SUMIF(Nutzungsprofile!$B$6:$B$11,"Individuell",Nutzungsprofile!$G$6:$G$11)*Kalender!E288/SUM(Kalender!$E$5:$E$370),0))*Szenarien!$E$23,0)</f>
        <v>0</v>
      </c>
      <c r="D4680" s="13" t="n">
        <f aca="false">IF(Szenarien!$H$23="OK",(IFERROR(SUMIF(Nutzungsprofile!$B$17:$B$22,"Schulbetrieb",Nutzungsprofile!$G$17:$G$22)*Kalender!C288/SUM(Kalender!$C$5:$C$370),0)+IFERROR(SUMIF(Nutzungsprofile!$B$17:$B$22,"Halle",Nutzungsprofile!$G$17:$G$22)*Kalender!D288/SUM(Kalender!$D$5:$D$370),0)+IFERROR(SUMIF(Nutzungsprofile!$B$17:$B$22,"Individuell",Nutzungsprofile!$G$17:$G$22)*Kalender!E288/SUM(Kalender!$E$5:$E$370),0))*Szenarien!$D$23,0)</f>
        <v>0</v>
      </c>
      <c r="E4680" s="13" t="n">
        <f aca="false">IFERROR(MIN(C4680,Eingaben!$B$17)*Eingaben!$B$16,0)</f>
        <v>0</v>
      </c>
      <c r="F4680" s="13" t="n">
        <f aca="false">IFERROR(E4680*Eingaben!$B$15,0)</f>
        <v>0</v>
      </c>
      <c r="G4680" s="13" t="n">
        <f aca="false">IFERROR(IF(Kalender!A288="",0,J4679*(1-Eingaben!$B$20)),0)</f>
        <v>0</v>
      </c>
      <c r="H4680" s="13" t="n">
        <f aca="false">MIN(G4680,D4680)</f>
        <v>0</v>
      </c>
      <c r="I4680" s="13" t="n">
        <f aca="false">IFERROR(MIN(F4680*Eingaben!$B$19,MAX(0,D4680-H4680)),0)</f>
        <v>0</v>
      </c>
      <c r="J4680" s="13" t="n">
        <f aca="false">IFERROR(MIN(Eingaben!$B$18,MAX(0,F4680-I4680)),0)</f>
        <v>0</v>
      </c>
      <c r="K4680" s="13" t="n">
        <f aca="false">H4680+I4680</f>
        <v>0</v>
      </c>
      <c r="L4680" s="13" t="n">
        <f aca="false">MAX(0,D4680-K4680)</f>
        <v>0</v>
      </c>
      <c r="M4680" s="13" t="n">
        <f aca="false">MAX(0,F4680-I4680-J4680)</f>
        <v>0</v>
      </c>
      <c r="N4680" s="13" t="n">
        <f aca="false">IF(Kalender!A288="",0,J4679-H4680)</f>
        <v>0</v>
      </c>
    </row>
    <row r="4681" customFormat="false" ht="16.4" hidden="false" customHeight="false" outlineLevel="0" collapsed="false">
      <c r="A4681" s="13" t="str">
        <f aca="false">""</f>
        <v/>
      </c>
      <c r="B4681" s="13" t="n">
        <f aca="false">285</f>
        <v>285</v>
      </c>
      <c r="C4681" s="13" t="n">
        <f aca="false">IF(Szenarien!$H$23="OK",(IFERROR(SUMIF(Nutzungsprofile!$B$6:$B$11,"Schulbetrieb",Nutzungsprofile!$G$6:$G$11)*Kalender!C289/SUM(Kalender!$C$5:$C$370),0)+IFERROR(SUMIF(Nutzungsprofile!$B$6:$B$11,"Halle",Nutzungsprofile!$G$6:$G$11)*Kalender!D289/SUM(Kalender!$D$5:$D$370),0)+IFERROR(SUMIF(Nutzungsprofile!$B$6:$B$11,"Individuell",Nutzungsprofile!$G$6:$G$11)*Kalender!E289/SUM(Kalender!$E$5:$E$370),0))*Szenarien!$E$23,0)</f>
        <v>0.9</v>
      </c>
      <c r="D4681" s="13" t="n">
        <f aca="false">IF(Szenarien!$H$23="OK",(IFERROR(SUMIF(Nutzungsprofile!$B$17:$B$22,"Schulbetrieb",Nutzungsprofile!$G$17:$G$22)*Kalender!C289/SUM(Kalender!$C$5:$C$370),0)+IFERROR(SUMIF(Nutzungsprofile!$B$17:$B$22,"Halle",Nutzungsprofile!$G$17:$G$22)*Kalender!D289/SUM(Kalender!$D$5:$D$370),0)+IFERROR(SUMIF(Nutzungsprofile!$B$17:$B$22,"Individuell",Nutzungsprofile!$G$17:$G$22)*Kalender!E289/SUM(Kalender!$E$5:$E$370),0))*Szenarien!$D$23,0)</f>
        <v>4.05</v>
      </c>
      <c r="E4681" s="13" t="n">
        <f aca="false">IFERROR(MIN(C4681,Eingaben!$B$17)*Eingaben!$B$16,0)</f>
        <v>0.855</v>
      </c>
      <c r="F4681" s="13" t="n">
        <f aca="false">IFERROR(E4681*Eingaben!$B$15,0)</f>
        <v>0.7695</v>
      </c>
      <c r="G4681" s="13" t="n">
        <f aca="false">IFERROR(IF(Kalender!A289="",0,J4680*(1-Eingaben!$B$20)),0)</f>
        <v>0</v>
      </c>
      <c r="H4681" s="13" t="n">
        <f aca="false">MIN(G4681,D4681)</f>
        <v>0</v>
      </c>
      <c r="I4681" s="13" t="n">
        <f aca="false">IFERROR(MIN(F4681*Eingaben!$B$19,MAX(0,D4681-H4681)),0)</f>
        <v>0.53865</v>
      </c>
      <c r="J4681" s="13" t="n">
        <f aca="false">IFERROR(MIN(Eingaben!$B$18,MAX(0,F4681-I4681)),0)</f>
        <v>0.23085</v>
      </c>
      <c r="K4681" s="13" t="n">
        <f aca="false">H4681+I4681</f>
        <v>0.53865</v>
      </c>
      <c r="L4681" s="13" t="n">
        <f aca="false">MAX(0,D4681-K4681)</f>
        <v>3.51135</v>
      </c>
      <c r="M4681" s="13" t="n">
        <f aca="false">MAX(0,F4681-I4681-J4681)</f>
        <v>0</v>
      </c>
      <c r="N4681" s="13" t="n">
        <f aca="false">IF(Kalender!A289="",0,J4680-H4681)</f>
        <v>0</v>
      </c>
    </row>
    <row r="4682" customFormat="false" ht="16.4" hidden="false" customHeight="false" outlineLevel="0" collapsed="false">
      <c r="A4682" s="13" t="str">
        <f aca="false">""</f>
        <v/>
      </c>
      <c r="B4682" s="13" t="n">
        <f aca="false">286</f>
        <v>286</v>
      </c>
      <c r="C4682" s="13" t="n">
        <f aca="false">IF(Szenarien!$H$23="OK",(IFERROR(SUMIF(Nutzungsprofile!$B$6:$B$11,"Schulbetrieb",Nutzungsprofile!$G$6:$G$11)*Kalender!C290/SUM(Kalender!$C$5:$C$370),0)+IFERROR(SUMIF(Nutzungsprofile!$B$6:$B$11,"Halle",Nutzungsprofile!$G$6:$G$11)*Kalender!D290/SUM(Kalender!$D$5:$D$370),0)+IFERROR(SUMIF(Nutzungsprofile!$B$6:$B$11,"Individuell",Nutzungsprofile!$G$6:$G$11)*Kalender!E290/SUM(Kalender!$E$5:$E$370),0))*Szenarien!$E$23,0)</f>
        <v>0.9</v>
      </c>
      <c r="D4682" s="13" t="n">
        <f aca="false">IF(Szenarien!$H$23="OK",(IFERROR(SUMIF(Nutzungsprofile!$B$17:$B$22,"Schulbetrieb",Nutzungsprofile!$G$17:$G$22)*Kalender!C290/SUM(Kalender!$C$5:$C$370),0)+IFERROR(SUMIF(Nutzungsprofile!$B$17:$B$22,"Halle",Nutzungsprofile!$G$17:$G$22)*Kalender!D290/SUM(Kalender!$D$5:$D$370),0)+IFERROR(SUMIF(Nutzungsprofile!$B$17:$B$22,"Individuell",Nutzungsprofile!$G$17:$G$22)*Kalender!E290/SUM(Kalender!$E$5:$E$370),0))*Szenarien!$D$23,0)</f>
        <v>4.05</v>
      </c>
      <c r="E4682" s="13" t="n">
        <f aca="false">IFERROR(MIN(C4682,Eingaben!$B$17)*Eingaben!$B$16,0)</f>
        <v>0.855</v>
      </c>
      <c r="F4682" s="13" t="n">
        <f aca="false">IFERROR(E4682*Eingaben!$B$15,0)</f>
        <v>0.7695</v>
      </c>
      <c r="G4682" s="13" t="n">
        <f aca="false">IFERROR(IF(Kalender!A290="",0,J4681*(1-Eingaben!$B$20)),0)</f>
        <v>0.226233</v>
      </c>
      <c r="H4682" s="13" t="n">
        <f aca="false">MIN(G4682,D4682)</f>
        <v>0.226233</v>
      </c>
      <c r="I4682" s="13" t="n">
        <f aca="false">IFERROR(MIN(F4682*Eingaben!$B$19,MAX(0,D4682-H4682)),0)</f>
        <v>0.53865</v>
      </c>
      <c r="J4682" s="13" t="n">
        <f aca="false">IFERROR(MIN(Eingaben!$B$18,MAX(0,F4682-I4682)),0)</f>
        <v>0.23085</v>
      </c>
      <c r="K4682" s="13" t="n">
        <f aca="false">H4682+I4682</f>
        <v>0.764883</v>
      </c>
      <c r="L4682" s="13" t="n">
        <f aca="false">MAX(0,D4682-K4682)</f>
        <v>3.285117</v>
      </c>
      <c r="M4682" s="13" t="n">
        <f aca="false">MAX(0,F4682-I4682-J4682)</f>
        <v>0</v>
      </c>
      <c r="N4682" s="13" t="n">
        <f aca="false">IF(Kalender!A290="",0,J4681-H4682)</f>
        <v>0.00461700000000001</v>
      </c>
    </row>
    <row r="4683" customFormat="false" ht="16.4" hidden="false" customHeight="false" outlineLevel="0" collapsed="false">
      <c r="A4683" s="13" t="str">
        <f aca="false">""</f>
        <v/>
      </c>
      <c r="B4683" s="13" t="n">
        <f aca="false">287</f>
        <v>287</v>
      </c>
      <c r="C4683" s="13" t="n">
        <f aca="false">IF(Szenarien!$H$23="OK",(IFERROR(SUMIF(Nutzungsprofile!$B$6:$B$11,"Schulbetrieb",Nutzungsprofile!$G$6:$G$11)*Kalender!C291/SUM(Kalender!$C$5:$C$370),0)+IFERROR(SUMIF(Nutzungsprofile!$B$6:$B$11,"Halle",Nutzungsprofile!$G$6:$G$11)*Kalender!D291/SUM(Kalender!$D$5:$D$370),0)+IFERROR(SUMIF(Nutzungsprofile!$B$6:$B$11,"Individuell",Nutzungsprofile!$G$6:$G$11)*Kalender!E291/SUM(Kalender!$E$5:$E$370),0))*Szenarien!$E$23,0)</f>
        <v>0.9</v>
      </c>
      <c r="D4683" s="13" t="n">
        <f aca="false">IF(Szenarien!$H$23="OK",(IFERROR(SUMIF(Nutzungsprofile!$B$17:$B$22,"Schulbetrieb",Nutzungsprofile!$G$17:$G$22)*Kalender!C291/SUM(Kalender!$C$5:$C$370),0)+IFERROR(SUMIF(Nutzungsprofile!$B$17:$B$22,"Halle",Nutzungsprofile!$G$17:$G$22)*Kalender!D291/SUM(Kalender!$D$5:$D$370),0)+IFERROR(SUMIF(Nutzungsprofile!$B$17:$B$22,"Individuell",Nutzungsprofile!$G$17:$G$22)*Kalender!E291/SUM(Kalender!$E$5:$E$370),0))*Szenarien!$D$23,0)</f>
        <v>4.05</v>
      </c>
      <c r="E4683" s="13" t="n">
        <f aca="false">IFERROR(MIN(C4683,Eingaben!$B$17)*Eingaben!$B$16,0)</f>
        <v>0.855</v>
      </c>
      <c r="F4683" s="13" t="n">
        <f aca="false">IFERROR(E4683*Eingaben!$B$15,0)</f>
        <v>0.7695</v>
      </c>
      <c r="G4683" s="13" t="n">
        <f aca="false">IFERROR(IF(Kalender!A291="",0,J4682*(1-Eingaben!$B$20)),0)</f>
        <v>0.226233</v>
      </c>
      <c r="H4683" s="13" t="n">
        <f aca="false">MIN(G4683,D4683)</f>
        <v>0.226233</v>
      </c>
      <c r="I4683" s="13" t="n">
        <f aca="false">IFERROR(MIN(F4683*Eingaben!$B$19,MAX(0,D4683-H4683)),0)</f>
        <v>0.53865</v>
      </c>
      <c r="J4683" s="13" t="n">
        <f aca="false">IFERROR(MIN(Eingaben!$B$18,MAX(0,F4683-I4683)),0)</f>
        <v>0.23085</v>
      </c>
      <c r="K4683" s="13" t="n">
        <f aca="false">H4683+I4683</f>
        <v>0.764883</v>
      </c>
      <c r="L4683" s="13" t="n">
        <f aca="false">MAX(0,D4683-K4683)</f>
        <v>3.285117</v>
      </c>
      <c r="M4683" s="13" t="n">
        <f aca="false">MAX(0,F4683-I4683-J4683)</f>
        <v>0</v>
      </c>
      <c r="N4683" s="13" t="n">
        <f aca="false">IF(Kalender!A291="",0,J4682-H4683)</f>
        <v>0.00461700000000001</v>
      </c>
    </row>
    <row r="4684" customFormat="false" ht="16.4" hidden="false" customHeight="false" outlineLevel="0" collapsed="false">
      <c r="A4684" s="13" t="str">
        <f aca="false">""</f>
        <v/>
      </c>
      <c r="B4684" s="13" t="n">
        <f aca="false">288</f>
        <v>288</v>
      </c>
      <c r="C4684" s="13" t="n">
        <f aca="false">IF(Szenarien!$H$23="OK",(IFERROR(SUMIF(Nutzungsprofile!$B$6:$B$11,"Schulbetrieb",Nutzungsprofile!$G$6:$G$11)*Kalender!C292/SUM(Kalender!$C$5:$C$370),0)+IFERROR(SUMIF(Nutzungsprofile!$B$6:$B$11,"Halle",Nutzungsprofile!$G$6:$G$11)*Kalender!D292/SUM(Kalender!$D$5:$D$370),0)+IFERROR(SUMIF(Nutzungsprofile!$B$6:$B$11,"Individuell",Nutzungsprofile!$G$6:$G$11)*Kalender!E292/SUM(Kalender!$E$5:$E$370),0))*Szenarien!$E$23,0)</f>
        <v>0.9</v>
      </c>
      <c r="D4684" s="13" t="n">
        <f aca="false">IF(Szenarien!$H$23="OK",(IFERROR(SUMIF(Nutzungsprofile!$B$17:$B$22,"Schulbetrieb",Nutzungsprofile!$G$17:$G$22)*Kalender!C292/SUM(Kalender!$C$5:$C$370),0)+IFERROR(SUMIF(Nutzungsprofile!$B$17:$B$22,"Halle",Nutzungsprofile!$G$17:$G$22)*Kalender!D292/SUM(Kalender!$D$5:$D$370),0)+IFERROR(SUMIF(Nutzungsprofile!$B$17:$B$22,"Individuell",Nutzungsprofile!$G$17:$G$22)*Kalender!E292/SUM(Kalender!$E$5:$E$370),0))*Szenarien!$D$23,0)</f>
        <v>4.05</v>
      </c>
      <c r="E4684" s="13" t="n">
        <f aca="false">IFERROR(MIN(C4684,Eingaben!$B$17)*Eingaben!$B$16,0)</f>
        <v>0.855</v>
      </c>
      <c r="F4684" s="13" t="n">
        <f aca="false">IFERROR(E4684*Eingaben!$B$15,0)</f>
        <v>0.7695</v>
      </c>
      <c r="G4684" s="13" t="n">
        <f aca="false">IFERROR(IF(Kalender!A292="",0,J4683*(1-Eingaben!$B$20)),0)</f>
        <v>0.226233</v>
      </c>
      <c r="H4684" s="13" t="n">
        <f aca="false">MIN(G4684,D4684)</f>
        <v>0.226233</v>
      </c>
      <c r="I4684" s="13" t="n">
        <f aca="false">IFERROR(MIN(F4684*Eingaben!$B$19,MAX(0,D4684-H4684)),0)</f>
        <v>0.53865</v>
      </c>
      <c r="J4684" s="13" t="n">
        <f aca="false">IFERROR(MIN(Eingaben!$B$18,MAX(0,F4684-I4684)),0)</f>
        <v>0.23085</v>
      </c>
      <c r="K4684" s="13" t="n">
        <f aca="false">H4684+I4684</f>
        <v>0.764883</v>
      </c>
      <c r="L4684" s="13" t="n">
        <f aca="false">MAX(0,D4684-K4684)</f>
        <v>3.285117</v>
      </c>
      <c r="M4684" s="13" t="n">
        <f aca="false">MAX(0,F4684-I4684-J4684)</f>
        <v>0</v>
      </c>
      <c r="N4684" s="13" t="n">
        <f aca="false">IF(Kalender!A292="",0,J4683-H4684)</f>
        <v>0.00461700000000001</v>
      </c>
    </row>
    <row r="4685" customFormat="false" ht="16.4" hidden="false" customHeight="false" outlineLevel="0" collapsed="false">
      <c r="A4685" s="13" t="str">
        <f aca="false">""</f>
        <v/>
      </c>
      <c r="B4685" s="13" t="n">
        <f aca="false">289</f>
        <v>289</v>
      </c>
      <c r="C4685" s="13" t="n">
        <f aca="false">IF(Szenarien!$H$23="OK",(IFERROR(SUMIF(Nutzungsprofile!$B$6:$B$11,"Schulbetrieb",Nutzungsprofile!$G$6:$G$11)*Kalender!C293/SUM(Kalender!$C$5:$C$370),0)+IFERROR(SUMIF(Nutzungsprofile!$B$6:$B$11,"Halle",Nutzungsprofile!$G$6:$G$11)*Kalender!D293/SUM(Kalender!$D$5:$D$370),0)+IFERROR(SUMIF(Nutzungsprofile!$B$6:$B$11,"Individuell",Nutzungsprofile!$G$6:$G$11)*Kalender!E293/SUM(Kalender!$E$5:$E$370),0))*Szenarien!$E$23,0)</f>
        <v>0.9</v>
      </c>
      <c r="D4685" s="13" t="n">
        <f aca="false">IF(Szenarien!$H$23="OK",(IFERROR(SUMIF(Nutzungsprofile!$B$17:$B$22,"Schulbetrieb",Nutzungsprofile!$G$17:$G$22)*Kalender!C293/SUM(Kalender!$C$5:$C$370),0)+IFERROR(SUMIF(Nutzungsprofile!$B$17:$B$22,"Halle",Nutzungsprofile!$G$17:$G$22)*Kalender!D293/SUM(Kalender!$D$5:$D$370),0)+IFERROR(SUMIF(Nutzungsprofile!$B$17:$B$22,"Individuell",Nutzungsprofile!$G$17:$G$22)*Kalender!E293/SUM(Kalender!$E$5:$E$370),0))*Szenarien!$D$23,0)</f>
        <v>4.05</v>
      </c>
      <c r="E4685" s="13" t="n">
        <f aca="false">IFERROR(MIN(C4685,Eingaben!$B$17)*Eingaben!$B$16,0)</f>
        <v>0.855</v>
      </c>
      <c r="F4685" s="13" t="n">
        <f aca="false">IFERROR(E4685*Eingaben!$B$15,0)</f>
        <v>0.7695</v>
      </c>
      <c r="G4685" s="13" t="n">
        <f aca="false">IFERROR(IF(Kalender!A293="",0,J4684*(1-Eingaben!$B$20)),0)</f>
        <v>0.226233</v>
      </c>
      <c r="H4685" s="13" t="n">
        <f aca="false">MIN(G4685,D4685)</f>
        <v>0.226233</v>
      </c>
      <c r="I4685" s="13" t="n">
        <f aca="false">IFERROR(MIN(F4685*Eingaben!$B$19,MAX(0,D4685-H4685)),0)</f>
        <v>0.53865</v>
      </c>
      <c r="J4685" s="13" t="n">
        <f aca="false">IFERROR(MIN(Eingaben!$B$18,MAX(0,F4685-I4685)),0)</f>
        <v>0.23085</v>
      </c>
      <c r="K4685" s="13" t="n">
        <f aca="false">H4685+I4685</f>
        <v>0.764883</v>
      </c>
      <c r="L4685" s="13" t="n">
        <f aca="false">MAX(0,D4685-K4685)</f>
        <v>3.285117</v>
      </c>
      <c r="M4685" s="13" t="n">
        <f aca="false">MAX(0,F4685-I4685-J4685)</f>
        <v>0</v>
      </c>
      <c r="N4685" s="13" t="n">
        <f aca="false">IF(Kalender!A293="",0,J4684-H4685)</f>
        <v>0.00461700000000001</v>
      </c>
    </row>
    <row r="4686" customFormat="false" ht="16.4" hidden="false" customHeight="false" outlineLevel="0" collapsed="false">
      <c r="A4686" s="13" t="str">
        <f aca="false">""</f>
        <v/>
      </c>
      <c r="B4686" s="13" t="n">
        <f aca="false">290</f>
        <v>290</v>
      </c>
      <c r="C4686" s="13" t="n">
        <f aca="false">IF(Szenarien!$H$23="OK",(IFERROR(SUMIF(Nutzungsprofile!$B$6:$B$11,"Schulbetrieb",Nutzungsprofile!$G$6:$G$11)*Kalender!C294/SUM(Kalender!$C$5:$C$370),0)+IFERROR(SUMIF(Nutzungsprofile!$B$6:$B$11,"Halle",Nutzungsprofile!$G$6:$G$11)*Kalender!D294/SUM(Kalender!$D$5:$D$370),0)+IFERROR(SUMIF(Nutzungsprofile!$B$6:$B$11,"Individuell",Nutzungsprofile!$G$6:$G$11)*Kalender!E294/SUM(Kalender!$E$5:$E$370),0))*Szenarien!$E$23,0)</f>
        <v>0</v>
      </c>
      <c r="D4686" s="13" t="n">
        <f aca="false">IF(Szenarien!$H$23="OK",(IFERROR(SUMIF(Nutzungsprofile!$B$17:$B$22,"Schulbetrieb",Nutzungsprofile!$G$17:$G$22)*Kalender!C294/SUM(Kalender!$C$5:$C$370),0)+IFERROR(SUMIF(Nutzungsprofile!$B$17:$B$22,"Halle",Nutzungsprofile!$G$17:$G$22)*Kalender!D294/SUM(Kalender!$D$5:$D$370),0)+IFERROR(SUMIF(Nutzungsprofile!$B$17:$B$22,"Individuell",Nutzungsprofile!$G$17:$G$22)*Kalender!E294/SUM(Kalender!$E$5:$E$370),0))*Szenarien!$D$23,0)</f>
        <v>0</v>
      </c>
      <c r="E4686" s="13" t="n">
        <f aca="false">IFERROR(MIN(C4686,Eingaben!$B$17)*Eingaben!$B$16,0)</f>
        <v>0</v>
      </c>
      <c r="F4686" s="13" t="n">
        <f aca="false">IFERROR(E4686*Eingaben!$B$15,0)</f>
        <v>0</v>
      </c>
      <c r="G4686" s="13" t="n">
        <f aca="false">IFERROR(IF(Kalender!A294="",0,J4685*(1-Eingaben!$B$20)),0)</f>
        <v>0.226233</v>
      </c>
      <c r="H4686" s="13" t="n">
        <f aca="false">MIN(G4686,D4686)</f>
        <v>0</v>
      </c>
      <c r="I4686" s="13" t="n">
        <f aca="false">IFERROR(MIN(F4686*Eingaben!$B$19,MAX(0,D4686-H4686)),0)</f>
        <v>0</v>
      </c>
      <c r="J4686" s="13" t="n">
        <f aca="false">IFERROR(MIN(Eingaben!$B$18,MAX(0,F4686-I4686)),0)</f>
        <v>0</v>
      </c>
      <c r="K4686" s="13" t="n">
        <f aca="false">H4686+I4686</f>
        <v>0</v>
      </c>
      <c r="L4686" s="13" t="n">
        <f aca="false">MAX(0,D4686-K4686)</f>
        <v>0</v>
      </c>
      <c r="M4686" s="13" t="n">
        <f aca="false">MAX(0,F4686-I4686-J4686)</f>
        <v>0</v>
      </c>
      <c r="N4686" s="13" t="n">
        <f aca="false">IF(Kalender!A294="",0,J4685-H4686)</f>
        <v>0.23085</v>
      </c>
    </row>
    <row r="4687" customFormat="false" ht="16.4" hidden="false" customHeight="false" outlineLevel="0" collapsed="false">
      <c r="A4687" s="13" t="str">
        <f aca="false">""</f>
        <v/>
      </c>
      <c r="B4687" s="13" t="n">
        <f aca="false">291</f>
        <v>291</v>
      </c>
      <c r="C4687" s="13" t="n">
        <f aca="false">IF(Szenarien!$H$23="OK",(IFERROR(SUMIF(Nutzungsprofile!$B$6:$B$11,"Schulbetrieb",Nutzungsprofile!$G$6:$G$11)*Kalender!C295/SUM(Kalender!$C$5:$C$370),0)+IFERROR(SUMIF(Nutzungsprofile!$B$6:$B$11,"Halle",Nutzungsprofile!$G$6:$G$11)*Kalender!D295/SUM(Kalender!$D$5:$D$370),0)+IFERROR(SUMIF(Nutzungsprofile!$B$6:$B$11,"Individuell",Nutzungsprofile!$G$6:$G$11)*Kalender!E295/SUM(Kalender!$E$5:$E$370),0))*Szenarien!$E$23,0)</f>
        <v>0</v>
      </c>
      <c r="D4687" s="13" t="n">
        <f aca="false">IF(Szenarien!$H$23="OK",(IFERROR(SUMIF(Nutzungsprofile!$B$17:$B$22,"Schulbetrieb",Nutzungsprofile!$G$17:$G$22)*Kalender!C295/SUM(Kalender!$C$5:$C$370),0)+IFERROR(SUMIF(Nutzungsprofile!$B$17:$B$22,"Halle",Nutzungsprofile!$G$17:$G$22)*Kalender!D295/SUM(Kalender!$D$5:$D$370),0)+IFERROR(SUMIF(Nutzungsprofile!$B$17:$B$22,"Individuell",Nutzungsprofile!$G$17:$G$22)*Kalender!E295/SUM(Kalender!$E$5:$E$370),0))*Szenarien!$D$23,0)</f>
        <v>0</v>
      </c>
      <c r="E4687" s="13" t="n">
        <f aca="false">IFERROR(MIN(C4687,Eingaben!$B$17)*Eingaben!$B$16,0)</f>
        <v>0</v>
      </c>
      <c r="F4687" s="13" t="n">
        <f aca="false">IFERROR(E4687*Eingaben!$B$15,0)</f>
        <v>0</v>
      </c>
      <c r="G4687" s="13" t="n">
        <f aca="false">IFERROR(IF(Kalender!A295="",0,J4686*(1-Eingaben!$B$20)),0)</f>
        <v>0</v>
      </c>
      <c r="H4687" s="13" t="n">
        <f aca="false">MIN(G4687,D4687)</f>
        <v>0</v>
      </c>
      <c r="I4687" s="13" t="n">
        <f aca="false">IFERROR(MIN(F4687*Eingaben!$B$19,MAX(0,D4687-H4687)),0)</f>
        <v>0</v>
      </c>
      <c r="J4687" s="13" t="n">
        <f aca="false">IFERROR(MIN(Eingaben!$B$18,MAX(0,F4687-I4687)),0)</f>
        <v>0</v>
      </c>
      <c r="K4687" s="13" t="n">
        <f aca="false">H4687+I4687</f>
        <v>0</v>
      </c>
      <c r="L4687" s="13" t="n">
        <f aca="false">MAX(0,D4687-K4687)</f>
        <v>0</v>
      </c>
      <c r="M4687" s="13" t="n">
        <f aca="false">MAX(0,F4687-I4687-J4687)</f>
        <v>0</v>
      </c>
      <c r="N4687" s="13" t="n">
        <f aca="false">IF(Kalender!A295="",0,J4686-H4687)</f>
        <v>0</v>
      </c>
    </row>
    <row r="4688" customFormat="false" ht="16.4" hidden="false" customHeight="false" outlineLevel="0" collapsed="false">
      <c r="A4688" s="13" t="str">
        <f aca="false">""</f>
        <v/>
      </c>
      <c r="B4688" s="13" t="n">
        <f aca="false">292</f>
        <v>292</v>
      </c>
      <c r="C4688" s="13" t="n">
        <f aca="false">IF(Szenarien!$H$23="OK",(IFERROR(SUMIF(Nutzungsprofile!$B$6:$B$11,"Schulbetrieb",Nutzungsprofile!$G$6:$G$11)*Kalender!C296/SUM(Kalender!$C$5:$C$370),0)+IFERROR(SUMIF(Nutzungsprofile!$B$6:$B$11,"Halle",Nutzungsprofile!$G$6:$G$11)*Kalender!D296/SUM(Kalender!$D$5:$D$370),0)+IFERROR(SUMIF(Nutzungsprofile!$B$6:$B$11,"Individuell",Nutzungsprofile!$G$6:$G$11)*Kalender!E296/SUM(Kalender!$E$5:$E$370),0))*Szenarien!$E$23,0)</f>
        <v>0.9</v>
      </c>
      <c r="D4688" s="13" t="n">
        <f aca="false">IF(Szenarien!$H$23="OK",(IFERROR(SUMIF(Nutzungsprofile!$B$17:$B$22,"Schulbetrieb",Nutzungsprofile!$G$17:$G$22)*Kalender!C296/SUM(Kalender!$C$5:$C$370),0)+IFERROR(SUMIF(Nutzungsprofile!$B$17:$B$22,"Halle",Nutzungsprofile!$G$17:$G$22)*Kalender!D296/SUM(Kalender!$D$5:$D$370),0)+IFERROR(SUMIF(Nutzungsprofile!$B$17:$B$22,"Individuell",Nutzungsprofile!$G$17:$G$22)*Kalender!E296/SUM(Kalender!$E$5:$E$370),0))*Szenarien!$D$23,0)</f>
        <v>4.05</v>
      </c>
      <c r="E4688" s="13" t="n">
        <f aca="false">IFERROR(MIN(C4688,Eingaben!$B$17)*Eingaben!$B$16,0)</f>
        <v>0.855</v>
      </c>
      <c r="F4688" s="13" t="n">
        <f aca="false">IFERROR(E4688*Eingaben!$B$15,0)</f>
        <v>0.7695</v>
      </c>
      <c r="G4688" s="13" t="n">
        <f aca="false">IFERROR(IF(Kalender!A296="",0,J4687*(1-Eingaben!$B$20)),0)</f>
        <v>0</v>
      </c>
      <c r="H4688" s="13" t="n">
        <f aca="false">MIN(G4688,D4688)</f>
        <v>0</v>
      </c>
      <c r="I4688" s="13" t="n">
        <f aca="false">IFERROR(MIN(F4688*Eingaben!$B$19,MAX(0,D4688-H4688)),0)</f>
        <v>0.53865</v>
      </c>
      <c r="J4688" s="13" t="n">
        <f aca="false">IFERROR(MIN(Eingaben!$B$18,MAX(0,F4688-I4688)),0)</f>
        <v>0.23085</v>
      </c>
      <c r="K4688" s="13" t="n">
        <f aca="false">H4688+I4688</f>
        <v>0.53865</v>
      </c>
      <c r="L4688" s="13" t="n">
        <f aca="false">MAX(0,D4688-K4688)</f>
        <v>3.51135</v>
      </c>
      <c r="M4688" s="13" t="n">
        <f aca="false">MAX(0,F4688-I4688-J4688)</f>
        <v>0</v>
      </c>
      <c r="N4688" s="13" t="n">
        <f aca="false">IF(Kalender!A296="",0,J4687-H4688)</f>
        <v>0</v>
      </c>
    </row>
    <row r="4689" customFormat="false" ht="16.4" hidden="false" customHeight="false" outlineLevel="0" collapsed="false">
      <c r="A4689" s="13" t="str">
        <f aca="false">""</f>
        <v/>
      </c>
      <c r="B4689" s="13" t="n">
        <f aca="false">293</f>
        <v>293</v>
      </c>
      <c r="C4689" s="13" t="n">
        <f aca="false">IF(Szenarien!$H$23="OK",(IFERROR(SUMIF(Nutzungsprofile!$B$6:$B$11,"Schulbetrieb",Nutzungsprofile!$G$6:$G$11)*Kalender!C297/SUM(Kalender!$C$5:$C$370),0)+IFERROR(SUMIF(Nutzungsprofile!$B$6:$B$11,"Halle",Nutzungsprofile!$G$6:$G$11)*Kalender!D297/SUM(Kalender!$D$5:$D$370),0)+IFERROR(SUMIF(Nutzungsprofile!$B$6:$B$11,"Individuell",Nutzungsprofile!$G$6:$G$11)*Kalender!E297/SUM(Kalender!$E$5:$E$370),0))*Szenarien!$E$23,0)</f>
        <v>0.9</v>
      </c>
      <c r="D4689" s="13" t="n">
        <f aca="false">IF(Szenarien!$H$23="OK",(IFERROR(SUMIF(Nutzungsprofile!$B$17:$B$22,"Schulbetrieb",Nutzungsprofile!$G$17:$G$22)*Kalender!C297/SUM(Kalender!$C$5:$C$370),0)+IFERROR(SUMIF(Nutzungsprofile!$B$17:$B$22,"Halle",Nutzungsprofile!$G$17:$G$22)*Kalender!D297/SUM(Kalender!$D$5:$D$370),0)+IFERROR(SUMIF(Nutzungsprofile!$B$17:$B$22,"Individuell",Nutzungsprofile!$G$17:$G$22)*Kalender!E297/SUM(Kalender!$E$5:$E$370),0))*Szenarien!$D$23,0)</f>
        <v>4.05</v>
      </c>
      <c r="E4689" s="13" t="n">
        <f aca="false">IFERROR(MIN(C4689,Eingaben!$B$17)*Eingaben!$B$16,0)</f>
        <v>0.855</v>
      </c>
      <c r="F4689" s="13" t="n">
        <f aca="false">IFERROR(E4689*Eingaben!$B$15,0)</f>
        <v>0.7695</v>
      </c>
      <c r="G4689" s="13" t="n">
        <f aca="false">IFERROR(IF(Kalender!A297="",0,J4688*(1-Eingaben!$B$20)),0)</f>
        <v>0.226233</v>
      </c>
      <c r="H4689" s="13" t="n">
        <f aca="false">MIN(G4689,D4689)</f>
        <v>0.226233</v>
      </c>
      <c r="I4689" s="13" t="n">
        <f aca="false">IFERROR(MIN(F4689*Eingaben!$B$19,MAX(0,D4689-H4689)),0)</f>
        <v>0.53865</v>
      </c>
      <c r="J4689" s="13" t="n">
        <f aca="false">IFERROR(MIN(Eingaben!$B$18,MAX(0,F4689-I4689)),0)</f>
        <v>0.23085</v>
      </c>
      <c r="K4689" s="13" t="n">
        <f aca="false">H4689+I4689</f>
        <v>0.764883</v>
      </c>
      <c r="L4689" s="13" t="n">
        <f aca="false">MAX(0,D4689-K4689)</f>
        <v>3.285117</v>
      </c>
      <c r="M4689" s="13" t="n">
        <f aca="false">MAX(0,F4689-I4689-J4689)</f>
        <v>0</v>
      </c>
      <c r="N4689" s="13" t="n">
        <f aca="false">IF(Kalender!A297="",0,J4688-H4689)</f>
        <v>0.00461700000000001</v>
      </c>
    </row>
    <row r="4690" customFormat="false" ht="16.4" hidden="false" customHeight="false" outlineLevel="0" collapsed="false">
      <c r="A4690" s="13" t="str">
        <f aca="false">""</f>
        <v/>
      </c>
      <c r="B4690" s="13" t="n">
        <f aca="false">294</f>
        <v>294</v>
      </c>
      <c r="C4690" s="13" t="n">
        <f aca="false">IF(Szenarien!$H$23="OK",(IFERROR(SUMIF(Nutzungsprofile!$B$6:$B$11,"Schulbetrieb",Nutzungsprofile!$G$6:$G$11)*Kalender!C298/SUM(Kalender!$C$5:$C$370),0)+IFERROR(SUMIF(Nutzungsprofile!$B$6:$B$11,"Halle",Nutzungsprofile!$G$6:$G$11)*Kalender!D298/SUM(Kalender!$D$5:$D$370),0)+IFERROR(SUMIF(Nutzungsprofile!$B$6:$B$11,"Individuell",Nutzungsprofile!$G$6:$G$11)*Kalender!E298/SUM(Kalender!$E$5:$E$370),0))*Szenarien!$E$23,0)</f>
        <v>0.9</v>
      </c>
      <c r="D4690" s="13" t="n">
        <f aca="false">IF(Szenarien!$H$23="OK",(IFERROR(SUMIF(Nutzungsprofile!$B$17:$B$22,"Schulbetrieb",Nutzungsprofile!$G$17:$G$22)*Kalender!C298/SUM(Kalender!$C$5:$C$370),0)+IFERROR(SUMIF(Nutzungsprofile!$B$17:$B$22,"Halle",Nutzungsprofile!$G$17:$G$22)*Kalender!D298/SUM(Kalender!$D$5:$D$370),0)+IFERROR(SUMIF(Nutzungsprofile!$B$17:$B$22,"Individuell",Nutzungsprofile!$G$17:$G$22)*Kalender!E298/SUM(Kalender!$E$5:$E$370),0))*Szenarien!$D$23,0)</f>
        <v>4.05</v>
      </c>
      <c r="E4690" s="13" t="n">
        <f aca="false">IFERROR(MIN(C4690,Eingaben!$B$17)*Eingaben!$B$16,0)</f>
        <v>0.855</v>
      </c>
      <c r="F4690" s="13" t="n">
        <f aca="false">IFERROR(E4690*Eingaben!$B$15,0)</f>
        <v>0.7695</v>
      </c>
      <c r="G4690" s="13" t="n">
        <f aca="false">IFERROR(IF(Kalender!A298="",0,J4689*(1-Eingaben!$B$20)),0)</f>
        <v>0.226233</v>
      </c>
      <c r="H4690" s="13" t="n">
        <f aca="false">MIN(G4690,D4690)</f>
        <v>0.226233</v>
      </c>
      <c r="I4690" s="13" t="n">
        <f aca="false">IFERROR(MIN(F4690*Eingaben!$B$19,MAX(0,D4690-H4690)),0)</f>
        <v>0.53865</v>
      </c>
      <c r="J4690" s="13" t="n">
        <f aca="false">IFERROR(MIN(Eingaben!$B$18,MAX(0,F4690-I4690)),0)</f>
        <v>0.23085</v>
      </c>
      <c r="K4690" s="13" t="n">
        <f aca="false">H4690+I4690</f>
        <v>0.764883</v>
      </c>
      <c r="L4690" s="13" t="n">
        <f aca="false">MAX(0,D4690-K4690)</f>
        <v>3.285117</v>
      </c>
      <c r="M4690" s="13" t="n">
        <f aca="false">MAX(0,F4690-I4690-J4690)</f>
        <v>0</v>
      </c>
      <c r="N4690" s="13" t="n">
        <f aca="false">IF(Kalender!A298="",0,J4689-H4690)</f>
        <v>0.00461700000000001</v>
      </c>
    </row>
    <row r="4691" customFormat="false" ht="16.4" hidden="false" customHeight="false" outlineLevel="0" collapsed="false">
      <c r="A4691" s="13" t="str">
        <f aca="false">""</f>
        <v/>
      </c>
      <c r="B4691" s="13" t="n">
        <f aca="false">295</f>
        <v>295</v>
      </c>
      <c r="C4691" s="13" t="n">
        <f aca="false">IF(Szenarien!$H$23="OK",(IFERROR(SUMIF(Nutzungsprofile!$B$6:$B$11,"Schulbetrieb",Nutzungsprofile!$G$6:$G$11)*Kalender!C299/SUM(Kalender!$C$5:$C$370),0)+IFERROR(SUMIF(Nutzungsprofile!$B$6:$B$11,"Halle",Nutzungsprofile!$G$6:$G$11)*Kalender!D299/SUM(Kalender!$D$5:$D$370),0)+IFERROR(SUMIF(Nutzungsprofile!$B$6:$B$11,"Individuell",Nutzungsprofile!$G$6:$G$11)*Kalender!E299/SUM(Kalender!$E$5:$E$370),0))*Szenarien!$E$23,0)</f>
        <v>0.9</v>
      </c>
      <c r="D4691" s="13" t="n">
        <f aca="false">IF(Szenarien!$H$23="OK",(IFERROR(SUMIF(Nutzungsprofile!$B$17:$B$22,"Schulbetrieb",Nutzungsprofile!$G$17:$G$22)*Kalender!C299/SUM(Kalender!$C$5:$C$370),0)+IFERROR(SUMIF(Nutzungsprofile!$B$17:$B$22,"Halle",Nutzungsprofile!$G$17:$G$22)*Kalender!D299/SUM(Kalender!$D$5:$D$370),0)+IFERROR(SUMIF(Nutzungsprofile!$B$17:$B$22,"Individuell",Nutzungsprofile!$G$17:$G$22)*Kalender!E299/SUM(Kalender!$E$5:$E$370),0))*Szenarien!$D$23,0)</f>
        <v>4.05</v>
      </c>
      <c r="E4691" s="13" t="n">
        <f aca="false">IFERROR(MIN(C4691,Eingaben!$B$17)*Eingaben!$B$16,0)</f>
        <v>0.855</v>
      </c>
      <c r="F4691" s="13" t="n">
        <f aca="false">IFERROR(E4691*Eingaben!$B$15,0)</f>
        <v>0.7695</v>
      </c>
      <c r="G4691" s="13" t="n">
        <f aca="false">IFERROR(IF(Kalender!A299="",0,J4690*(1-Eingaben!$B$20)),0)</f>
        <v>0.226233</v>
      </c>
      <c r="H4691" s="13" t="n">
        <f aca="false">MIN(G4691,D4691)</f>
        <v>0.226233</v>
      </c>
      <c r="I4691" s="13" t="n">
        <f aca="false">IFERROR(MIN(F4691*Eingaben!$B$19,MAX(0,D4691-H4691)),0)</f>
        <v>0.53865</v>
      </c>
      <c r="J4691" s="13" t="n">
        <f aca="false">IFERROR(MIN(Eingaben!$B$18,MAX(0,F4691-I4691)),0)</f>
        <v>0.23085</v>
      </c>
      <c r="K4691" s="13" t="n">
        <f aca="false">H4691+I4691</f>
        <v>0.764883</v>
      </c>
      <c r="L4691" s="13" t="n">
        <f aca="false">MAX(0,D4691-K4691)</f>
        <v>3.285117</v>
      </c>
      <c r="M4691" s="13" t="n">
        <f aca="false">MAX(0,F4691-I4691-J4691)</f>
        <v>0</v>
      </c>
      <c r="N4691" s="13" t="n">
        <f aca="false">IF(Kalender!A299="",0,J4690-H4691)</f>
        <v>0.00461700000000001</v>
      </c>
    </row>
    <row r="4692" customFormat="false" ht="16.4" hidden="false" customHeight="false" outlineLevel="0" collapsed="false">
      <c r="A4692" s="13" t="str">
        <f aca="false">""</f>
        <v/>
      </c>
      <c r="B4692" s="13" t="n">
        <f aca="false">296</f>
        <v>296</v>
      </c>
      <c r="C4692" s="13" t="n">
        <f aca="false">IF(Szenarien!$H$23="OK",(IFERROR(SUMIF(Nutzungsprofile!$B$6:$B$11,"Schulbetrieb",Nutzungsprofile!$G$6:$G$11)*Kalender!C300/SUM(Kalender!$C$5:$C$370),0)+IFERROR(SUMIF(Nutzungsprofile!$B$6:$B$11,"Halle",Nutzungsprofile!$G$6:$G$11)*Kalender!D300/SUM(Kalender!$D$5:$D$370),0)+IFERROR(SUMIF(Nutzungsprofile!$B$6:$B$11,"Individuell",Nutzungsprofile!$G$6:$G$11)*Kalender!E300/SUM(Kalender!$E$5:$E$370),0))*Szenarien!$E$23,0)</f>
        <v>0.9</v>
      </c>
      <c r="D4692" s="13" t="n">
        <f aca="false">IF(Szenarien!$H$23="OK",(IFERROR(SUMIF(Nutzungsprofile!$B$17:$B$22,"Schulbetrieb",Nutzungsprofile!$G$17:$G$22)*Kalender!C300/SUM(Kalender!$C$5:$C$370),0)+IFERROR(SUMIF(Nutzungsprofile!$B$17:$B$22,"Halle",Nutzungsprofile!$G$17:$G$22)*Kalender!D300/SUM(Kalender!$D$5:$D$370),0)+IFERROR(SUMIF(Nutzungsprofile!$B$17:$B$22,"Individuell",Nutzungsprofile!$G$17:$G$22)*Kalender!E300/SUM(Kalender!$E$5:$E$370),0))*Szenarien!$D$23,0)</f>
        <v>4.05</v>
      </c>
      <c r="E4692" s="13" t="n">
        <f aca="false">IFERROR(MIN(C4692,Eingaben!$B$17)*Eingaben!$B$16,0)</f>
        <v>0.855</v>
      </c>
      <c r="F4692" s="13" t="n">
        <f aca="false">IFERROR(E4692*Eingaben!$B$15,0)</f>
        <v>0.7695</v>
      </c>
      <c r="G4692" s="13" t="n">
        <f aca="false">IFERROR(IF(Kalender!A300="",0,J4691*(1-Eingaben!$B$20)),0)</f>
        <v>0.226233</v>
      </c>
      <c r="H4692" s="13" t="n">
        <f aca="false">MIN(G4692,D4692)</f>
        <v>0.226233</v>
      </c>
      <c r="I4692" s="13" t="n">
        <f aca="false">IFERROR(MIN(F4692*Eingaben!$B$19,MAX(0,D4692-H4692)),0)</f>
        <v>0.53865</v>
      </c>
      <c r="J4692" s="13" t="n">
        <f aca="false">IFERROR(MIN(Eingaben!$B$18,MAX(0,F4692-I4692)),0)</f>
        <v>0.23085</v>
      </c>
      <c r="K4692" s="13" t="n">
        <f aca="false">H4692+I4692</f>
        <v>0.764883</v>
      </c>
      <c r="L4692" s="13" t="n">
        <f aca="false">MAX(0,D4692-K4692)</f>
        <v>3.285117</v>
      </c>
      <c r="M4692" s="13" t="n">
        <f aca="false">MAX(0,F4692-I4692-J4692)</f>
        <v>0</v>
      </c>
      <c r="N4692" s="13" t="n">
        <f aca="false">IF(Kalender!A300="",0,J4691-H4692)</f>
        <v>0.00461700000000001</v>
      </c>
    </row>
    <row r="4693" customFormat="false" ht="16.4" hidden="false" customHeight="false" outlineLevel="0" collapsed="false">
      <c r="A4693" s="13" t="str">
        <f aca="false">""</f>
        <v/>
      </c>
      <c r="B4693" s="13" t="n">
        <f aca="false">297</f>
        <v>297</v>
      </c>
      <c r="C4693" s="13" t="n">
        <f aca="false">IF(Szenarien!$H$23="OK",(IFERROR(SUMIF(Nutzungsprofile!$B$6:$B$11,"Schulbetrieb",Nutzungsprofile!$G$6:$G$11)*Kalender!C301/SUM(Kalender!$C$5:$C$370),0)+IFERROR(SUMIF(Nutzungsprofile!$B$6:$B$11,"Halle",Nutzungsprofile!$G$6:$G$11)*Kalender!D301/SUM(Kalender!$D$5:$D$370),0)+IFERROR(SUMIF(Nutzungsprofile!$B$6:$B$11,"Individuell",Nutzungsprofile!$G$6:$G$11)*Kalender!E301/SUM(Kalender!$E$5:$E$370),0))*Szenarien!$E$23,0)</f>
        <v>0</v>
      </c>
      <c r="D4693" s="13" t="n">
        <f aca="false">IF(Szenarien!$H$23="OK",(IFERROR(SUMIF(Nutzungsprofile!$B$17:$B$22,"Schulbetrieb",Nutzungsprofile!$G$17:$G$22)*Kalender!C301/SUM(Kalender!$C$5:$C$370),0)+IFERROR(SUMIF(Nutzungsprofile!$B$17:$B$22,"Halle",Nutzungsprofile!$G$17:$G$22)*Kalender!D301/SUM(Kalender!$D$5:$D$370),0)+IFERROR(SUMIF(Nutzungsprofile!$B$17:$B$22,"Individuell",Nutzungsprofile!$G$17:$G$22)*Kalender!E301/SUM(Kalender!$E$5:$E$370),0))*Szenarien!$D$23,0)</f>
        <v>0</v>
      </c>
      <c r="E4693" s="13" t="n">
        <f aca="false">IFERROR(MIN(C4693,Eingaben!$B$17)*Eingaben!$B$16,0)</f>
        <v>0</v>
      </c>
      <c r="F4693" s="13" t="n">
        <f aca="false">IFERROR(E4693*Eingaben!$B$15,0)</f>
        <v>0</v>
      </c>
      <c r="G4693" s="13" t="n">
        <f aca="false">IFERROR(IF(Kalender!A301="",0,J4692*(1-Eingaben!$B$20)),0)</f>
        <v>0.226233</v>
      </c>
      <c r="H4693" s="13" t="n">
        <f aca="false">MIN(G4693,D4693)</f>
        <v>0</v>
      </c>
      <c r="I4693" s="13" t="n">
        <f aca="false">IFERROR(MIN(F4693*Eingaben!$B$19,MAX(0,D4693-H4693)),0)</f>
        <v>0</v>
      </c>
      <c r="J4693" s="13" t="n">
        <f aca="false">IFERROR(MIN(Eingaben!$B$18,MAX(0,F4693-I4693)),0)</f>
        <v>0</v>
      </c>
      <c r="K4693" s="13" t="n">
        <f aca="false">H4693+I4693</f>
        <v>0</v>
      </c>
      <c r="L4693" s="13" t="n">
        <f aca="false">MAX(0,D4693-K4693)</f>
        <v>0</v>
      </c>
      <c r="M4693" s="13" t="n">
        <f aca="false">MAX(0,F4693-I4693-J4693)</f>
        <v>0</v>
      </c>
      <c r="N4693" s="13" t="n">
        <f aca="false">IF(Kalender!A301="",0,J4692-H4693)</f>
        <v>0.23085</v>
      </c>
    </row>
    <row r="4694" customFormat="false" ht="16.4" hidden="false" customHeight="false" outlineLevel="0" collapsed="false">
      <c r="A4694" s="13" t="str">
        <f aca="false">""</f>
        <v/>
      </c>
      <c r="B4694" s="13" t="n">
        <f aca="false">298</f>
        <v>298</v>
      </c>
      <c r="C4694" s="13" t="n">
        <f aca="false">IF(Szenarien!$H$23="OK",(IFERROR(SUMIF(Nutzungsprofile!$B$6:$B$11,"Schulbetrieb",Nutzungsprofile!$G$6:$G$11)*Kalender!C302/SUM(Kalender!$C$5:$C$370),0)+IFERROR(SUMIF(Nutzungsprofile!$B$6:$B$11,"Halle",Nutzungsprofile!$G$6:$G$11)*Kalender!D302/SUM(Kalender!$D$5:$D$370),0)+IFERROR(SUMIF(Nutzungsprofile!$B$6:$B$11,"Individuell",Nutzungsprofile!$G$6:$G$11)*Kalender!E302/SUM(Kalender!$E$5:$E$370),0))*Szenarien!$E$23,0)</f>
        <v>0</v>
      </c>
      <c r="D4694" s="13" t="n">
        <f aca="false">IF(Szenarien!$H$23="OK",(IFERROR(SUMIF(Nutzungsprofile!$B$17:$B$22,"Schulbetrieb",Nutzungsprofile!$G$17:$G$22)*Kalender!C302/SUM(Kalender!$C$5:$C$370),0)+IFERROR(SUMIF(Nutzungsprofile!$B$17:$B$22,"Halle",Nutzungsprofile!$G$17:$G$22)*Kalender!D302/SUM(Kalender!$D$5:$D$370),0)+IFERROR(SUMIF(Nutzungsprofile!$B$17:$B$22,"Individuell",Nutzungsprofile!$G$17:$G$22)*Kalender!E302/SUM(Kalender!$E$5:$E$370),0))*Szenarien!$D$23,0)</f>
        <v>0</v>
      </c>
      <c r="E4694" s="13" t="n">
        <f aca="false">IFERROR(MIN(C4694,Eingaben!$B$17)*Eingaben!$B$16,0)</f>
        <v>0</v>
      </c>
      <c r="F4694" s="13" t="n">
        <f aca="false">IFERROR(E4694*Eingaben!$B$15,0)</f>
        <v>0</v>
      </c>
      <c r="G4694" s="13" t="n">
        <f aca="false">IFERROR(IF(Kalender!A302="",0,J4693*(1-Eingaben!$B$20)),0)</f>
        <v>0</v>
      </c>
      <c r="H4694" s="13" t="n">
        <f aca="false">MIN(G4694,D4694)</f>
        <v>0</v>
      </c>
      <c r="I4694" s="13" t="n">
        <f aca="false">IFERROR(MIN(F4694*Eingaben!$B$19,MAX(0,D4694-H4694)),0)</f>
        <v>0</v>
      </c>
      <c r="J4694" s="13" t="n">
        <f aca="false">IFERROR(MIN(Eingaben!$B$18,MAX(0,F4694-I4694)),0)</f>
        <v>0</v>
      </c>
      <c r="K4694" s="13" t="n">
        <f aca="false">H4694+I4694</f>
        <v>0</v>
      </c>
      <c r="L4694" s="13" t="n">
        <f aca="false">MAX(0,D4694-K4694)</f>
        <v>0</v>
      </c>
      <c r="M4694" s="13" t="n">
        <f aca="false">MAX(0,F4694-I4694-J4694)</f>
        <v>0</v>
      </c>
      <c r="N4694" s="13" t="n">
        <f aca="false">IF(Kalender!A302="",0,J4693-H4694)</f>
        <v>0</v>
      </c>
    </row>
    <row r="4695" customFormat="false" ht="16.4" hidden="false" customHeight="false" outlineLevel="0" collapsed="false">
      <c r="A4695" s="13" t="str">
        <f aca="false">""</f>
        <v/>
      </c>
      <c r="B4695" s="13" t="n">
        <f aca="false">299</f>
        <v>299</v>
      </c>
      <c r="C4695" s="13" t="n">
        <f aca="false">IF(Szenarien!$H$23="OK",(IFERROR(SUMIF(Nutzungsprofile!$B$6:$B$11,"Schulbetrieb",Nutzungsprofile!$G$6:$G$11)*Kalender!C303/SUM(Kalender!$C$5:$C$370),0)+IFERROR(SUMIF(Nutzungsprofile!$B$6:$B$11,"Halle",Nutzungsprofile!$G$6:$G$11)*Kalender!D303/SUM(Kalender!$D$5:$D$370),0)+IFERROR(SUMIF(Nutzungsprofile!$B$6:$B$11,"Individuell",Nutzungsprofile!$G$6:$G$11)*Kalender!E303/SUM(Kalender!$E$5:$E$370),0))*Szenarien!$E$23,0)</f>
        <v>0.9</v>
      </c>
      <c r="D4695" s="13" t="n">
        <f aca="false">IF(Szenarien!$H$23="OK",(IFERROR(SUMIF(Nutzungsprofile!$B$17:$B$22,"Schulbetrieb",Nutzungsprofile!$G$17:$G$22)*Kalender!C303/SUM(Kalender!$C$5:$C$370),0)+IFERROR(SUMIF(Nutzungsprofile!$B$17:$B$22,"Halle",Nutzungsprofile!$G$17:$G$22)*Kalender!D303/SUM(Kalender!$D$5:$D$370),0)+IFERROR(SUMIF(Nutzungsprofile!$B$17:$B$22,"Individuell",Nutzungsprofile!$G$17:$G$22)*Kalender!E303/SUM(Kalender!$E$5:$E$370),0))*Szenarien!$D$23,0)</f>
        <v>4.05</v>
      </c>
      <c r="E4695" s="13" t="n">
        <f aca="false">IFERROR(MIN(C4695,Eingaben!$B$17)*Eingaben!$B$16,0)</f>
        <v>0.855</v>
      </c>
      <c r="F4695" s="13" t="n">
        <f aca="false">IFERROR(E4695*Eingaben!$B$15,0)</f>
        <v>0.7695</v>
      </c>
      <c r="G4695" s="13" t="n">
        <f aca="false">IFERROR(IF(Kalender!A303="",0,J4694*(1-Eingaben!$B$20)),0)</f>
        <v>0</v>
      </c>
      <c r="H4695" s="13" t="n">
        <f aca="false">MIN(G4695,D4695)</f>
        <v>0</v>
      </c>
      <c r="I4695" s="13" t="n">
        <f aca="false">IFERROR(MIN(F4695*Eingaben!$B$19,MAX(0,D4695-H4695)),0)</f>
        <v>0.53865</v>
      </c>
      <c r="J4695" s="13" t="n">
        <f aca="false">IFERROR(MIN(Eingaben!$B$18,MAX(0,F4695-I4695)),0)</f>
        <v>0.23085</v>
      </c>
      <c r="K4695" s="13" t="n">
        <f aca="false">H4695+I4695</f>
        <v>0.53865</v>
      </c>
      <c r="L4695" s="13" t="n">
        <f aca="false">MAX(0,D4695-K4695)</f>
        <v>3.51135</v>
      </c>
      <c r="M4695" s="13" t="n">
        <f aca="false">MAX(0,F4695-I4695-J4695)</f>
        <v>0</v>
      </c>
      <c r="N4695" s="13" t="n">
        <f aca="false">IF(Kalender!A303="",0,J4694-H4695)</f>
        <v>0</v>
      </c>
    </row>
    <row r="4696" customFormat="false" ht="16.4" hidden="false" customHeight="false" outlineLevel="0" collapsed="false">
      <c r="A4696" s="13" t="str">
        <f aca="false">""</f>
        <v/>
      </c>
      <c r="B4696" s="13" t="n">
        <f aca="false">300</f>
        <v>300</v>
      </c>
      <c r="C4696" s="13" t="n">
        <f aca="false">IF(Szenarien!$H$23="OK",(IFERROR(SUMIF(Nutzungsprofile!$B$6:$B$11,"Schulbetrieb",Nutzungsprofile!$G$6:$G$11)*Kalender!C304/SUM(Kalender!$C$5:$C$370),0)+IFERROR(SUMIF(Nutzungsprofile!$B$6:$B$11,"Halle",Nutzungsprofile!$G$6:$G$11)*Kalender!D304/SUM(Kalender!$D$5:$D$370),0)+IFERROR(SUMIF(Nutzungsprofile!$B$6:$B$11,"Individuell",Nutzungsprofile!$G$6:$G$11)*Kalender!E304/SUM(Kalender!$E$5:$E$370),0))*Szenarien!$E$23,0)</f>
        <v>0.9</v>
      </c>
      <c r="D4696" s="13" t="n">
        <f aca="false">IF(Szenarien!$H$23="OK",(IFERROR(SUMIF(Nutzungsprofile!$B$17:$B$22,"Schulbetrieb",Nutzungsprofile!$G$17:$G$22)*Kalender!C304/SUM(Kalender!$C$5:$C$370),0)+IFERROR(SUMIF(Nutzungsprofile!$B$17:$B$22,"Halle",Nutzungsprofile!$G$17:$G$22)*Kalender!D304/SUM(Kalender!$D$5:$D$370),0)+IFERROR(SUMIF(Nutzungsprofile!$B$17:$B$22,"Individuell",Nutzungsprofile!$G$17:$G$22)*Kalender!E304/SUM(Kalender!$E$5:$E$370),0))*Szenarien!$D$23,0)</f>
        <v>4.05</v>
      </c>
      <c r="E4696" s="13" t="n">
        <f aca="false">IFERROR(MIN(C4696,Eingaben!$B$17)*Eingaben!$B$16,0)</f>
        <v>0.855</v>
      </c>
      <c r="F4696" s="13" t="n">
        <f aca="false">IFERROR(E4696*Eingaben!$B$15,0)</f>
        <v>0.7695</v>
      </c>
      <c r="G4696" s="13" t="n">
        <f aca="false">IFERROR(IF(Kalender!A304="",0,J4695*(1-Eingaben!$B$20)),0)</f>
        <v>0.226233</v>
      </c>
      <c r="H4696" s="13" t="n">
        <f aca="false">MIN(G4696,D4696)</f>
        <v>0.226233</v>
      </c>
      <c r="I4696" s="13" t="n">
        <f aca="false">IFERROR(MIN(F4696*Eingaben!$B$19,MAX(0,D4696-H4696)),0)</f>
        <v>0.53865</v>
      </c>
      <c r="J4696" s="13" t="n">
        <f aca="false">IFERROR(MIN(Eingaben!$B$18,MAX(0,F4696-I4696)),0)</f>
        <v>0.23085</v>
      </c>
      <c r="K4696" s="13" t="n">
        <f aca="false">H4696+I4696</f>
        <v>0.764883</v>
      </c>
      <c r="L4696" s="13" t="n">
        <f aca="false">MAX(0,D4696-K4696)</f>
        <v>3.285117</v>
      </c>
      <c r="M4696" s="13" t="n">
        <f aca="false">MAX(0,F4696-I4696-J4696)</f>
        <v>0</v>
      </c>
      <c r="N4696" s="13" t="n">
        <f aca="false">IF(Kalender!A304="",0,J4695-H4696)</f>
        <v>0.00461700000000001</v>
      </c>
    </row>
    <row r="4697" customFormat="false" ht="16.4" hidden="false" customHeight="false" outlineLevel="0" collapsed="false">
      <c r="A4697" s="13" t="str">
        <f aca="false">""</f>
        <v/>
      </c>
      <c r="B4697" s="13" t="n">
        <f aca="false">301</f>
        <v>301</v>
      </c>
      <c r="C4697" s="13" t="n">
        <f aca="false">IF(Szenarien!$H$23="OK",(IFERROR(SUMIF(Nutzungsprofile!$B$6:$B$11,"Schulbetrieb",Nutzungsprofile!$G$6:$G$11)*Kalender!C305/SUM(Kalender!$C$5:$C$370),0)+IFERROR(SUMIF(Nutzungsprofile!$B$6:$B$11,"Halle",Nutzungsprofile!$G$6:$G$11)*Kalender!D305/SUM(Kalender!$D$5:$D$370),0)+IFERROR(SUMIF(Nutzungsprofile!$B$6:$B$11,"Individuell",Nutzungsprofile!$G$6:$G$11)*Kalender!E305/SUM(Kalender!$E$5:$E$370),0))*Szenarien!$E$23,0)</f>
        <v>0.9</v>
      </c>
      <c r="D4697" s="13" t="n">
        <f aca="false">IF(Szenarien!$H$23="OK",(IFERROR(SUMIF(Nutzungsprofile!$B$17:$B$22,"Schulbetrieb",Nutzungsprofile!$G$17:$G$22)*Kalender!C305/SUM(Kalender!$C$5:$C$370),0)+IFERROR(SUMIF(Nutzungsprofile!$B$17:$B$22,"Halle",Nutzungsprofile!$G$17:$G$22)*Kalender!D305/SUM(Kalender!$D$5:$D$370),0)+IFERROR(SUMIF(Nutzungsprofile!$B$17:$B$22,"Individuell",Nutzungsprofile!$G$17:$G$22)*Kalender!E305/SUM(Kalender!$E$5:$E$370),0))*Szenarien!$D$23,0)</f>
        <v>4.05</v>
      </c>
      <c r="E4697" s="13" t="n">
        <f aca="false">IFERROR(MIN(C4697,Eingaben!$B$17)*Eingaben!$B$16,0)</f>
        <v>0.855</v>
      </c>
      <c r="F4697" s="13" t="n">
        <f aca="false">IFERROR(E4697*Eingaben!$B$15,0)</f>
        <v>0.7695</v>
      </c>
      <c r="G4697" s="13" t="n">
        <f aca="false">IFERROR(IF(Kalender!A305="",0,J4696*(1-Eingaben!$B$20)),0)</f>
        <v>0.226233</v>
      </c>
      <c r="H4697" s="13" t="n">
        <f aca="false">MIN(G4697,D4697)</f>
        <v>0.226233</v>
      </c>
      <c r="I4697" s="13" t="n">
        <f aca="false">IFERROR(MIN(F4697*Eingaben!$B$19,MAX(0,D4697-H4697)),0)</f>
        <v>0.53865</v>
      </c>
      <c r="J4697" s="13" t="n">
        <f aca="false">IFERROR(MIN(Eingaben!$B$18,MAX(0,F4697-I4697)),0)</f>
        <v>0.23085</v>
      </c>
      <c r="K4697" s="13" t="n">
        <f aca="false">H4697+I4697</f>
        <v>0.764883</v>
      </c>
      <c r="L4697" s="13" t="n">
        <f aca="false">MAX(0,D4697-K4697)</f>
        <v>3.285117</v>
      </c>
      <c r="M4697" s="13" t="n">
        <f aca="false">MAX(0,F4697-I4697-J4697)</f>
        <v>0</v>
      </c>
      <c r="N4697" s="13" t="n">
        <f aca="false">IF(Kalender!A305="",0,J4696-H4697)</f>
        <v>0.00461700000000001</v>
      </c>
    </row>
    <row r="4698" customFormat="false" ht="16.4" hidden="false" customHeight="false" outlineLevel="0" collapsed="false">
      <c r="A4698" s="13" t="str">
        <f aca="false">""</f>
        <v/>
      </c>
      <c r="B4698" s="13" t="n">
        <f aca="false">302</f>
        <v>302</v>
      </c>
      <c r="C4698" s="13" t="n">
        <f aca="false">IF(Szenarien!$H$23="OK",(IFERROR(SUMIF(Nutzungsprofile!$B$6:$B$11,"Schulbetrieb",Nutzungsprofile!$G$6:$G$11)*Kalender!C306/SUM(Kalender!$C$5:$C$370),0)+IFERROR(SUMIF(Nutzungsprofile!$B$6:$B$11,"Halle",Nutzungsprofile!$G$6:$G$11)*Kalender!D306/SUM(Kalender!$D$5:$D$370),0)+IFERROR(SUMIF(Nutzungsprofile!$B$6:$B$11,"Individuell",Nutzungsprofile!$G$6:$G$11)*Kalender!E306/SUM(Kalender!$E$5:$E$370),0))*Szenarien!$E$23,0)</f>
        <v>0.9</v>
      </c>
      <c r="D4698" s="13" t="n">
        <f aca="false">IF(Szenarien!$H$23="OK",(IFERROR(SUMIF(Nutzungsprofile!$B$17:$B$22,"Schulbetrieb",Nutzungsprofile!$G$17:$G$22)*Kalender!C306/SUM(Kalender!$C$5:$C$370),0)+IFERROR(SUMIF(Nutzungsprofile!$B$17:$B$22,"Halle",Nutzungsprofile!$G$17:$G$22)*Kalender!D306/SUM(Kalender!$D$5:$D$370),0)+IFERROR(SUMIF(Nutzungsprofile!$B$17:$B$22,"Individuell",Nutzungsprofile!$G$17:$G$22)*Kalender!E306/SUM(Kalender!$E$5:$E$370),0))*Szenarien!$D$23,0)</f>
        <v>4.05</v>
      </c>
      <c r="E4698" s="13" t="n">
        <f aca="false">IFERROR(MIN(C4698,Eingaben!$B$17)*Eingaben!$B$16,0)</f>
        <v>0.855</v>
      </c>
      <c r="F4698" s="13" t="n">
        <f aca="false">IFERROR(E4698*Eingaben!$B$15,0)</f>
        <v>0.7695</v>
      </c>
      <c r="G4698" s="13" t="n">
        <f aca="false">IFERROR(IF(Kalender!A306="",0,J4697*(1-Eingaben!$B$20)),0)</f>
        <v>0.226233</v>
      </c>
      <c r="H4698" s="13" t="n">
        <f aca="false">MIN(G4698,D4698)</f>
        <v>0.226233</v>
      </c>
      <c r="I4698" s="13" t="n">
        <f aca="false">IFERROR(MIN(F4698*Eingaben!$B$19,MAX(0,D4698-H4698)),0)</f>
        <v>0.53865</v>
      </c>
      <c r="J4698" s="13" t="n">
        <f aca="false">IFERROR(MIN(Eingaben!$B$18,MAX(0,F4698-I4698)),0)</f>
        <v>0.23085</v>
      </c>
      <c r="K4698" s="13" t="n">
        <f aca="false">H4698+I4698</f>
        <v>0.764883</v>
      </c>
      <c r="L4698" s="13" t="n">
        <f aca="false">MAX(0,D4698-K4698)</f>
        <v>3.285117</v>
      </c>
      <c r="M4698" s="13" t="n">
        <f aca="false">MAX(0,F4698-I4698-J4698)</f>
        <v>0</v>
      </c>
      <c r="N4698" s="13" t="n">
        <f aca="false">IF(Kalender!A306="",0,J4697-H4698)</f>
        <v>0.00461700000000001</v>
      </c>
    </row>
    <row r="4699" customFormat="false" ht="16.4" hidden="false" customHeight="false" outlineLevel="0" collapsed="false">
      <c r="A4699" s="13" t="str">
        <f aca="false">""</f>
        <v/>
      </c>
      <c r="B4699" s="13" t="n">
        <f aca="false">303</f>
        <v>303</v>
      </c>
      <c r="C4699" s="13" t="n">
        <f aca="false">IF(Szenarien!$H$23="OK",(IFERROR(SUMIF(Nutzungsprofile!$B$6:$B$11,"Schulbetrieb",Nutzungsprofile!$G$6:$G$11)*Kalender!C307/SUM(Kalender!$C$5:$C$370),0)+IFERROR(SUMIF(Nutzungsprofile!$B$6:$B$11,"Halle",Nutzungsprofile!$G$6:$G$11)*Kalender!D307/SUM(Kalender!$D$5:$D$370),0)+IFERROR(SUMIF(Nutzungsprofile!$B$6:$B$11,"Individuell",Nutzungsprofile!$G$6:$G$11)*Kalender!E307/SUM(Kalender!$E$5:$E$370),0))*Szenarien!$E$23,0)</f>
        <v>0.9</v>
      </c>
      <c r="D4699" s="13" t="n">
        <f aca="false">IF(Szenarien!$H$23="OK",(IFERROR(SUMIF(Nutzungsprofile!$B$17:$B$22,"Schulbetrieb",Nutzungsprofile!$G$17:$G$22)*Kalender!C307/SUM(Kalender!$C$5:$C$370),0)+IFERROR(SUMIF(Nutzungsprofile!$B$17:$B$22,"Halle",Nutzungsprofile!$G$17:$G$22)*Kalender!D307/SUM(Kalender!$D$5:$D$370),0)+IFERROR(SUMIF(Nutzungsprofile!$B$17:$B$22,"Individuell",Nutzungsprofile!$G$17:$G$22)*Kalender!E307/SUM(Kalender!$E$5:$E$370),0))*Szenarien!$D$23,0)</f>
        <v>4.05</v>
      </c>
      <c r="E4699" s="13" t="n">
        <f aca="false">IFERROR(MIN(C4699,Eingaben!$B$17)*Eingaben!$B$16,0)</f>
        <v>0.855</v>
      </c>
      <c r="F4699" s="13" t="n">
        <f aca="false">IFERROR(E4699*Eingaben!$B$15,0)</f>
        <v>0.7695</v>
      </c>
      <c r="G4699" s="13" t="n">
        <f aca="false">IFERROR(IF(Kalender!A307="",0,J4698*(1-Eingaben!$B$20)),0)</f>
        <v>0.226233</v>
      </c>
      <c r="H4699" s="13" t="n">
        <f aca="false">MIN(G4699,D4699)</f>
        <v>0.226233</v>
      </c>
      <c r="I4699" s="13" t="n">
        <f aca="false">IFERROR(MIN(F4699*Eingaben!$B$19,MAX(0,D4699-H4699)),0)</f>
        <v>0.53865</v>
      </c>
      <c r="J4699" s="13" t="n">
        <f aca="false">IFERROR(MIN(Eingaben!$B$18,MAX(0,F4699-I4699)),0)</f>
        <v>0.23085</v>
      </c>
      <c r="K4699" s="13" t="n">
        <f aca="false">H4699+I4699</f>
        <v>0.764883</v>
      </c>
      <c r="L4699" s="13" t="n">
        <f aca="false">MAX(0,D4699-K4699)</f>
        <v>3.285117</v>
      </c>
      <c r="M4699" s="13" t="n">
        <f aca="false">MAX(0,F4699-I4699-J4699)</f>
        <v>0</v>
      </c>
      <c r="N4699" s="13" t="n">
        <f aca="false">IF(Kalender!A307="",0,J4698-H4699)</f>
        <v>0.00461700000000001</v>
      </c>
    </row>
    <row r="4700" customFormat="false" ht="16.4" hidden="false" customHeight="false" outlineLevel="0" collapsed="false">
      <c r="A4700" s="13" t="str">
        <f aca="false">""</f>
        <v/>
      </c>
      <c r="B4700" s="13" t="n">
        <f aca="false">304</f>
        <v>304</v>
      </c>
      <c r="C4700" s="13" t="n">
        <f aca="false">IF(Szenarien!$H$23="OK",(IFERROR(SUMIF(Nutzungsprofile!$B$6:$B$11,"Schulbetrieb",Nutzungsprofile!$G$6:$G$11)*Kalender!C308/SUM(Kalender!$C$5:$C$370),0)+IFERROR(SUMIF(Nutzungsprofile!$B$6:$B$11,"Halle",Nutzungsprofile!$G$6:$G$11)*Kalender!D308/SUM(Kalender!$D$5:$D$370),0)+IFERROR(SUMIF(Nutzungsprofile!$B$6:$B$11,"Individuell",Nutzungsprofile!$G$6:$G$11)*Kalender!E308/SUM(Kalender!$E$5:$E$370),0))*Szenarien!$E$23,0)</f>
        <v>0</v>
      </c>
      <c r="D4700" s="13" t="n">
        <f aca="false">IF(Szenarien!$H$23="OK",(IFERROR(SUMIF(Nutzungsprofile!$B$17:$B$22,"Schulbetrieb",Nutzungsprofile!$G$17:$G$22)*Kalender!C308/SUM(Kalender!$C$5:$C$370),0)+IFERROR(SUMIF(Nutzungsprofile!$B$17:$B$22,"Halle",Nutzungsprofile!$G$17:$G$22)*Kalender!D308/SUM(Kalender!$D$5:$D$370),0)+IFERROR(SUMIF(Nutzungsprofile!$B$17:$B$22,"Individuell",Nutzungsprofile!$G$17:$G$22)*Kalender!E308/SUM(Kalender!$E$5:$E$370),0))*Szenarien!$D$23,0)</f>
        <v>0</v>
      </c>
      <c r="E4700" s="13" t="n">
        <f aca="false">IFERROR(MIN(C4700,Eingaben!$B$17)*Eingaben!$B$16,0)</f>
        <v>0</v>
      </c>
      <c r="F4700" s="13" t="n">
        <f aca="false">IFERROR(E4700*Eingaben!$B$15,0)</f>
        <v>0</v>
      </c>
      <c r="G4700" s="13" t="n">
        <f aca="false">IFERROR(IF(Kalender!A308="",0,J4699*(1-Eingaben!$B$20)),0)</f>
        <v>0.226233</v>
      </c>
      <c r="H4700" s="13" t="n">
        <f aca="false">MIN(G4700,D4700)</f>
        <v>0</v>
      </c>
      <c r="I4700" s="13" t="n">
        <f aca="false">IFERROR(MIN(F4700*Eingaben!$B$19,MAX(0,D4700-H4700)),0)</f>
        <v>0</v>
      </c>
      <c r="J4700" s="13" t="n">
        <f aca="false">IFERROR(MIN(Eingaben!$B$18,MAX(0,F4700-I4700)),0)</f>
        <v>0</v>
      </c>
      <c r="K4700" s="13" t="n">
        <f aca="false">H4700+I4700</f>
        <v>0</v>
      </c>
      <c r="L4700" s="13" t="n">
        <f aca="false">MAX(0,D4700-K4700)</f>
        <v>0</v>
      </c>
      <c r="M4700" s="13" t="n">
        <f aca="false">MAX(0,F4700-I4700-J4700)</f>
        <v>0</v>
      </c>
      <c r="N4700" s="13" t="n">
        <f aca="false">IF(Kalender!A308="",0,J4699-H4700)</f>
        <v>0.23085</v>
      </c>
    </row>
    <row r="4701" customFormat="false" ht="16.4" hidden="false" customHeight="false" outlineLevel="0" collapsed="false">
      <c r="A4701" s="13" t="str">
        <f aca="false">""</f>
        <v/>
      </c>
      <c r="B4701" s="13" t="n">
        <f aca="false">305</f>
        <v>305</v>
      </c>
      <c r="C4701" s="13" t="n">
        <f aca="false">IF(Szenarien!$H$23="OK",(IFERROR(SUMIF(Nutzungsprofile!$B$6:$B$11,"Schulbetrieb",Nutzungsprofile!$G$6:$G$11)*Kalender!C309/SUM(Kalender!$C$5:$C$370),0)+IFERROR(SUMIF(Nutzungsprofile!$B$6:$B$11,"Halle",Nutzungsprofile!$G$6:$G$11)*Kalender!D309/SUM(Kalender!$D$5:$D$370),0)+IFERROR(SUMIF(Nutzungsprofile!$B$6:$B$11,"Individuell",Nutzungsprofile!$G$6:$G$11)*Kalender!E309/SUM(Kalender!$E$5:$E$370),0))*Szenarien!$E$23,0)</f>
        <v>0</v>
      </c>
      <c r="D4701" s="13" t="n">
        <f aca="false">IF(Szenarien!$H$23="OK",(IFERROR(SUMIF(Nutzungsprofile!$B$17:$B$22,"Schulbetrieb",Nutzungsprofile!$G$17:$G$22)*Kalender!C309/SUM(Kalender!$C$5:$C$370),0)+IFERROR(SUMIF(Nutzungsprofile!$B$17:$B$22,"Halle",Nutzungsprofile!$G$17:$G$22)*Kalender!D309/SUM(Kalender!$D$5:$D$370),0)+IFERROR(SUMIF(Nutzungsprofile!$B$17:$B$22,"Individuell",Nutzungsprofile!$G$17:$G$22)*Kalender!E309/SUM(Kalender!$E$5:$E$370),0))*Szenarien!$D$23,0)</f>
        <v>0</v>
      </c>
      <c r="E4701" s="13" t="n">
        <f aca="false">IFERROR(MIN(C4701,Eingaben!$B$17)*Eingaben!$B$16,0)</f>
        <v>0</v>
      </c>
      <c r="F4701" s="13" t="n">
        <f aca="false">IFERROR(E4701*Eingaben!$B$15,0)</f>
        <v>0</v>
      </c>
      <c r="G4701" s="13" t="n">
        <f aca="false">IFERROR(IF(Kalender!A309="",0,J4700*(1-Eingaben!$B$20)),0)</f>
        <v>0</v>
      </c>
      <c r="H4701" s="13" t="n">
        <f aca="false">MIN(G4701,D4701)</f>
        <v>0</v>
      </c>
      <c r="I4701" s="13" t="n">
        <f aca="false">IFERROR(MIN(F4701*Eingaben!$B$19,MAX(0,D4701-H4701)),0)</f>
        <v>0</v>
      </c>
      <c r="J4701" s="13" t="n">
        <f aca="false">IFERROR(MIN(Eingaben!$B$18,MAX(0,F4701-I4701)),0)</f>
        <v>0</v>
      </c>
      <c r="K4701" s="13" t="n">
        <f aca="false">H4701+I4701</f>
        <v>0</v>
      </c>
      <c r="L4701" s="13" t="n">
        <f aca="false">MAX(0,D4701-K4701)</f>
        <v>0</v>
      </c>
      <c r="M4701" s="13" t="n">
        <f aca="false">MAX(0,F4701-I4701-J4701)</f>
        <v>0</v>
      </c>
      <c r="N4701" s="13" t="n">
        <f aca="false">IF(Kalender!A309="",0,J4700-H4701)</f>
        <v>0</v>
      </c>
    </row>
    <row r="4702" customFormat="false" ht="16.4" hidden="false" customHeight="false" outlineLevel="0" collapsed="false">
      <c r="A4702" s="13" t="str">
        <f aca="false">""</f>
        <v/>
      </c>
      <c r="B4702" s="13" t="n">
        <f aca="false">306</f>
        <v>306</v>
      </c>
      <c r="C4702" s="13" t="n">
        <f aca="false">IF(Szenarien!$H$23="OK",(IFERROR(SUMIF(Nutzungsprofile!$B$6:$B$11,"Schulbetrieb",Nutzungsprofile!$G$6:$G$11)*Kalender!C310/SUM(Kalender!$C$5:$C$370),0)+IFERROR(SUMIF(Nutzungsprofile!$B$6:$B$11,"Halle",Nutzungsprofile!$G$6:$G$11)*Kalender!D310/SUM(Kalender!$D$5:$D$370),0)+IFERROR(SUMIF(Nutzungsprofile!$B$6:$B$11,"Individuell",Nutzungsprofile!$G$6:$G$11)*Kalender!E310/SUM(Kalender!$E$5:$E$370),0))*Szenarien!$E$23,0)</f>
        <v>0.9</v>
      </c>
      <c r="D4702" s="13" t="n">
        <f aca="false">IF(Szenarien!$H$23="OK",(IFERROR(SUMIF(Nutzungsprofile!$B$17:$B$22,"Schulbetrieb",Nutzungsprofile!$G$17:$G$22)*Kalender!C310/SUM(Kalender!$C$5:$C$370),0)+IFERROR(SUMIF(Nutzungsprofile!$B$17:$B$22,"Halle",Nutzungsprofile!$G$17:$G$22)*Kalender!D310/SUM(Kalender!$D$5:$D$370),0)+IFERROR(SUMIF(Nutzungsprofile!$B$17:$B$22,"Individuell",Nutzungsprofile!$G$17:$G$22)*Kalender!E310/SUM(Kalender!$E$5:$E$370),0))*Szenarien!$D$23,0)</f>
        <v>4.05</v>
      </c>
      <c r="E4702" s="13" t="n">
        <f aca="false">IFERROR(MIN(C4702,Eingaben!$B$17)*Eingaben!$B$16,0)</f>
        <v>0.855</v>
      </c>
      <c r="F4702" s="13" t="n">
        <f aca="false">IFERROR(E4702*Eingaben!$B$15,0)</f>
        <v>0.7695</v>
      </c>
      <c r="G4702" s="13" t="n">
        <f aca="false">IFERROR(IF(Kalender!A310="",0,J4701*(1-Eingaben!$B$20)),0)</f>
        <v>0</v>
      </c>
      <c r="H4702" s="13" t="n">
        <f aca="false">MIN(G4702,D4702)</f>
        <v>0</v>
      </c>
      <c r="I4702" s="13" t="n">
        <f aca="false">IFERROR(MIN(F4702*Eingaben!$B$19,MAX(0,D4702-H4702)),0)</f>
        <v>0.53865</v>
      </c>
      <c r="J4702" s="13" t="n">
        <f aca="false">IFERROR(MIN(Eingaben!$B$18,MAX(0,F4702-I4702)),0)</f>
        <v>0.23085</v>
      </c>
      <c r="K4702" s="13" t="n">
        <f aca="false">H4702+I4702</f>
        <v>0.53865</v>
      </c>
      <c r="L4702" s="13" t="n">
        <f aca="false">MAX(0,D4702-K4702)</f>
        <v>3.51135</v>
      </c>
      <c r="M4702" s="13" t="n">
        <f aca="false">MAX(0,F4702-I4702-J4702)</f>
        <v>0</v>
      </c>
      <c r="N4702" s="13" t="n">
        <f aca="false">IF(Kalender!A310="",0,J4701-H4702)</f>
        <v>0</v>
      </c>
    </row>
    <row r="4703" customFormat="false" ht="16.4" hidden="false" customHeight="false" outlineLevel="0" collapsed="false">
      <c r="A4703" s="13" t="str">
        <f aca="false">""</f>
        <v/>
      </c>
      <c r="B4703" s="13" t="n">
        <f aca="false">307</f>
        <v>307</v>
      </c>
      <c r="C4703" s="13" t="n">
        <f aca="false">IF(Szenarien!$H$23="OK",(IFERROR(SUMIF(Nutzungsprofile!$B$6:$B$11,"Schulbetrieb",Nutzungsprofile!$G$6:$G$11)*Kalender!C311/SUM(Kalender!$C$5:$C$370),0)+IFERROR(SUMIF(Nutzungsprofile!$B$6:$B$11,"Halle",Nutzungsprofile!$G$6:$G$11)*Kalender!D311/SUM(Kalender!$D$5:$D$370),0)+IFERROR(SUMIF(Nutzungsprofile!$B$6:$B$11,"Individuell",Nutzungsprofile!$G$6:$G$11)*Kalender!E311/SUM(Kalender!$E$5:$E$370),0))*Szenarien!$E$23,0)</f>
        <v>0.9</v>
      </c>
      <c r="D4703" s="13" t="n">
        <f aca="false">IF(Szenarien!$H$23="OK",(IFERROR(SUMIF(Nutzungsprofile!$B$17:$B$22,"Schulbetrieb",Nutzungsprofile!$G$17:$G$22)*Kalender!C311/SUM(Kalender!$C$5:$C$370),0)+IFERROR(SUMIF(Nutzungsprofile!$B$17:$B$22,"Halle",Nutzungsprofile!$G$17:$G$22)*Kalender!D311/SUM(Kalender!$D$5:$D$370),0)+IFERROR(SUMIF(Nutzungsprofile!$B$17:$B$22,"Individuell",Nutzungsprofile!$G$17:$G$22)*Kalender!E311/SUM(Kalender!$E$5:$E$370),0))*Szenarien!$D$23,0)</f>
        <v>4.05</v>
      </c>
      <c r="E4703" s="13" t="n">
        <f aca="false">IFERROR(MIN(C4703,Eingaben!$B$17)*Eingaben!$B$16,0)</f>
        <v>0.855</v>
      </c>
      <c r="F4703" s="13" t="n">
        <f aca="false">IFERROR(E4703*Eingaben!$B$15,0)</f>
        <v>0.7695</v>
      </c>
      <c r="G4703" s="13" t="n">
        <f aca="false">IFERROR(IF(Kalender!A311="",0,J4702*(1-Eingaben!$B$20)),0)</f>
        <v>0.226233</v>
      </c>
      <c r="H4703" s="13" t="n">
        <f aca="false">MIN(G4703,D4703)</f>
        <v>0.226233</v>
      </c>
      <c r="I4703" s="13" t="n">
        <f aca="false">IFERROR(MIN(F4703*Eingaben!$B$19,MAX(0,D4703-H4703)),0)</f>
        <v>0.53865</v>
      </c>
      <c r="J4703" s="13" t="n">
        <f aca="false">IFERROR(MIN(Eingaben!$B$18,MAX(0,F4703-I4703)),0)</f>
        <v>0.23085</v>
      </c>
      <c r="K4703" s="13" t="n">
        <f aca="false">H4703+I4703</f>
        <v>0.764883</v>
      </c>
      <c r="L4703" s="13" t="n">
        <f aca="false">MAX(0,D4703-K4703)</f>
        <v>3.285117</v>
      </c>
      <c r="M4703" s="13" t="n">
        <f aca="false">MAX(0,F4703-I4703-J4703)</f>
        <v>0</v>
      </c>
      <c r="N4703" s="13" t="n">
        <f aca="false">IF(Kalender!A311="",0,J4702-H4703)</f>
        <v>0.00461700000000001</v>
      </c>
    </row>
    <row r="4704" customFormat="false" ht="16.4" hidden="false" customHeight="false" outlineLevel="0" collapsed="false">
      <c r="A4704" s="13" t="str">
        <f aca="false">""</f>
        <v/>
      </c>
      <c r="B4704" s="13" t="n">
        <f aca="false">308</f>
        <v>308</v>
      </c>
      <c r="C4704" s="13" t="n">
        <f aca="false">IF(Szenarien!$H$23="OK",(IFERROR(SUMIF(Nutzungsprofile!$B$6:$B$11,"Schulbetrieb",Nutzungsprofile!$G$6:$G$11)*Kalender!C312/SUM(Kalender!$C$5:$C$370),0)+IFERROR(SUMIF(Nutzungsprofile!$B$6:$B$11,"Halle",Nutzungsprofile!$G$6:$G$11)*Kalender!D312/SUM(Kalender!$D$5:$D$370),0)+IFERROR(SUMIF(Nutzungsprofile!$B$6:$B$11,"Individuell",Nutzungsprofile!$G$6:$G$11)*Kalender!E312/SUM(Kalender!$E$5:$E$370),0))*Szenarien!$E$23,0)</f>
        <v>0.9</v>
      </c>
      <c r="D4704" s="13" t="n">
        <f aca="false">IF(Szenarien!$H$23="OK",(IFERROR(SUMIF(Nutzungsprofile!$B$17:$B$22,"Schulbetrieb",Nutzungsprofile!$G$17:$G$22)*Kalender!C312/SUM(Kalender!$C$5:$C$370),0)+IFERROR(SUMIF(Nutzungsprofile!$B$17:$B$22,"Halle",Nutzungsprofile!$G$17:$G$22)*Kalender!D312/SUM(Kalender!$D$5:$D$370),0)+IFERROR(SUMIF(Nutzungsprofile!$B$17:$B$22,"Individuell",Nutzungsprofile!$G$17:$G$22)*Kalender!E312/SUM(Kalender!$E$5:$E$370),0))*Szenarien!$D$23,0)</f>
        <v>4.05</v>
      </c>
      <c r="E4704" s="13" t="n">
        <f aca="false">IFERROR(MIN(C4704,Eingaben!$B$17)*Eingaben!$B$16,0)</f>
        <v>0.855</v>
      </c>
      <c r="F4704" s="13" t="n">
        <f aca="false">IFERROR(E4704*Eingaben!$B$15,0)</f>
        <v>0.7695</v>
      </c>
      <c r="G4704" s="13" t="n">
        <f aca="false">IFERROR(IF(Kalender!A312="",0,J4703*(1-Eingaben!$B$20)),0)</f>
        <v>0.226233</v>
      </c>
      <c r="H4704" s="13" t="n">
        <f aca="false">MIN(G4704,D4704)</f>
        <v>0.226233</v>
      </c>
      <c r="I4704" s="13" t="n">
        <f aca="false">IFERROR(MIN(F4704*Eingaben!$B$19,MAX(0,D4704-H4704)),0)</f>
        <v>0.53865</v>
      </c>
      <c r="J4704" s="13" t="n">
        <f aca="false">IFERROR(MIN(Eingaben!$B$18,MAX(0,F4704-I4704)),0)</f>
        <v>0.23085</v>
      </c>
      <c r="K4704" s="13" t="n">
        <f aca="false">H4704+I4704</f>
        <v>0.764883</v>
      </c>
      <c r="L4704" s="13" t="n">
        <f aca="false">MAX(0,D4704-K4704)</f>
        <v>3.285117</v>
      </c>
      <c r="M4704" s="13" t="n">
        <f aca="false">MAX(0,F4704-I4704-J4704)</f>
        <v>0</v>
      </c>
      <c r="N4704" s="13" t="n">
        <f aca="false">IF(Kalender!A312="",0,J4703-H4704)</f>
        <v>0.00461700000000001</v>
      </c>
    </row>
    <row r="4705" customFormat="false" ht="16.4" hidden="false" customHeight="false" outlineLevel="0" collapsed="false">
      <c r="A4705" s="13" t="str">
        <f aca="false">""</f>
        <v/>
      </c>
      <c r="B4705" s="13" t="n">
        <f aca="false">309</f>
        <v>309</v>
      </c>
      <c r="C4705" s="13" t="n">
        <f aca="false">IF(Szenarien!$H$23="OK",(IFERROR(SUMIF(Nutzungsprofile!$B$6:$B$11,"Schulbetrieb",Nutzungsprofile!$G$6:$G$11)*Kalender!C313/SUM(Kalender!$C$5:$C$370),0)+IFERROR(SUMIF(Nutzungsprofile!$B$6:$B$11,"Halle",Nutzungsprofile!$G$6:$G$11)*Kalender!D313/SUM(Kalender!$D$5:$D$370),0)+IFERROR(SUMIF(Nutzungsprofile!$B$6:$B$11,"Individuell",Nutzungsprofile!$G$6:$G$11)*Kalender!E313/SUM(Kalender!$E$5:$E$370),0))*Szenarien!$E$23,0)</f>
        <v>0.9</v>
      </c>
      <c r="D4705" s="13" t="n">
        <f aca="false">IF(Szenarien!$H$23="OK",(IFERROR(SUMIF(Nutzungsprofile!$B$17:$B$22,"Schulbetrieb",Nutzungsprofile!$G$17:$G$22)*Kalender!C313/SUM(Kalender!$C$5:$C$370),0)+IFERROR(SUMIF(Nutzungsprofile!$B$17:$B$22,"Halle",Nutzungsprofile!$G$17:$G$22)*Kalender!D313/SUM(Kalender!$D$5:$D$370),0)+IFERROR(SUMIF(Nutzungsprofile!$B$17:$B$22,"Individuell",Nutzungsprofile!$G$17:$G$22)*Kalender!E313/SUM(Kalender!$E$5:$E$370),0))*Szenarien!$D$23,0)</f>
        <v>4.05</v>
      </c>
      <c r="E4705" s="13" t="n">
        <f aca="false">IFERROR(MIN(C4705,Eingaben!$B$17)*Eingaben!$B$16,0)</f>
        <v>0.855</v>
      </c>
      <c r="F4705" s="13" t="n">
        <f aca="false">IFERROR(E4705*Eingaben!$B$15,0)</f>
        <v>0.7695</v>
      </c>
      <c r="G4705" s="13" t="n">
        <f aca="false">IFERROR(IF(Kalender!A313="",0,J4704*(1-Eingaben!$B$20)),0)</f>
        <v>0.226233</v>
      </c>
      <c r="H4705" s="13" t="n">
        <f aca="false">MIN(G4705,D4705)</f>
        <v>0.226233</v>
      </c>
      <c r="I4705" s="13" t="n">
        <f aca="false">IFERROR(MIN(F4705*Eingaben!$B$19,MAX(0,D4705-H4705)),0)</f>
        <v>0.53865</v>
      </c>
      <c r="J4705" s="13" t="n">
        <f aca="false">IFERROR(MIN(Eingaben!$B$18,MAX(0,F4705-I4705)),0)</f>
        <v>0.23085</v>
      </c>
      <c r="K4705" s="13" t="n">
        <f aca="false">H4705+I4705</f>
        <v>0.764883</v>
      </c>
      <c r="L4705" s="13" t="n">
        <f aca="false">MAX(0,D4705-K4705)</f>
        <v>3.285117</v>
      </c>
      <c r="M4705" s="13" t="n">
        <f aca="false">MAX(0,F4705-I4705-J4705)</f>
        <v>0</v>
      </c>
      <c r="N4705" s="13" t="n">
        <f aca="false">IF(Kalender!A313="",0,J4704-H4705)</f>
        <v>0.00461700000000001</v>
      </c>
    </row>
    <row r="4706" customFormat="false" ht="16.4" hidden="false" customHeight="false" outlineLevel="0" collapsed="false">
      <c r="A4706" s="13" t="str">
        <f aca="false">""</f>
        <v/>
      </c>
      <c r="B4706" s="13" t="n">
        <f aca="false">310</f>
        <v>310</v>
      </c>
      <c r="C4706" s="13" t="n">
        <f aca="false">IF(Szenarien!$H$23="OK",(IFERROR(SUMIF(Nutzungsprofile!$B$6:$B$11,"Schulbetrieb",Nutzungsprofile!$G$6:$G$11)*Kalender!C314/SUM(Kalender!$C$5:$C$370),0)+IFERROR(SUMIF(Nutzungsprofile!$B$6:$B$11,"Halle",Nutzungsprofile!$G$6:$G$11)*Kalender!D314/SUM(Kalender!$D$5:$D$370),0)+IFERROR(SUMIF(Nutzungsprofile!$B$6:$B$11,"Individuell",Nutzungsprofile!$G$6:$G$11)*Kalender!E314/SUM(Kalender!$E$5:$E$370),0))*Szenarien!$E$23,0)</f>
        <v>0.9</v>
      </c>
      <c r="D4706" s="13" t="n">
        <f aca="false">IF(Szenarien!$H$23="OK",(IFERROR(SUMIF(Nutzungsprofile!$B$17:$B$22,"Schulbetrieb",Nutzungsprofile!$G$17:$G$22)*Kalender!C314/SUM(Kalender!$C$5:$C$370),0)+IFERROR(SUMIF(Nutzungsprofile!$B$17:$B$22,"Halle",Nutzungsprofile!$G$17:$G$22)*Kalender!D314/SUM(Kalender!$D$5:$D$370),0)+IFERROR(SUMIF(Nutzungsprofile!$B$17:$B$22,"Individuell",Nutzungsprofile!$G$17:$G$22)*Kalender!E314/SUM(Kalender!$E$5:$E$370),0))*Szenarien!$D$23,0)</f>
        <v>4.05</v>
      </c>
      <c r="E4706" s="13" t="n">
        <f aca="false">IFERROR(MIN(C4706,Eingaben!$B$17)*Eingaben!$B$16,0)</f>
        <v>0.855</v>
      </c>
      <c r="F4706" s="13" t="n">
        <f aca="false">IFERROR(E4706*Eingaben!$B$15,0)</f>
        <v>0.7695</v>
      </c>
      <c r="G4706" s="13" t="n">
        <f aca="false">IFERROR(IF(Kalender!A314="",0,J4705*(1-Eingaben!$B$20)),0)</f>
        <v>0.226233</v>
      </c>
      <c r="H4706" s="13" t="n">
        <f aca="false">MIN(G4706,D4706)</f>
        <v>0.226233</v>
      </c>
      <c r="I4706" s="13" t="n">
        <f aca="false">IFERROR(MIN(F4706*Eingaben!$B$19,MAX(0,D4706-H4706)),0)</f>
        <v>0.53865</v>
      </c>
      <c r="J4706" s="13" t="n">
        <f aca="false">IFERROR(MIN(Eingaben!$B$18,MAX(0,F4706-I4706)),0)</f>
        <v>0.23085</v>
      </c>
      <c r="K4706" s="13" t="n">
        <f aca="false">H4706+I4706</f>
        <v>0.764883</v>
      </c>
      <c r="L4706" s="13" t="n">
        <f aca="false">MAX(0,D4706-K4706)</f>
        <v>3.285117</v>
      </c>
      <c r="M4706" s="13" t="n">
        <f aca="false">MAX(0,F4706-I4706-J4706)</f>
        <v>0</v>
      </c>
      <c r="N4706" s="13" t="n">
        <f aca="false">IF(Kalender!A314="",0,J4705-H4706)</f>
        <v>0.00461700000000001</v>
      </c>
    </row>
    <row r="4707" customFormat="false" ht="16.4" hidden="false" customHeight="false" outlineLevel="0" collapsed="false">
      <c r="A4707" s="13" t="str">
        <f aca="false">""</f>
        <v/>
      </c>
      <c r="B4707" s="13" t="n">
        <f aca="false">311</f>
        <v>311</v>
      </c>
      <c r="C4707" s="13" t="n">
        <f aca="false">IF(Szenarien!$H$23="OK",(IFERROR(SUMIF(Nutzungsprofile!$B$6:$B$11,"Schulbetrieb",Nutzungsprofile!$G$6:$G$11)*Kalender!C315/SUM(Kalender!$C$5:$C$370),0)+IFERROR(SUMIF(Nutzungsprofile!$B$6:$B$11,"Halle",Nutzungsprofile!$G$6:$G$11)*Kalender!D315/SUM(Kalender!$D$5:$D$370),0)+IFERROR(SUMIF(Nutzungsprofile!$B$6:$B$11,"Individuell",Nutzungsprofile!$G$6:$G$11)*Kalender!E315/SUM(Kalender!$E$5:$E$370),0))*Szenarien!$E$23,0)</f>
        <v>0</v>
      </c>
      <c r="D4707" s="13" t="n">
        <f aca="false">IF(Szenarien!$H$23="OK",(IFERROR(SUMIF(Nutzungsprofile!$B$17:$B$22,"Schulbetrieb",Nutzungsprofile!$G$17:$G$22)*Kalender!C315/SUM(Kalender!$C$5:$C$370),0)+IFERROR(SUMIF(Nutzungsprofile!$B$17:$B$22,"Halle",Nutzungsprofile!$G$17:$G$22)*Kalender!D315/SUM(Kalender!$D$5:$D$370),0)+IFERROR(SUMIF(Nutzungsprofile!$B$17:$B$22,"Individuell",Nutzungsprofile!$G$17:$G$22)*Kalender!E315/SUM(Kalender!$E$5:$E$370),0))*Szenarien!$D$23,0)</f>
        <v>0</v>
      </c>
      <c r="E4707" s="13" t="n">
        <f aca="false">IFERROR(MIN(C4707,Eingaben!$B$17)*Eingaben!$B$16,0)</f>
        <v>0</v>
      </c>
      <c r="F4707" s="13" t="n">
        <f aca="false">IFERROR(E4707*Eingaben!$B$15,0)</f>
        <v>0</v>
      </c>
      <c r="G4707" s="13" t="n">
        <f aca="false">IFERROR(IF(Kalender!A315="",0,J4706*(1-Eingaben!$B$20)),0)</f>
        <v>0.226233</v>
      </c>
      <c r="H4707" s="13" t="n">
        <f aca="false">MIN(G4707,D4707)</f>
        <v>0</v>
      </c>
      <c r="I4707" s="13" t="n">
        <f aca="false">IFERROR(MIN(F4707*Eingaben!$B$19,MAX(0,D4707-H4707)),0)</f>
        <v>0</v>
      </c>
      <c r="J4707" s="13" t="n">
        <f aca="false">IFERROR(MIN(Eingaben!$B$18,MAX(0,F4707-I4707)),0)</f>
        <v>0</v>
      </c>
      <c r="K4707" s="13" t="n">
        <f aca="false">H4707+I4707</f>
        <v>0</v>
      </c>
      <c r="L4707" s="13" t="n">
        <f aca="false">MAX(0,D4707-K4707)</f>
        <v>0</v>
      </c>
      <c r="M4707" s="13" t="n">
        <f aca="false">MAX(0,F4707-I4707-J4707)</f>
        <v>0</v>
      </c>
      <c r="N4707" s="13" t="n">
        <f aca="false">IF(Kalender!A315="",0,J4706-H4707)</f>
        <v>0.23085</v>
      </c>
    </row>
    <row r="4708" customFormat="false" ht="16.4" hidden="false" customHeight="false" outlineLevel="0" collapsed="false">
      <c r="A4708" s="13" t="str">
        <f aca="false">""</f>
        <v/>
      </c>
      <c r="B4708" s="13" t="n">
        <f aca="false">312</f>
        <v>312</v>
      </c>
      <c r="C4708" s="13" t="n">
        <f aca="false">IF(Szenarien!$H$23="OK",(IFERROR(SUMIF(Nutzungsprofile!$B$6:$B$11,"Schulbetrieb",Nutzungsprofile!$G$6:$G$11)*Kalender!C316/SUM(Kalender!$C$5:$C$370),0)+IFERROR(SUMIF(Nutzungsprofile!$B$6:$B$11,"Halle",Nutzungsprofile!$G$6:$G$11)*Kalender!D316/SUM(Kalender!$D$5:$D$370),0)+IFERROR(SUMIF(Nutzungsprofile!$B$6:$B$11,"Individuell",Nutzungsprofile!$G$6:$G$11)*Kalender!E316/SUM(Kalender!$E$5:$E$370),0))*Szenarien!$E$23,0)</f>
        <v>0</v>
      </c>
      <c r="D4708" s="13" t="n">
        <f aca="false">IF(Szenarien!$H$23="OK",(IFERROR(SUMIF(Nutzungsprofile!$B$17:$B$22,"Schulbetrieb",Nutzungsprofile!$G$17:$G$22)*Kalender!C316/SUM(Kalender!$C$5:$C$370),0)+IFERROR(SUMIF(Nutzungsprofile!$B$17:$B$22,"Halle",Nutzungsprofile!$G$17:$G$22)*Kalender!D316/SUM(Kalender!$D$5:$D$370),0)+IFERROR(SUMIF(Nutzungsprofile!$B$17:$B$22,"Individuell",Nutzungsprofile!$G$17:$G$22)*Kalender!E316/SUM(Kalender!$E$5:$E$370),0))*Szenarien!$D$23,0)</f>
        <v>0</v>
      </c>
      <c r="E4708" s="13" t="n">
        <f aca="false">IFERROR(MIN(C4708,Eingaben!$B$17)*Eingaben!$B$16,0)</f>
        <v>0</v>
      </c>
      <c r="F4708" s="13" t="n">
        <f aca="false">IFERROR(E4708*Eingaben!$B$15,0)</f>
        <v>0</v>
      </c>
      <c r="G4708" s="13" t="n">
        <f aca="false">IFERROR(IF(Kalender!A316="",0,J4707*(1-Eingaben!$B$20)),0)</f>
        <v>0</v>
      </c>
      <c r="H4708" s="13" t="n">
        <f aca="false">MIN(G4708,D4708)</f>
        <v>0</v>
      </c>
      <c r="I4708" s="13" t="n">
        <f aca="false">IFERROR(MIN(F4708*Eingaben!$B$19,MAX(0,D4708-H4708)),0)</f>
        <v>0</v>
      </c>
      <c r="J4708" s="13" t="n">
        <f aca="false">IFERROR(MIN(Eingaben!$B$18,MAX(0,F4708-I4708)),0)</f>
        <v>0</v>
      </c>
      <c r="K4708" s="13" t="n">
        <f aca="false">H4708+I4708</f>
        <v>0</v>
      </c>
      <c r="L4708" s="13" t="n">
        <f aca="false">MAX(0,D4708-K4708)</f>
        <v>0</v>
      </c>
      <c r="M4708" s="13" t="n">
        <f aca="false">MAX(0,F4708-I4708-J4708)</f>
        <v>0</v>
      </c>
      <c r="N4708" s="13" t="n">
        <f aca="false">IF(Kalender!A316="",0,J4707-H4708)</f>
        <v>0</v>
      </c>
    </row>
    <row r="4709" customFormat="false" ht="16.4" hidden="false" customHeight="false" outlineLevel="0" collapsed="false">
      <c r="A4709" s="13" t="str">
        <f aca="false">""</f>
        <v/>
      </c>
      <c r="B4709" s="13" t="n">
        <f aca="false">313</f>
        <v>313</v>
      </c>
      <c r="C4709" s="13" t="n">
        <f aca="false">IF(Szenarien!$H$23="OK",(IFERROR(SUMIF(Nutzungsprofile!$B$6:$B$11,"Schulbetrieb",Nutzungsprofile!$G$6:$G$11)*Kalender!C317/SUM(Kalender!$C$5:$C$370),0)+IFERROR(SUMIF(Nutzungsprofile!$B$6:$B$11,"Halle",Nutzungsprofile!$G$6:$G$11)*Kalender!D317/SUM(Kalender!$D$5:$D$370),0)+IFERROR(SUMIF(Nutzungsprofile!$B$6:$B$11,"Individuell",Nutzungsprofile!$G$6:$G$11)*Kalender!E317/SUM(Kalender!$E$5:$E$370),0))*Szenarien!$E$23,0)</f>
        <v>0.9</v>
      </c>
      <c r="D4709" s="13" t="n">
        <f aca="false">IF(Szenarien!$H$23="OK",(IFERROR(SUMIF(Nutzungsprofile!$B$17:$B$22,"Schulbetrieb",Nutzungsprofile!$G$17:$G$22)*Kalender!C317/SUM(Kalender!$C$5:$C$370),0)+IFERROR(SUMIF(Nutzungsprofile!$B$17:$B$22,"Halle",Nutzungsprofile!$G$17:$G$22)*Kalender!D317/SUM(Kalender!$D$5:$D$370),0)+IFERROR(SUMIF(Nutzungsprofile!$B$17:$B$22,"Individuell",Nutzungsprofile!$G$17:$G$22)*Kalender!E317/SUM(Kalender!$E$5:$E$370),0))*Szenarien!$D$23,0)</f>
        <v>4.05</v>
      </c>
      <c r="E4709" s="13" t="n">
        <f aca="false">IFERROR(MIN(C4709,Eingaben!$B$17)*Eingaben!$B$16,0)</f>
        <v>0.855</v>
      </c>
      <c r="F4709" s="13" t="n">
        <f aca="false">IFERROR(E4709*Eingaben!$B$15,0)</f>
        <v>0.7695</v>
      </c>
      <c r="G4709" s="13" t="n">
        <f aca="false">IFERROR(IF(Kalender!A317="",0,J4708*(1-Eingaben!$B$20)),0)</f>
        <v>0</v>
      </c>
      <c r="H4709" s="13" t="n">
        <f aca="false">MIN(G4709,D4709)</f>
        <v>0</v>
      </c>
      <c r="I4709" s="13" t="n">
        <f aca="false">IFERROR(MIN(F4709*Eingaben!$B$19,MAX(0,D4709-H4709)),0)</f>
        <v>0.53865</v>
      </c>
      <c r="J4709" s="13" t="n">
        <f aca="false">IFERROR(MIN(Eingaben!$B$18,MAX(0,F4709-I4709)),0)</f>
        <v>0.23085</v>
      </c>
      <c r="K4709" s="13" t="n">
        <f aca="false">H4709+I4709</f>
        <v>0.53865</v>
      </c>
      <c r="L4709" s="13" t="n">
        <f aca="false">MAX(0,D4709-K4709)</f>
        <v>3.51135</v>
      </c>
      <c r="M4709" s="13" t="n">
        <f aca="false">MAX(0,F4709-I4709-J4709)</f>
        <v>0</v>
      </c>
      <c r="N4709" s="13" t="n">
        <f aca="false">IF(Kalender!A317="",0,J4708-H4709)</f>
        <v>0</v>
      </c>
    </row>
    <row r="4710" customFormat="false" ht="16.4" hidden="false" customHeight="false" outlineLevel="0" collapsed="false">
      <c r="A4710" s="13" t="str">
        <f aca="false">""</f>
        <v/>
      </c>
      <c r="B4710" s="13" t="n">
        <f aca="false">314</f>
        <v>314</v>
      </c>
      <c r="C4710" s="13" t="n">
        <f aca="false">IF(Szenarien!$H$23="OK",(IFERROR(SUMIF(Nutzungsprofile!$B$6:$B$11,"Schulbetrieb",Nutzungsprofile!$G$6:$G$11)*Kalender!C318/SUM(Kalender!$C$5:$C$370),0)+IFERROR(SUMIF(Nutzungsprofile!$B$6:$B$11,"Halle",Nutzungsprofile!$G$6:$G$11)*Kalender!D318/SUM(Kalender!$D$5:$D$370),0)+IFERROR(SUMIF(Nutzungsprofile!$B$6:$B$11,"Individuell",Nutzungsprofile!$G$6:$G$11)*Kalender!E318/SUM(Kalender!$E$5:$E$370),0))*Szenarien!$E$23,0)</f>
        <v>0.9</v>
      </c>
      <c r="D4710" s="13" t="n">
        <f aca="false">IF(Szenarien!$H$23="OK",(IFERROR(SUMIF(Nutzungsprofile!$B$17:$B$22,"Schulbetrieb",Nutzungsprofile!$G$17:$G$22)*Kalender!C318/SUM(Kalender!$C$5:$C$370),0)+IFERROR(SUMIF(Nutzungsprofile!$B$17:$B$22,"Halle",Nutzungsprofile!$G$17:$G$22)*Kalender!D318/SUM(Kalender!$D$5:$D$370),0)+IFERROR(SUMIF(Nutzungsprofile!$B$17:$B$22,"Individuell",Nutzungsprofile!$G$17:$G$22)*Kalender!E318/SUM(Kalender!$E$5:$E$370),0))*Szenarien!$D$23,0)</f>
        <v>4.05</v>
      </c>
      <c r="E4710" s="13" t="n">
        <f aca="false">IFERROR(MIN(C4710,Eingaben!$B$17)*Eingaben!$B$16,0)</f>
        <v>0.855</v>
      </c>
      <c r="F4710" s="13" t="n">
        <f aca="false">IFERROR(E4710*Eingaben!$B$15,0)</f>
        <v>0.7695</v>
      </c>
      <c r="G4710" s="13" t="n">
        <f aca="false">IFERROR(IF(Kalender!A318="",0,J4709*(1-Eingaben!$B$20)),0)</f>
        <v>0.226233</v>
      </c>
      <c r="H4710" s="13" t="n">
        <f aca="false">MIN(G4710,D4710)</f>
        <v>0.226233</v>
      </c>
      <c r="I4710" s="13" t="n">
        <f aca="false">IFERROR(MIN(F4710*Eingaben!$B$19,MAX(0,D4710-H4710)),0)</f>
        <v>0.53865</v>
      </c>
      <c r="J4710" s="13" t="n">
        <f aca="false">IFERROR(MIN(Eingaben!$B$18,MAX(0,F4710-I4710)),0)</f>
        <v>0.23085</v>
      </c>
      <c r="K4710" s="13" t="n">
        <f aca="false">H4710+I4710</f>
        <v>0.764883</v>
      </c>
      <c r="L4710" s="13" t="n">
        <f aca="false">MAX(0,D4710-K4710)</f>
        <v>3.285117</v>
      </c>
      <c r="M4710" s="13" t="n">
        <f aca="false">MAX(0,F4710-I4710-J4710)</f>
        <v>0</v>
      </c>
      <c r="N4710" s="13" t="n">
        <f aca="false">IF(Kalender!A318="",0,J4709-H4710)</f>
        <v>0.00461700000000001</v>
      </c>
    </row>
    <row r="4711" customFormat="false" ht="16.4" hidden="false" customHeight="false" outlineLevel="0" collapsed="false">
      <c r="A4711" s="13" t="str">
        <f aca="false">""</f>
        <v/>
      </c>
      <c r="B4711" s="13" t="n">
        <f aca="false">315</f>
        <v>315</v>
      </c>
      <c r="C4711" s="13" t="n">
        <f aca="false">IF(Szenarien!$H$23="OK",(IFERROR(SUMIF(Nutzungsprofile!$B$6:$B$11,"Schulbetrieb",Nutzungsprofile!$G$6:$G$11)*Kalender!C319/SUM(Kalender!$C$5:$C$370),0)+IFERROR(SUMIF(Nutzungsprofile!$B$6:$B$11,"Halle",Nutzungsprofile!$G$6:$G$11)*Kalender!D319/SUM(Kalender!$D$5:$D$370),0)+IFERROR(SUMIF(Nutzungsprofile!$B$6:$B$11,"Individuell",Nutzungsprofile!$G$6:$G$11)*Kalender!E319/SUM(Kalender!$E$5:$E$370),0))*Szenarien!$E$23,0)</f>
        <v>0.9</v>
      </c>
      <c r="D4711" s="13" t="n">
        <f aca="false">IF(Szenarien!$H$23="OK",(IFERROR(SUMIF(Nutzungsprofile!$B$17:$B$22,"Schulbetrieb",Nutzungsprofile!$G$17:$G$22)*Kalender!C319/SUM(Kalender!$C$5:$C$370),0)+IFERROR(SUMIF(Nutzungsprofile!$B$17:$B$22,"Halle",Nutzungsprofile!$G$17:$G$22)*Kalender!D319/SUM(Kalender!$D$5:$D$370),0)+IFERROR(SUMIF(Nutzungsprofile!$B$17:$B$22,"Individuell",Nutzungsprofile!$G$17:$G$22)*Kalender!E319/SUM(Kalender!$E$5:$E$370),0))*Szenarien!$D$23,0)</f>
        <v>4.05</v>
      </c>
      <c r="E4711" s="13" t="n">
        <f aca="false">IFERROR(MIN(C4711,Eingaben!$B$17)*Eingaben!$B$16,0)</f>
        <v>0.855</v>
      </c>
      <c r="F4711" s="13" t="n">
        <f aca="false">IFERROR(E4711*Eingaben!$B$15,0)</f>
        <v>0.7695</v>
      </c>
      <c r="G4711" s="13" t="n">
        <f aca="false">IFERROR(IF(Kalender!A319="",0,J4710*(1-Eingaben!$B$20)),0)</f>
        <v>0.226233</v>
      </c>
      <c r="H4711" s="13" t="n">
        <f aca="false">MIN(G4711,D4711)</f>
        <v>0.226233</v>
      </c>
      <c r="I4711" s="13" t="n">
        <f aca="false">IFERROR(MIN(F4711*Eingaben!$B$19,MAX(0,D4711-H4711)),0)</f>
        <v>0.53865</v>
      </c>
      <c r="J4711" s="13" t="n">
        <f aca="false">IFERROR(MIN(Eingaben!$B$18,MAX(0,F4711-I4711)),0)</f>
        <v>0.23085</v>
      </c>
      <c r="K4711" s="13" t="n">
        <f aca="false">H4711+I4711</f>
        <v>0.764883</v>
      </c>
      <c r="L4711" s="13" t="n">
        <f aca="false">MAX(0,D4711-K4711)</f>
        <v>3.285117</v>
      </c>
      <c r="M4711" s="13" t="n">
        <f aca="false">MAX(0,F4711-I4711-J4711)</f>
        <v>0</v>
      </c>
      <c r="N4711" s="13" t="n">
        <f aca="false">IF(Kalender!A319="",0,J4710-H4711)</f>
        <v>0.00461700000000001</v>
      </c>
    </row>
    <row r="4712" customFormat="false" ht="16.4" hidden="false" customHeight="false" outlineLevel="0" collapsed="false">
      <c r="A4712" s="13" t="str">
        <f aca="false">""</f>
        <v/>
      </c>
      <c r="B4712" s="13" t="n">
        <f aca="false">316</f>
        <v>316</v>
      </c>
      <c r="C4712" s="13" t="n">
        <f aca="false">IF(Szenarien!$H$23="OK",(IFERROR(SUMIF(Nutzungsprofile!$B$6:$B$11,"Schulbetrieb",Nutzungsprofile!$G$6:$G$11)*Kalender!C320/SUM(Kalender!$C$5:$C$370),0)+IFERROR(SUMIF(Nutzungsprofile!$B$6:$B$11,"Halle",Nutzungsprofile!$G$6:$G$11)*Kalender!D320/SUM(Kalender!$D$5:$D$370),0)+IFERROR(SUMIF(Nutzungsprofile!$B$6:$B$11,"Individuell",Nutzungsprofile!$G$6:$G$11)*Kalender!E320/SUM(Kalender!$E$5:$E$370),0))*Szenarien!$E$23,0)</f>
        <v>0.9</v>
      </c>
      <c r="D4712" s="13" t="n">
        <f aca="false">IF(Szenarien!$H$23="OK",(IFERROR(SUMIF(Nutzungsprofile!$B$17:$B$22,"Schulbetrieb",Nutzungsprofile!$G$17:$G$22)*Kalender!C320/SUM(Kalender!$C$5:$C$370),0)+IFERROR(SUMIF(Nutzungsprofile!$B$17:$B$22,"Halle",Nutzungsprofile!$G$17:$G$22)*Kalender!D320/SUM(Kalender!$D$5:$D$370),0)+IFERROR(SUMIF(Nutzungsprofile!$B$17:$B$22,"Individuell",Nutzungsprofile!$G$17:$G$22)*Kalender!E320/SUM(Kalender!$E$5:$E$370),0))*Szenarien!$D$23,0)</f>
        <v>4.05</v>
      </c>
      <c r="E4712" s="13" t="n">
        <f aca="false">IFERROR(MIN(C4712,Eingaben!$B$17)*Eingaben!$B$16,0)</f>
        <v>0.855</v>
      </c>
      <c r="F4712" s="13" t="n">
        <f aca="false">IFERROR(E4712*Eingaben!$B$15,0)</f>
        <v>0.7695</v>
      </c>
      <c r="G4712" s="13" t="n">
        <f aca="false">IFERROR(IF(Kalender!A320="",0,J4711*(1-Eingaben!$B$20)),0)</f>
        <v>0.226233</v>
      </c>
      <c r="H4712" s="13" t="n">
        <f aca="false">MIN(G4712,D4712)</f>
        <v>0.226233</v>
      </c>
      <c r="I4712" s="13" t="n">
        <f aca="false">IFERROR(MIN(F4712*Eingaben!$B$19,MAX(0,D4712-H4712)),0)</f>
        <v>0.53865</v>
      </c>
      <c r="J4712" s="13" t="n">
        <f aca="false">IFERROR(MIN(Eingaben!$B$18,MAX(0,F4712-I4712)),0)</f>
        <v>0.23085</v>
      </c>
      <c r="K4712" s="13" t="n">
        <f aca="false">H4712+I4712</f>
        <v>0.764883</v>
      </c>
      <c r="L4712" s="13" t="n">
        <f aca="false">MAX(0,D4712-K4712)</f>
        <v>3.285117</v>
      </c>
      <c r="M4712" s="13" t="n">
        <f aca="false">MAX(0,F4712-I4712-J4712)</f>
        <v>0</v>
      </c>
      <c r="N4712" s="13" t="n">
        <f aca="false">IF(Kalender!A320="",0,J4711-H4712)</f>
        <v>0.00461700000000001</v>
      </c>
    </row>
    <row r="4713" customFormat="false" ht="16.4" hidden="false" customHeight="false" outlineLevel="0" collapsed="false">
      <c r="A4713" s="13" t="str">
        <f aca="false">""</f>
        <v/>
      </c>
      <c r="B4713" s="13" t="n">
        <f aca="false">317</f>
        <v>317</v>
      </c>
      <c r="C4713" s="13" t="n">
        <f aca="false">IF(Szenarien!$H$23="OK",(IFERROR(SUMIF(Nutzungsprofile!$B$6:$B$11,"Schulbetrieb",Nutzungsprofile!$G$6:$G$11)*Kalender!C321/SUM(Kalender!$C$5:$C$370),0)+IFERROR(SUMIF(Nutzungsprofile!$B$6:$B$11,"Halle",Nutzungsprofile!$G$6:$G$11)*Kalender!D321/SUM(Kalender!$D$5:$D$370),0)+IFERROR(SUMIF(Nutzungsprofile!$B$6:$B$11,"Individuell",Nutzungsprofile!$G$6:$G$11)*Kalender!E321/SUM(Kalender!$E$5:$E$370),0))*Szenarien!$E$23,0)</f>
        <v>0.9</v>
      </c>
      <c r="D4713" s="13" t="n">
        <f aca="false">IF(Szenarien!$H$23="OK",(IFERROR(SUMIF(Nutzungsprofile!$B$17:$B$22,"Schulbetrieb",Nutzungsprofile!$G$17:$G$22)*Kalender!C321/SUM(Kalender!$C$5:$C$370),0)+IFERROR(SUMIF(Nutzungsprofile!$B$17:$B$22,"Halle",Nutzungsprofile!$G$17:$G$22)*Kalender!D321/SUM(Kalender!$D$5:$D$370),0)+IFERROR(SUMIF(Nutzungsprofile!$B$17:$B$22,"Individuell",Nutzungsprofile!$G$17:$G$22)*Kalender!E321/SUM(Kalender!$E$5:$E$370),0))*Szenarien!$D$23,0)</f>
        <v>4.05</v>
      </c>
      <c r="E4713" s="13" t="n">
        <f aca="false">IFERROR(MIN(C4713,Eingaben!$B$17)*Eingaben!$B$16,0)</f>
        <v>0.855</v>
      </c>
      <c r="F4713" s="13" t="n">
        <f aca="false">IFERROR(E4713*Eingaben!$B$15,0)</f>
        <v>0.7695</v>
      </c>
      <c r="G4713" s="13" t="n">
        <f aca="false">IFERROR(IF(Kalender!A321="",0,J4712*(1-Eingaben!$B$20)),0)</f>
        <v>0.226233</v>
      </c>
      <c r="H4713" s="13" t="n">
        <f aca="false">MIN(G4713,D4713)</f>
        <v>0.226233</v>
      </c>
      <c r="I4713" s="13" t="n">
        <f aca="false">IFERROR(MIN(F4713*Eingaben!$B$19,MAX(0,D4713-H4713)),0)</f>
        <v>0.53865</v>
      </c>
      <c r="J4713" s="13" t="n">
        <f aca="false">IFERROR(MIN(Eingaben!$B$18,MAX(0,F4713-I4713)),0)</f>
        <v>0.23085</v>
      </c>
      <c r="K4713" s="13" t="n">
        <f aca="false">H4713+I4713</f>
        <v>0.764883</v>
      </c>
      <c r="L4713" s="13" t="n">
        <f aca="false">MAX(0,D4713-K4713)</f>
        <v>3.285117</v>
      </c>
      <c r="M4713" s="13" t="n">
        <f aca="false">MAX(0,F4713-I4713-J4713)</f>
        <v>0</v>
      </c>
      <c r="N4713" s="13" t="n">
        <f aca="false">IF(Kalender!A321="",0,J4712-H4713)</f>
        <v>0.00461700000000001</v>
      </c>
    </row>
    <row r="4714" customFormat="false" ht="16.4" hidden="false" customHeight="false" outlineLevel="0" collapsed="false">
      <c r="A4714" s="13" t="str">
        <f aca="false">""</f>
        <v/>
      </c>
      <c r="B4714" s="13" t="n">
        <f aca="false">318</f>
        <v>318</v>
      </c>
      <c r="C4714" s="13" t="n">
        <f aca="false">IF(Szenarien!$H$23="OK",(IFERROR(SUMIF(Nutzungsprofile!$B$6:$B$11,"Schulbetrieb",Nutzungsprofile!$G$6:$G$11)*Kalender!C322/SUM(Kalender!$C$5:$C$370),0)+IFERROR(SUMIF(Nutzungsprofile!$B$6:$B$11,"Halle",Nutzungsprofile!$G$6:$G$11)*Kalender!D322/SUM(Kalender!$D$5:$D$370),0)+IFERROR(SUMIF(Nutzungsprofile!$B$6:$B$11,"Individuell",Nutzungsprofile!$G$6:$G$11)*Kalender!E322/SUM(Kalender!$E$5:$E$370),0))*Szenarien!$E$23,0)</f>
        <v>0</v>
      </c>
      <c r="D4714" s="13" t="n">
        <f aca="false">IF(Szenarien!$H$23="OK",(IFERROR(SUMIF(Nutzungsprofile!$B$17:$B$22,"Schulbetrieb",Nutzungsprofile!$G$17:$G$22)*Kalender!C322/SUM(Kalender!$C$5:$C$370),0)+IFERROR(SUMIF(Nutzungsprofile!$B$17:$B$22,"Halle",Nutzungsprofile!$G$17:$G$22)*Kalender!D322/SUM(Kalender!$D$5:$D$370),0)+IFERROR(SUMIF(Nutzungsprofile!$B$17:$B$22,"Individuell",Nutzungsprofile!$G$17:$G$22)*Kalender!E322/SUM(Kalender!$E$5:$E$370),0))*Szenarien!$D$23,0)</f>
        <v>0</v>
      </c>
      <c r="E4714" s="13" t="n">
        <f aca="false">IFERROR(MIN(C4714,Eingaben!$B$17)*Eingaben!$B$16,0)</f>
        <v>0</v>
      </c>
      <c r="F4714" s="13" t="n">
        <f aca="false">IFERROR(E4714*Eingaben!$B$15,0)</f>
        <v>0</v>
      </c>
      <c r="G4714" s="13" t="n">
        <f aca="false">IFERROR(IF(Kalender!A322="",0,J4713*(1-Eingaben!$B$20)),0)</f>
        <v>0.226233</v>
      </c>
      <c r="H4714" s="13" t="n">
        <f aca="false">MIN(G4714,D4714)</f>
        <v>0</v>
      </c>
      <c r="I4714" s="13" t="n">
        <f aca="false">IFERROR(MIN(F4714*Eingaben!$B$19,MAX(0,D4714-H4714)),0)</f>
        <v>0</v>
      </c>
      <c r="J4714" s="13" t="n">
        <f aca="false">IFERROR(MIN(Eingaben!$B$18,MAX(0,F4714-I4714)),0)</f>
        <v>0</v>
      </c>
      <c r="K4714" s="13" t="n">
        <f aca="false">H4714+I4714</f>
        <v>0</v>
      </c>
      <c r="L4714" s="13" t="n">
        <f aca="false">MAX(0,D4714-K4714)</f>
        <v>0</v>
      </c>
      <c r="M4714" s="13" t="n">
        <f aca="false">MAX(0,F4714-I4714-J4714)</f>
        <v>0</v>
      </c>
      <c r="N4714" s="13" t="n">
        <f aca="false">IF(Kalender!A322="",0,J4713-H4714)</f>
        <v>0.23085</v>
      </c>
    </row>
    <row r="4715" customFormat="false" ht="16.4" hidden="false" customHeight="false" outlineLevel="0" collapsed="false">
      <c r="A4715" s="13" t="str">
        <f aca="false">""</f>
        <v/>
      </c>
      <c r="B4715" s="13" t="n">
        <f aca="false">319</f>
        <v>319</v>
      </c>
      <c r="C4715" s="13" t="n">
        <f aca="false">IF(Szenarien!$H$23="OK",(IFERROR(SUMIF(Nutzungsprofile!$B$6:$B$11,"Schulbetrieb",Nutzungsprofile!$G$6:$G$11)*Kalender!C323/SUM(Kalender!$C$5:$C$370),0)+IFERROR(SUMIF(Nutzungsprofile!$B$6:$B$11,"Halle",Nutzungsprofile!$G$6:$G$11)*Kalender!D323/SUM(Kalender!$D$5:$D$370),0)+IFERROR(SUMIF(Nutzungsprofile!$B$6:$B$11,"Individuell",Nutzungsprofile!$G$6:$G$11)*Kalender!E323/SUM(Kalender!$E$5:$E$370),0))*Szenarien!$E$23,0)</f>
        <v>0</v>
      </c>
      <c r="D4715" s="13" t="n">
        <f aca="false">IF(Szenarien!$H$23="OK",(IFERROR(SUMIF(Nutzungsprofile!$B$17:$B$22,"Schulbetrieb",Nutzungsprofile!$G$17:$G$22)*Kalender!C323/SUM(Kalender!$C$5:$C$370),0)+IFERROR(SUMIF(Nutzungsprofile!$B$17:$B$22,"Halle",Nutzungsprofile!$G$17:$G$22)*Kalender!D323/SUM(Kalender!$D$5:$D$370),0)+IFERROR(SUMIF(Nutzungsprofile!$B$17:$B$22,"Individuell",Nutzungsprofile!$G$17:$G$22)*Kalender!E323/SUM(Kalender!$E$5:$E$370),0))*Szenarien!$D$23,0)</f>
        <v>0</v>
      </c>
      <c r="E4715" s="13" t="n">
        <f aca="false">IFERROR(MIN(C4715,Eingaben!$B$17)*Eingaben!$B$16,0)</f>
        <v>0</v>
      </c>
      <c r="F4715" s="13" t="n">
        <f aca="false">IFERROR(E4715*Eingaben!$B$15,0)</f>
        <v>0</v>
      </c>
      <c r="G4715" s="13" t="n">
        <f aca="false">IFERROR(IF(Kalender!A323="",0,J4714*(1-Eingaben!$B$20)),0)</f>
        <v>0</v>
      </c>
      <c r="H4715" s="13" t="n">
        <f aca="false">MIN(G4715,D4715)</f>
        <v>0</v>
      </c>
      <c r="I4715" s="13" t="n">
        <f aca="false">IFERROR(MIN(F4715*Eingaben!$B$19,MAX(0,D4715-H4715)),0)</f>
        <v>0</v>
      </c>
      <c r="J4715" s="13" t="n">
        <f aca="false">IFERROR(MIN(Eingaben!$B$18,MAX(0,F4715-I4715)),0)</f>
        <v>0</v>
      </c>
      <c r="K4715" s="13" t="n">
        <f aca="false">H4715+I4715</f>
        <v>0</v>
      </c>
      <c r="L4715" s="13" t="n">
        <f aca="false">MAX(0,D4715-K4715)</f>
        <v>0</v>
      </c>
      <c r="M4715" s="13" t="n">
        <f aca="false">MAX(0,F4715-I4715-J4715)</f>
        <v>0</v>
      </c>
      <c r="N4715" s="13" t="n">
        <f aca="false">IF(Kalender!A323="",0,J4714-H4715)</f>
        <v>0</v>
      </c>
    </row>
    <row r="4716" customFormat="false" ht="16.4" hidden="false" customHeight="false" outlineLevel="0" collapsed="false">
      <c r="A4716" s="13" t="str">
        <f aca="false">""</f>
        <v/>
      </c>
      <c r="B4716" s="13" t="n">
        <f aca="false">320</f>
        <v>320</v>
      </c>
      <c r="C4716" s="13" t="n">
        <f aca="false">IF(Szenarien!$H$23="OK",(IFERROR(SUMIF(Nutzungsprofile!$B$6:$B$11,"Schulbetrieb",Nutzungsprofile!$G$6:$G$11)*Kalender!C324/SUM(Kalender!$C$5:$C$370),0)+IFERROR(SUMIF(Nutzungsprofile!$B$6:$B$11,"Halle",Nutzungsprofile!$G$6:$G$11)*Kalender!D324/SUM(Kalender!$D$5:$D$370),0)+IFERROR(SUMIF(Nutzungsprofile!$B$6:$B$11,"Individuell",Nutzungsprofile!$G$6:$G$11)*Kalender!E324/SUM(Kalender!$E$5:$E$370),0))*Szenarien!$E$23,0)</f>
        <v>0.9</v>
      </c>
      <c r="D4716" s="13" t="n">
        <f aca="false">IF(Szenarien!$H$23="OK",(IFERROR(SUMIF(Nutzungsprofile!$B$17:$B$22,"Schulbetrieb",Nutzungsprofile!$G$17:$G$22)*Kalender!C324/SUM(Kalender!$C$5:$C$370),0)+IFERROR(SUMIF(Nutzungsprofile!$B$17:$B$22,"Halle",Nutzungsprofile!$G$17:$G$22)*Kalender!D324/SUM(Kalender!$D$5:$D$370),0)+IFERROR(SUMIF(Nutzungsprofile!$B$17:$B$22,"Individuell",Nutzungsprofile!$G$17:$G$22)*Kalender!E324/SUM(Kalender!$E$5:$E$370),0))*Szenarien!$D$23,0)</f>
        <v>4.05</v>
      </c>
      <c r="E4716" s="13" t="n">
        <f aca="false">IFERROR(MIN(C4716,Eingaben!$B$17)*Eingaben!$B$16,0)</f>
        <v>0.855</v>
      </c>
      <c r="F4716" s="13" t="n">
        <f aca="false">IFERROR(E4716*Eingaben!$B$15,0)</f>
        <v>0.7695</v>
      </c>
      <c r="G4716" s="13" t="n">
        <f aca="false">IFERROR(IF(Kalender!A324="",0,J4715*(1-Eingaben!$B$20)),0)</f>
        <v>0</v>
      </c>
      <c r="H4716" s="13" t="n">
        <f aca="false">MIN(G4716,D4716)</f>
        <v>0</v>
      </c>
      <c r="I4716" s="13" t="n">
        <f aca="false">IFERROR(MIN(F4716*Eingaben!$B$19,MAX(0,D4716-H4716)),0)</f>
        <v>0.53865</v>
      </c>
      <c r="J4716" s="13" t="n">
        <f aca="false">IFERROR(MIN(Eingaben!$B$18,MAX(0,F4716-I4716)),0)</f>
        <v>0.23085</v>
      </c>
      <c r="K4716" s="13" t="n">
        <f aca="false">H4716+I4716</f>
        <v>0.53865</v>
      </c>
      <c r="L4716" s="13" t="n">
        <f aca="false">MAX(0,D4716-K4716)</f>
        <v>3.51135</v>
      </c>
      <c r="M4716" s="13" t="n">
        <f aca="false">MAX(0,F4716-I4716-J4716)</f>
        <v>0</v>
      </c>
      <c r="N4716" s="13" t="n">
        <f aca="false">IF(Kalender!A324="",0,J4715-H4716)</f>
        <v>0</v>
      </c>
    </row>
    <row r="4717" customFormat="false" ht="16.4" hidden="false" customHeight="false" outlineLevel="0" collapsed="false">
      <c r="A4717" s="13" t="str">
        <f aca="false">""</f>
        <v/>
      </c>
      <c r="B4717" s="13" t="n">
        <f aca="false">321</f>
        <v>321</v>
      </c>
      <c r="C4717" s="13" t="n">
        <f aca="false">IF(Szenarien!$H$23="OK",(IFERROR(SUMIF(Nutzungsprofile!$B$6:$B$11,"Schulbetrieb",Nutzungsprofile!$G$6:$G$11)*Kalender!C325/SUM(Kalender!$C$5:$C$370),0)+IFERROR(SUMIF(Nutzungsprofile!$B$6:$B$11,"Halle",Nutzungsprofile!$G$6:$G$11)*Kalender!D325/SUM(Kalender!$D$5:$D$370),0)+IFERROR(SUMIF(Nutzungsprofile!$B$6:$B$11,"Individuell",Nutzungsprofile!$G$6:$G$11)*Kalender!E325/SUM(Kalender!$E$5:$E$370),0))*Szenarien!$E$23,0)</f>
        <v>0.9</v>
      </c>
      <c r="D4717" s="13" t="n">
        <f aca="false">IF(Szenarien!$H$23="OK",(IFERROR(SUMIF(Nutzungsprofile!$B$17:$B$22,"Schulbetrieb",Nutzungsprofile!$G$17:$G$22)*Kalender!C325/SUM(Kalender!$C$5:$C$370),0)+IFERROR(SUMIF(Nutzungsprofile!$B$17:$B$22,"Halle",Nutzungsprofile!$G$17:$G$22)*Kalender!D325/SUM(Kalender!$D$5:$D$370),0)+IFERROR(SUMIF(Nutzungsprofile!$B$17:$B$22,"Individuell",Nutzungsprofile!$G$17:$G$22)*Kalender!E325/SUM(Kalender!$E$5:$E$370),0))*Szenarien!$D$23,0)</f>
        <v>4.05</v>
      </c>
      <c r="E4717" s="13" t="n">
        <f aca="false">IFERROR(MIN(C4717,Eingaben!$B$17)*Eingaben!$B$16,0)</f>
        <v>0.855</v>
      </c>
      <c r="F4717" s="13" t="n">
        <f aca="false">IFERROR(E4717*Eingaben!$B$15,0)</f>
        <v>0.7695</v>
      </c>
      <c r="G4717" s="13" t="n">
        <f aca="false">IFERROR(IF(Kalender!A325="",0,J4716*(1-Eingaben!$B$20)),0)</f>
        <v>0.226233</v>
      </c>
      <c r="H4717" s="13" t="n">
        <f aca="false">MIN(G4717,D4717)</f>
        <v>0.226233</v>
      </c>
      <c r="I4717" s="13" t="n">
        <f aca="false">IFERROR(MIN(F4717*Eingaben!$B$19,MAX(0,D4717-H4717)),0)</f>
        <v>0.53865</v>
      </c>
      <c r="J4717" s="13" t="n">
        <f aca="false">IFERROR(MIN(Eingaben!$B$18,MAX(0,F4717-I4717)),0)</f>
        <v>0.23085</v>
      </c>
      <c r="K4717" s="13" t="n">
        <f aca="false">H4717+I4717</f>
        <v>0.764883</v>
      </c>
      <c r="L4717" s="13" t="n">
        <f aca="false">MAX(0,D4717-K4717)</f>
        <v>3.285117</v>
      </c>
      <c r="M4717" s="13" t="n">
        <f aca="false">MAX(0,F4717-I4717-J4717)</f>
        <v>0</v>
      </c>
      <c r="N4717" s="13" t="n">
        <f aca="false">IF(Kalender!A325="",0,J4716-H4717)</f>
        <v>0.00461700000000001</v>
      </c>
    </row>
    <row r="4718" customFormat="false" ht="16.4" hidden="false" customHeight="false" outlineLevel="0" collapsed="false">
      <c r="A4718" s="13" t="str">
        <f aca="false">""</f>
        <v/>
      </c>
      <c r="B4718" s="13" t="n">
        <f aca="false">322</f>
        <v>322</v>
      </c>
      <c r="C4718" s="13" t="n">
        <f aca="false">IF(Szenarien!$H$23="OK",(IFERROR(SUMIF(Nutzungsprofile!$B$6:$B$11,"Schulbetrieb",Nutzungsprofile!$G$6:$G$11)*Kalender!C326/SUM(Kalender!$C$5:$C$370),0)+IFERROR(SUMIF(Nutzungsprofile!$B$6:$B$11,"Halle",Nutzungsprofile!$G$6:$G$11)*Kalender!D326/SUM(Kalender!$D$5:$D$370),0)+IFERROR(SUMIF(Nutzungsprofile!$B$6:$B$11,"Individuell",Nutzungsprofile!$G$6:$G$11)*Kalender!E326/SUM(Kalender!$E$5:$E$370),0))*Szenarien!$E$23,0)</f>
        <v>0.9</v>
      </c>
      <c r="D4718" s="13" t="n">
        <f aca="false">IF(Szenarien!$H$23="OK",(IFERROR(SUMIF(Nutzungsprofile!$B$17:$B$22,"Schulbetrieb",Nutzungsprofile!$G$17:$G$22)*Kalender!C326/SUM(Kalender!$C$5:$C$370),0)+IFERROR(SUMIF(Nutzungsprofile!$B$17:$B$22,"Halle",Nutzungsprofile!$G$17:$G$22)*Kalender!D326/SUM(Kalender!$D$5:$D$370),0)+IFERROR(SUMIF(Nutzungsprofile!$B$17:$B$22,"Individuell",Nutzungsprofile!$G$17:$G$22)*Kalender!E326/SUM(Kalender!$E$5:$E$370),0))*Szenarien!$D$23,0)</f>
        <v>4.05</v>
      </c>
      <c r="E4718" s="13" t="n">
        <f aca="false">IFERROR(MIN(C4718,Eingaben!$B$17)*Eingaben!$B$16,0)</f>
        <v>0.855</v>
      </c>
      <c r="F4718" s="13" t="n">
        <f aca="false">IFERROR(E4718*Eingaben!$B$15,0)</f>
        <v>0.7695</v>
      </c>
      <c r="G4718" s="13" t="n">
        <f aca="false">IFERROR(IF(Kalender!A326="",0,J4717*(1-Eingaben!$B$20)),0)</f>
        <v>0.226233</v>
      </c>
      <c r="H4718" s="13" t="n">
        <f aca="false">MIN(G4718,D4718)</f>
        <v>0.226233</v>
      </c>
      <c r="I4718" s="13" t="n">
        <f aca="false">IFERROR(MIN(F4718*Eingaben!$B$19,MAX(0,D4718-H4718)),0)</f>
        <v>0.53865</v>
      </c>
      <c r="J4718" s="13" t="n">
        <f aca="false">IFERROR(MIN(Eingaben!$B$18,MAX(0,F4718-I4718)),0)</f>
        <v>0.23085</v>
      </c>
      <c r="K4718" s="13" t="n">
        <f aca="false">H4718+I4718</f>
        <v>0.764883</v>
      </c>
      <c r="L4718" s="13" t="n">
        <f aca="false">MAX(0,D4718-K4718)</f>
        <v>3.285117</v>
      </c>
      <c r="M4718" s="13" t="n">
        <f aca="false">MAX(0,F4718-I4718-J4718)</f>
        <v>0</v>
      </c>
      <c r="N4718" s="13" t="n">
        <f aca="false">IF(Kalender!A326="",0,J4717-H4718)</f>
        <v>0.00461700000000001</v>
      </c>
    </row>
    <row r="4719" customFormat="false" ht="16.4" hidden="false" customHeight="false" outlineLevel="0" collapsed="false">
      <c r="A4719" s="13" t="str">
        <f aca="false">""</f>
        <v/>
      </c>
      <c r="B4719" s="13" t="n">
        <f aca="false">323</f>
        <v>323</v>
      </c>
      <c r="C4719" s="13" t="n">
        <f aca="false">IF(Szenarien!$H$23="OK",(IFERROR(SUMIF(Nutzungsprofile!$B$6:$B$11,"Schulbetrieb",Nutzungsprofile!$G$6:$G$11)*Kalender!C327/SUM(Kalender!$C$5:$C$370),0)+IFERROR(SUMIF(Nutzungsprofile!$B$6:$B$11,"Halle",Nutzungsprofile!$G$6:$G$11)*Kalender!D327/SUM(Kalender!$D$5:$D$370),0)+IFERROR(SUMIF(Nutzungsprofile!$B$6:$B$11,"Individuell",Nutzungsprofile!$G$6:$G$11)*Kalender!E327/SUM(Kalender!$E$5:$E$370),0))*Szenarien!$E$23,0)</f>
        <v>0.9</v>
      </c>
      <c r="D4719" s="13" t="n">
        <f aca="false">IF(Szenarien!$H$23="OK",(IFERROR(SUMIF(Nutzungsprofile!$B$17:$B$22,"Schulbetrieb",Nutzungsprofile!$G$17:$G$22)*Kalender!C327/SUM(Kalender!$C$5:$C$370),0)+IFERROR(SUMIF(Nutzungsprofile!$B$17:$B$22,"Halle",Nutzungsprofile!$G$17:$G$22)*Kalender!D327/SUM(Kalender!$D$5:$D$370),0)+IFERROR(SUMIF(Nutzungsprofile!$B$17:$B$22,"Individuell",Nutzungsprofile!$G$17:$G$22)*Kalender!E327/SUM(Kalender!$E$5:$E$370),0))*Szenarien!$D$23,0)</f>
        <v>4.05</v>
      </c>
      <c r="E4719" s="13" t="n">
        <f aca="false">IFERROR(MIN(C4719,Eingaben!$B$17)*Eingaben!$B$16,0)</f>
        <v>0.855</v>
      </c>
      <c r="F4719" s="13" t="n">
        <f aca="false">IFERROR(E4719*Eingaben!$B$15,0)</f>
        <v>0.7695</v>
      </c>
      <c r="G4719" s="13" t="n">
        <f aca="false">IFERROR(IF(Kalender!A327="",0,J4718*(1-Eingaben!$B$20)),0)</f>
        <v>0.226233</v>
      </c>
      <c r="H4719" s="13" t="n">
        <f aca="false">MIN(G4719,D4719)</f>
        <v>0.226233</v>
      </c>
      <c r="I4719" s="13" t="n">
        <f aca="false">IFERROR(MIN(F4719*Eingaben!$B$19,MAX(0,D4719-H4719)),0)</f>
        <v>0.53865</v>
      </c>
      <c r="J4719" s="13" t="n">
        <f aca="false">IFERROR(MIN(Eingaben!$B$18,MAX(0,F4719-I4719)),0)</f>
        <v>0.23085</v>
      </c>
      <c r="K4719" s="13" t="n">
        <f aca="false">H4719+I4719</f>
        <v>0.764883</v>
      </c>
      <c r="L4719" s="13" t="n">
        <f aca="false">MAX(0,D4719-K4719)</f>
        <v>3.285117</v>
      </c>
      <c r="M4719" s="13" t="n">
        <f aca="false">MAX(0,F4719-I4719-J4719)</f>
        <v>0</v>
      </c>
      <c r="N4719" s="13" t="n">
        <f aca="false">IF(Kalender!A327="",0,J4718-H4719)</f>
        <v>0.00461700000000001</v>
      </c>
    </row>
    <row r="4720" customFormat="false" ht="16.4" hidden="false" customHeight="false" outlineLevel="0" collapsed="false">
      <c r="A4720" s="13" t="str">
        <f aca="false">""</f>
        <v/>
      </c>
      <c r="B4720" s="13" t="n">
        <f aca="false">324</f>
        <v>324</v>
      </c>
      <c r="C4720" s="13" t="n">
        <f aca="false">IF(Szenarien!$H$23="OK",(IFERROR(SUMIF(Nutzungsprofile!$B$6:$B$11,"Schulbetrieb",Nutzungsprofile!$G$6:$G$11)*Kalender!C328/SUM(Kalender!$C$5:$C$370),0)+IFERROR(SUMIF(Nutzungsprofile!$B$6:$B$11,"Halle",Nutzungsprofile!$G$6:$G$11)*Kalender!D328/SUM(Kalender!$D$5:$D$370),0)+IFERROR(SUMIF(Nutzungsprofile!$B$6:$B$11,"Individuell",Nutzungsprofile!$G$6:$G$11)*Kalender!E328/SUM(Kalender!$E$5:$E$370),0))*Szenarien!$E$23,0)</f>
        <v>0.9</v>
      </c>
      <c r="D4720" s="13" t="n">
        <f aca="false">IF(Szenarien!$H$23="OK",(IFERROR(SUMIF(Nutzungsprofile!$B$17:$B$22,"Schulbetrieb",Nutzungsprofile!$G$17:$G$22)*Kalender!C328/SUM(Kalender!$C$5:$C$370),0)+IFERROR(SUMIF(Nutzungsprofile!$B$17:$B$22,"Halle",Nutzungsprofile!$G$17:$G$22)*Kalender!D328/SUM(Kalender!$D$5:$D$370),0)+IFERROR(SUMIF(Nutzungsprofile!$B$17:$B$22,"Individuell",Nutzungsprofile!$G$17:$G$22)*Kalender!E328/SUM(Kalender!$E$5:$E$370),0))*Szenarien!$D$23,0)</f>
        <v>4.05</v>
      </c>
      <c r="E4720" s="13" t="n">
        <f aca="false">IFERROR(MIN(C4720,Eingaben!$B$17)*Eingaben!$B$16,0)</f>
        <v>0.855</v>
      </c>
      <c r="F4720" s="13" t="n">
        <f aca="false">IFERROR(E4720*Eingaben!$B$15,0)</f>
        <v>0.7695</v>
      </c>
      <c r="G4720" s="13" t="n">
        <f aca="false">IFERROR(IF(Kalender!A328="",0,J4719*(1-Eingaben!$B$20)),0)</f>
        <v>0.226233</v>
      </c>
      <c r="H4720" s="13" t="n">
        <f aca="false">MIN(G4720,D4720)</f>
        <v>0.226233</v>
      </c>
      <c r="I4720" s="13" t="n">
        <f aca="false">IFERROR(MIN(F4720*Eingaben!$B$19,MAX(0,D4720-H4720)),0)</f>
        <v>0.53865</v>
      </c>
      <c r="J4720" s="13" t="n">
        <f aca="false">IFERROR(MIN(Eingaben!$B$18,MAX(0,F4720-I4720)),0)</f>
        <v>0.23085</v>
      </c>
      <c r="K4720" s="13" t="n">
        <f aca="false">H4720+I4720</f>
        <v>0.764883</v>
      </c>
      <c r="L4720" s="13" t="n">
        <f aca="false">MAX(0,D4720-K4720)</f>
        <v>3.285117</v>
      </c>
      <c r="M4720" s="13" t="n">
        <f aca="false">MAX(0,F4720-I4720-J4720)</f>
        <v>0</v>
      </c>
      <c r="N4720" s="13" t="n">
        <f aca="false">IF(Kalender!A328="",0,J4719-H4720)</f>
        <v>0.00461700000000001</v>
      </c>
    </row>
    <row r="4721" customFormat="false" ht="16.4" hidden="false" customHeight="false" outlineLevel="0" collapsed="false">
      <c r="A4721" s="13" t="str">
        <f aca="false">""</f>
        <v/>
      </c>
      <c r="B4721" s="13" t="n">
        <f aca="false">325</f>
        <v>325</v>
      </c>
      <c r="C4721" s="13" t="n">
        <f aca="false">IF(Szenarien!$H$23="OK",(IFERROR(SUMIF(Nutzungsprofile!$B$6:$B$11,"Schulbetrieb",Nutzungsprofile!$G$6:$G$11)*Kalender!C329/SUM(Kalender!$C$5:$C$370),0)+IFERROR(SUMIF(Nutzungsprofile!$B$6:$B$11,"Halle",Nutzungsprofile!$G$6:$G$11)*Kalender!D329/SUM(Kalender!$D$5:$D$370),0)+IFERROR(SUMIF(Nutzungsprofile!$B$6:$B$11,"Individuell",Nutzungsprofile!$G$6:$G$11)*Kalender!E329/SUM(Kalender!$E$5:$E$370),0))*Szenarien!$E$23,0)</f>
        <v>0</v>
      </c>
      <c r="D4721" s="13" t="n">
        <f aca="false">IF(Szenarien!$H$23="OK",(IFERROR(SUMIF(Nutzungsprofile!$B$17:$B$22,"Schulbetrieb",Nutzungsprofile!$G$17:$G$22)*Kalender!C329/SUM(Kalender!$C$5:$C$370),0)+IFERROR(SUMIF(Nutzungsprofile!$B$17:$B$22,"Halle",Nutzungsprofile!$G$17:$G$22)*Kalender!D329/SUM(Kalender!$D$5:$D$370),0)+IFERROR(SUMIF(Nutzungsprofile!$B$17:$B$22,"Individuell",Nutzungsprofile!$G$17:$G$22)*Kalender!E329/SUM(Kalender!$E$5:$E$370),0))*Szenarien!$D$23,0)</f>
        <v>0</v>
      </c>
      <c r="E4721" s="13" t="n">
        <f aca="false">IFERROR(MIN(C4721,Eingaben!$B$17)*Eingaben!$B$16,0)</f>
        <v>0</v>
      </c>
      <c r="F4721" s="13" t="n">
        <f aca="false">IFERROR(E4721*Eingaben!$B$15,0)</f>
        <v>0</v>
      </c>
      <c r="G4721" s="13" t="n">
        <f aca="false">IFERROR(IF(Kalender!A329="",0,J4720*(1-Eingaben!$B$20)),0)</f>
        <v>0.226233</v>
      </c>
      <c r="H4721" s="13" t="n">
        <f aca="false">MIN(G4721,D4721)</f>
        <v>0</v>
      </c>
      <c r="I4721" s="13" t="n">
        <f aca="false">IFERROR(MIN(F4721*Eingaben!$B$19,MAX(0,D4721-H4721)),0)</f>
        <v>0</v>
      </c>
      <c r="J4721" s="13" t="n">
        <f aca="false">IFERROR(MIN(Eingaben!$B$18,MAX(0,F4721-I4721)),0)</f>
        <v>0</v>
      </c>
      <c r="K4721" s="13" t="n">
        <f aca="false">H4721+I4721</f>
        <v>0</v>
      </c>
      <c r="L4721" s="13" t="n">
        <f aca="false">MAX(0,D4721-K4721)</f>
        <v>0</v>
      </c>
      <c r="M4721" s="13" t="n">
        <f aca="false">MAX(0,F4721-I4721-J4721)</f>
        <v>0</v>
      </c>
      <c r="N4721" s="13" t="n">
        <f aca="false">IF(Kalender!A329="",0,J4720-H4721)</f>
        <v>0.23085</v>
      </c>
    </row>
    <row r="4722" customFormat="false" ht="16.4" hidden="false" customHeight="false" outlineLevel="0" collapsed="false">
      <c r="A4722" s="13" t="str">
        <f aca="false">""</f>
        <v/>
      </c>
      <c r="B4722" s="13" t="n">
        <f aca="false">326</f>
        <v>326</v>
      </c>
      <c r="C4722" s="13" t="n">
        <f aca="false">IF(Szenarien!$H$23="OK",(IFERROR(SUMIF(Nutzungsprofile!$B$6:$B$11,"Schulbetrieb",Nutzungsprofile!$G$6:$G$11)*Kalender!C330/SUM(Kalender!$C$5:$C$370),0)+IFERROR(SUMIF(Nutzungsprofile!$B$6:$B$11,"Halle",Nutzungsprofile!$G$6:$G$11)*Kalender!D330/SUM(Kalender!$D$5:$D$370),0)+IFERROR(SUMIF(Nutzungsprofile!$B$6:$B$11,"Individuell",Nutzungsprofile!$G$6:$G$11)*Kalender!E330/SUM(Kalender!$E$5:$E$370),0))*Szenarien!$E$23,0)</f>
        <v>0</v>
      </c>
      <c r="D4722" s="13" t="n">
        <f aca="false">IF(Szenarien!$H$23="OK",(IFERROR(SUMIF(Nutzungsprofile!$B$17:$B$22,"Schulbetrieb",Nutzungsprofile!$G$17:$G$22)*Kalender!C330/SUM(Kalender!$C$5:$C$370),0)+IFERROR(SUMIF(Nutzungsprofile!$B$17:$B$22,"Halle",Nutzungsprofile!$G$17:$G$22)*Kalender!D330/SUM(Kalender!$D$5:$D$370),0)+IFERROR(SUMIF(Nutzungsprofile!$B$17:$B$22,"Individuell",Nutzungsprofile!$G$17:$G$22)*Kalender!E330/SUM(Kalender!$E$5:$E$370),0))*Szenarien!$D$23,0)</f>
        <v>0</v>
      </c>
      <c r="E4722" s="13" t="n">
        <f aca="false">IFERROR(MIN(C4722,Eingaben!$B$17)*Eingaben!$B$16,0)</f>
        <v>0</v>
      </c>
      <c r="F4722" s="13" t="n">
        <f aca="false">IFERROR(E4722*Eingaben!$B$15,0)</f>
        <v>0</v>
      </c>
      <c r="G4722" s="13" t="n">
        <f aca="false">IFERROR(IF(Kalender!A330="",0,J4721*(1-Eingaben!$B$20)),0)</f>
        <v>0</v>
      </c>
      <c r="H4722" s="13" t="n">
        <f aca="false">MIN(G4722,D4722)</f>
        <v>0</v>
      </c>
      <c r="I4722" s="13" t="n">
        <f aca="false">IFERROR(MIN(F4722*Eingaben!$B$19,MAX(0,D4722-H4722)),0)</f>
        <v>0</v>
      </c>
      <c r="J4722" s="13" t="n">
        <f aca="false">IFERROR(MIN(Eingaben!$B$18,MAX(0,F4722-I4722)),0)</f>
        <v>0</v>
      </c>
      <c r="K4722" s="13" t="n">
        <f aca="false">H4722+I4722</f>
        <v>0</v>
      </c>
      <c r="L4722" s="13" t="n">
        <f aca="false">MAX(0,D4722-K4722)</f>
        <v>0</v>
      </c>
      <c r="M4722" s="13" t="n">
        <f aca="false">MAX(0,F4722-I4722-J4722)</f>
        <v>0</v>
      </c>
      <c r="N4722" s="13" t="n">
        <f aca="false">IF(Kalender!A330="",0,J4721-H4722)</f>
        <v>0</v>
      </c>
    </row>
    <row r="4723" customFormat="false" ht="16.4" hidden="false" customHeight="false" outlineLevel="0" collapsed="false">
      <c r="A4723" s="13" t="str">
        <f aca="false">""</f>
        <v/>
      </c>
      <c r="B4723" s="13" t="n">
        <f aca="false">327</f>
        <v>327</v>
      </c>
      <c r="C4723" s="13" t="n">
        <f aca="false">IF(Szenarien!$H$23="OK",(IFERROR(SUMIF(Nutzungsprofile!$B$6:$B$11,"Schulbetrieb",Nutzungsprofile!$G$6:$G$11)*Kalender!C331/SUM(Kalender!$C$5:$C$370),0)+IFERROR(SUMIF(Nutzungsprofile!$B$6:$B$11,"Halle",Nutzungsprofile!$G$6:$G$11)*Kalender!D331/SUM(Kalender!$D$5:$D$370),0)+IFERROR(SUMIF(Nutzungsprofile!$B$6:$B$11,"Individuell",Nutzungsprofile!$G$6:$G$11)*Kalender!E331/SUM(Kalender!$E$5:$E$370),0))*Szenarien!$E$23,0)</f>
        <v>0.9</v>
      </c>
      <c r="D4723" s="13" t="n">
        <f aca="false">IF(Szenarien!$H$23="OK",(IFERROR(SUMIF(Nutzungsprofile!$B$17:$B$22,"Schulbetrieb",Nutzungsprofile!$G$17:$G$22)*Kalender!C331/SUM(Kalender!$C$5:$C$370),0)+IFERROR(SUMIF(Nutzungsprofile!$B$17:$B$22,"Halle",Nutzungsprofile!$G$17:$G$22)*Kalender!D331/SUM(Kalender!$D$5:$D$370),0)+IFERROR(SUMIF(Nutzungsprofile!$B$17:$B$22,"Individuell",Nutzungsprofile!$G$17:$G$22)*Kalender!E331/SUM(Kalender!$E$5:$E$370),0))*Szenarien!$D$23,0)</f>
        <v>4.05</v>
      </c>
      <c r="E4723" s="13" t="n">
        <f aca="false">IFERROR(MIN(C4723,Eingaben!$B$17)*Eingaben!$B$16,0)</f>
        <v>0.855</v>
      </c>
      <c r="F4723" s="13" t="n">
        <f aca="false">IFERROR(E4723*Eingaben!$B$15,0)</f>
        <v>0.7695</v>
      </c>
      <c r="G4723" s="13" t="n">
        <f aca="false">IFERROR(IF(Kalender!A331="",0,J4722*(1-Eingaben!$B$20)),0)</f>
        <v>0</v>
      </c>
      <c r="H4723" s="13" t="n">
        <f aca="false">MIN(G4723,D4723)</f>
        <v>0</v>
      </c>
      <c r="I4723" s="13" t="n">
        <f aca="false">IFERROR(MIN(F4723*Eingaben!$B$19,MAX(0,D4723-H4723)),0)</f>
        <v>0.53865</v>
      </c>
      <c r="J4723" s="13" t="n">
        <f aca="false">IFERROR(MIN(Eingaben!$B$18,MAX(0,F4723-I4723)),0)</f>
        <v>0.23085</v>
      </c>
      <c r="K4723" s="13" t="n">
        <f aca="false">H4723+I4723</f>
        <v>0.53865</v>
      </c>
      <c r="L4723" s="13" t="n">
        <f aca="false">MAX(0,D4723-K4723)</f>
        <v>3.51135</v>
      </c>
      <c r="M4723" s="13" t="n">
        <f aca="false">MAX(0,F4723-I4723-J4723)</f>
        <v>0</v>
      </c>
      <c r="N4723" s="13" t="n">
        <f aca="false">IF(Kalender!A331="",0,J4722-H4723)</f>
        <v>0</v>
      </c>
    </row>
    <row r="4724" customFormat="false" ht="16.4" hidden="false" customHeight="false" outlineLevel="0" collapsed="false">
      <c r="A4724" s="13" t="str">
        <f aca="false">""</f>
        <v/>
      </c>
      <c r="B4724" s="13" t="n">
        <f aca="false">328</f>
        <v>328</v>
      </c>
      <c r="C4724" s="13" t="n">
        <f aca="false">IF(Szenarien!$H$23="OK",(IFERROR(SUMIF(Nutzungsprofile!$B$6:$B$11,"Schulbetrieb",Nutzungsprofile!$G$6:$G$11)*Kalender!C332/SUM(Kalender!$C$5:$C$370),0)+IFERROR(SUMIF(Nutzungsprofile!$B$6:$B$11,"Halle",Nutzungsprofile!$G$6:$G$11)*Kalender!D332/SUM(Kalender!$D$5:$D$370),0)+IFERROR(SUMIF(Nutzungsprofile!$B$6:$B$11,"Individuell",Nutzungsprofile!$G$6:$G$11)*Kalender!E332/SUM(Kalender!$E$5:$E$370),0))*Szenarien!$E$23,0)</f>
        <v>0.9</v>
      </c>
      <c r="D4724" s="13" t="n">
        <f aca="false">IF(Szenarien!$H$23="OK",(IFERROR(SUMIF(Nutzungsprofile!$B$17:$B$22,"Schulbetrieb",Nutzungsprofile!$G$17:$G$22)*Kalender!C332/SUM(Kalender!$C$5:$C$370),0)+IFERROR(SUMIF(Nutzungsprofile!$B$17:$B$22,"Halle",Nutzungsprofile!$G$17:$G$22)*Kalender!D332/SUM(Kalender!$D$5:$D$370),0)+IFERROR(SUMIF(Nutzungsprofile!$B$17:$B$22,"Individuell",Nutzungsprofile!$G$17:$G$22)*Kalender!E332/SUM(Kalender!$E$5:$E$370),0))*Szenarien!$D$23,0)</f>
        <v>4.05</v>
      </c>
      <c r="E4724" s="13" t="n">
        <f aca="false">IFERROR(MIN(C4724,Eingaben!$B$17)*Eingaben!$B$16,0)</f>
        <v>0.855</v>
      </c>
      <c r="F4724" s="13" t="n">
        <f aca="false">IFERROR(E4724*Eingaben!$B$15,0)</f>
        <v>0.7695</v>
      </c>
      <c r="G4724" s="13" t="n">
        <f aca="false">IFERROR(IF(Kalender!A332="",0,J4723*(1-Eingaben!$B$20)),0)</f>
        <v>0.226233</v>
      </c>
      <c r="H4724" s="13" t="n">
        <f aca="false">MIN(G4724,D4724)</f>
        <v>0.226233</v>
      </c>
      <c r="I4724" s="13" t="n">
        <f aca="false">IFERROR(MIN(F4724*Eingaben!$B$19,MAX(0,D4724-H4724)),0)</f>
        <v>0.53865</v>
      </c>
      <c r="J4724" s="13" t="n">
        <f aca="false">IFERROR(MIN(Eingaben!$B$18,MAX(0,F4724-I4724)),0)</f>
        <v>0.23085</v>
      </c>
      <c r="K4724" s="13" t="n">
        <f aca="false">H4724+I4724</f>
        <v>0.764883</v>
      </c>
      <c r="L4724" s="13" t="n">
        <f aca="false">MAX(0,D4724-K4724)</f>
        <v>3.285117</v>
      </c>
      <c r="M4724" s="13" t="n">
        <f aca="false">MAX(0,F4724-I4724-J4724)</f>
        <v>0</v>
      </c>
      <c r="N4724" s="13" t="n">
        <f aca="false">IF(Kalender!A332="",0,J4723-H4724)</f>
        <v>0.00461700000000001</v>
      </c>
    </row>
    <row r="4725" customFormat="false" ht="16.4" hidden="false" customHeight="false" outlineLevel="0" collapsed="false">
      <c r="A4725" s="13" t="str">
        <f aca="false">""</f>
        <v/>
      </c>
      <c r="B4725" s="13" t="n">
        <f aca="false">329</f>
        <v>329</v>
      </c>
      <c r="C4725" s="13" t="n">
        <f aca="false">IF(Szenarien!$H$23="OK",(IFERROR(SUMIF(Nutzungsprofile!$B$6:$B$11,"Schulbetrieb",Nutzungsprofile!$G$6:$G$11)*Kalender!C333/SUM(Kalender!$C$5:$C$370),0)+IFERROR(SUMIF(Nutzungsprofile!$B$6:$B$11,"Halle",Nutzungsprofile!$G$6:$G$11)*Kalender!D333/SUM(Kalender!$D$5:$D$370),0)+IFERROR(SUMIF(Nutzungsprofile!$B$6:$B$11,"Individuell",Nutzungsprofile!$G$6:$G$11)*Kalender!E333/SUM(Kalender!$E$5:$E$370),0))*Szenarien!$E$23,0)</f>
        <v>0</v>
      </c>
      <c r="D4725" s="13" t="n">
        <f aca="false">IF(Szenarien!$H$23="OK",(IFERROR(SUMIF(Nutzungsprofile!$B$17:$B$22,"Schulbetrieb",Nutzungsprofile!$G$17:$G$22)*Kalender!C333/SUM(Kalender!$C$5:$C$370),0)+IFERROR(SUMIF(Nutzungsprofile!$B$17:$B$22,"Halle",Nutzungsprofile!$G$17:$G$22)*Kalender!D333/SUM(Kalender!$D$5:$D$370),0)+IFERROR(SUMIF(Nutzungsprofile!$B$17:$B$22,"Individuell",Nutzungsprofile!$G$17:$G$22)*Kalender!E333/SUM(Kalender!$E$5:$E$370),0))*Szenarien!$D$23,0)</f>
        <v>0</v>
      </c>
      <c r="E4725" s="13" t="n">
        <f aca="false">IFERROR(MIN(C4725,Eingaben!$B$17)*Eingaben!$B$16,0)</f>
        <v>0</v>
      </c>
      <c r="F4725" s="13" t="n">
        <f aca="false">IFERROR(E4725*Eingaben!$B$15,0)</f>
        <v>0</v>
      </c>
      <c r="G4725" s="13" t="n">
        <f aca="false">IFERROR(IF(Kalender!A333="",0,J4724*(1-Eingaben!$B$20)),0)</f>
        <v>0.226233</v>
      </c>
      <c r="H4725" s="13" t="n">
        <f aca="false">MIN(G4725,D4725)</f>
        <v>0</v>
      </c>
      <c r="I4725" s="13" t="n">
        <f aca="false">IFERROR(MIN(F4725*Eingaben!$B$19,MAX(0,D4725-H4725)),0)</f>
        <v>0</v>
      </c>
      <c r="J4725" s="13" t="n">
        <f aca="false">IFERROR(MIN(Eingaben!$B$18,MAX(0,F4725-I4725)),0)</f>
        <v>0</v>
      </c>
      <c r="K4725" s="13" t="n">
        <f aca="false">H4725+I4725</f>
        <v>0</v>
      </c>
      <c r="L4725" s="13" t="n">
        <f aca="false">MAX(0,D4725-K4725)</f>
        <v>0</v>
      </c>
      <c r="M4725" s="13" t="n">
        <f aca="false">MAX(0,F4725-I4725-J4725)</f>
        <v>0</v>
      </c>
      <c r="N4725" s="13" t="n">
        <f aca="false">IF(Kalender!A333="",0,J4724-H4725)</f>
        <v>0.23085</v>
      </c>
    </row>
    <row r="4726" customFormat="false" ht="16.4" hidden="false" customHeight="false" outlineLevel="0" collapsed="false">
      <c r="A4726" s="13" t="str">
        <f aca="false">""</f>
        <v/>
      </c>
      <c r="B4726" s="13" t="n">
        <f aca="false">330</f>
        <v>330</v>
      </c>
      <c r="C4726" s="13" t="n">
        <f aca="false">IF(Szenarien!$H$23="OK",(IFERROR(SUMIF(Nutzungsprofile!$B$6:$B$11,"Schulbetrieb",Nutzungsprofile!$G$6:$G$11)*Kalender!C334/SUM(Kalender!$C$5:$C$370),0)+IFERROR(SUMIF(Nutzungsprofile!$B$6:$B$11,"Halle",Nutzungsprofile!$G$6:$G$11)*Kalender!D334/SUM(Kalender!$D$5:$D$370),0)+IFERROR(SUMIF(Nutzungsprofile!$B$6:$B$11,"Individuell",Nutzungsprofile!$G$6:$G$11)*Kalender!E334/SUM(Kalender!$E$5:$E$370),0))*Szenarien!$E$23,0)</f>
        <v>0</v>
      </c>
      <c r="D4726" s="13" t="n">
        <f aca="false">IF(Szenarien!$H$23="OK",(IFERROR(SUMIF(Nutzungsprofile!$B$17:$B$22,"Schulbetrieb",Nutzungsprofile!$G$17:$G$22)*Kalender!C334/SUM(Kalender!$C$5:$C$370),0)+IFERROR(SUMIF(Nutzungsprofile!$B$17:$B$22,"Halle",Nutzungsprofile!$G$17:$G$22)*Kalender!D334/SUM(Kalender!$D$5:$D$370),0)+IFERROR(SUMIF(Nutzungsprofile!$B$17:$B$22,"Individuell",Nutzungsprofile!$G$17:$G$22)*Kalender!E334/SUM(Kalender!$E$5:$E$370),0))*Szenarien!$D$23,0)</f>
        <v>0</v>
      </c>
      <c r="E4726" s="13" t="n">
        <f aca="false">IFERROR(MIN(C4726,Eingaben!$B$17)*Eingaben!$B$16,0)</f>
        <v>0</v>
      </c>
      <c r="F4726" s="13" t="n">
        <f aca="false">IFERROR(E4726*Eingaben!$B$15,0)</f>
        <v>0</v>
      </c>
      <c r="G4726" s="13" t="n">
        <f aca="false">IFERROR(IF(Kalender!A334="",0,J4725*(1-Eingaben!$B$20)),0)</f>
        <v>0</v>
      </c>
      <c r="H4726" s="13" t="n">
        <f aca="false">MIN(G4726,D4726)</f>
        <v>0</v>
      </c>
      <c r="I4726" s="13" t="n">
        <f aca="false">IFERROR(MIN(F4726*Eingaben!$B$19,MAX(0,D4726-H4726)),0)</f>
        <v>0</v>
      </c>
      <c r="J4726" s="13" t="n">
        <f aca="false">IFERROR(MIN(Eingaben!$B$18,MAX(0,F4726-I4726)),0)</f>
        <v>0</v>
      </c>
      <c r="K4726" s="13" t="n">
        <f aca="false">H4726+I4726</f>
        <v>0</v>
      </c>
      <c r="L4726" s="13" t="n">
        <f aca="false">MAX(0,D4726-K4726)</f>
        <v>0</v>
      </c>
      <c r="M4726" s="13" t="n">
        <f aca="false">MAX(0,F4726-I4726-J4726)</f>
        <v>0</v>
      </c>
      <c r="N4726" s="13" t="n">
        <f aca="false">IF(Kalender!A334="",0,J4725-H4726)</f>
        <v>0</v>
      </c>
    </row>
    <row r="4727" customFormat="false" ht="16.4" hidden="false" customHeight="false" outlineLevel="0" collapsed="false">
      <c r="A4727" s="13" t="str">
        <f aca="false">""</f>
        <v/>
      </c>
      <c r="B4727" s="13" t="n">
        <f aca="false">331</f>
        <v>331</v>
      </c>
      <c r="C4727" s="13" t="n">
        <f aca="false">IF(Szenarien!$H$23="OK",(IFERROR(SUMIF(Nutzungsprofile!$B$6:$B$11,"Schulbetrieb",Nutzungsprofile!$G$6:$G$11)*Kalender!C335/SUM(Kalender!$C$5:$C$370),0)+IFERROR(SUMIF(Nutzungsprofile!$B$6:$B$11,"Halle",Nutzungsprofile!$G$6:$G$11)*Kalender!D335/SUM(Kalender!$D$5:$D$370),0)+IFERROR(SUMIF(Nutzungsprofile!$B$6:$B$11,"Individuell",Nutzungsprofile!$G$6:$G$11)*Kalender!E335/SUM(Kalender!$E$5:$E$370),0))*Szenarien!$E$23,0)</f>
        <v>0</v>
      </c>
      <c r="D4727" s="13" t="n">
        <f aca="false">IF(Szenarien!$H$23="OK",(IFERROR(SUMIF(Nutzungsprofile!$B$17:$B$22,"Schulbetrieb",Nutzungsprofile!$G$17:$G$22)*Kalender!C335/SUM(Kalender!$C$5:$C$370),0)+IFERROR(SUMIF(Nutzungsprofile!$B$17:$B$22,"Halle",Nutzungsprofile!$G$17:$G$22)*Kalender!D335/SUM(Kalender!$D$5:$D$370),0)+IFERROR(SUMIF(Nutzungsprofile!$B$17:$B$22,"Individuell",Nutzungsprofile!$G$17:$G$22)*Kalender!E335/SUM(Kalender!$E$5:$E$370),0))*Szenarien!$D$23,0)</f>
        <v>0</v>
      </c>
      <c r="E4727" s="13" t="n">
        <f aca="false">IFERROR(MIN(C4727,Eingaben!$B$17)*Eingaben!$B$16,0)</f>
        <v>0</v>
      </c>
      <c r="F4727" s="13" t="n">
        <f aca="false">IFERROR(E4727*Eingaben!$B$15,0)</f>
        <v>0</v>
      </c>
      <c r="G4727" s="13" t="n">
        <f aca="false">IFERROR(IF(Kalender!A335="",0,J4726*(1-Eingaben!$B$20)),0)</f>
        <v>0</v>
      </c>
      <c r="H4727" s="13" t="n">
        <f aca="false">MIN(G4727,D4727)</f>
        <v>0</v>
      </c>
      <c r="I4727" s="13" t="n">
        <f aca="false">IFERROR(MIN(F4727*Eingaben!$B$19,MAX(0,D4727-H4727)),0)</f>
        <v>0</v>
      </c>
      <c r="J4727" s="13" t="n">
        <f aca="false">IFERROR(MIN(Eingaben!$B$18,MAX(0,F4727-I4727)),0)</f>
        <v>0</v>
      </c>
      <c r="K4727" s="13" t="n">
        <f aca="false">H4727+I4727</f>
        <v>0</v>
      </c>
      <c r="L4727" s="13" t="n">
        <f aca="false">MAX(0,D4727-K4727)</f>
        <v>0</v>
      </c>
      <c r="M4727" s="13" t="n">
        <f aca="false">MAX(0,F4727-I4727-J4727)</f>
        <v>0</v>
      </c>
      <c r="N4727" s="13" t="n">
        <f aca="false">IF(Kalender!A335="",0,J4726-H4727)</f>
        <v>0</v>
      </c>
    </row>
    <row r="4728" customFormat="false" ht="16.4" hidden="false" customHeight="false" outlineLevel="0" collapsed="false">
      <c r="A4728" s="13" t="str">
        <f aca="false">""</f>
        <v/>
      </c>
      <c r="B4728" s="13" t="n">
        <f aca="false">332</f>
        <v>332</v>
      </c>
      <c r="C4728" s="13" t="n">
        <f aca="false">IF(Szenarien!$H$23="OK",(IFERROR(SUMIF(Nutzungsprofile!$B$6:$B$11,"Schulbetrieb",Nutzungsprofile!$G$6:$G$11)*Kalender!C336/SUM(Kalender!$C$5:$C$370),0)+IFERROR(SUMIF(Nutzungsprofile!$B$6:$B$11,"Halle",Nutzungsprofile!$G$6:$G$11)*Kalender!D336/SUM(Kalender!$D$5:$D$370),0)+IFERROR(SUMIF(Nutzungsprofile!$B$6:$B$11,"Individuell",Nutzungsprofile!$G$6:$G$11)*Kalender!E336/SUM(Kalender!$E$5:$E$370),0))*Szenarien!$E$23,0)</f>
        <v>0</v>
      </c>
      <c r="D4728" s="13" t="n">
        <f aca="false">IF(Szenarien!$H$23="OK",(IFERROR(SUMIF(Nutzungsprofile!$B$17:$B$22,"Schulbetrieb",Nutzungsprofile!$G$17:$G$22)*Kalender!C336/SUM(Kalender!$C$5:$C$370),0)+IFERROR(SUMIF(Nutzungsprofile!$B$17:$B$22,"Halle",Nutzungsprofile!$G$17:$G$22)*Kalender!D336/SUM(Kalender!$D$5:$D$370),0)+IFERROR(SUMIF(Nutzungsprofile!$B$17:$B$22,"Individuell",Nutzungsprofile!$G$17:$G$22)*Kalender!E336/SUM(Kalender!$E$5:$E$370),0))*Szenarien!$D$23,0)</f>
        <v>0</v>
      </c>
      <c r="E4728" s="13" t="n">
        <f aca="false">IFERROR(MIN(C4728,Eingaben!$B$17)*Eingaben!$B$16,0)</f>
        <v>0</v>
      </c>
      <c r="F4728" s="13" t="n">
        <f aca="false">IFERROR(E4728*Eingaben!$B$15,0)</f>
        <v>0</v>
      </c>
      <c r="G4728" s="13" t="n">
        <f aca="false">IFERROR(IF(Kalender!A336="",0,J4727*(1-Eingaben!$B$20)),0)</f>
        <v>0</v>
      </c>
      <c r="H4728" s="13" t="n">
        <f aca="false">MIN(G4728,D4728)</f>
        <v>0</v>
      </c>
      <c r="I4728" s="13" t="n">
        <f aca="false">IFERROR(MIN(F4728*Eingaben!$B$19,MAX(0,D4728-H4728)),0)</f>
        <v>0</v>
      </c>
      <c r="J4728" s="13" t="n">
        <f aca="false">IFERROR(MIN(Eingaben!$B$18,MAX(0,F4728-I4728)),0)</f>
        <v>0</v>
      </c>
      <c r="K4728" s="13" t="n">
        <f aca="false">H4728+I4728</f>
        <v>0</v>
      </c>
      <c r="L4728" s="13" t="n">
        <f aca="false">MAX(0,D4728-K4728)</f>
        <v>0</v>
      </c>
      <c r="M4728" s="13" t="n">
        <f aca="false">MAX(0,F4728-I4728-J4728)</f>
        <v>0</v>
      </c>
      <c r="N4728" s="13" t="n">
        <f aca="false">IF(Kalender!A336="",0,J4727-H4728)</f>
        <v>0</v>
      </c>
    </row>
    <row r="4729" customFormat="false" ht="16.4" hidden="false" customHeight="false" outlineLevel="0" collapsed="false">
      <c r="A4729" s="13" t="str">
        <f aca="false">""</f>
        <v/>
      </c>
      <c r="B4729" s="13" t="n">
        <f aca="false">333</f>
        <v>333</v>
      </c>
      <c r="C4729" s="13" t="n">
        <f aca="false">IF(Szenarien!$H$23="OK",(IFERROR(SUMIF(Nutzungsprofile!$B$6:$B$11,"Schulbetrieb",Nutzungsprofile!$G$6:$G$11)*Kalender!C337/SUM(Kalender!$C$5:$C$370),0)+IFERROR(SUMIF(Nutzungsprofile!$B$6:$B$11,"Halle",Nutzungsprofile!$G$6:$G$11)*Kalender!D337/SUM(Kalender!$D$5:$D$370),0)+IFERROR(SUMIF(Nutzungsprofile!$B$6:$B$11,"Individuell",Nutzungsprofile!$G$6:$G$11)*Kalender!E337/SUM(Kalender!$E$5:$E$370),0))*Szenarien!$E$23,0)</f>
        <v>0</v>
      </c>
      <c r="D4729" s="13" t="n">
        <f aca="false">IF(Szenarien!$H$23="OK",(IFERROR(SUMIF(Nutzungsprofile!$B$17:$B$22,"Schulbetrieb",Nutzungsprofile!$G$17:$G$22)*Kalender!C337/SUM(Kalender!$C$5:$C$370),0)+IFERROR(SUMIF(Nutzungsprofile!$B$17:$B$22,"Halle",Nutzungsprofile!$G$17:$G$22)*Kalender!D337/SUM(Kalender!$D$5:$D$370),0)+IFERROR(SUMIF(Nutzungsprofile!$B$17:$B$22,"Individuell",Nutzungsprofile!$G$17:$G$22)*Kalender!E337/SUM(Kalender!$E$5:$E$370),0))*Szenarien!$D$23,0)</f>
        <v>0</v>
      </c>
      <c r="E4729" s="13" t="n">
        <f aca="false">IFERROR(MIN(C4729,Eingaben!$B$17)*Eingaben!$B$16,0)</f>
        <v>0</v>
      </c>
      <c r="F4729" s="13" t="n">
        <f aca="false">IFERROR(E4729*Eingaben!$B$15,0)</f>
        <v>0</v>
      </c>
      <c r="G4729" s="13" t="n">
        <f aca="false">IFERROR(IF(Kalender!A337="",0,J4728*(1-Eingaben!$B$20)),0)</f>
        <v>0</v>
      </c>
      <c r="H4729" s="13" t="n">
        <f aca="false">MIN(G4729,D4729)</f>
        <v>0</v>
      </c>
      <c r="I4729" s="13" t="n">
        <f aca="false">IFERROR(MIN(F4729*Eingaben!$B$19,MAX(0,D4729-H4729)),0)</f>
        <v>0</v>
      </c>
      <c r="J4729" s="13" t="n">
        <f aca="false">IFERROR(MIN(Eingaben!$B$18,MAX(0,F4729-I4729)),0)</f>
        <v>0</v>
      </c>
      <c r="K4729" s="13" t="n">
        <f aca="false">H4729+I4729</f>
        <v>0</v>
      </c>
      <c r="L4729" s="13" t="n">
        <f aca="false">MAX(0,D4729-K4729)</f>
        <v>0</v>
      </c>
      <c r="M4729" s="13" t="n">
        <f aca="false">MAX(0,F4729-I4729-J4729)</f>
        <v>0</v>
      </c>
      <c r="N4729" s="13" t="n">
        <f aca="false">IF(Kalender!A337="",0,J4728-H4729)</f>
        <v>0</v>
      </c>
    </row>
    <row r="4730" customFormat="false" ht="16.4" hidden="false" customHeight="false" outlineLevel="0" collapsed="false">
      <c r="A4730" s="13" t="str">
        <f aca="false">""</f>
        <v/>
      </c>
      <c r="B4730" s="13" t="n">
        <f aca="false">334</f>
        <v>334</v>
      </c>
      <c r="C4730" s="13" t="n">
        <f aca="false">IF(Szenarien!$H$23="OK",(IFERROR(SUMIF(Nutzungsprofile!$B$6:$B$11,"Schulbetrieb",Nutzungsprofile!$G$6:$G$11)*Kalender!C338/SUM(Kalender!$C$5:$C$370),0)+IFERROR(SUMIF(Nutzungsprofile!$B$6:$B$11,"Halle",Nutzungsprofile!$G$6:$G$11)*Kalender!D338/SUM(Kalender!$D$5:$D$370),0)+IFERROR(SUMIF(Nutzungsprofile!$B$6:$B$11,"Individuell",Nutzungsprofile!$G$6:$G$11)*Kalender!E338/SUM(Kalender!$E$5:$E$370),0))*Szenarien!$E$23,0)</f>
        <v>0</v>
      </c>
      <c r="D4730" s="13" t="n">
        <f aca="false">IF(Szenarien!$H$23="OK",(IFERROR(SUMIF(Nutzungsprofile!$B$17:$B$22,"Schulbetrieb",Nutzungsprofile!$G$17:$G$22)*Kalender!C338/SUM(Kalender!$C$5:$C$370),0)+IFERROR(SUMIF(Nutzungsprofile!$B$17:$B$22,"Halle",Nutzungsprofile!$G$17:$G$22)*Kalender!D338/SUM(Kalender!$D$5:$D$370),0)+IFERROR(SUMIF(Nutzungsprofile!$B$17:$B$22,"Individuell",Nutzungsprofile!$G$17:$G$22)*Kalender!E338/SUM(Kalender!$E$5:$E$370),0))*Szenarien!$D$23,0)</f>
        <v>0</v>
      </c>
      <c r="E4730" s="13" t="n">
        <f aca="false">IFERROR(MIN(C4730,Eingaben!$B$17)*Eingaben!$B$16,0)</f>
        <v>0</v>
      </c>
      <c r="F4730" s="13" t="n">
        <f aca="false">IFERROR(E4730*Eingaben!$B$15,0)</f>
        <v>0</v>
      </c>
      <c r="G4730" s="13" t="n">
        <f aca="false">IFERROR(IF(Kalender!A338="",0,J4729*(1-Eingaben!$B$20)),0)</f>
        <v>0</v>
      </c>
      <c r="H4730" s="13" t="n">
        <f aca="false">MIN(G4730,D4730)</f>
        <v>0</v>
      </c>
      <c r="I4730" s="13" t="n">
        <f aca="false">IFERROR(MIN(F4730*Eingaben!$B$19,MAX(0,D4730-H4730)),0)</f>
        <v>0</v>
      </c>
      <c r="J4730" s="13" t="n">
        <f aca="false">IFERROR(MIN(Eingaben!$B$18,MAX(0,F4730-I4730)),0)</f>
        <v>0</v>
      </c>
      <c r="K4730" s="13" t="n">
        <f aca="false">H4730+I4730</f>
        <v>0</v>
      </c>
      <c r="L4730" s="13" t="n">
        <f aca="false">MAX(0,D4730-K4730)</f>
        <v>0</v>
      </c>
      <c r="M4730" s="13" t="n">
        <f aca="false">MAX(0,F4730-I4730-J4730)</f>
        <v>0</v>
      </c>
      <c r="N4730" s="13" t="n">
        <f aca="false">IF(Kalender!A338="",0,J4729-H4730)</f>
        <v>0</v>
      </c>
    </row>
    <row r="4731" customFormat="false" ht="16.4" hidden="false" customHeight="false" outlineLevel="0" collapsed="false">
      <c r="A4731" s="13" t="str">
        <f aca="false">""</f>
        <v/>
      </c>
      <c r="B4731" s="13" t="n">
        <f aca="false">335</f>
        <v>335</v>
      </c>
      <c r="C4731" s="13" t="n">
        <f aca="false">IF(Szenarien!$H$23="OK",(IFERROR(SUMIF(Nutzungsprofile!$B$6:$B$11,"Schulbetrieb",Nutzungsprofile!$G$6:$G$11)*Kalender!C339/SUM(Kalender!$C$5:$C$370),0)+IFERROR(SUMIF(Nutzungsprofile!$B$6:$B$11,"Halle",Nutzungsprofile!$G$6:$G$11)*Kalender!D339/SUM(Kalender!$D$5:$D$370),0)+IFERROR(SUMIF(Nutzungsprofile!$B$6:$B$11,"Individuell",Nutzungsprofile!$G$6:$G$11)*Kalender!E339/SUM(Kalender!$E$5:$E$370),0))*Szenarien!$E$23,0)</f>
        <v>0</v>
      </c>
      <c r="D4731" s="13" t="n">
        <f aca="false">IF(Szenarien!$H$23="OK",(IFERROR(SUMIF(Nutzungsprofile!$B$17:$B$22,"Schulbetrieb",Nutzungsprofile!$G$17:$G$22)*Kalender!C339/SUM(Kalender!$C$5:$C$370),0)+IFERROR(SUMIF(Nutzungsprofile!$B$17:$B$22,"Halle",Nutzungsprofile!$G$17:$G$22)*Kalender!D339/SUM(Kalender!$D$5:$D$370),0)+IFERROR(SUMIF(Nutzungsprofile!$B$17:$B$22,"Individuell",Nutzungsprofile!$G$17:$G$22)*Kalender!E339/SUM(Kalender!$E$5:$E$370),0))*Szenarien!$D$23,0)</f>
        <v>0</v>
      </c>
      <c r="E4731" s="13" t="n">
        <f aca="false">IFERROR(MIN(C4731,Eingaben!$B$17)*Eingaben!$B$16,0)</f>
        <v>0</v>
      </c>
      <c r="F4731" s="13" t="n">
        <f aca="false">IFERROR(E4731*Eingaben!$B$15,0)</f>
        <v>0</v>
      </c>
      <c r="G4731" s="13" t="n">
        <f aca="false">IFERROR(IF(Kalender!A339="",0,J4730*(1-Eingaben!$B$20)),0)</f>
        <v>0</v>
      </c>
      <c r="H4731" s="13" t="n">
        <f aca="false">MIN(G4731,D4731)</f>
        <v>0</v>
      </c>
      <c r="I4731" s="13" t="n">
        <f aca="false">IFERROR(MIN(F4731*Eingaben!$B$19,MAX(0,D4731-H4731)),0)</f>
        <v>0</v>
      </c>
      <c r="J4731" s="13" t="n">
        <f aca="false">IFERROR(MIN(Eingaben!$B$18,MAX(0,F4731-I4731)),0)</f>
        <v>0</v>
      </c>
      <c r="K4731" s="13" t="n">
        <f aca="false">H4731+I4731</f>
        <v>0</v>
      </c>
      <c r="L4731" s="13" t="n">
        <f aca="false">MAX(0,D4731-K4731)</f>
        <v>0</v>
      </c>
      <c r="M4731" s="13" t="n">
        <f aca="false">MAX(0,F4731-I4731-J4731)</f>
        <v>0</v>
      </c>
      <c r="N4731" s="13" t="n">
        <f aca="false">IF(Kalender!A339="",0,J4730-H4731)</f>
        <v>0</v>
      </c>
    </row>
    <row r="4732" customFormat="false" ht="16.4" hidden="false" customHeight="false" outlineLevel="0" collapsed="false">
      <c r="A4732" s="13" t="str">
        <f aca="false">""</f>
        <v/>
      </c>
      <c r="B4732" s="13" t="n">
        <f aca="false">336</f>
        <v>336</v>
      </c>
      <c r="C4732" s="13" t="n">
        <f aca="false">IF(Szenarien!$H$23="OK",(IFERROR(SUMIF(Nutzungsprofile!$B$6:$B$11,"Schulbetrieb",Nutzungsprofile!$G$6:$G$11)*Kalender!C340/SUM(Kalender!$C$5:$C$370),0)+IFERROR(SUMIF(Nutzungsprofile!$B$6:$B$11,"Halle",Nutzungsprofile!$G$6:$G$11)*Kalender!D340/SUM(Kalender!$D$5:$D$370),0)+IFERROR(SUMIF(Nutzungsprofile!$B$6:$B$11,"Individuell",Nutzungsprofile!$G$6:$G$11)*Kalender!E340/SUM(Kalender!$E$5:$E$370),0))*Szenarien!$E$23,0)</f>
        <v>0</v>
      </c>
      <c r="D4732" s="13" t="n">
        <f aca="false">IF(Szenarien!$H$23="OK",(IFERROR(SUMIF(Nutzungsprofile!$B$17:$B$22,"Schulbetrieb",Nutzungsprofile!$G$17:$G$22)*Kalender!C340/SUM(Kalender!$C$5:$C$370),0)+IFERROR(SUMIF(Nutzungsprofile!$B$17:$B$22,"Halle",Nutzungsprofile!$G$17:$G$22)*Kalender!D340/SUM(Kalender!$D$5:$D$370),0)+IFERROR(SUMIF(Nutzungsprofile!$B$17:$B$22,"Individuell",Nutzungsprofile!$G$17:$G$22)*Kalender!E340/SUM(Kalender!$E$5:$E$370),0))*Szenarien!$D$23,0)</f>
        <v>0</v>
      </c>
      <c r="E4732" s="13" t="n">
        <f aca="false">IFERROR(MIN(C4732,Eingaben!$B$17)*Eingaben!$B$16,0)</f>
        <v>0</v>
      </c>
      <c r="F4732" s="13" t="n">
        <f aca="false">IFERROR(E4732*Eingaben!$B$15,0)</f>
        <v>0</v>
      </c>
      <c r="G4732" s="13" t="n">
        <f aca="false">IFERROR(IF(Kalender!A340="",0,J4731*(1-Eingaben!$B$20)),0)</f>
        <v>0</v>
      </c>
      <c r="H4732" s="13" t="n">
        <f aca="false">MIN(G4732,D4732)</f>
        <v>0</v>
      </c>
      <c r="I4732" s="13" t="n">
        <f aca="false">IFERROR(MIN(F4732*Eingaben!$B$19,MAX(0,D4732-H4732)),0)</f>
        <v>0</v>
      </c>
      <c r="J4732" s="13" t="n">
        <f aca="false">IFERROR(MIN(Eingaben!$B$18,MAX(0,F4732-I4732)),0)</f>
        <v>0</v>
      </c>
      <c r="K4732" s="13" t="n">
        <f aca="false">H4732+I4732</f>
        <v>0</v>
      </c>
      <c r="L4732" s="13" t="n">
        <f aca="false">MAX(0,D4732-K4732)</f>
        <v>0</v>
      </c>
      <c r="M4732" s="13" t="n">
        <f aca="false">MAX(0,F4732-I4732-J4732)</f>
        <v>0</v>
      </c>
      <c r="N4732" s="13" t="n">
        <f aca="false">IF(Kalender!A340="",0,J4731-H4732)</f>
        <v>0</v>
      </c>
    </row>
    <row r="4733" customFormat="false" ht="16.4" hidden="false" customHeight="false" outlineLevel="0" collapsed="false">
      <c r="A4733" s="13" t="str">
        <f aca="false">""</f>
        <v/>
      </c>
      <c r="B4733" s="13" t="n">
        <f aca="false">337</f>
        <v>337</v>
      </c>
      <c r="C4733" s="13" t="n">
        <f aca="false">IF(Szenarien!$H$23="OK",(IFERROR(SUMIF(Nutzungsprofile!$B$6:$B$11,"Schulbetrieb",Nutzungsprofile!$G$6:$G$11)*Kalender!C341/SUM(Kalender!$C$5:$C$370),0)+IFERROR(SUMIF(Nutzungsprofile!$B$6:$B$11,"Halle",Nutzungsprofile!$G$6:$G$11)*Kalender!D341/SUM(Kalender!$D$5:$D$370),0)+IFERROR(SUMIF(Nutzungsprofile!$B$6:$B$11,"Individuell",Nutzungsprofile!$G$6:$G$11)*Kalender!E341/SUM(Kalender!$E$5:$E$370),0))*Szenarien!$E$23,0)</f>
        <v>0</v>
      </c>
      <c r="D4733" s="13" t="n">
        <f aca="false">IF(Szenarien!$H$23="OK",(IFERROR(SUMIF(Nutzungsprofile!$B$17:$B$22,"Schulbetrieb",Nutzungsprofile!$G$17:$G$22)*Kalender!C341/SUM(Kalender!$C$5:$C$370),0)+IFERROR(SUMIF(Nutzungsprofile!$B$17:$B$22,"Halle",Nutzungsprofile!$G$17:$G$22)*Kalender!D341/SUM(Kalender!$D$5:$D$370),0)+IFERROR(SUMIF(Nutzungsprofile!$B$17:$B$22,"Individuell",Nutzungsprofile!$G$17:$G$22)*Kalender!E341/SUM(Kalender!$E$5:$E$370),0))*Szenarien!$D$23,0)</f>
        <v>0</v>
      </c>
      <c r="E4733" s="13" t="n">
        <f aca="false">IFERROR(MIN(C4733,Eingaben!$B$17)*Eingaben!$B$16,0)</f>
        <v>0</v>
      </c>
      <c r="F4733" s="13" t="n">
        <f aca="false">IFERROR(E4733*Eingaben!$B$15,0)</f>
        <v>0</v>
      </c>
      <c r="G4733" s="13" t="n">
        <f aca="false">IFERROR(IF(Kalender!A341="",0,J4732*(1-Eingaben!$B$20)),0)</f>
        <v>0</v>
      </c>
      <c r="H4733" s="13" t="n">
        <f aca="false">MIN(G4733,D4733)</f>
        <v>0</v>
      </c>
      <c r="I4733" s="13" t="n">
        <f aca="false">IFERROR(MIN(F4733*Eingaben!$B$19,MAX(0,D4733-H4733)),0)</f>
        <v>0</v>
      </c>
      <c r="J4733" s="13" t="n">
        <f aca="false">IFERROR(MIN(Eingaben!$B$18,MAX(0,F4733-I4733)),0)</f>
        <v>0</v>
      </c>
      <c r="K4733" s="13" t="n">
        <f aca="false">H4733+I4733</f>
        <v>0</v>
      </c>
      <c r="L4733" s="13" t="n">
        <f aca="false">MAX(0,D4733-K4733)</f>
        <v>0</v>
      </c>
      <c r="M4733" s="13" t="n">
        <f aca="false">MAX(0,F4733-I4733-J4733)</f>
        <v>0</v>
      </c>
      <c r="N4733" s="13" t="n">
        <f aca="false">IF(Kalender!A341="",0,J4732-H4733)</f>
        <v>0</v>
      </c>
    </row>
    <row r="4734" customFormat="false" ht="16.4" hidden="false" customHeight="false" outlineLevel="0" collapsed="false">
      <c r="A4734" s="13" t="str">
        <f aca="false">""</f>
        <v/>
      </c>
      <c r="B4734" s="13" t="n">
        <f aca="false">338</f>
        <v>338</v>
      </c>
      <c r="C4734" s="13" t="n">
        <f aca="false">IF(Szenarien!$H$23="OK",(IFERROR(SUMIF(Nutzungsprofile!$B$6:$B$11,"Schulbetrieb",Nutzungsprofile!$G$6:$G$11)*Kalender!C342/SUM(Kalender!$C$5:$C$370),0)+IFERROR(SUMIF(Nutzungsprofile!$B$6:$B$11,"Halle",Nutzungsprofile!$G$6:$G$11)*Kalender!D342/SUM(Kalender!$D$5:$D$370),0)+IFERROR(SUMIF(Nutzungsprofile!$B$6:$B$11,"Individuell",Nutzungsprofile!$G$6:$G$11)*Kalender!E342/SUM(Kalender!$E$5:$E$370),0))*Szenarien!$E$23,0)</f>
        <v>0</v>
      </c>
      <c r="D4734" s="13" t="n">
        <f aca="false">IF(Szenarien!$H$23="OK",(IFERROR(SUMIF(Nutzungsprofile!$B$17:$B$22,"Schulbetrieb",Nutzungsprofile!$G$17:$G$22)*Kalender!C342/SUM(Kalender!$C$5:$C$370),0)+IFERROR(SUMIF(Nutzungsprofile!$B$17:$B$22,"Halle",Nutzungsprofile!$G$17:$G$22)*Kalender!D342/SUM(Kalender!$D$5:$D$370),0)+IFERROR(SUMIF(Nutzungsprofile!$B$17:$B$22,"Individuell",Nutzungsprofile!$G$17:$G$22)*Kalender!E342/SUM(Kalender!$E$5:$E$370),0))*Szenarien!$D$23,0)</f>
        <v>0</v>
      </c>
      <c r="E4734" s="13" t="n">
        <f aca="false">IFERROR(MIN(C4734,Eingaben!$B$17)*Eingaben!$B$16,0)</f>
        <v>0</v>
      </c>
      <c r="F4734" s="13" t="n">
        <f aca="false">IFERROR(E4734*Eingaben!$B$15,0)</f>
        <v>0</v>
      </c>
      <c r="G4734" s="13" t="n">
        <f aca="false">IFERROR(IF(Kalender!A342="",0,J4733*(1-Eingaben!$B$20)),0)</f>
        <v>0</v>
      </c>
      <c r="H4734" s="13" t="n">
        <f aca="false">MIN(G4734,D4734)</f>
        <v>0</v>
      </c>
      <c r="I4734" s="13" t="n">
        <f aca="false">IFERROR(MIN(F4734*Eingaben!$B$19,MAX(0,D4734-H4734)),0)</f>
        <v>0</v>
      </c>
      <c r="J4734" s="13" t="n">
        <f aca="false">IFERROR(MIN(Eingaben!$B$18,MAX(0,F4734-I4734)),0)</f>
        <v>0</v>
      </c>
      <c r="K4734" s="13" t="n">
        <f aca="false">H4734+I4734</f>
        <v>0</v>
      </c>
      <c r="L4734" s="13" t="n">
        <f aca="false">MAX(0,D4734-K4734)</f>
        <v>0</v>
      </c>
      <c r="M4734" s="13" t="n">
        <f aca="false">MAX(0,F4734-I4734-J4734)</f>
        <v>0</v>
      </c>
      <c r="N4734" s="13" t="n">
        <f aca="false">IF(Kalender!A342="",0,J4733-H4734)</f>
        <v>0</v>
      </c>
    </row>
    <row r="4735" customFormat="false" ht="16.4" hidden="false" customHeight="false" outlineLevel="0" collapsed="false">
      <c r="A4735" s="13" t="str">
        <f aca="false">""</f>
        <v/>
      </c>
      <c r="B4735" s="13" t="n">
        <f aca="false">339</f>
        <v>339</v>
      </c>
      <c r="C4735" s="13" t="n">
        <f aca="false">IF(Szenarien!$H$23="OK",(IFERROR(SUMIF(Nutzungsprofile!$B$6:$B$11,"Schulbetrieb",Nutzungsprofile!$G$6:$G$11)*Kalender!C343/SUM(Kalender!$C$5:$C$370),0)+IFERROR(SUMIF(Nutzungsprofile!$B$6:$B$11,"Halle",Nutzungsprofile!$G$6:$G$11)*Kalender!D343/SUM(Kalender!$D$5:$D$370),0)+IFERROR(SUMIF(Nutzungsprofile!$B$6:$B$11,"Individuell",Nutzungsprofile!$G$6:$G$11)*Kalender!E343/SUM(Kalender!$E$5:$E$370),0))*Szenarien!$E$23,0)</f>
        <v>0</v>
      </c>
      <c r="D4735" s="13" t="n">
        <f aca="false">IF(Szenarien!$H$23="OK",(IFERROR(SUMIF(Nutzungsprofile!$B$17:$B$22,"Schulbetrieb",Nutzungsprofile!$G$17:$G$22)*Kalender!C343/SUM(Kalender!$C$5:$C$370),0)+IFERROR(SUMIF(Nutzungsprofile!$B$17:$B$22,"Halle",Nutzungsprofile!$G$17:$G$22)*Kalender!D343/SUM(Kalender!$D$5:$D$370),0)+IFERROR(SUMIF(Nutzungsprofile!$B$17:$B$22,"Individuell",Nutzungsprofile!$G$17:$G$22)*Kalender!E343/SUM(Kalender!$E$5:$E$370),0))*Szenarien!$D$23,0)</f>
        <v>0</v>
      </c>
      <c r="E4735" s="13" t="n">
        <f aca="false">IFERROR(MIN(C4735,Eingaben!$B$17)*Eingaben!$B$16,0)</f>
        <v>0</v>
      </c>
      <c r="F4735" s="13" t="n">
        <f aca="false">IFERROR(E4735*Eingaben!$B$15,0)</f>
        <v>0</v>
      </c>
      <c r="G4735" s="13" t="n">
        <f aca="false">IFERROR(IF(Kalender!A343="",0,J4734*(1-Eingaben!$B$20)),0)</f>
        <v>0</v>
      </c>
      <c r="H4735" s="13" t="n">
        <f aca="false">MIN(G4735,D4735)</f>
        <v>0</v>
      </c>
      <c r="I4735" s="13" t="n">
        <f aca="false">IFERROR(MIN(F4735*Eingaben!$B$19,MAX(0,D4735-H4735)),0)</f>
        <v>0</v>
      </c>
      <c r="J4735" s="13" t="n">
        <f aca="false">IFERROR(MIN(Eingaben!$B$18,MAX(0,F4735-I4735)),0)</f>
        <v>0</v>
      </c>
      <c r="K4735" s="13" t="n">
        <f aca="false">H4735+I4735</f>
        <v>0</v>
      </c>
      <c r="L4735" s="13" t="n">
        <f aca="false">MAX(0,D4735-K4735)</f>
        <v>0</v>
      </c>
      <c r="M4735" s="13" t="n">
        <f aca="false">MAX(0,F4735-I4735-J4735)</f>
        <v>0</v>
      </c>
      <c r="N4735" s="13" t="n">
        <f aca="false">IF(Kalender!A343="",0,J4734-H4735)</f>
        <v>0</v>
      </c>
    </row>
    <row r="4736" customFormat="false" ht="16.4" hidden="false" customHeight="false" outlineLevel="0" collapsed="false">
      <c r="A4736" s="13" t="str">
        <f aca="false">""</f>
        <v/>
      </c>
      <c r="B4736" s="13" t="n">
        <f aca="false">340</f>
        <v>340</v>
      </c>
      <c r="C4736" s="13" t="n">
        <f aca="false">IF(Szenarien!$H$23="OK",(IFERROR(SUMIF(Nutzungsprofile!$B$6:$B$11,"Schulbetrieb",Nutzungsprofile!$G$6:$G$11)*Kalender!C344/SUM(Kalender!$C$5:$C$370),0)+IFERROR(SUMIF(Nutzungsprofile!$B$6:$B$11,"Halle",Nutzungsprofile!$G$6:$G$11)*Kalender!D344/SUM(Kalender!$D$5:$D$370),0)+IFERROR(SUMIF(Nutzungsprofile!$B$6:$B$11,"Individuell",Nutzungsprofile!$G$6:$G$11)*Kalender!E344/SUM(Kalender!$E$5:$E$370),0))*Szenarien!$E$23,0)</f>
        <v>0</v>
      </c>
      <c r="D4736" s="13" t="n">
        <f aca="false">IF(Szenarien!$H$23="OK",(IFERROR(SUMIF(Nutzungsprofile!$B$17:$B$22,"Schulbetrieb",Nutzungsprofile!$G$17:$G$22)*Kalender!C344/SUM(Kalender!$C$5:$C$370),0)+IFERROR(SUMIF(Nutzungsprofile!$B$17:$B$22,"Halle",Nutzungsprofile!$G$17:$G$22)*Kalender!D344/SUM(Kalender!$D$5:$D$370),0)+IFERROR(SUMIF(Nutzungsprofile!$B$17:$B$22,"Individuell",Nutzungsprofile!$G$17:$G$22)*Kalender!E344/SUM(Kalender!$E$5:$E$370),0))*Szenarien!$D$23,0)</f>
        <v>0</v>
      </c>
      <c r="E4736" s="13" t="n">
        <f aca="false">IFERROR(MIN(C4736,Eingaben!$B$17)*Eingaben!$B$16,0)</f>
        <v>0</v>
      </c>
      <c r="F4736" s="13" t="n">
        <f aca="false">IFERROR(E4736*Eingaben!$B$15,0)</f>
        <v>0</v>
      </c>
      <c r="G4736" s="13" t="n">
        <f aca="false">IFERROR(IF(Kalender!A344="",0,J4735*(1-Eingaben!$B$20)),0)</f>
        <v>0</v>
      </c>
      <c r="H4736" s="13" t="n">
        <f aca="false">MIN(G4736,D4736)</f>
        <v>0</v>
      </c>
      <c r="I4736" s="13" t="n">
        <f aca="false">IFERROR(MIN(F4736*Eingaben!$B$19,MAX(0,D4736-H4736)),0)</f>
        <v>0</v>
      </c>
      <c r="J4736" s="13" t="n">
        <f aca="false">IFERROR(MIN(Eingaben!$B$18,MAX(0,F4736-I4736)),0)</f>
        <v>0</v>
      </c>
      <c r="K4736" s="13" t="n">
        <f aca="false">H4736+I4736</f>
        <v>0</v>
      </c>
      <c r="L4736" s="13" t="n">
        <f aca="false">MAX(0,D4736-K4736)</f>
        <v>0</v>
      </c>
      <c r="M4736" s="13" t="n">
        <f aca="false">MAX(0,F4736-I4736-J4736)</f>
        <v>0</v>
      </c>
      <c r="N4736" s="13" t="n">
        <f aca="false">IF(Kalender!A344="",0,J4735-H4736)</f>
        <v>0</v>
      </c>
    </row>
    <row r="4737" customFormat="false" ht="16.4" hidden="false" customHeight="false" outlineLevel="0" collapsed="false">
      <c r="A4737" s="13" t="str">
        <f aca="false">""</f>
        <v/>
      </c>
      <c r="B4737" s="13" t="n">
        <f aca="false">341</f>
        <v>341</v>
      </c>
      <c r="C4737" s="13" t="n">
        <f aca="false">IF(Szenarien!$H$23="OK",(IFERROR(SUMIF(Nutzungsprofile!$B$6:$B$11,"Schulbetrieb",Nutzungsprofile!$G$6:$G$11)*Kalender!C345/SUM(Kalender!$C$5:$C$370),0)+IFERROR(SUMIF(Nutzungsprofile!$B$6:$B$11,"Halle",Nutzungsprofile!$G$6:$G$11)*Kalender!D345/SUM(Kalender!$D$5:$D$370),0)+IFERROR(SUMIF(Nutzungsprofile!$B$6:$B$11,"Individuell",Nutzungsprofile!$G$6:$G$11)*Kalender!E345/SUM(Kalender!$E$5:$E$370),0))*Szenarien!$E$23,0)</f>
        <v>0</v>
      </c>
      <c r="D4737" s="13" t="n">
        <f aca="false">IF(Szenarien!$H$23="OK",(IFERROR(SUMIF(Nutzungsprofile!$B$17:$B$22,"Schulbetrieb",Nutzungsprofile!$G$17:$G$22)*Kalender!C345/SUM(Kalender!$C$5:$C$370),0)+IFERROR(SUMIF(Nutzungsprofile!$B$17:$B$22,"Halle",Nutzungsprofile!$G$17:$G$22)*Kalender!D345/SUM(Kalender!$D$5:$D$370),0)+IFERROR(SUMIF(Nutzungsprofile!$B$17:$B$22,"Individuell",Nutzungsprofile!$G$17:$G$22)*Kalender!E345/SUM(Kalender!$E$5:$E$370),0))*Szenarien!$D$23,0)</f>
        <v>0</v>
      </c>
      <c r="E4737" s="13" t="n">
        <f aca="false">IFERROR(MIN(C4737,Eingaben!$B$17)*Eingaben!$B$16,0)</f>
        <v>0</v>
      </c>
      <c r="F4737" s="13" t="n">
        <f aca="false">IFERROR(E4737*Eingaben!$B$15,0)</f>
        <v>0</v>
      </c>
      <c r="G4737" s="13" t="n">
        <f aca="false">IFERROR(IF(Kalender!A345="",0,J4736*(1-Eingaben!$B$20)),0)</f>
        <v>0</v>
      </c>
      <c r="H4737" s="13" t="n">
        <f aca="false">MIN(G4737,D4737)</f>
        <v>0</v>
      </c>
      <c r="I4737" s="13" t="n">
        <f aca="false">IFERROR(MIN(F4737*Eingaben!$B$19,MAX(0,D4737-H4737)),0)</f>
        <v>0</v>
      </c>
      <c r="J4737" s="13" t="n">
        <f aca="false">IFERROR(MIN(Eingaben!$B$18,MAX(0,F4737-I4737)),0)</f>
        <v>0</v>
      </c>
      <c r="K4737" s="13" t="n">
        <f aca="false">H4737+I4737</f>
        <v>0</v>
      </c>
      <c r="L4737" s="13" t="n">
        <f aca="false">MAX(0,D4737-K4737)</f>
        <v>0</v>
      </c>
      <c r="M4737" s="13" t="n">
        <f aca="false">MAX(0,F4737-I4737-J4737)</f>
        <v>0</v>
      </c>
      <c r="N4737" s="13" t="n">
        <f aca="false">IF(Kalender!A345="",0,J4736-H4737)</f>
        <v>0</v>
      </c>
    </row>
    <row r="4738" customFormat="false" ht="16.4" hidden="false" customHeight="false" outlineLevel="0" collapsed="false">
      <c r="A4738" s="13" t="str">
        <f aca="false">""</f>
        <v/>
      </c>
      <c r="B4738" s="13" t="n">
        <f aca="false">342</f>
        <v>342</v>
      </c>
      <c r="C4738" s="13" t="n">
        <f aca="false">IF(Szenarien!$H$23="OK",(IFERROR(SUMIF(Nutzungsprofile!$B$6:$B$11,"Schulbetrieb",Nutzungsprofile!$G$6:$G$11)*Kalender!C346/SUM(Kalender!$C$5:$C$370),0)+IFERROR(SUMIF(Nutzungsprofile!$B$6:$B$11,"Halle",Nutzungsprofile!$G$6:$G$11)*Kalender!D346/SUM(Kalender!$D$5:$D$370),0)+IFERROR(SUMIF(Nutzungsprofile!$B$6:$B$11,"Individuell",Nutzungsprofile!$G$6:$G$11)*Kalender!E346/SUM(Kalender!$E$5:$E$370),0))*Szenarien!$E$23,0)</f>
        <v>0</v>
      </c>
      <c r="D4738" s="13" t="n">
        <f aca="false">IF(Szenarien!$H$23="OK",(IFERROR(SUMIF(Nutzungsprofile!$B$17:$B$22,"Schulbetrieb",Nutzungsprofile!$G$17:$G$22)*Kalender!C346/SUM(Kalender!$C$5:$C$370),0)+IFERROR(SUMIF(Nutzungsprofile!$B$17:$B$22,"Halle",Nutzungsprofile!$G$17:$G$22)*Kalender!D346/SUM(Kalender!$D$5:$D$370),0)+IFERROR(SUMIF(Nutzungsprofile!$B$17:$B$22,"Individuell",Nutzungsprofile!$G$17:$G$22)*Kalender!E346/SUM(Kalender!$E$5:$E$370),0))*Szenarien!$D$23,0)</f>
        <v>0</v>
      </c>
      <c r="E4738" s="13" t="n">
        <f aca="false">IFERROR(MIN(C4738,Eingaben!$B$17)*Eingaben!$B$16,0)</f>
        <v>0</v>
      </c>
      <c r="F4738" s="13" t="n">
        <f aca="false">IFERROR(E4738*Eingaben!$B$15,0)</f>
        <v>0</v>
      </c>
      <c r="G4738" s="13" t="n">
        <f aca="false">IFERROR(IF(Kalender!A346="",0,J4737*(1-Eingaben!$B$20)),0)</f>
        <v>0</v>
      </c>
      <c r="H4738" s="13" t="n">
        <f aca="false">MIN(G4738,D4738)</f>
        <v>0</v>
      </c>
      <c r="I4738" s="13" t="n">
        <f aca="false">IFERROR(MIN(F4738*Eingaben!$B$19,MAX(0,D4738-H4738)),0)</f>
        <v>0</v>
      </c>
      <c r="J4738" s="13" t="n">
        <f aca="false">IFERROR(MIN(Eingaben!$B$18,MAX(0,F4738-I4738)),0)</f>
        <v>0</v>
      </c>
      <c r="K4738" s="13" t="n">
        <f aca="false">H4738+I4738</f>
        <v>0</v>
      </c>
      <c r="L4738" s="13" t="n">
        <f aca="false">MAX(0,D4738-K4738)</f>
        <v>0</v>
      </c>
      <c r="M4738" s="13" t="n">
        <f aca="false">MAX(0,F4738-I4738-J4738)</f>
        <v>0</v>
      </c>
      <c r="N4738" s="13" t="n">
        <f aca="false">IF(Kalender!A346="",0,J4737-H4738)</f>
        <v>0</v>
      </c>
    </row>
    <row r="4739" customFormat="false" ht="16.4" hidden="false" customHeight="false" outlineLevel="0" collapsed="false">
      <c r="A4739" s="13" t="str">
        <f aca="false">""</f>
        <v/>
      </c>
      <c r="B4739" s="13" t="n">
        <f aca="false">343</f>
        <v>343</v>
      </c>
      <c r="C4739" s="13" t="n">
        <f aca="false">IF(Szenarien!$H$23="OK",(IFERROR(SUMIF(Nutzungsprofile!$B$6:$B$11,"Schulbetrieb",Nutzungsprofile!$G$6:$G$11)*Kalender!C347/SUM(Kalender!$C$5:$C$370),0)+IFERROR(SUMIF(Nutzungsprofile!$B$6:$B$11,"Halle",Nutzungsprofile!$G$6:$G$11)*Kalender!D347/SUM(Kalender!$D$5:$D$370),0)+IFERROR(SUMIF(Nutzungsprofile!$B$6:$B$11,"Individuell",Nutzungsprofile!$G$6:$G$11)*Kalender!E347/SUM(Kalender!$E$5:$E$370),0))*Szenarien!$E$23,0)</f>
        <v>0</v>
      </c>
      <c r="D4739" s="13" t="n">
        <f aca="false">IF(Szenarien!$H$23="OK",(IFERROR(SUMIF(Nutzungsprofile!$B$17:$B$22,"Schulbetrieb",Nutzungsprofile!$G$17:$G$22)*Kalender!C347/SUM(Kalender!$C$5:$C$370),0)+IFERROR(SUMIF(Nutzungsprofile!$B$17:$B$22,"Halle",Nutzungsprofile!$G$17:$G$22)*Kalender!D347/SUM(Kalender!$D$5:$D$370),0)+IFERROR(SUMIF(Nutzungsprofile!$B$17:$B$22,"Individuell",Nutzungsprofile!$G$17:$G$22)*Kalender!E347/SUM(Kalender!$E$5:$E$370),0))*Szenarien!$D$23,0)</f>
        <v>0</v>
      </c>
      <c r="E4739" s="13" t="n">
        <f aca="false">IFERROR(MIN(C4739,Eingaben!$B$17)*Eingaben!$B$16,0)</f>
        <v>0</v>
      </c>
      <c r="F4739" s="13" t="n">
        <f aca="false">IFERROR(E4739*Eingaben!$B$15,0)</f>
        <v>0</v>
      </c>
      <c r="G4739" s="13" t="n">
        <f aca="false">IFERROR(IF(Kalender!A347="",0,J4738*(1-Eingaben!$B$20)),0)</f>
        <v>0</v>
      </c>
      <c r="H4739" s="13" t="n">
        <f aca="false">MIN(G4739,D4739)</f>
        <v>0</v>
      </c>
      <c r="I4739" s="13" t="n">
        <f aca="false">IFERROR(MIN(F4739*Eingaben!$B$19,MAX(0,D4739-H4739)),0)</f>
        <v>0</v>
      </c>
      <c r="J4739" s="13" t="n">
        <f aca="false">IFERROR(MIN(Eingaben!$B$18,MAX(0,F4739-I4739)),0)</f>
        <v>0</v>
      </c>
      <c r="K4739" s="13" t="n">
        <f aca="false">H4739+I4739</f>
        <v>0</v>
      </c>
      <c r="L4739" s="13" t="n">
        <f aca="false">MAX(0,D4739-K4739)</f>
        <v>0</v>
      </c>
      <c r="M4739" s="13" t="n">
        <f aca="false">MAX(0,F4739-I4739-J4739)</f>
        <v>0</v>
      </c>
      <c r="N4739" s="13" t="n">
        <f aca="false">IF(Kalender!A347="",0,J4738-H4739)</f>
        <v>0</v>
      </c>
    </row>
    <row r="4740" customFormat="false" ht="16.4" hidden="false" customHeight="false" outlineLevel="0" collapsed="false">
      <c r="A4740" s="13" t="str">
        <f aca="false">""</f>
        <v/>
      </c>
      <c r="B4740" s="13" t="n">
        <f aca="false">344</f>
        <v>344</v>
      </c>
      <c r="C4740" s="13" t="n">
        <f aca="false">IF(Szenarien!$H$23="OK",(IFERROR(SUMIF(Nutzungsprofile!$B$6:$B$11,"Schulbetrieb",Nutzungsprofile!$G$6:$G$11)*Kalender!C348/SUM(Kalender!$C$5:$C$370),0)+IFERROR(SUMIF(Nutzungsprofile!$B$6:$B$11,"Halle",Nutzungsprofile!$G$6:$G$11)*Kalender!D348/SUM(Kalender!$D$5:$D$370),0)+IFERROR(SUMIF(Nutzungsprofile!$B$6:$B$11,"Individuell",Nutzungsprofile!$G$6:$G$11)*Kalender!E348/SUM(Kalender!$E$5:$E$370),0))*Szenarien!$E$23,0)</f>
        <v>0</v>
      </c>
      <c r="D4740" s="13" t="n">
        <f aca="false">IF(Szenarien!$H$23="OK",(IFERROR(SUMIF(Nutzungsprofile!$B$17:$B$22,"Schulbetrieb",Nutzungsprofile!$G$17:$G$22)*Kalender!C348/SUM(Kalender!$C$5:$C$370),0)+IFERROR(SUMIF(Nutzungsprofile!$B$17:$B$22,"Halle",Nutzungsprofile!$G$17:$G$22)*Kalender!D348/SUM(Kalender!$D$5:$D$370),0)+IFERROR(SUMIF(Nutzungsprofile!$B$17:$B$22,"Individuell",Nutzungsprofile!$G$17:$G$22)*Kalender!E348/SUM(Kalender!$E$5:$E$370),0))*Szenarien!$D$23,0)</f>
        <v>0</v>
      </c>
      <c r="E4740" s="13" t="n">
        <f aca="false">IFERROR(MIN(C4740,Eingaben!$B$17)*Eingaben!$B$16,0)</f>
        <v>0</v>
      </c>
      <c r="F4740" s="13" t="n">
        <f aca="false">IFERROR(E4740*Eingaben!$B$15,0)</f>
        <v>0</v>
      </c>
      <c r="G4740" s="13" t="n">
        <f aca="false">IFERROR(IF(Kalender!A348="",0,J4739*(1-Eingaben!$B$20)),0)</f>
        <v>0</v>
      </c>
      <c r="H4740" s="13" t="n">
        <f aca="false">MIN(G4740,D4740)</f>
        <v>0</v>
      </c>
      <c r="I4740" s="13" t="n">
        <f aca="false">IFERROR(MIN(F4740*Eingaben!$B$19,MAX(0,D4740-H4740)),0)</f>
        <v>0</v>
      </c>
      <c r="J4740" s="13" t="n">
        <f aca="false">IFERROR(MIN(Eingaben!$B$18,MAX(0,F4740-I4740)),0)</f>
        <v>0</v>
      </c>
      <c r="K4740" s="13" t="n">
        <f aca="false">H4740+I4740</f>
        <v>0</v>
      </c>
      <c r="L4740" s="13" t="n">
        <f aca="false">MAX(0,D4740-K4740)</f>
        <v>0</v>
      </c>
      <c r="M4740" s="13" t="n">
        <f aca="false">MAX(0,F4740-I4740-J4740)</f>
        <v>0</v>
      </c>
      <c r="N4740" s="13" t="n">
        <f aca="false">IF(Kalender!A348="",0,J4739-H4740)</f>
        <v>0</v>
      </c>
    </row>
    <row r="4741" customFormat="false" ht="16.4" hidden="false" customHeight="false" outlineLevel="0" collapsed="false">
      <c r="A4741" s="13" t="str">
        <f aca="false">""</f>
        <v/>
      </c>
      <c r="B4741" s="13" t="n">
        <f aca="false">345</f>
        <v>345</v>
      </c>
      <c r="C4741" s="13" t="n">
        <f aca="false">IF(Szenarien!$H$23="OK",(IFERROR(SUMIF(Nutzungsprofile!$B$6:$B$11,"Schulbetrieb",Nutzungsprofile!$G$6:$G$11)*Kalender!C349/SUM(Kalender!$C$5:$C$370),0)+IFERROR(SUMIF(Nutzungsprofile!$B$6:$B$11,"Halle",Nutzungsprofile!$G$6:$G$11)*Kalender!D349/SUM(Kalender!$D$5:$D$370),0)+IFERROR(SUMIF(Nutzungsprofile!$B$6:$B$11,"Individuell",Nutzungsprofile!$G$6:$G$11)*Kalender!E349/SUM(Kalender!$E$5:$E$370),0))*Szenarien!$E$23,0)</f>
        <v>0</v>
      </c>
      <c r="D4741" s="13" t="n">
        <f aca="false">IF(Szenarien!$H$23="OK",(IFERROR(SUMIF(Nutzungsprofile!$B$17:$B$22,"Schulbetrieb",Nutzungsprofile!$G$17:$G$22)*Kalender!C349/SUM(Kalender!$C$5:$C$370),0)+IFERROR(SUMIF(Nutzungsprofile!$B$17:$B$22,"Halle",Nutzungsprofile!$G$17:$G$22)*Kalender!D349/SUM(Kalender!$D$5:$D$370),0)+IFERROR(SUMIF(Nutzungsprofile!$B$17:$B$22,"Individuell",Nutzungsprofile!$G$17:$G$22)*Kalender!E349/SUM(Kalender!$E$5:$E$370),0))*Szenarien!$D$23,0)</f>
        <v>0</v>
      </c>
      <c r="E4741" s="13" t="n">
        <f aca="false">IFERROR(MIN(C4741,Eingaben!$B$17)*Eingaben!$B$16,0)</f>
        <v>0</v>
      </c>
      <c r="F4741" s="13" t="n">
        <f aca="false">IFERROR(E4741*Eingaben!$B$15,0)</f>
        <v>0</v>
      </c>
      <c r="G4741" s="13" t="n">
        <f aca="false">IFERROR(IF(Kalender!A349="",0,J4740*(1-Eingaben!$B$20)),0)</f>
        <v>0</v>
      </c>
      <c r="H4741" s="13" t="n">
        <f aca="false">MIN(G4741,D4741)</f>
        <v>0</v>
      </c>
      <c r="I4741" s="13" t="n">
        <f aca="false">IFERROR(MIN(F4741*Eingaben!$B$19,MAX(0,D4741-H4741)),0)</f>
        <v>0</v>
      </c>
      <c r="J4741" s="13" t="n">
        <f aca="false">IFERROR(MIN(Eingaben!$B$18,MAX(0,F4741-I4741)),0)</f>
        <v>0</v>
      </c>
      <c r="K4741" s="13" t="n">
        <f aca="false">H4741+I4741</f>
        <v>0</v>
      </c>
      <c r="L4741" s="13" t="n">
        <f aca="false">MAX(0,D4741-K4741)</f>
        <v>0</v>
      </c>
      <c r="M4741" s="13" t="n">
        <f aca="false">MAX(0,F4741-I4741-J4741)</f>
        <v>0</v>
      </c>
      <c r="N4741" s="13" t="n">
        <f aca="false">IF(Kalender!A349="",0,J4740-H4741)</f>
        <v>0</v>
      </c>
    </row>
    <row r="4742" customFormat="false" ht="16.4" hidden="false" customHeight="false" outlineLevel="0" collapsed="false">
      <c r="A4742" s="13" t="str">
        <f aca="false">""</f>
        <v/>
      </c>
      <c r="B4742" s="13" t="n">
        <f aca="false">346</f>
        <v>346</v>
      </c>
      <c r="C4742" s="13" t="n">
        <f aca="false">IF(Szenarien!$H$23="OK",(IFERROR(SUMIF(Nutzungsprofile!$B$6:$B$11,"Schulbetrieb",Nutzungsprofile!$G$6:$G$11)*Kalender!C350/SUM(Kalender!$C$5:$C$370),0)+IFERROR(SUMIF(Nutzungsprofile!$B$6:$B$11,"Halle",Nutzungsprofile!$G$6:$G$11)*Kalender!D350/SUM(Kalender!$D$5:$D$370),0)+IFERROR(SUMIF(Nutzungsprofile!$B$6:$B$11,"Individuell",Nutzungsprofile!$G$6:$G$11)*Kalender!E350/SUM(Kalender!$E$5:$E$370),0))*Szenarien!$E$23,0)</f>
        <v>0</v>
      </c>
      <c r="D4742" s="13" t="n">
        <f aca="false">IF(Szenarien!$H$23="OK",(IFERROR(SUMIF(Nutzungsprofile!$B$17:$B$22,"Schulbetrieb",Nutzungsprofile!$G$17:$G$22)*Kalender!C350/SUM(Kalender!$C$5:$C$370),0)+IFERROR(SUMIF(Nutzungsprofile!$B$17:$B$22,"Halle",Nutzungsprofile!$G$17:$G$22)*Kalender!D350/SUM(Kalender!$D$5:$D$370),0)+IFERROR(SUMIF(Nutzungsprofile!$B$17:$B$22,"Individuell",Nutzungsprofile!$G$17:$G$22)*Kalender!E350/SUM(Kalender!$E$5:$E$370),0))*Szenarien!$D$23,0)</f>
        <v>0</v>
      </c>
      <c r="E4742" s="13" t="n">
        <f aca="false">IFERROR(MIN(C4742,Eingaben!$B$17)*Eingaben!$B$16,0)</f>
        <v>0</v>
      </c>
      <c r="F4742" s="13" t="n">
        <f aca="false">IFERROR(E4742*Eingaben!$B$15,0)</f>
        <v>0</v>
      </c>
      <c r="G4742" s="13" t="n">
        <f aca="false">IFERROR(IF(Kalender!A350="",0,J4741*(1-Eingaben!$B$20)),0)</f>
        <v>0</v>
      </c>
      <c r="H4742" s="13" t="n">
        <f aca="false">MIN(G4742,D4742)</f>
        <v>0</v>
      </c>
      <c r="I4742" s="13" t="n">
        <f aca="false">IFERROR(MIN(F4742*Eingaben!$B$19,MAX(0,D4742-H4742)),0)</f>
        <v>0</v>
      </c>
      <c r="J4742" s="13" t="n">
        <f aca="false">IFERROR(MIN(Eingaben!$B$18,MAX(0,F4742-I4742)),0)</f>
        <v>0</v>
      </c>
      <c r="K4742" s="13" t="n">
        <f aca="false">H4742+I4742</f>
        <v>0</v>
      </c>
      <c r="L4742" s="13" t="n">
        <f aca="false">MAX(0,D4742-K4742)</f>
        <v>0</v>
      </c>
      <c r="M4742" s="13" t="n">
        <f aca="false">MAX(0,F4742-I4742-J4742)</f>
        <v>0</v>
      </c>
      <c r="N4742" s="13" t="n">
        <f aca="false">IF(Kalender!A350="",0,J4741-H4742)</f>
        <v>0</v>
      </c>
    </row>
    <row r="4743" customFormat="false" ht="16.4" hidden="false" customHeight="false" outlineLevel="0" collapsed="false">
      <c r="A4743" s="13" t="str">
        <f aca="false">""</f>
        <v/>
      </c>
      <c r="B4743" s="13" t="n">
        <f aca="false">347</f>
        <v>347</v>
      </c>
      <c r="C4743" s="13" t="n">
        <f aca="false">IF(Szenarien!$H$23="OK",(IFERROR(SUMIF(Nutzungsprofile!$B$6:$B$11,"Schulbetrieb",Nutzungsprofile!$G$6:$G$11)*Kalender!C351/SUM(Kalender!$C$5:$C$370),0)+IFERROR(SUMIF(Nutzungsprofile!$B$6:$B$11,"Halle",Nutzungsprofile!$G$6:$G$11)*Kalender!D351/SUM(Kalender!$D$5:$D$370),0)+IFERROR(SUMIF(Nutzungsprofile!$B$6:$B$11,"Individuell",Nutzungsprofile!$G$6:$G$11)*Kalender!E351/SUM(Kalender!$E$5:$E$370),0))*Szenarien!$E$23,0)</f>
        <v>0</v>
      </c>
      <c r="D4743" s="13" t="n">
        <f aca="false">IF(Szenarien!$H$23="OK",(IFERROR(SUMIF(Nutzungsprofile!$B$17:$B$22,"Schulbetrieb",Nutzungsprofile!$G$17:$G$22)*Kalender!C351/SUM(Kalender!$C$5:$C$370),0)+IFERROR(SUMIF(Nutzungsprofile!$B$17:$B$22,"Halle",Nutzungsprofile!$G$17:$G$22)*Kalender!D351/SUM(Kalender!$D$5:$D$370),0)+IFERROR(SUMIF(Nutzungsprofile!$B$17:$B$22,"Individuell",Nutzungsprofile!$G$17:$G$22)*Kalender!E351/SUM(Kalender!$E$5:$E$370),0))*Szenarien!$D$23,0)</f>
        <v>0</v>
      </c>
      <c r="E4743" s="13" t="n">
        <f aca="false">IFERROR(MIN(C4743,Eingaben!$B$17)*Eingaben!$B$16,0)</f>
        <v>0</v>
      </c>
      <c r="F4743" s="13" t="n">
        <f aca="false">IFERROR(E4743*Eingaben!$B$15,0)</f>
        <v>0</v>
      </c>
      <c r="G4743" s="13" t="n">
        <f aca="false">IFERROR(IF(Kalender!A351="",0,J4742*(1-Eingaben!$B$20)),0)</f>
        <v>0</v>
      </c>
      <c r="H4743" s="13" t="n">
        <f aca="false">MIN(G4743,D4743)</f>
        <v>0</v>
      </c>
      <c r="I4743" s="13" t="n">
        <f aca="false">IFERROR(MIN(F4743*Eingaben!$B$19,MAX(0,D4743-H4743)),0)</f>
        <v>0</v>
      </c>
      <c r="J4743" s="13" t="n">
        <f aca="false">IFERROR(MIN(Eingaben!$B$18,MAX(0,F4743-I4743)),0)</f>
        <v>0</v>
      </c>
      <c r="K4743" s="13" t="n">
        <f aca="false">H4743+I4743</f>
        <v>0</v>
      </c>
      <c r="L4743" s="13" t="n">
        <f aca="false">MAX(0,D4743-K4743)</f>
        <v>0</v>
      </c>
      <c r="M4743" s="13" t="n">
        <f aca="false">MAX(0,F4743-I4743-J4743)</f>
        <v>0</v>
      </c>
      <c r="N4743" s="13" t="n">
        <f aca="false">IF(Kalender!A351="",0,J4742-H4743)</f>
        <v>0</v>
      </c>
    </row>
    <row r="4744" customFormat="false" ht="16.4" hidden="false" customHeight="false" outlineLevel="0" collapsed="false">
      <c r="A4744" s="13" t="str">
        <f aca="false">""</f>
        <v/>
      </c>
      <c r="B4744" s="13" t="n">
        <f aca="false">348</f>
        <v>348</v>
      </c>
      <c r="C4744" s="13" t="n">
        <f aca="false">IF(Szenarien!$H$23="OK",(IFERROR(SUMIF(Nutzungsprofile!$B$6:$B$11,"Schulbetrieb",Nutzungsprofile!$G$6:$G$11)*Kalender!C352/SUM(Kalender!$C$5:$C$370),0)+IFERROR(SUMIF(Nutzungsprofile!$B$6:$B$11,"Halle",Nutzungsprofile!$G$6:$G$11)*Kalender!D352/SUM(Kalender!$D$5:$D$370),0)+IFERROR(SUMIF(Nutzungsprofile!$B$6:$B$11,"Individuell",Nutzungsprofile!$G$6:$G$11)*Kalender!E352/SUM(Kalender!$E$5:$E$370),0))*Szenarien!$E$23,0)</f>
        <v>0</v>
      </c>
      <c r="D4744" s="13" t="n">
        <f aca="false">IF(Szenarien!$H$23="OK",(IFERROR(SUMIF(Nutzungsprofile!$B$17:$B$22,"Schulbetrieb",Nutzungsprofile!$G$17:$G$22)*Kalender!C352/SUM(Kalender!$C$5:$C$370),0)+IFERROR(SUMIF(Nutzungsprofile!$B$17:$B$22,"Halle",Nutzungsprofile!$G$17:$G$22)*Kalender!D352/SUM(Kalender!$D$5:$D$370),0)+IFERROR(SUMIF(Nutzungsprofile!$B$17:$B$22,"Individuell",Nutzungsprofile!$G$17:$G$22)*Kalender!E352/SUM(Kalender!$E$5:$E$370),0))*Szenarien!$D$23,0)</f>
        <v>0</v>
      </c>
      <c r="E4744" s="13" t="n">
        <f aca="false">IFERROR(MIN(C4744,Eingaben!$B$17)*Eingaben!$B$16,0)</f>
        <v>0</v>
      </c>
      <c r="F4744" s="13" t="n">
        <f aca="false">IFERROR(E4744*Eingaben!$B$15,0)</f>
        <v>0</v>
      </c>
      <c r="G4744" s="13" t="n">
        <f aca="false">IFERROR(IF(Kalender!A352="",0,J4743*(1-Eingaben!$B$20)),0)</f>
        <v>0</v>
      </c>
      <c r="H4744" s="13" t="n">
        <f aca="false">MIN(G4744,D4744)</f>
        <v>0</v>
      </c>
      <c r="I4744" s="13" t="n">
        <f aca="false">IFERROR(MIN(F4744*Eingaben!$B$19,MAX(0,D4744-H4744)),0)</f>
        <v>0</v>
      </c>
      <c r="J4744" s="13" t="n">
        <f aca="false">IFERROR(MIN(Eingaben!$B$18,MAX(0,F4744-I4744)),0)</f>
        <v>0</v>
      </c>
      <c r="K4744" s="13" t="n">
        <f aca="false">H4744+I4744</f>
        <v>0</v>
      </c>
      <c r="L4744" s="13" t="n">
        <f aca="false">MAX(0,D4744-K4744)</f>
        <v>0</v>
      </c>
      <c r="M4744" s="13" t="n">
        <f aca="false">MAX(0,F4744-I4744-J4744)</f>
        <v>0</v>
      </c>
      <c r="N4744" s="13" t="n">
        <f aca="false">IF(Kalender!A352="",0,J4743-H4744)</f>
        <v>0</v>
      </c>
    </row>
    <row r="4745" customFormat="false" ht="16.4" hidden="false" customHeight="false" outlineLevel="0" collapsed="false">
      <c r="A4745" s="13" t="str">
        <f aca="false">""</f>
        <v/>
      </c>
      <c r="B4745" s="13" t="n">
        <f aca="false">349</f>
        <v>349</v>
      </c>
      <c r="C4745" s="13" t="n">
        <f aca="false">IF(Szenarien!$H$23="OK",(IFERROR(SUMIF(Nutzungsprofile!$B$6:$B$11,"Schulbetrieb",Nutzungsprofile!$G$6:$G$11)*Kalender!C353/SUM(Kalender!$C$5:$C$370),0)+IFERROR(SUMIF(Nutzungsprofile!$B$6:$B$11,"Halle",Nutzungsprofile!$G$6:$G$11)*Kalender!D353/SUM(Kalender!$D$5:$D$370),0)+IFERROR(SUMIF(Nutzungsprofile!$B$6:$B$11,"Individuell",Nutzungsprofile!$G$6:$G$11)*Kalender!E353/SUM(Kalender!$E$5:$E$370),0))*Szenarien!$E$23,0)</f>
        <v>0</v>
      </c>
      <c r="D4745" s="13" t="n">
        <f aca="false">IF(Szenarien!$H$23="OK",(IFERROR(SUMIF(Nutzungsprofile!$B$17:$B$22,"Schulbetrieb",Nutzungsprofile!$G$17:$G$22)*Kalender!C353/SUM(Kalender!$C$5:$C$370),0)+IFERROR(SUMIF(Nutzungsprofile!$B$17:$B$22,"Halle",Nutzungsprofile!$G$17:$G$22)*Kalender!D353/SUM(Kalender!$D$5:$D$370),0)+IFERROR(SUMIF(Nutzungsprofile!$B$17:$B$22,"Individuell",Nutzungsprofile!$G$17:$G$22)*Kalender!E353/SUM(Kalender!$E$5:$E$370),0))*Szenarien!$D$23,0)</f>
        <v>0</v>
      </c>
      <c r="E4745" s="13" t="n">
        <f aca="false">IFERROR(MIN(C4745,Eingaben!$B$17)*Eingaben!$B$16,0)</f>
        <v>0</v>
      </c>
      <c r="F4745" s="13" t="n">
        <f aca="false">IFERROR(E4745*Eingaben!$B$15,0)</f>
        <v>0</v>
      </c>
      <c r="G4745" s="13" t="n">
        <f aca="false">IFERROR(IF(Kalender!A353="",0,J4744*(1-Eingaben!$B$20)),0)</f>
        <v>0</v>
      </c>
      <c r="H4745" s="13" t="n">
        <f aca="false">MIN(G4745,D4745)</f>
        <v>0</v>
      </c>
      <c r="I4745" s="13" t="n">
        <f aca="false">IFERROR(MIN(F4745*Eingaben!$B$19,MAX(0,D4745-H4745)),0)</f>
        <v>0</v>
      </c>
      <c r="J4745" s="13" t="n">
        <f aca="false">IFERROR(MIN(Eingaben!$B$18,MAX(0,F4745-I4745)),0)</f>
        <v>0</v>
      </c>
      <c r="K4745" s="13" t="n">
        <f aca="false">H4745+I4745</f>
        <v>0</v>
      </c>
      <c r="L4745" s="13" t="n">
        <f aca="false">MAX(0,D4745-K4745)</f>
        <v>0</v>
      </c>
      <c r="M4745" s="13" t="n">
        <f aca="false">MAX(0,F4745-I4745-J4745)</f>
        <v>0</v>
      </c>
      <c r="N4745" s="13" t="n">
        <f aca="false">IF(Kalender!A353="",0,J4744-H4745)</f>
        <v>0</v>
      </c>
    </row>
    <row r="4746" customFormat="false" ht="16.4" hidden="false" customHeight="false" outlineLevel="0" collapsed="false">
      <c r="A4746" s="13" t="str">
        <f aca="false">""</f>
        <v/>
      </c>
      <c r="B4746" s="13" t="n">
        <f aca="false">350</f>
        <v>350</v>
      </c>
      <c r="C4746" s="13" t="n">
        <f aca="false">IF(Szenarien!$H$23="OK",(IFERROR(SUMIF(Nutzungsprofile!$B$6:$B$11,"Schulbetrieb",Nutzungsprofile!$G$6:$G$11)*Kalender!C354/SUM(Kalender!$C$5:$C$370),0)+IFERROR(SUMIF(Nutzungsprofile!$B$6:$B$11,"Halle",Nutzungsprofile!$G$6:$G$11)*Kalender!D354/SUM(Kalender!$D$5:$D$370),0)+IFERROR(SUMIF(Nutzungsprofile!$B$6:$B$11,"Individuell",Nutzungsprofile!$G$6:$G$11)*Kalender!E354/SUM(Kalender!$E$5:$E$370),0))*Szenarien!$E$23,0)</f>
        <v>0</v>
      </c>
      <c r="D4746" s="13" t="n">
        <f aca="false">IF(Szenarien!$H$23="OK",(IFERROR(SUMIF(Nutzungsprofile!$B$17:$B$22,"Schulbetrieb",Nutzungsprofile!$G$17:$G$22)*Kalender!C354/SUM(Kalender!$C$5:$C$370),0)+IFERROR(SUMIF(Nutzungsprofile!$B$17:$B$22,"Halle",Nutzungsprofile!$G$17:$G$22)*Kalender!D354/SUM(Kalender!$D$5:$D$370),0)+IFERROR(SUMIF(Nutzungsprofile!$B$17:$B$22,"Individuell",Nutzungsprofile!$G$17:$G$22)*Kalender!E354/SUM(Kalender!$E$5:$E$370),0))*Szenarien!$D$23,0)</f>
        <v>0</v>
      </c>
      <c r="E4746" s="13" t="n">
        <f aca="false">IFERROR(MIN(C4746,Eingaben!$B$17)*Eingaben!$B$16,0)</f>
        <v>0</v>
      </c>
      <c r="F4746" s="13" t="n">
        <f aca="false">IFERROR(E4746*Eingaben!$B$15,0)</f>
        <v>0</v>
      </c>
      <c r="G4746" s="13" t="n">
        <f aca="false">IFERROR(IF(Kalender!A354="",0,J4745*(1-Eingaben!$B$20)),0)</f>
        <v>0</v>
      </c>
      <c r="H4746" s="13" t="n">
        <f aca="false">MIN(G4746,D4746)</f>
        <v>0</v>
      </c>
      <c r="I4746" s="13" t="n">
        <f aca="false">IFERROR(MIN(F4746*Eingaben!$B$19,MAX(0,D4746-H4746)),0)</f>
        <v>0</v>
      </c>
      <c r="J4746" s="13" t="n">
        <f aca="false">IFERROR(MIN(Eingaben!$B$18,MAX(0,F4746-I4746)),0)</f>
        <v>0</v>
      </c>
      <c r="K4746" s="13" t="n">
        <f aca="false">H4746+I4746</f>
        <v>0</v>
      </c>
      <c r="L4746" s="13" t="n">
        <f aca="false">MAX(0,D4746-K4746)</f>
        <v>0</v>
      </c>
      <c r="M4746" s="13" t="n">
        <f aca="false">MAX(0,F4746-I4746-J4746)</f>
        <v>0</v>
      </c>
      <c r="N4746" s="13" t="n">
        <f aca="false">IF(Kalender!A354="",0,J4745-H4746)</f>
        <v>0</v>
      </c>
    </row>
    <row r="4747" customFormat="false" ht="16.4" hidden="false" customHeight="false" outlineLevel="0" collapsed="false">
      <c r="A4747" s="13" t="str">
        <f aca="false">""</f>
        <v/>
      </c>
      <c r="B4747" s="13" t="n">
        <f aca="false">351</f>
        <v>351</v>
      </c>
      <c r="C4747" s="13" t="n">
        <f aca="false">IF(Szenarien!$H$23="OK",(IFERROR(SUMIF(Nutzungsprofile!$B$6:$B$11,"Schulbetrieb",Nutzungsprofile!$G$6:$G$11)*Kalender!C355/SUM(Kalender!$C$5:$C$370),0)+IFERROR(SUMIF(Nutzungsprofile!$B$6:$B$11,"Halle",Nutzungsprofile!$G$6:$G$11)*Kalender!D355/SUM(Kalender!$D$5:$D$370),0)+IFERROR(SUMIF(Nutzungsprofile!$B$6:$B$11,"Individuell",Nutzungsprofile!$G$6:$G$11)*Kalender!E355/SUM(Kalender!$E$5:$E$370),0))*Szenarien!$E$23,0)</f>
        <v>0</v>
      </c>
      <c r="D4747" s="13" t="n">
        <f aca="false">IF(Szenarien!$H$23="OK",(IFERROR(SUMIF(Nutzungsprofile!$B$17:$B$22,"Schulbetrieb",Nutzungsprofile!$G$17:$G$22)*Kalender!C355/SUM(Kalender!$C$5:$C$370),0)+IFERROR(SUMIF(Nutzungsprofile!$B$17:$B$22,"Halle",Nutzungsprofile!$G$17:$G$22)*Kalender!D355/SUM(Kalender!$D$5:$D$370),0)+IFERROR(SUMIF(Nutzungsprofile!$B$17:$B$22,"Individuell",Nutzungsprofile!$G$17:$G$22)*Kalender!E355/SUM(Kalender!$E$5:$E$370),0))*Szenarien!$D$23,0)</f>
        <v>0</v>
      </c>
      <c r="E4747" s="13" t="n">
        <f aca="false">IFERROR(MIN(C4747,Eingaben!$B$17)*Eingaben!$B$16,0)</f>
        <v>0</v>
      </c>
      <c r="F4747" s="13" t="n">
        <f aca="false">IFERROR(E4747*Eingaben!$B$15,0)</f>
        <v>0</v>
      </c>
      <c r="G4747" s="13" t="n">
        <f aca="false">IFERROR(IF(Kalender!A355="",0,J4746*(1-Eingaben!$B$20)),0)</f>
        <v>0</v>
      </c>
      <c r="H4747" s="13" t="n">
        <f aca="false">MIN(G4747,D4747)</f>
        <v>0</v>
      </c>
      <c r="I4747" s="13" t="n">
        <f aca="false">IFERROR(MIN(F4747*Eingaben!$B$19,MAX(0,D4747-H4747)),0)</f>
        <v>0</v>
      </c>
      <c r="J4747" s="13" t="n">
        <f aca="false">IFERROR(MIN(Eingaben!$B$18,MAX(0,F4747-I4747)),0)</f>
        <v>0</v>
      </c>
      <c r="K4747" s="13" t="n">
        <f aca="false">H4747+I4747</f>
        <v>0</v>
      </c>
      <c r="L4747" s="13" t="n">
        <f aca="false">MAX(0,D4747-K4747)</f>
        <v>0</v>
      </c>
      <c r="M4747" s="13" t="n">
        <f aca="false">MAX(0,F4747-I4747-J4747)</f>
        <v>0</v>
      </c>
      <c r="N4747" s="13" t="n">
        <f aca="false">IF(Kalender!A355="",0,J4746-H4747)</f>
        <v>0</v>
      </c>
    </row>
    <row r="4748" customFormat="false" ht="16.4" hidden="false" customHeight="false" outlineLevel="0" collapsed="false">
      <c r="A4748" s="13" t="str">
        <f aca="false">""</f>
        <v/>
      </c>
      <c r="B4748" s="13" t="n">
        <f aca="false">352</f>
        <v>352</v>
      </c>
      <c r="C4748" s="13" t="n">
        <f aca="false">IF(Szenarien!$H$23="OK",(IFERROR(SUMIF(Nutzungsprofile!$B$6:$B$11,"Schulbetrieb",Nutzungsprofile!$G$6:$G$11)*Kalender!C356/SUM(Kalender!$C$5:$C$370),0)+IFERROR(SUMIF(Nutzungsprofile!$B$6:$B$11,"Halle",Nutzungsprofile!$G$6:$G$11)*Kalender!D356/SUM(Kalender!$D$5:$D$370),0)+IFERROR(SUMIF(Nutzungsprofile!$B$6:$B$11,"Individuell",Nutzungsprofile!$G$6:$G$11)*Kalender!E356/SUM(Kalender!$E$5:$E$370),0))*Szenarien!$E$23,0)</f>
        <v>0</v>
      </c>
      <c r="D4748" s="13" t="n">
        <f aca="false">IF(Szenarien!$H$23="OK",(IFERROR(SUMIF(Nutzungsprofile!$B$17:$B$22,"Schulbetrieb",Nutzungsprofile!$G$17:$G$22)*Kalender!C356/SUM(Kalender!$C$5:$C$370),0)+IFERROR(SUMIF(Nutzungsprofile!$B$17:$B$22,"Halle",Nutzungsprofile!$G$17:$G$22)*Kalender!D356/SUM(Kalender!$D$5:$D$370),0)+IFERROR(SUMIF(Nutzungsprofile!$B$17:$B$22,"Individuell",Nutzungsprofile!$G$17:$G$22)*Kalender!E356/SUM(Kalender!$E$5:$E$370),0))*Szenarien!$D$23,0)</f>
        <v>0</v>
      </c>
      <c r="E4748" s="13" t="n">
        <f aca="false">IFERROR(MIN(C4748,Eingaben!$B$17)*Eingaben!$B$16,0)</f>
        <v>0</v>
      </c>
      <c r="F4748" s="13" t="n">
        <f aca="false">IFERROR(E4748*Eingaben!$B$15,0)</f>
        <v>0</v>
      </c>
      <c r="G4748" s="13" t="n">
        <f aca="false">IFERROR(IF(Kalender!A356="",0,J4747*(1-Eingaben!$B$20)),0)</f>
        <v>0</v>
      </c>
      <c r="H4748" s="13" t="n">
        <f aca="false">MIN(G4748,D4748)</f>
        <v>0</v>
      </c>
      <c r="I4748" s="13" t="n">
        <f aca="false">IFERROR(MIN(F4748*Eingaben!$B$19,MAX(0,D4748-H4748)),0)</f>
        <v>0</v>
      </c>
      <c r="J4748" s="13" t="n">
        <f aca="false">IFERROR(MIN(Eingaben!$B$18,MAX(0,F4748-I4748)),0)</f>
        <v>0</v>
      </c>
      <c r="K4748" s="13" t="n">
        <f aca="false">H4748+I4748</f>
        <v>0</v>
      </c>
      <c r="L4748" s="13" t="n">
        <f aca="false">MAX(0,D4748-K4748)</f>
        <v>0</v>
      </c>
      <c r="M4748" s="13" t="n">
        <f aca="false">MAX(0,F4748-I4748-J4748)</f>
        <v>0</v>
      </c>
      <c r="N4748" s="13" t="n">
        <f aca="false">IF(Kalender!A356="",0,J4747-H4748)</f>
        <v>0</v>
      </c>
    </row>
    <row r="4749" customFormat="false" ht="16.4" hidden="false" customHeight="false" outlineLevel="0" collapsed="false">
      <c r="A4749" s="13" t="str">
        <f aca="false">""</f>
        <v/>
      </c>
      <c r="B4749" s="13" t="n">
        <f aca="false">353</f>
        <v>353</v>
      </c>
      <c r="C4749" s="13" t="n">
        <f aca="false">IF(Szenarien!$H$23="OK",(IFERROR(SUMIF(Nutzungsprofile!$B$6:$B$11,"Schulbetrieb",Nutzungsprofile!$G$6:$G$11)*Kalender!C357/SUM(Kalender!$C$5:$C$370),0)+IFERROR(SUMIF(Nutzungsprofile!$B$6:$B$11,"Halle",Nutzungsprofile!$G$6:$G$11)*Kalender!D357/SUM(Kalender!$D$5:$D$370),0)+IFERROR(SUMIF(Nutzungsprofile!$B$6:$B$11,"Individuell",Nutzungsprofile!$G$6:$G$11)*Kalender!E357/SUM(Kalender!$E$5:$E$370),0))*Szenarien!$E$23,0)</f>
        <v>0</v>
      </c>
      <c r="D4749" s="13" t="n">
        <f aca="false">IF(Szenarien!$H$23="OK",(IFERROR(SUMIF(Nutzungsprofile!$B$17:$B$22,"Schulbetrieb",Nutzungsprofile!$G$17:$G$22)*Kalender!C357/SUM(Kalender!$C$5:$C$370),0)+IFERROR(SUMIF(Nutzungsprofile!$B$17:$B$22,"Halle",Nutzungsprofile!$G$17:$G$22)*Kalender!D357/SUM(Kalender!$D$5:$D$370),0)+IFERROR(SUMIF(Nutzungsprofile!$B$17:$B$22,"Individuell",Nutzungsprofile!$G$17:$G$22)*Kalender!E357/SUM(Kalender!$E$5:$E$370),0))*Szenarien!$D$23,0)</f>
        <v>0</v>
      </c>
      <c r="E4749" s="13" t="n">
        <f aca="false">IFERROR(MIN(C4749,Eingaben!$B$17)*Eingaben!$B$16,0)</f>
        <v>0</v>
      </c>
      <c r="F4749" s="13" t="n">
        <f aca="false">IFERROR(E4749*Eingaben!$B$15,0)</f>
        <v>0</v>
      </c>
      <c r="G4749" s="13" t="n">
        <f aca="false">IFERROR(IF(Kalender!A357="",0,J4748*(1-Eingaben!$B$20)),0)</f>
        <v>0</v>
      </c>
      <c r="H4749" s="13" t="n">
        <f aca="false">MIN(G4749,D4749)</f>
        <v>0</v>
      </c>
      <c r="I4749" s="13" t="n">
        <f aca="false">IFERROR(MIN(F4749*Eingaben!$B$19,MAX(0,D4749-H4749)),0)</f>
        <v>0</v>
      </c>
      <c r="J4749" s="13" t="n">
        <f aca="false">IFERROR(MIN(Eingaben!$B$18,MAX(0,F4749-I4749)),0)</f>
        <v>0</v>
      </c>
      <c r="K4749" s="13" t="n">
        <f aca="false">H4749+I4749</f>
        <v>0</v>
      </c>
      <c r="L4749" s="13" t="n">
        <f aca="false">MAX(0,D4749-K4749)</f>
        <v>0</v>
      </c>
      <c r="M4749" s="13" t="n">
        <f aca="false">MAX(0,F4749-I4749-J4749)</f>
        <v>0</v>
      </c>
      <c r="N4749" s="13" t="n">
        <f aca="false">IF(Kalender!A357="",0,J4748-H4749)</f>
        <v>0</v>
      </c>
    </row>
    <row r="4750" customFormat="false" ht="16.4" hidden="false" customHeight="false" outlineLevel="0" collapsed="false">
      <c r="A4750" s="13" t="str">
        <f aca="false">""</f>
        <v/>
      </c>
      <c r="B4750" s="13" t="n">
        <f aca="false">354</f>
        <v>354</v>
      </c>
      <c r="C4750" s="13" t="n">
        <f aca="false">IF(Szenarien!$H$23="OK",(IFERROR(SUMIF(Nutzungsprofile!$B$6:$B$11,"Schulbetrieb",Nutzungsprofile!$G$6:$G$11)*Kalender!C358/SUM(Kalender!$C$5:$C$370),0)+IFERROR(SUMIF(Nutzungsprofile!$B$6:$B$11,"Halle",Nutzungsprofile!$G$6:$G$11)*Kalender!D358/SUM(Kalender!$D$5:$D$370),0)+IFERROR(SUMIF(Nutzungsprofile!$B$6:$B$11,"Individuell",Nutzungsprofile!$G$6:$G$11)*Kalender!E358/SUM(Kalender!$E$5:$E$370),0))*Szenarien!$E$23,0)</f>
        <v>0</v>
      </c>
      <c r="D4750" s="13" t="n">
        <f aca="false">IF(Szenarien!$H$23="OK",(IFERROR(SUMIF(Nutzungsprofile!$B$17:$B$22,"Schulbetrieb",Nutzungsprofile!$G$17:$G$22)*Kalender!C358/SUM(Kalender!$C$5:$C$370),0)+IFERROR(SUMIF(Nutzungsprofile!$B$17:$B$22,"Halle",Nutzungsprofile!$G$17:$G$22)*Kalender!D358/SUM(Kalender!$D$5:$D$370),0)+IFERROR(SUMIF(Nutzungsprofile!$B$17:$B$22,"Individuell",Nutzungsprofile!$G$17:$G$22)*Kalender!E358/SUM(Kalender!$E$5:$E$370),0))*Szenarien!$D$23,0)</f>
        <v>0</v>
      </c>
      <c r="E4750" s="13" t="n">
        <f aca="false">IFERROR(MIN(C4750,Eingaben!$B$17)*Eingaben!$B$16,0)</f>
        <v>0</v>
      </c>
      <c r="F4750" s="13" t="n">
        <f aca="false">IFERROR(E4750*Eingaben!$B$15,0)</f>
        <v>0</v>
      </c>
      <c r="G4750" s="13" t="n">
        <f aca="false">IFERROR(IF(Kalender!A358="",0,J4749*(1-Eingaben!$B$20)),0)</f>
        <v>0</v>
      </c>
      <c r="H4750" s="13" t="n">
        <f aca="false">MIN(G4750,D4750)</f>
        <v>0</v>
      </c>
      <c r="I4750" s="13" t="n">
        <f aca="false">IFERROR(MIN(F4750*Eingaben!$B$19,MAX(0,D4750-H4750)),0)</f>
        <v>0</v>
      </c>
      <c r="J4750" s="13" t="n">
        <f aca="false">IFERROR(MIN(Eingaben!$B$18,MAX(0,F4750-I4750)),0)</f>
        <v>0</v>
      </c>
      <c r="K4750" s="13" t="n">
        <f aca="false">H4750+I4750</f>
        <v>0</v>
      </c>
      <c r="L4750" s="13" t="n">
        <f aca="false">MAX(0,D4750-K4750)</f>
        <v>0</v>
      </c>
      <c r="M4750" s="13" t="n">
        <f aca="false">MAX(0,F4750-I4750-J4750)</f>
        <v>0</v>
      </c>
      <c r="N4750" s="13" t="n">
        <f aca="false">IF(Kalender!A358="",0,J4749-H4750)</f>
        <v>0</v>
      </c>
    </row>
    <row r="4751" customFormat="false" ht="16.4" hidden="false" customHeight="false" outlineLevel="0" collapsed="false">
      <c r="A4751" s="13" t="str">
        <f aca="false">""</f>
        <v/>
      </c>
      <c r="B4751" s="13" t="n">
        <f aca="false">355</f>
        <v>355</v>
      </c>
      <c r="C4751" s="13" t="n">
        <f aca="false">IF(Szenarien!$H$23="OK",(IFERROR(SUMIF(Nutzungsprofile!$B$6:$B$11,"Schulbetrieb",Nutzungsprofile!$G$6:$G$11)*Kalender!C359/SUM(Kalender!$C$5:$C$370),0)+IFERROR(SUMIF(Nutzungsprofile!$B$6:$B$11,"Halle",Nutzungsprofile!$G$6:$G$11)*Kalender!D359/SUM(Kalender!$D$5:$D$370),0)+IFERROR(SUMIF(Nutzungsprofile!$B$6:$B$11,"Individuell",Nutzungsprofile!$G$6:$G$11)*Kalender!E359/SUM(Kalender!$E$5:$E$370),0))*Szenarien!$E$23,0)</f>
        <v>0</v>
      </c>
      <c r="D4751" s="13" t="n">
        <f aca="false">IF(Szenarien!$H$23="OK",(IFERROR(SUMIF(Nutzungsprofile!$B$17:$B$22,"Schulbetrieb",Nutzungsprofile!$G$17:$G$22)*Kalender!C359/SUM(Kalender!$C$5:$C$370),0)+IFERROR(SUMIF(Nutzungsprofile!$B$17:$B$22,"Halle",Nutzungsprofile!$G$17:$G$22)*Kalender!D359/SUM(Kalender!$D$5:$D$370),0)+IFERROR(SUMIF(Nutzungsprofile!$B$17:$B$22,"Individuell",Nutzungsprofile!$G$17:$G$22)*Kalender!E359/SUM(Kalender!$E$5:$E$370),0))*Szenarien!$D$23,0)</f>
        <v>0</v>
      </c>
      <c r="E4751" s="13" t="n">
        <f aca="false">IFERROR(MIN(C4751,Eingaben!$B$17)*Eingaben!$B$16,0)</f>
        <v>0</v>
      </c>
      <c r="F4751" s="13" t="n">
        <f aca="false">IFERROR(E4751*Eingaben!$B$15,0)</f>
        <v>0</v>
      </c>
      <c r="G4751" s="13" t="n">
        <f aca="false">IFERROR(IF(Kalender!A359="",0,J4750*(1-Eingaben!$B$20)),0)</f>
        <v>0</v>
      </c>
      <c r="H4751" s="13" t="n">
        <f aca="false">MIN(G4751,D4751)</f>
        <v>0</v>
      </c>
      <c r="I4751" s="13" t="n">
        <f aca="false">IFERROR(MIN(F4751*Eingaben!$B$19,MAX(0,D4751-H4751)),0)</f>
        <v>0</v>
      </c>
      <c r="J4751" s="13" t="n">
        <f aca="false">IFERROR(MIN(Eingaben!$B$18,MAX(0,F4751-I4751)),0)</f>
        <v>0</v>
      </c>
      <c r="K4751" s="13" t="n">
        <f aca="false">H4751+I4751</f>
        <v>0</v>
      </c>
      <c r="L4751" s="13" t="n">
        <f aca="false">MAX(0,D4751-K4751)</f>
        <v>0</v>
      </c>
      <c r="M4751" s="13" t="n">
        <f aca="false">MAX(0,F4751-I4751-J4751)</f>
        <v>0</v>
      </c>
      <c r="N4751" s="13" t="n">
        <f aca="false">IF(Kalender!A359="",0,J4750-H4751)</f>
        <v>0</v>
      </c>
    </row>
    <row r="4752" customFormat="false" ht="16.4" hidden="false" customHeight="false" outlineLevel="0" collapsed="false">
      <c r="A4752" s="13" t="str">
        <f aca="false">""</f>
        <v/>
      </c>
      <c r="B4752" s="13" t="n">
        <f aca="false">356</f>
        <v>356</v>
      </c>
      <c r="C4752" s="13" t="n">
        <f aca="false">IF(Szenarien!$H$23="OK",(IFERROR(SUMIF(Nutzungsprofile!$B$6:$B$11,"Schulbetrieb",Nutzungsprofile!$G$6:$G$11)*Kalender!C360/SUM(Kalender!$C$5:$C$370),0)+IFERROR(SUMIF(Nutzungsprofile!$B$6:$B$11,"Halle",Nutzungsprofile!$G$6:$G$11)*Kalender!D360/SUM(Kalender!$D$5:$D$370),0)+IFERROR(SUMIF(Nutzungsprofile!$B$6:$B$11,"Individuell",Nutzungsprofile!$G$6:$G$11)*Kalender!E360/SUM(Kalender!$E$5:$E$370),0))*Szenarien!$E$23,0)</f>
        <v>0</v>
      </c>
      <c r="D4752" s="13" t="n">
        <f aca="false">IF(Szenarien!$H$23="OK",(IFERROR(SUMIF(Nutzungsprofile!$B$17:$B$22,"Schulbetrieb",Nutzungsprofile!$G$17:$G$22)*Kalender!C360/SUM(Kalender!$C$5:$C$370),0)+IFERROR(SUMIF(Nutzungsprofile!$B$17:$B$22,"Halle",Nutzungsprofile!$G$17:$G$22)*Kalender!D360/SUM(Kalender!$D$5:$D$370),0)+IFERROR(SUMIF(Nutzungsprofile!$B$17:$B$22,"Individuell",Nutzungsprofile!$G$17:$G$22)*Kalender!E360/SUM(Kalender!$E$5:$E$370),0))*Szenarien!$D$23,0)</f>
        <v>0</v>
      </c>
      <c r="E4752" s="13" t="n">
        <f aca="false">IFERROR(MIN(C4752,Eingaben!$B$17)*Eingaben!$B$16,0)</f>
        <v>0</v>
      </c>
      <c r="F4752" s="13" t="n">
        <f aca="false">IFERROR(E4752*Eingaben!$B$15,0)</f>
        <v>0</v>
      </c>
      <c r="G4752" s="13" t="n">
        <f aca="false">IFERROR(IF(Kalender!A360="",0,J4751*(1-Eingaben!$B$20)),0)</f>
        <v>0</v>
      </c>
      <c r="H4752" s="13" t="n">
        <f aca="false">MIN(G4752,D4752)</f>
        <v>0</v>
      </c>
      <c r="I4752" s="13" t="n">
        <f aca="false">IFERROR(MIN(F4752*Eingaben!$B$19,MAX(0,D4752-H4752)),0)</f>
        <v>0</v>
      </c>
      <c r="J4752" s="13" t="n">
        <f aca="false">IFERROR(MIN(Eingaben!$B$18,MAX(0,F4752-I4752)),0)</f>
        <v>0</v>
      </c>
      <c r="K4752" s="13" t="n">
        <f aca="false">H4752+I4752</f>
        <v>0</v>
      </c>
      <c r="L4752" s="13" t="n">
        <f aca="false">MAX(0,D4752-K4752)</f>
        <v>0</v>
      </c>
      <c r="M4752" s="13" t="n">
        <f aca="false">MAX(0,F4752-I4752-J4752)</f>
        <v>0</v>
      </c>
      <c r="N4752" s="13" t="n">
        <f aca="false">IF(Kalender!A360="",0,J4751-H4752)</f>
        <v>0</v>
      </c>
    </row>
    <row r="4753" customFormat="false" ht="16.4" hidden="false" customHeight="false" outlineLevel="0" collapsed="false">
      <c r="A4753" s="13" t="str">
        <f aca="false">""</f>
        <v/>
      </c>
      <c r="B4753" s="13" t="n">
        <f aca="false">357</f>
        <v>357</v>
      </c>
      <c r="C4753" s="13" t="n">
        <f aca="false">IF(Szenarien!$H$23="OK",(IFERROR(SUMIF(Nutzungsprofile!$B$6:$B$11,"Schulbetrieb",Nutzungsprofile!$G$6:$G$11)*Kalender!C361/SUM(Kalender!$C$5:$C$370),0)+IFERROR(SUMIF(Nutzungsprofile!$B$6:$B$11,"Halle",Nutzungsprofile!$G$6:$G$11)*Kalender!D361/SUM(Kalender!$D$5:$D$370),0)+IFERROR(SUMIF(Nutzungsprofile!$B$6:$B$11,"Individuell",Nutzungsprofile!$G$6:$G$11)*Kalender!E361/SUM(Kalender!$E$5:$E$370),0))*Szenarien!$E$23,0)</f>
        <v>0</v>
      </c>
      <c r="D4753" s="13" t="n">
        <f aca="false">IF(Szenarien!$H$23="OK",(IFERROR(SUMIF(Nutzungsprofile!$B$17:$B$22,"Schulbetrieb",Nutzungsprofile!$G$17:$G$22)*Kalender!C361/SUM(Kalender!$C$5:$C$370),0)+IFERROR(SUMIF(Nutzungsprofile!$B$17:$B$22,"Halle",Nutzungsprofile!$G$17:$G$22)*Kalender!D361/SUM(Kalender!$D$5:$D$370),0)+IFERROR(SUMIF(Nutzungsprofile!$B$17:$B$22,"Individuell",Nutzungsprofile!$G$17:$G$22)*Kalender!E361/SUM(Kalender!$E$5:$E$370),0))*Szenarien!$D$23,0)</f>
        <v>0</v>
      </c>
      <c r="E4753" s="13" t="n">
        <f aca="false">IFERROR(MIN(C4753,Eingaben!$B$17)*Eingaben!$B$16,0)</f>
        <v>0</v>
      </c>
      <c r="F4753" s="13" t="n">
        <f aca="false">IFERROR(E4753*Eingaben!$B$15,0)</f>
        <v>0</v>
      </c>
      <c r="G4753" s="13" t="n">
        <f aca="false">IFERROR(IF(Kalender!A361="",0,J4752*(1-Eingaben!$B$20)),0)</f>
        <v>0</v>
      </c>
      <c r="H4753" s="13" t="n">
        <f aca="false">MIN(G4753,D4753)</f>
        <v>0</v>
      </c>
      <c r="I4753" s="13" t="n">
        <f aca="false">IFERROR(MIN(F4753*Eingaben!$B$19,MAX(0,D4753-H4753)),0)</f>
        <v>0</v>
      </c>
      <c r="J4753" s="13" t="n">
        <f aca="false">IFERROR(MIN(Eingaben!$B$18,MAX(0,F4753-I4753)),0)</f>
        <v>0</v>
      </c>
      <c r="K4753" s="13" t="n">
        <f aca="false">H4753+I4753</f>
        <v>0</v>
      </c>
      <c r="L4753" s="13" t="n">
        <f aca="false">MAX(0,D4753-K4753)</f>
        <v>0</v>
      </c>
      <c r="M4753" s="13" t="n">
        <f aca="false">MAX(0,F4753-I4753-J4753)</f>
        <v>0</v>
      </c>
      <c r="N4753" s="13" t="n">
        <f aca="false">IF(Kalender!A361="",0,J4752-H4753)</f>
        <v>0</v>
      </c>
    </row>
    <row r="4754" customFormat="false" ht="16.4" hidden="false" customHeight="false" outlineLevel="0" collapsed="false">
      <c r="A4754" s="13" t="str">
        <f aca="false">""</f>
        <v/>
      </c>
      <c r="B4754" s="13" t="n">
        <f aca="false">358</f>
        <v>358</v>
      </c>
      <c r="C4754" s="13" t="n">
        <f aca="false">IF(Szenarien!$H$23="OK",(IFERROR(SUMIF(Nutzungsprofile!$B$6:$B$11,"Schulbetrieb",Nutzungsprofile!$G$6:$G$11)*Kalender!C362/SUM(Kalender!$C$5:$C$370),0)+IFERROR(SUMIF(Nutzungsprofile!$B$6:$B$11,"Halle",Nutzungsprofile!$G$6:$G$11)*Kalender!D362/SUM(Kalender!$D$5:$D$370),0)+IFERROR(SUMIF(Nutzungsprofile!$B$6:$B$11,"Individuell",Nutzungsprofile!$G$6:$G$11)*Kalender!E362/SUM(Kalender!$E$5:$E$370),0))*Szenarien!$E$23,0)</f>
        <v>0</v>
      </c>
      <c r="D4754" s="13" t="n">
        <f aca="false">IF(Szenarien!$H$23="OK",(IFERROR(SUMIF(Nutzungsprofile!$B$17:$B$22,"Schulbetrieb",Nutzungsprofile!$G$17:$G$22)*Kalender!C362/SUM(Kalender!$C$5:$C$370),0)+IFERROR(SUMIF(Nutzungsprofile!$B$17:$B$22,"Halle",Nutzungsprofile!$G$17:$G$22)*Kalender!D362/SUM(Kalender!$D$5:$D$370),0)+IFERROR(SUMIF(Nutzungsprofile!$B$17:$B$22,"Individuell",Nutzungsprofile!$G$17:$G$22)*Kalender!E362/SUM(Kalender!$E$5:$E$370),0))*Szenarien!$D$23,0)</f>
        <v>0</v>
      </c>
      <c r="E4754" s="13" t="n">
        <f aca="false">IFERROR(MIN(C4754,Eingaben!$B$17)*Eingaben!$B$16,0)</f>
        <v>0</v>
      </c>
      <c r="F4754" s="13" t="n">
        <f aca="false">IFERROR(E4754*Eingaben!$B$15,0)</f>
        <v>0</v>
      </c>
      <c r="G4754" s="13" t="n">
        <f aca="false">IFERROR(IF(Kalender!A362="",0,J4753*(1-Eingaben!$B$20)),0)</f>
        <v>0</v>
      </c>
      <c r="H4754" s="13" t="n">
        <f aca="false">MIN(G4754,D4754)</f>
        <v>0</v>
      </c>
      <c r="I4754" s="13" t="n">
        <f aca="false">IFERROR(MIN(F4754*Eingaben!$B$19,MAX(0,D4754-H4754)),0)</f>
        <v>0</v>
      </c>
      <c r="J4754" s="13" t="n">
        <f aca="false">IFERROR(MIN(Eingaben!$B$18,MAX(0,F4754-I4754)),0)</f>
        <v>0</v>
      </c>
      <c r="K4754" s="13" t="n">
        <f aca="false">H4754+I4754</f>
        <v>0</v>
      </c>
      <c r="L4754" s="13" t="n">
        <f aca="false">MAX(0,D4754-K4754)</f>
        <v>0</v>
      </c>
      <c r="M4754" s="13" t="n">
        <f aca="false">MAX(0,F4754-I4754-J4754)</f>
        <v>0</v>
      </c>
      <c r="N4754" s="13" t="n">
        <f aca="false">IF(Kalender!A362="",0,J4753-H4754)</f>
        <v>0</v>
      </c>
    </row>
    <row r="4755" customFormat="false" ht="16.4" hidden="false" customHeight="false" outlineLevel="0" collapsed="false">
      <c r="A4755" s="13" t="str">
        <f aca="false">""</f>
        <v/>
      </c>
      <c r="B4755" s="13" t="n">
        <f aca="false">359</f>
        <v>359</v>
      </c>
      <c r="C4755" s="13" t="n">
        <f aca="false">IF(Szenarien!$H$23="OK",(IFERROR(SUMIF(Nutzungsprofile!$B$6:$B$11,"Schulbetrieb",Nutzungsprofile!$G$6:$G$11)*Kalender!C363/SUM(Kalender!$C$5:$C$370),0)+IFERROR(SUMIF(Nutzungsprofile!$B$6:$B$11,"Halle",Nutzungsprofile!$G$6:$G$11)*Kalender!D363/SUM(Kalender!$D$5:$D$370),0)+IFERROR(SUMIF(Nutzungsprofile!$B$6:$B$11,"Individuell",Nutzungsprofile!$G$6:$G$11)*Kalender!E363/SUM(Kalender!$E$5:$E$370),0))*Szenarien!$E$23,0)</f>
        <v>0</v>
      </c>
      <c r="D4755" s="13" t="n">
        <f aca="false">IF(Szenarien!$H$23="OK",(IFERROR(SUMIF(Nutzungsprofile!$B$17:$B$22,"Schulbetrieb",Nutzungsprofile!$G$17:$G$22)*Kalender!C363/SUM(Kalender!$C$5:$C$370),0)+IFERROR(SUMIF(Nutzungsprofile!$B$17:$B$22,"Halle",Nutzungsprofile!$G$17:$G$22)*Kalender!D363/SUM(Kalender!$D$5:$D$370),0)+IFERROR(SUMIF(Nutzungsprofile!$B$17:$B$22,"Individuell",Nutzungsprofile!$G$17:$G$22)*Kalender!E363/SUM(Kalender!$E$5:$E$370),0))*Szenarien!$D$23,0)</f>
        <v>0</v>
      </c>
      <c r="E4755" s="13" t="n">
        <f aca="false">IFERROR(MIN(C4755,Eingaben!$B$17)*Eingaben!$B$16,0)</f>
        <v>0</v>
      </c>
      <c r="F4755" s="13" t="n">
        <f aca="false">IFERROR(E4755*Eingaben!$B$15,0)</f>
        <v>0</v>
      </c>
      <c r="G4755" s="13" t="n">
        <f aca="false">IFERROR(IF(Kalender!A363="",0,J4754*(1-Eingaben!$B$20)),0)</f>
        <v>0</v>
      </c>
      <c r="H4755" s="13" t="n">
        <f aca="false">MIN(G4755,D4755)</f>
        <v>0</v>
      </c>
      <c r="I4755" s="13" t="n">
        <f aca="false">IFERROR(MIN(F4755*Eingaben!$B$19,MAX(0,D4755-H4755)),0)</f>
        <v>0</v>
      </c>
      <c r="J4755" s="13" t="n">
        <f aca="false">IFERROR(MIN(Eingaben!$B$18,MAX(0,F4755-I4755)),0)</f>
        <v>0</v>
      </c>
      <c r="K4755" s="13" t="n">
        <f aca="false">H4755+I4755</f>
        <v>0</v>
      </c>
      <c r="L4755" s="13" t="n">
        <f aca="false">MAX(0,D4755-K4755)</f>
        <v>0</v>
      </c>
      <c r="M4755" s="13" t="n">
        <f aca="false">MAX(0,F4755-I4755-J4755)</f>
        <v>0</v>
      </c>
      <c r="N4755" s="13" t="n">
        <f aca="false">IF(Kalender!A363="",0,J4754-H4755)</f>
        <v>0</v>
      </c>
    </row>
    <row r="4756" customFormat="false" ht="16.4" hidden="false" customHeight="false" outlineLevel="0" collapsed="false">
      <c r="A4756" s="13" t="str">
        <f aca="false">""</f>
        <v/>
      </c>
      <c r="B4756" s="13" t="n">
        <f aca="false">360</f>
        <v>360</v>
      </c>
      <c r="C4756" s="13" t="n">
        <f aca="false">IF(Szenarien!$H$23="OK",(IFERROR(SUMIF(Nutzungsprofile!$B$6:$B$11,"Schulbetrieb",Nutzungsprofile!$G$6:$G$11)*Kalender!C364/SUM(Kalender!$C$5:$C$370),0)+IFERROR(SUMIF(Nutzungsprofile!$B$6:$B$11,"Halle",Nutzungsprofile!$G$6:$G$11)*Kalender!D364/SUM(Kalender!$D$5:$D$370),0)+IFERROR(SUMIF(Nutzungsprofile!$B$6:$B$11,"Individuell",Nutzungsprofile!$G$6:$G$11)*Kalender!E364/SUM(Kalender!$E$5:$E$370),0))*Szenarien!$E$23,0)</f>
        <v>0</v>
      </c>
      <c r="D4756" s="13" t="n">
        <f aca="false">IF(Szenarien!$H$23="OK",(IFERROR(SUMIF(Nutzungsprofile!$B$17:$B$22,"Schulbetrieb",Nutzungsprofile!$G$17:$G$22)*Kalender!C364/SUM(Kalender!$C$5:$C$370),0)+IFERROR(SUMIF(Nutzungsprofile!$B$17:$B$22,"Halle",Nutzungsprofile!$G$17:$G$22)*Kalender!D364/SUM(Kalender!$D$5:$D$370),0)+IFERROR(SUMIF(Nutzungsprofile!$B$17:$B$22,"Individuell",Nutzungsprofile!$G$17:$G$22)*Kalender!E364/SUM(Kalender!$E$5:$E$370),0))*Szenarien!$D$23,0)</f>
        <v>0</v>
      </c>
      <c r="E4756" s="13" t="n">
        <f aca="false">IFERROR(MIN(C4756,Eingaben!$B$17)*Eingaben!$B$16,0)</f>
        <v>0</v>
      </c>
      <c r="F4756" s="13" t="n">
        <f aca="false">IFERROR(E4756*Eingaben!$B$15,0)</f>
        <v>0</v>
      </c>
      <c r="G4756" s="13" t="n">
        <f aca="false">IFERROR(IF(Kalender!A364="",0,J4755*(1-Eingaben!$B$20)),0)</f>
        <v>0</v>
      </c>
      <c r="H4756" s="13" t="n">
        <f aca="false">MIN(G4756,D4756)</f>
        <v>0</v>
      </c>
      <c r="I4756" s="13" t="n">
        <f aca="false">IFERROR(MIN(F4756*Eingaben!$B$19,MAX(0,D4756-H4756)),0)</f>
        <v>0</v>
      </c>
      <c r="J4756" s="13" t="n">
        <f aca="false">IFERROR(MIN(Eingaben!$B$18,MAX(0,F4756-I4756)),0)</f>
        <v>0</v>
      </c>
      <c r="K4756" s="13" t="n">
        <f aca="false">H4756+I4756</f>
        <v>0</v>
      </c>
      <c r="L4756" s="13" t="n">
        <f aca="false">MAX(0,D4756-K4756)</f>
        <v>0</v>
      </c>
      <c r="M4756" s="13" t="n">
        <f aca="false">MAX(0,F4756-I4756-J4756)</f>
        <v>0</v>
      </c>
      <c r="N4756" s="13" t="n">
        <f aca="false">IF(Kalender!A364="",0,J4755-H4756)</f>
        <v>0</v>
      </c>
    </row>
    <row r="4757" customFormat="false" ht="16.4" hidden="false" customHeight="false" outlineLevel="0" collapsed="false">
      <c r="A4757" s="13" t="str">
        <f aca="false">""</f>
        <v/>
      </c>
      <c r="B4757" s="13" t="n">
        <f aca="false">361</f>
        <v>361</v>
      </c>
      <c r="C4757" s="13" t="n">
        <f aca="false">IF(Szenarien!$H$23="OK",(IFERROR(SUMIF(Nutzungsprofile!$B$6:$B$11,"Schulbetrieb",Nutzungsprofile!$G$6:$G$11)*Kalender!C365/SUM(Kalender!$C$5:$C$370),0)+IFERROR(SUMIF(Nutzungsprofile!$B$6:$B$11,"Halle",Nutzungsprofile!$G$6:$G$11)*Kalender!D365/SUM(Kalender!$D$5:$D$370),0)+IFERROR(SUMIF(Nutzungsprofile!$B$6:$B$11,"Individuell",Nutzungsprofile!$G$6:$G$11)*Kalender!E365/SUM(Kalender!$E$5:$E$370),0))*Szenarien!$E$23,0)</f>
        <v>0</v>
      </c>
      <c r="D4757" s="13" t="n">
        <f aca="false">IF(Szenarien!$H$23="OK",(IFERROR(SUMIF(Nutzungsprofile!$B$17:$B$22,"Schulbetrieb",Nutzungsprofile!$G$17:$G$22)*Kalender!C365/SUM(Kalender!$C$5:$C$370),0)+IFERROR(SUMIF(Nutzungsprofile!$B$17:$B$22,"Halle",Nutzungsprofile!$G$17:$G$22)*Kalender!D365/SUM(Kalender!$D$5:$D$370),0)+IFERROR(SUMIF(Nutzungsprofile!$B$17:$B$22,"Individuell",Nutzungsprofile!$G$17:$G$22)*Kalender!E365/SUM(Kalender!$E$5:$E$370),0))*Szenarien!$D$23,0)</f>
        <v>0</v>
      </c>
      <c r="E4757" s="13" t="n">
        <f aca="false">IFERROR(MIN(C4757,Eingaben!$B$17)*Eingaben!$B$16,0)</f>
        <v>0</v>
      </c>
      <c r="F4757" s="13" t="n">
        <f aca="false">IFERROR(E4757*Eingaben!$B$15,0)</f>
        <v>0</v>
      </c>
      <c r="G4757" s="13" t="n">
        <f aca="false">IFERROR(IF(Kalender!A365="",0,J4756*(1-Eingaben!$B$20)),0)</f>
        <v>0</v>
      </c>
      <c r="H4757" s="13" t="n">
        <f aca="false">MIN(G4757,D4757)</f>
        <v>0</v>
      </c>
      <c r="I4757" s="13" t="n">
        <f aca="false">IFERROR(MIN(F4757*Eingaben!$B$19,MAX(0,D4757-H4757)),0)</f>
        <v>0</v>
      </c>
      <c r="J4757" s="13" t="n">
        <f aca="false">IFERROR(MIN(Eingaben!$B$18,MAX(0,F4757-I4757)),0)</f>
        <v>0</v>
      </c>
      <c r="K4757" s="13" t="n">
        <f aca="false">H4757+I4757</f>
        <v>0</v>
      </c>
      <c r="L4757" s="13" t="n">
        <f aca="false">MAX(0,D4757-K4757)</f>
        <v>0</v>
      </c>
      <c r="M4757" s="13" t="n">
        <f aca="false">MAX(0,F4757-I4757-J4757)</f>
        <v>0</v>
      </c>
      <c r="N4757" s="13" t="n">
        <f aca="false">IF(Kalender!A365="",0,J4756-H4757)</f>
        <v>0</v>
      </c>
    </row>
    <row r="4758" customFormat="false" ht="16.4" hidden="false" customHeight="false" outlineLevel="0" collapsed="false">
      <c r="A4758" s="13" t="str">
        <f aca="false">""</f>
        <v/>
      </c>
      <c r="B4758" s="13" t="n">
        <f aca="false">362</f>
        <v>362</v>
      </c>
      <c r="C4758" s="13" t="n">
        <f aca="false">IF(Szenarien!$H$23="OK",(IFERROR(SUMIF(Nutzungsprofile!$B$6:$B$11,"Schulbetrieb",Nutzungsprofile!$G$6:$G$11)*Kalender!C366/SUM(Kalender!$C$5:$C$370),0)+IFERROR(SUMIF(Nutzungsprofile!$B$6:$B$11,"Halle",Nutzungsprofile!$G$6:$G$11)*Kalender!D366/SUM(Kalender!$D$5:$D$370),0)+IFERROR(SUMIF(Nutzungsprofile!$B$6:$B$11,"Individuell",Nutzungsprofile!$G$6:$G$11)*Kalender!E366/SUM(Kalender!$E$5:$E$370),0))*Szenarien!$E$23,0)</f>
        <v>0</v>
      </c>
      <c r="D4758" s="13" t="n">
        <f aca="false">IF(Szenarien!$H$23="OK",(IFERROR(SUMIF(Nutzungsprofile!$B$17:$B$22,"Schulbetrieb",Nutzungsprofile!$G$17:$G$22)*Kalender!C366/SUM(Kalender!$C$5:$C$370),0)+IFERROR(SUMIF(Nutzungsprofile!$B$17:$B$22,"Halle",Nutzungsprofile!$G$17:$G$22)*Kalender!D366/SUM(Kalender!$D$5:$D$370),0)+IFERROR(SUMIF(Nutzungsprofile!$B$17:$B$22,"Individuell",Nutzungsprofile!$G$17:$G$22)*Kalender!E366/SUM(Kalender!$E$5:$E$370),0))*Szenarien!$D$23,0)</f>
        <v>0</v>
      </c>
      <c r="E4758" s="13" t="n">
        <f aca="false">IFERROR(MIN(C4758,Eingaben!$B$17)*Eingaben!$B$16,0)</f>
        <v>0</v>
      </c>
      <c r="F4758" s="13" t="n">
        <f aca="false">IFERROR(E4758*Eingaben!$B$15,0)</f>
        <v>0</v>
      </c>
      <c r="G4758" s="13" t="n">
        <f aca="false">IFERROR(IF(Kalender!A366="",0,J4757*(1-Eingaben!$B$20)),0)</f>
        <v>0</v>
      </c>
      <c r="H4758" s="13" t="n">
        <f aca="false">MIN(G4758,D4758)</f>
        <v>0</v>
      </c>
      <c r="I4758" s="13" t="n">
        <f aca="false">IFERROR(MIN(F4758*Eingaben!$B$19,MAX(0,D4758-H4758)),0)</f>
        <v>0</v>
      </c>
      <c r="J4758" s="13" t="n">
        <f aca="false">IFERROR(MIN(Eingaben!$B$18,MAX(0,F4758-I4758)),0)</f>
        <v>0</v>
      </c>
      <c r="K4758" s="13" t="n">
        <f aca="false">H4758+I4758</f>
        <v>0</v>
      </c>
      <c r="L4758" s="13" t="n">
        <f aca="false">MAX(0,D4758-K4758)</f>
        <v>0</v>
      </c>
      <c r="M4758" s="13" t="n">
        <f aca="false">MAX(0,F4758-I4758-J4758)</f>
        <v>0</v>
      </c>
      <c r="N4758" s="13" t="n">
        <f aca="false">IF(Kalender!A366="",0,J4757-H4758)</f>
        <v>0</v>
      </c>
    </row>
    <row r="4759" customFormat="false" ht="16.4" hidden="false" customHeight="false" outlineLevel="0" collapsed="false">
      <c r="A4759" s="13" t="str">
        <f aca="false">""</f>
        <v/>
      </c>
      <c r="B4759" s="13" t="n">
        <f aca="false">363</f>
        <v>363</v>
      </c>
      <c r="C4759" s="13" t="n">
        <f aca="false">IF(Szenarien!$H$23="OK",(IFERROR(SUMIF(Nutzungsprofile!$B$6:$B$11,"Schulbetrieb",Nutzungsprofile!$G$6:$G$11)*Kalender!C367/SUM(Kalender!$C$5:$C$370),0)+IFERROR(SUMIF(Nutzungsprofile!$B$6:$B$11,"Halle",Nutzungsprofile!$G$6:$G$11)*Kalender!D367/SUM(Kalender!$D$5:$D$370),0)+IFERROR(SUMIF(Nutzungsprofile!$B$6:$B$11,"Individuell",Nutzungsprofile!$G$6:$G$11)*Kalender!E367/SUM(Kalender!$E$5:$E$370),0))*Szenarien!$E$23,0)</f>
        <v>0</v>
      </c>
      <c r="D4759" s="13" t="n">
        <f aca="false">IF(Szenarien!$H$23="OK",(IFERROR(SUMIF(Nutzungsprofile!$B$17:$B$22,"Schulbetrieb",Nutzungsprofile!$G$17:$G$22)*Kalender!C367/SUM(Kalender!$C$5:$C$370),0)+IFERROR(SUMIF(Nutzungsprofile!$B$17:$B$22,"Halle",Nutzungsprofile!$G$17:$G$22)*Kalender!D367/SUM(Kalender!$D$5:$D$370),0)+IFERROR(SUMIF(Nutzungsprofile!$B$17:$B$22,"Individuell",Nutzungsprofile!$G$17:$G$22)*Kalender!E367/SUM(Kalender!$E$5:$E$370),0))*Szenarien!$D$23,0)</f>
        <v>0</v>
      </c>
      <c r="E4759" s="13" t="n">
        <f aca="false">IFERROR(MIN(C4759,Eingaben!$B$17)*Eingaben!$B$16,0)</f>
        <v>0</v>
      </c>
      <c r="F4759" s="13" t="n">
        <f aca="false">IFERROR(E4759*Eingaben!$B$15,0)</f>
        <v>0</v>
      </c>
      <c r="G4759" s="13" t="n">
        <f aca="false">IFERROR(IF(Kalender!A367="",0,J4758*(1-Eingaben!$B$20)),0)</f>
        <v>0</v>
      </c>
      <c r="H4759" s="13" t="n">
        <f aca="false">MIN(G4759,D4759)</f>
        <v>0</v>
      </c>
      <c r="I4759" s="13" t="n">
        <f aca="false">IFERROR(MIN(F4759*Eingaben!$B$19,MAX(0,D4759-H4759)),0)</f>
        <v>0</v>
      </c>
      <c r="J4759" s="13" t="n">
        <f aca="false">IFERROR(MIN(Eingaben!$B$18,MAX(0,F4759-I4759)),0)</f>
        <v>0</v>
      </c>
      <c r="K4759" s="13" t="n">
        <f aca="false">H4759+I4759</f>
        <v>0</v>
      </c>
      <c r="L4759" s="13" t="n">
        <f aca="false">MAX(0,D4759-K4759)</f>
        <v>0</v>
      </c>
      <c r="M4759" s="13" t="n">
        <f aca="false">MAX(0,F4759-I4759-J4759)</f>
        <v>0</v>
      </c>
      <c r="N4759" s="13" t="n">
        <f aca="false">IF(Kalender!A367="",0,J4758-H4759)</f>
        <v>0</v>
      </c>
    </row>
    <row r="4760" customFormat="false" ht="16.4" hidden="false" customHeight="false" outlineLevel="0" collapsed="false">
      <c r="A4760" s="13" t="str">
        <f aca="false">""</f>
        <v/>
      </c>
      <c r="B4760" s="13" t="n">
        <f aca="false">364</f>
        <v>364</v>
      </c>
      <c r="C4760" s="13" t="n">
        <f aca="false">IF(Szenarien!$H$23="OK",(IFERROR(SUMIF(Nutzungsprofile!$B$6:$B$11,"Schulbetrieb",Nutzungsprofile!$G$6:$G$11)*Kalender!C368/SUM(Kalender!$C$5:$C$370),0)+IFERROR(SUMIF(Nutzungsprofile!$B$6:$B$11,"Halle",Nutzungsprofile!$G$6:$G$11)*Kalender!D368/SUM(Kalender!$D$5:$D$370),0)+IFERROR(SUMIF(Nutzungsprofile!$B$6:$B$11,"Individuell",Nutzungsprofile!$G$6:$G$11)*Kalender!E368/SUM(Kalender!$E$5:$E$370),0))*Szenarien!$E$23,0)</f>
        <v>0</v>
      </c>
      <c r="D4760" s="13" t="n">
        <f aca="false">IF(Szenarien!$H$23="OK",(IFERROR(SUMIF(Nutzungsprofile!$B$17:$B$22,"Schulbetrieb",Nutzungsprofile!$G$17:$G$22)*Kalender!C368/SUM(Kalender!$C$5:$C$370),0)+IFERROR(SUMIF(Nutzungsprofile!$B$17:$B$22,"Halle",Nutzungsprofile!$G$17:$G$22)*Kalender!D368/SUM(Kalender!$D$5:$D$370),0)+IFERROR(SUMIF(Nutzungsprofile!$B$17:$B$22,"Individuell",Nutzungsprofile!$G$17:$G$22)*Kalender!E368/SUM(Kalender!$E$5:$E$370),0))*Szenarien!$D$23,0)</f>
        <v>0</v>
      </c>
      <c r="E4760" s="13" t="n">
        <f aca="false">IFERROR(MIN(C4760,Eingaben!$B$17)*Eingaben!$B$16,0)</f>
        <v>0</v>
      </c>
      <c r="F4760" s="13" t="n">
        <f aca="false">IFERROR(E4760*Eingaben!$B$15,0)</f>
        <v>0</v>
      </c>
      <c r="G4760" s="13" t="n">
        <f aca="false">IFERROR(IF(Kalender!A368="",0,J4759*(1-Eingaben!$B$20)),0)</f>
        <v>0</v>
      </c>
      <c r="H4760" s="13" t="n">
        <f aca="false">MIN(G4760,D4760)</f>
        <v>0</v>
      </c>
      <c r="I4760" s="13" t="n">
        <f aca="false">IFERROR(MIN(F4760*Eingaben!$B$19,MAX(0,D4760-H4760)),0)</f>
        <v>0</v>
      </c>
      <c r="J4760" s="13" t="n">
        <f aca="false">IFERROR(MIN(Eingaben!$B$18,MAX(0,F4760-I4760)),0)</f>
        <v>0</v>
      </c>
      <c r="K4760" s="13" t="n">
        <f aca="false">H4760+I4760</f>
        <v>0</v>
      </c>
      <c r="L4760" s="13" t="n">
        <f aca="false">MAX(0,D4760-K4760)</f>
        <v>0</v>
      </c>
      <c r="M4760" s="13" t="n">
        <f aca="false">MAX(0,F4760-I4760-J4760)</f>
        <v>0</v>
      </c>
      <c r="N4760" s="13" t="n">
        <f aca="false">IF(Kalender!A368="",0,J4759-H4760)</f>
        <v>0</v>
      </c>
    </row>
    <row r="4761" customFormat="false" ht="16.4" hidden="false" customHeight="false" outlineLevel="0" collapsed="false">
      <c r="A4761" s="13" t="str">
        <f aca="false">""</f>
        <v/>
      </c>
      <c r="B4761" s="13" t="n">
        <f aca="false">365</f>
        <v>365</v>
      </c>
      <c r="C4761" s="13" t="n">
        <f aca="false">IF(Szenarien!$H$23="OK",(IFERROR(SUMIF(Nutzungsprofile!$B$6:$B$11,"Schulbetrieb",Nutzungsprofile!$G$6:$G$11)*Kalender!C369/SUM(Kalender!$C$5:$C$370),0)+IFERROR(SUMIF(Nutzungsprofile!$B$6:$B$11,"Halle",Nutzungsprofile!$G$6:$G$11)*Kalender!D369/SUM(Kalender!$D$5:$D$370),0)+IFERROR(SUMIF(Nutzungsprofile!$B$6:$B$11,"Individuell",Nutzungsprofile!$G$6:$G$11)*Kalender!E369/SUM(Kalender!$E$5:$E$370),0))*Szenarien!$E$23,0)</f>
        <v>0</v>
      </c>
      <c r="D4761" s="13" t="n">
        <f aca="false">IF(Szenarien!$H$23="OK",(IFERROR(SUMIF(Nutzungsprofile!$B$17:$B$22,"Schulbetrieb",Nutzungsprofile!$G$17:$G$22)*Kalender!C369/SUM(Kalender!$C$5:$C$370),0)+IFERROR(SUMIF(Nutzungsprofile!$B$17:$B$22,"Halle",Nutzungsprofile!$G$17:$G$22)*Kalender!D369/SUM(Kalender!$D$5:$D$370),0)+IFERROR(SUMIF(Nutzungsprofile!$B$17:$B$22,"Individuell",Nutzungsprofile!$G$17:$G$22)*Kalender!E369/SUM(Kalender!$E$5:$E$370),0))*Szenarien!$D$23,0)</f>
        <v>0</v>
      </c>
      <c r="E4761" s="13" t="n">
        <f aca="false">IFERROR(MIN(C4761,Eingaben!$B$17)*Eingaben!$B$16,0)</f>
        <v>0</v>
      </c>
      <c r="F4761" s="13" t="n">
        <f aca="false">IFERROR(E4761*Eingaben!$B$15,0)</f>
        <v>0</v>
      </c>
      <c r="G4761" s="13" t="n">
        <f aca="false">IFERROR(IF(Kalender!A369="",0,J4760*(1-Eingaben!$B$20)),0)</f>
        <v>0</v>
      </c>
      <c r="H4761" s="13" t="n">
        <f aca="false">MIN(G4761,D4761)</f>
        <v>0</v>
      </c>
      <c r="I4761" s="13" t="n">
        <f aca="false">IFERROR(MIN(F4761*Eingaben!$B$19,MAX(0,D4761-H4761)),0)</f>
        <v>0</v>
      </c>
      <c r="J4761" s="13" t="n">
        <f aca="false">IFERROR(MIN(Eingaben!$B$18,MAX(0,F4761-I4761)),0)</f>
        <v>0</v>
      </c>
      <c r="K4761" s="13" t="n">
        <f aca="false">H4761+I4761</f>
        <v>0</v>
      </c>
      <c r="L4761" s="13" t="n">
        <f aca="false">MAX(0,D4761-K4761)</f>
        <v>0</v>
      </c>
      <c r="M4761" s="13" t="n">
        <f aca="false">MAX(0,F4761-I4761-J4761)</f>
        <v>0</v>
      </c>
      <c r="N4761" s="13" t="n">
        <f aca="false">IF(Kalender!A369="",0,J4760-H4761)</f>
        <v>0</v>
      </c>
    </row>
    <row r="4762" customFormat="false" ht="16.4" hidden="false" customHeight="false" outlineLevel="0" collapsed="false">
      <c r="A4762" s="13" t="str">
        <f aca="false">""</f>
        <v/>
      </c>
      <c r="B4762" s="13" t="n">
        <f aca="false">366</f>
        <v>366</v>
      </c>
      <c r="C4762" s="13" t="n">
        <f aca="false">IF(Szenarien!$H$23="OK",(IFERROR(SUMIF(Nutzungsprofile!$B$6:$B$11,"Schulbetrieb",Nutzungsprofile!$G$6:$G$11)*Kalender!C370/SUM(Kalender!$C$5:$C$370),0)+IFERROR(SUMIF(Nutzungsprofile!$B$6:$B$11,"Halle",Nutzungsprofile!$G$6:$G$11)*Kalender!D370/SUM(Kalender!$D$5:$D$370),0)+IFERROR(SUMIF(Nutzungsprofile!$B$6:$B$11,"Individuell",Nutzungsprofile!$G$6:$G$11)*Kalender!E370/SUM(Kalender!$E$5:$E$370),0))*Szenarien!$E$23,0)</f>
        <v>0</v>
      </c>
      <c r="D4762" s="13" t="n">
        <f aca="false">IF(Szenarien!$H$23="OK",(IFERROR(SUMIF(Nutzungsprofile!$B$17:$B$22,"Schulbetrieb",Nutzungsprofile!$G$17:$G$22)*Kalender!C370/SUM(Kalender!$C$5:$C$370),0)+IFERROR(SUMIF(Nutzungsprofile!$B$17:$B$22,"Halle",Nutzungsprofile!$G$17:$G$22)*Kalender!D370/SUM(Kalender!$D$5:$D$370),0)+IFERROR(SUMIF(Nutzungsprofile!$B$17:$B$22,"Individuell",Nutzungsprofile!$G$17:$G$22)*Kalender!E370/SUM(Kalender!$E$5:$E$370),0))*Szenarien!$D$23,0)</f>
        <v>0</v>
      </c>
      <c r="E4762" s="13" t="n">
        <f aca="false">IFERROR(MIN(C4762,Eingaben!$B$17)*Eingaben!$B$16,0)</f>
        <v>0</v>
      </c>
      <c r="F4762" s="13" t="n">
        <f aca="false">IFERROR(E4762*Eingaben!$B$15,0)</f>
        <v>0</v>
      </c>
      <c r="G4762" s="13" t="n">
        <f aca="false">IFERROR(IF(Kalender!A370="",0,J4761*(1-Eingaben!$B$20)),0)</f>
        <v>0</v>
      </c>
      <c r="H4762" s="13" t="n">
        <f aca="false">MIN(G4762,D4762)</f>
        <v>0</v>
      </c>
      <c r="I4762" s="13" t="n">
        <f aca="false">IFERROR(MIN(F4762*Eingaben!$B$19,MAX(0,D4762-H4762)),0)</f>
        <v>0</v>
      </c>
      <c r="J4762" s="13" t="n">
        <f aca="false">IFERROR(MIN(Eingaben!$B$18,MAX(0,F4762-I4762)),0)</f>
        <v>0</v>
      </c>
      <c r="K4762" s="13" t="n">
        <f aca="false">H4762+I4762</f>
        <v>0</v>
      </c>
      <c r="L4762" s="13" t="n">
        <f aca="false">MAX(0,D4762-K4762)</f>
        <v>0</v>
      </c>
      <c r="M4762" s="13" t="n">
        <f aca="false">MAX(0,F4762-I4762-J4762)</f>
        <v>0</v>
      </c>
      <c r="N4762" s="13" t="n">
        <f aca="false">IF(Kalender!A370="",0,J4761-H4762)</f>
        <v>0</v>
      </c>
    </row>
    <row r="4763" customFormat="false" ht="31.3" hidden="false" customHeight="false" outlineLevel="0" collapsed="false">
      <c r="A4763" s="13" t="str">
        <f aca="false">"Kalkulationszins −1 %-Punkt"</f>
        <v>Kalkulationszins −1 %-Punkt</v>
      </c>
      <c r="B4763" s="13" t="n">
        <f aca="false">1</f>
        <v>1</v>
      </c>
      <c r="C4763" s="13" t="n">
        <f aca="false">IF(Szenarien!$H$24="OK",(IFERROR(SUMIF(Nutzungsprofile!$B$6:$B$11,"Schulbetrieb",Nutzungsprofile!$G$6:$G$11)*Kalender!C5/SUM(Kalender!$C$5:$C$370),0)+IFERROR(SUMIF(Nutzungsprofile!$B$6:$B$11,"Halle",Nutzungsprofile!$G$6:$G$11)*Kalender!D5/SUM(Kalender!$D$5:$D$370),0)+IFERROR(SUMIF(Nutzungsprofile!$B$6:$B$11,"Individuell",Nutzungsprofile!$G$6:$G$11)*Kalender!E5/SUM(Kalender!$E$5:$E$370),0))*Szenarien!$E$24,0)</f>
        <v>2.94</v>
      </c>
      <c r="D4763" s="13" t="n">
        <f aca="false">IF(Szenarien!$H$24="OK",(IFERROR(SUMIF(Nutzungsprofile!$B$17:$B$22,"Schulbetrieb",Nutzungsprofile!$G$17:$G$22)*Kalender!C5/SUM(Kalender!$C$5:$C$370),0)+IFERROR(SUMIF(Nutzungsprofile!$B$17:$B$22,"Halle",Nutzungsprofile!$G$17:$G$22)*Kalender!D5/SUM(Kalender!$D$5:$D$370),0)+IFERROR(SUMIF(Nutzungsprofile!$B$17:$B$22,"Individuell",Nutzungsprofile!$G$17:$G$22)*Kalender!E5/SUM(Kalender!$E$5:$E$370),0))*Szenarien!$D$24,0)</f>
        <v>4.94</v>
      </c>
      <c r="E4763" s="13" t="n">
        <f aca="false">IFERROR(MIN(C4763,Eingaben!$B$17)*Eingaben!$B$16,0)</f>
        <v>2.793</v>
      </c>
      <c r="F4763" s="13" t="n">
        <f aca="false">IFERROR(E4763*Eingaben!$B$15,0)</f>
        <v>2.5137</v>
      </c>
      <c r="G4763" s="13" t="n">
        <f aca="false">0</f>
        <v>0</v>
      </c>
      <c r="H4763" s="13" t="n">
        <f aca="false">MIN(G4763,D4763)</f>
        <v>0</v>
      </c>
      <c r="I4763" s="13" t="n">
        <f aca="false">IFERROR(MIN(F4763*Eingaben!$B$19,MAX(0,D4763-H4763)),0)</f>
        <v>1.75959</v>
      </c>
      <c r="J4763" s="13" t="n">
        <f aca="false">IFERROR(MIN(Eingaben!$B$18,MAX(0,F4763-I4763)),0)</f>
        <v>0.75411</v>
      </c>
      <c r="K4763" s="13" t="n">
        <f aca="false">H4763+I4763</f>
        <v>1.75959</v>
      </c>
      <c r="L4763" s="13" t="n">
        <f aca="false">MAX(0,D4763-K4763)</f>
        <v>3.18041</v>
      </c>
      <c r="M4763" s="13" t="n">
        <f aca="false">MAX(0,F4763-I4763-J4763)</f>
        <v>0</v>
      </c>
      <c r="N4763" s="13" t="n">
        <f aca="false">0</f>
        <v>0</v>
      </c>
    </row>
    <row r="4764" customFormat="false" ht="16.4" hidden="false" customHeight="false" outlineLevel="0" collapsed="false">
      <c r="A4764" s="13" t="str">
        <f aca="false">""</f>
        <v/>
      </c>
      <c r="B4764" s="13" t="n">
        <f aca="false">2</f>
        <v>2</v>
      </c>
      <c r="C4764" s="13" t="n">
        <f aca="false">IF(Szenarien!$H$24="OK",(IFERROR(SUMIF(Nutzungsprofile!$B$6:$B$11,"Schulbetrieb",Nutzungsprofile!$G$6:$G$11)*Kalender!C6/SUM(Kalender!$C$5:$C$370),0)+IFERROR(SUMIF(Nutzungsprofile!$B$6:$B$11,"Halle",Nutzungsprofile!$G$6:$G$11)*Kalender!D6/SUM(Kalender!$D$5:$D$370),0)+IFERROR(SUMIF(Nutzungsprofile!$B$6:$B$11,"Individuell",Nutzungsprofile!$G$6:$G$11)*Kalender!E6/SUM(Kalender!$E$5:$E$370),0))*Szenarien!$E$24,0)</f>
        <v>2.94</v>
      </c>
      <c r="D4764" s="13" t="n">
        <f aca="false">IF(Szenarien!$H$24="OK",(IFERROR(SUMIF(Nutzungsprofile!$B$17:$B$22,"Schulbetrieb",Nutzungsprofile!$G$17:$G$22)*Kalender!C6/SUM(Kalender!$C$5:$C$370),0)+IFERROR(SUMIF(Nutzungsprofile!$B$17:$B$22,"Halle",Nutzungsprofile!$G$17:$G$22)*Kalender!D6/SUM(Kalender!$D$5:$D$370),0)+IFERROR(SUMIF(Nutzungsprofile!$B$17:$B$22,"Individuell",Nutzungsprofile!$G$17:$G$22)*Kalender!E6/SUM(Kalender!$E$5:$E$370),0))*Szenarien!$D$24,0)</f>
        <v>4.94</v>
      </c>
      <c r="E4764" s="13" t="n">
        <f aca="false">IFERROR(MIN(C4764,Eingaben!$B$17)*Eingaben!$B$16,0)</f>
        <v>2.793</v>
      </c>
      <c r="F4764" s="13" t="n">
        <f aca="false">IFERROR(E4764*Eingaben!$B$15,0)</f>
        <v>2.5137</v>
      </c>
      <c r="G4764" s="13" t="n">
        <f aca="false">IFERROR(IF(Kalender!A6="",0,J4763*(1-Eingaben!$B$20)),0)</f>
        <v>0.7390278</v>
      </c>
      <c r="H4764" s="13" t="n">
        <f aca="false">MIN(G4764,D4764)</f>
        <v>0.7390278</v>
      </c>
      <c r="I4764" s="13" t="n">
        <f aca="false">IFERROR(MIN(F4764*Eingaben!$B$19,MAX(0,D4764-H4764)),0)</f>
        <v>1.75959</v>
      </c>
      <c r="J4764" s="13" t="n">
        <f aca="false">IFERROR(MIN(Eingaben!$B$18,MAX(0,F4764-I4764)),0)</f>
        <v>0.75411</v>
      </c>
      <c r="K4764" s="13" t="n">
        <f aca="false">H4764+I4764</f>
        <v>2.4986178</v>
      </c>
      <c r="L4764" s="13" t="n">
        <f aca="false">MAX(0,D4764-K4764)</f>
        <v>2.4413822</v>
      </c>
      <c r="M4764" s="13" t="n">
        <f aca="false">MAX(0,F4764-I4764-J4764)</f>
        <v>0</v>
      </c>
      <c r="N4764" s="13" t="n">
        <f aca="false">IF(Kalender!A6="",0,J4763-H4764)</f>
        <v>0.0150822</v>
      </c>
    </row>
    <row r="4765" customFormat="false" ht="16.4" hidden="false" customHeight="false" outlineLevel="0" collapsed="false">
      <c r="A4765" s="13" t="str">
        <f aca="false">""</f>
        <v/>
      </c>
      <c r="B4765" s="13" t="n">
        <f aca="false">3</f>
        <v>3</v>
      </c>
      <c r="C4765" s="13" t="n">
        <f aca="false">IF(Szenarien!$H$24="OK",(IFERROR(SUMIF(Nutzungsprofile!$B$6:$B$11,"Schulbetrieb",Nutzungsprofile!$G$6:$G$11)*Kalender!C7/SUM(Kalender!$C$5:$C$370),0)+IFERROR(SUMIF(Nutzungsprofile!$B$6:$B$11,"Halle",Nutzungsprofile!$G$6:$G$11)*Kalender!D7/SUM(Kalender!$D$5:$D$370),0)+IFERROR(SUMIF(Nutzungsprofile!$B$6:$B$11,"Individuell",Nutzungsprofile!$G$6:$G$11)*Kalender!E7/SUM(Kalender!$E$5:$E$370),0))*Szenarien!$E$24,0)</f>
        <v>2.04</v>
      </c>
      <c r="D4765" s="13" t="n">
        <f aca="false">IF(Szenarien!$H$24="OK",(IFERROR(SUMIF(Nutzungsprofile!$B$17:$B$22,"Schulbetrieb",Nutzungsprofile!$G$17:$G$22)*Kalender!C7/SUM(Kalender!$C$5:$C$370),0)+IFERROR(SUMIF(Nutzungsprofile!$B$17:$B$22,"Halle",Nutzungsprofile!$G$17:$G$22)*Kalender!D7/SUM(Kalender!$D$5:$D$370),0)+IFERROR(SUMIF(Nutzungsprofile!$B$17:$B$22,"Individuell",Nutzungsprofile!$G$17:$G$22)*Kalender!E7/SUM(Kalender!$E$5:$E$370),0))*Szenarien!$D$24,0)</f>
        <v>0.89</v>
      </c>
      <c r="E4765" s="13" t="n">
        <f aca="false">IFERROR(MIN(C4765,Eingaben!$B$17)*Eingaben!$B$16,0)</f>
        <v>1.938</v>
      </c>
      <c r="F4765" s="13" t="n">
        <f aca="false">IFERROR(E4765*Eingaben!$B$15,0)</f>
        <v>1.7442</v>
      </c>
      <c r="G4765" s="13" t="n">
        <f aca="false">IFERROR(IF(Kalender!A7="",0,J4764*(1-Eingaben!$B$20)),0)</f>
        <v>0.7390278</v>
      </c>
      <c r="H4765" s="13" t="n">
        <f aca="false">MIN(G4765,D4765)</f>
        <v>0.7390278</v>
      </c>
      <c r="I4765" s="13" t="n">
        <f aca="false">IFERROR(MIN(F4765*Eingaben!$B$19,MAX(0,D4765-H4765)),0)</f>
        <v>0.1509722</v>
      </c>
      <c r="J4765" s="13" t="n">
        <f aca="false">IFERROR(MIN(Eingaben!$B$18,MAX(0,F4765-I4765)),0)</f>
        <v>1.5932278</v>
      </c>
      <c r="K4765" s="13" t="n">
        <f aca="false">H4765+I4765</f>
        <v>0.89</v>
      </c>
      <c r="L4765" s="13" t="n">
        <f aca="false">MAX(0,D4765-K4765)</f>
        <v>0</v>
      </c>
      <c r="M4765" s="13" t="n">
        <f aca="false">MAX(0,F4765-I4765-J4765)</f>
        <v>0</v>
      </c>
      <c r="N4765" s="13" t="n">
        <f aca="false">IF(Kalender!A7="",0,J4764-H4765)</f>
        <v>0.0150822</v>
      </c>
    </row>
    <row r="4766" customFormat="false" ht="16.4" hidden="false" customHeight="false" outlineLevel="0" collapsed="false">
      <c r="A4766" s="13" t="str">
        <f aca="false">""</f>
        <v/>
      </c>
      <c r="B4766" s="13" t="n">
        <f aca="false">4</f>
        <v>4</v>
      </c>
      <c r="C4766" s="13" t="n">
        <f aca="false">IF(Szenarien!$H$24="OK",(IFERROR(SUMIF(Nutzungsprofile!$B$6:$B$11,"Schulbetrieb",Nutzungsprofile!$G$6:$G$11)*Kalender!C8/SUM(Kalender!$C$5:$C$370),0)+IFERROR(SUMIF(Nutzungsprofile!$B$6:$B$11,"Halle",Nutzungsprofile!$G$6:$G$11)*Kalender!D8/SUM(Kalender!$D$5:$D$370),0)+IFERROR(SUMIF(Nutzungsprofile!$B$6:$B$11,"Individuell",Nutzungsprofile!$G$6:$G$11)*Kalender!E8/SUM(Kalender!$E$5:$E$370),0))*Szenarien!$E$24,0)</f>
        <v>2.04</v>
      </c>
      <c r="D4766" s="13" t="n">
        <f aca="false">IF(Szenarien!$H$24="OK",(IFERROR(SUMIF(Nutzungsprofile!$B$17:$B$22,"Schulbetrieb",Nutzungsprofile!$G$17:$G$22)*Kalender!C8/SUM(Kalender!$C$5:$C$370),0)+IFERROR(SUMIF(Nutzungsprofile!$B$17:$B$22,"Halle",Nutzungsprofile!$G$17:$G$22)*Kalender!D8/SUM(Kalender!$D$5:$D$370),0)+IFERROR(SUMIF(Nutzungsprofile!$B$17:$B$22,"Individuell",Nutzungsprofile!$G$17:$G$22)*Kalender!E8/SUM(Kalender!$E$5:$E$370),0))*Szenarien!$D$24,0)</f>
        <v>0.89</v>
      </c>
      <c r="E4766" s="13" t="n">
        <f aca="false">IFERROR(MIN(C4766,Eingaben!$B$17)*Eingaben!$B$16,0)</f>
        <v>1.938</v>
      </c>
      <c r="F4766" s="13" t="n">
        <f aca="false">IFERROR(E4766*Eingaben!$B$15,0)</f>
        <v>1.7442</v>
      </c>
      <c r="G4766" s="13" t="n">
        <f aca="false">IFERROR(IF(Kalender!A8="",0,J4765*(1-Eingaben!$B$20)),0)</f>
        <v>1.561363244</v>
      </c>
      <c r="H4766" s="13" t="n">
        <f aca="false">MIN(G4766,D4766)</f>
        <v>0.89</v>
      </c>
      <c r="I4766" s="13" t="n">
        <f aca="false">IFERROR(MIN(F4766*Eingaben!$B$19,MAX(0,D4766-H4766)),0)</f>
        <v>0</v>
      </c>
      <c r="J4766" s="13" t="n">
        <f aca="false">IFERROR(MIN(Eingaben!$B$18,MAX(0,F4766-I4766)),0)</f>
        <v>1.7442</v>
      </c>
      <c r="K4766" s="13" t="n">
        <f aca="false">H4766+I4766</f>
        <v>0.89</v>
      </c>
      <c r="L4766" s="13" t="n">
        <f aca="false">MAX(0,D4766-K4766)</f>
        <v>0</v>
      </c>
      <c r="M4766" s="13" t="n">
        <f aca="false">MAX(0,F4766-I4766-J4766)</f>
        <v>0</v>
      </c>
      <c r="N4766" s="13" t="n">
        <f aca="false">IF(Kalender!A8="",0,J4765-H4766)</f>
        <v>0.7032278</v>
      </c>
    </row>
    <row r="4767" customFormat="false" ht="16.4" hidden="false" customHeight="false" outlineLevel="0" collapsed="false">
      <c r="A4767" s="13" t="str">
        <f aca="false">""</f>
        <v/>
      </c>
      <c r="B4767" s="13" t="n">
        <f aca="false">5</f>
        <v>5</v>
      </c>
      <c r="C4767" s="13" t="n">
        <f aca="false">IF(Szenarien!$H$24="OK",(IFERROR(SUMIF(Nutzungsprofile!$B$6:$B$11,"Schulbetrieb",Nutzungsprofile!$G$6:$G$11)*Kalender!C9/SUM(Kalender!$C$5:$C$370),0)+IFERROR(SUMIF(Nutzungsprofile!$B$6:$B$11,"Halle",Nutzungsprofile!$G$6:$G$11)*Kalender!D9/SUM(Kalender!$D$5:$D$370),0)+IFERROR(SUMIF(Nutzungsprofile!$B$6:$B$11,"Individuell",Nutzungsprofile!$G$6:$G$11)*Kalender!E9/SUM(Kalender!$E$5:$E$370),0))*Szenarien!$E$24,0)</f>
        <v>2.94</v>
      </c>
      <c r="D4767" s="13" t="n">
        <f aca="false">IF(Szenarien!$H$24="OK",(IFERROR(SUMIF(Nutzungsprofile!$B$17:$B$22,"Schulbetrieb",Nutzungsprofile!$G$17:$G$22)*Kalender!C9/SUM(Kalender!$C$5:$C$370),0)+IFERROR(SUMIF(Nutzungsprofile!$B$17:$B$22,"Halle",Nutzungsprofile!$G$17:$G$22)*Kalender!D9/SUM(Kalender!$D$5:$D$370),0)+IFERROR(SUMIF(Nutzungsprofile!$B$17:$B$22,"Individuell",Nutzungsprofile!$G$17:$G$22)*Kalender!E9/SUM(Kalender!$E$5:$E$370),0))*Szenarien!$D$24,0)</f>
        <v>4.94</v>
      </c>
      <c r="E4767" s="13" t="n">
        <f aca="false">IFERROR(MIN(C4767,Eingaben!$B$17)*Eingaben!$B$16,0)</f>
        <v>2.793</v>
      </c>
      <c r="F4767" s="13" t="n">
        <f aca="false">IFERROR(E4767*Eingaben!$B$15,0)</f>
        <v>2.5137</v>
      </c>
      <c r="G4767" s="13" t="n">
        <f aca="false">IFERROR(IF(Kalender!A9="",0,J4766*(1-Eingaben!$B$20)),0)</f>
        <v>1.709316</v>
      </c>
      <c r="H4767" s="13" t="n">
        <f aca="false">MIN(G4767,D4767)</f>
        <v>1.709316</v>
      </c>
      <c r="I4767" s="13" t="n">
        <f aca="false">IFERROR(MIN(F4767*Eingaben!$B$19,MAX(0,D4767-H4767)),0)</f>
        <v>1.75959</v>
      </c>
      <c r="J4767" s="13" t="n">
        <f aca="false">IFERROR(MIN(Eingaben!$B$18,MAX(0,F4767-I4767)),0)</f>
        <v>0.75411</v>
      </c>
      <c r="K4767" s="13" t="n">
        <f aca="false">H4767+I4767</f>
        <v>3.468906</v>
      </c>
      <c r="L4767" s="13" t="n">
        <f aca="false">MAX(0,D4767-K4767)</f>
        <v>1.471094</v>
      </c>
      <c r="M4767" s="13" t="n">
        <f aca="false">MAX(0,F4767-I4767-J4767)</f>
        <v>0</v>
      </c>
      <c r="N4767" s="13" t="n">
        <f aca="false">IF(Kalender!A9="",0,J4766-H4767)</f>
        <v>0.0348840000000001</v>
      </c>
    </row>
    <row r="4768" customFormat="false" ht="16.4" hidden="false" customHeight="false" outlineLevel="0" collapsed="false">
      <c r="A4768" s="13" t="str">
        <f aca="false">""</f>
        <v/>
      </c>
      <c r="B4768" s="13" t="n">
        <f aca="false">6</f>
        <v>6</v>
      </c>
      <c r="C4768" s="13" t="n">
        <f aca="false">IF(Szenarien!$H$24="OK",(IFERROR(SUMIF(Nutzungsprofile!$B$6:$B$11,"Schulbetrieb",Nutzungsprofile!$G$6:$G$11)*Kalender!C10/SUM(Kalender!$C$5:$C$370),0)+IFERROR(SUMIF(Nutzungsprofile!$B$6:$B$11,"Halle",Nutzungsprofile!$G$6:$G$11)*Kalender!D10/SUM(Kalender!$D$5:$D$370),0)+IFERROR(SUMIF(Nutzungsprofile!$B$6:$B$11,"Individuell",Nutzungsprofile!$G$6:$G$11)*Kalender!E10/SUM(Kalender!$E$5:$E$370),0))*Szenarien!$E$24,0)</f>
        <v>2.94</v>
      </c>
      <c r="D4768" s="13" t="n">
        <f aca="false">IF(Szenarien!$H$24="OK",(IFERROR(SUMIF(Nutzungsprofile!$B$17:$B$22,"Schulbetrieb",Nutzungsprofile!$G$17:$G$22)*Kalender!C10/SUM(Kalender!$C$5:$C$370),0)+IFERROR(SUMIF(Nutzungsprofile!$B$17:$B$22,"Halle",Nutzungsprofile!$G$17:$G$22)*Kalender!D10/SUM(Kalender!$D$5:$D$370),0)+IFERROR(SUMIF(Nutzungsprofile!$B$17:$B$22,"Individuell",Nutzungsprofile!$G$17:$G$22)*Kalender!E10/SUM(Kalender!$E$5:$E$370),0))*Szenarien!$D$24,0)</f>
        <v>4.94</v>
      </c>
      <c r="E4768" s="13" t="n">
        <f aca="false">IFERROR(MIN(C4768,Eingaben!$B$17)*Eingaben!$B$16,0)</f>
        <v>2.793</v>
      </c>
      <c r="F4768" s="13" t="n">
        <f aca="false">IFERROR(E4768*Eingaben!$B$15,0)</f>
        <v>2.5137</v>
      </c>
      <c r="G4768" s="13" t="n">
        <f aca="false">IFERROR(IF(Kalender!A10="",0,J4767*(1-Eingaben!$B$20)),0)</f>
        <v>0.7390278</v>
      </c>
      <c r="H4768" s="13" t="n">
        <f aca="false">MIN(G4768,D4768)</f>
        <v>0.7390278</v>
      </c>
      <c r="I4768" s="13" t="n">
        <f aca="false">IFERROR(MIN(F4768*Eingaben!$B$19,MAX(0,D4768-H4768)),0)</f>
        <v>1.75959</v>
      </c>
      <c r="J4768" s="13" t="n">
        <f aca="false">IFERROR(MIN(Eingaben!$B$18,MAX(0,F4768-I4768)),0)</f>
        <v>0.75411</v>
      </c>
      <c r="K4768" s="13" t="n">
        <f aca="false">H4768+I4768</f>
        <v>2.4986178</v>
      </c>
      <c r="L4768" s="13" t="n">
        <f aca="false">MAX(0,D4768-K4768)</f>
        <v>2.4413822</v>
      </c>
      <c r="M4768" s="13" t="n">
        <f aca="false">MAX(0,F4768-I4768-J4768)</f>
        <v>0</v>
      </c>
      <c r="N4768" s="13" t="n">
        <f aca="false">IF(Kalender!A10="",0,J4767-H4768)</f>
        <v>0.0150822</v>
      </c>
    </row>
    <row r="4769" customFormat="false" ht="16.4" hidden="false" customHeight="false" outlineLevel="0" collapsed="false">
      <c r="A4769" s="13" t="str">
        <f aca="false">""</f>
        <v/>
      </c>
      <c r="B4769" s="13" t="n">
        <f aca="false">7</f>
        <v>7</v>
      </c>
      <c r="C4769" s="13" t="n">
        <f aca="false">IF(Szenarien!$H$24="OK",(IFERROR(SUMIF(Nutzungsprofile!$B$6:$B$11,"Schulbetrieb",Nutzungsprofile!$G$6:$G$11)*Kalender!C11/SUM(Kalender!$C$5:$C$370),0)+IFERROR(SUMIF(Nutzungsprofile!$B$6:$B$11,"Halle",Nutzungsprofile!$G$6:$G$11)*Kalender!D11/SUM(Kalender!$D$5:$D$370),0)+IFERROR(SUMIF(Nutzungsprofile!$B$6:$B$11,"Individuell",Nutzungsprofile!$G$6:$G$11)*Kalender!E11/SUM(Kalender!$E$5:$E$370),0))*Szenarien!$E$24,0)</f>
        <v>2.94</v>
      </c>
      <c r="D4769" s="13" t="n">
        <f aca="false">IF(Szenarien!$H$24="OK",(IFERROR(SUMIF(Nutzungsprofile!$B$17:$B$22,"Schulbetrieb",Nutzungsprofile!$G$17:$G$22)*Kalender!C11/SUM(Kalender!$C$5:$C$370),0)+IFERROR(SUMIF(Nutzungsprofile!$B$17:$B$22,"Halle",Nutzungsprofile!$G$17:$G$22)*Kalender!D11/SUM(Kalender!$D$5:$D$370),0)+IFERROR(SUMIF(Nutzungsprofile!$B$17:$B$22,"Individuell",Nutzungsprofile!$G$17:$G$22)*Kalender!E11/SUM(Kalender!$E$5:$E$370),0))*Szenarien!$D$24,0)</f>
        <v>4.94</v>
      </c>
      <c r="E4769" s="13" t="n">
        <f aca="false">IFERROR(MIN(C4769,Eingaben!$B$17)*Eingaben!$B$16,0)</f>
        <v>2.793</v>
      </c>
      <c r="F4769" s="13" t="n">
        <f aca="false">IFERROR(E4769*Eingaben!$B$15,0)</f>
        <v>2.5137</v>
      </c>
      <c r="G4769" s="13" t="n">
        <f aca="false">IFERROR(IF(Kalender!A11="",0,J4768*(1-Eingaben!$B$20)),0)</f>
        <v>0.7390278</v>
      </c>
      <c r="H4769" s="13" t="n">
        <f aca="false">MIN(G4769,D4769)</f>
        <v>0.7390278</v>
      </c>
      <c r="I4769" s="13" t="n">
        <f aca="false">IFERROR(MIN(F4769*Eingaben!$B$19,MAX(0,D4769-H4769)),0)</f>
        <v>1.75959</v>
      </c>
      <c r="J4769" s="13" t="n">
        <f aca="false">IFERROR(MIN(Eingaben!$B$18,MAX(0,F4769-I4769)),0)</f>
        <v>0.75411</v>
      </c>
      <c r="K4769" s="13" t="n">
        <f aca="false">H4769+I4769</f>
        <v>2.4986178</v>
      </c>
      <c r="L4769" s="13" t="n">
        <f aca="false">MAX(0,D4769-K4769)</f>
        <v>2.4413822</v>
      </c>
      <c r="M4769" s="13" t="n">
        <f aca="false">MAX(0,F4769-I4769-J4769)</f>
        <v>0</v>
      </c>
      <c r="N4769" s="13" t="n">
        <f aca="false">IF(Kalender!A11="",0,J4768-H4769)</f>
        <v>0.0150822</v>
      </c>
    </row>
    <row r="4770" customFormat="false" ht="16.4" hidden="false" customHeight="false" outlineLevel="0" collapsed="false">
      <c r="A4770" s="13" t="str">
        <f aca="false">""</f>
        <v/>
      </c>
      <c r="B4770" s="13" t="n">
        <f aca="false">8</f>
        <v>8</v>
      </c>
      <c r="C4770" s="13" t="n">
        <f aca="false">IF(Szenarien!$H$24="OK",(IFERROR(SUMIF(Nutzungsprofile!$B$6:$B$11,"Schulbetrieb",Nutzungsprofile!$G$6:$G$11)*Kalender!C12/SUM(Kalender!$C$5:$C$370),0)+IFERROR(SUMIF(Nutzungsprofile!$B$6:$B$11,"Halle",Nutzungsprofile!$G$6:$G$11)*Kalender!D12/SUM(Kalender!$D$5:$D$370),0)+IFERROR(SUMIF(Nutzungsprofile!$B$6:$B$11,"Individuell",Nutzungsprofile!$G$6:$G$11)*Kalender!E12/SUM(Kalender!$E$5:$E$370),0))*Szenarien!$E$24,0)</f>
        <v>2.94</v>
      </c>
      <c r="D4770" s="13" t="n">
        <f aca="false">IF(Szenarien!$H$24="OK",(IFERROR(SUMIF(Nutzungsprofile!$B$17:$B$22,"Schulbetrieb",Nutzungsprofile!$G$17:$G$22)*Kalender!C12/SUM(Kalender!$C$5:$C$370),0)+IFERROR(SUMIF(Nutzungsprofile!$B$17:$B$22,"Halle",Nutzungsprofile!$G$17:$G$22)*Kalender!D12/SUM(Kalender!$D$5:$D$370),0)+IFERROR(SUMIF(Nutzungsprofile!$B$17:$B$22,"Individuell",Nutzungsprofile!$G$17:$G$22)*Kalender!E12/SUM(Kalender!$E$5:$E$370),0))*Szenarien!$D$24,0)</f>
        <v>4.94</v>
      </c>
      <c r="E4770" s="13" t="n">
        <f aca="false">IFERROR(MIN(C4770,Eingaben!$B$17)*Eingaben!$B$16,0)</f>
        <v>2.793</v>
      </c>
      <c r="F4770" s="13" t="n">
        <f aca="false">IFERROR(E4770*Eingaben!$B$15,0)</f>
        <v>2.5137</v>
      </c>
      <c r="G4770" s="13" t="n">
        <f aca="false">IFERROR(IF(Kalender!A12="",0,J4769*(1-Eingaben!$B$20)),0)</f>
        <v>0.7390278</v>
      </c>
      <c r="H4770" s="13" t="n">
        <f aca="false">MIN(G4770,D4770)</f>
        <v>0.7390278</v>
      </c>
      <c r="I4770" s="13" t="n">
        <f aca="false">IFERROR(MIN(F4770*Eingaben!$B$19,MAX(0,D4770-H4770)),0)</f>
        <v>1.75959</v>
      </c>
      <c r="J4770" s="13" t="n">
        <f aca="false">IFERROR(MIN(Eingaben!$B$18,MAX(0,F4770-I4770)),0)</f>
        <v>0.75411</v>
      </c>
      <c r="K4770" s="13" t="n">
        <f aca="false">H4770+I4770</f>
        <v>2.4986178</v>
      </c>
      <c r="L4770" s="13" t="n">
        <f aca="false">MAX(0,D4770-K4770)</f>
        <v>2.4413822</v>
      </c>
      <c r="M4770" s="13" t="n">
        <f aca="false">MAX(0,F4770-I4770-J4770)</f>
        <v>0</v>
      </c>
      <c r="N4770" s="13" t="n">
        <f aca="false">IF(Kalender!A12="",0,J4769-H4770)</f>
        <v>0.0150822</v>
      </c>
    </row>
    <row r="4771" customFormat="false" ht="16.4" hidden="false" customHeight="false" outlineLevel="0" collapsed="false">
      <c r="A4771" s="13" t="str">
        <f aca="false">""</f>
        <v/>
      </c>
      <c r="B4771" s="13" t="n">
        <f aca="false">9</f>
        <v>9</v>
      </c>
      <c r="C4771" s="13" t="n">
        <f aca="false">IF(Szenarien!$H$24="OK",(IFERROR(SUMIF(Nutzungsprofile!$B$6:$B$11,"Schulbetrieb",Nutzungsprofile!$G$6:$G$11)*Kalender!C13/SUM(Kalender!$C$5:$C$370),0)+IFERROR(SUMIF(Nutzungsprofile!$B$6:$B$11,"Halle",Nutzungsprofile!$G$6:$G$11)*Kalender!D13/SUM(Kalender!$D$5:$D$370),0)+IFERROR(SUMIF(Nutzungsprofile!$B$6:$B$11,"Individuell",Nutzungsprofile!$G$6:$G$11)*Kalender!E13/SUM(Kalender!$E$5:$E$370),0))*Szenarien!$E$24,0)</f>
        <v>2.94</v>
      </c>
      <c r="D4771" s="13" t="n">
        <f aca="false">IF(Szenarien!$H$24="OK",(IFERROR(SUMIF(Nutzungsprofile!$B$17:$B$22,"Schulbetrieb",Nutzungsprofile!$G$17:$G$22)*Kalender!C13/SUM(Kalender!$C$5:$C$370),0)+IFERROR(SUMIF(Nutzungsprofile!$B$17:$B$22,"Halle",Nutzungsprofile!$G$17:$G$22)*Kalender!D13/SUM(Kalender!$D$5:$D$370),0)+IFERROR(SUMIF(Nutzungsprofile!$B$17:$B$22,"Individuell",Nutzungsprofile!$G$17:$G$22)*Kalender!E13/SUM(Kalender!$E$5:$E$370),0))*Szenarien!$D$24,0)</f>
        <v>4.94</v>
      </c>
      <c r="E4771" s="13" t="n">
        <f aca="false">IFERROR(MIN(C4771,Eingaben!$B$17)*Eingaben!$B$16,0)</f>
        <v>2.793</v>
      </c>
      <c r="F4771" s="13" t="n">
        <f aca="false">IFERROR(E4771*Eingaben!$B$15,0)</f>
        <v>2.5137</v>
      </c>
      <c r="G4771" s="13" t="n">
        <f aca="false">IFERROR(IF(Kalender!A13="",0,J4770*(1-Eingaben!$B$20)),0)</f>
        <v>0.7390278</v>
      </c>
      <c r="H4771" s="13" t="n">
        <f aca="false">MIN(G4771,D4771)</f>
        <v>0.7390278</v>
      </c>
      <c r="I4771" s="13" t="n">
        <f aca="false">IFERROR(MIN(F4771*Eingaben!$B$19,MAX(0,D4771-H4771)),0)</f>
        <v>1.75959</v>
      </c>
      <c r="J4771" s="13" t="n">
        <f aca="false">IFERROR(MIN(Eingaben!$B$18,MAX(0,F4771-I4771)),0)</f>
        <v>0.75411</v>
      </c>
      <c r="K4771" s="13" t="n">
        <f aca="false">H4771+I4771</f>
        <v>2.4986178</v>
      </c>
      <c r="L4771" s="13" t="n">
        <f aca="false">MAX(0,D4771-K4771)</f>
        <v>2.4413822</v>
      </c>
      <c r="M4771" s="13" t="n">
        <f aca="false">MAX(0,F4771-I4771-J4771)</f>
        <v>0</v>
      </c>
      <c r="N4771" s="13" t="n">
        <f aca="false">IF(Kalender!A13="",0,J4770-H4771)</f>
        <v>0.0150822</v>
      </c>
    </row>
    <row r="4772" customFormat="false" ht="16.4" hidden="false" customHeight="false" outlineLevel="0" collapsed="false">
      <c r="A4772" s="13" t="str">
        <f aca="false">""</f>
        <v/>
      </c>
      <c r="B4772" s="13" t="n">
        <f aca="false">10</f>
        <v>10</v>
      </c>
      <c r="C4772" s="13" t="n">
        <f aca="false">IF(Szenarien!$H$24="OK",(IFERROR(SUMIF(Nutzungsprofile!$B$6:$B$11,"Schulbetrieb",Nutzungsprofile!$G$6:$G$11)*Kalender!C14/SUM(Kalender!$C$5:$C$370),0)+IFERROR(SUMIF(Nutzungsprofile!$B$6:$B$11,"Halle",Nutzungsprofile!$G$6:$G$11)*Kalender!D14/SUM(Kalender!$D$5:$D$370),0)+IFERROR(SUMIF(Nutzungsprofile!$B$6:$B$11,"Individuell",Nutzungsprofile!$G$6:$G$11)*Kalender!E14/SUM(Kalender!$E$5:$E$370),0))*Szenarien!$E$24,0)</f>
        <v>2.04</v>
      </c>
      <c r="D4772" s="13" t="n">
        <f aca="false">IF(Szenarien!$H$24="OK",(IFERROR(SUMIF(Nutzungsprofile!$B$17:$B$22,"Schulbetrieb",Nutzungsprofile!$G$17:$G$22)*Kalender!C14/SUM(Kalender!$C$5:$C$370),0)+IFERROR(SUMIF(Nutzungsprofile!$B$17:$B$22,"Halle",Nutzungsprofile!$G$17:$G$22)*Kalender!D14/SUM(Kalender!$D$5:$D$370),0)+IFERROR(SUMIF(Nutzungsprofile!$B$17:$B$22,"Individuell",Nutzungsprofile!$G$17:$G$22)*Kalender!E14/SUM(Kalender!$E$5:$E$370),0))*Szenarien!$D$24,0)</f>
        <v>0.89</v>
      </c>
      <c r="E4772" s="13" t="n">
        <f aca="false">IFERROR(MIN(C4772,Eingaben!$B$17)*Eingaben!$B$16,0)</f>
        <v>1.938</v>
      </c>
      <c r="F4772" s="13" t="n">
        <f aca="false">IFERROR(E4772*Eingaben!$B$15,0)</f>
        <v>1.7442</v>
      </c>
      <c r="G4772" s="13" t="n">
        <f aca="false">IFERROR(IF(Kalender!A14="",0,J4771*(1-Eingaben!$B$20)),0)</f>
        <v>0.7390278</v>
      </c>
      <c r="H4772" s="13" t="n">
        <f aca="false">MIN(G4772,D4772)</f>
        <v>0.7390278</v>
      </c>
      <c r="I4772" s="13" t="n">
        <f aca="false">IFERROR(MIN(F4772*Eingaben!$B$19,MAX(0,D4772-H4772)),0)</f>
        <v>0.1509722</v>
      </c>
      <c r="J4772" s="13" t="n">
        <f aca="false">IFERROR(MIN(Eingaben!$B$18,MAX(0,F4772-I4772)),0)</f>
        <v>1.5932278</v>
      </c>
      <c r="K4772" s="13" t="n">
        <f aca="false">H4772+I4772</f>
        <v>0.89</v>
      </c>
      <c r="L4772" s="13" t="n">
        <f aca="false">MAX(0,D4772-K4772)</f>
        <v>0</v>
      </c>
      <c r="M4772" s="13" t="n">
        <f aca="false">MAX(0,F4772-I4772-J4772)</f>
        <v>0</v>
      </c>
      <c r="N4772" s="13" t="n">
        <f aca="false">IF(Kalender!A14="",0,J4771-H4772)</f>
        <v>0.0150822</v>
      </c>
    </row>
    <row r="4773" customFormat="false" ht="16.4" hidden="false" customHeight="false" outlineLevel="0" collapsed="false">
      <c r="A4773" s="13" t="str">
        <f aca="false">""</f>
        <v/>
      </c>
      <c r="B4773" s="13" t="n">
        <f aca="false">11</f>
        <v>11</v>
      </c>
      <c r="C4773" s="13" t="n">
        <f aca="false">IF(Szenarien!$H$24="OK",(IFERROR(SUMIF(Nutzungsprofile!$B$6:$B$11,"Schulbetrieb",Nutzungsprofile!$G$6:$G$11)*Kalender!C15/SUM(Kalender!$C$5:$C$370),0)+IFERROR(SUMIF(Nutzungsprofile!$B$6:$B$11,"Halle",Nutzungsprofile!$G$6:$G$11)*Kalender!D15/SUM(Kalender!$D$5:$D$370),0)+IFERROR(SUMIF(Nutzungsprofile!$B$6:$B$11,"Individuell",Nutzungsprofile!$G$6:$G$11)*Kalender!E15/SUM(Kalender!$E$5:$E$370),0))*Szenarien!$E$24,0)</f>
        <v>2.04</v>
      </c>
      <c r="D4773" s="13" t="n">
        <f aca="false">IF(Szenarien!$H$24="OK",(IFERROR(SUMIF(Nutzungsprofile!$B$17:$B$22,"Schulbetrieb",Nutzungsprofile!$G$17:$G$22)*Kalender!C15/SUM(Kalender!$C$5:$C$370),0)+IFERROR(SUMIF(Nutzungsprofile!$B$17:$B$22,"Halle",Nutzungsprofile!$G$17:$G$22)*Kalender!D15/SUM(Kalender!$D$5:$D$370),0)+IFERROR(SUMIF(Nutzungsprofile!$B$17:$B$22,"Individuell",Nutzungsprofile!$G$17:$G$22)*Kalender!E15/SUM(Kalender!$E$5:$E$370),0))*Szenarien!$D$24,0)</f>
        <v>0.89</v>
      </c>
      <c r="E4773" s="13" t="n">
        <f aca="false">IFERROR(MIN(C4773,Eingaben!$B$17)*Eingaben!$B$16,0)</f>
        <v>1.938</v>
      </c>
      <c r="F4773" s="13" t="n">
        <f aca="false">IFERROR(E4773*Eingaben!$B$15,0)</f>
        <v>1.7442</v>
      </c>
      <c r="G4773" s="13" t="n">
        <f aca="false">IFERROR(IF(Kalender!A15="",0,J4772*(1-Eingaben!$B$20)),0)</f>
        <v>1.561363244</v>
      </c>
      <c r="H4773" s="13" t="n">
        <f aca="false">MIN(G4773,D4773)</f>
        <v>0.89</v>
      </c>
      <c r="I4773" s="13" t="n">
        <f aca="false">IFERROR(MIN(F4773*Eingaben!$B$19,MAX(0,D4773-H4773)),0)</f>
        <v>0</v>
      </c>
      <c r="J4773" s="13" t="n">
        <f aca="false">IFERROR(MIN(Eingaben!$B$18,MAX(0,F4773-I4773)),0)</f>
        <v>1.7442</v>
      </c>
      <c r="K4773" s="13" t="n">
        <f aca="false">H4773+I4773</f>
        <v>0.89</v>
      </c>
      <c r="L4773" s="13" t="n">
        <f aca="false">MAX(0,D4773-K4773)</f>
        <v>0</v>
      </c>
      <c r="M4773" s="13" t="n">
        <f aca="false">MAX(0,F4773-I4773-J4773)</f>
        <v>0</v>
      </c>
      <c r="N4773" s="13" t="n">
        <f aca="false">IF(Kalender!A15="",0,J4772-H4773)</f>
        <v>0.7032278</v>
      </c>
    </row>
    <row r="4774" customFormat="false" ht="16.4" hidden="false" customHeight="false" outlineLevel="0" collapsed="false">
      <c r="A4774" s="13" t="str">
        <f aca="false">""</f>
        <v/>
      </c>
      <c r="B4774" s="13" t="n">
        <f aca="false">12</f>
        <v>12</v>
      </c>
      <c r="C4774" s="13" t="n">
        <f aca="false">IF(Szenarien!$H$24="OK",(IFERROR(SUMIF(Nutzungsprofile!$B$6:$B$11,"Schulbetrieb",Nutzungsprofile!$G$6:$G$11)*Kalender!C16/SUM(Kalender!$C$5:$C$370),0)+IFERROR(SUMIF(Nutzungsprofile!$B$6:$B$11,"Halle",Nutzungsprofile!$G$6:$G$11)*Kalender!D16/SUM(Kalender!$D$5:$D$370),0)+IFERROR(SUMIF(Nutzungsprofile!$B$6:$B$11,"Individuell",Nutzungsprofile!$G$6:$G$11)*Kalender!E16/SUM(Kalender!$E$5:$E$370),0))*Szenarien!$E$24,0)</f>
        <v>2.94</v>
      </c>
      <c r="D4774" s="13" t="n">
        <f aca="false">IF(Szenarien!$H$24="OK",(IFERROR(SUMIF(Nutzungsprofile!$B$17:$B$22,"Schulbetrieb",Nutzungsprofile!$G$17:$G$22)*Kalender!C16/SUM(Kalender!$C$5:$C$370),0)+IFERROR(SUMIF(Nutzungsprofile!$B$17:$B$22,"Halle",Nutzungsprofile!$G$17:$G$22)*Kalender!D16/SUM(Kalender!$D$5:$D$370),0)+IFERROR(SUMIF(Nutzungsprofile!$B$17:$B$22,"Individuell",Nutzungsprofile!$G$17:$G$22)*Kalender!E16/SUM(Kalender!$E$5:$E$370),0))*Szenarien!$D$24,0)</f>
        <v>4.94</v>
      </c>
      <c r="E4774" s="13" t="n">
        <f aca="false">IFERROR(MIN(C4774,Eingaben!$B$17)*Eingaben!$B$16,0)</f>
        <v>2.793</v>
      </c>
      <c r="F4774" s="13" t="n">
        <f aca="false">IFERROR(E4774*Eingaben!$B$15,0)</f>
        <v>2.5137</v>
      </c>
      <c r="G4774" s="13" t="n">
        <f aca="false">IFERROR(IF(Kalender!A16="",0,J4773*(1-Eingaben!$B$20)),0)</f>
        <v>1.709316</v>
      </c>
      <c r="H4774" s="13" t="n">
        <f aca="false">MIN(G4774,D4774)</f>
        <v>1.709316</v>
      </c>
      <c r="I4774" s="13" t="n">
        <f aca="false">IFERROR(MIN(F4774*Eingaben!$B$19,MAX(0,D4774-H4774)),0)</f>
        <v>1.75959</v>
      </c>
      <c r="J4774" s="13" t="n">
        <f aca="false">IFERROR(MIN(Eingaben!$B$18,MAX(0,F4774-I4774)),0)</f>
        <v>0.75411</v>
      </c>
      <c r="K4774" s="13" t="n">
        <f aca="false">H4774+I4774</f>
        <v>3.468906</v>
      </c>
      <c r="L4774" s="13" t="n">
        <f aca="false">MAX(0,D4774-K4774)</f>
        <v>1.471094</v>
      </c>
      <c r="M4774" s="13" t="n">
        <f aca="false">MAX(0,F4774-I4774-J4774)</f>
        <v>0</v>
      </c>
      <c r="N4774" s="13" t="n">
        <f aca="false">IF(Kalender!A16="",0,J4773-H4774)</f>
        <v>0.0348840000000001</v>
      </c>
    </row>
    <row r="4775" customFormat="false" ht="16.4" hidden="false" customHeight="false" outlineLevel="0" collapsed="false">
      <c r="A4775" s="13" t="str">
        <f aca="false">""</f>
        <v/>
      </c>
      <c r="B4775" s="13" t="n">
        <f aca="false">13</f>
        <v>13</v>
      </c>
      <c r="C4775" s="13" t="n">
        <f aca="false">IF(Szenarien!$H$24="OK",(IFERROR(SUMIF(Nutzungsprofile!$B$6:$B$11,"Schulbetrieb",Nutzungsprofile!$G$6:$G$11)*Kalender!C17/SUM(Kalender!$C$5:$C$370),0)+IFERROR(SUMIF(Nutzungsprofile!$B$6:$B$11,"Halle",Nutzungsprofile!$G$6:$G$11)*Kalender!D17/SUM(Kalender!$D$5:$D$370),0)+IFERROR(SUMIF(Nutzungsprofile!$B$6:$B$11,"Individuell",Nutzungsprofile!$G$6:$G$11)*Kalender!E17/SUM(Kalender!$E$5:$E$370),0))*Szenarien!$E$24,0)</f>
        <v>2.94</v>
      </c>
      <c r="D4775" s="13" t="n">
        <f aca="false">IF(Szenarien!$H$24="OK",(IFERROR(SUMIF(Nutzungsprofile!$B$17:$B$22,"Schulbetrieb",Nutzungsprofile!$G$17:$G$22)*Kalender!C17/SUM(Kalender!$C$5:$C$370),0)+IFERROR(SUMIF(Nutzungsprofile!$B$17:$B$22,"Halle",Nutzungsprofile!$G$17:$G$22)*Kalender!D17/SUM(Kalender!$D$5:$D$370),0)+IFERROR(SUMIF(Nutzungsprofile!$B$17:$B$22,"Individuell",Nutzungsprofile!$G$17:$G$22)*Kalender!E17/SUM(Kalender!$E$5:$E$370),0))*Szenarien!$D$24,0)</f>
        <v>4.94</v>
      </c>
      <c r="E4775" s="13" t="n">
        <f aca="false">IFERROR(MIN(C4775,Eingaben!$B$17)*Eingaben!$B$16,0)</f>
        <v>2.793</v>
      </c>
      <c r="F4775" s="13" t="n">
        <f aca="false">IFERROR(E4775*Eingaben!$B$15,0)</f>
        <v>2.5137</v>
      </c>
      <c r="G4775" s="13" t="n">
        <f aca="false">IFERROR(IF(Kalender!A17="",0,J4774*(1-Eingaben!$B$20)),0)</f>
        <v>0.7390278</v>
      </c>
      <c r="H4775" s="13" t="n">
        <f aca="false">MIN(G4775,D4775)</f>
        <v>0.7390278</v>
      </c>
      <c r="I4775" s="13" t="n">
        <f aca="false">IFERROR(MIN(F4775*Eingaben!$B$19,MAX(0,D4775-H4775)),0)</f>
        <v>1.75959</v>
      </c>
      <c r="J4775" s="13" t="n">
        <f aca="false">IFERROR(MIN(Eingaben!$B$18,MAX(0,F4775-I4775)),0)</f>
        <v>0.75411</v>
      </c>
      <c r="K4775" s="13" t="n">
        <f aca="false">H4775+I4775</f>
        <v>2.4986178</v>
      </c>
      <c r="L4775" s="13" t="n">
        <f aca="false">MAX(0,D4775-K4775)</f>
        <v>2.4413822</v>
      </c>
      <c r="M4775" s="13" t="n">
        <f aca="false">MAX(0,F4775-I4775-J4775)</f>
        <v>0</v>
      </c>
      <c r="N4775" s="13" t="n">
        <f aca="false">IF(Kalender!A17="",0,J4774-H4775)</f>
        <v>0.0150822</v>
      </c>
    </row>
    <row r="4776" customFormat="false" ht="16.4" hidden="false" customHeight="false" outlineLevel="0" collapsed="false">
      <c r="A4776" s="13" t="str">
        <f aca="false">""</f>
        <v/>
      </c>
      <c r="B4776" s="13" t="n">
        <f aca="false">14</f>
        <v>14</v>
      </c>
      <c r="C4776" s="13" t="n">
        <f aca="false">IF(Szenarien!$H$24="OK",(IFERROR(SUMIF(Nutzungsprofile!$B$6:$B$11,"Schulbetrieb",Nutzungsprofile!$G$6:$G$11)*Kalender!C18/SUM(Kalender!$C$5:$C$370),0)+IFERROR(SUMIF(Nutzungsprofile!$B$6:$B$11,"Halle",Nutzungsprofile!$G$6:$G$11)*Kalender!D18/SUM(Kalender!$D$5:$D$370),0)+IFERROR(SUMIF(Nutzungsprofile!$B$6:$B$11,"Individuell",Nutzungsprofile!$G$6:$G$11)*Kalender!E18/SUM(Kalender!$E$5:$E$370),0))*Szenarien!$E$24,0)</f>
        <v>2.94</v>
      </c>
      <c r="D4776" s="13" t="n">
        <f aca="false">IF(Szenarien!$H$24="OK",(IFERROR(SUMIF(Nutzungsprofile!$B$17:$B$22,"Schulbetrieb",Nutzungsprofile!$G$17:$G$22)*Kalender!C18/SUM(Kalender!$C$5:$C$370),0)+IFERROR(SUMIF(Nutzungsprofile!$B$17:$B$22,"Halle",Nutzungsprofile!$G$17:$G$22)*Kalender!D18/SUM(Kalender!$D$5:$D$370),0)+IFERROR(SUMIF(Nutzungsprofile!$B$17:$B$22,"Individuell",Nutzungsprofile!$G$17:$G$22)*Kalender!E18/SUM(Kalender!$E$5:$E$370),0))*Szenarien!$D$24,0)</f>
        <v>4.94</v>
      </c>
      <c r="E4776" s="13" t="n">
        <f aca="false">IFERROR(MIN(C4776,Eingaben!$B$17)*Eingaben!$B$16,0)</f>
        <v>2.793</v>
      </c>
      <c r="F4776" s="13" t="n">
        <f aca="false">IFERROR(E4776*Eingaben!$B$15,0)</f>
        <v>2.5137</v>
      </c>
      <c r="G4776" s="13" t="n">
        <f aca="false">IFERROR(IF(Kalender!A18="",0,J4775*(1-Eingaben!$B$20)),0)</f>
        <v>0.7390278</v>
      </c>
      <c r="H4776" s="13" t="n">
        <f aca="false">MIN(G4776,D4776)</f>
        <v>0.7390278</v>
      </c>
      <c r="I4776" s="13" t="n">
        <f aca="false">IFERROR(MIN(F4776*Eingaben!$B$19,MAX(0,D4776-H4776)),0)</f>
        <v>1.75959</v>
      </c>
      <c r="J4776" s="13" t="n">
        <f aca="false">IFERROR(MIN(Eingaben!$B$18,MAX(0,F4776-I4776)),0)</f>
        <v>0.75411</v>
      </c>
      <c r="K4776" s="13" t="n">
        <f aca="false">H4776+I4776</f>
        <v>2.4986178</v>
      </c>
      <c r="L4776" s="13" t="n">
        <f aca="false">MAX(0,D4776-K4776)</f>
        <v>2.4413822</v>
      </c>
      <c r="M4776" s="13" t="n">
        <f aca="false">MAX(0,F4776-I4776-J4776)</f>
        <v>0</v>
      </c>
      <c r="N4776" s="13" t="n">
        <f aca="false">IF(Kalender!A18="",0,J4775-H4776)</f>
        <v>0.0150822</v>
      </c>
    </row>
    <row r="4777" customFormat="false" ht="16.4" hidden="false" customHeight="false" outlineLevel="0" collapsed="false">
      <c r="A4777" s="13" t="str">
        <f aca="false">""</f>
        <v/>
      </c>
      <c r="B4777" s="13" t="n">
        <f aca="false">15</f>
        <v>15</v>
      </c>
      <c r="C4777" s="13" t="n">
        <f aca="false">IF(Szenarien!$H$24="OK",(IFERROR(SUMIF(Nutzungsprofile!$B$6:$B$11,"Schulbetrieb",Nutzungsprofile!$G$6:$G$11)*Kalender!C19/SUM(Kalender!$C$5:$C$370),0)+IFERROR(SUMIF(Nutzungsprofile!$B$6:$B$11,"Halle",Nutzungsprofile!$G$6:$G$11)*Kalender!D19/SUM(Kalender!$D$5:$D$370),0)+IFERROR(SUMIF(Nutzungsprofile!$B$6:$B$11,"Individuell",Nutzungsprofile!$G$6:$G$11)*Kalender!E19/SUM(Kalender!$E$5:$E$370),0))*Szenarien!$E$24,0)</f>
        <v>2.94</v>
      </c>
      <c r="D4777" s="13" t="n">
        <f aca="false">IF(Szenarien!$H$24="OK",(IFERROR(SUMIF(Nutzungsprofile!$B$17:$B$22,"Schulbetrieb",Nutzungsprofile!$G$17:$G$22)*Kalender!C19/SUM(Kalender!$C$5:$C$370),0)+IFERROR(SUMIF(Nutzungsprofile!$B$17:$B$22,"Halle",Nutzungsprofile!$G$17:$G$22)*Kalender!D19/SUM(Kalender!$D$5:$D$370),0)+IFERROR(SUMIF(Nutzungsprofile!$B$17:$B$22,"Individuell",Nutzungsprofile!$G$17:$G$22)*Kalender!E19/SUM(Kalender!$E$5:$E$370),0))*Szenarien!$D$24,0)</f>
        <v>4.94</v>
      </c>
      <c r="E4777" s="13" t="n">
        <f aca="false">IFERROR(MIN(C4777,Eingaben!$B$17)*Eingaben!$B$16,0)</f>
        <v>2.793</v>
      </c>
      <c r="F4777" s="13" t="n">
        <f aca="false">IFERROR(E4777*Eingaben!$B$15,0)</f>
        <v>2.5137</v>
      </c>
      <c r="G4777" s="13" t="n">
        <f aca="false">IFERROR(IF(Kalender!A19="",0,J4776*(1-Eingaben!$B$20)),0)</f>
        <v>0.7390278</v>
      </c>
      <c r="H4777" s="13" t="n">
        <f aca="false">MIN(G4777,D4777)</f>
        <v>0.7390278</v>
      </c>
      <c r="I4777" s="13" t="n">
        <f aca="false">IFERROR(MIN(F4777*Eingaben!$B$19,MAX(0,D4777-H4777)),0)</f>
        <v>1.75959</v>
      </c>
      <c r="J4777" s="13" t="n">
        <f aca="false">IFERROR(MIN(Eingaben!$B$18,MAX(0,F4777-I4777)),0)</f>
        <v>0.75411</v>
      </c>
      <c r="K4777" s="13" t="n">
        <f aca="false">H4777+I4777</f>
        <v>2.4986178</v>
      </c>
      <c r="L4777" s="13" t="n">
        <f aca="false">MAX(0,D4777-K4777)</f>
        <v>2.4413822</v>
      </c>
      <c r="M4777" s="13" t="n">
        <f aca="false">MAX(0,F4777-I4777-J4777)</f>
        <v>0</v>
      </c>
      <c r="N4777" s="13" t="n">
        <f aca="false">IF(Kalender!A19="",0,J4776-H4777)</f>
        <v>0.0150822</v>
      </c>
    </row>
    <row r="4778" customFormat="false" ht="16.4" hidden="false" customHeight="false" outlineLevel="0" collapsed="false">
      <c r="A4778" s="13" t="str">
        <f aca="false">""</f>
        <v/>
      </c>
      <c r="B4778" s="13" t="n">
        <f aca="false">16</f>
        <v>16</v>
      </c>
      <c r="C4778" s="13" t="n">
        <f aca="false">IF(Szenarien!$H$24="OK",(IFERROR(SUMIF(Nutzungsprofile!$B$6:$B$11,"Schulbetrieb",Nutzungsprofile!$G$6:$G$11)*Kalender!C20/SUM(Kalender!$C$5:$C$370),0)+IFERROR(SUMIF(Nutzungsprofile!$B$6:$B$11,"Halle",Nutzungsprofile!$G$6:$G$11)*Kalender!D20/SUM(Kalender!$D$5:$D$370),0)+IFERROR(SUMIF(Nutzungsprofile!$B$6:$B$11,"Individuell",Nutzungsprofile!$G$6:$G$11)*Kalender!E20/SUM(Kalender!$E$5:$E$370),0))*Szenarien!$E$24,0)</f>
        <v>2.94</v>
      </c>
      <c r="D4778" s="13" t="n">
        <f aca="false">IF(Szenarien!$H$24="OK",(IFERROR(SUMIF(Nutzungsprofile!$B$17:$B$22,"Schulbetrieb",Nutzungsprofile!$G$17:$G$22)*Kalender!C20/SUM(Kalender!$C$5:$C$370),0)+IFERROR(SUMIF(Nutzungsprofile!$B$17:$B$22,"Halle",Nutzungsprofile!$G$17:$G$22)*Kalender!D20/SUM(Kalender!$D$5:$D$370),0)+IFERROR(SUMIF(Nutzungsprofile!$B$17:$B$22,"Individuell",Nutzungsprofile!$G$17:$G$22)*Kalender!E20/SUM(Kalender!$E$5:$E$370),0))*Szenarien!$D$24,0)</f>
        <v>4.94</v>
      </c>
      <c r="E4778" s="13" t="n">
        <f aca="false">IFERROR(MIN(C4778,Eingaben!$B$17)*Eingaben!$B$16,0)</f>
        <v>2.793</v>
      </c>
      <c r="F4778" s="13" t="n">
        <f aca="false">IFERROR(E4778*Eingaben!$B$15,0)</f>
        <v>2.5137</v>
      </c>
      <c r="G4778" s="13" t="n">
        <f aca="false">IFERROR(IF(Kalender!A20="",0,J4777*(1-Eingaben!$B$20)),0)</f>
        <v>0.7390278</v>
      </c>
      <c r="H4778" s="13" t="n">
        <f aca="false">MIN(G4778,D4778)</f>
        <v>0.7390278</v>
      </c>
      <c r="I4778" s="13" t="n">
        <f aca="false">IFERROR(MIN(F4778*Eingaben!$B$19,MAX(0,D4778-H4778)),0)</f>
        <v>1.75959</v>
      </c>
      <c r="J4778" s="13" t="n">
        <f aca="false">IFERROR(MIN(Eingaben!$B$18,MAX(0,F4778-I4778)),0)</f>
        <v>0.75411</v>
      </c>
      <c r="K4778" s="13" t="n">
        <f aca="false">H4778+I4778</f>
        <v>2.4986178</v>
      </c>
      <c r="L4778" s="13" t="n">
        <f aca="false">MAX(0,D4778-K4778)</f>
        <v>2.4413822</v>
      </c>
      <c r="M4778" s="13" t="n">
        <f aca="false">MAX(0,F4778-I4778-J4778)</f>
        <v>0</v>
      </c>
      <c r="N4778" s="13" t="n">
        <f aca="false">IF(Kalender!A20="",0,J4777-H4778)</f>
        <v>0.0150822</v>
      </c>
    </row>
    <row r="4779" customFormat="false" ht="16.4" hidden="false" customHeight="false" outlineLevel="0" collapsed="false">
      <c r="A4779" s="13" t="str">
        <f aca="false">""</f>
        <v/>
      </c>
      <c r="B4779" s="13" t="n">
        <f aca="false">17</f>
        <v>17</v>
      </c>
      <c r="C4779" s="13" t="n">
        <f aca="false">IF(Szenarien!$H$24="OK",(IFERROR(SUMIF(Nutzungsprofile!$B$6:$B$11,"Schulbetrieb",Nutzungsprofile!$G$6:$G$11)*Kalender!C21/SUM(Kalender!$C$5:$C$370),0)+IFERROR(SUMIF(Nutzungsprofile!$B$6:$B$11,"Halle",Nutzungsprofile!$G$6:$G$11)*Kalender!D21/SUM(Kalender!$D$5:$D$370),0)+IFERROR(SUMIF(Nutzungsprofile!$B$6:$B$11,"Individuell",Nutzungsprofile!$G$6:$G$11)*Kalender!E21/SUM(Kalender!$E$5:$E$370),0))*Szenarien!$E$24,0)</f>
        <v>2.04</v>
      </c>
      <c r="D4779" s="13" t="n">
        <f aca="false">IF(Szenarien!$H$24="OK",(IFERROR(SUMIF(Nutzungsprofile!$B$17:$B$22,"Schulbetrieb",Nutzungsprofile!$G$17:$G$22)*Kalender!C21/SUM(Kalender!$C$5:$C$370),0)+IFERROR(SUMIF(Nutzungsprofile!$B$17:$B$22,"Halle",Nutzungsprofile!$G$17:$G$22)*Kalender!D21/SUM(Kalender!$D$5:$D$370),0)+IFERROR(SUMIF(Nutzungsprofile!$B$17:$B$22,"Individuell",Nutzungsprofile!$G$17:$G$22)*Kalender!E21/SUM(Kalender!$E$5:$E$370),0))*Szenarien!$D$24,0)</f>
        <v>0.89</v>
      </c>
      <c r="E4779" s="13" t="n">
        <f aca="false">IFERROR(MIN(C4779,Eingaben!$B$17)*Eingaben!$B$16,0)</f>
        <v>1.938</v>
      </c>
      <c r="F4779" s="13" t="n">
        <f aca="false">IFERROR(E4779*Eingaben!$B$15,0)</f>
        <v>1.7442</v>
      </c>
      <c r="G4779" s="13" t="n">
        <f aca="false">IFERROR(IF(Kalender!A21="",0,J4778*(1-Eingaben!$B$20)),0)</f>
        <v>0.7390278</v>
      </c>
      <c r="H4779" s="13" t="n">
        <f aca="false">MIN(G4779,D4779)</f>
        <v>0.7390278</v>
      </c>
      <c r="I4779" s="13" t="n">
        <f aca="false">IFERROR(MIN(F4779*Eingaben!$B$19,MAX(0,D4779-H4779)),0)</f>
        <v>0.1509722</v>
      </c>
      <c r="J4779" s="13" t="n">
        <f aca="false">IFERROR(MIN(Eingaben!$B$18,MAX(0,F4779-I4779)),0)</f>
        <v>1.5932278</v>
      </c>
      <c r="K4779" s="13" t="n">
        <f aca="false">H4779+I4779</f>
        <v>0.89</v>
      </c>
      <c r="L4779" s="13" t="n">
        <f aca="false">MAX(0,D4779-K4779)</f>
        <v>0</v>
      </c>
      <c r="M4779" s="13" t="n">
        <f aca="false">MAX(0,F4779-I4779-J4779)</f>
        <v>0</v>
      </c>
      <c r="N4779" s="13" t="n">
        <f aca="false">IF(Kalender!A21="",0,J4778-H4779)</f>
        <v>0.0150822</v>
      </c>
    </row>
    <row r="4780" customFormat="false" ht="16.4" hidden="false" customHeight="false" outlineLevel="0" collapsed="false">
      <c r="A4780" s="13" t="str">
        <f aca="false">""</f>
        <v/>
      </c>
      <c r="B4780" s="13" t="n">
        <f aca="false">18</f>
        <v>18</v>
      </c>
      <c r="C4780" s="13" t="n">
        <f aca="false">IF(Szenarien!$H$24="OK",(IFERROR(SUMIF(Nutzungsprofile!$B$6:$B$11,"Schulbetrieb",Nutzungsprofile!$G$6:$G$11)*Kalender!C22/SUM(Kalender!$C$5:$C$370),0)+IFERROR(SUMIF(Nutzungsprofile!$B$6:$B$11,"Halle",Nutzungsprofile!$G$6:$G$11)*Kalender!D22/SUM(Kalender!$D$5:$D$370),0)+IFERROR(SUMIF(Nutzungsprofile!$B$6:$B$11,"Individuell",Nutzungsprofile!$G$6:$G$11)*Kalender!E22/SUM(Kalender!$E$5:$E$370),0))*Szenarien!$E$24,0)</f>
        <v>2.04</v>
      </c>
      <c r="D4780" s="13" t="n">
        <f aca="false">IF(Szenarien!$H$24="OK",(IFERROR(SUMIF(Nutzungsprofile!$B$17:$B$22,"Schulbetrieb",Nutzungsprofile!$G$17:$G$22)*Kalender!C22/SUM(Kalender!$C$5:$C$370),0)+IFERROR(SUMIF(Nutzungsprofile!$B$17:$B$22,"Halle",Nutzungsprofile!$G$17:$G$22)*Kalender!D22/SUM(Kalender!$D$5:$D$370),0)+IFERROR(SUMIF(Nutzungsprofile!$B$17:$B$22,"Individuell",Nutzungsprofile!$G$17:$G$22)*Kalender!E22/SUM(Kalender!$E$5:$E$370),0))*Szenarien!$D$24,0)</f>
        <v>0.89</v>
      </c>
      <c r="E4780" s="13" t="n">
        <f aca="false">IFERROR(MIN(C4780,Eingaben!$B$17)*Eingaben!$B$16,0)</f>
        <v>1.938</v>
      </c>
      <c r="F4780" s="13" t="n">
        <f aca="false">IFERROR(E4780*Eingaben!$B$15,0)</f>
        <v>1.7442</v>
      </c>
      <c r="G4780" s="13" t="n">
        <f aca="false">IFERROR(IF(Kalender!A22="",0,J4779*(1-Eingaben!$B$20)),0)</f>
        <v>1.561363244</v>
      </c>
      <c r="H4780" s="13" t="n">
        <f aca="false">MIN(G4780,D4780)</f>
        <v>0.89</v>
      </c>
      <c r="I4780" s="13" t="n">
        <f aca="false">IFERROR(MIN(F4780*Eingaben!$B$19,MAX(0,D4780-H4780)),0)</f>
        <v>0</v>
      </c>
      <c r="J4780" s="13" t="n">
        <f aca="false">IFERROR(MIN(Eingaben!$B$18,MAX(0,F4780-I4780)),0)</f>
        <v>1.7442</v>
      </c>
      <c r="K4780" s="13" t="n">
        <f aca="false">H4780+I4780</f>
        <v>0.89</v>
      </c>
      <c r="L4780" s="13" t="n">
        <f aca="false">MAX(0,D4780-K4780)</f>
        <v>0</v>
      </c>
      <c r="M4780" s="13" t="n">
        <f aca="false">MAX(0,F4780-I4780-J4780)</f>
        <v>0</v>
      </c>
      <c r="N4780" s="13" t="n">
        <f aca="false">IF(Kalender!A22="",0,J4779-H4780)</f>
        <v>0.7032278</v>
      </c>
    </row>
    <row r="4781" customFormat="false" ht="16.4" hidden="false" customHeight="false" outlineLevel="0" collapsed="false">
      <c r="A4781" s="13" t="str">
        <f aca="false">""</f>
        <v/>
      </c>
      <c r="B4781" s="13" t="n">
        <f aca="false">19</f>
        <v>19</v>
      </c>
      <c r="C4781" s="13" t="n">
        <f aca="false">IF(Szenarien!$H$24="OK",(IFERROR(SUMIF(Nutzungsprofile!$B$6:$B$11,"Schulbetrieb",Nutzungsprofile!$G$6:$G$11)*Kalender!C23/SUM(Kalender!$C$5:$C$370),0)+IFERROR(SUMIF(Nutzungsprofile!$B$6:$B$11,"Halle",Nutzungsprofile!$G$6:$G$11)*Kalender!D23/SUM(Kalender!$D$5:$D$370),0)+IFERROR(SUMIF(Nutzungsprofile!$B$6:$B$11,"Individuell",Nutzungsprofile!$G$6:$G$11)*Kalender!E23/SUM(Kalender!$E$5:$E$370),0))*Szenarien!$E$24,0)</f>
        <v>2.94</v>
      </c>
      <c r="D4781" s="13" t="n">
        <f aca="false">IF(Szenarien!$H$24="OK",(IFERROR(SUMIF(Nutzungsprofile!$B$17:$B$22,"Schulbetrieb",Nutzungsprofile!$G$17:$G$22)*Kalender!C23/SUM(Kalender!$C$5:$C$370),0)+IFERROR(SUMIF(Nutzungsprofile!$B$17:$B$22,"Halle",Nutzungsprofile!$G$17:$G$22)*Kalender!D23/SUM(Kalender!$D$5:$D$370),0)+IFERROR(SUMIF(Nutzungsprofile!$B$17:$B$22,"Individuell",Nutzungsprofile!$G$17:$G$22)*Kalender!E23/SUM(Kalender!$E$5:$E$370),0))*Szenarien!$D$24,0)</f>
        <v>4.94</v>
      </c>
      <c r="E4781" s="13" t="n">
        <f aca="false">IFERROR(MIN(C4781,Eingaben!$B$17)*Eingaben!$B$16,0)</f>
        <v>2.793</v>
      </c>
      <c r="F4781" s="13" t="n">
        <f aca="false">IFERROR(E4781*Eingaben!$B$15,0)</f>
        <v>2.5137</v>
      </c>
      <c r="G4781" s="13" t="n">
        <f aca="false">IFERROR(IF(Kalender!A23="",0,J4780*(1-Eingaben!$B$20)),0)</f>
        <v>1.709316</v>
      </c>
      <c r="H4781" s="13" t="n">
        <f aca="false">MIN(G4781,D4781)</f>
        <v>1.709316</v>
      </c>
      <c r="I4781" s="13" t="n">
        <f aca="false">IFERROR(MIN(F4781*Eingaben!$B$19,MAX(0,D4781-H4781)),0)</f>
        <v>1.75959</v>
      </c>
      <c r="J4781" s="13" t="n">
        <f aca="false">IFERROR(MIN(Eingaben!$B$18,MAX(0,F4781-I4781)),0)</f>
        <v>0.75411</v>
      </c>
      <c r="K4781" s="13" t="n">
        <f aca="false">H4781+I4781</f>
        <v>3.468906</v>
      </c>
      <c r="L4781" s="13" t="n">
        <f aca="false">MAX(0,D4781-K4781)</f>
        <v>1.471094</v>
      </c>
      <c r="M4781" s="13" t="n">
        <f aca="false">MAX(0,F4781-I4781-J4781)</f>
        <v>0</v>
      </c>
      <c r="N4781" s="13" t="n">
        <f aca="false">IF(Kalender!A23="",0,J4780-H4781)</f>
        <v>0.0348840000000001</v>
      </c>
    </row>
    <row r="4782" customFormat="false" ht="16.4" hidden="false" customHeight="false" outlineLevel="0" collapsed="false">
      <c r="A4782" s="13" t="str">
        <f aca="false">""</f>
        <v/>
      </c>
      <c r="B4782" s="13" t="n">
        <f aca="false">20</f>
        <v>20</v>
      </c>
      <c r="C4782" s="13" t="n">
        <f aca="false">IF(Szenarien!$H$24="OK",(IFERROR(SUMIF(Nutzungsprofile!$B$6:$B$11,"Schulbetrieb",Nutzungsprofile!$G$6:$G$11)*Kalender!C24/SUM(Kalender!$C$5:$C$370),0)+IFERROR(SUMIF(Nutzungsprofile!$B$6:$B$11,"Halle",Nutzungsprofile!$G$6:$G$11)*Kalender!D24/SUM(Kalender!$D$5:$D$370),0)+IFERROR(SUMIF(Nutzungsprofile!$B$6:$B$11,"Individuell",Nutzungsprofile!$G$6:$G$11)*Kalender!E24/SUM(Kalender!$E$5:$E$370),0))*Szenarien!$E$24,0)</f>
        <v>2.94</v>
      </c>
      <c r="D4782" s="13" t="n">
        <f aca="false">IF(Szenarien!$H$24="OK",(IFERROR(SUMIF(Nutzungsprofile!$B$17:$B$22,"Schulbetrieb",Nutzungsprofile!$G$17:$G$22)*Kalender!C24/SUM(Kalender!$C$5:$C$370),0)+IFERROR(SUMIF(Nutzungsprofile!$B$17:$B$22,"Halle",Nutzungsprofile!$G$17:$G$22)*Kalender!D24/SUM(Kalender!$D$5:$D$370),0)+IFERROR(SUMIF(Nutzungsprofile!$B$17:$B$22,"Individuell",Nutzungsprofile!$G$17:$G$22)*Kalender!E24/SUM(Kalender!$E$5:$E$370),0))*Szenarien!$D$24,0)</f>
        <v>4.94</v>
      </c>
      <c r="E4782" s="13" t="n">
        <f aca="false">IFERROR(MIN(C4782,Eingaben!$B$17)*Eingaben!$B$16,0)</f>
        <v>2.793</v>
      </c>
      <c r="F4782" s="13" t="n">
        <f aca="false">IFERROR(E4782*Eingaben!$B$15,0)</f>
        <v>2.5137</v>
      </c>
      <c r="G4782" s="13" t="n">
        <f aca="false">IFERROR(IF(Kalender!A24="",0,J4781*(1-Eingaben!$B$20)),0)</f>
        <v>0.7390278</v>
      </c>
      <c r="H4782" s="13" t="n">
        <f aca="false">MIN(G4782,D4782)</f>
        <v>0.7390278</v>
      </c>
      <c r="I4782" s="13" t="n">
        <f aca="false">IFERROR(MIN(F4782*Eingaben!$B$19,MAX(0,D4782-H4782)),0)</f>
        <v>1.75959</v>
      </c>
      <c r="J4782" s="13" t="n">
        <f aca="false">IFERROR(MIN(Eingaben!$B$18,MAX(0,F4782-I4782)),0)</f>
        <v>0.75411</v>
      </c>
      <c r="K4782" s="13" t="n">
        <f aca="false">H4782+I4782</f>
        <v>2.4986178</v>
      </c>
      <c r="L4782" s="13" t="n">
        <f aca="false">MAX(0,D4782-K4782)</f>
        <v>2.4413822</v>
      </c>
      <c r="M4782" s="13" t="n">
        <f aca="false">MAX(0,F4782-I4782-J4782)</f>
        <v>0</v>
      </c>
      <c r="N4782" s="13" t="n">
        <f aca="false">IF(Kalender!A24="",0,J4781-H4782)</f>
        <v>0.0150822</v>
      </c>
    </row>
    <row r="4783" customFormat="false" ht="16.4" hidden="false" customHeight="false" outlineLevel="0" collapsed="false">
      <c r="A4783" s="13" t="str">
        <f aca="false">""</f>
        <v/>
      </c>
      <c r="B4783" s="13" t="n">
        <f aca="false">21</f>
        <v>21</v>
      </c>
      <c r="C4783" s="13" t="n">
        <f aca="false">IF(Szenarien!$H$24="OK",(IFERROR(SUMIF(Nutzungsprofile!$B$6:$B$11,"Schulbetrieb",Nutzungsprofile!$G$6:$G$11)*Kalender!C25/SUM(Kalender!$C$5:$C$370),0)+IFERROR(SUMIF(Nutzungsprofile!$B$6:$B$11,"Halle",Nutzungsprofile!$G$6:$G$11)*Kalender!D25/SUM(Kalender!$D$5:$D$370),0)+IFERROR(SUMIF(Nutzungsprofile!$B$6:$B$11,"Individuell",Nutzungsprofile!$G$6:$G$11)*Kalender!E25/SUM(Kalender!$E$5:$E$370),0))*Szenarien!$E$24,0)</f>
        <v>2.94</v>
      </c>
      <c r="D4783" s="13" t="n">
        <f aca="false">IF(Szenarien!$H$24="OK",(IFERROR(SUMIF(Nutzungsprofile!$B$17:$B$22,"Schulbetrieb",Nutzungsprofile!$G$17:$G$22)*Kalender!C25/SUM(Kalender!$C$5:$C$370),0)+IFERROR(SUMIF(Nutzungsprofile!$B$17:$B$22,"Halle",Nutzungsprofile!$G$17:$G$22)*Kalender!D25/SUM(Kalender!$D$5:$D$370),0)+IFERROR(SUMIF(Nutzungsprofile!$B$17:$B$22,"Individuell",Nutzungsprofile!$G$17:$G$22)*Kalender!E25/SUM(Kalender!$E$5:$E$370),0))*Szenarien!$D$24,0)</f>
        <v>4.94</v>
      </c>
      <c r="E4783" s="13" t="n">
        <f aca="false">IFERROR(MIN(C4783,Eingaben!$B$17)*Eingaben!$B$16,0)</f>
        <v>2.793</v>
      </c>
      <c r="F4783" s="13" t="n">
        <f aca="false">IFERROR(E4783*Eingaben!$B$15,0)</f>
        <v>2.5137</v>
      </c>
      <c r="G4783" s="13" t="n">
        <f aca="false">IFERROR(IF(Kalender!A25="",0,J4782*(1-Eingaben!$B$20)),0)</f>
        <v>0.7390278</v>
      </c>
      <c r="H4783" s="13" t="n">
        <f aca="false">MIN(G4783,D4783)</f>
        <v>0.7390278</v>
      </c>
      <c r="I4783" s="13" t="n">
        <f aca="false">IFERROR(MIN(F4783*Eingaben!$B$19,MAX(0,D4783-H4783)),0)</f>
        <v>1.75959</v>
      </c>
      <c r="J4783" s="13" t="n">
        <f aca="false">IFERROR(MIN(Eingaben!$B$18,MAX(0,F4783-I4783)),0)</f>
        <v>0.75411</v>
      </c>
      <c r="K4783" s="13" t="n">
        <f aca="false">H4783+I4783</f>
        <v>2.4986178</v>
      </c>
      <c r="L4783" s="13" t="n">
        <f aca="false">MAX(0,D4783-K4783)</f>
        <v>2.4413822</v>
      </c>
      <c r="M4783" s="13" t="n">
        <f aca="false">MAX(0,F4783-I4783-J4783)</f>
        <v>0</v>
      </c>
      <c r="N4783" s="13" t="n">
        <f aca="false">IF(Kalender!A25="",0,J4782-H4783)</f>
        <v>0.0150822</v>
      </c>
    </row>
    <row r="4784" customFormat="false" ht="16.4" hidden="false" customHeight="false" outlineLevel="0" collapsed="false">
      <c r="A4784" s="13" t="str">
        <f aca="false">""</f>
        <v/>
      </c>
      <c r="B4784" s="13" t="n">
        <f aca="false">22</f>
        <v>22</v>
      </c>
      <c r="C4784" s="13" t="n">
        <f aca="false">IF(Szenarien!$H$24="OK",(IFERROR(SUMIF(Nutzungsprofile!$B$6:$B$11,"Schulbetrieb",Nutzungsprofile!$G$6:$G$11)*Kalender!C26/SUM(Kalender!$C$5:$C$370),0)+IFERROR(SUMIF(Nutzungsprofile!$B$6:$B$11,"Halle",Nutzungsprofile!$G$6:$G$11)*Kalender!D26/SUM(Kalender!$D$5:$D$370),0)+IFERROR(SUMIF(Nutzungsprofile!$B$6:$B$11,"Individuell",Nutzungsprofile!$G$6:$G$11)*Kalender!E26/SUM(Kalender!$E$5:$E$370),0))*Szenarien!$E$24,0)</f>
        <v>2.94</v>
      </c>
      <c r="D4784" s="13" t="n">
        <f aca="false">IF(Szenarien!$H$24="OK",(IFERROR(SUMIF(Nutzungsprofile!$B$17:$B$22,"Schulbetrieb",Nutzungsprofile!$G$17:$G$22)*Kalender!C26/SUM(Kalender!$C$5:$C$370),0)+IFERROR(SUMIF(Nutzungsprofile!$B$17:$B$22,"Halle",Nutzungsprofile!$G$17:$G$22)*Kalender!D26/SUM(Kalender!$D$5:$D$370),0)+IFERROR(SUMIF(Nutzungsprofile!$B$17:$B$22,"Individuell",Nutzungsprofile!$G$17:$G$22)*Kalender!E26/SUM(Kalender!$E$5:$E$370),0))*Szenarien!$D$24,0)</f>
        <v>4.94</v>
      </c>
      <c r="E4784" s="13" t="n">
        <f aca="false">IFERROR(MIN(C4784,Eingaben!$B$17)*Eingaben!$B$16,0)</f>
        <v>2.793</v>
      </c>
      <c r="F4784" s="13" t="n">
        <f aca="false">IFERROR(E4784*Eingaben!$B$15,0)</f>
        <v>2.5137</v>
      </c>
      <c r="G4784" s="13" t="n">
        <f aca="false">IFERROR(IF(Kalender!A26="",0,J4783*(1-Eingaben!$B$20)),0)</f>
        <v>0.7390278</v>
      </c>
      <c r="H4784" s="13" t="n">
        <f aca="false">MIN(G4784,D4784)</f>
        <v>0.7390278</v>
      </c>
      <c r="I4784" s="13" t="n">
        <f aca="false">IFERROR(MIN(F4784*Eingaben!$B$19,MAX(0,D4784-H4784)),0)</f>
        <v>1.75959</v>
      </c>
      <c r="J4784" s="13" t="n">
        <f aca="false">IFERROR(MIN(Eingaben!$B$18,MAX(0,F4784-I4784)),0)</f>
        <v>0.75411</v>
      </c>
      <c r="K4784" s="13" t="n">
        <f aca="false">H4784+I4784</f>
        <v>2.4986178</v>
      </c>
      <c r="L4784" s="13" t="n">
        <f aca="false">MAX(0,D4784-K4784)</f>
        <v>2.4413822</v>
      </c>
      <c r="M4784" s="13" t="n">
        <f aca="false">MAX(0,F4784-I4784-J4784)</f>
        <v>0</v>
      </c>
      <c r="N4784" s="13" t="n">
        <f aca="false">IF(Kalender!A26="",0,J4783-H4784)</f>
        <v>0.0150822</v>
      </c>
    </row>
    <row r="4785" customFormat="false" ht="16.4" hidden="false" customHeight="false" outlineLevel="0" collapsed="false">
      <c r="A4785" s="13" t="str">
        <f aca="false">""</f>
        <v/>
      </c>
      <c r="B4785" s="13" t="n">
        <f aca="false">23</f>
        <v>23</v>
      </c>
      <c r="C4785" s="13" t="n">
        <f aca="false">IF(Szenarien!$H$24="OK",(IFERROR(SUMIF(Nutzungsprofile!$B$6:$B$11,"Schulbetrieb",Nutzungsprofile!$G$6:$G$11)*Kalender!C27/SUM(Kalender!$C$5:$C$370),0)+IFERROR(SUMIF(Nutzungsprofile!$B$6:$B$11,"Halle",Nutzungsprofile!$G$6:$G$11)*Kalender!D27/SUM(Kalender!$D$5:$D$370),0)+IFERROR(SUMIF(Nutzungsprofile!$B$6:$B$11,"Individuell",Nutzungsprofile!$G$6:$G$11)*Kalender!E27/SUM(Kalender!$E$5:$E$370),0))*Szenarien!$E$24,0)</f>
        <v>2.94</v>
      </c>
      <c r="D4785" s="13" t="n">
        <f aca="false">IF(Szenarien!$H$24="OK",(IFERROR(SUMIF(Nutzungsprofile!$B$17:$B$22,"Schulbetrieb",Nutzungsprofile!$G$17:$G$22)*Kalender!C27/SUM(Kalender!$C$5:$C$370),0)+IFERROR(SUMIF(Nutzungsprofile!$B$17:$B$22,"Halle",Nutzungsprofile!$G$17:$G$22)*Kalender!D27/SUM(Kalender!$D$5:$D$370),0)+IFERROR(SUMIF(Nutzungsprofile!$B$17:$B$22,"Individuell",Nutzungsprofile!$G$17:$G$22)*Kalender!E27/SUM(Kalender!$E$5:$E$370),0))*Szenarien!$D$24,0)</f>
        <v>4.94</v>
      </c>
      <c r="E4785" s="13" t="n">
        <f aca="false">IFERROR(MIN(C4785,Eingaben!$B$17)*Eingaben!$B$16,0)</f>
        <v>2.793</v>
      </c>
      <c r="F4785" s="13" t="n">
        <f aca="false">IFERROR(E4785*Eingaben!$B$15,0)</f>
        <v>2.5137</v>
      </c>
      <c r="G4785" s="13" t="n">
        <f aca="false">IFERROR(IF(Kalender!A27="",0,J4784*(1-Eingaben!$B$20)),0)</f>
        <v>0.7390278</v>
      </c>
      <c r="H4785" s="13" t="n">
        <f aca="false">MIN(G4785,D4785)</f>
        <v>0.7390278</v>
      </c>
      <c r="I4785" s="13" t="n">
        <f aca="false">IFERROR(MIN(F4785*Eingaben!$B$19,MAX(0,D4785-H4785)),0)</f>
        <v>1.75959</v>
      </c>
      <c r="J4785" s="13" t="n">
        <f aca="false">IFERROR(MIN(Eingaben!$B$18,MAX(0,F4785-I4785)),0)</f>
        <v>0.75411</v>
      </c>
      <c r="K4785" s="13" t="n">
        <f aca="false">H4785+I4785</f>
        <v>2.4986178</v>
      </c>
      <c r="L4785" s="13" t="n">
        <f aca="false">MAX(0,D4785-K4785)</f>
        <v>2.4413822</v>
      </c>
      <c r="M4785" s="13" t="n">
        <f aca="false">MAX(0,F4785-I4785-J4785)</f>
        <v>0</v>
      </c>
      <c r="N4785" s="13" t="n">
        <f aca="false">IF(Kalender!A27="",0,J4784-H4785)</f>
        <v>0.0150822</v>
      </c>
    </row>
    <row r="4786" customFormat="false" ht="16.4" hidden="false" customHeight="false" outlineLevel="0" collapsed="false">
      <c r="A4786" s="13" t="str">
        <f aca="false">""</f>
        <v/>
      </c>
      <c r="B4786" s="13" t="n">
        <f aca="false">24</f>
        <v>24</v>
      </c>
      <c r="C4786" s="13" t="n">
        <f aca="false">IF(Szenarien!$H$24="OK",(IFERROR(SUMIF(Nutzungsprofile!$B$6:$B$11,"Schulbetrieb",Nutzungsprofile!$G$6:$G$11)*Kalender!C28/SUM(Kalender!$C$5:$C$370),0)+IFERROR(SUMIF(Nutzungsprofile!$B$6:$B$11,"Halle",Nutzungsprofile!$G$6:$G$11)*Kalender!D28/SUM(Kalender!$D$5:$D$370),0)+IFERROR(SUMIF(Nutzungsprofile!$B$6:$B$11,"Individuell",Nutzungsprofile!$G$6:$G$11)*Kalender!E28/SUM(Kalender!$E$5:$E$370),0))*Szenarien!$E$24,0)</f>
        <v>2.04</v>
      </c>
      <c r="D4786" s="13" t="n">
        <f aca="false">IF(Szenarien!$H$24="OK",(IFERROR(SUMIF(Nutzungsprofile!$B$17:$B$22,"Schulbetrieb",Nutzungsprofile!$G$17:$G$22)*Kalender!C28/SUM(Kalender!$C$5:$C$370),0)+IFERROR(SUMIF(Nutzungsprofile!$B$17:$B$22,"Halle",Nutzungsprofile!$G$17:$G$22)*Kalender!D28/SUM(Kalender!$D$5:$D$370),0)+IFERROR(SUMIF(Nutzungsprofile!$B$17:$B$22,"Individuell",Nutzungsprofile!$G$17:$G$22)*Kalender!E28/SUM(Kalender!$E$5:$E$370),0))*Szenarien!$D$24,0)</f>
        <v>0.89</v>
      </c>
      <c r="E4786" s="13" t="n">
        <f aca="false">IFERROR(MIN(C4786,Eingaben!$B$17)*Eingaben!$B$16,0)</f>
        <v>1.938</v>
      </c>
      <c r="F4786" s="13" t="n">
        <f aca="false">IFERROR(E4786*Eingaben!$B$15,0)</f>
        <v>1.7442</v>
      </c>
      <c r="G4786" s="13" t="n">
        <f aca="false">IFERROR(IF(Kalender!A28="",0,J4785*(1-Eingaben!$B$20)),0)</f>
        <v>0.7390278</v>
      </c>
      <c r="H4786" s="13" t="n">
        <f aca="false">MIN(G4786,D4786)</f>
        <v>0.7390278</v>
      </c>
      <c r="I4786" s="13" t="n">
        <f aca="false">IFERROR(MIN(F4786*Eingaben!$B$19,MAX(0,D4786-H4786)),0)</f>
        <v>0.1509722</v>
      </c>
      <c r="J4786" s="13" t="n">
        <f aca="false">IFERROR(MIN(Eingaben!$B$18,MAX(0,F4786-I4786)),0)</f>
        <v>1.5932278</v>
      </c>
      <c r="K4786" s="13" t="n">
        <f aca="false">H4786+I4786</f>
        <v>0.89</v>
      </c>
      <c r="L4786" s="13" t="n">
        <f aca="false">MAX(0,D4786-K4786)</f>
        <v>0</v>
      </c>
      <c r="M4786" s="13" t="n">
        <f aca="false">MAX(0,F4786-I4786-J4786)</f>
        <v>0</v>
      </c>
      <c r="N4786" s="13" t="n">
        <f aca="false">IF(Kalender!A28="",0,J4785-H4786)</f>
        <v>0.0150822</v>
      </c>
    </row>
    <row r="4787" customFormat="false" ht="16.4" hidden="false" customHeight="false" outlineLevel="0" collapsed="false">
      <c r="A4787" s="13" t="str">
        <f aca="false">""</f>
        <v/>
      </c>
      <c r="B4787" s="13" t="n">
        <f aca="false">25</f>
        <v>25</v>
      </c>
      <c r="C4787" s="13" t="n">
        <f aca="false">IF(Szenarien!$H$24="OK",(IFERROR(SUMIF(Nutzungsprofile!$B$6:$B$11,"Schulbetrieb",Nutzungsprofile!$G$6:$G$11)*Kalender!C29/SUM(Kalender!$C$5:$C$370),0)+IFERROR(SUMIF(Nutzungsprofile!$B$6:$B$11,"Halle",Nutzungsprofile!$G$6:$G$11)*Kalender!D29/SUM(Kalender!$D$5:$D$370),0)+IFERROR(SUMIF(Nutzungsprofile!$B$6:$B$11,"Individuell",Nutzungsprofile!$G$6:$G$11)*Kalender!E29/SUM(Kalender!$E$5:$E$370),0))*Szenarien!$E$24,0)</f>
        <v>2.04</v>
      </c>
      <c r="D4787" s="13" t="n">
        <f aca="false">IF(Szenarien!$H$24="OK",(IFERROR(SUMIF(Nutzungsprofile!$B$17:$B$22,"Schulbetrieb",Nutzungsprofile!$G$17:$G$22)*Kalender!C29/SUM(Kalender!$C$5:$C$370),0)+IFERROR(SUMIF(Nutzungsprofile!$B$17:$B$22,"Halle",Nutzungsprofile!$G$17:$G$22)*Kalender!D29/SUM(Kalender!$D$5:$D$370),0)+IFERROR(SUMIF(Nutzungsprofile!$B$17:$B$22,"Individuell",Nutzungsprofile!$G$17:$G$22)*Kalender!E29/SUM(Kalender!$E$5:$E$370),0))*Szenarien!$D$24,0)</f>
        <v>0.89</v>
      </c>
      <c r="E4787" s="13" t="n">
        <f aca="false">IFERROR(MIN(C4787,Eingaben!$B$17)*Eingaben!$B$16,0)</f>
        <v>1.938</v>
      </c>
      <c r="F4787" s="13" t="n">
        <f aca="false">IFERROR(E4787*Eingaben!$B$15,0)</f>
        <v>1.7442</v>
      </c>
      <c r="G4787" s="13" t="n">
        <f aca="false">IFERROR(IF(Kalender!A29="",0,J4786*(1-Eingaben!$B$20)),0)</f>
        <v>1.561363244</v>
      </c>
      <c r="H4787" s="13" t="n">
        <f aca="false">MIN(G4787,D4787)</f>
        <v>0.89</v>
      </c>
      <c r="I4787" s="13" t="n">
        <f aca="false">IFERROR(MIN(F4787*Eingaben!$B$19,MAX(0,D4787-H4787)),0)</f>
        <v>0</v>
      </c>
      <c r="J4787" s="13" t="n">
        <f aca="false">IFERROR(MIN(Eingaben!$B$18,MAX(0,F4787-I4787)),0)</f>
        <v>1.7442</v>
      </c>
      <c r="K4787" s="13" t="n">
        <f aca="false">H4787+I4787</f>
        <v>0.89</v>
      </c>
      <c r="L4787" s="13" t="n">
        <f aca="false">MAX(0,D4787-K4787)</f>
        <v>0</v>
      </c>
      <c r="M4787" s="13" t="n">
        <f aca="false">MAX(0,F4787-I4787-J4787)</f>
        <v>0</v>
      </c>
      <c r="N4787" s="13" t="n">
        <f aca="false">IF(Kalender!A29="",0,J4786-H4787)</f>
        <v>0.7032278</v>
      </c>
    </row>
    <row r="4788" customFormat="false" ht="16.4" hidden="false" customHeight="false" outlineLevel="0" collapsed="false">
      <c r="A4788" s="13" t="str">
        <f aca="false">""</f>
        <v/>
      </c>
      <c r="B4788" s="13" t="n">
        <f aca="false">26</f>
        <v>26</v>
      </c>
      <c r="C4788" s="13" t="n">
        <f aca="false">IF(Szenarien!$H$24="OK",(IFERROR(SUMIF(Nutzungsprofile!$B$6:$B$11,"Schulbetrieb",Nutzungsprofile!$G$6:$G$11)*Kalender!C30/SUM(Kalender!$C$5:$C$370),0)+IFERROR(SUMIF(Nutzungsprofile!$B$6:$B$11,"Halle",Nutzungsprofile!$G$6:$G$11)*Kalender!D30/SUM(Kalender!$D$5:$D$370),0)+IFERROR(SUMIF(Nutzungsprofile!$B$6:$B$11,"Individuell",Nutzungsprofile!$G$6:$G$11)*Kalender!E30/SUM(Kalender!$E$5:$E$370),0))*Szenarien!$E$24,0)</f>
        <v>2.94</v>
      </c>
      <c r="D4788" s="13" t="n">
        <f aca="false">IF(Szenarien!$H$24="OK",(IFERROR(SUMIF(Nutzungsprofile!$B$17:$B$22,"Schulbetrieb",Nutzungsprofile!$G$17:$G$22)*Kalender!C30/SUM(Kalender!$C$5:$C$370),0)+IFERROR(SUMIF(Nutzungsprofile!$B$17:$B$22,"Halle",Nutzungsprofile!$G$17:$G$22)*Kalender!D30/SUM(Kalender!$D$5:$D$370),0)+IFERROR(SUMIF(Nutzungsprofile!$B$17:$B$22,"Individuell",Nutzungsprofile!$G$17:$G$22)*Kalender!E30/SUM(Kalender!$E$5:$E$370),0))*Szenarien!$D$24,0)</f>
        <v>4.94</v>
      </c>
      <c r="E4788" s="13" t="n">
        <f aca="false">IFERROR(MIN(C4788,Eingaben!$B$17)*Eingaben!$B$16,0)</f>
        <v>2.793</v>
      </c>
      <c r="F4788" s="13" t="n">
        <f aca="false">IFERROR(E4788*Eingaben!$B$15,0)</f>
        <v>2.5137</v>
      </c>
      <c r="G4788" s="13" t="n">
        <f aca="false">IFERROR(IF(Kalender!A30="",0,J4787*(1-Eingaben!$B$20)),0)</f>
        <v>1.709316</v>
      </c>
      <c r="H4788" s="13" t="n">
        <f aca="false">MIN(G4788,D4788)</f>
        <v>1.709316</v>
      </c>
      <c r="I4788" s="13" t="n">
        <f aca="false">IFERROR(MIN(F4788*Eingaben!$B$19,MAX(0,D4788-H4788)),0)</f>
        <v>1.75959</v>
      </c>
      <c r="J4788" s="13" t="n">
        <f aca="false">IFERROR(MIN(Eingaben!$B$18,MAX(0,F4788-I4788)),0)</f>
        <v>0.75411</v>
      </c>
      <c r="K4788" s="13" t="n">
        <f aca="false">H4788+I4788</f>
        <v>3.468906</v>
      </c>
      <c r="L4788" s="13" t="n">
        <f aca="false">MAX(0,D4788-K4788)</f>
        <v>1.471094</v>
      </c>
      <c r="M4788" s="13" t="n">
        <f aca="false">MAX(0,F4788-I4788-J4788)</f>
        <v>0</v>
      </c>
      <c r="N4788" s="13" t="n">
        <f aca="false">IF(Kalender!A30="",0,J4787-H4788)</f>
        <v>0.0348840000000001</v>
      </c>
    </row>
    <row r="4789" customFormat="false" ht="16.4" hidden="false" customHeight="false" outlineLevel="0" collapsed="false">
      <c r="A4789" s="13" t="str">
        <f aca="false">""</f>
        <v/>
      </c>
      <c r="B4789" s="13" t="n">
        <f aca="false">27</f>
        <v>27</v>
      </c>
      <c r="C4789" s="13" t="n">
        <f aca="false">IF(Szenarien!$H$24="OK",(IFERROR(SUMIF(Nutzungsprofile!$B$6:$B$11,"Schulbetrieb",Nutzungsprofile!$G$6:$G$11)*Kalender!C31/SUM(Kalender!$C$5:$C$370),0)+IFERROR(SUMIF(Nutzungsprofile!$B$6:$B$11,"Halle",Nutzungsprofile!$G$6:$G$11)*Kalender!D31/SUM(Kalender!$D$5:$D$370),0)+IFERROR(SUMIF(Nutzungsprofile!$B$6:$B$11,"Individuell",Nutzungsprofile!$G$6:$G$11)*Kalender!E31/SUM(Kalender!$E$5:$E$370),0))*Szenarien!$E$24,0)</f>
        <v>2.94</v>
      </c>
      <c r="D4789" s="13" t="n">
        <f aca="false">IF(Szenarien!$H$24="OK",(IFERROR(SUMIF(Nutzungsprofile!$B$17:$B$22,"Schulbetrieb",Nutzungsprofile!$G$17:$G$22)*Kalender!C31/SUM(Kalender!$C$5:$C$370),0)+IFERROR(SUMIF(Nutzungsprofile!$B$17:$B$22,"Halle",Nutzungsprofile!$G$17:$G$22)*Kalender!D31/SUM(Kalender!$D$5:$D$370),0)+IFERROR(SUMIF(Nutzungsprofile!$B$17:$B$22,"Individuell",Nutzungsprofile!$G$17:$G$22)*Kalender!E31/SUM(Kalender!$E$5:$E$370),0))*Szenarien!$D$24,0)</f>
        <v>4.94</v>
      </c>
      <c r="E4789" s="13" t="n">
        <f aca="false">IFERROR(MIN(C4789,Eingaben!$B$17)*Eingaben!$B$16,0)</f>
        <v>2.793</v>
      </c>
      <c r="F4789" s="13" t="n">
        <f aca="false">IFERROR(E4789*Eingaben!$B$15,0)</f>
        <v>2.5137</v>
      </c>
      <c r="G4789" s="13" t="n">
        <f aca="false">IFERROR(IF(Kalender!A31="",0,J4788*(1-Eingaben!$B$20)),0)</f>
        <v>0.7390278</v>
      </c>
      <c r="H4789" s="13" t="n">
        <f aca="false">MIN(G4789,D4789)</f>
        <v>0.7390278</v>
      </c>
      <c r="I4789" s="13" t="n">
        <f aca="false">IFERROR(MIN(F4789*Eingaben!$B$19,MAX(0,D4789-H4789)),0)</f>
        <v>1.75959</v>
      </c>
      <c r="J4789" s="13" t="n">
        <f aca="false">IFERROR(MIN(Eingaben!$B$18,MAX(0,F4789-I4789)),0)</f>
        <v>0.75411</v>
      </c>
      <c r="K4789" s="13" t="n">
        <f aca="false">H4789+I4789</f>
        <v>2.4986178</v>
      </c>
      <c r="L4789" s="13" t="n">
        <f aca="false">MAX(0,D4789-K4789)</f>
        <v>2.4413822</v>
      </c>
      <c r="M4789" s="13" t="n">
        <f aca="false">MAX(0,F4789-I4789-J4789)</f>
        <v>0</v>
      </c>
      <c r="N4789" s="13" t="n">
        <f aca="false">IF(Kalender!A31="",0,J4788-H4789)</f>
        <v>0.0150822</v>
      </c>
    </row>
    <row r="4790" customFormat="false" ht="16.4" hidden="false" customHeight="false" outlineLevel="0" collapsed="false">
      <c r="A4790" s="13" t="str">
        <f aca="false">""</f>
        <v/>
      </c>
      <c r="B4790" s="13" t="n">
        <f aca="false">28</f>
        <v>28</v>
      </c>
      <c r="C4790" s="13" t="n">
        <f aca="false">IF(Szenarien!$H$24="OK",(IFERROR(SUMIF(Nutzungsprofile!$B$6:$B$11,"Schulbetrieb",Nutzungsprofile!$G$6:$G$11)*Kalender!C32/SUM(Kalender!$C$5:$C$370),0)+IFERROR(SUMIF(Nutzungsprofile!$B$6:$B$11,"Halle",Nutzungsprofile!$G$6:$G$11)*Kalender!D32/SUM(Kalender!$D$5:$D$370),0)+IFERROR(SUMIF(Nutzungsprofile!$B$6:$B$11,"Individuell",Nutzungsprofile!$G$6:$G$11)*Kalender!E32/SUM(Kalender!$E$5:$E$370),0))*Szenarien!$E$24,0)</f>
        <v>2.94</v>
      </c>
      <c r="D4790" s="13" t="n">
        <f aca="false">IF(Szenarien!$H$24="OK",(IFERROR(SUMIF(Nutzungsprofile!$B$17:$B$22,"Schulbetrieb",Nutzungsprofile!$G$17:$G$22)*Kalender!C32/SUM(Kalender!$C$5:$C$370),0)+IFERROR(SUMIF(Nutzungsprofile!$B$17:$B$22,"Halle",Nutzungsprofile!$G$17:$G$22)*Kalender!D32/SUM(Kalender!$D$5:$D$370),0)+IFERROR(SUMIF(Nutzungsprofile!$B$17:$B$22,"Individuell",Nutzungsprofile!$G$17:$G$22)*Kalender!E32/SUM(Kalender!$E$5:$E$370),0))*Szenarien!$D$24,0)</f>
        <v>4.94</v>
      </c>
      <c r="E4790" s="13" t="n">
        <f aca="false">IFERROR(MIN(C4790,Eingaben!$B$17)*Eingaben!$B$16,0)</f>
        <v>2.793</v>
      </c>
      <c r="F4790" s="13" t="n">
        <f aca="false">IFERROR(E4790*Eingaben!$B$15,0)</f>
        <v>2.5137</v>
      </c>
      <c r="G4790" s="13" t="n">
        <f aca="false">IFERROR(IF(Kalender!A32="",0,J4789*(1-Eingaben!$B$20)),0)</f>
        <v>0.7390278</v>
      </c>
      <c r="H4790" s="13" t="n">
        <f aca="false">MIN(G4790,D4790)</f>
        <v>0.7390278</v>
      </c>
      <c r="I4790" s="13" t="n">
        <f aca="false">IFERROR(MIN(F4790*Eingaben!$B$19,MAX(0,D4790-H4790)),0)</f>
        <v>1.75959</v>
      </c>
      <c r="J4790" s="13" t="n">
        <f aca="false">IFERROR(MIN(Eingaben!$B$18,MAX(0,F4790-I4790)),0)</f>
        <v>0.75411</v>
      </c>
      <c r="K4790" s="13" t="n">
        <f aca="false">H4790+I4790</f>
        <v>2.4986178</v>
      </c>
      <c r="L4790" s="13" t="n">
        <f aca="false">MAX(0,D4790-K4790)</f>
        <v>2.4413822</v>
      </c>
      <c r="M4790" s="13" t="n">
        <f aca="false">MAX(0,F4790-I4790-J4790)</f>
        <v>0</v>
      </c>
      <c r="N4790" s="13" t="n">
        <f aca="false">IF(Kalender!A32="",0,J4789-H4790)</f>
        <v>0.0150822</v>
      </c>
    </row>
    <row r="4791" customFormat="false" ht="16.4" hidden="false" customHeight="false" outlineLevel="0" collapsed="false">
      <c r="A4791" s="13" t="str">
        <f aca="false">""</f>
        <v/>
      </c>
      <c r="B4791" s="13" t="n">
        <f aca="false">29</f>
        <v>29</v>
      </c>
      <c r="C4791" s="13" t="n">
        <f aca="false">IF(Szenarien!$H$24="OK",(IFERROR(SUMIF(Nutzungsprofile!$B$6:$B$11,"Schulbetrieb",Nutzungsprofile!$G$6:$G$11)*Kalender!C33/SUM(Kalender!$C$5:$C$370),0)+IFERROR(SUMIF(Nutzungsprofile!$B$6:$B$11,"Halle",Nutzungsprofile!$G$6:$G$11)*Kalender!D33/SUM(Kalender!$D$5:$D$370),0)+IFERROR(SUMIF(Nutzungsprofile!$B$6:$B$11,"Individuell",Nutzungsprofile!$G$6:$G$11)*Kalender!E33/SUM(Kalender!$E$5:$E$370),0))*Szenarien!$E$24,0)</f>
        <v>2.94</v>
      </c>
      <c r="D4791" s="13" t="n">
        <f aca="false">IF(Szenarien!$H$24="OK",(IFERROR(SUMIF(Nutzungsprofile!$B$17:$B$22,"Schulbetrieb",Nutzungsprofile!$G$17:$G$22)*Kalender!C33/SUM(Kalender!$C$5:$C$370),0)+IFERROR(SUMIF(Nutzungsprofile!$B$17:$B$22,"Halle",Nutzungsprofile!$G$17:$G$22)*Kalender!D33/SUM(Kalender!$D$5:$D$370),0)+IFERROR(SUMIF(Nutzungsprofile!$B$17:$B$22,"Individuell",Nutzungsprofile!$G$17:$G$22)*Kalender!E33/SUM(Kalender!$E$5:$E$370),0))*Szenarien!$D$24,0)</f>
        <v>4.94</v>
      </c>
      <c r="E4791" s="13" t="n">
        <f aca="false">IFERROR(MIN(C4791,Eingaben!$B$17)*Eingaben!$B$16,0)</f>
        <v>2.793</v>
      </c>
      <c r="F4791" s="13" t="n">
        <f aca="false">IFERROR(E4791*Eingaben!$B$15,0)</f>
        <v>2.5137</v>
      </c>
      <c r="G4791" s="13" t="n">
        <f aca="false">IFERROR(IF(Kalender!A33="",0,J4790*(1-Eingaben!$B$20)),0)</f>
        <v>0.7390278</v>
      </c>
      <c r="H4791" s="13" t="n">
        <f aca="false">MIN(G4791,D4791)</f>
        <v>0.7390278</v>
      </c>
      <c r="I4791" s="13" t="n">
        <f aca="false">IFERROR(MIN(F4791*Eingaben!$B$19,MAX(0,D4791-H4791)),0)</f>
        <v>1.75959</v>
      </c>
      <c r="J4791" s="13" t="n">
        <f aca="false">IFERROR(MIN(Eingaben!$B$18,MAX(0,F4791-I4791)),0)</f>
        <v>0.75411</v>
      </c>
      <c r="K4791" s="13" t="n">
        <f aca="false">H4791+I4791</f>
        <v>2.4986178</v>
      </c>
      <c r="L4791" s="13" t="n">
        <f aca="false">MAX(0,D4791-K4791)</f>
        <v>2.4413822</v>
      </c>
      <c r="M4791" s="13" t="n">
        <f aca="false">MAX(0,F4791-I4791-J4791)</f>
        <v>0</v>
      </c>
      <c r="N4791" s="13" t="n">
        <f aca="false">IF(Kalender!A33="",0,J4790-H4791)</f>
        <v>0.0150822</v>
      </c>
    </row>
    <row r="4792" customFormat="false" ht="16.4" hidden="false" customHeight="false" outlineLevel="0" collapsed="false">
      <c r="A4792" s="13" t="str">
        <f aca="false">""</f>
        <v/>
      </c>
      <c r="B4792" s="13" t="n">
        <f aca="false">30</f>
        <v>30</v>
      </c>
      <c r="C4792" s="13" t="n">
        <f aca="false">IF(Szenarien!$H$24="OK",(IFERROR(SUMIF(Nutzungsprofile!$B$6:$B$11,"Schulbetrieb",Nutzungsprofile!$G$6:$G$11)*Kalender!C34/SUM(Kalender!$C$5:$C$370),0)+IFERROR(SUMIF(Nutzungsprofile!$B$6:$B$11,"Halle",Nutzungsprofile!$G$6:$G$11)*Kalender!D34/SUM(Kalender!$D$5:$D$370),0)+IFERROR(SUMIF(Nutzungsprofile!$B$6:$B$11,"Individuell",Nutzungsprofile!$G$6:$G$11)*Kalender!E34/SUM(Kalender!$E$5:$E$370),0))*Szenarien!$E$24,0)</f>
        <v>2.94</v>
      </c>
      <c r="D4792" s="13" t="n">
        <f aca="false">IF(Szenarien!$H$24="OK",(IFERROR(SUMIF(Nutzungsprofile!$B$17:$B$22,"Schulbetrieb",Nutzungsprofile!$G$17:$G$22)*Kalender!C34/SUM(Kalender!$C$5:$C$370),0)+IFERROR(SUMIF(Nutzungsprofile!$B$17:$B$22,"Halle",Nutzungsprofile!$G$17:$G$22)*Kalender!D34/SUM(Kalender!$D$5:$D$370),0)+IFERROR(SUMIF(Nutzungsprofile!$B$17:$B$22,"Individuell",Nutzungsprofile!$G$17:$G$22)*Kalender!E34/SUM(Kalender!$E$5:$E$370),0))*Szenarien!$D$24,0)</f>
        <v>4.94</v>
      </c>
      <c r="E4792" s="13" t="n">
        <f aca="false">IFERROR(MIN(C4792,Eingaben!$B$17)*Eingaben!$B$16,0)</f>
        <v>2.793</v>
      </c>
      <c r="F4792" s="13" t="n">
        <f aca="false">IFERROR(E4792*Eingaben!$B$15,0)</f>
        <v>2.5137</v>
      </c>
      <c r="G4792" s="13" t="n">
        <f aca="false">IFERROR(IF(Kalender!A34="",0,J4791*(1-Eingaben!$B$20)),0)</f>
        <v>0.7390278</v>
      </c>
      <c r="H4792" s="13" t="n">
        <f aca="false">MIN(G4792,D4792)</f>
        <v>0.7390278</v>
      </c>
      <c r="I4792" s="13" t="n">
        <f aca="false">IFERROR(MIN(F4792*Eingaben!$B$19,MAX(0,D4792-H4792)),0)</f>
        <v>1.75959</v>
      </c>
      <c r="J4792" s="13" t="n">
        <f aca="false">IFERROR(MIN(Eingaben!$B$18,MAX(0,F4792-I4792)),0)</f>
        <v>0.75411</v>
      </c>
      <c r="K4792" s="13" t="n">
        <f aca="false">H4792+I4792</f>
        <v>2.4986178</v>
      </c>
      <c r="L4792" s="13" t="n">
        <f aca="false">MAX(0,D4792-K4792)</f>
        <v>2.4413822</v>
      </c>
      <c r="M4792" s="13" t="n">
        <f aca="false">MAX(0,F4792-I4792-J4792)</f>
        <v>0</v>
      </c>
      <c r="N4792" s="13" t="n">
        <f aca="false">IF(Kalender!A34="",0,J4791-H4792)</f>
        <v>0.0150822</v>
      </c>
    </row>
    <row r="4793" customFormat="false" ht="16.4" hidden="false" customHeight="false" outlineLevel="0" collapsed="false">
      <c r="A4793" s="13" t="str">
        <f aca="false">""</f>
        <v/>
      </c>
      <c r="B4793" s="13" t="n">
        <f aca="false">31</f>
        <v>31</v>
      </c>
      <c r="C4793" s="13" t="n">
        <f aca="false">IF(Szenarien!$H$24="OK",(IFERROR(SUMIF(Nutzungsprofile!$B$6:$B$11,"Schulbetrieb",Nutzungsprofile!$G$6:$G$11)*Kalender!C35/SUM(Kalender!$C$5:$C$370),0)+IFERROR(SUMIF(Nutzungsprofile!$B$6:$B$11,"Halle",Nutzungsprofile!$G$6:$G$11)*Kalender!D35/SUM(Kalender!$D$5:$D$370),0)+IFERROR(SUMIF(Nutzungsprofile!$B$6:$B$11,"Individuell",Nutzungsprofile!$G$6:$G$11)*Kalender!E35/SUM(Kalender!$E$5:$E$370),0))*Szenarien!$E$24,0)</f>
        <v>2.04</v>
      </c>
      <c r="D4793" s="13" t="n">
        <f aca="false">IF(Szenarien!$H$24="OK",(IFERROR(SUMIF(Nutzungsprofile!$B$17:$B$22,"Schulbetrieb",Nutzungsprofile!$G$17:$G$22)*Kalender!C35/SUM(Kalender!$C$5:$C$370),0)+IFERROR(SUMIF(Nutzungsprofile!$B$17:$B$22,"Halle",Nutzungsprofile!$G$17:$G$22)*Kalender!D35/SUM(Kalender!$D$5:$D$370),0)+IFERROR(SUMIF(Nutzungsprofile!$B$17:$B$22,"Individuell",Nutzungsprofile!$G$17:$G$22)*Kalender!E35/SUM(Kalender!$E$5:$E$370),0))*Szenarien!$D$24,0)</f>
        <v>0.89</v>
      </c>
      <c r="E4793" s="13" t="n">
        <f aca="false">IFERROR(MIN(C4793,Eingaben!$B$17)*Eingaben!$B$16,0)</f>
        <v>1.938</v>
      </c>
      <c r="F4793" s="13" t="n">
        <f aca="false">IFERROR(E4793*Eingaben!$B$15,0)</f>
        <v>1.7442</v>
      </c>
      <c r="G4793" s="13" t="n">
        <f aca="false">IFERROR(IF(Kalender!A35="",0,J4792*(1-Eingaben!$B$20)),0)</f>
        <v>0.7390278</v>
      </c>
      <c r="H4793" s="13" t="n">
        <f aca="false">MIN(G4793,D4793)</f>
        <v>0.7390278</v>
      </c>
      <c r="I4793" s="13" t="n">
        <f aca="false">IFERROR(MIN(F4793*Eingaben!$B$19,MAX(0,D4793-H4793)),0)</f>
        <v>0.1509722</v>
      </c>
      <c r="J4793" s="13" t="n">
        <f aca="false">IFERROR(MIN(Eingaben!$B$18,MAX(0,F4793-I4793)),0)</f>
        <v>1.5932278</v>
      </c>
      <c r="K4793" s="13" t="n">
        <f aca="false">H4793+I4793</f>
        <v>0.89</v>
      </c>
      <c r="L4793" s="13" t="n">
        <f aca="false">MAX(0,D4793-K4793)</f>
        <v>0</v>
      </c>
      <c r="M4793" s="13" t="n">
        <f aca="false">MAX(0,F4793-I4793-J4793)</f>
        <v>0</v>
      </c>
      <c r="N4793" s="13" t="n">
        <f aca="false">IF(Kalender!A35="",0,J4792-H4793)</f>
        <v>0.0150822</v>
      </c>
    </row>
    <row r="4794" customFormat="false" ht="16.4" hidden="false" customHeight="false" outlineLevel="0" collapsed="false">
      <c r="A4794" s="13" t="str">
        <f aca="false">""</f>
        <v/>
      </c>
      <c r="B4794" s="13" t="n">
        <f aca="false">32</f>
        <v>32</v>
      </c>
      <c r="C4794" s="13" t="n">
        <f aca="false">IF(Szenarien!$H$24="OK",(IFERROR(SUMIF(Nutzungsprofile!$B$6:$B$11,"Schulbetrieb",Nutzungsprofile!$G$6:$G$11)*Kalender!C36/SUM(Kalender!$C$5:$C$370),0)+IFERROR(SUMIF(Nutzungsprofile!$B$6:$B$11,"Halle",Nutzungsprofile!$G$6:$G$11)*Kalender!D36/SUM(Kalender!$D$5:$D$370),0)+IFERROR(SUMIF(Nutzungsprofile!$B$6:$B$11,"Individuell",Nutzungsprofile!$G$6:$G$11)*Kalender!E36/SUM(Kalender!$E$5:$E$370),0))*Szenarien!$E$24,0)</f>
        <v>2.04</v>
      </c>
      <c r="D4794" s="13" t="n">
        <f aca="false">IF(Szenarien!$H$24="OK",(IFERROR(SUMIF(Nutzungsprofile!$B$17:$B$22,"Schulbetrieb",Nutzungsprofile!$G$17:$G$22)*Kalender!C36/SUM(Kalender!$C$5:$C$370),0)+IFERROR(SUMIF(Nutzungsprofile!$B$17:$B$22,"Halle",Nutzungsprofile!$G$17:$G$22)*Kalender!D36/SUM(Kalender!$D$5:$D$370),0)+IFERROR(SUMIF(Nutzungsprofile!$B$17:$B$22,"Individuell",Nutzungsprofile!$G$17:$G$22)*Kalender!E36/SUM(Kalender!$E$5:$E$370),0))*Szenarien!$D$24,0)</f>
        <v>0.89</v>
      </c>
      <c r="E4794" s="13" t="n">
        <f aca="false">IFERROR(MIN(C4794,Eingaben!$B$17)*Eingaben!$B$16,0)</f>
        <v>1.938</v>
      </c>
      <c r="F4794" s="13" t="n">
        <f aca="false">IFERROR(E4794*Eingaben!$B$15,0)</f>
        <v>1.7442</v>
      </c>
      <c r="G4794" s="13" t="n">
        <f aca="false">IFERROR(IF(Kalender!A36="",0,J4793*(1-Eingaben!$B$20)),0)</f>
        <v>1.561363244</v>
      </c>
      <c r="H4794" s="13" t="n">
        <f aca="false">MIN(G4794,D4794)</f>
        <v>0.89</v>
      </c>
      <c r="I4794" s="13" t="n">
        <f aca="false">IFERROR(MIN(F4794*Eingaben!$B$19,MAX(0,D4794-H4794)),0)</f>
        <v>0</v>
      </c>
      <c r="J4794" s="13" t="n">
        <f aca="false">IFERROR(MIN(Eingaben!$B$18,MAX(0,F4794-I4794)),0)</f>
        <v>1.7442</v>
      </c>
      <c r="K4794" s="13" t="n">
        <f aca="false">H4794+I4794</f>
        <v>0.89</v>
      </c>
      <c r="L4794" s="13" t="n">
        <f aca="false">MAX(0,D4794-K4794)</f>
        <v>0</v>
      </c>
      <c r="M4794" s="13" t="n">
        <f aca="false">MAX(0,F4794-I4794-J4794)</f>
        <v>0</v>
      </c>
      <c r="N4794" s="13" t="n">
        <f aca="false">IF(Kalender!A36="",0,J4793-H4794)</f>
        <v>0.7032278</v>
      </c>
    </row>
    <row r="4795" customFormat="false" ht="16.4" hidden="false" customHeight="false" outlineLevel="0" collapsed="false">
      <c r="A4795" s="13" t="str">
        <f aca="false">""</f>
        <v/>
      </c>
      <c r="B4795" s="13" t="n">
        <f aca="false">33</f>
        <v>33</v>
      </c>
      <c r="C4795" s="13" t="n">
        <f aca="false">IF(Szenarien!$H$24="OK",(IFERROR(SUMIF(Nutzungsprofile!$B$6:$B$11,"Schulbetrieb",Nutzungsprofile!$G$6:$G$11)*Kalender!C37/SUM(Kalender!$C$5:$C$370),0)+IFERROR(SUMIF(Nutzungsprofile!$B$6:$B$11,"Halle",Nutzungsprofile!$G$6:$G$11)*Kalender!D37/SUM(Kalender!$D$5:$D$370),0)+IFERROR(SUMIF(Nutzungsprofile!$B$6:$B$11,"Individuell",Nutzungsprofile!$G$6:$G$11)*Kalender!E37/SUM(Kalender!$E$5:$E$370),0))*Szenarien!$E$24,0)</f>
        <v>2.94</v>
      </c>
      <c r="D4795" s="13" t="n">
        <f aca="false">IF(Szenarien!$H$24="OK",(IFERROR(SUMIF(Nutzungsprofile!$B$17:$B$22,"Schulbetrieb",Nutzungsprofile!$G$17:$G$22)*Kalender!C37/SUM(Kalender!$C$5:$C$370),0)+IFERROR(SUMIF(Nutzungsprofile!$B$17:$B$22,"Halle",Nutzungsprofile!$G$17:$G$22)*Kalender!D37/SUM(Kalender!$D$5:$D$370),0)+IFERROR(SUMIF(Nutzungsprofile!$B$17:$B$22,"Individuell",Nutzungsprofile!$G$17:$G$22)*Kalender!E37/SUM(Kalender!$E$5:$E$370),0))*Szenarien!$D$24,0)</f>
        <v>4.94</v>
      </c>
      <c r="E4795" s="13" t="n">
        <f aca="false">IFERROR(MIN(C4795,Eingaben!$B$17)*Eingaben!$B$16,0)</f>
        <v>2.793</v>
      </c>
      <c r="F4795" s="13" t="n">
        <f aca="false">IFERROR(E4795*Eingaben!$B$15,0)</f>
        <v>2.5137</v>
      </c>
      <c r="G4795" s="13" t="n">
        <f aca="false">IFERROR(IF(Kalender!A37="",0,J4794*(1-Eingaben!$B$20)),0)</f>
        <v>1.709316</v>
      </c>
      <c r="H4795" s="13" t="n">
        <f aca="false">MIN(G4795,D4795)</f>
        <v>1.709316</v>
      </c>
      <c r="I4795" s="13" t="n">
        <f aca="false">IFERROR(MIN(F4795*Eingaben!$B$19,MAX(0,D4795-H4795)),0)</f>
        <v>1.75959</v>
      </c>
      <c r="J4795" s="13" t="n">
        <f aca="false">IFERROR(MIN(Eingaben!$B$18,MAX(0,F4795-I4795)),0)</f>
        <v>0.75411</v>
      </c>
      <c r="K4795" s="13" t="n">
        <f aca="false">H4795+I4795</f>
        <v>3.468906</v>
      </c>
      <c r="L4795" s="13" t="n">
        <f aca="false">MAX(0,D4795-K4795)</f>
        <v>1.471094</v>
      </c>
      <c r="M4795" s="13" t="n">
        <f aca="false">MAX(0,F4795-I4795-J4795)</f>
        <v>0</v>
      </c>
      <c r="N4795" s="13" t="n">
        <f aca="false">IF(Kalender!A37="",0,J4794-H4795)</f>
        <v>0.0348840000000001</v>
      </c>
    </row>
    <row r="4796" customFormat="false" ht="16.4" hidden="false" customHeight="false" outlineLevel="0" collapsed="false">
      <c r="A4796" s="13" t="str">
        <f aca="false">""</f>
        <v/>
      </c>
      <c r="B4796" s="13" t="n">
        <f aca="false">34</f>
        <v>34</v>
      </c>
      <c r="C4796" s="13" t="n">
        <f aca="false">IF(Szenarien!$H$24="OK",(IFERROR(SUMIF(Nutzungsprofile!$B$6:$B$11,"Schulbetrieb",Nutzungsprofile!$G$6:$G$11)*Kalender!C38/SUM(Kalender!$C$5:$C$370),0)+IFERROR(SUMIF(Nutzungsprofile!$B$6:$B$11,"Halle",Nutzungsprofile!$G$6:$G$11)*Kalender!D38/SUM(Kalender!$D$5:$D$370),0)+IFERROR(SUMIF(Nutzungsprofile!$B$6:$B$11,"Individuell",Nutzungsprofile!$G$6:$G$11)*Kalender!E38/SUM(Kalender!$E$5:$E$370),0))*Szenarien!$E$24,0)</f>
        <v>2.94</v>
      </c>
      <c r="D4796" s="13" t="n">
        <f aca="false">IF(Szenarien!$H$24="OK",(IFERROR(SUMIF(Nutzungsprofile!$B$17:$B$22,"Schulbetrieb",Nutzungsprofile!$G$17:$G$22)*Kalender!C38/SUM(Kalender!$C$5:$C$370),0)+IFERROR(SUMIF(Nutzungsprofile!$B$17:$B$22,"Halle",Nutzungsprofile!$G$17:$G$22)*Kalender!D38/SUM(Kalender!$D$5:$D$370),0)+IFERROR(SUMIF(Nutzungsprofile!$B$17:$B$22,"Individuell",Nutzungsprofile!$G$17:$G$22)*Kalender!E38/SUM(Kalender!$E$5:$E$370),0))*Szenarien!$D$24,0)</f>
        <v>4.94</v>
      </c>
      <c r="E4796" s="13" t="n">
        <f aca="false">IFERROR(MIN(C4796,Eingaben!$B$17)*Eingaben!$B$16,0)</f>
        <v>2.793</v>
      </c>
      <c r="F4796" s="13" t="n">
        <f aca="false">IFERROR(E4796*Eingaben!$B$15,0)</f>
        <v>2.5137</v>
      </c>
      <c r="G4796" s="13" t="n">
        <f aca="false">IFERROR(IF(Kalender!A38="",0,J4795*(1-Eingaben!$B$20)),0)</f>
        <v>0.7390278</v>
      </c>
      <c r="H4796" s="13" t="n">
        <f aca="false">MIN(G4796,D4796)</f>
        <v>0.7390278</v>
      </c>
      <c r="I4796" s="13" t="n">
        <f aca="false">IFERROR(MIN(F4796*Eingaben!$B$19,MAX(0,D4796-H4796)),0)</f>
        <v>1.75959</v>
      </c>
      <c r="J4796" s="13" t="n">
        <f aca="false">IFERROR(MIN(Eingaben!$B$18,MAX(0,F4796-I4796)),0)</f>
        <v>0.75411</v>
      </c>
      <c r="K4796" s="13" t="n">
        <f aca="false">H4796+I4796</f>
        <v>2.4986178</v>
      </c>
      <c r="L4796" s="13" t="n">
        <f aca="false">MAX(0,D4796-K4796)</f>
        <v>2.4413822</v>
      </c>
      <c r="M4796" s="13" t="n">
        <f aca="false">MAX(0,F4796-I4796-J4796)</f>
        <v>0</v>
      </c>
      <c r="N4796" s="13" t="n">
        <f aca="false">IF(Kalender!A38="",0,J4795-H4796)</f>
        <v>0.0150822</v>
      </c>
    </row>
    <row r="4797" customFormat="false" ht="16.4" hidden="false" customHeight="false" outlineLevel="0" collapsed="false">
      <c r="A4797" s="13" t="str">
        <f aca="false">""</f>
        <v/>
      </c>
      <c r="B4797" s="13" t="n">
        <f aca="false">35</f>
        <v>35</v>
      </c>
      <c r="C4797" s="13" t="n">
        <f aca="false">IF(Szenarien!$H$24="OK",(IFERROR(SUMIF(Nutzungsprofile!$B$6:$B$11,"Schulbetrieb",Nutzungsprofile!$G$6:$G$11)*Kalender!C39/SUM(Kalender!$C$5:$C$370),0)+IFERROR(SUMIF(Nutzungsprofile!$B$6:$B$11,"Halle",Nutzungsprofile!$G$6:$G$11)*Kalender!D39/SUM(Kalender!$D$5:$D$370),0)+IFERROR(SUMIF(Nutzungsprofile!$B$6:$B$11,"Individuell",Nutzungsprofile!$G$6:$G$11)*Kalender!E39/SUM(Kalender!$E$5:$E$370),0))*Szenarien!$E$24,0)</f>
        <v>2.94</v>
      </c>
      <c r="D4797" s="13" t="n">
        <f aca="false">IF(Szenarien!$H$24="OK",(IFERROR(SUMIF(Nutzungsprofile!$B$17:$B$22,"Schulbetrieb",Nutzungsprofile!$G$17:$G$22)*Kalender!C39/SUM(Kalender!$C$5:$C$370),0)+IFERROR(SUMIF(Nutzungsprofile!$B$17:$B$22,"Halle",Nutzungsprofile!$G$17:$G$22)*Kalender!D39/SUM(Kalender!$D$5:$D$370),0)+IFERROR(SUMIF(Nutzungsprofile!$B$17:$B$22,"Individuell",Nutzungsprofile!$G$17:$G$22)*Kalender!E39/SUM(Kalender!$E$5:$E$370),0))*Szenarien!$D$24,0)</f>
        <v>4.94</v>
      </c>
      <c r="E4797" s="13" t="n">
        <f aca="false">IFERROR(MIN(C4797,Eingaben!$B$17)*Eingaben!$B$16,0)</f>
        <v>2.793</v>
      </c>
      <c r="F4797" s="13" t="n">
        <f aca="false">IFERROR(E4797*Eingaben!$B$15,0)</f>
        <v>2.5137</v>
      </c>
      <c r="G4797" s="13" t="n">
        <f aca="false">IFERROR(IF(Kalender!A39="",0,J4796*(1-Eingaben!$B$20)),0)</f>
        <v>0.7390278</v>
      </c>
      <c r="H4797" s="13" t="n">
        <f aca="false">MIN(G4797,D4797)</f>
        <v>0.7390278</v>
      </c>
      <c r="I4797" s="13" t="n">
        <f aca="false">IFERROR(MIN(F4797*Eingaben!$B$19,MAX(0,D4797-H4797)),0)</f>
        <v>1.75959</v>
      </c>
      <c r="J4797" s="13" t="n">
        <f aca="false">IFERROR(MIN(Eingaben!$B$18,MAX(0,F4797-I4797)),0)</f>
        <v>0.75411</v>
      </c>
      <c r="K4797" s="13" t="n">
        <f aca="false">H4797+I4797</f>
        <v>2.4986178</v>
      </c>
      <c r="L4797" s="13" t="n">
        <f aca="false">MAX(0,D4797-K4797)</f>
        <v>2.4413822</v>
      </c>
      <c r="M4797" s="13" t="n">
        <f aca="false">MAX(0,F4797-I4797-J4797)</f>
        <v>0</v>
      </c>
      <c r="N4797" s="13" t="n">
        <f aca="false">IF(Kalender!A39="",0,J4796-H4797)</f>
        <v>0.0150822</v>
      </c>
    </row>
    <row r="4798" customFormat="false" ht="16.4" hidden="false" customHeight="false" outlineLevel="0" collapsed="false">
      <c r="A4798" s="13" t="str">
        <f aca="false">""</f>
        <v/>
      </c>
      <c r="B4798" s="13" t="n">
        <f aca="false">36</f>
        <v>36</v>
      </c>
      <c r="C4798" s="13" t="n">
        <f aca="false">IF(Szenarien!$H$24="OK",(IFERROR(SUMIF(Nutzungsprofile!$B$6:$B$11,"Schulbetrieb",Nutzungsprofile!$G$6:$G$11)*Kalender!C40/SUM(Kalender!$C$5:$C$370),0)+IFERROR(SUMIF(Nutzungsprofile!$B$6:$B$11,"Halle",Nutzungsprofile!$G$6:$G$11)*Kalender!D40/SUM(Kalender!$D$5:$D$370),0)+IFERROR(SUMIF(Nutzungsprofile!$B$6:$B$11,"Individuell",Nutzungsprofile!$G$6:$G$11)*Kalender!E40/SUM(Kalender!$E$5:$E$370),0))*Szenarien!$E$24,0)</f>
        <v>2.94</v>
      </c>
      <c r="D4798" s="13" t="n">
        <f aca="false">IF(Szenarien!$H$24="OK",(IFERROR(SUMIF(Nutzungsprofile!$B$17:$B$22,"Schulbetrieb",Nutzungsprofile!$G$17:$G$22)*Kalender!C40/SUM(Kalender!$C$5:$C$370),0)+IFERROR(SUMIF(Nutzungsprofile!$B$17:$B$22,"Halle",Nutzungsprofile!$G$17:$G$22)*Kalender!D40/SUM(Kalender!$D$5:$D$370),0)+IFERROR(SUMIF(Nutzungsprofile!$B$17:$B$22,"Individuell",Nutzungsprofile!$G$17:$G$22)*Kalender!E40/SUM(Kalender!$E$5:$E$370),0))*Szenarien!$D$24,0)</f>
        <v>4.94</v>
      </c>
      <c r="E4798" s="13" t="n">
        <f aca="false">IFERROR(MIN(C4798,Eingaben!$B$17)*Eingaben!$B$16,0)</f>
        <v>2.793</v>
      </c>
      <c r="F4798" s="13" t="n">
        <f aca="false">IFERROR(E4798*Eingaben!$B$15,0)</f>
        <v>2.5137</v>
      </c>
      <c r="G4798" s="13" t="n">
        <f aca="false">IFERROR(IF(Kalender!A40="",0,J4797*(1-Eingaben!$B$20)),0)</f>
        <v>0.7390278</v>
      </c>
      <c r="H4798" s="13" t="n">
        <f aca="false">MIN(G4798,D4798)</f>
        <v>0.7390278</v>
      </c>
      <c r="I4798" s="13" t="n">
        <f aca="false">IFERROR(MIN(F4798*Eingaben!$B$19,MAX(0,D4798-H4798)),0)</f>
        <v>1.75959</v>
      </c>
      <c r="J4798" s="13" t="n">
        <f aca="false">IFERROR(MIN(Eingaben!$B$18,MAX(0,F4798-I4798)),0)</f>
        <v>0.75411</v>
      </c>
      <c r="K4798" s="13" t="n">
        <f aca="false">H4798+I4798</f>
        <v>2.4986178</v>
      </c>
      <c r="L4798" s="13" t="n">
        <f aca="false">MAX(0,D4798-K4798)</f>
        <v>2.4413822</v>
      </c>
      <c r="M4798" s="13" t="n">
        <f aca="false">MAX(0,F4798-I4798-J4798)</f>
        <v>0</v>
      </c>
      <c r="N4798" s="13" t="n">
        <f aca="false">IF(Kalender!A40="",0,J4797-H4798)</f>
        <v>0.0150822</v>
      </c>
    </row>
    <row r="4799" customFormat="false" ht="16.4" hidden="false" customHeight="false" outlineLevel="0" collapsed="false">
      <c r="A4799" s="13" t="str">
        <f aca="false">""</f>
        <v/>
      </c>
      <c r="B4799" s="13" t="n">
        <f aca="false">37</f>
        <v>37</v>
      </c>
      <c r="C4799" s="13" t="n">
        <f aca="false">IF(Szenarien!$H$24="OK",(IFERROR(SUMIF(Nutzungsprofile!$B$6:$B$11,"Schulbetrieb",Nutzungsprofile!$G$6:$G$11)*Kalender!C41/SUM(Kalender!$C$5:$C$370),0)+IFERROR(SUMIF(Nutzungsprofile!$B$6:$B$11,"Halle",Nutzungsprofile!$G$6:$G$11)*Kalender!D41/SUM(Kalender!$D$5:$D$370),0)+IFERROR(SUMIF(Nutzungsprofile!$B$6:$B$11,"Individuell",Nutzungsprofile!$G$6:$G$11)*Kalender!E41/SUM(Kalender!$E$5:$E$370),0))*Szenarien!$E$24,0)</f>
        <v>2.94</v>
      </c>
      <c r="D4799" s="13" t="n">
        <f aca="false">IF(Szenarien!$H$24="OK",(IFERROR(SUMIF(Nutzungsprofile!$B$17:$B$22,"Schulbetrieb",Nutzungsprofile!$G$17:$G$22)*Kalender!C41/SUM(Kalender!$C$5:$C$370),0)+IFERROR(SUMIF(Nutzungsprofile!$B$17:$B$22,"Halle",Nutzungsprofile!$G$17:$G$22)*Kalender!D41/SUM(Kalender!$D$5:$D$370),0)+IFERROR(SUMIF(Nutzungsprofile!$B$17:$B$22,"Individuell",Nutzungsprofile!$G$17:$G$22)*Kalender!E41/SUM(Kalender!$E$5:$E$370),0))*Szenarien!$D$24,0)</f>
        <v>4.94</v>
      </c>
      <c r="E4799" s="13" t="n">
        <f aca="false">IFERROR(MIN(C4799,Eingaben!$B$17)*Eingaben!$B$16,0)</f>
        <v>2.793</v>
      </c>
      <c r="F4799" s="13" t="n">
        <f aca="false">IFERROR(E4799*Eingaben!$B$15,0)</f>
        <v>2.5137</v>
      </c>
      <c r="G4799" s="13" t="n">
        <f aca="false">IFERROR(IF(Kalender!A41="",0,J4798*(1-Eingaben!$B$20)),0)</f>
        <v>0.7390278</v>
      </c>
      <c r="H4799" s="13" t="n">
        <f aca="false">MIN(G4799,D4799)</f>
        <v>0.7390278</v>
      </c>
      <c r="I4799" s="13" t="n">
        <f aca="false">IFERROR(MIN(F4799*Eingaben!$B$19,MAX(0,D4799-H4799)),0)</f>
        <v>1.75959</v>
      </c>
      <c r="J4799" s="13" t="n">
        <f aca="false">IFERROR(MIN(Eingaben!$B$18,MAX(0,F4799-I4799)),0)</f>
        <v>0.75411</v>
      </c>
      <c r="K4799" s="13" t="n">
        <f aca="false">H4799+I4799</f>
        <v>2.4986178</v>
      </c>
      <c r="L4799" s="13" t="n">
        <f aca="false">MAX(0,D4799-K4799)</f>
        <v>2.4413822</v>
      </c>
      <c r="M4799" s="13" t="n">
        <f aca="false">MAX(0,F4799-I4799-J4799)</f>
        <v>0</v>
      </c>
      <c r="N4799" s="13" t="n">
        <f aca="false">IF(Kalender!A41="",0,J4798-H4799)</f>
        <v>0.0150822</v>
      </c>
    </row>
    <row r="4800" customFormat="false" ht="16.4" hidden="false" customHeight="false" outlineLevel="0" collapsed="false">
      <c r="A4800" s="13" t="str">
        <f aca="false">""</f>
        <v/>
      </c>
      <c r="B4800" s="13" t="n">
        <f aca="false">38</f>
        <v>38</v>
      </c>
      <c r="C4800" s="13" t="n">
        <f aca="false">IF(Szenarien!$H$24="OK",(IFERROR(SUMIF(Nutzungsprofile!$B$6:$B$11,"Schulbetrieb",Nutzungsprofile!$G$6:$G$11)*Kalender!C42/SUM(Kalender!$C$5:$C$370),0)+IFERROR(SUMIF(Nutzungsprofile!$B$6:$B$11,"Halle",Nutzungsprofile!$G$6:$G$11)*Kalender!D42/SUM(Kalender!$D$5:$D$370),0)+IFERROR(SUMIF(Nutzungsprofile!$B$6:$B$11,"Individuell",Nutzungsprofile!$G$6:$G$11)*Kalender!E42/SUM(Kalender!$E$5:$E$370),0))*Szenarien!$E$24,0)</f>
        <v>2.04</v>
      </c>
      <c r="D4800" s="13" t="n">
        <f aca="false">IF(Szenarien!$H$24="OK",(IFERROR(SUMIF(Nutzungsprofile!$B$17:$B$22,"Schulbetrieb",Nutzungsprofile!$G$17:$G$22)*Kalender!C42/SUM(Kalender!$C$5:$C$370),0)+IFERROR(SUMIF(Nutzungsprofile!$B$17:$B$22,"Halle",Nutzungsprofile!$G$17:$G$22)*Kalender!D42/SUM(Kalender!$D$5:$D$370),0)+IFERROR(SUMIF(Nutzungsprofile!$B$17:$B$22,"Individuell",Nutzungsprofile!$G$17:$G$22)*Kalender!E42/SUM(Kalender!$E$5:$E$370),0))*Szenarien!$D$24,0)</f>
        <v>0.89</v>
      </c>
      <c r="E4800" s="13" t="n">
        <f aca="false">IFERROR(MIN(C4800,Eingaben!$B$17)*Eingaben!$B$16,0)</f>
        <v>1.938</v>
      </c>
      <c r="F4800" s="13" t="n">
        <f aca="false">IFERROR(E4800*Eingaben!$B$15,0)</f>
        <v>1.7442</v>
      </c>
      <c r="G4800" s="13" t="n">
        <f aca="false">IFERROR(IF(Kalender!A42="",0,J4799*(1-Eingaben!$B$20)),0)</f>
        <v>0.7390278</v>
      </c>
      <c r="H4800" s="13" t="n">
        <f aca="false">MIN(G4800,D4800)</f>
        <v>0.7390278</v>
      </c>
      <c r="I4800" s="13" t="n">
        <f aca="false">IFERROR(MIN(F4800*Eingaben!$B$19,MAX(0,D4800-H4800)),0)</f>
        <v>0.1509722</v>
      </c>
      <c r="J4800" s="13" t="n">
        <f aca="false">IFERROR(MIN(Eingaben!$B$18,MAX(0,F4800-I4800)),0)</f>
        <v>1.5932278</v>
      </c>
      <c r="K4800" s="13" t="n">
        <f aca="false">H4800+I4800</f>
        <v>0.89</v>
      </c>
      <c r="L4800" s="13" t="n">
        <f aca="false">MAX(0,D4800-K4800)</f>
        <v>0</v>
      </c>
      <c r="M4800" s="13" t="n">
        <f aca="false">MAX(0,F4800-I4800-J4800)</f>
        <v>0</v>
      </c>
      <c r="N4800" s="13" t="n">
        <f aca="false">IF(Kalender!A42="",0,J4799-H4800)</f>
        <v>0.0150822</v>
      </c>
    </row>
    <row r="4801" customFormat="false" ht="16.4" hidden="false" customHeight="false" outlineLevel="0" collapsed="false">
      <c r="A4801" s="13" t="str">
        <f aca="false">""</f>
        <v/>
      </c>
      <c r="B4801" s="13" t="n">
        <f aca="false">39</f>
        <v>39</v>
      </c>
      <c r="C4801" s="13" t="n">
        <f aca="false">IF(Szenarien!$H$24="OK",(IFERROR(SUMIF(Nutzungsprofile!$B$6:$B$11,"Schulbetrieb",Nutzungsprofile!$G$6:$G$11)*Kalender!C43/SUM(Kalender!$C$5:$C$370),0)+IFERROR(SUMIF(Nutzungsprofile!$B$6:$B$11,"Halle",Nutzungsprofile!$G$6:$G$11)*Kalender!D43/SUM(Kalender!$D$5:$D$370),0)+IFERROR(SUMIF(Nutzungsprofile!$B$6:$B$11,"Individuell",Nutzungsprofile!$G$6:$G$11)*Kalender!E43/SUM(Kalender!$E$5:$E$370),0))*Szenarien!$E$24,0)</f>
        <v>2.04</v>
      </c>
      <c r="D4801" s="13" t="n">
        <f aca="false">IF(Szenarien!$H$24="OK",(IFERROR(SUMIF(Nutzungsprofile!$B$17:$B$22,"Schulbetrieb",Nutzungsprofile!$G$17:$G$22)*Kalender!C43/SUM(Kalender!$C$5:$C$370),0)+IFERROR(SUMIF(Nutzungsprofile!$B$17:$B$22,"Halle",Nutzungsprofile!$G$17:$G$22)*Kalender!D43/SUM(Kalender!$D$5:$D$370),0)+IFERROR(SUMIF(Nutzungsprofile!$B$17:$B$22,"Individuell",Nutzungsprofile!$G$17:$G$22)*Kalender!E43/SUM(Kalender!$E$5:$E$370),0))*Szenarien!$D$24,0)</f>
        <v>0.89</v>
      </c>
      <c r="E4801" s="13" t="n">
        <f aca="false">IFERROR(MIN(C4801,Eingaben!$B$17)*Eingaben!$B$16,0)</f>
        <v>1.938</v>
      </c>
      <c r="F4801" s="13" t="n">
        <f aca="false">IFERROR(E4801*Eingaben!$B$15,0)</f>
        <v>1.7442</v>
      </c>
      <c r="G4801" s="13" t="n">
        <f aca="false">IFERROR(IF(Kalender!A43="",0,J4800*(1-Eingaben!$B$20)),0)</f>
        <v>1.561363244</v>
      </c>
      <c r="H4801" s="13" t="n">
        <f aca="false">MIN(G4801,D4801)</f>
        <v>0.89</v>
      </c>
      <c r="I4801" s="13" t="n">
        <f aca="false">IFERROR(MIN(F4801*Eingaben!$B$19,MAX(0,D4801-H4801)),0)</f>
        <v>0</v>
      </c>
      <c r="J4801" s="13" t="n">
        <f aca="false">IFERROR(MIN(Eingaben!$B$18,MAX(0,F4801-I4801)),0)</f>
        <v>1.7442</v>
      </c>
      <c r="K4801" s="13" t="n">
        <f aca="false">H4801+I4801</f>
        <v>0.89</v>
      </c>
      <c r="L4801" s="13" t="n">
        <f aca="false">MAX(0,D4801-K4801)</f>
        <v>0</v>
      </c>
      <c r="M4801" s="13" t="n">
        <f aca="false">MAX(0,F4801-I4801-J4801)</f>
        <v>0</v>
      </c>
      <c r="N4801" s="13" t="n">
        <f aca="false">IF(Kalender!A43="",0,J4800-H4801)</f>
        <v>0.7032278</v>
      </c>
    </row>
    <row r="4802" customFormat="false" ht="16.4" hidden="false" customHeight="false" outlineLevel="0" collapsed="false">
      <c r="A4802" s="13" t="str">
        <f aca="false">""</f>
        <v/>
      </c>
      <c r="B4802" s="13" t="n">
        <f aca="false">40</f>
        <v>40</v>
      </c>
      <c r="C4802" s="13" t="n">
        <f aca="false">IF(Szenarien!$H$24="OK",(IFERROR(SUMIF(Nutzungsprofile!$B$6:$B$11,"Schulbetrieb",Nutzungsprofile!$G$6:$G$11)*Kalender!C44/SUM(Kalender!$C$5:$C$370),0)+IFERROR(SUMIF(Nutzungsprofile!$B$6:$B$11,"Halle",Nutzungsprofile!$G$6:$G$11)*Kalender!D44/SUM(Kalender!$D$5:$D$370),0)+IFERROR(SUMIF(Nutzungsprofile!$B$6:$B$11,"Individuell",Nutzungsprofile!$G$6:$G$11)*Kalender!E44/SUM(Kalender!$E$5:$E$370),0))*Szenarien!$E$24,0)</f>
        <v>2.94</v>
      </c>
      <c r="D4802" s="13" t="n">
        <f aca="false">IF(Szenarien!$H$24="OK",(IFERROR(SUMIF(Nutzungsprofile!$B$17:$B$22,"Schulbetrieb",Nutzungsprofile!$G$17:$G$22)*Kalender!C44/SUM(Kalender!$C$5:$C$370),0)+IFERROR(SUMIF(Nutzungsprofile!$B$17:$B$22,"Halle",Nutzungsprofile!$G$17:$G$22)*Kalender!D44/SUM(Kalender!$D$5:$D$370),0)+IFERROR(SUMIF(Nutzungsprofile!$B$17:$B$22,"Individuell",Nutzungsprofile!$G$17:$G$22)*Kalender!E44/SUM(Kalender!$E$5:$E$370),0))*Szenarien!$D$24,0)</f>
        <v>4.94</v>
      </c>
      <c r="E4802" s="13" t="n">
        <f aca="false">IFERROR(MIN(C4802,Eingaben!$B$17)*Eingaben!$B$16,0)</f>
        <v>2.793</v>
      </c>
      <c r="F4802" s="13" t="n">
        <f aca="false">IFERROR(E4802*Eingaben!$B$15,0)</f>
        <v>2.5137</v>
      </c>
      <c r="G4802" s="13" t="n">
        <f aca="false">IFERROR(IF(Kalender!A44="",0,J4801*(1-Eingaben!$B$20)),0)</f>
        <v>1.709316</v>
      </c>
      <c r="H4802" s="13" t="n">
        <f aca="false">MIN(G4802,D4802)</f>
        <v>1.709316</v>
      </c>
      <c r="I4802" s="13" t="n">
        <f aca="false">IFERROR(MIN(F4802*Eingaben!$B$19,MAX(0,D4802-H4802)),0)</f>
        <v>1.75959</v>
      </c>
      <c r="J4802" s="13" t="n">
        <f aca="false">IFERROR(MIN(Eingaben!$B$18,MAX(0,F4802-I4802)),0)</f>
        <v>0.75411</v>
      </c>
      <c r="K4802" s="13" t="n">
        <f aca="false">H4802+I4802</f>
        <v>3.468906</v>
      </c>
      <c r="L4802" s="13" t="n">
        <f aca="false">MAX(0,D4802-K4802)</f>
        <v>1.471094</v>
      </c>
      <c r="M4802" s="13" t="n">
        <f aca="false">MAX(0,F4802-I4802-J4802)</f>
        <v>0</v>
      </c>
      <c r="N4802" s="13" t="n">
        <f aca="false">IF(Kalender!A44="",0,J4801-H4802)</f>
        <v>0.0348840000000001</v>
      </c>
    </row>
    <row r="4803" customFormat="false" ht="16.4" hidden="false" customHeight="false" outlineLevel="0" collapsed="false">
      <c r="A4803" s="13" t="str">
        <f aca="false">""</f>
        <v/>
      </c>
      <c r="B4803" s="13" t="n">
        <f aca="false">41</f>
        <v>41</v>
      </c>
      <c r="C4803" s="13" t="n">
        <f aca="false">IF(Szenarien!$H$24="OK",(IFERROR(SUMIF(Nutzungsprofile!$B$6:$B$11,"Schulbetrieb",Nutzungsprofile!$G$6:$G$11)*Kalender!C45/SUM(Kalender!$C$5:$C$370),0)+IFERROR(SUMIF(Nutzungsprofile!$B$6:$B$11,"Halle",Nutzungsprofile!$G$6:$G$11)*Kalender!D45/SUM(Kalender!$D$5:$D$370),0)+IFERROR(SUMIF(Nutzungsprofile!$B$6:$B$11,"Individuell",Nutzungsprofile!$G$6:$G$11)*Kalender!E45/SUM(Kalender!$E$5:$E$370),0))*Szenarien!$E$24,0)</f>
        <v>2.94</v>
      </c>
      <c r="D4803" s="13" t="n">
        <f aca="false">IF(Szenarien!$H$24="OK",(IFERROR(SUMIF(Nutzungsprofile!$B$17:$B$22,"Schulbetrieb",Nutzungsprofile!$G$17:$G$22)*Kalender!C45/SUM(Kalender!$C$5:$C$370),0)+IFERROR(SUMIF(Nutzungsprofile!$B$17:$B$22,"Halle",Nutzungsprofile!$G$17:$G$22)*Kalender!D45/SUM(Kalender!$D$5:$D$370),0)+IFERROR(SUMIF(Nutzungsprofile!$B$17:$B$22,"Individuell",Nutzungsprofile!$G$17:$G$22)*Kalender!E45/SUM(Kalender!$E$5:$E$370),0))*Szenarien!$D$24,0)</f>
        <v>4.94</v>
      </c>
      <c r="E4803" s="13" t="n">
        <f aca="false">IFERROR(MIN(C4803,Eingaben!$B$17)*Eingaben!$B$16,0)</f>
        <v>2.793</v>
      </c>
      <c r="F4803" s="13" t="n">
        <f aca="false">IFERROR(E4803*Eingaben!$B$15,0)</f>
        <v>2.5137</v>
      </c>
      <c r="G4803" s="13" t="n">
        <f aca="false">IFERROR(IF(Kalender!A45="",0,J4802*(1-Eingaben!$B$20)),0)</f>
        <v>0.7390278</v>
      </c>
      <c r="H4803" s="13" t="n">
        <f aca="false">MIN(G4803,D4803)</f>
        <v>0.7390278</v>
      </c>
      <c r="I4803" s="13" t="n">
        <f aca="false">IFERROR(MIN(F4803*Eingaben!$B$19,MAX(0,D4803-H4803)),0)</f>
        <v>1.75959</v>
      </c>
      <c r="J4803" s="13" t="n">
        <f aca="false">IFERROR(MIN(Eingaben!$B$18,MAX(0,F4803-I4803)),0)</f>
        <v>0.75411</v>
      </c>
      <c r="K4803" s="13" t="n">
        <f aca="false">H4803+I4803</f>
        <v>2.4986178</v>
      </c>
      <c r="L4803" s="13" t="n">
        <f aca="false">MAX(0,D4803-K4803)</f>
        <v>2.4413822</v>
      </c>
      <c r="M4803" s="13" t="n">
        <f aca="false">MAX(0,F4803-I4803-J4803)</f>
        <v>0</v>
      </c>
      <c r="N4803" s="13" t="n">
        <f aca="false">IF(Kalender!A45="",0,J4802-H4803)</f>
        <v>0.0150822</v>
      </c>
    </row>
    <row r="4804" customFormat="false" ht="16.4" hidden="false" customHeight="false" outlineLevel="0" collapsed="false">
      <c r="A4804" s="13" t="str">
        <f aca="false">""</f>
        <v/>
      </c>
      <c r="B4804" s="13" t="n">
        <f aca="false">42</f>
        <v>42</v>
      </c>
      <c r="C4804" s="13" t="n">
        <f aca="false">IF(Szenarien!$H$24="OK",(IFERROR(SUMIF(Nutzungsprofile!$B$6:$B$11,"Schulbetrieb",Nutzungsprofile!$G$6:$G$11)*Kalender!C46/SUM(Kalender!$C$5:$C$370),0)+IFERROR(SUMIF(Nutzungsprofile!$B$6:$B$11,"Halle",Nutzungsprofile!$G$6:$G$11)*Kalender!D46/SUM(Kalender!$D$5:$D$370),0)+IFERROR(SUMIF(Nutzungsprofile!$B$6:$B$11,"Individuell",Nutzungsprofile!$G$6:$G$11)*Kalender!E46/SUM(Kalender!$E$5:$E$370),0))*Szenarien!$E$24,0)</f>
        <v>2.94</v>
      </c>
      <c r="D4804" s="13" t="n">
        <f aca="false">IF(Szenarien!$H$24="OK",(IFERROR(SUMIF(Nutzungsprofile!$B$17:$B$22,"Schulbetrieb",Nutzungsprofile!$G$17:$G$22)*Kalender!C46/SUM(Kalender!$C$5:$C$370),0)+IFERROR(SUMIF(Nutzungsprofile!$B$17:$B$22,"Halle",Nutzungsprofile!$G$17:$G$22)*Kalender!D46/SUM(Kalender!$D$5:$D$370),0)+IFERROR(SUMIF(Nutzungsprofile!$B$17:$B$22,"Individuell",Nutzungsprofile!$G$17:$G$22)*Kalender!E46/SUM(Kalender!$E$5:$E$370),0))*Szenarien!$D$24,0)</f>
        <v>4.94</v>
      </c>
      <c r="E4804" s="13" t="n">
        <f aca="false">IFERROR(MIN(C4804,Eingaben!$B$17)*Eingaben!$B$16,0)</f>
        <v>2.793</v>
      </c>
      <c r="F4804" s="13" t="n">
        <f aca="false">IFERROR(E4804*Eingaben!$B$15,0)</f>
        <v>2.5137</v>
      </c>
      <c r="G4804" s="13" t="n">
        <f aca="false">IFERROR(IF(Kalender!A46="",0,J4803*(1-Eingaben!$B$20)),0)</f>
        <v>0.7390278</v>
      </c>
      <c r="H4804" s="13" t="n">
        <f aca="false">MIN(G4804,D4804)</f>
        <v>0.7390278</v>
      </c>
      <c r="I4804" s="13" t="n">
        <f aca="false">IFERROR(MIN(F4804*Eingaben!$B$19,MAX(0,D4804-H4804)),0)</f>
        <v>1.75959</v>
      </c>
      <c r="J4804" s="13" t="n">
        <f aca="false">IFERROR(MIN(Eingaben!$B$18,MAX(0,F4804-I4804)),0)</f>
        <v>0.75411</v>
      </c>
      <c r="K4804" s="13" t="n">
        <f aca="false">H4804+I4804</f>
        <v>2.4986178</v>
      </c>
      <c r="L4804" s="13" t="n">
        <f aca="false">MAX(0,D4804-K4804)</f>
        <v>2.4413822</v>
      </c>
      <c r="M4804" s="13" t="n">
        <f aca="false">MAX(0,F4804-I4804-J4804)</f>
        <v>0</v>
      </c>
      <c r="N4804" s="13" t="n">
        <f aca="false">IF(Kalender!A46="",0,J4803-H4804)</f>
        <v>0.0150822</v>
      </c>
    </row>
    <row r="4805" customFormat="false" ht="16.4" hidden="false" customHeight="false" outlineLevel="0" collapsed="false">
      <c r="A4805" s="13" t="str">
        <f aca="false">""</f>
        <v/>
      </c>
      <c r="B4805" s="13" t="n">
        <f aca="false">43</f>
        <v>43</v>
      </c>
      <c r="C4805" s="13" t="n">
        <f aca="false">IF(Szenarien!$H$24="OK",(IFERROR(SUMIF(Nutzungsprofile!$B$6:$B$11,"Schulbetrieb",Nutzungsprofile!$G$6:$G$11)*Kalender!C47/SUM(Kalender!$C$5:$C$370),0)+IFERROR(SUMIF(Nutzungsprofile!$B$6:$B$11,"Halle",Nutzungsprofile!$G$6:$G$11)*Kalender!D47/SUM(Kalender!$D$5:$D$370),0)+IFERROR(SUMIF(Nutzungsprofile!$B$6:$B$11,"Individuell",Nutzungsprofile!$G$6:$G$11)*Kalender!E47/SUM(Kalender!$E$5:$E$370),0))*Szenarien!$E$24,0)</f>
        <v>2.94</v>
      </c>
      <c r="D4805" s="13" t="n">
        <f aca="false">IF(Szenarien!$H$24="OK",(IFERROR(SUMIF(Nutzungsprofile!$B$17:$B$22,"Schulbetrieb",Nutzungsprofile!$G$17:$G$22)*Kalender!C47/SUM(Kalender!$C$5:$C$370),0)+IFERROR(SUMIF(Nutzungsprofile!$B$17:$B$22,"Halle",Nutzungsprofile!$G$17:$G$22)*Kalender!D47/SUM(Kalender!$D$5:$D$370),0)+IFERROR(SUMIF(Nutzungsprofile!$B$17:$B$22,"Individuell",Nutzungsprofile!$G$17:$G$22)*Kalender!E47/SUM(Kalender!$E$5:$E$370),0))*Szenarien!$D$24,0)</f>
        <v>4.94</v>
      </c>
      <c r="E4805" s="13" t="n">
        <f aca="false">IFERROR(MIN(C4805,Eingaben!$B$17)*Eingaben!$B$16,0)</f>
        <v>2.793</v>
      </c>
      <c r="F4805" s="13" t="n">
        <f aca="false">IFERROR(E4805*Eingaben!$B$15,0)</f>
        <v>2.5137</v>
      </c>
      <c r="G4805" s="13" t="n">
        <f aca="false">IFERROR(IF(Kalender!A47="",0,J4804*(1-Eingaben!$B$20)),0)</f>
        <v>0.7390278</v>
      </c>
      <c r="H4805" s="13" t="n">
        <f aca="false">MIN(G4805,D4805)</f>
        <v>0.7390278</v>
      </c>
      <c r="I4805" s="13" t="n">
        <f aca="false">IFERROR(MIN(F4805*Eingaben!$B$19,MAX(0,D4805-H4805)),0)</f>
        <v>1.75959</v>
      </c>
      <c r="J4805" s="13" t="n">
        <f aca="false">IFERROR(MIN(Eingaben!$B$18,MAX(0,F4805-I4805)),0)</f>
        <v>0.75411</v>
      </c>
      <c r="K4805" s="13" t="n">
        <f aca="false">H4805+I4805</f>
        <v>2.4986178</v>
      </c>
      <c r="L4805" s="13" t="n">
        <f aca="false">MAX(0,D4805-K4805)</f>
        <v>2.4413822</v>
      </c>
      <c r="M4805" s="13" t="n">
        <f aca="false">MAX(0,F4805-I4805-J4805)</f>
        <v>0</v>
      </c>
      <c r="N4805" s="13" t="n">
        <f aca="false">IF(Kalender!A47="",0,J4804-H4805)</f>
        <v>0.0150822</v>
      </c>
    </row>
    <row r="4806" customFormat="false" ht="16.4" hidden="false" customHeight="false" outlineLevel="0" collapsed="false">
      <c r="A4806" s="13" t="str">
        <f aca="false">""</f>
        <v/>
      </c>
      <c r="B4806" s="13" t="n">
        <f aca="false">44</f>
        <v>44</v>
      </c>
      <c r="C4806" s="13" t="n">
        <f aca="false">IF(Szenarien!$H$24="OK",(IFERROR(SUMIF(Nutzungsprofile!$B$6:$B$11,"Schulbetrieb",Nutzungsprofile!$G$6:$G$11)*Kalender!C48/SUM(Kalender!$C$5:$C$370),0)+IFERROR(SUMIF(Nutzungsprofile!$B$6:$B$11,"Halle",Nutzungsprofile!$G$6:$G$11)*Kalender!D48/SUM(Kalender!$D$5:$D$370),0)+IFERROR(SUMIF(Nutzungsprofile!$B$6:$B$11,"Individuell",Nutzungsprofile!$G$6:$G$11)*Kalender!E48/SUM(Kalender!$E$5:$E$370),0))*Szenarien!$E$24,0)</f>
        <v>2.94</v>
      </c>
      <c r="D4806" s="13" t="n">
        <f aca="false">IF(Szenarien!$H$24="OK",(IFERROR(SUMIF(Nutzungsprofile!$B$17:$B$22,"Schulbetrieb",Nutzungsprofile!$G$17:$G$22)*Kalender!C48/SUM(Kalender!$C$5:$C$370),0)+IFERROR(SUMIF(Nutzungsprofile!$B$17:$B$22,"Halle",Nutzungsprofile!$G$17:$G$22)*Kalender!D48/SUM(Kalender!$D$5:$D$370),0)+IFERROR(SUMIF(Nutzungsprofile!$B$17:$B$22,"Individuell",Nutzungsprofile!$G$17:$G$22)*Kalender!E48/SUM(Kalender!$E$5:$E$370),0))*Szenarien!$D$24,0)</f>
        <v>4.94</v>
      </c>
      <c r="E4806" s="13" t="n">
        <f aca="false">IFERROR(MIN(C4806,Eingaben!$B$17)*Eingaben!$B$16,0)</f>
        <v>2.793</v>
      </c>
      <c r="F4806" s="13" t="n">
        <f aca="false">IFERROR(E4806*Eingaben!$B$15,0)</f>
        <v>2.5137</v>
      </c>
      <c r="G4806" s="13" t="n">
        <f aca="false">IFERROR(IF(Kalender!A48="",0,J4805*(1-Eingaben!$B$20)),0)</f>
        <v>0.7390278</v>
      </c>
      <c r="H4806" s="13" t="n">
        <f aca="false">MIN(G4806,D4806)</f>
        <v>0.7390278</v>
      </c>
      <c r="I4806" s="13" t="n">
        <f aca="false">IFERROR(MIN(F4806*Eingaben!$B$19,MAX(0,D4806-H4806)),0)</f>
        <v>1.75959</v>
      </c>
      <c r="J4806" s="13" t="n">
        <f aca="false">IFERROR(MIN(Eingaben!$B$18,MAX(0,F4806-I4806)),0)</f>
        <v>0.75411</v>
      </c>
      <c r="K4806" s="13" t="n">
        <f aca="false">H4806+I4806</f>
        <v>2.4986178</v>
      </c>
      <c r="L4806" s="13" t="n">
        <f aca="false">MAX(0,D4806-K4806)</f>
        <v>2.4413822</v>
      </c>
      <c r="M4806" s="13" t="n">
        <f aca="false">MAX(0,F4806-I4806-J4806)</f>
        <v>0</v>
      </c>
      <c r="N4806" s="13" t="n">
        <f aca="false">IF(Kalender!A48="",0,J4805-H4806)</f>
        <v>0.0150822</v>
      </c>
    </row>
    <row r="4807" customFormat="false" ht="16.4" hidden="false" customHeight="false" outlineLevel="0" collapsed="false">
      <c r="A4807" s="13" t="str">
        <f aca="false">""</f>
        <v/>
      </c>
      <c r="B4807" s="13" t="n">
        <f aca="false">45</f>
        <v>45</v>
      </c>
      <c r="C4807" s="13" t="n">
        <f aca="false">IF(Szenarien!$H$24="OK",(IFERROR(SUMIF(Nutzungsprofile!$B$6:$B$11,"Schulbetrieb",Nutzungsprofile!$G$6:$G$11)*Kalender!C49/SUM(Kalender!$C$5:$C$370),0)+IFERROR(SUMIF(Nutzungsprofile!$B$6:$B$11,"Halle",Nutzungsprofile!$G$6:$G$11)*Kalender!D49/SUM(Kalender!$D$5:$D$370),0)+IFERROR(SUMIF(Nutzungsprofile!$B$6:$B$11,"Individuell",Nutzungsprofile!$G$6:$G$11)*Kalender!E49/SUM(Kalender!$E$5:$E$370),0))*Szenarien!$E$24,0)</f>
        <v>2.04</v>
      </c>
      <c r="D4807" s="13" t="n">
        <f aca="false">IF(Szenarien!$H$24="OK",(IFERROR(SUMIF(Nutzungsprofile!$B$17:$B$22,"Schulbetrieb",Nutzungsprofile!$G$17:$G$22)*Kalender!C49/SUM(Kalender!$C$5:$C$370),0)+IFERROR(SUMIF(Nutzungsprofile!$B$17:$B$22,"Halle",Nutzungsprofile!$G$17:$G$22)*Kalender!D49/SUM(Kalender!$D$5:$D$370),0)+IFERROR(SUMIF(Nutzungsprofile!$B$17:$B$22,"Individuell",Nutzungsprofile!$G$17:$G$22)*Kalender!E49/SUM(Kalender!$E$5:$E$370),0))*Szenarien!$D$24,0)</f>
        <v>0.89</v>
      </c>
      <c r="E4807" s="13" t="n">
        <f aca="false">IFERROR(MIN(C4807,Eingaben!$B$17)*Eingaben!$B$16,0)</f>
        <v>1.938</v>
      </c>
      <c r="F4807" s="13" t="n">
        <f aca="false">IFERROR(E4807*Eingaben!$B$15,0)</f>
        <v>1.7442</v>
      </c>
      <c r="G4807" s="13" t="n">
        <f aca="false">IFERROR(IF(Kalender!A49="",0,J4806*(1-Eingaben!$B$20)),0)</f>
        <v>0.7390278</v>
      </c>
      <c r="H4807" s="13" t="n">
        <f aca="false">MIN(G4807,D4807)</f>
        <v>0.7390278</v>
      </c>
      <c r="I4807" s="13" t="n">
        <f aca="false">IFERROR(MIN(F4807*Eingaben!$B$19,MAX(0,D4807-H4807)),0)</f>
        <v>0.1509722</v>
      </c>
      <c r="J4807" s="13" t="n">
        <f aca="false">IFERROR(MIN(Eingaben!$B$18,MAX(0,F4807-I4807)),0)</f>
        <v>1.5932278</v>
      </c>
      <c r="K4807" s="13" t="n">
        <f aca="false">H4807+I4807</f>
        <v>0.89</v>
      </c>
      <c r="L4807" s="13" t="n">
        <f aca="false">MAX(0,D4807-K4807)</f>
        <v>0</v>
      </c>
      <c r="M4807" s="13" t="n">
        <f aca="false">MAX(0,F4807-I4807-J4807)</f>
        <v>0</v>
      </c>
      <c r="N4807" s="13" t="n">
        <f aca="false">IF(Kalender!A49="",0,J4806-H4807)</f>
        <v>0.0150822</v>
      </c>
    </row>
    <row r="4808" customFormat="false" ht="16.4" hidden="false" customHeight="false" outlineLevel="0" collapsed="false">
      <c r="A4808" s="13" t="str">
        <f aca="false">""</f>
        <v/>
      </c>
      <c r="B4808" s="13" t="n">
        <f aca="false">46</f>
        <v>46</v>
      </c>
      <c r="C4808" s="13" t="n">
        <f aca="false">IF(Szenarien!$H$24="OK",(IFERROR(SUMIF(Nutzungsprofile!$B$6:$B$11,"Schulbetrieb",Nutzungsprofile!$G$6:$G$11)*Kalender!C50/SUM(Kalender!$C$5:$C$370),0)+IFERROR(SUMIF(Nutzungsprofile!$B$6:$B$11,"Halle",Nutzungsprofile!$G$6:$G$11)*Kalender!D50/SUM(Kalender!$D$5:$D$370),0)+IFERROR(SUMIF(Nutzungsprofile!$B$6:$B$11,"Individuell",Nutzungsprofile!$G$6:$G$11)*Kalender!E50/SUM(Kalender!$E$5:$E$370),0))*Szenarien!$E$24,0)</f>
        <v>2.04</v>
      </c>
      <c r="D4808" s="13" t="n">
        <f aca="false">IF(Szenarien!$H$24="OK",(IFERROR(SUMIF(Nutzungsprofile!$B$17:$B$22,"Schulbetrieb",Nutzungsprofile!$G$17:$G$22)*Kalender!C50/SUM(Kalender!$C$5:$C$370),0)+IFERROR(SUMIF(Nutzungsprofile!$B$17:$B$22,"Halle",Nutzungsprofile!$G$17:$G$22)*Kalender!D50/SUM(Kalender!$D$5:$D$370),0)+IFERROR(SUMIF(Nutzungsprofile!$B$17:$B$22,"Individuell",Nutzungsprofile!$G$17:$G$22)*Kalender!E50/SUM(Kalender!$E$5:$E$370),0))*Szenarien!$D$24,0)</f>
        <v>0.89</v>
      </c>
      <c r="E4808" s="13" t="n">
        <f aca="false">IFERROR(MIN(C4808,Eingaben!$B$17)*Eingaben!$B$16,0)</f>
        <v>1.938</v>
      </c>
      <c r="F4808" s="13" t="n">
        <f aca="false">IFERROR(E4808*Eingaben!$B$15,0)</f>
        <v>1.7442</v>
      </c>
      <c r="G4808" s="13" t="n">
        <f aca="false">IFERROR(IF(Kalender!A50="",0,J4807*(1-Eingaben!$B$20)),0)</f>
        <v>1.561363244</v>
      </c>
      <c r="H4808" s="13" t="n">
        <f aca="false">MIN(G4808,D4808)</f>
        <v>0.89</v>
      </c>
      <c r="I4808" s="13" t="n">
        <f aca="false">IFERROR(MIN(F4808*Eingaben!$B$19,MAX(0,D4808-H4808)),0)</f>
        <v>0</v>
      </c>
      <c r="J4808" s="13" t="n">
        <f aca="false">IFERROR(MIN(Eingaben!$B$18,MAX(0,F4808-I4808)),0)</f>
        <v>1.7442</v>
      </c>
      <c r="K4808" s="13" t="n">
        <f aca="false">H4808+I4808</f>
        <v>0.89</v>
      </c>
      <c r="L4808" s="13" t="n">
        <f aca="false">MAX(0,D4808-K4808)</f>
        <v>0</v>
      </c>
      <c r="M4808" s="13" t="n">
        <f aca="false">MAX(0,F4808-I4808-J4808)</f>
        <v>0</v>
      </c>
      <c r="N4808" s="13" t="n">
        <f aca="false">IF(Kalender!A50="",0,J4807-H4808)</f>
        <v>0.7032278</v>
      </c>
    </row>
    <row r="4809" customFormat="false" ht="16.4" hidden="false" customHeight="false" outlineLevel="0" collapsed="false">
      <c r="A4809" s="13" t="str">
        <f aca="false">""</f>
        <v/>
      </c>
      <c r="B4809" s="13" t="n">
        <f aca="false">47</f>
        <v>47</v>
      </c>
      <c r="C4809" s="13" t="n">
        <f aca="false">IF(Szenarien!$H$24="OK",(IFERROR(SUMIF(Nutzungsprofile!$B$6:$B$11,"Schulbetrieb",Nutzungsprofile!$G$6:$G$11)*Kalender!C51/SUM(Kalender!$C$5:$C$370),0)+IFERROR(SUMIF(Nutzungsprofile!$B$6:$B$11,"Halle",Nutzungsprofile!$G$6:$G$11)*Kalender!D51/SUM(Kalender!$D$5:$D$370),0)+IFERROR(SUMIF(Nutzungsprofile!$B$6:$B$11,"Individuell",Nutzungsprofile!$G$6:$G$11)*Kalender!E51/SUM(Kalender!$E$5:$E$370),0))*Szenarien!$E$24,0)</f>
        <v>2.94</v>
      </c>
      <c r="D4809" s="13" t="n">
        <f aca="false">IF(Szenarien!$H$24="OK",(IFERROR(SUMIF(Nutzungsprofile!$B$17:$B$22,"Schulbetrieb",Nutzungsprofile!$G$17:$G$22)*Kalender!C51/SUM(Kalender!$C$5:$C$370),0)+IFERROR(SUMIF(Nutzungsprofile!$B$17:$B$22,"Halle",Nutzungsprofile!$G$17:$G$22)*Kalender!D51/SUM(Kalender!$D$5:$D$370),0)+IFERROR(SUMIF(Nutzungsprofile!$B$17:$B$22,"Individuell",Nutzungsprofile!$G$17:$G$22)*Kalender!E51/SUM(Kalender!$E$5:$E$370),0))*Szenarien!$D$24,0)</f>
        <v>4.94</v>
      </c>
      <c r="E4809" s="13" t="n">
        <f aca="false">IFERROR(MIN(C4809,Eingaben!$B$17)*Eingaben!$B$16,0)</f>
        <v>2.793</v>
      </c>
      <c r="F4809" s="13" t="n">
        <f aca="false">IFERROR(E4809*Eingaben!$B$15,0)</f>
        <v>2.5137</v>
      </c>
      <c r="G4809" s="13" t="n">
        <f aca="false">IFERROR(IF(Kalender!A51="",0,J4808*(1-Eingaben!$B$20)),0)</f>
        <v>1.709316</v>
      </c>
      <c r="H4809" s="13" t="n">
        <f aca="false">MIN(G4809,D4809)</f>
        <v>1.709316</v>
      </c>
      <c r="I4809" s="13" t="n">
        <f aca="false">IFERROR(MIN(F4809*Eingaben!$B$19,MAX(0,D4809-H4809)),0)</f>
        <v>1.75959</v>
      </c>
      <c r="J4809" s="13" t="n">
        <f aca="false">IFERROR(MIN(Eingaben!$B$18,MAX(0,F4809-I4809)),0)</f>
        <v>0.75411</v>
      </c>
      <c r="K4809" s="13" t="n">
        <f aca="false">H4809+I4809</f>
        <v>3.468906</v>
      </c>
      <c r="L4809" s="13" t="n">
        <f aca="false">MAX(0,D4809-K4809)</f>
        <v>1.471094</v>
      </c>
      <c r="M4809" s="13" t="n">
        <f aca="false">MAX(0,F4809-I4809-J4809)</f>
        <v>0</v>
      </c>
      <c r="N4809" s="13" t="n">
        <f aca="false">IF(Kalender!A51="",0,J4808-H4809)</f>
        <v>0.0348840000000001</v>
      </c>
    </row>
    <row r="4810" customFormat="false" ht="16.4" hidden="false" customHeight="false" outlineLevel="0" collapsed="false">
      <c r="A4810" s="13" t="str">
        <f aca="false">""</f>
        <v/>
      </c>
      <c r="B4810" s="13" t="n">
        <f aca="false">48</f>
        <v>48</v>
      </c>
      <c r="C4810" s="13" t="n">
        <f aca="false">IF(Szenarien!$H$24="OK",(IFERROR(SUMIF(Nutzungsprofile!$B$6:$B$11,"Schulbetrieb",Nutzungsprofile!$G$6:$G$11)*Kalender!C52/SUM(Kalender!$C$5:$C$370),0)+IFERROR(SUMIF(Nutzungsprofile!$B$6:$B$11,"Halle",Nutzungsprofile!$G$6:$G$11)*Kalender!D52/SUM(Kalender!$D$5:$D$370),0)+IFERROR(SUMIF(Nutzungsprofile!$B$6:$B$11,"Individuell",Nutzungsprofile!$G$6:$G$11)*Kalender!E52/SUM(Kalender!$E$5:$E$370),0))*Szenarien!$E$24,0)</f>
        <v>2.94</v>
      </c>
      <c r="D4810" s="13" t="n">
        <f aca="false">IF(Szenarien!$H$24="OK",(IFERROR(SUMIF(Nutzungsprofile!$B$17:$B$22,"Schulbetrieb",Nutzungsprofile!$G$17:$G$22)*Kalender!C52/SUM(Kalender!$C$5:$C$370),0)+IFERROR(SUMIF(Nutzungsprofile!$B$17:$B$22,"Halle",Nutzungsprofile!$G$17:$G$22)*Kalender!D52/SUM(Kalender!$D$5:$D$370),0)+IFERROR(SUMIF(Nutzungsprofile!$B$17:$B$22,"Individuell",Nutzungsprofile!$G$17:$G$22)*Kalender!E52/SUM(Kalender!$E$5:$E$370),0))*Szenarien!$D$24,0)</f>
        <v>4.94</v>
      </c>
      <c r="E4810" s="13" t="n">
        <f aca="false">IFERROR(MIN(C4810,Eingaben!$B$17)*Eingaben!$B$16,0)</f>
        <v>2.793</v>
      </c>
      <c r="F4810" s="13" t="n">
        <f aca="false">IFERROR(E4810*Eingaben!$B$15,0)</f>
        <v>2.5137</v>
      </c>
      <c r="G4810" s="13" t="n">
        <f aca="false">IFERROR(IF(Kalender!A52="",0,J4809*(1-Eingaben!$B$20)),0)</f>
        <v>0.7390278</v>
      </c>
      <c r="H4810" s="13" t="n">
        <f aca="false">MIN(G4810,D4810)</f>
        <v>0.7390278</v>
      </c>
      <c r="I4810" s="13" t="n">
        <f aca="false">IFERROR(MIN(F4810*Eingaben!$B$19,MAX(0,D4810-H4810)),0)</f>
        <v>1.75959</v>
      </c>
      <c r="J4810" s="13" t="n">
        <f aca="false">IFERROR(MIN(Eingaben!$B$18,MAX(0,F4810-I4810)),0)</f>
        <v>0.75411</v>
      </c>
      <c r="K4810" s="13" t="n">
        <f aca="false">H4810+I4810</f>
        <v>2.4986178</v>
      </c>
      <c r="L4810" s="13" t="n">
        <f aca="false">MAX(0,D4810-K4810)</f>
        <v>2.4413822</v>
      </c>
      <c r="M4810" s="13" t="n">
        <f aca="false">MAX(0,F4810-I4810-J4810)</f>
        <v>0</v>
      </c>
      <c r="N4810" s="13" t="n">
        <f aca="false">IF(Kalender!A52="",0,J4809-H4810)</f>
        <v>0.0150822</v>
      </c>
    </row>
    <row r="4811" customFormat="false" ht="16.4" hidden="false" customHeight="false" outlineLevel="0" collapsed="false">
      <c r="A4811" s="13" t="str">
        <f aca="false">""</f>
        <v/>
      </c>
      <c r="B4811" s="13" t="n">
        <f aca="false">49</f>
        <v>49</v>
      </c>
      <c r="C4811" s="13" t="n">
        <f aca="false">IF(Szenarien!$H$24="OK",(IFERROR(SUMIF(Nutzungsprofile!$B$6:$B$11,"Schulbetrieb",Nutzungsprofile!$G$6:$G$11)*Kalender!C53/SUM(Kalender!$C$5:$C$370),0)+IFERROR(SUMIF(Nutzungsprofile!$B$6:$B$11,"Halle",Nutzungsprofile!$G$6:$G$11)*Kalender!D53/SUM(Kalender!$D$5:$D$370),0)+IFERROR(SUMIF(Nutzungsprofile!$B$6:$B$11,"Individuell",Nutzungsprofile!$G$6:$G$11)*Kalender!E53/SUM(Kalender!$E$5:$E$370),0))*Szenarien!$E$24,0)</f>
        <v>2.94</v>
      </c>
      <c r="D4811" s="13" t="n">
        <f aca="false">IF(Szenarien!$H$24="OK",(IFERROR(SUMIF(Nutzungsprofile!$B$17:$B$22,"Schulbetrieb",Nutzungsprofile!$G$17:$G$22)*Kalender!C53/SUM(Kalender!$C$5:$C$370),0)+IFERROR(SUMIF(Nutzungsprofile!$B$17:$B$22,"Halle",Nutzungsprofile!$G$17:$G$22)*Kalender!D53/SUM(Kalender!$D$5:$D$370),0)+IFERROR(SUMIF(Nutzungsprofile!$B$17:$B$22,"Individuell",Nutzungsprofile!$G$17:$G$22)*Kalender!E53/SUM(Kalender!$E$5:$E$370),0))*Szenarien!$D$24,0)</f>
        <v>4.94</v>
      </c>
      <c r="E4811" s="13" t="n">
        <f aca="false">IFERROR(MIN(C4811,Eingaben!$B$17)*Eingaben!$B$16,0)</f>
        <v>2.793</v>
      </c>
      <c r="F4811" s="13" t="n">
        <f aca="false">IFERROR(E4811*Eingaben!$B$15,0)</f>
        <v>2.5137</v>
      </c>
      <c r="G4811" s="13" t="n">
        <f aca="false">IFERROR(IF(Kalender!A53="",0,J4810*(1-Eingaben!$B$20)),0)</f>
        <v>0.7390278</v>
      </c>
      <c r="H4811" s="13" t="n">
        <f aca="false">MIN(G4811,D4811)</f>
        <v>0.7390278</v>
      </c>
      <c r="I4811" s="13" t="n">
        <f aca="false">IFERROR(MIN(F4811*Eingaben!$B$19,MAX(0,D4811-H4811)),0)</f>
        <v>1.75959</v>
      </c>
      <c r="J4811" s="13" t="n">
        <f aca="false">IFERROR(MIN(Eingaben!$B$18,MAX(0,F4811-I4811)),0)</f>
        <v>0.75411</v>
      </c>
      <c r="K4811" s="13" t="n">
        <f aca="false">H4811+I4811</f>
        <v>2.4986178</v>
      </c>
      <c r="L4811" s="13" t="n">
        <f aca="false">MAX(0,D4811-K4811)</f>
        <v>2.4413822</v>
      </c>
      <c r="M4811" s="13" t="n">
        <f aca="false">MAX(0,F4811-I4811-J4811)</f>
        <v>0</v>
      </c>
      <c r="N4811" s="13" t="n">
        <f aca="false">IF(Kalender!A53="",0,J4810-H4811)</f>
        <v>0.0150822</v>
      </c>
    </row>
    <row r="4812" customFormat="false" ht="16.4" hidden="false" customHeight="false" outlineLevel="0" collapsed="false">
      <c r="A4812" s="13" t="str">
        <f aca="false">""</f>
        <v/>
      </c>
      <c r="B4812" s="13" t="n">
        <f aca="false">50</f>
        <v>50</v>
      </c>
      <c r="C4812" s="13" t="n">
        <f aca="false">IF(Szenarien!$H$24="OK",(IFERROR(SUMIF(Nutzungsprofile!$B$6:$B$11,"Schulbetrieb",Nutzungsprofile!$G$6:$G$11)*Kalender!C54/SUM(Kalender!$C$5:$C$370),0)+IFERROR(SUMIF(Nutzungsprofile!$B$6:$B$11,"Halle",Nutzungsprofile!$G$6:$G$11)*Kalender!D54/SUM(Kalender!$D$5:$D$370),0)+IFERROR(SUMIF(Nutzungsprofile!$B$6:$B$11,"Individuell",Nutzungsprofile!$G$6:$G$11)*Kalender!E54/SUM(Kalender!$E$5:$E$370),0))*Szenarien!$E$24,0)</f>
        <v>2.94</v>
      </c>
      <c r="D4812" s="13" t="n">
        <f aca="false">IF(Szenarien!$H$24="OK",(IFERROR(SUMIF(Nutzungsprofile!$B$17:$B$22,"Schulbetrieb",Nutzungsprofile!$G$17:$G$22)*Kalender!C54/SUM(Kalender!$C$5:$C$370),0)+IFERROR(SUMIF(Nutzungsprofile!$B$17:$B$22,"Halle",Nutzungsprofile!$G$17:$G$22)*Kalender!D54/SUM(Kalender!$D$5:$D$370),0)+IFERROR(SUMIF(Nutzungsprofile!$B$17:$B$22,"Individuell",Nutzungsprofile!$G$17:$G$22)*Kalender!E54/SUM(Kalender!$E$5:$E$370),0))*Szenarien!$D$24,0)</f>
        <v>4.94</v>
      </c>
      <c r="E4812" s="13" t="n">
        <f aca="false">IFERROR(MIN(C4812,Eingaben!$B$17)*Eingaben!$B$16,0)</f>
        <v>2.793</v>
      </c>
      <c r="F4812" s="13" t="n">
        <f aca="false">IFERROR(E4812*Eingaben!$B$15,0)</f>
        <v>2.5137</v>
      </c>
      <c r="G4812" s="13" t="n">
        <f aca="false">IFERROR(IF(Kalender!A54="",0,J4811*(1-Eingaben!$B$20)),0)</f>
        <v>0.7390278</v>
      </c>
      <c r="H4812" s="13" t="n">
        <f aca="false">MIN(G4812,D4812)</f>
        <v>0.7390278</v>
      </c>
      <c r="I4812" s="13" t="n">
        <f aca="false">IFERROR(MIN(F4812*Eingaben!$B$19,MAX(0,D4812-H4812)),0)</f>
        <v>1.75959</v>
      </c>
      <c r="J4812" s="13" t="n">
        <f aca="false">IFERROR(MIN(Eingaben!$B$18,MAX(0,F4812-I4812)),0)</f>
        <v>0.75411</v>
      </c>
      <c r="K4812" s="13" t="n">
        <f aca="false">H4812+I4812</f>
        <v>2.4986178</v>
      </c>
      <c r="L4812" s="13" t="n">
        <f aca="false">MAX(0,D4812-K4812)</f>
        <v>2.4413822</v>
      </c>
      <c r="M4812" s="13" t="n">
        <f aca="false">MAX(0,F4812-I4812-J4812)</f>
        <v>0</v>
      </c>
      <c r="N4812" s="13" t="n">
        <f aca="false">IF(Kalender!A54="",0,J4811-H4812)</f>
        <v>0.0150822</v>
      </c>
    </row>
    <row r="4813" customFormat="false" ht="16.4" hidden="false" customHeight="false" outlineLevel="0" collapsed="false">
      <c r="A4813" s="13" t="str">
        <f aca="false">""</f>
        <v/>
      </c>
      <c r="B4813" s="13" t="n">
        <f aca="false">51</f>
        <v>51</v>
      </c>
      <c r="C4813" s="13" t="n">
        <f aca="false">IF(Szenarien!$H$24="OK",(IFERROR(SUMIF(Nutzungsprofile!$B$6:$B$11,"Schulbetrieb",Nutzungsprofile!$G$6:$G$11)*Kalender!C55/SUM(Kalender!$C$5:$C$370),0)+IFERROR(SUMIF(Nutzungsprofile!$B$6:$B$11,"Halle",Nutzungsprofile!$G$6:$G$11)*Kalender!D55/SUM(Kalender!$D$5:$D$370),0)+IFERROR(SUMIF(Nutzungsprofile!$B$6:$B$11,"Individuell",Nutzungsprofile!$G$6:$G$11)*Kalender!E55/SUM(Kalender!$E$5:$E$370),0))*Szenarien!$E$24,0)</f>
        <v>2.94</v>
      </c>
      <c r="D4813" s="13" t="n">
        <f aca="false">IF(Szenarien!$H$24="OK",(IFERROR(SUMIF(Nutzungsprofile!$B$17:$B$22,"Schulbetrieb",Nutzungsprofile!$G$17:$G$22)*Kalender!C55/SUM(Kalender!$C$5:$C$370),0)+IFERROR(SUMIF(Nutzungsprofile!$B$17:$B$22,"Halle",Nutzungsprofile!$G$17:$G$22)*Kalender!D55/SUM(Kalender!$D$5:$D$370),0)+IFERROR(SUMIF(Nutzungsprofile!$B$17:$B$22,"Individuell",Nutzungsprofile!$G$17:$G$22)*Kalender!E55/SUM(Kalender!$E$5:$E$370),0))*Szenarien!$D$24,0)</f>
        <v>4.94</v>
      </c>
      <c r="E4813" s="13" t="n">
        <f aca="false">IFERROR(MIN(C4813,Eingaben!$B$17)*Eingaben!$B$16,0)</f>
        <v>2.793</v>
      </c>
      <c r="F4813" s="13" t="n">
        <f aca="false">IFERROR(E4813*Eingaben!$B$15,0)</f>
        <v>2.5137</v>
      </c>
      <c r="G4813" s="13" t="n">
        <f aca="false">IFERROR(IF(Kalender!A55="",0,J4812*(1-Eingaben!$B$20)),0)</f>
        <v>0.7390278</v>
      </c>
      <c r="H4813" s="13" t="n">
        <f aca="false">MIN(G4813,D4813)</f>
        <v>0.7390278</v>
      </c>
      <c r="I4813" s="13" t="n">
        <f aca="false">IFERROR(MIN(F4813*Eingaben!$B$19,MAX(0,D4813-H4813)),0)</f>
        <v>1.75959</v>
      </c>
      <c r="J4813" s="13" t="n">
        <f aca="false">IFERROR(MIN(Eingaben!$B$18,MAX(0,F4813-I4813)),0)</f>
        <v>0.75411</v>
      </c>
      <c r="K4813" s="13" t="n">
        <f aca="false">H4813+I4813</f>
        <v>2.4986178</v>
      </c>
      <c r="L4813" s="13" t="n">
        <f aca="false">MAX(0,D4813-K4813)</f>
        <v>2.4413822</v>
      </c>
      <c r="M4813" s="13" t="n">
        <f aca="false">MAX(0,F4813-I4813-J4813)</f>
        <v>0</v>
      </c>
      <c r="N4813" s="13" t="n">
        <f aca="false">IF(Kalender!A55="",0,J4812-H4813)</f>
        <v>0.0150822</v>
      </c>
    </row>
    <row r="4814" customFormat="false" ht="16.4" hidden="false" customHeight="false" outlineLevel="0" collapsed="false">
      <c r="A4814" s="13" t="str">
        <f aca="false">""</f>
        <v/>
      </c>
      <c r="B4814" s="13" t="n">
        <f aca="false">52</f>
        <v>52</v>
      </c>
      <c r="C4814" s="13" t="n">
        <f aca="false">IF(Szenarien!$H$24="OK",(IFERROR(SUMIF(Nutzungsprofile!$B$6:$B$11,"Schulbetrieb",Nutzungsprofile!$G$6:$G$11)*Kalender!C56/SUM(Kalender!$C$5:$C$370),0)+IFERROR(SUMIF(Nutzungsprofile!$B$6:$B$11,"Halle",Nutzungsprofile!$G$6:$G$11)*Kalender!D56/SUM(Kalender!$D$5:$D$370),0)+IFERROR(SUMIF(Nutzungsprofile!$B$6:$B$11,"Individuell",Nutzungsprofile!$G$6:$G$11)*Kalender!E56/SUM(Kalender!$E$5:$E$370),0))*Szenarien!$E$24,0)</f>
        <v>2.04</v>
      </c>
      <c r="D4814" s="13" t="n">
        <f aca="false">IF(Szenarien!$H$24="OK",(IFERROR(SUMIF(Nutzungsprofile!$B$17:$B$22,"Schulbetrieb",Nutzungsprofile!$G$17:$G$22)*Kalender!C56/SUM(Kalender!$C$5:$C$370),0)+IFERROR(SUMIF(Nutzungsprofile!$B$17:$B$22,"Halle",Nutzungsprofile!$G$17:$G$22)*Kalender!D56/SUM(Kalender!$D$5:$D$370),0)+IFERROR(SUMIF(Nutzungsprofile!$B$17:$B$22,"Individuell",Nutzungsprofile!$G$17:$G$22)*Kalender!E56/SUM(Kalender!$E$5:$E$370),0))*Szenarien!$D$24,0)</f>
        <v>0.89</v>
      </c>
      <c r="E4814" s="13" t="n">
        <f aca="false">IFERROR(MIN(C4814,Eingaben!$B$17)*Eingaben!$B$16,0)</f>
        <v>1.938</v>
      </c>
      <c r="F4814" s="13" t="n">
        <f aca="false">IFERROR(E4814*Eingaben!$B$15,0)</f>
        <v>1.7442</v>
      </c>
      <c r="G4814" s="13" t="n">
        <f aca="false">IFERROR(IF(Kalender!A56="",0,J4813*(1-Eingaben!$B$20)),0)</f>
        <v>0.7390278</v>
      </c>
      <c r="H4814" s="13" t="n">
        <f aca="false">MIN(G4814,D4814)</f>
        <v>0.7390278</v>
      </c>
      <c r="I4814" s="13" t="n">
        <f aca="false">IFERROR(MIN(F4814*Eingaben!$B$19,MAX(0,D4814-H4814)),0)</f>
        <v>0.1509722</v>
      </c>
      <c r="J4814" s="13" t="n">
        <f aca="false">IFERROR(MIN(Eingaben!$B$18,MAX(0,F4814-I4814)),0)</f>
        <v>1.5932278</v>
      </c>
      <c r="K4814" s="13" t="n">
        <f aca="false">H4814+I4814</f>
        <v>0.89</v>
      </c>
      <c r="L4814" s="13" t="n">
        <f aca="false">MAX(0,D4814-K4814)</f>
        <v>0</v>
      </c>
      <c r="M4814" s="13" t="n">
        <f aca="false">MAX(0,F4814-I4814-J4814)</f>
        <v>0</v>
      </c>
      <c r="N4814" s="13" t="n">
        <f aca="false">IF(Kalender!A56="",0,J4813-H4814)</f>
        <v>0.0150822</v>
      </c>
    </row>
    <row r="4815" customFormat="false" ht="16.4" hidden="false" customHeight="false" outlineLevel="0" collapsed="false">
      <c r="A4815" s="13" t="str">
        <f aca="false">""</f>
        <v/>
      </c>
      <c r="B4815" s="13" t="n">
        <f aca="false">53</f>
        <v>53</v>
      </c>
      <c r="C4815" s="13" t="n">
        <f aca="false">IF(Szenarien!$H$24="OK",(IFERROR(SUMIF(Nutzungsprofile!$B$6:$B$11,"Schulbetrieb",Nutzungsprofile!$G$6:$G$11)*Kalender!C57/SUM(Kalender!$C$5:$C$370),0)+IFERROR(SUMIF(Nutzungsprofile!$B$6:$B$11,"Halle",Nutzungsprofile!$G$6:$G$11)*Kalender!D57/SUM(Kalender!$D$5:$D$370),0)+IFERROR(SUMIF(Nutzungsprofile!$B$6:$B$11,"Individuell",Nutzungsprofile!$G$6:$G$11)*Kalender!E57/SUM(Kalender!$E$5:$E$370),0))*Szenarien!$E$24,0)</f>
        <v>2.04</v>
      </c>
      <c r="D4815" s="13" t="n">
        <f aca="false">IF(Szenarien!$H$24="OK",(IFERROR(SUMIF(Nutzungsprofile!$B$17:$B$22,"Schulbetrieb",Nutzungsprofile!$G$17:$G$22)*Kalender!C57/SUM(Kalender!$C$5:$C$370),0)+IFERROR(SUMIF(Nutzungsprofile!$B$17:$B$22,"Halle",Nutzungsprofile!$G$17:$G$22)*Kalender!D57/SUM(Kalender!$D$5:$D$370),0)+IFERROR(SUMIF(Nutzungsprofile!$B$17:$B$22,"Individuell",Nutzungsprofile!$G$17:$G$22)*Kalender!E57/SUM(Kalender!$E$5:$E$370),0))*Szenarien!$D$24,0)</f>
        <v>0.89</v>
      </c>
      <c r="E4815" s="13" t="n">
        <f aca="false">IFERROR(MIN(C4815,Eingaben!$B$17)*Eingaben!$B$16,0)</f>
        <v>1.938</v>
      </c>
      <c r="F4815" s="13" t="n">
        <f aca="false">IFERROR(E4815*Eingaben!$B$15,0)</f>
        <v>1.7442</v>
      </c>
      <c r="G4815" s="13" t="n">
        <f aca="false">IFERROR(IF(Kalender!A57="",0,J4814*(1-Eingaben!$B$20)),0)</f>
        <v>1.561363244</v>
      </c>
      <c r="H4815" s="13" t="n">
        <f aca="false">MIN(G4815,D4815)</f>
        <v>0.89</v>
      </c>
      <c r="I4815" s="13" t="n">
        <f aca="false">IFERROR(MIN(F4815*Eingaben!$B$19,MAX(0,D4815-H4815)),0)</f>
        <v>0</v>
      </c>
      <c r="J4815" s="13" t="n">
        <f aca="false">IFERROR(MIN(Eingaben!$B$18,MAX(0,F4815-I4815)),0)</f>
        <v>1.7442</v>
      </c>
      <c r="K4815" s="13" t="n">
        <f aca="false">H4815+I4815</f>
        <v>0.89</v>
      </c>
      <c r="L4815" s="13" t="n">
        <f aca="false">MAX(0,D4815-K4815)</f>
        <v>0</v>
      </c>
      <c r="M4815" s="13" t="n">
        <f aca="false">MAX(0,F4815-I4815-J4815)</f>
        <v>0</v>
      </c>
      <c r="N4815" s="13" t="n">
        <f aca="false">IF(Kalender!A57="",0,J4814-H4815)</f>
        <v>0.7032278</v>
      </c>
    </row>
    <row r="4816" customFormat="false" ht="16.4" hidden="false" customHeight="false" outlineLevel="0" collapsed="false">
      <c r="A4816" s="13" t="str">
        <f aca="false">""</f>
        <v/>
      </c>
      <c r="B4816" s="13" t="n">
        <f aca="false">54</f>
        <v>54</v>
      </c>
      <c r="C4816" s="13" t="n">
        <f aca="false">IF(Szenarien!$H$24="OK",(IFERROR(SUMIF(Nutzungsprofile!$B$6:$B$11,"Schulbetrieb",Nutzungsprofile!$G$6:$G$11)*Kalender!C58/SUM(Kalender!$C$5:$C$370),0)+IFERROR(SUMIF(Nutzungsprofile!$B$6:$B$11,"Halle",Nutzungsprofile!$G$6:$G$11)*Kalender!D58/SUM(Kalender!$D$5:$D$370),0)+IFERROR(SUMIF(Nutzungsprofile!$B$6:$B$11,"Individuell",Nutzungsprofile!$G$6:$G$11)*Kalender!E58/SUM(Kalender!$E$5:$E$370),0))*Szenarien!$E$24,0)</f>
        <v>2.94</v>
      </c>
      <c r="D4816" s="13" t="n">
        <f aca="false">IF(Szenarien!$H$24="OK",(IFERROR(SUMIF(Nutzungsprofile!$B$17:$B$22,"Schulbetrieb",Nutzungsprofile!$G$17:$G$22)*Kalender!C58/SUM(Kalender!$C$5:$C$370),0)+IFERROR(SUMIF(Nutzungsprofile!$B$17:$B$22,"Halle",Nutzungsprofile!$G$17:$G$22)*Kalender!D58/SUM(Kalender!$D$5:$D$370),0)+IFERROR(SUMIF(Nutzungsprofile!$B$17:$B$22,"Individuell",Nutzungsprofile!$G$17:$G$22)*Kalender!E58/SUM(Kalender!$E$5:$E$370),0))*Szenarien!$D$24,0)</f>
        <v>4.94</v>
      </c>
      <c r="E4816" s="13" t="n">
        <f aca="false">IFERROR(MIN(C4816,Eingaben!$B$17)*Eingaben!$B$16,0)</f>
        <v>2.793</v>
      </c>
      <c r="F4816" s="13" t="n">
        <f aca="false">IFERROR(E4816*Eingaben!$B$15,0)</f>
        <v>2.5137</v>
      </c>
      <c r="G4816" s="13" t="n">
        <f aca="false">IFERROR(IF(Kalender!A58="",0,J4815*(1-Eingaben!$B$20)),0)</f>
        <v>1.709316</v>
      </c>
      <c r="H4816" s="13" t="n">
        <f aca="false">MIN(G4816,D4816)</f>
        <v>1.709316</v>
      </c>
      <c r="I4816" s="13" t="n">
        <f aca="false">IFERROR(MIN(F4816*Eingaben!$B$19,MAX(0,D4816-H4816)),0)</f>
        <v>1.75959</v>
      </c>
      <c r="J4816" s="13" t="n">
        <f aca="false">IFERROR(MIN(Eingaben!$B$18,MAX(0,F4816-I4816)),0)</f>
        <v>0.75411</v>
      </c>
      <c r="K4816" s="13" t="n">
        <f aca="false">H4816+I4816</f>
        <v>3.468906</v>
      </c>
      <c r="L4816" s="13" t="n">
        <f aca="false">MAX(0,D4816-K4816)</f>
        <v>1.471094</v>
      </c>
      <c r="M4816" s="13" t="n">
        <f aca="false">MAX(0,F4816-I4816-J4816)</f>
        <v>0</v>
      </c>
      <c r="N4816" s="13" t="n">
        <f aca="false">IF(Kalender!A58="",0,J4815-H4816)</f>
        <v>0.0348840000000001</v>
      </c>
    </row>
    <row r="4817" customFormat="false" ht="16.4" hidden="false" customHeight="false" outlineLevel="0" collapsed="false">
      <c r="A4817" s="13" t="str">
        <f aca="false">""</f>
        <v/>
      </c>
      <c r="B4817" s="13" t="n">
        <f aca="false">55</f>
        <v>55</v>
      </c>
      <c r="C4817" s="13" t="n">
        <f aca="false">IF(Szenarien!$H$24="OK",(IFERROR(SUMIF(Nutzungsprofile!$B$6:$B$11,"Schulbetrieb",Nutzungsprofile!$G$6:$G$11)*Kalender!C59/SUM(Kalender!$C$5:$C$370),0)+IFERROR(SUMIF(Nutzungsprofile!$B$6:$B$11,"Halle",Nutzungsprofile!$G$6:$G$11)*Kalender!D59/SUM(Kalender!$D$5:$D$370),0)+IFERROR(SUMIF(Nutzungsprofile!$B$6:$B$11,"Individuell",Nutzungsprofile!$G$6:$G$11)*Kalender!E59/SUM(Kalender!$E$5:$E$370),0))*Szenarien!$E$24,0)</f>
        <v>2.94</v>
      </c>
      <c r="D4817" s="13" t="n">
        <f aca="false">IF(Szenarien!$H$24="OK",(IFERROR(SUMIF(Nutzungsprofile!$B$17:$B$22,"Schulbetrieb",Nutzungsprofile!$G$17:$G$22)*Kalender!C59/SUM(Kalender!$C$5:$C$370),0)+IFERROR(SUMIF(Nutzungsprofile!$B$17:$B$22,"Halle",Nutzungsprofile!$G$17:$G$22)*Kalender!D59/SUM(Kalender!$D$5:$D$370),0)+IFERROR(SUMIF(Nutzungsprofile!$B$17:$B$22,"Individuell",Nutzungsprofile!$G$17:$G$22)*Kalender!E59/SUM(Kalender!$E$5:$E$370),0))*Szenarien!$D$24,0)</f>
        <v>4.94</v>
      </c>
      <c r="E4817" s="13" t="n">
        <f aca="false">IFERROR(MIN(C4817,Eingaben!$B$17)*Eingaben!$B$16,0)</f>
        <v>2.793</v>
      </c>
      <c r="F4817" s="13" t="n">
        <f aca="false">IFERROR(E4817*Eingaben!$B$15,0)</f>
        <v>2.5137</v>
      </c>
      <c r="G4817" s="13" t="n">
        <f aca="false">IFERROR(IF(Kalender!A59="",0,J4816*(1-Eingaben!$B$20)),0)</f>
        <v>0.7390278</v>
      </c>
      <c r="H4817" s="13" t="n">
        <f aca="false">MIN(G4817,D4817)</f>
        <v>0.7390278</v>
      </c>
      <c r="I4817" s="13" t="n">
        <f aca="false">IFERROR(MIN(F4817*Eingaben!$B$19,MAX(0,D4817-H4817)),0)</f>
        <v>1.75959</v>
      </c>
      <c r="J4817" s="13" t="n">
        <f aca="false">IFERROR(MIN(Eingaben!$B$18,MAX(0,F4817-I4817)),0)</f>
        <v>0.75411</v>
      </c>
      <c r="K4817" s="13" t="n">
        <f aca="false">H4817+I4817</f>
        <v>2.4986178</v>
      </c>
      <c r="L4817" s="13" t="n">
        <f aca="false">MAX(0,D4817-K4817)</f>
        <v>2.4413822</v>
      </c>
      <c r="M4817" s="13" t="n">
        <f aca="false">MAX(0,F4817-I4817-J4817)</f>
        <v>0</v>
      </c>
      <c r="N4817" s="13" t="n">
        <f aca="false">IF(Kalender!A59="",0,J4816-H4817)</f>
        <v>0.0150822</v>
      </c>
    </row>
    <row r="4818" customFormat="false" ht="16.4" hidden="false" customHeight="false" outlineLevel="0" collapsed="false">
      <c r="A4818" s="13" t="str">
        <f aca="false">""</f>
        <v/>
      </c>
      <c r="B4818" s="13" t="n">
        <f aca="false">56</f>
        <v>56</v>
      </c>
      <c r="C4818" s="13" t="n">
        <f aca="false">IF(Szenarien!$H$24="OK",(IFERROR(SUMIF(Nutzungsprofile!$B$6:$B$11,"Schulbetrieb",Nutzungsprofile!$G$6:$G$11)*Kalender!C60/SUM(Kalender!$C$5:$C$370),0)+IFERROR(SUMIF(Nutzungsprofile!$B$6:$B$11,"Halle",Nutzungsprofile!$G$6:$G$11)*Kalender!D60/SUM(Kalender!$D$5:$D$370),0)+IFERROR(SUMIF(Nutzungsprofile!$B$6:$B$11,"Individuell",Nutzungsprofile!$G$6:$G$11)*Kalender!E60/SUM(Kalender!$E$5:$E$370),0))*Szenarien!$E$24,0)</f>
        <v>2.94</v>
      </c>
      <c r="D4818" s="13" t="n">
        <f aca="false">IF(Szenarien!$H$24="OK",(IFERROR(SUMIF(Nutzungsprofile!$B$17:$B$22,"Schulbetrieb",Nutzungsprofile!$G$17:$G$22)*Kalender!C60/SUM(Kalender!$C$5:$C$370),0)+IFERROR(SUMIF(Nutzungsprofile!$B$17:$B$22,"Halle",Nutzungsprofile!$G$17:$G$22)*Kalender!D60/SUM(Kalender!$D$5:$D$370),0)+IFERROR(SUMIF(Nutzungsprofile!$B$17:$B$22,"Individuell",Nutzungsprofile!$G$17:$G$22)*Kalender!E60/SUM(Kalender!$E$5:$E$370),0))*Szenarien!$D$24,0)</f>
        <v>4.94</v>
      </c>
      <c r="E4818" s="13" t="n">
        <f aca="false">IFERROR(MIN(C4818,Eingaben!$B$17)*Eingaben!$B$16,0)</f>
        <v>2.793</v>
      </c>
      <c r="F4818" s="13" t="n">
        <f aca="false">IFERROR(E4818*Eingaben!$B$15,0)</f>
        <v>2.5137</v>
      </c>
      <c r="G4818" s="13" t="n">
        <f aca="false">IFERROR(IF(Kalender!A60="",0,J4817*(1-Eingaben!$B$20)),0)</f>
        <v>0.7390278</v>
      </c>
      <c r="H4818" s="13" t="n">
        <f aca="false">MIN(G4818,D4818)</f>
        <v>0.7390278</v>
      </c>
      <c r="I4818" s="13" t="n">
        <f aca="false">IFERROR(MIN(F4818*Eingaben!$B$19,MAX(0,D4818-H4818)),0)</f>
        <v>1.75959</v>
      </c>
      <c r="J4818" s="13" t="n">
        <f aca="false">IFERROR(MIN(Eingaben!$B$18,MAX(0,F4818-I4818)),0)</f>
        <v>0.75411</v>
      </c>
      <c r="K4818" s="13" t="n">
        <f aca="false">H4818+I4818</f>
        <v>2.4986178</v>
      </c>
      <c r="L4818" s="13" t="n">
        <f aca="false">MAX(0,D4818-K4818)</f>
        <v>2.4413822</v>
      </c>
      <c r="M4818" s="13" t="n">
        <f aca="false">MAX(0,F4818-I4818-J4818)</f>
        <v>0</v>
      </c>
      <c r="N4818" s="13" t="n">
        <f aca="false">IF(Kalender!A60="",0,J4817-H4818)</f>
        <v>0.0150822</v>
      </c>
    </row>
    <row r="4819" customFormat="false" ht="16.4" hidden="false" customHeight="false" outlineLevel="0" collapsed="false">
      <c r="A4819" s="13" t="str">
        <f aca="false">""</f>
        <v/>
      </c>
      <c r="B4819" s="13" t="n">
        <f aca="false">57</f>
        <v>57</v>
      </c>
      <c r="C4819" s="13" t="n">
        <f aca="false">IF(Szenarien!$H$24="OK",(IFERROR(SUMIF(Nutzungsprofile!$B$6:$B$11,"Schulbetrieb",Nutzungsprofile!$G$6:$G$11)*Kalender!C61/SUM(Kalender!$C$5:$C$370),0)+IFERROR(SUMIF(Nutzungsprofile!$B$6:$B$11,"Halle",Nutzungsprofile!$G$6:$G$11)*Kalender!D61/SUM(Kalender!$D$5:$D$370),0)+IFERROR(SUMIF(Nutzungsprofile!$B$6:$B$11,"Individuell",Nutzungsprofile!$G$6:$G$11)*Kalender!E61/SUM(Kalender!$E$5:$E$370),0))*Szenarien!$E$24,0)</f>
        <v>2.94</v>
      </c>
      <c r="D4819" s="13" t="n">
        <f aca="false">IF(Szenarien!$H$24="OK",(IFERROR(SUMIF(Nutzungsprofile!$B$17:$B$22,"Schulbetrieb",Nutzungsprofile!$G$17:$G$22)*Kalender!C61/SUM(Kalender!$C$5:$C$370),0)+IFERROR(SUMIF(Nutzungsprofile!$B$17:$B$22,"Halle",Nutzungsprofile!$G$17:$G$22)*Kalender!D61/SUM(Kalender!$D$5:$D$370),0)+IFERROR(SUMIF(Nutzungsprofile!$B$17:$B$22,"Individuell",Nutzungsprofile!$G$17:$G$22)*Kalender!E61/SUM(Kalender!$E$5:$E$370),0))*Szenarien!$D$24,0)</f>
        <v>4.94</v>
      </c>
      <c r="E4819" s="13" t="n">
        <f aca="false">IFERROR(MIN(C4819,Eingaben!$B$17)*Eingaben!$B$16,0)</f>
        <v>2.793</v>
      </c>
      <c r="F4819" s="13" t="n">
        <f aca="false">IFERROR(E4819*Eingaben!$B$15,0)</f>
        <v>2.5137</v>
      </c>
      <c r="G4819" s="13" t="n">
        <f aca="false">IFERROR(IF(Kalender!A61="",0,J4818*(1-Eingaben!$B$20)),0)</f>
        <v>0.7390278</v>
      </c>
      <c r="H4819" s="13" t="n">
        <f aca="false">MIN(G4819,D4819)</f>
        <v>0.7390278</v>
      </c>
      <c r="I4819" s="13" t="n">
        <f aca="false">IFERROR(MIN(F4819*Eingaben!$B$19,MAX(0,D4819-H4819)),0)</f>
        <v>1.75959</v>
      </c>
      <c r="J4819" s="13" t="n">
        <f aca="false">IFERROR(MIN(Eingaben!$B$18,MAX(0,F4819-I4819)),0)</f>
        <v>0.75411</v>
      </c>
      <c r="K4819" s="13" t="n">
        <f aca="false">H4819+I4819</f>
        <v>2.4986178</v>
      </c>
      <c r="L4819" s="13" t="n">
        <f aca="false">MAX(0,D4819-K4819)</f>
        <v>2.4413822</v>
      </c>
      <c r="M4819" s="13" t="n">
        <f aca="false">MAX(0,F4819-I4819-J4819)</f>
        <v>0</v>
      </c>
      <c r="N4819" s="13" t="n">
        <f aca="false">IF(Kalender!A61="",0,J4818-H4819)</f>
        <v>0.0150822</v>
      </c>
    </row>
    <row r="4820" customFormat="false" ht="16.4" hidden="false" customHeight="false" outlineLevel="0" collapsed="false">
      <c r="A4820" s="13" t="str">
        <f aca="false">""</f>
        <v/>
      </c>
      <c r="B4820" s="13" t="n">
        <f aca="false">58</f>
        <v>58</v>
      </c>
      <c r="C4820" s="13" t="n">
        <f aca="false">IF(Szenarien!$H$24="OK",(IFERROR(SUMIF(Nutzungsprofile!$B$6:$B$11,"Schulbetrieb",Nutzungsprofile!$G$6:$G$11)*Kalender!C62/SUM(Kalender!$C$5:$C$370),0)+IFERROR(SUMIF(Nutzungsprofile!$B$6:$B$11,"Halle",Nutzungsprofile!$G$6:$G$11)*Kalender!D62/SUM(Kalender!$D$5:$D$370),0)+IFERROR(SUMIF(Nutzungsprofile!$B$6:$B$11,"Individuell",Nutzungsprofile!$G$6:$G$11)*Kalender!E62/SUM(Kalender!$E$5:$E$370),0))*Szenarien!$E$24,0)</f>
        <v>2.94</v>
      </c>
      <c r="D4820" s="13" t="n">
        <f aca="false">IF(Szenarien!$H$24="OK",(IFERROR(SUMIF(Nutzungsprofile!$B$17:$B$22,"Schulbetrieb",Nutzungsprofile!$G$17:$G$22)*Kalender!C62/SUM(Kalender!$C$5:$C$370),0)+IFERROR(SUMIF(Nutzungsprofile!$B$17:$B$22,"Halle",Nutzungsprofile!$G$17:$G$22)*Kalender!D62/SUM(Kalender!$D$5:$D$370),0)+IFERROR(SUMIF(Nutzungsprofile!$B$17:$B$22,"Individuell",Nutzungsprofile!$G$17:$G$22)*Kalender!E62/SUM(Kalender!$E$5:$E$370),0))*Szenarien!$D$24,0)</f>
        <v>4.94</v>
      </c>
      <c r="E4820" s="13" t="n">
        <f aca="false">IFERROR(MIN(C4820,Eingaben!$B$17)*Eingaben!$B$16,0)</f>
        <v>2.793</v>
      </c>
      <c r="F4820" s="13" t="n">
        <f aca="false">IFERROR(E4820*Eingaben!$B$15,0)</f>
        <v>2.5137</v>
      </c>
      <c r="G4820" s="13" t="n">
        <f aca="false">IFERROR(IF(Kalender!A62="",0,J4819*(1-Eingaben!$B$20)),0)</f>
        <v>0.7390278</v>
      </c>
      <c r="H4820" s="13" t="n">
        <f aca="false">MIN(G4820,D4820)</f>
        <v>0.7390278</v>
      </c>
      <c r="I4820" s="13" t="n">
        <f aca="false">IFERROR(MIN(F4820*Eingaben!$B$19,MAX(0,D4820-H4820)),0)</f>
        <v>1.75959</v>
      </c>
      <c r="J4820" s="13" t="n">
        <f aca="false">IFERROR(MIN(Eingaben!$B$18,MAX(0,F4820-I4820)),0)</f>
        <v>0.75411</v>
      </c>
      <c r="K4820" s="13" t="n">
        <f aca="false">H4820+I4820</f>
        <v>2.4986178</v>
      </c>
      <c r="L4820" s="13" t="n">
        <f aca="false">MAX(0,D4820-K4820)</f>
        <v>2.4413822</v>
      </c>
      <c r="M4820" s="13" t="n">
        <f aca="false">MAX(0,F4820-I4820-J4820)</f>
        <v>0</v>
      </c>
      <c r="N4820" s="13" t="n">
        <f aca="false">IF(Kalender!A62="",0,J4819-H4820)</f>
        <v>0.0150822</v>
      </c>
    </row>
    <row r="4821" customFormat="false" ht="16.4" hidden="false" customHeight="false" outlineLevel="0" collapsed="false">
      <c r="A4821" s="13" t="str">
        <f aca="false">""</f>
        <v/>
      </c>
      <c r="B4821" s="13" t="n">
        <f aca="false">59</f>
        <v>59</v>
      </c>
      <c r="C4821" s="13" t="n">
        <f aca="false">IF(Szenarien!$H$24="OK",(IFERROR(SUMIF(Nutzungsprofile!$B$6:$B$11,"Schulbetrieb",Nutzungsprofile!$G$6:$G$11)*Kalender!C63/SUM(Kalender!$C$5:$C$370),0)+IFERROR(SUMIF(Nutzungsprofile!$B$6:$B$11,"Halle",Nutzungsprofile!$G$6:$G$11)*Kalender!D63/SUM(Kalender!$D$5:$D$370),0)+IFERROR(SUMIF(Nutzungsprofile!$B$6:$B$11,"Individuell",Nutzungsprofile!$G$6:$G$11)*Kalender!E63/SUM(Kalender!$E$5:$E$370),0))*Szenarien!$E$24,0)</f>
        <v>2.04</v>
      </c>
      <c r="D4821" s="13" t="n">
        <f aca="false">IF(Szenarien!$H$24="OK",(IFERROR(SUMIF(Nutzungsprofile!$B$17:$B$22,"Schulbetrieb",Nutzungsprofile!$G$17:$G$22)*Kalender!C63/SUM(Kalender!$C$5:$C$370),0)+IFERROR(SUMIF(Nutzungsprofile!$B$17:$B$22,"Halle",Nutzungsprofile!$G$17:$G$22)*Kalender!D63/SUM(Kalender!$D$5:$D$370),0)+IFERROR(SUMIF(Nutzungsprofile!$B$17:$B$22,"Individuell",Nutzungsprofile!$G$17:$G$22)*Kalender!E63/SUM(Kalender!$E$5:$E$370),0))*Szenarien!$D$24,0)</f>
        <v>0.89</v>
      </c>
      <c r="E4821" s="13" t="n">
        <f aca="false">IFERROR(MIN(C4821,Eingaben!$B$17)*Eingaben!$B$16,0)</f>
        <v>1.938</v>
      </c>
      <c r="F4821" s="13" t="n">
        <f aca="false">IFERROR(E4821*Eingaben!$B$15,0)</f>
        <v>1.7442</v>
      </c>
      <c r="G4821" s="13" t="n">
        <f aca="false">IFERROR(IF(Kalender!A63="",0,J4820*(1-Eingaben!$B$20)),0)</f>
        <v>0.7390278</v>
      </c>
      <c r="H4821" s="13" t="n">
        <f aca="false">MIN(G4821,D4821)</f>
        <v>0.7390278</v>
      </c>
      <c r="I4821" s="13" t="n">
        <f aca="false">IFERROR(MIN(F4821*Eingaben!$B$19,MAX(0,D4821-H4821)),0)</f>
        <v>0.1509722</v>
      </c>
      <c r="J4821" s="13" t="n">
        <f aca="false">IFERROR(MIN(Eingaben!$B$18,MAX(0,F4821-I4821)),0)</f>
        <v>1.5932278</v>
      </c>
      <c r="K4821" s="13" t="n">
        <f aca="false">H4821+I4821</f>
        <v>0.89</v>
      </c>
      <c r="L4821" s="13" t="n">
        <f aca="false">MAX(0,D4821-K4821)</f>
        <v>0</v>
      </c>
      <c r="M4821" s="13" t="n">
        <f aca="false">MAX(0,F4821-I4821-J4821)</f>
        <v>0</v>
      </c>
      <c r="N4821" s="13" t="n">
        <f aca="false">IF(Kalender!A63="",0,J4820-H4821)</f>
        <v>0.0150822</v>
      </c>
    </row>
    <row r="4822" customFormat="false" ht="16.4" hidden="false" customHeight="false" outlineLevel="0" collapsed="false">
      <c r="A4822" s="13" t="str">
        <f aca="false">""</f>
        <v/>
      </c>
      <c r="B4822" s="13" t="n">
        <f aca="false">60</f>
        <v>60</v>
      </c>
      <c r="C4822" s="13" t="n">
        <f aca="false">IF(Szenarien!$H$24="OK",(IFERROR(SUMIF(Nutzungsprofile!$B$6:$B$11,"Schulbetrieb",Nutzungsprofile!$G$6:$G$11)*Kalender!C64/SUM(Kalender!$C$5:$C$370),0)+IFERROR(SUMIF(Nutzungsprofile!$B$6:$B$11,"Halle",Nutzungsprofile!$G$6:$G$11)*Kalender!D64/SUM(Kalender!$D$5:$D$370),0)+IFERROR(SUMIF(Nutzungsprofile!$B$6:$B$11,"Individuell",Nutzungsprofile!$G$6:$G$11)*Kalender!E64/SUM(Kalender!$E$5:$E$370),0))*Szenarien!$E$24,0)</f>
        <v>2.04</v>
      </c>
      <c r="D4822" s="13" t="n">
        <f aca="false">IF(Szenarien!$H$24="OK",(IFERROR(SUMIF(Nutzungsprofile!$B$17:$B$22,"Schulbetrieb",Nutzungsprofile!$G$17:$G$22)*Kalender!C64/SUM(Kalender!$C$5:$C$370),0)+IFERROR(SUMIF(Nutzungsprofile!$B$17:$B$22,"Halle",Nutzungsprofile!$G$17:$G$22)*Kalender!D64/SUM(Kalender!$D$5:$D$370),0)+IFERROR(SUMIF(Nutzungsprofile!$B$17:$B$22,"Individuell",Nutzungsprofile!$G$17:$G$22)*Kalender!E64/SUM(Kalender!$E$5:$E$370),0))*Szenarien!$D$24,0)</f>
        <v>0.89</v>
      </c>
      <c r="E4822" s="13" t="n">
        <f aca="false">IFERROR(MIN(C4822,Eingaben!$B$17)*Eingaben!$B$16,0)</f>
        <v>1.938</v>
      </c>
      <c r="F4822" s="13" t="n">
        <f aca="false">IFERROR(E4822*Eingaben!$B$15,0)</f>
        <v>1.7442</v>
      </c>
      <c r="G4822" s="13" t="n">
        <f aca="false">IFERROR(IF(Kalender!A64="",0,J4821*(1-Eingaben!$B$20)),0)</f>
        <v>1.561363244</v>
      </c>
      <c r="H4822" s="13" t="n">
        <f aca="false">MIN(G4822,D4822)</f>
        <v>0.89</v>
      </c>
      <c r="I4822" s="13" t="n">
        <f aca="false">IFERROR(MIN(F4822*Eingaben!$B$19,MAX(0,D4822-H4822)),0)</f>
        <v>0</v>
      </c>
      <c r="J4822" s="13" t="n">
        <f aca="false">IFERROR(MIN(Eingaben!$B$18,MAX(0,F4822-I4822)),0)</f>
        <v>1.7442</v>
      </c>
      <c r="K4822" s="13" t="n">
        <f aca="false">H4822+I4822</f>
        <v>0.89</v>
      </c>
      <c r="L4822" s="13" t="n">
        <f aca="false">MAX(0,D4822-K4822)</f>
        <v>0</v>
      </c>
      <c r="M4822" s="13" t="n">
        <f aca="false">MAX(0,F4822-I4822-J4822)</f>
        <v>0</v>
      </c>
      <c r="N4822" s="13" t="n">
        <f aca="false">IF(Kalender!A64="",0,J4821-H4822)</f>
        <v>0.7032278</v>
      </c>
    </row>
    <row r="4823" customFormat="false" ht="16.4" hidden="false" customHeight="false" outlineLevel="0" collapsed="false">
      <c r="A4823" s="13" t="str">
        <f aca="false">""</f>
        <v/>
      </c>
      <c r="B4823" s="13" t="n">
        <f aca="false">61</f>
        <v>61</v>
      </c>
      <c r="C4823" s="13" t="n">
        <f aca="false">IF(Szenarien!$H$24="OK",(IFERROR(SUMIF(Nutzungsprofile!$B$6:$B$11,"Schulbetrieb",Nutzungsprofile!$G$6:$G$11)*Kalender!C65/SUM(Kalender!$C$5:$C$370),0)+IFERROR(SUMIF(Nutzungsprofile!$B$6:$B$11,"Halle",Nutzungsprofile!$G$6:$G$11)*Kalender!D65/SUM(Kalender!$D$5:$D$370),0)+IFERROR(SUMIF(Nutzungsprofile!$B$6:$B$11,"Individuell",Nutzungsprofile!$G$6:$G$11)*Kalender!E65/SUM(Kalender!$E$5:$E$370),0))*Szenarien!$E$24,0)</f>
        <v>2.94</v>
      </c>
      <c r="D4823" s="13" t="n">
        <f aca="false">IF(Szenarien!$H$24="OK",(IFERROR(SUMIF(Nutzungsprofile!$B$17:$B$22,"Schulbetrieb",Nutzungsprofile!$G$17:$G$22)*Kalender!C65/SUM(Kalender!$C$5:$C$370),0)+IFERROR(SUMIF(Nutzungsprofile!$B$17:$B$22,"Halle",Nutzungsprofile!$G$17:$G$22)*Kalender!D65/SUM(Kalender!$D$5:$D$370),0)+IFERROR(SUMIF(Nutzungsprofile!$B$17:$B$22,"Individuell",Nutzungsprofile!$G$17:$G$22)*Kalender!E65/SUM(Kalender!$E$5:$E$370),0))*Szenarien!$D$24,0)</f>
        <v>4.94</v>
      </c>
      <c r="E4823" s="13" t="n">
        <f aca="false">IFERROR(MIN(C4823,Eingaben!$B$17)*Eingaben!$B$16,0)</f>
        <v>2.793</v>
      </c>
      <c r="F4823" s="13" t="n">
        <f aca="false">IFERROR(E4823*Eingaben!$B$15,0)</f>
        <v>2.5137</v>
      </c>
      <c r="G4823" s="13" t="n">
        <f aca="false">IFERROR(IF(Kalender!A65="",0,J4822*(1-Eingaben!$B$20)),0)</f>
        <v>1.709316</v>
      </c>
      <c r="H4823" s="13" t="n">
        <f aca="false">MIN(G4823,D4823)</f>
        <v>1.709316</v>
      </c>
      <c r="I4823" s="13" t="n">
        <f aca="false">IFERROR(MIN(F4823*Eingaben!$B$19,MAX(0,D4823-H4823)),0)</f>
        <v>1.75959</v>
      </c>
      <c r="J4823" s="13" t="n">
        <f aca="false">IFERROR(MIN(Eingaben!$B$18,MAX(0,F4823-I4823)),0)</f>
        <v>0.75411</v>
      </c>
      <c r="K4823" s="13" t="n">
        <f aca="false">H4823+I4823</f>
        <v>3.468906</v>
      </c>
      <c r="L4823" s="13" t="n">
        <f aca="false">MAX(0,D4823-K4823)</f>
        <v>1.471094</v>
      </c>
      <c r="M4823" s="13" t="n">
        <f aca="false">MAX(0,F4823-I4823-J4823)</f>
        <v>0</v>
      </c>
      <c r="N4823" s="13" t="n">
        <f aca="false">IF(Kalender!A65="",0,J4822-H4823)</f>
        <v>0.0348840000000001</v>
      </c>
    </row>
    <row r="4824" customFormat="false" ht="16.4" hidden="false" customHeight="false" outlineLevel="0" collapsed="false">
      <c r="A4824" s="13" t="str">
        <f aca="false">""</f>
        <v/>
      </c>
      <c r="B4824" s="13" t="n">
        <f aca="false">62</f>
        <v>62</v>
      </c>
      <c r="C4824" s="13" t="n">
        <f aca="false">IF(Szenarien!$H$24="OK",(IFERROR(SUMIF(Nutzungsprofile!$B$6:$B$11,"Schulbetrieb",Nutzungsprofile!$G$6:$G$11)*Kalender!C66/SUM(Kalender!$C$5:$C$370),0)+IFERROR(SUMIF(Nutzungsprofile!$B$6:$B$11,"Halle",Nutzungsprofile!$G$6:$G$11)*Kalender!D66/SUM(Kalender!$D$5:$D$370),0)+IFERROR(SUMIF(Nutzungsprofile!$B$6:$B$11,"Individuell",Nutzungsprofile!$G$6:$G$11)*Kalender!E66/SUM(Kalender!$E$5:$E$370),0))*Szenarien!$E$24,0)</f>
        <v>2.94</v>
      </c>
      <c r="D4824" s="13" t="n">
        <f aca="false">IF(Szenarien!$H$24="OK",(IFERROR(SUMIF(Nutzungsprofile!$B$17:$B$22,"Schulbetrieb",Nutzungsprofile!$G$17:$G$22)*Kalender!C66/SUM(Kalender!$C$5:$C$370),0)+IFERROR(SUMIF(Nutzungsprofile!$B$17:$B$22,"Halle",Nutzungsprofile!$G$17:$G$22)*Kalender!D66/SUM(Kalender!$D$5:$D$370),0)+IFERROR(SUMIF(Nutzungsprofile!$B$17:$B$22,"Individuell",Nutzungsprofile!$G$17:$G$22)*Kalender!E66/SUM(Kalender!$E$5:$E$370),0))*Szenarien!$D$24,0)</f>
        <v>4.94</v>
      </c>
      <c r="E4824" s="13" t="n">
        <f aca="false">IFERROR(MIN(C4824,Eingaben!$B$17)*Eingaben!$B$16,0)</f>
        <v>2.793</v>
      </c>
      <c r="F4824" s="13" t="n">
        <f aca="false">IFERROR(E4824*Eingaben!$B$15,0)</f>
        <v>2.5137</v>
      </c>
      <c r="G4824" s="13" t="n">
        <f aca="false">IFERROR(IF(Kalender!A66="",0,J4823*(1-Eingaben!$B$20)),0)</f>
        <v>0.7390278</v>
      </c>
      <c r="H4824" s="13" t="n">
        <f aca="false">MIN(G4824,D4824)</f>
        <v>0.7390278</v>
      </c>
      <c r="I4824" s="13" t="n">
        <f aca="false">IFERROR(MIN(F4824*Eingaben!$B$19,MAX(0,D4824-H4824)),0)</f>
        <v>1.75959</v>
      </c>
      <c r="J4824" s="13" t="n">
        <f aca="false">IFERROR(MIN(Eingaben!$B$18,MAX(0,F4824-I4824)),0)</f>
        <v>0.75411</v>
      </c>
      <c r="K4824" s="13" t="n">
        <f aca="false">H4824+I4824</f>
        <v>2.4986178</v>
      </c>
      <c r="L4824" s="13" t="n">
        <f aca="false">MAX(0,D4824-K4824)</f>
        <v>2.4413822</v>
      </c>
      <c r="M4824" s="13" t="n">
        <f aca="false">MAX(0,F4824-I4824-J4824)</f>
        <v>0</v>
      </c>
      <c r="N4824" s="13" t="n">
        <f aca="false">IF(Kalender!A66="",0,J4823-H4824)</f>
        <v>0.0150822</v>
      </c>
    </row>
    <row r="4825" customFormat="false" ht="16.4" hidden="false" customHeight="false" outlineLevel="0" collapsed="false">
      <c r="A4825" s="13" t="str">
        <f aca="false">""</f>
        <v/>
      </c>
      <c r="B4825" s="13" t="n">
        <f aca="false">63</f>
        <v>63</v>
      </c>
      <c r="C4825" s="13" t="n">
        <f aca="false">IF(Szenarien!$H$24="OK",(IFERROR(SUMIF(Nutzungsprofile!$B$6:$B$11,"Schulbetrieb",Nutzungsprofile!$G$6:$G$11)*Kalender!C67/SUM(Kalender!$C$5:$C$370),0)+IFERROR(SUMIF(Nutzungsprofile!$B$6:$B$11,"Halle",Nutzungsprofile!$G$6:$G$11)*Kalender!D67/SUM(Kalender!$D$5:$D$370),0)+IFERROR(SUMIF(Nutzungsprofile!$B$6:$B$11,"Individuell",Nutzungsprofile!$G$6:$G$11)*Kalender!E67/SUM(Kalender!$E$5:$E$370),0))*Szenarien!$E$24,0)</f>
        <v>2.94</v>
      </c>
      <c r="D4825" s="13" t="n">
        <f aca="false">IF(Szenarien!$H$24="OK",(IFERROR(SUMIF(Nutzungsprofile!$B$17:$B$22,"Schulbetrieb",Nutzungsprofile!$G$17:$G$22)*Kalender!C67/SUM(Kalender!$C$5:$C$370),0)+IFERROR(SUMIF(Nutzungsprofile!$B$17:$B$22,"Halle",Nutzungsprofile!$G$17:$G$22)*Kalender!D67/SUM(Kalender!$D$5:$D$370),0)+IFERROR(SUMIF(Nutzungsprofile!$B$17:$B$22,"Individuell",Nutzungsprofile!$G$17:$G$22)*Kalender!E67/SUM(Kalender!$E$5:$E$370),0))*Szenarien!$D$24,0)</f>
        <v>4.94</v>
      </c>
      <c r="E4825" s="13" t="n">
        <f aca="false">IFERROR(MIN(C4825,Eingaben!$B$17)*Eingaben!$B$16,0)</f>
        <v>2.793</v>
      </c>
      <c r="F4825" s="13" t="n">
        <f aca="false">IFERROR(E4825*Eingaben!$B$15,0)</f>
        <v>2.5137</v>
      </c>
      <c r="G4825" s="13" t="n">
        <f aca="false">IFERROR(IF(Kalender!A67="",0,J4824*(1-Eingaben!$B$20)),0)</f>
        <v>0.7390278</v>
      </c>
      <c r="H4825" s="13" t="n">
        <f aca="false">MIN(G4825,D4825)</f>
        <v>0.7390278</v>
      </c>
      <c r="I4825" s="13" t="n">
        <f aca="false">IFERROR(MIN(F4825*Eingaben!$B$19,MAX(0,D4825-H4825)),0)</f>
        <v>1.75959</v>
      </c>
      <c r="J4825" s="13" t="n">
        <f aca="false">IFERROR(MIN(Eingaben!$B$18,MAX(0,F4825-I4825)),0)</f>
        <v>0.75411</v>
      </c>
      <c r="K4825" s="13" t="n">
        <f aca="false">H4825+I4825</f>
        <v>2.4986178</v>
      </c>
      <c r="L4825" s="13" t="n">
        <f aca="false">MAX(0,D4825-K4825)</f>
        <v>2.4413822</v>
      </c>
      <c r="M4825" s="13" t="n">
        <f aca="false">MAX(0,F4825-I4825-J4825)</f>
        <v>0</v>
      </c>
      <c r="N4825" s="13" t="n">
        <f aca="false">IF(Kalender!A67="",0,J4824-H4825)</f>
        <v>0.0150822</v>
      </c>
    </row>
    <row r="4826" customFormat="false" ht="16.4" hidden="false" customHeight="false" outlineLevel="0" collapsed="false">
      <c r="A4826" s="13" t="str">
        <f aca="false">""</f>
        <v/>
      </c>
      <c r="B4826" s="13" t="n">
        <f aca="false">64</f>
        <v>64</v>
      </c>
      <c r="C4826" s="13" t="n">
        <f aca="false">IF(Szenarien!$H$24="OK",(IFERROR(SUMIF(Nutzungsprofile!$B$6:$B$11,"Schulbetrieb",Nutzungsprofile!$G$6:$G$11)*Kalender!C68/SUM(Kalender!$C$5:$C$370),0)+IFERROR(SUMIF(Nutzungsprofile!$B$6:$B$11,"Halle",Nutzungsprofile!$G$6:$G$11)*Kalender!D68/SUM(Kalender!$D$5:$D$370),0)+IFERROR(SUMIF(Nutzungsprofile!$B$6:$B$11,"Individuell",Nutzungsprofile!$G$6:$G$11)*Kalender!E68/SUM(Kalender!$E$5:$E$370),0))*Szenarien!$E$24,0)</f>
        <v>2.94</v>
      </c>
      <c r="D4826" s="13" t="n">
        <f aca="false">IF(Szenarien!$H$24="OK",(IFERROR(SUMIF(Nutzungsprofile!$B$17:$B$22,"Schulbetrieb",Nutzungsprofile!$G$17:$G$22)*Kalender!C68/SUM(Kalender!$C$5:$C$370),0)+IFERROR(SUMIF(Nutzungsprofile!$B$17:$B$22,"Halle",Nutzungsprofile!$G$17:$G$22)*Kalender!D68/SUM(Kalender!$D$5:$D$370),0)+IFERROR(SUMIF(Nutzungsprofile!$B$17:$B$22,"Individuell",Nutzungsprofile!$G$17:$G$22)*Kalender!E68/SUM(Kalender!$E$5:$E$370),0))*Szenarien!$D$24,0)</f>
        <v>4.94</v>
      </c>
      <c r="E4826" s="13" t="n">
        <f aca="false">IFERROR(MIN(C4826,Eingaben!$B$17)*Eingaben!$B$16,0)</f>
        <v>2.793</v>
      </c>
      <c r="F4826" s="13" t="n">
        <f aca="false">IFERROR(E4826*Eingaben!$B$15,0)</f>
        <v>2.5137</v>
      </c>
      <c r="G4826" s="13" t="n">
        <f aca="false">IFERROR(IF(Kalender!A68="",0,J4825*(1-Eingaben!$B$20)),0)</f>
        <v>0.7390278</v>
      </c>
      <c r="H4826" s="13" t="n">
        <f aca="false">MIN(G4826,D4826)</f>
        <v>0.7390278</v>
      </c>
      <c r="I4826" s="13" t="n">
        <f aca="false">IFERROR(MIN(F4826*Eingaben!$B$19,MAX(0,D4826-H4826)),0)</f>
        <v>1.75959</v>
      </c>
      <c r="J4826" s="13" t="n">
        <f aca="false">IFERROR(MIN(Eingaben!$B$18,MAX(0,F4826-I4826)),0)</f>
        <v>0.75411</v>
      </c>
      <c r="K4826" s="13" t="n">
        <f aca="false">H4826+I4826</f>
        <v>2.4986178</v>
      </c>
      <c r="L4826" s="13" t="n">
        <f aca="false">MAX(0,D4826-K4826)</f>
        <v>2.4413822</v>
      </c>
      <c r="M4826" s="13" t="n">
        <f aca="false">MAX(0,F4826-I4826-J4826)</f>
        <v>0</v>
      </c>
      <c r="N4826" s="13" t="n">
        <f aca="false">IF(Kalender!A68="",0,J4825-H4826)</f>
        <v>0.0150822</v>
      </c>
    </row>
    <row r="4827" customFormat="false" ht="16.4" hidden="false" customHeight="false" outlineLevel="0" collapsed="false">
      <c r="A4827" s="13" t="str">
        <f aca="false">""</f>
        <v/>
      </c>
      <c r="B4827" s="13" t="n">
        <f aca="false">65</f>
        <v>65</v>
      </c>
      <c r="C4827" s="13" t="n">
        <f aca="false">IF(Szenarien!$H$24="OK",(IFERROR(SUMIF(Nutzungsprofile!$B$6:$B$11,"Schulbetrieb",Nutzungsprofile!$G$6:$G$11)*Kalender!C69/SUM(Kalender!$C$5:$C$370),0)+IFERROR(SUMIF(Nutzungsprofile!$B$6:$B$11,"Halle",Nutzungsprofile!$G$6:$G$11)*Kalender!D69/SUM(Kalender!$D$5:$D$370),0)+IFERROR(SUMIF(Nutzungsprofile!$B$6:$B$11,"Individuell",Nutzungsprofile!$G$6:$G$11)*Kalender!E69/SUM(Kalender!$E$5:$E$370),0))*Szenarien!$E$24,0)</f>
        <v>2.94</v>
      </c>
      <c r="D4827" s="13" t="n">
        <f aca="false">IF(Szenarien!$H$24="OK",(IFERROR(SUMIF(Nutzungsprofile!$B$17:$B$22,"Schulbetrieb",Nutzungsprofile!$G$17:$G$22)*Kalender!C69/SUM(Kalender!$C$5:$C$370),0)+IFERROR(SUMIF(Nutzungsprofile!$B$17:$B$22,"Halle",Nutzungsprofile!$G$17:$G$22)*Kalender!D69/SUM(Kalender!$D$5:$D$370),0)+IFERROR(SUMIF(Nutzungsprofile!$B$17:$B$22,"Individuell",Nutzungsprofile!$G$17:$G$22)*Kalender!E69/SUM(Kalender!$E$5:$E$370),0))*Szenarien!$D$24,0)</f>
        <v>4.94</v>
      </c>
      <c r="E4827" s="13" t="n">
        <f aca="false">IFERROR(MIN(C4827,Eingaben!$B$17)*Eingaben!$B$16,0)</f>
        <v>2.793</v>
      </c>
      <c r="F4827" s="13" t="n">
        <f aca="false">IFERROR(E4827*Eingaben!$B$15,0)</f>
        <v>2.5137</v>
      </c>
      <c r="G4827" s="13" t="n">
        <f aca="false">IFERROR(IF(Kalender!A69="",0,J4826*(1-Eingaben!$B$20)),0)</f>
        <v>0.7390278</v>
      </c>
      <c r="H4827" s="13" t="n">
        <f aca="false">MIN(G4827,D4827)</f>
        <v>0.7390278</v>
      </c>
      <c r="I4827" s="13" t="n">
        <f aca="false">IFERROR(MIN(F4827*Eingaben!$B$19,MAX(0,D4827-H4827)),0)</f>
        <v>1.75959</v>
      </c>
      <c r="J4827" s="13" t="n">
        <f aca="false">IFERROR(MIN(Eingaben!$B$18,MAX(0,F4827-I4827)),0)</f>
        <v>0.75411</v>
      </c>
      <c r="K4827" s="13" t="n">
        <f aca="false">H4827+I4827</f>
        <v>2.4986178</v>
      </c>
      <c r="L4827" s="13" t="n">
        <f aca="false">MAX(0,D4827-K4827)</f>
        <v>2.4413822</v>
      </c>
      <c r="M4827" s="13" t="n">
        <f aca="false">MAX(0,F4827-I4827-J4827)</f>
        <v>0</v>
      </c>
      <c r="N4827" s="13" t="n">
        <f aca="false">IF(Kalender!A69="",0,J4826-H4827)</f>
        <v>0.0150822</v>
      </c>
    </row>
    <row r="4828" customFormat="false" ht="16.4" hidden="false" customHeight="false" outlineLevel="0" collapsed="false">
      <c r="A4828" s="13" t="str">
        <f aca="false">""</f>
        <v/>
      </c>
      <c r="B4828" s="13" t="n">
        <f aca="false">66</f>
        <v>66</v>
      </c>
      <c r="C4828" s="13" t="n">
        <f aca="false">IF(Szenarien!$H$24="OK",(IFERROR(SUMIF(Nutzungsprofile!$B$6:$B$11,"Schulbetrieb",Nutzungsprofile!$G$6:$G$11)*Kalender!C70/SUM(Kalender!$C$5:$C$370),0)+IFERROR(SUMIF(Nutzungsprofile!$B$6:$B$11,"Halle",Nutzungsprofile!$G$6:$G$11)*Kalender!D70/SUM(Kalender!$D$5:$D$370),0)+IFERROR(SUMIF(Nutzungsprofile!$B$6:$B$11,"Individuell",Nutzungsprofile!$G$6:$G$11)*Kalender!E70/SUM(Kalender!$E$5:$E$370),0))*Szenarien!$E$24,0)</f>
        <v>2.04</v>
      </c>
      <c r="D4828" s="13" t="n">
        <f aca="false">IF(Szenarien!$H$24="OK",(IFERROR(SUMIF(Nutzungsprofile!$B$17:$B$22,"Schulbetrieb",Nutzungsprofile!$G$17:$G$22)*Kalender!C70/SUM(Kalender!$C$5:$C$370),0)+IFERROR(SUMIF(Nutzungsprofile!$B$17:$B$22,"Halle",Nutzungsprofile!$G$17:$G$22)*Kalender!D70/SUM(Kalender!$D$5:$D$370),0)+IFERROR(SUMIF(Nutzungsprofile!$B$17:$B$22,"Individuell",Nutzungsprofile!$G$17:$G$22)*Kalender!E70/SUM(Kalender!$E$5:$E$370),0))*Szenarien!$D$24,0)</f>
        <v>0.89</v>
      </c>
      <c r="E4828" s="13" t="n">
        <f aca="false">IFERROR(MIN(C4828,Eingaben!$B$17)*Eingaben!$B$16,0)</f>
        <v>1.938</v>
      </c>
      <c r="F4828" s="13" t="n">
        <f aca="false">IFERROR(E4828*Eingaben!$B$15,0)</f>
        <v>1.7442</v>
      </c>
      <c r="G4828" s="13" t="n">
        <f aca="false">IFERROR(IF(Kalender!A70="",0,J4827*(1-Eingaben!$B$20)),0)</f>
        <v>0.7390278</v>
      </c>
      <c r="H4828" s="13" t="n">
        <f aca="false">MIN(G4828,D4828)</f>
        <v>0.7390278</v>
      </c>
      <c r="I4828" s="13" t="n">
        <f aca="false">IFERROR(MIN(F4828*Eingaben!$B$19,MAX(0,D4828-H4828)),0)</f>
        <v>0.1509722</v>
      </c>
      <c r="J4828" s="13" t="n">
        <f aca="false">IFERROR(MIN(Eingaben!$B$18,MAX(0,F4828-I4828)),0)</f>
        <v>1.5932278</v>
      </c>
      <c r="K4828" s="13" t="n">
        <f aca="false">H4828+I4828</f>
        <v>0.89</v>
      </c>
      <c r="L4828" s="13" t="n">
        <f aca="false">MAX(0,D4828-K4828)</f>
        <v>0</v>
      </c>
      <c r="M4828" s="13" t="n">
        <f aca="false">MAX(0,F4828-I4828-J4828)</f>
        <v>0</v>
      </c>
      <c r="N4828" s="13" t="n">
        <f aca="false">IF(Kalender!A70="",0,J4827-H4828)</f>
        <v>0.0150822</v>
      </c>
    </row>
    <row r="4829" customFormat="false" ht="16.4" hidden="false" customHeight="false" outlineLevel="0" collapsed="false">
      <c r="A4829" s="13" t="str">
        <f aca="false">""</f>
        <v/>
      </c>
      <c r="B4829" s="13" t="n">
        <f aca="false">67</f>
        <v>67</v>
      </c>
      <c r="C4829" s="13" t="n">
        <f aca="false">IF(Szenarien!$H$24="OK",(IFERROR(SUMIF(Nutzungsprofile!$B$6:$B$11,"Schulbetrieb",Nutzungsprofile!$G$6:$G$11)*Kalender!C71/SUM(Kalender!$C$5:$C$370),0)+IFERROR(SUMIF(Nutzungsprofile!$B$6:$B$11,"Halle",Nutzungsprofile!$G$6:$G$11)*Kalender!D71/SUM(Kalender!$D$5:$D$370),0)+IFERROR(SUMIF(Nutzungsprofile!$B$6:$B$11,"Individuell",Nutzungsprofile!$G$6:$G$11)*Kalender!E71/SUM(Kalender!$E$5:$E$370),0))*Szenarien!$E$24,0)</f>
        <v>2.04</v>
      </c>
      <c r="D4829" s="13" t="n">
        <f aca="false">IF(Szenarien!$H$24="OK",(IFERROR(SUMIF(Nutzungsprofile!$B$17:$B$22,"Schulbetrieb",Nutzungsprofile!$G$17:$G$22)*Kalender!C71/SUM(Kalender!$C$5:$C$370),0)+IFERROR(SUMIF(Nutzungsprofile!$B$17:$B$22,"Halle",Nutzungsprofile!$G$17:$G$22)*Kalender!D71/SUM(Kalender!$D$5:$D$370),0)+IFERROR(SUMIF(Nutzungsprofile!$B$17:$B$22,"Individuell",Nutzungsprofile!$G$17:$G$22)*Kalender!E71/SUM(Kalender!$E$5:$E$370),0))*Szenarien!$D$24,0)</f>
        <v>0.89</v>
      </c>
      <c r="E4829" s="13" t="n">
        <f aca="false">IFERROR(MIN(C4829,Eingaben!$B$17)*Eingaben!$B$16,0)</f>
        <v>1.938</v>
      </c>
      <c r="F4829" s="13" t="n">
        <f aca="false">IFERROR(E4829*Eingaben!$B$15,0)</f>
        <v>1.7442</v>
      </c>
      <c r="G4829" s="13" t="n">
        <f aca="false">IFERROR(IF(Kalender!A71="",0,J4828*(1-Eingaben!$B$20)),0)</f>
        <v>1.561363244</v>
      </c>
      <c r="H4829" s="13" t="n">
        <f aca="false">MIN(G4829,D4829)</f>
        <v>0.89</v>
      </c>
      <c r="I4829" s="13" t="n">
        <f aca="false">IFERROR(MIN(F4829*Eingaben!$B$19,MAX(0,D4829-H4829)),0)</f>
        <v>0</v>
      </c>
      <c r="J4829" s="13" t="n">
        <f aca="false">IFERROR(MIN(Eingaben!$B$18,MAX(0,F4829-I4829)),0)</f>
        <v>1.7442</v>
      </c>
      <c r="K4829" s="13" t="n">
        <f aca="false">H4829+I4829</f>
        <v>0.89</v>
      </c>
      <c r="L4829" s="13" t="n">
        <f aca="false">MAX(0,D4829-K4829)</f>
        <v>0</v>
      </c>
      <c r="M4829" s="13" t="n">
        <f aca="false">MAX(0,F4829-I4829-J4829)</f>
        <v>0</v>
      </c>
      <c r="N4829" s="13" t="n">
        <f aca="false">IF(Kalender!A71="",0,J4828-H4829)</f>
        <v>0.7032278</v>
      </c>
    </row>
    <row r="4830" customFormat="false" ht="16.4" hidden="false" customHeight="false" outlineLevel="0" collapsed="false">
      <c r="A4830" s="13" t="str">
        <f aca="false">""</f>
        <v/>
      </c>
      <c r="B4830" s="13" t="n">
        <f aca="false">68</f>
        <v>68</v>
      </c>
      <c r="C4830" s="13" t="n">
        <f aca="false">IF(Szenarien!$H$24="OK",(IFERROR(SUMIF(Nutzungsprofile!$B$6:$B$11,"Schulbetrieb",Nutzungsprofile!$G$6:$G$11)*Kalender!C72/SUM(Kalender!$C$5:$C$370),0)+IFERROR(SUMIF(Nutzungsprofile!$B$6:$B$11,"Halle",Nutzungsprofile!$G$6:$G$11)*Kalender!D72/SUM(Kalender!$D$5:$D$370),0)+IFERROR(SUMIF(Nutzungsprofile!$B$6:$B$11,"Individuell",Nutzungsprofile!$G$6:$G$11)*Kalender!E72/SUM(Kalender!$E$5:$E$370),0))*Szenarien!$E$24,0)</f>
        <v>2.94</v>
      </c>
      <c r="D4830" s="13" t="n">
        <f aca="false">IF(Szenarien!$H$24="OK",(IFERROR(SUMIF(Nutzungsprofile!$B$17:$B$22,"Schulbetrieb",Nutzungsprofile!$G$17:$G$22)*Kalender!C72/SUM(Kalender!$C$5:$C$370),0)+IFERROR(SUMIF(Nutzungsprofile!$B$17:$B$22,"Halle",Nutzungsprofile!$G$17:$G$22)*Kalender!D72/SUM(Kalender!$D$5:$D$370),0)+IFERROR(SUMIF(Nutzungsprofile!$B$17:$B$22,"Individuell",Nutzungsprofile!$G$17:$G$22)*Kalender!E72/SUM(Kalender!$E$5:$E$370),0))*Szenarien!$D$24,0)</f>
        <v>4.94</v>
      </c>
      <c r="E4830" s="13" t="n">
        <f aca="false">IFERROR(MIN(C4830,Eingaben!$B$17)*Eingaben!$B$16,0)</f>
        <v>2.793</v>
      </c>
      <c r="F4830" s="13" t="n">
        <f aca="false">IFERROR(E4830*Eingaben!$B$15,0)</f>
        <v>2.5137</v>
      </c>
      <c r="G4830" s="13" t="n">
        <f aca="false">IFERROR(IF(Kalender!A72="",0,J4829*(1-Eingaben!$B$20)),0)</f>
        <v>1.709316</v>
      </c>
      <c r="H4830" s="13" t="n">
        <f aca="false">MIN(G4830,D4830)</f>
        <v>1.709316</v>
      </c>
      <c r="I4830" s="13" t="n">
        <f aca="false">IFERROR(MIN(F4830*Eingaben!$B$19,MAX(0,D4830-H4830)),0)</f>
        <v>1.75959</v>
      </c>
      <c r="J4830" s="13" t="n">
        <f aca="false">IFERROR(MIN(Eingaben!$B$18,MAX(0,F4830-I4830)),0)</f>
        <v>0.75411</v>
      </c>
      <c r="K4830" s="13" t="n">
        <f aca="false">H4830+I4830</f>
        <v>3.468906</v>
      </c>
      <c r="L4830" s="13" t="n">
        <f aca="false">MAX(0,D4830-K4830)</f>
        <v>1.471094</v>
      </c>
      <c r="M4830" s="13" t="n">
        <f aca="false">MAX(0,F4830-I4830-J4830)</f>
        <v>0</v>
      </c>
      <c r="N4830" s="13" t="n">
        <f aca="false">IF(Kalender!A72="",0,J4829-H4830)</f>
        <v>0.0348840000000001</v>
      </c>
    </row>
    <row r="4831" customFormat="false" ht="16.4" hidden="false" customHeight="false" outlineLevel="0" collapsed="false">
      <c r="A4831" s="13" t="str">
        <f aca="false">""</f>
        <v/>
      </c>
      <c r="B4831" s="13" t="n">
        <f aca="false">69</f>
        <v>69</v>
      </c>
      <c r="C4831" s="13" t="n">
        <f aca="false">IF(Szenarien!$H$24="OK",(IFERROR(SUMIF(Nutzungsprofile!$B$6:$B$11,"Schulbetrieb",Nutzungsprofile!$G$6:$G$11)*Kalender!C73/SUM(Kalender!$C$5:$C$370),0)+IFERROR(SUMIF(Nutzungsprofile!$B$6:$B$11,"Halle",Nutzungsprofile!$G$6:$G$11)*Kalender!D73/SUM(Kalender!$D$5:$D$370),0)+IFERROR(SUMIF(Nutzungsprofile!$B$6:$B$11,"Individuell",Nutzungsprofile!$G$6:$G$11)*Kalender!E73/SUM(Kalender!$E$5:$E$370),0))*Szenarien!$E$24,0)</f>
        <v>2.94</v>
      </c>
      <c r="D4831" s="13" t="n">
        <f aca="false">IF(Szenarien!$H$24="OK",(IFERROR(SUMIF(Nutzungsprofile!$B$17:$B$22,"Schulbetrieb",Nutzungsprofile!$G$17:$G$22)*Kalender!C73/SUM(Kalender!$C$5:$C$370),0)+IFERROR(SUMIF(Nutzungsprofile!$B$17:$B$22,"Halle",Nutzungsprofile!$G$17:$G$22)*Kalender!D73/SUM(Kalender!$D$5:$D$370),0)+IFERROR(SUMIF(Nutzungsprofile!$B$17:$B$22,"Individuell",Nutzungsprofile!$G$17:$G$22)*Kalender!E73/SUM(Kalender!$E$5:$E$370),0))*Szenarien!$D$24,0)</f>
        <v>4.94</v>
      </c>
      <c r="E4831" s="13" t="n">
        <f aca="false">IFERROR(MIN(C4831,Eingaben!$B$17)*Eingaben!$B$16,0)</f>
        <v>2.793</v>
      </c>
      <c r="F4831" s="13" t="n">
        <f aca="false">IFERROR(E4831*Eingaben!$B$15,0)</f>
        <v>2.5137</v>
      </c>
      <c r="G4831" s="13" t="n">
        <f aca="false">IFERROR(IF(Kalender!A73="",0,J4830*(1-Eingaben!$B$20)),0)</f>
        <v>0.7390278</v>
      </c>
      <c r="H4831" s="13" t="n">
        <f aca="false">MIN(G4831,D4831)</f>
        <v>0.7390278</v>
      </c>
      <c r="I4831" s="13" t="n">
        <f aca="false">IFERROR(MIN(F4831*Eingaben!$B$19,MAX(0,D4831-H4831)),0)</f>
        <v>1.75959</v>
      </c>
      <c r="J4831" s="13" t="n">
        <f aca="false">IFERROR(MIN(Eingaben!$B$18,MAX(0,F4831-I4831)),0)</f>
        <v>0.75411</v>
      </c>
      <c r="K4831" s="13" t="n">
        <f aca="false">H4831+I4831</f>
        <v>2.4986178</v>
      </c>
      <c r="L4831" s="13" t="n">
        <f aca="false">MAX(0,D4831-K4831)</f>
        <v>2.4413822</v>
      </c>
      <c r="M4831" s="13" t="n">
        <f aca="false">MAX(0,F4831-I4831-J4831)</f>
        <v>0</v>
      </c>
      <c r="N4831" s="13" t="n">
        <f aca="false">IF(Kalender!A73="",0,J4830-H4831)</f>
        <v>0.0150822</v>
      </c>
    </row>
    <row r="4832" customFormat="false" ht="16.4" hidden="false" customHeight="false" outlineLevel="0" collapsed="false">
      <c r="A4832" s="13" t="str">
        <f aca="false">""</f>
        <v/>
      </c>
      <c r="B4832" s="13" t="n">
        <f aca="false">70</f>
        <v>70</v>
      </c>
      <c r="C4832" s="13" t="n">
        <f aca="false">IF(Szenarien!$H$24="OK",(IFERROR(SUMIF(Nutzungsprofile!$B$6:$B$11,"Schulbetrieb",Nutzungsprofile!$G$6:$G$11)*Kalender!C74/SUM(Kalender!$C$5:$C$370),0)+IFERROR(SUMIF(Nutzungsprofile!$B$6:$B$11,"Halle",Nutzungsprofile!$G$6:$G$11)*Kalender!D74/SUM(Kalender!$D$5:$D$370),0)+IFERROR(SUMIF(Nutzungsprofile!$B$6:$B$11,"Individuell",Nutzungsprofile!$G$6:$G$11)*Kalender!E74/SUM(Kalender!$E$5:$E$370),0))*Szenarien!$E$24,0)</f>
        <v>2.94</v>
      </c>
      <c r="D4832" s="13" t="n">
        <f aca="false">IF(Szenarien!$H$24="OK",(IFERROR(SUMIF(Nutzungsprofile!$B$17:$B$22,"Schulbetrieb",Nutzungsprofile!$G$17:$G$22)*Kalender!C74/SUM(Kalender!$C$5:$C$370),0)+IFERROR(SUMIF(Nutzungsprofile!$B$17:$B$22,"Halle",Nutzungsprofile!$G$17:$G$22)*Kalender!D74/SUM(Kalender!$D$5:$D$370),0)+IFERROR(SUMIF(Nutzungsprofile!$B$17:$B$22,"Individuell",Nutzungsprofile!$G$17:$G$22)*Kalender!E74/SUM(Kalender!$E$5:$E$370),0))*Szenarien!$D$24,0)</f>
        <v>4.94</v>
      </c>
      <c r="E4832" s="13" t="n">
        <f aca="false">IFERROR(MIN(C4832,Eingaben!$B$17)*Eingaben!$B$16,0)</f>
        <v>2.793</v>
      </c>
      <c r="F4832" s="13" t="n">
        <f aca="false">IFERROR(E4832*Eingaben!$B$15,0)</f>
        <v>2.5137</v>
      </c>
      <c r="G4832" s="13" t="n">
        <f aca="false">IFERROR(IF(Kalender!A74="",0,J4831*(1-Eingaben!$B$20)),0)</f>
        <v>0.7390278</v>
      </c>
      <c r="H4832" s="13" t="n">
        <f aca="false">MIN(G4832,D4832)</f>
        <v>0.7390278</v>
      </c>
      <c r="I4832" s="13" t="n">
        <f aca="false">IFERROR(MIN(F4832*Eingaben!$B$19,MAX(0,D4832-H4832)),0)</f>
        <v>1.75959</v>
      </c>
      <c r="J4832" s="13" t="n">
        <f aca="false">IFERROR(MIN(Eingaben!$B$18,MAX(0,F4832-I4832)),0)</f>
        <v>0.75411</v>
      </c>
      <c r="K4832" s="13" t="n">
        <f aca="false">H4832+I4832</f>
        <v>2.4986178</v>
      </c>
      <c r="L4832" s="13" t="n">
        <f aca="false">MAX(0,D4832-K4832)</f>
        <v>2.4413822</v>
      </c>
      <c r="M4832" s="13" t="n">
        <f aca="false">MAX(0,F4832-I4832-J4832)</f>
        <v>0</v>
      </c>
      <c r="N4832" s="13" t="n">
        <f aca="false">IF(Kalender!A74="",0,J4831-H4832)</f>
        <v>0.0150822</v>
      </c>
    </row>
    <row r="4833" customFormat="false" ht="16.4" hidden="false" customHeight="false" outlineLevel="0" collapsed="false">
      <c r="A4833" s="13" t="str">
        <f aca="false">""</f>
        <v/>
      </c>
      <c r="B4833" s="13" t="n">
        <f aca="false">71</f>
        <v>71</v>
      </c>
      <c r="C4833" s="13" t="n">
        <f aca="false">IF(Szenarien!$H$24="OK",(IFERROR(SUMIF(Nutzungsprofile!$B$6:$B$11,"Schulbetrieb",Nutzungsprofile!$G$6:$G$11)*Kalender!C75/SUM(Kalender!$C$5:$C$370),0)+IFERROR(SUMIF(Nutzungsprofile!$B$6:$B$11,"Halle",Nutzungsprofile!$G$6:$G$11)*Kalender!D75/SUM(Kalender!$D$5:$D$370),0)+IFERROR(SUMIF(Nutzungsprofile!$B$6:$B$11,"Individuell",Nutzungsprofile!$G$6:$G$11)*Kalender!E75/SUM(Kalender!$E$5:$E$370),0))*Szenarien!$E$24,0)</f>
        <v>2.94</v>
      </c>
      <c r="D4833" s="13" t="n">
        <f aca="false">IF(Szenarien!$H$24="OK",(IFERROR(SUMIF(Nutzungsprofile!$B$17:$B$22,"Schulbetrieb",Nutzungsprofile!$G$17:$G$22)*Kalender!C75/SUM(Kalender!$C$5:$C$370),0)+IFERROR(SUMIF(Nutzungsprofile!$B$17:$B$22,"Halle",Nutzungsprofile!$G$17:$G$22)*Kalender!D75/SUM(Kalender!$D$5:$D$370),0)+IFERROR(SUMIF(Nutzungsprofile!$B$17:$B$22,"Individuell",Nutzungsprofile!$G$17:$G$22)*Kalender!E75/SUM(Kalender!$E$5:$E$370),0))*Szenarien!$D$24,0)</f>
        <v>4.94</v>
      </c>
      <c r="E4833" s="13" t="n">
        <f aca="false">IFERROR(MIN(C4833,Eingaben!$B$17)*Eingaben!$B$16,0)</f>
        <v>2.793</v>
      </c>
      <c r="F4833" s="13" t="n">
        <f aca="false">IFERROR(E4833*Eingaben!$B$15,0)</f>
        <v>2.5137</v>
      </c>
      <c r="G4833" s="13" t="n">
        <f aca="false">IFERROR(IF(Kalender!A75="",0,J4832*(1-Eingaben!$B$20)),0)</f>
        <v>0.7390278</v>
      </c>
      <c r="H4833" s="13" t="n">
        <f aca="false">MIN(G4833,D4833)</f>
        <v>0.7390278</v>
      </c>
      <c r="I4833" s="13" t="n">
        <f aca="false">IFERROR(MIN(F4833*Eingaben!$B$19,MAX(0,D4833-H4833)),0)</f>
        <v>1.75959</v>
      </c>
      <c r="J4833" s="13" t="n">
        <f aca="false">IFERROR(MIN(Eingaben!$B$18,MAX(0,F4833-I4833)),0)</f>
        <v>0.75411</v>
      </c>
      <c r="K4833" s="13" t="n">
        <f aca="false">H4833+I4833</f>
        <v>2.4986178</v>
      </c>
      <c r="L4833" s="13" t="n">
        <f aca="false">MAX(0,D4833-K4833)</f>
        <v>2.4413822</v>
      </c>
      <c r="M4833" s="13" t="n">
        <f aca="false">MAX(0,F4833-I4833-J4833)</f>
        <v>0</v>
      </c>
      <c r="N4833" s="13" t="n">
        <f aca="false">IF(Kalender!A75="",0,J4832-H4833)</f>
        <v>0.0150822</v>
      </c>
    </row>
    <row r="4834" customFormat="false" ht="16.4" hidden="false" customHeight="false" outlineLevel="0" collapsed="false">
      <c r="A4834" s="13" t="str">
        <f aca="false">""</f>
        <v/>
      </c>
      <c r="B4834" s="13" t="n">
        <f aca="false">72</f>
        <v>72</v>
      </c>
      <c r="C4834" s="13" t="n">
        <f aca="false">IF(Szenarien!$H$24="OK",(IFERROR(SUMIF(Nutzungsprofile!$B$6:$B$11,"Schulbetrieb",Nutzungsprofile!$G$6:$G$11)*Kalender!C76/SUM(Kalender!$C$5:$C$370),0)+IFERROR(SUMIF(Nutzungsprofile!$B$6:$B$11,"Halle",Nutzungsprofile!$G$6:$G$11)*Kalender!D76/SUM(Kalender!$D$5:$D$370),0)+IFERROR(SUMIF(Nutzungsprofile!$B$6:$B$11,"Individuell",Nutzungsprofile!$G$6:$G$11)*Kalender!E76/SUM(Kalender!$E$5:$E$370),0))*Szenarien!$E$24,0)</f>
        <v>2.94</v>
      </c>
      <c r="D4834" s="13" t="n">
        <f aca="false">IF(Szenarien!$H$24="OK",(IFERROR(SUMIF(Nutzungsprofile!$B$17:$B$22,"Schulbetrieb",Nutzungsprofile!$G$17:$G$22)*Kalender!C76/SUM(Kalender!$C$5:$C$370),0)+IFERROR(SUMIF(Nutzungsprofile!$B$17:$B$22,"Halle",Nutzungsprofile!$G$17:$G$22)*Kalender!D76/SUM(Kalender!$D$5:$D$370),0)+IFERROR(SUMIF(Nutzungsprofile!$B$17:$B$22,"Individuell",Nutzungsprofile!$G$17:$G$22)*Kalender!E76/SUM(Kalender!$E$5:$E$370),0))*Szenarien!$D$24,0)</f>
        <v>4.94</v>
      </c>
      <c r="E4834" s="13" t="n">
        <f aca="false">IFERROR(MIN(C4834,Eingaben!$B$17)*Eingaben!$B$16,0)</f>
        <v>2.793</v>
      </c>
      <c r="F4834" s="13" t="n">
        <f aca="false">IFERROR(E4834*Eingaben!$B$15,0)</f>
        <v>2.5137</v>
      </c>
      <c r="G4834" s="13" t="n">
        <f aca="false">IFERROR(IF(Kalender!A76="",0,J4833*(1-Eingaben!$B$20)),0)</f>
        <v>0.7390278</v>
      </c>
      <c r="H4834" s="13" t="n">
        <f aca="false">MIN(G4834,D4834)</f>
        <v>0.7390278</v>
      </c>
      <c r="I4834" s="13" t="n">
        <f aca="false">IFERROR(MIN(F4834*Eingaben!$B$19,MAX(0,D4834-H4834)),0)</f>
        <v>1.75959</v>
      </c>
      <c r="J4834" s="13" t="n">
        <f aca="false">IFERROR(MIN(Eingaben!$B$18,MAX(0,F4834-I4834)),0)</f>
        <v>0.75411</v>
      </c>
      <c r="K4834" s="13" t="n">
        <f aca="false">H4834+I4834</f>
        <v>2.4986178</v>
      </c>
      <c r="L4834" s="13" t="n">
        <f aca="false">MAX(0,D4834-K4834)</f>
        <v>2.4413822</v>
      </c>
      <c r="M4834" s="13" t="n">
        <f aca="false">MAX(0,F4834-I4834-J4834)</f>
        <v>0</v>
      </c>
      <c r="N4834" s="13" t="n">
        <f aca="false">IF(Kalender!A76="",0,J4833-H4834)</f>
        <v>0.0150822</v>
      </c>
    </row>
    <row r="4835" customFormat="false" ht="16.4" hidden="false" customHeight="false" outlineLevel="0" collapsed="false">
      <c r="A4835" s="13" t="str">
        <f aca="false">""</f>
        <v/>
      </c>
      <c r="B4835" s="13" t="n">
        <f aca="false">73</f>
        <v>73</v>
      </c>
      <c r="C4835" s="13" t="n">
        <f aca="false">IF(Szenarien!$H$24="OK",(IFERROR(SUMIF(Nutzungsprofile!$B$6:$B$11,"Schulbetrieb",Nutzungsprofile!$G$6:$G$11)*Kalender!C77/SUM(Kalender!$C$5:$C$370),0)+IFERROR(SUMIF(Nutzungsprofile!$B$6:$B$11,"Halle",Nutzungsprofile!$G$6:$G$11)*Kalender!D77/SUM(Kalender!$D$5:$D$370),0)+IFERROR(SUMIF(Nutzungsprofile!$B$6:$B$11,"Individuell",Nutzungsprofile!$G$6:$G$11)*Kalender!E77/SUM(Kalender!$E$5:$E$370),0))*Szenarien!$E$24,0)</f>
        <v>2.04</v>
      </c>
      <c r="D4835" s="13" t="n">
        <f aca="false">IF(Szenarien!$H$24="OK",(IFERROR(SUMIF(Nutzungsprofile!$B$17:$B$22,"Schulbetrieb",Nutzungsprofile!$G$17:$G$22)*Kalender!C77/SUM(Kalender!$C$5:$C$370),0)+IFERROR(SUMIF(Nutzungsprofile!$B$17:$B$22,"Halle",Nutzungsprofile!$G$17:$G$22)*Kalender!D77/SUM(Kalender!$D$5:$D$370),0)+IFERROR(SUMIF(Nutzungsprofile!$B$17:$B$22,"Individuell",Nutzungsprofile!$G$17:$G$22)*Kalender!E77/SUM(Kalender!$E$5:$E$370),0))*Szenarien!$D$24,0)</f>
        <v>0.89</v>
      </c>
      <c r="E4835" s="13" t="n">
        <f aca="false">IFERROR(MIN(C4835,Eingaben!$B$17)*Eingaben!$B$16,0)</f>
        <v>1.938</v>
      </c>
      <c r="F4835" s="13" t="n">
        <f aca="false">IFERROR(E4835*Eingaben!$B$15,0)</f>
        <v>1.7442</v>
      </c>
      <c r="G4835" s="13" t="n">
        <f aca="false">IFERROR(IF(Kalender!A77="",0,J4834*(1-Eingaben!$B$20)),0)</f>
        <v>0.7390278</v>
      </c>
      <c r="H4835" s="13" t="n">
        <f aca="false">MIN(G4835,D4835)</f>
        <v>0.7390278</v>
      </c>
      <c r="I4835" s="13" t="n">
        <f aca="false">IFERROR(MIN(F4835*Eingaben!$B$19,MAX(0,D4835-H4835)),0)</f>
        <v>0.1509722</v>
      </c>
      <c r="J4835" s="13" t="n">
        <f aca="false">IFERROR(MIN(Eingaben!$B$18,MAX(0,F4835-I4835)),0)</f>
        <v>1.5932278</v>
      </c>
      <c r="K4835" s="13" t="n">
        <f aca="false">H4835+I4835</f>
        <v>0.89</v>
      </c>
      <c r="L4835" s="13" t="n">
        <f aca="false">MAX(0,D4835-K4835)</f>
        <v>0</v>
      </c>
      <c r="M4835" s="13" t="n">
        <f aca="false">MAX(0,F4835-I4835-J4835)</f>
        <v>0</v>
      </c>
      <c r="N4835" s="13" t="n">
        <f aca="false">IF(Kalender!A77="",0,J4834-H4835)</f>
        <v>0.0150822</v>
      </c>
    </row>
    <row r="4836" customFormat="false" ht="16.4" hidden="false" customHeight="false" outlineLevel="0" collapsed="false">
      <c r="A4836" s="13" t="str">
        <f aca="false">""</f>
        <v/>
      </c>
      <c r="B4836" s="13" t="n">
        <f aca="false">74</f>
        <v>74</v>
      </c>
      <c r="C4836" s="13" t="n">
        <f aca="false">IF(Szenarien!$H$24="OK",(IFERROR(SUMIF(Nutzungsprofile!$B$6:$B$11,"Schulbetrieb",Nutzungsprofile!$G$6:$G$11)*Kalender!C78/SUM(Kalender!$C$5:$C$370),0)+IFERROR(SUMIF(Nutzungsprofile!$B$6:$B$11,"Halle",Nutzungsprofile!$G$6:$G$11)*Kalender!D78/SUM(Kalender!$D$5:$D$370),0)+IFERROR(SUMIF(Nutzungsprofile!$B$6:$B$11,"Individuell",Nutzungsprofile!$G$6:$G$11)*Kalender!E78/SUM(Kalender!$E$5:$E$370),0))*Szenarien!$E$24,0)</f>
        <v>2.04</v>
      </c>
      <c r="D4836" s="13" t="n">
        <f aca="false">IF(Szenarien!$H$24="OK",(IFERROR(SUMIF(Nutzungsprofile!$B$17:$B$22,"Schulbetrieb",Nutzungsprofile!$G$17:$G$22)*Kalender!C78/SUM(Kalender!$C$5:$C$370),0)+IFERROR(SUMIF(Nutzungsprofile!$B$17:$B$22,"Halle",Nutzungsprofile!$G$17:$G$22)*Kalender!D78/SUM(Kalender!$D$5:$D$370),0)+IFERROR(SUMIF(Nutzungsprofile!$B$17:$B$22,"Individuell",Nutzungsprofile!$G$17:$G$22)*Kalender!E78/SUM(Kalender!$E$5:$E$370),0))*Szenarien!$D$24,0)</f>
        <v>0.89</v>
      </c>
      <c r="E4836" s="13" t="n">
        <f aca="false">IFERROR(MIN(C4836,Eingaben!$B$17)*Eingaben!$B$16,0)</f>
        <v>1.938</v>
      </c>
      <c r="F4836" s="13" t="n">
        <f aca="false">IFERROR(E4836*Eingaben!$B$15,0)</f>
        <v>1.7442</v>
      </c>
      <c r="G4836" s="13" t="n">
        <f aca="false">IFERROR(IF(Kalender!A78="",0,J4835*(1-Eingaben!$B$20)),0)</f>
        <v>1.561363244</v>
      </c>
      <c r="H4836" s="13" t="n">
        <f aca="false">MIN(G4836,D4836)</f>
        <v>0.89</v>
      </c>
      <c r="I4836" s="13" t="n">
        <f aca="false">IFERROR(MIN(F4836*Eingaben!$B$19,MAX(0,D4836-H4836)),0)</f>
        <v>0</v>
      </c>
      <c r="J4836" s="13" t="n">
        <f aca="false">IFERROR(MIN(Eingaben!$B$18,MAX(0,F4836-I4836)),0)</f>
        <v>1.7442</v>
      </c>
      <c r="K4836" s="13" t="n">
        <f aca="false">H4836+I4836</f>
        <v>0.89</v>
      </c>
      <c r="L4836" s="13" t="n">
        <f aca="false">MAX(0,D4836-K4836)</f>
        <v>0</v>
      </c>
      <c r="M4836" s="13" t="n">
        <f aca="false">MAX(0,F4836-I4836-J4836)</f>
        <v>0</v>
      </c>
      <c r="N4836" s="13" t="n">
        <f aca="false">IF(Kalender!A78="",0,J4835-H4836)</f>
        <v>0.7032278</v>
      </c>
    </row>
    <row r="4837" customFormat="false" ht="16.4" hidden="false" customHeight="false" outlineLevel="0" collapsed="false">
      <c r="A4837" s="13" t="str">
        <f aca="false">""</f>
        <v/>
      </c>
      <c r="B4837" s="13" t="n">
        <f aca="false">75</f>
        <v>75</v>
      </c>
      <c r="C4837" s="13" t="n">
        <f aca="false">IF(Szenarien!$H$24="OK",(IFERROR(SUMIF(Nutzungsprofile!$B$6:$B$11,"Schulbetrieb",Nutzungsprofile!$G$6:$G$11)*Kalender!C79/SUM(Kalender!$C$5:$C$370),0)+IFERROR(SUMIF(Nutzungsprofile!$B$6:$B$11,"Halle",Nutzungsprofile!$G$6:$G$11)*Kalender!D79/SUM(Kalender!$D$5:$D$370),0)+IFERROR(SUMIF(Nutzungsprofile!$B$6:$B$11,"Individuell",Nutzungsprofile!$G$6:$G$11)*Kalender!E79/SUM(Kalender!$E$5:$E$370),0))*Szenarien!$E$24,0)</f>
        <v>2.94</v>
      </c>
      <c r="D4837" s="13" t="n">
        <f aca="false">IF(Szenarien!$H$24="OK",(IFERROR(SUMIF(Nutzungsprofile!$B$17:$B$22,"Schulbetrieb",Nutzungsprofile!$G$17:$G$22)*Kalender!C79/SUM(Kalender!$C$5:$C$370),0)+IFERROR(SUMIF(Nutzungsprofile!$B$17:$B$22,"Halle",Nutzungsprofile!$G$17:$G$22)*Kalender!D79/SUM(Kalender!$D$5:$D$370),0)+IFERROR(SUMIF(Nutzungsprofile!$B$17:$B$22,"Individuell",Nutzungsprofile!$G$17:$G$22)*Kalender!E79/SUM(Kalender!$E$5:$E$370),0))*Szenarien!$D$24,0)</f>
        <v>4.94</v>
      </c>
      <c r="E4837" s="13" t="n">
        <f aca="false">IFERROR(MIN(C4837,Eingaben!$B$17)*Eingaben!$B$16,0)</f>
        <v>2.793</v>
      </c>
      <c r="F4837" s="13" t="n">
        <f aca="false">IFERROR(E4837*Eingaben!$B$15,0)</f>
        <v>2.5137</v>
      </c>
      <c r="G4837" s="13" t="n">
        <f aca="false">IFERROR(IF(Kalender!A79="",0,J4836*(1-Eingaben!$B$20)),0)</f>
        <v>1.709316</v>
      </c>
      <c r="H4837" s="13" t="n">
        <f aca="false">MIN(G4837,D4837)</f>
        <v>1.709316</v>
      </c>
      <c r="I4837" s="13" t="n">
        <f aca="false">IFERROR(MIN(F4837*Eingaben!$B$19,MAX(0,D4837-H4837)),0)</f>
        <v>1.75959</v>
      </c>
      <c r="J4837" s="13" t="n">
        <f aca="false">IFERROR(MIN(Eingaben!$B$18,MAX(0,F4837-I4837)),0)</f>
        <v>0.75411</v>
      </c>
      <c r="K4837" s="13" t="n">
        <f aca="false">H4837+I4837</f>
        <v>3.468906</v>
      </c>
      <c r="L4837" s="13" t="n">
        <f aca="false">MAX(0,D4837-K4837)</f>
        <v>1.471094</v>
      </c>
      <c r="M4837" s="13" t="n">
        <f aca="false">MAX(0,F4837-I4837-J4837)</f>
        <v>0</v>
      </c>
      <c r="N4837" s="13" t="n">
        <f aca="false">IF(Kalender!A79="",0,J4836-H4837)</f>
        <v>0.0348840000000001</v>
      </c>
    </row>
    <row r="4838" customFormat="false" ht="16.4" hidden="false" customHeight="false" outlineLevel="0" collapsed="false">
      <c r="A4838" s="13" t="str">
        <f aca="false">""</f>
        <v/>
      </c>
      <c r="B4838" s="13" t="n">
        <f aca="false">76</f>
        <v>76</v>
      </c>
      <c r="C4838" s="13" t="n">
        <f aca="false">IF(Szenarien!$H$24="OK",(IFERROR(SUMIF(Nutzungsprofile!$B$6:$B$11,"Schulbetrieb",Nutzungsprofile!$G$6:$G$11)*Kalender!C80/SUM(Kalender!$C$5:$C$370),0)+IFERROR(SUMIF(Nutzungsprofile!$B$6:$B$11,"Halle",Nutzungsprofile!$G$6:$G$11)*Kalender!D80/SUM(Kalender!$D$5:$D$370),0)+IFERROR(SUMIF(Nutzungsprofile!$B$6:$B$11,"Individuell",Nutzungsprofile!$G$6:$G$11)*Kalender!E80/SUM(Kalender!$E$5:$E$370),0))*Szenarien!$E$24,0)</f>
        <v>2.94</v>
      </c>
      <c r="D4838" s="13" t="n">
        <f aca="false">IF(Szenarien!$H$24="OK",(IFERROR(SUMIF(Nutzungsprofile!$B$17:$B$22,"Schulbetrieb",Nutzungsprofile!$G$17:$G$22)*Kalender!C80/SUM(Kalender!$C$5:$C$370),0)+IFERROR(SUMIF(Nutzungsprofile!$B$17:$B$22,"Halle",Nutzungsprofile!$G$17:$G$22)*Kalender!D80/SUM(Kalender!$D$5:$D$370),0)+IFERROR(SUMIF(Nutzungsprofile!$B$17:$B$22,"Individuell",Nutzungsprofile!$G$17:$G$22)*Kalender!E80/SUM(Kalender!$E$5:$E$370),0))*Szenarien!$D$24,0)</f>
        <v>4.94</v>
      </c>
      <c r="E4838" s="13" t="n">
        <f aca="false">IFERROR(MIN(C4838,Eingaben!$B$17)*Eingaben!$B$16,0)</f>
        <v>2.793</v>
      </c>
      <c r="F4838" s="13" t="n">
        <f aca="false">IFERROR(E4838*Eingaben!$B$15,0)</f>
        <v>2.5137</v>
      </c>
      <c r="G4838" s="13" t="n">
        <f aca="false">IFERROR(IF(Kalender!A80="",0,J4837*(1-Eingaben!$B$20)),0)</f>
        <v>0.7390278</v>
      </c>
      <c r="H4838" s="13" t="n">
        <f aca="false">MIN(G4838,D4838)</f>
        <v>0.7390278</v>
      </c>
      <c r="I4838" s="13" t="n">
        <f aca="false">IFERROR(MIN(F4838*Eingaben!$B$19,MAX(0,D4838-H4838)),0)</f>
        <v>1.75959</v>
      </c>
      <c r="J4838" s="13" t="n">
        <f aca="false">IFERROR(MIN(Eingaben!$B$18,MAX(0,F4838-I4838)),0)</f>
        <v>0.75411</v>
      </c>
      <c r="K4838" s="13" t="n">
        <f aca="false">H4838+I4838</f>
        <v>2.4986178</v>
      </c>
      <c r="L4838" s="13" t="n">
        <f aca="false">MAX(0,D4838-K4838)</f>
        <v>2.4413822</v>
      </c>
      <c r="M4838" s="13" t="n">
        <f aca="false">MAX(0,F4838-I4838-J4838)</f>
        <v>0</v>
      </c>
      <c r="N4838" s="13" t="n">
        <f aca="false">IF(Kalender!A80="",0,J4837-H4838)</f>
        <v>0.0150822</v>
      </c>
    </row>
    <row r="4839" customFormat="false" ht="16.4" hidden="false" customHeight="false" outlineLevel="0" collapsed="false">
      <c r="A4839" s="13" t="str">
        <f aca="false">""</f>
        <v/>
      </c>
      <c r="B4839" s="13" t="n">
        <f aca="false">77</f>
        <v>77</v>
      </c>
      <c r="C4839" s="13" t="n">
        <f aca="false">IF(Szenarien!$H$24="OK",(IFERROR(SUMIF(Nutzungsprofile!$B$6:$B$11,"Schulbetrieb",Nutzungsprofile!$G$6:$G$11)*Kalender!C81/SUM(Kalender!$C$5:$C$370),0)+IFERROR(SUMIF(Nutzungsprofile!$B$6:$B$11,"Halle",Nutzungsprofile!$G$6:$G$11)*Kalender!D81/SUM(Kalender!$D$5:$D$370),0)+IFERROR(SUMIF(Nutzungsprofile!$B$6:$B$11,"Individuell",Nutzungsprofile!$G$6:$G$11)*Kalender!E81/SUM(Kalender!$E$5:$E$370),0))*Szenarien!$E$24,0)</f>
        <v>2.94</v>
      </c>
      <c r="D4839" s="13" t="n">
        <f aca="false">IF(Szenarien!$H$24="OK",(IFERROR(SUMIF(Nutzungsprofile!$B$17:$B$22,"Schulbetrieb",Nutzungsprofile!$G$17:$G$22)*Kalender!C81/SUM(Kalender!$C$5:$C$370),0)+IFERROR(SUMIF(Nutzungsprofile!$B$17:$B$22,"Halle",Nutzungsprofile!$G$17:$G$22)*Kalender!D81/SUM(Kalender!$D$5:$D$370),0)+IFERROR(SUMIF(Nutzungsprofile!$B$17:$B$22,"Individuell",Nutzungsprofile!$G$17:$G$22)*Kalender!E81/SUM(Kalender!$E$5:$E$370),0))*Szenarien!$D$24,0)</f>
        <v>4.94</v>
      </c>
      <c r="E4839" s="13" t="n">
        <f aca="false">IFERROR(MIN(C4839,Eingaben!$B$17)*Eingaben!$B$16,0)</f>
        <v>2.793</v>
      </c>
      <c r="F4839" s="13" t="n">
        <f aca="false">IFERROR(E4839*Eingaben!$B$15,0)</f>
        <v>2.5137</v>
      </c>
      <c r="G4839" s="13" t="n">
        <f aca="false">IFERROR(IF(Kalender!A81="",0,J4838*(1-Eingaben!$B$20)),0)</f>
        <v>0.7390278</v>
      </c>
      <c r="H4839" s="13" t="n">
        <f aca="false">MIN(G4839,D4839)</f>
        <v>0.7390278</v>
      </c>
      <c r="I4839" s="13" t="n">
        <f aca="false">IFERROR(MIN(F4839*Eingaben!$B$19,MAX(0,D4839-H4839)),0)</f>
        <v>1.75959</v>
      </c>
      <c r="J4839" s="13" t="n">
        <f aca="false">IFERROR(MIN(Eingaben!$B$18,MAX(0,F4839-I4839)),0)</f>
        <v>0.75411</v>
      </c>
      <c r="K4839" s="13" t="n">
        <f aca="false">H4839+I4839</f>
        <v>2.4986178</v>
      </c>
      <c r="L4839" s="13" t="n">
        <f aca="false">MAX(0,D4839-K4839)</f>
        <v>2.4413822</v>
      </c>
      <c r="M4839" s="13" t="n">
        <f aca="false">MAX(0,F4839-I4839-J4839)</f>
        <v>0</v>
      </c>
      <c r="N4839" s="13" t="n">
        <f aca="false">IF(Kalender!A81="",0,J4838-H4839)</f>
        <v>0.0150822</v>
      </c>
    </row>
    <row r="4840" customFormat="false" ht="16.4" hidden="false" customHeight="false" outlineLevel="0" collapsed="false">
      <c r="A4840" s="13" t="str">
        <f aca="false">""</f>
        <v/>
      </c>
      <c r="B4840" s="13" t="n">
        <f aca="false">78</f>
        <v>78</v>
      </c>
      <c r="C4840" s="13" t="n">
        <f aca="false">IF(Szenarien!$H$24="OK",(IFERROR(SUMIF(Nutzungsprofile!$B$6:$B$11,"Schulbetrieb",Nutzungsprofile!$G$6:$G$11)*Kalender!C82/SUM(Kalender!$C$5:$C$370),0)+IFERROR(SUMIF(Nutzungsprofile!$B$6:$B$11,"Halle",Nutzungsprofile!$G$6:$G$11)*Kalender!D82/SUM(Kalender!$D$5:$D$370),0)+IFERROR(SUMIF(Nutzungsprofile!$B$6:$B$11,"Individuell",Nutzungsprofile!$G$6:$G$11)*Kalender!E82/SUM(Kalender!$E$5:$E$370),0))*Szenarien!$E$24,0)</f>
        <v>2.94</v>
      </c>
      <c r="D4840" s="13" t="n">
        <f aca="false">IF(Szenarien!$H$24="OK",(IFERROR(SUMIF(Nutzungsprofile!$B$17:$B$22,"Schulbetrieb",Nutzungsprofile!$G$17:$G$22)*Kalender!C82/SUM(Kalender!$C$5:$C$370),0)+IFERROR(SUMIF(Nutzungsprofile!$B$17:$B$22,"Halle",Nutzungsprofile!$G$17:$G$22)*Kalender!D82/SUM(Kalender!$D$5:$D$370),0)+IFERROR(SUMIF(Nutzungsprofile!$B$17:$B$22,"Individuell",Nutzungsprofile!$G$17:$G$22)*Kalender!E82/SUM(Kalender!$E$5:$E$370),0))*Szenarien!$D$24,0)</f>
        <v>4.94</v>
      </c>
      <c r="E4840" s="13" t="n">
        <f aca="false">IFERROR(MIN(C4840,Eingaben!$B$17)*Eingaben!$B$16,0)</f>
        <v>2.793</v>
      </c>
      <c r="F4840" s="13" t="n">
        <f aca="false">IFERROR(E4840*Eingaben!$B$15,0)</f>
        <v>2.5137</v>
      </c>
      <c r="G4840" s="13" t="n">
        <f aca="false">IFERROR(IF(Kalender!A82="",0,J4839*(1-Eingaben!$B$20)),0)</f>
        <v>0.7390278</v>
      </c>
      <c r="H4840" s="13" t="n">
        <f aca="false">MIN(G4840,D4840)</f>
        <v>0.7390278</v>
      </c>
      <c r="I4840" s="13" t="n">
        <f aca="false">IFERROR(MIN(F4840*Eingaben!$B$19,MAX(0,D4840-H4840)),0)</f>
        <v>1.75959</v>
      </c>
      <c r="J4840" s="13" t="n">
        <f aca="false">IFERROR(MIN(Eingaben!$B$18,MAX(0,F4840-I4840)),0)</f>
        <v>0.75411</v>
      </c>
      <c r="K4840" s="13" t="n">
        <f aca="false">H4840+I4840</f>
        <v>2.4986178</v>
      </c>
      <c r="L4840" s="13" t="n">
        <f aca="false">MAX(0,D4840-K4840)</f>
        <v>2.4413822</v>
      </c>
      <c r="M4840" s="13" t="n">
        <f aca="false">MAX(0,F4840-I4840-J4840)</f>
        <v>0</v>
      </c>
      <c r="N4840" s="13" t="n">
        <f aca="false">IF(Kalender!A82="",0,J4839-H4840)</f>
        <v>0.0150822</v>
      </c>
    </row>
    <row r="4841" customFormat="false" ht="16.4" hidden="false" customHeight="false" outlineLevel="0" collapsed="false">
      <c r="A4841" s="13" t="str">
        <f aca="false">""</f>
        <v/>
      </c>
      <c r="B4841" s="13" t="n">
        <f aca="false">79</f>
        <v>79</v>
      </c>
      <c r="C4841" s="13" t="n">
        <f aca="false">IF(Szenarien!$H$24="OK",(IFERROR(SUMIF(Nutzungsprofile!$B$6:$B$11,"Schulbetrieb",Nutzungsprofile!$G$6:$G$11)*Kalender!C83/SUM(Kalender!$C$5:$C$370),0)+IFERROR(SUMIF(Nutzungsprofile!$B$6:$B$11,"Halle",Nutzungsprofile!$G$6:$G$11)*Kalender!D83/SUM(Kalender!$D$5:$D$370),0)+IFERROR(SUMIF(Nutzungsprofile!$B$6:$B$11,"Individuell",Nutzungsprofile!$G$6:$G$11)*Kalender!E83/SUM(Kalender!$E$5:$E$370),0))*Szenarien!$E$24,0)</f>
        <v>2.94</v>
      </c>
      <c r="D4841" s="13" t="n">
        <f aca="false">IF(Szenarien!$H$24="OK",(IFERROR(SUMIF(Nutzungsprofile!$B$17:$B$22,"Schulbetrieb",Nutzungsprofile!$G$17:$G$22)*Kalender!C83/SUM(Kalender!$C$5:$C$370),0)+IFERROR(SUMIF(Nutzungsprofile!$B$17:$B$22,"Halle",Nutzungsprofile!$G$17:$G$22)*Kalender!D83/SUM(Kalender!$D$5:$D$370),0)+IFERROR(SUMIF(Nutzungsprofile!$B$17:$B$22,"Individuell",Nutzungsprofile!$G$17:$G$22)*Kalender!E83/SUM(Kalender!$E$5:$E$370),0))*Szenarien!$D$24,0)</f>
        <v>4.94</v>
      </c>
      <c r="E4841" s="13" t="n">
        <f aca="false">IFERROR(MIN(C4841,Eingaben!$B$17)*Eingaben!$B$16,0)</f>
        <v>2.793</v>
      </c>
      <c r="F4841" s="13" t="n">
        <f aca="false">IFERROR(E4841*Eingaben!$B$15,0)</f>
        <v>2.5137</v>
      </c>
      <c r="G4841" s="13" t="n">
        <f aca="false">IFERROR(IF(Kalender!A83="",0,J4840*(1-Eingaben!$B$20)),0)</f>
        <v>0.7390278</v>
      </c>
      <c r="H4841" s="13" t="n">
        <f aca="false">MIN(G4841,D4841)</f>
        <v>0.7390278</v>
      </c>
      <c r="I4841" s="13" t="n">
        <f aca="false">IFERROR(MIN(F4841*Eingaben!$B$19,MAX(0,D4841-H4841)),0)</f>
        <v>1.75959</v>
      </c>
      <c r="J4841" s="13" t="n">
        <f aca="false">IFERROR(MIN(Eingaben!$B$18,MAX(0,F4841-I4841)),0)</f>
        <v>0.75411</v>
      </c>
      <c r="K4841" s="13" t="n">
        <f aca="false">H4841+I4841</f>
        <v>2.4986178</v>
      </c>
      <c r="L4841" s="13" t="n">
        <f aca="false">MAX(0,D4841-K4841)</f>
        <v>2.4413822</v>
      </c>
      <c r="M4841" s="13" t="n">
        <f aca="false">MAX(0,F4841-I4841-J4841)</f>
        <v>0</v>
      </c>
      <c r="N4841" s="13" t="n">
        <f aca="false">IF(Kalender!A83="",0,J4840-H4841)</f>
        <v>0.0150822</v>
      </c>
    </row>
    <row r="4842" customFormat="false" ht="16.4" hidden="false" customHeight="false" outlineLevel="0" collapsed="false">
      <c r="A4842" s="13" t="str">
        <f aca="false">""</f>
        <v/>
      </c>
      <c r="B4842" s="13" t="n">
        <f aca="false">80</f>
        <v>80</v>
      </c>
      <c r="C4842" s="13" t="n">
        <f aca="false">IF(Szenarien!$H$24="OK",(IFERROR(SUMIF(Nutzungsprofile!$B$6:$B$11,"Schulbetrieb",Nutzungsprofile!$G$6:$G$11)*Kalender!C84/SUM(Kalender!$C$5:$C$370),0)+IFERROR(SUMIF(Nutzungsprofile!$B$6:$B$11,"Halle",Nutzungsprofile!$G$6:$G$11)*Kalender!D84/SUM(Kalender!$D$5:$D$370),0)+IFERROR(SUMIF(Nutzungsprofile!$B$6:$B$11,"Individuell",Nutzungsprofile!$G$6:$G$11)*Kalender!E84/SUM(Kalender!$E$5:$E$370),0))*Szenarien!$E$24,0)</f>
        <v>2.04</v>
      </c>
      <c r="D4842" s="13" t="n">
        <f aca="false">IF(Szenarien!$H$24="OK",(IFERROR(SUMIF(Nutzungsprofile!$B$17:$B$22,"Schulbetrieb",Nutzungsprofile!$G$17:$G$22)*Kalender!C84/SUM(Kalender!$C$5:$C$370),0)+IFERROR(SUMIF(Nutzungsprofile!$B$17:$B$22,"Halle",Nutzungsprofile!$G$17:$G$22)*Kalender!D84/SUM(Kalender!$D$5:$D$370),0)+IFERROR(SUMIF(Nutzungsprofile!$B$17:$B$22,"Individuell",Nutzungsprofile!$G$17:$G$22)*Kalender!E84/SUM(Kalender!$E$5:$E$370),0))*Szenarien!$D$24,0)</f>
        <v>0.89</v>
      </c>
      <c r="E4842" s="13" t="n">
        <f aca="false">IFERROR(MIN(C4842,Eingaben!$B$17)*Eingaben!$B$16,0)</f>
        <v>1.938</v>
      </c>
      <c r="F4842" s="13" t="n">
        <f aca="false">IFERROR(E4842*Eingaben!$B$15,0)</f>
        <v>1.7442</v>
      </c>
      <c r="G4842" s="13" t="n">
        <f aca="false">IFERROR(IF(Kalender!A84="",0,J4841*(1-Eingaben!$B$20)),0)</f>
        <v>0.7390278</v>
      </c>
      <c r="H4842" s="13" t="n">
        <f aca="false">MIN(G4842,D4842)</f>
        <v>0.7390278</v>
      </c>
      <c r="I4842" s="13" t="n">
        <f aca="false">IFERROR(MIN(F4842*Eingaben!$B$19,MAX(0,D4842-H4842)),0)</f>
        <v>0.1509722</v>
      </c>
      <c r="J4842" s="13" t="n">
        <f aca="false">IFERROR(MIN(Eingaben!$B$18,MAX(0,F4842-I4842)),0)</f>
        <v>1.5932278</v>
      </c>
      <c r="K4842" s="13" t="n">
        <f aca="false">H4842+I4842</f>
        <v>0.89</v>
      </c>
      <c r="L4842" s="13" t="n">
        <f aca="false">MAX(0,D4842-K4842)</f>
        <v>0</v>
      </c>
      <c r="M4842" s="13" t="n">
        <f aca="false">MAX(0,F4842-I4842-J4842)</f>
        <v>0</v>
      </c>
      <c r="N4842" s="13" t="n">
        <f aca="false">IF(Kalender!A84="",0,J4841-H4842)</f>
        <v>0.0150822</v>
      </c>
    </row>
    <row r="4843" customFormat="false" ht="16.4" hidden="false" customHeight="false" outlineLevel="0" collapsed="false">
      <c r="A4843" s="13" t="str">
        <f aca="false">""</f>
        <v/>
      </c>
      <c r="B4843" s="13" t="n">
        <f aca="false">81</f>
        <v>81</v>
      </c>
      <c r="C4843" s="13" t="n">
        <f aca="false">IF(Szenarien!$H$24="OK",(IFERROR(SUMIF(Nutzungsprofile!$B$6:$B$11,"Schulbetrieb",Nutzungsprofile!$G$6:$G$11)*Kalender!C85/SUM(Kalender!$C$5:$C$370),0)+IFERROR(SUMIF(Nutzungsprofile!$B$6:$B$11,"Halle",Nutzungsprofile!$G$6:$G$11)*Kalender!D85/SUM(Kalender!$D$5:$D$370),0)+IFERROR(SUMIF(Nutzungsprofile!$B$6:$B$11,"Individuell",Nutzungsprofile!$G$6:$G$11)*Kalender!E85/SUM(Kalender!$E$5:$E$370),0))*Szenarien!$E$24,0)</f>
        <v>2.04</v>
      </c>
      <c r="D4843" s="13" t="n">
        <f aca="false">IF(Szenarien!$H$24="OK",(IFERROR(SUMIF(Nutzungsprofile!$B$17:$B$22,"Schulbetrieb",Nutzungsprofile!$G$17:$G$22)*Kalender!C85/SUM(Kalender!$C$5:$C$370),0)+IFERROR(SUMIF(Nutzungsprofile!$B$17:$B$22,"Halle",Nutzungsprofile!$G$17:$G$22)*Kalender!D85/SUM(Kalender!$D$5:$D$370),0)+IFERROR(SUMIF(Nutzungsprofile!$B$17:$B$22,"Individuell",Nutzungsprofile!$G$17:$G$22)*Kalender!E85/SUM(Kalender!$E$5:$E$370),0))*Szenarien!$D$24,0)</f>
        <v>0.89</v>
      </c>
      <c r="E4843" s="13" t="n">
        <f aca="false">IFERROR(MIN(C4843,Eingaben!$B$17)*Eingaben!$B$16,0)</f>
        <v>1.938</v>
      </c>
      <c r="F4843" s="13" t="n">
        <f aca="false">IFERROR(E4843*Eingaben!$B$15,0)</f>
        <v>1.7442</v>
      </c>
      <c r="G4843" s="13" t="n">
        <f aca="false">IFERROR(IF(Kalender!A85="",0,J4842*(1-Eingaben!$B$20)),0)</f>
        <v>1.561363244</v>
      </c>
      <c r="H4843" s="13" t="n">
        <f aca="false">MIN(G4843,D4843)</f>
        <v>0.89</v>
      </c>
      <c r="I4843" s="13" t="n">
        <f aca="false">IFERROR(MIN(F4843*Eingaben!$B$19,MAX(0,D4843-H4843)),0)</f>
        <v>0</v>
      </c>
      <c r="J4843" s="13" t="n">
        <f aca="false">IFERROR(MIN(Eingaben!$B$18,MAX(0,F4843-I4843)),0)</f>
        <v>1.7442</v>
      </c>
      <c r="K4843" s="13" t="n">
        <f aca="false">H4843+I4843</f>
        <v>0.89</v>
      </c>
      <c r="L4843" s="13" t="n">
        <f aca="false">MAX(0,D4843-K4843)</f>
        <v>0</v>
      </c>
      <c r="M4843" s="13" t="n">
        <f aca="false">MAX(0,F4843-I4843-J4843)</f>
        <v>0</v>
      </c>
      <c r="N4843" s="13" t="n">
        <f aca="false">IF(Kalender!A85="",0,J4842-H4843)</f>
        <v>0.7032278</v>
      </c>
    </row>
    <row r="4844" customFormat="false" ht="16.4" hidden="false" customHeight="false" outlineLevel="0" collapsed="false">
      <c r="A4844" s="13" t="str">
        <f aca="false">""</f>
        <v/>
      </c>
      <c r="B4844" s="13" t="n">
        <f aca="false">82</f>
        <v>82</v>
      </c>
      <c r="C4844" s="13" t="n">
        <f aca="false">IF(Szenarien!$H$24="OK",(IFERROR(SUMIF(Nutzungsprofile!$B$6:$B$11,"Schulbetrieb",Nutzungsprofile!$G$6:$G$11)*Kalender!C86/SUM(Kalender!$C$5:$C$370),0)+IFERROR(SUMIF(Nutzungsprofile!$B$6:$B$11,"Halle",Nutzungsprofile!$G$6:$G$11)*Kalender!D86/SUM(Kalender!$D$5:$D$370),0)+IFERROR(SUMIF(Nutzungsprofile!$B$6:$B$11,"Individuell",Nutzungsprofile!$G$6:$G$11)*Kalender!E86/SUM(Kalender!$E$5:$E$370),0))*Szenarien!$E$24,0)</f>
        <v>2.94</v>
      </c>
      <c r="D4844" s="13" t="n">
        <f aca="false">IF(Szenarien!$H$24="OK",(IFERROR(SUMIF(Nutzungsprofile!$B$17:$B$22,"Schulbetrieb",Nutzungsprofile!$G$17:$G$22)*Kalender!C86/SUM(Kalender!$C$5:$C$370),0)+IFERROR(SUMIF(Nutzungsprofile!$B$17:$B$22,"Halle",Nutzungsprofile!$G$17:$G$22)*Kalender!D86/SUM(Kalender!$D$5:$D$370),0)+IFERROR(SUMIF(Nutzungsprofile!$B$17:$B$22,"Individuell",Nutzungsprofile!$G$17:$G$22)*Kalender!E86/SUM(Kalender!$E$5:$E$370),0))*Szenarien!$D$24,0)</f>
        <v>4.94</v>
      </c>
      <c r="E4844" s="13" t="n">
        <f aca="false">IFERROR(MIN(C4844,Eingaben!$B$17)*Eingaben!$B$16,0)</f>
        <v>2.793</v>
      </c>
      <c r="F4844" s="13" t="n">
        <f aca="false">IFERROR(E4844*Eingaben!$B$15,0)</f>
        <v>2.5137</v>
      </c>
      <c r="G4844" s="13" t="n">
        <f aca="false">IFERROR(IF(Kalender!A86="",0,J4843*(1-Eingaben!$B$20)),0)</f>
        <v>1.709316</v>
      </c>
      <c r="H4844" s="13" t="n">
        <f aca="false">MIN(G4844,D4844)</f>
        <v>1.709316</v>
      </c>
      <c r="I4844" s="13" t="n">
        <f aca="false">IFERROR(MIN(F4844*Eingaben!$B$19,MAX(0,D4844-H4844)),0)</f>
        <v>1.75959</v>
      </c>
      <c r="J4844" s="13" t="n">
        <f aca="false">IFERROR(MIN(Eingaben!$B$18,MAX(0,F4844-I4844)),0)</f>
        <v>0.75411</v>
      </c>
      <c r="K4844" s="13" t="n">
        <f aca="false">H4844+I4844</f>
        <v>3.468906</v>
      </c>
      <c r="L4844" s="13" t="n">
        <f aca="false">MAX(0,D4844-K4844)</f>
        <v>1.471094</v>
      </c>
      <c r="M4844" s="13" t="n">
        <f aca="false">MAX(0,F4844-I4844-J4844)</f>
        <v>0</v>
      </c>
      <c r="N4844" s="13" t="n">
        <f aca="false">IF(Kalender!A86="",0,J4843-H4844)</f>
        <v>0.0348840000000001</v>
      </c>
    </row>
    <row r="4845" customFormat="false" ht="16.4" hidden="false" customHeight="false" outlineLevel="0" collapsed="false">
      <c r="A4845" s="13" t="str">
        <f aca="false">""</f>
        <v/>
      </c>
      <c r="B4845" s="13" t="n">
        <f aca="false">83</f>
        <v>83</v>
      </c>
      <c r="C4845" s="13" t="n">
        <f aca="false">IF(Szenarien!$H$24="OK",(IFERROR(SUMIF(Nutzungsprofile!$B$6:$B$11,"Schulbetrieb",Nutzungsprofile!$G$6:$G$11)*Kalender!C87/SUM(Kalender!$C$5:$C$370),0)+IFERROR(SUMIF(Nutzungsprofile!$B$6:$B$11,"Halle",Nutzungsprofile!$G$6:$G$11)*Kalender!D87/SUM(Kalender!$D$5:$D$370),0)+IFERROR(SUMIF(Nutzungsprofile!$B$6:$B$11,"Individuell",Nutzungsprofile!$G$6:$G$11)*Kalender!E87/SUM(Kalender!$E$5:$E$370),0))*Szenarien!$E$24,0)</f>
        <v>2.94</v>
      </c>
      <c r="D4845" s="13" t="n">
        <f aca="false">IF(Szenarien!$H$24="OK",(IFERROR(SUMIF(Nutzungsprofile!$B$17:$B$22,"Schulbetrieb",Nutzungsprofile!$G$17:$G$22)*Kalender!C87/SUM(Kalender!$C$5:$C$370),0)+IFERROR(SUMIF(Nutzungsprofile!$B$17:$B$22,"Halle",Nutzungsprofile!$G$17:$G$22)*Kalender!D87/SUM(Kalender!$D$5:$D$370),0)+IFERROR(SUMIF(Nutzungsprofile!$B$17:$B$22,"Individuell",Nutzungsprofile!$G$17:$G$22)*Kalender!E87/SUM(Kalender!$E$5:$E$370),0))*Szenarien!$D$24,0)</f>
        <v>4.94</v>
      </c>
      <c r="E4845" s="13" t="n">
        <f aca="false">IFERROR(MIN(C4845,Eingaben!$B$17)*Eingaben!$B$16,0)</f>
        <v>2.793</v>
      </c>
      <c r="F4845" s="13" t="n">
        <f aca="false">IFERROR(E4845*Eingaben!$B$15,0)</f>
        <v>2.5137</v>
      </c>
      <c r="G4845" s="13" t="n">
        <f aca="false">IFERROR(IF(Kalender!A87="",0,J4844*(1-Eingaben!$B$20)),0)</f>
        <v>0.7390278</v>
      </c>
      <c r="H4845" s="13" t="n">
        <f aca="false">MIN(G4845,D4845)</f>
        <v>0.7390278</v>
      </c>
      <c r="I4845" s="13" t="n">
        <f aca="false">IFERROR(MIN(F4845*Eingaben!$B$19,MAX(0,D4845-H4845)),0)</f>
        <v>1.75959</v>
      </c>
      <c r="J4845" s="13" t="n">
        <f aca="false">IFERROR(MIN(Eingaben!$B$18,MAX(0,F4845-I4845)),0)</f>
        <v>0.75411</v>
      </c>
      <c r="K4845" s="13" t="n">
        <f aca="false">H4845+I4845</f>
        <v>2.4986178</v>
      </c>
      <c r="L4845" s="13" t="n">
        <f aca="false">MAX(0,D4845-K4845)</f>
        <v>2.4413822</v>
      </c>
      <c r="M4845" s="13" t="n">
        <f aca="false">MAX(0,F4845-I4845-J4845)</f>
        <v>0</v>
      </c>
      <c r="N4845" s="13" t="n">
        <f aca="false">IF(Kalender!A87="",0,J4844-H4845)</f>
        <v>0.0150822</v>
      </c>
    </row>
    <row r="4846" customFormat="false" ht="16.4" hidden="false" customHeight="false" outlineLevel="0" collapsed="false">
      <c r="A4846" s="13" t="str">
        <f aca="false">""</f>
        <v/>
      </c>
      <c r="B4846" s="13" t="n">
        <f aca="false">84</f>
        <v>84</v>
      </c>
      <c r="C4846" s="13" t="n">
        <f aca="false">IF(Szenarien!$H$24="OK",(IFERROR(SUMIF(Nutzungsprofile!$B$6:$B$11,"Schulbetrieb",Nutzungsprofile!$G$6:$G$11)*Kalender!C88/SUM(Kalender!$C$5:$C$370),0)+IFERROR(SUMIF(Nutzungsprofile!$B$6:$B$11,"Halle",Nutzungsprofile!$G$6:$G$11)*Kalender!D88/SUM(Kalender!$D$5:$D$370),0)+IFERROR(SUMIF(Nutzungsprofile!$B$6:$B$11,"Individuell",Nutzungsprofile!$G$6:$G$11)*Kalender!E88/SUM(Kalender!$E$5:$E$370),0))*Szenarien!$E$24,0)</f>
        <v>2.94</v>
      </c>
      <c r="D4846" s="13" t="n">
        <f aca="false">IF(Szenarien!$H$24="OK",(IFERROR(SUMIF(Nutzungsprofile!$B$17:$B$22,"Schulbetrieb",Nutzungsprofile!$G$17:$G$22)*Kalender!C88/SUM(Kalender!$C$5:$C$370),0)+IFERROR(SUMIF(Nutzungsprofile!$B$17:$B$22,"Halle",Nutzungsprofile!$G$17:$G$22)*Kalender!D88/SUM(Kalender!$D$5:$D$370),0)+IFERROR(SUMIF(Nutzungsprofile!$B$17:$B$22,"Individuell",Nutzungsprofile!$G$17:$G$22)*Kalender!E88/SUM(Kalender!$E$5:$E$370),0))*Szenarien!$D$24,0)</f>
        <v>4.94</v>
      </c>
      <c r="E4846" s="13" t="n">
        <f aca="false">IFERROR(MIN(C4846,Eingaben!$B$17)*Eingaben!$B$16,0)</f>
        <v>2.793</v>
      </c>
      <c r="F4846" s="13" t="n">
        <f aca="false">IFERROR(E4846*Eingaben!$B$15,0)</f>
        <v>2.5137</v>
      </c>
      <c r="G4846" s="13" t="n">
        <f aca="false">IFERROR(IF(Kalender!A88="",0,J4845*(1-Eingaben!$B$20)),0)</f>
        <v>0.7390278</v>
      </c>
      <c r="H4846" s="13" t="n">
        <f aca="false">MIN(G4846,D4846)</f>
        <v>0.7390278</v>
      </c>
      <c r="I4846" s="13" t="n">
        <f aca="false">IFERROR(MIN(F4846*Eingaben!$B$19,MAX(0,D4846-H4846)),0)</f>
        <v>1.75959</v>
      </c>
      <c r="J4846" s="13" t="n">
        <f aca="false">IFERROR(MIN(Eingaben!$B$18,MAX(0,F4846-I4846)),0)</f>
        <v>0.75411</v>
      </c>
      <c r="K4846" s="13" t="n">
        <f aca="false">H4846+I4846</f>
        <v>2.4986178</v>
      </c>
      <c r="L4846" s="13" t="n">
        <f aca="false">MAX(0,D4846-K4846)</f>
        <v>2.4413822</v>
      </c>
      <c r="M4846" s="13" t="n">
        <f aca="false">MAX(0,F4846-I4846-J4846)</f>
        <v>0</v>
      </c>
      <c r="N4846" s="13" t="n">
        <f aca="false">IF(Kalender!A88="",0,J4845-H4846)</f>
        <v>0.0150822</v>
      </c>
    </row>
    <row r="4847" customFormat="false" ht="16.4" hidden="false" customHeight="false" outlineLevel="0" collapsed="false">
      <c r="A4847" s="13" t="str">
        <f aca="false">""</f>
        <v/>
      </c>
      <c r="B4847" s="13" t="n">
        <f aca="false">85</f>
        <v>85</v>
      </c>
      <c r="C4847" s="13" t="n">
        <f aca="false">IF(Szenarien!$H$24="OK",(IFERROR(SUMIF(Nutzungsprofile!$B$6:$B$11,"Schulbetrieb",Nutzungsprofile!$G$6:$G$11)*Kalender!C89/SUM(Kalender!$C$5:$C$370),0)+IFERROR(SUMIF(Nutzungsprofile!$B$6:$B$11,"Halle",Nutzungsprofile!$G$6:$G$11)*Kalender!D89/SUM(Kalender!$D$5:$D$370),0)+IFERROR(SUMIF(Nutzungsprofile!$B$6:$B$11,"Individuell",Nutzungsprofile!$G$6:$G$11)*Kalender!E89/SUM(Kalender!$E$5:$E$370),0))*Szenarien!$E$24,0)</f>
        <v>2.94</v>
      </c>
      <c r="D4847" s="13" t="n">
        <f aca="false">IF(Szenarien!$H$24="OK",(IFERROR(SUMIF(Nutzungsprofile!$B$17:$B$22,"Schulbetrieb",Nutzungsprofile!$G$17:$G$22)*Kalender!C89/SUM(Kalender!$C$5:$C$370),0)+IFERROR(SUMIF(Nutzungsprofile!$B$17:$B$22,"Halle",Nutzungsprofile!$G$17:$G$22)*Kalender!D89/SUM(Kalender!$D$5:$D$370),0)+IFERROR(SUMIF(Nutzungsprofile!$B$17:$B$22,"Individuell",Nutzungsprofile!$G$17:$G$22)*Kalender!E89/SUM(Kalender!$E$5:$E$370),0))*Szenarien!$D$24,0)</f>
        <v>4.94</v>
      </c>
      <c r="E4847" s="13" t="n">
        <f aca="false">IFERROR(MIN(C4847,Eingaben!$B$17)*Eingaben!$B$16,0)</f>
        <v>2.793</v>
      </c>
      <c r="F4847" s="13" t="n">
        <f aca="false">IFERROR(E4847*Eingaben!$B$15,0)</f>
        <v>2.5137</v>
      </c>
      <c r="G4847" s="13" t="n">
        <f aca="false">IFERROR(IF(Kalender!A89="",0,J4846*(1-Eingaben!$B$20)),0)</f>
        <v>0.7390278</v>
      </c>
      <c r="H4847" s="13" t="n">
        <f aca="false">MIN(G4847,D4847)</f>
        <v>0.7390278</v>
      </c>
      <c r="I4847" s="13" t="n">
        <f aca="false">IFERROR(MIN(F4847*Eingaben!$B$19,MAX(0,D4847-H4847)),0)</f>
        <v>1.75959</v>
      </c>
      <c r="J4847" s="13" t="n">
        <f aca="false">IFERROR(MIN(Eingaben!$B$18,MAX(0,F4847-I4847)),0)</f>
        <v>0.75411</v>
      </c>
      <c r="K4847" s="13" t="n">
        <f aca="false">H4847+I4847</f>
        <v>2.4986178</v>
      </c>
      <c r="L4847" s="13" t="n">
        <f aca="false">MAX(0,D4847-K4847)</f>
        <v>2.4413822</v>
      </c>
      <c r="M4847" s="13" t="n">
        <f aca="false">MAX(0,F4847-I4847-J4847)</f>
        <v>0</v>
      </c>
      <c r="N4847" s="13" t="n">
        <f aca="false">IF(Kalender!A89="",0,J4846-H4847)</f>
        <v>0.0150822</v>
      </c>
    </row>
    <row r="4848" customFormat="false" ht="16.4" hidden="false" customHeight="false" outlineLevel="0" collapsed="false">
      <c r="A4848" s="13" t="str">
        <f aca="false">""</f>
        <v/>
      </c>
      <c r="B4848" s="13" t="n">
        <f aca="false">86</f>
        <v>86</v>
      </c>
      <c r="C4848" s="13" t="n">
        <f aca="false">IF(Szenarien!$H$24="OK",(IFERROR(SUMIF(Nutzungsprofile!$B$6:$B$11,"Schulbetrieb",Nutzungsprofile!$G$6:$G$11)*Kalender!C90/SUM(Kalender!$C$5:$C$370),0)+IFERROR(SUMIF(Nutzungsprofile!$B$6:$B$11,"Halle",Nutzungsprofile!$G$6:$G$11)*Kalender!D90/SUM(Kalender!$D$5:$D$370),0)+IFERROR(SUMIF(Nutzungsprofile!$B$6:$B$11,"Individuell",Nutzungsprofile!$G$6:$G$11)*Kalender!E90/SUM(Kalender!$E$5:$E$370),0))*Szenarien!$E$24,0)</f>
        <v>2.94</v>
      </c>
      <c r="D4848" s="13" t="n">
        <f aca="false">IF(Szenarien!$H$24="OK",(IFERROR(SUMIF(Nutzungsprofile!$B$17:$B$22,"Schulbetrieb",Nutzungsprofile!$G$17:$G$22)*Kalender!C90/SUM(Kalender!$C$5:$C$370),0)+IFERROR(SUMIF(Nutzungsprofile!$B$17:$B$22,"Halle",Nutzungsprofile!$G$17:$G$22)*Kalender!D90/SUM(Kalender!$D$5:$D$370),0)+IFERROR(SUMIF(Nutzungsprofile!$B$17:$B$22,"Individuell",Nutzungsprofile!$G$17:$G$22)*Kalender!E90/SUM(Kalender!$E$5:$E$370),0))*Szenarien!$D$24,0)</f>
        <v>4.94</v>
      </c>
      <c r="E4848" s="13" t="n">
        <f aca="false">IFERROR(MIN(C4848,Eingaben!$B$17)*Eingaben!$B$16,0)</f>
        <v>2.793</v>
      </c>
      <c r="F4848" s="13" t="n">
        <f aca="false">IFERROR(E4848*Eingaben!$B$15,0)</f>
        <v>2.5137</v>
      </c>
      <c r="G4848" s="13" t="n">
        <f aca="false">IFERROR(IF(Kalender!A90="",0,J4847*(1-Eingaben!$B$20)),0)</f>
        <v>0.7390278</v>
      </c>
      <c r="H4848" s="13" t="n">
        <f aca="false">MIN(G4848,D4848)</f>
        <v>0.7390278</v>
      </c>
      <c r="I4848" s="13" t="n">
        <f aca="false">IFERROR(MIN(F4848*Eingaben!$B$19,MAX(0,D4848-H4848)),0)</f>
        <v>1.75959</v>
      </c>
      <c r="J4848" s="13" t="n">
        <f aca="false">IFERROR(MIN(Eingaben!$B$18,MAX(0,F4848-I4848)),0)</f>
        <v>0.75411</v>
      </c>
      <c r="K4848" s="13" t="n">
        <f aca="false">H4848+I4848</f>
        <v>2.4986178</v>
      </c>
      <c r="L4848" s="13" t="n">
        <f aca="false">MAX(0,D4848-K4848)</f>
        <v>2.4413822</v>
      </c>
      <c r="M4848" s="13" t="n">
        <f aca="false">MAX(0,F4848-I4848-J4848)</f>
        <v>0</v>
      </c>
      <c r="N4848" s="13" t="n">
        <f aca="false">IF(Kalender!A90="",0,J4847-H4848)</f>
        <v>0.0150822</v>
      </c>
    </row>
    <row r="4849" customFormat="false" ht="16.4" hidden="false" customHeight="false" outlineLevel="0" collapsed="false">
      <c r="A4849" s="13" t="str">
        <f aca="false">""</f>
        <v/>
      </c>
      <c r="B4849" s="13" t="n">
        <f aca="false">87</f>
        <v>87</v>
      </c>
      <c r="C4849" s="13" t="n">
        <f aca="false">IF(Szenarien!$H$24="OK",(IFERROR(SUMIF(Nutzungsprofile!$B$6:$B$11,"Schulbetrieb",Nutzungsprofile!$G$6:$G$11)*Kalender!C91/SUM(Kalender!$C$5:$C$370),0)+IFERROR(SUMIF(Nutzungsprofile!$B$6:$B$11,"Halle",Nutzungsprofile!$G$6:$G$11)*Kalender!D91/SUM(Kalender!$D$5:$D$370),0)+IFERROR(SUMIF(Nutzungsprofile!$B$6:$B$11,"Individuell",Nutzungsprofile!$G$6:$G$11)*Kalender!E91/SUM(Kalender!$E$5:$E$370),0))*Szenarien!$E$24,0)</f>
        <v>2.04</v>
      </c>
      <c r="D4849" s="13" t="n">
        <f aca="false">IF(Szenarien!$H$24="OK",(IFERROR(SUMIF(Nutzungsprofile!$B$17:$B$22,"Schulbetrieb",Nutzungsprofile!$G$17:$G$22)*Kalender!C91/SUM(Kalender!$C$5:$C$370),0)+IFERROR(SUMIF(Nutzungsprofile!$B$17:$B$22,"Halle",Nutzungsprofile!$G$17:$G$22)*Kalender!D91/SUM(Kalender!$D$5:$D$370),0)+IFERROR(SUMIF(Nutzungsprofile!$B$17:$B$22,"Individuell",Nutzungsprofile!$G$17:$G$22)*Kalender!E91/SUM(Kalender!$E$5:$E$370),0))*Szenarien!$D$24,0)</f>
        <v>0.89</v>
      </c>
      <c r="E4849" s="13" t="n">
        <f aca="false">IFERROR(MIN(C4849,Eingaben!$B$17)*Eingaben!$B$16,0)</f>
        <v>1.938</v>
      </c>
      <c r="F4849" s="13" t="n">
        <f aca="false">IFERROR(E4849*Eingaben!$B$15,0)</f>
        <v>1.7442</v>
      </c>
      <c r="G4849" s="13" t="n">
        <f aca="false">IFERROR(IF(Kalender!A91="",0,J4848*(1-Eingaben!$B$20)),0)</f>
        <v>0.7390278</v>
      </c>
      <c r="H4849" s="13" t="n">
        <f aca="false">MIN(G4849,D4849)</f>
        <v>0.7390278</v>
      </c>
      <c r="I4849" s="13" t="n">
        <f aca="false">IFERROR(MIN(F4849*Eingaben!$B$19,MAX(0,D4849-H4849)),0)</f>
        <v>0.1509722</v>
      </c>
      <c r="J4849" s="13" t="n">
        <f aca="false">IFERROR(MIN(Eingaben!$B$18,MAX(0,F4849-I4849)),0)</f>
        <v>1.5932278</v>
      </c>
      <c r="K4849" s="13" t="n">
        <f aca="false">H4849+I4849</f>
        <v>0.89</v>
      </c>
      <c r="L4849" s="13" t="n">
        <f aca="false">MAX(0,D4849-K4849)</f>
        <v>0</v>
      </c>
      <c r="M4849" s="13" t="n">
        <f aca="false">MAX(0,F4849-I4849-J4849)</f>
        <v>0</v>
      </c>
      <c r="N4849" s="13" t="n">
        <f aca="false">IF(Kalender!A91="",0,J4848-H4849)</f>
        <v>0.0150822</v>
      </c>
    </row>
    <row r="4850" customFormat="false" ht="16.4" hidden="false" customHeight="false" outlineLevel="0" collapsed="false">
      <c r="A4850" s="13" t="str">
        <f aca="false">""</f>
        <v/>
      </c>
      <c r="B4850" s="13" t="n">
        <f aca="false">88</f>
        <v>88</v>
      </c>
      <c r="C4850" s="13" t="n">
        <f aca="false">IF(Szenarien!$H$24="OK",(IFERROR(SUMIF(Nutzungsprofile!$B$6:$B$11,"Schulbetrieb",Nutzungsprofile!$G$6:$G$11)*Kalender!C92/SUM(Kalender!$C$5:$C$370),0)+IFERROR(SUMIF(Nutzungsprofile!$B$6:$B$11,"Halle",Nutzungsprofile!$G$6:$G$11)*Kalender!D92/SUM(Kalender!$D$5:$D$370),0)+IFERROR(SUMIF(Nutzungsprofile!$B$6:$B$11,"Individuell",Nutzungsprofile!$G$6:$G$11)*Kalender!E92/SUM(Kalender!$E$5:$E$370),0))*Szenarien!$E$24,0)</f>
        <v>2.04</v>
      </c>
      <c r="D4850" s="13" t="n">
        <f aca="false">IF(Szenarien!$H$24="OK",(IFERROR(SUMIF(Nutzungsprofile!$B$17:$B$22,"Schulbetrieb",Nutzungsprofile!$G$17:$G$22)*Kalender!C92/SUM(Kalender!$C$5:$C$370),0)+IFERROR(SUMIF(Nutzungsprofile!$B$17:$B$22,"Halle",Nutzungsprofile!$G$17:$G$22)*Kalender!D92/SUM(Kalender!$D$5:$D$370),0)+IFERROR(SUMIF(Nutzungsprofile!$B$17:$B$22,"Individuell",Nutzungsprofile!$G$17:$G$22)*Kalender!E92/SUM(Kalender!$E$5:$E$370),0))*Szenarien!$D$24,0)</f>
        <v>0.89</v>
      </c>
      <c r="E4850" s="13" t="n">
        <f aca="false">IFERROR(MIN(C4850,Eingaben!$B$17)*Eingaben!$B$16,0)</f>
        <v>1.938</v>
      </c>
      <c r="F4850" s="13" t="n">
        <f aca="false">IFERROR(E4850*Eingaben!$B$15,0)</f>
        <v>1.7442</v>
      </c>
      <c r="G4850" s="13" t="n">
        <f aca="false">IFERROR(IF(Kalender!A92="",0,J4849*(1-Eingaben!$B$20)),0)</f>
        <v>1.561363244</v>
      </c>
      <c r="H4850" s="13" t="n">
        <f aca="false">MIN(G4850,D4850)</f>
        <v>0.89</v>
      </c>
      <c r="I4850" s="13" t="n">
        <f aca="false">IFERROR(MIN(F4850*Eingaben!$B$19,MAX(0,D4850-H4850)),0)</f>
        <v>0</v>
      </c>
      <c r="J4850" s="13" t="n">
        <f aca="false">IFERROR(MIN(Eingaben!$B$18,MAX(0,F4850-I4850)),0)</f>
        <v>1.7442</v>
      </c>
      <c r="K4850" s="13" t="n">
        <f aca="false">H4850+I4850</f>
        <v>0.89</v>
      </c>
      <c r="L4850" s="13" t="n">
        <f aca="false">MAX(0,D4850-K4850)</f>
        <v>0</v>
      </c>
      <c r="M4850" s="13" t="n">
        <f aca="false">MAX(0,F4850-I4850-J4850)</f>
        <v>0</v>
      </c>
      <c r="N4850" s="13" t="n">
        <f aca="false">IF(Kalender!A92="",0,J4849-H4850)</f>
        <v>0.7032278</v>
      </c>
    </row>
    <row r="4851" customFormat="false" ht="16.4" hidden="false" customHeight="false" outlineLevel="0" collapsed="false">
      <c r="A4851" s="13" t="str">
        <f aca="false">""</f>
        <v/>
      </c>
      <c r="B4851" s="13" t="n">
        <f aca="false">89</f>
        <v>89</v>
      </c>
      <c r="C4851" s="13" t="n">
        <f aca="false">IF(Szenarien!$H$24="OK",(IFERROR(SUMIF(Nutzungsprofile!$B$6:$B$11,"Schulbetrieb",Nutzungsprofile!$G$6:$G$11)*Kalender!C93/SUM(Kalender!$C$5:$C$370),0)+IFERROR(SUMIF(Nutzungsprofile!$B$6:$B$11,"Halle",Nutzungsprofile!$G$6:$G$11)*Kalender!D93/SUM(Kalender!$D$5:$D$370),0)+IFERROR(SUMIF(Nutzungsprofile!$B$6:$B$11,"Individuell",Nutzungsprofile!$G$6:$G$11)*Kalender!E93/SUM(Kalender!$E$5:$E$370),0))*Szenarien!$E$24,0)</f>
        <v>2.94</v>
      </c>
      <c r="D4851" s="13" t="n">
        <f aca="false">IF(Szenarien!$H$24="OK",(IFERROR(SUMIF(Nutzungsprofile!$B$17:$B$22,"Schulbetrieb",Nutzungsprofile!$G$17:$G$22)*Kalender!C93/SUM(Kalender!$C$5:$C$370),0)+IFERROR(SUMIF(Nutzungsprofile!$B$17:$B$22,"Halle",Nutzungsprofile!$G$17:$G$22)*Kalender!D93/SUM(Kalender!$D$5:$D$370),0)+IFERROR(SUMIF(Nutzungsprofile!$B$17:$B$22,"Individuell",Nutzungsprofile!$G$17:$G$22)*Kalender!E93/SUM(Kalender!$E$5:$E$370),0))*Szenarien!$D$24,0)</f>
        <v>4.94</v>
      </c>
      <c r="E4851" s="13" t="n">
        <f aca="false">IFERROR(MIN(C4851,Eingaben!$B$17)*Eingaben!$B$16,0)</f>
        <v>2.793</v>
      </c>
      <c r="F4851" s="13" t="n">
        <f aca="false">IFERROR(E4851*Eingaben!$B$15,0)</f>
        <v>2.5137</v>
      </c>
      <c r="G4851" s="13" t="n">
        <f aca="false">IFERROR(IF(Kalender!A93="",0,J4850*(1-Eingaben!$B$20)),0)</f>
        <v>1.709316</v>
      </c>
      <c r="H4851" s="13" t="n">
        <f aca="false">MIN(G4851,D4851)</f>
        <v>1.709316</v>
      </c>
      <c r="I4851" s="13" t="n">
        <f aca="false">IFERROR(MIN(F4851*Eingaben!$B$19,MAX(0,D4851-H4851)),0)</f>
        <v>1.75959</v>
      </c>
      <c r="J4851" s="13" t="n">
        <f aca="false">IFERROR(MIN(Eingaben!$B$18,MAX(0,F4851-I4851)),0)</f>
        <v>0.75411</v>
      </c>
      <c r="K4851" s="13" t="n">
        <f aca="false">H4851+I4851</f>
        <v>3.468906</v>
      </c>
      <c r="L4851" s="13" t="n">
        <f aca="false">MAX(0,D4851-K4851)</f>
        <v>1.471094</v>
      </c>
      <c r="M4851" s="13" t="n">
        <f aca="false">MAX(0,F4851-I4851-J4851)</f>
        <v>0</v>
      </c>
      <c r="N4851" s="13" t="n">
        <f aca="false">IF(Kalender!A93="",0,J4850-H4851)</f>
        <v>0.0348840000000001</v>
      </c>
    </row>
    <row r="4852" customFormat="false" ht="16.4" hidden="false" customHeight="false" outlineLevel="0" collapsed="false">
      <c r="A4852" s="13" t="str">
        <f aca="false">""</f>
        <v/>
      </c>
      <c r="B4852" s="13" t="n">
        <f aca="false">90</f>
        <v>90</v>
      </c>
      <c r="C4852" s="13" t="n">
        <f aca="false">IF(Szenarien!$H$24="OK",(IFERROR(SUMIF(Nutzungsprofile!$B$6:$B$11,"Schulbetrieb",Nutzungsprofile!$G$6:$G$11)*Kalender!C94/SUM(Kalender!$C$5:$C$370),0)+IFERROR(SUMIF(Nutzungsprofile!$B$6:$B$11,"Halle",Nutzungsprofile!$G$6:$G$11)*Kalender!D94/SUM(Kalender!$D$5:$D$370),0)+IFERROR(SUMIF(Nutzungsprofile!$B$6:$B$11,"Individuell",Nutzungsprofile!$G$6:$G$11)*Kalender!E94/SUM(Kalender!$E$5:$E$370),0))*Szenarien!$E$24,0)</f>
        <v>2.94</v>
      </c>
      <c r="D4852" s="13" t="n">
        <f aca="false">IF(Szenarien!$H$24="OK",(IFERROR(SUMIF(Nutzungsprofile!$B$17:$B$22,"Schulbetrieb",Nutzungsprofile!$G$17:$G$22)*Kalender!C94/SUM(Kalender!$C$5:$C$370),0)+IFERROR(SUMIF(Nutzungsprofile!$B$17:$B$22,"Halle",Nutzungsprofile!$G$17:$G$22)*Kalender!D94/SUM(Kalender!$D$5:$D$370),0)+IFERROR(SUMIF(Nutzungsprofile!$B$17:$B$22,"Individuell",Nutzungsprofile!$G$17:$G$22)*Kalender!E94/SUM(Kalender!$E$5:$E$370),0))*Szenarien!$D$24,0)</f>
        <v>4.94</v>
      </c>
      <c r="E4852" s="13" t="n">
        <f aca="false">IFERROR(MIN(C4852,Eingaben!$B$17)*Eingaben!$B$16,0)</f>
        <v>2.793</v>
      </c>
      <c r="F4852" s="13" t="n">
        <f aca="false">IFERROR(E4852*Eingaben!$B$15,0)</f>
        <v>2.5137</v>
      </c>
      <c r="G4852" s="13" t="n">
        <f aca="false">IFERROR(IF(Kalender!A94="",0,J4851*(1-Eingaben!$B$20)),0)</f>
        <v>0.7390278</v>
      </c>
      <c r="H4852" s="13" t="n">
        <f aca="false">MIN(G4852,D4852)</f>
        <v>0.7390278</v>
      </c>
      <c r="I4852" s="13" t="n">
        <f aca="false">IFERROR(MIN(F4852*Eingaben!$B$19,MAX(0,D4852-H4852)),0)</f>
        <v>1.75959</v>
      </c>
      <c r="J4852" s="13" t="n">
        <f aca="false">IFERROR(MIN(Eingaben!$B$18,MAX(0,F4852-I4852)),0)</f>
        <v>0.75411</v>
      </c>
      <c r="K4852" s="13" t="n">
        <f aca="false">H4852+I4852</f>
        <v>2.4986178</v>
      </c>
      <c r="L4852" s="13" t="n">
        <f aca="false">MAX(0,D4852-K4852)</f>
        <v>2.4413822</v>
      </c>
      <c r="M4852" s="13" t="n">
        <f aca="false">MAX(0,F4852-I4852-J4852)</f>
        <v>0</v>
      </c>
      <c r="N4852" s="13" t="n">
        <f aca="false">IF(Kalender!A94="",0,J4851-H4852)</f>
        <v>0.0150822</v>
      </c>
    </row>
    <row r="4853" customFormat="false" ht="16.4" hidden="false" customHeight="false" outlineLevel="0" collapsed="false">
      <c r="A4853" s="13" t="str">
        <f aca="false">""</f>
        <v/>
      </c>
      <c r="B4853" s="13" t="n">
        <f aca="false">91</f>
        <v>91</v>
      </c>
      <c r="C4853" s="13" t="n">
        <f aca="false">IF(Szenarien!$H$24="OK",(IFERROR(SUMIF(Nutzungsprofile!$B$6:$B$11,"Schulbetrieb",Nutzungsprofile!$G$6:$G$11)*Kalender!C95/SUM(Kalender!$C$5:$C$370),0)+IFERROR(SUMIF(Nutzungsprofile!$B$6:$B$11,"Halle",Nutzungsprofile!$G$6:$G$11)*Kalender!D95/SUM(Kalender!$D$5:$D$370),0)+IFERROR(SUMIF(Nutzungsprofile!$B$6:$B$11,"Individuell",Nutzungsprofile!$G$6:$G$11)*Kalender!E95/SUM(Kalender!$E$5:$E$370),0))*Szenarien!$E$24,0)</f>
        <v>2.94</v>
      </c>
      <c r="D4853" s="13" t="n">
        <f aca="false">IF(Szenarien!$H$24="OK",(IFERROR(SUMIF(Nutzungsprofile!$B$17:$B$22,"Schulbetrieb",Nutzungsprofile!$G$17:$G$22)*Kalender!C95/SUM(Kalender!$C$5:$C$370),0)+IFERROR(SUMIF(Nutzungsprofile!$B$17:$B$22,"Halle",Nutzungsprofile!$G$17:$G$22)*Kalender!D95/SUM(Kalender!$D$5:$D$370),0)+IFERROR(SUMIF(Nutzungsprofile!$B$17:$B$22,"Individuell",Nutzungsprofile!$G$17:$G$22)*Kalender!E95/SUM(Kalender!$E$5:$E$370),0))*Szenarien!$D$24,0)</f>
        <v>4.94</v>
      </c>
      <c r="E4853" s="13" t="n">
        <f aca="false">IFERROR(MIN(C4853,Eingaben!$B$17)*Eingaben!$B$16,0)</f>
        <v>2.793</v>
      </c>
      <c r="F4853" s="13" t="n">
        <f aca="false">IFERROR(E4853*Eingaben!$B$15,0)</f>
        <v>2.5137</v>
      </c>
      <c r="G4853" s="13" t="n">
        <f aca="false">IFERROR(IF(Kalender!A95="",0,J4852*(1-Eingaben!$B$20)),0)</f>
        <v>0.7390278</v>
      </c>
      <c r="H4853" s="13" t="n">
        <f aca="false">MIN(G4853,D4853)</f>
        <v>0.7390278</v>
      </c>
      <c r="I4853" s="13" t="n">
        <f aca="false">IFERROR(MIN(F4853*Eingaben!$B$19,MAX(0,D4853-H4853)),0)</f>
        <v>1.75959</v>
      </c>
      <c r="J4853" s="13" t="n">
        <f aca="false">IFERROR(MIN(Eingaben!$B$18,MAX(0,F4853-I4853)),0)</f>
        <v>0.75411</v>
      </c>
      <c r="K4853" s="13" t="n">
        <f aca="false">H4853+I4853</f>
        <v>2.4986178</v>
      </c>
      <c r="L4853" s="13" t="n">
        <f aca="false">MAX(0,D4853-K4853)</f>
        <v>2.4413822</v>
      </c>
      <c r="M4853" s="13" t="n">
        <f aca="false">MAX(0,F4853-I4853-J4853)</f>
        <v>0</v>
      </c>
      <c r="N4853" s="13" t="n">
        <f aca="false">IF(Kalender!A95="",0,J4852-H4853)</f>
        <v>0.0150822</v>
      </c>
    </row>
    <row r="4854" customFormat="false" ht="16.4" hidden="false" customHeight="false" outlineLevel="0" collapsed="false">
      <c r="A4854" s="13" t="str">
        <f aca="false">""</f>
        <v/>
      </c>
      <c r="B4854" s="13" t="n">
        <f aca="false">92</f>
        <v>92</v>
      </c>
      <c r="C4854" s="13" t="n">
        <f aca="false">IF(Szenarien!$H$24="OK",(IFERROR(SUMIF(Nutzungsprofile!$B$6:$B$11,"Schulbetrieb",Nutzungsprofile!$G$6:$G$11)*Kalender!C96/SUM(Kalender!$C$5:$C$370),0)+IFERROR(SUMIF(Nutzungsprofile!$B$6:$B$11,"Halle",Nutzungsprofile!$G$6:$G$11)*Kalender!D96/SUM(Kalender!$D$5:$D$370),0)+IFERROR(SUMIF(Nutzungsprofile!$B$6:$B$11,"Individuell",Nutzungsprofile!$G$6:$G$11)*Kalender!E96/SUM(Kalender!$E$5:$E$370),0))*Szenarien!$E$24,0)</f>
        <v>2.94</v>
      </c>
      <c r="D4854" s="13" t="n">
        <f aca="false">IF(Szenarien!$H$24="OK",(IFERROR(SUMIF(Nutzungsprofile!$B$17:$B$22,"Schulbetrieb",Nutzungsprofile!$G$17:$G$22)*Kalender!C96/SUM(Kalender!$C$5:$C$370),0)+IFERROR(SUMIF(Nutzungsprofile!$B$17:$B$22,"Halle",Nutzungsprofile!$G$17:$G$22)*Kalender!D96/SUM(Kalender!$D$5:$D$370),0)+IFERROR(SUMIF(Nutzungsprofile!$B$17:$B$22,"Individuell",Nutzungsprofile!$G$17:$G$22)*Kalender!E96/SUM(Kalender!$E$5:$E$370),0))*Szenarien!$D$24,0)</f>
        <v>4.94</v>
      </c>
      <c r="E4854" s="13" t="n">
        <f aca="false">IFERROR(MIN(C4854,Eingaben!$B$17)*Eingaben!$B$16,0)</f>
        <v>2.793</v>
      </c>
      <c r="F4854" s="13" t="n">
        <f aca="false">IFERROR(E4854*Eingaben!$B$15,0)</f>
        <v>2.5137</v>
      </c>
      <c r="G4854" s="13" t="n">
        <f aca="false">IFERROR(IF(Kalender!A96="",0,J4853*(1-Eingaben!$B$20)),0)</f>
        <v>0.7390278</v>
      </c>
      <c r="H4854" s="13" t="n">
        <f aca="false">MIN(G4854,D4854)</f>
        <v>0.7390278</v>
      </c>
      <c r="I4854" s="13" t="n">
        <f aca="false">IFERROR(MIN(F4854*Eingaben!$B$19,MAX(0,D4854-H4854)),0)</f>
        <v>1.75959</v>
      </c>
      <c r="J4854" s="13" t="n">
        <f aca="false">IFERROR(MIN(Eingaben!$B$18,MAX(0,F4854-I4854)),0)</f>
        <v>0.75411</v>
      </c>
      <c r="K4854" s="13" t="n">
        <f aca="false">H4854+I4854</f>
        <v>2.4986178</v>
      </c>
      <c r="L4854" s="13" t="n">
        <f aca="false">MAX(0,D4854-K4854)</f>
        <v>2.4413822</v>
      </c>
      <c r="M4854" s="13" t="n">
        <f aca="false">MAX(0,F4854-I4854-J4854)</f>
        <v>0</v>
      </c>
      <c r="N4854" s="13" t="n">
        <f aca="false">IF(Kalender!A96="",0,J4853-H4854)</f>
        <v>0.0150822</v>
      </c>
    </row>
    <row r="4855" customFormat="false" ht="16.4" hidden="false" customHeight="false" outlineLevel="0" collapsed="false">
      <c r="A4855" s="13" t="str">
        <f aca="false">""</f>
        <v/>
      </c>
      <c r="B4855" s="13" t="n">
        <f aca="false">93</f>
        <v>93</v>
      </c>
      <c r="C4855" s="13" t="n">
        <f aca="false">IF(Szenarien!$H$24="OK",(IFERROR(SUMIF(Nutzungsprofile!$B$6:$B$11,"Schulbetrieb",Nutzungsprofile!$G$6:$G$11)*Kalender!C97/SUM(Kalender!$C$5:$C$370),0)+IFERROR(SUMIF(Nutzungsprofile!$B$6:$B$11,"Halle",Nutzungsprofile!$G$6:$G$11)*Kalender!D97/SUM(Kalender!$D$5:$D$370),0)+IFERROR(SUMIF(Nutzungsprofile!$B$6:$B$11,"Individuell",Nutzungsprofile!$G$6:$G$11)*Kalender!E97/SUM(Kalender!$E$5:$E$370),0))*Szenarien!$E$24,0)</f>
        <v>2.94</v>
      </c>
      <c r="D4855" s="13" t="n">
        <f aca="false">IF(Szenarien!$H$24="OK",(IFERROR(SUMIF(Nutzungsprofile!$B$17:$B$22,"Schulbetrieb",Nutzungsprofile!$G$17:$G$22)*Kalender!C97/SUM(Kalender!$C$5:$C$370),0)+IFERROR(SUMIF(Nutzungsprofile!$B$17:$B$22,"Halle",Nutzungsprofile!$G$17:$G$22)*Kalender!D97/SUM(Kalender!$D$5:$D$370),0)+IFERROR(SUMIF(Nutzungsprofile!$B$17:$B$22,"Individuell",Nutzungsprofile!$G$17:$G$22)*Kalender!E97/SUM(Kalender!$E$5:$E$370),0))*Szenarien!$D$24,0)</f>
        <v>4.94</v>
      </c>
      <c r="E4855" s="13" t="n">
        <f aca="false">IFERROR(MIN(C4855,Eingaben!$B$17)*Eingaben!$B$16,0)</f>
        <v>2.793</v>
      </c>
      <c r="F4855" s="13" t="n">
        <f aca="false">IFERROR(E4855*Eingaben!$B$15,0)</f>
        <v>2.5137</v>
      </c>
      <c r="G4855" s="13" t="n">
        <f aca="false">IFERROR(IF(Kalender!A97="",0,J4854*(1-Eingaben!$B$20)),0)</f>
        <v>0.7390278</v>
      </c>
      <c r="H4855" s="13" t="n">
        <f aca="false">MIN(G4855,D4855)</f>
        <v>0.7390278</v>
      </c>
      <c r="I4855" s="13" t="n">
        <f aca="false">IFERROR(MIN(F4855*Eingaben!$B$19,MAX(0,D4855-H4855)),0)</f>
        <v>1.75959</v>
      </c>
      <c r="J4855" s="13" t="n">
        <f aca="false">IFERROR(MIN(Eingaben!$B$18,MAX(0,F4855-I4855)),0)</f>
        <v>0.75411</v>
      </c>
      <c r="K4855" s="13" t="n">
        <f aca="false">H4855+I4855</f>
        <v>2.4986178</v>
      </c>
      <c r="L4855" s="13" t="n">
        <f aca="false">MAX(0,D4855-K4855)</f>
        <v>2.4413822</v>
      </c>
      <c r="M4855" s="13" t="n">
        <f aca="false">MAX(0,F4855-I4855-J4855)</f>
        <v>0</v>
      </c>
      <c r="N4855" s="13" t="n">
        <f aca="false">IF(Kalender!A97="",0,J4854-H4855)</f>
        <v>0.0150822</v>
      </c>
    </row>
    <row r="4856" customFormat="false" ht="16.4" hidden="false" customHeight="false" outlineLevel="0" collapsed="false">
      <c r="A4856" s="13" t="str">
        <f aca="false">""</f>
        <v/>
      </c>
      <c r="B4856" s="13" t="n">
        <f aca="false">94</f>
        <v>94</v>
      </c>
      <c r="C4856" s="13" t="n">
        <f aca="false">IF(Szenarien!$H$24="OK",(IFERROR(SUMIF(Nutzungsprofile!$B$6:$B$11,"Schulbetrieb",Nutzungsprofile!$G$6:$G$11)*Kalender!C98/SUM(Kalender!$C$5:$C$370),0)+IFERROR(SUMIF(Nutzungsprofile!$B$6:$B$11,"Halle",Nutzungsprofile!$G$6:$G$11)*Kalender!D98/SUM(Kalender!$D$5:$D$370),0)+IFERROR(SUMIF(Nutzungsprofile!$B$6:$B$11,"Individuell",Nutzungsprofile!$G$6:$G$11)*Kalender!E98/SUM(Kalender!$E$5:$E$370),0))*Szenarien!$E$24,0)</f>
        <v>2.04</v>
      </c>
      <c r="D4856" s="13" t="n">
        <f aca="false">IF(Szenarien!$H$24="OK",(IFERROR(SUMIF(Nutzungsprofile!$B$17:$B$22,"Schulbetrieb",Nutzungsprofile!$G$17:$G$22)*Kalender!C98/SUM(Kalender!$C$5:$C$370),0)+IFERROR(SUMIF(Nutzungsprofile!$B$17:$B$22,"Halle",Nutzungsprofile!$G$17:$G$22)*Kalender!D98/SUM(Kalender!$D$5:$D$370),0)+IFERROR(SUMIF(Nutzungsprofile!$B$17:$B$22,"Individuell",Nutzungsprofile!$G$17:$G$22)*Kalender!E98/SUM(Kalender!$E$5:$E$370),0))*Szenarien!$D$24,0)</f>
        <v>0.89</v>
      </c>
      <c r="E4856" s="13" t="n">
        <f aca="false">IFERROR(MIN(C4856,Eingaben!$B$17)*Eingaben!$B$16,0)</f>
        <v>1.938</v>
      </c>
      <c r="F4856" s="13" t="n">
        <f aca="false">IFERROR(E4856*Eingaben!$B$15,0)</f>
        <v>1.7442</v>
      </c>
      <c r="G4856" s="13" t="n">
        <f aca="false">IFERROR(IF(Kalender!A98="",0,J4855*(1-Eingaben!$B$20)),0)</f>
        <v>0.7390278</v>
      </c>
      <c r="H4856" s="13" t="n">
        <f aca="false">MIN(G4856,D4856)</f>
        <v>0.7390278</v>
      </c>
      <c r="I4856" s="13" t="n">
        <f aca="false">IFERROR(MIN(F4856*Eingaben!$B$19,MAX(0,D4856-H4856)),0)</f>
        <v>0.1509722</v>
      </c>
      <c r="J4856" s="13" t="n">
        <f aca="false">IFERROR(MIN(Eingaben!$B$18,MAX(0,F4856-I4856)),0)</f>
        <v>1.5932278</v>
      </c>
      <c r="K4856" s="13" t="n">
        <f aca="false">H4856+I4856</f>
        <v>0.89</v>
      </c>
      <c r="L4856" s="13" t="n">
        <f aca="false">MAX(0,D4856-K4856)</f>
        <v>0</v>
      </c>
      <c r="M4856" s="13" t="n">
        <f aca="false">MAX(0,F4856-I4856-J4856)</f>
        <v>0</v>
      </c>
      <c r="N4856" s="13" t="n">
        <f aca="false">IF(Kalender!A98="",0,J4855-H4856)</f>
        <v>0.0150822</v>
      </c>
    </row>
    <row r="4857" customFormat="false" ht="16.4" hidden="false" customHeight="false" outlineLevel="0" collapsed="false">
      <c r="A4857" s="13" t="str">
        <f aca="false">""</f>
        <v/>
      </c>
      <c r="B4857" s="13" t="n">
        <f aca="false">95</f>
        <v>95</v>
      </c>
      <c r="C4857" s="13" t="n">
        <f aca="false">IF(Szenarien!$H$24="OK",(IFERROR(SUMIF(Nutzungsprofile!$B$6:$B$11,"Schulbetrieb",Nutzungsprofile!$G$6:$G$11)*Kalender!C99/SUM(Kalender!$C$5:$C$370),0)+IFERROR(SUMIF(Nutzungsprofile!$B$6:$B$11,"Halle",Nutzungsprofile!$G$6:$G$11)*Kalender!D99/SUM(Kalender!$D$5:$D$370),0)+IFERROR(SUMIF(Nutzungsprofile!$B$6:$B$11,"Individuell",Nutzungsprofile!$G$6:$G$11)*Kalender!E99/SUM(Kalender!$E$5:$E$370),0))*Szenarien!$E$24,0)</f>
        <v>2.04</v>
      </c>
      <c r="D4857" s="13" t="n">
        <f aca="false">IF(Szenarien!$H$24="OK",(IFERROR(SUMIF(Nutzungsprofile!$B$17:$B$22,"Schulbetrieb",Nutzungsprofile!$G$17:$G$22)*Kalender!C99/SUM(Kalender!$C$5:$C$370),0)+IFERROR(SUMIF(Nutzungsprofile!$B$17:$B$22,"Halle",Nutzungsprofile!$G$17:$G$22)*Kalender!D99/SUM(Kalender!$D$5:$D$370),0)+IFERROR(SUMIF(Nutzungsprofile!$B$17:$B$22,"Individuell",Nutzungsprofile!$G$17:$G$22)*Kalender!E99/SUM(Kalender!$E$5:$E$370),0))*Szenarien!$D$24,0)</f>
        <v>0.89</v>
      </c>
      <c r="E4857" s="13" t="n">
        <f aca="false">IFERROR(MIN(C4857,Eingaben!$B$17)*Eingaben!$B$16,0)</f>
        <v>1.938</v>
      </c>
      <c r="F4857" s="13" t="n">
        <f aca="false">IFERROR(E4857*Eingaben!$B$15,0)</f>
        <v>1.7442</v>
      </c>
      <c r="G4857" s="13" t="n">
        <f aca="false">IFERROR(IF(Kalender!A99="",0,J4856*(1-Eingaben!$B$20)),0)</f>
        <v>1.561363244</v>
      </c>
      <c r="H4857" s="13" t="n">
        <f aca="false">MIN(G4857,D4857)</f>
        <v>0.89</v>
      </c>
      <c r="I4857" s="13" t="n">
        <f aca="false">IFERROR(MIN(F4857*Eingaben!$B$19,MAX(0,D4857-H4857)),0)</f>
        <v>0</v>
      </c>
      <c r="J4857" s="13" t="n">
        <f aca="false">IFERROR(MIN(Eingaben!$B$18,MAX(0,F4857-I4857)),0)</f>
        <v>1.7442</v>
      </c>
      <c r="K4857" s="13" t="n">
        <f aca="false">H4857+I4857</f>
        <v>0.89</v>
      </c>
      <c r="L4857" s="13" t="n">
        <f aca="false">MAX(0,D4857-K4857)</f>
        <v>0</v>
      </c>
      <c r="M4857" s="13" t="n">
        <f aca="false">MAX(0,F4857-I4857-J4857)</f>
        <v>0</v>
      </c>
      <c r="N4857" s="13" t="n">
        <f aca="false">IF(Kalender!A99="",0,J4856-H4857)</f>
        <v>0.7032278</v>
      </c>
    </row>
    <row r="4858" customFormat="false" ht="16.4" hidden="false" customHeight="false" outlineLevel="0" collapsed="false">
      <c r="A4858" s="13" t="str">
        <f aca="false">""</f>
        <v/>
      </c>
      <c r="B4858" s="13" t="n">
        <f aca="false">96</f>
        <v>96</v>
      </c>
      <c r="C4858" s="13" t="n">
        <f aca="false">IF(Szenarien!$H$24="OK",(IFERROR(SUMIF(Nutzungsprofile!$B$6:$B$11,"Schulbetrieb",Nutzungsprofile!$G$6:$G$11)*Kalender!C100/SUM(Kalender!$C$5:$C$370),0)+IFERROR(SUMIF(Nutzungsprofile!$B$6:$B$11,"Halle",Nutzungsprofile!$G$6:$G$11)*Kalender!D100/SUM(Kalender!$D$5:$D$370),0)+IFERROR(SUMIF(Nutzungsprofile!$B$6:$B$11,"Individuell",Nutzungsprofile!$G$6:$G$11)*Kalender!E100/SUM(Kalender!$E$5:$E$370),0))*Szenarien!$E$24,0)</f>
        <v>2.94</v>
      </c>
      <c r="D4858" s="13" t="n">
        <f aca="false">IF(Szenarien!$H$24="OK",(IFERROR(SUMIF(Nutzungsprofile!$B$17:$B$22,"Schulbetrieb",Nutzungsprofile!$G$17:$G$22)*Kalender!C100/SUM(Kalender!$C$5:$C$370),0)+IFERROR(SUMIF(Nutzungsprofile!$B$17:$B$22,"Halle",Nutzungsprofile!$G$17:$G$22)*Kalender!D100/SUM(Kalender!$D$5:$D$370),0)+IFERROR(SUMIF(Nutzungsprofile!$B$17:$B$22,"Individuell",Nutzungsprofile!$G$17:$G$22)*Kalender!E100/SUM(Kalender!$E$5:$E$370),0))*Szenarien!$D$24,0)</f>
        <v>4.94</v>
      </c>
      <c r="E4858" s="13" t="n">
        <f aca="false">IFERROR(MIN(C4858,Eingaben!$B$17)*Eingaben!$B$16,0)</f>
        <v>2.793</v>
      </c>
      <c r="F4858" s="13" t="n">
        <f aca="false">IFERROR(E4858*Eingaben!$B$15,0)</f>
        <v>2.5137</v>
      </c>
      <c r="G4858" s="13" t="n">
        <f aca="false">IFERROR(IF(Kalender!A100="",0,J4857*(1-Eingaben!$B$20)),0)</f>
        <v>1.709316</v>
      </c>
      <c r="H4858" s="13" t="n">
        <f aca="false">MIN(G4858,D4858)</f>
        <v>1.709316</v>
      </c>
      <c r="I4858" s="13" t="n">
        <f aca="false">IFERROR(MIN(F4858*Eingaben!$B$19,MAX(0,D4858-H4858)),0)</f>
        <v>1.75959</v>
      </c>
      <c r="J4858" s="13" t="n">
        <f aca="false">IFERROR(MIN(Eingaben!$B$18,MAX(0,F4858-I4858)),0)</f>
        <v>0.75411</v>
      </c>
      <c r="K4858" s="13" t="n">
        <f aca="false">H4858+I4858</f>
        <v>3.468906</v>
      </c>
      <c r="L4858" s="13" t="n">
        <f aca="false">MAX(0,D4858-K4858)</f>
        <v>1.471094</v>
      </c>
      <c r="M4858" s="13" t="n">
        <f aca="false">MAX(0,F4858-I4858-J4858)</f>
        <v>0</v>
      </c>
      <c r="N4858" s="13" t="n">
        <f aca="false">IF(Kalender!A100="",0,J4857-H4858)</f>
        <v>0.0348840000000001</v>
      </c>
    </row>
    <row r="4859" customFormat="false" ht="16.4" hidden="false" customHeight="false" outlineLevel="0" collapsed="false">
      <c r="A4859" s="13" t="str">
        <f aca="false">""</f>
        <v/>
      </c>
      <c r="B4859" s="13" t="n">
        <f aca="false">97</f>
        <v>97</v>
      </c>
      <c r="C4859" s="13" t="n">
        <f aca="false">IF(Szenarien!$H$24="OK",(IFERROR(SUMIF(Nutzungsprofile!$B$6:$B$11,"Schulbetrieb",Nutzungsprofile!$G$6:$G$11)*Kalender!C101/SUM(Kalender!$C$5:$C$370),0)+IFERROR(SUMIF(Nutzungsprofile!$B$6:$B$11,"Halle",Nutzungsprofile!$G$6:$G$11)*Kalender!D101/SUM(Kalender!$D$5:$D$370),0)+IFERROR(SUMIF(Nutzungsprofile!$B$6:$B$11,"Individuell",Nutzungsprofile!$G$6:$G$11)*Kalender!E101/SUM(Kalender!$E$5:$E$370),0))*Szenarien!$E$24,0)</f>
        <v>2.94</v>
      </c>
      <c r="D4859" s="13" t="n">
        <f aca="false">IF(Szenarien!$H$24="OK",(IFERROR(SUMIF(Nutzungsprofile!$B$17:$B$22,"Schulbetrieb",Nutzungsprofile!$G$17:$G$22)*Kalender!C101/SUM(Kalender!$C$5:$C$370),0)+IFERROR(SUMIF(Nutzungsprofile!$B$17:$B$22,"Halle",Nutzungsprofile!$G$17:$G$22)*Kalender!D101/SUM(Kalender!$D$5:$D$370),0)+IFERROR(SUMIF(Nutzungsprofile!$B$17:$B$22,"Individuell",Nutzungsprofile!$G$17:$G$22)*Kalender!E101/SUM(Kalender!$E$5:$E$370),0))*Szenarien!$D$24,0)</f>
        <v>4.94</v>
      </c>
      <c r="E4859" s="13" t="n">
        <f aca="false">IFERROR(MIN(C4859,Eingaben!$B$17)*Eingaben!$B$16,0)</f>
        <v>2.793</v>
      </c>
      <c r="F4859" s="13" t="n">
        <f aca="false">IFERROR(E4859*Eingaben!$B$15,0)</f>
        <v>2.5137</v>
      </c>
      <c r="G4859" s="13" t="n">
        <f aca="false">IFERROR(IF(Kalender!A101="",0,J4858*(1-Eingaben!$B$20)),0)</f>
        <v>0.7390278</v>
      </c>
      <c r="H4859" s="13" t="n">
        <f aca="false">MIN(G4859,D4859)</f>
        <v>0.7390278</v>
      </c>
      <c r="I4859" s="13" t="n">
        <f aca="false">IFERROR(MIN(F4859*Eingaben!$B$19,MAX(0,D4859-H4859)),0)</f>
        <v>1.75959</v>
      </c>
      <c r="J4859" s="13" t="n">
        <f aca="false">IFERROR(MIN(Eingaben!$B$18,MAX(0,F4859-I4859)),0)</f>
        <v>0.75411</v>
      </c>
      <c r="K4859" s="13" t="n">
        <f aca="false">H4859+I4859</f>
        <v>2.4986178</v>
      </c>
      <c r="L4859" s="13" t="n">
        <f aca="false">MAX(0,D4859-K4859)</f>
        <v>2.4413822</v>
      </c>
      <c r="M4859" s="13" t="n">
        <f aca="false">MAX(0,F4859-I4859-J4859)</f>
        <v>0</v>
      </c>
      <c r="N4859" s="13" t="n">
        <f aca="false">IF(Kalender!A101="",0,J4858-H4859)</f>
        <v>0.0150822</v>
      </c>
    </row>
    <row r="4860" customFormat="false" ht="16.4" hidden="false" customHeight="false" outlineLevel="0" collapsed="false">
      <c r="A4860" s="13" t="str">
        <f aca="false">""</f>
        <v/>
      </c>
      <c r="B4860" s="13" t="n">
        <f aca="false">98</f>
        <v>98</v>
      </c>
      <c r="C4860" s="13" t="n">
        <f aca="false">IF(Szenarien!$H$24="OK",(IFERROR(SUMIF(Nutzungsprofile!$B$6:$B$11,"Schulbetrieb",Nutzungsprofile!$G$6:$G$11)*Kalender!C102/SUM(Kalender!$C$5:$C$370),0)+IFERROR(SUMIF(Nutzungsprofile!$B$6:$B$11,"Halle",Nutzungsprofile!$G$6:$G$11)*Kalender!D102/SUM(Kalender!$D$5:$D$370),0)+IFERROR(SUMIF(Nutzungsprofile!$B$6:$B$11,"Individuell",Nutzungsprofile!$G$6:$G$11)*Kalender!E102/SUM(Kalender!$E$5:$E$370),0))*Szenarien!$E$24,0)</f>
        <v>2.94</v>
      </c>
      <c r="D4860" s="13" t="n">
        <f aca="false">IF(Szenarien!$H$24="OK",(IFERROR(SUMIF(Nutzungsprofile!$B$17:$B$22,"Schulbetrieb",Nutzungsprofile!$G$17:$G$22)*Kalender!C102/SUM(Kalender!$C$5:$C$370),0)+IFERROR(SUMIF(Nutzungsprofile!$B$17:$B$22,"Halle",Nutzungsprofile!$G$17:$G$22)*Kalender!D102/SUM(Kalender!$D$5:$D$370),0)+IFERROR(SUMIF(Nutzungsprofile!$B$17:$B$22,"Individuell",Nutzungsprofile!$G$17:$G$22)*Kalender!E102/SUM(Kalender!$E$5:$E$370),0))*Szenarien!$D$24,0)</f>
        <v>4.94</v>
      </c>
      <c r="E4860" s="13" t="n">
        <f aca="false">IFERROR(MIN(C4860,Eingaben!$B$17)*Eingaben!$B$16,0)</f>
        <v>2.793</v>
      </c>
      <c r="F4860" s="13" t="n">
        <f aca="false">IFERROR(E4860*Eingaben!$B$15,0)</f>
        <v>2.5137</v>
      </c>
      <c r="G4860" s="13" t="n">
        <f aca="false">IFERROR(IF(Kalender!A102="",0,J4859*(1-Eingaben!$B$20)),0)</f>
        <v>0.7390278</v>
      </c>
      <c r="H4860" s="13" t="n">
        <f aca="false">MIN(G4860,D4860)</f>
        <v>0.7390278</v>
      </c>
      <c r="I4860" s="13" t="n">
        <f aca="false">IFERROR(MIN(F4860*Eingaben!$B$19,MAX(0,D4860-H4860)),0)</f>
        <v>1.75959</v>
      </c>
      <c r="J4860" s="13" t="n">
        <f aca="false">IFERROR(MIN(Eingaben!$B$18,MAX(0,F4860-I4860)),0)</f>
        <v>0.75411</v>
      </c>
      <c r="K4860" s="13" t="n">
        <f aca="false">H4860+I4860</f>
        <v>2.4986178</v>
      </c>
      <c r="L4860" s="13" t="n">
        <f aca="false">MAX(0,D4860-K4860)</f>
        <v>2.4413822</v>
      </c>
      <c r="M4860" s="13" t="n">
        <f aca="false">MAX(0,F4860-I4860-J4860)</f>
        <v>0</v>
      </c>
      <c r="N4860" s="13" t="n">
        <f aca="false">IF(Kalender!A102="",0,J4859-H4860)</f>
        <v>0.0150822</v>
      </c>
    </row>
    <row r="4861" customFormat="false" ht="16.4" hidden="false" customHeight="false" outlineLevel="0" collapsed="false">
      <c r="A4861" s="13" t="str">
        <f aca="false">""</f>
        <v/>
      </c>
      <c r="B4861" s="13" t="n">
        <f aca="false">99</f>
        <v>99</v>
      </c>
      <c r="C4861" s="13" t="n">
        <f aca="false">IF(Szenarien!$H$24="OK",(IFERROR(SUMIF(Nutzungsprofile!$B$6:$B$11,"Schulbetrieb",Nutzungsprofile!$G$6:$G$11)*Kalender!C103/SUM(Kalender!$C$5:$C$370),0)+IFERROR(SUMIF(Nutzungsprofile!$B$6:$B$11,"Halle",Nutzungsprofile!$G$6:$G$11)*Kalender!D103/SUM(Kalender!$D$5:$D$370),0)+IFERROR(SUMIF(Nutzungsprofile!$B$6:$B$11,"Individuell",Nutzungsprofile!$G$6:$G$11)*Kalender!E103/SUM(Kalender!$E$5:$E$370),0))*Szenarien!$E$24,0)</f>
        <v>2.94</v>
      </c>
      <c r="D4861" s="13" t="n">
        <f aca="false">IF(Szenarien!$H$24="OK",(IFERROR(SUMIF(Nutzungsprofile!$B$17:$B$22,"Schulbetrieb",Nutzungsprofile!$G$17:$G$22)*Kalender!C103/SUM(Kalender!$C$5:$C$370),0)+IFERROR(SUMIF(Nutzungsprofile!$B$17:$B$22,"Halle",Nutzungsprofile!$G$17:$G$22)*Kalender!D103/SUM(Kalender!$D$5:$D$370),0)+IFERROR(SUMIF(Nutzungsprofile!$B$17:$B$22,"Individuell",Nutzungsprofile!$G$17:$G$22)*Kalender!E103/SUM(Kalender!$E$5:$E$370),0))*Szenarien!$D$24,0)</f>
        <v>4.94</v>
      </c>
      <c r="E4861" s="13" t="n">
        <f aca="false">IFERROR(MIN(C4861,Eingaben!$B$17)*Eingaben!$B$16,0)</f>
        <v>2.793</v>
      </c>
      <c r="F4861" s="13" t="n">
        <f aca="false">IFERROR(E4861*Eingaben!$B$15,0)</f>
        <v>2.5137</v>
      </c>
      <c r="G4861" s="13" t="n">
        <f aca="false">IFERROR(IF(Kalender!A103="",0,J4860*(1-Eingaben!$B$20)),0)</f>
        <v>0.7390278</v>
      </c>
      <c r="H4861" s="13" t="n">
        <f aca="false">MIN(G4861,D4861)</f>
        <v>0.7390278</v>
      </c>
      <c r="I4861" s="13" t="n">
        <f aca="false">IFERROR(MIN(F4861*Eingaben!$B$19,MAX(0,D4861-H4861)),0)</f>
        <v>1.75959</v>
      </c>
      <c r="J4861" s="13" t="n">
        <f aca="false">IFERROR(MIN(Eingaben!$B$18,MAX(0,F4861-I4861)),0)</f>
        <v>0.75411</v>
      </c>
      <c r="K4861" s="13" t="n">
        <f aca="false">H4861+I4861</f>
        <v>2.4986178</v>
      </c>
      <c r="L4861" s="13" t="n">
        <f aca="false">MAX(0,D4861-K4861)</f>
        <v>2.4413822</v>
      </c>
      <c r="M4861" s="13" t="n">
        <f aca="false">MAX(0,F4861-I4861-J4861)</f>
        <v>0</v>
      </c>
      <c r="N4861" s="13" t="n">
        <f aca="false">IF(Kalender!A103="",0,J4860-H4861)</f>
        <v>0.0150822</v>
      </c>
    </row>
    <row r="4862" customFormat="false" ht="16.4" hidden="false" customHeight="false" outlineLevel="0" collapsed="false">
      <c r="A4862" s="13" t="str">
        <f aca="false">""</f>
        <v/>
      </c>
      <c r="B4862" s="13" t="n">
        <f aca="false">100</f>
        <v>100</v>
      </c>
      <c r="C4862" s="13" t="n">
        <f aca="false">IF(Szenarien!$H$24="OK",(IFERROR(SUMIF(Nutzungsprofile!$B$6:$B$11,"Schulbetrieb",Nutzungsprofile!$G$6:$G$11)*Kalender!C104/SUM(Kalender!$C$5:$C$370),0)+IFERROR(SUMIF(Nutzungsprofile!$B$6:$B$11,"Halle",Nutzungsprofile!$G$6:$G$11)*Kalender!D104/SUM(Kalender!$D$5:$D$370),0)+IFERROR(SUMIF(Nutzungsprofile!$B$6:$B$11,"Individuell",Nutzungsprofile!$G$6:$G$11)*Kalender!E104/SUM(Kalender!$E$5:$E$370),0))*Szenarien!$E$24,0)</f>
        <v>2.94</v>
      </c>
      <c r="D4862" s="13" t="n">
        <f aca="false">IF(Szenarien!$H$24="OK",(IFERROR(SUMIF(Nutzungsprofile!$B$17:$B$22,"Schulbetrieb",Nutzungsprofile!$G$17:$G$22)*Kalender!C104/SUM(Kalender!$C$5:$C$370),0)+IFERROR(SUMIF(Nutzungsprofile!$B$17:$B$22,"Halle",Nutzungsprofile!$G$17:$G$22)*Kalender!D104/SUM(Kalender!$D$5:$D$370),0)+IFERROR(SUMIF(Nutzungsprofile!$B$17:$B$22,"Individuell",Nutzungsprofile!$G$17:$G$22)*Kalender!E104/SUM(Kalender!$E$5:$E$370),0))*Szenarien!$D$24,0)</f>
        <v>4.94</v>
      </c>
      <c r="E4862" s="13" t="n">
        <f aca="false">IFERROR(MIN(C4862,Eingaben!$B$17)*Eingaben!$B$16,0)</f>
        <v>2.793</v>
      </c>
      <c r="F4862" s="13" t="n">
        <f aca="false">IFERROR(E4862*Eingaben!$B$15,0)</f>
        <v>2.5137</v>
      </c>
      <c r="G4862" s="13" t="n">
        <f aca="false">IFERROR(IF(Kalender!A104="",0,J4861*(1-Eingaben!$B$20)),0)</f>
        <v>0.7390278</v>
      </c>
      <c r="H4862" s="13" t="n">
        <f aca="false">MIN(G4862,D4862)</f>
        <v>0.7390278</v>
      </c>
      <c r="I4862" s="13" t="n">
        <f aca="false">IFERROR(MIN(F4862*Eingaben!$B$19,MAX(0,D4862-H4862)),0)</f>
        <v>1.75959</v>
      </c>
      <c r="J4862" s="13" t="n">
        <f aca="false">IFERROR(MIN(Eingaben!$B$18,MAX(0,F4862-I4862)),0)</f>
        <v>0.75411</v>
      </c>
      <c r="K4862" s="13" t="n">
        <f aca="false">H4862+I4862</f>
        <v>2.4986178</v>
      </c>
      <c r="L4862" s="13" t="n">
        <f aca="false">MAX(0,D4862-K4862)</f>
        <v>2.4413822</v>
      </c>
      <c r="M4862" s="13" t="n">
        <f aca="false">MAX(0,F4862-I4862-J4862)</f>
        <v>0</v>
      </c>
      <c r="N4862" s="13" t="n">
        <f aca="false">IF(Kalender!A104="",0,J4861-H4862)</f>
        <v>0.0150822</v>
      </c>
    </row>
    <row r="4863" customFormat="false" ht="16.4" hidden="false" customHeight="false" outlineLevel="0" collapsed="false">
      <c r="A4863" s="13" t="str">
        <f aca="false">""</f>
        <v/>
      </c>
      <c r="B4863" s="13" t="n">
        <f aca="false">101</f>
        <v>101</v>
      </c>
      <c r="C4863" s="13" t="n">
        <f aca="false">IF(Szenarien!$H$24="OK",(IFERROR(SUMIF(Nutzungsprofile!$B$6:$B$11,"Schulbetrieb",Nutzungsprofile!$G$6:$G$11)*Kalender!C105/SUM(Kalender!$C$5:$C$370),0)+IFERROR(SUMIF(Nutzungsprofile!$B$6:$B$11,"Halle",Nutzungsprofile!$G$6:$G$11)*Kalender!D105/SUM(Kalender!$D$5:$D$370),0)+IFERROR(SUMIF(Nutzungsprofile!$B$6:$B$11,"Individuell",Nutzungsprofile!$G$6:$G$11)*Kalender!E105/SUM(Kalender!$E$5:$E$370),0))*Szenarien!$E$24,0)</f>
        <v>2.04</v>
      </c>
      <c r="D4863" s="13" t="n">
        <f aca="false">IF(Szenarien!$H$24="OK",(IFERROR(SUMIF(Nutzungsprofile!$B$17:$B$22,"Schulbetrieb",Nutzungsprofile!$G$17:$G$22)*Kalender!C105/SUM(Kalender!$C$5:$C$370),0)+IFERROR(SUMIF(Nutzungsprofile!$B$17:$B$22,"Halle",Nutzungsprofile!$G$17:$G$22)*Kalender!D105/SUM(Kalender!$D$5:$D$370),0)+IFERROR(SUMIF(Nutzungsprofile!$B$17:$B$22,"Individuell",Nutzungsprofile!$G$17:$G$22)*Kalender!E105/SUM(Kalender!$E$5:$E$370),0))*Szenarien!$D$24,0)</f>
        <v>0.89</v>
      </c>
      <c r="E4863" s="13" t="n">
        <f aca="false">IFERROR(MIN(C4863,Eingaben!$B$17)*Eingaben!$B$16,0)</f>
        <v>1.938</v>
      </c>
      <c r="F4863" s="13" t="n">
        <f aca="false">IFERROR(E4863*Eingaben!$B$15,0)</f>
        <v>1.7442</v>
      </c>
      <c r="G4863" s="13" t="n">
        <f aca="false">IFERROR(IF(Kalender!A105="",0,J4862*(1-Eingaben!$B$20)),0)</f>
        <v>0.7390278</v>
      </c>
      <c r="H4863" s="13" t="n">
        <f aca="false">MIN(G4863,D4863)</f>
        <v>0.7390278</v>
      </c>
      <c r="I4863" s="13" t="n">
        <f aca="false">IFERROR(MIN(F4863*Eingaben!$B$19,MAX(0,D4863-H4863)),0)</f>
        <v>0.1509722</v>
      </c>
      <c r="J4863" s="13" t="n">
        <f aca="false">IFERROR(MIN(Eingaben!$B$18,MAX(0,F4863-I4863)),0)</f>
        <v>1.5932278</v>
      </c>
      <c r="K4863" s="13" t="n">
        <f aca="false">H4863+I4863</f>
        <v>0.89</v>
      </c>
      <c r="L4863" s="13" t="n">
        <f aca="false">MAX(0,D4863-K4863)</f>
        <v>0</v>
      </c>
      <c r="M4863" s="13" t="n">
        <f aca="false">MAX(0,F4863-I4863-J4863)</f>
        <v>0</v>
      </c>
      <c r="N4863" s="13" t="n">
        <f aca="false">IF(Kalender!A105="",0,J4862-H4863)</f>
        <v>0.0150822</v>
      </c>
    </row>
    <row r="4864" customFormat="false" ht="16.4" hidden="false" customHeight="false" outlineLevel="0" collapsed="false">
      <c r="A4864" s="13" t="str">
        <f aca="false">""</f>
        <v/>
      </c>
      <c r="B4864" s="13" t="n">
        <f aca="false">102</f>
        <v>102</v>
      </c>
      <c r="C4864" s="13" t="n">
        <f aca="false">IF(Szenarien!$H$24="OK",(IFERROR(SUMIF(Nutzungsprofile!$B$6:$B$11,"Schulbetrieb",Nutzungsprofile!$G$6:$G$11)*Kalender!C106/SUM(Kalender!$C$5:$C$370),0)+IFERROR(SUMIF(Nutzungsprofile!$B$6:$B$11,"Halle",Nutzungsprofile!$G$6:$G$11)*Kalender!D106/SUM(Kalender!$D$5:$D$370),0)+IFERROR(SUMIF(Nutzungsprofile!$B$6:$B$11,"Individuell",Nutzungsprofile!$G$6:$G$11)*Kalender!E106/SUM(Kalender!$E$5:$E$370),0))*Szenarien!$E$24,0)</f>
        <v>2.04</v>
      </c>
      <c r="D4864" s="13" t="n">
        <f aca="false">IF(Szenarien!$H$24="OK",(IFERROR(SUMIF(Nutzungsprofile!$B$17:$B$22,"Schulbetrieb",Nutzungsprofile!$G$17:$G$22)*Kalender!C106/SUM(Kalender!$C$5:$C$370),0)+IFERROR(SUMIF(Nutzungsprofile!$B$17:$B$22,"Halle",Nutzungsprofile!$G$17:$G$22)*Kalender!D106/SUM(Kalender!$D$5:$D$370),0)+IFERROR(SUMIF(Nutzungsprofile!$B$17:$B$22,"Individuell",Nutzungsprofile!$G$17:$G$22)*Kalender!E106/SUM(Kalender!$E$5:$E$370),0))*Szenarien!$D$24,0)</f>
        <v>0.89</v>
      </c>
      <c r="E4864" s="13" t="n">
        <f aca="false">IFERROR(MIN(C4864,Eingaben!$B$17)*Eingaben!$B$16,0)</f>
        <v>1.938</v>
      </c>
      <c r="F4864" s="13" t="n">
        <f aca="false">IFERROR(E4864*Eingaben!$B$15,0)</f>
        <v>1.7442</v>
      </c>
      <c r="G4864" s="13" t="n">
        <f aca="false">IFERROR(IF(Kalender!A106="",0,J4863*(1-Eingaben!$B$20)),0)</f>
        <v>1.561363244</v>
      </c>
      <c r="H4864" s="13" t="n">
        <f aca="false">MIN(G4864,D4864)</f>
        <v>0.89</v>
      </c>
      <c r="I4864" s="13" t="n">
        <f aca="false">IFERROR(MIN(F4864*Eingaben!$B$19,MAX(0,D4864-H4864)),0)</f>
        <v>0</v>
      </c>
      <c r="J4864" s="13" t="n">
        <f aca="false">IFERROR(MIN(Eingaben!$B$18,MAX(0,F4864-I4864)),0)</f>
        <v>1.7442</v>
      </c>
      <c r="K4864" s="13" t="n">
        <f aca="false">H4864+I4864</f>
        <v>0.89</v>
      </c>
      <c r="L4864" s="13" t="n">
        <f aca="false">MAX(0,D4864-K4864)</f>
        <v>0</v>
      </c>
      <c r="M4864" s="13" t="n">
        <f aca="false">MAX(0,F4864-I4864-J4864)</f>
        <v>0</v>
      </c>
      <c r="N4864" s="13" t="n">
        <f aca="false">IF(Kalender!A106="",0,J4863-H4864)</f>
        <v>0.7032278</v>
      </c>
    </row>
    <row r="4865" customFormat="false" ht="16.4" hidden="false" customHeight="false" outlineLevel="0" collapsed="false">
      <c r="A4865" s="13" t="str">
        <f aca="false">""</f>
        <v/>
      </c>
      <c r="B4865" s="13" t="n">
        <f aca="false">103</f>
        <v>103</v>
      </c>
      <c r="C4865" s="13" t="n">
        <f aca="false">IF(Szenarien!$H$24="OK",(IFERROR(SUMIF(Nutzungsprofile!$B$6:$B$11,"Schulbetrieb",Nutzungsprofile!$G$6:$G$11)*Kalender!C107/SUM(Kalender!$C$5:$C$370),0)+IFERROR(SUMIF(Nutzungsprofile!$B$6:$B$11,"Halle",Nutzungsprofile!$G$6:$G$11)*Kalender!D107/SUM(Kalender!$D$5:$D$370),0)+IFERROR(SUMIF(Nutzungsprofile!$B$6:$B$11,"Individuell",Nutzungsprofile!$G$6:$G$11)*Kalender!E107/SUM(Kalender!$E$5:$E$370),0))*Szenarien!$E$24,0)</f>
        <v>2.94</v>
      </c>
      <c r="D4865" s="13" t="n">
        <f aca="false">IF(Szenarien!$H$24="OK",(IFERROR(SUMIF(Nutzungsprofile!$B$17:$B$22,"Schulbetrieb",Nutzungsprofile!$G$17:$G$22)*Kalender!C107/SUM(Kalender!$C$5:$C$370),0)+IFERROR(SUMIF(Nutzungsprofile!$B$17:$B$22,"Halle",Nutzungsprofile!$G$17:$G$22)*Kalender!D107/SUM(Kalender!$D$5:$D$370),0)+IFERROR(SUMIF(Nutzungsprofile!$B$17:$B$22,"Individuell",Nutzungsprofile!$G$17:$G$22)*Kalender!E107/SUM(Kalender!$E$5:$E$370),0))*Szenarien!$D$24,0)</f>
        <v>4.94</v>
      </c>
      <c r="E4865" s="13" t="n">
        <f aca="false">IFERROR(MIN(C4865,Eingaben!$B$17)*Eingaben!$B$16,0)</f>
        <v>2.793</v>
      </c>
      <c r="F4865" s="13" t="n">
        <f aca="false">IFERROR(E4865*Eingaben!$B$15,0)</f>
        <v>2.5137</v>
      </c>
      <c r="G4865" s="13" t="n">
        <f aca="false">IFERROR(IF(Kalender!A107="",0,J4864*(1-Eingaben!$B$20)),0)</f>
        <v>1.709316</v>
      </c>
      <c r="H4865" s="13" t="n">
        <f aca="false">MIN(G4865,D4865)</f>
        <v>1.709316</v>
      </c>
      <c r="I4865" s="13" t="n">
        <f aca="false">IFERROR(MIN(F4865*Eingaben!$B$19,MAX(0,D4865-H4865)),0)</f>
        <v>1.75959</v>
      </c>
      <c r="J4865" s="13" t="n">
        <f aca="false">IFERROR(MIN(Eingaben!$B$18,MAX(0,F4865-I4865)),0)</f>
        <v>0.75411</v>
      </c>
      <c r="K4865" s="13" t="n">
        <f aca="false">H4865+I4865</f>
        <v>3.468906</v>
      </c>
      <c r="L4865" s="13" t="n">
        <f aca="false">MAX(0,D4865-K4865)</f>
        <v>1.471094</v>
      </c>
      <c r="M4865" s="13" t="n">
        <f aca="false">MAX(0,F4865-I4865-J4865)</f>
        <v>0</v>
      </c>
      <c r="N4865" s="13" t="n">
        <f aca="false">IF(Kalender!A107="",0,J4864-H4865)</f>
        <v>0.0348840000000001</v>
      </c>
    </row>
    <row r="4866" customFormat="false" ht="16.4" hidden="false" customHeight="false" outlineLevel="0" collapsed="false">
      <c r="A4866" s="13" t="str">
        <f aca="false">""</f>
        <v/>
      </c>
      <c r="B4866" s="13" t="n">
        <f aca="false">104</f>
        <v>104</v>
      </c>
      <c r="C4866" s="13" t="n">
        <f aca="false">IF(Szenarien!$H$24="OK",(IFERROR(SUMIF(Nutzungsprofile!$B$6:$B$11,"Schulbetrieb",Nutzungsprofile!$G$6:$G$11)*Kalender!C108/SUM(Kalender!$C$5:$C$370),0)+IFERROR(SUMIF(Nutzungsprofile!$B$6:$B$11,"Halle",Nutzungsprofile!$G$6:$G$11)*Kalender!D108/SUM(Kalender!$D$5:$D$370),0)+IFERROR(SUMIF(Nutzungsprofile!$B$6:$B$11,"Individuell",Nutzungsprofile!$G$6:$G$11)*Kalender!E108/SUM(Kalender!$E$5:$E$370),0))*Szenarien!$E$24,0)</f>
        <v>2.94</v>
      </c>
      <c r="D4866" s="13" t="n">
        <f aca="false">IF(Szenarien!$H$24="OK",(IFERROR(SUMIF(Nutzungsprofile!$B$17:$B$22,"Schulbetrieb",Nutzungsprofile!$G$17:$G$22)*Kalender!C108/SUM(Kalender!$C$5:$C$370),0)+IFERROR(SUMIF(Nutzungsprofile!$B$17:$B$22,"Halle",Nutzungsprofile!$G$17:$G$22)*Kalender!D108/SUM(Kalender!$D$5:$D$370),0)+IFERROR(SUMIF(Nutzungsprofile!$B$17:$B$22,"Individuell",Nutzungsprofile!$G$17:$G$22)*Kalender!E108/SUM(Kalender!$E$5:$E$370),0))*Szenarien!$D$24,0)</f>
        <v>4.94</v>
      </c>
      <c r="E4866" s="13" t="n">
        <f aca="false">IFERROR(MIN(C4866,Eingaben!$B$17)*Eingaben!$B$16,0)</f>
        <v>2.793</v>
      </c>
      <c r="F4866" s="13" t="n">
        <f aca="false">IFERROR(E4866*Eingaben!$B$15,0)</f>
        <v>2.5137</v>
      </c>
      <c r="G4866" s="13" t="n">
        <f aca="false">IFERROR(IF(Kalender!A108="",0,J4865*(1-Eingaben!$B$20)),0)</f>
        <v>0.7390278</v>
      </c>
      <c r="H4866" s="13" t="n">
        <f aca="false">MIN(G4866,D4866)</f>
        <v>0.7390278</v>
      </c>
      <c r="I4866" s="13" t="n">
        <f aca="false">IFERROR(MIN(F4866*Eingaben!$B$19,MAX(0,D4866-H4866)),0)</f>
        <v>1.75959</v>
      </c>
      <c r="J4866" s="13" t="n">
        <f aca="false">IFERROR(MIN(Eingaben!$B$18,MAX(0,F4866-I4866)),0)</f>
        <v>0.75411</v>
      </c>
      <c r="K4866" s="13" t="n">
        <f aca="false">H4866+I4866</f>
        <v>2.4986178</v>
      </c>
      <c r="L4866" s="13" t="n">
        <f aca="false">MAX(0,D4866-K4866)</f>
        <v>2.4413822</v>
      </c>
      <c r="M4866" s="13" t="n">
        <f aca="false">MAX(0,F4866-I4866-J4866)</f>
        <v>0</v>
      </c>
      <c r="N4866" s="13" t="n">
        <f aca="false">IF(Kalender!A108="",0,J4865-H4866)</f>
        <v>0.0150822</v>
      </c>
    </row>
    <row r="4867" customFormat="false" ht="16.4" hidden="false" customHeight="false" outlineLevel="0" collapsed="false">
      <c r="A4867" s="13" t="str">
        <f aca="false">""</f>
        <v/>
      </c>
      <c r="B4867" s="13" t="n">
        <f aca="false">105</f>
        <v>105</v>
      </c>
      <c r="C4867" s="13" t="n">
        <f aca="false">IF(Szenarien!$H$24="OK",(IFERROR(SUMIF(Nutzungsprofile!$B$6:$B$11,"Schulbetrieb",Nutzungsprofile!$G$6:$G$11)*Kalender!C109/SUM(Kalender!$C$5:$C$370),0)+IFERROR(SUMIF(Nutzungsprofile!$B$6:$B$11,"Halle",Nutzungsprofile!$G$6:$G$11)*Kalender!D109/SUM(Kalender!$D$5:$D$370),0)+IFERROR(SUMIF(Nutzungsprofile!$B$6:$B$11,"Individuell",Nutzungsprofile!$G$6:$G$11)*Kalender!E109/SUM(Kalender!$E$5:$E$370),0))*Szenarien!$E$24,0)</f>
        <v>2.94</v>
      </c>
      <c r="D4867" s="13" t="n">
        <f aca="false">IF(Szenarien!$H$24="OK",(IFERROR(SUMIF(Nutzungsprofile!$B$17:$B$22,"Schulbetrieb",Nutzungsprofile!$G$17:$G$22)*Kalender!C109/SUM(Kalender!$C$5:$C$370),0)+IFERROR(SUMIF(Nutzungsprofile!$B$17:$B$22,"Halle",Nutzungsprofile!$G$17:$G$22)*Kalender!D109/SUM(Kalender!$D$5:$D$370),0)+IFERROR(SUMIF(Nutzungsprofile!$B$17:$B$22,"Individuell",Nutzungsprofile!$G$17:$G$22)*Kalender!E109/SUM(Kalender!$E$5:$E$370),0))*Szenarien!$D$24,0)</f>
        <v>4.94</v>
      </c>
      <c r="E4867" s="13" t="n">
        <f aca="false">IFERROR(MIN(C4867,Eingaben!$B$17)*Eingaben!$B$16,0)</f>
        <v>2.793</v>
      </c>
      <c r="F4867" s="13" t="n">
        <f aca="false">IFERROR(E4867*Eingaben!$B$15,0)</f>
        <v>2.5137</v>
      </c>
      <c r="G4867" s="13" t="n">
        <f aca="false">IFERROR(IF(Kalender!A109="",0,J4866*(1-Eingaben!$B$20)),0)</f>
        <v>0.7390278</v>
      </c>
      <c r="H4867" s="13" t="n">
        <f aca="false">MIN(G4867,D4867)</f>
        <v>0.7390278</v>
      </c>
      <c r="I4867" s="13" t="n">
        <f aca="false">IFERROR(MIN(F4867*Eingaben!$B$19,MAX(0,D4867-H4867)),0)</f>
        <v>1.75959</v>
      </c>
      <c r="J4867" s="13" t="n">
        <f aca="false">IFERROR(MIN(Eingaben!$B$18,MAX(0,F4867-I4867)),0)</f>
        <v>0.75411</v>
      </c>
      <c r="K4867" s="13" t="n">
        <f aca="false">H4867+I4867</f>
        <v>2.4986178</v>
      </c>
      <c r="L4867" s="13" t="n">
        <f aca="false">MAX(0,D4867-K4867)</f>
        <v>2.4413822</v>
      </c>
      <c r="M4867" s="13" t="n">
        <f aca="false">MAX(0,F4867-I4867-J4867)</f>
        <v>0</v>
      </c>
      <c r="N4867" s="13" t="n">
        <f aca="false">IF(Kalender!A109="",0,J4866-H4867)</f>
        <v>0.0150822</v>
      </c>
    </row>
    <row r="4868" customFormat="false" ht="16.4" hidden="false" customHeight="false" outlineLevel="0" collapsed="false">
      <c r="A4868" s="13" t="str">
        <f aca="false">""</f>
        <v/>
      </c>
      <c r="B4868" s="13" t="n">
        <f aca="false">106</f>
        <v>106</v>
      </c>
      <c r="C4868" s="13" t="n">
        <f aca="false">IF(Szenarien!$H$24="OK",(IFERROR(SUMIF(Nutzungsprofile!$B$6:$B$11,"Schulbetrieb",Nutzungsprofile!$G$6:$G$11)*Kalender!C110/SUM(Kalender!$C$5:$C$370),0)+IFERROR(SUMIF(Nutzungsprofile!$B$6:$B$11,"Halle",Nutzungsprofile!$G$6:$G$11)*Kalender!D110/SUM(Kalender!$D$5:$D$370),0)+IFERROR(SUMIF(Nutzungsprofile!$B$6:$B$11,"Individuell",Nutzungsprofile!$G$6:$G$11)*Kalender!E110/SUM(Kalender!$E$5:$E$370),0))*Szenarien!$E$24,0)</f>
        <v>2.94</v>
      </c>
      <c r="D4868" s="13" t="n">
        <f aca="false">IF(Szenarien!$H$24="OK",(IFERROR(SUMIF(Nutzungsprofile!$B$17:$B$22,"Schulbetrieb",Nutzungsprofile!$G$17:$G$22)*Kalender!C110/SUM(Kalender!$C$5:$C$370),0)+IFERROR(SUMIF(Nutzungsprofile!$B$17:$B$22,"Halle",Nutzungsprofile!$G$17:$G$22)*Kalender!D110/SUM(Kalender!$D$5:$D$370),0)+IFERROR(SUMIF(Nutzungsprofile!$B$17:$B$22,"Individuell",Nutzungsprofile!$G$17:$G$22)*Kalender!E110/SUM(Kalender!$E$5:$E$370),0))*Szenarien!$D$24,0)</f>
        <v>4.94</v>
      </c>
      <c r="E4868" s="13" t="n">
        <f aca="false">IFERROR(MIN(C4868,Eingaben!$B$17)*Eingaben!$B$16,0)</f>
        <v>2.793</v>
      </c>
      <c r="F4868" s="13" t="n">
        <f aca="false">IFERROR(E4868*Eingaben!$B$15,0)</f>
        <v>2.5137</v>
      </c>
      <c r="G4868" s="13" t="n">
        <f aca="false">IFERROR(IF(Kalender!A110="",0,J4867*(1-Eingaben!$B$20)),0)</f>
        <v>0.7390278</v>
      </c>
      <c r="H4868" s="13" t="n">
        <f aca="false">MIN(G4868,D4868)</f>
        <v>0.7390278</v>
      </c>
      <c r="I4868" s="13" t="n">
        <f aca="false">IFERROR(MIN(F4868*Eingaben!$B$19,MAX(0,D4868-H4868)),0)</f>
        <v>1.75959</v>
      </c>
      <c r="J4868" s="13" t="n">
        <f aca="false">IFERROR(MIN(Eingaben!$B$18,MAX(0,F4868-I4868)),0)</f>
        <v>0.75411</v>
      </c>
      <c r="K4868" s="13" t="n">
        <f aca="false">H4868+I4868</f>
        <v>2.4986178</v>
      </c>
      <c r="L4868" s="13" t="n">
        <f aca="false">MAX(0,D4868-K4868)</f>
        <v>2.4413822</v>
      </c>
      <c r="M4868" s="13" t="n">
        <f aca="false">MAX(0,F4868-I4868-J4868)</f>
        <v>0</v>
      </c>
      <c r="N4868" s="13" t="n">
        <f aca="false">IF(Kalender!A110="",0,J4867-H4868)</f>
        <v>0.0150822</v>
      </c>
    </row>
    <row r="4869" customFormat="false" ht="16.4" hidden="false" customHeight="false" outlineLevel="0" collapsed="false">
      <c r="A4869" s="13" t="str">
        <f aca="false">""</f>
        <v/>
      </c>
      <c r="B4869" s="13" t="n">
        <f aca="false">107</f>
        <v>107</v>
      </c>
      <c r="C4869" s="13" t="n">
        <f aca="false">IF(Szenarien!$H$24="OK",(IFERROR(SUMIF(Nutzungsprofile!$B$6:$B$11,"Schulbetrieb",Nutzungsprofile!$G$6:$G$11)*Kalender!C111/SUM(Kalender!$C$5:$C$370),0)+IFERROR(SUMIF(Nutzungsprofile!$B$6:$B$11,"Halle",Nutzungsprofile!$G$6:$G$11)*Kalender!D111/SUM(Kalender!$D$5:$D$370),0)+IFERROR(SUMIF(Nutzungsprofile!$B$6:$B$11,"Individuell",Nutzungsprofile!$G$6:$G$11)*Kalender!E111/SUM(Kalender!$E$5:$E$370),0))*Szenarien!$E$24,0)</f>
        <v>2.94</v>
      </c>
      <c r="D4869" s="13" t="n">
        <f aca="false">IF(Szenarien!$H$24="OK",(IFERROR(SUMIF(Nutzungsprofile!$B$17:$B$22,"Schulbetrieb",Nutzungsprofile!$G$17:$G$22)*Kalender!C111/SUM(Kalender!$C$5:$C$370),0)+IFERROR(SUMIF(Nutzungsprofile!$B$17:$B$22,"Halle",Nutzungsprofile!$G$17:$G$22)*Kalender!D111/SUM(Kalender!$D$5:$D$370),0)+IFERROR(SUMIF(Nutzungsprofile!$B$17:$B$22,"Individuell",Nutzungsprofile!$G$17:$G$22)*Kalender!E111/SUM(Kalender!$E$5:$E$370),0))*Szenarien!$D$24,0)</f>
        <v>4.94</v>
      </c>
      <c r="E4869" s="13" t="n">
        <f aca="false">IFERROR(MIN(C4869,Eingaben!$B$17)*Eingaben!$B$16,0)</f>
        <v>2.793</v>
      </c>
      <c r="F4869" s="13" t="n">
        <f aca="false">IFERROR(E4869*Eingaben!$B$15,0)</f>
        <v>2.5137</v>
      </c>
      <c r="G4869" s="13" t="n">
        <f aca="false">IFERROR(IF(Kalender!A111="",0,J4868*(1-Eingaben!$B$20)),0)</f>
        <v>0.7390278</v>
      </c>
      <c r="H4869" s="13" t="n">
        <f aca="false">MIN(G4869,D4869)</f>
        <v>0.7390278</v>
      </c>
      <c r="I4869" s="13" t="n">
        <f aca="false">IFERROR(MIN(F4869*Eingaben!$B$19,MAX(0,D4869-H4869)),0)</f>
        <v>1.75959</v>
      </c>
      <c r="J4869" s="13" t="n">
        <f aca="false">IFERROR(MIN(Eingaben!$B$18,MAX(0,F4869-I4869)),0)</f>
        <v>0.75411</v>
      </c>
      <c r="K4869" s="13" t="n">
        <f aca="false">H4869+I4869</f>
        <v>2.4986178</v>
      </c>
      <c r="L4869" s="13" t="n">
        <f aca="false">MAX(0,D4869-K4869)</f>
        <v>2.4413822</v>
      </c>
      <c r="M4869" s="13" t="n">
        <f aca="false">MAX(0,F4869-I4869-J4869)</f>
        <v>0</v>
      </c>
      <c r="N4869" s="13" t="n">
        <f aca="false">IF(Kalender!A111="",0,J4868-H4869)</f>
        <v>0.0150822</v>
      </c>
    </row>
    <row r="4870" customFormat="false" ht="16.4" hidden="false" customHeight="false" outlineLevel="0" collapsed="false">
      <c r="A4870" s="13" t="str">
        <f aca="false">""</f>
        <v/>
      </c>
      <c r="B4870" s="13" t="n">
        <f aca="false">108</f>
        <v>108</v>
      </c>
      <c r="C4870" s="13" t="n">
        <f aca="false">IF(Szenarien!$H$24="OK",(IFERROR(SUMIF(Nutzungsprofile!$B$6:$B$11,"Schulbetrieb",Nutzungsprofile!$G$6:$G$11)*Kalender!C112/SUM(Kalender!$C$5:$C$370),0)+IFERROR(SUMIF(Nutzungsprofile!$B$6:$B$11,"Halle",Nutzungsprofile!$G$6:$G$11)*Kalender!D112/SUM(Kalender!$D$5:$D$370),0)+IFERROR(SUMIF(Nutzungsprofile!$B$6:$B$11,"Individuell",Nutzungsprofile!$G$6:$G$11)*Kalender!E112/SUM(Kalender!$E$5:$E$370),0))*Szenarien!$E$24,0)</f>
        <v>2.04</v>
      </c>
      <c r="D4870" s="13" t="n">
        <f aca="false">IF(Szenarien!$H$24="OK",(IFERROR(SUMIF(Nutzungsprofile!$B$17:$B$22,"Schulbetrieb",Nutzungsprofile!$G$17:$G$22)*Kalender!C112/SUM(Kalender!$C$5:$C$370),0)+IFERROR(SUMIF(Nutzungsprofile!$B$17:$B$22,"Halle",Nutzungsprofile!$G$17:$G$22)*Kalender!D112/SUM(Kalender!$D$5:$D$370),0)+IFERROR(SUMIF(Nutzungsprofile!$B$17:$B$22,"Individuell",Nutzungsprofile!$G$17:$G$22)*Kalender!E112/SUM(Kalender!$E$5:$E$370),0))*Szenarien!$D$24,0)</f>
        <v>0.89</v>
      </c>
      <c r="E4870" s="13" t="n">
        <f aca="false">IFERROR(MIN(C4870,Eingaben!$B$17)*Eingaben!$B$16,0)</f>
        <v>1.938</v>
      </c>
      <c r="F4870" s="13" t="n">
        <f aca="false">IFERROR(E4870*Eingaben!$B$15,0)</f>
        <v>1.7442</v>
      </c>
      <c r="G4870" s="13" t="n">
        <f aca="false">IFERROR(IF(Kalender!A112="",0,J4869*(1-Eingaben!$B$20)),0)</f>
        <v>0.7390278</v>
      </c>
      <c r="H4870" s="13" t="n">
        <f aca="false">MIN(G4870,D4870)</f>
        <v>0.7390278</v>
      </c>
      <c r="I4870" s="13" t="n">
        <f aca="false">IFERROR(MIN(F4870*Eingaben!$B$19,MAX(0,D4870-H4870)),0)</f>
        <v>0.1509722</v>
      </c>
      <c r="J4870" s="13" t="n">
        <f aca="false">IFERROR(MIN(Eingaben!$B$18,MAX(0,F4870-I4870)),0)</f>
        <v>1.5932278</v>
      </c>
      <c r="K4870" s="13" t="n">
        <f aca="false">H4870+I4870</f>
        <v>0.89</v>
      </c>
      <c r="L4870" s="13" t="n">
        <f aca="false">MAX(0,D4870-K4870)</f>
        <v>0</v>
      </c>
      <c r="M4870" s="13" t="n">
        <f aca="false">MAX(0,F4870-I4870-J4870)</f>
        <v>0</v>
      </c>
      <c r="N4870" s="13" t="n">
        <f aca="false">IF(Kalender!A112="",0,J4869-H4870)</f>
        <v>0.0150822</v>
      </c>
    </row>
    <row r="4871" customFormat="false" ht="16.4" hidden="false" customHeight="false" outlineLevel="0" collapsed="false">
      <c r="A4871" s="13" t="str">
        <f aca="false">""</f>
        <v/>
      </c>
      <c r="B4871" s="13" t="n">
        <f aca="false">109</f>
        <v>109</v>
      </c>
      <c r="C4871" s="13" t="n">
        <f aca="false">IF(Szenarien!$H$24="OK",(IFERROR(SUMIF(Nutzungsprofile!$B$6:$B$11,"Schulbetrieb",Nutzungsprofile!$G$6:$G$11)*Kalender!C113/SUM(Kalender!$C$5:$C$370),0)+IFERROR(SUMIF(Nutzungsprofile!$B$6:$B$11,"Halle",Nutzungsprofile!$G$6:$G$11)*Kalender!D113/SUM(Kalender!$D$5:$D$370),0)+IFERROR(SUMIF(Nutzungsprofile!$B$6:$B$11,"Individuell",Nutzungsprofile!$G$6:$G$11)*Kalender!E113/SUM(Kalender!$E$5:$E$370),0))*Szenarien!$E$24,0)</f>
        <v>2.04</v>
      </c>
      <c r="D4871" s="13" t="n">
        <f aca="false">IF(Szenarien!$H$24="OK",(IFERROR(SUMIF(Nutzungsprofile!$B$17:$B$22,"Schulbetrieb",Nutzungsprofile!$G$17:$G$22)*Kalender!C113/SUM(Kalender!$C$5:$C$370),0)+IFERROR(SUMIF(Nutzungsprofile!$B$17:$B$22,"Halle",Nutzungsprofile!$G$17:$G$22)*Kalender!D113/SUM(Kalender!$D$5:$D$370),0)+IFERROR(SUMIF(Nutzungsprofile!$B$17:$B$22,"Individuell",Nutzungsprofile!$G$17:$G$22)*Kalender!E113/SUM(Kalender!$E$5:$E$370),0))*Szenarien!$D$24,0)</f>
        <v>0.89</v>
      </c>
      <c r="E4871" s="13" t="n">
        <f aca="false">IFERROR(MIN(C4871,Eingaben!$B$17)*Eingaben!$B$16,0)</f>
        <v>1.938</v>
      </c>
      <c r="F4871" s="13" t="n">
        <f aca="false">IFERROR(E4871*Eingaben!$B$15,0)</f>
        <v>1.7442</v>
      </c>
      <c r="G4871" s="13" t="n">
        <f aca="false">IFERROR(IF(Kalender!A113="",0,J4870*(1-Eingaben!$B$20)),0)</f>
        <v>1.561363244</v>
      </c>
      <c r="H4871" s="13" t="n">
        <f aca="false">MIN(G4871,D4871)</f>
        <v>0.89</v>
      </c>
      <c r="I4871" s="13" t="n">
        <f aca="false">IFERROR(MIN(F4871*Eingaben!$B$19,MAX(0,D4871-H4871)),0)</f>
        <v>0</v>
      </c>
      <c r="J4871" s="13" t="n">
        <f aca="false">IFERROR(MIN(Eingaben!$B$18,MAX(0,F4871-I4871)),0)</f>
        <v>1.7442</v>
      </c>
      <c r="K4871" s="13" t="n">
        <f aca="false">H4871+I4871</f>
        <v>0.89</v>
      </c>
      <c r="L4871" s="13" t="n">
        <f aca="false">MAX(0,D4871-K4871)</f>
        <v>0</v>
      </c>
      <c r="M4871" s="13" t="n">
        <f aca="false">MAX(0,F4871-I4871-J4871)</f>
        <v>0</v>
      </c>
      <c r="N4871" s="13" t="n">
        <f aca="false">IF(Kalender!A113="",0,J4870-H4871)</f>
        <v>0.7032278</v>
      </c>
    </row>
    <row r="4872" customFormat="false" ht="16.4" hidden="false" customHeight="false" outlineLevel="0" collapsed="false">
      <c r="A4872" s="13" t="str">
        <f aca="false">""</f>
        <v/>
      </c>
      <c r="B4872" s="13" t="n">
        <f aca="false">110</f>
        <v>110</v>
      </c>
      <c r="C4872" s="13" t="n">
        <f aca="false">IF(Szenarien!$H$24="OK",(IFERROR(SUMIF(Nutzungsprofile!$B$6:$B$11,"Schulbetrieb",Nutzungsprofile!$G$6:$G$11)*Kalender!C114/SUM(Kalender!$C$5:$C$370),0)+IFERROR(SUMIF(Nutzungsprofile!$B$6:$B$11,"Halle",Nutzungsprofile!$G$6:$G$11)*Kalender!D114/SUM(Kalender!$D$5:$D$370),0)+IFERROR(SUMIF(Nutzungsprofile!$B$6:$B$11,"Individuell",Nutzungsprofile!$G$6:$G$11)*Kalender!E114/SUM(Kalender!$E$5:$E$370),0))*Szenarien!$E$24,0)</f>
        <v>2.94</v>
      </c>
      <c r="D4872" s="13" t="n">
        <f aca="false">IF(Szenarien!$H$24="OK",(IFERROR(SUMIF(Nutzungsprofile!$B$17:$B$22,"Schulbetrieb",Nutzungsprofile!$G$17:$G$22)*Kalender!C114/SUM(Kalender!$C$5:$C$370),0)+IFERROR(SUMIF(Nutzungsprofile!$B$17:$B$22,"Halle",Nutzungsprofile!$G$17:$G$22)*Kalender!D114/SUM(Kalender!$D$5:$D$370),0)+IFERROR(SUMIF(Nutzungsprofile!$B$17:$B$22,"Individuell",Nutzungsprofile!$G$17:$G$22)*Kalender!E114/SUM(Kalender!$E$5:$E$370),0))*Szenarien!$D$24,0)</f>
        <v>4.94</v>
      </c>
      <c r="E4872" s="13" t="n">
        <f aca="false">IFERROR(MIN(C4872,Eingaben!$B$17)*Eingaben!$B$16,0)</f>
        <v>2.793</v>
      </c>
      <c r="F4872" s="13" t="n">
        <f aca="false">IFERROR(E4872*Eingaben!$B$15,0)</f>
        <v>2.5137</v>
      </c>
      <c r="G4872" s="13" t="n">
        <f aca="false">IFERROR(IF(Kalender!A114="",0,J4871*(1-Eingaben!$B$20)),0)</f>
        <v>1.709316</v>
      </c>
      <c r="H4872" s="13" t="n">
        <f aca="false">MIN(G4872,D4872)</f>
        <v>1.709316</v>
      </c>
      <c r="I4872" s="13" t="n">
        <f aca="false">IFERROR(MIN(F4872*Eingaben!$B$19,MAX(0,D4872-H4872)),0)</f>
        <v>1.75959</v>
      </c>
      <c r="J4872" s="13" t="n">
        <f aca="false">IFERROR(MIN(Eingaben!$B$18,MAX(0,F4872-I4872)),0)</f>
        <v>0.75411</v>
      </c>
      <c r="K4872" s="13" t="n">
        <f aca="false">H4872+I4872</f>
        <v>3.468906</v>
      </c>
      <c r="L4872" s="13" t="n">
        <f aca="false">MAX(0,D4872-K4872)</f>
        <v>1.471094</v>
      </c>
      <c r="M4872" s="13" t="n">
        <f aca="false">MAX(0,F4872-I4872-J4872)</f>
        <v>0</v>
      </c>
      <c r="N4872" s="13" t="n">
        <f aca="false">IF(Kalender!A114="",0,J4871-H4872)</f>
        <v>0.0348840000000001</v>
      </c>
    </row>
    <row r="4873" customFormat="false" ht="16.4" hidden="false" customHeight="false" outlineLevel="0" collapsed="false">
      <c r="A4873" s="13" t="str">
        <f aca="false">""</f>
        <v/>
      </c>
      <c r="B4873" s="13" t="n">
        <f aca="false">111</f>
        <v>111</v>
      </c>
      <c r="C4873" s="13" t="n">
        <f aca="false">IF(Szenarien!$H$24="OK",(IFERROR(SUMIF(Nutzungsprofile!$B$6:$B$11,"Schulbetrieb",Nutzungsprofile!$G$6:$G$11)*Kalender!C115/SUM(Kalender!$C$5:$C$370),0)+IFERROR(SUMIF(Nutzungsprofile!$B$6:$B$11,"Halle",Nutzungsprofile!$G$6:$G$11)*Kalender!D115/SUM(Kalender!$D$5:$D$370),0)+IFERROR(SUMIF(Nutzungsprofile!$B$6:$B$11,"Individuell",Nutzungsprofile!$G$6:$G$11)*Kalender!E115/SUM(Kalender!$E$5:$E$370),0))*Szenarien!$E$24,0)</f>
        <v>2.94</v>
      </c>
      <c r="D4873" s="13" t="n">
        <f aca="false">IF(Szenarien!$H$24="OK",(IFERROR(SUMIF(Nutzungsprofile!$B$17:$B$22,"Schulbetrieb",Nutzungsprofile!$G$17:$G$22)*Kalender!C115/SUM(Kalender!$C$5:$C$370),0)+IFERROR(SUMIF(Nutzungsprofile!$B$17:$B$22,"Halle",Nutzungsprofile!$G$17:$G$22)*Kalender!D115/SUM(Kalender!$D$5:$D$370),0)+IFERROR(SUMIF(Nutzungsprofile!$B$17:$B$22,"Individuell",Nutzungsprofile!$G$17:$G$22)*Kalender!E115/SUM(Kalender!$E$5:$E$370),0))*Szenarien!$D$24,0)</f>
        <v>4.94</v>
      </c>
      <c r="E4873" s="13" t="n">
        <f aca="false">IFERROR(MIN(C4873,Eingaben!$B$17)*Eingaben!$B$16,0)</f>
        <v>2.793</v>
      </c>
      <c r="F4873" s="13" t="n">
        <f aca="false">IFERROR(E4873*Eingaben!$B$15,0)</f>
        <v>2.5137</v>
      </c>
      <c r="G4873" s="13" t="n">
        <f aca="false">IFERROR(IF(Kalender!A115="",0,J4872*(1-Eingaben!$B$20)),0)</f>
        <v>0.7390278</v>
      </c>
      <c r="H4873" s="13" t="n">
        <f aca="false">MIN(G4873,D4873)</f>
        <v>0.7390278</v>
      </c>
      <c r="I4873" s="13" t="n">
        <f aca="false">IFERROR(MIN(F4873*Eingaben!$B$19,MAX(0,D4873-H4873)),0)</f>
        <v>1.75959</v>
      </c>
      <c r="J4873" s="13" t="n">
        <f aca="false">IFERROR(MIN(Eingaben!$B$18,MAX(0,F4873-I4873)),0)</f>
        <v>0.75411</v>
      </c>
      <c r="K4873" s="13" t="n">
        <f aca="false">H4873+I4873</f>
        <v>2.4986178</v>
      </c>
      <c r="L4873" s="13" t="n">
        <f aca="false">MAX(0,D4873-K4873)</f>
        <v>2.4413822</v>
      </c>
      <c r="M4873" s="13" t="n">
        <f aca="false">MAX(0,F4873-I4873-J4873)</f>
        <v>0</v>
      </c>
      <c r="N4873" s="13" t="n">
        <f aca="false">IF(Kalender!A115="",0,J4872-H4873)</f>
        <v>0.0150822</v>
      </c>
    </row>
    <row r="4874" customFormat="false" ht="16.4" hidden="false" customHeight="false" outlineLevel="0" collapsed="false">
      <c r="A4874" s="13" t="str">
        <f aca="false">""</f>
        <v/>
      </c>
      <c r="B4874" s="13" t="n">
        <f aca="false">112</f>
        <v>112</v>
      </c>
      <c r="C4874" s="13" t="n">
        <f aca="false">IF(Szenarien!$H$24="OK",(IFERROR(SUMIF(Nutzungsprofile!$B$6:$B$11,"Schulbetrieb",Nutzungsprofile!$G$6:$G$11)*Kalender!C116/SUM(Kalender!$C$5:$C$370),0)+IFERROR(SUMIF(Nutzungsprofile!$B$6:$B$11,"Halle",Nutzungsprofile!$G$6:$G$11)*Kalender!D116/SUM(Kalender!$D$5:$D$370),0)+IFERROR(SUMIF(Nutzungsprofile!$B$6:$B$11,"Individuell",Nutzungsprofile!$G$6:$G$11)*Kalender!E116/SUM(Kalender!$E$5:$E$370),0))*Szenarien!$E$24,0)</f>
        <v>2.94</v>
      </c>
      <c r="D4874" s="13" t="n">
        <f aca="false">IF(Szenarien!$H$24="OK",(IFERROR(SUMIF(Nutzungsprofile!$B$17:$B$22,"Schulbetrieb",Nutzungsprofile!$G$17:$G$22)*Kalender!C116/SUM(Kalender!$C$5:$C$370),0)+IFERROR(SUMIF(Nutzungsprofile!$B$17:$B$22,"Halle",Nutzungsprofile!$G$17:$G$22)*Kalender!D116/SUM(Kalender!$D$5:$D$370),0)+IFERROR(SUMIF(Nutzungsprofile!$B$17:$B$22,"Individuell",Nutzungsprofile!$G$17:$G$22)*Kalender!E116/SUM(Kalender!$E$5:$E$370),0))*Szenarien!$D$24,0)</f>
        <v>4.94</v>
      </c>
      <c r="E4874" s="13" t="n">
        <f aca="false">IFERROR(MIN(C4874,Eingaben!$B$17)*Eingaben!$B$16,0)</f>
        <v>2.793</v>
      </c>
      <c r="F4874" s="13" t="n">
        <f aca="false">IFERROR(E4874*Eingaben!$B$15,0)</f>
        <v>2.5137</v>
      </c>
      <c r="G4874" s="13" t="n">
        <f aca="false">IFERROR(IF(Kalender!A116="",0,J4873*(1-Eingaben!$B$20)),0)</f>
        <v>0.7390278</v>
      </c>
      <c r="H4874" s="13" t="n">
        <f aca="false">MIN(G4874,D4874)</f>
        <v>0.7390278</v>
      </c>
      <c r="I4874" s="13" t="n">
        <f aca="false">IFERROR(MIN(F4874*Eingaben!$B$19,MAX(0,D4874-H4874)),0)</f>
        <v>1.75959</v>
      </c>
      <c r="J4874" s="13" t="n">
        <f aca="false">IFERROR(MIN(Eingaben!$B$18,MAX(0,F4874-I4874)),0)</f>
        <v>0.75411</v>
      </c>
      <c r="K4874" s="13" t="n">
        <f aca="false">H4874+I4874</f>
        <v>2.4986178</v>
      </c>
      <c r="L4874" s="13" t="n">
        <f aca="false">MAX(0,D4874-K4874)</f>
        <v>2.4413822</v>
      </c>
      <c r="M4874" s="13" t="n">
        <f aca="false">MAX(0,F4874-I4874-J4874)</f>
        <v>0</v>
      </c>
      <c r="N4874" s="13" t="n">
        <f aca="false">IF(Kalender!A116="",0,J4873-H4874)</f>
        <v>0.0150822</v>
      </c>
    </row>
    <row r="4875" customFormat="false" ht="16.4" hidden="false" customHeight="false" outlineLevel="0" collapsed="false">
      <c r="A4875" s="13" t="str">
        <f aca="false">""</f>
        <v/>
      </c>
      <c r="B4875" s="13" t="n">
        <f aca="false">113</f>
        <v>113</v>
      </c>
      <c r="C4875" s="13" t="n">
        <f aca="false">IF(Szenarien!$H$24="OK",(IFERROR(SUMIF(Nutzungsprofile!$B$6:$B$11,"Schulbetrieb",Nutzungsprofile!$G$6:$G$11)*Kalender!C117/SUM(Kalender!$C$5:$C$370),0)+IFERROR(SUMIF(Nutzungsprofile!$B$6:$B$11,"Halle",Nutzungsprofile!$G$6:$G$11)*Kalender!D117/SUM(Kalender!$D$5:$D$370),0)+IFERROR(SUMIF(Nutzungsprofile!$B$6:$B$11,"Individuell",Nutzungsprofile!$G$6:$G$11)*Kalender!E117/SUM(Kalender!$E$5:$E$370),0))*Szenarien!$E$24,0)</f>
        <v>2.94</v>
      </c>
      <c r="D4875" s="13" t="n">
        <f aca="false">IF(Szenarien!$H$24="OK",(IFERROR(SUMIF(Nutzungsprofile!$B$17:$B$22,"Schulbetrieb",Nutzungsprofile!$G$17:$G$22)*Kalender!C117/SUM(Kalender!$C$5:$C$370),0)+IFERROR(SUMIF(Nutzungsprofile!$B$17:$B$22,"Halle",Nutzungsprofile!$G$17:$G$22)*Kalender!D117/SUM(Kalender!$D$5:$D$370),0)+IFERROR(SUMIF(Nutzungsprofile!$B$17:$B$22,"Individuell",Nutzungsprofile!$G$17:$G$22)*Kalender!E117/SUM(Kalender!$E$5:$E$370),0))*Szenarien!$D$24,0)</f>
        <v>4.94</v>
      </c>
      <c r="E4875" s="13" t="n">
        <f aca="false">IFERROR(MIN(C4875,Eingaben!$B$17)*Eingaben!$B$16,0)</f>
        <v>2.793</v>
      </c>
      <c r="F4875" s="13" t="n">
        <f aca="false">IFERROR(E4875*Eingaben!$B$15,0)</f>
        <v>2.5137</v>
      </c>
      <c r="G4875" s="13" t="n">
        <f aca="false">IFERROR(IF(Kalender!A117="",0,J4874*(1-Eingaben!$B$20)),0)</f>
        <v>0.7390278</v>
      </c>
      <c r="H4875" s="13" t="n">
        <f aca="false">MIN(G4875,D4875)</f>
        <v>0.7390278</v>
      </c>
      <c r="I4875" s="13" t="n">
        <f aca="false">IFERROR(MIN(F4875*Eingaben!$B$19,MAX(0,D4875-H4875)),0)</f>
        <v>1.75959</v>
      </c>
      <c r="J4875" s="13" t="n">
        <f aca="false">IFERROR(MIN(Eingaben!$B$18,MAX(0,F4875-I4875)),0)</f>
        <v>0.75411</v>
      </c>
      <c r="K4875" s="13" t="n">
        <f aca="false">H4875+I4875</f>
        <v>2.4986178</v>
      </c>
      <c r="L4875" s="13" t="n">
        <f aca="false">MAX(0,D4875-K4875)</f>
        <v>2.4413822</v>
      </c>
      <c r="M4875" s="13" t="n">
        <f aca="false">MAX(0,F4875-I4875-J4875)</f>
        <v>0</v>
      </c>
      <c r="N4875" s="13" t="n">
        <f aca="false">IF(Kalender!A117="",0,J4874-H4875)</f>
        <v>0.0150822</v>
      </c>
    </row>
    <row r="4876" customFormat="false" ht="16.4" hidden="false" customHeight="false" outlineLevel="0" collapsed="false">
      <c r="A4876" s="13" t="str">
        <f aca="false">""</f>
        <v/>
      </c>
      <c r="B4876" s="13" t="n">
        <f aca="false">114</f>
        <v>114</v>
      </c>
      <c r="C4876" s="13" t="n">
        <f aca="false">IF(Szenarien!$H$24="OK",(IFERROR(SUMIF(Nutzungsprofile!$B$6:$B$11,"Schulbetrieb",Nutzungsprofile!$G$6:$G$11)*Kalender!C118/SUM(Kalender!$C$5:$C$370),0)+IFERROR(SUMIF(Nutzungsprofile!$B$6:$B$11,"Halle",Nutzungsprofile!$G$6:$G$11)*Kalender!D118/SUM(Kalender!$D$5:$D$370),0)+IFERROR(SUMIF(Nutzungsprofile!$B$6:$B$11,"Individuell",Nutzungsprofile!$G$6:$G$11)*Kalender!E118/SUM(Kalender!$E$5:$E$370),0))*Szenarien!$E$24,0)</f>
        <v>2.94</v>
      </c>
      <c r="D4876" s="13" t="n">
        <f aca="false">IF(Szenarien!$H$24="OK",(IFERROR(SUMIF(Nutzungsprofile!$B$17:$B$22,"Schulbetrieb",Nutzungsprofile!$G$17:$G$22)*Kalender!C118/SUM(Kalender!$C$5:$C$370),0)+IFERROR(SUMIF(Nutzungsprofile!$B$17:$B$22,"Halle",Nutzungsprofile!$G$17:$G$22)*Kalender!D118/SUM(Kalender!$D$5:$D$370),0)+IFERROR(SUMIF(Nutzungsprofile!$B$17:$B$22,"Individuell",Nutzungsprofile!$G$17:$G$22)*Kalender!E118/SUM(Kalender!$E$5:$E$370),0))*Szenarien!$D$24,0)</f>
        <v>4.94</v>
      </c>
      <c r="E4876" s="13" t="n">
        <f aca="false">IFERROR(MIN(C4876,Eingaben!$B$17)*Eingaben!$B$16,0)</f>
        <v>2.793</v>
      </c>
      <c r="F4876" s="13" t="n">
        <f aca="false">IFERROR(E4876*Eingaben!$B$15,0)</f>
        <v>2.5137</v>
      </c>
      <c r="G4876" s="13" t="n">
        <f aca="false">IFERROR(IF(Kalender!A118="",0,J4875*(1-Eingaben!$B$20)),0)</f>
        <v>0.7390278</v>
      </c>
      <c r="H4876" s="13" t="n">
        <f aca="false">MIN(G4876,D4876)</f>
        <v>0.7390278</v>
      </c>
      <c r="I4876" s="13" t="n">
        <f aca="false">IFERROR(MIN(F4876*Eingaben!$B$19,MAX(0,D4876-H4876)),0)</f>
        <v>1.75959</v>
      </c>
      <c r="J4876" s="13" t="n">
        <f aca="false">IFERROR(MIN(Eingaben!$B$18,MAX(0,F4876-I4876)),0)</f>
        <v>0.75411</v>
      </c>
      <c r="K4876" s="13" t="n">
        <f aca="false">H4876+I4876</f>
        <v>2.4986178</v>
      </c>
      <c r="L4876" s="13" t="n">
        <f aca="false">MAX(0,D4876-K4876)</f>
        <v>2.4413822</v>
      </c>
      <c r="M4876" s="13" t="n">
        <f aca="false">MAX(0,F4876-I4876-J4876)</f>
        <v>0</v>
      </c>
      <c r="N4876" s="13" t="n">
        <f aca="false">IF(Kalender!A118="",0,J4875-H4876)</f>
        <v>0.0150822</v>
      </c>
    </row>
    <row r="4877" customFormat="false" ht="16.4" hidden="false" customHeight="false" outlineLevel="0" collapsed="false">
      <c r="A4877" s="13" t="str">
        <f aca="false">""</f>
        <v/>
      </c>
      <c r="B4877" s="13" t="n">
        <f aca="false">115</f>
        <v>115</v>
      </c>
      <c r="C4877" s="13" t="n">
        <f aca="false">IF(Szenarien!$H$24="OK",(IFERROR(SUMIF(Nutzungsprofile!$B$6:$B$11,"Schulbetrieb",Nutzungsprofile!$G$6:$G$11)*Kalender!C119/SUM(Kalender!$C$5:$C$370),0)+IFERROR(SUMIF(Nutzungsprofile!$B$6:$B$11,"Halle",Nutzungsprofile!$G$6:$G$11)*Kalender!D119/SUM(Kalender!$D$5:$D$370),0)+IFERROR(SUMIF(Nutzungsprofile!$B$6:$B$11,"Individuell",Nutzungsprofile!$G$6:$G$11)*Kalender!E119/SUM(Kalender!$E$5:$E$370),0))*Szenarien!$E$24,0)</f>
        <v>2.04</v>
      </c>
      <c r="D4877" s="13" t="n">
        <f aca="false">IF(Szenarien!$H$24="OK",(IFERROR(SUMIF(Nutzungsprofile!$B$17:$B$22,"Schulbetrieb",Nutzungsprofile!$G$17:$G$22)*Kalender!C119/SUM(Kalender!$C$5:$C$370),0)+IFERROR(SUMIF(Nutzungsprofile!$B$17:$B$22,"Halle",Nutzungsprofile!$G$17:$G$22)*Kalender!D119/SUM(Kalender!$D$5:$D$370),0)+IFERROR(SUMIF(Nutzungsprofile!$B$17:$B$22,"Individuell",Nutzungsprofile!$G$17:$G$22)*Kalender!E119/SUM(Kalender!$E$5:$E$370),0))*Szenarien!$D$24,0)</f>
        <v>0.89</v>
      </c>
      <c r="E4877" s="13" t="n">
        <f aca="false">IFERROR(MIN(C4877,Eingaben!$B$17)*Eingaben!$B$16,0)</f>
        <v>1.938</v>
      </c>
      <c r="F4877" s="13" t="n">
        <f aca="false">IFERROR(E4877*Eingaben!$B$15,0)</f>
        <v>1.7442</v>
      </c>
      <c r="G4877" s="13" t="n">
        <f aca="false">IFERROR(IF(Kalender!A119="",0,J4876*(1-Eingaben!$B$20)),0)</f>
        <v>0.7390278</v>
      </c>
      <c r="H4877" s="13" t="n">
        <f aca="false">MIN(G4877,D4877)</f>
        <v>0.7390278</v>
      </c>
      <c r="I4877" s="13" t="n">
        <f aca="false">IFERROR(MIN(F4877*Eingaben!$B$19,MAX(0,D4877-H4877)),0)</f>
        <v>0.1509722</v>
      </c>
      <c r="J4877" s="13" t="n">
        <f aca="false">IFERROR(MIN(Eingaben!$B$18,MAX(0,F4877-I4877)),0)</f>
        <v>1.5932278</v>
      </c>
      <c r="K4877" s="13" t="n">
        <f aca="false">H4877+I4877</f>
        <v>0.89</v>
      </c>
      <c r="L4877" s="13" t="n">
        <f aca="false">MAX(0,D4877-K4877)</f>
        <v>0</v>
      </c>
      <c r="M4877" s="13" t="n">
        <f aca="false">MAX(0,F4877-I4877-J4877)</f>
        <v>0</v>
      </c>
      <c r="N4877" s="13" t="n">
        <f aca="false">IF(Kalender!A119="",0,J4876-H4877)</f>
        <v>0.0150822</v>
      </c>
    </row>
    <row r="4878" customFormat="false" ht="16.4" hidden="false" customHeight="false" outlineLevel="0" collapsed="false">
      <c r="A4878" s="13" t="str">
        <f aca="false">""</f>
        <v/>
      </c>
      <c r="B4878" s="13" t="n">
        <f aca="false">116</f>
        <v>116</v>
      </c>
      <c r="C4878" s="13" t="n">
        <f aca="false">IF(Szenarien!$H$24="OK",(IFERROR(SUMIF(Nutzungsprofile!$B$6:$B$11,"Schulbetrieb",Nutzungsprofile!$G$6:$G$11)*Kalender!C120/SUM(Kalender!$C$5:$C$370),0)+IFERROR(SUMIF(Nutzungsprofile!$B$6:$B$11,"Halle",Nutzungsprofile!$G$6:$G$11)*Kalender!D120/SUM(Kalender!$D$5:$D$370),0)+IFERROR(SUMIF(Nutzungsprofile!$B$6:$B$11,"Individuell",Nutzungsprofile!$G$6:$G$11)*Kalender!E120/SUM(Kalender!$E$5:$E$370),0))*Szenarien!$E$24,0)</f>
        <v>2.04</v>
      </c>
      <c r="D4878" s="13" t="n">
        <f aca="false">IF(Szenarien!$H$24="OK",(IFERROR(SUMIF(Nutzungsprofile!$B$17:$B$22,"Schulbetrieb",Nutzungsprofile!$G$17:$G$22)*Kalender!C120/SUM(Kalender!$C$5:$C$370),0)+IFERROR(SUMIF(Nutzungsprofile!$B$17:$B$22,"Halle",Nutzungsprofile!$G$17:$G$22)*Kalender!D120/SUM(Kalender!$D$5:$D$370),0)+IFERROR(SUMIF(Nutzungsprofile!$B$17:$B$22,"Individuell",Nutzungsprofile!$G$17:$G$22)*Kalender!E120/SUM(Kalender!$E$5:$E$370),0))*Szenarien!$D$24,0)</f>
        <v>0.89</v>
      </c>
      <c r="E4878" s="13" t="n">
        <f aca="false">IFERROR(MIN(C4878,Eingaben!$B$17)*Eingaben!$B$16,0)</f>
        <v>1.938</v>
      </c>
      <c r="F4878" s="13" t="n">
        <f aca="false">IFERROR(E4878*Eingaben!$B$15,0)</f>
        <v>1.7442</v>
      </c>
      <c r="G4878" s="13" t="n">
        <f aca="false">IFERROR(IF(Kalender!A120="",0,J4877*(1-Eingaben!$B$20)),0)</f>
        <v>1.561363244</v>
      </c>
      <c r="H4878" s="13" t="n">
        <f aca="false">MIN(G4878,D4878)</f>
        <v>0.89</v>
      </c>
      <c r="I4878" s="13" t="n">
        <f aca="false">IFERROR(MIN(F4878*Eingaben!$B$19,MAX(0,D4878-H4878)),0)</f>
        <v>0</v>
      </c>
      <c r="J4878" s="13" t="n">
        <f aca="false">IFERROR(MIN(Eingaben!$B$18,MAX(0,F4878-I4878)),0)</f>
        <v>1.7442</v>
      </c>
      <c r="K4878" s="13" t="n">
        <f aca="false">H4878+I4878</f>
        <v>0.89</v>
      </c>
      <c r="L4878" s="13" t="n">
        <f aca="false">MAX(0,D4878-K4878)</f>
        <v>0</v>
      </c>
      <c r="M4878" s="13" t="n">
        <f aca="false">MAX(0,F4878-I4878-J4878)</f>
        <v>0</v>
      </c>
      <c r="N4878" s="13" t="n">
        <f aca="false">IF(Kalender!A120="",0,J4877-H4878)</f>
        <v>0.7032278</v>
      </c>
    </row>
    <row r="4879" customFormat="false" ht="16.4" hidden="false" customHeight="false" outlineLevel="0" collapsed="false">
      <c r="A4879" s="13" t="str">
        <f aca="false">""</f>
        <v/>
      </c>
      <c r="B4879" s="13" t="n">
        <f aca="false">117</f>
        <v>117</v>
      </c>
      <c r="C4879" s="13" t="n">
        <f aca="false">IF(Szenarien!$H$24="OK",(IFERROR(SUMIF(Nutzungsprofile!$B$6:$B$11,"Schulbetrieb",Nutzungsprofile!$G$6:$G$11)*Kalender!C121/SUM(Kalender!$C$5:$C$370),0)+IFERROR(SUMIF(Nutzungsprofile!$B$6:$B$11,"Halle",Nutzungsprofile!$G$6:$G$11)*Kalender!D121/SUM(Kalender!$D$5:$D$370),0)+IFERROR(SUMIF(Nutzungsprofile!$B$6:$B$11,"Individuell",Nutzungsprofile!$G$6:$G$11)*Kalender!E121/SUM(Kalender!$E$5:$E$370),0))*Szenarien!$E$24,0)</f>
        <v>2.94</v>
      </c>
      <c r="D4879" s="13" t="n">
        <f aca="false">IF(Szenarien!$H$24="OK",(IFERROR(SUMIF(Nutzungsprofile!$B$17:$B$22,"Schulbetrieb",Nutzungsprofile!$G$17:$G$22)*Kalender!C121/SUM(Kalender!$C$5:$C$370),0)+IFERROR(SUMIF(Nutzungsprofile!$B$17:$B$22,"Halle",Nutzungsprofile!$G$17:$G$22)*Kalender!D121/SUM(Kalender!$D$5:$D$370),0)+IFERROR(SUMIF(Nutzungsprofile!$B$17:$B$22,"Individuell",Nutzungsprofile!$G$17:$G$22)*Kalender!E121/SUM(Kalender!$E$5:$E$370),0))*Szenarien!$D$24,0)</f>
        <v>4.94</v>
      </c>
      <c r="E4879" s="13" t="n">
        <f aca="false">IFERROR(MIN(C4879,Eingaben!$B$17)*Eingaben!$B$16,0)</f>
        <v>2.793</v>
      </c>
      <c r="F4879" s="13" t="n">
        <f aca="false">IFERROR(E4879*Eingaben!$B$15,0)</f>
        <v>2.5137</v>
      </c>
      <c r="G4879" s="13" t="n">
        <f aca="false">IFERROR(IF(Kalender!A121="",0,J4878*(1-Eingaben!$B$20)),0)</f>
        <v>1.709316</v>
      </c>
      <c r="H4879" s="13" t="n">
        <f aca="false">MIN(G4879,D4879)</f>
        <v>1.709316</v>
      </c>
      <c r="I4879" s="13" t="n">
        <f aca="false">IFERROR(MIN(F4879*Eingaben!$B$19,MAX(0,D4879-H4879)),0)</f>
        <v>1.75959</v>
      </c>
      <c r="J4879" s="13" t="n">
        <f aca="false">IFERROR(MIN(Eingaben!$B$18,MAX(0,F4879-I4879)),0)</f>
        <v>0.75411</v>
      </c>
      <c r="K4879" s="13" t="n">
        <f aca="false">H4879+I4879</f>
        <v>3.468906</v>
      </c>
      <c r="L4879" s="13" t="n">
        <f aca="false">MAX(0,D4879-K4879)</f>
        <v>1.471094</v>
      </c>
      <c r="M4879" s="13" t="n">
        <f aca="false">MAX(0,F4879-I4879-J4879)</f>
        <v>0</v>
      </c>
      <c r="N4879" s="13" t="n">
        <f aca="false">IF(Kalender!A121="",0,J4878-H4879)</f>
        <v>0.0348840000000001</v>
      </c>
    </row>
    <row r="4880" customFormat="false" ht="16.4" hidden="false" customHeight="false" outlineLevel="0" collapsed="false">
      <c r="A4880" s="13" t="str">
        <f aca="false">""</f>
        <v/>
      </c>
      <c r="B4880" s="13" t="n">
        <f aca="false">118</f>
        <v>118</v>
      </c>
      <c r="C4880" s="13" t="n">
        <f aca="false">IF(Szenarien!$H$24="OK",(IFERROR(SUMIF(Nutzungsprofile!$B$6:$B$11,"Schulbetrieb",Nutzungsprofile!$G$6:$G$11)*Kalender!C122/SUM(Kalender!$C$5:$C$370),0)+IFERROR(SUMIF(Nutzungsprofile!$B$6:$B$11,"Halle",Nutzungsprofile!$G$6:$G$11)*Kalender!D122/SUM(Kalender!$D$5:$D$370),0)+IFERROR(SUMIF(Nutzungsprofile!$B$6:$B$11,"Individuell",Nutzungsprofile!$G$6:$G$11)*Kalender!E122/SUM(Kalender!$E$5:$E$370),0))*Szenarien!$E$24,0)</f>
        <v>2.94</v>
      </c>
      <c r="D4880" s="13" t="n">
        <f aca="false">IF(Szenarien!$H$24="OK",(IFERROR(SUMIF(Nutzungsprofile!$B$17:$B$22,"Schulbetrieb",Nutzungsprofile!$G$17:$G$22)*Kalender!C122/SUM(Kalender!$C$5:$C$370),0)+IFERROR(SUMIF(Nutzungsprofile!$B$17:$B$22,"Halle",Nutzungsprofile!$G$17:$G$22)*Kalender!D122/SUM(Kalender!$D$5:$D$370),0)+IFERROR(SUMIF(Nutzungsprofile!$B$17:$B$22,"Individuell",Nutzungsprofile!$G$17:$G$22)*Kalender!E122/SUM(Kalender!$E$5:$E$370),0))*Szenarien!$D$24,0)</f>
        <v>4.94</v>
      </c>
      <c r="E4880" s="13" t="n">
        <f aca="false">IFERROR(MIN(C4880,Eingaben!$B$17)*Eingaben!$B$16,0)</f>
        <v>2.793</v>
      </c>
      <c r="F4880" s="13" t="n">
        <f aca="false">IFERROR(E4880*Eingaben!$B$15,0)</f>
        <v>2.5137</v>
      </c>
      <c r="G4880" s="13" t="n">
        <f aca="false">IFERROR(IF(Kalender!A122="",0,J4879*(1-Eingaben!$B$20)),0)</f>
        <v>0.7390278</v>
      </c>
      <c r="H4880" s="13" t="n">
        <f aca="false">MIN(G4880,D4880)</f>
        <v>0.7390278</v>
      </c>
      <c r="I4880" s="13" t="n">
        <f aca="false">IFERROR(MIN(F4880*Eingaben!$B$19,MAX(0,D4880-H4880)),0)</f>
        <v>1.75959</v>
      </c>
      <c r="J4880" s="13" t="n">
        <f aca="false">IFERROR(MIN(Eingaben!$B$18,MAX(0,F4880-I4880)),0)</f>
        <v>0.75411</v>
      </c>
      <c r="K4880" s="13" t="n">
        <f aca="false">H4880+I4880</f>
        <v>2.4986178</v>
      </c>
      <c r="L4880" s="13" t="n">
        <f aca="false">MAX(0,D4880-K4880)</f>
        <v>2.4413822</v>
      </c>
      <c r="M4880" s="13" t="n">
        <f aca="false">MAX(0,F4880-I4880-J4880)</f>
        <v>0</v>
      </c>
      <c r="N4880" s="13" t="n">
        <f aca="false">IF(Kalender!A122="",0,J4879-H4880)</f>
        <v>0.0150822</v>
      </c>
    </row>
    <row r="4881" customFormat="false" ht="16.4" hidden="false" customHeight="false" outlineLevel="0" collapsed="false">
      <c r="A4881" s="13" t="str">
        <f aca="false">""</f>
        <v/>
      </c>
      <c r="B4881" s="13" t="n">
        <f aca="false">119</f>
        <v>119</v>
      </c>
      <c r="C4881" s="13" t="n">
        <f aca="false">IF(Szenarien!$H$24="OK",(IFERROR(SUMIF(Nutzungsprofile!$B$6:$B$11,"Schulbetrieb",Nutzungsprofile!$G$6:$G$11)*Kalender!C123/SUM(Kalender!$C$5:$C$370),0)+IFERROR(SUMIF(Nutzungsprofile!$B$6:$B$11,"Halle",Nutzungsprofile!$G$6:$G$11)*Kalender!D123/SUM(Kalender!$D$5:$D$370),0)+IFERROR(SUMIF(Nutzungsprofile!$B$6:$B$11,"Individuell",Nutzungsprofile!$G$6:$G$11)*Kalender!E123/SUM(Kalender!$E$5:$E$370),0))*Szenarien!$E$24,0)</f>
        <v>2.94</v>
      </c>
      <c r="D4881" s="13" t="n">
        <f aca="false">IF(Szenarien!$H$24="OK",(IFERROR(SUMIF(Nutzungsprofile!$B$17:$B$22,"Schulbetrieb",Nutzungsprofile!$G$17:$G$22)*Kalender!C123/SUM(Kalender!$C$5:$C$370),0)+IFERROR(SUMIF(Nutzungsprofile!$B$17:$B$22,"Halle",Nutzungsprofile!$G$17:$G$22)*Kalender!D123/SUM(Kalender!$D$5:$D$370),0)+IFERROR(SUMIF(Nutzungsprofile!$B$17:$B$22,"Individuell",Nutzungsprofile!$G$17:$G$22)*Kalender!E123/SUM(Kalender!$E$5:$E$370),0))*Szenarien!$D$24,0)</f>
        <v>4.94</v>
      </c>
      <c r="E4881" s="13" t="n">
        <f aca="false">IFERROR(MIN(C4881,Eingaben!$B$17)*Eingaben!$B$16,0)</f>
        <v>2.793</v>
      </c>
      <c r="F4881" s="13" t="n">
        <f aca="false">IFERROR(E4881*Eingaben!$B$15,0)</f>
        <v>2.5137</v>
      </c>
      <c r="G4881" s="13" t="n">
        <f aca="false">IFERROR(IF(Kalender!A123="",0,J4880*(1-Eingaben!$B$20)),0)</f>
        <v>0.7390278</v>
      </c>
      <c r="H4881" s="13" t="n">
        <f aca="false">MIN(G4881,D4881)</f>
        <v>0.7390278</v>
      </c>
      <c r="I4881" s="13" t="n">
        <f aca="false">IFERROR(MIN(F4881*Eingaben!$B$19,MAX(0,D4881-H4881)),0)</f>
        <v>1.75959</v>
      </c>
      <c r="J4881" s="13" t="n">
        <f aca="false">IFERROR(MIN(Eingaben!$B$18,MAX(0,F4881-I4881)),0)</f>
        <v>0.75411</v>
      </c>
      <c r="K4881" s="13" t="n">
        <f aca="false">H4881+I4881</f>
        <v>2.4986178</v>
      </c>
      <c r="L4881" s="13" t="n">
        <f aca="false">MAX(0,D4881-K4881)</f>
        <v>2.4413822</v>
      </c>
      <c r="M4881" s="13" t="n">
        <f aca="false">MAX(0,F4881-I4881-J4881)</f>
        <v>0</v>
      </c>
      <c r="N4881" s="13" t="n">
        <f aca="false">IF(Kalender!A123="",0,J4880-H4881)</f>
        <v>0.0150822</v>
      </c>
    </row>
    <row r="4882" customFormat="false" ht="16.4" hidden="false" customHeight="false" outlineLevel="0" collapsed="false">
      <c r="A4882" s="13" t="str">
        <f aca="false">""</f>
        <v/>
      </c>
      <c r="B4882" s="13" t="n">
        <f aca="false">120</f>
        <v>120</v>
      </c>
      <c r="C4882" s="13" t="n">
        <f aca="false">IF(Szenarien!$H$24="OK",(IFERROR(SUMIF(Nutzungsprofile!$B$6:$B$11,"Schulbetrieb",Nutzungsprofile!$G$6:$G$11)*Kalender!C124/SUM(Kalender!$C$5:$C$370),0)+IFERROR(SUMIF(Nutzungsprofile!$B$6:$B$11,"Halle",Nutzungsprofile!$G$6:$G$11)*Kalender!D124/SUM(Kalender!$D$5:$D$370),0)+IFERROR(SUMIF(Nutzungsprofile!$B$6:$B$11,"Individuell",Nutzungsprofile!$G$6:$G$11)*Kalender!E124/SUM(Kalender!$E$5:$E$370),0))*Szenarien!$E$24,0)</f>
        <v>2.94</v>
      </c>
      <c r="D4882" s="13" t="n">
        <f aca="false">IF(Szenarien!$H$24="OK",(IFERROR(SUMIF(Nutzungsprofile!$B$17:$B$22,"Schulbetrieb",Nutzungsprofile!$G$17:$G$22)*Kalender!C124/SUM(Kalender!$C$5:$C$370),0)+IFERROR(SUMIF(Nutzungsprofile!$B$17:$B$22,"Halle",Nutzungsprofile!$G$17:$G$22)*Kalender!D124/SUM(Kalender!$D$5:$D$370),0)+IFERROR(SUMIF(Nutzungsprofile!$B$17:$B$22,"Individuell",Nutzungsprofile!$G$17:$G$22)*Kalender!E124/SUM(Kalender!$E$5:$E$370),0))*Szenarien!$D$24,0)</f>
        <v>4.94</v>
      </c>
      <c r="E4882" s="13" t="n">
        <f aca="false">IFERROR(MIN(C4882,Eingaben!$B$17)*Eingaben!$B$16,0)</f>
        <v>2.793</v>
      </c>
      <c r="F4882" s="13" t="n">
        <f aca="false">IFERROR(E4882*Eingaben!$B$15,0)</f>
        <v>2.5137</v>
      </c>
      <c r="G4882" s="13" t="n">
        <f aca="false">IFERROR(IF(Kalender!A124="",0,J4881*(1-Eingaben!$B$20)),0)</f>
        <v>0.7390278</v>
      </c>
      <c r="H4882" s="13" t="n">
        <f aca="false">MIN(G4882,D4882)</f>
        <v>0.7390278</v>
      </c>
      <c r="I4882" s="13" t="n">
        <f aca="false">IFERROR(MIN(F4882*Eingaben!$B$19,MAX(0,D4882-H4882)),0)</f>
        <v>1.75959</v>
      </c>
      <c r="J4882" s="13" t="n">
        <f aca="false">IFERROR(MIN(Eingaben!$B$18,MAX(0,F4882-I4882)),0)</f>
        <v>0.75411</v>
      </c>
      <c r="K4882" s="13" t="n">
        <f aca="false">H4882+I4882</f>
        <v>2.4986178</v>
      </c>
      <c r="L4882" s="13" t="n">
        <f aca="false">MAX(0,D4882-K4882)</f>
        <v>2.4413822</v>
      </c>
      <c r="M4882" s="13" t="n">
        <f aca="false">MAX(0,F4882-I4882-J4882)</f>
        <v>0</v>
      </c>
      <c r="N4882" s="13" t="n">
        <f aca="false">IF(Kalender!A124="",0,J4881-H4882)</f>
        <v>0.0150822</v>
      </c>
    </row>
    <row r="4883" customFormat="false" ht="16.4" hidden="false" customHeight="false" outlineLevel="0" collapsed="false">
      <c r="A4883" s="13" t="str">
        <f aca="false">""</f>
        <v/>
      </c>
      <c r="B4883" s="13" t="n">
        <f aca="false">121</f>
        <v>121</v>
      </c>
      <c r="C4883" s="13" t="n">
        <f aca="false">IF(Szenarien!$H$24="OK",(IFERROR(SUMIF(Nutzungsprofile!$B$6:$B$11,"Schulbetrieb",Nutzungsprofile!$G$6:$G$11)*Kalender!C125/SUM(Kalender!$C$5:$C$370),0)+IFERROR(SUMIF(Nutzungsprofile!$B$6:$B$11,"Halle",Nutzungsprofile!$G$6:$G$11)*Kalender!D125/SUM(Kalender!$D$5:$D$370),0)+IFERROR(SUMIF(Nutzungsprofile!$B$6:$B$11,"Individuell",Nutzungsprofile!$G$6:$G$11)*Kalender!E125/SUM(Kalender!$E$5:$E$370),0))*Szenarien!$E$24,0)</f>
        <v>2.94</v>
      </c>
      <c r="D4883" s="13" t="n">
        <f aca="false">IF(Szenarien!$H$24="OK",(IFERROR(SUMIF(Nutzungsprofile!$B$17:$B$22,"Schulbetrieb",Nutzungsprofile!$G$17:$G$22)*Kalender!C125/SUM(Kalender!$C$5:$C$370),0)+IFERROR(SUMIF(Nutzungsprofile!$B$17:$B$22,"Halle",Nutzungsprofile!$G$17:$G$22)*Kalender!D125/SUM(Kalender!$D$5:$D$370),0)+IFERROR(SUMIF(Nutzungsprofile!$B$17:$B$22,"Individuell",Nutzungsprofile!$G$17:$G$22)*Kalender!E125/SUM(Kalender!$E$5:$E$370),0))*Szenarien!$D$24,0)</f>
        <v>4.94</v>
      </c>
      <c r="E4883" s="13" t="n">
        <f aca="false">IFERROR(MIN(C4883,Eingaben!$B$17)*Eingaben!$B$16,0)</f>
        <v>2.793</v>
      </c>
      <c r="F4883" s="13" t="n">
        <f aca="false">IFERROR(E4883*Eingaben!$B$15,0)</f>
        <v>2.5137</v>
      </c>
      <c r="G4883" s="13" t="n">
        <f aca="false">IFERROR(IF(Kalender!A125="",0,J4882*(1-Eingaben!$B$20)),0)</f>
        <v>0.7390278</v>
      </c>
      <c r="H4883" s="13" t="n">
        <f aca="false">MIN(G4883,D4883)</f>
        <v>0.7390278</v>
      </c>
      <c r="I4883" s="13" t="n">
        <f aca="false">IFERROR(MIN(F4883*Eingaben!$B$19,MAX(0,D4883-H4883)),0)</f>
        <v>1.75959</v>
      </c>
      <c r="J4883" s="13" t="n">
        <f aca="false">IFERROR(MIN(Eingaben!$B$18,MAX(0,F4883-I4883)),0)</f>
        <v>0.75411</v>
      </c>
      <c r="K4883" s="13" t="n">
        <f aca="false">H4883+I4883</f>
        <v>2.4986178</v>
      </c>
      <c r="L4883" s="13" t="n">
        <f aca="false">MAX(0,D4883-K4883)</f>
        <v>2.4413822</v>
      </c>
      <c r="M4883" s="13" t="n">
        <f aca="false">MAX(0,F4883-I4883-J4883)</f>
        <v>0</v>
      </c>
      <c r="N4883" s="13" t="n">
        <f aca="false">IF(Kalender!A125="",0,J4882-H4883)</f>
        <v>0.0150822</v>
      </c>
    </row>
    <row r="4884" customFormat="false" ht="16.4" hidden="false" customHeight="false" outlineLevel="0" collapsed="false">
      <c r="A4884" s="13" t="str">
        <f aca="false">""</f>
        <v/>
      </c>
      <c r="B4884" s="13" t="n">
        <f aca="false">122</f>
        <v>122</v>
      </c>
      <c r="C4884" s="13" t="n">
        <f aca="false">IF(Szenarien!$H$24="OK",(IFERROR(SUMIF(Nutzungsprofile!$B$6:$B$11,"Schulbetrieb",Nutzungsprofile!$G$6:$G$11)*Kalender!C126/SUM(Kalender!$C$5:$C$370),0)+IFERROR(SUMIF(Nutzungsprofile!$B$6:$B$11,"Halle",Nutzungsprofile!$G$6:$G$11)*Kalender!D126/SUM(Kalender!$D$5:$D$370),0)+IFERROR(SUMIF(Nutzungsprofile!$B$6:$B$11,"Individuell",Nutzungsprofile!$G$6:$G$11)*Kalender!E126/SUM(Kalender!$E$5:$E$370),0))*Szenarien!$E$24,0)</f>
        <v>2.04</v>
      </c>
      <c r="D4884" s="13" t="n">
        <f aca="false">IF(Szenarien!$H$24="OK",(IFERROR(SUMIF(Nutzungsprofile!$B$17:$B$22,"Schulbetrieb",Nutzungsprofile!$G$17:$G$22)*Kalender!C126/SUM(Kalender!$C$5:$C$370),0)+IFERROR(SUMIF(Nutzungsprofile!$B$17:$B$22,"Halle",Nutzungsprofile!$G$17:$G$22)*Kalender!D126/SUM(Kalender!$D$5:$D$370),0)+IFERROR(SUMIF(Nutzungsprofile!$B$17:$B$22,"Individuell",Nutzungsprofile!$G$17:$G$22)*Kalender!E126/SUM(Kalender!$E$5:$E$370),0))*Szenarien!$D$24,0)</f>
        <v>0.89</v>
      </c>
      <c r="E4884" s="13" t="n">
        <f aca="false">IFERROR(MIN(C4884,Eingaben!$B$17)*Eingaben!$B$16,0)</f>
        <v>1.938</v>
      </c>
      <c r="F4884" s="13" t="n">
        <f aca="false">IFERROR(E4884*Eingaben!$B$15,0)</f>
        <v>1.7442</v>
      </c>
      <c r="G4884" s="13" t="n">
        <f aca="false">IFERROR(IF(Kalender!A126="",0,J4883*(1-Eingaben!$B$20)),0)</f>
        <v>0.7390278</v>
      </c>
      <c r="H4884" s="13" t="n">
        <f aca="false">MIN(G4884,D4884)</f>
        <v>0.7390278</v>
      </c>
      <c r="I4884" s="13" t="n">
        <f aca="false">IFERROR(MIN(F4884*Eingaben!$B$19,MAX(0,D4884-H4884)),0)</f>
        <v>0.1509722</v>
      </c>
      <c r="J4884" s="13" t="n">
        <f aca="false">IFERROR(MIN(Eingaben!$B$18,MAX(0,F4884-I4884)),0)</f>
        <v>1.5932278</v>
      </c>
      <c r="K4884" s="13" t="n">
        <f aca="false">H4884+I4884</f>
        <v>0.89</v>
      </c>
      <c r="L4884" s="13" t="n">
        <f aca="false">MAX(0,D4884-K4884)</f>
        <v>0</v>
      </c>
      <c r="M4884" s="13" t="n">
        <f aca="false">MAX(0,F4884-I4884-J4884)</f>
        <v>0</v>
      </c>
      <c r="N4884" s="13" t="n">
        <f aca="false">IF(Kalender!A126="",0,J4883-H4884)</f>
        <v>0.0150822</v>
      </c>
    </row>
    <row r="4885" customFormat="false" ht="16.4" hidden="false" customHeight="false" outlineLevel="0" collapsed="false">
      <c r="A4885" s="13" t="str">
        <f aca="false">""</f>
        <v/>
      </c>
      <c r="B4885" s="13" t="n">
        <f aca="false">123</f>
        <v>123</v>
      </c>
      <c r="C4885" s="13" t="n">
        <f aca="false">IF(Szenarien!$H$24="OK",(IFERROR(SUMIF(Nutzungsprofile!$B$6:$B$11,"Schulbetrieb",Nutzungsprofile!$G$6:$G$11)*Kalender!C127/SUM(Kalender!$C$5:$C$370),0)+IFERROR(SUMIF(Nutzungsprofile!$B$6:$B$11,"Halle",Nutzungsprofile!$G$6:$G$11)*Kalender!D127/SUM(Kalender!$D$5:$D$370),0)+IFERROR(SUMIF(Nutzungsprofile!$B$6:$B$11,"Individuell",Nutzungsprofile!$G$6:$G$11)*Kalender!E127/SUM(Kalender!$E$5:$E$370),0))*Szenarien!$E$24,0)</f>
        <v>2.04</v>
      </c>
      <c r="D4885" s="13" t="n">
        <f aca="false">IF(Szenarien!$H$24="OK",(IFERROR(SUMIF(Nutzungsprofile!$B$17:$B$22,"Schulbetrieb",Nutzungsprofile!$G$17:$G$22)*Kalender!C127/SUM(Kalender!$C$5:$C$370),0)+IFERROR(SUMIF(Nutzungsprofile!$B$17:$B$22,"Halle",Nutzungsprofile!$G$17:$G$22)*Kalender!D127/SUM(Kalender!$D$5:$D$370),0)+IFERROR(SUMIF(Nutzungsprofile!$B$17:$B$22,"Individuell",Nutzungsprofile!$G$17:$G$22)*Kalender!E127/SUM(Kalender!$E$5:$E$370),0))*Szenarien!$D$24,0)</f>
        <v>0.89</v>
      </c>
      <c r="E4885" s="13" t="n">
        <f aca="false">IFERROR(MIN(C4885,Eingaben!$B$17)*Eingaben!$B$16,0)</f>
        <v>1.938</v>
      </c>
      <c r="F4885" s="13" t="n">
        <f aca="false">IFERROR(E4885*Eingaben!$B$15,0)</f>
        <v>1.7442</v>
      </c>
      <c r="G4885" s="13" t="n">
        <f aca="false">IFERROR(IF(Kalender!A127="",0,J4884*(1-Eingaben!$B$20)),0)</f>
        <v>1.561363244</v>
      </c>
      <c r="H4885" s="13" t="n">
        <f aca="false">MIN(G4885,D4885)</f>
        <v>0.89</v>
      </c>
      <c r="I4885" s="13" t="n">
        <f aca="false">IFERROR(MIN(F4885*Eingaben!$B$19,MAX(0,D4885-H4885)),0)</f>
        <v>0</v>
      </c>
      <c r="J4885" s="13" t="n">
        <f aca="false">IFERROR(MIN(Eingaben!$B$18,MAX(0,F4885-I4885)),0)</f>
        <v>1.7442</v>
      </c>
      <c r="K4885" s="13" t="n">
        <f aca="false">H4885+I4885</f>
        <v>0.89</v>
      </c>
      <c r="L4885" s="13" t="n">
        <f aca="false">MAX(0,D4885-K4885)</f>
        <v>0</v>
      </c>
      <c r="M4885" s="13" t="n">
        <f aca="false">MAX(0,F4885-I4885-J4885)</f>
        <v>0</v>
      </c>
      <c r="N4885" s="13" t="n">
        <f aca="false">IF(Kalender!A127="",0,J4884-H4885)</f>
        <v>0.7032278</v>
      </c>
    </row>
    <row r="4886" customFormat="false" ht="16.4" hidden="false" customHeight="false" outlineLevel="0" collapsed="false">
      <c r="A4886" s="13" t="str">
        <f aca="false">""</f>
        <v/>
      </c>
      <c r="B4886" s="13" t="n">
        <f aca="false">124</f>
        <v>124</v>
      </c>
      <c r="C4886" s="13" t="n">
        <f aca="false">IF(Szenarien!$H$24="OK",(IFERROR(SUMIF(Nutzungsprofile!$B$6:$B$11,"Schulbetrieb",Nutzungsprofile!$G$6:$G$11)*Kalender!C128/SUM(Kalender!$C$5:$C$370),0)+IFERROR(SUMIF(Nutzungsprofile!$B$6:$B$11,"Halle",Nutzungsprofile!$G$6:$G$11)*Kalender!D128/SUM(Kalender!$D$5:$D$370),0)+IFERROR(SUMIF(Nutzungsprofile!$B$6:$B$11,"Individuell",Nutzungsprofile!$G$6:$G$11)*Kalender!E128/SUM(Kalender!$E$5:$E$370),0))*Szenarien!$E$24,0)</f>
        <v>2.94</v>
      </c>
      <c r="D4886" s="13" t="n">
        <f aca="false">IF(Szenarien!$H$24="OK",(IFERROR(SUMIF(Nutzungsprofile!$B$17:$B$22,"Schulbetrieb",Nutzungsprofile!$G$17:$G$22)*Kalender!C128/SUM(Kalender!$C$5:$C$370),0)+IFERROR(SUMIF(Nutzungsprofile!$B$17:$B$22,"Halle",Nutzungsprofile!$G$17:$G$22)*Kalender!D128/SUM(Kalender!$D$5:$D$370),0)+IFERROR(SUMIF(Nutzungsprofile!$B$17:$B$22,"Individuell",Nutzungsprofile!$G$17:$G$22)*Kalender!E128/SUM(Kalender!$E$5:$E$370),0))*Szenarien!$D$24,0)</f>
        <v>4.94</v>
      </c>
      <c r="E4886" s="13" t="n">
        <f aca="false">IFERROR(MIN(C4886,Eingaben!$B$17)*Eingaben!$B$16,0)</f>
        <v>2.793</v>
      </c>
      <c r="F4886" s="13" t="n">
        <f aca="false">IFERROR(E4886*Eingaben!$B$15,0)</f>
        <v>2.5137</v>
      </c>
      <c r="G4886" s="13" t="n">
        <f aca="false">IFERROR(IF(Kalender!A128="",0,J4885*(1-Eingaben!$B$20)),0)</f>
        <v>1.709316</v>
      </c>
      <c r="H4886" s="13" t="n">
        <f aca="false">MIN(G4886,D4886)</f>
        <v>1.709316</v>
      </c>
      <c r="I4886" s="13" t="n">
        <f aca="false">IFERROR(MIN(F4886*Eingaben!$B$19,MAX(0,D4886-H4886)),0)</f>
        <v>1.75959</v>
      </c>
      <c r="J4886" s="13" t="n">
        <f aca="false">IFERROR(MIN(Eingaben!$B$18,MAX(0,F4886-I4886)),0)</f>
        <v>0.75411</v>
      </c>
      <c r="K4886" s="13" t="n">
        <f aca="false">H4886+I4886</f>
        <v>3.468906</v>
      </c>
      <c r="L4886" s="13" t="n">
        <f aca="false">MAX(0,D4886-K4886)</f>
        <v>1.471094</v>
      </c>
      <c r="M4886" s="13" t="n">
        <f aca="false">MAX(0,F4886-I4886-J4886)</f>
        <v>0</v>
      </c>
      <c r="N4886" s="13" t="n">
        <f aca="false">IF(Kalender!A128="",0,J4885-H4886)</f>
        <v>0.0348840000000001</v>
      </c>
    </row>
    <row r="4887" customFormat="false" ht="16.4" hidden="false" customHeight="false" outlineLevel="0" collapsed="false">
      <c r="A4887" s="13" t="str">
        <f aca="false">""</f>
        <v/>
      </c>
      <c r="B4887" s="13" t="n">
        <f aca="false">125</f>
        <v>125</v>
      </c>
      <c r="C4887" s="13" t="n">
        <f aca="false">IF(Szenarien!$H$24="OK",(IFERROR(SUMIF(Nutzungsprofile!$B$6:$B$11,"Schulbetrieb",Nutzungsprofile!$G$6:$G$11)*Kalender!C129/SUM(Kalender!$C$5:$C$370),0)+IFERROR(SUMIF(Nutzungsprofile!$B$6:$B$11,"Halle",Nutzungsprofile!$G$6:$G$11)*Kalender!D129/SUM(Kalender!$D$5:$D$370),0)+IFERROR(SUMIF(Nutzungsprofile!$B$6:$B$11,"Individuell",Nutzungsprofile!$G$6:$G$11)*Kalender!E129/SUM(Kalender!$E$5:$E$370),0))*Szenarien!$E$24,0)</f>
        <v>2.94</v>
      </c>
      <c r="D4887" s="13" t="n">
        <f aca="false">IF(Szenarien!$H$24="OK",(IFERROR(SUMIF(Nutzungsprofile!$B$17:$B$22,"Schulbetrieb",Nutzungsprofile!$G$17:$G$22)*Kalender!C129/SUM(Kalender!$C$5:$C$370),0)+IFERROR(SUMIF(Nutzungsprofile!$B$17:$B$22,"Halle",Nutzungsprofile!$G$17:$G$22)*Kalender!D129/SUM(Kalender!$D$5:$D$370),0)+IFERROR(SUMIF(Nutzungsprofile!$B$17:$B$22,"Individuell",Nutzungsprofile!$G$17:$G$22)*Kalender!E129/SUM(Kalender!$E$5:$E$370),0))*Szenarien!$D$24,0)</f>
        <v>4.94</v>
      </c>
      <c r="E4887" s="13" t="n">
        <f aca="false">IFERROR(MIN(C4887,Eingaben!$B$17)*Eingaben!$B$16,0)</f>
        <v>2.793</v>
      </c>
      <c r="F4887" s="13" t="n">
        <f aca="false">IFERROR(E4887*Eingaben!$B$15,0)</f>
        <v>2.5137</v>
      </c>
      <c r="G4887" s="13" t="n">
        <f aca="false">IFERROR(IF(Kalender!A129="",0,J4886*(1-Eingaben!$B$20)),0)</f>
        <v>0.7390278</v>
      </c>
      <c r="H4887" s="13" t="n">
        <f aca="false">MIN(G4887,D4887)</f>
        <v>0.7390278</v>
      </c>
      <c r="I4887" s="13" t="n">
        <f aca="false">IFERROR(MIN(F4887*Eingaben!$B$19,MAX(0,D4887-H4887)),0)</f>
        <v>1.75959</v>
      </c>
      <c r="J4887" s="13" t="n">
        <f aca="false">IFERROR(MIN(Eingaben!$B$18,MAX(0,F4887-I4887)),0)</f>
        <v>0.75411</v>
      </c>
      <c r="K4887" s="13" t="n">
        <f aca="false">H4887+I4887</f>
        <v>2.4986178</v>
      </c>
      <c r="L4887" s="13" t="n">
        <f aca="false">MAX(0,D4887-K4887)</f>
        <v>2.4413822</v>
      </c>
      <c r="M4887" s="13" t="n">
        <f aca="false">MAX(0,F4887-I4887-J4887)</f>
        <v>0</v>
      </c>
      <c r="N4887" s="13" t="n">
        <f aca="false">IF(Kalender!A129="",0,J4886-H4887)</f>
        <v>0.0150822</v>
      </c>
    </row>
    <row r="4888" customFormat="false" ht="16.4" hidden="false" customHeight="false" outlineLevel="0" collapsed="false">
      <c r="A4888" s="13" t="str">
        <f aca="false">""</f>
        <v/>
      </c>
      <c r="B4888" s="13" t="n">
        <f aca="false">126</f>
        <v>126</v>
      </c>
      <c r="C4888" s="13" t="n">
        <f aca="false">IF(Szenarien!$H$24="OK",(IFERROR(SUMIF(Nutzungsprofile!$B$6:$B$11,"Schulbetrieb",Nutzungsprofile!$G$6:$G$11)*Kalender!C130/SUM(Kalender!$C$5:$C$370),0)+IFERROR(SUMIF(Nutzungsprofile!$B$6:$B$11,"Halle",Nutzungsprofile!$G$6:$G$11)*Kalender!D130/SUM(Kalender!$D$5:$D$370),0)+IFERROR(SUMIF(Nutzungsprofile!$B$6:$B$11,"Individuell",Nutzungsprofile!$G$6:$G$11)*Kalender!E130/SUM(Kalender!$E$5:$E$370),0))*Szenarien!$E$24,0)</f>
        <v>2.94</v>
      </c>
      <c r="D4888" s="13" t="n">
        <f aca="false">IF(Szenarien!$H$24="OK",(IFERROR(SUMIF(Nutzungsprofile!$B$17:$B$22,"Schulbetrieb",Nutzungsprofile!$G$17:$G$22)*Kalender!C130/SUM(Kalender!$C$5:$C$370),0)+IFERROR(SUMIF(Nutzungsprofile!$B$17:$B$22,"Halle",Nutzungsprofile!$G$17:$G$22)*Kalender!D130/SUM(Kalender!$D$5:$D$370),0)+IFERROR(SUMIF(Nutzungsprofile!$B$17:$B$22,"Individuell",Nutzungsprofile!$G$17:$G$22)*Kalender!E130/SUM(Kalender!$E$5:$E$370),0))*Szenarien!$D$24,0)</f>
        <v>4.94</v>
      </c>
      <c r="E4888" s="13" t="n">
        <f aca="false">IFERROR(MIN(C4888,Eingaben!$B$17)*Eingaben!$B$16,0)</f>
        <v>2.793</v>
      </c>
      <c r="F4888" s="13" t="n">
        <f aca="false">IFERROR(E4888*Eingaben!$B$15,0)</f>
        <v>2.5137</v>
      </c>
      <c r="G4888" s="13" t="n">
        <f aca="false">IFERROR(IF(Kalender!A130="",0,J4887*(1-Eingaben!$B$20)),0)</f>
        <v>0.7390278</v>
      </c>
      <c r="H4888" s="13" t="n">
        <f aca="false">MIN(G4888,D4888)</f>
        <v>0.7390278</v>
      </c>
      <c r="I4888" s="13" t="n">
        <f aca="false">IFERROR(MIN(F4888*Eingaben!$B$19,MAX(0,D4888-H4888)),0)</f>
        <v>1.75959</v>
      </c>
      <c r="J4888" s="13" t="n">
        <f aca="false">IFERROR(MIN(Eingaben!$B$18,MAX(0,F4888-I4888)),0)</f>
        <v>0.75411</v>
      </c>
      <c r="K4888" s="13" t="n">
        <f aca="false">H4888+I4888</f>
        <v>2.4986178</v>
      </c>
      <c r="L4888" s="13" t="n">
        <f aca="false">MAX(0,D4888-K4888)</f>
        <v>2.4413822</v>
      </c>
      <c r="M4888" s="13" t="n">
        <f aca="false">MAX(0,F4888-I4888-J4888)</f>
        <v>0</v>
      </c>
      <c r="N4888" s="13" t="n">
        <f aca="false">IF(Kalender!A130="",0,J4887-H4888)</f>
        <v>0.0150822</v>
      </c>
    </row>
    <row r="4889" customFormat="false" ht="16.4" hidden="false" customHeight="false" outlineLevel="0" collapsed="false">
      <c r="A4889" s="13" t="str">
        <f aca="false">""</f>
        <v/>
      </c>
      <c r="B4889" s="13" t="n">
        <f aca="false">127</f>
        <v>127</v>
      </c>
      <c r="C4889" s="13" t="n">
        <f aca="false">IF(Szenarien!$H$24="OK",(IFERROR(SUMIF(Nutzungsprofile!$B$6:$B$11,"Schulbetrieb",Nutzungsprofile!$G$6:$G$11)*Kalender!C131/SUM(Kalender!$C$5:$C$370),0)+IFERROR(SUMIF(Nutzungsprofile!$B$6:$B$11,"Halle",Nutzungsprofile!$G$6:$G$11)*Kalender!D131/SUM(Kalender!$D$5:$D$370),0)+IFERROR(SUMIF(Nutzungsprofile!$B$6:$B$11,"Individuell",Nutzungsprofile!$G$6:$G$11)*Kalender!E131/SUM(Kalender!$E$5:$E$370),0))*Szenarien!$E$24,0)</f>
        <v>2.94</v>
      </c>
      <c r="D4889" s="13" t="n">
        <f aca="false">IF(Szenarien!$H$24="OK",(IFERROR(SUMIF(Nutzungsprofile!$B$17:$B$22,"Schulbetrieb",Nutzungsprofile!$G$17:$G$22)*Kalender!C131/SUM(Kalender!$C$5:$C$370),0)+IFERROR(SUMIF(Nutzungsprofile!$B$17:$B$22,"Halle",Nutzungsprofile!$G$17:$G$22)*Kalender!D131/SUM(Kalender!$D$5:$D$370),0)+IFERROR(SUMIF(Nutzungsprofile!$B$17:$B$22,"Individuell",Nutzungsprofile!$G$17:$G$22)*Kalender!E131/SUM(Kalender!$E$5:$E$370),0))*Szenarien!$D$24,0)</f>
        <v>4.94</v>
      </c>
      <c r="E4889" s="13" t="n">
        <f aca="false">IFERROR(MIN(C4889,Eingaben!$B$17)*Eingaben!$B$16,0)</f>
        <v>2.793</v>
      </c>
      <c r="F4889" s="13" t="n">
        <f aca="false">IFERROR(E4889*Eingaben!$B$15,0)</f>
        <v>2.5137</v>
      </c>
      <c r="G4889" s="13" t="n">
        <f aca="false">IFERROR(IF(Kalender!A131="",0,J4888*(1-Eingaben!$B$20)),0)</f>
        <v>0.7390278</v>
      </c>
      <c r="H4889" s="13" t="n">
        <f aca="false">MIN(G4889,D4889)</f>
        <v>0.7390278</v>
      </c>
      <c r="I4889" s="13" t="n">
        <f aca="false">IFERROR(MIN(F4889*Eingaben!$B$19,MAX(0,D4889-H4889)),0)</f>
        <v>1.75959</v>
      </c>
      <c r="J4889" s="13" t="n">
        <f aca="false">IFERROR(MIN(Eingaben!$B$18,MAX(0,F4889-I4889)),0)</f>
        <v>0.75411</v>
      </c>
      <c r="K4889" s="13" t="n">
        <f aca="false">H4889+I4889</f>
        <v>2.4986178</v>
      </c>
      <c r="L4889" s="13" t="n">
        <f aca="false">MAX(0,D4889-K4889)</f>
        <v>2.4413822</v>
      </c>
      <c r="M4889" s="13" t="n">
        <f aca="false">MAX(0,F4889-I4889-J4889)</f>
        <v>0</v>
      </c>
      <c r="N4889" s="13" t="n">
        <f aca="false">IF(Kalender!A131="",0,J4888-H4889)</f>
        <v>0.0150822</v>
      </c>
    </row>
    <row r="4890" customFormat="false" ht="16.4" hidden="false" customHeight="false" outlineLevel="0" collapsed="false">
      <c r="A4890" s="13" t="str">
        <f aca="false">""</f>
        <v/>
      </c>
      <c r="B4890" s="13" t="n">
        <f aca="false">128</f>
        <v>128</v>
      </c>
      <c r="C4890" s="13" t="n">
        <f aca="false">IF(Szenarien!$H$24="OK",(IFERROR(SUMIF(Nutzungsprofile!$B$6:$B$11,"Schulbetrieb",Nutzungsprofile!$G$6:$G$11)*Kalender!C132/SUM(Kalender!$C$5:$C$370),0)+IFERROR(SUMIF(Nutzungsprofile!$B$6:$B$11,"Halle",Nutzungsprofile!$G$6:$G$11)*Kalender!D132/SUM(Kalender!$D$5:$D$370),0)+IFERROR(SUMIF(Nutzungsprofile!$B$6:$B$11,"Individuell",Nutzungsprofile!$G$6:$G$11)*Kalender!E132/SUM(Kalender!$E$5:$E$370),0))*Szenarien!$E$24,0)</f>
        <v>2.94</v>
      </c>
      <c r="D4890" s="13" t="n">
        <f aca="false">IF(Szenarien!$H$24="OK",(IFERROR(SUMIF(Nutzungsprofile!$B$17:$B$22,"Schulbetrieb",Nutzungsprofile!$G$17:$G$22)*Kalender!C132/SUM(Kalender!$C$5:$C$370),0)+IFERROR(SUMIF(Nutzungsprofile!$B$17:$B$22,"Halle",Nutzungsprofile!$G$17:$G$22)*Kalender!D132/SUM(Kalender!$D$5:$D$370),0)+IFERROR(SUMIF(Nutzungsprofile!$B$17:$B$22,"Individuell",Nutzungsprofile!$G$17:$G$22)*Kalender!E132/SUM(Kalender!$E$5:$E$370),0))*Szenarien!$D$24,0)</f>
        <v>4.94</v>
      </c>
      <c r="E4890" s="13" t="n">
        <f aca="false">IFERROR(MIN(C4890,Eingaben!$B$17)*Eingaben!$B$16,0)</f>
        <v>2.793</v>
      </c>
      <c r="F4890" s="13" t="n">
        <f aca="false">IFERROR(E4890*Eingaben!$B$15,0)</f>
        <v>2.5137</v>
      </c>
      <c r="G4890" s="13" t="n">
        <f aca="false">IFERROR(IF(Kalender!A132="",0,J4889*(1-Eingaben!$B$20)),0)</f>
        <v>0.7390278</v>
      </c>
      <c r="H4890" s="13" t="n">
        <f aca="false">MIN(G4890,D4890)</f>
        <v>0.7390278</v>
      </c>
      <c r="I4890" s="13" t="n">
        <f aca="false">IFERROR(MIN(F4890*Eingaben!$B$19,MAX(0,D4890-H4890)),0)</f>
        <v>1.75959</v>
      </c>
      <c r="J4890" s="13" t="n">
        <f aca="false">IFERROR(MIN(Eingaben!$B$18,MAX(0,F4890-I4890)),0)</f>
        <v>0.75411</v>
      </c>
      <c r="K4890" s="13" t="n">
        <f aca="false">H4890+I4890</f>
        <v>2.4986178</v>
      </c>
      <c r="L4890" s="13" t="n">
        <f aca="false">MAX(0,D4890-K4890)</f>
        <v>2.4413822</v>
      </c>
      <c r="M4890" s="13" t="n">
        <f aca="false">MAX(0,F4890-I4890-J4890)</f>
        <v>0</v>
      </c>
      <c r="N4890" s="13" t="n">
        <f aca="false">IF(Kalender!A132="",0,J4889-H4890)</f>
        <v>0.0150822</v>
      </c>
    </row>
    <row r="4891" customFormat="false" ht="16.4" hidden="false" customHeight="false" outlineLevel="0" collapsed="false">
      <c r="A4891" s="13" t="str">
        <f aca="false">""</f>
        <v/>
      </c>
      <c r="B4891" s="13" t="n">
        <f aca="false">129</f>
        <v>129</v>
      </c>
      <c r="C4891" s="13" t="n">
        <f aca="false">IF(Szenarien!$H$24="OK",(IFERROR(SUMIF(Nutzungsprofile!$B$6:$B$11,"Schulbetrieb",Nutzungsprofile!$G$6:$G$11)*Kalender!C133/SUM(Kalender!$C$5:$C$370),0)+IFERROR(SUMIF(Nutzungsprofile!$B$6:$B$11,"Halle",Nutzungsprofile!$G$6:$G$11)*Kalender!D133/SUM(Kalender!$D$5:$D$370),0)+IFERROR(SUMIF(Nutzungsprofile!$B$6:$B$11,"Individuell",Nutzungsprofile!$G$6:$G$11)*Kalender!E133/SUM(Kalender!$E$5:$E$370),0))*Szenarien!$E$24,0)</f>
        <v>2.04</v>
      </c>
      <c r="D4891" s="13" t="n">
        <f aca="false">IF(Szenarien!$H$24="OK",(IFERROR(SUMIF(Nutzungsprofile!$B$17:$B$22,"Schulbetrieb",Nutzungsprofile!$G$17:$G$22)*Kalender!C133/SUM(Kalender!$C$5:$C$370),0)+IFERROR(SUMIF(Nutzungsprofile!$B$17:$B$22,"Halle",Nutzungsprofile!$G$17:$G$22)*Kalender!D133/SUM(Kalender!$D$5:$D$370),0)+IFERROR(SUMIF(Nutzungsprofile!$B$17:$B$22,"Individuell",Nutzungsprofile!$G$17:$G$22)*Kalender!E133/SUM(Kalender!$E$5:$E$370),0))*Szenarien!$D$24,0)</f>
        <v>0.89</v>
      </c>
      <c r="E4891" s="13" t="n">
        <f aca="false">IFERROR(MIN(C4891,Eingaben!$B$17)*Eingaben!$B$16,0)</f>
        <v>1.938</v>
      </c>
      <c r="F4891" s="13" t="n">
        <f aca="false">IFERROR(E4891*Eingaben!$B$15,0)</f>
        <v>1.7442</v>
      </c>
      <c r="G4891" s="13" t="n">
        <f aca="false">IFERROR(IF(Kalender!A133="",0,J4890*(1-Eingaben!$B$20)),0)</f>
        <v>0.7390278</v>
      </c>
      <c r="H4891" s="13" t="n">
        <f aca="false">MIN(G4891,D4891)</f>
        <v>0.7390278</v>
      </c>
      <c r="I4891" s="13" t="n">
        <f aca="false">IFERROR(MIN(F4891*Eingaben!$B$19,MAX(0,D4891-H4891)),0)</f>
        <v>0.1509722</v>
      </c>
      <c r="J4891" s="13" t="n">
        <f aca="false">IFERROR(MIN(Eingaben!$B$18,MAX(0,F4891-I4891)),0)</f>
        <v>1.5932278</v>
      </c>
      <c r="K4891" s="13" t="n">
        <f aca="false">H4891+I4891</f>
        <v>0.89</v>
      </c>
      <c r="L4891" s="13" t="n">
        <f aca="false">MAX(0,D4891-K4891)</f>
        <v>0</v>
      </c>
      <c r="M4891" s="13" t="n">
        <f aca="false">MAX(0,F4891-I4891-J4891)</f>
        <v>0</v>
      </c>
      <c r="N4891" s="13" t="n">
        <f aca="false">IF(Kalender!A133="",0,J4890-H4891)</f>
        <v>0.0150822</v>
      </c>
    </row>
    <row r="4892" customFormat="false" ht="16.4" hidden="false" customHeight="false" outlineLevel="0" collapsed="false">
      <c r="A4892" s="13" t="str">
        <f aca="false">""</f>
        <v/>
      </c>
      <c r="B4892" s="13" t="n">
        <f aca="false">130</f>
        <v>130</v>
      </c>
      <c r="C4892" s="13" t="n">
        <f aca="false">IF(Szenarien!$H$24="OK",(IFERROR(SUMIF(Nutzungsprofile!$B$6:$B$11,"Schulbetrieb",Nutzungsprofile!$G$6:$G$11)*Kalender!C134/SUM(Kalender!$C$5:$C$370),0)+IFERROR(SUMIF(Nutzungsprofile!$B$6:$B$11,"Halle",Nutzungsprofile!$G$6:$G$11)*Kalender!D134/SUM(Kalender!$D$5:$D$370),0)+IFERROR(SUMIF(Nutzungsprofile!$B$6:$B$11,"Individuell",Nutzungsprofile!$G$6:$G$11)*Kalender!E134/SUM(Kalender!$E$5:$E$370),0))*Szenarien!$E$24,0)</f>
        <v>2.04</v>
      </c>
      <c r="D4892" s="13" t="n">
        <f aca="false">IF(Szenarien!$H$24="OK",(IFERROR(SUMIF(Nutzungsprofile!$B$17:$B$22,"Schulbetrieb",Nutzungsprofile!$G$17:$G$22)*Kalender!C134/SUM(Kalender!$C$5:$C$370),0)+IFERROR(SUMIF(Nutzungsprofile!$B$17:$B$22,"Halle",Nutzungsprofile!$G$17:$G$22)*Kalender!D134/SUM(Kalender!$D$5:$D$370),0)+IFERROR(SUMIF(Nutzungsprofile!$B$17:$B$22,"Individuell",Nutzungsprofile!$G$17:$G$22)*Kalender!E134/SUM(Kalender!$E$5:$E$370),0))*Szenarien!$D$24,0)</f>
        <v>0.89</v>
      </c>
      <c r="E4892" s="13" t="n">
        <f aca="false">IFERROR(MIN(C4892,Eingaben!$B$17)*Eingaben!$B$16,0)</f>
        <v>1.938</v>
      </c>
      <c r="F4892" s="13" t="n">
        <f aca="false">IFERROR(E4892*Eingaben!$B$15,0)</f>
        <v>1.7442</v>
      </c>
      <c r="G4892" s="13" t="n">
        <f aca="false">IFERROR(IF(Kalender!A134="",0,J4891*(1-Eingaben!$B$20)),0)</f>
        <v>1.561363244</v>
      </c>
      <c r="H4892" s="13" t="n">
        <f aca="false">MIN(G4892,D4892)</f>
        <v>0.89</v>
      </c>
      <c r="I4892" s="13" t="n">
        <f aca="false">IFERROR(MIN(F4892*Eingaben!$B$19,MAX(0,D4892-H4892)),0)</f>
        <v>0</v>
      </c>
      <c r="J4892" s="13" t="n">
        <f aca="false">IFERROR(MIN(Eingaben!$B$18,MAX(0,F4892-I4892)),0)</f>
        <v>1.7442</v>
      </c>
      <c r="K4892" s="13" t="n">
        <f aca="false">H4892+I4892</f>
        <v>0.89</v>
      </c>
      <c r="L4892" s="13" t="n">
        <f aca="false">MAX(0,D4892-K4892)</f>
        <v>0</v>
      </c>
      <c r="M4892" s="13" t="n">
        <f aca="false">MAX(0,F4892-I4892-J4892)</f>
        <v>0</v>
      </c>
      <c r="N4892" s="13" t="n">
        <f aca="false">IF(Kalender!A134="",0,J4891-H4892)</f>
        <v>0.7032278</v>
      </c>
    </row>
    <row r="4893" customFormat="false" ht="16.4" hidden="false" customHeight="false" outlineLevel="0" collapsed="false">
      <c r="A4893" s="13" t="str">
        <f aca="false">""</f>
        <v/>
      </c>
      <c r="B4893" s="13" t="n">
        <f aca="false">131</f>
        <v>131</v>
      </c>
      <c r="C4893" s="13" t="n">
        <f aca="false">IF(Szenarien!$H$24="OK",(IFERROR(SUMIF(Nutzungsprofile!$B$6:$B$11,"Schulbetrieb",Nutzungsprofile!$G$6:$G$11)*Kalender!C135/SUM(Kalender!$C$5:$C$370),0)+IFERROR(SUMIF(Nutzungsprofile!$B$6:$B$11,"Halle",Nutzungsprofile!$G$6:$G$11)*Kalender!D135/SUM(Kalender!$D$5:$D$370),0)+IFERROR(SUMIF(Nutzungsprofile!$B$6:$B$11,"Individuell",Nutzungsprofile!$G$6:$G$11)*Kalender!E135/SUM(Kalender!$E$5:$E$370),0))*Szenarien!$E$24,0)</f>
        <v>2.94</v>
      </c>
      <c r="D4893" s="13" t="n">
        <f aca="false">IF(Szenarien!$H$24="OK",(IFERROR(SUMIF(Nutzungsprofile!$B$17:$B$22,"Schulbetrieb",Nutzungsprofile!$G$17:$G$22)*Kalender!C135/SUM(Kalender!$C$5:$C$370),0)+IFERROR(SUMIF(Nutzungsprofile!$B$17:$B$22,"Halle",Nutzungsprofile!$G$17:$G$22)*Kalender!D135/SUM(Kalender!$D$5:$D$370),0)+IFERROR(SUMIF(Nutzungsprofile!$B$17:$B$22,"Individuell",Nutzungsprofile!$G$17:$G$22)*Kalender!E135/SUM(Kalender!$E$5:$E$370),0))*Szenarien!$D$24,0)</f>
        <v>4.94</v>
      </c>
      <c r="E4893" s="13" t="n">
        <f aca="false">IFERROR(MIN(C4893,Eingaben!$B$17)*Eingaben!$B$16,0)</f>
        <v>2.793</v>
      </c>
      <c r="F4893" s="13" t="n">
        <f aca="false">IFERROR(E4893*Eingaben!$B$15,0)</f>
        <v>2.5137</v>
      </c>
      <c r="G4893" s="13" t="n">
        <f aca="false">IFERROR(IF(Kalender!A135="",0,J4892*(1-Eingaben!$B$20)),0)</f>
        <v>1.709316</v>
      </c>
      <c r="H4893" s="13" t="n">
        <f aca="false">MIN(G4893,D4893)</f>
        <v>1.709316</v>
      </c>
      <c r="I4893" s="13" t="n">
        <f aca="false">IFERROR(MIN(F4893*Eingaben!$B$19,MAX(0,D4893-H4893)),0)</f>
        <v>1.75959</v>
      </c>
      <c r="J4893" s="13" t="n">
        <f aca="false">IFERROR(MIN(Eingaben!$B$18,MAX(0,F4893-I4893)),0)</f>
        <v>0.75411</v>
      </c>
      <c r="K4893" s="13" t="n">
        <f aca="false">H4893+I4893</f>
        <v>3.468906</v>
      </c>
      <c r="L4893" s="13" t="n">
        <f aca="false">MAX(0,D4893-K4893)</f>
        <v>1.471094</v>
      </c>
      <c r="M4893" s="13" t="n">
        <f aca="false">MAX(0,F4893-I4893-J4893)</f>
        <v>0</v>
      </c>
      <c r="N4893" s="13" t="n">
        <f aca="false">IF(Kalender!A135="",0,J4892-H4893)</f>
        <v>0.0348840000000001</v>
      </c>
    </row>
    <row r="4894" customFormat="false" ht="16.4" hidden="false" customHeight="false" outlineLevel="0" collapsed="false">
      <c r="A4894" s="13" t="str">
        <f aca="false">""</f>
        <v/>
      </c>
      <c r="B4894" s="13" t="n">
        <f aca="false">132</f>
        <v>132</v>
      </c>
      <c r="C4894" s="13" t="n">
        <f aca="false">IF(Szenarien!$H$24="OK",(IFERROR(SUMIF(Nutzungsprofile!$B$6:$B$11,"Schulbetrieb",Nutzungsprofile!$G$6:$G$11)*Kalender!C136/SUM(Kalender!$C$5:$C$370),0)+IFERROR(SUMIF(Nutzungsprofile!$B$6:$B$11,"Halle",Nutzungsprofile!$G$6:$G$11)*Kalender!D136/SUM(Kalender!$D$5:$D$370),0)+IFERROR(SUMIF(Nutzungsprofile!$B$6:$B$11,"Individuell",Nutzungsprofile!$G$6:$G$11)*Kalender!E136/SUM(Kalender!$E$5:$E$370),0))*Szenarien!$E$24,0)</f>
        <v>2.94</v>
      </c>
      <c r="D4894" s="13" t="n">
        <f aca="false">IF(Szenarien!$H$24="OK",(IFERROR(SUMIF(Nutzungsprofile!$B$17:$B$22,"Schulbetrieb",Nutzungsprofile!$G$17:$G$22)*Kalender!C136/SUM(Kalender!$C$5:$C$370),0)+IFERROR(SUMIF(Nutzungsprofile!$B$17:$B$22,"Halle",Nutzungsprofile!$G$17:$G$22)*Kalender!D136/SUM(Kalender!$D$5:$D$370),0)+IFERROR(SUMIF(Nutzungsprofile!$B$17:$B$22,"Individuell",Nutzungsprofile!$G$17:$G$22)*Kalender!E136/SUM(Kalender!$E$5:$E$370),0))*Szenarien!$D$24,0)</f>
        <v>4.94</v>
      </c>
      <c r="E4894" s="13" t="n">
        <f aca="false">IFERROR(MIN(C4894,Eingaben!$B$17)*Eingaben!$B$16,0)</f>
        <v>2.793</v>
      </c>
      <c r="F4894" s="13" t="n">
        <f aca="false">IFERROR(E4894*Eingaben!$B$15,0)</f>
        <v>2.5137</v>
      </c>
      <c r="G4894" s="13" t="n">
        <f aca="false">IFERROR(IF(Kalender!A136="",0,J4893*(1-Eingaben!$B$20)),0)</f>
        <v>0.7390278</v>
      </c>
      <c r="H4894" s="13" t="n">
        <f aca="false">MIN(G4894,D4894)</f>
        <v>0.7390278</v>
      </c>
      <c r="I4894" s="13" t="n">
        <f aca="false">IFERROR(MIN(F4894*Eingaben!$B$19,MAX(0,D4894-H4894)),0)</f>
        <v>1.75959</v>
      </c>
      <c r="J4894" s="13" t="n">
        <f aca="false">IFERROR(MIN(Eingaben!$B$18,MAX(0,F4894-I4894)),0)</f>
        <v>0.75411</v>
      </c>
      <c r="K4894" s="13" t="n">
        <f aca="false">H4894+I4894</f>
        <v>2.4986178</v>
      </c>
      <c r="L4894" s="13" t="n">
        <f aca="false">MAX(0,D4894-K4894)</f>
        <v>2.4413822</v>
      </c>
      <c r="M4894" s="13" t="n">
        <f aca="false">MAX(0,F4894-I4894-J4894)</f>
        <v>0</v>
      </c>
      <c r="N4894" s="13" t="n">
        <f aca="false">IF(Kalender!A136="",0,J4893-H4894)</f>
        <v>0.0150822</v>
      </c>
    </row>
    <row r="4895" customFormat="false" ht="16.4" hidden="false" customHeight="false" outlineLevel="0" collapsed="false">
      <c r="A4895" s="13" t="str">
        <f aca="false">""</f>
        <v/>
      </c>
      <c r="B4895" s="13" t="n">
        <f aca="false">133</f>
        <v>133</v>
      </c>
      <c r="C4895" s="13" t="n">
        <f aca="false">IF(Szenarien!$H$24="OK",(IFERROR(SUMIF(Nutzungsprofile!$B$6:$B$11,"Schulbetrieb",Nutzungsprofile!$G$6:$G$11)*Kalender!C137/SUM(Kalender!$C$5:$C$370),0)+IFERROR(SUMIF(Nutzungsprofile!$B$6:$B$11,"Halle",Nutzungsprofile!$G$6:$G$11)*Kalender!D137/SUM(Kalender!$D$5:$D$370),0)+IFERROR(SUMIF(Nutzungsprofile!$B$6:$B$11,"Individuell",Nutzungsprofile!$G$6:$G$11)*Kalender!E137/SUM(Kalender!$E$5:$E$370),0))*Szenarien!$E$24,0)</f>
        <v>2.94</v>
      </c>
      <c r="D4895" s="13" t="n">
        <f aca="false">IF(Szenarien!$H$24="OK",(IFERROR(SUMIF(Nutzungsprofile!$B$17:$B$22,"Schulbetrieb",Nutzungsprofile!$G$17:$G$22)*Kalender!C137/SUM(Kalender!$C$5:$C$370),0)+IFERROR(SUMIF(Nutzungsprofile!$B$17:$B$22,"Halle",Nutzungsprofile!$G$17:$G$22)*Kalender!D137/SUM(Kalender!$D$5:$D$370),0)+IFERROR(SUMIF(Nutzungsprofile!$B$17:$B$22,"Individuell",Nutzungsprofile!$G$17:$G$22)*Kalender!E137/SUM(Kalender!$E$5:$E$370),0))*Szenarien!$D$24,0)</f>
        <v>4.94</v>
      </c>
      <c r="E4895" s="13" t="n">
        <f aca="false">IFERROR(MIN(C4895,Eingaben!$B$17)*Eingaben!$B$16,0)</f>
        <v>2.793</v>
      </c>
      <c r="F4895" s="13" t="n">
        <f aca="false">IFERROR(E4895*Eingaben!$B$15,0)</f>
        <v>2.5137</v>
      </c>
      <c r="G4895" s="13" t="n">
        <f aca="false">IFERROR(IF(Kalender!A137="",0,J4894*(1-Eingaben!$B$20)),0)</f>
        <v>0.7390278</v>
      </c>
      <c r="H4895" s="13" t="n">
        <f aca="false">MIN(G4895,D4895)</f>
        <v>0.7390278</v>
      </c>
      <c r="I4895" s="13" t="n">
        <f aca="false">IFERROR(MIN(F4895*Eingaben!$B$19,MAX(0,D4895-H4895)),0)</f>
        <v>1.75959</v>
      </c>
      <c r="J4895" s="13" t="n">
        <f aca="false">IFERROR(MIN(Eingaben!$B$18,MAX(0,F4895-I4895)),0)</f>
        <v>0.75411</v>
      </c>
      <c r="K4895" s="13" t="n">
        <f aca="false">H4895+I4895</f>
        <v>2.4986178</v>
      </c>
      <c r="L4895" s="13" t="n">
        <f aca="false">MAX(0,D4895-K4895)</f>
        <v>2.4413822</v>
      </c>
      <c r="M4895" s="13" t="n">
        <f aca="false">MAX(0,F4895-I4895-J4895)</f>
        <v>0</v>
      </c>
      <c r="N4895" s="13" t="n">
        <f aca="false">IF(Kalender!A137="",0,J4894-H4895)</f>
        <v>0.0150822</v>
      </c>
    </row>
    <row r="4896" customFormat="false" ht="16.4" hidden="false" customHeight="false" outlineLevel="0" collapsed="false">
      <c r="A4896" s="13" t="str">
        <f aca="false">""</f>
        <v/>
      </c>
      <c r="B4896" s="13" t="n">
        <f aca="false">134</f>
        <v>134</v>
      </c>
      <c r="C4896" s="13" t="n">
        <f aca="false">IF(Szenarien!$H$24="OK",(IFERROR(SUMIF(Nutzungsprofile!$B$6:$B$11,"Schulbetrieb",Nutzungsprofile!$G$6:$G$11)*Kalender!C138/SUM(Kalender!$C$5:$C$370),0)+IFERROR(SUMIF(Nutzungsprofile!$B$6:$B$11,"Halle",Nutzungsprofile!$G$6:$G$11)*Kalender!D138/SUM(Kalender!$D$5:$D$370),0)+IFERROR(SUMIF(Nutzungsprofile!$B$6:$B$11,"Individuell",Nutzungsprofile!$G$6:$G$11)*Kalender!E138/SUM(Kalender!$E$5:$E$370),0))*Szenarien!$E$24,0)</f>
        <v>2.94</v>
      </c>
      <c r="D4896" s="13" t="n">
        <f aca="false">IF(Szenarien!$H$24="OK",(IFERROR(SUMIF(Nutzungsprofile!$B$17:$B$22,"Schulbetrieb",Nutzungsprofile!$G$17:$G$22)*Kalender!C138/SUM(Kalender!$C$5:$C$370),0)+IFERROR(SUMIF(Nutzungsprofile!$B$17:$B$22,"Halle",Nutzungsprofile!$G$17:$G$22)*Kalender!D138/SUM(Kalender!$D$5:$D$370),0)+IFERROR(SUMIF(Nutzungsprofile!$B$17:$B$22,"Individuell",Nutzungsprofile!$G$17:$G$22)*Kalender!E138/SUM(Kalender!$E$5:$E$370),0))*Szenarien!$D$24,0)</f>
        <v>4.94</v>
      </c>
      <c r="E4896" s="13" t="n">
        <f aca="false">IFERROR(MIN(C4896,Eingaben!$B$17)*Eingaben!$B$16,0)</f>
        <v>2.793</v>
      </c>
      <c r="F4896" s="13" t="n">
        <f aca="false">IFERROR(E4896*Eingaben!$B$15,0)</f>
        <v>2.5137</v>
      </c>
      <c r="G4896" s="13" t="n">
        <f aca="false">IFERROR(IF(Kalender!A138="",0,J4895*(1-Eingaben!$B$20)),0)</f>
        <v>0.7390278</v>
      </c>
      <c r="H4896" s="13" t="n">
        <f aca="false">MIN(G4896,D4896)</f>
        <v>0.7390278</v>
      </c>
      <c r="I4896" s="13" t="n">
        <f aca="false">IFERROR(MIN(F4896*Eingaben!$B$19,MAX(0,D4896-H4896)),0)</f>
        <v>1.75959</v>
      </c>
      <c r="J4896" s="13" t="n">
        <f aca="false">IFERROR(MIN(Eingaben!$B$18,MAX(0,F4896-I4896)),0)</f>
        <v>0.75411</v>
      </c>
      <c r="K4896" s="13" t="n">
        <f aca="false">H4896+I4896</f>
        <v>2.4986178</v>
      </c>
      <c r="L4896" s="13" t="n">
        <f aca="false">MAX(0,D4896-K4896)</f>
        <v>2.4413822</v>
      </c>
      <c r="M4896" s="13" t="n">
        <f aca="false">MAX(0,F4896-I4896-J4896)</f>
        <v>0</v>
      </c>
      <c r="N4896" s="13" t="n">
        <f aca="false">IF(Kalender!A138="",0,J4895-H4896)</f>
        <v>0.0150822</v>
      </c>
    </row>
    <row r="4897" customFormat="false" ht="16.4" hidden="false" customHeight="false" outlineLevel="0" collapsed="false">
      <c r="A4897" s="13" t="str">
        <f aca="false">""</f>
        <v/>
      </c>
      <c r="B4897" s="13" t="n">
        <f aca="false">135</f>
        <v>135</v>
      </c>
      <c r="C4897" s="13" t="n">
        <f aca="false">IF(Szenarien!$H$24="OK",(IFERROR(SUMIF(Nutzungsprofile!$B$6:$B$11,"Schulbetrieb",Nutzungsprofile!$G$6:$G$11)*Kalender!C139/SUM(Kalender!$C$5:$C$370),0)+IFERROR(SUMIF(Nutzungsprofile!$B$6:$B$11,"Halle",Nutzungsprofile!$G$6:$G$11)*Kalender!D139/SUM(Kalender!$D$5:$D$370),0)+IFERROR(SUMIF(Nutzungsprofile!$B$6:$B$11,"Individuell",Nutzungsprofile!$G$6:$G$11)*Kalender!E139/SUM(Kalender!$E$5:$E$370),0))*Szenarien!$E$24,0)</f>
        <v>2.94</v>
      </c>
      <c r="D4897" s="13" t="n">
        <f aca="false">IF(Szenarien!$H$24="OK",(IFERROR(SUMIF(Nutzungsprofile!$B$17:$B$22,"Schulbetrieb",Nutzungsprofile!$G$17:$G$22)*Kalender!C139/SUM(Kalender!$C$5:$C$370),0)+IFERROR(SUMIF(Nutzungsprofile!$B$17:$B$22,"Halle",Nutzungsprofile!$G$17:$G$22)*Kalender!D139/SUM(Kalender!$D$5:$D$370),0)+IFERROR(SUMIF(Nutzungsprofile!$B$17:$B$22,"Individuell",Nutzungsprofile!$G$17:$G$22)*Kalender!E139/SUM(Kalender!$E$5:$E$370),0))*Szenarien!$D$24,0)</f>
        <v>4.94</v>
      </c>
      <c r="E4897" s="13" t="n">
        <f aca="false">IFERROR(MIN(C4897,Eingaben!$B$17)*Eingaben!$B$16,0)</f>
        <v>2.793</v>
      </c>
      <c r="F4897" s="13" t="n">
        <f aca="false">IFERROR(E4897*Eingaben!$B$15,0)</f>
        <v>2.5137</v>
      </c>
      <c r="G4897" s="13" t="n">
        <f aca="false">IFERROR(IF(Kalender!A139="",0,J4896*(1-Eingaben!$B$20)),0)</f>
        <v>0.7390278</v>
      </c>
      <c r="H4897" s="13" t="n">
        <f aca="false">MIN(G4897,D4897)</f>
        <v>0.7390278</v>
      </c>
      <c r="I4897" s="13" t="n">
        <f aca="false">IFERROR(MIN(F4897*Eingaben!$B$19,MAX(0,D4897-H4897)),0)</f>
        <v>1.75959</v>
      </c>
      <c r="J4897" s="13" t="n">
        <f aca="false">IFERROR(MIN(Eingaben!$B$18,MAX(0,F4897-I4897)),0)</f>
        <v>0.75411</v>
      </c>
      <c r="K4897" s="13" t="n">
        <f aca="false">H4897+I4897</f>
        <v>2.4986178</v>
      </c>
      <c r="L4897" s="13" t="n">
        <f aca="false">MAX(0,D4897-K4897)</f>
        <v>2.4413822</v>
      </c>
      <c r="M4897" s="13" t="n">
        <f aca="false">MAX(0,F4897-I4897-J4897)</f>
        <v>0</v>
      </c>
      <c r="N4897" s="13" t="n">
        <f aca="false">IF(Kalender!A139="",0,J4896-H4897)</f>
        <v>0.0150822</v>
      </c>
    </row>
    <row r="4898" customFormat="false" ht="16.4" hidden="false" customHeight="false" outlineLevel="0" collapsed="false">
      <c r="A4898" s="13" t="str">
        <f aca="false">""</f>
        <v/>
      </c>
      <c r="B4898" s="13" t="n">
        <f aca="false">136</f>
        <v>136</v>
      </c>
      <c r="C4898" s="13" t="n">
        <f aca="false">IF(Szenarien!$H$24="OK",(IFERROR(SUMIF(Nutzungsprofile!$B$6:$B$11,"Schulbetrieb",Nutzungsprofile!$G$6:$G$11)*Kalender!C140/SUM(Kalender!$C$5:$C$370),0)+IFERROR(SUMIF(Nutzungsprofile!$B$6:$B$11,"Halle",Nutzungsprofile!$G$6:$G$11)*Kalender!D140/SUM(Kalender!$D$5:$D$370),0)+IFERROR(SUMIF(Nutzungsprofile!$B$6:$B$11,"Individuell",Nutzungsprofile!$G$6:$G$11)*Kalender!E140/SUM(Kalender!$E$5:$E$370),0))*Szenarien!$E$24,0)</f>
        <v>2.04</v>
      </c>
      <c r="D4898" s="13" t="n">
        <f aca="false">IF(Szenarien!$H$24="OK",(IFERROR(SUMIF(Nutzungsprofile!$B$17:$B$22,"Schulbetrieb",Nutzungsprofile!$G$17:$G$22)*Kalender!C140/SUM(Kalender!$C$5:$C$370),0)+IFERROR(SUMIF(Nutzungsprofile!$B$17:$B$22,"Halle",Nutzungsprofile!$G$17:$G$22)*Kalender!D140/SUM(Kalender!$D$5:$D$370),0)+IFERROR(SUMIF(Nutzungsprofile!$B$17:$B$22,"Individuell",Nutzungsprofile!$G$17:$G$22)*Kalender!E140/SUM(Kalender!$E$5:$E$370),0))*Szenarien!$D$24,0)</f>
        <v>0.89</v>
      </c>
      <c r="E4898" s="13" t="n">
        <f aca="false">IFERROR(MIN(C4898,Eingaben!$B$17)*Eingaben!$B$16,0)</f>
        <v>1.938</v>
      </c>
      <c r="F4898" s="13" t="n">
        <f aca="false">IFERROR(E4898*Eingaben!$B$15,0)</f>
        <v>1.7442</v>
      </c>
      <c r="G4898" s="13" t="n">
        <f aca="false">IFERROR(IF(Kalender!A140="",0,J4897*(1-Eingaben!$B$20)),0)</f>
        <v>0.7390278</v>
      </c>
      <c r="H4898" s="13" t="n">
        <f aca="false">MIN(G4898,D4898)</f>
        <v>0.7390278</v>
      </c>
      <c r="I4898" s="13" t="n">
        <f aca="false">IFERROR(MIN(F4898*Eingaben!$B$19,MAX(0,D4898-H4898)),0)</f>
        <v>0.1509722</v>
      </c>
      <c r="J4898" s="13" t="n">
        <f aca="false">IFERROR(MIN(Eingaben!$B$18,MAX(0,F4898-I4898)),0)</f>
        <v>1.5932278</v>
      </c>
      <c r="K4898" s="13" t="n">
        <f aca="false">H4898+I4898</f>
        <v>0.89</v>
      </c>
      <c r="L4898" s="13" t="n">
        <f aca="false">MAX(0,D4898-K4898)</f>
        <v>0</v>
      </c>
      <c r="M4898" s="13" t="n">
        <f aca="false">MAX(0,F4898-I4898-J4898)</f>
        <v>0</v>
      </c>
      <c r="N4898" s="13" t="n">
        <f aca="false">IF(Kalender!A140="",0,J4897-H4898)</f>
        <v>0.0150822</v>
      </c>
    </row>
    <row r="4899" customFormat="false" ht="16.4" hidden="false" customHeight="false" outlineLevel="0" collapsed="false">
      <c r="A4899" s="13" t="str">
        <f aca="false">""</f>
        <v/>
      </c>
      <c r="B4899" s="13" t="n">
        <f aca="false">137</f>
        <v>137</v>
      </c>
      <c r="C4899" s="13" t="n">
        <f aca="false">IF(Szenarien!$H$24="OK",(IFERROR(SUMIF(Nutzungsprofile!$B$6:$B$11,"Schulbetrieb",Nutzungsprofile!$G$6:$G$11)*Kalender!C141/SUM(Kalender!$C$5:$C$370),0)+IFERROR(SUMIF(Nutzungsprofile!$B$6:$B$11,"Halle",Nutzungsprofile!$G$6:$G$11)*Kalender!D141/SUM(Kalender!$D$5:$D$370),0)+IFERROR(SUMIF(Nutzungsprofile!$B$6:$B$11,"Individuell",Nutzungsprofile!$G$6:$G$11)*Kalender!E141/SUM(Kalender!$E$5:$E$370),0))*Szenarien!$E$24,0)</f>
        <v>2.04</v>
      </c>
      <c r="D4899" s="13" t="n">
        <f aca="false">IF(Szenarien!$H$24="OK",(IFERROR(SUMIF(Nutzungsprofile!$B$17:$B$22,"Schulbetrieb",Nutzungsprofile!$G$17:$G$22)*Kalender!C141/SUM(Kalender!$C$5:$C$370),0)+IFERROR(SUMIF(Nutzungsprofile!$B$17:$B$22,"Halle",Nutzungsprofile!$G$17:$G$22)*Kalender!D141/SUM(Kalender!$D$5:$D$370),0)+IFERROR(SUMIF(Nutzungsprofile!$B$17:$B$22,"Individuell",Nutzungsprofile!$G$17:$G$22)*Kalender!E141/SUM(Kalender!$E$5:$E$370),0))*Szenarien!$D$24,0)</f>
        <v>0.89</v>
      </c>
      <c r="E4899" s="13" t="n">
        <f aca="false">IFERROR(MIN(C4899,Eingaben!$B$17)*Eingaben!$B$16,0)</f>
        <v>1.938</v>
      </c>
      <c r="F4899" s="13" t="n">
        <f aca="false">IFERROR(E4899*Eingaben!$B$15,0)</f>
        <v>1.7442</v>
      </c>
      <c r="G4899" s="13" t="n">
        <f aca="false">IFERROR(IF(Kalender!A141="",0,J4898*(1-Eingaben!$B$20)),0)</f>
        <v>1.561363244</v>
      </c>
      <c r="H4899" s="13" t="n">
        <f aca="false">MIN(G4899,D4899)</f>
        <v>0.89</v>
      </c>
      <c r="I4899" s="13" t="n">
        <f aca="false">IFERROR(MIN(F4899*Eingaben!$B$19,MAX(0,D4899-H4899)),0)</f>
        <v>0</v>
      </c>
      <c r="J4899" s="13" t="n">
        <f aca="false">IFERROR(MIN(Eingaben!$B$18,MAX(0,F4899-I4899)),0)</f>
        <v>1.7442</v>
      </c>
      <c r="K4899" s="13" t="n">
        <f aca="false">H4899+I4899</f>
        <v>0.89</v>
      </c>
      <c r="L4899" s="13" t="n">
        <f aca="false">MAX(0,D4899-K4899)</f>
        <v>0</v>
      </c>
      <c r="M4899" s="13" t="n">
        <f aca="false">MAX(0,F4899-I4899-J4899)</f>
        <v>0</v>
      </c>
      <c r="N4899" s="13" t="n">
        <f aca="false">IF(Kalender!A141="",0,J4898-H4899)</f>
        <v>0.7032278</v>
      </c>
    </row>
    <row r="4900" customFormat="false" ht="16.4" hidden="false" customHeight="false" outlineLevel="0" collapsed="false">
      <c r="A4900" s="13" t="str">
        <f aca="false">""</f>
        <v/>
      </c>
      <c r="B4900" s="13" t="n">
        <f aca="false">138</f>
        <v>138</v>
      </c>
      <c r="C4900" s="13" t="n">
        <f aca="false">IF(Szenarien!$H$24="OK",(IFERROR(SUMIF(Nutzungsprofile!$B$6:$B$11,"Schulbetrieb",Nutzungsprofile!$G$6:$G$11)*Kalender!C142/SUM(Kalender!$C$5:$C$370),0)+IFERROR(SUMIF(Nutzungsprofile!$B$6:$B$11,"Halle",Nutzungsprofile!$G$6:$G$11)*Kalender!D142/SUM(Kalender!$D$5:$D$370),0)+IFERROR(SUMIF(Nutzungsprofile!$B$6:$B$11,"Individuell",Nutzungsprofile!$G$6:$G$11)*Kalender!E142/SUM(Kalender!$E$5:$E$370),0))*Szenarien!$E$24,0)</f>
        <v>2.94</v>
      </c>
      <c r="D4900" s="13" t="n">
        <f aca="false">IF(Szenarien!$H$24="OK",(IFERROR(SUMIF(Nutzungsprofile!$B$17:$B$22,"Schulbetrieb",Nutzungsprofile!$G$17:$G$22)*Kalender!C142/SUM(Kalender!$C$5:$C$370),0)+IFERROR(SUMIF(Nutzungsprofile!$B$17:$B$22,"Halle",Nutzungsprofile!$G$17:$G$22)*Kalender!D142/SUM(Kalender!$D$5:$D$370),0)+IFERROR(SUMIF(Nutzungsprofile!$B$17:$B$22,"Individuell",Nutzungsprofile!$G$17:$G$22)*Kalender!E142/SUM(Kalender!$E$5:$E$370),0))*Szenarien!$D$24,0)</f>
        <v>4.94</v>
      </c>
      <c r="E4900" s="13" t="n">
        <f aca="false">IFERROR(MIN(C4900,Eingaben!$B$17)*Eingaben!$B$16,0)</f>
        <v>2.793</v>
      </c>
      <c r="F4900" s="13" t="n">
        <f aca="false">IFERROR(E4900*Eingaben!$B$15,0)</f>
        <v>2.5137</v>
      </c>
      <c r="G4900" s="13" t="n">
        <f aca="false">IFERROR(IF(Kalender!A142="",0,J4899*(1-Eingaben!$B$20)),0)</f>
        <v>1.709316</v>
      </c>
      <c r="H4900" s="13" t="n">
        <f aca="false">MIN(G4900,D4900)</f>
        <v>1.709316</v>
      </c>
      <c r="I4900" s="13" t="n">
        <f aca="false">IFERROR(MIN(F4900*Eingaben!$B$19,MAX(0,D4900-H4900)),0)</f>
        <v>1.75959</v>
      </c>
      <c r="J4900" s="13" t="n">
        <f aca="false">IFERROR(MIN(Eingaben!$B$18,MAX(0,F4900-I4900)),0)</f>
        <v>0.75411</v>
      </c>
      <c r="K4900" s="13" t="n">
        <f aca="false">H4900+I4900</f>
        <v>3.468906</v>
      </c>
      <c r="L4900" s="13" t="n">
        <f aca="false">MAX(0,D4900-K4900)</f>
        <v>1.471094</v>
      </c>
      <c r="M4900" s="13" t="n">
        <f aca="false">MAX(0,F4900-I4900-J4900)</f>
        <v>0</v>
      </c>
      <c r="N4900" s="13" t="n">
        <f aca="false">IF(Kalender!A142="",0,J4899-H4900)</f>
        <v>0.0348840000000001</v>
      </c>
    </row>
    <row r="4901" customFormat="false" ht="16.4" hidden="false" customHeight="false" outlineLevel="0" collapsed="false">
      <c r="A4901" s="13" t="str">
        <f aca="false">""</f>
        <v/>
      </c>
      <c r="B4901" s="13" t="n">
        <f aca="false">139</f>
        <v>139</v>
      </c>
      <c r="C4901" s="13" t="n">
        <f aca="false">IF(Szenarien!$H$24="OK",(IFERROR(SUMIF(Nutzungsprofile!$B$6:$B$11,"Schulbetrieb",Nutzungsprofile!$G$6:$G$11)*Kalender!C143/SUM(Kalender!$C$5:$C$370),0)+IFERROR(SUMIF(Nutzungsprofile!$B$6:$B$11,"Halle",Nutzungsprofile!$G$6:$G$11)*Kalender!D143/SUM(Kalender!$D$5:$D$370),0)+IFERROR(SUMIF(Nutzungsprofile!$B$6:$B$11,"Individuell",Nutzungsprofile!$G$6:$G$11)*Kalender!E143/SUM(Kalender!$E$5:$E$370),0))*Szenarien!$E$24,0)</f>
        <v>2.94</v>
      </c>
      <c r="D4901" s="13" t="n">
        <f aca="false">IF(Szenarien!$H$24="OK",(IFERROR(SUMIF(Nutzungsprofile!$B$17:$B$22,"Schulbetrieb",Nutzungsprofile!$G$17:$G$22)*Kalender!C143/SUM(Kalender!$C$5:$C$370),0)+IFERROR(SUMIF(Nutzungsprofile!$B$17:$B$22,"Halle",Nutzungsprofile!$G$17:$G$22)*Kalender!D143/SUM(Kalender!$D$5:$D$370),0)+IFERROR(SUMIF(Nutzungsprofile!$B$17:$B$22,"Individuell",Nutzungsprofile!$G$17:$G$22)*Kalender!E143/SUM(Kalender!$E$5:$E$370),0))*Szenarien!$D$24,0)</f>
        <v>4.94</v>
      </c>
      <c r="E4901" s="13" t="n">
        <f aca="false">IFERROR(MIN(C4901,Eingaben!$B$17)*Eingaben!$B$16,0)</f>
        <v>2.793</v>
      </c>
      <c r="F4901" s="13" t="n">
        <f aca="false">IFERROR(E4901*Eingaben!$B$15,0)</f>
        <v>2.5137</v>
      </c>
      <c r="G4901" s="13" t="n">
        <f aca="false">IFERROR(IF(Kalender!A143="",0,J4900*(1-Eingaben!$B$20)),0)</f>
        <v>0.7390278</v>
      </c>
      <c r="H4901" s="13" t="n">
        <f aca="false">MIN(G4901,D4901)</f>
        <v>0.7390278</v>
      </c>
      <c r="I4901" s="13" t="n">
        <f aca="false">IFERROR(MIN(F4901*Eingaben!$B$19,MAX(0,D4901-H4901)),0)</f>
        <v>1.75959</v>
      </c>
      <c r="J4901" s="13" t="n">
        <f aca="false">IFERROR(MIN(Eingaben!$B$18,MAX(0,F4901-I4901)),0)</f>
        <v>0.75411</v>
      </c>
      <c r="K4901" s="13" t="n">
        <f aca="false">H4901+I4901</f>
        <v>2.4986178</v>
      </c>
      <c r="L4901" s="13" t="n">
        <f aca="false">MAX(0,D4901-K4901)</f>
        <v>2.4413822</v>
      </c>
      <c r="M4901" s="13" t="n">
        <f aca="false">MAX(0,F4901-I4901-J4901)</f>
        <v>0</v>
      </c>
      <c r="N4901" s="13" t="n">
        <f aca="false">IF(Kalender!A143="",0,J4900-H4901)</f>
        <v>0.0150822</v>
      </c>
    </row>
    <row r="4902" customFormat="false" ht="16.4" hidden="false" customHeight="false" outlineLevel="0" collapsed="false">
      <c r="A4902" s="13" t="str">
        <f aca="false">""</f>
        <v/>
      </c>
      <c r="B4902" s="13" t="n">
        <f aca="false">140</f>
        <v>140</v>
      </c>
      <c r="C4902" s="13" t="n">
        <f aca="false">IF(Szenarien!$H$24="OK",(IFERROR(SUMIF(Nutzungsprofile!$B$6:$B$11,"Schulbetrieb",Nutzungsprofile!$G$6:$G$11)*Kalender!C144/SUM(Kalender!$C$5:$C$370),0)+IFERROR(SUMIF(Nutzungsprofile!$B$6:$B$11,"Halle",Nutzungsprofile!$G$6:$G$11)*Kalender!D144/SUM(Kalender!$D$5:$D$370),0)+IFERROR(SUMIF(Nutzungsprofile!$B$6:$B$11,"Individuell",Nutzungsprofile!$G$6:$G$11)*Kalender!E144/SUM(Kalender!$E$5:$E$370),0))*Szenarien!$E$24,0)</f>
        <v>2.94</v>
      </c>
      <c r="D4902" s="13" t="n">
        <f aca="false">IF(Szenarien!$H$24="OK",(IFERROR(SUMIF(Nutzungsprofile!$B$17:$B$22,"Schulbetrieb",Nutzungsprofile!$G$17:$G$22)*Kalender!C144/SUM(Kalender!$C$5:$C$370),0)+IFERROR(SUMIF(Nutzungsprofile!$B$17:$B$22,"Halle",Nutzungsprofile!$G$17:$G$22)*Kalender!D144/SUM(Kalender!$D$5:$D$370),0)+IFERROR(SUMIF(Nutzungsprofile!$B$17:$B$22,"Individuell",Nutzungsprofile!$G$17:$G$22)*Kalender!E144/SUM(Kalender!$E$5:$E$370),0))*Szenarien!$D$24,0)</f>
        <v>4.94</v>
      </c>
      <c r="E4902" s="13" t="n">
        <f aca="false">IFERROR(MIN(C4902,Eingaben!$B$17)*Eingaben!$B$16,0)</f>
        <v>2.793</v>
      </c>
      <c r="F4902" s="13" t="n">
        <f aca="false">IFERROR(E4902*Eingaben!$B$15,0)</f>
        <v>2.5137</v>
      </c>
      <c r="G4902" s="13" t="n">
        <f aca="false">IFERROR(IF(Kalender!A144="",0,J4901*(1-Eingaben!$B$20)),0)</f>
        <v>0.7390278</v>
      </c>
      <c r="H4902" s="13" t="n">
        <f aca="false">MIN(G4902,D4902)</f>
        <v>0.7390278</v>
      </c>
      <c r="I4902" s="13" t="n">
        <f aca="false">IFERROR(MIN(F4902*Eingaben!$B$19,MAX(0,D4902-H4902)),0)</f>
        <v>1.75959</v>
      </c>
      <c r="J4902" s="13" t="n">
        <f aca="false">IFERROR(MIN(Eingaben!$B$18,MAX(0,F4902-I4902)),0)</f>
        <v>0.75411</v>
      </c>
      <c r="K4902" s="13" t="n">
        <f aca="false">H4902+I4902</f>
        <v>2.4986178</v>
      </c>
      <c r="L4902" s="13" t="n">
        <f aca="false">MAX(0,D4902-K4902)</f>
        <v>2.4413822</v>
      </c>
      <c r="M4902" s="13" t="n">
        <f aca="false">MAX(0,F4902-I4902-J4902)</f>
        <v>0</v>
      </c>
      <c r="N4902" s="13" t="n">
        <f aca="false">IF(Kalender!A144="",0,J4901-H4902)</f>
        <v>0.0150822</v>
      </c>
    </row>
    <row r="4903" customFormat="false" ht="16.4" hidden="false" customHeight="false" outlineLevel="0" collapsed="false">
      <c r="A4903" s="13" t="str">
        <f aca="false">""</f>
        <v/>
      </c>
      <c r="B4903" s="13" t="n">
        <f aca="false">141</f>
        <v>141</v>
      </c>
      <c r="C4903" s="13" t="n">
        <f aca="false">IF(Szenarien!$H$24="OK",(IFERROR(SUMIF(Nutzungsprofile!$B$6:$B$11,"Schulbetrieb",Nutzungsprofile!$G$6:$G$11)*Kalender!C145/SUM(Kalender!$C$5:$C$370),0)+IFERROR(SUMIF(Nutzungsprofile!$B$6:$B$11,"Halle",Nutzungsprofile!$G$6:$G$11)*Kalender!D145/SUM(Kalender!$D$5:$D$370),0)+IFERROR(SUMIF(Nutzungsprofile!$B$6:$B$11,"Individuell",Nutzungsprofile!$G$6:$G$11)*Kalender!E145/SUM(Kalender!$E$5:$E$370),0))*Szenarien!$E$24,0)</f>
        <v>2.94</v>
      </c>
      <c r="D4903" s="13" t="n">
        <f aca="false">IF(Szenarien!$H$24="OK",(IFERROR(SUMIF(Nutzungsprofile!$B$17:$B$22,"Schulbetrieb",Nutzungsprofile!$G$17:$G$22)*Kalender!C145/SUM(Kalender!$C$5:$C$370),0)+IFERROR(SUMIF(Nutzungsprofile!$B$17:$B$22,"Halle",Nutzungsprofile!$G$17:$G$22)*Kalender!D145/SUM(Kalender!$D$5:$D$370),0)+IFERROR(SUMIF(Nutzungsprofile!$B$17:$B$22,"Individuell",Nutzungsprofile!$G$17:$G$22)*Kalender!E145/SUM(Kalender!$E$5:$E$370),0))*Szenarien!$D$24,0)</f>
        <v>4.94</v>
      </c>
      <c r="E4903" s="13" t="n">
        <f aca="false">IFERROR(MIN(C4903,Eingaben!$B$17)*Eingaben!$B$16,0)</f>
        <v>2.793</v>
      </c>
      <c r="F4903" s="13" t="n">
        <f aca="false">IFERROR(E4903*Eingaben!$B$15,0)</f>
        <v>2.5137</v>
      </c>
      <c r="G4903" s="13" t="n">
        <f aca="false">IFERROR(IF(Kalender!A145="",0,J4902*(1-Eingaben!$B$20)),0)</f>
        <v>0.7390278</v>
      </c>
      <c r="H4903" s="13" t="n">
        <f aca="false">MIN(G4903,D4903)</f>
        <v>0.7390278</v>
      </c>
      <c r="I4903" s="13" t="n">
        <f aca="false">IFERROR(MIN(F4903*Eingaben!$B$19,MAX(0,D4903-H4903)),0)</f>
        <v>1.75959</v>
      </c>
      <c r="J4903" s="13" t="n">
        <f aca="false">IFERROR(MIN(Eingaben!$B$18,MAX(0,F4903-I4903)),0)</f>
        <v>0.75411</v>
      </c>
      <c r="K4903" s="13" t="n">
        <f aca="false">H4903+I4903</f>
        <v>2.4986178</v>
      </c>
      <c r="L4903" s="13" t="n">
        <f aca="false">MAX(0,D4903-K4903)</f>
        <v>2.4413822</v>
      </c>
      <c r="M4903" s="13" t="n">
        <f aca="false">MAX(0,F4903-I4903-J4903)</f>
        <v>0</v>
      </c>
      <c r="N4903" s="13" t="n">
        <f aca="false">IF(Kalender!A145="",0,J4902-H4903)</f>
        <v>0.0150822</v>
      </c>
    </row>
    <row r="4904" customFormat="false" ht="16.4" hidden="false" customHeight="false" outlineLevel="0" collapsed="false">
      <c r="A4904" s="13" t="str">
        <f aca="false">""</f>
        <v/>
      </c>
      <c r="B4904" s="13" t="n">
        <f aca="false">142</f>
        <v>142</v>
      </c>
      <c r="C4904" s="13" t="n">
        <f aca="false">IF(Szenarien!$H$24="OK",(IFERROR(SUMIF(Nutzungsprofile!$B$6:$B$11,"Schulbetrieb",Nutzungsprofile!$G$6:$G$11)*Kalender!C146/SUM(Kalender!$C$5:$C$370),0)+IFERROR(SUMIF(Nutzungsprofile!$B$6:$B$11,"Halle",Nutzungsprofile!$G$6:$G$11)*Kalender!D146/SUM(Kalender!$D$5:$D$370),0)+IFERROR(SUMIF(Nutzungsprofile!$B$6:$B$11,"Individuell",Nutzungsprofile!$G$6:$G$11)*Kalender!E146/SUM(Kalender!$E$5:$E$370),0))*Szenarien!$E$24,0)</f>
        <v>2.94</v>
      </c>
      <c r="D4904" s="13" t="n">
        <f aca="false">IF(Szenarien!$H$24="OK",(IFERROR(SUMIF(Nutzungsprofile!$B$17:$B$22,"Schulbetrieb",Nutzungsprofile!$G$17:$G$22)*Kalender!C146/SUM(Kalender!$C$5:$C$370),0)+IFERROR(SUMIF(Nutzungsprofile!$B$17:$B$22,"Halle",Nutzungsprofile!$G$17:$G$22)*Kalender!D146/SUM(Kalender!$D$5:$D$370),0)+IFERROR(SUMIF(Nutzungsprofile!$B$17:$B$22,"Individuell",Nutzungsprofile!$G$17:$G$22)*Kalender!E146/SUM(Kalender!$E$5:$E$370),0))*Szenarien!$D$24,0)</f>
        <v>4.94</v>
      </c>
      <c r="E4904" s="13" t="n">
        <f aca="false">IFERROR(MIN(C4904,Eingaben!$B$17)*Eingaben!$B$16,0)</f>
        <v>2.793</v>
      </c>
      <c r="F4904" s="13" t="n">
        <f aca="false">IFERROR(E4904*Eingaben!$B$15,0)</f>
        <v>2.5137</v>
      </c>
      <c r="G4904" s="13" t="n">
        <f aca="false">IFERROR(IF(Kalender!A146="",0,J4903*(1-Eingaben!$B$20)),0)</f>
        <v>0.7390278</v>
      </c>
      <c r="H4904" s="13" t="n">
        <f aca="false">MIN(G4904,D4904)</f>
        <v>0.7390278</v>
      </c>
      <c r="I4904" s="13" t="n">
        <f aca="false">IFERROR(MIN(F4904*Eingaben!$B$19,MAX(0,D4904-H4904)),0)</f>
        <v>1.75959</v>
      </c>
      <c r="J4904" s="13" t="n">
        <f aca="false">IFERROR(MIN(Eingaben!$B$18,MAX(0,F4904-I4904)),0)</f>
        <v>0.75411</v>
      </c>
      <c r="K4904" s="13" t="n">
        <f aca="false">H4904+I4904</f>
        <v>2.4986178</v>
      </c>
      <c r="L4904" s="13" t="n">
        <f aca="false">MAX(0,D4904-K4904)</f>
        <v>2.4413822</v>
      </c>
      <c r="M4904" s="13" t="n">
        <f aca="false">MAX(0,F4904-I4904-J4904)</f>
        <v>0</v>
      </c>
      <c r="N4904" s="13" t="n">
        <f aca="false">IF(Kalender!A146="",0,J4903-H4904)</f>
        <v>0.0150822</v>
      </c>
    </row>
    <row r="4905" customFormat="false" ht="16.4" hidden="false" customHeight="false" outlineLevel="0" collapsed="false">
      <c r="A4905" s="13" t="str">
        <f aca="false">""</f>
        <v/>
      </c>
      <c r="B4905" s="13" t="n">
        <f aca="false">143</f>
        <v>143</v>
      </c>
      <c r="C4905" s="13" t="n">
        <f aca="false">IF(Szenarien!$H$24="OK",(IFERROR(SUMIF(Nutzungsprofile!$B$6:$B$11,"Schulbetrieb",Nutzungsprofile!$G$6:$G$11)*Kalender!C147/SUM(Kalender!$C$5:$C$370),0)+IFERROR(SUMIF(Nutzungsprofile!$B$6:$B$11,"Halle",Nutzungsprofile!$G$6:$G$11)*Kalender!D147/SUM(Kalender!$D$5:$D$370),0)+IFERROR(SUMIF(Nutzungsprofile!$B$6:$B$11,"Individuell",Nutzungsprofile!$G$6:$G$11)*Kalender!E147/SUM(Kalender!$E$5:$E$370),0))*Szenarien!$E$24,0)</f>
        <v>2.04</v>
      </c>
      <c r="D4905" s="13" t="n">
        <f aca="false">IF(Szenarien!$H$24="OK",(IFERROR(SUMIF(Nutzungsprofile!$B$17:$B$22,"Schulbetrieb",Nutzungsprofile!$G$17:$G$22)*Kalender!C147/SUM(Kalender!$C$5:$C$370),0)+IFERROR(SUMIF(Nutzungsprofile!$B$17:$B$22,"Halle",Nutzungsprofile!$G$17:$G$22)*Kalender!D147/SUM(Kalender!$D$5:$D$370),0)+IFERROR(SUMIF(Nutzungsprofile!$B$17:$B$22,"Individuell",Nutzungsprofile!$G$17:$G$22)*Kalender!E147/SUM(Kalender!$E$5:$E$370),0))*Szenarien!$D$24,0)</f>
        <v>0.89</v>
      </c>
      <c r="E4905" s="13" t="n">
        <f aca="false">IFERROR(MIN(C4905,Eingaben!$B$17)*Eingaben!$B$16,0)</f>
        <v>1.938</v>
      </c>
      <c r="F4905" s="13" t="n">
        <f aca="false">IFERROR(E4905*Eingaben!$B$15,0)</f>
        <v>1.7442</v>
      </c>
      <c r="G4905" s="13" t="n">
        <f aca="false">IFERROR(IF(Kalender!A147="",0,J4904*(1-Eingaben!$B$20)),0)</f>
        <v>0.7390278</v>
      </c>
      <c r="H4905" s="13" t="n">
        <f aca="false">MIN(G4905,D4905)</f>
        <v>0.7390278</v>
      </c>
      <c r="I4905" s="13" t="n">
        <f aca="false">IFERROR(MIN(F4905*Eingaben!$B$19,MAX(0,D4905-H4905)),0)</f>
        <v>0.1509722</v>
      </c>
      <c r="J4905" s="13" t="n">
        <f aca="false">IFERROR(MIN(Eingaben!$B$18,MAX(0,F4905-I4905)),0)</f>
        <v>1.5932278</v>
      </c>
      <c r="K4905" s="13" t="n">
        <f aca="false">H4905+I4905</f>
        <v>0.89</v>
      </c>
      <c r="L4905" s="13" t="n">
        <f aca="false">MAX(0,D4905-K4905)</f>
        <v>0</v>
      </c>
      <c r="M4905" s="13" t="n">
        <f aca="false">MAX(0,F4905-I4905-J4905)</f>
        <v>0</v>
      </c>
      <c r="N4905" s="13" t="n">
        <f aca="false">IF(Kalender!A147="",0,J4904-H4905)</f>
        <v>0.0150822</v>
      </c>
    </row>
    <row r="4906" customFormat="false" ht="16.4" hidden="false" customHeight="false" outlineLevel="0" collapsed="false">
      <c r="A4906" s="13" t="str">
        <f aca="false">""</f>
        <v/>
      </c>
      <c r="B4906" s="13" t="n">
        <f aca="false">144</f>
        <v>144</v>
      </c>
      <c r="C4906" s="13" t="n">
        <f aca="false">IF(Szenarien!$H$24="OK",(IFERROR(SUMIF(Nutzungsprofile!$B$6:$B$11,"Schulbetrieb",Nutzungsprofile!$G$6:$G$11)*Kalender!C148/SUM(Kalender!$C$5:$C$370),0)+IFERROR(SUMIF(Nutzungsprofile!$B$6:$B$11,"Halle",Nutzungsprofile!$G$6:$G$11)*Kalender!D148/SUM(Kalender!$D$5:$D$370),0)+IFERROR(SUMIF(Nutzungsprofile!$B$6:$B$11,"Individuell",Nutzungsprofile!$G$6:$G$11)*Kalender!E148/SUM(Kalender!$E$5:$E$370),0))*Szenarien!$E$24,0)</f>
        <v>2.04</v>
      </c>
      <c r="D4906" s="13" t="n">
        <f aca="false">IF(Szenarien!$H$24="OK",(IFERROR(SUMIF(Nutzungsprofile!$B$17:$B$22,"Schulbetrieb",Nutzungsprofile!$G$17:$G$22)*Kalender!C148/SUM(Kalender!$C$5:$C$370),0)+IFERROR(SUMIF(Nutzungsprofile!$B$17:$B$22,"Halle",Nutzungsprofile!$G$17:$G$22)*Kalender!D148/SUM(Kalender!$D$5:$D$370),0)+IFERROR(SUMIF(Nutzungsprofile!$B$17:$B$22,"Individuell",Nutzungsprofile!$G$17:$G$22)*Kalender!E148/SUM(Kalender!$E$5:$E$370),0))*Szenarien!$D$24,0)</f>
        <v>0.89</v>
      </c>
      <c r="E4906" s="13" t="n">
        <f aca="false">IFERROR(MIN(C4906,Eingaben!$B$17)*Eingaben!$B$16,0)</f>
        <v>1.938</v>
      </c>
      <c r="F4906" s="13" t="n">
        <f aca="false">IFERROR(E4906*Eingaben!$B$15,0)</f>
        <v>1.7442</v>
      </c>
      <c r="G4906" s="13" t="n">
        <f aca="false">IFERROR(IF(Kalender!A148="",0,J4905*(1-Eingaben!$B$20)),0)</f>
        <v>1.561363244</v>
      </c>
      <c r="H4906" s="13" t="n">
        <f aca="false">MIN(G4906,D4906)</f>
        <v>0.89</v>
      </c>
      <c r="I4906" s="13" t="n">
        <f aca="false">IFERROR(MIN(F4906*Eingaben!$B$19,MAX(0,D4906-H4906)),0)</f>
        <v>0</v>
      </c>
      <c r="J4906" s="13" t="n">
        <f aca="false">IFERROR(MIN(Eingaben!$B$18,MAX(0,F4906-I4906)),0)</f>
        <v>1.7442</v>
      </c>
      <c r="K4906" s="13" t="n">
        <f aca="false">H4906+I4906</f>
        <v>0.89</v>
      </c>
      <c r="L4906" s="13" t="n">
        <f aca="false">MAX(0,D4906-K4906)</f>
        <v>0</v>
      </c>
      <c r="M4906" s="13" t="n">
        <f aca="false">MAX(0,F4906-I4906-J4906)</f>
        <v>0</v>
      </c>
      <c r="N4906" s="13" t="n">
        <f aca="false">IF(Kalender!A148="",0,J4905-H4906)</f>
        <v>0.7032278</v>
      </c>
    </row>
    <row r="4907" customFormat="false" ht="16.4" hidden="false" customHeight="false" outlineLevel="0" collapsed="false">
      <c r="A4907" s="13" t="str">
        <f aca="false">""</f>
        <v/>
      </c>
      <c r="B4907" s="13" t="n">
        <f aca="false">145</f>
        <v>145</v>
      </c>
      <c r="C4907" s="13" t="n">
        <f aca="false">IF(Szenarien!$H$24="OK",(IFERROR(SUMIF(Nutzungsprofile!$B$6:$B$11,"Schulbetrieb",Nutzungsprofile!$G$6:$G$11)*Kalender!C149/SUM(Kalender!$C$5:$C$370),0)+IFERROR(SUMIF(Nutzungsprofile!$B$6:$B$11,"Halle",Nutzungsprofile!$G$6:$G$11)*Kalender!D149/SUM(Kalender!$D$5:$D$370),0)+IFERROR(SUMIF(Nutzungsprofile!$B$6:$B$11,"Individuell",Nutzungsprofile!$G$6:$G$11)*Kalender!E149/SUM(Kalender!$E$5:$E$370),0))*Szenarien!$E$24,0)</f>
        <v>2.94</v>
      </c>
      <c r="D4907" s="13" t="n">
        <f aca="false">IF(Szenarien!$H$24="OK",(IFERROR(SUMIF(Nutzungsprofile!$B$17:$B$22,"Schulbetrieb",Nutzungsprofile!$G$17:$G$22)*Kalender!C149/SUM(Kalender!$C$5:$C$370),0)+IFERROR(SUMIF(Nutzungsprofile!$B$17:$B$22,"Halle",Nutzungsprofile!$G$17:$G$22)*Kalender!D149/SUM(Kalender!$D$5:$D$370),0)+IFERROR(SUMIF(Nutzungsprofile!$B$17:$B$22,"Individuell",Nutzungsprofile!$G$17:$G$22)*Kalender!E149/SUM(Kalender!$E$5:$E$370),0))*Szenarien!$D$24,0)</f>
        <v>4.94</v>
      </c>
      <c r="E4907" s="13" t="n">
        <f aca="false">IFERROR(MIN(C4907,Eingaben!$B$17)*Eingaben!$B$16,0)</f>
        <v>2.793</v>
      </c>
      <c r="F4907" s="13" t="n">
        <f aca="false">IFERROR(E4907*Eingaben!$B$15,0)</f>
        <v>2.5137</v>
      </c>
      <c r="G4907" s="13" t="n">
        <f aca="false">IFERROR(IF(Kalender!A149="",0,J4906*(1-Eingaben!$B$20)),0)</f>
        <v>1.709316</v>
      </c>
      <c r="H4907" s="13" t="n">
        <f aca="false">MIN(G4907,D4907)</f>
        <v>1.709316</v>
      </c>
      <c r="I4907" s="13" t="n">
        <f aca="false">IFERROR(MIN(F4907*Eingaben!$B$19,MAX(0,D4907-H4907)),0)</f>
        <v>1.75959</v>
      </c>
      <c r="J4907" s="13" t="n">
        <f aca="false">IFERROR(MIN(Eingaben!$B$18,MAX(0,F4907-I4907)),0)</f>
        <v>0.75411</v>
      </c>
      <c r="K4907" s="13" t="n">
        <f aca="false">H4907+I4907</f>
        <v>3.468906</v>
      </c>
      <c r="L4907" s="13" t="n">
        <f aca="false">MAX(0,D4907-K4907)</f>
        <v>1.471094</v>
      </c>
      <c r="M4907" s="13" t="n">
        <f aca="false">MAX(0,F4907-I4907-J4907)</f>
        <v>0</v>
      </c>
      <c r="N4907" s="13" t="n">
        <f aca="false">IF(Kalender!A149="",0,J4906-H4907)</f>
        <v>0.0348840000000001</v>
      </c>
    </row>
    <row r="4908" customFormat="false" ht="16.4" hidden="false" customHeight="false" outlineLevel="0" collapsed="false">
      <c r="A4908" s="13" t="str">
        <f aca="false">""</f>
        <v/>
      </c>
      <c r="B4908" s="13" t="n">
        <f aca="false">146</f>
        <v>146</v>
      </c>
      <c r="C4908" s="13" t="n">
        <f aca="false">IF(Szenarien!$H$24="OK",(IFERROR(SUMIF(Nutzungsprofile!$B$6:$B$11,"Schulbetrieb",Nutzungsprofile!$G$6:$G$11)*Kalender!C150/SUM(Kalender!$C$5:$C$370),0)+IFERROR(SUMIF(Nutzungsprofile!$B$6:$B$11,"Halle",Nutzungsprofile!$G$6:$G$11)*Kalender!D150/SUM(Kalender!$D$5:$D$370),0)+IFERROR(SUMIF(Nutzungsprofile!$B$6:$B$11,"Individuell",Nutzungsprofile!$G$6:$G$11)*Kalender!E150/SUM(Kalender!$E$5:$E$370),0))*Szenarien!$E$24,0)</f>
        <v>2.94</v>
      </c>
      <c r="D4908" s="13" t="n">
        <f aca="false">IF(Szenarien!$H$24="OK",(IFERROR(SUMIF(Nutzungsprofile!$B$17:$B$22,"Schulbetrieb",Nutzungsprofile!$G$17:$G$22)*Kalender!C150/SUM(Kalender!$C$5:$C$370),0)+IFERROR(SUMIF(Nutzungsprofile!$B$17:$B$22,"Halle",Nutzungsprofile!$G$17:$G$22)*Kalender!D150/SUM(Kalender!$D$5:$D$370),0)+IFERROR(SUMIF(Nutzungsprofile!$B$17:$B$22,"Individuell",Nutzungsprofile!$G$17:$G$22)*Kalender!E150/SUM(Kalender!$E$5:$E$370),0))*Szenarien!$D$24,0)</f>
        <v>4.94</v>
      </c>
      <c r="E4908" s="13" t="n">
        <f aca="false">IFERROR(MIN(C4908,Eingaben!$B$17)*Eingaben!$B$16,0)</f>
        <v>2.793</v>
      </c>
      <c r="F4908" s="13" t="n">
        <f aca="false">IFERROR(E4908*Eingaben!$B$15,0)</f>
        <v>2.5137</v>
      </c>
      <c r="G4908" s="13" t="n">
        <f aca="false">IFERROR(IF(Kalender!A150="",0,J4907*(1-Eingaben!$B$20)),0)</f>
        <v>0.7390278</v>
      </c>
      <c r="H4908" s="13" t="n">
        <f aca="false">MIN(G4908,D4908)</f>
        <v>0.7390278</v>
      </c>
      <c r="I4908" s="13" t="n">
        <f aca="false">IFERROR(MIN(F4908*Eingaben!$B$19,MAX(0,D4908-H4908)),0)</f>
        <v>1.75959</v>
      </c>
      <c r="J4908" s="13" t="n">
        <f aca="false">IFERROR(MIN(Eingaben!$B$18,MAX(0,F4908-I4908)),0)</f>
        <v>0.75411</v>
      </c>
      <c r="K4908" s="13" t="n">
        <f aca="false">H4908+I4908</f>
        <v>2.4986178</v>
      </c>
      <c r="L4908" s="13" t="n">
        <f aca="false">MAX(0,D4908-K4908)</f>
        <v>2.4413822</v>
      </c>
      <c r="M4908" s="13" t="n">
        <f aca="false">MAX(0,F4908-I4908-J4908)</f>
        <v>0</v>
      </c>
      <c r="N4908" s="13" t="n">
        <f aca="false">IF(Kalender!A150="",0,J4907-H4908)</f>
        <v>0.0150822</v>
      </c>
    </row>
    <row r="4909" customFormat="false" ht="16.4" hidden="false" customHeight="false" outlineLevel="0" collapsed="false">
      <c r="A4909" s="13" t="str">
        <f aca="false">""</f>
        <v/>
      </c>
      <c r="B4909" s="13" t="n">
        <f aca="false">147</f>
        <v>147</v>
      </c>
      <c r="C4909" s="13" t="n">
        <f aca="false">IF(Szenarien!$H$24="OK",(IFERROR(SUMIF(Nutzungsprofile!$B$6:$B$11,"Schulbetrieb",Nutzungsprofile!$G$6:$G$11)*Kalender!C151/SUM(Kalender!$C$5:$C$370),0)+IFERROR(SUMIF(Nutzungsprofile!$B$6:$B$11,"Halle",Nutzungsprofile!$G$6:$G$11)*Kalender!D151/SUM(Kalender!$D$5:$D$370),0)+IFERROR(SUMIF(Nutzungsprofile!$B$6:$B$11,"Individuell",Nutzungsprofile!$G$6:$G$11)*Kalender!E151/SUM(Kalender!$E$5:$E$370),0))*Szenarien!$E$24,0)</f>
        <v>2.94</v>
      </c>
      <c r="D4909" s="13" t="n">
        <f aca="false">IF(Szenarien!$H$24="OK",(IFERROR(SUMIF(Nutzungsprofile!$B$17:$B$22,"Schulbetrieb",Nutzungsprofile!$G$17:$G$22)*Kalender!C151/SUM(Kalender!$C$5:$C$370),0)+IFERROR(SUMIF(Nutzungsprofile!$B$17:$B$22,"Halle",Nutzungsprofile!$G$17:$G$22)*Kalender!D151/SUM(Kalender!$D$5:$D$370),0)+IFERROR(SUMIF(Nutzungsprofile!$B$17:$B$22,"Individuell",Nutzungsprofile!$G$17:$G$22)*Kalender!E151/SUM(Kalender!$E$5:$E$370),0))*Szenarien!$D$24,0)</f>
        <v>4.94</v>
      </c>
      <c r="E4909" s="13" t="n">
        <f aca="false">IFERROR(MIN(C4909,Eingaben!$B$17)*Eingaben!$B$16,0)</f>
        <v>2.793</v>
      </c>
      <c r="F4909" s="13" t="n">
        <f aca="false">IFERROR(E4909*Eingaben!$B$15,0)</f>
        <v>2.5137</v>
      </c>
      <c r="G4909" s="13" t="n">
        <f aca="false">IFERROR(IF(Kalender!A151="",0,J4908*(1-Eingaben!$B$20)),0)</f>
        <v>0.7390278</v>
      </c>
      <c r="H4909" s="13" t="n">
        <f aca="false">MIN(G4909,D4909)</f>
        <v>0.7390278</v>
      </c>
      <c r="I4909" s="13" t="n">
        <f aca="false">IFERROR(MIN(F4909*Eingaben!$B$19,MAX(0,D4909-H4909)),0)</f>
        <v>1.75959</v>
      </c>
      <c r="J4909" s="13" t="n">
        <f aca="false">IFERROR(MIN(Eingaben!$B$18,MAX(0,F4909-I4909)),0)</f>
        <v>0.75411</v>
      </c>
      <c r="K4909" s="13" t="n">
        <f aca="false">H4909+I4909</f>
        <v>2.4986178</v>
      </c>
      <c r="L4909" s="13" t="n">
        <f aca="false">MAX(0,D4909-K4909)</f>
        <v>2.4413822</v>
      </c>
      <c r="M4909" s="13" t="n">
        <f aca="false">MAX(0,F4909-I4909-J4909)</f>
        <v>0</v>
      </c>
      <c r="N4909" s="13" t="n">
        <f aca="false">IF(Kalender!A151="",0,J4908-H4909)</f>
        <v>0.0150822</v>
      </c>
    </row>
    <row r="4910" customFormat="false" ht="16.4" hidden="false" customHeight="false" outlineLevel="0" collapsed="false">
      <c r="A4910" s="13" t="str">
        <f aca="false">""</f>
        <v/>
      </c>
      <c r="B4910" s="13" t="n">
        <f aca="false">148</f>
        <v>148</v>
      </c>
      <c r="C4910" s="13" t="n">
        <f aca="false">IF(Szenarien!$H$24="OK",(IFERROR(SUMIF(Nutzungsprofile!$B$6:$B$11,"Schulbetrieb",Nutzungsprofile!$G$6:$G$11)*Kalender!C152/SUM(Kalender!$C$5:$C$370),0)+IFERROR(SUMIF(Nutzungsprofile!$B$6:$B$11,"Halle",Nutzungsprofile!$G$6:$G$11)*Kalender!D152/SUM(Kalender!$D$5:$D$370),0)+IFERROR(SUMIF(Nutzungsprofile!$B$6:$B$11,"Individuell",Nutzungsprofile!$G$6:$G$11)*Kalender!E152/SUM(Kalender!$E$5:$E$370),0))*Szenarien!$E$24,0)</f>
        <v>2.94</v>
      </c>
      <c r="D4910" s="13" t="n">
        <f aca="false">IF(Szenarien!$H$24="OK",(IFERROR(SUMIF(Nutzungsprofile!$B$17:$B$22,"Schulbetrieb",Nutzungsprofile!$G$17:$G$22)*Kalender!C152/SUM(Kalender!$C$5:$C$370),0)+IFERROR(SUMIF(Nutzungsprofile!$B$17:$B$22,"Halle",Nutzungsprofile!$G$17:$G$22)*Kalender!D152/SUM(Kalender!$D$5:$D$370),0)+IFERROR(SUMIF(Nutzungsprofile!$B$17:$B$22,"Individuell",Nutzungsprofile!$G$17:$G$22)*Kalender!E152/SUM(Kalender!$E$5:$E$370),0))*Szenarien!$D$24,0)</f>
        <v>4.94</v>
      </c>
      <c r="E4910" s="13" t="n">
        <f aca="false">IFERROR(MIN(C4910,Eingaben!$B$17)*Eingaben!$B$16,0)</f>
        <v>2.793</v>
      </c>
      <c r="F4910" s="13" t="n">
        <f aca="false">IFERROR(E4910*Eingaben!$B$15,0)</f>
        <v>2.5137</v>
      </c>
      <c r="G4910" s="13" t="n">
        <f aca="false">IFERROR(IF(Kalender!A152="",0,J4909*(1-Eingaben!$B$20)),0)</f>
        <v>0.7390278</v>
      </c>
      <c r="H4910" s="13" t="n">
        <f aca="false">MIN(G4910,D4910)</f>
        <v>0.7390278</v>
      </c>
      <c r="I4910" s="13" t="n">
        <f aca="false">IFERROR(MIN(F4910*Eingaben!$B$19,MAX(0,D4910-H4910)),0)</f>
        <v>1.75959</v>
      </c>
      <c r="J4910" s="13" t="n">
        <f aca="false">IFERROR(MIN(Eingaben!$B$18,MAX(0,F4910-I4910)),0)</f>
        <v>0.75411</v>
      </c>
      <c r="K4910" s="13" t="n">
        <f aca="false">H4910+I4910</f>
        <v>2.4986178</v>
      </c>
      <c r="L4910" s="13" t="n">
        <f aca="false">MAX(0,D4910-K4910)</f>
        <v>2.4413822</v>
      </c>
      <c r="M4910" s="13" t="n">
        <f aca="false">MAX(0,F4910-I4910-J4910)</f>
        <v>0</v>
      </c>
      <c r="N4910" s="13" t="n">
        <f aca="false">IF(Kalender!A152="",0,J4909-H4910)</f>
        <v>0.0150822</v>
      </c>
    </row>
    <row r="4911" customFormat="false" ht="16.4" hidden="false" customHeight="false" outlineLevel="0" collapsed="false">
      <c r="A4911" s="13" t="str">
        <f aca="false">""</f>
        <v/>
      </c>
      <c r="B4911" s="13" t="n">
        <f aca="false">149</f>
        <v>149</v>
      </c>
      <c r="C4911" s="13" t="n">
        <f aca="false">IF(Szenarien!$H$24="OK",(IFERROR(SUMIF(Nutzungsprofile!$B$6:$B$11,"Schulbetrieb",Nutzungsprofile!$G$6:$G$11)*Kalender!C153/SUM(Kalender!$C$5:$C$370),0)+IFERROR(SUMIF(Nutzungsprofile!$B$6:$B$11,"Halle",Nutzungsprofile!$G$6:$G$11)*Kalender!D153/SUM(Kalender!$D$5:$D$370),0)+IFERROR(SUMIF(Nutzungsprofile!$B$6:$B$11,"Individuell",Nutzungsprofile!$G$6:$G$11)*Kalender!E153/SUM(Kalender!$E$5:$E$370),0))*Szenarien!$E$24,0)</f>
        <v>2.94</v>
      </c>
      <c r="D4911" s="13" t="n">
        <f aca="false">IF(Szenarien!$H$24="OK",(IFERROR(SUMIF(Nutzungsprofile!$B$17:$B$22,"Schulbetrieb",Nutzungsprofile!$G$17:$G$22)*Kalender!C153/SUM(Kalender!$C$5:$C$370),0)+IFERROR(SUMIF(Nutzungsprofile!$B$17:$B$22,"Halle",Nutzungsprofile!$G$17:$G$22)*Kalender!D153/SUM(Kalender!$D$5:$D$370),0)+IFERROR(SUMIF(Nutzungsprofile!$B$17:$B$22,"Individuell",Nutzungsprofile!$G$17:$G$22)*Kalender!E153/SUM(Kalender!$E$5:$E$370),0))*Szenarien!$D$24,0)</f>
        <v>4.94</v>
      </c>
      <c r="E4911" s="13" t="n">
        <f aca="false">IFERROR(MIN(C4911,Eingaben!$B$17)*Eingaben!$B$16,0)</f>
        <v>2.793</v>
      </c>
      <c r="F4911" s="13" t="n">
        <f aca="false">IFERROR(E4911*Eingaben!$B$15,0)</f>
        <v>2.5137</v>
      </c>
      <c r="G4911" s="13" t="n">
        <f aca="false">IFERROR(IF(Kalender!A153="",0,J4910*(1-Eingaben!$B$20)),0)</f>
        <v>0.7390278</v>
      </c>
      <c r="H4911" s="13" t="n">
        <f aca="false">MIN(G4911,D4911)</f>
        <v>0.7390278</v>
      </c>
      <c r="I4911" s="13" t="n">
        <f aca="false">IFERROR(MIN(F4911*Eingaben!$B$19,MAX(0,D4911-H4911)),0)</f>
        <v>1.75959</v>
      </c>
      <c r="J4911" s="13" t="n">
        <f aca="false">IFERROR(MIN(Eingaben!$B$18,MAX(0,F4911-I4911)),0)</f>
        <v>0.75411</v>
      </c>
      <c r="K4911" s="13" t="n">
        <f aca="false">H4911+I4911</f>
        <v>2.4986178</v>
      </c>
      <c r="L4911" s="13" t="n">
        <f aca="false">MAX(0,D4911-K4911)</f>
        <v>2.4413822</v>
      </c>
      <c r="M4911" s="13" t="n">
        <f aca="false">MAX(0,F4911-I4911-J4911)</f>
        <v>0</v>
      </c>
      <c r="N4911" s="13" t="n">
        <f aca="false">IF(Kalender!A153="",0,J4910-H4911)</f>
        <v>0.0150822</v>
      </c>
    </row>
    <row r="4912" customFormat="false" ht="16.4" hidden="false" customHeight="false" outlineLevel="0" collapsed="false">
      <c r="A4912" s="13" t="str">
        <f aca="false">""</f>
        <v/>
      </c>
      <c r="B4912" s="13" t="n">
        <f aca="false">150</f>
        <v>150</v>
      </c>
      <c r="C4912" s="13" t="n">
        <f aca="false">IF(Szenarien!$H$24="OK",(IFERROR(SUMIF(Nutzungsprofile!$B$6:$B$11,"Schulbetrieb",Nutzungsprofile!$G$6:$G$11)*Kalender!C154/SUM(Kalender!$C$5:$C$370),0)+IFERROR(SUMIF(Nutzungsprofile!$B$6:$B$11,"Halle",Nutzungsprofile!$G$6:$G$11)*Kalender!D154/SUM(Kalender!$D$5:$D$370),0)+IFERROR(SUMIF(Nutzungsprofile!$B$6:$B$11,"Individuell",Nutzungsprofile!$G$6:$G$11)*Kalender!E154/SUM(Kalender!$E$5:$E$370),0))*Szenarien!$E$24,0)</f>
        <v>2.04</v>
      </c>
      <c r="D4912" s="13" t="n">
        <f aca="false">IF(Szenarien!$H$24="OK",(IFERROR(SUMIF(Nutzungsprofile!$B$17:$B$22,"Schulbetrieb",Nutzungsprofile!$G$17:$G$22)*Kalender!C154/SUM(Kalender!$C$5:$C$370),0)+IFERROR(SUMIF(Nutzungsprofile!$B$17:$B$22,"Halle",Nutzungsprofile!$G$17:$G$22)*Kalender!D154/SUM(Kalender!$D$5:$D$370),0)+IFERROR(SUMIF(Nutzungsprofile!$B$17:$B$22,"Individuell",Nutzungsprofile!$G$17:$G$22)*Kalender!E154/SUM(Kalender!$E$5:$E$370),0))*Szenarien!$D$24,0)</f>
        <v>0.89</v>
      </c>
      <c r="E4912" s="13" t="n">
        <f aca="false">IFERROR(MIN(C4912,Eingaben!$B$17)*Eingaben!$B$16,0)</f>
        <v>1.938</v>
      </c>
      <c r="F4912" s="13" t="n">
        <f aca="false">IFERROR(E4912*Eingaben!$B$15,0)</f>
        <v>1.7442</v>
      </c>
      <c r="G4912" s="13" t="n">
        <f aca="false">IFERROR(IF(Kalender!A154="",0,J4911*(1-Eingaben!$B$20)),0)</f>
        <v>0.7390278</v>
      </c>
      <c r="H4912" s="13" t="n">
        <f aca="false">MIN(G4912,D4912)</f>
        <v>0.7390278</v>
      </c>
      <c r="I4912" s="13" t="n">
        <f aca="false">IFERROR(MIN(F4912*Eingaben!$B$19,MAX(0,D4912-H4912)),0)</f>
        <v>0.1509722</v>
      </c>
      <c r="J4912" s="13" t="n">
        <f aca="false">IFERROR(MIN(Eingaben!$B$18,MAX(0,F4912-I4912)),0)</f>
        <v>1.5932278</v>
      </c>
      <c r="K4912" s="13" t="n">
        <f aca="false">H4912+I4912</f>
        <v>0.89</v>
      </c>
      <c r="L4912" s="13" t="n">
        <f aca="false">MAX(0,D4912-K4912)</f>
        <v>0</v>
      </c>
      <c r="M4912" s="13" t="n">
        <f aca="false">MAX(0,F4912-I4912-J4912)</f>
        <v>0</v>
      </c>
      <c r="N4912" s="13" t="n">
        <f aca="false">IF(Kalender!A154="",0,J4911-H4912)</f>
        <v>0.0150822</v>
      </c>
    </row>
    <row r="4913" customFormat="false" ht="16.4" hidden="false" customHeight="false" outlineLevel="0" collapsed="false">
      <c r="A4913" s="13" t="str">
        <f aca="false">""</f>
        <v/>
      </c>
      <c r="B4913" s="13" t="n">
        <f aca="false">151</f>
        <v>151</v>
      </c>
      <c r="C4913" s="13" t="n">
        <f aca="false">IF(Szenarien!$H$24="OK",(IFERROR(SUMIF(Nutzungsprofile!$B$6:$B$11,"Schulbetrieb",Nutzungsprofile!$G$6:$G$11)*Kalender!C155/SUM(Kalender!$C$5:$C$370),0)+IFERROR(SUMIF(Nutzungsprofile!$B$6:$B$11,"Halle",Nutzungsprofile!$G$6:$G$11)*Kalender!D155/SUM(Kalender!$D$5:$D$370),0)+IFERROR(SUMIF(Nutzungsprofile!$B$6:$B$11,"Individuell",Nutzungsprofile!$G$6:$G$11)*Kalender!E155/SUM(Kalender!$E$5:$E$370),0))*Szenarien!$E$24,0)</f>
        <v>2.04</v>
      </c>
      <c r="D4913" s="13" t="n">
        <f aca="false">IF(Szenarien!$H$24="OK",(IFERROR(SUMIF(Nutzungsprofile!$B$17:$B$22,"Schulbetrieb",Nutzungsprofile!$G$17:$G$22)*Kalender!C155/SUM(Kalender!$C$5:$C$370),0)+IFERROR(SUMIF(Nutzungsprofile!$B$17:$B$22,"Halle",Nutzungsprofile!$G$17:$G$22)*Kalender!D155/SUM(Kalender!$D$5:$D$370),0)+IFERROR(SUMIF(Nutzungsprofile!$B$17:$B$22,"Individuell",Nutzungsprofile!$G$17:$G$22)*Kalender!E155/SUM(Kalender!$E$5:$E$370),0))*Szenarien!$D$24,0)</f>
        <v>0.89</v>
      </c>
      <c r="E4913" s="13" t="n">
        <f aca="false">IFERROR(MIN(C4913,Eingaben!$B$17)*Eingaben!$B$16,0)</f>
        <v>1.938</v>
      </c>
      <c r="F4913" s="13" t="n">
        <f aca="false">IFERROR(E4913*Eingaben!$B$15,0)</f>
        <v>1.7442</v>
      </c>
      <c r="G4913" s="13" t="n">
        <f aca="false">IFERROR(IF(Kalender!A155="",0,J4912*(1-Eingaben!$B$20)),0)</f>
        <v>1.561363244</v>
      </c>
      <c r="H4913" s="13" t="n">
        <f aca="false">MIN(G4913,D4913)</f>
        <v>0.89</v>
      </c>
      <c r="I4913" s="13" t="n">
        <f aca="false">IFERROR(MIN(F4913*Eingaben!$B$19,MAX(0,D4913-H4913)),0)</f>
        <v>0</v>
      </c>
      <c r="J4913" s="13" t="n">
        <f aca="false">IFERROR(MIN(Eingaben!$B$18,MAX(0,F4913-I4913)),0)</f>
        <v>1.7442</v>
      </c>
      <c r="K4913" s="13" t="n">
        <f aca="false">H4913+I4913</f>
        <v>0.89</v>
      </c>
      <c r="L4913" s="13" t="n">
        <f aca="false">MAX(0,D4913-K4913)</f>
        <v>0</v>
      </c>
      <c r="M4913" s="13" t="n">
        <f aca="false">MAX(0,F4913-I4913-J4913)</f>
        <v>0</v>
      </c>
      <c r="N4913" s="13" t="n">
        <f aca="false">IF(Kalender!A155="",0,J4912-H4913)</f>
        <v>0.7032278</v>
      </c>
    </row>
    <row r="4914" customFormat="false" ht="16.4" hidden="false" customHeight="false" outlineLevel="0" collapsed="false">
      <c r="A4914" s="13" t="str">
        <f aca="false">""</f>
        <v/>
      </c>
      <c r="B4914" s="13" t="n">
        <f aca="false">152</f>
        <v>152</v>
      </c>
      <c r="C4914" s="13" t="n">
        <f aca="false">IF(Szenarien!$H$24="OK",(IFERROR(SUMIF(Nutzungsprofile!$B$6:$B$11,"Schulbetrieb",Nutzungsprofile!$G$6:$G$11)*Kalender!C156/SUM(Kalender!$C$5:$C$370),0)+IFERROR(SUMIF(Nutzungsprofile!$B$6:$B$11,"Halle",Nutzungsprofile!$G$6:$G$11)*Kalender!D156/SUM(Kalender!$D$5:$D$370),0)+IFERROR(SUMIF(Nutzungsprofile!$B$6:$B$11,"Individuell",Nutzungsprofile!$G$6:$G$11)*Kalender!E156/SUM(Kalender!$E$5:$E$370),0))*Szenarien!$E$24,0)</f>
        <v>2.94</v>
      </c>
      <c r="D4914" s="13" t="n">
        <f aca="false">IF(Szenarien!$H$24="OK",(IFERROR(SUMIF(Nutzungsprofile!$B$17:$B$22,"Schulbetrieb",Nutzungsprofile!$G$17:$G$22)*Kalender!C156/SUM(Kalender!$C$5:$C$370),0)+IFERROR(SUMIF(Nutzungsprofile!$B$17:$B$22,"Halle",Nutzungsprofile!$G$17:$G$22)*Kalender!D156/SUM(Kalender!$D$5:$D$370),0)+IFERROR(SUMIF(Nutzungsprofile!$B$17:$B$22,"Individuell",Nutzungsprofile!$G$17:$G$22)*Kalender!E156/SUM(Kalender!$E$5:$E$370),0))*Szenarien!$D$24,0)</f>
        <v>4.94</v>
      </c>
      <c r="E4914" s="13" t="n">
        <f aca="false">IFERROR(MIN(C4914,Eingaben!$B$17)*Eingaben!$B$16,0)</f>
        <v>2.793</v>
      </c>
      <c r="F4914" s="13" t="n">
        <f aca="false">IFERROR(E4914*Eingaben!$B$15,0)</f>
        <v>2.5137</v>
      </c>
      <c r="G4914" s="13" t="n">
        <f aca="false">IFERROR(IF(Kalender!A156="",0,J4913*(1-Eingaben!$B$20)),0)</f>
        <v>1.709316</v>
      </c>
      <c r="H4914" s="13" t="n">
        <f aca="false">MIN(G4914,D4914)</f>
        <v>1.709316</v>
      </c>
      <c r="I4914" s="13" t="n">
        <f aca="false">IFERROR(MIN(F4914*Eingaben!$B$19,MAX(0,D4914-H4914)),0)</f>
        <v>1.75959</v>
      </c>
      <c r="J4914" s="13" t="n">
        <f aca="false">IFERROR(MIN(Eingaben!$B$18,MAX(0,F4914-I4914)),0)</f>
        <v>0.75411</v>
      </c>
      <c r="K4914" s="13" t="n">
        <f aca="false">H4914+I4914</f>
        <v>3.468906</v>
      </c>
      <c r="L4914" s="13" t="n">
        <f aca="false">MAX(0,D4914-K4914)</f>
        <v>1.471094</v>
      </c>
      <c r="M4914" s="13" t="n">
        <f aca="false">MAX(0,F4914-I4914-J4914)</f>
        <v>0</v>
      </c>
      <c r="N4914" s="13" t="n">
        <f aca="false">IF(Kalender!A156="",0,J4913-H4914)</f>
        <v>0.0348840000000001</v>
      </c>
    </row>
    <row r="4915" customFormat="false" ht="16.4" hidden="false" customHeight="false" outlineLevel="0" collapsed="false">
      <c r="A4915" s="13" t="str">
        <f aca="false">""</f>
        <v/>
      </c>
      <c r="B4915" s="13" t="n">
        <f aca="false">153</f>
        <v>153</v>
      </c>
      <c r="C4915" s="13" t="n">
        <f aca="false">IF(Szenarien!$H$24="OK",(IFERROR(SUMIF(Nutzungsprofile!$B$6:$B$11,"Schulbetrieb",Nutzungsprofile!$G$6:$G$11)*Kalender!C157/SUM(Kalender!$C$5:$C$370),0)+IFERROR(SUMIF(Nutzungsprofile!$B$6:$B$11,"Halle",Nutzungsprofile!$G$6:$G$11)*Kalender!D157/SUM(Kalender!$D$5:$D$370),0)+IFERROR(SUMIF(Nutzungsprofile!$B$6:$B$11,"Individuell",Nutzungsprofile!$G$6:$G$11)*Kalender!E157/SUM(Kalender!$E$5:$E$370),0))*Szenarien!$E$24,0)</f>
        <v>2.94</v>
      </c>
      <c r="D4915" s="13" t="n">
        <f aca="false">IF(Szenarien!$H$24="OK",(IFERROR(SUMIF(Nutzungsprofile!$B$17:$B$22,"Schulbetrieb",Nutzungsprofile!$G$17:$G$22)*Kalender!C157/SUM(Kalender!$C$5:$C$370),0)+IFERROR(SUMIF(Nutzungsprofile!$B$17:$B$22,"Halle",Nutzungsprofile!$G$17:$G$22)*Kalender!D157/SUM(Kalender!$D$5:$D$370),0)+IFERROR(SUMIF(Nutzungsprofile!$B$17:$B$22,"Individuell",Nutzungsprofile!$G$17:$G$22)*Kalender!E157/SUM(Kalender!$E$5:$E$370),0))*Szenarien!$D$24,0)</f>
        <v>4.94</v>
      </c>
      <c r="E4915" s="13" t="n">
        <f aca="false">IFERROR(MIN(C4915,Eingaben!$B$17)*Eingaben!$B$16,0)</f>
        <v>2.793</v>
      </c>
      <c r="F4915" s="13" t="n">
        <f aca="false">IFERROR(E4915*Eingaben!$B$15,0)</f>
        <v>2.5137</v>
      </c>
      <c r="G4915" s="13" t="n">
        <f aca="false">IFERROR(IF(Kalender!A157="",0,J4914*(1-Eingaben!$B$20)),0)</f>
        <v>0.7390278</v>
      </c>
      <c r="H4915" s="13" t="n">
        <f aca="false">MIN(G4915,D4915)</f>
        <v>0.7390278</v>
      </c>
      <c r="I4915" s="13" t="n">
        <f aca="false">IFERROR(MIN(F4915*Eingaben!$B$19,MAX(0,D4915-H4915)),0)</f>
        <v>1.75959</v>
      </c>
      <c r="J4915" s="13" t="n">
        <f aca="false">IFERROR(MIN(Eingaben!$B$18,MAX(0,F4915-I4915)),0)</f>
        <v>0.75411</v>
      </c>
      <c r="K4915" s="13" t="n">
        <f aca="false">H4915+I4915</f>
        <v>2.4986178</v>
      </c>
      <c r="L4915" s="13" t="n">
        <f aca="false">MAX(0,D4915-K4915)</f>
        <v>2.4413822</v>
      </c>
      <c r="M4915" s="13" t="n">
        <f aca="false">MAX(0,F4915-I4915-J4915)</f>
        <v>0</v>
      </c>
      <c r="N4915" s="13" t="n">
        <f aca="false">IF(Kalender!A157="",0,J4914-H4915)</f>
        <v>0.0150822</v>
      </c>
    </row>
    <row r="4916" customFormat="false" ht="16.4" hidden="false" customHeight="false" outlineLevel="0" collapsed="false">
      <c r="A4916" s="13" t="str">
        <f aca="false">""</f>
        <v/>
      </c>
      <c r="B4916" s="13" t="n">
        <f aca="false">154</f>
        <v>154</v>
      </c>
      <c r="C4916" s="13" t="n">
        <f aca="false">IF(Szenarien!$H$24="OK",(IFERROR(SUMIF(Nutzungsprofile!$B$6:$B$11,"Schulbetrieb",Nutzungsprofile!$G$6:$G$11)*Kalender!C158/SUM(Kalender!$C$5:$C$370),0)+IFERROR(SUMIF(Nutzungsprofile!$B$6:$B$11,"Halle",Nutzungsprofile!$G$6:$G$11)*Kalender!D158/SUM(Kalender!$D$5:$D$370),0)+IFERROR(SUMIF(Nutzungsprofile!$B$6:$B$11,"Individuell",Nutzungsprofile!$G$6:$G$11)*Kalender!E158/SUM(Kalender!$E$5:$E$370),0))*Szenarien!$E$24,0)</f>
        <v>2.94</v>
      </c>
      <c r="D4916" s="13" t="n">
        <f aca="false">IF(Szenarien!$H$24="OK",(IFERROR(SUMIF(Nutzungsprofile!$B$17:$B$22,"Schulbetrieb",Nutzungsprofile!$G$17:$G$22)*Kalender!C158/SUM(Kalender!$C$5:$C$370),0)+IFERROR(SUMIF(Nutzungsprofile!$B$17:$B$22,"Halle",Nutzungsprofile!$G$17:$G$22)*Kalender!D158/SUM(Kalender!$D$5:$D$370),0)+IFERROR(SUMIF(Nutzungsprofile!$B$17:$B$22,"Individuell",Nutzungsprofile!$G$17:$G$22)*Kalender!E158/SUM(Kalender!$E$5:$E$370),0))*Szenarien!$D$24,0)</f>
        <v>4.94</v>
      </c>
      <c r="E4916" s="13" t="n">
        <f aca="false">IFERROR(MIN(C4916,Eingaben!$B$17)*Eingaben!$B$16,0)</f>
        <v>2.793</v>
      </c>
      <c r="F4916" s="13" t="n">
        <f aca="false">IFERROR(E4916*Eingaben!$B$15,0)</f>
        <v>2.5137</v>
      </c>
      <c r="G4916" s="13" t="n">
        <f aca="false">IFERROR(IF(Kalender!A158="",0,J4915*(1-Eingaben!$B$20)),0)</f>
        <v>0.7390278</v>
      </c>
      <c r="H4916" s="13" t="n">
        <f aca="false">MIN(G4916,D4916)</f>
        <v>0.7390278</v>
      </c>
      <c r="I4916" s="13" t="n">
        <f aca="false">IFERROR(MIN(F4916*Eingaben!$B$19,MAX(0,D4916-H4916)),0)</f>
        <v>1.75959</v>
      </c>
      <c r="J4916" s="13" t="n">
        <f aca="false">IFERROR(MIN(Eingaben!$B$18,MAX(0,F4916-I4916)),0)</f>
        <v>0.75411</v>
      </c>
      <c r="K4916" s="13" t="n">
        <f aca="false">H4916+I4916</f>
        <v>2.4986178</v>
      </c>
      <c r="L4916" s="13" t="n">
        <f aca="false">MAX(0,D4916-K4916)</f>
        <v>2.4413822</v>
      </c>
      <c r="M4916" s="13" t="n">
        <f aca="false">MAX(0,F4916-I4916-J4916)</f>
        <v>0</v>
      </c>
      <c r="N4916" s="13" t="n">
        <f aca="false">IF(Kalender!A158="",0,J4915-H4916)</f>
        <v>0.0150822</v>
      </c>
    </row>
    <row r="4917" customFormat="false" ht="16.4" hidden="false" customHeight="false" outlineLevel="0" collapsed="false">
      <c r="A4917" s="13" t="str">
        <f aca="false">""</f>
        <v/>
      </c>
      <c r="B4917" s="13" t="n">
        <f aca="false">155</f>
        <v>155</v>
      </c>
      <c r="C4917" s="13" t="n">
        <f aca="false">IF(Szenarien!$H$24="OK",(IFERROR(SUMIF(Nutzungsprofile!$B$6:$B$11,"Schulbetrieb",Nutzungsprofile!$G$6:$G$11)*Kalender!C159/SUM(Kalender!$C$5:$C$370),0)+IFERROR(SUMIF(Nutzungsprofile!$B$6:$B$11,"Halle",Nutzungsprofile!$G$6:$G$11)*Kalender!D159/SUM(Kalender!$D$5:$D$370),0)+IFERROR(SUMIF(Nutzungsprofile!$B$6:$B$11,"Individuell",Nutzungsprofile!$G$6:$G$11)*Kalender!E159/SUM(Kalender!$E$5:$E$370),0))*Szenarien!$E$24,0)</f>
        <v>2.94</v>
      </c>
      <c r="D4917" s="13" t="n">
        <f aca="false">IF(Szenarien!$H$24="OK",(IFERROR(SUMIF(Nutzungsprofile!$B$17:$B$22,"Schulbetrieb",Nutzungsprofile!$G$17:$G$22)*Kalender!C159/SUM(Kalender!$C$5:$C$370),0)+IFERROR(SUMIF(Nutzungsprofile!$B$17:$B$22,"Halle",Nutzungsprofile!$G$17:$G$22)*Kalender!D159/SUM(Kalender!$D$5:$D$370),0)+IFERROR(SUMIF(Nutzungsprofile!$B$17:$B$22,"Individuell",Nutzungsprofile!$G$17:$G$22)*Kalender!E159/SUM(Kalender!$E$5:$E$370),0))*Szenarien!$D$24,0)</f>
        <v>4.94</v>
      </c>
      <c r="E4917" s="13" t="n">
        <f aca="false">IFERROR(MIN(C4917,Eingaben!$B$17)*Eingaben!$B$16,0)</f>
        <v>2.793</v>
      </c>
      <c r="F4917" s="13" t="n">
        <f aca="false">IFERROR(E4917*Eingaben!$B$15,0)</f>
        <v>2.5137</v>
      </c>
      <c r="G4917" s="13" t="n">
        <f aca="false">IFERROR(IF(Kalender!A159="",0,J4916*(1-Eingaben!$B$20)),0)</f>
        <v>0.7390278</v>
      </c>
      <c r="H4917" s="13" t="n">
        <f aca="false">MIN(G4917,D4917)</f>
        <v>0.7390278</v>
      </c>
      <c r="I4917" s="13" t="n">
        <f aca="false">IFERROR(MIN(F4917*Eingaben!$B$19,MAX(0,D4917-H4917)),0)</f>
        <v>1.75959</v>
      </c>
      <c r="J4917" s="13" t="n">
        <f aca="false">IFERROR(MIN(Eingaben!$B$18,MAX(0,F4917-I4917)),0)</f>
        <v>0.75411</v>
      </c>
      <c r="K4917" s="13" t="n">
        <f aca="false">H4917+I4917</f>
        <v>2.4986178</v>
      </c>
      <c r="L4917" s="13" t="n">
        <f aca="false">MAX(0,D4917-K4917)</f>
        <v>2.4413822</v>
      </c>
      <c r="M4917" s="13" t="n">
        <f aca="false">MAX(0,F4917-I4917-J4917)</f>
        <v>0</v>
      </c>
      <c r="N4917" s="13" t="n">
        <f aca="false">IF(Kalender!A159="",0,J4916-H4917)</f>
        <v>0.0150822</v>
      </c>
    </row>
    <row r="4918" customFormat="false" ht="16.4" hidden="false" customHeight="false" outlineLevel="0" collapsed="false">
      <c r="A4918" s="13" t="str">
        <f aca="false">""</f>
        <v/>
      </c>
      <c r="B4918" s="13" t="n">
        <f aca="false">156</f>
        <v>156</v>
      </c>
      <c r="C4918" s="13" t="n">
        <f aca="false">IF(Szenarien!$H$24="OK",(IFERROR(SUMIF(Nutzungsprofile!$B$6:$B$11,"Schulbetrieb",Nutzungsprofile!$G$6:$G$11)*Kalender!C160/SUM(Kalender!$C$5:$C$370),0)+IFERROR(SUMIF(Nutzungsprofile!$B$6:$B$11,"Halle",Nutzungsprofile!$G$6:$G$11)*Kalender!D160/SUM(Kalender!$D$5:$D$370),0)+IFERROR(SUMIF(Nutzungsprofile!$B$6:$B$11,"Individuell",Nutzungsprofile!$G$6:$G$11)*Kalender!E160/SUM(Kalender!$E$5:$E$370),0))*Szenarien!$E$24,0)</f>
        <v>2.94</v>
      </c>
      <c r="D4918" s="13" t="n">
        <f aca="false">IF(Szenarien!$H$24="OK",(IFERROR(SUMIF(Nutzungsprofile!$B$17:$B$22,"Schulbetrieb",Nutzungsprofile!$G$17:$G$22)*Kalender!C160/SUM(Kalender!$C$5:$C$370),0)+IFERROR(SUMIF(Nutzungsprofile!$B$17:$B$22,"Halle",Nutzungsprofile!$G$17:$G$22)*Kalender!D160/SUM(Kalender!$D$5:$D$370),0)+IFERROR(SUMIF(Nutzungsprofile!$B$17:$B$22,"Individuell",Nutzungsprofile!$G$17:$G$22)*Kalender!E160/SUM(Kalender!$E$5:$E$370),0))*Szenarien!$D$24,0)</f>
        <v>4.94</v>
      </c>
      <c r="E4918" s="13" t="n">
        <f aca="false">IFERROR(MIN(C4918,Eingaben!$B$17)*Eingaben!$B$16,0)</f>
        <v>2.793</v>
      </c>
      <c r="F4918" s="13" t="n">
        <f aca="false">IFERROR(E4918*Eingaben!$B$15,0)</f>
        <v>2.5137</v>
      </c>
      <c r="G4918" s="13" t="n">
        <f aca="false">IFERROR(IF(Kalender!A160="",0,J4917*(1-Eingaben!$B$20)),0)</f>
        <v>0.7390278</v>
      </c>
      <c r="H4918" s="13" t="n">
        <f aca="false">MIN(G4918,D4918)</f>
        <v>0.7390278</v>
      </c>
      <c r="I4918" s="13" t="n">
        <f aca="false">IFERROR(MIN(F4918*Eingaben!$B$19,MAX(0,D4918-H4918)),0)</f>
        <v>1.75959</v>
      </c>
      <c r="J4918" s="13" t="n">
        <f aca="false">IFERROR(MIN(Eingaben!$B$18,MAX(0,F4918-I4918)),0)</f>
        <v>0.75411</v>
      </c>
      <c r="K4918" s="13" t="n">
        <f aca="false">H4918+I4918</f>
        <v>2.4986178</v>
      </c>
      <c r="L4918" s="13" t="n">
        <f aca="false">MAX(0,D4918-K4918)</f>
        <v>2.4413822</v>
      </c>
      <c r="M4918" s="13" t="n">
        <f aca="false">MAX(0,F4918-I4918-J4918)</f>
        <v>0</v>
      </c>
      <c r="N4918" s="13" t="n">
        <f aca="false">IF(Kalender!A160="",0,J4917-H4918)</f>
        <v>0.0150822</v>
      </c>
    </row>
    <row r="4919" customFormat="false" ht="16.4" hidden="false" customHeight="false" outlineLevel="0" collapsed="false">
      <c r="A4919" s="13" t="str">
        <f aca="false">""</f>
        <v/>
      </c>
      <c r="B4919" s="13" t="n">
        <f aca="false">157</f>
        <v>157</v>
      </c>
      <c r="C4919" s="13" t="n">
        <f aca="false">IF(Szenarien!$H$24="OK",(IFERROR(SUMIF(Nutzungsprofile!$B$6:$B$11,"Schulbetrieb",Nutzungsprofile!$G$6:$G$11)*Kalender!C161/SUM(Kalender!$C$5:$C$370),0)+IFERROR(SUMIF(Nutzungsprofile!$B$6:$B$11,"Halle",Nutzungsprofile!$G$6:$G$11)*Kalender!D161/SUM(Kalender!$D$5:$D$370),0)+IFERROR(SUMIF(Nutzungsprofile!$B$6:$B$11,"Individuell",Nutzungsprofile!$G$6:$G$11)*Kalender!E161/SUM(Kalender!$E$5:$E$370),0))*Szenarien!$E$24,0)</f>
        <v>2.04</v>
      </c>
      <c r="D4919" s="13" t="n">
        <f aca="false">IF(Szenarien!$H$24="OK",(IFERROR(SUMIF(Nutzungsprofile!$B$17:$B$22,"Schulbetrieb",Nutzungsprofile!$G$17:$G$22)*Kalender!C161/SUM(Kalender!$C$5:$C$370),0)+IFERROR(SUMIF(Nutzungsprofile!$B$17:$B$22,"Halle",Nutzungsprofile!$G$17:$G$22)*Kalender!D161/SUM(Kalender!$D$5:$D$370),0)+IFERROR(SUMIF(Nutzungsprofile!$B$17:$B$22,"Individuell",Nutzungsprofile!$G$17:$G$22)*Kalender!E161/SUM(Kalender!$E$5:$E$370),0))*Szenarien!$D$24,0)</f>
        <v>0.89</v>
      </c>
      <c r="E4919" s="13" t="n">
        <f aca="false">IFERROR(MIN(C4919,Eingaben!$B$17)*Eingaben!$B$16,0)</f>
        <v>1.938</v>
      </c>
      <c r="F4919" s="13" t="n">
        <f aca="false">IFERROR(E4919*Eingaben!$B$15,0)</f>
        <v>1.7442</v>
      </c>
      <c r="G4919" s="13" t="n">
        <f aca="false">IFERROR(IF(Kalender!A161="",0,J4918*(1-Eingaben!$B$20)),0)</f>
        <v>0.7390278</v>
      </c>
      <c r="H4919" s="13" t="n">
        <f aca="false">MIN(G4919,D4919)</f>
        <v>0.7390278</v>
      </c>
      <c r="I4919" s="13" t="n">
        <f aca="false">IFERROR(MIN(F4919*Eingaben!$B$19,MAX(0,D4919-H4919)),0)</f>
        <v>0.1509722</v>
      </c>
      <c r="J4919" s="13" t="n">
        <f aca="false">IFERROR(MIN(Eingaben!$B$18,MAX(0,F4919-I4919)),0)</f>
        <v>1.5932278</v>
      </c>
      <c r="K4919" s="13" t="n">
        <f aca="false">H4919+I4919</f>
        <v>0.89</v>
      </c>
      <c r="L4919" s="13" t="n">
        <f aca="false">MAX(0,D4919-K4919)</f>
        <v>0</v>
      </c>
      <c r="M4919" s="13" t="n">
        <f aca="false">MAX(0,F4919-I4919-J4919)</f>
        <v>0</v>
      </c>
      <c r="N4919" s="13" t="n">
        <f aca="false">IF(Kalender!A161="",0,J4918-H4919)</f>
        <v>0.0150822</v>
      </c>
    </row>
    <row r="4920" customFormat="false" ht="16.4" hidden="false" customHeight="false" outlineLevel="0" collapsed="false">
      <c r="A4920" s="13" t="str">
        <f aca="false">""</f>
        <v/>
      </c>
      <c r="B4920" s="13" t="n">
        <f aca="false">158</f>
        <v>158</v>
      </c>
      <c r="C4920" s="13" t="n">
        <f aca="false">IF(Szenarien!$H$24="OK",(IFERROR(SUMIF(Nutzungsprofile!$B$6:$B$11,"Schulbetrieb",Nutzungsprofile!$G$6:$G$11)*Kalender!C162/SUM(Kalender!$C$5:$C$370),0)+IFERROR(SUMIF(Nutzungsprofile!$B$6:$B$11,"Halle",Nutzungsprofile!$G$6:$G$11)*Kalender!D162/SUM(Kalender!$D$5:$D$370),0)+IFERROR(SUMIF(Nutzungsprofile!$B$6:$B$11,"Individuell",Nutzungsprofile!$G$6:$G$11)*Kalender!E162/SUM(Kalender!$E$5:$E$370),0))*Szenarien!$E$24,0)</f>
        <v>2.04</v>
      </c>
      <c r="D4920" s="13" t="n">
        <f aca="false">IF(Szenarien!$H$24="OK",(IFERROR(SUMIF(Nutzungsprofile!$B$17:$B$22,"Schulbetrieb",Nutzungsprofile!$G$17:$G$22)*Kalender!C162/SUM(Kalender!$C$5:$C$370),0)+IFERROR(SUMIF(Nutzungsprofile!$B$17:$B$22,"Halle",Nutzungsprofile!$G$17:$G$22)*Kalender!D162/SUM(Kalender!$D$5:$D$370),0)+IFERROR(SUMIF(Nutzungsprofile!$B$17:$B$22,"Individuell",Nutzungsprofile!$G$17:$G$22)*Kalender!E162/SUM(Kalender!$E$5:$E$370),0))*Szenarien!$D$24,0)</f>
        <v>0.89</v>
      </c>
      <c r="E4920" s="13" t="n">
        <f aca="false">IFERROR(MIN(C4920,Eingaben!$B$17)*Eingaben!$B$16,0)</f>
        <v>1.938</v>
      </c>
      <c r="F4920" s="13" t="n">
        <f aca="false">IFERROR(E4920*Eingaben!$B$15,0)</f>
        <v>1.7442</v>
      </c>
      <c r="G4920" s="13" t="n">
        <f aca="false">IFERROR(IF(Kalender!A162="",0,J4919*(1-Eingaben!$B$20)),0)</f>
        <v>1.561363244</v>
      </c>
      <c r="H4920" s="13" t="n">
        <f aca="false">MIN(G4920,D4920)</f>
        <v>0.89</v>
      </c>
      <c r="I4920" s="13" t="n">
        <f aca="false">IFERROR(MIN(F4920*Eingaben!$B$19,MAX(0,D4920-H4920)),0)</f>
        <v>0</v>
      </c>
      <c r="J4920" s="13" t="n">
        <f aca="false">IFERROR(MIN(Eingaben!$B$18,MAX(0,F4920-I4920)),0)</f>
        <v>1.7442</v>
      </c>
      <c r="K4920" s="13" t="n">
        <f aca="false">H4920+I4920</f>
        <v>0.89</v>
      </c>
      <c r="L4920" s="13" t="n">
        <f aca="false">MAX(0,D4920-K4920)</f>
        <v>0</v>
      </c>
      <c r="M4920" s="13" t="n">
        <f aca="false">MAX(0,F4920-I4920-J4920)</f>
        <v>0</v>
      </c>
      <c r="N4920" s="13" t="n">
        <f aca="false">IF(Kalender!A162="",0,J4919-H4920)</f>
        <v>0.7032278</v>
      </c>
    </row>
    <row r="4921" customFormat="false" ht="16.4" hidden="false" customHeight="false" outlineLevel="0" collapsed="false">
      <c r="A4921" s="13" t="str">
        <f aca="false">""</f>
        <v/>
      </c>
      <c r="B4921" s="13" t="n">
        <f aca="false">159</f>
        <v>159</v>
      </c>
      <c r="C4921" s="13" t="n">
        <f aca="false">IF(Szenarien!$H$24="OK",(IFERROR(SUMIF(Nutzungsprofile!$B$6:$B$11,"Schulbetrieb",Nutzungsprofile!$G$6:$G$11)*Kalender!C163/SUM(Kalender!$C$5:$C$370),0)+IFERROR(SUMIF(Nutzungsprofile!$B$6:$B$11,"Halle",Nutzungsprofile!$G$6:$G$11)*Kalender!D163/SUM(Kalender!$D$5:$D$370),0)+IFERROR(SUMIF(Nutzungsprofile!$B$6:$B$11,"Individuell",Nutzungsprofile!$G$6:$G$11)*Kalender!E163/SUM(Kalender!$E$5:$E$370),0))*Szenarien!$E$24,0)</f>
        <v>2.94</v>
      </c>
      <c r="D4921" s="13" t="n">
        <f aca="false">IF(Szenarien!$H$24="OK",(IFERROR(SUMIF(Nutzungsprofile!$B$17:$B$22,"Schulbetrieb",Nutzungsprofile!$G$17:$G$22)*Kalender!C163/SUM(Kalender!$C$5:$C$370),0)+IFERROR(SUMIF(Nutzungsprofile!$B$17:$B$22,"Halle",Nutzungsprofile!$G$17:$G$22)*Kalender!D163/SUM(Kalender!$D$5:$D$370),0)+IFERROR(SUMIF(Nutzungsprofile!$B$17:$B$22,"Individuell",Nutzungsprofile!$G$17:$G$22)*Kalender!E163/SUM(Kalender!$E$5:$E$370),0))*Szenarien!$D$24,0)</f>
        <v>4.94</v>
      </c>
      <c r="E4921" s="13" t="n">
        <f aca="false">IFERROR(MIN(C4921,Eingaben!$B$17)*Eingaben!$B$16,0)</f>
        <v>2.793</v>
      </c>
      <c r="F4921" s="13" t="n">
        <f aca="false">IFERROR(E4921*Eingaben!$B$15,0)</f>
        <v>2.5137</v>
      </c>
      <c r="G4921" s="13" t="n">
        <f aca="false">IFERROR(IF(Kalender!A163="",0,J4920*(1-Eingaben!$B$20)),0)</f>
        <v>1.709316</v>
      </c>
      <c r="H4921" s="13" t="n">
        <f aca="false">MIN(G4921,D4921)</f>
        <v>1.709316</v>
      </c>
      <c r="I4921" s="13" t="n">
        <f aca="false">IFERROR(MIN(F4921*Eingaben!$B$19,MAX(0,D4921-H4921)),0)</f>
        <v>1.75959</v>
      </c>
      <c r="J4921" s="13" t="n">
        <f aca="false">IFERROR(MIN(Eingaben!$B$18,MAX(0,F4921-I4921)),0)</f>
        <v>0.75411</v>
      </c>
      <c r="K4921" s="13" t="n">
        <f aca="false">H4921+I4921</f>
        <v>3.468906</v>
      </c>
      <c r="L4921" s="13" t="n">
        <f aca="false">MAX(0,D4921-K4921)</f>
        <v>1.471094</v>
      </c>
      <c r="M4921" s="13" t="n">
        <f aca="false">MAX(0,F4921-I4921-J4921)</f>
        <v>0</v>
      </c>
      <c r="N4921" s="13" t="n">
        <f aca="false">IF(Kalender!A163="",0,J4920-H4921)</f>
        <v>0.0348840000000001</v>
      </c>
    </row>
    <row r="4922" customFormat="false" ht="16.4" hidden="false" customHeight="false" outlineLevel="0" collapsed="false">
      <c r="A4922" s="13" t="str">
        <f aca="false">""</f>
        <v/>
      </c>
      <c r="B4922" s="13" t="n">
        <f aca="false">160</f>
        <v>160</v>
      </c>
      <c r="C4922" s="13" t="n">
        <f aca="false">IF(Szenarien!$H$24="OK",(IFERROR(SUMIF(Nutzungsprofile!$B$6:$B$11,"Schulbetrieb",Nutzungsprofile!$G$6:$G$11)*Kalender!C164/SUM(Kalender!$C$5:$C$370),0)+IFERROR(SUMIF(Nutzungsprofile!$B$6:$B$11,"Halle",Nutzungsprofile!$G$6:$G$11)*Kalender!D164/SUM(Kalender!$D$5:$D$370),0)+IFERROR(SUMIF(Nutzungsprofile!$B$6:$B$11,"Individuell",Nutzungsprofile!$G$6:$G$11)*Kalender!E164/SUM(Kalender!$E$5:$E$370),0))*Szenarien!$E$24,0)</f>
        <v>2.94</v>
      </c>
      <c r="D4922" s="13" t="n">
        <f aca="false">IF(Szenarien!$H$24="OK",(IFERROR(SUMIF(Nutzungsprofile!$B$17:$B$22,"Schulbetrieb",Nutzungsprofile!$G$17:$G$22)*Kalender!C164/SUM(Kalender!$C$5:$C$370),0)+IFERROR(SUMIF(Nutzungsprofile!$B$17:$B$22,"Halle",Nutzungsprofile!$G$17:$G$22)*Kalender!D164/SUM(Kalender!$D$5:$D$370),0)+IFERROR(SUMIF(Nutzungsprofile!$B$17:$B$22,"Individuell",Nutzungsprofile!$G$17:$G$22)*Kalender!E164/SUM(Kalender!$E$5:$E$370),0))*Szenarien!$D$24,0)</f>
        <v>4.94</v>
      </c>
      <c r="E4922" s="13" t="n">
        <f aca="false">IFERROR(MIN(C4922,Eingaben!$B$17)*Eingaben!$B$16,0)</f>
        <v>2.793</v>
      </c>
      <c r="F4922" s="13" t="n">
        <f aca="false">IFERROR(E4922*Eingaben!$B$15,0)</f>
        <v>2.5137</v>
      </c>
      <c r="G4922" s="13" t="n">
        <f aca="false">IFERROR(IF(Kalender!A164="",0,J4921*(1-Eingaben!$B$20)),0)</f>
        <v>0.7390278</v>
      </c>
      <c r="H4922" s="13" t="n">
        <f aca="false">MIN(G4922,D4922)</f>
        <v>0.7390278</v>
      </c>
      <c r="I4922" s="13" t="n">
        <f aca="false">IFERROR(MIN(F4922*Eingaben!$B$19,MAX(0,D4922-H4922)),0)</f>
        <v>1.75959</v>
      </c>
      <c r="J4922" s="13" t="n">
        <f aca="false">IFERROR(MIN(Eingaben!$B$18,MAX(0,F4922-I4922)),0)</f>
        <v>0.75411</v>
      </c>
      <c r="K4922" s="13" t="n">
        <f aca="false">H4922+I4922</f>
        <v>2.4986178</v>
      </c>
      <c r="L4922" s="13" t="n">
        <f aca="false">MAX(0,D4922-K4922)</f>
        <v>2.4413822</v>
      </c>
      <c r="M4922" s="13" t="n">
        <f aca="false">MAX(0,F4922-I4922-J4922)</f>
        <v>0</v>
      </c>
      <c r="N4922" s="13" t="n">
        <f aca="false">IF(Kalender!A164="",0,J4921-H4922)</f>
        <v>0.0150822</v>
      </c>
    </row>
    <row r="4923" customFormat="false" ht="16.4" hidden="false" customHeight="false" outlineLevel="0" collapsed="false">
      <c r="A4923" s="13" t="str">
        <f aca="false">""</f>
        <v/>
      </c>
      <c r="B4923" s="13" t="n">
        <f aca="false">161</f>
        <v>161</v>
      </c>
      <c r="C4923" s="13" t="n">
        <f aca="false">IF(Szenarien!$H$24="OK",(IFERROR(SUMIF(Nutzungsprofile!$B$6:$B$11,"Schulbetrieb",Nutzungsprofile!$G$6:$G$11)*Kalender!C165/SUM(Kalender!$C$5:$C$370),0)+IFERROR(SUMIF(Nutzungsprofile!$B$6:$B$11,"Halle",Nutzungsprofile!$G$6:$G$11)*Kalender!D165/SUM(Kalender!$D$5:$D$370),0)+IFERROR(SUMIF(Nutzungsprofile!$B$6:$B$11,"Individuell",Nutzungsprofile!$G$6:$G$11)*Kalender!E165/SUM(Kalender!$E$5:$E$370),0))*Szenarien!$E$24,0)</f>
        <v>2.94</v>
      </c>
      <c r="D4923" s="13" t="n">
        <f aca="false">IF(Szenarien!$H$24="OK",(IFERROR(SUMIF(Nutzungsprofile!$B$17:$B$22,"Schulbetrieb",Nutzungsprofile!$G$17:$G$22)*Kalender!C165/SUM(Kalender!$C$5:$C$370),0)+IFERROR(SUMIF(Nutzungsprofile!$B$17:$B$22,"Halle",Nutzungsprofile!$G$17:$G$22)*Kalender!D165/SUM(Kalender!$D$5:$D$370),0)+IFERROR(SUMIF(Nutzungsprofile!$B$17:$B$22,"Individuell",Nutzungsprofile!$G$17:$G$22)*Kalender!E165/SUM(Kalender!$E$5:$E$370),0))*Szenarien!$D$24,0)</f>
        <v>4.94</v>
      </c>
      <c r="E4923" s="13" t="n">
        <f aca="false">IFERROR(MIN(C4923,Eingaben!$B$17)*Eingaben!$B$16,0)</f>
        <v>2.793</v>
      </c>
      <c r="F4923" s="13" t="n">
        <f aca="false">IFERROR(E4923*Eingaben!$B$15,0)</f>
        <v>2.5137</v>
      </c>
      <c r="G4923" s="13" t="n">
        <f aca="false">IFERROR(IF(Kalender!A165="",0,J4922*(1-Eingaben!$B$20)),0)</f>
        <v>0.7390278</v>
      </c>
      <c r="H4923" s="13" t="n">
        <f aca="false">MIN(G4923,D4923)</f>
        <v>0.7390278</v>
      </c>
      <c r="I4923" s="13" t="n">
        <f aca="false">IFERROR(MIN(F4923*Eingaben!$B$19,MAX(0,D4923-H4923)),0)</f>
        <v>1.75959</v>
      </c>
      <c r="J4923" s="13" t="n">
        <f aca="false">IFERROR(MIN(Eingaben!$B$18,MAX(0,F4923-I4923)),0)</f>
        <v>0.75411</v>
      </c>
      <c r="K4923" s="13" t="n">
        <f aca="false">H4923+I4923</f>
        <v>2.4986178</v>
      </c>
      <c r="L4923" s="13" t="n">
        <f aca="false">MAX(0,D4923-K4923)</f>
        <v>2.4413822</v>
      </c>
      <c r="M4923" s="13" t="n">
        <f aca="false">MAX(0,F4923-I4923-J4923)</f>
        <v>0</v>
      </c>
      <c r="N4923" s="13" t="n">
        <f aca="false">IF(Kalender!A165="",0,J4922-H4923)</f>
        <v>0.0150822</v>
      </c>
    </row>
    <row r="4924" customFormat="false" ht="16.4" hidden="false" customHeight="false" outlineLevel="0" collapsed="false">
      <c r="A4924" s="13" t="str">
        <f aca="false">""</f>
        <v/>
      </c>
      <c r="B4924" s="13" t="n">
        <f aca="false">162</f>
        <v>162</v>
      </c>
      <c r="C4924" s="13" t="n">
        <f aca="false">IF(Szenarien!$H$24="OK",(IFERROR(SUMIF(Nutzungsprofile!$B$6:$B$11,"Schulbetrieb",Nutzungsprofile!$G$6:$G$11)*Kalender!C166/SUM(Kalender!$C$5:$C$370),0)+IFERROR(SUMIF(Nutzungsprofile!$B$6:$B$11,"Halle",Nutzungsprofile!$G$6:$G$11)*Kalender!D166/SUM(Kalender!$D$5:$D$370),0)+IFERROR(SUMIF(Nutzungsprofile!$B$6:$B$11,"Individuell",Nutzungsprofile!$G$6:$G$11)*Kalender!E166/SUM(Kalender!$E$5:$E$370),0))*Szenarien!$E$24,0)</f>
        <v>2.94</v>
      </c>
      <c r="D4924" s="13" t="n">
        <f aca="false">IF(Szenarien!$H$24="OK",(IFERROR(SUMIF(Nutzungsprofile!$B$17:$B$22,"Schulbetrieb",Nutzungsprofile!$G$17:$G$22)*Kalender!C166/SUM(Kalender!$C$5:$C$370),0)+IFERROR(SUMIF(Nutzungsprofile!$B$17:$B$22,"Halle",Nutzungsprofile!$G$17:$G$22)*Kalender!D166/SUM(Kalender!$D$5:$D$370),0)+IFERROR(SUMIF(Nutzungsprofile!$B$17:$B$22,"Individuell",Nutzungsprofile!$G$17:$G$22)*Kalender!E166/SUM(Kalender!$E$5:$E$370),0))*Szenarien!$D$24,0)</f>
        <v>4.94</v>
      </c>
      <c r="E4924" s="13" t="n">
        <f aca="false">IFERROR(MIN(C4924,Eingaben!$B$17)*Eingaben!$B$16,0)</f>
        <v>2.793</v>
      </c>
      <c r="F4924" s="13" t="n">
        <f aca="false">IFERROR(E4924*Eingaben!$B$15,0)</f>
        <v>2.5137</v>
      </c>
      <c r="G4924" s="13" t="n">
        <f aca="false">IFERROR(IF(Kalender!A166="",0,J4923*(1-Eingaben!$B$20)),0)</f>
        <v>0.7390278</v>
      </c>
      <c r="H4924" s="13" t="n">
        <f aca="false">MIN(G4924,D4924)</f>
        <v>0.7390278</v>
      </c>
      <c r="I4924" s="13" t="n">
        <f aca="false">IFERROR(MIN(F4924*Eingaben!$B$19,MAX(0,D4924-H4924)),0)</f>
        <v>1.75959</v>
      </c>
      <c r="J4924" s="13" t="n">
        <f aca="false">IFERROR(MIN(Eingaben!$B$18,MAX(0,F4924-I4924)),0)</f>
        <v>0.75411</v>
      </c>
      <c r="K4924" s="13" t="n">
        <f aca="false">H4924+I4924</f>
        <v>2.4986178</v>
      </c>
      <c r="L4924" s="13" t="n">
        <f aca="false">MAX(0,D4924-K4924)</f>
        <v>2.4413822</v>
      </c>
      <c r="M4924" s="13" t="n">
        <f aca="false">MAX(0,F4924-I4924-J4924)</f>
        <v>0</v>
      </c>
      <c r="N4924" s="13" t="n">
        <f aca="false">IF(Kalender!A166="",0,J4923-H4924)</f>
        <v>0.0150822</v>
      </c>
    </row>
    <row r="4925" customFormat="false" ht="16.4" hidden="false" customHeight="false" outlineLevel="0" collapsed="false">
      <c r="A4925" s="13" t="str">
        <f aca="false">""</f>
        <v/>
      </c>
      <c r="B4925" s="13" t="n">
        <f aca="false">163</f>
        <v>163</v>
      </c>
      <c r="C4925" s="13" t="n">
        <f aca="false">IF(Szenarien!$H$24="OK",(IFERROR(SUMIF(Nutzungsprofile!$B$6:$B$11,"Schulbetrieb",Nutzungsprofile!$G$6:$G$11)*Kalender!C167/SUM(Kalender!$C$5:$C$370),0)+IFERROR(SUMIF(Nutzungsprofile!$B$6:$B$11,"Halle",Nutzungsprofile!$G$6:$G$11)*Kalender!D167/SUM(Kalender!$D$5:$D$370),0)+IFERROR(SUMIF(Nutzungsprofile!$B$6:$B$11,"Individuell",Nutzungsprofile!$G$6:$G$11)*Kalender!E167/SUM(Kalender!$E$5:$E$370),0))*Szenarien!$E$24,0)</f>
        <v>2.94</v>
      </c>
      <c r="D4925" s="13" t="n">
        <f aca="false">IF(Szenarien!$H$24="OK",(IFERROR(SUMIF(Nutzungsprofile!$B$17:$B$22,"Schulbetrieb",Nutzungsprofile!$G$17:$G$22)*Kalender!C167/SUM(Kalender!$C$5:$C$370),0)+IFERROR(SUMIF(Nutzungsprofile!$B$17:$B$22,"Halle",Nutzungsprofile!$G$17:$G$22)*Kalender!D167/SUM(Kalender!$D$5:$D$370),0)+IFERROR(SUMIF(Nutzungsprofile!$B$17:$B$22,"Individuell",Nutzungsprofile!$G$17:$G$22)*Kalender!E167/SUM(Kalender!$E$5:$E$370),0))*Szenarien!$D$24,0)</f>
        <v>4.94</v>
      </c>
      <c r="E4925" s="13" t="n">
        <f aca="false">IFERROR(MIN(C4925,Eingaben!$B$17)*Eingaben!$B$16,0)</f>
        <v>2.793</v>
      </c>
      <c r="F4925" s="13" t="n">
        <f aca="false">IFERROR(E4925*Eingaben!$B$15,0)</f>
        <v>2.5137</v>
      </c>
      <c r="G4925" s="13" t="n">
        <f aca="false">IFERROR(IF(Kalender!A167="",0,J4924*(1-Eingaben!$B$20)),0)</f>
        <v>0.7390278</v>
      </c>
      <c r="H4925" s="13" t="n">
        <f aca="false">MIN(G4925,D4925)</f>
        <v>0.7390278</v>
      </c>
      <c r="I4925" s="13" t="n">
        <f aca="false">IFERROR(MIN(F4925*Eingaben!$B$19,MAX(0,D4925-H4925)),0)</f>
        <v>1.75959</v>
      </c>
      <c r="J4925" s="13" t="n">
        <f aca="false">IFERROR(MIN(Eingaben!$B$18,MAX(0,F4925-I4925)),0)</f>
        <v>0.75411</v>
      </c>
      <c r="K4925" s="13" t="n">
        <f aca="false">H4925+I4925</f>
        <v>2.4986178</v>
      </c>
      <c r="L4925" s="13" t="n">
        <f aca="false">MAX(0,D4925-K4925)</f>
        <v>2.4413822</v>
      </c>
      <c r="M4925" s="13" t="n">
        <f aca="false">MAX(0,F4925-I4925-J4925)</f>
        <v>0</v>
      </c>
      <c r="N4925" s="13" t="n">
        <f aca="false">IF(Kalender!A167="",0,J4924-H4925)</f>
        <v>0.0150822</v>
      </c>
    </row>
    <row r="4926" customFormat="false" ht="16.4" hidden="false" customHeight="false" outlineLevel="0" collapsed="false">
      <c r="A4926" s="13" t="str">
        <f aca="false">""</f>
        <v/>
      </c>
      <c r="B4926" s="13" t="n">
        <f aca="false">164</f>
        <v>164</v>
      </c>
      <c r="C4926" s="13" t="n">
        <f aca="false">IF(Szenarien!$H$24="OK",(IFERROR(SUMIF(Nutzungsprofile!$B$6:$B$11,"Schulbetrieb",Nutzungsprofile!$G$6:$G$11)*Kalender!C168/SUM(Kalender!$C$5:$C$370),0)+IFERROR(SUMIF(Nutzungsprofile!$B$6:$B$11,"Halle",Nutzungsprofile!$G$6:$G$11)*Kalender!D168/SUM(Kalender!$D$5:$D$370),0)+IFERROR(SUMIF(Nutzungsprofile!$B$6:$B$11,"Individuell",Nutzungsprofile!$G$6:$G$11)*Kalender!E168/SUM(Kalender!$E$5:$E$370),0))*Szenarien!$E$24,0)</f>
        <v>2.04</v>
      </c>
      <c r="D4926" s="13" t="n">
        <f aca="false">IF(Szenarien!$H$24="OK",(IFERROR(SUMIF(Nutzungsprofile!$B$17:$B$22,"Schulbetrieb",Nutzungsprofile!$G$17:$G$22)*Kalender!C168/SUM(Kalender!$C$5:$C$370),0)+IFERROR(SUMIF(Nutzungsprofile!$B$17:$B$22,"Halle",Nutzungsprofile!$G$17:$G$22)*Kalender!D168/SUM(Kalender!$D$5:$D$370),0)+IFERROR(SUMIF(Nutzungsprofile!$B$17:$B$22,"Individuell",Nutzungsprofile!$G$17:$G$22)*Kalender!E168/SUM(Kalender!$E$5:$E$370),0))*Szenarien!$D$24,0)</f>
        <v>0.89</v>
      </c>
      <c r="E4926" s="13" t="n">
        <f aca="false">IFERROR(MIN(C4926,Eingaben!$B$17)*Eingaben!$B$16,0)</f>
        <v>1.938</v>
      </c>
      <c r="F4926" s="13" t="n">
        <f aca="false">IFERROR(E4926*Eingaben!$B$15,0)</f>
        <v>1.7442</v>
      </c>
      <c r="G4926" s="13" t="n">
        <f aca="false">IFERROR(IF(Kalender!A168="",0,J4925*(1-Eingaben!$B$20)),0)</f>
        <v>0.7390278</v>
      </c>
      <c r="H4926" s="13" t="n">
        <f aca="false">MIN(G4926,D4926)</f>
        <v>0.7390278</v>
      </c>
      <c r="I4926" s="13" t="n">
        <f aca="false">IFERROR(MIN(F4926*Eingaben!$B$19,MAX(0,D4926-H4926)),0)</f>
        <v>0.1509722</v>
      </c>
      <c r="J4926" s="13" t="n">
        <f aca="false">IFERROR(MIN(Eingaben!$B$18,MAX(0,F4926-I4926)),0)</f>
        <v>1.5932278</v>
      </c>
      <c r="K4926" s="13" t="n">
        <f aca="false">H4926+I4926</f>
        <v>0.89</v>
      </c>
      <c r="L4926" s="13" t="n">
        <f aca="false">MAX(0,D4926-K4926)</f>
        <v>0</v>
      </c>
      <c r="M4926" s="13" t="n">
        <f aca="false">MAX(0,F4926-I4926-J4926)</f>
        <v>0</v>
      </c>
      <c r="N4926" s="13" t="n">
        <f aca="false">IF(Kalender!A168="",0,J4925-H4926)</f>
        <v>0.0150822</v>
      </c>
    </row>
    <row r="4927" customFormat="false" ht="16.4" hidden="false" customHeight="false" outlineLevel="0" collapsed="false">
      <c r="A4927" s="13" t="str">
        <f aca="false">""</f>
        <v/>
      </c>
      <c r="B4927" s="13" t="n">
        <f aca="false">165</f>
        <v>165</v>
      </c>
      <c r="C4927" s="13" t="n">
        <f aca="false">IF(Szenarien!$H$24="OK",(IFERROR(SUMIF(Nutzungsprofile!$B$6:$B$11,"Schulbetrieb",Nutzungsprofile!$G$6:$G$11)*Kalender!C169/SUM(Kalender!$C$5:$C$370),0)+IFERROR(SUMIF(Nutzungsprofile!$B$6:$B$11,"Halle",Nutzungsprofile!$G$6:$G$11)*Kalender!D169/SUM(Kalender!$D$5:$D$370),0)+IFERROR(SUMIF(Nutzungsprofile!$B$6:$B$11,"Individuell",Nutzungsprofile!$G$6:$G$11)*Kalender!E169/SUM(Kalender!$E$5:$E$370),0))*Szenarien!$E$24,0)</f>
        <v>2.04</v>
      </c>
      <c r="D4927" s="13" t="n">
        <f aca="false">IF(Szenarien!$H$24="OK",(IFERROR(SUMIF(Nutzungsprofile!$B$17:$B$22,"Schulbetrieb",Nutzungsprofile!$G$17:$G$22)*Kalender!C169/SUM(Kalender!$C$5:$C$370),0)+IFERROR(SUMIF(Nutzungsprofile!$B$17:$B$22,"Halle",Nutzungsprofile!$G$17:$G$22)*Kalender!D169/SUM(Kalender!$D$5:$D$370),0)+IFERROR(SUMIF(Nutzungsprofile!$B$17:$B$22,"Individuell",Nutzungsprofile!$G$17:$G$22)*Kalender!E169/SUM(Kalender!$E$5:$E$370),0))*Szenarien!$D$24,0)</f>
        <v>0.89</v>
      </c>
      <c r="E4927" s="13" t="n">
        <f aca="false">IFERROR(MIN(C4927,Eingaben!$B$17)*Eingaben!$B$16,0)</f>
        <v>1.938</v>
      </c>
      <c r="F4927" s="13" t="n">
        <f aca="false">IFERROR(E4927*Eingaben!$B$15,0)</f>
        <v>1.7442</v>
      </c>
      <c r="G4927" s="13" t="n">
        <f aca="false">IFERROR(IF(Kalender!A169="",0,J4926*(1-Eingaben!$B$20)),0)</f>
        <v>1.561363244</v>
      </c>
      <c r="H4927" s="13" t="n">
        <f aca="false">MIN(G4927,D4927)</f>
        <v>0.89</v>
      </c>
      <c r="I4927" s="13" t="n">
        <f aca="false">IFERROR(MIN(F4927*Eingaben!$B$19,MAX(0,D4927-H4927)),0)</f>
        <v>0</v>
      </c>
      <c r="J4927" s="13" t="n">
        <f aca="false">IFERROR(MIN(Eingaben!$B$18,MAX(0,F4927-I4927)),0)</f>
        <v>1.7442</v>
      </c>
      <c r="K4927" s="13" t="n">
        <f aca="false">H4927+I4927</f>
        <v>0.89</v>
      </c>
      <c r="L4927" s="13" t="n">
        <f aca="false">MAX(0,D4927-K4927)</f>
        <v>0</v>
      </c>
      <c r="M4927" s="13" t="n">
        <f aca="false">MAX(0,F4927-I4927-J4927)</f>
        <v>0</v>
      </c>
      <c r="N4927" s="13" t="n">
        <f aca="false">IF(Kalender!A169="",0,J4926-H4927)</f>
        <v>0.7032278</v>
      </c>
    </row>
    <row r="4928" customFormat="false" ht="16.4" hidden="false" customHeight="false" outlineLevel="0" collapsed="false">
      <c r="A4928" s="13" t="str">
        <f aca="false">""</f>
        <v/>
      </c>
      <c r="B4928" s="13" t="n">
        <f aca="false">166</f>
        <v>166</v>
      </c>
      <c r="C4928" s="13" t="n">
        <f aca="false">IF(Szenarien!$H$24="OK",(IFERROR(SUMIF(Nutzungsprofile!$B$6:$B$11,"Schulbetrieb",Nutzungsprofile!$G$6:$G$11)*Kalender!C170/SUM(Kalender!$C$5:$C$370),0)+IFERROR(SUMIF(Nutzungsprofile!$B$6:$B$11,"Halle",Nutzungsprofile!$G$6:$G$11)*Kalender!D170/SUM(Kalender!$D$5:$D$370),0)+IFERROR(SUMIF(Nutzungsprofile!$B$6:$B$11,"Individuell",Nutzungsprofile!$G$6:$G$11)*Kalender!E170/SUM(Kalender!$E$5:$E$370),0))*Szenarien!$E$24,0)</f>
        <v>2.94</v>
      </c>
      <c r="D4928" s="13" t="n">
        <f aca="false">IF(Szenarien!$H$24="OK",(IFERROR(SUMIF(Nutzungsprofile!$B$17:$B$22,"Schulbetrieb",Nutzungsprofile!$G$17:$G$22)*Kalender!C170/SUM(Kalender!$C$5:$C$370),0)+IFERROR(SUMIF(Nutzungsprofile!$B$17:$B$22,"Halle",Nutzungsprofile!$G$17:$G$22)*Kalender!D170/SUM(Kalender!$D$5:$D$370),0)+IFERROR(SUMIF(Nutzungsprofile!$B$17:$B$22,"Individuell",Nutzungsprofile!$G$17:$G$22)*Kalender!E170/SUM(Kalender!$E$5:$E$370),0))*Szenarien!$D$24,0)</f>
        <v>4.94</v>
      </c>
      <c r="E4928" s="13" t="n">
        <f aca="false">IFERROR(MIN(C4928,Eingaben!$B$17)*Eingaben!$B$16,0)</f>
        <v>2.793</v>
      </c>
      <c r="F4928" s="13" t="n">
        <f aca="false">IFERROR(E4928*Eingaben!$B$15,0)</f>
        <v>2.5137</v>
      </c>
      <c r="G4928" s="13" t="n">
        <f aca="false">IFERROR(IF(Kalender!A170="",0,J4927*(1-Eingaben!$B$20)),0)</f>
        <v>1.709316</v>
      </c>
      <c r="H4928" s="13" t="n">
        <f aca="false">MIN(G4928,D4928)</f>
        <v>1.709316</v>
      </c>
      <c r="I4928" s="13" t="n">
        <f aca="false">IFERROR(MIN(F4928*Eingaben!$B$19,MAX(0,D4928-H4928)),0)</f>
        <v>1.75959</v>
      </c>
      <c r="J4928" s="13" t="n">
        <f aca="false">IFERROR(MIN(Eingaben!$B$18,MAX(0,F4928-I4928)),0)</f>
        <v>0.75411</v>
      </c>
      <c r="K4928" s="13" t="n">
        <f aca="false">H4928+I4928</f>
        <v>3.468906</v>
      </c>
      <c r="L4928" s="13" t="n">
        <f aca="false">MAX(0,D4928-K4928)</f>
        <v>1.471094</v>
      </c>
      <c r="M4928" s="13" t="n">
        <f aca="false">MAX(0,F4928-I4928-J4928)</f>
        <v>0</v>
      </c>
      <c r="N4928" s="13" t="n">
        <f aca="false">IF(Kalender!A170="",0,J4927-H4928)</f>
        <v>0.0348840000000001</v>
      </c>
    </row>
    <row r="4929" customFormat="false" ht="16.4" hidden="false" customHeight="false" outlineLevel="0" collapsed="false">
      <c r="A4929" s="13" t="str">
        <f aca="false">""</f>
        <v/>
      </c>
      <c r="B4929" s="13" t="n">
        <f aca="false">167</f>
        <v>167</v>
      </c>
      <c r="C4929" s="13" t="n">
        <f aca="false">IF(Szenarien!$H$24="OK",(IFERROR(SUMIF(Nutzungsprofile!$B$6:$B$11,"Schulbetrieb",Nutzungsprofile!$G$6:$G$11)*Kalender!C171/SUM(Kalender!$C$5:$C$370),0)+IFERROR(SUMIF(Nutzungsprofile!$B$6:$B$11,"Halle",Nutzungsprofile!$G$6:$G$11)*Kalender!D171/SUM(Kalender!$D$5:$D$370),0)+IFERROR(SUMIF(Nutzungsprofile!$B$6:$B$11,"Individuell",Nutzungsprofile!$G$6:$G$11)*Kalender!E171/SUM(Kalender!$E$5:$E$370),0))*Szenarien!$E$24,0)</f>
        <v>2.94</v>
      </c>
      <c r="D4929" s="13" t="n">
        <f aca="false">IF(Szenarien!$H$24="OK",(IFERROR(SUMIF(Nutzungsprofile!$B$17:$B$22,"Schulbetrieb",Nutzungsprofile!$G$17:$G$22)*Kalender!C171/SUM(Kalender!$C$5:$C$370),0)+IFERROR(SUMIF(Nutzungsprofile!$B$17:$B$22,"Halle",Nutzungsprofile!$G$17:$G$22)*Kalender!D171/SUM(Kalender!$D$5:$D$370),0)+IFERROR(SUMIF(Nutzungsprofile!$B$17:$B$22,"Individuell",Nutzungsprofile!$G$17:$G$22)*Kalender!E171/SUM(Kalender!$E$5:$E$370),0))*Szenarien!$D$24,0)</f>
        <v>4.94</v>
      </c>
      <c r="E4929" s="13" t="n">
        <f aca="false">IFERROR(MIN(C4929,Eingaben!$B$17)*Eingaben!$B$16,0)</f>
        <v>2.793</v>
      </c>
      <c r="F4929" s="13" t="n">
        <f aca="false">IFERROR(E4929*Eingaben!$B$15,0)</f>
        <v>2.5137</v>
      </c>
      <c r="G4929" s="13" t="n">
        <f aca="false">IFERROR(IF(Kalender!A171="",0,J4928*(1-Eingaben!$B$20)),0)</f>
        <v>0.7390278</v>
      </c>
      <c r="H4929" s="13" t="n">
        <f aca="false">MIN(G4929,D4929)</f>
        <v>0.7390278</v>
      </c>
      <c r="I4929" s="13" t="n">
        <f aca="false">IFERROR(MIN(F4929*Eingaben!$B$19,MAX(0,D4929-H4929)),0)</f>
        <v>1.75959</v>
      </c>
      <c r="J4929" s="13" t="n">
        <f aca="false">IFERROR(MIN(Eingaben!$B$18,MAX(0,F4929-I4929)),0)</f>
        <v>0.75411</v>
      </c>
      <c r="K4929" s="13" t="n">
        <f aca="false">H4929+I4929</f>
        <v>2.4986178</v>
      </c>
      <c r="L4929" s="13" t="n">
        <f aca="false">MAX(0,D4929-K4929)</f>
        <v>2.4413822</v>
      </c>
      <c r="M4929" s="13" t="n">
        <f aca="false">MAX(0,F4929-I4929-J4929)</f>
        <v>0</v>
      </c>
      <c r="N4929" s="13" t="n">
        <f aca="false">IF(Kalender!A171="",0,J4928-H4929)</f>
        <v>0.0150822</v>
      </c>
    </row>
    <row r="4930" customFormat="false" ht="16.4" hidden="false" customHeight="false" outlineLevel="0" collapsed="false">
      <c r="A4930" s="13" t="str">
        <f aca="false">""</f>
        <v/>
      </c>
      <c r="B4930" s="13" t="n">
        <f aca="false">168</f>
        <v>168</v>
      </c>
      <c r="C4930" s="13" t="n">
        <f aca="false">IF(Szenarien!$H$24="OK",(IFERROR(SUMIF(Nutzungsprofile!$B$6:$B$11,"Schulbetrieb",Nutzungsprofile!$G$6:$G$11)*Kalender!C172/SUM(Kalender!$C$5:$C$370),0)+IFERROR(SUMIF(Nutzungsprofile!$B$6:$B$11,"Halle",Nutzungsprofile!$G$6:$G$11)*Kalender!D172/SUM(Kalender!$D$5:$D$370),0)+IFERROR(SUMIF(Nutzungsprofile!$B$6:$B$11,"Individuell",Nutzungsprofile!$G$6:$G$11)*Kalender!E172/SUM(Kalender!$E$5:$E$370),0))*Szenarien!$E$24,0)</f>
        <v>2.94</v>
      </c>
      <c r="D4930" s="13" t="n">
        <f aca="false">IF(Szenarien!$H$24="OK",(IFERROR(SUMIF(Nutzungsprofile!$B$17:$B$22,"Schulbetrieb",Nutzungsprofile!$G$17:$G$22)*Kalender!C172/SUM(Kalender!$C$5:$C$370),0)+IFERROR(SUMIF(Nutzungsprofile!$B$17:$B$22,"Halle",Nutzungsprofile!$G$17:$G$22)*Kalender!D172/SUM(Kalender!$D$5:$D$370),0)+IFERROR(SUMIF(Nutzungsprofile!$B$17:$B$22,"Individuell",Nutzungsprofile!$G$17:$G$22)*Kalender!E172/SUM(Kalender!$E$5:$E$370),0))*Szenarien!$D$24,0)</f>
        <v>4.94</v>
      </c>
      <c r="E4930" s="13" t="n">
        <f aca="false">IFERROR(MIN(C4930,Eingaben!$B$17)*Eingaben!$B$16,0)</f>
        <v>2.793</v>
      </c>
      <c r="F4930" s="13" t="n">
        <f aca="false">IFERROR(E4930*Eingaben!$B$15,0)</f>
        <v>2.5137</v>
      </c>
      <c r="G4930" s="13" t="n">
        <f aca="false">IFERROR(IF(Kalender!A172="",0,J4929*(1-Eingaben!$B$20)),0)</f>
        <v>0.7390278</v>
      </c>
      <c r="H4930" s="13" t="n">
        <f aca="false">MIN(G4930,D4930)</f>
        <v>0.7390278</v>
      </c>
      <c r="I4930" s="13" t="n">
        <f aca="false">IFERROR(MIN(F4930*Eingaben!$B$19,MAX(0,D4930-H4930)),0)</f>
        <v>1.75959</v>
      </c>
      <c r="J4930" s="13" t="n">
        <f aca="false">IFERROR(MIN(Eingaben!$B$18,MAX(0,F4930-I4930)),0)</f>
        <v>0.75411</v>
      </c>
      <c r="K4930" s="13" t="n">
        <f aca="false">H4930+I4930</f>
        <v>2.4986178</v>
      </c>
      <c r="L4930" s="13" t="n">
        <f aca="false">MAX(0,D4930-K4930)</f>
        <v>2.4413822</v>
      </c>
      <c r="M4930" s="13" t="n">
        <f aca="false">MAX(0,F4930-I4930-J4930)</f>
        <v>0</v>
      </c>
      <c r="N4930" s="13" t="n">
        <f aca="false">IF(Kalender!A172="",0,J4929-H4930)</f>
        <v>0.0150822</v>
      </c>
    </row>
    <row r="4931" customFormat="false" ht="16.4" hidden="false" customHeight="false" outlineLevel="0" collapsed="false">
      <c r="A4931" s="13" t="str">
        <f aca="false">""</f>
        <v/>
      </c>
      <c r="B4931" s="13" t="n">
        <f aca="false">169</f>
        <v>169</v>
      </c>
      <c r="C4931" s="13" t="n">
        <f aca="false">IF(Szenarien!$H$24="OK",(IFERROR(SUMIF(Nutzungsprofile!$B$6:$B$11,"Schulbetrieb",Nutzungsprofile!$G$6:$G$11)*Kalender!C173/SUM(Kalender!$C$5:$C$370),0)+IFERROR(SUMIF(Nutzungsprofile!$B$6:$B$11,"Halle",Nutzungsprofile!$G$6:$G$11)*Kalender!D173/SUM(Kalender!$D$5:$D$370),0)+IFERROR(SUMIF(Nutzungsprofile!$B$6:$B$11,"Individuell",Nutzungsprofile!$G$6:$G$11)*Kalender!E173/SUM(Kalender!$E$5:$E$370),0))*Szenarien!$E$24,0)</f>
        <v>2.94</v>
      </c>
      <c r="D4931" s="13" t="n">
        <f aca="false">IF(Szenarien!$H$24="OK",(IFERROR(SUMIF(Nutzungsprofile!$B$17:$B$22,"Schulbetrieb",Nutzungsprofile!$G$17:$G$22)*Kalender!C173/SUM(Kalender!$C$5:$C$370),0)+IFERROR(SUMIF(Nutzungsprofile!$B$17:$B$22,"Halle",Nutzungsprofile!$G$17:$G$22)*Kalender!D173/SUM(Kalender!$D$5:$D$370),0)+IFERROR(SUMIF(Nutzungsprofile!$B$17:$B$22,"Individuell",Nutzungsprofile!$G$17:$G$22)*Kalender!E173/SUM(Kalender!$E$5:$E$370),0))*Szenarien!$D$24,0)</f>
        <v>4.94</v>
      </c>
      <c r="E4931" s="13" t="n">
        <f aca="false">IFERROR(MIN(C4931,Eingaben!$B$17)*Eingaben!$B$16,0)</f>
        <v>2.793</v>
      </c>
      <c r="F4931" s="13" t="n">
        <f aca="false">IFERROR(E4931*Eingaben!$B$15,0)</f>
        <v>2.5137</v>
      </c>
      <c r="G4931" s="13" t="n">
        <f aca="false">IFERROR(IF(Kalender!A173="",0,J4930*(1-Eingaben!$B$20)),0)</f>
        <v>0.7390278</v>
      </c>
      <c r="H4931" s="13" t="n">
        <f aca="false">MIN(G4931,D4931)</f>
        <v>0.7390278</v>
      </c>
      <c r="I4931" s="13" t="n">
        <f aca="false">IFERROR(MIN(F4931*Eingaben!$B$19,MAX(0,D4931-H4931)),0)</f>
        <v>1.75959</v>
      </c>
      <c r="J4931" s="13" t="n">
        <f aca="false">IFERROR(MIN(Eingaben!$B$18,MAX(0,F4931-I4931)),0)</f>
        <v>0.75411</v>
      </c>
      <c r="K4931" s="13" t="n">
        <f aca="false">H4931+I4931</f>
        <v>2.4986178</v>
      </c>
      <c r="L4931" s="13" t="n">
        <f aca="false">MAX(0,D4931-K4931)</f>
        <v>2.4413822</v>
      </c>
      <c r="M4931" s="13" t="n">
        <f aca="false">MAX(0,F4931-I4931-J4931)</f>
        <v>0</v>
      </c>
      <c r="N4931" s="13" t="n">
        <f aca="false">IF(Kalender!A173="",0,J4930-H4931)</f>
        <v>0.0150822</v>
      </c>
    </row>
    <row r="4932" customFormat="false" ht="16.4" hidden="false" customHeight="false" outlineLevel="0" collapsed="false">
      <c r="A4932" s="13" t="str">
        <f aca="false">""</f>
        <v/>
      </c>
      <c r="B4932" s="13" t="n">
        <f aca="false">170</f>
        <v>170</v>
      </c>
      <c r="C4932" s="13" t="n">
        <f aca="false">IF(Szenarien!$H$24="OK",(IFERROR(SUMIF(Nutzungsprofile!$B$6:$B$11,"Schulbetrieb",Nutzungsprofile!$G$6:$G$11)*Kalender!C174/SUM(Kalender!$C$5:$C$370),0)+IFERROR(SUMIF(Nutzungsprofile!$B$6:$B$11,"Halle",Nutzungsprofile!$G$6:$G$11)*Kalender!D174/SUM(Kalender!$D$5:$D$370),0)+IFERROR(SUMIF(Nutzungsprofile!$B$6:$B$11,"Individuell",Nutzungsprofile!$G$6:$G$11)*Kalender!E174/SUM(Kalender!$E$5:$E$370),0))*Szenarien!$E$24,0)</f>
        <v>2.94</v>
      </c>
      <c r="D4932" s="13" t="n">
        <f aca="false">IF(Szenarien!$H$24="OK",(IFERROR(SUMIF(Nutzungsprofile!$B$17:$B$22,"Schulbetrieb",Nutzungsprofile!$G$17:$G$22)*Kalender!C174/SUM(Kalender!$C$5:$C$370),0)+IFERROR(SUMIF(Nutzungsprofile!$B$17:$B$22,"Halle",Nutzungsprofile!$G$17:$G$22)*Kalender!D174/SUM(Kalender!$D$5:$D$370),0)+IFERROR(SUMIF(Nutzungsprofile!$B$17:$B$22,"Individuell",Nutzungsprofile!$G$17:$G$22)*Kalender!E174/SUM(Kalender!$E$5:$E$370),0))*Szenarien!$D$24,0)</f>
        <v>4.94</v>
      </c>
      <c r="E4932" s="13" t="n">
        <f aca="false">IFERROR(MIN(C4932,Eingaben!$B$17)*Eingaben!$B$16,0)</f>
        <v>2.793</v>
      </c>
      <c r="F4932" s="13" t="n">
        <f aca="false">IFERROR(E4932*Eingaben!$B$15,0)</f>
        <v>2.5137</v>
      </c>
      <c r="G4932" s="13" t="n">
        <f aca="false">IFERROR(IF(Kalender!A174="",0,J4931*(1-Eingaben!$B$20)),0)</f>
        <v>0.7390278</v>
      </c>
      <c r="H4932" s="13" t="n">
        <f aca="false">MIN(G4932,D4932)</f>
        <v>0.7390278</v>
      </c>
      <c r="I4932" s="13" t="n">
        <f aca="false">IFERROR(MIN(F4932*Eingaben!$B$19,MAX(0,D4932-H4932)),0)</f>
        <v>1.75959</v>
      </c>
      <c r="J4932" s="13" t="n">
        <f aca="false">IFERROR(MIN(Eingaben!$B$18,MAX(0,F4932-I4932)),0)</f>
        <v>0.75411</v>
      </c>
      <c r="K4932" s="13" t="n">
        <f aca="false">H4932+I4932</f>
        <v>2.4986178</v>
      </c>
      <c r="L4932" s="13" t="n">
        <f aca="false">MAX(0,D4932-K4932)</f>
        <v>2.4413822</v>
      </c>
      <c r="M4932" s="13" t="n">
        <f aca="false">MAX(0,F4932-I4932-J4932)</f>
        <v>0</v>
      </c>
      <c r="N4932" s="13" t="n">
        <f aca="false">IF(Kalender!A174="",0,J4931-H4932)</f>
        <v>0.0150822</v>
      </c>
    </row>
    <row r="4933" customFormat="false" ht="16.4" hidden="false" customHeight="false" outlineLevel="0" collapsed="false">
      <c r="A4933" s="13" t="str">
        <f aca="false">""</f>
        <v/>
      </c>
      <c r="B4933" s="13" t="n">
        <f aca="false">171</f>
        <v>171</v>
      </c>
      <c r="C4933" s="13" t="n">
        <f aca="false">IF(Szenarien!$H$24="OK",(IFERROR(SUMIF(Nutzungsprofile!$B$6:$B$11,"Schulbetrieb",Nutzungsprofile!$G$6:$G$11)*Kalender!C175/SUM(Kalender!$C$5:$C$370),0)+IFERROR(SUMIF(Nutzungsprofile!$B$6:$B$11,"Halle",Nutzungsprofile!$G$6:$G$11)*Kalender!D175/SUM(Kalender!$D$5:$D$370),0)+IFERROR(SUMIF(Nutzungsprofile!$B$6:$B$11,"Individuell",Nutzungsprofile!$G$6:$G$11)*Kalender!E175/SUM(Kalender!$E$5:$E$370),0))*Szenarien!$E$24,0)</f>
        <v>2.04</v>
      </c>
      <c r="D4933" s="13" t="n">
        <f aca="false">IF(Szenarien!$H$24="OK",(IFERROR(SUMIF(Nutzungsprofile!$B$17:$B$22,"Schulbetrieb",Nutzungsprofile!$G$17:$G$22)*Kalender!C175/SUM(Kalender!$C$5:$C$370),0)+IFERROR(SUMIF(Nutzungsprofile!$B$17:$B$22,"Halle",Nutzungsprofile!$G$17:$G$22)*Kalender!D175/SUM(Kalender!$D$5:$D$370),0)+IFERROR(SUMIF(Nutzungsprofile!$B$17:$B$22,"Individuell",Nutzungsprofile!$G$17:$G$22)*Kalender!E175/SUM(Kalender!$E$5:$E$370),0))*Szenarien!$D$24,0)</f>
        <v>0.89</v>
      </c>
      <c r="E4933" s="13" t="n">
        <f aca="false">IFERROR(MIN(C4933,Eingaben!$B$17)*Eingaben!$B$16,0)</f>
        <v>1.938</v>
      </c>
      <c r="F4933" s="13" t="n">
        <f aca="false">IFERROR(E4933*Eingaben!$B$15,0)</f>
        <v>1.7442</v>
      </c>
      <c r="G4933" s="13" t="n">
        <f aca="false">IFERROR(IF(Kalender!A175="",0,J4932*(1-Eingaben!$B$20)),0)</f>
        <v>0.7390278</v>
      </c>
      <c r="H4933" s="13" t="n">
        <f aca="false">MIN(G4933,D4933)</f>
        <v>0.7390278</v>
      </c>
      <c r="I4933" s="13" t="n">
        <f aca="false">IFERROR(MIN(F4933*Eingaben!$B$19,MAX(0,D4933-H4933)),0)</f>
        <v>0.1509722</v>
      </c>
      <c r="J4933" s="13" t="n">
        <f aca="false">IFERROR(MIN(Eingaben!$B$18,MAX(0,F4933-I4933)),0)</f>
        <v>1.5932278</v>
      </c>
      <c r="K4933" s="13" t="n">
        <f aca="false">H4933+I4933</f>
        <v>0.89</v>
      </c>
      <c r="L4933" s="13" t="n">
        <f aca="false">MAX(0,D4933-K4933)</f>
        <v>0</v>
      </c>
      <c r="M4933" s="13" t="n">
        <f aca="false">MAX(0,F4933-I4933-J4933)</f>
        <v>0</v>
      </c>
      <c r="N4933" s="13" t="n">
        <f aca="false">IF(Kalender!A175="",0,J4932-H4933)</f>
        <v>0.0150822</v>
      </c>
    </row>
    <row r="4934" customFormat="false" ht="16.4" hidden="false" customHeight="false" outlineLevel="0" collapsed="false">
      <c r="A4934" s="13" t="str">
        <f aca="false">""</f>
        <v/>
      </c>
      <c r="B4934" s="13" t="n">
        <f aca="false">172</f>
        <v>172</v>
      </c>
      <c r="C4934" s="13" t="n">
        <f aca="false">IF(Szenarien!$H$24="OK",(IFERROR(SUMIF(Nutzungsprofile!$B$6:$B$11,"Schulbetrieb",Nutzungsprofile!$G$6:$G$11)*Kalender!C176/SUM(Kalender!$C$5:$C$370),0)+IFERROR(SUMIF(Nutzungsprofile!$B$6:$B$11,"Halle",Nutzungsprofile!$G$6:$G$11)*Kalender!D176/SUM(Kalender!$D$5:$D$370),0)+IFERROR(SUMIF(Nutzungsprofile!$B$6:$B$11,"Individuell",Nutzungsprofile!$G$6:$G$11)*Kalender!E176/SUM(Kalender!$E$5:$E$370),0))*Szenarien!$E$24,0)</f>
        <v>2.04</v>
      </c>
      <c r="D4934" s="13" t="n">
        <f aca="false">IF(Szenarien!$H$24="OK",(IFERROR(SUMIF(Nutzungsprofile!$B$17:$B$22,"Schulbetrieb",Nutzungsprofile!$G$17:$G$22)*Kalender!C176/SUM(Kalender!$C$5:$C$370),0)+IFERROR(SUMIF(Nutzungsprofile!$B$17:$B$22,"Halle",Nutzungsprofile!$G$17:$G$22)*Kalender!D176/SUM(Kalender!$D$5:$D$370),0)+IFERROR(SUMIF(Nutzungsprofile!$B$17:$B$22,"Individuell",Nutzungsprofile!$G$17:$G$22)*Kalender!E176/SUM(Kalender!$E$5:$E$370),0))*Szenarien!$D$24,0)</f>
        <v>0.89</v>
      </c>
      <c r="E4934" s="13" t="n">
        <f aca="false">IFERROR(MIN(C4934,Eingaben!$B$17)*Eingaben!$B$16,0)</f>
        <v>1.938</v>
      </c>
      <c r="F4934" s="13" t="n">
        <f aca="false">IFERROR(E4934*Eingaben!$B$15,0)</f>
        <v>1.7442</v>
      </c>
      <c r="G4934" s="13" t="n">
        <f aca="false">IFERROR(IF(Kalender!A176="",0,J4933*(1-Eingaben!$B$20)),0)</f>
        <v>1.561363244</v>
      </c>
      <c r="H4934" s="13" t="n">
        <f aca="false">MIN(G4934,D4934)</f>
        <v>0.89</v>
      </c>
      <c r="I4934" s="13" t="n">
        <f aca="false">IFERROR(MIN(F4934*Eingaben!$B$19,MAX(0,D4934-H4934)),0)</f>
        <v>0</v>
      </c>
      <c r="J4934" s="13" t="n">
        <f aca="false">IFERROR(MIN(Eingaben!$B$18,MAX(0,F4934-I4934)),0)</f>
        <v>1.7442</v>
      </c>
      <c r="K4934" s="13" t="n">
        <f aca="false">H4934+I4934</f>
        <v>0.89</v>
      </c>
      <c r="L4934" s="13" t="n">
        <f aca="false">MAX(0,D4934-K4934)</f>
        <v>0</v>
      </c>
      <c r="M4934" s="13" t="n">
        <f aca="false">MAX(0,F4934-I4934-J4934)</f>
        <v>0</v>
      </c>
      <c r="N4934" s="13" t="n">
        <f aca="false">IF(Kalender!A176="",0,J4933-H4934)</f>
        <v>0.7032278</v>
      </c>
    </row>
    <row r="4935" customFormat="false" ht="16.4" hidden="false" customHeight="false" outlineLevel="0" collapsed="false">
      <c r="A4935" s="13" t="str">
        <f aca="false">""</f>
        <v/>
      </c>
      <c r="B4935" s="13" t="n">
        <f aca="false">173</f>
        <v>173</v>
      </c>
      <c r="C4935" s="13" t="n">
        <f aca="false">IF(Szenarien!$H$24="OK",(IFERROR(SUMIF(Nutzungsprofile!$B$6:$B$11,"Schulbetrieb",Nutzungsprofile!$G$6:$G$11)*Kalender!C177/SUM(Kalender!$C$5:$C$370),0)+IFERROR(SUMIF(Nutzungsprofile!$B$6:$B$11,"Halle",Nutzungsprofile!$G$6:$G$11)*Kalender!D177/SUM(Kalender!$D$5:$D$370),0)+IFERROR(SUMIF(Nutzungsprofile!$B$6:$B$11,"Individuell",Nutzungsprofile!$G$6:$G$11)*Kalender!E177/SUM(Kalender!$E$5:$E$370),0))*Szenarien!$E$24,0)</f>
        <v>2.94</v>
      </c>
      <c r="D4935" s="13" t="n">
        <f aca="false">IF(Szenarien!$H$24="OK",(IFERROR(SUMIF(Nutzungsprofile!$B$17:$B$22,"Schulbetrieb",Nutzungsprofile!$G$17:$G$22)*Kalender!C177/SUM(Kalender!$C$5:$C$370),0)+IFERROR(SUMIF(Nutzungsprofile!$B$17:$B$22,"Halle",Nutzungsprofile!$G$17:$G$22)*Kalender!D177/SUM(Kalender!$D$5:$D$370),0)+IFERROR(SUMIF(Nutzungsprofile!$B$17:$B$22,"Individuell",Nutzungsprofile!$G$17:$G$22)*Kalender!E177/SUM(Kalender!$E$5:$E$370),0))*Szenarien!$D$24,0)</f>
        <v>4.94</v>
      </c>
      <c r="E4935" s="13" t="n">
        <f aca="false">IFERROR(MIN(C4935,Eingaben!$B$17)*Eingaben!$B$16,0)</f>
        <v>2.793</v>
      </c>
      <c r="F4935" s="13" t="n">
        <f aca="false">IFERROR(E4935*Eingaben!$B$15,0)</f>
        <v>2.5137</v>
      </c>
      <c r="G4935" s="13" t="n">
        <f aca="false">IFERROR(IF(Kalender!A177="",0,J4934*(1-Eingaben!$B$20)),0)</f>
        <v>1.709316</v>
      </c>
      <c r="H4935" s="13" t="n">
        <f aca="false">MIN(G4935,D4935)</f>
        <v>1.709316</v>
      </c>
      <c r="I4935" s="13" t="n">
        <f aca="false">IFERROR(MIN(F4935*Eingaben!$B$19,MAX(0,D4935-H4935)),0)</f>
        <v>1.75959</v>
      </c>
      <c r="J4935" s="13" t="n">
        <f aca="false">IFERROR(MIN(Eingaben!$B$18,MAX(0,F4935-I4935)),0)</f>
        <v>0.75411</v>
      </c>
      <c r="K4935" s="13" t="n">
        <f aca="false">H4935+I4935</f>
        <v>3.468906</v>
      </c>
      <c r="L4935" s="13" t="n">
        <f aca="false">MAX(0,D4935-K4935)</f>
        <v>1.471094</v>
      </c>
      <c r="M4935" s="13" t="n">
        <f aca="false">MAX(0,F4935-I4935-J4935)</f>
        <v>0</v>
      </c>
      <c r="N4935" s="13" t="n">
        <f aca="false">IF(Kalender!A177="",0,J4934-H4935)</f>
        <v>0.0348840000000001</v>
      </c>
    </row>
    <row r="4936" customFormat="false" ht="16.4" hidden="false" customHeight="false" outlineLevel="0" collapsed="false">
      <c r="A4936" s="13" t="str">
        <f aca="false">""</f>
        <v/>
      </c>
      <c r="B4936" s="13" t="n">
        <f aca="false">174</f>
        <v>174</v>
      </c>
      <c r="C4936" s="13" t="n">
        <f aca="false">IF(Szenarien!$H$24="OK",(IFERROR(SUMIF(Nutzungsprofile!$B$6:$B$11,"Schulbetrieb",Nutzungsprofile!$G$6:$G$11)*Kalender!C178/SUM(Kalender!$C$5:$C$370),0)+IFERROR(SUMIF(Nutzungsprofile!$B$6:$B$11,"Halle",Nutzungsprofile!$G$6:$G$11)*Kalender!D178/SUM(Kalender!$D$5:$D$370),0)+IFERROR(SUMIF(Nutzungsprofile!$B$6:$B$11,"Individuell",Nutzungsprofile!$G$6:$G$11)*Kalender!E178/SUM(Kalender!$E$5:$E$370),0))*Szenarien!$E$24,0)</f>
        <v>2.94</v>
      </c>
      <c r="D4936" s="13" t="n">
        <f aca="false">IF(Szenarien!$H$24="OK",(IFERROR(SUMIF(Nutzungsprofile!$B$17:$B$22,"Schulbetrieb",Nutzungsprofile!$G$17:$G$22)*Kalender!C178/SUM(Kalender!$C$5:$C$370),0)+IFERROR(SUMIF(Nutzungsprofile!$B$17:$B$22,"Halle",Nutzungsprofile!$G$17:$G$22)*Kalender!D178/SUM(Kalender!$D$5:$D$370),0)+IFERROR(SUMIF(Nutzungsprofile!$B$17:$B$22,"Individuell",Nutzungsprofile!$G$17:$G$22)*Kalender!E178/SUM(Kalender!$E$5:$E$370),0))*Szenarien!$D$24,0)</f>
        <v>4.94</v>
      </c>
      <c r="E4936" s="13" t="n">
        <f aca="false">IFERROR(MIN(C4936,Eingaben!$B$17)*Eingaben!$B$16,0)</f>
        <v>2.793</v>
      </c>
      <c r="F4936" s="13" t="n">
        <f aca="false">IFERROR(E4936*Eingaben!$B$15,0)</f>
        <v>2.5137</v>
      </c>
      <c r="G4936" s="13" t="n">
        <f aca="false">IFERROR(IF(Kalender!A178="",0,J4935*(1-Eingaben!$B$20)),0)</f>
        <v>0.7390278</v>
      </c>
      <c r="H4936" s="13" t="n">
        <f aca="false">MIN(G4936,D4936)</f>
        <v>0.7390278</v>
      </c>
      <c r="I4936" s="13" t="n">
        <f aca="false">IFERROR(MIN(F4936*Eingaben!$B$19,MAX(0,D4936-H4936)),0)</f>
        <v>1.75959</v>
      </c>
      <c r="J4936" s="13" t="n">
        <f aca="false">IFERROR(MIN(Eingaben!$B$18,MAX(0,F4936-I4936)),0)</f>
        <v>0.75411</v>
      </c>
      <c r="K4936" s="13" t="n">
        <f aca="false">H4936+I4936</f>
        <v>2.4986178</v>
      </c>
      <c r="L4936" s="13" t="n">
        <f aca="false">MAX(0,D4936-K4936)</f>
        <v>2.4413822</v>
      </c>
      <c r="M4936" s="13" t="n">
        <f aca="false">MAX(0,F4936-I4936-J4936)</f>
        <v>0</v>
      </c>
      <c r="N4936" s="13" t="n">
        <f aca="false">IF(Kalender!A178="",0,J4935-H4936)</f>
        <v>0.0150822</v>
      </c>
    </row>
    <row r="4937" customFormat="false" ht="16.4" hidden="false" customHeight="false" outlineLevel="0" collapsed="false">
      <c r="A4937" s="13" t="str">
        <f aca="false">""</f>
        <v/>
      </c>
      <c r="B4937" s="13" t="n">
        <f aca="false">175</f>
        <v>175</v>
      </c>
      <c r="C4937" s="13" t="n">
        <f aca="false">IF(Szenarien!$H$24="OK",(IFERROR(SUMIF(Nutzungsprofile!$B$6:$B$11,"Schulbetrieb",Nutzungsprofile!$G$6:$G$11)*Kalender!C179/SUM(Kalender!$C$5:$C$370),0)+IFERROR(SUMIF(Nutzungsprofile!$B$6:$B$11,"Halle",Nutzungsprofile!$G$6:$G$11)*Kalender!D179/SUM(Kalender!$D$5:$D$370),0)+IFERROR(SUMIF(Nutzungsprofile!$B$6:$B$11,"Individuell",Nutzungsprofile!$G$6:$G$11)*Kalender!E179/SUM(Kalender!$E$5:$E$370),0))*Szenarien!$E$24,0)</f>
        <v>2.94</v>
      </c>
      <c r="D4937" s="13" t="n">
        <f aca="false">IF(Szenarien!$H$24="OK",(IFERROR(SUMIF(Nutzungsprofile!$B$17:$B$22,"Schulbetrieb",Nutzungsprofile!$G$17:$G$22)*Kalender!C179/SUM(Kalender!$C$5:$C$370),0)+IFERROR(SUMIF(Nutzungsprofile!$B$17:$B$22,"Halle",Nutzungsprofile!$G$17:$G$22)*Kalender!D179/SUM(Kalender!$D$5:$D$370),0)+IFERROR(SUMIF(Nutzungsprofile!$B$17:$B$22,"Individuell",Nutzungsprofile!$G$17:$G$22)*Kalender!E179/SUM(Kalender!$E$5:$E$370),0))*Szenarien!$D$24,0)</f>
        <v>4.94</v>
      </c>
      <c r="E4937" s="13" t="n">
        <f aca="false">IFERROR(MIN(C4937,Eingaben!$B$17)*Eingaben!$B$16,0)</f>
        <v>2.793</v>
      </c>
      <c r="F4937" s="13" t="n">
        <f aca="false">IFERROR(E4937*Eingaben!$B$15,0)</f>
        <v>2.5137</v>
      </c>
      <c r="G4937" s="13" t="n">
        <f aca="false">IFERROR(IF(Kalender!A179="",0,J4936*(1-Eingaben!$B$20)),0)</f>
        <v>0.7390278</v>
      </c>
      <c r="H4937" s="13" t="n">
        <f aca="false">MIN(G4937,D4937)</f>
        <v>0.7390278</v>
      </c>
      <c r="I4937" s="13" t="n">
        <f aca="false">IFERROR(MIN(F4937*Eingaben!$B$19,MAX(0,D4937-H4937)),0)</f>
        <v>1.75959</v>
      </c>
      <c r="J4937" s="13" t="n">
        <f aca="false">IFERROR(MIN(Eingaben!$B$18,MAX(0,F4937-I4937)),0)</f>
        <v>0.75411</v>
      </c>
      <c r="K4937" s="13" t="n">
        <f aca="false">H4937+I4937</f>
        <v>2.4986178</v>
      </c>
      <c r="L4937" s="13" t="n">
        <f aca="false">MAX(0,D4937-K4937)</f>
        <v>2.4413822</v>
      </c>
      <c r="M4937" s="13" t="n">
        <f aca="false">MAX(0,F4937-I4937-J4937)</f>
        <v>0</v>
      </c>
      <c r="N4937" s="13" t="n">
        <f aca="false">IF(Kalender!A179="",0,J4936-H4937)</f>
        <v>0.0150822</v>
      </c>
    </row>
    <row r="4938" customFormat="false" ht="16.4" hidden="false" customHeight="false" outlineLevel="0" collapsed="false">
      <c r="A4938" s="13" t="str">
        <f aca="false">""</f>
        <v/>
      </c>
      <c r="B4938" s="13" t="n">
        <f aca="false">176</f>
        <v>176</v>
      </c>
      <c r="C4938" s="13" t="n">
        <f aca="false">IF(Szenarien!$H$24="OK",(IFERROR(SUMIF(Nutzungsprofile!$B$6:$B$11,"Schulbetrieb",Nutzungsprofile!$G$6:$G$11)*Kalender!C180/SUM(Kalender!$C$5:$C$370),0)+IFERROR(SUMIF(Nutzungsprofile!$B$6:$B$11,"Halle",Nutzungsprofile!$G$6:$G$11)*Kalender!D180/SUM(Kalender!$D$5:$D$370),0)+IFERROR(SUMIF(Nutzungsprofile!$B$6:$B$11,"Individuell",Nutzungsprofile!$G$6:$G$11)*Kalender!E180/SUM(Kalender!$E$5:$E$370),0))*Szenarien!$E$24,0)</f>
        <v>2.94</v>
      </c>
      <c r="D4938" s="13" t="n">
        <f aca="false">IF(Szenarien!$H$24="OK",(IFERROR(SUMIF(Nutzungsprofile!$B$17:$B$22,"Schulbetrieb",Nutzungsprofile!$G$17:$G$22)*Kalender!C180/SUM(Kalender!$C$5:$C$370),0)+IFERROR(SUMIF(Nutzungsprofile!$B$17:$B$22,"Halle",Nutzungsprofile!$G$17:$G$22)*Kalender!D180/SUM(Kalender!$D$5:$D$370),0)+IFERROR(SUMIF(Nutzungsprofile!$B$17:$B$22,"Individuell",Nutzungsprofile!$G$17:$G$22)*Kalender!E180/SUM(Kalender!$E$5:$E$370),0))*Szenarien!$D$24,0)</f>
        <v>4.94</v>
      </c>
      <c r="E4938" s="13" t="n">
        <f aca="false">IFERROR(MIN(C4938,Eingaben!$B$17)*Eingaben!$B$16,0)</f>
        <v>2.793</v>
      </c>
      <c r="F4938" s="13" t="n">
        <f aca="false">IFERROR(E4938*Eingaben!$B$15,0)</f>
        <v>2.5137</v>
      </c>
      <c r="G4938" s="13" t="n">
        <f aca="false">IFERROR(IF(Kalender!A180="",0,J4937*(1-Eingaben!$B$20)),0)</f>
        <v>0.7390278</v>
      </c>
      <c r="H4938" s="13" t="n">
        <f aca="false">MIN(G4938,D4938)</f>
        <v>0.7390278</v>
      </c>
      <c r="I4938" s="13" t="n">
        <f aca="false">IFERROR(MIN(F4938*Eingaben!$B$19,MAX(0,D4938-H4938)),0)</f>
        <v>1.75959</v>
      </c>
      <c r="J4938" s="13" t="n">
        <f aca="false">IFERROR(MIN(Eingaben!$B$18,MAX(0,F4938-I4938)),0)</f>
        <v>0.75411</v>
      </c>
      <c r="K4938" s="13" t="n">
        <f aca="false">H4938+I4938</f>
        <v>2.4986178</v>
      </c>
      <c r="L4938" s="13" t="n">
        <f aca="false">MAX(0,D4938-K4938)</f>
        <v>2.4413822</v>
      </c>
      <c r="M4938" s="13" t="n">
        <f aca="false">MAX(0,F4938-I4938-J4938)</f>
        <v>0</v>
      </c>
      <c r="N4938" s="13" t="n">
        <f aca="false">IF(Kalender!A180="",0,J4937-H4938)</f>
        <v>0.0150822</v>
      </c>
    </row>
    <row r="4939" customFormat="false" ht="16.4" hidden="false" customHeight="false" outlineLevel="0" collapsed="false">
      <c r="A4939" s="13" t="str">
        <f aca="false">""</f>
        <v/>
      </c>
      <c r="B4939" s="13" t="n">
        <f aca="false">177</f>
        <v>177</v>
      </c>
      <c r="C4939" s="13" t="n">
        <f aca="false">IF(Szenarien!$H$24="OK",(IFERROR(SUMIF(Nutzungsprofile!$B$6:$B$11,"Schulbetrieb",Nutzungsprofile!$G$6:$G$11)*Kalender!C181/SUM(Kalender!$C$5:$C$370),0)+IFERROR(SUMIF(Nutzungsprofile!$B$6:$B$11,"Halle",Nutzungsprofile!$G$6:$G$11)*Kalender!D181/SUM(Kalender!$D$5:$D$370),0)+IFERROR(SUMIF(Nutzungsprofile!$B$6:$B$11,"Individuell",Nutzungsprofile!$G$6:$G$11)*Kalender!E181/SUM(Kalender!$E$5:$E$370),0))*Szenarien!$E$24,0)</f>
        <v>2.94</v>
      </c>
      <c r="D4939" s="13" t="n">
        <f aca="false">IF(Szenarien!$H$24="OK",(IFERROR(SUMIF(Nutzungsprofile!$B$17:$B$22,"Schulbetrieb",Nutzungsprofile!$G$17:$G$22)*Kalender!C181/SUM(Kalender!$C$5:$C$370),0)+IFERROR(SUMIF(Nutzungsprofile!$B$17:$B$22,"Halle",Nutzungsprofile!$G$17:$G$22)*Kalender!D181/SUM(Kalender!$D$5:$D$370),0)+IFERROR(SUMIF(Nutzungsprofile!$B$17:$B$22,"Individuell",Nutzungsprofile!$G$17:$G$22)*Kalender!E181/SUM(Kalender!$E$5:$E$370),0))*Szenarien!$D$24,0)</f>
        <v>4.94</v>
      </c>
      <c r="E4939" s="13" t="n">
        <f aca="false">IFERROR(MIN(C4939,Eingaben!$B$17)*Eingaben!$B$16,0)</f>
        <v>2.793</v>
      </c>
      <c r="F4939" s="13" t="n">
        <f aca="false">IFERROR(E4939*Eingaben!$B$15,0)</f>
        <v>2.5137</v>
      </c>
      <c r="G4939" s="13" t="n">
        <f aca="false">IFERROR(IF(Kalender!A181="",0,J4938*(1-Eingaben!$B$20)),0)</f>
        <v>0.7390278</v>
      </c>
      <c r="H4939" s="13" t="n">
        <f aca="false">MIN(G4939,D4939)</f>
        <v>0.7390278</v>
      </c>
      <c r="I4939" s="13" t="n">
        <f aca="false">IFERROR(MIN(F4939*Eingaben!$B$19,MAX(0,D4939-H4939)),0)</f>
        <v>1.75959</v>
      </c>
      <c r="J4939" s="13" t="n">
        <f aca="false">IFERROR(MIN(Eingaben!$B$18,MAX(0,F4939-I4939)),0)</f>
        <v>0.75411</v>
      </c>
      <c r="K4939" s="13" t="n">
        <f aca="false">H4939+I4939</f>
        <v>2.4986178</v>
      </c>
      <c r="L4939" s="13" t="n">
        <f aca="false">MAX(0,D4939-K4939)</f>
        <v>2.4413822</v>
      </c>
      <c r="M4939" s="13" t="n">
        <f aca="false">MAX(0,F4939-I4939-J4939)</f>
        <v>0</v>
      </c>
      <c r="N4939" s="13" t="n">
        <f aca="false">IF(Kalender!A181="",0,J4938-H4939)</f>
        <v>0.0150822</v>
      </c>
    </row>
    <row r="4940" customFormat="false" ht="16.4" hidden="false" customHeight="false" outlineLevel="0" collapsed="false">
      <c r="A4940" s="13" t="str">
        <f aca="false">""</f>
        <v/>
      </c>
      <c r="B4940" s="13" t="n">
        <f aca="false">178</f>
        <v>178</v>
      </c>
      <c r="C4940" s="13" t="n">
        <f aca="false">IF(Szenarien!$H$24="OK",(IFERROR(SUMIF(Nutzungsprofile!$B$6:$B$11,"Schulbetrieb",Nutzungsprofile!$G$6:$G$11)*Kalender!C182/SUM(Kalender!$C$5:$C$370),0)+IFERROR(SUMIF(Nutzungsprofile!$B$6:$B$11,"Halle",Nutzungsprofile!$G$6:$G$11)*Kalender!D182/SUM(Kalender!$D$5:$D$370),0)+IFERROR(SUMIF(Nutzungsprofile!$B$6:$B$11,"Individuell",Nutzungsprofile!$G$6:$G$11)*Kalender!E182/SUM(Kalender!$E$5:$E$370),0))*Szenarien!$E$24,0)</f>
        <v>2.04</v>
      </c>
      <c r="D4940" s="13" t="n">
        <f aca="false">IF(Szenarien!$H$24="OK",(IFERROR(SUMIF(Nutzungsprofile!$B$17:$B$22,"Schulbetrieb",Nutzungsprofile!$G$17:$G$22)*Kalender!C182/SUM(Kalender!$C$5:$C$370),0)+IFERROR(SUMIF(Nutzungsprofile!$B$17:$B$22,"Halle",Nutzungsprofile!$G$17:$G$22)*Kalender!D182/SUM(Kalender!$D$5:$D$370),0)+IFERROR(SUMIF(Nutzungsprofile!$B$17:$B$22,"Individuell",Nutzungsprofile!$G$17:$G$22)*Kalender!E182/SUM(Kalender!$E$5:$E$370),0))*Szenarien!$D$24,0)</f>
        <v>0.89</v>
      </c>
      <c r="E4940" s="13" t="n">
        <f aca="false">IFERROR(MIN(C4940,Eingaben!$B$17)*Eingaben!$B$16,0)</f>
        <v>1.938</v>
      </c>
      <c r="F4940" s="13" t="n">
        <f aca="false">IFERROR(E4940*Eingaben!$B$15,0)</f>
        <v>1.7442</v>
      </c>
      <c r="G4940" s="13" t="n">
        <f aca="false">IFERROR(IF(Kalender!A182="",0,J4939*(1-Eingaben!$B$20)),0)</f>
        <v>0.7390278</v>
      </c>
      <c r="H4940" s="13" t="n">
        <f aca="false">MIN(G4940,D4940)</f>
        <v>0.7390278</v>
      </c>
      <c r="I4940" s="13" t="n">
        <f aca="false">IFERROR(MIN(F4940*Eingaben!$B$19,MAX(0,D4940-H4940)),0)</f>
        <v>0.1509722</v>
      </c>
      <c r="J4940" s="13" t="n">
        <f aca="false">IFERROR(MIN(Eingaben!$B$18,MAX(0,F4940-I4940)),0)</f>
        <v>1.5932278</v>
      </c>
      <c r="K4940" s="13" t="n">
        <f aca="false">H4940+I4940</f>
        <v>0.89</v>
      </c>
      <c r="L4940" s="13" t="n">
        <f aca="false">MAX(0,D4940-K4940)</f>
        <v>0</v>
      </c>
      <c r="M4940" s="13" t="n">
        <f aca="false">MAX(0,F4940-I4940-J4940)</f>
        <v>0</v>
      </c>
      <c r="N4940" s="13" t="n">
        <f aca="false">IF(Kalender!A182="",0,J4939-H4940)</f>
        <v>0.0150822</v>
      </c>
    </row>
    <row r="4941" customFormat="false" ht="16.4" hidden="false" customHeight="false" outlineLevel="0" collapsed="false">
      <c r="A4941" s="13" t="str">
        <f aca="false">""</f>
        <v/>
      </c>
      <c r="B4941" s="13" t="n">
        <f aca="false">179</f>
        <v>179</v>
      </c>
      <c r="C4941" s="13" t="n">
        <f aca="false">IF(Szenarien!$H$24="OK",(IFERROR(SUMIF(Nutzungsprofile!$B$6:$B$11,"Schulbetrieb",Nutzungsprofile!$G$6:$G$11)*Kalender!C183/SUM(Kalender!$C$5:$C$370),0)+IFERROR(SUMIF(Nutzungsprofile!$B$6:$B$11,"Halle",Nutzungsprofile!$G$6:$G$11)*Kalender!D183/SUM(Kalender!$D$5:$D$370),0)+IFERROR(SUMIF(Nutzungsprofile!$B$6:$B$11,"Individuell",Nutzungsprofile!$G$6:$G$11)*Kalender!E183/SUM(Kalender!$E$5:$E$370),0))*Szenarien!$E$24,0)</f>
        <v>2.04</v>
      </c>
      <c r="D4941" s="13" t="n">
        <f aca="false">IF(Szenarien!$H$24="OK",(IFERROR(SUMIF(Nutzungsprofile!$B$17:$B$22,"Schulbetrieb",Nutzungsprofile!$G$17:$G$22)*Kalender!C183/SUM(Kalender!$C$5:$C$370),0)+IFERROR(SUMIF(Nutzungsprofile!$B$17:$B$22,"Halle",Nutzungsprofile!$G$17:$G$22)*Kalender!D183/SUM(Kalender!$D$5:$D$370),0)+IFERROR(SUMIF(Nutzungsprofile!$B$17:$B$22,"Individuell",Nutzungsprofile!$G$17:$G$22)*Kalender!E183/SUM(Kalender!$E$5:$E$370),0))*Szenarien!$D$24,0)</f>
        <v>0.89</v>
      </c>
      <c r="E4941" s="13" t="n">
        <f aca="false">IFERROR(MIN(C4941,Eingaben!$B$17)*Eingaben!$B$16,0)</f>
        <v>1.938</v>
      </c>
      <c r="F4941" s="13" t="n">
        <f aca="false">IFERROR(E4941*Eingaben!$B$15,0)</f>
        <v>1.7442</v>
      </c>
      <c r="G4941" s="13" t="n">
        <f aca="false">IFERROR(IF(Kalender!A183="",0,J4940*(1-Eingaben!$B$20)),0)</f>
        <v>1.561363244</v>
      </c>
      <c r="H4941" s="13" t="n">
        <f aca="false">MIN(G4941,D4941)</f>
        <v>0.89</v>
      </c>
      <c r="I4941" s="13" t="n">
        <f aca="false">IFERROR(MIN(F4941*Eingaben!$B$19,MAX(0,D4941-H4941)),0)</f>
        <v>0</v>
      </c>
      <c r="J4941" s="13" t="n">
        <f aca="false">IFERROR(MIN(Eingaben!$B$18,MAX(0,F4941-I4941)),0)</f>
        <v>1.7442</v>
      </c>
      <c r="K4941" s="13" t="n">
        <f aca="false">H4941+I4941</f>
        <v>0.89</v>
      </c>
      <c r="L4941" s="13" t="n">
        <f aca="false">MAX(0,D4941-K4941)</f>
        <v>0</v>
      </c>
      <c r="M4941" s="13" t="n">
        <f aca="false">MAX(0,F4941-I4941-J4941)</f>
        <v>0</v>
      </c>
      <c r="N4941" s="13" t="n">
        <f aca="false">IF(Kalender!A183="",0,J4940-H4941)</f>
        <v>0.7032278</v>
      </c>
    </row>
    <row r="4942" customFormat="false" ht="16.4" hidden="false" customHeight="false" outlineLevel="0" collapsed="false">
      <c r="A4942" s="13" t="str">
        <f aca="false">""</f>
        <v/>
      </c>
      <c r="B4942" s="13" t="n">
        <f aca="false">180</f>
        <v>180</v>
      </c>
      <c r="C4942" s="13" t="n">
        <f aca="false">IF(Szenarien!$H$24="OK",(IFERROR(SUMIF(Nutzungsprofile!$B$6:$B$11,"Schulbetrieb",Nutzungsprofile!$G$6:$G$11)*Kalender!C184/SUM(Kalender!$C$5:$C$370),0)+IFERROR(SUMIF(Nutzungsprofile!$B$6:$B$11,"Halle",Nutzungsprofile!$G$6:$G$11)*Kalender!D184/SUM(Kalender!$D$5:$D$370),0)+IFERROR(SUMIF(Nutzungsprofile!$B$6:$B$11,"Individuell",Nutzungsprofile!$G$6:$G$11)*Kalender!E184/SUM(Kalender!$E$5:$E$370),0))*Szenarien!$E$24,0)</f>
        <v>2.94</v>
      </c>
      <c r="D4942" s="13" t="n">
        <f aca="false">IF(Szenarien!$H$24="OK",(IFERROR(SUMIF(Nutzungsprofile!$B$17:$B$22,"Schulbetrieb",Nutzungsprofile!$G$17:$G$22)*Kalender!C184/SUM(Kalender!$C$5:$C$370),0)+IFERROR(SUMIF(Nutzungsprofile!$B$17:$B$22,"Halle",Nutzungsprofile!$G$17:$G$22)*Kalender!D184/SUM(Kalender!$D$5:$D$370),0)+IFERROR(SUMIF(Nutzungsprofile!$B$17:$B$22,"Individuell",Nutzungsprofile!$G$17:$G$22)*Kalender!E184/SUM(Kalender!$E$5:$E$370),0))*Szenarien!$D$24,0)</f>
        <v>4.94</v>
      </c>
      <c r="E4942" s="13" t="n">
        <f aca="false">IFERROR(MIN(C4942,Eingaben!$B$17)*Eingaben!$B$16,0)</f>
        <v>2.793</v>
      </c>
      <c r="F4942" s="13" t="n">
        <f aca="false">IFERROR(E4942*Eingaben!$B$15,0)</f>
        <v>2.5137</v>
      </c>
      <c r="G4942" s="13" t="n">
        <f aca="false">IFERROR(IF(Kalender!A184="",0,J4941*(1-Eingaben!$B$20)),0)</f>
        <v>1.709316</v>
      </c>
      <c r="H4942" s="13" t="n">
        <f aca="false">MIN(G4942,D4942)</f>
        <v>1.709316</v>
      </c>
      <c r="I4942" s="13" t="n">
        <f aca="false">IFERROR(MIN(F4942*Eingaben!$B$19,MAX(0,D4942-H4942)),0)</f>
        <v>1.75959</v>
      </c>
      <c r="J4942" s="13" t="n">
        <f aca="false">IFERROR(MIN(Eingaben!$B$18,MAX(0,F4942-I4942)),0)</f>
        <v>0.75411</v>
      </c>
      <c r="K4942" s="13" t="n">
        <f aca="false">H4942+I4942</f>
        <v>3.468906</v>
      </c>
      <c r="L4942" s="13" t="n">
        <f aca="false">MAX(0,D4942-K4942)</f>
        <v>1.471094</v>
      </c>
      <c r="M4942" s="13" t="n">
        <f aca="false">MAX(0,F4942-I4942-J4942)</f>
        <v>0</v>
      </c>
      <c r="N4942" s="13" t="n">
        <f aca="false">IF(Kalender!A184="",0,J4941-H4942)</f>
        <v>0.0348840000000001</v>
      </c>
    </row>
    <row r="4943" customFormat="false" ht="16.4" hidden="false" customHeight="false" outlineLevel="0" collapsed="false">
      <c r="A4943" s="13" t="str">
        <f aca="false">""</f>
        <v/>
      </c>
      <c r="B4943" s="13" t="n">
        <f aca="false">181</f>
        <v>181</v>
      </c>
      <c r="C4943" s="13" t="n">
        <f aca="false">IF(Szenarien!$H$24="OK",(IFERROR(SUMIF(Nutzungsprofile!$B$6:$B$11,"Schulbetrieb",Nutzungsprofile!$G$6:$G$11)*Kalender!C185/SUM(Kalender!$C$5:$C$370),0)+IFERROR(SUMIF(Nutzungsprofile!$B$6:$B$11,"Halle",Nutzungsprofile!$G$6:$G$11)*Kalender!D185/SUM(Kalender!$D$5:$D$370),0)+IFERROR(SUMIF(Nutzungsprofile!$B$6:$B$11,"Individuell",Nutzungsprofile!$G$6:$G$11)*Kalender!E185/SUM(Kalender!$E$5:$E$370),0))*Szenarien!$E$24,0)</f>
        <v>2.94</v>
      </c>
      <c r="D4943" s="13" t="n">
        <f aca="false">IF(Szenarien!$H$24="OK",(IFERROR(SUMIF(Nutzungsprofile!$B$17:$B$22,"Schulbetrieb",Nutzungsprofile!$G$17:$G$22)*Kalender!C185/SUM(Kalender!$C$5:$C$370),0)+IFERROR(SUMIF(Nutzungsprofile!$B$17:$B$22,"Halle",Nutzungsprofile!$G$17:$G$22)*Kalender!D185/SUM(Kalender!$D$5:$D$370),0)+IFERROR(SUMIF(Nutzungsprofile!$B$17:$B$22,"Individuell",Nutzungsprofile!$G$17:$G$22)*Kalender!E185/SUM(Kalender!$E$5:$E$370),0))*Szenarien!$D$24,0)</f>
        <v>4.94</v>
      </c>
      <c r="E4943" s="13" t="n">
        <f aca="false">IFERROR(MIN(C4943,Eingaben!$B$17)*Eingaben!$B$16,0)</f>
        <v>2.793</v>
      </c>
      <c r="F4943" s="13" t="n">
        <f aca="false">IFERROR(E4943*Eingaben!$B$15,0)</f>
        <v>2.5137</v>
      </c>
      <c r="G4943" s="13" t="n">
        <f aca="false">IFERROR(IF(Kalender!A185="",0,J4942*(1-Eingaben!$B$20)),0)</f>
        <v>0.7390278</v>
      </c>
      <c r="H4943" s="13" t="n">
        <f aca="false">MIN(G4943,D4943)</f>
        <v>0.7390278</v>
      </c>
      <c r="I4943" s="13" t="n">
        <f aca="false">IFERROR(MIN(F4943*Eingaben!$B$19,MAX(0,D4943-H4943)),0)</f>
        <v>1.75959</v>
      </c>
      <c r="J4943" s="13" t="n">
        <f aca="false">IFERROR(MIN(Eingaben!$B$18,MAX(0,F4943-I4943)),0)</f>
        <v>0.75411</v>
      </c>
      <c r="K4943" s="13" t="n">
        <f aca="false">H4943+I4943</f>
        <v>2.4986178</v>
      </c>
      <c r="L4943" s="13" t="n">
        <f aca="false">MAX(0,D4943-K4943)</f>
        <v>2.4413822</v>
      </c>
      <c r="M4943" s="13" t="n">
        <f aca="false">MAX(0,F4943-I4943-J4943)</f>
        <v>0</v>
      </c>
      <c r="N4943" s="13" t="n">
        <f aca="false">IF(Kalender!A185="",0,J4942-H4943)</f>
        <v>0.0150822</v>
      </c>
    </row>
    <row r="4944" customFormat="false" ht="16.4" hidden="false" customHeight="false" outlineLevel="0" collapsed="false">
      <c r="A4944" s="13" t="str">
        <f aca="false">""</f>
        <v/>
      </c>
      <c r="B4944" s="13" t="n">
        <f aca="false">182</f>
        <v>182</v>
      </c>
      <c r="C4944" s="13" t="n">
        <f aca="false">IF(Szenarien!$H$24="OK",(IFERROR(SUMIF(Nutzungsprofile!$B$6:$B$11,"Schulbetrieb",Nutzungsprofile!$G$6:$G$11)*Kalender!C186/SUM(Kalender!$C$5:$C$370),0)+IFERROR(SUMIF(Nutzungsprofile!$B$6:$B$11,"Halle",Nutzungsprofile!$G$6:$G$11)*Kalender!D186/SUM(Kalender!$D$5:$D$370),0)+IFERROR(SUMIF(Nutzungsprofile!$B$6:$B$11,"Individuell",Nutzungsprofile!$G$6:$G$11)*Kalender!E186/SUM(Kalender!$E$5:$E$370),0))*Szenarien!$E$24,0)</f>
        <v>2.04</v>
      </c>
      <c r="D4944" s="13" t="n">
        <f aca="false">IF(Szenarien!$H$24="OK",(IFERROR(SUMIF(Nutzungsprofile!$B$17:$B$22,"Schulbetrieb",Nutzungsprofile!$G$17:$G$22)*Kalender!C186/SUM(Kalender!$C$5:$C$370),0)+IFERROR(SUMIF(Nutzungsprofile!$B$17:$B$22,"Halle",Nutzungsprofile!$G$17:$G$22)*Kalender!D186/SUM(Kalender!$D$5:$D$370),0)+IFERROR(SUMIF(Nutzungsprofile!$B$17:$B$22,"Individuell",Nutzungsprofile!$G$17:$G$22)*Kalender!E186/SUM(Kalender!$E$5:$E$370),0))*Szenarien!$D$24,0)</f>
        <v>0.89</v>
      </c>
      <c r="E4944" s="13" t="n">
        <f aca="false">IFERROR(MIN(C4944,Eingaben!$B$17)*Eingaben!$B$16,0)</f>
        <v>1.938</v>
      </c>
      <c r="F4944" s="13" t="n">
        <f aca="false">IFERROR(E4944*Eingaben!$B$15,0)</f>
        <v>1.7442</v>
      </c>
      <c r="G4944" s="13" t="n">
        <f aca="false">IFERROR(IF(Kalender!A186="",0,J4943*(1-Eingaben!$B$20)),0)</f>
        <v>0.7390278</v>
      </c>
      <c r="H4944" s="13" t="n">
        <f aca="false">MIN(G4944,D4944)</f>
        <v>0.7390278</v>
      </c>
      <c r="I4944" s="13" t="n">
        <f aca="false">IFERROR(MIN(F4944*Eingaben!$B$19,MAX(0,D4944-H4944)),0)</f>
        <v>0.1509722</v>
      </c>
      <c r="J4944" s="13" t="n">
        <f aca="false">IFERROR(MIN(Eingaben!$B$18,MAX(0,F4944-I4944)),0)</f>
        <v>1.5932278</v>
      </c>
      <c r="K4944" s="13" t="n">
        <f aca="false">H4944+I4944</f>
        <v>0.89</v>
      </c>
      <c r="L4944" s="13" t="n">
        <f aca="false">MAX(0,D4944-K4944)</f>
        <v>0</v>
      </c>
      <c r="M4944" s="13" t="n">
        <f aca="false">MAX(0,F4944-I4944-J4944)</f>
        <v>0</v>
      </c>
      <c r="N4944" s="13" t="n">
        <f aca="false">IF(Kalender!A186="",0,J4943-H4944)</f>
        <v>0.0150822</v>
      </c>
    </row>
    <row r="4945" customFormat="false" ht="16.4" hidden="false" customHeight="false" outlineLevel="0" collapsed="false">
      <c r="A4945" s="13" t="str">
        <f aca="false">""</f>
        <v/>
      </c>
      <c r="B4945" s="13" t="n">
        <f aca="false">183</f>
        <v>183</v>
      </c>
      <c r="C4945" s="13" t="n">
        <f aca="false">IF(Szenarien!$H$24="OK",(IFERROR(SUMIF(Nutzungsprofile!$B$6:$B$11,"Schulbetrieb",Nutzungsprofile!$G$6:$G$11)*Kalender!C187/SUM(Kalender!$C$5:$C$370),0)+IFERROR(SUMIF(Nutzungsprofile!$B$6:$B$11,"Halle",Nutzungsprofile!$G$6:$G$11)*Kalender!D187/SUM(Kalender!$D$5:$D$370),0)+IFERROR(SUMIF(Nutzungsprofile!$B$6:$B$11,"Individuell",Nutzungsprofile!$G$6:$G$11)*Kalender!E187/SUM(Kalender!$E$5:$E$370),0))*Szenarien!$E$24,0)</f>
        <v>2.04</v>
      </c>
      <c r="D4945" s="13" t="n">
        <f aca="false">IF(Szenarien!$H$24="OK",(IFERROR(SUMIF(Nutzungsprofile!$B$17:$B$22,"Schulbetrieb",Nutzungsprofile!$G$17:$G$22)*Kalender!C187/SUM(Kalender!$C$5:$C$370),0)+IFERROR(SUMIF(Nutzungsprofile!$B$17:$B$22,"Halle",Nutzungsprofile!$G$17:$G$22)*Kalender!D187/SUM(Kalender!$D$5:$D$370),0)+IFERROR(SUMIF(Nutzungsprofile!$B$17:$B$22,"Individuell",Nutzungsprofile!$G$17:$G$22)*Kalender!E187/SUM(Kalender!$E$5:$E$370),0))*Szenarien!$D$24,0)</f>
        <v>0.89</v>
      </c>
      <c r="E4945" s="13" t="n">
        <f aca="false">IFERROR(MIN(C4945,Eingaben!$B$17)*Eingaben!$B$16,0)</f>
        <v>1.938</v>
      </c>
      <c r="F4945" s="13" t="n">
        <f aca="false">IFERROR(E4945*Eingaben!$B$15,0)</f>
        <v>1.7442</v>
      </c>
      <c r="G4945" s="13" t="n">
        <f aca="false">IFERROR(IF(Kalender!A187="",0,J4944*(1-Eingaben!$B$20)),0)</f>
        <v>1.561363244</v>
      </c>
      <c r="H4945" s="13" t="n">
        <f aca="false">MIN(G4945,D4945)</f>
        <v>0.89</v>
      </c>
      <c r="I4945" s="13" t="n">
        <f aca="false">IFERROR(MIN(F4945*Eingaben!$B$19,MAX(0,D4945-H4945)),0)</f>
        <v>0</v>
      </c>
      <c r="J4945" s="13" t="n">
        <f aca="false">IFERROR(MIN(Eingaben!$B$18,MAX(0,F4945-I4945)),0)</f>
        <v>1.7442</v>
      </c>
      <c r="K4945" s="13" t="n">
        <f aca="false">H4945+I4945</f>
        <v>0.89</v>
      </c>
      <c r="L4945" s="13" t="n">
        <f aca="false">MAX(0,D4945-K4945)</f>
        <v>0</v>
      </c>
      <c r="M4945" s="13" t="n">
        <f aca="false">MAX(0,F4945-I4945-J4945)</f>
        <v>0</v>
      </c>
      <c r="N4945" s="13" t="n">
        <f aca="false">IF(Kalender!A187="",0,J4944-H4945)</f>
        <v>0.7032278</v>
      </c>
    </row>
    <row r="4946" customFormat="false" ht="16.4" hidden="false" customHeight="false" outlineLevel="0" collapsed="false">
      <c r="A4946" s="13" t="str">
        <f aca="false">""</f>
        <v/>
      </c>
      <c r="B4946" s="13" t="n">
        <f aca="false">184</f>
        <v>184</v>
      </c>
      <c r="C4946" s="13" t="n">
        <f aca="false">IF(Szenarien!$H$24="OK",(IFERROR(SUMIF(Nutzungsprofile!$B$6:$B$11,"Schulbetrieb",Nutzungsprofile!$G$6:$G$11)*Kalender!C188/SUM(Kalender!$C$5:$C$370),0)+IFERROR(SUMIF(Nutzungsprofile!$B$6:$B$11,"Halle",Nutzungsprofile!$G$6:$G$11)*Kalender!D188/SUM(Kalender!$D$5:$D$370),0)+IFERROR(SUMIF(Nutzungsprofile!$B$6:$B$11,"Individuell",Nutzungsprofile!$G$6:$G$11)*Kalender!E188/SUM(Kalender!$E$5:$E$370),0))*Szenarien!$E$24,0)</f>
        <v>2.04</v>
      </c>
      <c r="D4946" s="13" t="n">
        <f aca="false">IF(Szenarien!$H$24="OK",(IFERROR(SUMIF(Nutzungsprofile!$B$17:$B$22,"Schulbetrieb",Nutzungsprofile!$G$17:$G$22)*Kalender!C188/SUM(Kalender!$C$5:$C$370),0)+IFERROR(SUMIF(Nutzungsprofile!$B$17:$B$22,"Halle",Nutzungsprofile!$G$17:$G$22)*Kalender!D188/SUM(Kalender!$D$5:$D$370),0)+IFERROR(SUMIF(Nutzungsprofile!$B$17:$B$22,"Individuell",Nutzungsprofile!$G$17:$G$22)*Kalender!E188/SUM(Kalender!$E$5:$E$370),0))*Szenarien!$D$24,0)</f>
        <v>0.89</v>
      </c>
      <c r="E4946" s="13" t="n">
        <f aca="false">IFERROR(MIN(C4946,Eingaben!$B$17)*Eingaben!$B$16,0)</f>
        <v>1.938</v>
      </c>
      <c r="F4946" s="13" t="n">
        <f aca="false">IFERROR(E4946*Eingaben!$B$15,0)</f>
        <v>1.7442</v>
      </c>
      <c r="G4946" s="13" t="n">
        <f aca="false">IFERROR(IF(Kalender!A188="",0,J4945*(1-Eingaben!$B$20)),0)</f>
        <v>1.709316</v>
      </c>
      <c r="H4946" s="13" t="n">
        <f aca="false">MIN(G4946,D4946)</f>
        <v>0.89</v>
      </c>
      <c r="I4946" s="13" t="n">
        <f aca="false">IFERROR(MIN(F4946*Eingaben!$B$19,MAX(0,D4946-H4946)),0)</f>
        <v>0</v>
      </c>
      <c r="J4946" s="13" t="n">
        <f aca="false">IFERROR(MIN(Eingaben!$B$18,MAX(0,F4946-I4946)),0)</f>
        <v>1.7442</v>
      </c>
      <c r="K4946" s="13" t="n">
        <f aca="false">H4946+I4946</f>
        <v>0.89</v>
      </c>
      <c r="L4946" s="13" t="n">
        <f aca="false">MAX(0,D4946-K4946)</f>
        <v>0</v>
      </c>
      <c r="M4946" s="13" t="n">
        <f aca="false">MAX(0,F4946-I4946-J4946)</f>
        <v>0</v>
      </c>
      <c r="N4946" s="13" t="n">
        <f aca="false">IF(Kalender!A188="",0,J4945-H4946)</f>
        <v>0.8542</v>
      </c>
    </row>
    <row r="4947" customFormat="false" ht="16.4" hidden="false" customHeight="false" outlineLevel="0" collapsed="false">
      <c r="A4947" s="13" t="str">
        <f aca="false">""</f>
        <v/>
      </c>
      <c r="B4947" s="13" t="n">
        <f aca="false">185</f>
        <v>185</v>
      </c>
      <c r="C4947" s="13" t="n">
        <f aca="false">IF(Szenarien!$H$24="OK",(IFERROR(SUMIF(Nutzungsprofile!$B$6:$B$11,"Schulbetrieb",Nutzungsprofile!$G$6:$G$11)*Kalender!C189/SUM(Kalender!$C$5:$C$370),0)+IFERROR(SUMIF(Nutzungsprofile!$B$6:$B$11,"Halle",Nutzungsprofile!$G$6:$G$11)*Kalender!D189/SUM(Kalender!$D$5:$D$370),0)+IFERROR(SUMIF(Nutzungsprofile!$B$6:$B$11,"Individuell",Nutzungsprofile!$G$6:$G$11)*Kalender!E189/SUM(Kalender!$E$5:$E$370),0))*Szenarien!$E$24,0)</f>
        <v>2.04</v>
      </c>
      <c r="D4947" s="13" t="n">
        <f aca="false">IF(Szenarien!$H$24="OK",(IFERROR(SUMIF(Nutzungsprofile!$B$17:$B$22,"Schulbetrieb",Nutzungsprofile!$G$17:$G$22)*Kalender!C189/SUM(Kalender!$C$5:$C$370),0)+IFERROR(SUMIF(Nutzungsprofile!$B$17:$B$22,"Halle",Nutzungsprofile!$G$17:$G$22)*Kalender!D189/SUM(Kalender!$D$5:$D$370),0)+IFERROR(SUMIF(Nutzungsprofile!$B$17:$B$22,"Individuell",Nutzungsprofile!$G$17:$G$22)*Kalender!E189/SUM(Kalender!$E$5:$E$370),0))*Szenarien!$D$24,0)</f>
        <v>0.89</v>
      </c>
      <c r="E4947" s="13" t="n">
        <f aca="false">IFERROR(MIN(C4947,Eingaben!$B$17)*Eingaben!$B$16,0)</f>
        <v>1.938</v>
      </c>
      <c r="F4947" s="13" t="n">
        <f aca="false">IFERROR(E4947*Eingaben!$B$15,0)</f>
        <v>1.7442</v>
      </c>
      <c r="G4947" s="13" t="n">
        <f aca="false">IFERROR(IF(Kalender!A189="",0,J4946*(1-Eingaben!$B$20)),0)</f>
        <v>1.709316</v>
      </c>
      <c r="H4947" s="13" t="n">
        <f aca="false">MIN(G4947,D4947)</f>
        <v>0.89</v>
      </c>
      <c r="I4947" s="13" t="n">
        <f aca="false">IFERROR(MIN(F4947*Eingaben!$B$19,MAX(0,D4947-H4947)),0)</f>
        <v>0</v>
      </c>
      <c r="J4947" s="13" t="n">
        <f aca="false">IFERROR(MIN(Eingaben!$B$18,MAX(0,F4947-I4947)),0)</f>
        <v>1.7442</v>
      </c>
      <c r="K4947" s="13" t="n">
        <f aca="false">H4947+I4947</f>
        <v>0.89</v>
      </c>
      <c r="L4947" s="13" t="n">
        <f aca="false">MAX(0,D4947-K4947)</f>
        <v>0</v>
      </c>
      <c r="M4947" s="13" t="n">
        <f aca="false">MAX(0,F4947-I4947-J4947)</f>
        <v>0</v>
      </c>
      <c r="N4947" s="13" t="n">
        <f aca="false">IF(Kalender!A189="",0,J4946-H4947)</f>
        <v>0.8542</v>
      </c>
    </row>
    <row r="4948" customFormat="false" ht="16.4" hidden="false" customHeight="false" outlineLevel="0" collapsed="false">
      <c r="A4948" s="13" t="str">
        <f aca="false">""</f>
        <v/>
      </c>
      <c r="B4948" s="13" t="n">
        <f aca="false">186</f>
        <v>186</v>
      </c>
      <c r="C4948" s="13" t="n">
        <f aca="false">IF(Szenarien!$H$24="OK",(IFERROR(SUMIF(Nutzungsprofile!$B$6:$B$11,"Schulbetrieb",Nutzungsprofile!$G$6:$G$11)*Kalender!C190/SUM(Kalender!$C$5:$C$370),0)+IFERROR(SUMIF(Nutzungsprofile!$B$6:$B$11,"Halle",Nutzungsprofile!$G$6:$G$11)*Kalender!D190/SUM(Kalender!$D$5:$D$370),0)+IFERROR(SUMIF(Nutzungsprofile!$B$6:$B$11,"Individuell",Nutzungsprofile!$G$6:$G$11)*Kalender!E190/SUM(Kalender!$E$5:$E$370),0))*Szenarien!$E$24,0)</f>
        <v>2.04</v>
      </c>
      <c r="D4948" s="13" t="n">
        <f aca="false">IF(Szenarien!$H$24="OK",(IFERROR(SUMIF(Nutzungsprofile!$B$17:$B$22,"Schulbetrieb",Nutzungsprofile!$G$17:$G$22)*Kalender!C190/SUM(Kalender!$C$5:$C$370),0)+IFERROR(SUMIF(Nutzungsprofile!$B$17:$B$22,"Halle",Nutzungsprofile!$G$17:$G$22)*Kalender!D190/SUM(Kalender!$D$5:$D$370),0)+IFERROR(SUMIF(Nutzungsprofile!$B$17:$B$22,"Individuell",Nutzungsprofile!$G$17:$G$22)*Kalender!E190/SUM(Kalender!$E$5:$E$370),0))*Szenarien!$D$24,0)</f>
        <v>0.89</v>
      </c>
      <c r="E4948" s="13" t="n">
        <f aca="false">IFERROR(MIN(C4948,Eingaben!$B$17)*Eingaben!$B$16,0)</f>
        <v>1.938</v>
      </c>
      <c r="F4948" s="13" t="n">
        <f aca="false">IFERROR(E4948*Eingaben!$B$15,0)</f>
        <v>1.7442</v>
      </c>
      <c r="G4948" s="13" t="n">
        <f aca="false">IFERROR(IF(Kalender!A190="",0,J4947*(1-Eingaben!$B$20)),0)</f>
        <v>1.709316</v>
      </c>
      <c r="H4948" s="13" t="n">
        <f aca="false">MIN(G4948,D4948)</f>
        <v>0.89</v>
      </c>
      <c r="I4948" s="13" t="n">
        <f aca="false">IFERROR(MIN(F4948*Eingaben!$B$19,MAX(0,D4948-H4948)),0)</f>
        <v>0</v>
      </c>
      <c r="J4948" s="13" t="n">
        <f aca="false">IFERROR(MIN(Eingaben!$B$18,MAX(0,F4948-I4948)),0)</f>
        <v>1.7442</v>
      </c>
      <c r="K4948" s="13" t="n">
        <f aca="false">H4948+I4948</f>
        <v>0.89</v>
      </c>
      <c r="L4948" s="13" t="n">
        <f aca="false">MAX(0,D4948-K4948)</f>
        <v>0</v>
      </c>
      <c r="M4948" s="13" t="n">
        <f aca="false">MAX(0,F4948-I4948-J4948)</f>
        <v>0</v>
      </c>
      <c r="N4948" s="13" t="n">
        <f aca="false">IF(Kalender!A190="",0,J4947-H4948)</f>
        <v>0.8542</v>
      </c>
    </row>
    <row r="4949" customFormat="false" ht="16.4" hidden="false" customHeight="false" outlineLevel="0" collapsed="false">
      <c r="A4949" s="13" t="str">
        <f aca="false">""</f>
        <v/>
      </c>
      <c r="B4949" s="13" t="n">
        <f aca="false">187</f>
        <v>187</v>
      </c>
      <c r="C4949" s="13" t="n">
        <f aca="false">IF(Szenarien!$H$24="OK",(IFERROR(SUMIF(Nutzungsprofile!$B$6:$B$11,"Schulbetrieb",Nutzungsprofile!$G$6:$G$11)*Kalender!C191/SUM(Kalender!$C$5:$C$370),0)+IFERROR(SUMIF(Nutzungsprofile!$B$6:$B$11,"Halle",Nutzungsprofile!$G$6:$G$11)*Kalender!D191/SUM(Kalender!$D$5:$D$370),0)+IFERROR(SUMIF(Nutzungsprofile!$B$6:$B$11,"Individuell",Nutzungsprofile!$G$6:$G$11)*Kalender!E191/SUM(Kalender!$E$5:$E$370),0))*Szenarien!$E$24,0)</f>
        <v>2.04</v>
      </c>
      <c r="D4949" s="13" t="n">
        <f aca="false">IF(Szenarien!$H$24="OK",(IFERROR(SUMIF(Nutzungsprofile!$B$17:$B$22,"Schulbetrieb",Nutzungsprofile!$G$17:$G$22)*Kalender!C191/SUM(Kalender!$C$5:$C$370),0)+IFERROR(SUMIF(Nutzungsprofile!$B$17:$B$22,"Halle",Nutzungsprofile!$G$17:$G$22)*Kalender!D191/SUM(Kalender!$D$5:$D$370),0)+IFERROR(SUMIF(Nutzungsprofile!$B$17:$B$22,"Individuell",Nutzungsprofile!$G$17:$G$22)*Kalender!E191/SUM(Kalender!$E$5:$E$370),0))*Szenarien!$D$24,0)</f>
        <v>0.89</v>
      </c>
      <c r="E4949" s="13" t="n">
        <f aca="false">IFERROR(MIN(C4949,Eingaben!$B$17)*Eingaben!$B$16,0)</f>
        <v>1.938</v>
      </c>
      <c r="F4949" s="13" t="n">
        <f aca="false">IFERROR(E4949*Eingaben!$B$15,0)</f>
        <v>1.7442</v>
      </c>
      <c r="G4949" s="13" t="n">
        <f aca="false">IFERROR(IF(Kalender!A191="",0,J4948*(1-Eingaben!$B$20)),0)</f>
        <v>1.709316</v>
      </c>
      <c r="H4949" s="13" t="n">
        <f aca="false">MIN(G4949,D4949)</f>
        <v>0.89</v>
      </c>
      <c r="I4949" s="13" t="n">
        <f aca="false">IFERROR(MIN(F4949*Eingaben!$B$19,MAX(0,D4949-H4949)),0)</f>
        <v>0</v>
      </c>
      <c r="J4949" s="13" t="n">
        <f aca="false">IFERROR(MIN(Eingaben!$B$18,MAX(0,F4949-I4949)),0)</f>
        <v>1.7442</v>
      </c>
      <c r="K4949" s="13" t="n">
        <f aca="false">H4949+I4949</f>
        <v>0.89</v>
      </c>
      <c r="L4949" s="13" t="n">
        <f aca="false">MAX(0,D4949-K4949)</f>
        <v>0</v>
      </c>
      <c r="M4949" s="13" t="n">
        <f aca="false">MAX(0,F4949-I4949-J4949)</f>
        <v>0</v>
      </c>
      <c r="N4949" s="13" t="n">
        <f aca="false">IF(Kalender!A191="",0,J4948-H4949)</f>
        <v>0.8542</v>
      </c>
    </row>
    <row r="4950" customFormat="false" ht="16.4" hidden="false" customHeight="false" outlineLevel="0" collapsed="false">
      <c r="A4950" s="13" t="str">
        <f aca="false">""</f>
        <v/>
      </c>
      <c r="B4950" s="13" t="n">
        <f aca="false">188</f>
        <v>188</v>
      </c>
      <c r="C4950" s="13" t="n">
        <f aca="false">IF(Szenarien!$H$24="OK",(IFERROR(SUMIF(Nutzungsprofile!$B$6:$B$11,"Schulbetrieb",Nutzungsprofile!$G$6:$G$11)*Kalender!C192/SUM(Kalender!$C$5:$C$370),0)+IFERROR(SUMIF(Nutzungsprofile!$B$6:$B$11,"Halle",Nutzungsprofile!$G$6:$G$11)*Kalender!D192/SUM(Kalender!$D$5:$D$370),0)+IFERROR(SUMIF(Nutzungsprofile!$B$6:$B$11,"Individuell",Nutzungsprofile!$G$6:$G$11)*Kalender!E192/SUM(Kalender!$E$5:$E$370),0))*Szenarien!$E$24,0)</f>
        <v>2.04</v>
      </c>
      <c r="D4950" s="13" t="n">
        <f aca="false">IF(Szenarien!$H$24="OK",(IFERROR(SUMIF(Nutzungsprofile!$B$17:$B$22,"Schulbetrieb",Nutzungsprofile!$G$17:$G$22)*Kalender!C192/SUM(Kalender!$C$5:$C$370),0)+IFERROR(SUMIF(Nutzungsprofile!$B$17:$B$22,"Halle",Nutzungsprofile!$G$17:$G$22)*Kalender!D192/SUM(Kalender!$D$5:$D$370),0)+IFERROR(SUMIF(Nutzungsprofile!$B$17:$B$22,"Individuell",Nutzungsprofile!$G$17:$G$22)*Kalender!E192/SUM(Kalender!$E$5:$E$370),0))*Szenarien!$D$24,0)</f>
        <v>0.89</v>
      </c>
      <c r="E4950" s="13" t="n">
        <f aca="false">IFERROR(MIN(C4950,Eingaben!$B$17)*Eingaben!$B$16,0)</f>
        <v>1.938</v>
      </c>
      <c r="F4950" s="13" t="n">
        <f aca="false">IFERROR(E4950*Eingaben!$B$15,0)</f>
        <v>1.7442</v>
      </c>
      <c r="G4950" s="13" t="n">
        <f aca="false">IFERROR(IF(Kalender!A192="",0,J4949*(1-Eingaben!$B$20)),0)</f>
        <v>1.709316</v>
      </c>
      <c r="H4950" s="13" t="n">
        <f aca="false">MIN(G4950,D4950)</f>
        <v>0.89</v>
      </c>
      <c r="I4950" s="13" t="n">
        <f aca="false">IFERROR(MIN(F4950*Eingaben!$B$19,MAX(0,D4950-H4950)),0)</f>
        <v>0</v>
      </c>
      <c r="J4950" s="13" t="n">
        <f aca="false">IFERROR(MIN(Eingaben!$B$18,MAX(0,F4950-I4950)),0)</f>
        <v>1.7442</v>
      </c>
      <c r="K4950" s="13" t="n">
        <f aca="false">H4950+I4950</f>
        <v>0.89</v>
      </c>
      <c r="L4950" s="13" t="n">
        <f aca="false">MAX(0,D4950-K4950)</f>
        <v>0</v>
      </c>
      <c r="M4950" s="13" t="n">
        <f aca="false">MAX(0,F4950-I4950-J4950)</f>
        <v>0</v>
      </c>
      <c r="N4950" s="13" t="n">
        <f aca="false">IF(Kalender!A192="",0,J4949-H4950)</f>
        <v>0.8542</v>
      </c>
    </row>
    <row r="4951" customFormat="false" ht="16.4" hidden="false" customHeight="false" outlineLevel="0" collapsed="false">
      <c r="A4951" s="13" t="str">
        <f aca="false">""</f>
        <v/>
      </c>
      <c r="B4951" s="13" t="n">
        <f aca="false">189</f>
        <v>189</v>
      </c>
      <c r="C4951" s="13" t="n">
        <f aca="false">IF(Szenarien!$H$24="OK",(IFERROR(SUMIF(Nutzungsprofile!$B$6:$B$11,"Schulbetrieb",Nutzungsprofile!$G$6:$G$11)*Kalender!C193/SUM(Kalender!$C$5:$C$370),0)+IFERROR(SUMIF(Nutzungsprofile!$B$6:$B$11,"Halle",Nutzungsprofile!$G$6:$G$11)*Kalender!D193/SUM(Kalender!$D$5:$D$370),0)+IFERROR(SUMIF(Nutzungsprofile!$B$6:$B$11,"Individuell",Nutzungsprofile!$G$6:$G$11)*Kalender!E193/SUM(Kalender!$E$5:$E$370),0))*Szenarien!$E$24,0)</f>
        <v>2.04</v>
      </c>
      <c r="D4951" s="13" t="n">
        <f aca="false">IF(Szenarien!$H$24="OK",(IFERROR(SUMIF(Nutzungsprofile!$B$17:$B$22,"Schulbetrieb",Nutzungsprofile!$G$17:$G$22)*Kalender!C193/SUM(Kalender!$C$5:$C$370),0)+IFERROR(SUMIF(Nutzungsprofile!$B$17:$B$22,"Halle",Nutzungsprofile!$G$17:$G$22)*Kalender!D193/SUM(Kalender!$D$5:$D$370),0)+IFERROR(SUMIF(Nutzungsprofile!$B$17:$B$22,"Individuell",Nutzungsprofile!$G$17:$G$22)*Kalender!E193/SUM(Kalender!$E$5:$E$370),0))*Szenarien!$D$24,0)</f>
        <v>0.89</v>
      </c>
      <c r="E4951" s="13" t="n">
        <f aca="false">IFERROR(MIN(C4951,Eingaben!$B$17)*Eingaben!$B$16,0)</f>
        <v>1.938</v>
      </c>
      <c r="F4951" s="13" t="n">
        <f aca="false">IFERROR(E4951*Eingaben!$B$15,0)</f>
        <v>1.7442</v>
      </c>
      <c r="G4951" s="13" t="n">
        <f aca="false">IFERROR(IF(Kalender!A193="",0,J4950*(1-Eingaben!$B$20)),0)</f>
        <v>1.709316</v>
      </c>
      <c r="H4951" s="13" t="n">
        <f aca="false">MIN(G4951,D4951)</f>
        <v>0.89</v>
      </c>
      <c r="I4951" s="13" t="n">
        <f aca="false">IFERROR(MIN(F4951*Eingaben!$B$19,MAX(0,D4951-H4951)),0)</f>
        <v>0</v>
      </c>
      <c r="J4951" s="13" t="n">
        <f aca="false">IFERROR(MIN(Eingaben!$B$18,MAX(0,F4951-I4951)),0)</f>
        <v>1.7442</v>
      </c>
      <c r="K4951" s="13" t="n">
        <f aca="false">H4951+I4951</f>
        <v>0.89</v>
      </c>
      <c r="L4951" s="13" t="n">
        <f aca="false">MAX(0,D4951-K4951)</f>
        <v>0</v>
      </c>
      <c r="M4951" s="13" t="n">
        <f aca="false">MAX(0,F4951-I4951-J4951)</f>
        <v>0</v>
      </c>
      <c r="N4951" s="13" t="n">
        <f aca="false">IF(Kalender!A193="",0,J4950-H4951)</f>
        <v>0.8542</v>
      </c>
    </row>
    <row r="4952" customFormat="false" ht="16.4" hidden="false" customHeight="false" outlineLevel="0" collapsed="false">
      <c r="A4952" s="13" t="str">
        <f aca="false">""</f>
        <v/>
      </c>
      <c r="B4952" s="13" t="n">
        <f aca="false">190</f>
        <v>190</v>
      </c>
      <c r="C4952" s="13" t="n">
        <f aca="false">IF(Szenarien!$H$24="OK",(IFERROR(SUMIF(Nutzungsprofile!$B$6:$B$11,"Schulbetrieb",Nutzungsprofile!$G$6:$G$11)*Kalender!C194/SUM(Kalender!$C$5:$C$370),0)+IFERROR(SUMIF(Nutzungsprofile!$B$6:$B$11,"Halle",Nutzungsprofile!$G$6:$G$11)*Kalender!D194/SUM(Kalender!$D$5:$D$370),0)+IFERROR(SUMIF(Nutzungsprofile!$B$6:$B$11,"Individuell",Nutzungsprofile!$G$6:$G$11)*Kalender!E194/SUM(Kalender!$E$5:$E$370),0))*Szenarien!$E$24,0)</f>
        <v>2.04</v>
      </c>
      <c r="D4952" s="13" t="n">
        <f aca="false">IF(Szenarien!$H$24="OK",(IFERROR(SUMIF(Nutzungsprofile!$B$17:$B$22,"Schulbetrieb",Nutzungsprofile!$G$17:$G$22)*Kalender!C194/SUM(Kalender!$C$5:$C$370),0)+IFERROR(SUMIF(Nutzungsprofile!$B$17:$B$22,"Halle",Nutzungsprofile!$G$17:$G$22)*Kalender!D194/SUM(Kalender!$D$5:$D$370),0)+IFERROR(SUMIF(Nutzungsprofile!$B$17:$B$22,"Individuell",Nutzungsprofile!$G$17:$G$22)*Kalender!E194/SUM(Kalender!$E$5:$E$370),0))*Szenarien!$D$24,0)</f>
        <v>0.89</v>
      </c>
      <c r="E4952" s="13" t="n">
        <f aca="false">IFERROR(MIN(C4952,Eingaben!$B$17)*Eingaben!$B$16,0)</f>
        <v>1.938</v>
      </c>
      <c r="F4952" s="13" t="n">
        <f aca="false">IFERROR(E4952*Eingaben!$B$15,0)</f>
        <v>1.7442</v>
      </c>
      <c r="G4952" s="13" t="n">
        <f aca="false">IFERROR(IF(Kalender!A194="",0,J4951*(1-Eingaben!$B$20)),0)</f>
        <v>1.709316</v>
      </c>
      <c r="H4952" s="13" t="n">
        <f aca="false">MIN(G4952,D4952)</f>
        <v>0.89</v>
      </c>
      <c r="I4952" s="13" t="n">
        <f aca="false">IFERROR(MIN(F4952*Eingaben!$B$19,MAX(0,D4952-H4952)),0)</f>
        <v>0</v>
      </c>
      <c r="J4952" s="13" t="n">
        <f aca="false">IFERROR(MIN(Eingaben!$B$18,MAX(0,F4952-I4952)),0)</f>
        <v>1.7442</v>
      </c>
      <c r="K4952" s="13" t="n">
        <f aca="false">H4952+I4952</f>
        <v>0.89</v>
      </c>
      <c r="L4952" s="13" t="n">
        <f aca="false">MAX(0,D4952-K4952)</f>
        <v>0</v>
      </c>
      <c r="M4952" s="13" t="n">
        <f aca="false">MAX(0,F4952-I4952-J4952)</f>
        <v>0</v>
      </c>
      <c r="N4952" s="13" t="n">
        <f aca="false">IF(Kalender!A194="",0,J4951-H4952)</f>
        <v>0.8542</v>
      </c>
    </row>
    <row r="4953" customFormat="false" ht="16.4" hidden="false" customHeight="false" outlineLevel="0" collapsed="false">
      <c r="A4953" s="13" t="str">
        <f aca="false">""</f>
        <v/>
      </c>
      <c r="B4953" s="13" t="n">
        <f aca="false">191</f>
        <v>191</v>
      </c>
      <c r="C4953" s="13" t="n">
        <f aca="false">IF(Szenarien!$H$24="OK",(IFERROR(SUMIF(Nutzungsprofile!$B$6:$B$11,"Schulbetrieb",Nutzungsprofile!$G$6:$G$11)*Kalender!C195/SUM(Kalender!$C$5:$C$370),0)+IFERROR(SUMIF(Nutzungsprofile!$B$6:$B$11,"Halle",Nutzungsprofile!$G$6:$G$11)*Kalender!D195/SUM(Kalender!$D$5:$D$370),0)+IFERROR(SUMIF(Nutzungsprofile!$B$6:$B$11,"Individuell",Nutzungsprofile!$G$6:$G$11)*Kalender!E195/SUM(Kalender!$E$5:$E$370),0))*Szenarien!$E$24,0)</f>
        <v>2.04</v>
      </c>
      <c r="D4953" s="13" t="n">
        <f aca="false">IF(Szenarien!$H$24="OK",(IFERROR(SUMIF(Nutzungsprofile!$B$17:$B$22,"Schulbetrieb",Nutzungsprofile!$G$17:$G$22)*Kalender!C195/SUM(Kalender!$C$5:$C$370),0)+IFERROR(SUMIF(Nutzungsprofile!$B$17:$B$22,"Halle",Nutzungsprofile!$G$17:$G$22)*Kalender!D195/SUM(Kalender!$D$5:$D$370),0)+IFERROR(SUMIF(Nutzungsprofile!$B$17:$B$22,"Individuell",Nutzungsprofile!$G$17:$G$22)*Kalender!E195/SUM(Kalender!$E$5:$E$370),0))*Szenarien!$D$24,0)</f>
        <v>0.89</v>
      </c>
      <c r="E4953" s="13" t="n">
        <f aca="false">IFERROR(MIN(C4953,Eingaben!$B$17)*Eingaben!$B$16,0)</f>
        <v>1.938</v>
      </c>
      <c r="F4953" s="13" t="n">
        <f aca="false">IFERROR(E4953*Eingaben!$B$15,0)</f>
        <v>1.7442</v>
      </c>
      <c r="G4953" s="13" t="n">
        <f aca="false">IFERROR(IF(Kalender!A195="",0,J4952*(1-Eingaben!$B$20)),0)</f>
        <v>1.709316</v>
      </c>
      <c r="H4953" s="13" t="n">
        <f aca="false">MIN(G4953,D4953)</f>
        <v>0.89</v>
      </c>
      <c r="I4953" s="13" t="n">
        <f aca="false">IFERROR(MIN(F4953*Eingaben!$B$19,MAX(0,D4953-H4953)),0)</f>
        <v>0</v>
      </c>
      <c r="J4953" s="13" t="n">
        <f aca="false">IFERROR(MIN(Eingaben!$B$18,MAX(0,F4953-I4953)),0)</f>
        <v>1.7442</v>
      </c>
      <c r="K4953" s="13" t="n">
        <f aca="false">H4953+I4953</f>
        <v>0.89</v>
      </c>
      <c r="L4953" s="13" t="n">
        <f aca="false">MAX(0,D4953-K4953)</f>
        <v>0</v>
      </c>
      <c r="M4953" s="13" t="n">
        <f aca="false">MAX(0,F4953-I4953-J4953)</f>
        <v>0</v>
      </c>
      <c r="N4953" s="13" t="n">
        <f aca="false">IF(Kalender!A195="",0,J4952-H4953)</f>
        <v>0.8542</v>
      </c>
    </row>
    <row r="4954" customFormat="false" ht="16.4" hidden="false" customHeight="false" outlineLevel="0" collapsed="false">
      <c r="A4954" s="13" t="str">
        <f aca="false">""</f>
        <v/>
      </c>
      <c r="B4954" s="13" t="n">
        <f aca="false">192</f>
        <v>192</v>
      </c>
      <c r="C4954" s="13" t="n">
        <f aca="false">IF(Szenarien!$H$24="OK",(IFERROR(SUMIF(Nutzungsprofile!$B$6:$B$11,"Schulbetrieb",Nutzungsprofile!$G$6:$G$11)*Kalender!C196/SUM(Kalender!$C$5:$C$370),0)+IFERROR(SUMIF(Nutzungsprofile!$B$6:$B$11,"Halle",Nutzungsprofile!$G$6:$G$11)*Kalender!D196/SUM(Kalender!$D$5:$D$370),0)+IFERROR(SUMIF(Nutzungsprofile!$B$6:$B$11,"Individuell",Nutzungsprofile!$G$6:$G$11)*Kalender!E196/SUM(Kalender!$E$5:$E$370),0))*Szenarien!$E$24,0)</f>
        <v>2.04</v>
      </c>
      <c r="D4954" s="13" t="n">
        <f aca="false">IF(Szenarien!$H$24="OK",(IFERROR(SUMIF(Nutzungsprofile!$B$17:$B$22,"Schulbetrieb",Nutzungsprofile!$G$17:$G$22)*Kalender!C196/SUM(Kalender!$C$5:$C$370),0)+IFERROR(SUMIF(Nutzungsprofile!$B$17:$B$22,"Halle",Nutzungsprofile!$G$17:$G$22)*Kalender!D196/SUM(Kalender!$D$5:$D$370),0)+IFERROR(SUMIF(Nutzungsprofile!$B$17:$B$22,"Individuell",Nutzungsprofile!$G$17:$G$22)*Kalender!E196/SUM(Kalender!$E$5:$E$370),0))*Szenarien!$D$24,0)</f>
        <v>0.89</v>
      </c>
      <c r="E4954" s="13" t="n">
        <f aca="false">IFERROR(MIN(C4954,Eingaben!$B$17)*Eingaben!$B$16,0)</f>
        <v>1.938</v>
      </c>
      <c r="F4954" s="13" t="n">
        <f aca="false">IFERROR(E4954*Eingaben!$B$15,0)</f>
        <v>1.7442</v>
      </c>
      <c r="G4954" s="13" t="n">
        <f aca="false">IFERROR(IF(Kalender!A196="",0,J4953*(1-Eingaben!$B$20)),0)</f>
        <v>1.709316</v>
      </c>
      <c r="H4954" s="13" t="n">
        <f aca="false">MIN(G4954,D4954)</f>
        <v>0.89</v>
      </c>
      <c r="I4954" s="13" t="n">
        <f aca="false">IFERROR(MIN(F4954*Eingaben!$B$19,MAX(0,D4954-H4954)),0)</f>
        <v>0</v>
      </c>
      <c r="J4954" s="13" t="n">
        <f aca="false">IFERROR(MIN(Eingaben!$B$18,MAX(0,F4954-I4954)),0)</f>
        <v>1.7442</v>
      </c>
      <c r="K4954" s="13" t="n">
        <f aca="false">H4954+I4954</f>
        <v>0.89</v>
      </c>
      <c r="L4954" s="13" t="n">
        <f aca="false">MAX(0,D4954-K4954)</f>
        <v>0</v>
      </c>
      <c r="M4954" s="13" t="n">
        <f aca="false">MAX(0,F4954-I4954-J4954)</f>
        <v>0</v>
      </c>
      <c r="N4954" s="13" t="n">
        <f aca="false">IF(Kalender!A196="",0,J4953-H4954)</f>
        <v>0.8542</v>
      </c>
    </row>
    <row r="4955" customFormat="false" ht="16.4" hidden="false" customHeight="false" outlineLevel="0" collapsed="false">
      <c r="A4955" s="13" t="str">
        <f aca="false">""</f>
        <v/>
      </c>
      <c r="B4955" s="13" t="n">
        <f aca="false">193</f>
        <v>193</v>
      </c>
      <c r="C4955" s="13" t="n">
        <f aca="false">IF(Szenarien!$H$24="OK",(IFERROR(SUMIF(Nutzungsprofile!$B$6:$B$11,"Schulbetrieb",Nutzungsprofile!$G$6:$G$11)*Kalender!C197/SUM(Kalender!$C$5:$C$370),0)+IFERROR(SUMIF(Nutzungsprofile!$B$6:$B$11,"Halle",Nutzungsprofile!$G$6:$G$11)*Kalender!D197/SUM(Kalender!$D$5:$D$370),0)+IFERROR(SUMIF(Nutzungsprofile!$B$6:$B$11,"Individuell",Nutzungsprofile!$G$6:$G$11)*Kalender!E197/SUM(Kalender!$E$5:$E$370),0))*Szenarien!$E$24,0)</f>
        <v>2.04</v>
      </c>
      <c r="D4955" s="13" t="n">
        <f aca="false">IF(Szenarien!$H$24="OK",(IFERROR(SUMIF(Nutzungsprofile!$B$17:$B$22,"Schulbetrieb",Nutzungsprofile!$G$17:$G$22)*Kalender!C197/SUM(Kalender!$C$5:$C$370),0)+IFERROR(SUMIF(Nutzungsprofile!$B$17:$B$22,"Halle",Nutzungsprofile!$G$17:$G$22)*Kalender!D197/SUM(Kalender!$D$5:$D$370),0)+IFERROR(SUMIF(Nutzungsprofile!$B$17:$B$22,"Individuell",Nutzungsprofile!$G$17:$G$22)*Kalender!E197/SUM(Kalender!$E$5:$E$370),0))*Szenarien!$D$24,0)</f>
        <v>0.89</v>
      </c>
      <c r="E4955" s="13" t="n">
        <f aca="false">IFERROR(MIN(C4955,Eingaben!$B$17)*Eingaben!$B$16,0)</f>
        <v>1.938</v>
      </c>
      <c r="F4955" s="13" t="n">
        <f aca="false">IFERROR(E4955*Eingaben!$B$15,0)</f>
        <v>1.7442</v>
      </c>
      <c r="G4955" s="13" t="n">
        <f aca="false">IFERROR(IF(Kalender!A197="",0,J4954*(1-Eingaben!$B$20)),0)</f>
        <v>1.709316</v>
      </c>
      <c r="H4955" s="13" t="n">
        <f aca="false">MIN(G4955,D4955)</f>
        <v>0.89</v>
      </c>
      <c r="I4955" s="13" t="n">
        <f aca="false">IFERROR(MIN(F4955*Eingaben!$B$19,MAX(0,D4955-H4955)),0)</f>
        <v>0</v>
      </c>
      <c r="J4955" s="13" t="n">
        <f aca="false">IFERROR(MIN(Eingaben!$B$18,MAX(0,F4955-I4955)),0)</f>
        <v>1.7442</v>
      </c>
      <c r="K4955" s="13" t="n">
        <f aca="false">H4955+I4955</f>
        <v>0.89</v>
      </c>
      <c r="L4955" s="13" t="n">
        <f aca="false">MAX(0,D4955-K4955)</f>
        <v>0</v>
      </c>
      <c r="M4955" s="13" t="n">
        <f aca="false">MAX(0,F4955-I4955-J4955)</f>
        <v>0</v>
      </c>
      <c r="N4955" s="13" t="n">
        <f aca="false">IF(Kalender!A197="",0,J4954-H4955)</f>
        <v>0.8542</v>
      </c>
    </row>
    <row r="4956" customFormat="false" ht="16.4" hidden="false" customHeight="false" outlineLevel="0" collapsed="false">
      <c r="A4956" s="13" t="str">
        <f aca="false">""</f>
        <v/>
      </c>
      <c r="B4956" s="13" t="n">
        <f aca="false">194</f>
        <v>194</v>
      </c>
      <c r="C4956" s="13" t="n">
        <f aca="false">IF(Szenarien!$H$24="OK",(IFERROR(SUMIF(Nutzungsprofile!$B$6:$B$11,"Schulbetrieb",Nutzungsprofile!$G$6:$G$11)*Kalender!C198/SUM(Kalender!$C$5:$C$370),0)+IFERROR(SUMIF(Nutzungsprofile!$B$6:$B$11,"Halle",Nutzungsprofile!$G$6:$G$11)*Kalender!D198/SUM(Kalender!$D$5:$D$370),0)+IFERROR(SUMIF(Nutzungsprofile!$B$6:$B$11,"Individuell",Nutzungsprofile!$G$6:$G$11)*Kalender!E198/SUM(Kalender!$E$5:$E$370),0))*Szenarien!$E$24,0)</f>
        <v>2.04</v>
      </c>
      <c r="D4956" s="13" t="n">
        <f aca="false">IF(Szenarien!$H$24="OK",(IFERROR(SUMIF(Nutzungsprofile!$B$17:$B$22,"Schulbetrieb",Nutzungsprofile!$G$17:$G$22)*Kalender!C198/SUM(Kalender!$C$5:$C$370),0)+IFERROR(SUMIF(Nutzungsprofile!$B$17:$B$22,"Halle",Nutzungsprofile!$G$17:$G$22)*Kalender!D198/SUM(Kalender!$D$5:$D$370),0)+IFERROR(SUMIF(Nutzungsprofile!$B$17:$B$22,"Individuell",Nutzungsprofile!$G$17:$G$22)*Kalender!E198/SUM(Kalender!$E$5:$E$370),0))*Szenarien!$D$24,0)</f>
        <v>0.89</v>
      </c>
      <c r="E4956" s="13" t="n">
        <f aca="false">IFERROR(MIN(C4956,Eingaben!$B$17)*Eingaben!$B$16,0)</f>
        <v>1.938</v>
      </c>
      <c r="F4956" s="13" t="n">
        <f aca="false">IFERROR(E4956*Eingaben!$B$15,0)</f>
        <v>1.7442</v>
      </c>
      <c r="G4956" s="13" t="n">
        <f aca="false">IFERROR(IF(Kalender!A198="",0,J4955*(1-Eingaben!$B$20)),0)</f>
        <v>1.709316</v>
      </c>
      <c r="H4956" s="13" t="n">
        <f aca="false">MIN(G4956,D4956)</f>
        <v>0.89</v>
      </c>
      <c r="I4956" s="13" t="n">
        <f aca="false">IFERROR(MIN(F4956*Eingaben!$B$19,MAX(0,D4956-H4956)),0)</f>
        <v>0</v>
      </c>
      <c r="J4956" s="13" t="n">
        <f aca="false">IFERROR(MIN(Eingaben!$B$18,MAX(0,F4956-I4956)),0)</f>
        <v>1.7442</v>
      </c>
      <c r="K4956" s="13" t="n">
        <f aca="false">H4956+I4956</f>
        <v>0.89</v>
      </c>
      <c r="L4956" s="13" t="n">
        <f aca="false">MAX(0,D4956-K4956)</f>
        <v>0</v>
      </c>
      <c r="M4956" s="13" t="n">
        <f aca="false">MAX(0,F4956-I4956-J4956)</f>
        <v>0</v>
      </c>
      <c r="N4956" s="13" t="n">
        <f aca="false">IF(Kalender!A198="",0,J4955-H4956)</f>
        <v>0.8542</v>
      </c>
    </row>
    <row r="4957" customFormat="false" ht="16.4" hidden="false" customHeight="false" outlineLevel="0" collapsed="false">
      <c r="A4957" s="13" t="str">
        <f aca="false">""</f>
        <v/>
      </c>
      <c r="B4957" s="13" t="n">
        <f aca="false">195</f>
        <v>195</v>
      </c>
      <c r="C4957" s="13" t="n">
        <f aca="false">IF(Szenarien!$H$24="OK",(IFERROR(SUMIF(Nutzungsprofile!$B$6:$B$11,"Schulbetrieb",Nutzungsprofile!$G$6:$G$11)*Kalender!C199/SUM(Kalender!$C$5:$C$370),0)+IFERROR(SUMIF(Nutzungsprofile!$B$6:$B$11,"Halle",Nutzungsprofile!$G$6:$G$11)*Kalender!D199/SUM(Kalender!$D$5:$D$370),0)+IFERROR(SUMIF(Nutzungsprofile!$B$6:$B$11,"Individuell",Nutzungsprofile!$G$6:$G$11)*Kalender!E199/SUM(Kalender!$E$5:$E$370),0))*Szenarien!$E$24,0)</f>
        <v>2.04</v>
      </c>
      <c r="D4957" s="13" t="n">
        <f aca="false">IF(Szenarien!$H$24="OK",(IFERROR(SUMIF(Nutzungsprofile!$B$17:$B$22,"Schulbetrieb",Nutzungsprofile!$G$17:$G$22)*Kalender!C199/SUM(Kalender!$C$5:$C$370),0)+IFERROR(SUMIF(Nutzungsprofile!$B$17:$B$22,"Halle",Nutzungsprofile!$G$17:$G$22)*Kalender!D199/SUM(Kalender!$D$5:$D$370),0)+IFERROR(SUMIF(Nutzungsprofile!$B$17:$B$22,"Individuell",Nutzungsprofile!$G$17:$G$22)*Kalender!E199/SUM(Kalender!$E$5:$E$370),0))*Szenarien!$D$24,0)</f>
        <v>0.89</v>
      </c>
      <c r="E4957" s="13" t="n">
        <f aca="false">IFERROR(MIN(C4957,Eingaben!$B$17)*Eingaben!$B$16,0)</f>
        <v>1.938</v>
      </c>
      <c r="F4957" s="13" t="n">
        <f aca="false">IFERROR(E4957*Eingaben!$B$15,0)</f>
        <v>1.7442</v>
      </c>
      <c r="G4957" s="13" t="n">
        <f aca="false">IFERROR(IF(Kalender!A199="",0,J4956*(1-Eingaben!$B$20)),0)</f>
        <v>1.709316</v>
      </c>
      <c r="H4957" s="13" t="n">
        <f aca="false">MIN(G4957,D4957)</f>
        <v>0.89</v>
      </c>
      <c r="I4957" s="13" t="n">
        <f aca="false">IFERROR(MIN(F4957*Eingaben!$B$19,MAX(0,D4957-H4957)),0)</f>
        <v>0</v>
      </c>
      <c r="J4957" s="13" t="n">
        <f aca="false">IFERROR(MIN(Eingaben!$B$18,MAX(0,F4957-I4957)),0)</f>
        <v>1.7442</v>
      </c>
      <c r="K4957" s="13" t="n">
        <f aca="false">H4957+I4957</f>
        <v>0.89</v>
      </c>
      <c r="L4957" s="13" t="n">
        <f aca="false">MAX(0,D4957-K4957)</f>
        <v>0</v>
      </c>
      <c r="M4957" s="13" t="n">
        <f aca="false">MAX(0,F4957-I4957-J4957)</f>
        <v>0</v>
      </c>
      <c r="N4957" s="13" t="n">
        <f aca="false">IF(Kalender!A199="",0,J4956-H4957)</f>
        <v>0.8542</v>
      </c>
    </row>
    <row r="4958" customFormat="false" ht="16.4" hidden="false" customHeight="false" outlineLevel="0" collapsed="false">
      <c r="A4958" s="13" t="str">
        <f aca="false">""</f>
        <v/>
      </c>
      <c r="B4958" s="13" t="n">
        <f aca="false">196</f>
        <v>196</v>
      </c>
      <c r="C4958" s="13" t="n">
        <f aca="false">IF(Szenarien!$H$24="OK",(IFERROR(SUMIF(Nutzungsprofile!$B$6:$B$11,"Schulbetrieb",Nutzungsprofile!$G$6:$G$11)*Kalender!C200/SUM(Kalender!$C$5:$C$370),0)+IFERROR(SUMIF(Nutzungsprofile!$B$6:$B$11,"Halle",Nutzungsprofile!$G$6:$G$11)*Kalender!D200/SUM(Kalender!$D$5:$D$370),0)+IFERROR(SUMIF(Nutzungsprofile!$B$6:$B$11,"Individuell",Nutzungsprofile!$G$6:$G$11)*Kalender!E200/SUM(Kalender!$E$5:$E$370),0))*Szenarien!$E$24,0)</f>
        <v>2.04</v>
      </c>
      <c r="D4958" s="13" t="n">
        <f aca="false">IF(Szenarien!$H$24="OK",(IFERROR(SUMIF(Nutzungsprofile!$B$17:$B$22,"Schulbetrieb",Nutzungsprofile!$G$17:$G$22)*Kalender!C200/SUM(Kalender!$C$5:$C$370),0)+IFERROR(SUMIF(Nutzungsprofile!$B$17:$B$22,"Halle",Nutzungsprofile!$G$17:$G$22)*Kalender!D200/SUM(Kalender!$D$5:$D$370),0)+IFERROR(SUMIF(Nutzungsprofile!$B$17:$B$22,"Individuell",Nutzungsprofile!$G$17:$G$22)*Kalender!E200/SUM(Kalender!$E$5:$E$370),0))*Szenarien!$D$24,0)</f>
        <v>0.89</v>
      </c>
      <c r="E4958" s="13" t="n">
        <f aca="false">IFERROR(MIN(C4958,Eingaben!$B$17)*Eingaben!$B$16,0)</f>
        <v>1.938</v>
      </c>
      <c r="F4958" s="13" t="n">
        <f aca="false">IFERROR(E4958*Eingaben!$B$15,0)</f>
        <v>1.7442</v>
      </c>
      <c r="G4958" s="13" t="n">
        <f aca="false">IFERROR(IF(Kalender!A200="",0,J4957*(1-Eingaben!$B$20)),0)</f>
        <v>1.709316</v>
      </c>
      <c r="H4958" s="13" t="n">
        <f aca="false">MIN(G4958,D4958)</f>
        <v>0.89</v>
      </c>
      <c r="I4958" s="13" t="n">
        <f aca="false">IFERROR(MIN(F4958*Eingaben!$B$19,MAX(0,D4958-H4958)),0)</f>
        <v>0</v>
      </c>
      <c r="J4958" s="13" t="n">
        <f aca="false">IFERROR(MIN(Eingaben!$B$18,MAX(0,F4958-I4958)),0)</f>
        <v>1.7442</v>
      </c>
      <c r="K4958" s="13" t="n">
        <f aca="false">H4958+I4958</f>
        <v>0.89</v>
      </c>
      <c r="L4958" s="13" t="n">
        <f aca="false">MAX(0,D4958-K4958)</f>
        <v>0</v>
      </c>
      <c r="M4958" s="13" t="n">
        <f aca="false">MAX(0,F4958-I4958-J4958)</f>
        <v>0</v>
      </c>
      <c r="N4958" s="13" t="n">
        <f aca="false">IF(Kalender!A200="",0,J4957-H4958)</f>
        <v>0.8542</v>
      </c>
    </row>
    <row r="4959" customFormat="false" ht="16.4" hidden="false" customHeight="false" outlineLevel="0" collapsed="false">
      <c r="A4959" s="13" t="str">
        <f aca="false">""</f>
        <v/>
      </c>
      <c r="B4959" s="13" t="n">
        <f aca="false">197</f>
        <v>197</v>
      </c>
      <c r="C4959" s="13" t="n">
        <f aca="false">IF(Szenarien!$H$24="OK",(IFERROR(SUMIF(Nutzungsprofile!$B$6:$B$11,"Schulbetrieb",Nutzungsprofile!$G$6:$G$11)*Kalender!C201/SUM(Kalender!$C$5:$C$370),0)+IFERROR(SUMIF(Nutzungsprofile!$B$6:$B$11,"Halle",Nutzungsprofile!$G$6:$G$11)*Kalender!D201/SUM(Kalender!$D$5:$D$370),0)+IFERROR(SUMIF(Nutzungsprofile!$B$6:$B$11,"Individuell",Nutzungsprofile!$G$6:$G$11)*Kalender!E201/SUM(Kalender!$E$5:$E$370),0))*Szenarien!$E$24,0)</f>
        <v>2.04</v>
      </c>
      <c r="D4959" s="13" t="n">
        <f aca="false">IF(Szenarien!$H$24="OK",(IFERROR(SUMIF(Nutzungsprofile!$B$17:$B$22,"Schulbetrieb",Nutzungsprofile!$G$17:$G$22)*Kalender!C201/SUM(Kalender!$C$5:$C$370),0)+IFERROR(SUMIF(Nutzungsprofile!$B$17:$B$22,"Halle",Nutzungsprofile!$G$17:$G$22)*Kalender!D201/SUM(Kalender!$D$5:$D$370),0)+IFERROR(SUMIF(Nutzungsprofile!$B$17:$B$22,"Individuell",Nutzungsprofile!$G$17:$G$22)*Kalender!E201/SUM(Kalender!$E$5:$E$370),0))*Szenarien!$D$24,0)</f>
        <v>0.89</v>
      </c>
      <c r="E4959" s="13" t="n">
        <f aca="false">IFERROR(MIN(C4959,Eingaben!$B$17)*Eingaben!$B$16,0)</f>
        <v>1.938</v>
      </c>
      <c r="F4959" s="13" t="n">
        <f aca="false">IFERROR(E4959*Eingaben!$B$15,0)</f>
        <v>1.7442</v>
      </c>
      <c r="G4959" s="13" t="n">
        <f aca="false">IFERROR(IF(Kalender!A201="",0,J4958*(1-Eingaben!$B$20)),0)</f>
        <v>1.709316</v>
      </c>
      <c r="H4959" s="13" t="n">
        <f aca="false">MIN(G4959,D4959)</f>
        <v>0.89</v>
      </c>
      <c r="I4959" s="13" t="n">
        <f aca="false">IFERROR(MIN(F4959*Eingaben!$B$19,MAX(0,D4959-H4959)),0)</f>
        <v>0</v>
      </c>
      <c r="J4959" s="13" t="n">
        <f aca="false">IFERROR(MIN(Eingaben!$B$18,MAX(0,F4959-I4959)),0)</f>
        <v>1.7442</v>
      </c>
      <c r="K4959" s="13" t="n">
        <f aca="false">H4959+I4959</f>
        <v>0.89</v>
      </c>
      <c r="L4959" s="13" t="n">
        <f aca="false">MAX(0,D4959-K4959)</f>
        <v>0</v>
      </c>
      <c r="M4959" s="13" t="n">
        <f aca="false">MAX(0,F4959-I4959-J4959)</f>
        <v>0</v>
      </c>
      <c r="N4959" s="13" t="n">
        <f aca="false">IF(Kalender!A201="",0,J4958-H4959)</f>
        <v>0.8542</v>
      </c>
    </row>
    <row r="4960" customFormat="false" ht="16.4" hidden="false" customHeight="false" outlineLevel="0" collapsed="false">
      <c r="A4960" s="13" t="str">
        <f aca="false">""</f>
        <v/>
      </c>
      <c r="B4960" s="13" t="n">
        <f aca="false">198</f>
        <v>198</v>
      </c>
      <c r="C4960" s="13" t="n">
        <f aca="false">IF(Szenarien!$H$24="OK",(IFERROR(SUMIF(Nutzungsprofile!$B$6:$B$11,"Schulbetrieb",Nutzungsprofile!$G$6:$G$11)*Kalender!C202/SUM(Kalender!$C$5:$C$370),0)+IFERROR(SUMIF(Nutzungsprofile!$B$6:$B$11,"Halle",Nutzungsprofile!$G$6:$G$11)*Kalender!D202/SUM(Kalender!$D$5:$D$370),0)+IFERROR(SUMIF(Nutzungsprofile!$B$6:$B$11,"Individuell",Nutzungsprofile!$G$6:$G$11)*Kalender!E202/SUM(Kalender!$E$5:$E$370),0))*Szenarien!$E$24,0)</f>
        <v>2.04</v>
      </c>
      <c r="D4960" s="13" t="n">
        <f aca="false">IF(Szenarien!$H$24="OK",(IFERROR(SUMIF(Nutzungsprofile!$B$17:$B$22,"Schulbetrieb",Nutzungsprofile!$G$17:$G$22)*Kalender!C202/SUM(Kalender!$C$5:$C$370),0)+IFERROR(SUMIF(Nutzungsprofile!$B$17:$B$22,"Halle",Nutzungsprofile!$G$17:$G$22)*Kalender!D202/SUM(Kalender!$D$5:$D$370),0)+IFERROR(SUMIF(Nutzungsprofile!$B$17:$B$22,"Individuell",Nutzungsprofile!$G$17:$G$22)*Kalender!E202/SUM(Kalender!$E$5:$E$370),0))*Szenarien!$D$24,0)</f>
        <v>0.89</v>
      </c>
      <c r="E4960" s="13" t="n">
        <f aca="false">IFERROR(MIN(C4960,Eingaben!$B$17)*Eingaben!$B$16,0)</f>
        <v>1.938</v>
      </c>
      <c r="F4960" s="13" t="n">
        <f aca="false">IFERROR(E4960*Eingaben!$B$15,0)</f>
        <v>1.7442</v>
      </c>
      <c r="G4960" s="13" t="n">
        <f aca="false">IFERROR(IF(Kalender!A202="",0,J4959*(1-Eingaben!$B$20)),0)</f>
        <v>1.709316</v>
      </c>
      <c r="H4960" s="13" t="n">
        <f aca="false">MIN(G4960,D4960)</f>
        <v>0.89</v>
      </c>
      <c r="I4960" s="13" t="n">
        <f aca="false">IFERROR(MIN(F4960*Eingaben!$B$19,MAX(0,D4960-H4960)),0)</f>
        <v>0</v>
      </c>
      <c r="J4960" s="13" t="n">
        <f aca="false">IFERROR(MIN(Eingaben!$B$18,MAX(0,F4960-I4960)),0)</f>
        <v>1.7442</v>
      </c>
      <c r="K4960" s="13" t="n">
        <f aca="false">H4960+I4960</f>
        <v>0.89</v>
      </c>
      <c r="L4960" s="13" t="n">
        <f aca="false">MAX(0,D4960-K4960)</f>
        <v>0</v>
      </c>
      <c r="M4960" s="13" t="n">
        <f aca="false">MAX(0,F4960-I4960-J4960)</f>
        <v>0</v>
      </c>
      <c r="N4960" s="13" t="n">
        <f aca="false">IF(Kalender!A202="",0,J4959-H4960)</f>
        <v>0.8542</v>
      </c>
    </row>
    <row r="4961" customFormat="false" ht="16.4" hidden="false" customHeight="false" outlineLevel="0" collapsed="false">
      <c r="A4961" s="13" t="str">
        <f aca="false">""</f>
        <v/>
      </c>
      <c r="B4961" s="13" t="n">
        <f aca="false">199</f>
        <v>199</v>
      </c>
      <c r="C4961" s="13" t="n">
        <f aca="false">IF(Szenarien!$H$24="OK",(IFERROR(SUMIF(Nutzungsprofile!$B$6:$B$11,"Schulbetrieb",Nutzungsprofile!$G$6:$G$11)*Kalender!C203/SUM(Kalender!$C$5:$C$370),0)+IFERROR(SUMIF(Nutzungsprofile!$B$6:$B$11,"Halle",Nutzungsprofile!$G$6:$G$11)*Kalender!D203/SUM(Kalender!$D$5:$D$370),0)+IFERROR(SUMIF(Nutzungsprofile!$B$6:$B$11,"Individuell",Nutzungsprofile!$G$6:$G$11)*Kalender!E203/SUM(Kalender!$E$5:$E$370),0))*Szenarien!$E$24,0)</f>
        <v>2.04</v>
      </c>
      <c r="D4961" s="13" t="n">
        <f aca="false">IF(Szenarien!$H$24="OK",(IFERROR(SUMIF(Nutzungsprofile!$B$17:$B$22,"Schulbetrieb",Nutzungsprofile!$G$17:$G$22)*Kalender!C203/SUM(Kalender!$C$5:$C$370),0)+IFERROR(SUMIF(Nutzungsprofile!$B$17:$B$22,"Halle",Nutzungsprofile!$G$17:$G$22)*Kalender!D203/SUM(Kalender!$D$5:$D$370),0)+IFERROR(SUMIF(Nutzungsprofile!$B$17:$B$22,"Individuell",Nutzungsprofile!$G$17:$G$22)*Kalender!E203/SUM(Kalender!$E$5:$E$370),0))*Szenarien!$D$24,0)</f>
        <v>0.89</v>
      </c>
      <c r="E4961" s="13" t="n">
        <f aca="false">IFERROR(MIN(C4961,Eingaben!$B$17)*Eingaben!$B$16,0)</f>
        <v>1.938</v>
      </c>
      <c r="F4961" s="13" t="n">
        <f aca="false">IFERROR(E4961*Eingaben!$B$15,0)</f>
        <v>1.7442</v>
      </c>
      <c r="G4961" s="13" t="n">
        <f aca="false">IFERROR(IF(Kalender!A203="",0,J4960*(1-Eingaben!$B$20)),0)</f>
        <v>1.709316</v>
      </c>
      <c r="H4961" s="13" t="n">
        <f aca="false">MIN(G4961,D4961)</f>
        <v>0.89</v>
      </c>
      <c r="I4961" s="13" t="n">
        <f aca="false">IFERROR(MIN(F4961*Eingaben!$B$19,MAX(0,D4961-H4961)),0)</f>
        <v>0</v>
      </c>
      <c r="J4961" s="13" t="n">
        <f aca="false">IFERROR(MIN(Eingaben!$B$18,MAX(0,F4961-I4961)),0)</f>
        <v>1.7442</v>
      </c>
      <c r="K4961" s="13" t="n">
        <f aca="false">H4961+I4961</f>
        <v>0.89</v>
      </c>
      <c r="L4961" s="13" t="n">
        <f aca="false">MAX(0,D4961-K4961)</f>
        <v>0</v>
      </c>
      <c r="M4961" s="13" t="n">
        <f aca="false">MAX(0,F4961-I4961-J4961)</f>
        <v>0</v>
      </c>
      <c r="N4961" s="13" t="n">
        <f aca="false">IF(Kalender!A203="",0,J4960-H4961)</f>
        <v>0.8542</v>
      </c>
    </row>
    <row r="4962" customFormat="false" ht="16.4" hidden="false" customHeight="false" outlineLevel="0" collapsed="false">
      <c r="A4962" s="13" t="str">
        <f aca="false">""</f>
        <v/>
      </c>
      <c r="B4962" s="13" t="n">
        <f aca="false">200</f>
        <v>200</v>
      </c>
      <c r="C4962" s="13" t="n">
        <f aca="false">IF(Szenarien!$H$24="OK",(IFERROR(SUMIF(Nutzungsprofile!$B$6:$B$11,"Schulbetrieb",Nutzungsprofile!$G$6:$G$11)*Kalender!C204/SUM(Kalender!$C$5:$C$370),0)+IFERROR(SUMIF(Nutzungsprofile!$B$6:$B$11,"Halle",Nutzungsprofile!$G$6:$G$11)*Kalender!D204/SUM(Kalender!$D$5:$D$370),0)+IFERROR(SUMIF(Nutzungsprofile!$B$6:$B$11,"Individuell",Nutzungsprofile!$G$6:$G$11)*Kalender!E204/SUM(Kalender!$E$5:$E$370),0))*Szenarien!$E$24,0)</f>
        <v>2.04</v>
      </c>
      <c r="D4962" s="13" t="n">
        <f aca="false">IF(Szenarien!$H$24="OK",(IFERROR(SUMIF(Nutzungsprofile!$B$17:$B$22,"Schulbetrieb",Nutzungsprofile!$G$17:$G$22)*Kalender!C204/SUM(Kalender!$C$5:$C$370),0)+IFERROR(SUMIF(Nutzungsprofile!$B$17:$B$22,"Halle",Nutzungsprofile!$G$17:$G$22)*Kalender!D204/SUM(Kalender!$D$5:$D$370),0)+IFERROR(SUMIF(Nutzungsprofile!$B$17:$B$22,"Individuell",Nutzungsprofile!$G$17:$G$22)*Kalender!E204/SUM(Kalender!$E$5:$E$370),0))*Szenarien!$D$24,0)</f>
        <v>0.89</v>
      </c>
      <c r="E4962" s="13" t="n">
        <f aca="false">IFERROR(MIN(C4962,Eingaben!$B$17)*Eingaben!$B$16,0)</f>
        <v>1.938</v>
      </c>
      <c r="F4962" s="13" t="n">
        <f aca="false">IFERROR(E4962*Eingaben!$B$15,0)</f>
        <v>1.7442</v>
      </c>
      <c r="G4962" s="13" t="n">
        <f aca="false">IFERROR(IF(Kalender!A204="",0,J4961*(1-Eingaben!$B$20)),0)</f>
        <v>1.709316</v>
      </c>
      <c r="H4962" s="13" t="n">
        <f aca="false">MIN(G4962,D4962)</f>
        <v>0.89</v>
      </c>
      <c r="I4962" s="13" t="n">
        <f aca="false">IFERROR(MIN(F4962*Eingaben!$B$19,MAX(0,D4962-H4962)),0)</f>
        <v>0</v>
      </c>
      <c r="J4962" s="13" t="n">
        <f aca="false">IFERROR(MIN(Eingaben!$B$18,MAX(0,F4962-I4962)),0)</f>
        <v>1.7442</v>
      </c>
      <c r="K4962" s="13" t="n">
        <f aca="false">H4962+I4962</f>
        <v>0.89</v>
      </c>
      <c r="L4962" s="13" t="n">
        <f aca="false">MAX(0,D4962-K4962)</f>
        <v>0</v>
      </c>
      <c r="M4962" s="13" t="n">
        <f aca="false">MAX(0,F4962-I4962-J4962)</f>
        <v>0</v>
      </c>
      <c r="N4962" s="13" t="n">
        <f aca="false">IF(Kalender!A204="",0,J4961-H4962)</f>
        <v>0.8542</v>
      </c>
    </row>
    <row r="4963" customFormat="false" ht="16.4" hidden="false" customHeight="false" outlineLevel="0" collapsed="false">
      <c r="A4963" s="13" t="str">
        <f aca="false">""</f>
        <v/>
      </c>
      <c r="B4963" s="13" t="n">
        <f aca="false">201</f>
        <v>201</v>
      </c>
      <c r="C4963" s="13" t="n">
        <f aca="false">IF(Szenarien!$H$24="OK",(IFERROR(SUMIF(Nutzungsprofile!$B$6:$B$11,"Schulbetrieb",Nutzungsprofile!$G$6:$G$11)*Kalender!C205/SUM(Kalender!$C$5:$C$370),0)+IFERROR(SUMIF(Nutzungsprofile!$B$6:$B$11,"Halle",Nutzungsprofile!$G$6:$G$11)*Kalender!D205/SUM(Kalender!$D$5:$D$370),0)+IFERROR(SUMIF(Nutzungsprofile!$B$6:$B$11,"Individuell",Nutzungsprofile!$G$6:$G$11)*Kalender!E205/SUM(Kalender!$E$5:$E$370),0))*Szenarien!$E$24,0)</f>
        <v>2.04</v>
      </c>
      <c r="D4963" s="13" t="n">
        <f aca="false">IF(Szenarien!$H$24="OK",(IFERROR(SUMIF(Nutzungsprofile!$B$17:$B$22,"Schulbetrieb",Nutzungsprofile!$G$17:$G$22)*Kalender!C205/SUM(Kalender!$C$5:$C$370),0)+IFERROR(SUMIF(Nutzungsprofile!$B$17:$B$22,"Halle",Nutzungsprofile!$G$17:$G$22)*Kalender!D205/SUM(Kalender!$D$5:$D$370),0)+IFERROR(SUMIF(Nutzungsprofile!$B$17:$B$22,"Individuell",Nutzungsprofile!$G$17:$G$22)*Kalender!E205/SUM(Kalender!$E$5:$E$370),0))*Szenarien!$D$24,0)</f>
        <v>0.89</v>
      </c>
      <c r="E4963" s="13" t="n">
        <f aca="false">IFERROR(MIN(C4963,Eingaben!$B$17)*Eingaben!$B$16,0)</f>
        <v>1.938</v>
      </c>
      <c r="F4963" s="13" t="n">
        <f aca="false">IFERROR(E4963*Eingaben!$B$15,0)</f>
        <v>1.7442</v>
      </c>
      <c r="G4963" s="13" t="n">
        <f aca="false">IFERROR(IF(Kalender!A205="",0,J4962*(1-Eingaben!$B$20)),0)</f>
        <v>1.709316</v>
      </c>
      <c r="H4963" s="13" t="n">
        <f aca="false">MIN(G4963,D4963)</f>
        <v>0.89</v>
      </c>
      <c r="I4963" s="13" t="n">
        <f aca="false">IFERROR(MIN(F4963*Eingaben!$B$19,MAX(0,D4963-H4963)),0)</f>
        <v>0</v>
      </c>
      <c r="J4963" s="13" t="n">
        <f aca="false">IFERROR(MIN(Eingaben!$B$18,MAX(0,F4963-I4963)),0)</f>
        <v>1.7442</v>
      </c>
      <c r="K4963" s="13" t="n">
        <f aca="false">H4963+I4963</f>
        <v>0.89</v>
      </c>
      <c r="L4963" s="13" t="n">
        <f aca="false">MAX(0,D4963-K4963)</f>
        <v>0</v>
      </c>
      <c r="M4963" s="13" t="n">
        <f aca="false">MAX(0,F4963-I4963-J4963)</f>
        <v>0</v>
      </c>
      <c r="N4963" s="13" t="n">
        <f aca="false">IF(Kalender!A205="",0,J4962-H4963)</f>
        <v>0.8542</v>
      </c>
    </row>
    <row r="4964" customFormat="false" ht="16.4" hidden="false" customHeight="false" outlineLevel="0" collapsed="false">
      <c r="A4964" s="13" t="str">
        <f aca="false">""</f>
        <v/>
      </c>
      <c r="B4964" s="13" t="n">
        <f aca="false">202</f>
        <v>202</v>
      </c>
      <c r="C4964" s="13" t="n">
        <f aca="false">IF(Szenarien!$H$24="OK",(IFERROR(SUMIF(Nutzungsprofile!$B$6:$B$11,"Schulbetrieb",Nutzungsprofile!$G$6:$G$11)*Kalender!C206/SUM(Kalender!$C$5:$C$370),0)+IFERROR(SUMIF(Nutzungsprofile!$B$6:$B$11,"Halle",Nutzungsprofile!$G$6:$G$11)*Kalender!D206/SUM(Kalender!$D$5:$D$370),0)+IFERROR(SUMIF(Nutzungsprofile!$B$6:$B$11,"Individuell",Nutzungsprofile!$G$6:$G$11)*Kalender!E206/SUM(Kalender!$E$5:$E$370),0))*Szenarien!$E$24,0)</f>
        <v>2.04</v>
      </c>
      <c r="D4964" s="13" t="n">
        <f aca="false">IF(Szenarien!$H$24="OK",(IFERROR(SUMIF(Nutzungsprofile!$B$17:$B$22,"Schulbetrieb",Nutzungsprofile!$G$17:$G$22)*Kalender!C206/SUM(Kalender!$C$5:$C$370),0)+IFERROR(SUMIF(Nutzungsprofile!$B$17:$B$22,"Halle",Nutzungsprofile!$G$17:$G$22)*Kalender!D206/SUM(Kalender!$D$5:$D$370),0)+IFERROR(SUMIF(Nutzungsprofile!$B$17:$B$22,"Individuell",Nutzungsprofile!$G$17:$G$22)*Kalender!E206/SUM(Kalender!$E$5:$E$370),0))*Szenarien!$D$24,0)</f>
        <v>0.89</v>
      </c>
      <c r="E4964" s="13" t="n">
        <f aca="false">IFERROR(MIN(C4964,Eingaben!$B$17)*Eingaben!$B$16,0)</f>
        <v>1.938</v>
      </c>
      <c r="F4964" s="13" t="n">
        <f aca="false">IFERROR(E4964*Eingaben!$B$15,0)</f>
        <v>1.7442</v>
      </c>
      <c r="G4964" s="13" t="n">
        <f aca="false">IFERROR(IF(Kalender!A206="",0,J4963*(1-Eingaben!$B$20)),0)</f>
        <v>1.709316</v>
      </c>
      <c r="H4964" s="13" t="n">
        <f aca="false">MIN(G4964,D4964)</f>
        <v>0.89</v>
      </c>
      <c r="I4964" s="13" t="n">
        <f aca="false">IFERROR(MIN(F4964*Eingaben!$B$19,MAX(0,D4964-H4964)),0)</f>
        <v>0</v>
      </c>
      <c r="J4964" s="13" t="n">
        <f aca="false">IFERROR(MIN(Eingaben!$B$18,MAX(0,F4964-I4964)),0)</f>
        <v>1.7442</v>
      </c>
      <c r="K4964" s="13" t="n">
        <f aca="false">H4964+I4964</f>
        <v>0.89</v>
      </c>
      <c r="L4964" s="13" t="n">
        <f aca="false">MAX(0,D4964-K4964)</f>
        <v>0</v>
      </c>
      <c r="M4964" s="13" t="n">
        <f aca="false">MAX(0,F4964-I4964-J4964)</f>
        <v>0</v>
      </c>
      <c r="N4964" s="13" t="n">
        <f aca="false">IF(Kalender!A206="",0,J4963-H4964)</f>
        <v>0.8542</v>
      </c>
    </row>
    <row r="4965" customFormat="false" ht="16.4" hidden="false" customHeight="false" outlineLevel="0" collapsed="false">
      <c r="A4965" s="13" t="str">
        <f aca="false">""</f>
        <v/>
      </c>
      <c r="B4965" s="13" t="n">
        <f aca="false">203</f>
        <v>203</v>
      </c>
      <c r="C4965" s="13" t="n">
        <f aca="false">IF(Szenarien!$H$24="OK",(IFERROR(SUMIF(Nutzungsprofile!$B$6:$B$11,"Schulbetrieb",Nutzungsprofile!$G$6:$G$11)*Kalender!C207/SUM(Kalender!$C$5:$C$370),0)+IFERROR(SUMIF(Nutzungsprofile!$B$6:$B$11,"Halle",Nutzungsprofile!$G$6:$G$11)*Kalender!D207/SUM(Kalender!$D$5:$D$370),0)+IFERROR(SUMIF(Nutzungsprofile!$B$6:$B$11,"Individuell",Nutzungsprofile!$G$6:$G$11)*Kalender!E207/SUM(Kalender!$E$5:$E$370),0))*Szenarien!$E$24,0)</f>
        <v>2.04</v>
      </c>
      <c r="D4965" s="13" t="n">
        <f aca="false">IF(Szenarien!$H$24="OK",(IFERROR(SUMIF(Nutzungsprofile!$B$17:$B$22,"Schulbetrieb",Nutzungsprofile!$G$17:$G$22)*Kalender!C207/SUM(Kalender!$C$5:$C$370),0)+IFERROR(SUMIF(Nutzungsprofile!$B$17:$B$22,"Halle",Nutzungsprofile!$G$17:$G$22)*Kalender!D207/SUM(Kalender!$D$5:$D$370),0)+IFERROR(SUMIF(Nutzungsprofile!$B$17:$B$22,"Individuell",Nutzungsprofile!$G$17:$G$22)*Kalender!E207/SUM(Kalender!$E$5:$E$370),0))*Szenarien!$D$24,0)</f>
        <v>0.89</v>
      </c>
      <c r="E4965" s="13" t="n">
        <f aca="false">IFERROR(MIN(C4965,Eingaben!$B$17)*Eingaben!$B$16,0)</f>
        <v>1.938</v>
      </c>
      <c r="F4965" s="13" t="n">
        <f aca="false">IFERROR(E4965*Eingaben!$B$15,0)</f>
        <v>1.7442</v>
      </c>
      <c r="G4965" s="13" t="n">
        <f aca="false">IFERROR(IF(Kalender!A207="",0,J4964*(1-Eingaben!$B$20)),0)</f>
        <v>1.709316</v>
      </c>
      <c r="H4965" s="13" t="n">
        <f aca="false">MIN(G4965,D4965)</f>
        <v>0.89</v>
      </c>
      <c r="I4965" s="13" t="n">
        <f aca="false">IFERROR(MIN(F4965*Eingaben!$B$19,MAX(0,D4965-H4965)),0)</f>
        <v>0</v>
      </c>
      <c r="J4965" s="13" t="n">
        <f aca="false">IFERROR(MIN(Eingaben!$B$18,MAX(0,F4965-I4965)),0)</f>
        <v>1.7442</v>
      </c>
      <c r="K4965" s="13" t="n">
        <f aca="false">H4965+I4965</f>
        <v>0.89</v>
      </c>
      <c r="L4965" s="13" t="n">
        <f aca="false">MAX(0,D4965-K4965)</f>
        <v>0</v>
      </c>
      <c r="M4965" s="13" t="n">
        <f aca="false">MAX(0,F4965-I4965-J4965)</f>
        <v>0</v>
      </c>
      <c r="N4965" s="13" t="n">
        <f aca="false">IF(Kalender!A207="",0,J4964-H4965)</f>
        <v>0.8542</v>
      </c>
    </row>
    <row r="4966" customFormat="false" ht="16.4" hidden="false" customHeight="false" outlineLevel="0" collapsed="false">
      <c r="A4966" s="13" t="str">
        <f aca="false">""</f>
        <v/>
      </c>
      <c r="B4966" s="13" t="n">
        <f aca="false">204</f>
        <v>204</v>
      </c>
      <c r="C4966" s="13" t="n">
        <f aca="false">IF(Szenarien!$H$24="OK",(IFERROR(SUMIF(Nutzungsprofile!$B$6:$B$11,"Schulbetrieb",Nutzungsprofile!$G$6:$G$11)*Kalender!C208/SUM(Kalender!$C$5:$C$370),0)+IFERROR(SUMIF(Nutzungsprofile!$B$6:$B$11,"Halle",Nutzungsprofile!$G$6:$G$11)*Kalender!D208/SUM(Kalender!$D$5:$D$370),0)+IFERROR(SUMIF(Nutzungsprofile!$B$6:$B$11,"Individuell",Nutzungsprofile!$G$6:$G$11)*Kalender!E208/SUM(Kalender!$E$5:$E$370),0))*Szenarien!$E$24,0)</f>
        <v>2.04</v>
      </c>
      <c r="D4966" s="13" t="n">
        <f aca="false">IF(Szenarien!$H$24="OK",(IFERROR(SUMIF(Nutzungsprofile!$B$17:$B$22,"Schulbetrieb",Nutzungsprofile!$G$17:$G$22)*Kalender!C208/SUM(Kalender!$C$5:$C$370),0)+IFERROR(SUMIF(Nutzungsprofile!$B$17:$B$22,"Halle",Nutzungsprofile!$G$17:$G$22)*Kalender!D208/SUM(Kalender!$D$5:$D$370),0)+IFERROR(SUMIF(Nutzungsprofile!$B$17:$B$22,"Individuell",Nutzungsprofile!$G$17:$G$22)*Kalender!E208/SUM(Kalender!$E$5:$E$370),0))*Szenarien!$D$24,0)</f>
        <v>0.89</v>
      </c>
      <c r="E4966" s="13" t="n">
        <f aca="false">IFERROR(MIN(C4966,Eingaben!$B$17)*Eingaben!$B$16,0)</f>
        <v>1.938</v>
      </c>
      <c r="F4966" s="13" t="n">
        <f aca="false">IFERROR(E4966*Eingaben!$B$15,0)</f>
        <v>1.7442</v>
      </c>
      <c r="G4966" s="13" t="n">
        <f aca="false">IFERROR(IF(Kalender!A208="",0,J4965*(1-Eingaben!$B$20)),0)</f>
        <v>1.709316</v>
      </c>
      <c r="H4966" s="13" t="n">
        <f aca="false">MIN(G4966,D4966)</f>
        <v>0.89</v>
      </c>
      <c r="I4966" s="13" t="n">
        <f aca="false">IFERROR(MIN(F4966*Eingaben!$B$19,MAX(0,D4966-H4966)),0)</f>
        <v>0</v>
      </c>
      <c r="J4966" s="13" t="n">
        <f aca="false">IFERROR(MIN(Eingaben!$B$18,MAX(0,F4966-I4966)),0)</f>
        <v>1.7442</v>
      </c>
      <c r="K4966" s="13" t="n">
        <f aca="false">H4966+I4966</f>
        <v>0.89</v>
      </c>
      <c r="L4966" s="13" t="n">
        <f aca="false">MAX(0,D4966-K4966)</f>
        <v>0</v>
      </c>
      <c r="M4966" s="13" t="n">
        <f aca="false">MAX(0,F4966-I4966-J4966)</f>
        <v>0</v>
      </c>
      <c r="N4966" s="13" t="n">
        <f aca="false">IF(Kalender!A208="",0,J4965-H4966)</f>
        <v>0.8542</v>
      </c>
    </row>
    <row r="4967" customFormat="false" ht="16.4" hidden="false" customHeight="false" outlineLevel="0" collapsed="false">
      <c r="A4967" s="13" t="str">
        <f aca="false">""</f>
        <v/>
      </c>
      <c r="B4967" s="13" t="n">
        <f aca="false">205</f>
        <v>205</v>
      </c>
      <c r="C4967" s="13" t="n">
        <f aca="false">IF(Szenarien!$H$24="OK",(IFERROR(SUMIF(Nutzungsprofile!$B$6:$B$11,"Schulbetrieb",Nutzungsprofile!$G$6:$G$11)*Kalender!C209/SUM(Kalender!$C$5:$C$370),0)+IFERROR(SUMIF(Nutzungsprofile!$B$6:$B$11,"Halle",Nutzungsprofile!$G$6:$G$11)*Kalender!D209/SUM(Kalender!$D$5:$D$370),0)+IFERROR(SUMIF(Nutzungsprofile!$B$6:$B$11,"Individuell",Nutzungsprofile!$G$6:$G$11)*Kalender!E209/SUM(Kalender!$E$5:$E$370),0))*Szenarien!$E$24,0)</f>
        <v>2.04</v>
      </c>
      <c r="D4967" s="13" t="n">
        <f aca="false">IF(Szenarien!$H$24="OK",(IFERROR(SUMIF(Nutzungsprofile!$B$17:$B$22,"Schulbetrieb",Nutzungsprofile!$G$17:$G$22)*Kalender!C209/SUM(Kalender!$C$5:$C$370),0)+IFERROR(SUMIF(Nutzungsprofile!$B$17:$B$22,"Halle",Nutzungsprofile!$G$17:$G$22)*Kalender!D209/SUM(Kalender!$D$5:$D$370),0)+IFERROR(SUMIF(Nutzungsprofile!$B$17:$B$22,"Individuell",Nutzungsprofile!$G$17:$G$22)*Kalender!E209/SUM(Kalender!$E$5:$E$370),0))*Szenarien!$D$24,0)</f>
        <v>0.89</v>
      </c>
      <c r="E4967" s="13" t="n">
        <f aca="false">IFERROR(MIN(C4967,Eingaben!$B$17)*Eingaben!$B$16,0)</f>
        <v>1.938</v>
      </c>
      <c r="F4967" s="13" t="n">
        <f aca="false">IFERROR(E4967*Eingaben!$B$15,0)</f>
        <v>1.7442</v>
      </c>
      <c r="G4967" s="13" t="n">
        <f aca="false">IFERROR(IF(Kalender!A209="",0,J4966*(1-Eingaben!$B$20)),0)</f>
        <v>1.709316</v>
      </c>
      <c r="H4967" s="13" t="n">
        <f aca="false">MIN(G4967,D4967)</f>
        <v>0.89</v>
      </c>
      <c r="I4967" s="13" t="n">
        <f aca="false">IFERROR(MIN(F4967*Eingaben!$B$19,MAX(0,D4967-H4967)),0)</f>
        <v>0</v>
      </c>
      <c r="J4967" s="13" t="n">
        <f aca="false">IFERROR(MIN(Eingaben!$B$18,MAX(0,F4967-I4967)),0)</f>
        <v>1.7442</v>
      </c>
      <c r="K4967" s="13" t="n">
        <f aca="false">H4967+I4967</f>
        <v>0.89</v>
      </c>
      <c r="L4967" s="13" t="n">
        <f aca="false">MAX(0,D4967-K4967)</f>
        <v>0</v>
      </c>
      <c r="M4967" s="13" t="n">
        <f aca="false">MAX(0,F4967-I4967-J4967)</f>
        <v>0</v>
      </c>
      <c r="N4967" s="13" t="n">
        <f aca="false">IF(Kalender!A209="",0,J4966-H4967)</f>
        <v>0.8542</v>
      </c>
    </row>
    <row r="4968" customFormat="false" ht="16.4" hidden="false" customHeight="false" outlineLevel="0" collapsed="false">
      <c r="A4968" s="13" t="str">
        <f aca="false">""</f>
        <v/>
      </c>
      <c r="B4968" s="13" t="n">
        <f aca="false">206</f>
        <v>206</v>
      </c>
      <c r="C4968" s="13" t="n">
        <f aca="false">IF(Szenarien!$H$24="OK",(IFERROR(SUMIF(Nutzungsprofile!$B$6:$B$11,"Schulbetrieb",Nutzungsprofile!$G$6:$G$11)*Kalender!C210/SUM(Kalender!$C$5:$C$370),0)+IFERROR(SUMIF(Nutzungsprofile!$B$6:$B$11,"Halle",Nutzungsprofile!$G$6:$G$11)*Kalender!D210/SUM(Kalender!$D$5:$D$370),0)+IFERROR(SUMIF(Nutzungsprofile!$B$6:$B$11,"Individuell",Nutzungsprofile!$G$6:$G$11)*Kalender!E210/SUM(Kalender!$E$5:$E$370),0))*Szenarien!$E$24,0)</f>
        <v>2.04</v>
      </c>
      <c r="D4968" s="13" t="n">
        <f aca="false">IF(Szenarien!$H$24="OK",(IFERROR(SUMIF(Nutzungsprofile!$B$17:$B$22,"Schulbetrieb",Nutzungsprofile!$G$17:$G$22)*Kalender!C210/SUM(Kalender!$C$5:$C$370),0)+IFERROR(SUMIF(Nutzungsprofile!$B$17:$B$22,"Halle",Nutzungsprofile!$G$17:$G$22)*Kalender!D210/SUM(Kalender!$D$5:$D$370),0)+IFERROR(SUMIF(Nutzungsprofile!$B$17:$B$22,"Individuell",Nutzungsprofile!$G$17:$G$22)*Kalender!E210/SUM(Kalender!$E$5:$E$370),0))*Szenarien!$D$24,0)</f>
        <v>0.89</v>
      </c>
      <c r="E4968" s="13" t="n">
        <f aca="false">IFERROR(MIN(C4968,Eingaben!$B$17)*Eingaben!$B$16,0)</f>
        <v>1.938</v>
      </c>
      <c r="F4968" s="13" t="n">
        <f aca="false">IFERROR(E4968*Eingaben!$B$15,0)</f>
        <v>1.7442</v>
      </c>
      <c r="G4968" s="13" t="n">
        <f aca="false">IFERROR(IF(Kalender!A210="",0,J4967*(1-Eingaben!$B$20)),0)</f>
        <v>1.709316</v>
      </c>
      <c r="H4968" s="13" t="n">
        <f aca="false">MIN(G4968,D4968)</f>
        <v>0.89</v>
      </c>
      <c r="I4968" s="13" t="n">
        <f aca="false">IFERROR(MIN(F4968*Eingaben!$B$19,MAX(0,D4968-H4968)),0)</f>
        <v>0</v>
      </c>
      <c r="J4968" s="13" t="n">
        <f aca="false">IFERROR(MIN(Eingaben!$B$18,MAX(0,F4968-I4968)),0)</f>
        <v>1.7442</v>
      </c>
      <c r="K4968" s="13" t="n">
        <f aca="false">H4968+I4968</f>
        <v>0.89</v>
      </c>
      <c r="L4968" s="13" t="n">
        <f aca="false">MAX(0,D4968-K4968)</f>
        <v>0</v>
      </c>
      <c r="M4968" s="13" t="n">
        <f aca="false">MAX(0,F4968-I4968-J4968)</f>
        <v>0</v>
      </c>
      <c r="N4968" s="13" t="n">
        <f aca="false">IF(Kalender!A210="",0,J4967-H4968)</f>
        <v>0.8542</v>
      </c>
    </row>
    <row r="4969" customFormat="false" ht="16.4" hidden="false" customHeight="false" outlineLevel="0" collapsed="false">
      <c r="A4969" s="13" t="str">
        <f aca="false">""</f>
        <v/>
      </c>
      <c r="B4969" s="13" t="n">
        <f aca="false">207</f>
        <v>207</v>
      </c>
      <c r="C4969" s="13" t="n">
        <f aca="false">IF(Szenarien!$H$24="OK",(IFERROR(SUMIF(Nutzungsprofile!$B$6:$B$11,"Schulbetrieb",Nutzungsprofile!$G$6:$G$11)*Kalender!C211/SUM(Kalender!$C$5:$C$370),0)+IFERROR(SUMIF(Nutzungsprofile!$B$6:$B$11,"Halle",Nutzungsprofile!$G$6:$G$11)*Kalender!D211/SUM(Kalender!$D$5:$D$370),0)+IFERROR(SUMIF(Nutzungsprofile!$B$6:$B$11,"Individuell",Nutzungsprofile!$G$6:$G$11)*Kalender!E211/SUM(Kalender!$E$5:$E$370),0))*Szenarien!$E$24,0)</f>
        <v>2.04</v>
      </c>
      <c r="D4969" s="13" t="n">
        <f aca="false">IF(Szenarien!$H$24="OK",(IFERROR(SUMIF(Nutzungsprofile!$B$17:$B$22,"Schulbetrieb",Nutzungsprofile!$G$17:$G$22)*Kalender!C211/SUM(Kalender!$C$5:$C$370),0)+IFERROR(SUMIF(Nutzungsprofile!$B$17:$B$22,"Halle",Nutzungsprofile!$G$17:$G$22)*Kalender!D211/SUM(Kalender!$D$5:$D$370),0)+IFERROR(SUMIF(Nutzungsprofile!$B$17:$B$22,"Individuell",Nutzungsprofile!$G$17:$G$22)*Kalender!E211/SUM(Kalender!$E$5:$E$370),0))*Szenarien!$D$24,0)</f>
        <v>0.89</v>
      </c>
      <c r="E4969" s="13" t="n">
        <f aca="false">IFERROR(MIN(C4969,Eingaben!$B$17)*Eingaben!$B$16,0)</f>
        <v>1.938</v>
      </c>
      <c r="F4969" s="13" t="n">
        <f aca="false">IFERROR(E4969*Eingaben!$B$15,0)</f>
        <v>1.7442</v>
      </c>
      <c r="G4969" s="13" t="n">
        <f aca="false">IFERROR(IF(Kalender!A211="",0,J4968*(1-Eingaben!$B$20)),0)</f>
        <v>1.709316</v>
      </c>
      <c r="H4969" s="13" t="n">
        <f aca="false">MIN(G4969,D4969)</f>
        <v>0.89</v>
      </c>
      <c r="I4969" s="13" t="n">
        <f aca="false">IFERROR(MIN(F4969*Eingaben!$B$19,MAX(0,D4969-H4969)),0)</f>
        <v>0</v>
      </c>
      <c r="J4969" s="13" t="n">
        <f aca="false">IFERROR(MIN(Eingaben!$B$18,MAX(0,F4969-I4969)),0)</f>
        <v>1.7442</v>
      </c>
      <c r="K4969" s="13" t="n">
        <f aca="false">H4969+I4969</f>
        <v>0.89</v>
      </c>
      <c r="L4969" s="13" t="n">
        <f aca="false">MAX(0,D4969-K4969)</f>
        <v>0</v>
      </c>
      <c r="M4969" s="13" t="n">
        <f aca="false">MAX(0,F4969-I4969-J4969)</f>
        <v>0</v>
      </c>
      <c r="N4969" s="13" t="n">
        <f aca="false">IF(Kalender!A211="",0,J4968-H4969)</f>
        <v>0.8542</v>
      </c>
    </row>
    <row r="4970" customFormat="false" ht="16.4" hidden="false" customHeight="false" outlineLevel="0" collapsed="false">
      <c r="A4970" s="13" t="str">
        <f aca="false">""</f>
        <v/>
      </c>
      <c r="B4970" s="13" t="n">
        <f aca="false">208</f>
        <v>208</v>
      </c>
      <c r="C4970" s="13" t="n">
        <f aca="false">IF(Szenarien!$H$24="OK",(IFERROR(SUMIF(Nutzungsprofile!$B$6:$B$11,"Schulbetrieb",Nutzungsprofile!$G$6:$G$11)*Kalender!C212/SUM(Kalender!$C$5:$C$370),0)+IFERROR(SUMIF(Nutzungsprofile!$B$6:$B$11,"Halle",Nutzungsprofile!$G$6:$G$11)*Kalender!D212/SUM(Kalender!$D$5:$D$370),0)+IFERROR(SUMIF(Nutzungsprofile!$B$6:$B$11,"Individuell",Nutzungsprofile!$G$6:$G$11)*Kalender!E212/SUM(Kalender!$E$5:$E$370),0))*Szenarien!$E$24,0)</f>
        <v>2.04</v>
      </c>
      <c r="D4970" s="13" t="n">
        <f aca="false">IF(Szenarien!$H$24="OK",(IFERROR(SUMIF(Nutzungsprofile!$B$17:$B$22,"Schulbetrieb",Nutzungsprofile!$G$17:$G$22)*Kalender!C212/SUM(Kalender!$C$5:$C$370),0)+IFERROR(SUMIF(Nutzungsprofile!$B$17:$B$22,"Halle",Nutzungsprofile!$G$17:$G$22)*Kalender!D212/SUM(Kalender!$D$5:$D$370),0)+IFERROR(SUMIF(Nutzungsprofile!$B$17:$B$22,"Individuell",Nutzungsprofile!$G$17:$G$22)*Kalender!E212/SUM(Kalender!$E$5:$E$370),0))*Szenarien!$D$24,0)</f>
        <v>0.89</v>
      </c>
      <c r="E4970" s="13" t="n">
        <f aca="false">IFERROR(MIN(C4970,Eingaben!$B$17)*Eingaben!$B$16,0)</f>
        <v>1.938</v>
      </c>
      <c r="F4970" s="13" t="n">
        <f aca="false">IFERROR(E4970*Eingaben!$B$15,0)</f>
        <v>1.7442</v>
      </c>
      <c r="G4970" s="13" t="n">
        <f aca="false">IFERROR(IF(Kalender!A212="",0,J4969*(1-Eingaben!$B$20)),0)</f>
        <v>1.709316</v>
      </c>
      <c r="H4970" s="13" t="n">
        <f aca="false">MIN(G4970,D4970)</f>
        <v>0.89</v>
      </c>
      <c r="I4970" s="13" t="n">
        <f aca="false">IFERROR(MIN(F4970*Eingaben!$B$19,MAX(0,D4970-H4970)),0)</f>
        <v>0</v>
      </c>
      <c r="J4970" s="13" t="n">
        <f aca="false">IFERROR(MIN(Eingaben!$B$18,MAX(0,F4970-I4970)),0)</f>
        <v>1.7442</v>
      </c>
      <c r="K4970" s="13" t="n">
        <f aca="false">H4970+I4970</f>
        <v>0.89</v>
      </c>
      <c r="L4970" s="13" t="n">
        <f aca="false">MAX(0,D4970-K4970)</f>
        <v>0</v>
      </c>
      <c r="M4970" s="13" t="n">
        <f aca="false">MAX(0,F4970-I4970-J4970)</f>
        <v>0</v>
      </c>
      <c r="N4970" s="13" t="n">
        <f aca="false">IF(Kalender!A212="",0,J4969-H4970)</f>
        <v>0.8542</v>
      </c>
    </row>
    <row r="4971" customFormat="false" ht="16.4" hidden="false" customHeight="false" outlineLevel="0" collapsed="false">
      <c r="A4971" s="13" t="str">
        <f aca="false">""</f>
        <v/>
      </c>
      <c r="B4971" s="13" t="n">
        <f aca="false">209</f>
        <v>209</v>
      </c>
      <c r="C4971" s="13" t="n">
        <f aca="false">IF(Szenarien!$H$24="OK",(IFERROR(SUMIF(Nutzungsprofile!$B$6:$B$11,"Schulbetrieb",Nutzungsprofile!$G$6:$G$11)*Kalender!C213/SUM(Kalender!$C$5:$C$370),0)+IFERROR(SUMIF(Nutzungsprofile!$B$6:$B$11,"Halle",Nutzungsprofile!$G$6:$G$11)*Kalender!D213/SUM(Kalender!$D$5:$D$370),0)+IFERROR(SUMIF(Nutzungsprofile!$B$6:$B$11,"Individuell",Nutzungsprofile!$G$6:$G$11)*Kalender!E213/SUM(Kalender!$E$5:$E$370),0))*Szenarien!$E$24,0)</f>
        <v>2.04</v>
      </c>
      <c r="D4971" s="13" t="n">
        <f aca="false">IF(Szenarien!$H$24="OK",(IFERROR(SUMIF(Nutzungsprofile!$B$17:$B$22,"Schulbetrieb",Nutzungsprofile!$G$17:$G$22)*Kalender!C213/SUM(Kalender!$C$5:$C$370),0)+IFERROR(SUMIF(Nutzungsprofile!$B$17:$B$22,"Halle",Nutzungsprofile!$G$17:$G$22)*Kalender!D213/SUM(Kalender!$D$5:$D$370),0)+IFERROR(SUMIF(Nutzungsprofile!$B$17:$B$22,"Individuell",Nutzungsprofile!$G$17:$G$22)*Kalender!E213/SUM(Kalender!$E$5:$E$370),0))*Szenarien!$D$24,0)</f>
        <v>0.89</v>
      </c>
      <c r="E4971" s="13" t="n">
        <f aca="false">IFERROR(MIN(C4971,Eingaben!$B$17)*Eingaben!$B$16,0)</f>
        <v>1.938</v>
      </c>
      <c r="F4971" s="13" t="n">
        <f aca="false">IFERROR(E4971*Eingaben!$B$15,0)</f>
        <v>1.7442</v>
      </c>
      <c r="G4971" s="13" t="n">
        <f aca="false">IFERROR(IF(Kalender!A213="",0,J4970*(1-Eingaben!$B$20)),0)</f>
        <v>1.709316</v>
      </c>
      <c r="H4971" s="13" t="n">
        <f aca="false">MIN(G4971,D4971)</f>
        <v>0.89</v>
      </c>
      <c r="I4971" s="13" t="n">
        <f aca="false">IFERROR(MIN(F4971*Eingaben!$B$19,MAX(0,D4971-H4971)),0)</f>
        <v>0</v>
      </c>
      <c r="J4971" s="13" t="n">
        <f aca="false">IFERROR(MIN(Eingaben!$B$18,MAX(0,F4971-I4971)),0)</f>
        <v>1.7442</v>
      </c>
      <c r="K4971" s="13" t="n">
        <f aca="false">H4971+I4971</f>
        <v>0.89</v>
      </c>
      <c r="L4971" s="13" t="n">
        <f aca="false">MAX(0,D4971-K4971)</f>
        <v>0</v>
      </c>
      <c r="M4971" s="13" t="n">
        <f aca="false">MAX(0,F4971-I4971-J4971)</f>
        <v>0</v>
      </c>
      <c r="N4971" s="13" t="n">
        <f aca="false">IF(Kalender!A213="",0,J4970-H4971)</f>
        <v>0.8542</v>
      </c>
    </row>
    <row r="4972" customFormat="false" ht="16.4" hidden="false" customHeight="false" outlineLevel="0" collapsed="false">
      <c r="A4972" s="13" t="str">
        <f aca="false">""</f>
        <v/>
      </c>
      <c r="B4972" s="13" t="n">
        <f aca="false">210</f>
        <v>210</v>
      </c>
      <c r="C4972" s="13" t="n">
        <f aca="false">IF(Szenarien!$H$24="OK",(IFERROR(SUMIF(Nutzungsprofile!$B$6:$B$11,"Schulbetrieb",Nutzungsprofile!$G$6:$G$11)*Kalender!C214/SUM(Kalender!$C$5:$C$370),0)+IFERROR(SUMIF(Nutzungsprofile!$B$6:$B$11,"Halle",Nutzungsprofile!$G$6:$G$11)*Kalender!D214/SUM(Kalender!$D$5:$D$370),0)+IFERROR(SUMIF(Nutzungsprofile!$B$6:$B$11,"Individuell",Nutzungsprofile!$G$6:$G$11)*Kalender!E214/SUM(Kalender!$E$5:$E$370),0))*Szenarien!$E$24,0)</f>
        <v>2.04</v>
      </c>
      <c r="D4972" s="13" t="n">
        <f aca="false">IF(Szenarien!$H$24="OK",(IFERROR(SUMIF(Nutzungsprofile!$B$17:$B$22,"Schulbetrieb",Nutzungsprofile!$G$17:$G$22)*Kalender!C214/SUM(Kalender!$C$5:$C$370),0)+IFERROR(SUMIF(Nutzungsprofile!$B$17:$B$22,"Halle",Nutzungsprofile!$G$17:$G$22)*Kalender!D214/SUM(Kalender!$D$5:$D$370),0)+IFERROR(SUMIF(Nutzungsprofile!$B$17:$B$22,"Individuell",Nutzungsprofile!$G$17:$G$22)*Kalender!E214/SUM(Kalender!$E$5:$E$370),0))*Szenarien!$D$24,0)</f>
        <v>0.89</v>
      </c>
      <c r="E4972" s="13" t="n">
        <f aca="false">IFERROR(MIN(C4972,Eingaben!$B$17)*Eingaben!$B$16,0)</f>
        <v>1.938</v>
      </c>
      <c r="F4972" s="13" t="n">
        <f aca="false">IFERROR(E4972*Eingaben!$B$15,0)</f>
        <v>1.7442</v>
      </c>
      <c r="G4972" s="13" t="n">
        <f aca="false">IFERROR(IF(Kalender!A214="",0,J4971*(1-Eingaben!$B$20)),0)</f>
        <v>1.709316</v>
      </c>
      <c r="H4972" s="13" t="n">
        <f aca="false">MIN(G4972,D4972)</f>
        <v>0.89</v>
      </c>
      <c r="I4972" s="13" t="n">
        <f aca="false">IFERROR(MIN(F4972*Eingaben!$B$19,MAX(0,D4972-H4972)),0)</f>
        <v>0</v>
      </c>
      <c r="J4972" s="13" t="n">
        <f aca="false">IFERROR(MIN(Eingaben!$B$18,MAX(0,F4972-I4972)),0)</f>
        <v>1.7442</v>
      </c>
      <c r="K4972" s="13" t="n">
        <f aca="false">H4972+I4972</f>
        <v>0.89</v>
      </c>
      <c r="L4972" s="13" t="n">
        <f aca="false">MAX(0,D4972-K4972)</f>
        <v>0</v>
      </c>
      <c r="M4972" s="13" t="n">
        <f aca="false">MAX(0,F4972-I4972-J4972)</f>
        <v>0</v>
      </c>
      <c r="N4972" s="13" t="n">
        <f aca="false">IF(Kalender!A214="",0,J4971-H4972)</f>
        <v>0.8542</v>
      </c>
    </row>
    <row r="4973" customFormat="false" ht="16.4" hidden="false" customHeight="false" outlineLevel="0" collapsed="false">
      <c r="A4973" s="13" t="str">
        <f aca="false">""</f>
        <v/>
      </c>
      <c r="B4973" s="13" t="n">
        <f aca="false">211</f>
        <v>211</v>
      </c>
      <c r="C4973" s="13" t="n">
        <f aca="false">IF(Szenarien!$H$24="OK",(IFERROR(SUMIF(Nutzungsprofile!$B$6:$B$11,"Schulbetrieb",Nutzungsprofile!$G$6:$G$11)*Kalender!C215/SUM(Kalender!$C$5:$C$370),0)+IFERROR(SUMIF(Nutzungsprofile!$B$6:$B$11,"Halle",Nutzungsprofile!$G$6:$G$11)*Kalender!D215/SUM(Kalender!$D$5:$D$370),0)+IFERROR(SUMIF(Nutzungsprofile!$B$6:$B$11,"Individuell",Nutzungsprofile!$G$6:$G$11)*Kalender!E215/SUM(Kalender!$E$5:$E$370),0))*Szenarien!$E$24,0)</f>
        <v>2.04</v>
      </c>
      <c r="D4973" s="13" t="n">
        <f aca="false">IF(Szenarien!$H$24="OK",(IFERROR(SUMIF(Nutzungsprofile!$B$17:$B$22,"Schulbetrieb",Nutzungsprofile!$G$17:$G$22)*Kalender!C215/SUM(Kalender!$C$5:$C$370),0)+IFERROR(SUMIF(Nutzungsprofile!$B$17:$B$22,"Halle",Nutzungsprofile!$G$17:$G$22)*Kalender!D215/SUM(Kalender!$D$5:$D$370),0)+IFERROR(SUMIF(Nutzungsprofile!$B$17:$B$22,"Individuell",Nutzungsprofile!$G$17:$G$22)*Kalender!E215/SUM(Kalender!$E$5:$E$370),0))*Szenarien!$D$24,0)</f>
        <v>0.89</v>
      </c>
      <c r="E4973" s="13" t="n">
        <f aca="false">IFERROR(MIN(C4973,Eingaben!$B$17)*Eingaben!$B$16,0)</f>
        <v>1.938</v>
      </c>
      <c r="F4973" s="13" t="n">
        <f aca="false">IFERROR(E4973*Eingaben!$B$15,0)</f>
        <v>1.7442</v>
      </c>
      <c r="G4973" s="13" t="n">
        <f aca="false">IFERROR(IF(Kalender!A215="",0,J4972*(1-Eingaben!$B$20)),0)</f>
        <v>1.709316</v>
      </c>
      <c r="H4973" s="13" t="n">
        <f aca="false">MIN(G4973,D4973)</f>
        <v>0.89</v>
      </c>
      <c r="I4973" s="13" t="n">
        <f aca="false">IFERROR(MIN(F4973*Eingaben!$B$19,MAX(0,D4973-H4973)),0)</f>
        <v>0</v>
      </c>
      <c r="J4973" s="13" t="n">
        <f aca="false">IFERROR(MIN(Eingaben!$B$18,MAX(0,F4973-I4973)),0)</f>
        <v>1.7442</v>
      </c>
      <c r="K4973" s="13" t="n">
        <f aca="false">H4973+I4973</f>
        <v>0.89</v>
      </c>
      <c r="L4973" s="13" t="n">
        <f aca="false">MAX(0,D4973-K4973)</f>
        <v>0</v>
      </c>
      <c r="M4973" s="13" t="n">
        <f aca="false">MAX(0,F4973-I4973-J4973)</f>
        <v>0</v>
      </c>
      <c r="N4973" s="13" t="n">
        <f aca="false">IF(Kalender!A215="",0,J4972-H4973)</f>
        <v>0.8542</v>
      </c>
    </row>
    <row r="4974" customFormat="false" ht="16.4" hidden="false" customHeight="false" outlineLevel="0" collapsed="false">
      <c r="A4974" s="13" t="str">
        <f aca="false">""</f>
        <v/>
      </c>
      <c r="B4974" s="13" t="n">
        <f aca="false">212</f>
        <v>212</v>
      </c>
      <c r="C4974" s="13" t="n">
        <f aca="false">IF(Szenarien!$H$24="OK",(IFERROR(SUMIF(Nutzungsprofile!$B$6:$B$11,"Schulbetrieb",Nutzungsprofile!$G$6:$G$11)*Kalender!C216/SUM(Kalender!$C$5:$C$370),0)+IFERROR(SUMIF(Nutzungsprofile!$B$6:$B$11,"Halle",Nutzungsprofile!$G$6:$G$11)*Kalender!D216/SUM(Kalender!$D$5:$D$370),0)+IFERROR(SUMIF(Nutzungsprofile!$B$6:$B$11,"Individuell",Nutzungsprofile!$G$6:$G$11)*Kalender!E216/SUM(Kalender!$E$5:$E$370),0))*Szenarien!$E$24,0)</f>
        <v>2.04</v>
      </c>
      <c r="D4974" s="13" t="n">
        <f aca="false">IF(Szenarien!$H$24="OK",(IFERROR(SUMIF(Nutzungsprofile!$B$17:$B$22,"Schulbetrieb",Nutzungsprofile!$G$17:$G$22)*Kalender!C216/SUM(Kalender!$C$5:$C$370),0)+IFERROR(SUMIF(Nutzungsprofile!$B$17:$B$22,"Halle",Nutzungsprofile!$G$17:$G$22)*Kalender!D216/SUM(Kalender!$D$5:$D$370),0)+IFERROR(SUMIF(Nutzungsprofile!$B$17:$B$22,"Individuell",Nutzungsprofile!$G$17:$G$22)*Kalender!E216/SUM(Kalender!$E$5:$E$370),0))*Szenarien!$D$24,0)</f>
        <v>0.89</v>
      </c>
      <c r="E4974" s="13" t="n">
        <f aca="false">IFERROR(MIN(C4974,Eingaben!$B$17)*Eingaben!$B$16,0)</f>
        <v>1.938</v>
      </c>
      <c r="F4974" s="13" t="n">
        <f aca="false">IFERROR(E4974*Eingaben!$B$15,0)</f>
        <v>1.7442</v>
      </c>
      <c r="G4974" s="13" t="n">
        <f aca="false">IFERROR(IF(Kalender!A216="",0,J4973*(1-Eingaben!$B$20)),0)</f>
        <v>1.709316</v>
      </c>
      <c r="H4974" s="13" t="n">
        <f aca="false">MIN(G4974,D4974)</f>
        <v>0.89</v>
      </c>
      <c r="I4974" s="13" t="n">
        <f aca="false">IFERROR(MIN(F4974*Eingaben!$B$19,MAX(0,D4974-H4974)),0)</f>
        <v>0</v>
      </c>
      <c r="J4974" s="13" t="n">
        <f aca="false">IFERROR(MIN(Eingaben!$B$18,MAX(0,F4974-I4974)),0)</f>
        <v>1.7442</v>
      </c>
      <c r="K4974" s="13" t="n">
        <f aca="false">H4974+I4974</f>
        <v>0.89</v>
      </c>
      <c r="L4974" s="13" t="n">
        <f aca="false">MAX(0,D4974-K4974)</f>
        <v>0</v>
      </c>
      <c r="M4974" s="13" t="n">
        <f aca="false">MAX(0,F4974-I4974-J4974)</f>
        <v>0</v>
      </c>
      <c r="N4974" s="13" t="n">
        <f aca="false">IF(Kalender!A216="",0,J4973-H4974)</f>
        <v>0.8542</v>
      </c>
    </row>
    <row r="4975" customFormat="false" ht="16.4" hidden="false" customHeight="false" outlineLevel="0" collapsed="false">
      <c r="A4975" s="13" t="str">
        <f aca="false">""</f>
        <v/>
      </c>
      <c r="B4975" s="13" t="n">
        <f aca="false">213</f>
        <v>213</v>
      </c>
      <c r="C4975" s="13" t="n">
        <f aca="false">IF(Szenarien!$H$24="OK",(IFERROR(SUMIF(Nutzungsprofile!$B$6:$B$11,"Schulbetrieb",Nutzungsprofile!$G$6:$G$11)*Kalender!C217/SUM(Kalender!$C$5:$C$370),0)+IFERROR(SUMIF(Nutzungsprofile!$B$6:$B$11,"Halle",Nutzungsprofile!$G$6:$G$11)*Kalender!D217/SUM(Kalender!$D$5:$D$370),0)+IFERROR(SUMIF(Nutzungsprofile!$B$6:$B$11,"Individuell",Nutzungsprofile!$G$6:$G$11)*Kalender!E217/SUM(Kalender!$E$5:$E$370),0))*Szenarien!$E$24,0)</f>
        <v>2.04</v>
      </c>
      <c r="D4975" s="13" t="n">
        <f aca="false">IF(Szenarien!$H$24="OK",(IFERROR(SUMIF(Nutzungsprofile!$B$17:$B$22,"Schulbetrieb",Nutzungsprofile!$G$17:$G$22)*Kalender!C217/SUM(Kalender!$C$5:$C$370),0)+IFERROR(SUMIF(Nutzungsprofile!$B$17:$B$22,"Halle",Nutzungsprofile!$G$17:$G$22)*Kalender!D217/SUM(Kalender!$D$5:$D$370),0)+IFERROR(SUMIF(Nutzungsprofile!$B$17:$B$22,"Individuell",Nutzungsprofile!$G$17:$G$22)*Kalender!E217/SUM(Kalender!$E$5:$E$370),0))*Szenarien!$D$24,0)</f>
        <v>0.89</v>
      </c>
      <c r="E4975" s="13" t="n">
        <f aca="false">IFERROR(MIN(C4975,Eingaben!$B$17)*Eingaben!$B$16,0)</f>
        <v>1.938</v>
      </c>
      <c r="F4975" s="13" t="n">
        <f aca="false">IFERROR(E4975*Eingaben!$B$15,0)</f>
        <v>1.7442</v>
      </c>
      <c r="G4975" s="13" t="n">
        <f aca="false">IFERROR(IF(Kalender!A217="",0,J4974*(1-Eingaben!$B$20)),0)</f>
        <v>1.709316</v>
      </c>
      <c r="H4975" s="13" t="n">
        <f aca="false">MIN(G4975,D4975)</f>
        <v>0.89</v>
      </c>
      <c r="I4975" s="13" t="n">
        <f aca="false">IFERROR(MIN(F4975*Eingaben!$B$19,MAX(0,D4975-H4975)),0)</f>
        <v>0</v>
      </c>
      <c r="J4975" s="13" t="n">
        <f aca="false">IFERROR(MIN(Eingaben!$B$18,MAX(0,F4975-I4975)),0)</f>
        <v>1.7442</v>
      </c>
      <c r="K4975" s="13" t="n">
        <f aca="false">H4975+I4975</f>
        <v>0.89</v>
      </c>
      <c r="L4975" s="13" t="n">
        <f aca="false">MAX(0,D4975-K4975)</f>
        <v>0</v>
      </c>
      <c r="M4975" s="13" t="n">
        <f aca="false">MAX(0,F4975-I4975-J4975)</f>
        <v>0</v>
      </c>
      <c r="N4975" s="13" t="n">
        <f aca="false">IF(Kalender!A217="",0,J4974-H4975)</f>
        <v>0.8542</v>
      </c>
    </row>
    <row r="4976" customFormat="false" ht="16.4" hidden="false" customHeight="false" outlineLevel="0" collapsed="false">
      <c r="A4976" s="13" t="str">
        <f aca="false">""</f>
        <v/>
      </c>
      <c r="B4976" s="13" t="n">
        <f aca="false">214</f>
        <v>214</v>
      </c>
      <c r="C4976" s="13" t="n">
        <f aca="false">IF(Szenarien!$H$24="OK",(IFERROR(SUMIF(Nutzungsprofile!$B$6:$B$11,"Schulbetrieb",Nutzungsprofile!$G$6:$G$11)*Kalender!C218/SUM(Kalender!$C$5:$C$370),0)+IFERROR(SUMIF(Nutzungsprofile!$B$6:$B$11,"Halle",Nutzungsprofile!$G$6:$G$11)*Kalender!D218/SUM(Kalender!$D$5:$D$370),0)+IFERROR(SUMIF(Nutzungsprofile!$B$6:$B$11,"Individuell",Nutzungsprofile!$G$6:$G$11)*Kalender!E218/SUM(Kalender!$E$5:$E$370),0))*Szenarien!$E$24,0)</f>
        <v>2.04</v>
      </c>
      <c r="D4976" s="13" t="n">
        <f aca="false">IF(Szenarien!$H$24="OK",(IFERROR(SUMIF(Nutzungsprofile!$B$17:$B$22,"Schulbetrieb",Nutzungsprofile!$G$17:$G$22)*Kalender!C218/SUM(Kalender!$C$5:$C$370),0)+IFERROR(SUMIF(Nutzungsprofile!$B$17:$B$22,"Halle",Nutzungsprofile!$G$17:$G$22)*Kalender!D218/SUM(Kalender!$D$5:$D$370),0)+IFERROR(SUMIF(Nutzungsprofile!$B$17:$B$22,"Individuell",Nutzungsprofile!$G$17:$G$22)*Kalender!E218/SUM(Kalender!$E$5:$E$370),0))*Szenarien!$D$24,0)</f>
        <v>0.89</v>
      </c>
      <c r="E4976" s="13" t="n">
        <f aca="false">IFERROR(MIN(C4976,Eingaben!$B$17)*Eingaben!$B$16,0)</f>
        <v>1.938</v>
      </c>
      <c r="F4976" s="13" t="n">
        <f aca="false">IFERROR(E4976*Eingaben!$B$15,0)</f>
        <v>1.7442</v>
      </c>
      <c r="G4976" s="13" t="n">
        <f aca="false">IFERROR(IF(Kalender!A218="",0,J4975*(1-Eingaben!$B$20)),0)</f>
        <v>1.709316</v>
      </c>
      <c r="H4976" s="13" t="n">
        <f aca="false">MIN(G4976,D4976)</f>
        <v>0.89</v>
      </c>
      <c r="I4976" s="13" t="n">
        <f aca="false">IFERROR(MIN(F4976*Eingaben!$B$19,MAX(0,D4976-H4976)),0)</f>
        <v>0</v>
      </c>
      <c r="J4976" s="13" t="n">
        <f aca="false">IFERROR(MIN(Eingaben!$B$18,MAX(0,F4976-I4976)),0)</f>
        <v>1.7442</v>
      </c>
      <c r="K4976" s="13" t="n">
        <f aca="false">H4976+I4976</f>
        <v>0.89</v>
      </c>
      <c r="L4976" s="13" t="n">
        <f aca="false">MAX(0,D4976-K4976)</f>
        <v>0</v>
      </c>
      <c r="M4976" s="13" t="n">
        <f aca="false">MAX(0,F4976-I4976-J4976)</f>
        <v>0</v>
      </c>
      <c r="N4976" s="13" t="n">
        <f aca="false">IF(Kalender!A218="",0,J4975-H4976)</f>
        <v>0.8542</v>
      </c>
    </row>
    <row r="4977" customFormat="false" ht="16.4" hidden="false" customHeight="false" outlineLevel="0" collapsed="false">
      <c r="A4977" s="13" t="str">
        <f aca="false">""</f>
        <v/>
      </c>
      <c r="B4977" s="13" t="n">
        <f aca="false">215</f>
        <v>215</v>
      </c>
      <c r="C4977" s="13" t="n">
        <f aca="false">IF(Szenarien!$H$24="OK",(IFERROR(SUMIF(Nutzungsprofile!$B$6:$B$11,"Schulbetrieb",Nutzungsprofile!$G$6:$G$11)*Kalender!C219/SUM(Kalender!$C$5:$C$370),0)+IFERROR(SUMIF(Nutzungsprofile!$B$6:$B$11,"Halle",Nutzungsprofile!$G$6:$G$11)*Kalender!D219/SUM(Kalender!$D$5:$D$370),0)+IFERROR(SUMIF(Nutzungsprofile!$B$6:$B$11,"Individuell",Nutzungsprofile!$G$6:$G$11)*Kalender!E219/SUM(Kalender!$E$5:$E$370),0))*Szenarien!$E$24,0)</f>
        <v>2.04</v>
      </c>
      <c r="D4977" s="13" t="n">
        <f aca="false">IF(Szenarien!$H$24="OK",(IFERROR(SUMIF(Nutzungsprofile!$B$17:$B$22,"Schulbetrieb",Nutzungsprofile!$G$17:$G$22)*Kalender!C219/SUM(Kalender!$C$5:$C$370),0)+IFERROR(SUMIF(Nutzungsprofile!$B$17:$B$22,"Halle",Nutzungsprofile!$G$17:$G$22)*Kalender!D219/SUM(Kalender!$D$5:$D$370),0)+IFERROR(SUMIF(Nutzungsprofile!$B$17:$B$22,"Individuell",Nutzungsprofile!$G$17:$G$22)*Kalender!E219/SUM(Kalender!$E$5:$E$370),0))*Szenarien!$D$24,0)</f>
        <v>0.89</v>
      </c>
      <c r="E4977" s="13" t="n">
        <f aca="false">IFERROR(MIN(C4977,Eingaben!$B$17)*Eingaben!$B$16,0)</f>
        <v>1.938</v>
      </c>
      <c r="F4977" s="13" t="n">
        <f aca="false">IFERROR(E4977*Eingaben!$B$15,0)</f>
        <v>1.7442</v>
      </c>
      <c r="G4977" s="13" t="n">
        <f aca="false">IFERROR(IF(Kalender!A219="",0,J4976*(1-Eingaben!$B$20)),0)</f>
        <v>1.709316</v>
      </c>
      <c r="H4977" s="13" t="n">
        <f aca="false">MIN(G4977,D4977)</f>
        <v>0.89</v>
      </c>
      <c r="I4977" s="13" t="n">
        <f aca="false">IFERROR(MIN(F4977*Eingaben!$B$19,MAX(0,D4977-H4977)),0)</f>
        <v>0</v>
      </c>
      <c r="J4977" s="13" t="n">
        <f aca="false">IFERROR(MIN(Eingaben!$B$18,MAX(0,F4977-I4977)),0)</f>
        <v>1.7442</v>
      </c>
      <c r="K4977" s="13" t="n">
        <f aca="false">H4977+I4977</f>
        <v>0.89</v>
      </c>
      <c r="L4977" s="13" t="n">
        <f aca="false">MAX(0,D4977-K4977)</f>
        <v>0</v>
      </c>
      <c r="M4977" s="13" t="n">
        <f aca="false">MAX(0,F4977-I4977-J4977)</f>
        <v>0</v>
      </c>
      <c r="N4977" s="13" t="n">
        <f aca="false">IF(Kalender!A219="",0,J4976-H4977)</f>
        <v>0.8542</v>
      </c>
    </row>
    <row r="4978" customFormat="false" ht="16.4" hidden="false" customHeight="false" outlineLevel="0" collapsed="false">
      <c r="A4978" s="13" t="str">
        <f aca="false">""</f>
        <v/>
      </c>
      <c r="B4978" s="13" t="n">
        <f aca="false">216</f>
        <v>216</v>
      </c>
      <c r="C4978" s="13" t="n">
        <f aca="false">IF(Szenarien!$H$24="OK",(IFERROR(SUMIF(Nutzungsprofile!$B$6:$B$11,"Schulbetrieb",Nutzungsprofile!$G$6:$G$11)*Kalender!C220/SUM(Kalender!$C$5:$C$370),0)+IFERROR(SUMIF(Nutzungsprofile!$B$6:$B$11,"Halle",Nutzungsprofile!$G$6:$G$11)*Kalender!D220/SUM(Kalender!$D$5:$D$370),0)+IFERROR(SUMIF(Nutzungsprofile!$B$6:$B$11,"Individuell",Nutzungsprofile!$G$6:$G$11)*Kalender!E220/SUM(Kalender!$E$5:$E$370),0))*Szenarien!$E$24,0)</f>
        <v>2.04</v>
      </c>
      <c r="D4978" s="13" t="n">
        <f aca="false">IF(Szenarien!$H$24="OK",(IFERROR(SUMIF(Nutzungsprofile!$B$17:$B$22,"Schulbetrieb",Nutzungsprofile!$G$17:$G$22)*Kalender!C220/SUM(Kalender!$C$5:$C$370),0)+IFERROR(SUMIF(Nutzungsprofile!$B$17:$B$22,"Halle",Nutzungsprofile!$G$17:$G$22)*Kalender!D220/SUM(Kalender!$D$5:$D$370),0)+IFERROR(SUMIF(Nutzungsprofile!$B$17:$B$22,"Individuell",Nutzungsprofile!$G$17:$G$22)*Kalender!E220/SUM(Kalender!$E$5:$E$370),0))*Szenarien!$D$24,0)</f>
        <v>0.89</v>
      </c>
      <c r="E4978" s="13" t="n">
        <f aca="false">IFERROR(MIN(C4978,Eingaben!$B$17)*Eingaben!$B$16,0)</f>
        <v>1.938</v>
      </c>
      <c r="F4978" s="13" t="n">
        <f aca="false">IFERROR(E4978*Eingaben!$B$15,0)</f>
        <v>1.7442</v>
      </c>
      <c r="G4978" s="13" t="n">
        <f aca="false">IFERROR(IF(Kalender!A220="",0,J4977*(1-Eingaben!$B$20)),0)</f>
        <v>1.709316</v>
      </c>
      <c r="H4978" s="13" t="n">
        <f aca="false">MIN(G4978,D4978)</f>
        <v>0.89</v>
      </c>
      <c r="I4978" s="13" t="n">
        <f aca="false">IFERROR(MIN(F4978*Eingaben!$B$19,MAX(0,D4978-H4978)),0)</f>
        <v>0</v>
      </c>
      <c r="J4978" s="13" t="n">
        <f aca="false">IFERROR(MIN(Eingaben!$B$18,MAX(0,F4978-I4978)),0)</f>
        <v>1.7442</v>
      </c>
      <c r="K4978" s="13" t="n">
        <f aca="false">H4978+I4978</f>
        <v>0.89</v>
      </c>
      <c r="L4978" s="13" t="n">
        <f aca="false">MAX(0,D4978-K4978)</f>
        <v>0</v>
      </c>
      <c r="M4978" s="13" t="n">
        <f aca="false">MAX(0,F4978-I4978-J4978)</f>
        <v>0</v>
      </c>
      <c r="N4978" s="13" t="n">
        <f aca="false">IF(Kalender!A220="",0,J4977-H4978)</f>
        <v>0.8542</v>
      </c>
    </row>
    <row r="4979" customFormat="false" ht="16.4" hidden="false" customHeight="false" outlineLevel="0" collapsed="false">
      <c r="A4979" s="13" t="str">
        <f aca="false">""</f>
        <v/>
      </c>
      <c r="B4979" s="13" t="n">
        <f aca="false">217</f>
        <v>217</v>
      </c>
      <c r="C4979" s="13" t="n">
        <f aca="false">IF(Szenarien!$H$24="OK",(IFERROR(SUMIF(Nutzungsprofile!$B$6:$B$11,"Schulbetrieb",Nutzungsprofile!$G$6:$G$11)*Kalender!C221/SUM(Kalender!$C$5:$C$370),0)+IFERROR(SUMIF(Nutzungsprofile!$B$6:$B$11,"Halle",Nutzungsprofile!$G$6:$G$11)*Kalender!D221/SUM(Kalender!$D$5:$D$370),0)+IFERROR(SUMIF(Nutzungsprofile!$B$6:$B$11,"Individuell",Nutzungsprofile!$G$6:$G$11)*Kalender!E221/SUM(Kalender!$E$5:$E$370),0))*Szenarien!$E$24,0)</f>
        <v>2.04</v>
      </c>
      <c r="D4979" s="13" t="n">
        <f aca="false">IF(Szenarien!$H$24="OK",(IFERROR(SUMIF(Nutzungsprofile!$B$17:$B$22,"Schulbetrieb",Nutzungsprofile!$G$17:$G$22)*Kalender!C221/SUM(Kalender!$C$5:$C$370),0)+IFERROR(SUMIF(Nutzungsprofile!$B$17:$B$22,"Halle",Nutzungsprofile!$G$17:$G$22)*Kalender!D221/SUM(Kalender!$D$5:$D$370),0)+IFERROR(SUMIF(Nutzungsprofile!$B$17:$B$22,"Individuell",Nutzungsprofile!$G$17:$G$22)*Kalender!E221/SUM(Kalender!$E$5:$E$370),0))*Szenarien!$D$24,0)</f>
        <v>0.89</v>
      </c>
      <c r="E4979" s="13" t="n">
        <f aca="false">IFERROR(MIN(C4979,Eingaben!$B$17)*Eingaben!$B$16,0)</f>
        <v>1.938</v>
      </c>
      <c r="F4979" s="13" t="n">
        <f aca="false">IFERROR(E4979*Eingaben!$B$15,0)</f>
        <v>1.7442</v>
      </c>
      <c r="G4979" s="13" t="n">
        <f aca="false">IFERROR(IF(Kalender!A221="",0,J4978*(1-Eingaben!$B$20)),0)</f>
        <v>1.709316</v>
      </c>
      <c r="H4979" s="13" t="n">
        <f aca="false">MIN(G4979,D4979)</f>
        <v>0.89</v>
      </c>
      <c r="I4979" s="13" t="n">
        <f aca="false">IFERROR(MIN(F4979*Eingaben!$B$19,MAX(0,D4979-H4979)),0)</f>
        <v>0</v>
      </c>
      <c r="J4979" s="13" t="n">
        <f aca="false">IFERROR(MIN(Eingaben!$B$18,MAX(0,F4979-I4979)),0)</f>
        <v>1.7442</v>
      </c>
      <c r="K4979" s="13" t="n">
        <f aca="false">H4979+I4979</f>
        <v>0.89</v>
      </c>
      <c r="L4979" s="13" t="n">
        <f aca="false">MAX(0,D4979-K4979)</f>
        <v>0</v>
      </c>
      <c r="M4979" s="13" t="n">
        <f aca="false">MAX(0,F4979-I4979-J4979)</f>
        <v>0</v>
      </c>
      <c r="N4979" s="13" t="n">
        <f aca="false">IF(Kalender!A221="",0,J4978-H4979)</f>
        <v>0.8542</v>
      </c>
    </row>
    <row r="4980" customFormat="false" ht="16.4" hidden="false" customHeight="false" outlineLevel="0" collapsed="false">
      <c r="A4980" s="13" t="str">
        <f aca="false">""</f>
        <v/>
      </c>
      <c r="B4980" s="13" t="n">
        <f aca="false">218</f>
        <v>218</v>
      </c>
      <c r="C4980" s="13" t="n">
        <f aca="false">IF(Szenarien!$H$24="OK",(IFERROR(SUMIF(Nutzungsprofile!$B$6:$B$11,"Schulbetrieb",Nutzungsprofile!$G$6:$G$11)*Kalender!C222/SUM(Kalender!$C$5:$C$370),0)+IFERROR(SUMIF(Nutzungsprofile!$B$6:$B$11,"Halle",Nutzungsprofile!$G$6:$G$11)*Kalender!D222/SUM(Kalender!$D$5:$D$370),0)+IFERROR(SUMIF(Nutzungsprofile!$B$6:$B$11,"Individuell",Nutzungsprofile!$G$6:$G$11)*Kalender!E222/SUM(Kalender!$E$5:$E$370),0))*Szenarien!$E$24,0)</f>
        <v>2.04</v>
      </c>
      <c r="D4980" s="13" t="n">
        <f aca="false">IF(Szenarien!$H$24="OK",(IFERROR(SUMIF(Nutzungsprofile!$B$17:$B$22,"Schulbetrieb",Nutzungsprofile!$G$17:$G$22)*Kalender!C222/SUM(Kalender!$C$5:$C$370),0)+IFERROR(SUMIF(Nutzungsprofile!$B$17:$B$22,"Halle",Nutzungsprofile!$G$17:$G$22)*Kalender!D222/SUM(Kalender!$D$5:$D$370),0)+IFERROR(SUMIF(Nutzungsprofile!$B$17:$B$22,"Individuell",Nutzungsprofile!$G$17:$G$22)*Kalender!E222/SUM(Kalender!$E$5:$E$370),0))*Szenarien!$D$24,0)</f>
        <v>0.89</v>
      </c>
      <c r="E4980" s="13" t="n">
        <f aca="false">IFERROR(MIN(C4980,Eingaben!$B$17)*Eingaben!$B$16,0)</f>
        <v>1.938</v>
      </c>
      <c r="F4980" s="13" t="n">
        <f aca="false">IFERROR(E4980*Eingaben!$B$15,0)</f>
        <v>1.7442</v>
      </c>
      <c r="G4980" s="13" t="n">
        <f aca="false">IFERROR(IF(Kalender!A222="",0,J4979*(1-Eingaben!$B$20)),0)</f>
        <v>1.709316</v>
      </c>
      <c r="H4980" s="13" t="n">
        <f aca="false">MIN(G4980,D4980)</f>
        <v>0.89</v>
      </c>
      <c r="I4980" s="13" t="n">
        <f aca="false">IFERROR(MIN(F4980*Eingaben!$B$19,MAX(0,D4980-H4980)),0)</f>
        <v>0</v>
      </c>
      <c r="J4980" s="13" t="n">
        <f aca="false">IFERROR(MIN(Eingaben!$B$18,MAX(0,F4980-I4980)),0)</f>
        <v>1.7442</v>
      </c>
      <c r="K4980" s="13" t="n">
        <f aca="false">H4980+I4980</f>
        <v>0.89</v>
      </c>
      <c r="L4980" s="13" t="n">
        <f aca="false">MAX(0,D4980-K4980)</f>
        <v>0</v>
      </c>
      <c r="M4980" s="13" t="n">
        <f aca="false">MAX(0,F4980-I4980-J4980)</f>
        <v>0</v>
      </c>
      <c r="N4980" s="13" t="n">
        <f aca="false">IF(Kalender!A222="",0,J4979-H4980)</f>
        <v>0.8542</v>
      </c>
    </row>
    <row r="4981" customFormat="false" ht="16.4" hidden="false" customHeight="false" outlineLevel="0" collapsed="false">
      <c r="A4981" s="13" t="str">
        <f aca="false">""</f>
        <v/>
      </c>
      <c r="B4981" s="13" t="n">
        <f aca="false">219</f>
        <v>219</v>
      </c>
      <c r="C4981" s="13" t="n">
        <f aca="false">IF(Szenarien!$H$24="OK",(IFERROR(SUMIF(Nutzungsprofile!$B$6:$B$11,"Schulbetrieb",Nutzungsprofile!$G$6:$G$11)*Kalender!C223/SUM(Kalender!$C$5:$C$370),0)+IFERROR(SUMIF(Nutzungsprofile!$B$6:$B$11,"Halle",Nutzungsprofile!$G$6:$G$11)*Kalender!D223/SUM(Kalender!$D$5:$D$370),0)+IFERROR(SUMIF(Nutzungsprofile!$B$6:$B$11,"Individuell",Nutzungsprofile!$G$6:$G$11)*Kalender!E223/SUM(Kalender!$E$5:$E$370),0))*Szenarien!$E$24,0)</f>
        <v>2.04</v>
      </c>
      <c r="D4981" s="13" t="n">
        <f aca="false">IF(Szenarien!$H$24="OK",(IFERROR(SUMIF(Nutzungsprofile!$B$17:$B$22,"Schulbetrieb",Nutzungsprofile!$G$17:$G$22)*Kalender!C223/SUM(Kalender!$C$5:$C$370),0)+IFERROR(SUMIF(Nutzungsprofile!$B$17:$B$22,"Halle",Nutzungsprofile!$G$17:$G$22)*Kalender!D223/SUM(Kalender!$D$5:$D$370),0)+IFERROR(SUMIF(Nutzungsprofile!$B$17:$B$22,"Individuell",Nutzungsprofile!$G$17:$G$22)*Kalender!E223/SUM(Kalender!$E$5:$E$370),0))*Szenarien!$D$24,0)</f>
        <v>0.89</v>
      </c>
      <c r="E4981" s="13" t="n">
        <f aca="false">IFERROR(MIN(C4981,Eingaben!$B$17)*Eingaben!$B$16,0)</f>
        <v>1.938</v>
      </c>
      <c r="F4981" s="13" t="n">
        <f aca="false">IFERROR(E4981*Eingaben!$B$15,0)</f>
        <v>1.7442</v>
      </c>
      <c r="G4981" s="13" t="n">
        <f aca="false">IFERROR(IF(Kalender!A223="",0,J4980*(1-Eingaben!$B$20)),0)</f>
        <v>1.709316</v>
      </c>
      <c r="H4981" s="13" t="n">
        <f aca="false">MIN(G4981,D4981)</f>
        <v>0.89</v>
      </c>
      <c r="I4981" s="13" t="n">
        <f aca="false">IFERROR(MIN(F4981*Eingaben!$B$19,MAX(0,D4981-H4981)),0)</f>
        <v>0</v>
      </c>
      <c r="J4981" s="13" t="n">
        <f aca="false">IFERROR(MIN(Eingaben!$B$18,MAX(0,F4981-I4981)),0)</f>
        <v>1.7442</v>
      </c>
      <c r="K4981" s="13" t="n">
        <f aca="false">H4981+I4981</f>
        <v>0.89</v>
      </c>
      <c r="L4981" s="13" t="n">
        <f aca="false">MAX(0,D4981-K4981)</f>
        <v>0</v>
      </c>
      <c r="M4981" s="13" t="n">
        <f aca="false">MAX(0,F4981-I4981-J4981)</f>
        <v>0</v>
      </c>
      <c r="N4981" s="13" t="n">
        <f aca="false">IF(Kalender!A223="",0,J4980-H4981)</f>
        <v>0.8542</v>
      </c>
    </row>
    <row r="4982" customFormat="false" ht="16.4" hidden="false" customHeight="false" outlineLevel="0" collapsed="false">
      <c r="A4982" s="13" t="str">
        <f aca="false">""</f>
        <v/>
      </c>
      <c r="B4982" s="13" t="n">
        <f aca="false">220</f>
        <v>220</v>
      </c>
      <c r="C4982" s="13" t="n">
        <f aca="false">IF(Szenarien!$H$24="OK",(IFERROR(SUMIF(Nutzungsprofile!$B$6:$B$11,"Schulbetrieb",Nutzungsprofile!$G$6:$G$11)*Kalender!C224/SUM(Kalender!$C$5:$C$370),0)+IFERROR(SUMIF(Nutzungsprofile!$B$6:$B$11,"Halle",Nutzungsprofile!$G$6:$G$11)*Kalender!D224/SUM(Kalender!$D$5:$D$370),0)+IFERROR(SUMIF(Nutzungsprofile!$B$6:$B$11,"Individuell",Nutzungsprofile!$G$6:$G$11)*Kalender!E224/SUM(Kalender!$E$5:$E$370),0))*Szenarien!$E$24,0)</f>
        <v>2.04</v>
      </c>
      <c r="D4982" s="13" t="n">
        <f aca="false">IF(Szenarien!$H$24="OK",(IFERROR(SUMIF(Nutzungsprofile!$B$17:$B$22,"Schulbetrieb",Nutzungsprofile!$G$17:$G$22)*Kalender!C224/SUM(Kalender!$C$5:$C$370),0)+IFERROR(SUMIF(Nutzungsprofile!$B$17:$B$22,"Halle",Nutzungsprofile!$G$17:$G$22)*Kalender!D224/SUM(Kalender!$D$5:$D$370),0)+IFERROR(SUMIF(Nutzungsprofile!$B$17:$B$22,"Individuell",Nutzungsprofile!$G$17:$G$22)*Kalender!E224/SUM(Kalender!$E$5:$E$370),0))*Szenarien!$D$24,0)</f>
        <v>0.89</v>
      </c>
      <c r="E4982" s="13" t="n">
        <f aca="false">IFERROR(MIN(C4982,Eingaben!$B$17)*Eingaben!$B$16,0)</f>
        <v>1.938</v>
      </c>
      <c r="F4982" s="13" t="n">
        <f aca="false">IFERROR(E4982*Eingaben!$B$15,0)</f>
        <v>1.7442</v>
      </c>
      <c r="G4982" s="13" t="n">
        <f aca="false">IFERROR(IF(Kalender!A224="",0,J4981*(1-Eingaben!$B$20)),0)</f>
        <v>1.709316</v>
      </c>
      <c r="H4982" s="13" t="n">
        <f aca="false">MIN(G4982,D4982)</f>
        <v>0.89</v>
      </c>
      <c r="I4982" s="13" t="n">
        <f aca="false">IFERROR(MIN(F4982*Eingaben!$B$19,MAX(0,D4982-H4982)),0)</f>
        <v>0</v>
      </c>
      <c r="J4982" s="13" t="n">
        <f aca="false">IFERROR(MIN(Eingaben!$B$18,MAX(0,F4982-I4982)),0)</f>
        <v>1.7442</v>
      </c>
      <c r="K4982" s="13" t="n">
        <f aca="false">H4982+I4982</f>
        <v>0.89</v>
      </c>
      <c r="L4982" s="13" t="n">
        <f aca="false">MAX(0,D4982-K4982)</f>
        <v>0</v>
      </c>
      <c r="M4982" s="13" t="n">
        <f aca="false">MAX(0,F4982-I4982-J4982)</f>
        <v>0</v>
      </c>
      <c r="N4982" s="13" t="n">
        <f aca="false">IF(Kalender!A224="",0,J4981-H4982)</f>
        <v>0.8542</v>
      </c>
    </row>
    <row r="4983" customFormat="false" ht="16.4" hidden="false" customHeight="false" outlineLevel="0" collapsed="false">
      <c r="A4983" s="13" t="str">
        <f aca="false">""</f>
        <v/>
      </c>
      <c r="B4983" s="13" t="n">
        <f aca="false">221</f>
        <v>221</v>
      </c>
      <c r="C4983" s="13" t="n">
        <f aca="false">IF(Szenarien!$H$24="OK",(IFERROR(SUMIF(Nutzungsprofile!$B$6:$B$11,"Schulbetrieb",Nutzungsprofile!$G$6:$G$11)*Kalender!C225/SUM(Kalender!$C$5:$C$370),0)+IFERROR(SUMIF(Nutzungsprofile!$B$6:$B$11,"Halle",Nutzungsprofile!$G$6:$G$11)*Kalender!D225/SUM(Kalender!$D$5:$D$370),0)+IFERROR(SUMIF(Nutzungsprofile!$B$6:$B$11,"Individuell",Nutzungsprofile!$G$6:$G$11)*Kalender!E225/SUM(Kalender!$E$5:$E$370),0))*Szenarien!$E$24,0)</f>
        <v>2.04</v>
      </c>
      <c r="D4983" s="13" t="n">
        <f aca="false">IF(Szenarien!$H$24="OK",(IFERROR(SUMIF(Nutzungsprofile!$B$17:$B$22,"Schulbetrieb",Nutzungsprofile!$G$17:$G$22)*Kalender!C225/SUM(Kalender!$C$5:$C$370),0)+IFERROR(SUMIF(Nutzungsprofile!$B$17:$B$22,"Halle",Nutzungsprofile!$G$17:$G$22)*Kalender!D225/SUM(Kalender!$D$5:$D$370),0)+IFERROR(SUMIF(Nutzungsprofile!$B$17:$B$22,"Individuell",Nutzungsprofile!$G$17:$G$22)*Kalender!E225/SUM(Kalender!$E$5:$E$370),0))*Szenarien!$D$24,0)</f>
        <v>0.89</v>
      </c>
      <c r="E4983" s="13" t="n">
        <f aca="false">IFERROR(MIN(C4983,Eingaben!$B$17)*Eingaben!$B$16,0)</f>
        <v>1.938</v>
      </c>
      <c r="F4983" s="13" t="n">
        <f aca="false">IFERROR(E4983*Eingaben!$B$15,0)</f>
        <v>1.7442</v>
      </c>
      <c r="G4983" s="13" t="n">
        <f aca="false">IFERROR(IF(Kalender!A225="",0,J4982*(1-Eingaben!$B$20)),0)</f>
        <v>1.709316</v>
      </c>
      <c r="H4983" s="13" t="n">
        <f aca="false">MIN(G4983,D4983)</f>
        <v>0.89</v>
      </c>
      <c r="I4983" s="13" t="n">
        <f aca="false">IFERROR(MIN(F4983*Eingaben!$B$19,MAX(0,D4983-H4983)),0)</f>
        <v>0</v>
      </c>
      <c r="J4983" s="13" t="n">
        <f aca="false">IFERROR(MIN(Eingaben!$B$18,MAX(0,F4983-I4983)),0)</f>
        <v>1.7442</v>
      </c>
      <c r="K4983" s="13" t="n">
        <f aca="false">H4983+I4983</f>
        <v>0.89</v>
      </c>
      <c r="L4983" s="13" t="n">
        <f aca="false">MAX(0,D4983-K4983)</f>
        <v>0</v>
      </c>
      <c r="M4983" s="13" t="n">
        <f aca="false">MAX(0,F4983-I4983-J4983)</f>
        <v>0</v>
      </c>
      <c r="N4983" s="13" t="n">
        <f aca="false">IF(Kalender!A225="",0,J4982-H4983)</f>
        <v>0.8542</v>
      </c>
    </row>
    <row r="4984" customFormat="false" ht="16.4" hidden="false" customHeight="false" outlineLevel="0" collapsed="false">
      <c r="A4984" s="13" t="str">
        <f aca="false">""</f>
        <v/>
      </c>
      <c r="B4984" s="13" t="n">
        <f aca="false">222</f>
        <v>222</v>
      </c>
      <c r="C4984" s="13" t="n">
        <f aca="false">IF(Szenarien!$H$24="OK",(IFERROR(SUMIF(Nutzungsprofile!$B$6:$B$11,"Schulbetrieb",Nutzungsprofile!$G$6:$G$11)*Kalender!C226/SUM(Kalender!$C$5:$C$370),0)+IFERROR(SUMIF(Nutzungsprofile!$B$6:$B$11,"Halle",Nutzungsprofile!$G$6:$G$11)*Kalender!D226/SUM(Kalender!$D$5:$D$370),0)+IFERROR(SUMIF(Nutzungsprofile!$B$6:$B$11,"Individuell",Nutzungsprofile!$G$6:$G$11)*Kalender!E226/SUM(Kalender!$E$5:$E$370),0))*Szenarien!$E$24,0)</f>
        <v>2.04</v>
      </c>
      <c r="D4984" s="13" t="n">
        <f aca="false">IF(Szenarien!$H$24="OK",(IFERROR(SUMIF(Nutzungsprofile!$B$17:$B$22,"Schulbetrieb",Nutzungsprofile!$G$17:$G$22)*Kalender!C226/SUM(Kalender!$C$5:$C$370),0)+IFERROR(SUMIF(Nutzungsprofile!$B$17:$B$22,"Halle",Nutzungsprofile!$G$17:$G$22)*Kalender!D226/SUM(Kalender!$D$5:$D$370),0)+IFERROR(SUMIF(Nutzungsprofile!$B$17:$B$22,"Individuell",Nutzungsprofile!$G$17:$G$22)*Kalender!E226/SUM(Kalender!$E$5:$E$370),0))*Szenarien!$D$24,0)</f>
        <v>0.89</v>
      </c>
      <c r="E4984" s="13" t="n">
        <f aca="false">IFERROR(MIN(C4984,Eingaben!$B$17)*Eingaben!$B$16,0)</f>
        <v>1.938</v>
      </c>
      <c r="F4984" s="13" t="n">
        <f aca="false">IFERROR(E4984*Eingaben!$B$15,0)</f>
        <v>1.7442</v>
      </c>
      <c r="G4984" s="13" t="n">
        <f aca="false">IFERROR(IF(Kalender!A226="",0,J4983*(1-Eingaben!$B$20)),0)</f>
        <v>1.709316</v>
      </c>
      <c r="H4984" s="13" t="n">
        <f aca="false">MIN(G4984,D4984)</f>
        <v>0.89</v>
      </c>
      <c r="I4984" s="13" t="n">
        <f aca="false">IFERROR(MIN(F4984*Eingaben!$B$19,MAX(0,D4984-H4984)),0)</f>
        <v>0</v>
      </c>
      <c r="J4984" s="13" t="n">
        <f aca="false">IFERROR(MIN(Eingaben!$B$18,MAX(0,F4984-I4984)),0)</f>
        <v>1.7442</v>
      </c>
      <c r="K4984" s="13" t="n">
        <f aca="false">H4984+I4984</f>
        <v>0.89</v>
      </c>
      <c r="L4984" s="13" t="n">
        <f aca="false">MAX(0,D4984-K4984)</f>
        <v>0</v>
      </c>
      <c r="M4984" s="13" t="n">
        <f aca="false">MAX(0,F4984-I4984-J4984)</f>
        <v>0</v>
      </c>
      <c r="N4984" s="13" t="n">
        <f aca="false">IF(Kalender!A226="",0,J4983-H4984)</f>
        <v>0.8542</v>
      </c>
    </row>
    <row r="4985" customFormat="false" ht="16.4" hidden="false" customHeight="false" outlineLevel="0" collapsed="false">
      <c r="A4985" s="13" t="str">
        <f aca="false">""</f>
        <v/>
      </c>
      <c r="B4985" s="13" t="n">
        <f aca="false">223</f>
        <v>223</v>
      </c>
      <c r="C4985" s="13" t="n">
        <f aca="false">IF(Szenarien!$H$24="OK",(IFERROR(SUMIF(Nutzungsprofile!$B$6:$B$11,"Schulbetrieb",Nutzungsprofile!$G$6:$G$11)*Kalender!C227/SUM(Kalender!$C$5:$C$370),0)+IFERROR(SUMIF(Nutzungsprofile!$B$6:$B$11,"Halle",Nutzungsprofile!$G$6:$G$11)*Kalender!D227/SUM(Kalender!$D$5:$D$370),0)+IFERROR(SUMIF(Nutzungsprofile!$B$6:$B$11,"Individuell",Nutzungsprofile!$G$6:$G$11)*Kalender!E227/SUM(Kalender!$E$5:$E$370),0))*Szenarien!$E$24,0)</f>
        <v>2.04</v>
      </c>
      <c r="D4985" s="13" t="n">
        <f aca="false">IF(Szenarien!$H$24="OK",(IFERROR(SUMIF(Nutzungsprofile!$B$17:$B$22,"Schulbetrieb",Nutzungsprofile!$G$17:$G$22)*Kalender!C227/SUM(Kalender!$C$5:$C$370),0)+IFERROR(SUMIF(Nutzungsprofile!$B$17:$B$22,"Halle",Nutzungsprofile!$G$17:$G$22)*Kalender!D227/SUM(Kalender!$D$5:$D$370),0)+IFERROR(SUMIF(Nutzungsprofile!$B$17:$B$22,"Individuell",Nutzungsprofile!$G$17:$G$22)*Kalender!E227/SUM(Kalender!$E$5:$E$370),0))*Szenarien!$D$24,0)</f>
        <v>0.89</v>
      </c>
      <c r="E4985" s="13" t="n">
        <f aca="false">IFERROR(MIN(C4985,Eingaben!$B$17)*Eingaben!$B$16,0)</f>
        <v>1.938</v>
      </c>
      <c r="F4985" s="13" t="n">
        <f aca="false">IFERROR(E4985*Eingaben!$B$15,0)</f>
        <v>1.7442</v>
      </c>
      <c r="G4985" s="13" t="n">
        <f aca="false">IFERROR(IF(Kalender!A227="",0,J4984*(1-Eingaben!$B$20)),0)</f>
        <v>1.709316</v>
      </c>
      <c r="H4985" s="13" t="n">
        <f aca="false">MIN(G4985,D4985)</f>
        <v>0.89</v>
      </c>
      <c r="I4985" s="13" t="n">
        <f aca="false">IFERROR(MIN(F4985*Eingaben!$B$19,MAX(0,D4985-H4985)),0)</f>
        <v>0</v>
      </c>
      <c r="J4985" s="13" t="n">
        <f aca="false">IFERROR(MIN(Eingaben!$B$18,MAX(0,F4985-I4985)),0)</f>
        <v>1.7442</v>
      </c>
      <c r="K4985" s="13" t="n">
        <f aca="false">H4985+I4985</f>
        <v>0.89</v>
      </c>
      <c r="L4985" s="13" t="n">
        <f aca="false">MAX(0,D4985-K4985)</f>
        <v>0</v>
      </c>
      <c r="M4985" s="13" t="n">
        <f aca="false">MAX(0,F4985-I4985-J4985)</f>
        <v>0</v>
      </c>
      <c r="N4985" s="13" t="n">
        <f aca="false">IF(Kalender!A227="",0,J4984-H4985)</f>
        <v>0.8542</v>
      </c>
    </row>
    <row r="4986" customFormat="false" ht="16.4" hidden="false" customHeight="false" outlineLevel="0" collapsed="false">
      <c r="A4986" s="13" t="str">
        <f aca="false">""</f>
        <v/>
      </c>
      <c r="B4986" s="13" t="n">
        <f aca="false">224</f>
        <v>224</v>
      </c>
      <c r="C4986" s="13" t="n">
        <f aca="false">IF(Szenarien!$H$24="OK",(IFERROR(SUMIF(Nutzungsprofile!$B$6:$B$11,"Schulbetrieb",Nutzungsprofile!$G$6:$G$11)*Kalender!C228/SUM(Kalender!$C$5:$C$370),0)+IFERROR(SUMIF(Nutzungsprofile!$B$6:$B$11,"Halle",Nutzungsprofile!$G$6:$G$11)*Kalender!D228/SUM(Kalender!$D$5:$D$370),0)+IFERROR(SUMIF(Nutzungsprofile!$B$6:$B$11,"Individuell",Nutzungsprofile!$G$6:$G$11)*Kalender!E228/SUM(Kalender!$E$5:$E$370),0))*Szenarien!$E$24,0)</f>
        <v>2.04</v>
      </c>
      <c r="D4986" s="13" t="n">
        <f aca="false">IF(Szenarien!$H$24="OK",(IFERROR(SUMIF(Nutzungsprofile!$B$17:$B$22,"Schulbetrieb",Nutzungsprofile!$G$17:$G$22)*Kalender!C228/SUM(Kalender!$C$5:$C$370),0)+IFERROR(SUMIF(Nutzungsprofile!$B$17:$B$22,"Halle",Nutzungsprofile!$G$17:$G$22)*Kalender!D228/SUM(Kalender!$D$5:$D$370),0)+IFERROR(SUMIF(Nutzungsprofile!$B$17:$B$22,"Individuell",Nutzungsprofile!$G$17:$G$22)*Kalender!E228/SUM(Kalender!$E$5:$E$370),0))*Szenarien!$D$24,0)</f>
        <v>0.89</v>
      </c>
      <c r="E4986" s="13" t="n">
        <f aca="false">IFERROR(MIN(C4986,Eingaben!$B$17)*Eingaben!$B$16,0)</f>
        <v>1.938</v>
      </c>
      <c r="F4986" s="13" t="n">
        <f aca="false">IFERROR(E4986*Eingaben!$B$15,0)</f>
        <v>1.7442</v>
      </c>
      <c r="G4986" s="13" t="n">
        <f aca="false">IFERROR(IF(Kalender!A228="",0,J4985*(1-Eingaben!$B$20)),0)</f>
        <v>1.709316</v>
      </c>
      <c r="H4986" s="13" t="n">
        <f aca="false">MIN(G4986,D4986)</f>
        <v>0.89</v>
      </c>
      <c r="I4986" s="13" t="n">
        <f aca="false">IFERROR(MIN(F4986*Eingaben!$B$19,MAX(0,D4986-H4986)),0)</f>
        <v>0</v>
      </c>
      <c r="J4986" s="13" t="n">
        <f aca="false">IFERROR(MIN(Eingaben!$B$18,MAX(0,F4986-I4986)),0)</f>
        <v>1.7442</v>
      </c>
      <c r="K4986" s="13" t="n">
        <f aca="false">H4986+I4986</f>
        <v>0.89</v>
      </c>
      <c r="L4986" s="13" t="n">
        <f aca="false">MAX(0,D4986-K4986)</f>
        <v>0</v>
      </c>
      <c r="M4986" s="13" t="n">
        <f aca="false">MAX(0,F4986-I4986-J4986)</f>
        <v>0</v>
      </c>
      <c r="N4986" s="13" t="n">
        <f aca="false">IF(Kalender!A228="",0,J4985-H4986)</f>
        <v>0.8542</v>
      </c>
    </row>
    <row r="4987" customFormat="false" ht="16.4" hidden="false" customHeight="false" outlineLevel="0" collapsed="false">
      <c r="A4987" s="13" t="str">
        <f aca="false">""</f>
        <v/>
      </c>
      <c r="B4987" s="13" t="n">
        <f aca="false">225</f>
        <v>225</v>
      </c>
      <c r="C4987" s="13" t="n">
        <f aca="false">IF(Szenarien!$H$24="OK",(IFERROR(SUMIF(Nutzungsprofile!$B$6:$B$11,"Schulbetrieb",Nutzungsprofile!$G$6:$G$11)*Kalender!C229/SUM(Kalender!$C$5:$C$370),0)+IFERROR(SUMIF(Nutzungsprofile!$B$6:$B$11,"Halle",Nutzungsprofile!$G$6:$G$11)*Kalender!D229/SUM(Kalender!$D$5:$D$370),0)+IFERROR(SUMIF(Nutzungsprofile!$B$6:$B$11,"Individuell",Nutzungsprofile!$G$6:$G$11)*Kalender!E229/SUM(Kalender!$E$5:$E$370),0))*Szenarien!$E$24,0)</f>
        <v>2.04</v>
      </c>
      <c r="D4987" s="13" t="n">
        <f aca="false">IF(Szenarien!$H$24="OK",(IFERROR(SUMIF(Nutzungsprofile!$B$17:$B$22,"Schulbetrieb",Nutzungsprofile!$G$17:$G$22)*Kalender!C229/SUM(Kalender!$C$5:$C$370),0)+IFERROR(SUMIF(Nutzungsprofile!$B$17:$B$22,"Halle",Nutzungsprofile!$G$17:$G$22)*Kalender!D229/SUM(Kalender!$D$5:$D$370),0)+IFERROR(SUMIF(Nutzungsprofile!$B$17:$B$22,"Individuell",Nutzungsprofile!$G$17:$G$22)*Kalender!E229/SUM(Kalender!$E$5:$E$370),0))*Szenarien!$D$24,0)</f>
        <v>0.89</v>
      </c>
      <c r="E4987" s="13" t="n">
        <f aca="false">IFERROR(MIN(C4987,Eingaben!$B$17)*Eingaben!$B$16,0)</f>
        <v>1.938</v>
      </c>
      <c r="F4987" s="13" t="n">
        <f aca="false">IFERROR(E4987*Eingaben!$B$15,0)</f>
        <v>1.7442</v>
      </c>
      <c r="G4987" s="13" t="n">
        <f aca="false">IFERROR(IF(Kalender!A229="",0,J4986*(1-Eingaben!$B$20)),0)</f>
        <v>1.709316</v>
      </c>
      <c r="H4987" s="13" t="n">
        <f aca="false">MIN(G4987,D4987)</f>
        <v>0.89</v>
      </c>
      <c r="I4987" s="13" t="n">
        <f aca="false">IFERROR(MIN(F4987*Eingaben!$B$19,MAX(0,D4987-H4987)),0)</f>
        <v>0</v>
      </c>
      <c r="J4987" s="13" t="n">
        <f aca="false">IFERROR(MIN(Eingaben!$B$18,MAX(0,F4987-I4987)),0)</f>
        <v>1.7442</v>
      </c>
      <c r="K4987" s="13" t="n">
        <f aca="false">H4987+I4987</f>
        <v>0.89</v>
      </c>
      <c r="L4987" s="13" t="n">
        <f aca="false">MAX(0,D4987-K4987)</f>
        <v>0</v>
      </c>
      <c r="M4987" s="13" t="n">
        <f aca="false">MAX(0,F4987-I4987-J4987)</f>
        <v>0</v>
      </c>
      <c r="N4987" s="13" t="n">
        <f aca="false">IF(Kalender!A229="",0,J4986-H4987)</f>
        <v>0.8542</v>
      </c>
    </row>
    <row r="4988" customFormat="false" ht="16.4" hidden="false" customHeight="false" outlineLevel="0" collapsed="false">
      <c r="A4988" s="13" t="str">
        <f aca="false">""</f>
        <v/>
      </c>
      <c r="B4988" s="13" t="n">
        <f aca="false">226</f>
        <v>226</v>
      </c>
      <c r="C4988" s="13" t="n">
        <f aca="false">IF(Szenarien!$H$24="OK",(IFERROR(SUMIF(Nutzungsprofile!$B$6:$B$11,"Schulbetrieb",Nutzungsprofile!$G$6:$G$11)*Kalender!C230/SUM(Kalender!$C$5:$C$370),0)+IFERROR(SUMIF(Nutzungsprofile!$B$6:$B$11,"Halle",Nutzungsprofile!$G$6:$G$11)*Kalender!D230/SUM(Kalender!$D$5:$D$370),0)+IFERROR(SUMIF(Nutzungsprofile!$B$6:$B$11,"Individuell",Nutzungsprofile!$G$6:$G$11)*Kalender!E230/SUM(Kalender!$E$5:$E$370),0))*Szenarien!$E$24,0)</f>
        <v>2.04</v>
      </c>
      <c r="D4988" s="13" t="n">
        <f aca="false">IF(Szenarien!$H$24="OK",(IFERROR(SUMIF(Nutzungsprofile!$B$17:$B$22,"Schulbetrieb",Nutzungsprofile!$G$17:$G$22)*Kalender!C230/SUM(Kalender!$C$5:$C$370),0)+IFERROR(SUMIF(Nutzungsprofile!$B$17:$B$22,"Halle",Nutzungsprofile!$G$17:$G$22)*Kalender!D230/SUM(Kalender!$D$5:$D$370),0)+IFERROR(SUMIF(Nutzungsprofile!$B$17:$B$22,"Individuell",Nutzungsprofile!$G$17:$G$22)*Kalender!E230/SUM(Kalender!$E$5:$E$370),0))*Szenarien!$D$24,0)</f>
        <v>0.89</v>
      </c>
      <c r="E4988" s="13" t="n">
        <f aca="false">IFERROR(MIN(C4988,Eingaben!$B$17)*Eingaben!$B$16,0)</f>
        <v>1.938</v>
      </c>
      <c r="F4988" s="13" t="n">
        <f aca="false">IFERROR(E4988*Eingaben!$B$15,0)</f>
        <v>1.7442</v>
      </c>
      <c r="G4988" s="13" t="n">
        <f aca="false">IFERROR(IF(Kalender!A230="",0,J4987*(1-Eingaben!$B$20)),0)</f>
        <v>1.709316</v>
      </c>
      <c r="H4988" s="13" t="n">
        <f aca="false">MIN(G4988,D4988)</f>
        <v>0.89</v>
      </c>
      <c r="I4988" s="13" t="n">
        <f aca="false">IFERROR(MIN(F4988*Eingaben!$B$19,MAX(0,D4988-H4988)),0)</f>
        <v>0</v>
      </c>
      <c r="J4988" s="13" t="n">
        <f aca="false">IFERROR(MIN(Eingaben!$B$18,MAX(0,F4988-I4988)),0)</f>
        <v>1.7442</v>
      </c>
      <c r="K4988" s="13" t="n">
        <f aca="false">H4988+I4988</f>
        <v>0.89</v>
      </c>
      <c r="L4988" s="13" t="n">
        <f aca="false">MAX(0,D4988-K4988)</f>
        <v>0</v>
      </c>
      <c r="M4988" s="13" t="n">
        <f aca="false">MAX(0,F4988-I4988-J4988)</f>
        <v>0</v>
      </c>
      <c r="N4988" s="13" t="n">
        <f aca="false">IF(Kalender!A230="",0,J4987-H4988)</f>
        <v>0.8542</v>
      </c>
    </row>
    <row r="4989" customFormat="false" ht="16.4" hidden="false" customHeight="false" outlineLevel="0" collapsed="false">
      <c r="A4989" s="13" t="str">
        <f aca="false">""</f>
        <v/>
      </c>
      <c r="B4989" s="13" t="n">
        <f aca="false">227</f>
        <v>227</v>
      </c>
      <c r="C4989" s="13" t="n">
        <f aca="false">IF(Szenarien!$H$24="OK",(IFERROR(SUMIF(Nutzungsprofile!$B$6:$B$11,"Schulbetrieb",Nutzungsprofile!$G$6:$G$11)*Kalender!C231/SUM(Kalender!$C$5:$C$370),0)+IFERROR(SUMIF(Nutzungsprofile!$B$6:$B$11,"Halle",Nutzungsprofile!$G$6:$G$11)*Kalender!D231/SUM(Kalender!$D$5:$D$370),0)+IFERROR(SUMIF(Nutzungsprofile!$B$6:$B$11,"Individuell",Nutzungsprofile!$G$6:$G$11)*Kalender!E231/SUM(Kalender!$E$5:$E$370),0))*Szenarien!$E$24,0)</f>
        <v>2.04</v>
      </c>
      <c r="D4989" s="13" t="n">
        <f aca="false">IF(Szenarien!$H$24="OK",(IFERROR(SUMIF(Nutzungsprofile!$B$17:$B$22,"Schulbetrieb",Nutzungsprofile!$G$17:$G$22)*Kalender!C231/SUM(Kalender!$C$5:$C$370),0)+IFERROR(SUMIF(Nutzungsprofile!$B$17:$B$22,"Halle",Nutzungsprofile!$G$17:$G$22)*Kalender!D231/SUM(Kalender!$D$5:$D$370),0)+IFERROR(SUMIF(Nutzungsprofile!$B$17:$B$22,"Individuell",Nutzungsprofile!$G$17:$G$22)*Kalender!E231/SUM(Kalender!$E$5:$E$370),0))*Szenarien!$D$24,0)</f>
        <v>0.89</v>
      </c>
      <c r="E4989" s="13" t="n">
        <f aca="false">IFERROR(MIN(C4989,Eingaben!$B$17)*Eingaben!$B$16,0)</f>
        <v>1.938</v>
      </c>
      <c r="F4989" s="13" t="n">
        <f aca="false">IFERROR(E4989*Eingaben!$B$15,0)</f>
        <v>1.7442</v>
      </c>
      <c r="G4989" s="13" t="n">
        <f aca="false">IFERROR(IF(Kalender!A231="",0,J4988*(1-Eingaben!$B$20)),0)</f>
        <v>1.709316</v>
      </c>
      <c r="H4989" s="13" t="n">
        <f aca="false">MIN(G4989,D4989)</f>
        <v>0.89</v>
      </c>
      <c r="I4989" s="13" t="n">
        <f aca="false">IFERROR(MIN(F4989*Eingaben!$B$19,MAX(0,D4989-H4989)),0)</f>
        <v>0</v>
      </c>
      <c r="J4989" s="13" t="n">
        <f aca="false">IFERROR(MIN(Eingaben!$B$18,MAX(0,F4989-I4989)),0)</f>
        <v>1.7442</v>
      </c>
      <c r="K4989" s="13" t="n">
        <f aca="false">H4989+I4989</f>
        <v>0.89</v>
      </c>
      <c r="L4989" s="13" t="n">
        <f aca="false">MAX(0,D4989-K4989)</f>
        <v>0</v>
      </c>
      <c r="M4989" s="13" t="n">
        <f aca="false">MAX(0,F4989-I4989-J4989)</f>
        <v>0</v>
      </c>
      <c r="N4989" s="13" t="n">
        <f aca="false">IF(Kalender!A231="",0,J4988-H4989)</f>
        <v>0.8542</v>
      </c>
    </row>
    <row r="4990" customFormat="false" ht="16.4" hidden="false" customHeight="false" outlineLevel="0" collapsed="false">
      <c r="A4990" s="13" t="str">
        <f aca="false">""</f>
        <v/>
      </c>
      <c r="B4990" s="13" t="n">
        <f aca="false">228</f>
        <v>228</v>
      </c>
      <c r="C4990" s="13" t="n">
        <f aca="false">IF(Szenarien!$H$24="OK",(IFERROR(SUMIF(Nutzungsprofile!$B$6:$B$11,"Schulbetrieb",Nutzungsprofile!$G$6:$G$11)*Kalender!C232/SUM(Kalender!$C$5:$C$370),0)+IFERROR(SUMIF(Nutzungsprofile!$B$6:$B$11,"Halle",Nutzungsprofile!$G$6:$G$11)*Kalender!D232/SUM(Kalender!$D$5:$D$370),0)+IFERROR(SUMIF(Nutzungsprofile!$B$6:$B$11,"Individuell",Nutzungsprofile!$G$6:$G$11)*Kalender!E232/SUM(Kalender!$E$5:$E$370),0))*Szenarien!$E$24,0)</f>
        <v>2.04</v>
      </c>
      <c r="D4990" s="13" t="n">
        <f aca="false">IF(Szenarien!$H$24="OK",(IFERROR(SUMIF(Nutzungsprofile!$B$17:$B$22,"Schulbetrieb",Nutzungsprofile!$G$17:$G$22)*Kalender!C232/SUM(Kalender!$C$5:$C$370),0)+IFERROR(SUMIF(Nutzungsprofile!$B$17:$B$22,"Halle",Nutzungsprofile!$G$17:$G$22)*Kalender!D232/SUM(Kalender!$D$5:$D$370),0)+IFERROR(SUMIF(Nutzungsprofile!$B$17:$B$22,"Individuell",Nutzungsprofile!$G$17:$G$22)*Kalender!E232/SUM(Kalender!$E$5:$E$370),0))*Szenarien!$D$24,0)</f>
        <v>0.89</v>
      </c>
      <c r="E4990" s="13" t="n">
        <f aca="false">IFERROR(MIN(C4990,Eingaben!$B$17)*Eingaben!$B$16,0)</f>
        <v>1.938</v>
      </c>
      <c r="F4990" s="13" t="n">
        <f aca="false">IFERROR(E4990*Eingaben!$B$15,0)</f>
        <v>1.7442</v>
      </c>
      <c r="G4990" s="13" t="n">
        <f aca="false">IFERROR(IF(Kalender!A232="",0,J4989*(1-Eingaben!$B$20)),0)</f>
        <v>1.709316</v>
      </c>
      <c r="H4990" s="13" t="n">
        <f aca="false">MIN(G4990,D4990)</f>
        <v>0.89</v>
      </c>
      <c r="I4990" s="13" t="n">
        <f aca="false">IFERROR(MIN(F4990*Eingaben!$B$19,MAX(0,D4990-H4990)),0)</f>
        <v>0</v>
      </c>
      <c r="J4990" s="13" t="n">
        <f aca="false">IFERROR(MIN(Eingaben!$B$18,MAX(0,F4990-I4990)),0)</f>
        <v>1.7442</v>
      </c>
      <c r="K4990" s="13" t="n">
        <f aca="false">H4990+I4990</f>
        <v>0.89</v>
      </c>
      <c r="L4990" s="13" t="n">
        <f aca="false">MAX(0,D4990-K4990)</f>
        <v>0</v>
      </c>
      <c r="M4990" s="13" t="n">
        <f aca="false">MAX(0,F4990-I4990-J4990)</f>
        <v>0</v>
      </c>
      <c r="N4990" s="13" t="n">
        <f aca="false">IF(Kalender!A232="",0,J4989-H4990)</f>
        <v>0.8542</v>
      </c>
    </row>
    <row r="4991" customFormat="false" ht="16.4" hidden="false" customHeight="false" outlineLevel="0" collapsed="false">
      <c r="A4991" s="13" t="str">
        <f aca="false">""</f>
        <v/>
      </c>
      <c r="B4991" s="13" t="n">
        <f aca="false">229</f>
        <v>229</v>
      </c>
      <c r="C4991" s="13" t="n">
        <f aca="false">IF(Szenarien!$H$24="OK",(IFERROR(SUMIF(Nutzungsprofile!$B$6:$B$11,"Schulbetrieb",Nutzungsprofile!$G$6:$G$11)*Kalender!C233/SUM(Kalender!$C$5:$C$370),0)+IFERROR(SUMIF(Nutzungsprofile!$B$6:$B$11,"Halle",Nutzungsprofile!$G$6:$G$11)*Kalender!D233/SUM(Kalender!$D$5:$D$370),0)+IFERROR(SUMIF(Nutzungsprofile!$B$6:$B$11,"Individuell",Nutzungsprofile!$G$6:$G$11)*Kalender!E233/SUM(Kalender!$E$5:$E$370),0))*Szenarien!$E$24,0)</f>
        <v>2.04</v>
      </c>
      <c r="D4991" s="13" t="n">
        <f aca="false">IF(Szenarien!$H$24="OK",(IFERROR(SUMIF(Nutzungsprofile!$B$17:$B$22,"Schulbetrieb",Nutzungsprofile!$G$17:$G$22)*Kalender!C233/SUM(Kalender!$C$5:$C$370),0)+IFERROR(SUMIF(Nutzungsprofile!$B$17:$B$22,"Halle",Nutzungsprofile!$G$17:$G$22)*Kalender!D233/SUM(Kalender!$D$5:$D$370),0)+IFERROR(SUMIF(Nutzungsprofile!$B$17:$B$22,"Individuell",Nutzungsprofile!$G$17:$G$22)*Kalender!E233/SUM(Kalender!$E$5:$E$370),0))*Szenarien!$D$24,0)</f>
        <v>0.89</v>
      </c>
      <c r="E4991" s="13" t="n">
        <f aca="false">IFERROR(MIN(C4991,Eingaben!$B$17)*Eingaben!$B$16,0)</f>
        <v>1.938</v>
      </c>
      <c r="F4991" s="13" t="n">
        <f aca="false">IFERROR(E4991*Eingaben!$B$15,0)</f>
        <v>1.7442</v>
      </c>
      <c r="G4991" s="13" t="n">
        <f aca="false">IFERROR(IF(Kalender!A233="",0,J4990*(1-Eingaben!$B$20)),0)</f>
        <v>1.709316</v>
      </c>
      <c r="H4991" s="13" t="n">
        <f aca="false">MIN(G4991,D4991)</f>
        <v>0.89</v>
      </c>
      <c r="I4991" s="13" t="n">
        <f aca="false">IFERROR(MIN(F4991*Eingaben!$B$19,MAX(0,D4991-H4991)),0)</f>
        <v>0</v>
      </c>
      <c r="J4991" s="13" t="n">
        <f aca="false">IFERROR(MIN(Eingaben!$B$18,MAX(0,F4991-I4991)),0)</f>
        <v>1.7442</v>
      </c>
      <c r="K4991" s="13" t="n">
        <f aca="false">H4991+I4991</f>
        <v>0.89</v>
      </c>
      <c r="L4991" s="13" t="n">
        <f aca="false">MAX(0,D4991-K4991)</f>
        <v>0</v>
      </c>
      <c r="M4991" s="13" t="n">
        <f aca="false">MAX(0,F4991-I4991-J4991)</f>
        <v>0</v>
      </c>
      <c r="N4991" s="13" t="n">
        <f aca="false">IF(Kalender!A233="",0,J4990-H4991)</f>
        <v>0.8542</v>
      </c>
    </row>
    <row r="4992" customFormat="false" ht="16.4" hidden="false" customHeight="false" outlineLevel="0" collapsed="false">
      <c r="A4992" s="13" t="str">
        <f aca="false">""</f>
        <v/>
      </c>
      <c r="B4992" s="13" t="n">
        <f aca="false">230</f>
        <v>230</v>
      </c>
      <c r="C4992" s="13" t="n">
        <f aca="false">IF(Szenarien!$H$24="OK",(IFERROR(SUMIF(Nutzungsprofile!$B$6:$B$11,"Schulbetrieb",Nutzungsprofile!$G$6:$G$11)*Kalender!C234/SUM(Kalender!$C$5:$C$370),0)+IFERROR(SUMIF(Nutzungsprofile!$B$6:$B$11,"Halle",Nutzungsprofile!$G$6:$G$11)*Kalender!D234/SUM(Kalender!$D$5:$D$370),0)+IFERROR(SUMIF(Nutzungsprofile!$B$6:$B$11,"Individuell",Nutzungsprofile!$G$6:$G$11)*Kalender!E234/SUM(Kalender!$E$5:$E$370),0))*Szenarien!$E$24,0)</f>
        <v>2.04</v>
      </c>
      <c r="D4992" s="13" t="n">
        <f aca="false">IF(Szenarien!$H$24="OK",(IFERROR(SUMIF(Nutzungsprofile!$B$17:$B$22,"Schulbetrieb",Nutzungsprofile!$G$17:$G$22)*Kalender!C234/SUM(Kalender!$C$5:$C$370),0)+IFERROR(SUMIF(Nutzungsprofile!$B$17:$B$22,"Halle",Nutzungsprofile!$G$17:$G$22)*Kalender!D234/SUM(Kalender!$D$5:$D$370),0)+IFERROR(SUMIF(Nutzungsprofile!$B$17:$B$22,"Individuell",Nutzungsprofile!$G$17:$G$22)*Kalender!E234/SUM(Kalender!$E$5:$E$370),0))*Szenarien!$D$24,0)</f>
        <v>0.89</v>
      </c>
      <c r="E4992" s="13" t="n">
        <f aca="false">IFERROR(MIN(C4992,Eingaben!$B$17)*Eingaben!$B$16,0)</f>
        <v>1.938</v>
      </c>
      <c r="F4992" s="13" t="n">
        <f aca="false">IFERROR(E4992*Eingaben!$B$15,0)</f>
        <v>1.7442</v>
      </c>
      <c r="G4992" s="13" t="n">
        <f aca="false">IFERROR(IF(Kalender!A234="",0,J4991*(1-Eingaben!$B$20)),0)</f>
        <v>1.709316</v>
      </c>
      <c r="H4992" s="13" t="n">
        <f aca="false">MIN(G4992,D4992)</f>
        <v>0.89</v>
      </c>
      <c r="I4992" s="13" t="n">
        <f aca="false">IFERROR(MIN(F4992*Eingaben!$B$19,MAX(0,D4992-H4992)),0)</f>
        <v>0</v>
      </c>
      <c r="J4992" s="13" t="n">
        <f aca="false">IFERROR(MIN(Eingaben!$B$18,MAX(0,F4992-I4992)),0)</f>
        <v>1.7442</v>
      </c>
      <c r="K4992" s="13" t="n">
        <f aca="false">H4992+I4992</f>
        <v>0.89</v>
      </c>
      <c r="L4992" s="13" t="n">
        <f aca="false">MAX(0,D4992-K4992)</f>
        <v>0</v>
      </c>
      <c r="M4992" s="13" t="n">
        <f aca="false">MAX(0,F4992-I4992-J4992)</f>
        <v>0</v>
      </c>
      <c r="N4992" s="13" t="n">
        <f aca="false">IF(Kalender!A234="",0,J4991-H4992)</f>
        <v>0.8542</v>
      </c>
    </row>
    <row r="4993" customFormat="false" ht="16.4" hidden="false" customHeight="false" outlineLevel="0" collapsed="false">
      <c r="A4993" s="13" t="str">
        <f aca="false">""</f>
        <v/>
      </c>
      <c r="B4993" s="13" t="n">
        <f aca="false">231</f>
        <v>231</v>
      </c>
      <c r="C4993" s="13" t="n">
        <f aca="false">IF(Szenarien!$H$24="OK",(IFERROR(SUMIF(Nutzungsprofile!$B$6:$B$11,"Schulbetrieb",Nutzungsprofile!$G$6:$G$11)*Kalender!C235/SUM(Kalender!$C$5:$C$370),0)+IFERROR(SUMIF(Nutzungsprofile!$B$6:$B$11,"Halle",Nutzungsprofile!$G$6:$G$11)*Kalender!D235/SUM(Kalender!$D$5:$D$370),0)+IFERROR(SUMIF(Nutzungsprofile!$B$6:$B$11,"Individuell",Nutzungsprofile!$G$6:$G$11)*Kalender!E235/SUM(Kalender!$E$5:$E$370),0))*Szenarien!$E$24,0)</f>
        <v>2.04</v>
      </c>
      <c r="D4993" s="13" t="n">
        <f aca="false">IF(Szenarien!$H$24="OK",(IFERROR(SUMIF(Nutzungsprofile!$B$17:$B$22,"Schulbetrieb",Nutzungsprofile!$G$17:$G$22)*Kalender!C235/SUM(Kalender!$C$5:$C$370),0)+IFERROR(SUMIF(Nutzungsprofile!$B$17:$B$22,"Halle",Nutzungsprofile!$G$17:$G$22)*Kalender!D235/SUM(Kalender!$D$5:$D$370),0)+IFERROR(SUMIF(Nutzungsprofile!$B$17:$B$22,"Individuell",Nutzungsprofile!$G$17:$G$22)*Kalender!E235/SUM(Kalender!$E$5:$E$370),0))*Szenarien!$D$24,0)</f>
        <v>0.89</v>
      </c>
      <c r="E4993" s="13" t="n">
        <f aca="false">IFERROR(MIN(C4993,Eingaben!$B$17)*Eingaben!$B$16,0)</f>
        <v>1.938</v>
      </c>
      <c r="F4993" s="13" t="n">
        <f aca="false">IFERROR(E4993*Eingaben!$B$15,0)</f>
        <v>1.7442</v>
      </c>
      <c r="G4993" s="13" t="n">
        <f aca="false">IFERROR(IF(Kalender!A235="",0,J4992*(1-Eingaben!$B$20)),0)</f>
        <v>1.709316</v>
      </c>
      <c r="H4993" s="13" t="n">
        <f aca="false">MIN(G4993,D4993)</f>
        <v>0.89</v>
      </c>
      <c r="I4993" s="13" t="n">
        <f aca="false">IFERROR(MIN(F4993*Eingaben!$B$19,MAX(0,D4993-H4993)),0)</f>
        <v>0</v>
      </c>
      <c r="J4993" s="13" t="n">
        <f aca="false">IFERROR(MIN(Eingaben!$B$18,MAX(0,F4993-I4993)),0)</f>
        <v>1.7442</v>
      </c>
      <c r="K4993" s="13" t="n">
        <f aca="false">H4993+I4993</f>
        <v>0.89</v>
      </c>
      <c r="L4993" s="13" t="n">
        <f aca="false">MAX(0,D4993-K4993)</f>
        <v>0</v>
      </c>
      <c r="M4993" s="13" t="n">
        <f aca="false">MAX(0,F4993-I4993-J4993)</f>
        <v>0</v>
      </c>
      <c r="N4993" s="13" t="n">
        <f aca="false">IF(Kalender!A235="",0,J4992-H4993)</f>
        <v>0.8542</v>
      </c>
    </row>
    <row r="4994" customFormat="false" ht="16.4" hidden="false" customHeight="false" outlineLevel="0" collapsed="false">
      <c r="A4994" s="13" t="str">
        <f aca="false">""</f>
        <v/>
      </c>
      <c r="B4994" s="13" t="n">
        <f aca="false">232</f>
        <v>232</v>
      </c>
      <c r="C4994" s="13" t="n">
        <f aca="false">IF(Szenarien!$H$24="OK",(IFERROR(SUMIF(Nutzungsprofile!$B$6:$B$11,"Schulbetrieb",Nutzungsprofile!$G$6:$G$11)*Kalender!C236/SUM(Kalender!$C$5:$C$370),0)+IFERROR(SUMIF(Nutzungsprofile!$B$6:$B$11,"Halle",Nutzungsprofile!$G$6:$G$11)*Kalender!D236/SUM(Kalender!$D$5:$D$370),0)+IFERROR(SUMIF(Nutzungsprofile!$B$6:$B$11,"Individuell",Nutzungsprofile!$G$6:$G$11)*Kalender!E236/SUM(Kalender!$E$5:$E$370),0))*Szenarien!$E$24,0)</f>
        <v>2.04</v>
      </c>
      <c r="D4994" s="13" t="n">
        <f aca="false">IF(Szenarien!$H$24="OK",(IFERROR(SUMIF(Nutzungsprofile!$B$17:$B$22,"Schulbetrieb",Nutzungsprofile!$G$17:$G$22)*Kalender!C236/SUM(Kalender!$C$5:$C$370),0)+IFERROR(SUMIF(Nutzungsprofile!$B$17:$B$22,"Halle",Nutzungsprofile!$G$17:$G$22)*Kalender!D236/SUM(Kalender!$D$5:$D$370),0)+IFERROR(SUMIF(Nutzungsprofile!$B$17:$B$22,"Individuell",Nutzungsprofile!$G$17:$G$22)*Kalender!E236/SUM(Kalender!$E$5:$E$370),0))*Szenarien!$D$24,0)</f>
        <v>0.89</v>
      </c>
      <c r="E4994" s="13" t="n">
        <f aca="false">IFERROR(MIN(C4994,Eingaben!$B$17)*Eingaben!$B$16,0)</f>
        <v>1.938</v>
      </c>
      <c r="F4994" s="13" t="n">
        <f aca="false">IFERROR(E4994*Eingaben!$B$15,0)</f>
        <v>1.7442</v>
      </c>
      <c r="G4994" s="13" t="n">
        <f aca="false">IFERROR(IF(Kalender!A236="",0,J4993*(1-Eingaben!$B$20)),0)</f>
        <v>1.709316</v>
      </c>
      <c r="H4994" s="13" t="n">
        <f aca="false">MIN(G4994,D4994)</f>
        <v>0.89</v>
      </c>
      <c r="I4994" s="13" t="n">
        <f aca="false">IFERROR(MIN(F4994*Eingaben!$B$19,MAX(0,D4994-H4994)),0)</f>
        <v>0</v>
      </c>
      <c r="J4994" s="13" t="n">
        <f aca="false">IFERROR(MIN(Eingaben!$B$18,MAX(0,F4994-I4994)),0)</f>
        <v>1.7442</v>
      </c>
      <c r="K4994" s="13" t="n">
        <f aca="false">H4994+I4994</f>
        <v>0.89</v>
      </c>
      <c r="L4994" s="13" t="n">
        <f aca="false">MAX(0,D4994-K4994)</f>
        <v>0</v>
      </c>
      <c r="M4994" s="13" t="n">
        <f aca="false">MAX(0,F4994-I4994-J4994)</f>
        <v>0</v>
      </c>
      <c r="N4994" s="13" t="n">
        <f aca="false">IF(Kalender!A236="",0,J4993-H4994)</f>
        <v>0.8542</v>
      </c>
    </row>
    <row r="4995" customFormat="false" ht="16.4" hidden="false" customHeight="false" outlineLevel="0" collapsed="false">
      <c r="A4995" s="13" t="str">
        <f aca="false">""</f>
        <v/>
      </c>
      <c r="B4995" s="13" t="n">
        <f aca="false">233</f>
        <v>233</v>
      </c>
      <c r="C4995" s="13" t="n">
        <f aca="false">IF(Szenarien!$H$24="OK",(IFERROR(SUMIF(Nutzungsprofile!$B$6:$B$11,"Schulbetrieb",Nutzungsprofile!$G$6:$G$11)*Kalender!C237/SUM(Kalender!$C$5:$C$370),0)+IFERROR(SUMIF(Nutzungsprofile!$B$6:$B$11,"Halle",Nutzungsprofile!$G$6:$G$11)*Kalender!D237/SUM(Kalender!$D$5:$D$370),0)+IFERROR(SUMIF(Nutzungsprofile!$B$6:$B$11,"Individuell",Nutzungsprofile!$G$6:$G$11)*Kalender!E237/SUM(Kalender!$E$5:$E$370),0))*Szenarien!$E$24,0)</f>
        <v>2.04</v>
      </c>
      <c r="D4995" s="13" t="n">
        <f aca="false">IF(Szenarien!$H$24="OK",(IFERROR(SUMIF(Nutzungsprofile!$B$17:$B$22,"Schulbetrieb",Nutzungsprofile!$G$17:$G$22)*Kalender!C237/SUM(Kalender!$C$5:$C$370),0)+IFERROR(SUMIF(Nutzungsprofile!$B$17:$B$22,"Halle",Nutzungsprofile!$G$17:$G$22)*Kalender!D237/SUM(Kalender!$D$5:$D$370),0)+IFERROR(SUMIF(Nutzungsprofile!$B$17:$B$22,"Individuell",Nutzungsprofile!$G$17:$G$22)*Kalender!E237/SUM(Kalender!$E$5:$E$370),0))*Szenarien!$D$24,0)</f>
        <v>0.89</v>
      </c>
      <c r="E4995" s="13" t="n">
        <f aca="false">IFERROR(MIN(C4995,Eingaben!$B$17)*Eingaben!$B$16,0)</f>
        <v>1.938</v>
      </c>
      <c r="F4995" s="13" t="n">
        <f aca="false">IFERROR(E4995*Eingaben!$B$15,0)</f>
        <v>1.7442</v>
      </c>
      <c r="G4995" s="13" t="n">
        <f aca="false">IFERROR(IF(Kalender!A237="",0,J4994*(1-Eingaben!$B$20)),0)</f>
        <v>1.709316</v>
      </c>
      <c r="H4995" s="13" t="n">
        <f aca="false">MIN(G4995,D4995)</f>
        <v>0.89</v>
      </c>
      <c r="I4995" s="13" t="n">
        <f aca="false">IFERROR(MIN(F4995*Eingaben!$B$19,MAX(0,D4995-H4995)),0)</f>
        <v>0</v>
      </c>
      <c r="J4995" s="13" t="n">
        <f aca="false">IFERROR(MIN(Eingaben!$B$18,MAX(0,F4995-I4995)),0)</f>
        <v>1.7442</v>
      </c>
      <c r="K4995" s="13" t="n">
        <f aca="false">H4995+I4995</f>
        <v>0.89</v>
      </c>
      <c r="L4995" s="13" t="n">
        <f aca="false">MAX(0,D4995-K4995)</f>
        <v>0</v>
      </c>
      <c r="M4995" s="13" t="n">
        <f aca="false">MAX(0,F4995-I4995-J4995)</f>
        <v>0</v>
      </c>
      <c r="N4995" s="13" t="n">
        <f aca="false">IF(Kalender!A237="",0,J4994-H4995)</f>
        <v>0.8542</v>
      </c>
    </row>
    <row r="4996" customFormat="false" ht="16.4" hidden="false" customHeight="false" outlineLevel="0" collapsed="false">
      <c r="A4996" s="13" t="str">
        <f aca="false">""</f>
        <v/>
      </c>
      <c r="B4996" s="13" t="n">
        <f aca="false">234</f>
        <v>234</v>
      </c>
      <c r="C4996" s="13" t="n">
        <f aca="false">IF(Szenarien!$H$24="OK",(IFERROR(SUMIF(Nutzungsprofile!$B$6:$B$11,"Schulbetrieb",Nutzungsprofile!$G$6:$G$11)*Kalender!C238/SUM(Kalender!$C$5:$C$370),0)+IFERROR(SUMIF(Nutzungsprofile!$B$6:$B$11,"Halle",Nutzungsprofile!$G$6:$G$11)*Kalender!D238/SUM(Kalender!$D$5:$D$370),0)+IFERROR(SUMIF(Nutzungsprofile!$B$6:$B$11,"Individuell",Nutzungsprofile!$G$6:$G$11)*Kalender!E238/SUM(Kalender!$E$5:$E$370),0))*Szenarien!$E$24,0)</f>
        <v>2.04</v>
      </c>
      <c r="D4996" s="13" t="n">
        <f aca="false">IF(Szenarien!$H$24="OK",(IFERROR(SUMIF(Nutzungsprofile!$B$17:$B$22,"Schulbetrieb",Nutzungsprofile!$G$17:$G$22)*Kalender!C238/SUM(Kalender!$C$5:$C$370),0)+IFERROR(SUMIF(Nutzungsprofile!$B$17:$B$22,"Halle",Nutzungsprofile!$G$17:$G$22)*Kalender!D238/SUM(Kalender!$D$5:$D$370),0)+IFERROR(SUMIF(Nutzungsprofile!$B$17:$B$22,"Individuell",Nutzungsprofile!$G$17:$G$22)*Kalender!E238/SUM(Kalender!$E$5:$E$370),0))*Szenarien!$D$24,0)</f>
        <v>0.89</v>
      </c>
      <c r="E4996" s="13" t="n">
        <f aca="false">IFERROR(MIN(C4996,Eingaben!$B$17)*Eingaben!$B$16,0)</f>
        <v>1.938</v>
      </c>
      <c r="F4996" s="13" t="n">
        <f aca="false">IFERROR(E4996*Eingaben!$B$15,0)</f>
        <v>1.7442</v>
      </c>
      <c r="G4996" s="13" t="n">
        <f aca="false">IFERROR(IF(Kalender!A238="",0,J4995*(1-Eingaben!$B$20)),0)</f>
        <v>1.709316</v>
      </c>
      <c r="H4996" s="13" t="n">
        <f aca="false">MIN(G4996,D4996)</f>
        <v>0.89</v>
      </c>
      <c r="I4996" s="13" t="n">
        <f aca="false">IFERROR(MIN(F4996*Eingaben!$B$19,MAX(0,D4996-H4996)),0)</f>
        <v>0</v>
      </c>
      <c r="J4996" s="13" t="n">
        <f aca="false">IFERROR(MIN(Eingaben!$B$18,MAX(0,F4996-I4996)),0)</f>
        <v>1.7442</v>
      </c>
      <c r="K4996" s="13" t="n">
        <f aca="false">H4996+I4996</f>
        <v>0.89</v>
      </c>
      <c r="L4996" s="13" t="n">
        <f aca="false">MAX(0,D4996-K4996)</f>
        <v>0</v>
      </c>
      <c r="M4996" s="13" t="n">
        <f aca="false">MAX(0,F4996-I4996-J4996)</f>
        <v>0</v>
      </c>
      <c r="N4996" s="13" t="n">
        <f aca="false">IF(Kalender!A238="",0,J4995-H4996)</f>
        <v>0.8542</v>
      </c>
    </row>
    <row r="4997" customFormat="false" ht="16.4" hidden="false" customHeight="false" outlineLevel="0" collapsed="false">
      <c r="A4997" s="13" t="str">
        <f aca="false">""</f>
        <v/>
      </c>
      <c r="B4997" s="13" t="n">
        <f aca="false">235</f>
        <v>235</v>
      </c>
      <c r="C4997" s="13" t="n">
        <f aca="false">IF(Szenarien!$H$24="OK",(IFERROR(SUMIF(Nutzungsprofile!$B$6:$B$11,"Schulbetrieb",Nutzungsprofile!$G$6:$G$11)*Kalender!C239/SUM(Kalender!$C$5:$C$370),0)+IFERROR(SUMIF(Nutzungsprofile!$B$6:$B$11,"Halle",Nutzungsprofile!$G$6:$G$11)*Kalender!D239/SUM(Kalender!$D$5:$D$370),0)+IFERROR(SUMIF(Nutzungsprofile!$B$6:$B$11,"Individuell",Nutzungsprofile!$G$6:$G$11)*Kalender!E239/SUM(Kalender!$E$5:$E$370),0))*Szenarien!$E$24,0)</f>
        <v>2.04</v>
      </c>
      <c r="D4997" s="13" t="n">
        <f aca="false">IF(Szenarien!$H$24="OK",(IFERROR(SUMIF(Nutzungsprofile!$B$17:$B$22,"Schulbetrieb",Nutzungsprofile!$G$17:$G$22)*Kalender!C239/SUM(Kalender!$C$5:$C$370),0)+IFERROR(SUMIF(Nutzungsprofile!$B$17:$B$22,"Halle",Nutzungsprofile!$G$17:$G$22)*Kalender!D239/SUM(Kalender!$D$5:$D$370),0)+IFERROR(SUMIF(Nutzungsprofile!$B$17:$B$22,"Individuell",Nutzungsprofile!$G$17:$G$22)*Kalender!E239/SUM(Kalender!$E$5:$E$370),0))*Szenarien!$D$24,0)</f>
        <v>0.89</v>
      </c>
      <c r="E4997" s="13" t="n">
        <f aca="false">IFERROR(MIN(C4997,Eingaben!$B$17)*Eingaben!$B$16,0)</f>
        <v>1.938</v>
      </c>
      <c r="F4997" s="13" t="n">
        <f aca="false">IFERROR(E4997*Eingaben!$B$15,0)</f>
        <v>1.7442</v>
      </c>
      <c r="G4997" s="13" t="n">
        <f aca="false">IFERROR(IF(Kalender!A239="",0,J4996*(1-Eingaben!$B$20)),0)</f>
        <v>1.709316</v>
      </c>
      <c r="H4997" s="13" t="n">
        <f aca="false">MIN(G4997,D4997)</f>
        <v>0.89</v>
      </c>
      <c r="I4997" s="13" t="n">
        <f aca="false">IFERROR(MIN(F4997*Eingaben!$B$19,MAX(0,D4997-H4997)),0)</f>
        <v>0</v>
      </c>
      <c r="J4997" s="13" t="n">
        <f aca="false">IFERROR(MIN(Eingaben!$B$18,MAX(0,F4997-I4997)),0)</f>
        <v>1.7442</v>
      </c>
      <c r="K4997" s="13" t="n">
        <f aca="false">H4997+I4997</f>
        <v>0.89</v>
      </c>
      <c r="L4997" s="13" t="n">
        <f aca="false">MAX(0,D4997-K4997)</f>
        <v>0</v>
      </c>
      <c r="M4997" s="13" t="n">
        <f aca="false">MAX(0,F4997-I4997-J4997)</f>
        <v>0</v>
      </c>
      <c r="N4997" s="13" t="n">
        <f aca="false">IF(Kalender!A239="",0,J4996-H4997)</f>
        <v>0.8542</v>
      </c>
    </row>
    <row r="4998" customFormat="false" ht="16.4" hidden="false" customHeight="false" outlineLevel="0" collapsed="false">
      <c r="A4998" s="13" t="str">
        <f aca="false">""</f>
        <v/>
      </c>
      <c r="B4998" s="13" t="n">
        <f aca="false">236</f>
        <v>236</v>
      </c>
      <c r="C4998" s="13" t="n">
        <f aca="false">IF(Szenarien!$H$24="OK",(IFERROR(SUMIF(Nutzungsprofile!$B$6:$B$11,"Schulbetrieb",Nutzungsprofile!$G$6:$G$11)*Kalender!C240/SUM(Kalender!$C$5:$C$370),0)+IFERROR(SUMIF(Nutzungsprofile!$B$6:$B$11,"Halle",Nutzungsprofile!$G$6:$G$11)*Kalender!D240/SUM(Kalender!$D$5:$D$370),0)+IFERROR(SUMIF(Nutzungsprofile!$B$6:$B$11,"Individuell",Nutzungsprofile!$G$6:$G$11)*Kalender!E240/SUM(Kalender!$E$5:$E$370),0))*Szenarien!$E$24,0)</f>
        <v>2.04</v>
      </c>
      <c r="D4998" s="13" t="n">
        <f aca="false">IF(Szenarien!$H$24="OK",(IFERROR(SUMIF(Nutzungsprofile!$B$17:$B$22,"Schulbetrieb",Nutzungsprofile!$G$17:$G$22)*Kalender!C240/SUM(Kalender!$C$5:$C$370),0)+IFERROR(SUMIF(Nutzungsprofile!$B$17:$B$22,"Halle",Nutzungsprofile!$G$17:$G$22)*Kalender!D240/SUM(Kalender!$D$5:$D$370),0)+IFERROR(SUMIF(Nutzungsprofile!$B$17:$B$22,"Individuell",Nutzungsprofile!$G$17:$G$22)*Kalender!E240/SUM(Kalender!$E$5:$E$370),0))*Szenarien!$D$24,0)</f>
        <v>0.89</v>
      </c>
      <c r="E4998" s="13" t="n">
        <f aca="false">IFERROR(MIN(C4998,Eingaben!$B$17)*Eingaben!$B$16,0)</f>
        <v>1.938</v>
      </c>
      <c r="F4998" s="13" t="n">
        <f aca="false">IFERROR(E4998*Eingaben!$B$15,0)</f>
        <v>1.7442</v>
      </c>
      <c r="G4998" s="13" t="n">
        <f aca="false">IFERROR(IF(Kalender!A240="",0,J4997*(1-Eingaben!$B$20)),0)</f>
        <v>1.709316</v>
      </c>
      <c r="H4998" s="13" t="n">
        <f aca="false">MIN(G4998,D4998)</f>
        <v>0.89</v>
      </c>
      <c r="I4998" s="13" t="n">
        <f aca="false">IFERROR(MIN(F4998*Eingaben!$B$19,MAX(0,D4998-H4998)),0)</f>
        <v>0</v>
      </c>
      <c r="J4998" s="13" t="n">
        <f aca="false">IFERROR(MIN(Eingaben!$B$18,MAX(0,F4998-I4998)),0)</f>
        <v>1.7442</v>
      </c>
      <c r="K4998" s="13" t="n">
        <f aca="false">H4998+I4998</f>
        <v>0.89</v>
      </c>
      <c r="L4998" s="13" t="n">
        <f aca="false">MAX(0,D4998-K4998)</f>
        <v>0</v>
      </c>
      <c r="M4998" s="13" t="n">
        <f aca="false">MAX(0,F4998-I4998-J4998)</f>
        <v>0</v>
      </c>
      <c r="N4998" s="13" t="n">
        <f aca="false">IF(Kalender!A240="",0,J4997-H4998)</f>
        <v>0.8542</v>
      </c>
    </row>
    <row r="4999" customFormat="false" ht="16.4" hidden="false" customHeight="false" outlineLevel="0" collapsed="false">
      <c r="A4999" s="13" t="str">
        <f aca="false">""</f>
        <v/>
      </c>
      <c r="B4999" s="13" t="n">
        <f aca="false">237</f>
        <v>237</v>
      </c>
      <c r="C4999" s="13" t="n">
        <f aca="false">IF(Szenarien!$H$24="OK",(IFERROR(SUMIF(Nutzungsprofile!$B$6:$B$11,"Schulbetrieb",Nutzungsprofile!$G$6:$G$11)*Kalender!C241/SUM(Kalender!$C$5:$C$370),0)+IFERROR(SUMIF(Nutzungsprofile!$B$6:$B$11,"Halle",Nutzungsprofile!$G$6:$G$11)*Kalender!D241/SUM(Kalender!$D$5:$D$370),0)+IFERROR(SUMIF(Nutzungsprofile!$B$6:$B$11,"Individuell",Nutzungsprofile!$G$6:$G$11)*Kalender!E241/SUM(Kalender!$E$5:$E$370),0))*Szenarien!$E$24,0)</f>
        <v>2.04</v>
      </c>
      <c r="D4999" s="13" t="n">
        <f aca="false">IF(Szenarien!$H$24="OK",(IFERROR(SUMIF(Nutzungsprofile!$B$17:$B$22,"Schulbetrieb",Nutzungsprofile!$G$17:$G$22)*Kalender!C241/SUM(Kalender!$C$5:$C$370),0)+IFERROR(SUMIF(Nutzungsprofile!$B$17:$B$22,"Halle",Nutzungsprofile!$G$17:$G$22)*Kalender!D241/SUM(Kalender!$D$5:$D$370),0)+IFERROR(SUMIF(Nutzungsprofile!$B$17:$B$22,"Individuell",Nutzungsprofile!$G$17:$G$22)*Kalender!E241/SUM(Kalender!$E$5:$E$370),0))*Szenarien!$D$24,0)</f>
        <v>0.89</v>
      </c>
      <c r="E4999" s="13" t="n">
        <f aca="false">IFERROR(MIN(C4999,Eingaben!$B$17)*Eingaben!$B$16,0)</f>
        <v>1.938</v>
      </c>
      <c r="F4999" s="13" t="n">
        <f aca="false">IFERROR(E4999*Eingaben!$B$15,0)</f>
        <v>1.7442</v>
      </c>
      <c r="G4999" s="13" t="n">
        <f aca="false">IFERROR(IF(Kalender!A241="",0,J4998*(1-Eingaben!$B$20)),0)</f>
        <v>1.709316</v>
      </c>
      <c r="H4999" s="13" t="n">
        <f aca="false">MIN(G4999,D4999)</f>
        <v>0.89</v>
      </c>
      <c r="I4999" s="13" t="n">
        <f aca="false">IFERROR(MIN(F4999*Eingaben!$B$19,MAX(0,D4999-H4999)),0)</f>
        <v>0</v>
      </c>
      <c r="J4999" s="13" t="n">
        <f aca="false">IFERROR(MIN(Eingaben!$B$18,MAX(0,F4999-I4999)),0)</f>
        <v>1.7442</v>
      </c>
      <c r="K4999" s="13" t="n">
        <f aca="false">H4999+I4999</f>
        <v>0.89</v>
      </c>
      <c r="L4999" s="13" t="n">
        <f aca="false">MAX(0,D4999-K4999)</f>
        <v>0</v>
      </c>
      <c r="M4999" s="13" t="n">
        <f aca="false">MAX(0,F4999-I4999-J4999)</f>
        <v>0</v>
      </c>
      <c r="N4999" s="13" t="n">
        <f aca="false">IF(Kalender!A241="",0,J4998-H4999)</f>
        <v>0.8542</v>
      </c>
    </row>
    <row r="5000" customFormat="false" ht="16.4" hidden="false" customHeight="false" outlineLevel="0" collapsed="false">
      <c r="A5000" s="13" t="str">
        <f aca="false">""</f>
        <v/>
      </c>
      <c r="B5000" s="13" t="n">
        <f aca="false">238</f>
        <v>238</v>
      </c>
      <c r="C5000" s="13" t="n">
        <f aca="false">IF(Szenarien!$H$24="OK",(IFERROR(SUMIF(Nutzungsprofile!$B$6:$B$11,"Schulbetrieb",Nutzungsprofile!$G$6:$G$11)*Kalender!C242/SUM(Kalender!$C$5:$C$370),0)+IFERROR(SUMIF(Nutzungsprofile!$B$6:$B$11,"Halle",Nutzungsprofile!$G$6:$G$11)*Kalender!D242/SUM(Kalender!$D$5:$D$370),0)+IFERROR(SUMIF(Nutzungsprofile!$B$6:$B$11,"Individuell",Nutzungsprofile!$G$6:$G$11)*Kalender!E242/SUM(Kalender!$E$5:$E$370),0))*Szenarien!$E$24,0)</f>
        <v>2.04</v>
      </c>
      <c r="D5000" s="13" t="n">
        <f aca="false">IF(Szenarien!$H$24="OK",(IFERROR(SUMIF(Nutzungsprofile!$B$17:$B$22,"Schulbetrieb",Nutzungsprofile!$G$17:$G$22)*Kalender!C242/SUM(Kalender!$C$5:$C$370),0)+IFERROR(SUMIF(Nutzungsprofile!$B$17:$B$22,"Halle",Nutzungsprofile!$G$17:$G$22)*Kalender!D242/SUM(Kalender!$D$5:$D$370),0)+IFERROR(SUMIF(Nutzungsprofile!$B$17:$B$22,"Individuell",Nutzungsprofile!$G$17:$G$22)*Kalender!E242/SUM(Kalender!$E$5:$E$370),0))*Szenarien!$D$24,0)</f>
        <v>0.89</v>
      </c>
      <c r="E5000" s="13" t="n">
        <f aca="false">IFERROR(MIN(C5000,Eingaben!$B$17)*Eingaben!$B$16,0)</f>
        <v>1.938</v>
      </c>
      <c r="F5000" s="13" t="n">
        <f aca="false">IFERROR(E5000*Eingaben!$B$15,0)</f>
        <v>1.7442</v>
      </c>
      <c r="G5000" s="13" t="n">
        <f aca="false">IFERROR(IF(Kalender!A242="",0,J4999*(1-Eingaben!$B$20)),0)</f>
        <v>1.709316</v>
      </c>
      <c r="H5000" s="13" t="n">
        <f aca="false">MIN(G5000,D5000)</f>
        <v>0.89</v>
      </c>
      <c r="I5000" s="13" t="n">
        <f aca="false">IFERROR(MIN(F5000*Eingaben!$B$19,MAX(0,D5000-H5000)),0)</f>
        <v>0</v>
      </c>
      <c r="J5000" s="13" t="n">
        <f aca="false">IFERROR(MIN(Eingaben!$B$18,MAX(0,F5000-I5000)),0)</f>
        <v>1.7442</v>
      </c>
      <c r="K5000" s="13" t="n">
        <f aca="false">H5000+I5000</f>
        <v>0.89</v>
      </c>
      <c r="L5000" s="13" t="n">
        <f aca="false">MAX(0,D5000-K5000)</f>
        <v>0</v>
      </c>
      <c r="M5000" s="13" t="n">
        <f aca="false">MAX(0,F5000-I5000-J5000)</f>
        <v>0</v>
      </c>
      <c r="N5000" s="13" t="n">
        <f aca="false">IF(Kalender!A242="",0,J4999-H5000)</f>
        <v>0.8542</v>
      </c>
    </row>
    <row r="5001" customFormat="false" ht="16.4" hidden="false" customHeight="false" outlineLevel="0" collapsed="false">
      <c r="A5001" s="13" t="str">
        <f aca="false">""</f>
        <v/>
      </c>
      <c r="B5001" s="13" t="n">
        <f aca="false">239</f>
        <v>239</v>
      </c>
      <c r="C5001" s="13" t="n">
        <f aca="false">IF(Szenarien!$H$24="OK",(IFERROR(SUMIF(Nutzungsprofile!$B$6:$B$11,"Schulbetrieb",Nutzungsprofile!$G$6:$G$11)*Kalender!C243/SUM(Kalender!$C$5:$C$370),0)+IFERROR(SUMIF(Nutzungsprofile!$B$6:$B$11,"Halle",Nutzungsprofile!$G$6:$G$11)*Kalender!D243/SUM(Kalender!$D$5:$D$370),0)+IFERROR(SUMIF(Nutzungsprofile!$B$6:$B$11,"Individuell",Nutzungsprofile!$G$6:$G$11)*Kalender!E243/SUM(Kalender!$E$5:$E$370),0))*Szenarien!$E$24,0)</f>
        <v>2.04</v>
      </c>
      <c r="D5001" s="13" t="n">
        <f aca="false">IF(Szenarien!$H$24="OK",(IFERROR(SUMIF(Nutzungsprofile!$B$17:$B$22,"Schulbetrieb",Nutzungsprofile!$G$17:$G$22)*Kalender!C243/SUM(Kalender!$C$5:$C$370),0)+IFERROR(SUMIF(Nutzungsprofile!$B$17:$B$22,"Halle",Nutzungsprofile!$G$17:$G$22)*Kalender!D243/SUM(Kalender!$D$5:$D$370),0)+IFERROR(SUMIF(Nutzungsprofile!$B$17:$B$22,"Individuell",Nutzungsprofile!$G$17:$G$22)*Kalender!E243/SUM(Kalender!$E$5:$E$370),0))*Szenarien!$D$24,0)</f>
        <v>0.89</v>
      </c>
      <c r="E5001" s="13" t="n">
        <f aca="false">IFERROR(MIN(C5001,Eingaben!$B$17)*Eingaben!$B$16,0)</f>
        <v>1.938</v>
      </c>
      <c r="F5001" s="13" t="n">
        <f aca="false">IFERROR(E5001*Eingaben!$B$15,0)</f>
        <v>1.7442</v>
      </c>
      <c r="G5001" s="13" t="n">
        <f aca="false">IFERROR(IF(Kalender!A243="",0,J5000*(1-Eingaben!$B$20)),0)</f>
        <v>1.709316</v>
      </c>
      <c r="H5001" s="13" t="n">
        <f aca="false">MIN(G5001,D5001)</f>
        <v>0.89</v>
      </c>
      <c r="I5001" s="13" t="n">
        <f aca="false">IFERROR(MIN(F5001*Eingaben!$B$19,MAX(0,D5001-H5001)),0)</f>
        <v>0</v>
      </c>
      <c r="J5001" s="13" t="n">
        <f aca="false">IFERROR(MIN(Eingaben!$B$18,MAX(0,F5001-I5001)),0)</f>
        <v>1.7442</v>
      </c>
      <c r="K5001" s="13" t="n">
        <f aca="false">H5001+I5001</f>
        <v>0.89</v>
      </c>
      <c r="L5001" s="13" t="n">
        <f aca="false">MAX(0,D5001-K5001)</f>
        <v>0</v>
      </c>
      <c r="M5001" s="13" t="n">
        <f aca="false">MAX(0,F5001-I5001-J5001)</f>
        <v>0</v>
      </c>
      <c r="N5001" s="13" t="n">
        <f aca="false">IF(Kalender!A243="",0,J5000-H5001)</f>
        <v>0.8542</v>
      </c>
    </row>
    <row r="5002" customFormat="false" ht="16.4" hidden="false" customHeight="false" outlineLevel="0" collapsed="false">
      <c r="A5002" s="13" t="str">
        <f aca="false">""</f>
        <v/>
      </c>
      <c r="B5002" s="13" t="n">
        <f aca="false">240</f>
        <v>240</v>
      </c>
      <c r="C5002" s="13" t="n">
        <f aca="false">IF(Szenarien!$H$24="OK",(IFERROR(SUMIF(Nutzungsprofile!$B$6:$B$11,"Schulbetrieb",Nutzungsprofile!$G$6:$G$11)*Kalender!C244/SUM(Kalender!$C$5:$C$370),0)+IFERROR(SUMIF(Nutzungsprofile!$B$6:$B$11,"Halle",Nutzungsprofile!$G$6:$G$11)*Kalender!D244/SUM(Kalender!$D$5:$D$370),0)+IFERROR(SUMIF(Nutzungsprofile!$B$6:$B$11,"Individuell",Nutzungsprofile!$G$6:$G$11)*Kalender!E244/SUM(Kalender!$E$5:$E$370),0))*Szenarien!$E$24,0)</f>
        <v>2.04</v>
      </c>
      <c r="D5002" s="13" t="n">
        <f aca="false">IF(Szenarien!$H$24="OK",(IFERROR(SUMIF(Nutzungsprofile!$B$17:$B$22,"Schulbetrieb",Nutzungsprofile!$G$17:$G$22)*Kalender!C244/SUM(Kalender!$C$5:$C$370),0)+IFERROR(SUMIF(Nutzungsprofile!$B$17:$B$22,"Halle",Nutzungsprofile!$G$17:$G$22)*Kalender!D244/SUM(Kalender!$D$5:$D$370),0)+IFERROR(SUMIF(Nutzungsprofile!$B$17:$B$22,"Individuell",Nutzungsprofile!$G$17:$G$22)*Kalender!E244/SUM(Kalender!$E$5:$E$370),0))*Szenarien!$D$24,0)</f>
        <v>0.89</v>
      </c>
      <c r="E5002" s="13" t="n">
        <f aca="false">IFERROR(MIN(C5002,Eingaben!$B$17)*Eingaben!$B$16,0)</f>
        <v>1.938</v>
      </c>
      <c r="F5002" s="13" t="n">
        <f aca="false">IFERROR(E5002*Eingaben!$B$15,0)</f>
        <v>1.7442</v>
      </c>
      <c r="G5002" s="13" t="n">
        <f aca="false">IFERROR(IF(Kalender!A244="",0,J5001*(1-Eingaben!$B$20)),0)</f>
        <v>1.709316</v>
      </c>
      <c r="H5002" s="13" t="n">
        <f aca="false">MIN(G5002,D5002)</f>
        <v>0.89</v>
      </c>
      <c r="I5002" s="13" t="n">
        <f aca="false">IFERROR(MIN(F5002*Eingaben!$B$19,MAX(0,D5002-H5002)),0)</f>
        <v>0</v>
      </c>
      <c r="J5002" s="13" t="n">
        <f aca="false">IFERROR(MIN(Eingaben!$B$18,MAX(0,F5002-I5002)),0)</f>
        <v>1.7442</v>
      </c>
      <c r="K5002" s="13" t="n">
        <f aca="false">H5002+I5002</f>
        <v>0.89</v>
      </c>
      <c r="L5002" s="13" t="n">
        <f aca="false">MAX(0,D5002-K5002)</f>
        <v>0</v>
      </c>
      <c r="M5002" s="13" t="n">
        <f aca="false">MAX(0,F5002-I5002-J5002)</f>
        <v>0</v>
      </c>
      <c r="N5002" s="13" t="n">
        <f aca="false">IF(Kalender!A244="",0,J5001-H5002)</f>
        <v>0.8542</v>
      </c>
    </row>
    <row r="5003" customFormat="false" ht="16.4" hidden="false" customHeight="false" outlineLevel="0" collapsed="false">
      <c r="A5003" s="13" t="str">
        <f aca="false">""</f>
        <v/>
      </c>
      <c r="B5003" s="13" t="n">
        <f aca="false">241</f>
        <v>241</v>
      </c>
      <c r="C5003" s="13" t="n">
        <f aca="false">IF(Szenarien!$H$24="OK",(IFERROR(SUMIF(Nutzungsprofile!$B$6:$B$11,"Schulbetrieb",Nutzungsprofile!$G$6:$G$11)*Kalender!C245/SUM(Kalender!$C$5:$C$370),0)+IFERROR(SUMIF(Nutzungsprofile!$B$6:$B$11,"Halle",Nutzungsprofile!$G$6:$G$11)*Kalender!D245/SUM(Kalender!$D$5:$D$370),0)+IFERROR(SUMIF(Nutzungsprofile!$B$6:$B$11,"Individuell",Nutzungsprofile!$G$6:$G$11)*Kalender!E245/SUM(Kalender!$E$5:$E$370),0))*Szenarien!$E$24,0)</f>
        <v>2.04</v>
      </c>
      <c r="D5003" s="13" t="n">
        <f aca="false">IF(Szenarien!$H$24="OK",(IFERROR(SUMIF(Nutzungsprofile!$B$17:$B$22,"Schulbetrieb",Nutzungsprofile!$G$17:$G$22)*Kalender!C245/SUM(Kalender!$C$5:$C$370),0)+IFERROR(SUMIF(Nutzungsprofile!$B$17:$B$22,"Halle",Nutzungsprofile!$G$17:$G$22)*Kalender!D245/SUM(Kalender!$D$5:$D$370),0)+IFERROR(SUMIF(Nutzungsprofile!$B$17:$B$22,"Individuell",Nutzungsprofile!$G$17:$G$22)*Kalender!E245/SUM(Kalender!$E$5:$E$370),0))*Szenarien!$D$24,0)</f>
        <v>0.89</v>
      </c>
      <c r="E5003" s="13" t="n">
        <f aca="false">IFERROR(MIN(C5003,Eingaben!$B$17)*Eingaben!$B$16,0)</f>
        <v>1.938</v>
      </c>
      <c r="F5003" s="13" t="n">
        <f aca="false">IFERROR(E5003*Eingaben!$B$15,0)</f>
        <v>1.7442</v>
      </c>
      <c r="G5003" s="13" t="n">
        <f aca="false">IFERROR(IF(Kalender!A245="",0,J5002*(1-Eingaben!$B$20)),0)</f>
        <v>1.709316</v>
      </c>
      <c r="H5003" s="13" t="n">
        <f aca="false">MIN(G5003,D5003)</f>
        <v>0.89</v>
      </c>
      <c r="I5003" s="13" t="n">
        <f aca="false">IFERROR(MIN(F5003*Eingaben!$B$19,MAX(0,D5003-H5003)),0)</f>
        <v>0</v>
      </c>
      <c r="J5003" s="13" t="n">
        <f aca="false">IFERROR(MIN(Eingaben!$B$18,MAX(0,F5003-I5003)),0)</f>
        <v>1.7442</v>
      </c>
      <c r="K5003" s="13" t="n">
        <f aca="false">H5003+I5003</f>
        <v>0.89</v>
      </c>
      <c r="L5003" s="13" t="n">
        <f aca="false">MAX(0,D5003-K5003)</f>
        <v>0</v>
      </c>
      <c r="M5003" s="13" t="n">
        <f aca="false">MAX(0,F5003-I5003-J5003)</f>
        <v>0</v>
      </c>
      <c r="N5003" s="13" t="n">
        <f aca="false">IF(Kalender!A245="",0,J5002-H5003)</f>
        <v>0.8542</v>
      </c>
    </row>
    <row r="5004" customFormat="false" ht="16.4" hidden="false" customHeight="false" outlineLevel="0" collapsed="false">
      <c r="A5004" s="13" t="str">
        <f aca="false">""</f>
        <v/>
      </c>
      <c r="B5004" s="13" t="n">
        <f aca="false">242</f>
        <v>242</v>
      </c>
      <c r="C5004" s="13" t="n">
        <f aca="false">IF(Szenarien!$H$24="OK",(IFERROR(SUMIF(Nutzungsprofile!$B$6:$B$11,"Schulbetrieb",Nutzungsprofile!$G$6:$G$11)*Kalender!C246/SUM(Kalender!$C$5:$C$370),0)+IFERROR(SUMIF(Nutzungsprofile!$B$6:$B$11,"Halle",Nutzungsprofile!$G$6:$G$11)*Kalender!D246/SUM(Kalender!$D$5:$D$370),0)+IFERROR(SUMIF(Nutzungsprofile!$B$6:$B$11,"Individuell",Nutzungsprofile!$G$6:$G$11)*Kalender!E246/SUM(Kalender!$E$5:$E$370),0))*Szenarien!$E$24,0)</f>
        <v>2.04</v>
      </c>
      <c r="D5004" s="13" t="n">
        <f aca="false">IF(Szenarien!$H$24="OK",(IFERROR(SUMIF(Nutzungsprofile!$B$17:$B$22,"Schulbetrieb",Nutzungsprofile!$G$17:$G$22)*Kalender!C246/SUM(Kalender!$C$5:$C$370),0)+IFERROR(SUMIF(Nutzungsprofile!$B$17:$B$22,"Halle",Nutzungsprofile!$G$17:$G$22)*Kalender!D246/SUM(Kalender!$D$5:$D$370),0)+IFERROR(SUMIF(Nutzungsprofile!$B$17:$B$22,"Individuell",Nutzungsprofile!$G$17:$G$22)*Kalender!E246/SUM(Kalender!$E$5:$E$370),0))*Szenarien!$D$24,0)</f>
        <v>0.89</v>
      </c>
      <c r="E5004" s="13" t="n">
        <f aca="false">IFERROR(MIN(C5004,Eingaben!$B$17)*Eingaben!$B$16,0)</f>
        <v>1.938</v>
      </c>
      <c r="F5004" s="13" t="n">
        <f aca="false">IFERROR(E5004*Eingaben!$B$15,0)</f>
        <v>1.7442</v>
      </c>
      <c r="G5004" s="13" t="n">
        <f aca="false">IFERROR(IF(Kalender!A246="",0,J5003*(1-Eingaben!$B$20)),0)</f>
        <v>1.709316</v>
      </c>
      <c r="H5004" s="13" t="n">
        <f aca="false">MIN(G5004,D5004)</f>
        <v>0.89</v>
      </c>
      <c r="I5004" s="13" t="n">
        <f aca="false">IFERROR(MIN(F5004*Eingaben!$B$19,MAX(0,D5004-H5004)),0)</f>
        <v>0</v>
      </c>
      <c r="J5004" s="13" t="n">
        <f aca="false">IFERROR(MIN(Eingaben!$B$18,MAX(0,F5004-I5004)),0)</f>
        <v>1.7442</v>
      </c>
      <c r="K5004" s="13" t="n">
        <f aca="false">H5004+I5004</f>
        <v>0.89</v>
      </c>
      <c r="L5004" s="13" t="n">
        <f aca="false">MAX(0,D5004-K5004)</f>
        <v>0</v>
      </c>
      <c r="M5004" s="13" t="n">
        <f aca="false">MAX(0,F5004-I5004-J5004)</f>
        <v>0</v>
      </c>
      <c r="N5004" s="13" t="n">
        <f aca="false">IF(Kalender!A246="",0,J5003-H5004)</f>
        <v>0.8542</v>
      </c>
    </row>
    <row r="5005" customFormat="false" ht="16.4" hidden="false" customHeight="false" outlineLevel="0" collapsed="false">
      <c r="A5005" s="13" t="str">
        <f aca="false">""</f>
        <v/>
      </c>
      <c r="B5005" s="13" t="n">
        <f aca="false">243</f>
        <v>243</v>
      </c>
      <c r="C5005" s="13" t="n">
        <f aca="false">IF(Szenarien!$H$24="OK",(IFERROR(SUMIF(Nutzungsprofile!$B$6:$B$11,"Schulbetrieb",Nutzungsprofile!$G$6:$G$11)*Kalender!C247/SUM(Kalender!$C$5:$C$370),0)+IFERROR(SUMIF(Nutzungsprofile!$B$6:$B$11,"Halle",Nutzungsprofile!$G$6:$G$11)*Kalender!D247/SUM(Kalender!$D$5:$D$370),0)+IFERROR(SUMIF(Nutzungsprofile!$B$6:$B$11,"Individuell",Nutzungsprofile!$G$6:$G$11)*Kalender!E247/SUM(Kalender!$E$5:$E$370),0))*Szenarien!$E$24,0)</f>
        <v>2.04</v>
      </c>
      <c r="D5005" s="13" t="n">
        <f aca="false">IF(Szenarien!$H$24="OK",(IFERROR(SUMIF(Nutzungsprofile!$B$17:$B$22,"Schulbetrieb",Nutzungsprofile!$G$17:$G$22)*Kalender!C247/SUM(Kalender!$C$5:$C$370),0)+IFERROR(SUMIF(Nutzungsprofile!$B$17:$B$22,"Halle",Nutzungsprofile!$G$17:$G$22)*Kalender!D247/SUM(Kalender!$D$5:$D$370),0)+IFERROR(SUMIF(Nutzungsprofile!$B$17:$B$22,"Individuell",Nutzungsprofile!$G$17:$G$22)*Kalender!E247/SUM(Kalender!$E$5:$E$370),0))*Szenarien!$D$24,0)</f>
        <v>0.89</v>
      </c>
      <c r="E5005" s="13" t="n">
        <f aca="false">IFERROR(MIN(C5005,Eingaben!$B$17)*Eingaben!$B$16,0)</f>
        <v>1.938</v>
      </c>
      <c r="F5005" s="13" t="n">
        <f aca="false">IFERROR(E5005*Eingaben!$B$15,0)</f>
        <v>1.7442</v>
      </c>
      <c r="G5005" s="13" t="n">
        <f aca="false">IFERROR(IF(Kalender!A247="",0,J5004*(1-Eingaben!$B$20)),0)</f>
        <v>1.709316</v>
      </c>
      <c r="H5005" s="13" t="n">
        <f aca="false">MIN(G5005,D5005)</f>
        <v>0.89</v>
      </c>
      <c r="I5005" s="13" t="n">
        <f aca="false">IFERROR(MIN(F5005*Eingaben!$B$19,MAX(0,D5005-H5005)),0)</f>
        <v>0</v>
      </c>
      <c r="J5005" s="13" t="n">
        <f aca="false">IFERROR(MIN(Eingaben!$B$18,MAX(0,F5005-I5005)),0)</f>
        <v>1.7442</v>
      </c>
      <c r="K5005" s="13" t="n">
        <f aca="false">H5005+I5005</f>
        <v>0.89</v>
      </c>
      <c r="L5005" s="13" t="n">
        <f aca="false">MAX(0,D5005-K5005)</f>
        <v>0</v>
      </c>
      <c r="M5005" s="13" t="n">
        <f aca="false">MAX(0,F5005-I5005-J5005)</f>
        <v>0</v>
      </c>
      <c r="N5005" s="13" t="n">
        <f aca="false">IF(Kalender!A247="",0,J5004-H5005)</f>
        <v>0.8542</v>
      </c>
    </row>
    <row r="5006" customFormat="false" ht="16.4" hidden="false" customHeight="false" outlineLevel="0" collapsed="false">
      <c r="A5006" s="13" t="str">
        <f aca="false">""</f>
        <v/>
      </c>
      <c r="B5006" s="13" t="n">
        <f aca="false">244</f>
        <v>244</v>
      </c>
      <c r="C5006" s="13" t="n">
        <f aca="false">IF(Szenarien!$H$24="OK",(IFERROR(SUMIF(Nutzungsprofile!$B$6:$B$11,"Schulbetrieb",Nutzungsprofile!$G$6:$G$11)*Kalender!C248/SUM(Kalender!$C$5:$C$370),0)+IFERROR(SUMIF(Nutzungsprofile!$B$6:$B$11,"Halle",Nutzungsprofile!$G$6:$G$11)*Kalender!D248/SUM(Kalender!$D$5:$D$370),0)+IFERROR(SUMIF(Nutzungsprofile!$B$6:$B$11,"Individuell",Nutzungsprofile!$G$6:$G$11)*Kalender!E248/SUM(Kalender!$E$5:$E$370),0))*Szenarien!$E$24,0)</f>
        <v>2.94</v>
      </c>
      <c r="D5006" s="13" t="n">
        <f aca="false">IF(Szenarien!$H$24="OK",(IFERROR(SUMIF(Nutzungsprofile!$B$17:$B$22,"Schulbetrieb",Nutzungsprofile!$G$17:$G$22)*Kalender!C248/SUM(Kalender!$C$5:$C$370),0)+IFERROR(SUMIF(Nutzungsprofile!$B$17:$B$22,"Halle",Nutzungsprofile!$G$17:$G$22)*Kalender!D248/SUM(Kalender!$D$5:$D$370),0)+IFERROR(SUMIF(Nutzungsprofile!$B$17:$B$22,"Individuell",Nutzungsprofile!$G$17:$G$22)*Kalender!E248/SUM(Kalender!$E$5:$E$370),0))*Szenarien!$D$24,0)</f>
        <v>4.94</v>
      </c>
      <c r="E5006" s="13" t="n">
        <f aca="false">IFERROR(MIN(C5006,Eingaben!$B$17)*Eingaben!$B$16,0)</f>
        <v>2.793</v>
      </c>
      <c r="F5006" s="13" t="n">
        <f aca="false">IFERROR(E5006*Eingaben!$B$15,0)</f>
        <v>2.5137</v>
      </c>
      <c r="G5006" s="13" t="n">
        <f aca="false">IFERROR(IF(Kalender!A248="",0,J5005*(1-Eingaben!$B$20)),0)</f>
        <v>1.709316</v>
      </c>
      <c r="H5006" s="13" t="n">
        <f aca="false">MIN(G5006,D5006)</f>
        <v>1.709316</v>
      </c>
      <c r="I5006" s="13" t="n">
        <f aca="false">IFERROR(MIN(F5006*Eingaben!$B$19,MAX(0,D5006-H5006)),0)</f>
        <v>1.75959</v>
      </c>
      <c r="J5006" s="13" t="n">
        <f aca="false">IFERROR(MIN(Eingaben!$B$18,MAX(0,F5006-I5006)),0)</f>
        <v>0.75411</v>
      </c>
      <c r="K5006" s="13" t="n">
        <f aca="false">H5006+I5006</f>
        <v>3.468906</v>
      </c>
      <c r="L5006" s="13" t="n">
        <f aca="false">MAX(0,D5006-K5006)</f>
        <v>1.471094</v>
      </c>
      <c r="M5006" s="13" t="n">
        <f aca="false">MAX(0,F5006-I5006-J5006)</f>
        <v>0</v>
      </c>
      <c r="N5006" s="13" t="n">
        <f aca="false">IF(Kalender!A248="",0,J5005-H5006)</f>
        <v>0.0348840000000001</v>
      </c>
    </row>
    <row r="5007" customFormat="false" ht="16.4" hidden="false" customHeight="false" outlineLevel="0" collapsed="false">
      <c r="A5007" s="13" t="str">
        <f aca="false">""</f>
        <v/>
      </c>
      <c r="B5007" s="13" t="n">
        <f aca="false">245</f>
        <v>245</v>
      </c>
      <c r="C5007" s="13" t="n">
        <f aca="false">IF(Szenarien!$H$24="OK",(IFERROR(SUMIF(Nutzungsprofile!$B$6:$B$11,"Schulbetrieb",Nutzungsprofile!$G$6:$G$11)*Kalender!C249/SUM(Kalender!$C$5:$C$370),0)+IFERROR(SUMIF(Nutzungsprofile!$B$6:$B$11,"Halle",Nutzungsprofile!$G$6:$G$11)*Kalender!D249/SUM(Kalender!$D$5:$D$370),0)+IFERROR(SUMIF(Nutzungsprofile!$B$6:$B$11,"Individuell",Nutzungsprofile!$G$6:$G$11)*Kalender!E249/SUM(Kalender!$E$5:$E$370),0))*Szenarien!$E$24,0)</f>
        <v>2.94</v>
      </c>
      <c r="D5007" s="13" t="n">
        <f aca="false">IF(Szenarien!$H$24="OK",(IFERROR(SUMIF(Nutzungsprofile!$B$17:$B$22,"Schulbetrieb",Nutzungsprofile!$G$17:$G$22)*Kalender!C249/SUM(Kalender!$C$5:$C$370),0)+IFERROR(SUMIF(Nutzungsprofile!$B$17:$B$22,"Halle",Nutzungsprofile!$G$17:$G$22)*Kalender!D249/SUM(Kalender!$D$5:$D$370),0)+IFERROR(SUMIF(Nutzungsprofile!$B$17:$B$22,"Individuell",Nutzungsprofile!$G$17:$G$22)*Kalender!E249/SUM(Kalender!$E$5:$E$370),0))*Szenarien!$D$24,0)</f>
        <v>4.94</v>
      </c>
      <c r="E5007" s="13" t="n">
        <f aca="false">IFERROR(MIN(C5007,Eingaben!$B$17)*Eingaben!$B$16,0)</f>
        <v>2.793</v>
      </c>
      <c r="F5007" s="13" t="n">
        <f aca="false">IFERROR(E5007*Eingaben!$B$15,0)</f>
        <v>2.5137</v>
      </c>
      <c r="G5007" s="13" t="n">
        <f aca="false">IFERROR(IF(Kalender!A249="",0,J5006*(1-Eingaben!$B$20)),0)</f>
        <v>0.7390278</v>
      </c>
      <c r="H5007" s="13" t="n">
        <f aca="false">MIN(G5007,D5007)</f>
        <v>0.7390278</v>
      </c>
      <c r="I5007" s="13" t="n">
        <f aca="false">IFERROR(MIN(F5007*Eingaben!$B$19,MAX(0,D5007-H5007)),0)</f>
        <v>1.75959</v>
      </c>
      <c r="J5007" s="13" t="n">
        <f aca="false">IFERROR(MIN(Eingaben!$B$18,MAX(0,F5007-I5007)),0)</f>
        <v>0.75411</v>
      </c>
      <c r="K5007" s="13" t="n">
        <f aca="false">H5007+I5007</f>
        <v>2.4986178</v>
      </c>
      <c r="L5007" s="13" t="n">
        <f aca="false">MAX(0,D5007-K5007)</f>
        <v>2.4413822</v>
      </c>
      <c r="M5007" s="13" t="n">
        <f aca="false">MAX(0,F5007-I5007-J5007)</f>
        <v>0</v>
      </c>
      <c r="N5007" s="13" t="n">
        <f aca="false">IF(Kalender!A249="",0,J5006-H5007)</f>
        <v>0.0150822</v>
      </c>
    </row>
    <row r="5008" customFormat="false" ht="16.4" hidden="false" customHeight="false" outlineLevel="0" collapsed="false">
      <c r="A5008" s="13" t="str">
        <f aca="false">""</f>
        <v/>
      </c>
      <c r="B5008" s="13" t="n">
        <f aca="false">246</f>
        <v>246</v>
      </c>
      <c r="C5008" s="13" t="n">
        <f aca="false">IF(Szenarien!$H$24="OK",(IFERROR(SUMIF(Nutzungsprofile!$B$6:$B$11,"Schulbetrieb",Nutzungsprofile!$G$6:$G$11)*Kalender!C250/SUM(Kalender!$C$5:$C$370),0)+IFERROR(SUMIF(Nutzungsprofile!$B$6:$B$11,"Halle",Nutzungsprofile!$G$6:$G$11)*Kalender!D250/SUM(Kalender!$D$5:$D$370),0)+IFERROR(SUMIF(Nutzungsprofile!$B$6:$B$11,"Individuell",Nutzungsprofile!$G$6:$G$11)*Kalender!E250/SUM(Kalender!$E$5:$E$370),0))*Szenarien!$E$24,0)</f>
        <v>2.94</v>
      </c>
      <c r="D5008" s="13" t="n">
        <f aca="false">IF(Szenarien!$H$24="OK",(IFERROR(SUMIF(Nutzungsprofile!$B$17:$B$22,"Schulbetrieb",Nutzungsprofile!$G$17:$G$22)*Kalender!C250/SUM(Kalender!$C$5:$C$370),0)+IFERROR(SUMIF(Nutzungsprofile!$B$17:$B$22,"Halle",Nutzungsprofile!$G$17:$G$22)*Kalender!D250/SUM(Kalender!$D$5:$D$370),0)+IFERROR(SUMIF(Nutzungsprofile!$B$17:$B$22,"Individuell",Nutzungsprofile!$G$17:$G$22)*Kalender!E250/SUM(Kalender!$E$5:$E$370),0))*Szenarien!$D$24,0)</f>
        <v>4.94</v>
      </c>
      <c r="E5008" s="13" t="n">
        <f aca="false">IFERROR(MIN(C5008,Eingaben!$B$17)*Eingaben!$B$16,0)</f>
        <v>2.793</v>
      </c>
      <c r="F5008" s="13" t="n">
        <f aca="false">IFERROR(E5008*Eingaben!$B$15,0)</f>
        <v>2.5137</v>
      </c>
      <c r="G5008" s="13" t="n">
        <f aca="false">IFERROR(IF(Kalender!A250="",0,J5007*(1-Eingaben!$B$20)),0)</f>
        <v>0.7390278</v>
      </c>
      <c r="H5008" s="13" t="n">
        <f aca="false">MIN(G5008,D5008)</f>
        <v>0.7390278</v>
      </c>
      <c r="I5008" s="13" t="n">
        <f aca="false">IFERROR(MIN(F5008*Eingaben!$B$19,MAX(0,D5008-H5008)),0)</f>
        <v>1.75959</v>
      </c>
      <c r="J5008" s="13" t="n">
        <f aca="false">IFERROR(MIN(Eingaben!$B$18,MAX(0,F5008-I5008)),0)</f>
        <v>0.75411</v>
      </c>
      <c r="K5008" s="13" t="n">
        <f aca="false">H5008+I5008</f>
        <v>2.4986178</v>
      </c>
      <c r="L5008" s="13" t="n">
        <f aca="false">MAX(0,D5008-K5008)</f>
        <v>2.4413822</v>
      </c>
      <c r="M5008" s="13" t="n">
        <f aca="false">MAX(0,F5008-I5008-J5008)</f>
        <v>0</v>
      </c>
      <c r="N5008" s="13" t="n">
        <f aca="false">IF(Kalender!A250="",0,J5007-H5008)</f>
        <v>0.0150822</v>
      </c>
    </row>
    <row r="5009" customFormat="false" ht="16.4" hidden="false" customHeight="false" outlineLevel="0" collapsed="false">
      <c r="A5009" s="13" t="str">
        <f aca="false">""</f>
        <v/>
      </c>
      <c r="B5009" s="13" t="n">
        <f aca="false">247</f>
        <v>247</v>
      </c>
      <c r="C5009" s="13" t="n">
        <f aca="false">IF(Szenarien!$H$24="OK",(IFERROR(SUMIF(Nutzungsprofile!$B$6:$B$11,"Schulbetrieb",Nutzungsprofile!$G$6:$G$11)*Kalender!C251/SUM(Kalender!$C$5:$C$370),0)+IFERROR(SUMIF(Nutzungsprofile!$B$6:$B$11,"Halle",Nutzungsprofile!$G$6:$G$11)*Kalender!D251/SUM(Kalender!$D$5:$D$370),0)+IFERROR(SUMIF(Nutzungsprofile!$B$6:$B$11,"Individuell",Nutzungsprofile!$G$6:$G$11)*Kalender!E251/SUM(Kalender!$E$5:$E$370),0))*Szenarien!$E$24,0)</f>
        <v>2.94</v>
      </c>
      <c r="D5009" s="13" t="n">
        <f aca="false">IF(Szenarien!$H$24="OK",(IFERROR(SUMIF(Nutzungsprofile!$B$17:$B$22,"Schulbetrieb",Nutzungsprofile!$G$17:$G$22)*Kalender!C251/SUM(Kalender!$C$5:$C$370),0)+IFERROR(SUMIF(Nutzungsprofile!$B$17:$B$22,"Halle",Nutzungsprofile!$G$17:$G$22)*Kalender!D251/SUM(Kalender!$D$5:$D$370),0)+IFERROR(SUMIF(Nutzungsprofile!$B$17:$B$22,"Individuell",Nutzungsprofile!$G$17:$G$22)*Kalender!E251/SUM(Kalender!$E$5:$E$370),0))*Szenarien!$D$24,0)</f>
        <v>4.94</v>
      </c>
      <c r="E5009" s="13" t="n">
        <f aca="false">IFERROR(MIN(C5009,Eingaben!$B$17)*Eingaben!$B$16,0)</f>
        <v>2.793</v>
      </c>
      <c r="F5009" s="13" t="n">
        <f aca="false">IFERROR(E5009*Eingaben!$B$15,0)</f>
        <v>2.5137</v>
      </c>
      <c r="G5009" s="13" t="n">
        <f aca="false">IFERROR(IF(Kalender!A251="",0,J5008*(1-Eingaben!$B$20)),0)</f>
        <v>0.7390278</v>
      </c>
      <c r="H5009" s="13" t="n">
        <f aca="false">MIN(G5009,D5009)</f>
        <v>0.7390278</v>
      </c>
      <c r="I5009" s="13" t="n">
        <f aca="false">IFERROR(MIN(F5009*Eingaben!$B$19,MAX(0,D5009-H5009)),0)</f>
        <v>1.75959</v>
      </c>
      <c r="J5009" s="13" t="n">
        <f aca="false">IFERROR(MIN(Eingaben!$B$18,MAX(0,F5009-I5009)),0)</f>
        <v>0.75411</v>
      </c>
      <c r="K5009" s="13" t="n">
        <f aca="false">H5009+I5009</f>
        <v>2.4986178</v>
      </c>
      <c r="L5009" s="13" t="n">
        <f aca="false">MAX(0,D5009-K5009)</f>
        <v>2.4413822</v>
      </c>
      <c r="M5009" s="13" t="n">
        <f aca="false">MAX(0,F5009-I5009-J5009)</f>
        <v>0</v>
      </c>
      <c r="N5009" s="13" t="n">
        <f aca="false">IF(Kalender!A251="",0,J5008-H5009)</f>
        <v>0.0150822</v>
      </c>
    </row>
    <row r="5010" customFormat="false" ht="16.4" hidden="false" customHeight="false" outlineLevel="0" collapsed="false">
      <c r="A5010" s="13" t="str">
        <f aca="false">""</f>
        <v/>
      </c>
      <c r="B5010" s="13" t="n">
        <f aca="false">248</f>
        <v>248</v>
      </c>
      <c r="C5010" s="13" t="n">
        <f aca="false">IF(Szenarien!$H$24="OK",(IFERROR(SUMIF(Nutzungsprofile!$B$6:$B$11,"Schulbetrieb",Nutzungsprofile!$G$6:$G$11)*Kalender!C252/SUM(Kalender!$C$5:$C$370),0)+IFERROR(SUMIF(Nutzungsprofile!$B$6:$B$11,"Halle",Nutzungsprofile!$G$6:$G$11)*Kalender!D252/SUM(Kalender!$D$5:$D$370),0)+IFERROR(SUMIF(Nutzungsprofile!$B$6:$B$11,"Individuell",Nutzungsprofile!$G$6:$G$11)*Kalender!E252/SUM(Kalender!$E$5:$E$370),0))*Szenarien!$E$24,0)</f>
        <v>2.04</v>
      </c>
      <c r="D5010" s="13" t="n">
        <f aca="false">IF(Szenarien!$H$24="OK",(IFERROR(SUMIF(Nutzungsprofile!$B$17:$B$22,"Schulbetrieb",Nutzungsprofile!$G$17:$G$22)*Kalender!C252/SUM(Kalender!$C$5:$C$370),0)+IFERROR(SUMIF(Nutzungsprofile!$B$17:$B$22,"Halle",Nutzungsprofile!$G$17:$G$22)*Kalender!D252/SUM(Kalender!$D$5:$D$370),0)+IFERROR(SUMIF(Nutzungsprofile!$B$17:$B$22,"Individuell",Nutzungsprofile!$G$17:$G$22)*Kalender!E252/SUM(Kalender!$E$5:$E$370),0))*Szenarien!$D$24,0)</f>
        <v>0.89</v>
      </c>
      <c r="E5010" s="13" t="n">
        <f aca="false">IFERROR(MIN(C5010,Eingaben!$B$17)*Eingaben!$B$16,0)</f>
        <v>1.938</v>
      </c>
      <c r="F5010" s="13" t="n">
        <f aca="false">IFERROR(E5010*Eingaben!$B$15,0)</f>
        <v>1.7442</v>
      </c>
      <c r="G5010" s="13" t="n">
        <f aca="false">IFERROR(IF(Kalender!A252="",0,J5009*(1-Eingaben!$B$20)),0)</f>
        <v>0.7390278</v>
      </c>
      <c r="H5010" s="13" t="n">
        <f aca="false">MIN(G5010,D5010)</f>
        <v>0.7390278</v>
      </c>
      <c r="I5010" s="13" t="n">
        <f aca="false">IFERROR(MIN(F5010*Eingaben!$B$19,MAX(0,D5010-H5010)),0)</f>
        <v>0.1509722</v>
      </c>
      <c r="J5010" s="13" t="n">
        <f aca="false">IFERROR(MIN(Eingaben!$B$18,MAX(0,F5010-I5010)),0)</f>
        <v>1.5932278</v>
      </c>
      <c r="K5010" s="13" t="n">
        <f aca="false">H5010+I5010</f>
        <v>0.89</v>
      </c>
      <c r="L5010" s="13" t="n">
        <f aca="false">MAX(0,D5010-K5010)</f>
        <v>0</v>
      </c>
      <c r="M5010" s="13" t="n">
        <f aca="false">MAX(0,F5010-I5010-J5010)</f>
        <v>0</v>
      </c>
      <c r="N5010" s="13" t="n">
        <f aca="false">IF(Kalender!A252="",0,J5009-H5010)</f>
        <v>0.0150822</v>
      </c>
    </row>
    <row r="5011" customFormat="false" ht="16.4" hidden="false" customHeight="false" outlineLevel="0" collapsed="false">
      <c r="A5011" s="13" t="str">
        <f aca="false">""</f>
        <v/>
      </c>
      <c r="B5011" s="13" t="n">
        <f aca="false">249</f>
        <v>249</v>
      </c>
      <c r="C5011" s="13" t="n">
        <f aca="false">IF(Szenarien!$H$24="OK",(IFERROR(SUMIF(Nutzungsprofile!$B$6:$B$11,"Schulbetrieb",Nutzungsprofile!$G$6:$G$11)*Kalender!C253/SUM(Kalender!$C$5:$C$370),0)+IFERROR(SUMIF(Nutzungsprofile!$B$6:$B$11,"Halle",Nutzungsprofile!$G$6:$G$11)*Kalender!D253/SUM(Kalender!$D$5:$D$370),0)+IFERROR(SUMIF(Nutzungsprofile!$B$6:$B$11,"Individuell",Nutzungsprofile!$G$6:$G$11)*Kalender!E253/SUM(Kalender!$E$5:$E$370),0))*Szenarien!$E$24,0)</f>
        <v>2.04</v>
      </c>
      <c r="D5011" s="13" t="n">
        <f aca="false">IF(Szenarien!$H$24="OK",(IFERROR(SUMIF(Nutzungsprofile!$B$17:$B$22,"Schulbetrieb",Nutzungsprofile!$G$17:$G$22)*Kalender!C253/SUM(Kalender!$C$5:$C$370),0)+IFERROR(SUMIF(Nutzungsprofile!$B$17:$B$22,"Halle",Nutzungsprofile!$G$17:$G$22)*Kalender!D253/SUM(Kalender!$D$5:$D$370),0)+IFERROR(SUMIF(Nutzungsprofile!$B$17:$B$22,"Individuell",Nutzungsprofile!$G$17:$G$22)*Kalender!E253/SUM(Kalender!$E$5:$E$370),0))*Szenarien!$D$24,0)</f>
        <v>0.89</v>
      </c>
      <c r="E5011" s="13" t="n">
        <f aca="false">IFERROR(MIN(C5011,Eingaben!$B$17)*Eingaben!$B$16,0)</f>
        <v>1.938</v>
      </c>
      <c r="F5011" s="13" t="n">
        <f aca="false">IFERROR(E5011*Eingaben!$B$15,0)</f>
        <v>1.7442</v>
      </c>
      <c r="G5011" s="13" t="n">
        <f aca="false">IFERROR(IF(Kalender!A253="",0,J5010*(1-Eingaben!$B$20)),0)</f>
        <v>1.561363244</v>
      </c>
      <c r="H5011" s="13" t="n">
        <f aca="false">MIN(G5011,D5011)</f>
        <v>0.89</v>
      </c>
      <c r="I5011" s="13" t="n">
        <f aca="false">IFERROR(MIN(F5011*Eingaben!$B$19,MAX(0,D5011-H5011)),0)</f>
        <v>0</v>
      </c>
      <c r="J5011" s="13" t="n">
        <f aca="false">IFERROR(MIN(Eingaben!$B$18,MAX(0,F5011-I5011)),0)</f>
        <v>1.7442</v>
      </c>
      <c r="K5011" s="13" t="n">
        <f aca="false">H5011+I5011</f>
        <v>0.89</v>
      </c>
      <c r="L5011" s="13" t="n">
        <f aca="false">MAX(0,D5011-K5011)</f>
        <v>0</v>
      </c>
      <c r="M5011" s="13" t="n">
        <f aca="false">MAX(0,F5011-I5011-J5011)</f>
        <v>0</v>
      </c>
      <c r="N5011" s="13" t="n">
        <f aca="false">IF(Kalender!A253="",0,J5010-H5011)</f>
        <v>0.7032278</v>
      </c>
    </row>
    <row r="5012" customFormat="false" ht="16.4" hidden="false" customHeight="false" outlineLevel="0" collapsed="false">
      <c r="A5012" s="13" t="str">
        <f aca="false">""</f>
        <v/>
      </c>
      <c r="B5012" s="13" t="n">
        <f aca="false">250</f>
        <v>250</v>
      </c>
      <c r="C5012" s="13" t="n">
        <f aca="false">IF(Szenarien!$H$24="OK",(IFERROR(SUMIF(Nutzungsprofile!$B$6:$B$11,"Schulbetrieb",Nutzungsprofile!$G$6:$G$11)*Kalender!C254/SUM(Kalender!$C$5:$C$370),0)+IFERROR(SUMIF(Nutzungsprofile!$B$6:$B$11,"Halle",Nutzungsprofile!$G$6:$G$11)*Kalender!D254/SUM(Kalender!$D$5:$D$370),0)+IFERROR(SUMIF(Nutzungsprofile!$B$6:$B$11,"Individuell",Nutzungsprofile!$G$6:$G$11)*Kalender!E254/SUM(Kalender!$E$5:$E$370),0))*Szenarien!$E$24,0)</f>
        <v>2.94</v>
      </c>
      <c r="D5012" s="13" t="n">
        <f aca="false">IF(Szenarien!$H$24="OK",(IFERROR(SUMIF(Nutzungsprofile!$B$17:$B$22,"Schulbetrieb",Nutzungsprofile!$G$17:$G$22)*Kalender!C254/SUM(Kalender!$C$5:$C$370),0)+IFERROR(SUMIF(Nutzungsprofile!$B$17:$B$22,"Halle",Nutzungsprofile!$G$17:$G$22)*Kalender!D254/SUM(Kalender!$D$5:$D$370),0)+IFERROR(SUMIF(Nutzungsprofile!$B$17:$B$22,"Individuell",Nutzungsprofile!$G$17:$G$22)*Kalender!E254/SUM(Kalender!$E$5:$E$370),0))*Szenarien!$D$24,0)</f>
        <v>4.94</v>
      </c>
      <c r="E5012" s="13" t="n">
        <f aca="false">IFERROR(MIN(C5012,Eingaben!$B$17)*Eingaben!$B$16,0)</f>
        <v>2.793</v>
      </c>
      <c r="F5012" s="13" t="n">
        <f aca="false">IFERROR(E5012*Eingaben!$B$15,0)</f>
        <v>2.5137</v>
      </c>
      <c r="G5012" s="13" t="n">
        <f aca="false">IFERROR(IF(Kalender!A254="",0,J5011*(1-Eingaben!$B$20)),0)</f>
        <v>1.709316</v>
      </c>
      <c r="H5012" s="13" t="n">
        <f aca="false">MIN(G5012,D5012)</f>
        <v>1.709316</v>
      </c>
      <c r="I5012" s="13" t="n">
        <f aca="false">IFERROR(MIN(F5012*Eingaben!$B$19,MAX(0,D5012-H5012)),0)</f>
        <v>1.75959</v>
      </c>
      <c r="J5012" s="13" t="n">
        <f aca="false">IFERROR(MIN(Eingaben!$B$18,MAX(0,F5012-I5012)),0)</f>
        <v>0.75411</v>
      </c>
      <c r="K5012" s="13" t="n">
        <f aca="false">H5012+I5012</f>
        <v>3.468906</v>
      </c>
      <c r="L5012" s="13" t="n">
        <f aca="false">MAX(0,D5012-K5012)</f>
        <v>1.471094</v>
      </c>
      <c r="M5012" s="13" t="n">
        <f aca="false">MAX(0,F5012-I5012-J5012)</f>
        <v>0</v>
      </c>
      <c r="N5012" s="13" t="n">
        <f aca="false">IF(Kalender!A254="",0,J5011-H5012)</f>
        <v>0.0348840000000001</v>
      </c>
    </row>
    <row r="5013" customFormat="false" ht="16.4" hidden="false" customHeight="false" outlineLevel="0" collapsed="false">
      <c r="A5013" s="13" t="str">
        <f aca="false">""</f>
        <v/>
      </c>
      <c r="B5013" s="13" t="n">
        <f aca="false">251</f>
        <v>251</v>
      </c>
      <c r="C5013" s="13" t="n">
        <f aca="false">IF(Szenarien!$H$24="OK",(IFERROR(SUMIF(Nutzungsprofile!$B$6:$B$11,"Schulbetrieb",Nutzungsprofile!$G$6:$G$11)*Kalender!C255/SUM(Kalender!$C$5:$C$370),0)+IFERROR(SUMIF(Nutzungsprofile!$B$6:$B$11,"Halle",Nutzungsprofile!$G$6:$G$11)*Kalender!D255/SUM(Kalender!$D$5:$D$370),0)+IFERROR(SUMIF(Nutzungsprofile!$B$6:$B$11,"Individuell",Nutzungsprofile!$G$6:$G$11)*Kalender!E255/SUM(Kalender!$E$5:$E$370),0))*Szenarien!$E$24,0)</f>
        <v>2.94</v>
      </c>
      <c r="D5013" s="13" t="n">
        <f aca="false">IF(Szenarien!$H$24="OK",(IFERROR(SUMIF(Nutzungsprofile!$B$17:$B$22,"Schulbetrieb",Nutzungsprofile!$G$17:$G$22)*Kalender!C255/SUM(Kalender!$C$5:$C$370),0)+IFERROR(SUMIF(Nutzungsprofile!$B$17:$B$22,"Halle",Nutzungsprofile!$G$17:$G$22)*Kalender!D255/SUM(Kalender!$D$5:$D$370),0)+IFERROR(SUMIF(Nutzungsprofile!$B$17:$B$22,"Individuell",Nutzungsprofile!$G$17:$G$22)*Kalender!E255/SUM(Kalender!$E$5:$E$370),0))*Szenarien!$D$24,0)</f>
        <v>4.94</v>
      </c>
      <c r="E5013" s="13" t="n">
        <f aca="false">IFERROR(MIN(C5013,Eingaben!$B$17)*Eingaben!$B$16,0)</f>
        <v>2.793</v>
      </c>
      <c r="F5013" s="13" t="n">
        <f aca="false">IFERROR(E5013*Eingaben!$B$15,0)</f>
        <v>2.5137</v>
      </c>
      <c r="G5013" s="13" t="n">
        <f aca="false">IFERROR(IF(Kalender!A255="",0,J5012*(1-Eingaben!$B$20)),0)</f>
        <v>0.7390278</v>
      </c>
      <c r="H5013" s="13" t="n">
        <f aca="false">MIN(G5013,D5013)</f>
        <v>0.7390278</v>
      </c>
      <c r="I5013" s="13" t="n">
        <f aca="false">IFERROR(MIN(F5013*Eingaben!$B$19,MAX(0,D5013-H5013)),0)</f>
        <v>1.75959</v>
      </c>
      <c r="J5013" s="13" t="n">
        <f aca="false">IFERROR(MIN(Eingaben!$B$18,MAX(0,F5013-I5013)),0)</f>
        <v>0.75411</v>
      </c>
      <c r="K5013" s="13" t="n">
        <f aca="false">H5013+I5013</f>
        <v>2.4986178</v>
      </c>
      <c r="L5013" s="13" t="n">
        <f aca="false">MAX(0,D5013-K5013)</f>
        <v>2.4413822</v>
      </c>
      <c r="M5013" s="13" t="n">
        <f aca="false">MAX(0,F5013-I5013-J5013)</f>
        <v>0</v>
      </c>
      <c r="N5013" s="13" t="n">
        <f aca="false">IF(Kalender!A255="",0,J5012-H5013)</f>
        <v>0.0150822</v>
      </c>
    </row>
    <row r="5014" customFormat="false" ht="16.4" hidden="false" customHeight="false" outlineLevel="0" collapsed="false">
      <c r="A5014" s="13" t="str">
        <f aca="false">""</f>
        <v/>
      </c>
      <c r="B5014" s="13" t="n">
        <f aca="false">252</f>
        <v>252</v>
      </c>
      <c r="C5014" s="13" t="n">
        <f aca="false">IF(Szenarien!$H$24="OK",(IFERROR(SUMIF(Nutzungsprofile!$B$6:$B$11,"Schulbetrieb",Nutzungsprofile!$G$6:$G$11)*Kalender!C256/SUM(Kalender!$C$5:$C$370),0)+IFERROR(SUMIF(Nutzungsprofile!$B$6:$B$11,"Halle",Nutzungsprofile!$G$6:$G$11)*Kalender!D256/SUM(Kalender!$D$5:$D$370),0)+IFERROR(SUMIF(Nutzungsprofile!$B$6:$B$11,"Individuell",Nutzungsprofile!$G$6:$G$11)*Kalender!E256/SUM(Kalender!$E$5:$E$370),0))*Szenarien!$E$24,0)</f>
        <v>2.94</v>
      </c>
      <c r="D5014" s="13" t="n">
        <f aca="false">IF(Szenarien!$H$24="OK",(IFERROR(SUMIF(Nutzungsprofile!$B$17:$B$22,"Schulbetrieb",Nutzungsprofile!$G$17:$G$22)*Kalender!C256/SUM(Kalender!$C$5:$C$370),0)+IFERROR(SUMIF(Nutzungsprofile!$B$17:$B$22,"Halle",Nutzungsprofile!$G$17:$G$22)*Kalender!D256/SUM(Kalender!$D$5:$D$370),0)+IFERROR(SUMIF(Nutzungsprofile!$B$17:$B$22,"Individuell",Nutzungsprofile!$G$17:$G$22)*Kalender!E256/SUM(Kalender!$E$5:$E$370),0))*Szenarien!$D$24,0)</f>
        <v>4.94</v>
      </c>
      <c r="E5014" s="13" t="n">
        <f aca="false">IFERROR(MIN(C5014,Eingaben!$B$17)*Eingaben!$B$16,0)</f>
        <v>2.793</v>
      </c>
      <c r="F5014" s="13" t="n">
        <f aca="false">IFERROR(E5014*Eingaben!$B$15,0)</f>
        <v>2.5137</v>
      </c>
      <c r="G5014" s="13" t="n">
        <f aca="false">IFERROR(IF(Kalender!A256="",0,J5013*(1-Eingaben!$B$20)),0)</f>
        <v>0.7390278</v>
      </c>
      <c r="H5014" s="13" t="n">
        <f aca="false">MIN(G5014,D5014)</f>
        <v>0.7390278</v>
      </c>
      <c r="I5014" s="13" t="n">
        <f aca="false">IFERROR(MIN(F5014*Eingaben!$B$19,MAX(0,D5014-H5014)),0)</f>
        <v>1.75959</v>
      </c>
      <c r="J5014" s="13" t="n">
        <f aca="false">IFERROR(MIN(Eingaben!$B$18,MAX(0,F5014-I5014)),0)</f>
        <v>0.75411</v>
      </c>
      <c r="K5014" s="13" t="n">
        <f aca="false">H5014+I5014</f>
        <v>2.4986178</v>
      </c>
      <c r="L5014" s="13" t="n">
        <f aca="false">MAX(0,D5014-K5014)</f>
        <v>2.4413822</v>
      </c>
      <c r="M5014" s="13" t="n">
        <f aca="false">MAX(0,F5014-I5014-J5014)</f>
        <v>0</v>
      </c>
      <c r="N5014" s="13" t="n">
        <f aca="false">IF(Kalender!A256="",0,J5013-H5014)</f>
        <v>0.0150822</v>
      </c>
    </row>
    <row r="5015" customFormat="false" ht="16.4" hidden="false" customHeight="false" outlineLevel="0" collapsed="false">
      <c r="A5015" s="13" t="str">
        <f aca="false">""</f>
        <v/>
      </c>
      <c r="B5015" s="13" t="n">
        <f aca="false">253</f>
        <v>253</v>
      </c>
      <c r="C5015" s="13" t="n">
        <f aca="false">IF(Szenarien!$H$24="OK",(IFERROR(SUMIF(Nutzungsprofile!$B$6:$B$11,"Schulbetrieb",Nutzungsprofile!$G$6:$G$11)*Kalender!C257/SUM(Kalender!$C$5:$C$370),0)+IFERROR(SUMIF(Nutzungsprofile!$B$6:$B$11,"Halle",Nutzungsprofile!$G$6:$G$11)*Kalender!D257/SUM(Kalender!$D$5:$D$370),0)+IFERROR(SUMIF(Nutzungsprofile!$B$6:$B$11,"Individuell",Nutzungsprofile!$G$6:$G$11)*Kalender!E257/SUM(Kalender!$E$5:$E$370),0))*Szenarien!$E$24,0)</f>
        <v>2.94</v>
      </c>
      <c r="D5015" s="13" t="n">
        <f aca="false">IF(Szenarien!$H$24="OK",(IFERROR(SUMIF(Nutzungsprofile!$B$17:$B$22,"Schulbetrieb",Nutzungsprofile!$G$17:$G$22)*Kalender!C257/SUM(Kalender!$C$5:$C$370),0)+IFERROR(SUMIF(Nutzungsprofile!$B$17:$B$22,"Halle",Nutzungsprofile!$G$17:$G$22)*Kalender!D257/SUM(Kalender!$D$5:$D$370),0)+IFERROR(SUMIF(Nutzungsprofile!$B$17:$B$22,"Individuell",Nutzungsprofile!$G$17:$G$22)*Kalender!E257/SUM(Kalender!$E$5:$E$370),0))*Szenarien!$D$24,0)</f>
        <v>4.94</v>
      </c>
      <c r="E5015" s="13" t="n">
        <f aca="false">IFERROR(MIN(C5015,Eingaben!$B$17)*Eingaben!$B$16,0)</f>
        <v>2.793</v>
      </c>
      <c r="F5015" s="13" t="n">
        <f aca="false">IFERROR(E5015*Eingaben!$B$15,0)</f>
        <v>2.5137</v>
      </c>
      <c r="G5015" s="13" t="n">
        <f aca="false">IFERROR(IF(Kalender!A257="",0,J5014*(1-Eingaben!$B$20)),0)</f>
        <v>0.7390278</v>
      </c>
      <c r="H5015" s="13" t="n">
        <f aca="false">MIN(G5015,D5015)</f>
        <v>0.7390278</v>
      </c>
      <c r="I5015" s="13" t="n">
        <f aca="false">IFERROR(MIN(F5015*Eingaben!$B$19,MAX(0,D5015-H5015)),0)</f>
        <v>1.75959</v>
      </c>
      <c r="J5015" s="13" t="n">
        <f aca="false">IFERROR(MIN(Eingaben!$B$18,MAX(0,F5015-I5015)),0)</f>
        <v>0.75411</v>
      </c>
      <c r="K5015" s="13" t="n">
        <f aca="false">H5015+I5015</f>
        <v>2.4986178</v>
      </c>
      <c r="L5015" s="13" t="n">
        <f aca="false">MAX(0,D5015-K5015)</f>
        <v>2.4413822</v>
      </c>
      <c r="M5015" s="13" t="n">
        <f aca="false">MAX(0,F5015-I5015-J5015)</f>
        <v>0</v>
      </c>
      <c r="N5015" s="13" t="n">
        <f aca="false">IF(Kalender!A257="",0,J5014-H5015)</f>
        <v>0.0150822</v>
      </c>
    </row>
    <row r="5016" customFormat="false" ht="16.4" hidden="false" customHeight="false" outlineLevel="0" collapsed="false">
      <c r="A5016" s="13" t="str">
        <f aca="false">""</f>
        <v/>
      </c>
      <c r="B5016" s="13" t="n">
        <f aca="false">254</f>
        <v>254</v>
      </c>
      <c r="C5016" s="13" t="n">
        <f aca="false">IF(Szenarien!$H$24="OK",(IFERROR(SUMIF(Nutzungsprofile!$B$6:$B$11,"Schulbetrieb",Nutzungsprofile!$G$6:$G$11)*Kalender!C258/SUM(Kalender!$C$5:$C$370),0)+IFERROR(SUMIF(Nutzungsprofile!$B$6:$B$11,"Halle",Nutzungsprofile!$G$6:$G$11)*Kalender!D258/SUM(Kalender!$D$5:$D$370),0)+IFERROR(SUMIF(Nutzungsprofile!$B$6:$B$11,"Individuell",Nutzungsprofile!$G$6:$G$11)*Kalender!E258/SUM(Kalender!$E$5:$E$370),0))*Szenarien!$E$24,0)</f>
        <v>2.94</v>
      </c>
      <c r="D5016" s="13" t="n">
        <f aca="false">IF(Szenarien!$H$24="OK",(IFERROR(SUMIF(Nutzungsprofile!$B$17:$B$22,"Schulbetrieb",Nutzungsprofile!$G$17:$G$22)*Kalender!C258/SUM(Kalender!$C$5:$C$370),0)+IFERROR(SUMIF(Nutzungsprofile!$B$17:$B$22,"Halle",Nutzungsprofile!$G$17:$G$22)*Kalender!D258/SUM(Kalender!$D$5:$D$370),0)+IFERROR(SUMIF(Nutzungsprofile!$B$17:$B$22,"Individuell",Nutzungsprofile!$G$17:$G$22)*Kalender!E258/SUM(Kalender!$E$5:$E$370),0))*Szenarien!$D$24,0)</f>
        <v>4.94</v>
      </c>
      <c r="E5016" s="13" t="n">
        <f aca="false">IFERROR(MIN(C5016,Eingaben!$B$17)*Eingaben!$B$16,0)</f>
        <v>2.793</v>
      </c>
      <c r="F5016" s="13" t="n">
        <f aca="false">IFERROR(E5016*Eingaben!$B$15,0)</f>
        <v>2.5137</v>
      </c>
      <c r="G5016" s="13" t="n">
        <f aca="false">IFERROR(IF(Kalender!A258="",0,J5015*(1-Eingaben!$B$20)),0)</f>
        <v>0.7390278</v>
      </c>
      <c r="H5016" s="13" t="n">
        <f aca="false">MIN(G5016,D5016)</f>
        <v>0.7390278</v>
      </c>
      <c r="I5016" s="13" t="n">
        <f aca="false">IFERROR(MIN(F5016*Eingaben!$B$19,MAX(0,D5016-H5016)),0)</f>
        <v>1.75959</v>
      </c>
      <c r="J5016" s="13" t="n">
        <f aca="false">IFERROR(MIN(Eingaben!$B$18,MAX(0,F5016-I5016)),0)</f>
        <v>0.75411</v>
      </c>
      <c r="K5016" s="13" t="n">
        <f aca="false">H5016+I5016</f>
        <v>2.4986178</v>
      </c>
      <c r="L5016" s="13" t="n">
        <f aca="false">MAX(0,D5016-K5016)</f>
        <v>2.4413822</v>
      </c>
      <c r="M5016" s="13" t="n">
        <f aca="false">MAX(0,F5016-I5016-J5016)</f>
        <v>0</v>
      </c>
      <c r="N5016" s="13" t="n">
        <f aca="false">IF(Kalender!A258="",0,J5015-H5016)</f>
        <v>0.0150822</v>
      </c>
    </row>
    <row r="5017" customFormat="false" ht="16.4" hidden="false" customHeight="false" outlineLevel="0" collapsed="false">
      <c r="A5017" s="13" t="str">
        <f aca="false">""</f>
        <v/>
      </c>
      <c r="B5017" s="13" t="n">
        <f aca="false">255</f>
        <v>255</v>
      </c>
      <c r="C5017" s="13" t="n">
        <f aca="false">IF(Szenarien!$H$24="OK",(IFERROR(SUMIF(Nutzungsprofile!$B$6:$B$11,"Schulbetrieb",Nutzungsprofile!$G$6:$G$11)*Kalender!C259/SUM(Kalender!$C$5:$C$370),0)+IFERROR(SUMIF(Nutzungsprofile!$B$6:$B$11,"Halle",Nutzungsprofile!$G$6:$G$11)*Kalender!D259/SUM(Kalender!$D$5:$D$370),0)+IFERROR(SUMIF(Nutzungsprofile!$B$6:$B$11,"Individuell",Nutzungsprofile!$G$6:$G$11)*Kalender!E259/SUM(Kalender!$E$5:$E$370),0))*Szenarien!$E$24,0)</f>
        <v>2.04</v>
      </c>
      <c r="D5017" s="13" t="n">
        <f aca="false">IF(Szenarien!$H$24="OK",(IFERROR(SUMIF(Nutzungsprofile!$B$17:$B$22,"Schulbetrieb",Nutzungsprofile!$G$17:$G$22)*Kalender!C259/SUM(Kalender!$C$5:$C$370),0)+IFERROR(SUMIF(Nutzungsprofile!$B$17:$B$22,"Halle",Nutzungsprofile!$G$17:$G$22)*Kalender!D259/SUM(Kalender!$D$5:$D$370),0)+IFERROR(SUMIF(Nutzungsprofile!$B$17:$B$22,"Individuell",Nutzungsprofile!$G$17:$G$22)*Kalender!E259/SUM(Kalender!$E$5:$E$370),0))*Szenarien!$D$24,0)</f>
        <v>0.89</v>
      </c>
      <c r="E5017" s="13" t="n">
        <f aca="false">IFERROR(MIN(C5017,Eingaben!$B$17)*Eingaben!$B$16,0)</f>
        <v>1.938</v>
      </c>
      <c r="F5017" s="13" t="n">
        <f aca="false">IFERROR(E5017*Eingaben!$B$15,0)</f>
        <v>1.7442</v>
      </c>
      <c r="G5017" s="13" t="n">
        <f aca="false">IFERROR(IF(Kalender!A259="",0,J5016*(1-Eingaben!$B$20)),0)</f>
        <v>0.7390278</v>
      </c>
      <c r="H5017" s="13" t="n">
        <f aca="false">MIN(G5017,D5017)</f>
        <v>0.7390278</v>
      </c>
      <c r="I5017" s="13" t="n">
        <f aca="false">IFERROR(MIN(F5017*Eingaben!$B$19,MAX(0,D5017-H5017)),0)</f>
        <v>0.1509722</v>
      </c>
      <c r="J5017" s="13" t="n">
        <f aca="false">IFERROR(MIN(Eingaben!$B$18,MAX(0,F5017-I5017)),0)</f>
        <v>1.5932278</v>
      </c>
      <c r="K5017" s="13" t="n">
        <f aca="false">H5017+I5017</f>
        <v>0.89</v>
      </c>
      <c r="L5017" s="13" t="n">
        <f aca="false">MAX(0,D5017-K5017)</f>
        <v>0</v>
      </c>
      <c r="M5017" s="13" t="n">
        <f aca="false">MAX(0,F5017-I5017-J5017)</f>
        <v>0</v>
      </c>
      <c r="N5017" s="13" t="n">
        <f aca="false">IF(Kalender!A259="",0,J5016-H5017)</f>
        <v>0.0150822</v>
      </c>
    </row>
    <row r="5018" customFormat="false" ht="16.4" hidden="false" customHeight="false" outlineLevel="0" collapsed="false">
      <c r="A5018" s="13" t="str">
        <f aca="false">""</f>
        <v/>
      </c>
      <c r="B5018" s="13" t="n">
        <f aca="false">256</f>
        <v>256</v>
      </c>
      <c r="C5018" s="13" t="n">
        <f aca="false">IF(Szenarien!$H$24="OK",(IFERROR(SUMIF(Nutzungsprofile!$B$6:$B$11,"Schulbetrieb",Nutzungsprofile!$G$6:$G$11)*Kalender!C260/SUM(Kalender!$C$5:$C$370),0)+IFERROR(SUMIF(Nutzungsprofile!$B$6:$B$11,"Halle",Nutzungsprofile!$G$6:$G$11)*Kalender!D260/SUM(Kalender!$D$5:$D$370),0)+IFERROR(SUMIF(Nutzungsprofile!$B$6:$B$11,"Individuell",Nutzungsprofile!$G$6:$G$11)*Kalender!E260/SUM(Kalender!$E$5:$E$370),0))*Szenarien!$E$24,0)</f>
        <v>2.04</v>
      </c>
      <c r="D5018" s="13" t="n">
        <f aca="false">IF(Szenarien!$H$24="OK",(IFERROR(SUMIF(Nutzungsprofile!$B$17:$B$22,"Schulbetrieb",Nutzungsprofile!$G$17:$G$22)*Kalender!C260/SUM(Kalender!$C$5:$C$370),0)+IFERROR(SUMIF(Nutzungsprofile!$B$17:$B$22,"Halle",Nutzungsprofile!$G$17:$G$22)*Kalender!D260/SUM(Kalender!$D$5:$D$370),0)+IFERROR(SUMIF(Nutzungsprofile!$B$17:$B$22,"Individuell",Nutzungsprofile!$G$17:$G$22)*Kalender!E260/SUM(Kalender!$E$5:$E$370),0))*Szenarien!$D$24,0)</f>
        <v>0.89</v>
      </c>
      <c r="E5018" s="13" t="n">
        <f aca="false">IFERROR(MIN(C5018,Eingaben!$B$17)*Eingaben!$B$16,0)</f>
        <v>1.938</v>
      </c>
      <c r="F5018" s="13" t="n">
        <f aca="false">IFERROR(E5018*Eingaben!$B$15,0)</f>
        <v>1.7442</v>
      </c>
      <c r="G5018" s="13" t="n">
        <f aca="false">IFERROR(IF(Kalender!A260="",0,J5017*(1-Eingaben!$B$20)),0)</f>
        <v>1.561363244</v>
      </c>
      <c r="H5018" s="13" t="n">
        <f aca="false">MIN(G5018,D5018)</f>
        <v>0.89</v>
      </c>
      <c r="I5018" s="13" t="n">
        <f aca="false">IFERROR(MIN(F5018*Eingaben!$B$19,MAX(0,D5018-H5018)),0)</f>
        <v>0</v>
      </c>
      <c r="J5018" s="13" t="n">
        <f aca="false">IFERROR(MIN(Eingaben!$B$18,MAX(0,F5018-I5018)),0)</f>
        <v>1.7442</v>
      </c>
      <c r="K5018" s="13" t="n">
        <f aca="false">H5018+I5018</f>
        <v>0.89</v>
      </c>
      <c r="L5018" s="13" t="n">
        <f aca="false">MAX(0,D5018-K5018)</f>
        <v>0</v>
      </c>
      <c r="M5018" s="13" t="n">
        <f aca="false">MAX(0,F5018-I5018-J5018)</f>
        <v>0</v>
      </c>
      <c r="N5018" s="13" t="n">
        <f aca="false">IF(Kalender!A260="",0,J5017-H5018)</f>
        <v>0.7032278</v>
      </c>
    </row>
    <row r="5019" customFormat="false" ht="16.4" hidden="false" customHeight="false" outlineLevel="0" collapsed="false">
      <c r="A5019" s="13" t="str">
        <f aca="false">""</f>
        <v/>
      </c>
      <c r="B5019" s="13" t="n">
        <f aca="false">257</f>
        <v>257</v>
      </c>
      <c r="C5019" s="13" t="n">
        <f aca="false">IF(Szenarien!$H$24="OK",(IFERROR(SUMIF(Nutzungsprofile!$B$6:$B$11,"Schulbetrieb",Nutzungsprofile!$G$6:$G$11)*Kalender!C261/SUM(Kalender!$C$5:$C$370),0)+IFERROR(SUMIF(Nutzungsprofile!$B$6:$B$11,"Halle",Nutzungsprofile!$G$6:$G$11)*Kalender!D261/SUM(Kalender!$D$5:$D$370),0)+IFERROR(SUMIF(Nutzungsprofile!$B$6:$B$11,"Individuell",Nutzungsprofile!$G$6:$G$11)*Kalender!E261/SUM(Kalender!$E$5:$E$370),0))*Szenarien!$E$24,0)</f>
        <v>2.94</v>
      </c>
      <c r="D5019" s="13" t="n">
        <f aca="false">IF(Szenarien!$H$24="OK",(IFERROR(SUMIF(Nutzungsprofile!$B$17:$B$22,"Schulbetrieb",Nutzungsprofile!$G$17:$G$22)*Kalender!C261/SUM(Kalender!$C$5:$C$370),0)+IFERROR(SUMIF(Nutzungsprofile!$B$17:$B$22,"Halle",Nutzungsprofile!$G$17:$G$22)*Kalender!D261/SUM(Kalender!$D$5:$D$370),0)+IFERROR(SUMIF(Nutzungsprofile!$B$17:$B$22,"Individuell",Nutzungsprofile!$G$17:$G$22)*Kalender!E261/SUM(Kalender!$E$5:$E$370),0))*Szenarien!$D$24,0)</f>
        <v>4.94</v>
      </c>
      <c r="E5019" s="13" t="n">
        <f aca="false">IFERROR(MIN(C5019,Eingaben!$B$17)*Eingaben!$B$16,0)</f>
        <v>2.793</v>
      </c>
      <c r="F5019" s="13" t="n">
        <f aca="false">IFERROR(E5019*Eingaben!$B$15,0)</f>
        <v>2.5137</v>
      </c>
      <c r="G5019" s="13" t="n">
        <f aca="false">IFERROR(IF(Kalender!A261="",0,J5018*(1-Eingaben!$B$20)),0)</f>
        <v>1.709316</v>
      </c>
      <c r="H5019" s="13" t="n">
        <f aca="false">MIN(G5019,D5019)</f>
        <v>1.709316</v>
      </c>
      <c r="I5019" s="13" t="n">
        <f aca="false">IFERROR(MIN(F5019*Eingaben!$B$19,MAX(0,D5019-H5019)),0)</f>
        <v>1.75959</v>
      </c>
      <c r="J5019" s="13" t="n">
        <f aca="false">IFERROR(MIN(Eingaben!$B$18,MAX(0,F5019-I5019)),0)</f>
        <v>0.75411</v>
      </c>
      <c r="K5019" s="13" t="n">
        <f aca="false">H5019+I5019</f>
        <v>3.468906</v>
      </c>
      <c r="L5019" s="13" t="n">
        <f aca="false">MAX(0,D5019-K5019)</f>
        <v>1.471094</v>
      </c>
      <c r="M5019" s="13" t="n">
        <f aca="false">MAX(0,F5019-I5019-J5019)</f>
        <v>0</v>
      </c>
      <c r="N5019" s="13" t="n">
        <f aca="false">IF(Kalender!A261="",0,J5018-H5019)</f>
        <v>0.0348840000000001</v>
      </c>
    </row>
    <row r="5020" customFormat="false" ht="16.4" hidden="false" customHeight="false" outlineLevel="0" collapsed="false">
      <c r="A5020" s="13" t="str">
        <f aca="false">""</f>
        <v/>
      </c>
      <c r="B5020" s="13" t="n">
        <f aca="false">258</f>
        <v>258</v>
      </c>
      <c r="C5020" s="13" t="n">
        <f aca="false">IF(Szenarien!$H$24="OK",(IFERROR(SUMIF(Nutzungsprofile!$B$6:$B$11,"Schulbetrieb",Nutzungsprofile!$G$6:$G$11)*Kalender!C262/SUM(Kalender!$C$5:$C$370),0)+IFERROR(SUMIF(Nutzungsprofile!$B$6:$B$11,"Halle",Nutzungsprofile!$G$6:$G$11)*Kalender!D262/SUM(Kalender!$D$5:$D$370),0)+IFERROR(SUMIF(Nutzungsprofile!$B$6:$B$11,"Individuell",Nutzungsprofile!$G$6:$G$11)*Kalender!E262/SUM(Kalender!$E$5:$E$370),0))*Szenarien!$E$24,0)</f>
        <v>2.94</v>
      </c>
      <c r="D5020" s="13" t="n">
        <f aca="false">IF(Szenarien!$H$24="OK",(IFERROR(SUMIF(Nutzungsprofile!$B$17:$B$22,"Schulbetrieb",Nutzungsprofile!$G$17:$G$22)*Kalender!C262/SUM(Kalender!$C$5:$C$370),0)+IFERROR(SUMIF(Nutzungsprofile!$B$17:$B$22,"Halle",Nutzungsprofile!$G$17:$G$22)*Kalender!D262/SUM(Kalender!$D$5:$D$370),0)+IFERROR(SUMIF(Nutzungsprofile!$B$17:$B$22,"Individuell",Nutzungsprofile!$G$17:$G$22)*Kalender!E262/SUM(Kalender!$E$5:$E$370),0))*Szenarien!$D$24,0)</f>
        <v>4.94</v>
      </c>
      <c r="E5020" s="13" t="n">
        <f aca="false">IFERROR(MIN(C5020,Eingaben!$B$17)*Eingaben!$B$16,0)</f>
        <v>2.793</v>
      </c>
      <c r="F5020" s="13" t="n">
        <f aca="false">IFERROR(E5020*Eingaben!$B$15,0)</f>
        <v>2.5137</v>
      </c>
      <c r="G5020" s="13" t="n">
        <f aca="false">IFERROR(IF(Kalender!A262="",0,J5019*(1-Eingaben!$B$20)),0)</f>
        <v>0.7390278</v>
      </c>
      <c r="H5020" s="13" t="n">
        <f aca="false">MIN(G5020,D5020)</f>
        <v>0.7390278</v>
      </c>
      <c r="I5020" s="13" t="n">
        <f aca="false">IFERROR(MIN(F5020*Eingaben!$B$19,MAX(0,D5020-H5020)),0)</f>
        <v>1.75959</v>
      </c>
      <c r="J5020" s="13" t="n">
        <f aca="false">IFERROR(MIN(Eingaben!$B$18,MAX(0,F5020-I5020)),0)</f>
        <v>0.75411</v>
      </c>
      <c r="K5020" s="13" t="n">
        <f aca="false">H5020+I5020</f>
        <v>2.4986178</v>
      </c>
      <c r="L5020" s="13" t="n">
        <f aca="false">MAX(0,D5020-K5020)</f>
        <v>2.4413822</v>
      </c>
      <c r="M5020" s="13" t="n">
        <f aca="false">MAX(0,F5020-I5020-J5020)</f>
        <v>0</v>
      </c>
      <c r="N5020" s="13" t="n">
        <f aca="false">IF(Kalender!A262="",0,J5019-H5020)</f>
        <v>0.0150822</v>
      </c>
    </row>
    <row r="5021" customFormat="false" ht="16.4" hidden="false" customHeight="false" outlineLevel="0" collapsed="false">
      <c r="A5021" s="13" t="str">
        <f aca="false">""</f>
        <v/>
      </c>
      <c r="B5021" s="13" t="n">
        <f aca="false">259</f>
        <v>259</v>
      </c>
      <c r="C5021" s="13" t="n">
        <f aca="false">IF(Szenarien!$H$24="OK",(IFERROR(SUMIF(Nutzungsprofile!$B$6:$B$11,"Schulbetrieb",Nutzungsprofile!$G$6:$G$11)*Kalender!C263/SUM(Kalender!$C$5:$C$370),0)+IFERROR(SUMIF(Nutzungsprofile!$B$6:$B$11,"Halle",Nutzungsprofile!$G$6:$G$11)*Kalender!D263/SUM(Kalender!$D$5:$D$370),0)+IFERROR(SUMIF(Nutzungsprofile!$B$6:$B$11,"Individuell",Nutzungsprofile!$G$6:$G$11)*Kalender!E263/SUM(Kalender!$E$5:$E$370),0))*Szenarien!$E$24,0)</f>
        <v>2.94</v>
      </c>
      <c r="D5021" s="13" t="n">
        <f aca="false">IF(Szenarien!$H$24="OK",(IFERROR(SUMIF(Nutzungsprofile!$B$17:$B$22,"Schulbetrieb",Nutzungsprofile!$G$17:$G$22)*Kalender!C263/SUM(Kalender!$C$5:$C$370),0)+IFERROR(SUMIF(Nutzungsprofile!$B$17:$B$22,"Halle",Nutzungsprofile!$G$17:$G$22)*Kalender!D263/SUM(Kalender!$D$5:$D$370),0)+IFERROR(SUMIF(Nutzungsprofile!$B$17:$B$22,"Individuell",Nutzungsprofile!$G$17:$G$22)*Kalender!E263/SUM(Kalender!$E$5:$E$370),0))*Szenarien!$D$24,0)</f>
        <v>4.94</v>
      </c>
      <c r="E5021" s="13" t="n">
        <f aca="false">IFERROR(MIN(C5021,Eingaben!$B$17)*Eingaben!$B$16,0)</f>
        <v>2.793</v>
      </c>
      <c r="F5021" s="13" t="n">
        <f aca="false">IFERROR(E5021*Eingaben!$B$15,0)</f>
        <v>2.5137</v>
      </c>
      <c r="G5021" s="13" t="n">
        <f aca="false">IFERROR(IF(Kalender!A263="",0,J5020*(1-Eingaben!$B$20)),0)</f>
        <v>0.7390278</v>
      </c>
      <c r="H5021" s="13" t="n">
        <f aca="false">MIN(G5021,D5021)</f>
        <v>0.7390278</v>
      </c>
      <c r="I5021" s="13" t="n">
        <f aca="false">IFERROR(MIN(F5021*Eingaben!$B$19,MAX(0,D5021-H5021)),0)</f>
        <v>1.75959</v>
      </c>
      <c r="J5021" s="13" t="n">
        <f aca="false">IFERROR(MIN(Eingaben!$B$18,MAX(0,F5021-I5021)),0)</f>
        <v>0.75411</v>
      </c>
      <c r="K5021" s="13" t="n">
        <f aca="false">H5021+I5021</f>
        <v>2.4986178</v>
      </c>
      <c r="L5021" s="13" t="n">
        <f aca="false">MAX(0,D5021-K5021)</f>
        <v>2.4413822</v>
      </c>
      <c r="M5021" s="13" t="n">
        <f aca="false">MAX(0,F5021-I5021-J5021)</f>
        <v>0</v>
      </c>
      <c r="N5021" s="13" t="n">
        <f aca="false">IF(Kalender!A263="",0,J5020-H5021)</f>
        <v>0.0150822</v>
      </c>
    </row>
    <row r="5022" customFormat="false" ht="16.4" hidden="false" customHeight="false" outlineLevel="0" collapsed="false">
      <c r="A5022" s="13" t="str">
        <f aca="false">""</f>
        <v/>
      </c>
      <c r="B5022" s="13" t="n">
        <f aca="false">260</f>
        <v>260</v>
      </c>
      <c r="C5022" s="13" t="n">
        <f aca="false">IF(Szenarien!$H$24="OK",(IFERROR(SUMIF(Nutzungsprofile!$B$6:$B$11,"Schulbetrieb",Nutzungsprofile!$G$6:$G$11)*Kalender!C264/SUM(Kalender!$C$5:$C$370),0)+IFERROR(SUMIF(Nutzungsprofile!$B$6:$B$11,"Halle",Nutzungsprofile!$G$6:$G$11)*Kalender!D264/SUM(Kalender!$D$5:$D$370),0)+IFERROR(SUMIF(Nutzungsprofile!$B$6:$B$11,"Individuell",Nutzungsprofile!$G$6:$G$11)*Kalender!E264/SUM(Kalender!$E$5:$E$370),0))*Szenarien!$E$24,0)</f>
        <v>2.94</v>
      </c>
      <c r="D5022" s="13" t="n">
        <f aca="false">IF(Szenarien!$H$24="OK",(IFERROR(SUMIF(Nutzungsprofile!$B$17:$B$22,"Schulbetrieb",Nutzungsprofile!$G$17:$G$22)*Kalender!C264/SUM(Kalender!$C$5:$C$370),0)+IFERROR(SUMIF(Nutzungsprofile!$B$17:$B$22,"Halle",Nutzungsprofile!$G$17:$G$22)*Kalender!D264/SUM(Kalender!$D$5:$D$370),0)+IFERROR(SUMIF(Nutzungsprofile!$B$17:$B$22,"Individuell",Nutzungsprofile!$G$17:$G$22)*Kalender!E264/SUM(Kalender!$E$5:$E$370),0))*Szenarien!$D$24,0)</f>
        <v>4.94</v>
      </c>
      <c r="E5022" s="13" t="n">
        <f aca="false">IFERROR(MIN(C5022,Eingaben!$B$17)*Eingaben!$B$16,0)</f>
        <v>2.793</v>
      </c>
      <c r="F5022" s="13" t="n">
        <f aca="false">IFERROR(E5022*Eingaben!$B$15,0)</f>
        <v>2.5137</v>
      </c>
      <c r="G5022" s="13" t="n">
        <f aca="false">IFERROR(IF(Kalender!A264="",0,J5021*(1-Eingaben!$B$20)),0)</f>
        <v>0.7390278</v>
      </c>
      <c r="H5022" s="13" t="n">
        <f aca="false">MIN(G5022,D5022)</f>
        <v>0.7390278</v>
      </c>
      <c r="I5022" s="13" t="n">
        <f aca="false">IFERROR(MIN(F5022*Eingaben!$B$19,MAX(0,D5022-H5022)),0)</f>
        <v>1.75959</v>
      </c>
      <c r="J5022" s="13" t="n">
        <f aca="false">IFERROR(MIN(Eingaben!$B$18,MAX(0,F5022-I5022)),0)</f>
        <v>0.75411</v>
      </c>
      <c r="K5022" s="13" t="n">
        <f aca="false">H5022+I5022</f>
        <v>2.4986178</v>
      </c>
      <c r="L5022" s="13" t="n">
        <f aca="false">MAX(0,D5022-K5022)</f>
        <v>2.4413822</v>
      </c>
      <c r="M5022" s="13" t="n">
        <f aca="false">MAX(0,F5022-I5022-J5022)</f>
        <v>0</v>
      </c>
      <c r="N5022" s="13" t="n">
        <f aca="false">IF(Kalender!A264="",0,J5021-H5022)</f>
        <v>0.0150822</v>
      </c>
    </row>
    <row r="5023" customFormat="false" ht="16.4" hidden="false" customHeight="false" outlineLevel="0" collapsed="false">
      <c r="A5023" s="13" t="str">
        <f aca="false">""</f>
        <v/>
      </c>
      <c r="B5023" s="13" t="n">
        <f aca="false">261</f>
        <v>261</v>
      </c>
      <c r="C5023" s="13" t="n">
        <f aca="false">IF(Szenarien!$H$24="OK",(IFERROR(SUMIF(Nutzungsprofile!$B$6:$B$11,"Schulbetrieb",Nutzungsprofile!$G$6:$G$11)*Kalender!C265/SUM(Kalender!$C$5:$C$370),0)+IFERROR(SUMIF(Nutzungsprofile!$B$6:$B$11,"Halle",Nutzungsprofile!$G$6:$G$11)*Kalender!D265/SUM(Kalender!$D$5:$D$370),0)+IFERROR(SUMIF(Nutzungsprofile!$B$6:$B$11,"Individuell",Nutzungsprofile!$G$6:$G$11)*Kalender!E265/SUM(Kalender!$E$5:$E$370),0))*Szenarien!$E$24,0)</f>
        <v>2.94</v>
      </c>
      <c r="D5023" s="13" t="n">
        <f aca="false">IF(Szenarien!$H$24="OK",(IFERROR(SUMIF(Nutzungsprofile!$B$17:$B$22,"Schulbetrieb",Nutzungsprofile!$G$17:$G$22)*Kalender!C265/SUM(Kalender!$C$5:$C$370),0)+IFERROR(SUMIF(Nutzungsprofile!$B$17:$B$22,"Halle",Nutzungsprofile!$G$17:$G$22)*Kalender!D265/SUM(Kalender!$D$5:$D$370),0)+IFERROR(SUMIF(Nutzungsprofile!$B$17:$B$22,"Individuell",Nutzungsprofile!$G$17:$G$22)*Kalender!E265/SUM(Kalender!$E$5:$E$370),0))*Szenarien!$D$24,0)</f>
        <v>4.94</v>
      </c>
      <c r="E5023" s="13" t="n">
        <f aca="false">IFERROR(MIN(C5023,Eingaben!$B$17)*Eingaben!$B$16,0)</f>
        <v>2.793</v>
      </c>
      <c r="F5023" s="13" t="n">
        <f aca="false">IFERROR(E5023*Eingaben!$B$15,0)</f>
        <v>2.5137</v>
      </c>
      <c r="G5023" s="13" t="n">
        <f aca="false">IFERROR(IF(Kalender!A265="",0,J5022*(1-Eingaben!$B$20)),0)</f>
        <v>0.7390278</v>
      </c>
      <c r="H5023" s="13" t="n">
        <f aca="false">MIN(G5023,D5023)</f>
        <v>0.7390278</v>
      </c>
      <c r="I5023" s="13" t="n">
        <f aca="false">IFERROR(MIN(F5023*Eingaben!$B$19,MAX(0,D5023-H5023)),0)</f>
        <v>1.75959</v>
      </c>
      <c r="J5023" s="13" t="n">
        <f aca="false">IFERROR(MIN(Eingaben!$B$18,MAX(0,F5023-I5023)),0)</f>
        <v>0.75411</v>
      </c>
      <c r="K5023" s="13" t="n">
        <f aca="false">H5023+I5023</f>
        <v>2.4986178</v>
      </c>
      <c r="L5023" s="13" t="n">
        <f aca="false">MAX(0,D5023-K5023)</f>
        <v>2.4413822</v>
      </c>
      <c r="M5023" s="13" t="n">
        <f aca="false">MAX(0,F5023-I5023-J5023)</f>
        <v>0</v>
      </c>
      <c r="N5023" s="13" t="n">
        <f aca="false">IF(Kalender!A265="",0,J5022-H5023)</f>
        <v>0.0150822</v>
      </c>
    </row>
    <row r="5024" customFormat="false" ht="16.4" hidden="false" customHeight="false" outlineLevel="0" collapsed="false">
      <c r="A5024" s="13" t="str">
        <f aca="false">""</f>
        <v/>
      </c>
      <c r="B5024" s="13" t="n">
        <f aca="false">262</f>
        <v>262</v>
      </c>
      <c r="C5024" s="13" t="n">
        <f aca="false">IF(Szenarien!$H$24="OK",(IFERROR(SUMIF(Nutzungsprofile!$B$6:$B$11,"Schulbetrieb",Nutzungsprofile!$G$6:$G$11)*Kalender!C266/SUM(Kalender!$C$5:$C$370),0)+IFERROR(SUMIF(Nutzungsprofile!$B$6:$B$11,"Halle",Nutzungsprofile!$G$6:$G$11)*Kalender!D266/SUM(Kalender!$D$5:$D$370),0)+IFERROR(SUMIF(Nutzungsprofile!$B$6:$B$11,"Individuell",Nutzungsprofile!$G$6:$G$11)*Kalender!E266/SUM(Kalender!$E$5:$E$370),0))*Szenarien!$E$24,0)</f>
        <v>2.04</v>
      </c>
      <c r="D5024" s="13" t="n">
        <f aca="false">IF(Szenarien!$H$24="OK",(IFERROR(SUMIF(Nutzungsprofile!$B$17:$B$22,"Schulbetrieb",Nutzungsprofile!$G$17:$G$22)*Kalender!C266/SUM(Kalender!$C$5:$C$370),0)+IFERROR(SUMIF(Nutzungsprofile!$B$17:$B$22,"Halle",Nutzungsprofile!$G$17:$G$22)*Kalender!D266/SUM(Kalender!$D$5:$D$370),0)+IFERROR(SUMIF(Nutzungsprofile!$B$17:$B$22,"Individuell",Nutzungsprofile!$G$17:$G$22)*Kalender!E266/SUM(Kalender!$E$5:$E$370),0))*Szenarien!$D$24,0)</f>
        <v>0.89</v>
      </c>
      <c r="E5024" s="13" t="n">
        <f aca="false">IFERROR(MIN(C5024,Eingaben!$B$17)*Eingaben!$B$16,0)</f>
        <v>1.938</v>
      </c>
      <c r="F5024" s="13" t="n">
        <f aca="false">IFERROR(E5024*Eingaben!$B$15,0)</f>
        <v>1.7442</v>
      </c>
      <c r="G5024" s="13" t="n">
        <f aca="false">IFERROR(IF(Kalender!A266="",0,J5023*(1-Eingaben!$B$20)),0)</f>
        <v>0.7390278</v>
      </c>
      <c r="H5024" s="13" t="n">
        <f aca="false">MIN(G5024,D5024)</f>
        <v>0.7390278</v>
      </c>
      <c r="I5024" s="13" t="n">
        <f aca="false">IFERROR(MIN(F5024*Eingaben!$B$19,MAX(0,D5024-H5024)),0)</f>
        <v>0.1509722</v>
      </c>
      <c r="J5024" s="13" t="n">
        <f aca="false">IFERROR(MIN(Eingaben!$B$18,MAX(0,F5024-I5024)),0)</f>
        <v>1.5932278</v>
      </c>
      <c r="K5024" s="13" t="n">
        <f aca="false">H5024+I5024</f>
        <v>0.89</v>
      </c>
      <c r="L5024" s="13" t="n">
        <f aca="false">MAX(0,D5024-K5024)</f>
        <v>0</v>
      </c>
      <c r="M5024" s="13" t="n">
        <f aca="false">MAX(0,F5024-I5024-J5024)</f>
        <v>0</v>
      </c>
      <c r="N5024" s="13" t="n">
        <f aca="false">IF(Kalender!A266="",0,J5023-H5024)</f>
        <v>0.0150822</v>
      </c>
    </row>
    <row r="5025" customFormat="false" ht="16.4" hidden="false" customHeight="false" outlineLevel="0" collapsed="false">
      <c r="A5025" s="13" t="str">
        <f aca="false">""</f>
        <v/>
      </c>
      <c r="B5025" s="13" t="n">
        <f aca="false">263</f>
        <v>263</v>
      </c>
      <c r="C5025" s="13" t="n">
        <f aca="false">IF(Szenarien!$H$24="OK",(IFERROR(SUMIF(Nutzungsprofile!$B$6:$B$11,"Schulbetrieb",Nutzungsprofile!$G$6:$G$11)*Kalender!C267/SUM(Kalender!$C$5:$C$370),0)+IFERROR(SUMIF(Nutzungsprofile!$B$6:$B$11,"Halle",Nutzungsprofile!$G$6:$G$11)*Kalender!D267/SUM(Kalender!$D$5:$D$370),0)+IFERROR(SUMIF(Nutzungsprofile!$B$6:$B$11,"Individuell",Nutzungsprofile!$G$6:$G$11)*Kalender!E267/SUM(Kalender!$E$5:$E$370),0))*Szenarien!$E$24,0)</f>
        <v>2.04</v>
      </c>
      <c r="D5025" s="13" t="n">
        <f aca="false">IF(Szenarien!$H$24="OK",(IFERROR(SUMIF(Nutzungsprofile!$B$17:$B$22,"Schulbetrieb",Nutzungsprofile!$G$17:$G$22)*Kalender!C267/SUM(Kalender!$C$5:$C$370),0)+IFERROR(SUMIF(Nutzungsprofile!$B$17:$B$22,"Halle",Nutzungsprofile!$G$17:$G$22)*Kalender!D267/SUM(Kalender!$D$5:$D$370),0)+IFERROR(SUMIF(Nutzungsprofile!$B$17:$B$22,"Individuell",Nutzungsprofile!$G$17:$G$22)*Kalender!E267/SUM(Kalender!$E$5:$E$370),0))*Szenarien!$D$24,0)</f>
        <v>0.89</v>
      </c>
      <c r="E5025" s="13" t="n">
        <f aca="false">IFERROR(MIN(C5025,Eingaben!$B$17)*Eingaben!$B$16,0)</f>
        <v>1.938</v>
      </c>
      <c r="F5025" s="13" t="n">
        <f aca="false">IFERROR(E5025*Eingaben!$B$15,0)</f>
        <v>1.7442</v>
      </c>
      <c r="G5025" s="13" t="n">
        <f aca="false">IFERROR(IF(Kalender!A267="",0,J5024*(1-Eingaben!$B$20)),0)</f>
        <v>1.561363244</v>
      </c>
      <c r="H5025" s="13" t="n">
        <f aca="false">MIN(G5025,D5025)</f>
        <v>0.89</v>
      </c>
      <c r="I5025" s="13" t="n">
        <f aca="false">IFERROR(MIN(F5025*Eingaben!$B$19,MAX(0,D5025-H5025)),0)</f>
        <v>0</v>
      </c>
      <c r="J5025" s="13" t="n">
        <f aca="false">IFERROR(MIN(Eingaben!$B$18,MAX(0,F5025-I5025)),0)</f>
        <v>1.7442</v>
      </c>
      <c r="K5025" s="13" t="n">
        <f aca="false">H5025+I5025</f>
        <v>0.89</v>
      </c>
      <c r="L5025" s="13" t="n">
        <f aca="false">MAX(0,D5025-K5025)</f>
        <v>0</v>
      </c>
      <c r="M5025" s="13" t="n">
        <f aca="false">MAX(0,F5025-I5025-J5025)</f>
        <v>0</v>
      </c>
      <c r="N5025" s="13" t="n">
        <f aca="false">IF(Kalender!A267="",0,J5024-H5025)</f>
        <v>0.7032278</v>
      </c>
    </row>
    <row r="5026" customFormat="false" ht="16.4" hidden="false" customHeight="false" outlineLevel="0" collapsed="false">
      <c r="A5026" s="13" t="str">
        <f aca="false">""</f>
        <v/>
      </c>
      <c r="B5026" s="13" t="n">
        <f aca="false">264</f>
        <v>264</v>
      </c>
      <c r="C5026" s="13" t="n">
        <f aca="false">IF(Szenarien!$H$24="OK",(IFERROR(SUMIF(Nutzungsprofile!$B$6:$B$11,"Schulbetrieb",Nutzungsprofile!$G$6:$G$11)*Kalender!C268/SUM(Kalender!$C$5:$C$370),0)+IFERROR(SUMIF(Nutzungsprofile!$B$6:$B$11,"Halle",Nutzungsprofile!$G$6:$G$11)*Kalender!D268/SUM(Kalender!$D$5:$D$370),0)+IFERROR(SUMIF(Nutzungsprofile!$B$6:$B$11,"Individuell",Nutzungsprofile!$G$6:$G$11)*Kalender!E268/SUM(Kalender!$E$5:$E$370),0))*Szenarien!$E$24,0)</f>
        <v>2.94</v>
      </c>
      <c r="D5026" s="13" t="n">
        <f aca="false">IF(Szenarien!$H$24="OK",(IFERROR(SUMIF(Nutzungsprofile!$B$17:$B$22,"Schulbetrieb",Nutzungsprofile!$G$17:$G$22)*Kalender!C268/SUM(Kalender!$C$5:$C$370),0)+IFERROR(SUMIF(Nutzungsprofile!$B$17:$B$22,"Halle",Nutzungsprofile!$G$17:$G$22)*Kalender!D268/SUM(Kalender!$D$5:$D$370),0)+IFERROR(SUMIF(Nutzungsprofile!$B$17:$B$22,"Individuell",Nutzungsprofile!$G$17:$G$22)*Kalender!E268/SUM(Kalender!$E$5:$E$370),0))*Szenarien!$D$24,0)</f>
        <v>4.94</v>
      </c>
      <c r="E5026" s="13" t="n">
        <f aca="false">IFERROR(MIN(C5026,Eingaben!$B$17)*Eingaben!$B$16,0)</f>
        <v>2.793</v>
      </c>
      <c r="F5026" s="13" t="n">
        <f aca="false">IFERROR(E5026*Eingaben!$B$15,0)</f>
        <v>2.5137</v>
      </c>
      <c r="G5026" s="13" t="n">
        <f aca="false">IFERROR(IF(Kalender!A268="",0,J5025*(1-Eingaben!$B$20)),0)</f>
        <v>1.709316</v>
      </c>
      <c r="H5026" s="13" t="n">
        <f aca="false">MIN(G5026,D5026)</f>
        <v>1.709316</v>
      </c>
      <c r="I5026" s="13" t="n">
        <f aca="false">IFERROR(MIN(F5026*Eingaben!$B$19,MAX(0,D5026-H5026)),0)</f>
        <v>1.75959</v>
      </c>
      <c r="J5026" s="13" t="n">
        <f aca="false">IFERROR(MIN(Eingaben!$B$18,MAX(0,F5026-I5026)),0)</f>
        <v>0.75411</v>
      </c>
      <c r="K5026" s="13" t="n">
        <f aca="false">H5026+I5026</f>
        <v>3.468906</v>
      </c>
      <c r="L5026" s="13" t="n">
        <f aca="false">MAX(0,D5026-K5026)</f>
        <v>1.471094</v>
      </c>
      <c r="M5026" s="13" t="n">
        <f aca="false">MAX(0,F5026-I5026-J5026)</f>
        <v>0</v>
      </c>
      <c r="N5026" s="13" t="n">
        <f aca="false">IF(Kalender!A268="",0,J5025-H5026)</f>
        <v>0.0348840000000001</v>
      </c>
    </row>
    <row r="5027" customFormat="false" ht="16.4" hidden="false" customHeight="false" outlineLevel="0" collapsed="false">
      <c r="A5027" s="13" t="str">
        <f aca="false">""</f>
        <v/>
      </c>
      <c r="B5027" s="13" t="n">
        <f aca="false">265</f>
        <v>265</v>
      </c>
      <c r="C5027" s="13" t="n">
        <f aca="false">IF(Szenarien!$H$24="OK",(IFERROR(SUMIF(Nutzungsprofile!$B$6:$B$11,"Schulbetrieb",Nutzungsprofile!$G$6:$G$11)*Kalender!C269/SUM(Kalender!$C$5:$C$370),0)+IFERROR(SUMIF(Nutzungsprofile!$B$6:$B$11,"Halle",Nutzungsprofile!$G$6:$G$11)*Kalender!D269/SUM(Kalender!$D$5:$D$370),0)+IFERROR(SUMIF(Nutzungsprofile!$B$6:$B$11,"Individuell",Nutzungsprofile!$G$6:$G$11)*Kalender!E269/SUM(Kalender!$E$5:$E$370),0))*Szenarien!$E$24,0)</f>
        <v>2.94</v>
      </c>
      <c r="D5027" s="13" t="n">
        <f aca="false">IF(Szenarien!$H$24="OK",(IFERROR(SUMIF(Nutzungsprofile!$B$17:$B$22,"Schulbetrieb",Nutzungsprofile!$G$17:$G$22)*Kalender!C269/SUM(Kalender!$C$5:$C$370),0)+IFERROR(SUMIF(Nutzungsprofile!$B$17:$B$22,"Halle",Nutzungsprofile!$G$17:$G$22)*Kalender!D269/SUM(Kalender!$D$5:$D$370),0)+IFERROR(SUMIF(Nutzungsprofile!$B$17:$B$22,"Individuell",Nutzungsprofile!$G$17:$G$22)*Kalender!E269/SUM(Kalender!$E$5:$E$370),0))*Szenarien!$D$24,0)</f>
        <v>4.94</v>
      </c>
      <c r="E5027" s="13" t="n">
        <f aca="false">IFERROR(MIN(C5027,Eingaben!$B$17)*Eingaben!$B$16,0)</f>
        <v>2.793</v>
      </c>
      <c r="F5027" s="13" t="n">
        <f aca="false">IFERROR(E5027*Eingaben!$B$15,0)</f>
        <v>2.5137</v>
      </c>
      <c r="G5027" s="13" t="n">
        <f aca="false">IFERROR(IF(Kalender!A269="",0,J5026*(1-Eingaben!$B$20)),0)</f>
        <v>0.7390278</v>
      </c>
      <c r="H5027" s="13" t="n">
        <f aca="false">MIN(G5027,D5027)</f>
        <v>0.7390278</v>
      </c>
      <c r="I5027" s="13" t="n">
        <f aca="false">IFERROR(MIN(F5027*Eingaben!$B$19,MAX(0,D5027-H5027)),0)</f>
        <v>1.75959</v>
      </c>
      <c r="J5027" s="13" t="n">
        <f aca="false">IFERROR(MIN(Eingaben!$B$18,MAX(0,F5027-I5027)),0)</f>
        <v>0.75411</v>
      </c>
      <c r="K5027" s="13" t="n">
        <f aca="false">H5027+I5027</f>
        <v>2.4986178</v>
      </c>
      <c r="L5027" s="13" t="n">
        <f aca="false">MAX(0,D5027-K5027)</f>
        <v>2.4413822</v>
      </c>
      <c r="M5027" s="13" t="n">
        <f aca="false">MAX(0,F5027-I5027-J5027)</f>
        <v>0</v>
      </c>
      <c r="N5027" s="13" t="n">
        <f aca="false">IF(Kalender!A269="",0,J5026-H5027)</f>
        <v>0.0150822</v>
      </c>
    </row>
    <row r="5028" customFormat="false" ht="16.4" hidden="false" customHeight="false" outlineLevel="0" collapsed="false">
      <c r="A5028" s="13" t="str">
        <f aca="false">""</f>
        <v/>
      </c>
      <c r="B5028" s="13" t="n">
        <f aca="false">266</f>
        <v>266</v>
      </c>
      <c r="C5028" s="13" t="n">
        <f aca="false">IF(Szenarien!$H$24="OK",(IFERROR(SUMIF(Nutzungsprofile!$B$6:$B$11,"Schulbetrieb",Nutzungsprofile!$G$6:$G$11)*Kalender!C270/SUM(Kalender!$C$5:$C$370),0)+IFERROR(SUMIF(Nutzungsprofile!$B$6:$B$11,"Halle",Nutzungsprofile!$G$6:$G$11)*Kalender!D270/SUM(Kalender!$D$5:$D$370),0)+IFERROR(SUMIF(Nutzungsprofile!$B$6:$B$11,"Individuell",Nutzungsprofile!$G$6:$G$11)*Kalender!E270/SUM(Kalender!$E$5:$E$370),0))*Szenarien!$E$24,0)</f>
        <v>2.94</v>
      </c>
      <c r="D5028" s="13" t="n">
        <f aca="false">IF(Szenarien!$H$24="OK",(IFERROR(SUMIF(Nutzungsprofile!$B$17:$B$22,"Schulbetrieb",Nutzungsprofile!$G$17:$G$22)*Kalender!C270/SUM(Kalender!$C$5:$C$370),0)+IFERROR(SUMIF(Nutzungsprofile!$B$17:$B$22,"Halle",Nutzungsprofile!$G$17:$G$22)*Kalender!D270/SUM(Kalender!$D$5:$D$370),0)+IFERROR(SUMIF(Nutzungsprofile!$B$17:$B$22,"Individuell",Nutzungsprofile!$G$17:$G$22)*Kalender!E270/SUM(Kalender!$E$5:$E$370),0))*Szenarien!$D$24,0)</f>
        <v>4.94</v>
      </c>
      <c r="E5028" s="13" t="n">
        <f aca="false">IFERROR(MIN(C5028,Eingaben!$B$17)*Eingaben!$B$16,0)</f>
        <v>2.793</v>
      </c>
      <c r="F5028" s="13" t="n">
        <f aca="false">IFERROR(E5028*Eingaben!$B$15,0)</f>
        <v>2.5137</v>
      </c>
      <c r="G5028" s="13" t="n">
        <f aca="false">IFERROR(IF(Kalender!A270="",0,J5027*(1-Eingaben!$B$20)),0)</f>
        <v>0.7390278</v>
      </c>
      <c r="H5028" s="13" t="n">
        <f aca="false">MIN(G5028,D5028)</f>
        <v>0.7390278</v>
      </c>
      <c r="I5028" s="13" t="n">
        <f aca="false">IFERROR(MIN(F5028*Eingaben!$B$19,MAX(0,D5028-H5028)),0)</f>
        <v>1.75959</v>
      </c>
      <c r="J5028" s="13" t="n">
        <f aca="false">IFERROR(MIN(Eingaben!$B$18,MAX(0,F5028-I5028)),0)</f>
        <v>0.75411</v>
      </c>
      <c r="K5028" s="13" t="n">
        <f aca="false">H5028+I5028</f>
        <v>2.4986178</v>
      </c>
      <c r="L5028" s="13" t="n">
        <f aca="false">MAX(0,D5028-K5028)</f>
        <v>2.4413822</v>
      </c>
      <c r="M5028" s="13" t="n">
        <f aca="false">MAX(0,F5028-I5028-J5028)</f>
        <v>0</v>
      </c>
      <c r="N5028" s="13" t="n">
        <f aca="false">IF(Kalender!A270="",0,J5027-H5028)</f>
        <v>0.0150822</v>
      </c>
    </row>
    <row r="5029" customFormat="false" ht="16.4" hidden="false" customHeight="false" outlineLevel="0" collapsed="false">
      <c r="A5029" s="13" t="str">
        <f aca="false">""</f>
        <v/>
      </c>
      <c r="B5029" s="13" t="n">
        <f aca="false">267</f>
        <v>267</v>
      </c>
      <c r="C5029" s="13" t="n">
        <f aca="false">IF(Szenarien!$H$24="OK",(IFERROR(SUMIF(Nutzungsprofile!$B$6:$B$11,"Schulbetrieb",Nutzungsprofile!$G$6:$G$11)*Kalender!C271/SUM(Kalender!$C$5:$C$370),0)+IFERROR(SUMIF(Nutzungsprofile!$B$6:$B$11,"Halle",Nutzungsprofile!$G$6:$G$11)*Kalender!D271/SUM(Kalender!$D$5:$D$370),0)+IFERROR(SUMIF(Nutzungsprofile!$B$6:$B$11,"Individuell",Nutzungsprofile!$G$6:$G$11)*Kalender!E271/SUM(Kalender!$E$5:$E$370),0))*Szenarien!$E$24,0)</f>
        <v>2.94</v>
      </c>
      <c r="D5029" s="13" t="n">
        <f aca="false">IF(Szenarien!$H$24="OK",(IFERROR(SUMIF(Nutzungsprofile!$B$17:$B$22,"Schulbetrieb",Nutzungsprofile!$G$17:$G$22)*Kalender!C271/SUM(Kalender!$C$5:$C$370),0)+IFERROR(SUMIF(Nutzungsprofile!$B$17:$B$22,"Halle",Nutzungsprofile!$G$17:$G$22)*Kalender!D271/SUM(Kalender!$D$5:$D$370),0)+IFERROR(SUMIF(Nutzungsprofile!$B$17:$B$22,"Individuell",Nutzungsprofile!$G$17:$G$22)*Kalender!E271/SUM(Kalender!$E$5:$E$370),0))*Szenarien!$D$24,0)</f>
        <v>4.94</v>
      </c>
      <c r="E5029" s="13" t="n">
        <f aca="false">IFERROR(MIN(C5029,Eingaben!$B$17)*Eingaben!$B$16,0)</f>
        <v>2.793</v>
      </c>
      <c r="F5029" s="13" t="n">
        <f aca="false">IFERROR(E5029*Eingaben!$B$15,0)</f>
        <v>2.5137</v>
      </c>
      <c r="G5029" s="13" t="n">
        <f aca="false">IFERROR(IF(Kalender!A271="",0,J5028*(1-Eingaben!$B$20)),0)</f>
        <v>0.7390278</v>
      </c>
      <c r="H5029" s="13" t="n">
        <f aca="false">MIN(G5029,D5029)</f>
        <v>0.7390278</v>
      </c>
      <c r="I5029" s="13" t="n">
        <f aca="false">IFERROR(MIN(F5029*Eingaben!$B$19,MAX(0,D5029-H5029)),0)</f>
        <v>1.75959</v>
      </c>
      <c r="J5029" s="13" t="n">
        <f aca="false">IFERROR(MIN(Eingaben!$B$18,MAX(0,F5029-I5029)),0)</f>
        <v>0.75411</v>
      </c>
      <c r="K5029" s="13" t="n">
        <f aca="false">H5029+I5029</f>
        <v>2.4986178</v>
      </c>
      <c r="L5029" s="13" t="n">
        <f aca="false">MAX(0,D5029-K5029)</f>
        <v>2.4413822</v>
      </c>
      <c r="M5029" s="13" t="n">
        <f aca="false">MAX(0,F5029-I5029-J5029)</f>
        <v>0</v>
      </c>
      <c r="N5029" s="13" t="n">
        <f aca="false">IF(Kalender!A271="",0,J5028-H5029)</f>
        <v>0.0150822</v>
      </c>
    </row>
    <row r="5030" customFormat="false" ht="16.4" hidden="false" customHeight="false" outlineLevel="0" collapsed="false">
      <c r="A5030" s="13" t="str">
        <f aca="false">""</f>
        <v/>
      </c>
      <c r="B5030" s="13" t="n">
        <f aca="false">268</f>
        <v>268</v>
      </c>
      <c r="C5030" s="13" t="n">
        <f aca="false">IF(Szenarien!$H$24="OK",(IFERROR(SUMIF(Nutzungsprofile!$B$6:$B$11,"Schulbetrieb",Nutzungsprofile!$G$6:$G$11)*Kalender!C272/SUM(Kalender!$C$5:$C$370),0)+IFERROR(SUMIF(Nutzungsprofile!$B$6:$B$11,"Halle",Nutzungsprofile!$G$6:$G$11)*Kalender!D272/SUM(Kalender!$D$5:$D$370),0)+IFERROR(SUMIF(Nutzungsprofile!$B$6:$B$11,"Individuell",Nutzungsprofile!$G$6:$G$11)*Kalender!E272/SUM(Kalender!$E$5:$E$370),0))*Szenarien!$E$24,0)</f>
        <v>2.94</v>
      </c>
      <c r="D5030" s="13" t="n">
        <f aca="false">IF(Szenarien!$H$24="OK",(IFERROR(SUMIF(Nutzungsprofile!$B$17:$B$22,"Schulbetrieb",Nutzungsprofile!$G$17:$G$22)*Kalender!C272/SUM(Kalender!$C$5:$C$370),0)+IFERROR(SUMIF(Nutzungsprofile!$B$17:$B$22,"Halle",Nutzungsprofile!$G$17:$G$22)*Kalender!D272/SUM(Kalender!$D$5:$D$370),0)+IFERROR(SUMIF(Nutzungsprofile!$B$17:$B$22,"Individuell",Nutzungsprofile!$G$17:$G$22)*Kalender!E272/SUM(Kalender!$E$5:$E$370),0))*Szenarien!$D$24,0)</f>
        <v>4.94</v>
      </c>
      <c r="E5030" s="13" t="n">
        <f aca="false">IFERROR(MIN(C5030,Eingaben!$B$17)*Eingaben!$B$16,0)</f>
        <v>2.793</v>
      </c>
      <c r="F5030" s="13" t="n">
        <f aca="false">IFERROR(E5030*Eingaben!$B$15,0)</f>
        <v>2.5137</v>
      </c>
      <c r="G5030" s="13" t="n">
        <f aca="false">IFERROR(IF(Kalender!A272="",0,J5029*(1-Eingaben!$B$20)),0)</f>
        <v>0.7390278</v>
      </c>
      <c r="H5030" s="13" t="n">
        <f aca="false">MIN(G5030,D5030)</f>
        <v>0.7390278</v>
      </c>
      <c r="I5030" s="13" t="n">
        <f aca="false">IFERROR(MIN(F5030*Eingaben!$B$19,MAX(0,D5030-H5030)),0)</f>
        <v>1.75959</v>
      </c>
      <c r="J5030" s="13" t="n">
        <f aca="false">IFERROR(MIN(Eingaben!$B$18,MAX(0,F5030-I5030)),0)</f>
        <v>0.75411</v>
      </c>
      <c r="K5030" s="13" t="n">
        <f aca="false">H5030+I5030</f>
        <v>2.4986178</v>
      </c>
      <c r="L5030" s="13" t="n">
        <f aca="false">MAX(0,D5030-K5030)</f>
        <v>2.4413822</v>
      </c>
      <c r="M5030" s="13" t="n">
        <f aca="false">MAX(0,F5030-I5030-J5030)</f>
        <v>0</v>
      </c>
      <c r="N5030" s="13" t="n">
        <f aca="false">IF(Kalender!A272="",0,J5029-H5030)</f>
        <v>0.0150822</v>
      </c>
    </row>
    <row r="5031" customFormat="false" ht="16.4" hidden="false" customHeight="false" outlineLevel="0" collapsed="false">
      <c r="A5031" s="13" t="str">
        <f aca="false">""</f>
        <v/>
      </c>
      <c r="B5031" s="13" t="n">
        <f aca="false">269</f>
        <v>269</v>
      </c>
      <c r="C5031" s="13" t="n">
        <f aca="false">IF(Szenarien!$H$24="OK",(IFERROR(SUMIF(Nutzungsprofile!$B$6:$B$11,"Schulbetrieb",Nutzungsprofile!$G$6:$G$11)*Kalender!C273/SUM(Kalender!$C$5:$C$370),0)+IFERROR(SUMIF(Nutzungsprofile!$B$6:$B$11,"Halle",Nutzungsprofile!$G$6:$G$11)*Kalender!D273/SUM(Kalender!$D$5:$D$370),0)+IFERROR(SUMIF(Nutzungsprofile!$B$6:$B$11,"Individuell",Nutzungsprofile!$G$6:$G$11)*Kalender!E273/SUM(Kalender!$E$5:$E$370),0))*Szenarien!$E$24,0)</f>
        <v>2.04</v>
      </c>
      <c r="D5031" s="13" t="n">
        <f aca="false">IF(Szenarien!$H$24="OK",(IFERROR(SUMIF(Nutzungsprofile!$B$17:$B$22,"Schulbetrieb",Nutzungsprofile!$G$17:$G$22)*Kalender!C273/SUM(Kalender!$C$5:$C$370),0)+IFERROR(SUMIF(Nutzungsprofile!$B$17:$B$22,"Halle",Nutzungsprofile!$G$17:$G$22)*Kalender!D273/SUM(Kalender!$D$5:$D$370),0)+IFERROR(SUMIF(Nutzungsprofile!$B$17:$B$22,"Individuell",Nutzungsprofile!$G$17:$G$22)*Kalender!E273/SUM(Kalender!$E$5:$E$370),0))*Szenarien!$D$24,0)</f>
        <v>0.89</v>
      </c>
      <c r="E5031" s="13" t="n">
        <f aca="false">IFERROR(MIN(C5031,Eingaben!$B$17)*Eingaben!$B$16,0)</f>
        <v>1.938</v>
      </c>
      <c r="F5031" s="13" t="n">
        <f aca="false">IFERROR(E5031*Eingaben!$B$15,0)</f>
        <v>1.7442</v>
      </c>
      <c r="G5031" s="13" t="n">
        <f aca="false">IFERROR(IF(Kalender!A273="",0,J5030*(1-Eingaben!$B$20)),0)</f>
        <v>0.7390278</v>
      </c>
      <c r="H5031" s="13" t="n">
        <f aca="false">MIN(G5031,D5031)</f>
        <v>0.7390278</v>
      </c>
      <c r="I5031" s="13" t="n">
        <f aca="false">IFERROR(MIN(F5031*Eingaben!$B$19,MAX(0,D5031-H5031)),0)</f>
        <v>0.1509722</v>
      </c>
      <c r="J5031" s="13" t="n">
        <f aca="false">IFERROR(MIN(Eingaben!$B$18,MAX(0,F5031-I5031)),0)</f>
        <v>1.5932278</v>
      </c>
      <c r="K5031" s="13" t="n">
        <f aca="false">H5031+I5031</f>
        <v>0.89</v>
      </c>
      <c r="L5031" s="13" t="n">
        <f aca="false">MAX(0,D5031-K5031)</f>
        <v>0</v>
      </c>
      <c r="M5031" s="13" t="n">
        <f aca="false">MAX(0,F5031-I5031-J5031)</f>
        <v>0</v>
      </c>
      <c r="N5031" s="13" t="n">
        <f aca="false">IF(Kalender!A273="",0,J5030-H5031)</f>
        <v>0.0150822</v>
      </c>
    </row>
    <row r="5032" customFormat="false" ht="16.4" hidden="false" customHeight="false" outlineLevel="0" collapsed="false">
      <c r="A5032" s="13" t="str">
        <f aca="false">""</f>
        <v/>
      </c>
      <c r="B5032" s="13" t="n">
        <f aca="false">270</f>
        <v>270</v>
      </c>
      <c r="C5032" s="13" t="n">
        <f aca="false">IF(Szenarien!$H$24="OK",(IFERROR(SUMIF(Nutzungsprofile!$B$6:$B$11,"Schulbetrieb",Nutzungsprofile!$G$6:$G$11)*Kalender!C274/SUM(Kalender!$C$5:$C$370),0)+IFERROR(SUMIF(Nutzungsprofile!$B$6:$B$11,"Halle",Nutzungsprofile!$G$6:$G$11)*Kalender!D274/SUM(Kalender!$D$5:$D$370),0)+IFERROR(SUMIF(Nutzungsprofile!$B$6:$B$11,"Individuell",Nutzungsprofile!$G$6:$G$11)*Kalender!E274/SUM(Kalender!$E$5:$E$370),0))*Szenarien!$E$24,0)</f>
        <v>2.04</v>
      </c>
      <c r="D5032" s="13" t="n">
        <f aca="false">IF(Szenarien!$H$24="OK",(IFERROR(SUMIF(Nutzungsprofile!$B$17:$B$22,"Schulbetrieb",Nutzungsprofile!$G$17:$G$22)*Kalender!C274/SUM(Kalender!$C$5:$C$370),0)+IFERROR(SUMIF(Nutzungsprofile!$B$17:$B$22,"Halle",Nutzungsprofile!$G$17:$G$22)*Kalender!D274/SUM(Kalender!$D$5:$D$370),0)+IFERROR(SUMIF(Nutzungsprofile!$B$17:$B$22,"Individuell",Nutzungsprofile!$G$17:$G$22)*Kalender!E274/SUM(Kalender!$E$5:$E$370),0))*Szenarien!$D$24,0)</f>
        <v>0.89</v>
      </c>
      <c r="E5032" s="13" t="n">
        <f aca="false">IFERROR(MIN(C5032,Eingaben!$B$17)*Eingaben!$B$16,0)</f>
        <v>1.938</v>
      </c>
      <c r="F5032" s="13" t="n">
        <f aca="false">IFERROR(E5032*Eingaben!$B$15,0)</f>
        <v>1.7442</v>
      </c>
      <c r="G5032" s="13" t="n">
        <f aca="false">IFERROR(IF(Kalender!A274="",0,J5031*(1-Eingaben!$B$20)),0)</f>
        <v>1.561363244</v>
      </c>
      <c r="H5032" s="13" t="n">
        <f aca="false">MIN(G5032,D5032)</f>
        <v>0.89</v>
      </c>
      <c r="I5032" s="13" t="n">
        <f aca="false">IFERROR(MIN(F5032*Eingaben!$B$19,MAX(0,D5032-H5032)),0)</f>
        <v>0</v>
      </c>
      <c r="J5032" s="13" t="n">
        <f aca="false">IFERROR(MIN(Eingaben!$B$18,MAX(0,F5032-I5032)),0)</f>
        <v>1.7442</v>
      </c>
      <c r="K5032" s="13" t="n">
        <f aca="false">H5032+I5032</f>
        <v>0.89</v>
      </c>
      <c r="L5032" s="13" t="n">
        <f aca="false">MAX(0,D5032-K5032)</f>
        <v>0</v>
      </c>
      <c r="M5032" s="13" t="n">
        <f aca="false">MAX(0,F5032-I5032-J5032)</f>
        <v>0</v>
      </c>
      <c r="N5032" s="13" t="n">
        <f aca="false">IF(Kalender!A274="",0,J5031-H5032)</f>
        <v>0.7032278</v>
      </c>
    </row>
    <row r="5033" customFormat="false" ht="16.4" hidden="false" customHeight="false" outlineLevel="0" collapsed="false">
      <c r="A5033" s="13" t="str">
        <f aca="false">""</f>
        <v/>
      </c>
      <c r="B5033" s="13" t="n">
        <f aca="false">271</f>
        <v>271</v>
      </c>
      <c r="C5033" s="13" t="n">
        <f aca="false">IF(Szenarien!$H$24="OK",(IFERROR(SUMIF(Nutzungsprofile!$B$6:$B$11,"Schulbetrieb",Nutzungsprofile!$G$6:$G$11)*Kalender!C275/SUM(Kalender!$C$5:$C$370),0)+IFERROR(SUMIF(Nutzungsprofile!$B$6:$B$11,"Halle",Nutzungsprofile!$G$6:$G$11)*Kalender!D275/SUM(Kalender!$D$5:$D$370),0)+IFERROR(SUMIF(Nutzungsprofile!$B$6:$B$11,"Individuell",Nutzungsprofile!$G$6:$G$11)*Kalender!E275/SUM(Kalender!$E$5:$E$370),0))*Szenarien!$E$24,0)</f>
        <v>2.94</v>
      </c>
      <c r="D5033" s="13" t="n">
        <f aca="false">IF(Szenarien!$H$24="OK",(IFERROR(SUMIF(Nutzungsprofile!$B$17:$B$22,"Schulbetrieb",Nutzungsprofile!$G$17:$G$22)*Kalender!C275/SUM(Kalender!$C$5:$C$370),0)+IFERROR(SUMIF(Nutzungsprofile!$B$17:$B$22,"Halle",Nutzungsprofile!$G$17:$G$22)*Kalender!D275/SUM(Kalender!$D$5:$D$370),0)+IFERROR(SUMIF(Nutzungsprofile!$B$17:$B$22,"Individuell",Nutzungsprofile!$G$17:$G$22)*Kalender!E275/SUM(Kalender!$E$5:$E$370),0))*Szenarien!$D$24,0)</f>
        <v>4.94</v>
      </c>
      <c r="E5033" s="13" t="n">
        <f aca="false">IFERROR(MIN(C5033,Eingaben!$B$17)*Eingaben!$B$16,0)</f>
        <v>2.793</v>
      </c>
      <c r="F5033" s="13" t="n">
        <f aca="false">IFERROR(E5033*Eingaben!$B$15,0)</f>
        <v>2.5137</v>
      </c>
      <c r="G5033" s="13" t="n">
        <f aca="false">IFERROR(IF(Kalender!A275="",0,J5032*(1-Eingaben!$B$20)),0)</f>
        <v>1.709316</v>
      </c>
      <c r="H5033" s="13" t="n">
        <f aca="false">MIN(G5033,D5033)</f>
        <v>1.709316</v>
      </c>
      <c r="I5033" s="13" t="n">
        <f aca="false">IFERROR(MIN(F5033*Eingaben!$B$19,MAX(0,D5033-H5033)),0)</f>
        <v>1.75959</v>
      </c>
      <c r="J5033" s="13" t="n">
        <f aca="false">IFERROR(MIN(Eingaben!$B$18,MAX(0,F5033-I5033)),0)</f>
        <v>0.75411</v>
      </c>
      <c r="K5033" s="13" t="n">
        <f aca="false">H5033+I5033</f>
        <v>3.468906</v>
      </c>
      <c r="L5033" s="13" t="n">
        <f aca="false">MAX(0,D5033-K5033)</f>
        <v>1.471094</v>
      </c>
      <c r="M5033" s="13" t="n">
        <f aca="false">MAX(0,F5033-I5033-J5033)</f>
        <v>0</v>
      </c>
      <c r="N5033" s="13" t="n">
        <f aca="false">IF(Kalender!A275="",0,J5032-H5033)</f>
        <v>0.0348840000000001</v>
      </c>
    </row>
    <row r="5034" customFormat="false" ht="16.4" hidden="false" customHeight="false" outlineLevel="0" collapsed="false">
      <c r="A5034" s="13" t="str">
        <f aca="false">""</f>
        <v/>
      </c>
      <c r="B5034" s="13" t="n">
        <f aca="false">272</f>
        <v>272</v>
      </c>
      <c r="C5034" s="13" t="n">
        <f aca="false">IF(Szenarien!$H$24="OK",(IFERROR(SUMIF(Nutzungsprofile!$B$6:$B$11,"Schulbetrieb",Nutzungsprofile!$G$6:$G$11)*Kalender!C276/SUM(Kalender!$C$5:$C$370),0)+IFERROR(SUMIF(Nutzungsprofile!$B$6:$B$11,"Halle",Nutzungsprofile!$G$6:$G$11)*Kalender!D276/SUM(Kalender!$D$5:$D$370),0)+IFERROR(SUMIF(Nutzungsprofile!$B$6:$B$11,"Individuell",Nutzungsprofile!$G$6:$G$11)*Kalender!E276/SUM(Kalender!$E$5:$E$370),0))*Szenarien!$E$24,0)</f>
        <v>2.94</v>
      </c>
      <c r="D5034" s="13" t="n">
        <f aca="false">IF(Szenarien!$H$24="OK",(IFERROR(SUMIF(Nutzungsprofile!$B$17:$B$22,"Schulbetrieb",Nutzungsprofile!$G$17:$G$22)*Kalender!C276/SUM(Kalender!$C$5:$C$370),0)+IFERROR(SUMIF(Nutzungsprofile!$B$17:$B$22,"Halle",Nutzungsprofile!$G$17:$G$22)*Kalender!D276/SUM(Kalender!$D$5:$D$370),0)+IFERROR(SUMIF(Nutzungsprofile!$B$17:$B$22,"Individuell",Nutzungsprofile!$G$17:$G$22)*Kalender!E276/SUM(Kalender!$E$5:$E$370),0))*Szenarien!$D$24,0)</f>
        <v>4.94</v>
      </c>
      <c r="E5034" s="13" t="n">
        <f aca="false">IFERROR(MIN(C5034,Eingaben!$B$17)*Eingaben!$B$16,0)</f>
        <v>2.793</v>
      </c>
      <c r="F5034" s="13" t="n">
        <f aca="false">IFERROR(E5034*Eingaben!$B$15,0)</f>
        <v>2.5137</v>
      </c>
      <c r="G5034" s="13" t="n">
        <f aca="false">IFERROR(IF(Kalender!A276="",0,J5033*(1-Eingaben!$B$20)),0)</f>
        <v>0.7390278</v>
      </c>
      <c r="H5034" s="13" t="n">
        <f aca="false">MIN(G5034,D5034)</f>
        <v>0.7390278</v>
      </c>
      <c r="I5034" s="13" t="n">
        <f aca="false">IFERROR(MIN(F5034*Eingaben!$B$19,MAX(0,D5034-H5034)),0)</f>
        <v>1.75959</v>
      </c>
      <c r="J5034" s="13" t="n">
        <f aca="false">IFERROR(MIN(Eingaben!$B$18,MAX(0,F5034-I5034)),0)</f>
        <v>0.75411</v>
      </c>
      <c r="K5034" s="13" t="n">
        <f aca="false">H5034+I5034</f>
        <v>2.4986178</v>
      </c>
      <c r="L5034" s="13" t="n">
        <f aca="false">MAX(0,D5034-K5034)</f>
        <v>2.4413822</v>
      </c>
      <c r="M5034" s="13" t="n">
        <f aca="false">MAX(0,F5034-I5034-J5034)</f>
        <v>0</v>
      </c>
      <c r="N5034" s="13" t="n">
        <f aca="false">IF(Kalender!A276="",0,J5033-H5034)</f>
        <v>0.0150822</v>
      </c>
    </row>
    <row r="5035" customFormat="false" ht="16.4" hidden="false" customHeight="false" outlineLevel="0" collapsed="false">
      <c r="A5035" s="13" t="str">
        <f aca="false">""</f>
        <v/>
      </c>
      <c r="B5035" s="13" t="n">
        <f aca="false">273</f>
        <v>273</v>
      </c>
      <c r="C5035" s="13" t="n">
        <f aca="false">IF(Szenarien!$H$24="OK",(IFERROR(SUMIF(Nutzungsprofile!$B$6:$B$11,"Schulbetrieb",Nutzungsprofile!$G$6:$G$11)*Kalender!C277/SUM(Kalender!$C$5:$C$370),0)+IFERROR(SUMIF(Nutzungsprofile!$B$6:$B$11,"Halle",Nutzungsprofile!$G$6:$G$11)*Kalender!D277/SUM(Kalender!$D$5:$D$370),0)+IFERROR(SUMIF(Nutzungsprofile!$B$6:$B$11,"Individuell",Nutzungsprofile!$G$6:$G$11)*Kalender!E277/SUM(Kalender!$E$5:$E$370),0))*Szenarien!$E$24,0)</f>
        <v>2.94</v>
      </c>
      <c r="D5035" s="13" t="n">
        <f aca="false">IF(Szenarien!$H$24="OK",(IFERROR(SUMIF(Nutzungsprofile!$B$17:$B$22,"Schulbetrieb",Nutzungsprofile!$G$17:$G$22)*Kalender!C277/SUM(Kalender!$C$5:$C$370),0)+IFERROR(SUMIF(Nutzungsprofile!$B$17:$B$22,"Halle",Nutzungsprofile!$G$17:$G$22)*Kalender!D277/SUM(Kalender!$D$5:$D$370),0)+IFERROR(SUMIF(Nutzungsprofile!$B$17:$B$22,"Individuell",Nutzungsprofile!$G$17:$G$22)*Kalender!E277/SUM(Kalender!$E$5:$E$370),0))*Szenarien!$D$24,0)</f>
        <v>4.94</v>
      </c>
      <c r="E5035" s="13" t="n">
        <f aca="false">IFERROR(MIN(C5035,Eingaben!$B$17)*Eingaben!$B$16,0)</f>
        <v>2.793</v>
      </c>
      <c r="F5035" s="13" t="n">
        <f aca="false">IFERROR(E5035*Eingaben!$B$15,0)</f>
        <v>2.5137</v>
      </c>
      <c r="G5035" s="13" t="n">
        <f aca="false">IFERROR(IF(Kalender!A277="",0,J5034*(1-Eingaben!$B$20)),0)</f>
        <v>0.7390278</v>
      </c>
      <c r="H5035" s="13" t="n">
        <f aca="false">MIN(G5035,D5035)</f>
        <v>0.7390278</v>
      </c>
      <c r="I5035" s="13" t="n">
        <f aca="false">IFERROR(MIN(F5035*Eingaben!$B$19,MAX(0,D5035-H5035)),0)</f>
        <v>1.75959</v>
      </c>
      <c r="J5035" s="13" t="n">
        <f aca="false">IFERROR(MIN(Eingaben!$B$18,MAX(0,F5035-I5035)),0)</f>
        <v>0.75411</v>
      </c>
      <c r="K5035" s="13" t="n">
        <f aca="false">H5035+I5035</f>
        <v>2.4986178</v>
      </c>
      <c r="L5035" s="13" t="n">
        <f aca="false">MAX(0,D5035-K5035)</f>
        <v>2.4413822</v>
      </c>
      <c r="M5035" s="13" t="n">
        <f aca="false">MAX(0,F5035-I5035-J5035)</f>
        <v>0</v>
      </c>
      <c r="N5035" s="13" t="n">
        <f aca="false">IF(Kalender!A277="",0,J5034-H5035)</f>
        <v>0.0150822</v>
      </c>
    </row>
    <row r="5036" customFormat="false" ht="16.4" hidden="false" customHeight="false" outlineLevel="0" collapsed="false">
      <c r="A5036" s="13" t="str">
        <f aca="false">""</f>
        <v/>
      </c>
      <c r="B5036" s="13" t="n">
        <f aca="false">274</f>
        <v>274</v>
      </c>
      <c r="C5036" s="13" t="n">
        <f aca="false">IF(Szenarien!$H$24="OK",(IFERROR(SUMIF(Nutzungsprofile!$B$6:$B$11,"Schulbetrieb",Nutzungsprofile!$G$6:$G$11)*Kalender!C278/SUM(Kalender!$C$5:$C$370),0)+IFERROR(SUMIF(Nutzungsprofile!$B$6:$B$11,"Halle",Nutzungsprofile!$G$6:$G$11)*Kalender!D278/SUM(Kalender!$D$5:$D$370),0)+IFERROR(SUMIF(Nutzungsprofile!$B$6:$B$11,"Individuell",Nutzungsprofile!$G$6:$G$11)*Kalender!E278/SUM(Kalender!$E$5:$E$370),0))*Szenarien!$E$24,0)</f>
        <v>2.94</v>
      </c>
      <c r="D5036" s="13" t="n">
        <f aca="false">IF(Szenarien!$H$24="OK",(IFERROR(SUMIF(Nutzungsprofile!$B$17:$B$22,"Schulbetrieb",Nutzungsprofile!$G$17:$G$22)*Kalender!C278/SUM(Kalender!$C$5:$C$370),0)+IFERROR(SUMIF(Nutzungsprofile!$B$17:$B$22,"Halle",Nutzungsprofile!$G$17:$G$22)*Kalender!D278/SUM(Kalender!$D$5:$D$370),0)+IFERROR(SUMIF(Nutzungsprofile!$B$17:$B$22,"Individuell",Nutzungsprofile!$G$17:$G$22)*Kalender!E278/SUM(Kalender!$E$5:$E$370),0))*Szenarien!$D$24,0)</f>
        <v>4.94</v>
      </c>
      <c r="E5036" s="13" t="n">
        <f aca="false">IFERROR(MIN(C5036,Eingaben!$B$17)*Eingaben!$B$16,0)</f>
        <v>2.793</v>
      </c>
      <c r="F5036" s="13" t="n">
        <f aca="false">IFERROR(E5036*Eingaben!$B$15,0)</f>
        <v>2.5137</v>
      </c>
      <c r="G5036" s="13" t="n">
        <f aca="false">IFERROR(IF(Kalender!A278="",0,J5035*(1-Eingaben!$B$20)),0)</f>
        <v>0.7390278</v>
      </c>
      <c r="H5036" s="13" t="n">
        <f aca="false">MIN(G5036,D5036)</f>
        <v>0.7390278</v>
      </c>
      <c r="I5036" s="13" t="n">
        <f aca="false">IFERROR(MIN(F5036*Eingaben!$B$19,MAX(0,D5036-H5036)),0)</f>
        <v>1.75959</v>
      </c>
      <c r="J5036" s="13" t="n">
        <f aca="false">IFERROR(MIN(Eingaben!$B$18,MAX(0,F5036-I5036)),0)</f>
        <v>0.75411</v>
      </c>
      <c r="K5036" s="13" t="n">
        <f aca="false">H5036+I5036</f>
        <v>2.4986178</v>
      </c>
      <c r="L5036" s="13" t="n">
        <f aca="false">MAX(0,D5036-K5036)</f>
        <v>2.4413822</v>
      </c>
      <c r="M5036" s="13" t="n">
        <f aca="false">MAX(0,F5036-I5036-J5036)</f>
        <v>0</v>
      </c>
      <c r="N5036" s="13" t="n">
        <f aca="false">IF(Kalender!A278="",0,J5035-H5036)</f>
        <v>0.0150822</v>
      </c>
    </row>
    <row r="5037" customFormat="false" ht="16.4" hidden="false" customHeight="false" outlineLevel="0" collapsed="false">
      <c r="A5037" s="13" t="str">
        <f aca="false">""</f>
        <v/>
      </c>
      <c r="B5037" s="13" t="n">
        <f aca="false">275</f>
        <v>275</v>
      </c>
      <c r="C5037" s="13" t="n">
        <f aca="false">IF(Szenarien!$H$24="OK",(IFERROR(SUMIF(Nutzungsprofile!$B$6:$B$11,"Schulbetrieb",Nutzungsprofile!$G$6:$G$11)*Kalender!C279/SUM(Kalender!$C$5:$C$370),0)+IFERROR(SUMIF(Nutzungsprofile!$B$6:$B$11,"Halle",Nutzungsprofile!$G$6:$G$11)*Kalender!D279/SUM(Kalender!$D$5:$D$370),0)+IFERROR(SUMIF(Nutzungsprofile!$B$6:$B$11,"Individuell",Nutzungsprofile!$G$6:$G$11)*Kalender!E279/SUM(Kalender!$E$5:$E$370),0))*Szenarien!$E$24,0)</f>
        <v>2.94</v>
      </c>
      <c r="D5037" s="13" t="n">
        <f aca="false">IF(Szenarien!$H$24="OK",(IFERROR(SUMIF(Nutzungsprofile!$B$17:$B$22,"Schulbetrieb",Nutzungsprofile!$G$17:$G$22)*Kalender!C279/SUM(Kalender!$C$5:$C$370),0)+IFERROR(SUMIF(Nutzungsprofile!$B$17:$B$22,"Halle",Nutzungsprofile!$G$17:$G$22)*Kalender!D279/SUM(Kalender!$D$5:$D$370),0)+IFERROR(SUMIF(Nutzungsprofile!$B$17:$B$22,"Individuell",Nutzungsprofile!$G$17:$G$22)*Kalender!E279/SUM(Kalender!$E$5:$E$370),0))*Szenarien!$D$24,0)</f>
        <v>4.94</v>
      </c>
      <c r="E5037" s="13" t="n">
        <f aca="false">IFERROR(MIN(C5037,Eingaben!$B$17)*Eingaben!$B$16,0)</f>
        <v>2.793</v>
      </c>
      <c r="F5037" s="13" t="n">
        <f aca="false">IFERROR(E5037*Eingaben!$B$15,0)</f>
        <v>2.5137</v>
      </c>
      <c r="G5037" s="13" t="n">
        <f aca="false">IFERROR(IF(Kalender!A279="",0,J5036*(1-Eingaben!$B$20)),0)</f>
        <v>0.7390278</v>
      </c>
      <c r="H5037" s="13" t="n">
        <f aca="false">MIN(G5037,D5037)</f>
        <v>0.7390278</v>
      </c>
      <c r="I5037" s="13" t="n">
        <f aca="false">IFERROR(MIN(F5037*Eingaben!$B$19,MAX(0,D5037-H5037)),0)</f>
        <v>1.75959</v>
      </c>
      <c r="J5037" s="13" t="n">
        <f aca="false">IFERROR(MIN(Eingaben!$B$18,MAX(0,F5037-I5037)),0)</f>
        <v>0.75411</v>
      </c>
      <c r="K5037" s="13" t="n">
        <f aca="false">H5037+I5037</f>
        <v>2.4986178</v>
      </c>
      <c r="L5037" s="13" t="n">
        <f aca="false">MAX(0,D5037-K5037)</f>
        <v>2.4413822</v>
      </c>
      <c r="M5037" s="13" t="n">
        <f aca="false">MAX(0,F5037-I5037-J5037)</f>
        <v>0</v>
      </c>
      <c r="N5037" s="13" t="n">
        <f aca="false">IF(Kalender!A279="",0,J5036-H5037)</f>
        <v>0.0150822</v>
      </c>
    </row>
    <row r="5038" customFormat="false" ht="16.4" hidden="false" customHeight="false" outlineLevel="0" collapsed="false">
      <c r="A5038" s="13" t="str">
        <f aca="false">""</f>
        <v/>
      </c>
      <c r="B5038" s="13" t="n">
        <f aca="false">276</f>
        <v>276</v>
      </c>
      <c r="C5038" s="13" t="n">
        <f aca="false">IF(Szenarien!$H$24="OK",(IFERROR(SUMIF(Nutzungsprofile!$B$6:$B$11,"Schulbetrieb",Nutzungsprofile!$G$6:$G$11)*Kalender!C280/SUM(Kalender!$C$5:$C$370),0)+IFERROR(SUMIF(Nutzungsprofile!$B$6:$B$11,"Halle",Nutzungsprofile!$G$6:$G$11)*Kalender!D280/SUM(Kalender!$D$5:$D$370),0)+IFERROR(SUMIF(Nutzungsprofile!$B$6:$B$11,"Individuell",Nutzungsprofile!$G$6:$G$11)*Kalender!E280/SUM(Kalender!$E$5:$E$370),0))*Szenarien!$E$24,0)</f>
        <v>2.04</v>
      </c>
      <c r="D5038" s="13" t="n">
        <f aca="false">IF(Szenarien!$H$24="OK",(IFERROR(SUMIF(Nutzungsprofile!$B$17:$B$22,"Schulbetrieb",Nutzungsprofile!$G$17:$G$22)*Kalender!C280/SUM(Kalender!$C$5:$C$370),0)+IFERROR(SUMIF(Nutzungsprofile!$B$17:$B$22,"Halle",Nutzungsprofile!$G$17:$G$22)*Kalender!D280/SUM(Kalender!$D$5:$D$370),0)+IFERROR(SUMIF(Nutzungsprofile!$B$17:$B$22,"Individuell",Nutzungsprofile!$G$17:$G$22)*Kalender!E280/SUM(Kalender!$E$5:$E$370),0))*Szenarien!$D$24,0)</f>
        <v>0.89</v>
      </c>
      <c r="E5038" s="13" t="n">
        <f aca="false">IFERROR(MIN(C5038,Eingaben!$B$17)*Eingaben!$B$16,0)</f>
        <v>1.938</v>
      </c>
      <c r="F5038" s="13" t="n">
        <f aca="false">IFERROR(E5038*Eingaben!$B$15,0)</f>
        <v>1.7442</v>
      </c>
      <c r="G5038" s="13" t="n">
        <f aca="false">IFERROR(IF(Kalender!A280="",0,J5037*(1-Eingaben!$B$20)),0)</f>
        <v>0.7390278</v>
      </c>
      <c r="H5038" s="13" t="n">
        <f aca="false">MIN(G5038,D5038)</f>
        <v>0.7390278</v>
      </c>
      <c r="I5038" s="13" t="n">
        <f aca="false">IFERROR(MIN(F5038*Eingaben!$B$19,MAX(0,D5038-H5038)),0)</f>
        <v>0.1509722</v>
      </c>
      <c r="J5038" s="13" t="n">
        <f aca="false">IFERROR(MIN(Eingaben!$B$18,MAX(0,F5038-I5038)),0)</f>
        <v>1.5932278</v>
      </c>
      <c r="K5038" s="13" t="n">
        <f aca="false">H5038+I5038</f>
        <v>0.89</v>
      </c>
      <c r="L5038" s="13" t="n">
        <f aca="false">MAX(0,D5038-K5038)</f>
        <v>0</v>
      </c>
      <c r="M5038" s="13" t="n">
        <f aca="false">MAX(0,F5038-I5038-J5038)</f>
        <v>0</v>
      </c>
      <c r="N5038" s="13" t="n">
        <f aca="false">IF(Kalender!A280="",0,J5037-H5038)</f>
        <v>0.0150822</v>
      </c>
    </row>
    <row r="5039" customFormat="false" ht="16.4" hidden="false" customHeight="false" outlineLevel="0" collapsed="false">
      <c r="A5039" s="13" t="str">
        <f aca="false">""</f>
        <v/>
      </c>
      <c r="B5039" s="13" t="n">
        <f aca="false">277</f>
        <v>277</v>
      </c>
      <c r="C5039" s="13" t="n">
        <f aca="false">IF(Szenarien!$H$24="OK",(IFERROR(SUMIF(Nutzungsprofile!$B$6:$B$11,"Schulbetrieb",Nutzungsprofile!$G$6:$G$11)*Kalender!C281/SUM(Kalender!$C$5:$C$370),0)+IFERROR(SUMIF(Nutzungsprofile!$B$6:$B$11,"Halle",Nutzungsprofile!$G$6:$G$11)*Kalender!D281/SUM(Kalender!$D$5:$D$370),0)+IFERROR(SUMIF(Nutzungsprofile!$B$6:$B$11,"Individuell",Nutzungsprofile!$G$6:$G$11)*Kalender!E281/SUM(Kalender!$E$5:$E$370),0))*Szenarien!$E$24,0)</f>
        <v>2.04</v>
      </c>
      <c r="D5039" s="13" t="n">
        <f aca="false">IF(Szenarien!$H$24="OK",(IFERROR(SUMIF(Nutzungsprofile!$B$17:$B$22,"Schulbetrieb",Nutzungsprofile!$G$17:$G$22)*Kalender!C281/SUM(Kalender!$C$5:$C$370),0)+IFERROR(SUMIF(Nutzungsprofile!$B$17:$B$22,"Halle",Nutzungsprofile!$G$17:$G$22)*Kalender!D281/SUM(Kalender!$D$5:$D$370),0)+IFERROR(SUMIF(Nutzungsprofile!$B$17:$B$22,"Individuell",Nutzungsprofile!$G$17:$G$22)*Kalender!E281/SUM(Kalender!$E$5:$E$370),0))*Szenarien!$D$24,0)</f>
        <v>0.89</v>
      </c>
      <c r="E5039" s="13" t="n">
        <f aca="false">IFERROR(MIN(C5039,Eingaben!$B$17)*Eingaben!$B$16,0)</f>
        <v>1.938</v>
      </c>
      <c r="F5039" s="13" t="n">
        <f aca="false">IFERROR(E5039*Eingaben!$B$15,0)</f>
        <v>1.7442</v>
      </c>
      <c r="G5039" s="13" t="n">
        <f aca="false">IFERROR(IF(Kalender!A281="",0,J5038*(1-Eingaben!$B$20)),0)</f>
        <v>1.561363244</v>
      </c>
      <c r="H5039" s="13" t="n">
        <f aca="false">MIN(G5039,D5039)</f>
        <v>0.89</v>
      </c>
      <c r="I5039" s="13" t="n">
        <f aca="false">IFERROR(MIN(F5039*Eingaben!$B$19,MAX(0,D5039-H5039)),0)</f>
        <v>0</v>
      </c>
      <c r="J5039" s="13" t="n">
        <f aca="false">IFERROR(MIN(Eingaben!$B$18,MAX(0,F5039-I5039)),0)</f>
        <v>1.7442</v>
      </c>
      <c r="K5039" s="13" t="n">
        <f aca="false">H5039+I5039</f>
        <v>0.89</v>
      </c>
      <c r="L5039" s="13" t="n">
        <f aca="false">MAX(0,D5039-K5039)</f>
        <v>0</v>
      </c>
      <c r="M5039" s="13" t="n">
        <f aca="false">MAX(0,F5039-I5039-J5039)</f>
        <v>0</v>
      </c>
      <c r="N5039" s="13" t="n">
        <f aca="false">IF(Kalender!A281="",0,J5038-H5039)</f>
        <v>0.7032278</v>
      </c>
    </row>
    <row r="5040" customFormat="false" ht="16.4" hidden="false" customHeight="false" outlineLevel="0" collapsed="false">
      <c r="A5040" s="13" t="str">
        <f aca="false">""</f>
        <v/>
      </c>
      <c r="B5040" s="13" t="n">
        <f aca="false">278</f>
        <v>278</v>
      </c>
      <c r="C5040" s="13" t="n">
        <f aca="false">IF(Szenarien!$H$24="OK",(IFERROR(SUMIF(Nutzungsprofile!$B$6:$B$11,"Schulbetrieb",Nutzungsprofile!$G$6:$G$11)*Kalender!C282/SUM(Kalender!$C$5:$C$370),0)+IFERROR(SUMIF(Nutzungsprofile!$B$6:$B$11,"Halle",Nutzungsprofile!$G$6:$G$11)*Kalender!D282/SUM(Kalender!$D$5:$D$370),0)+IFERROR(SUMIF(Nutzungsprofile!$B$6:$B$11,"Individuell",Nutzungsprofile!$G$6:$G$11)*Kalender!E282/SUM(Kalender!$E$5:$E$370),0))*Szenarien!$E$24,0)</f>
        <v>2.94</v>
      </c>
      <c r="D5040" s="13" t="n">
        <f aca="false">IF(Szenarien!$H$24="OK",(IFERROR(SUMIF(Nutzungsprofile!$B$17:$B$22,"Schulbetrieb",Nutzungsprofile!$G$17:$G$22)*Kalender!C282/SUM(Kalender!$C$5:$C$370),0)+IFERROR(SUMIF(Nutzungsprofile!$B$17:$B$22,"Halle",Nutzungsprofile!$G$17:$G$22)*Kalender!D282/SUM(Kalender!$D$5:$D$370),0)+IFERROR(SUMIF(Nutzungsprofile!$B$17:$B$22,"Individuell",Nutzungsprofile!$G$17:$G$22)*Kalender!E282/SUM(Kalender!$E$5:$E$370),0))*Szenarien!$D$24,0)</f>
        <v>4.94</v>
      </c>
      <c r="E5040" s="13" t="n">
        <f aca="false">IFERROR(MIN(C5040,Eingaben!$B$17)*Eingaben!$B$16,0)</f>
        <v>2.793</v>
      </c>
      <c r="F5040" s="13" t="n">
        <f aca="false">IFERROR(E5040*Eingaben!$B$15,0)</f>
        <v>2.5137</v>
      </c>
      <c r="G5040" s="13" t="n">
        <f aca="false">IFERROR(IF(Kalender!A282="",0,J5039*(1-Eingaben!$B$20)),0)</f>
        <v>1.709316</v>
      </c>
      <c r="H5040" s="13" t="n">
        <f aca="false">MIN(G5040,D5040)</f>
        <v>1.709316</v>
      </c>
      <c r="I5040" s="13" t="n">
        <f aca="false">IFERROR(MIN(F5040*Eingaben!$B$19,MAX(0,D5040-H5040)),0)</f>
        <v>1.75959</v>
      </c>
      <c r="J5040" s="13" t="n">
        <f aca="false">IFERROR(MIN(Eingaben!$B$18,MAX(0,F5040-I5040)),0)</f>
        <v>0.75411</v>
      </c>
      <c r="K5040" s="13" t="n">
        <f aca="false">H5040+I5040</f>
        <v>3.468906</v>
      </c>
      <c r="L5040" s="13" t="n">
        <f aca="false">MAX(0,D5040-K5040)</f>
        <v>1.471094</v>
      </c>
      <c r="M5040" s="13" t="n">
        <f aca="false">MAX(0,F5040-I5040-J5040)</f>
        <v>0</v>
      </c>
      <c r="N5040" s="13" t="n">
        <f aca="false">IF(Kalender!A282="",0,J5039-H5040)</f>
        <v>0.0348840000000001</v>
      </c>
    </row>
    <row r="5041" customFormat="false" ht="16.4" hidden="false" customHeight="false" outlineLevel="0" collapsed="false">
      <c r="A5041" s="13" t="str">
        <f aca="false">""</f>
        <v/>
      </c>
      <c r="B5041" s="13" t="n">
        <f aca="false">279</f>
        <v>279</v>
      </c>
      <c r="C5041" s="13" t="n">
        <f aca="false">IF(Szenarien!$H$24="OK",(IFERROR(SUMIF(Nutzungsprofile!$B$6:$B$11,"Schulbetrieb",Nutzungsprofile!$G$6:$G$11)*Kalender!C283/SUM(Kalender!$C$5:$C$370),0)+IFERROR(SUMIF(Nutzungsprofile!$B$6:$B$11,"Halle",Nutzungsprofile!$G$6:$G$11)*Kalender!D283/SUM(Kalender!$D$5:$D$370),0)+IFERROR(SUMIF(Nutzungsprofile!$B$6:$B$11,"Individuell",Nutzungsprofile!$G$6:$G$11)*Kalender!E283/SUM(Kalender!$E$5:$E$370),0))*Szenarien!$E$24,0)</f>
        <v>2.94</v>
      </c>
      <c r="D5041" s="13" t="n">
        <f aca="false">IF(Szenarien!$H$24="OK",(IFERROR(SUMIF(Nutzungsprofile!$B$17:$B$22,"Schulbetrieb",Nutzungsprofile!$G$17:$G$22)*Kalender!C283/SUM(Kalender!$C$5:$C$370),0)+IFERROR(SUMIF(Nutzungsprofile!$B$17:$B$22,"Halle",Nutzungsprofile!$G$17:$G$22)*Kalender!D283/SUM(Kalender!$D$5:$D$370),0)+IFERROR(SUMIF(Nutzungsprofile!$B$17:$B$22,"Individuell",Nutzungsprofile!$G$17:$G$22)*Kalender!E283/SUM(Kalender!$E$5:$E$370),0))*Szenarien!$D$24,0)</f>
        <v>4.94</v>
      </c>
      <c r="E5041" s="13" t="n">
        <f aca="false">IFERROR(MIN(C5041,Eingaben!$B$17)*Eingaben!$B$16,0)</f>
        <v>2.793</v>
      </c>
      <c r="F5041" s="13" t="n">
        <f aca="false">IFERROR(E5041*Eingaben!$B$15,0)</f>
        <v>2.5137</v>
      </c>
      <c r="G5041" s="13" t="n">
        <f aca="false">IFERROR(IF(Kalender!A283="",0,J5040*(1-Eingaben!$B$20)),0)</f>
        <v>0.7390278</v>
      </c>
      <c r="H5041" s="13" t="n">
        <f aca="false">MIN(G5041,D5041)</f>
        <v>0.7390278</v>
      </c>
      <c r="I5041" s="13" t="n">
        <f aca="false">IFERROR(MIN(F5041*Eingaben!$B$19,MAX(0,D5041-H5041)),0)</f>
        <v>1.75959</v>
      </c>
      <c r="J5041" s="13" t="n">
        <f aca="false">IFERROR(MIN(Eingaben!$B$18,MAX(0,F5041-I5041)),0)</f>
        <v>0.75411</v>
      </c>
      <c r="K5041" s="13" t="n">
        <f aca="false">H5041+I5041</f>
        <v>2.4986178</v>
      </c>
      <c r="L5041" s="13" t="n">
        <f aca="false">MAX(0,D5041-K5041)</f>
        <v>2.4413822</v>
      </c>
      <c r="M5041" s="13" t="n">
        <f aca="false">MAX(0,F5041-I5041-J5041)</f>
        <v>0</v>
      </c>
      <c r="N5041" s="13" t="n">
        <f aca="false">IF(Kalender!A283="",0,J5040-H5041)</f>
        <v>0.0150822</v>
      </c>
    </row>
    <row r="5042" customFormat="false" ht="16.4" hidden="false" customHeight="false" outlineLevel="0" collapsed="false">
      <c r="A5042" s="13" t="str">
        <f aca="false">""</f>
        <v/>
      </c>
      <c r="B5042" s="13" t="n">
        <f aca="false">280</f>
        <v>280</v>
      </c>
      <c r="C5042" s="13" t="n">
        <f aca="false">IF(Szenarien!$H$24="OK",(IFERROR(SUMIF(Nutzungsprofile!$B$6:$B$11,"Schulbetrieb",Nutzungsprofile!$G$6:$G$11)*Kalender!C284/SUM(Kalender!$C$5:$C$370),0)+IFERROR(SUMIF(Nutzungsprofile!$B$6:$B$11,"Halle",Nutzungsprofile!$G$6:$G$11)*Kalender!D284/SUM(Kalender!$D$5:$D$370),0)+IFERROR(SUMIF(Nutzungsprofile!$B$6:$B$11,"Individuell",Nutzungsprofile!$G$6:$G$11)*Kalender!E284/SUM(Kalender!$E$5:$E$370),0))*Szenarien!$E$24,0)</f>
        <v>2.94</v>
      </c>
      <c r="D5042" s="13" t="n">
        <f aca="false">IF(Szenarien!$H$24="OK",(IFERROR(SUMIF(Nutzungsprofile!$B$17:$B$22,"Schulbetrieb",Nutzungsprofile!$G$17:$G$22)*Kalender!C284/SUM(Kalender!$C$5:$C$370),0)+IFERROR(SUMIF(Nutzungsprofile!$B$17:$B$22,"Halle",Nutzungsprofile!$G$17:$G$22)*Kalender!D284/SUM(Kalender!$D$5:$D$370),0)+IFERROR(SUMIF(Nutzungsprofile!$B$17:$B$22,"Individuell",Nutzungsprofile!$G$17:$G$22)*Kalender!E284/SUM(Kalender!$E$5:$E$370),0))*Szenarien!$D$24,0)</f>
        <v>4.94</v>
      </c>
      <c r="E5042" s="13" t="n">
        <f aca="false">IFERROR(MIN(C5042,Eingaben!$B$17)*Eingaben!$B$16,0)</f>
        <v>2.793</v>
      </c>
      <c r="F5042" s="13" t="n">
        <f aca="false">IFERROR(E5042*Eingaben!$B$15,0)</f>
        <v>2.5137</v>
      </c>
      <c r="G5042" s="13" t="n">
        <f aca="false">IFERROR(IF(Kalender!A284="",0,J5041*(1-Eingaben!$B$20)),0)</f>
        <v>0.7390278</v>
      </c>
      <c r="H5042" s="13" t="n">
        <f aca="false">MIN(G5042,D5042)</f>
        <v>0.7390278</v>
      </c>
      <c r="I5042" s="13" t="n">
        <f aca="false">IFERROR(MIN(F5042*Eingaben!$B$19,MAX(0,D5042-H5042)),0)</f>
        <v>1.75959</v>
      </c>
      <c r="J5042" s="13" t="n">
        <f aca="false">IFERROR(MIN(Eingaben!$B$18,MAX(0,F5042-I5042)),0)</f>
        <v>0.75411</v>
      </c>
      <c r="K5042" s="13" t="n">
        <f aca="false">H5042+I5042</f>
        <v>2.4986178</v>
      </c>
      <c r="L5042" s="13" t="n">
        <f aca="false">MAX(0,D5042-K5042)</f>
        <v>2.4413822</v>
      </c>
      <c r="M5042" s="13" t="n">
        <f aca="false">MAX(0,F5042-I5042-J5042)</f>
        <v>0</v>
      </c>
      <c r="N5042" s="13" t="n">
        <f aca="false">IF(Kalender!A284="",0,J5041-H5042)</f>
        <v>0.0150822</v>
      </c>
    </row>
    <row r="5043" customFormat="false" ht="16.4" hidden="false" customHeight="false" outlineLevel="0" collapsed="false">
      <c r="A5043" s="13" t="str">
        <f aca="false">""</f>
        <v/>
      </c>
      <c r="B5043" s="13" t="n">
        <f aca="false">281</f>
        <v>281</v>
      </c>
      <c r="C5043" s="13" t="n">
        <f aca="false">IF(Szenarien!$H$24="OK",(IFERROR(SUMIF(Nutzungsprofile!$B$6:$B$11,"Schulbetrieb",Nutzungsprofile!$G$6:$G$11)*Kalender!C285/SUM(Kalender!$C$5:$C$370),0)+IFERROR(SUMIF(Nutzungsprofile!$B$6:$B$11,"Halle",Nutzungsprofile!$G$6:$G$11)*Kalender!D285/SUM(Kalender!$D$5:$D$370),0)+IFERROR(SUMIF(Nutzungsprofile!$B$6:$B$11,"Individuell",Nutzungsprofile!$G$6:$G$11)*Kalender!E285/SUM(Kalender!$E$5:$E$370),0))*Szenarien!$E$24,0)</f>
        <v>0.9</v>
      </c>
      <c r="D5043" s="13" t="n">
        <f aca="false">IF(Szenarien!$H$24="OK",(IFERROR(SUMIF(Nutzungsprofile!$B$17:$B$22,"Schulbetrieb",Nutzungsprofile!$G$17:$G$22)*Kalender!C285/SUM(Kalender!$C$5:$C$370),0)+IFERROR(SUMIF(Nutzungsprofile!$B$17:$B$22,"Halle",Nutzungsprofile!$G$17:$G$22)*Kalender!D285/SUM(Kalender!$D$5:$D$370),0)+IFERROR(SUMIF(Nutzungsprofile!$B$17:$B$22,"Individuell",Nutzungsprofile!$G$17:$G$22)*Kalender!E285/SUM(Kalender!$E$5:$E$370),0))*Szenarien!$D$24,0)</f>
        <v>4.05</v>
      </c>
      <c r="E5043" s="13" t="n">
        <f aca="false">IFERROR(MIN(C5043,Eingaben!$B$17)*Eingaben!$B$16,0)</f>
        <v>0.855</v>
      </c>
      <c r="F5043" s="13" t="n">
        <f aca="false">IFERROR(E5043*Eingaben!$B$15,0)</f>
        <v>0.7695</v>
      </c>
      <c r="G5043" s="13" t="n">
        <f aca="false">IFERROR(IF(Kalender!A285="",0,J5042*(1-Eingaben!$B$20)),0)</f>
        <v>0.7390278</v>
      </c>
      <c r="H5043" s="13" t="n">
        <f aca="false">MIN(G5043,D5043)</f>
        <v>0.7390278</v>
      </c>
      <c r="I5043" s="13" t="n">
        <f aca="false">IFERROR(MIN(F5043*Eingaben!$B$19,MAX(0,D5043-H5043)),0)</f>
        <v>0.53865</v>
      </c>
      <c r="J5043" s="13" t="n">
        <f aca="false">IFERROR(MIN(Eingaben!$B$18,MAX(0,F5043-I5043)),0)</f>
        <v>0.23085</v>
      </c>
      <c r="K5043" s="13" t="n">
        <f aca="false">H5043+I5043</f>
        <v>1.2776778</v>
      </c>
      <c r="L5043" s="13" t="n">
        <f aca="false">MAX(0,D5043-K5043)</f>
        <v>2.7723222</v>
      </c>
      <c r="M5043" s="13" t="n">
        <f aca="false">MAX(0,F5043-I5043-J5043)</f>
        <v>0</v>
      </c>
      <c r="N5043" s="13" t="n">
        <f aca="false">IF(Kalender!A285="",0,J5042-H5043)</f>
        <v>0.0150822</v>
      </c>
    </row>
    <row r="5044" customFormat="false" ht="16.4" hidden="false" customHeight="false" outlineLevel="0" collapsed="false">
      <c r="A5044" s="13" t="str">
        <f aca="false">""</f>
        <v/>
      </c>
      <c r="B5044" s="13" t="n">
        <f aca="false">282</f>
        <v>282</v>
      </c>
      <c r="C5044" s="13" t="n">
        <f aca="false">IF(Szenarien!$H$24="OK",(IFERROR(SUMIF(Nutzungsprofile!$B$6:$B$11,"Schulbetrieb",Nutzungsprofile!$G$6:$G$11)*Kalender!C286/SUM(Kalender!$C$5:$C$370),0)+IFERROR(SUMIF(Nutzungsprofile!$B$6:$B$11,"Halle",Nutzungsprofile!$G$6:$G$11)*Kalender!D286/SUM(Kalender!$D$5:$D$370),0)+IFERROR(SUMIF(Nutzungsprofile!$B$6:$B$11,"Individuell",Nutzungsprofile!$G$6:$G$11)*Kalender!E286/SUM(Kalender!$E$5:$E$370),0))*Szenarien!$E$24,0)</f>
        <v>0.9</v>
      </c>
      <c r="D5044" s="13" t="n">
        <f aca="false">IF(Szenarien!$H$24="OK",(IFERROR(SUMIF(Nutzungsprofile!$B$17:$B$22,"Schulbetrieb",Nutzungsprofile!$G$17:$G$22)*Kalender!C286/SUM(Kalender!$C$5:$C$370),0)+IFERROR(SUMIF(Nutzungsprofile!$B$17:$B$22,"Halle",Nutzungsprofile!$G$17:$G$22)*Kalender!D286/SUM(Kalender!$D$5:$D$370),0)+IFERROR(SUMIF(Nutzungsprofile!$B$17:$B$22,"Individuell",Nutzungsprofile!$G$17:$G$22)*Kalender!E286/SUM(Kalender!$E$5:$E$370),0))*Szenarien!$D$24,0)</f>
        <v>4.05</v>
      </c>
      <c r="E5044" s="13" t="n">
        <f aca="false">IFERROR(MIN(C5044,Eingaben!$B$17)*Eingaben!$B$16,0)</f>
        <v>0.855</v>
      </c>
      <c r="F5044" s="13" t="n">
        <f aca="false">IFERROR(E5044*Eingaben!$B$15,0)</f>
        <v>0.7695</v>
      </c>
      <c r="G5044" s="13" t="n">
        <f aca="false">IFERROR(IF(Kalender!A286="",0,J5043*(1-Eingaben!$B$20)),0)</f>
        <v>0.226233</v>
      </c>
      <c r="H5044" s="13" t="n">
        <f aca="false">MIN(G5044,D5044)</f>
        <v>0.226233</v>
      </c>
      <c r="I5044" s="13" t="n">
        <f aca="false">IFERROR(MIN(F5044*Eingaben!$B$19,MAX(0,D5044-H5044)),0)</f>
        <v>0.53865</v>
      </c>
      <c r="J5044" s="13" t="n">
        <f aca="false">IFERROR(MIN(Eingaben!$B$18,MAX(0,F5044-I5044)),0)</f>
        <v>0.23085</v>
      </c>
      <c r="K5044" s="13" t="n">
        <f aca="false">H5044+I5044</f>
        <v>0.764883</v>
      </c>
      <c r="L5044" s="13" t="n">
        <f aca="false">MAX(0,D5044-K5044)</f>
        <v>3.285117</v>
      </c>
      <c r="M5044" s="13" t="n">
        <f aca="false">MAX(0,F5044-I5044-J5044)</f>
        <v>0</v>
      </c>
      <c r="N5044" s="13" t="n">
        <f aca="false">IF(Kalender!A286="",0,J5043-H5044)</f>
        <v>0.00461700000000001</v>
      </c>
    </row>
    <row r="5045" customFormat="false" ht="16.4" hidden="false" customHeight="false" outlineLevel="0" collapsed="false">
      <c r="A5045" s="13" t="str">
        <f aca="false">""</f>
        <v/>
      </c>
      <c r="B5045" s="13" t="n">
        <f aca="false">283</f>
        <v>283</v>
      </c>
      <c r="C5045" s="13" t="n">
        <f aca="false">IF(Szenarien!$H$24="OK",(IFERROR(SUMIF(Nutzungsprofile!$B$6:$B$11,"Schulbetrieb",Nutzungsprofile!$G$6:$G$11)*Kalender!C287/SUM(Kalender!$C$5:$C$370),0)+IFERROR(SUMIF(Nutzungsprofile!$B$6:$B$11,"Halle",Nutzungsprofile!$G$6:$G$11)*Kalender!D287/SUM(Kalender!$D$5:$D$370),0)+IFERROR(SUMIF(Nutzungsprofile!$B$6:$B$11,"Individuell",Nutzungsprofile!$G$6:$G$11)*Kalender!E287/SUM(Kalender!$E$5:$E$370),0))*Szenarien!$E$24,0)</f>
        <v>0</v>
      </c>
      <c r="D5045" s="13" t="n">
        <f aca="false">IF(Szenarien!$H$24="OK",(IFERROR(SUMIF(Nutzungsprofile!$B$17:$B$22,"Schulbetrieb",Nutzungsprofile!$G$17:$G$22)*Kalender!C287/SUM(Kalender!$C$5:$C$370),0)+IFERROR(SUMIF(Nutzungsprofile!$B$17:$B$22,"Halle",Nutzungsprofile!$G$17:$G$22)*Kalender!D287/SUM(Kalender!$D$5:$D$370),0)+IFERROR(SUMIF(Nutzungsprofile!$B$17:$B$22,"Individuell",Nutzungsprofile!$G$17:$G$22)*Kalender!E287/SUM(Kalender!$E$5:$E$370),0))*Szenarien!$D$24,0)</f>
        <v>0</v>
      </c>
      <c r="E5045" s="13" t="n">
        <f aca="false">IFERROR(MIN(C5045,Eingaben!$B$17)*Eingaben!$B$16,0)</f>
        <v>0</v>
      </c>
      <c r="F5045" s="13" t="n">
        <f aca="false">IFERROR(E5045*Eingaben!$B$15,0)</f>
        <v>0</v>
      </c>
      <c r="G5045" s="13" t="n">
        <f aca="false">IFERROR(IF(Kalender!A287="",0,J5044*(1-Eingaben!$B$20)),0)</f>
        <v>0.226233</v>
      </c>
      <c r="H5045" s="13" t="n">
        <f aca="false">MIN(G5045,D5045)</f>
        <v>0</v>
      </c>
      <c r="I5045" s="13" t="n">
        <f aca="false">IFERROR(MIN(F5045*Eingaben!$B$19,MAX(0,D5045-H5045)),0)</f>
        <v>0</v>
      </c>
      <c r="J5045" s="13" t="n">
        <f aca="false">IFERROR(MIN(Eingaben!$B$18,MAX(0,F5045-I5045)),0)</f>
        <v>0</v>
      </c>
      <c r="K5045" s="13" t="n">
        <f aca="false">H5045+I5045</f>
        <v>0</v>
      </c>
      <c r="L5045" s="13" t="n">
        <f aca="false">MAX(0,D5045-K5045)</f>
        <v>0</v>
      </c>
      <c r="M5045" s="13" t="n">
        <f aca="false">MAX(0,F5045-I5045-J5045)</f>
        <v>0</v>
      </c>
      <c r="N5045" s="13" t="n">
        <f aca="false">IF(Kalender!A287="",0,J5044-H5045)</f>
        <v>0.23085</v>
      </c>
    </row>
    <row r="5046" customFormat="false" ht="16.4" hidden="false" customHeight="false" outlineLevel="0" collapsed="false">
      <c r="A5046" s="13" t="str">
        <f aca="false">""</f>
        <v/>
      </c>
      <c r="B5046" s="13" t="n">
        <f aca="false">284</f>
        <v>284</v>
      </c>
      <c r="C5046" s="13" t="n">
        <f aca="false">IF(Szenarien!$H$24="OK",(IFERROR(SUMIF(Nutzungsprofile!$B$6:$B$11,"Schulbetrieb",Nutzungsprofile!$G$6:$G$11)*Kalender!C288/SUM(Kalender!$C$5:$C$370),0)+IFERROR(SUMIF(Nutzungsprofile!$B$6:$B$11,"Halle",Nutzungsprofile!$G$6:$G$11)*Kalender!D288/SUM(Kalender!$D$5:$D$370),0)+IFERROR(SUMIF(Nutzungsprofile!$B$6:$B$11,"Individuell",Nutzungsprofile!$G$6:$G$11)*Kalender!E288/SUM(Kalender!$E$5:$E$370),0))*Szenarien!$E$24,0)</f>
        <v>0</v>
      </c>
      <c r="D5046" s="13" t="n">
        <f aca="false">IF(Szenarien!$H$24="OK",(IFERROR(SUMIF(Nutzungsprofile!$B$17:$B$22,"Schulbetrieb",Nutzungsprofile!$G$17:$G$22)*Kalender!C288/SUM(Kalender!$C$5:$C$370),0)+IFERROR(SUMIF(Nutzungsprofile!$B$17:$B$22,"Halle",Nutzungsprofile!$G$17:$G$22)*Kalender!D288/SUM(Kalender!$D$5:$D$370),0)+IFERROR(SUMIF(Nutzungsprofile!$B$17:$B$22,"Individuell",Nutzungsprofile!$G$17:$G$22)*Kalender!E288/SUM(Kalender!$E$5:$E$370),0))*Szenarien!$D$24,0)</f>
        <v>0</v>
      </c>
      <c r="E5046" s="13" t="n">
        <f aca="false">IFERROR(MIN(C5046,Eingaben!$B$17)*Eingaben!$B$16,0)</f>
        <v>0</v>
      </c>
      <c r="F5046" s="13" t="n">
        <f aca="false">IFERROR(E5046*Eingaben!$B$15,0)</f>
        <v>0</v>
      </c>
      <c r="G5046" s="13" t="n">
        <f aca="false">IFERROR(IF(Kalender!A288="",0,J5045*(1-Eingaben!$B$20)),0)</f>
        <v>0</v>
      </c>
      <c r="H5046" s="13" t="n">
        <f aca="false">MIN(G5046,D5046)</f>
        <v>0</v>
      </c>
      <c r="I5046" s="13" t="n">
        <f aca="false">IFERROR(MIN(F5046*Eingaben!$B$19,MAX(0,D5046-H5046)),0)</f>
        <v>0</v>
      </c>
      <c r="J5046" s="13" t="n">
        <f aca="false">IFERROR(MIN(Eingaben!$B$18,MAX(0,F5046-I5046)),0)</f>
        <v>0</v>
      </c>
      <c r="K5046" s="13" t="n">
        <f aca="false">H5046+I5046</f>
        <v>0</v>
      </c>
      <c r="L5046" s="13" t="n">
        <f aca="false">MAX(0,D5046-K5046)</f>
        <v>0</v>
      </c>
      <c r="M5046" s="13" t="n">
        <f aca="false">MAX(0,F5046-I5046-J5046)</f>
        <v>0</v>
      </c>
      <c r="N5046" s="13" t="n">
        <f aca="false">IF(Kalender!A288="",0,J5045-H5046)</f>
        <v>0</v>
      </c>
    </row>
    <row r="5047" customFormat="false" ht="16.4" hidden="false" customHeight="false" outlineLevel="0" collapsed="false">
      <c r="A5047" s="13" t="str">
        <f aca="false">""</f>
        <v/>
      </c>
      <c r="B5047" s="13" t="n">
        <f aca="false">285</f>
        <v>285</v>
      </c>
      <c r="C5047" s="13" t="n">
        <f aca="false">IF(Szenarien!$H$24="OK",(IFERROR(SUMIF(Nutzungsprofile!$B$6:$B$11,"Schulbetrieb",Nutzungsprofile!$G$6:$G$11)*Kalender!C289/SUM(Kalender!$C$5:$C$370),0)+IFERROR(SUMIF(Nutzungsprofile!$B$6:$B$11,"Halle",Nutzungsprofile!$G$6:$G$11)*Kalender!D289/SUM(Kalender!$D$5:$D$370),0)+IFERROR(SUMIF(Nutzungsprofile!$B$6:$B$11,"Individuell",Nutzungsprofile!$G$6:$G$11)*Kalender!E289/SUM(Kalender!$E$5:$E$370),0))*Szenarien!$E$24,0)</f>
        <v>0.9</v>
      </c>
      <c r="D5047" s="13" t="n">
        <f aca="false">IF(Szenarien!$H$24="OK",(IFERROR(SUMIF(Nutzungsprofile!$B$17:$B$22,"Schulbetrieb",Nutzungsprofile!$G$17:$G$22)*Kalender!C289/SUM(Kalender!$C$5:$C$370),0)+IFERROR(SUMIF(Nutzungsprofile!$B$17:$B$22,"Halle",Nutzungsprofile!$G$17:$G$22)*Kalender!D289/SUM(Kalender!$D$5:$D$370),0)+IFERROR(SUMIF(Nutzungsprofile!$B$17:$B$22,"Individuell",Nutzungsprofile!$G$17:$G$22)*Kalender!E289/SUM(Kalender!$E$5:$E$370),0))*Szenarien!$D$24,0)</f>
        <v>4.05</v>
      </c>
      <c r="E5047" s="13" t="n">
        <f aca="false">IFERROR(MIN(C5047,Eingaben!$B$17)*Eingaben!$B$16,0)</f>
        <v>0.855</v>
      </c>
      <c r="F5047" s="13" t="n">
        <f aca="false">IFERROR(E5047*Eingaben!$B$15,0)</f>
        <v>0.7695</v>
      </c>
      <c r="G5047" s="13" t="n">
        <f aca="false">IFERROR(IF(Kalender!A289="",0,J5046*(1-Eingaben!$B$20)),0)</f>
        <v>0</v>
      </c>
      <c r="H5047" s="13" t="n">
        <f aca="false">MIN(G5047,D5047)</f>
        <v>0</v>
      </c>
      <c r="I5047" s="13" t="n">
        <f aca="false">IFERROR(MIN(F5047*Eingaben!$B$19,MAX(0,D5047-H5047)),0)</f>
        <v>0.53865</v>
      </c>
      <c r="J5047" s="13" t="n">
        <f aca="false">IFERROR(MIN(Eingaben!$B$18,MAX(0,F5047-I5047)),0)</f>
        <v>0.23085</v>
      </c>
      <c r="K5047" s="13" t="n">
        <f aca="false">H5047+I5047</f>
        <v>0.53865</v>
      </c>
      <c r="L5047" s="13" t="n">
        <f aca="false">MAX(0,D5047-K5047)</f>
        <v>3.51135</v>
      </c>
      <c r="M5047" s="13" t="n">
        <f aca="false">MAX(0,F5047-I5047-J5047)</f>
        <v>0</v>
      </c>
      <c r="N5047" s="13" t="n">
        <f aca="false">IF(Kalender!A289="",0,J5046-H5047)</f>
        <v>0</v>
      </c>
    </row>
    <row r="5048" customFormat="false" ht="16.4" hidden="false" customHeight="false" outlineLevel="0" collapsed="false">
      <c r="A5048" s="13" t="str">
        <f aca="false">""</f>
        <v/>
      </c>
      <c r="B5048" s="13" t="n">
        <f aca="false">286</f>
        <v>286</v>
      </c>
      <c r="C5048" s="13" t="n">
        <f aca="false">IF(Szenarien!$H$24="OK",(IFERROR(SUMIF(Nutzungsprofile!$B$6:$B$11,"Schulbetrieb",Nutzungsprofile!$G$6:$G$11)*Kalender!C290/SUM(Kalender!$C$5:$C$370),0)+IFERROR(SUMIF(Nutzungsprofile!$B$6:$B$11,"Halle",Nutzungsprofile!$G$6:$G$11)*Kalender!D290/SUM(Kalender!$D$5:$D$370),0)+IFERROR(SUMIF(Nutzungsprofile!$B$6:$B$11,"Individuell",Nutzungsprofile!$G$6:$G$11)*Kalender!E290/SUM(Kalender!$E$5:$E$370),0))*Szenarien!$E$24,0)</f>
        <v>0.9</v>
      </c>
      <c r="D5048" s="13" t="n">
        <f aca="false">IF(Szenarien!$H$24="OK",(IFERROR(SUMIF(Nutzungsprofile!$B$17:$B$22,"Schulbetrieb",Nutzungsprofile!$G$17:$G$22)*Kalender!C290/SUM(Kalender!$C$5:$C$370),0)+IFERROR(SUMIF(Nutzungsprofile!$B$17:$B$22,"Halle",Nutzungsprofile!$G$17:$G$22)*Kalender!D290/SUM(Kalender!$D$5:$D$370),0)+IFERROR(SUMIF(Nutzungsprofile!$B$17:$B$22,"Individuell",Nutzungsprofile!$G$17:$G$22)*Kalender!E290/SUM(Kalender!$E$5:$E$370),0))*Szenarien!$D$24,0)</f>
        <v>4.05</v>
      </c>
      <c r="E5048" s="13" t="n">
        <f aca="false">IFERROR(MIN(C5048,Eingaben!$B$17)*Eingaben!$B$16,0)</f>
        <v>0.855</v>
      </c>
      <c r="F5048" s="13" t="n">
        <f aca="false">IFERROR(E5048*Eingaben!$B$15,0)</f>
        <v>0.7695</v>
      </c>
      <c r="G5048" s="13" t="n">
        <f aca="false">IFERROR(IF(Kalender!A290="",0,J5047*(1-Eingaben!$B$20)),0)</f>
        <v>0.226233</v>
      </c>
      <c r="H5048" s="13" t="n">
        <f aca="false">MIN(G5048,D5048)</f>
        <v>0.226233</v>
      </c>
      <c r="I5048" s="13" t="n">
        <f aca="false">IFERROR(MIN(F5048*Eingaben!$B$19,MAX(0,D5048-H5048)),0)</f>
        <v>0.53865</v>
      </c>
      <c r="J5048" s="13" t="n">
        <f aca="false">IFERROR(MIN(Eingaben!$B$18,MAX(0,F5048-I5048)),0)</f>
        <v>0.23085</v>
      </c>
      <c r="K5048" s="13" t="n">
        <f aca="false">H5048+I5048</f>
        <v>0.764883</v>
      </c>
      <c r="L5048" s="13" t="n">
        <f aca="false">MAX(0,D5048-K5048)</f>
        <v>3.285117</v>
      </c>
      <c r="M5048" s="13" t="n">
        <f aca="false">MAX(0,F5048-I5048-J5048)</f>
        <v>0</v>
      </c>
      <c r="N5048" s="13" t="n">
        <f aca="false">IF(Kalender!A290="",0,J5047-H5048)</f>
        <v>0.00461700000000001</v>
      </c>
    </row>
    <row r="5049" customFormat="false" ht="16.4" hidden="false" customHeight="false" outlineLevel="0" collapsed="false">
      <c r="A5049" s="13" t="str">
        <f aca="false">""</f>
        <v/>
      </c>
      <c r="B5049" s="13" t="n">
        <f aca="false">287</f>
        <v>287</v>
      </c>
      <c r="C5049" s="13" t="n">
        <f aca="false">IF(Szenarien!$H$24="OK",(IFERROR(SUMIF(Nutzungsprofile!$B$6:$B$11,"Schulbetrieb",Nutzungsprofile!$G$6:$G$11)*Kalender!C291/SUM(Kalender!$C$5:$C$370),0)+IFERROR(SUMIF(Nutzungsprofile!$B$6:$B$11,"Halle",Nutzungsprofile!$G$6:$G$11)*Kalender!D291/SUM(Kalender!$D$5:$D$370),0)+IFERROR(SUMIF(Nutzungsprofile!$B$6:$B$11,"Individuell",Nutzungsprofile!$G$6:$G$11)*Kalender!E291/SUM(Kalender!$E$5:$E$370),0))*Szenarien!$E$24,0)</f>
        <v>0.9</v>
      </c>
      <c r="D5049" s="13" t="n">
        <f aca="false">IF(Szenarien!$H$24="OK",(IFERROR(SUMIF(Nutzungsprofile!$B$17:$B$22,"Schulbetrieb",Nutzungsprofile!$G$17:$G$22)*Kalender!C291/SUM(Kalender!$C$5:$C$370),0)+IFERROR(SUMIF(Nutzungsprofile!$B$17:$B$22,"Halle",Nutzungsprofile!$G$17:$G$22)*Kalender!D291/SUM(Kalender!$D$5:$D$370),0)+IFERROR(SUMIF(Nutzungsprofile!$B$17:$B$22,"Individuell",Nutzungsprofile!$G$17:$G$22)*Kalender!E291/SUM(Kalender!$E$5:$E$370),0))*Szenarien!$D$24,0)</f>
        <v>4.05</v>
      </c>
      <c r="E5049" s="13" t="n">
        <f aca="false">IFERROR(MIN(C5049,Eingaben!$B$17)*Eingaben!$B$16,0)</f>
        <v>0.855</v>
      </c>
      <c r="F5049" s="13" t="n">
        <f aca="false">IFERROR(E5049*Eingaben!$B$15,0)</f>
        <v>0.7695</v>
      </c>
      <c r="G5049" s="13" t="n">
        <f aca="false">IFERROR(IF(Kalender!A291="",0,J5048*(1-Eingaben!$B$20)),0)</f>
        <v>0.226233</v>
      </c>
      <c r="H5049" s="13" t="n">
        <f aca="false">MIN(G5049,D5049)</f>
        <v>0.226233</v>
      </c>
      <c r="I5049" s="13" t="n">
        <f aca="false">IFERROR(MIN(F5049*Eingaben!$B$19,MAX(0,D5049-H5049)),0)</f>
        <v>0.53865</v>
      </c>
      <c r="J5049" s="13" t="n">
        <f aca="false">IFERROR(MIN(Eingaben!$B$18,MAX(0,F5049-I5049)),0)</f>
        <v>0.23085</v>
      </c>
      <c r="K5049" s="13" t="n">
        <f aca="false">H5049+I5049</f>
        <v>0.764883</v>
      </c>
      <c r="L5049" s="13" t="n">
        <f aca="false">MAX(0,D5049-K5049)</f>
        <v>3.285117</v>
      </c>
      <c r="M5049" s="13" t="n">
        <f aca="false">MAX(0,F5049-I5049-J5049)</f>
        <v>0</v>
      </c>
      <c r="N5049" s="13" t="n">
        <f aca="false">IF(Kalender!A291="",0,J5048-H5049)</f>
        <v>0.00461700000000001</v>
      </c>
    </row>
    <row r="5050" customFormat="false" ht="16.4" hidden="false" customHeight="false" outlineLevel="0" collapsed="false">
      <c r="A5050" s="13" t="str">
        <f aca="false">""</f>
        <v/>
      </c>
      <c r="B5050" s="13" t="n">
        <f aca="false">288</f>
        <v>288</v>
      </c>
      <c r="C5050" s="13" t="n">
        <f aca="false">IF(Szenarien!$H$24="OK",(IFERROR(SUMIF(Nutzungsprofile!$B$6:$B$11,"Schulbetrieb",Nutzungsprofile!$G$6:$G$11)*Kalender!C292/SUM(Kalender!$C$5:$C$370),0)+IFERROR(SUMIF(Nutzungsprofile!$B$6:$B$11,"Halle",Nutzungsprofile!$G$6:$G$11)*Kalender!D292/SUM(Kalender!$D$5:$D$370),0)+IFERROR(SUMIF(Nutzungsprofile!$B$6:$B$11,"Individuell",Nutzungsprofile!$G$6:$G$11)*Kalender!E292/SUM(Kalender!$E$5:$E$370),0))*Szenarien!$E$24,0)</f>
        <v>0.9</v>
      </c>
      <c r="D5050" s="13" t="n">
        <f aca="false">IF(Szenarien!$H$24="OK",(IFERROR(SUMIF(Nutzungsprofile!$B$17:$B$22,"Schulbetrieb",Nutzungsprofile!$G$17:$G$22)*Kalender!C292/SUM(Kalender!$C$5:$C$370),0)+IFERROR(SUMIF(Nutzungsprofile!$B$17:$B$22,"Halle",Nutzungsprofile!$G$17:$G$22)*Kalender!D292/SUM(Kalender!$D$5:$D$370),0)+IFERROR(SUMIF(Nutzungsprofile!$B$17:$B$22,"Individuell",Nutzungsprofile!$G$17:$G$22)*Kalender!E292/SUM(Kalender!$E$5:$E$370),0))*Szenarien!$D$24,0)</f>
        <v>4.05</v>
      </c>
      <c r="E5050" s="13" t="n">
        <f aca="false">IFERROR(MIN(C5050,Eingaben!$B$17)*Eingaben!$B$16,0)</f>
        <v>0.855</v>
      </c>
      <c r="F5050" s="13" t="n">
        <f aca="false">IFERROR(E5050*Eingaben!$B$15,0)</f>
        <v>0.7695</v>
      </c>
      <c r="G5050" s="13" t="n">
        <f aca="false">IFERROR(IF(Kalender!A292="",0,J5049*(1-Eingaben!$B$20)),0)</f>
        <v>0.226233</v>
      </c>
      <c r="H5050" s="13" t="n">
        <f aca="false">MIN(G5050,D5050)</f>
        <v>0.226233</v>
      </c>
      <c r="I5050" s="13" t="n">
        <f aca="false">IFERROR(MIN(F5050*Eingaben!$B$19,MAX(0,D5050-H5050)),0)</f>
        <v>0.53865</v>
      </c>
      <c r="J5050" s="13" t="n">
        <f aca="false">IFERROR(MIN(Eingaben!$B$18,MAX(0,F5050-I5050)),0)</f>
        <v>0.23085</v>
      </c>
      <c r="K5050" s="13" t="n">
        <f aca="false">H5050+I5050</f>
        <v>0.764883</v>
      </c>
      <c r="L5050" s="13" t="n">
        <f aca="false">MAX(0,D5050-K5050)</f>
        <v>3.285117</v>
      </c>
      <c r="M5050" s="13" t="n">
        <f aca="false">MAX(0,F5050-I5050-J5050)</f>
        <v>0</v>
      </c>
      <c r="N5050" s="13" t="n">
        <f aca="false">IF(Kalender!A292="",0,J5049-H5050)</f>
        <v>0.00461700000000001</v>
      </c>
    </row>
    <row r="5051" customFormat="false" ht="16.4" hidden="false" customHeight="false" outlineLevel="0" collapsed="false">
      <c r="A5051" s="13" t="str">
        <f aca="false">""</f>
        <v/>
      </c>
      <c r="B5051" s="13" t="n">
        <f aca="false">289</f>
        <v>289</v>
      </c>
      <c r="C5051" s="13" t="n">
        <f aca="false">IF(Szenarien!$H$24="OK",(IFERROR(SUMIF(Nutzungsprofile!$B$6:$B$11,"Schulbetrieb",Nutzungsprofile!$G$6:$G$11)*Kalender!C293/SUM(Kalender!$C$5:$C$370),0)+IFERROR(SUMIF(Nutzungsprofile!$B$6:$B$11,"Halle",Nutzungsprofile!$G$6:$G$11)*Kalender!D293/SUM(Kalender!$D$5:$D$370),0)+IFERROR(SUMIF(Nutzungsprofile!$B$6:$B$11,"Individuell",Nutzungsprofile!$G$6:$G$11)*Kalender!E293/SUM(Kalender!$E$5:$E$370),0))*Szenarien!$E$24,0)</f>
        <v>0.9</v>
      </c>
      <c r="D5051" s="13" t="n">
        <f aca="false">IF(Szenarien!$H$24="OK",(IFERROR(SUMIF(Nutzungsprofile!$B$17:$B$22,"Schulbetrieb",Nutzungsprofile!$G$17:$G$22)*Kalender!C293/SUM(Kalender!$C$5:$C$370),0)+IFERROR(SUMIF(Nutzungsprofile!$B$17:$B$22,"Halle",Nutzungsprofile!$G$17:$G$22)*Kalender!D293/SUM(Kalender!$D$5:$D$370),0)+IFERROR(SUMIF(Nutzungsprofile!$B$17:$B$22,"Individuell",Nutzungsprofile!$G$17:$G$22)*Kalender!E293/SUM(Kalender!$E$5:$E$370),0))*Szenarien!$D$24,0)</f>
        <v>4.05</v>
      </c>
      <c r="E5051" s="13" t="n">
        <f aca="false">IFERROR(MIN(C5051,Eingaben!$B$17)*Eingaben!$B$16,0)</f>
        <v>0.855</v>
      </c>
      <c r="F5051" s="13" t="n">
        <f aca="false">IFERROR(E5051*Eingaben!$B$15,0)</f>
        <v>0.7695</v>
      </c>
      <c r="G5051" s="13" t="n">
        <f aca="false">IFERROR(IF(Kalender!A293="",0,J5050*(1-Eingaben!$B$20)),0)</f>
        <v>0.226233</v>
      </c>
      <c r="H5051" s="13" t="n">
        <f aca="false">MIN(G5051,D5051)</f>
        <v>0.226233</v>
      </c>
      <c r="I5051" s="13" t="n">
        <f aca="false">IFERROR(MIN(F5051*Eingaben!$B$19,MAX(0,D5051-H5051)),0)</f>
        <v>0.53865</v>
      </c>
      <c r="J5051" s="13" t="n">
        <f aca="false">IFERROR(MIN(Eingaben!$B$18,MAX(0,F5051-I5051)),0)</f>
        <v>0.23085</v>
      </c>
      <c r="K5051" s="13" t="n">
        <f aca="false">H5051+I5051</f>
        <v>0.764883</v>
      </c>
      <c r="L5051" s="13" t="n">
        <f aca="false">MAX(0,D5051-K5051)</f>
        <v>3.285117</v>
      </c>
      <c r="M5051" s="13" t="n">
        <f aca="false">MAX(0,F5051-I5051-J5051)</f>
        <v>0</v>
      </c>
      <c r="N5051" s="13" t="n">
        <f aca="false">IF(Kalender!A293="",0,J5050-H5051)</f>
        <v>0.00461700000000001</v>
      </c>
    </row>
    <row r="5052" customFormat="false" ht="16.4" hidden="false" customHeight="false" outlineLevel="0" collapsed="false">
      <c r="A5052" s="13" t="str">
        <f aca="false">""</f>
        <v/>
      </c>
      <c r="B5052" s="13" t="n">
        <f aca="false">290</f>
        <v>290</v>
      </c>
      <c r="C5052" s="13" t="n">
        <f aca="false">IF(Szenarien!$H$24="OK",(IFERROR(SUMIF(Nutzungsprofile!$B$6:$B$11,"Schulbetrieb",Nutzungsprofile!$G$6:$G$11)*Kalender!C294/SUM(Kalender!$C$5:$C$370),0)+IFERROR(SUMIF(Nutzungsprofile!$B$6:$B$11,"Halle",Nutzungsprofile!$G$6:$G$11)*Kalender!D294/SUM(Kalender!$D$5:$D$370),0)+IFERROR(SUMIF(Nutzungsprofile!$B$6:$B$11,"Individuell",Nutzungsprofile!$G$6:$G$11)*Kalender!E294/SUM(Kalender!$E$5:$E$370),0))*Szenarien!$E$24,0)</f>
        <v>0</v>
      </c>
      <c r="D5052" s="13" t="n">
        <f aca="false">IF(Szenarien!$H$24="OK",(IFERROR(SUMIF(Nutzungsprofile!$B$17:$B$22,"Schulbetrieb",Nutzungsprofile!$G$17:$G$22)*Kalender!C294/SUM(Kalender!$C$5:$C$370),0)+IFERROR(SUMIF(Nutzungsprofile!$B$17:$B$22,"Halle",Nutzungsprofile!$G$17:$G$22)*Kalender!D294/SUM(Kalender!$D$5:$D$370),0)+IFERROR(SUMIF(Nutzungsprofile!$B$17:$B$22,"Individuell",Nutzungsprofile!$G$17:$G$22)*Kalender!E294/SUM(Kalender!$E$5:$E$370),0))*Szenarien!$D$24,0)</f>
        <v>0</v>
      </c>
      <c r="E5052" s="13" t="n">
        <f aca="false">IFERROR(MIN(C5052,Eingaben!$B$17)*Eingaben!$B$16,0)</f>
        <v>0</v>
      </c>
      <c r="F5052" s="13" t="n">
        <f aca="false">IFERROR(E5052*Eingaben!$B$15,0)</f>
        <v>0</v>
      </c>
      <c r="G5052" s="13" t="n">
        <f aca="false">IFERROR(IF(Kalender!A294="",0,J5051*(1-Eingaben!$B$20)),0)</f>
        <v>0.226233</v>
      </c>
      <c r="H5052" s="13" t="n">
        <f aca="false">MIN(G5052,D5052)</f>
        <v>0</v>
      </c>
      <c r="I5052" s="13" t="n">
        <f aca="false">IFERROR(MIN(F5052*Eingaben!$B$19,MAX(0,D5052-H5052)),0)</f>
        <v>0</v>
      </c>
      <c r="J5052" s="13" t="n">
        <f aca="false">IFERROR(MIN(Eingaben!$B$18,MAX(0,F5052-I5052)),0)</f>
        <v>0</v>
      </c>
      <c r="K5052" s="13" t="n">
        <f aca="false">H5052+I5052</f>
        <v>0</v>
      </c>
      <c r="L5052" s="13" t="n">
        <f aca="false">MAX(0,D5052-K5052)</f>
        <v>0</v>
      </c>
      <c r="M5052" s="13" t="n">
        <f aca="false">MAX(0,F5052-I5052-J5052)</f>
        <v>0</v>
      </c>
      <c r="N5052" s="13" t="n">
        <f aca="false">IF(Kalender!A294="",0,J5051-H5052)</f>
        <v>0.23085</v>
      </c>
    </row>
    <row r="5053" customFormat="false" ht="16.4" hidden="false" customHeight="false" outlineLevel="0" collapsed="false">
      <c r="A5053" s="13" t="str">
        <f aca="false">""</f>
        <v/>
      </c>
      <c r="B5053" s="13" t="n">
        <f aca="false">291</f>
        <v>291</v>
      </c>
      <c r="C5053" s="13" t="n">
        <f aca="false">IF(Szenarien!$H$24="OK",(IFERROR(SUMIF(Nutzungsprofile!$B$6:$B$11,"Schulbetrieb",Nutzungsprofile!$G$6:$G$11)*Kalender!C295/SUM(Kalender!$C$5:$C$370),0)+IFERROR(SUMIF(Nutzungsprofile!$B$6:$B$11,"Halle",Nutzungsprofile!$G$6:$G$11)*Kalender!D295/SUM(Kalender!$D$5:$D$370),0)+IFERROR(SUMIF(Nutzungsprofile!$B$6:$B$11,"Individuell",Nutzungsprofile!$G$6:$G$11)*Kalender!E295/SUM(Kalender!$E$5:$E$370),0))*Szenarien!$E$24,0)</f>
        <v>0</v>
      </c>
      <c r="D5053" s="13" t="n">
        <f aca="false">IF(Szenarien!$H$24="OK",(IFERROR(SUMIF(Nutzungsprofile!$B$17:$B$22,"Schulbetrieb",Nutzungsprofile!$G$17:$G$22)*Kalender!C295/SUM(Kalender!$C$5:$C$370),0)+IFERROR(SUMIF(Nutzungsprofile!$B$17:$B$22,"Halle",Nutzungsprofile!$G$17:$G$22)*Kalender!D295/SUM(Kalender!$D$5:$D$370),0)+IFERROR(SUMIF(Nutzungsprofile!$B$17:$B$22,"Individuell",Nutzungsprofile!$G$17:$G$22)*Kalender!E295/SUM(Kalender!$E$5:$E$370),0))*Szenarien!$D$24,0)</f>
        <v>0</v>
      </c>
      <c r="E5053" s="13" t="n">
        <f aca="false">IFERROR(MIN(C5053,Eingaben!$B$17)*Eingaben!$B$16,0)</f>
        <v>0</v>
      </c>
      <c r="F5053" s="13" t="n">
        <f aca="false">IFERROR(E5053*Eingaben!$B$15,0)</f>
        <v>0</v>
      </c>
      <c r="G5053" s="13" t="n">
        <f aca="false">IFERROR(IF(Kalender!A295="",0,J5052*(1-Eingaben!$B$20)),0)</f>
        <v>0</v>
      </c>
      <c r="H5053" s="13" t="n">
        <f aca="false">MIN(G5053,D5053)</f>
        <v>0</v>
      </c>
      <c r="I5053" s="13" t="n">
        <f aca="false">IFERROR(MIN(F5053*Eingaben!$B$19,MAX(0,D5053-H5053)),0)</f>
        <v>0</v>
      </c>
      <c r="J5053" s="13" t="n">
        <f aca="false">IFERROR(MIN(Eingaben!$B$18,MAX(0,F5053-I5053)),0)</f>
        <v>0</v>
      </c>
      <c r="K5053" s="13" t="n">
        <f aca="false">H5053+I5053</f>
        <v>0</v>
      </c>
      <c r="L5053" s="13" t="n">
        <f aca="false">MAX(0,D5053-K5053)</f>
        <v>0</v>
      </c>
      <c r="M5053" s="13" t="n">
        <f aca="false">MAX(0,F5053-I5053-J5053)</f>
        <v>0</v>
      </c>
      <c r="N5053" s="13" t="n">
        <f aca="false">IF(Kalender!A295="",0,J5052-H5053)</f>
        <v>0</v>
      </c>
    </row>
    <row r="5054" customFormat="false" ht="16.4" hidden="false" customHeight="false" outlineLevel="0" collapsed="false">
      <c r="A5054" s="13" t="str">
        <f aca="false">""</f>
        <v/>
      </c>
      <c r="B5054" s="13" t="n">
        <f aca="false">292</f>
        <v>292</v>
      </c>
      <c r="C5054" s="13" t="n">
        <f aca="false">IF(Szenarien!$H$24="OK",(IFERROR(SUMIF(Nutzungsprofile!$B$6:$B$11,"Schulbetrieb",Nutzungsprofile!$G$6:$G$11)*Kalender!C296/SUM(Kalender!$C$5:$C$370),0)+IFERROR(SUMIF(Nutzungsprofile!$B$6:$B$11,"Halle",Nutzungsprofile!$G$6:$G$11)*Kalender!D296/SUM(Kalender!$D$5:$D$370),0)+IFERROR(SUMIF(Nutzungsprofile!$B$6:$B$11,"Individuell",Nutzungsprofile!$G$6:$G$11)*Kalender!E296/SUM(Kalender!$E$5:$E$370),0))*Szenarien!$E$24,0)</f>
        <v>0.9</v>
      </c>
      <c r="D5054" s="13" t="n">
        <f aca="false">IF(Szenarien!$H$24="OK",(IFERROR(SUMIF(Nutzungsprofile!$B$17:$B$22,"Schulbetrieb",Nutzungsprofile!$G$17:$G$22)*Kalender!C296/SUM(Kalender!$C$5:$C$370),0)+IFERROR(SUMIF(Nutzungsprofile!$B$17:$B$22,"Halle",Nutzungsprofile!$G$17:$G$22)*Kalender!D296/SUM(Kalender!$D$5:$D$370),0)+IFERROR(SUMIF(Nutzungsprofile!$B$17:$B$22,"Individuell",Nutzungsprofile!$G$17:$G$22)*Kalender!E296/SUM(Kalender!$E$5:$E$370),0))*Szenarien!$D$24,0)</f>
        <v>4.05</v>
      </c>
      <c r="E5054" s="13" t="n">
        <f aca="false">IFERROR(MIN(C5054,Eingaben!$B$17)*Eingaben!$B$16,0)</f>
        <v>0.855</v>
      </c>
      <c r="F5054" s="13" t="n">
        <f aca="false">IFERROR(E5054*Eingaben!$B$15,0)</f>
        <v>0.7695</v>
      </c>
      <c r="G5054" s="13" t="n">
        <f aca="false">IFERROR(IF(Kalender!A296="",0,J5053*(1-Eingaben!$B$20)),0)</f>
        <v>0</v>
      </c>
      <c r="H5054" s="13" t="n">
        <f aca="false">MIN(G5054,D5054)</f>
        <v>0</v>
      </c>
      <c r="I5054" s="13" t="n">
        <f aca="false">IFERROR(MIN(F5054*Eingaben!$B$19,MAX(0,D5054-H5054)),0)</f>
        <v>0.53865</v>
      </c>
      <c r="J5054" s="13" t="n">
        <f aca="false">IFERROR(MIN(Eingaben!$B$18,MAX(0,F5054-I5054)),0)</f>
        <v>0.23085</v>
      </c>
      <c r="K5054" s="13" t="n">
        <f aca="false">H5054+I5054</f>
        <v>0.53865</v>
      </c>
      <c r="L5054" s="13" t="n">
        <f aca="false">MAX(0,D5054-K5054)</f>
        <v>3.51135</v>
      </c>
      <c r="M5054" s="13" t="n">
        <f aca="false">MAX(0,F5054-I5054-J5054)</f>
        <v>0</v>
      </c>
      <c r="N5054" s="13" t="n">
        <f aca="false">IF(Kalender!A296="",0,J5053-H5054)</f>
        <v>0</v>
      </c>
    </row>
    <row r="5055" customFormat="false" ht="16.4" hidden="false" customHeight="false" outlineLevel="0" collapsed="false">
      <c r="A5055" s="13" t="str">
        <f aca="false">""</f>
        <v/>
      </c>
      <c r="B5055" s="13" t="n">
        <f aca="false">293</f>
        <v>293</v>
      </c>
      <c r="C5055" s="13" t="n">
        <f aca="false">IF(Szenarien!$H$24="OK",(IFERROR(SUMIF(Nutzungsprofile!$B$6:$B$11,"Schulbetrieb",Nutzungsprofile!$G$6:$G$11)*Kalender!C297/SUM(Kalender!$C$5:$C$370),0)+IFERROR(SUMIF(Nutzungsprofile!$B$6:$B$11,"Halle",Nutzungsprofile!$G$6:$G$11)*Kalender!D297/SUM(Kalender!$D$5:$D$370),0)+IFERROR(SUMIF(Nutzungsprofile!$B$6:$B$11,"Individuell",Nutzungsprofile!$G$6:$G$11)*Kalender!E297/SUM(Kalender!$E$5:$E$370),0))*Szenarien!$E$24,0)</f>
        <v>0.9</v>
      </c>
      <c r="D5055" s="13" t="n">
        <f aca="false">IF(Szenarien!$H$24="OK",(IFERROR(SUMIF(Nutzungsprofile!$B$17:$B$22,"Schulbetrieb",Nutzungsprofile!$G$17:$G$22)*Kalender!C297/SUM(Kalender!$C$5:$C$370),0)+IFERROR(SUMIF(Nutzungsprofile!$B$17:$B$22,"Halle",Nutzungsprofile!$G$17:$G$22)*Kalender!D297/SUM(Kalender!$D$5:$D$370),0)+IFERROR(SUMIF(Nutzungsprofile!$B$17:$B$22,"Individuell",Nutzungsprofile!$G$17:$G$22)*Kalender!E297/SUM(Kalender!$E$5:$E$370),0))*Szenarien!$D$24,0)</f>
        <v>4.05</v>
      </c>
      <c r="E5055" s="13" t="n">
        <f aca="false">IFERROR(MIN(C5055,Eingaben!$B$17)*Eingaben!$B$16,0)</f>
        <v>0.855</v>
      </c>
      <c r="F5055" s="13" t="n">
        <f aca="false">IFERROR(E5055*Eingaben!$B$15,0)</f>
        <v>0.7695</v>
      </c>
      <c r="G5055" s="13" t="n">
        <f aca="false">IFERROR(IF(Kalender!A297="",0,J5054*(1-Eingaben!$B$20)),0)</f>
        <v>0.226233</v>
      </c>
      <c r="H5055" s="13" t="n">
        <f aca="false">MIN(G5055,D5055)</f>
        <v>0.226233</v>
      </c>
      <c r="I5055" s="13" t="n">
        <f aca="false">IFERROR(MIN(F5055*Eingaben!$B$19,MAX(0,D5055-H5055)),0)</f>
        <v>0.53865</v>
      </c>
      <c r="J5055" s="13" t="n">
        <f aca="false">IFERROR(MIN(Eingaben!$B$18,MAX(0,F5055-I5055)),0)</f>
        <v>0.23085</v>
      </c>
      <c r="K5055" s="13" t="n">
        <f aca="false">H5055+I5055</f>
        <v>0.764883</v>
      </c>
      <c r="L5055" s="13" t="n">
        <f aca="false">MAX(0,D5055-K5055)</f>
        <v>3.285117</v>
      </c>
      <c r="M5055" s="13" t="n">
        <f aca="false">MAX(0,F5055-I5055-J5055)</f>
        <v>0</v>
      </c>
      <c r="N5055" s="13" t="n">
        <f aca="false">IF(Kalender!A297="",0,J5054-H5055)</f>
        <v>0.00461700000000001</v>
      </c>
    </row>
    <row r="5056" customFormat="false" ht="16.4" hidden="false" customHeight="false" outlineLevel="0" collapsed="false">
      <c r="A5056" s="13" t="str">
        <f aca="false">""</f>
        <v/>
      </c>
      <c r="B5056" s="13" t="n">
        <f aca="false">294</f>
        <v>294</v>
      </c>
      <c r="C5056" s="13" t="n">
        <f aca="false">IF(Szenarien!$H$24="OK",(IFERROR(SUMIF(Nutzungsprofile!$B$6:$B$11,"Schulbetrieb",Nutzungsprofile!$G$6:$G$11)*Kalender!C298/SUM(Kalender!$C$5:$C$370),0)+IFERROR(SUMIF(Nutzungsprofile!$B$6:$B$11,"Halle",Nutzungsprofile!$G$6:$G$11)*Kalender!D298/SUM(Kalender!$D$5:$D$370),0)+IFERROR(SUMIF(Nutzungsprofile!$B$6:$B$11,"Individuell",Nutzungsprofile!$G$6:$G$11)*Kalender!E298/SUM(Kalender!$E$5:$E$370),0))*Szenarien!$E$24,0)</f>
        <v>0.9</v>
      </c>
      <c r="D5056" s="13" t="n">
        <f aca="false">IF(Szenarien!$H$24="OK",(IFERROR(SUMIF(Nutzungsprofile!$B$17:$B$22,"Schulbetrieb",Nutzungsprofile!$G$17:$G$22)*Kalender!C298/SUM(Kalender!$C$5:$C$370),0)+IFERROR(SUMIF(Nutzungsprofile!$B$17:$B$22,"Halle",Nutzungsprofile!$G$17:$G$22)*Kalender!D298/SUM(Kalender!$D$5:$D$370),0)+IFERROR(SUMIF(Nutzungsprofile!$B$17:$B$22,"Individuell",Nutzungsprofile!$G$17:$G$22)*Kalender!E298/SUM(Kalender!$E$5:$E$370),0))*Szenarien!$D$24,0)</f>
        <v>4.05</v>
      </c>
      <c r="E5056" s="13" t="n">
        <f aca="false">IFERROR(MIN(C5056,Eingaben!$B$17)*Eingaben!$B$16,0)</f>
        <v>0.855</v>
      </c>
      <c r="F5056" s="13" t="n">
        <f aca="false">IFERROR(E5056*Eingaben!$B$15,0)</f>
        <v>0.7695</v>
      </c>
      <c r="G5056" s="13" t="n">
        <f aca="false">IFERROR(IF(Kalender!A298="",0,J5055*(1-Eingaben!$B$20)),0)</f>
        <v>0.226233</v>
      </c>
      <c r="H5056" s="13" t="n">
        <f aca="false">MIN(G5056,D5056)</f>
        <v>0.226233</v>
      </c>
      <c r="I5056" s="13" t="n">
        <f aca="false">IFERROR(MIN(F5056*Eingaben!$B$19,MAX(0,D5056-H5056)),0)</f>
        <v>0.53865</v>
      </c>
      <c r="J5056" s="13" t="n">
        <f aca="false">IFERROR(MIN(Eingaben!$B$18,MAX(0,F5056-I5056)),0)</f>
        <v>0.23085</v>
      </c>
      <c r="K5056" s="13" t="n">
        <f aca="false">H5056+I5056</f>
        <v>0.764883</v>
      </c>
      <c r="L5056" s="13" t="n">
        <f aca="false">MAX(0,D5056-K5056)</f>
        <v>3.285117</v>
      </c>
      <c r="M5056" s="13" t="n">
        <f aca="false">MAX(0,F5056-I5056-J5056)</f>
        <v>0</v>
      </c>
      <c r="N5056" s="13" t="n">
        <f aca="false">IF(Kalender!A298="",0,J5055-H5056)</f>
        <v>0.00461700000000001</v>
      </c>
    </row>
    <row r="5057" customFormat="false" ht="16.4" hidden="false" customHeight="false" outlineLevel="0" collapsed="false">
      <c r="A5057" s="13" t="str">
        <f aca="false">""</f>
        <v/>
      </c>
      <c r="B5057" s="13" t="n">
        <f aca="false">295</f>
        <v>295</v>
      </c>
      <c r="C5057" s="13" t="n">
        <f aca="false">IF(Szenarien!$H$24="OK",(IFERROR(SUMIF(Nutzungsprofile!$B$6:$B$11,"Schulbetrieb",Nutzungsprofile!$G$6:$G$11)*Kalender!C299/SUM(Kalender!$C$5:$C$370),0)+IFERROR(SUMIF(Nutzungsprofile!$B$6:$B$11,"Halle",Nutzungsprofile!$G$6:$G$11)*Kalender!D299/SUM(Kalender!$D$5:$D$370),0)+IFERROR(SUMIF(Nutzungsprofile!$B$6:$B$11,"Individuell",Nutzungsprofile!$G$6:$G$11)*Kalender!E299/SUM(Kalender!$E$5:$E$370),0))*Szenarien!$E$24,0)</f>
        <v>0.9</v>
      </c>
      <c r="D5057" s="13" t="n">
        <f aca="false">IF(Szenarien!$H$24="OK",(IFERROR(SUMIF(Nutzungsprofile!$B$17:$B$22,"Schulbetrieb",Nutzungsprofile!$G$17:$G$22)*Kalender!C299/SUM(Kalender!$C$5:$C$370),0)+IFERROR(SUMIF(Nutzungsprofile!$B$17:$B$22,"Halle",Nutzungsprofile!$G$17:$G$22)*Kalender!D299/SUM(Kalender!$D$5:$D$370),0)+IFERROR(SUMIF(Nutzungsprofile!$B$17:$B$22,"Individuell",Nutzungsprofile!$G$17:$G$22)*Kalender!E299/SUM(Kalender!$E$5:$E$370),0))*Szenarien!$D$24,0)</f>
        <v>4.05</v>
      </c>
      <c r="E5057" s="13" t="n">
        <f aca="false">IFERROR(MIN(C5057,Eingaben!$B$17)*Eingaben!$B$16,0)</f>
        <v>0.855</v>
      </c>
      <c r="F5057" s="13" t="n">
        <f aca="false">IFERROR(E5057*Eingaben!$B$15,0)</f>
        <v>0.7695</v>
      </c>
      <c r="G5057" s="13" t="n">
        <f aca="false">IFERROR(IF(Kalender!A299="",0,J5056*(1-Eingaben!$B$20)),0)</f>
        <v>0.226233</v>
      </c>
      <c r="H5057" s="13" t="n">
        <f aca="false">MIN(G5057,D5057)</f>
        <v>0.226233</v>
      </c>
      <c r="I5057" s="13" t="n">
        <f aca="false">IFERROR(MIN(F5057*Eingaben!$B$19,MAX(0,D5057-H5057)),0)</f>
        <v>0.53865</v>
      </c>
      <c r="J5057" s="13" t="n">
        <f aca="false">IFERROR(MIN(Eingaben!$B$18,MAX(0,F5057-I5057)),0)</f>
        <v>0.23085</v>
      </c>
      <c r="K5057" s="13" t="n">
        <f aca="false">H5057+I5057</f>
        <v>0.764883</v>
      </c>
      <c r="L5057" s="13" t="n">
        <f aca="false">MAX(0,D5057-K5057)</f>
        <v>3.285117</v>
      </c>
      <c r="M5057" s="13" t="n">
        <f aca="false">MAX(0,F5057-I5057-J5057)</f>
        <v>0</v>
      </c>
      <c r="N5057" s="13" t="n">
        <f aca="false">IF(Kalender!A299="",0,J5056-H5057)</f>
        <v>0.00461700000000001</v>
      </c>
    </row>
    <row r="5058" customFormat="false" ht="16.4" hidden="false" customHeight="false" outlineLevel="0" collapsed="false">
      <c r="A5058" s="13" t="str">
        <f aca="false">""</f>
        <v/>
      </c>
      <c r="B5058" s="13" t="n">
        <f aca="false">296</f>
        <v>296</v>
      </c>
      <c r="C5058" s="13" t="n">
        <f aca="false">IF(Szenarien!$H$24="OK",(IFERROR(SUMIF(Nutzungsprofile!$B$6:$B$11,"Schulbetrieb",Nutzungsprofile!$G$6:$G$11)*Kalender!C300/SUM(Kalender!$C$5:$C$370),0)+IFERROR(SUMIF(Nutzungsprofile!$B$6:$B$11,"Halle",Nutzungsprofile!$G$6:$G$11)*Kalender!D300/SUM(Kalender!$D$5:$D$370),0)+IFERROR(SUMIF(Nutzungsprofile!$B$6:$B$11,"Individuell",Nutzungsprofile!$G$6:$G$11)*Kalender!E300/SUM(Kalender!$E$5:$E$370),0))*Szenarien!$E$24,0)</f>
        <v>0.9</v>
      </c>
      <c r="D5058" s="13" t="n">
        <f aca="false">IF(Szenarien!$H$24="OK",(IFERROR(SUMIF(Nutzungsprofile!$B$17:$B$22,"Schulbetrieb",Nutzungsprofile!$G$17:$G$22)*Kalender!C300/SUM(Kalender!$C$5:$C$370),0)+IFERROR(SUMIF(Nutzungsprofile!$B$17:$B$22,"Halle",Nutzungsprofile!$G$17:$G$22)*Kalender!D300/SUM(Kalender!$D$5:$D$370),0)+IFERROR(SUMIF(Nutzungsprofile!$B$17:$B$22,"Individuell",Nutzungsprofile!$G$17:$G$22)*Kalender!E300/SUM(Kalender!$E$5:$E$370),0))*Szenarien!$D$24,0)</f>
        <v>4.05</v>
      </c>
      <c r="E5058" s="13" t="n">
        <f aca="false">IFERROR(MIN(C5058,Eingaben!$B$17)*Eingaben!$B$16,0)</f>
        <v>0.855</v>
      </c>
      <c r="F5058" s="13" t="n">
        <f aca="false">IFERROR(E5058*Eingaben!$B$15,0)</f>
        <v>0.7695</v>
      </c>
      <c r="G5058" s="13" t="n">
        <f aca="false">IFERROR(IF(Kalender!A300="",0,J5057*(1-Eingaben!$B$20)),0)</f>
        <v>0.226233</v>
      </c>
      <c r="H5058" s="13" t="n">
        <f aca="false">MIN(G5058,D5058)</f>
        <v>0.226233</v>
      </c>
      <c r="I5058" s="13" t="n">
        <f aca="false">IFERROR(MIN(F5058*Eingaben!$B$19,MAX(0,D5058-H5058)),0)</f>
        <v>0.53865</v>
      </c>
      <c r="J5058" s="13" t="n">
        <f aca="false">IFERROR(MIN(Eingaben!$B$18,MAX(0,F5058-I5058)),0)</f>
        <v>0.23085</v>
      </c>
      <c r="K5058" s="13" t="n">
        <f aca="false">H5058+I5058</f>
        <v>0.764883</v>
      </c>
      <c r="L5058" s="13" t="n">
        <f aca="false">MAX(0,D5058-K5058)</f>
        <v>3.285117</v>
      </c>
      <c r="M5058" s="13" t="n">
        <f aca="false">MAX(0,F5058-I5058-J5058)</f>
        <v>0</v>
      </c>
      <c r="N5058" s="13" t="n">
        <f aca="false">IF(Kalender!A300="",0,J5057-H5058)</f>
        <v>0.00461700000000001</v>
      </c>
    </row>
    <row r="5059" customFormat="false" ht="16.4" hidden="false" customHeight="false" outlineLevel="0" collapsed="false">
      <c r="A5059" s="13" t="str">
        <f aca="false">""</f>
        <v/>
      </c>
      <c r="B5059" s="13" t="n">
        <f aca="false">297</f>
        <v>297</v>
      </c>
      <c r="C5059" s="13" t="n">
        <f aca="false">IF(Szenarien!$H$24="OK",(IFERROR(SUMIF(Nutzungsprofile!$B$6:$B$11,"Schulbetrieb",Nutzungsprofile!$G$6:$G$11)*Kalender!C301/SUM(Kalender!$C$5:$C$370),0)+IFERROR(SUMIF(Nutzungsprofile!$B$6:$B$11,"Halle",Nutzungsprofile!$G$6:$G$11)*Kalender!D301/SUM(Kalender!$D$5:$D$370),0)+IFERROR(SUMIF(Nutzungsprofile!$B$6:$B$11,"Individuell",Nutzungsprofile!$G$6:$G$11)*Kalender!E301/SUM(Kalender!$E$5:$E$370),0))*Szenarien!$E$24,0)</f>
        <v>0</v>
      </c>
      <c r="D5059" s="13" t="n">
        <f aca="false">IF(Szenarien!$H$24="OK",(IFERROR(SUMIF(Nutzungsprofile!$B$17:$B$22,"Schulbetrieb",Nutzungsprofile!$G$17:$G$22)*Kalender!C301/SUM(Kalender!$C$5:$C$370),0)+IFERROR(SUMIF(Nutzungsprofile!$B$17:$B$22,"Halle",Nutzungsprofile!$G$17:$G$22)*Kalender!D301/SUM(Kalender!$D$5:$D$370),0)+IFERROR(SUMIF(Nutzungsprofile!$B$17:$B$22,"Individuell",Nutzungsprofile!$G$17:$G$22)*Kalender!E301/SUM(Kalender!$E$5:$E$370),0))*Szenarien!$D$24,0)</f>
        <v>0</v>
      </c>
      <c r="E5059" s="13" t="n">
        <f aca="false">IFERROR(MIN(C5059,Eingaben!$B$17)*Eingaben!$B$16,0)</f>
        <v>0</v>
      </c>
      <c r="F5059" s="13" t="n">
        <f aca="false">IFERROR(E5059*Eingaben!$B$15,0)</f>
        <v>0</v>
      </c>
      <c r="G5059" s="13" t="n">
        <f aca="false">IFERROR(IF(Kalender!A301="",0,J5058*(1-Eingaben!$B$20)),0)</f>
        <v>0.226233</v>
      </c>
      <c r="H5059" s="13" t="n">
        <f aca="false">MIN(G5059,D5059)</f>
        <v>0</v>
      </c>
      <c r="I5059" s="13" t="n">
        <f aca="false">IFERROR(MIN(F5059*Eingaben!$B$19,MAX(0,D5059-H5059)),0)</f>
        <v>0</v>
      </c>
      <c r="J5059" s="13" t="n">
        <f aca="false">IFERROR(MIN(Eingaben!$B$18,MAX(0,F5059-I5059)),0)</f>
        <v>0</v>
      </c>
      <c r="K5059" s="13" t="n">
        <f aca="false">H5059+I5059</f>
        <v>0</v>
      </c>
      <c r="L5059" s="13" t="n">
        <f aca="false">MAX(0,D5059-K5059)</f>
        <v>0</v>
      </c>
      <c r="M5059" s="13" t="n">
        <f aca="false">MAX(0,F5059-I5059-J5059)</f>
        <v>0</v>
      </c>
      <c r="N5059" s="13" t="n">
        <f aca="false">IF(Kalender!A301="",0,J5058-H5059)</f>
        <v>0.23085</v>
      </c>
    </row>
    <row r="5060" customFormat="false" ht="16.4" hidden="false" customHeight="false" outlineLevel="0" collapsed="false">
      <c r="A5060" s="13" t="str">
        <f aca="false">""</f>
        <v/>
      </c>
      <c r="B5060" s="13" t="n">
        <f aca="false">298</f>
        <v>298</v>
      </c>
      <c r="C5060" s="13" t="n">
        <f aca="false">IF(Szenarien!$H$24="OK",(IFERROR(SUMIF(Nutzungsprofile!$B$6:$B$11,"Schulbetrieb",Nutzungsprofile!$G$6:$G$11)*Kalender!C302/SUM(Kalender!$C$5:$C$370),0)+IFERROR(SUMIF(Nutzungsprofile!$B$6:$B$11,"Halle",Nutzungsprofile!$G$6:$G$11)*Kalender!D302/SUM(Kalender!$D$5:$D$370),0)+IFERROR(SUMIF(Nutzungsprofile!$B$6:$B$11,"Individuell",Nutzungsprofile!$G$6:$G$11)*Kalender!E302/SUM(Kalender!$E$5:$E$370),0))*Szenarien!$E$24,0)</f>
        <v>0</v>
      </c>
      <c r="D5060" s="13" t="n">
        <f aca="false">IF(Szenarien!$H$24="OK",(IFERROR(SUMIF(Nutzungsprofile!$B$17:$B$22,"Schulbetrieb",Nutzungsprofile!$G$17:$G$22)*Kalender!C302/SUM(Kalender!$C$5:$C$370),0)+IFERROR(SUMIF(Nutzungsprofile!$B$17:$B$22,"Halle",Nutzungsprofile!$G$17:$G$22)*Kalender!D302/SUM(Kalender!$D$5:$D$370),0)+IFERROR(SUMIF(Nutzungsprofile!$B$17:$B$22,"Individuell",Nutzungsprofile!$G$17:$G$22)*Kalender!E302/SUM(Kalender!$E$5:$E$370),0))*Szenarien!$D$24,0)</f>
        <v>0</v>
      </c>
      <c r="E5060" s="13" t="n">
        <f aca="false">IFERROR(MIN(C5060,Eingaben!$B$17)*Eingaben!$B$16,0)</f>
        <v>0</v>
      </c>
      <c r="F5060" s="13" t="n">
        <f aca="false">IFERROR(E5060*Eingaben!$B$15,0)</f>
        <v>0</v>
      </c>
      <c r="G5060" s="13" t="n">
        <f aca="false">IFERROR(IF(Kalender!A302="",0,J5059*(1-Eingaben!$B$20)),0)</f>
        <v>0</v>
      </c>
      <c r="H5060" s="13" t="n">
        <f aca="false">MIN(G5060,D5060)</f>
        <v>0</v>
      </c>
      <c r="I5060" s="13" t="n">
        <f aca="false">IFERROR(MIN(F5060*Eingaben!$B$19,MAX(0,D5060-H5060)),0)</f>
        <v>0</v>
      </c>
      <c r="J5060" s="13" t="n">
        <f aca="false">IFERROR(MIN(Eingaben!$B$18,MAX(0,F5060-I5060)),0)</f>
        <v>0</v>
      </c>
      <c r="K5060" s="13" t="n">
        <f aca="false">H5060+I5060</f>
        <v>0</v>
      </c>
      <c r="L5060" s="13" t="n">
        <f aca="false">MAX(0,D5060-K5060)</f>
        <v>0</v>
      </c>
      <c r="M5060" s="13" t="n">
        <f aca="false">MAX(0,F5060-I5060-J5060)</f>
        <v>0</v>
      </c>
      <c r="N5060" s="13" t="n">
        <f aca="false">IF(Kalender!A302="",0,J5059-H5060)</f>
        <v>0</v>
      </c>
    </row>
    <row r="5061" customFormat="false" ht="16.4" hidden="false" customHeight="false" outlineLevel="0" collapsed="false">
      <c r="A5061" s="13" t="str">
        <f aca="false">""</f>
        <v/>
      </c>
      <c r="B5061" s="13" t="n">
        <f aca="false">299</f>
        <v>299</v>
      </c>
      <c r="C5061" s="13" t="n">
        <f aca="false">IF(Szenarien!$H$24="OK",(IFERROR(SUMIF(Nutzungsprofile!$B$6:$B$11,"Schulbetrieb",Nutzungsprofile!$G$6:$G$11)*Kalender!C303/SUM(Kalender!$C$5:$C$370),0)+IFERROR(SUMIF(Nutzungsprofile!$B$6:$B$11,"Halle",Nutzungsprofile!$G$6:$G$11)*Kalender!D303/SUM(Kalender!$D$5:$D$370),0)+IFERROR(SUMIF(Nutzungsprofile!$B$6:$B$11,"Individuell",Nutzungsprofile!$G$6:$G$11)*Kalender!E303/SUM(Kalender!$E$5:$E$370),0))*Szenarien!$E$24,0)</f>
        <v>0.9</v>
      </c>
      <c r="D5061" s="13" t="n">
        <f aca="false">IF(Szenarien!$H$24="OK",(IFERROR(SUMIF(Nutzungsprofile!$B$17:$B$22,"Schulbetrieb",Nutzungsprofile!$G$17:$G$22)*Kalender!C303/SUM(Kalender!$C$5:$C$370),0)+IFERROR(SUMIF(Nutzungsprofile!$B$17:$B$22,"Halle",Nutzungsprofile!$G$17:$G$22)*Kalender!D303/SUM(Kalender!$D$5:$D$370),0)+IFERROR(SUMIF(Nutzungsprofile!$B$17:$B$22,"Individuell",Nutzungsprofile!$G$17:$G$22)*Kalender!E303/SUM(Kalender!$E$5:$E$370),0))*Szenarien!$D$24,0)</f>
        <v>4.05</v>
      </c>
      <c r="E5061" s="13" t="n">
        <f aca="false">IFERROR(MIN(C5061,Eingaben!$B$17)*Eingaben!$B$16,0)</f>
        <v>0.855</v>
      </c>
      <c r="F5061" s="13" t="n">
        <f aca="false">IFERROR(E5061*Eingaben!$B$15,0)</f>
        <v>0.7695</v>
      </c>
      <c r="G5061" s="13" t="n">
        <f aca="false">IFERROR(IF(Kalender!A303="",0,J5060*(1-Eingaben!$B$20)),0)</f>
        <v>0</v>
      </c>
      <c r="H5061" s="13" t="n">
        <f aca="false">MIN(G5061,D5061)</f>
        <v>0</v>
      </c>
      <c r="I5061" s="13" t="n">
        <f aca="false">IFERROR(MIN(F5061*Eingaben!$B$19,MAX(0,D5061-H5061)),0)</f>
        <v>0.53865</v>
      </c>
      <c r="J5061" s="13" t="n">
        <f aca="false">IFERROR(MIN(Eingaben!$B$18,MAX(0,F5061-I5061)),0)</f>
        <v>0.23085</v>
      </c>
      <c r="K5061" s="13" t="n">
        <f aca="false">H5061+I5061</f>
        <v>0.53865</v>
      </c>
      <c r="L5061" s="13" t="n">
        <f aca="false">MAX(0,D5061-K5061)</f>
        <v>3.51135</v>
      </c>
      <c r="M5061" s="13" t="n">
        <f aca="false">MAX(0,F5061-I5061-J5061)</f>
        <v>0</v>
      </c>
      <c r="N5061" s="13" t="n">
        <f aca="false">IF(Kalender!A303="",0,J5060-H5061)</f>
        <v>0</v>
      </c>
    </row>
    <row r="5062" customFormat="false" ht="16.4" hidden="false" customHeight="false" outlineLevel="0" collapsed="false">
      <c r="A5062" s="13" t="str">
        <f aca="false">""</f>
        <v/>
      </c>
      <c r="B5062" s="13" t="n">
        <f aca="false">300</f>
        <v>300</v>
      </c>
      <c r="C5062" s="13" t="n">
        <f aca="false">IF(Szenarien!$H$24="OK",(IFERROR(SUMIF(Nutzungsprofile!$B$6:$B$11,"Schulbetrieb",Nutzungsprofile!$G$6:$G$11)*Kalender!C304/SUM(Kalender!$C$5:$C$370),0)+IFERROR(SUMIF(Nutzungsprofile!$B$6:$B$11,"Halle",Nutzungsprofile!$G$6:$G$11)*Kalender!D304/SUM(Kalender!$D$5:$D$370),0)+IFERROR(SUMIF(Nutzungsprofile!$B$6:$B$11,"Individuell",Nutzungsprofile!$G$6:$G$11)*Kalender!E304/SUM(Kalender!$E$5:$E$370),0))*Szenarien!$E$24,0)</f>
        <v>0.9</v>
      </c>
      <c r="D5062" s="13" t="n">
        <f aca="false">IF(Szenarien!$H$24="OK",(IFERROR(SUMIF(Nutzungsprofile!$B$17:$B$22,"Schulbetrieb",Nutzungsprofile!$G$17:$G$22)*Kalender!C304/SUM(Kalender!$C$5:$C$370),0)+IFERROR(SUMIF(Nutzungsprofile!$B$17:$B$22,"Halle",Nutzungsprofile!$G$17:$G$22)*Kalender!D304/SUM(Kalender!$D$5:$D$370),0)+IFERROR(SUMIF(Nutzungsprofile!$B$17:$B$22,"Individuell",Nutzungsprofile!$G$17:$G$22)*Kalender!E304/SUM(Kalender!$E$5:$E$370),0))*Szenarien!$D$24,0)</f>
        <v>4.05</v>
      </c>
      <c r="E5062" s="13" t="n">
        <f aca="false">IFERROR(MIN(C5062,Eingaben!$B$17)*Eingaben!$B$16,0)</f>
        <v>0.855</v>
      </c>
      <c r="F5062" s="13" t="n">
        <f aca="false">IFERROR(E5062*Eingaben!$B$15,0)</f>
        <v>0.7695</v>
      </c>
      <c r="G5062" s="13" t="n">
        <f aca="false">IFERROR(IF(Kalender!A304="",0,J5061*(1-Eingaben!$B$20)),0)</f>
        <v>0.226233</v>
      </c>
      <c r="H5062" s="13" t="n">
        <f aca="false">MIN(G5062,D5062)</f>
        <v>0.226233</v>
      </c>
      <c r="I5062" s="13" t="n">
        <f aca="false">IFERROR(MIN(F5062*Eingaben!$B$19,MAX(0,D5062-H5062)),0)</f>
        <v>0.53865</v>
      </c>
      <c r="J5062" s="13" t="n">
        <f aca="false">IFERROR(MIN(Eingaben!$B$18,MAX(0,F5062-I5062)),0)</f>
        <v>0.23085</v>
      </c>
      <c r="K5062" s="13" t="n">
        <f aca="false">H5062+I5062</f>
        <v>0.764883</v>
      </c>
      <c r="L5062" s="13" t="n">
        <f aca="false">MAX(0,D5062-K5062)</f>
        <v>3.285117</v>
      </c>
      <c r="M5062" s="13" t="n">
        <f aca="false">MAX(0,F5062-I5062-J5062)</f>
        <v>0</v>
      </c>
      <c r="N5062" s="13" t="n">
        <f aca="false">IF(Kalender!A304="",0,J5061-H5062)</f>
        <v>0.00461700000000001</v>
      </c>
    </row>
    <row r="5063" customFormat="false" ht="16.4" hidden="false" customHeight="false" outlineLevel="0" collapsed="false">
      <c r="A5063" s="13" t="str">
        <f aca="false">""</f>
        <v/>
      </c>
      <c r="B5063" s="13" t="n">
        <f aca="false">301</f>
        <v>301</v>
      </c>
      <c r="C5063" s="13" t="n">
        <f aca="false">IF(Szenarien!$H$24="OK",(IFERROR(SUMIF(Nutzungsprofile!$B$6:$B$11,"Schulbetrieb",Nutzungsprofile!$G$6:$G$11)*Kalender!C305/SUM(Kalender!$C$5:$C$370),0)+IFERROR(SUMIF(Nutzungsprofile!$B$6:$B$11,"Halle",Nutzungsprofile!$G$6:$G$11)*Kalender!D305/SUM(Kalender!$D$5:$D$370),0)+IFERROR(SUMIF(Nutzungsprofile!$B$6:$B$11,"Individuell",Nutzungsprofile!$G$6:$G$11)*Kalender!E305/SUM(Kalender!$E$5:$E$370),0))*Szenarien!$E$24,0)</f>
        <v>0.9</v>
      </c>
      <c r="D5063" s="13" t="n">
        <f aca="false">IF(Szenarien!$H$24="OK",(IFERROR(SUMIF(Nutzungsprofile!$B$17:$B$22,"Schulbetrieb",Nutzungsprofile!$G$17:$G$22)*Kalender!C305/SUM(Kalender!$C$5:$C$370),0)+IFERROR(SUMIF(Nutzungsprofile!$B$17:$B$22,"Halle",Nutzungsprofile!$G$17:$G$22)*Kalender!D305/SUM(Kalender!$D$5:$D$370),0)+IFERROR(SUMIF(Nutzungsprofile!$B$17:$B$22,"Individuell",Nutzungsprofile!$G$17:$G$22)*Kalender!E305/SUM(Kalender!$E$5:$E$370),0))*Szenarien!$D$24,0)</f>
        <v>4.05</v>
      </c>
      <c r="E5063" s="13" t="n">
        <f aca="false">IFERROR(MIN(C5063,Eingaben!$B$17)*Eingaben!$B$16,0)</f>
        <v>0.855</v>
      </c>
      <c r="F5063" s="13" t="n">
        <f aca="false">IFERROR(E5063*Eingaben!$B$15,0)</f>
        <v>0.7695</v>
      </c>
      <c r="G5063" s="13" t="n">
        <f aca="false">IFERROR(IF(Kalender!A305="",0,J5062*(1-Eingaben!$B$20)),0)</f>
        <v>0.226233</v>
      </c>
      <c r="H5063" s="13" t="n">
        <f aca="false">MIN(G5063,D5063)</f>
        <v>0.226233</v>
      </c>
      <c r="I5063" s="13" t="n">
        <f aca="false">IFERROR(MIN(F5063*Eingaben!$B$19,MAX(0,D5063-H5063)),0)</f>
        <v>0.53865</v>
      </c>
      <c r="J5063" s="13" t="n">
        <f aca="false">IFERROR(MIN(Eingaben!$B$18,MAX(0,F5063-I5063)),0)</f>
        <v>0.23085</v>
      </c>
      <c r="K5063" s="13" t="n">
        <f aca="false">H5063+I5063</f>
        <v>0.764883</v>
      </c>
      <c r="L5063" s="13" t="n">
        <f aca="false">MAX(0,D5063-K5063)</f>
        <v>3.285117</v>
      </c>
      <c r="M5063" s="13" t="n">
        <f aca="false">MAX(0,F5063-I5063-J5063)</f>
        <v>0</v>
      </c>
      <c r="N5063" s="13" t="n">
        <f aca="false">IF(Kalender!A305="",0,J5062-H5063)</f>
        <v>0.00461700000000001</v>
      </c>
    </row>
    <row r="5064" customFormat="false" ht="16.4" hidden="false" customHeight="false" outlineLevel="0" collapsed="false">
      <c r="A5064" s="13" t="str">
        <f aca="false">""</f>
        <v/>
      </c>
      <c r="B5064" s="13" t="n">
        <f aca="false">302</f>
        <v>302</v>
      </c>
      <c r="C5064" s="13" t="n">
        <f aca="false">IF(Szenarien!$H$24="OK",(IFERROR(SUMIF(Nutzungsprofile!$B$6:$B$11,"Schulbetrieb",Nutzungsprofile!$G$6:$G$11)*Kalender!C306/SUM(Kalender!$C$5:$C$370),0)+IFERROR(SUMIF(Nutzungsprofile!$B$6:$B$11,"Halle",Nutzungsprofile!$G$6:$G$11)*Kalender!D306/SUM(Kalender!$D$5:$D$370),0)+IFERROR(SUMIF(Nutzungsprofile!$B$6:$B$11,"Individuell",Nutzungsprofile!$G$6:$G$11)*Kalender!E306/SUM(Kalender!$E$5:$E$370),0))*Szenarien!$E$24,0)</f>
        <v>0.9</v>
      </c>
      <c r="D5064" s="13" t="n">
        <f aca="false">IF(Szenarien!$H$24="OK",(IFERROR(SUMIF(Nutzungsprofile!$B$17:$B$22,"Schulbetrieb",Nutzungsprofile!$G$17:$G$22)*Kalender!C306/SUM(Kalender!$C$5:$C$370),0)+IFERROR(SUMIF(Nutzungsprofile!$B$17:$B$22,"Halle",Nutzungsprofile!$G$17:$G$22)*Kalender!D306/SUM(Kalender!$D$5:$D$370),0)+IFERROR(SUMIF(Nutzungsprofile!$B$17:$B$22,"Individuell",Nutzungsprofile!$G$17:$G$22)*Kalender!E306/SUM(Kalender!$E$5:$E$370),0))*Szenarien!$D$24,0)</f>
        <v>4.05</v>
      </c>
      <c r="E5064" s="13" t="n">
        <f aca="false">IFERROR(MIN(C5064,Eingaben!$B$17)*Eingaben!$B$16,0)</f>
        <v>0.855</v>
      </c>
      <c r="F5064" s="13" t="n">
        <f aca="false">IFERROR(E5064*Eingaben!$B$15,0)</f>
        <v>0.7695</v>
      </c>
      <c r="G5064" s="13" t="n">
        <f aca="false">IFERROR(IF(Kalender!A306="",0,J5063*(1-Eingaben!$B$20)),0)</f>
        <v>0.226233</v>
      </c>
      <c r="H5064" s="13" t="n">
        <f aca="false">MIN(G5064,D5064)</f>
        <v>0.226233</v>
      </c>
      <c r="I5064" s="13" t="n">
        <f aca="false">IFERROR(MIN(F5064*Eingaben!$B$19,MAX(0,D5064-H5064)),0)</f>
        <v>0.53865</v>
      </c>
      <c r="J5064" s="13" t="n">
        <f aca="false">IFERROR(MIN(Eingaben!$B$18,MAX(0,F5064-I5064)),0)</f>
        <v>0.23085</v>
      </c>
      <c r="K5064" s="13" t="n">
        <f aca="false">H5064+I5064</f>
        <v>0.764883</v>
      </c>
      <c r="L5064" s="13" t="n">
        <f aca="false">MAX(0,D5064-K5064)</f>
        <v>3.285117</v>
      </c>
      <c r="M5064" s="13" t="n">
        <f aca="false">MAX(0,F5064-I5064-J5064)</f>
        <v>0</v>
      </c>
      <c r="N5064" s="13" t="n">
        <f aca="false">IF(Kalender!A306="",0,J5063-H5064)</f>
        <v>0.00461700000000001</v>
      </c>
    </row>
    <row r="5065" customFormat="false" ht="16.4" hidden="false" customHeight="false" outlineLevel="0" collapsed="false">
      <c r="A5065" s="13" t="str">
        <f aca="false">""</f>
        <v/>
      </c>
      <c r="B5065" s="13" t="n">
        <f aca="false">303</f>
        <v>303</v>
      </c>
      <c r="C5065" s="13" t="n">
        <f aca="false">IF(Szenarien!$H$24="OK",(IFERROR(SUMIF(Nutzungsprofile!$B$6:$B$11,"Schulbetrieb",Nutzungsprofile!$G$6:$G$11)*Kalender!C307/SUM(Kalender!$C$5:$C$370),0)+IFERROR(SUMIF(Nutzungsprofile!$B$6:$B$11,"Halle",Nutzungsprofile!$G$6:$G$11)*Kalender!D307/SUM(Kalender!$D$5:$D$370),0)+IFERROR(SUMIF(Nutzungsprofile!$B$6:$B$11,"Individuell",Nutzungsprofile!$G$6:$G$11)*Kalender!E307/SUM(Kalender!$E$5:$E$370),0))*Szenarien!$E$24,0)</f>
        <v>0.9</v>
      </c>
      <c r="D5065" s="13" t="n">
        <f aca="false">IF(Szenarien!$H$24="OK",(IFERROR(SUMIF(Nutzungsprofile!$B$17:$B$22,"Schulbetrieb",Nutzungsprofile!$G$17:$G$22)*Kalender!C307/SUM(Kalender!$C$5:$C$370),0)+IFERROR(SUMIF(Nutzungsprofile!$B$17:$B$22,"Halle",Nutzungsprofile!$G$17:$G$22)*Kalender!D307/SUM(Kalender!$D$5:$D$370),0)+IFERROR(SUMIF(Nutzungsprofile!$B$17:$B$22,"Individuell",Nutzungsprofile!$G$17:$G$22)*Kalender!E307/SUM(Kalender!$E$5:$E$370),0))*Szenarien!$D$24,0)</f>
        <v>4.05</v>
      </c>
      <c r="E5065" s="13" t="n">
        <f aca="false">IFERROR(MIN(C5065,Eingaben!$B$17)*Eingaben!$B$16,0)</f>
        <v>0.855</v>
      </c>
      <c r="F5065" s="13" t="n">
        <f aca="false">IFERROR(E5065*Eingaben!$B$15,0)</f>
        <v>0.7695</v>
      </c>
      <c r="G5065" s="13" t="n">
        <f aca="false">IFERROR(IF(Kalender!A307="",0,J5064*(1-Eingaben!$B$20)),0)</f>
        <v>0.226233</v>
      </c>
      <c r="H5065" s="13" t="n">
        <f aca="false">MIN(G5065,D5065)</f>
        <v>0.226233</v>
      </c>
      <c r="I5065" s="13" t="n">
        <f aca="false">IFERROR(MIN(F5065*Eingaben!$B$19,MAX(0,D5065-H5065)),0)</f>
        <v>0.53865</v>
      </c>
      <c r="J5065" s="13" t="n">
        <f aca="false">IFERROR(MIN(Eingaben!$B$18,MAX(0,F5065-I5065)),0)</f>
        <v>0.23085</v>
      </c>
      <c r="K5065" s="13" t="n">
        <f aca="false">H5065+I5065</f>
        <v>0.764883</v>
      </c>
      <c r="L5065" s="13" t="n">
        <f aca="false">MAX(0,D5065-K5065)</f>
        <v>3.285117</v>
      </c>
      <c r="M5065" s="13" t="n">
        <f aca="false">MAX(0,F5065-I5065-J5065)</f>
        <v>0</v>
      </c>
      <c r="N5065" s="13" t="n">
        <f aca="false">IF(Kalender!A307="",0,J5064-H5065)</f>
        <v>0.00461700000000001</v>
      </c>
    </row>
    <row r="5066" customFormat="false" ht="16.4" hidden="false" customHeight="false" outlineLevel="0" collapsed="false">
      <c r="A5066" s="13" t="str">
        <f aca="false">""</f>
        <v/>
      </c>
      <c r="B5066" s="13" t="n">
        <f aca="false">304</f>
        <v>304</v>
      </c>
      <c r="C5066" s="13" t="n">
        <f aca="false">IF(Szenarien!$H$24="OK",(IFERROR(SUMIF(Nutzungsprofile!$B$6:$B$11,"Schulbetrieb",Nutzungsprofile!$G$6:$G$11)*Kalender!C308/SUM(Kalender!$C$5:$C$370),0)+IFERROR(SUMIF(Nutzungsprofile!$B$6:$B$11,"Halle",Nutzungsprofile!$G$6:$G$11)*Kalender!D308/SUM(Kalender!$D$5:$D$370),0)+IFERROR(SUMIF(Nutzungsprofile!$B$6:$B$11,"Individuell",Nutzungsprofile!$G$6:$G$11)*Kalender!E308/SUM(Kalender!$E$5:$E$370),0))*Szenarien!$E$24,0)</f>
        <v>0</v>
      </c>
      <c r="D5066" s="13" t="n">
        <f aca="false">IF(Szenarien!$H$24="OK",(IFERROR(SUMIF(Nutzungsprofile!$B$17:$B$22,"Schulbetrieb",Nutzungsprofile!$G$17:$G$22)*Kalender!C308/SUM(Kalender!$C$5:$C$370),0)+IFERROR(SUMIF(Nutzungsprofile!$B$17:$B$22,"Halle",Nutzungsprofile!$G$17:$G$22)*Kalender!D308/SUM(Kalender!$D$5:$D$370),0)+IFERROR(SUMIF(Nutzungsprofile!$B$17:$B$22,"Individuell",Nutzungsprofile!$G$17:$G$22)*Kalender!E308/SUM(Kalender!$E$5:$E$370),0))*Szenarien!$D$24,0)</f>
        <v>0</v>
      </c>
      <c r="E5066" s="13" t="n">
        <f aca="false">IFERROR(MIN(C5066,Eingaben!$B$17)*Eingaben!$B$16,0)</f>
        <v>0</v>
      </c>
      <c r="F5066" s="13" t="n">
        <f aca="false">IFERROR(E5066*Eingaben!$B$15,0)</f>
        <v>0</v>
      </c>
      <c r="G5066" s="13" t="n">
        <f aca="false">IFERROR(IF(Kalender!A308="",0,J5065*(1-Eingaben!$B$20)),0)</f>
        <v>0.226233</v>
      </c>
      <c r="H5066" s="13" t="n">
        <f aca="false">MIN(G5066,D5066)</f>
        <v>0</v>
      </c>
      <c r="I5066" s="13" t="n">
        <f aca="false">IFERROR(MIN(F5066*Eingaben!$B$19,MAX(0,D5066-H5066)),0)</f>
        <v>0</v>
      </c>
      <c r="J5066" s="13" t="n">
        <f aca="false">IFERROR(MIN(Eingaben!$B$18,MAX(0,F5066-I5066)),0)</f>
        <v>0</v>
      </c>
      <c r="K5066" s="13" t="n">
        <f aca="false">H5066+I5066</f>
        <v>0</v>
      </c>
      <c r="L5066" s="13" t="n">
        <f aca="false">MAX(0,D5066-K5066)</f>
        <v>0</v>
      </c>
      <c r="M5066" s="13" t="n">
        <f aca="false">MAX(0,F5066-I5066-J5066)</f>
        <v>0</v>
      </c>
      <c r="N5066" s="13" t="n">
        <f aca="false">IF(Kalender!A308="",0,J5065-H5066)</f>
        <v>0.23085</v>
      </c>
    </row>
    <row r="5067" customFormat="false" ht="16.4" hidden="false" customHeight="false" outlineLevel="0" collapsed="false">
      <c r="A5067" s="13" t="str">
        <f aca="false">""</f>
        <v/>
      </c>
      <c r="B5067" s="13" t="n">
        <f aca="false">305</f>
        <v>305</v>
      </c>
      <c r="C5067" s="13" t="n">
        <f aca="false">IF(Szenarien!$H$24="OK",(IFERROR(SUMIF(Nutzungsprofile!$B$6:$B$11,"Schulbetrieb",Nutzungsprofile!$G$6:$G$11)*Kalender!C309/SUM(Kalender!$C$5:$C$370),0)+IFERROR(SUMIF(Nutzungsprofile!$B$6:$B$11,"Halle",Nutzungsprofile!$G$6:$G$11)*Kalender!D309/SUM(Kalender!$D$5:$D$370),0)+IFERROR(SUMIF(Nutzungsprofile!$B$6:$B$11,"Individuell",Nutzungsprofile!$G$6:$G$11)*Kalender!E309/SUM(Kalender!$E$5:$E$370),0))*Szenarien!$E$24,0)</f>
        <v>0</v>
      </c>
      <c r="D5067" s="13" t="n">
        <f aca="false">IF(Szenarien!$H$24="OK",(IFERROR(SUMIF(Nutzungsprofile!$B$17:$B$22,"Schulbetrieb",Nutzungsprofile!$G$17:$G$22)*Kalender!C309/SUM(Kalender!$C$5:$C$370),0)+IFERROR(SUMIF(Nutzungsprofile!$B$17:$B$22,"Halle",Nutzungsprofile!$G$17:$G$22)*Kalender!D309/SUM(Kalender!$D$5:$D$370),0)+IFERROR(SUMIF(Nutzungsprofile!$B$17:$B$22,"Individuell",Nutzungsprofile!$G$17:$G$22)*Kalender!E309/SUM(Kalender!$E$5:$E$370),0))*Szenarien!$D$24,0)</f>
        <v>0</v>
      </c>
      <c r="E5067" s="13" t="n">
        <f aca="false">IFERROR(MIN(C5067,Eingaben!$B$17)*Eingaben!$B$16,0)</f>
        <v>0</v>
      </c>
      <c r="F5067" s="13" t="n">
        <f aca="false">IFERROR(E5067*Eingaben!$B$15,0)</f>
        <v>0</v>
      </c>
      <c r="G5067" s="13" t="n">
        <f aca="false">IFERROR(IF(Kalender!A309="",0,J5066*(1-Eingaben!$B$20)),0)</f>
        <v>0</v>
      </c>
      <c r="H5067" s="13" t="n">
        <f aca="false">MIN(G5067,D5067)</f>
        <v>0</v>
      </c>
      <c r="I5067" s="13" t="n">
        <f aca="false">IFERROR(MIN(F5067*Eingaben!$B$19,MAX(0,D5067-H5067)),0)</f>
        <v>0</v>
      </c>
      <c r="J5067" s="13" t="n">
        <f aca="false">IFERROR(MIN(Eingaben!$B$18,MAX(0,F5067-I5067)),0)</f>
        <v>0</v>
      </c>
      <c r="K5067" s="13" t="n">
        <f aca="false">H5067+I5067</f>
        <v>0</v>
      </c>
      <c r="L5067" s="13" t="n">
        <f aca="false">MAX(0,D5067-K5067)</f>
        <v>0</v>
      </c>
      <c r="M5067" s="13" t="n">
        <f aca="false">MAX(0,F5067-I5067-J5067)</f>
        <v>0</v>
      </c>
      <c r="N5067" s="13" t="n">
        <f aca="false">IF(Kalender!A309="",0,J5066-H5067)</f>
        <v>0</v>
      </c>
    </row>
    <row r="5068" customFormat="false" ht="16.4" hidden="false" customHeight="false" outlineLevel="0" collapsed="false">
      <c r="A5068" s="13" t="str">
        <f aca="false">""</f>
        <v/>
      </c>
      <c r="B5068" s="13" t="n">
        <f aca="false">306</f>
        <v>306</v>
      </c>
      <c r="C5068" s="13" t="n">
        <f aca="false">IF(Szenarien!$H$24="OK",(IFERROR(SUMIF(Nutzungsprofile!$B$6:$B$11,"Schulbetrieb",Nutzungsprofile!$G$6:$G$11)*Kalender!C310/SUM(Kalender!$C$5:$C$370),0)+IFERROR(SUMIF(Nutzungsprofile!$B$6:$B$11,"Halle",Nutzungsprofile!$G$6:$G$11)*Kalender!D310/SUM(Kalender!$D$5:$D$370),0)+IFERROR(SUMIF(Nutzungsprofile!$B$6:$B$11,"Individuell",Nutzungsprofile!$G$6:$G$11)*Kalender!E310/SUM(Kalender!$E$5:$E$370),0))*Szenarien!$E$24,0)</f>
        <v>0.9</v>
      </c>
      <c r="D5068" s="13" t="n">
        <f aca="false">IF(Szenarien!$H$24="OK",(IFERROR(SUMIF(Nutzungsprofile!$B$17:$B$22,"Schulbetrieb",Nutzungsprofile!$G$17:$G$22)*Kalender!C310/SUM(Kalender!$C$5:$C$370),0)+IFERROR(SUMIF(Nutzungsprofile!$B$17:$B$22,"Halle",Nutzungsprofile!$G$17:$G$22)*Kalender!D310/SUM(Kalender!$D$5:$D$370),0)+IFERROR(SUMIF(Nutzungsprofile!$B$17:$B$22,"Individuell",Nutzungsprofile!$G$17:$G$22)*Kalender!E310/SUM(Kalender!$E$5:$E$370),0))*Szenarien!$D$24,0)</f>
        <v>4.05</v>
      </c>
      <c r="E5068" s="13" t="n">
        <f aca="false">IFERROR(MIN(C5068,Eingaben!$B$17)*Eingaben!$B$16,0)</f>
        <v>0.855</v>
      </c>
      <c r="F5068" s="13" t="n">
        <f aca="false">IFERROR(E5068*Eingaben!$B$15,0)</f>
        <v>0.7695</v>
      </c>
      <c r="G5068" s="13" t="n">
        <f aca="false">IFERROR(IF(Kalender!A310="",0,J5067*(1-Eingaben!$B$20)),0)</f>
        <v>0</v>
      </c>
      <c r="H5068" s="13" t="n">
        <f aca="false">MIN(G5068,D5068)</f>
        <v>0</v>
      </c>
      <c r="I5068" s="13" t="n">
        <f aca="false">IFERROR(MIN(F5068*Eingaben!$B$19,MAX(0,D5068-H5068)),0)</f>
        <v>0.53865</v>
      </c>
      <c r="J5068" s="13" t="n">
        <f aca="false">IFERROR(MIN(Eingaben!$B$18,MAX(0,F5068-I5068)),0)</f>
        <v>0.23085</v>
      </c>
      <c r="K5068" s="13" t="n">
        <f aca="false">H5068+I5068</f>
        <v>0.53865</v>
      </c>
      <c r="L5068" s="13" t="n">
        <f aca="false">MAX(0,D5068-K5068)</f>
        <v>3.51135</v>
      </c>
      <c r="M5068" s="13" t="n">
        <f aca="false">MAX(0,F5068-I5068-J5068)</f>
        <v>0</v>
      </c>
      <c r="N5068" s="13" t="n">
        <f aca="false">IF(Kalender!A310="",0,J5067-H5068)</f>
        <v>0</v>
      </c>
    </row>
    <row r="5069" customFormat="false" ht="16.4" hidden="false" customHeight="false" outlineLevel="0" collapsed="false">
      <c r="A5069" s="13" t="str">
        <f aca="false">""</f>
        <v/>
      </c>
      <c r="B5069" s="13" t="n">
        <f aca="false">307</f>
        <v>307</v>
      </c>
      <c r="C5069" s="13" t="n">
        <f aca="false">IF(Szenarien!$H$24="OK",(IFERROR(SUMIF(Nutzungsprofile!$B$6:$B$11,"Schulbetrieb",Nutzungsprofile!$G$6:$G$11)*Kalender!C311/SUM(Kalender!$C$5:$C$370),0)+IFERROR(SUMIF(Nutzungsprofile!$B$6:$B$11,"Halle",Nutzungsprofile!$G$6:$G$11)*Kalender!D311/SUM(Kalender!$D$5:$D$370),0)+IFERROR(SUMIF(Nutzungsprofile!$B$6:$B$11,"Individuell",Nutzungsprofile!$G$6:$G$11)*Kalender!E311/SUM(Kalender!$E$5:$E$370),0))*Szenarien!$E$24,0)</f>
        <v>0.9</v>
      </c>
      <c r="D5069" s="13" t="n">
        <f aca="false">IF(Szenarien!$H$24="OK",(IFERROR(SUMIF(Nutzungsprofile!$B$17:$B$22,"Schulbetrieb",Nutzungsprofile!$G$17:$G$22)*Kalender!C311/SUM(Kalender!$C$5:$C$370),0)+IFERROR(SUMIF(Nutzungsprofile!$B$17:$B$22,"Halle",Nutzungsprofile!$G$17:$G$22)*Kalender!D311/SUM(Kalender!$D$5:$D$370),0)+IFERROR(SUMIF(Nutzungsprofile!$B$17:$B$22,"Individuell",Nutzungsprofile!$G$17:$G$22)*Kalender!E311/SUM(Kalender!$E$5:$E$370),0))*Szenarien!$D$24,0)</f>
        <v>4.05</v>
      </c>
      <c r="E5069" s="13" t="n">
        <f aca="false">IFERROR(MIN(C5069,Eingaben!$B$17)*Eingaben!$B$16,0)</f>
        <v>0.855</v>
      </c>
      <c r="F5069" s="13" t="n">
        <f aca="false">IFERROR(E5069*Eingaben!$B$15,0)</f>
        <v>0.7695</v>
      </c>
      <c r="G5069" s="13" t="n">
        <f aca="false">IFERROR(IF(Kalender!A311="",0,J5068*(1-Eingaben!$B$20)),0)</f>
        <v>0.226233</v>
      </c>
      <c r="H5069" s="13" t="n">
        <f aca="false">MIN(G5069,D5069)</f>
        <v>0.226233</v>
      </c>
      <c r="I5069" s="13" t="n">
        <f aca="false">IFERROR(MIN(F5069*Eingaben!$B$19,MAX(0,D5069-H5069)),0)</f>
        <v>0.53865</v>
      </c>
      <c r="J5069" s="13" t="n">
        <f aca="false">IFERROR(MIN(Eingaben!$B$18,MAX(0,F5069-I5069)),0)</f>
        <v>0.23085</v>
      </c>
      <c r="K5069" s="13" t="n">
        <f aca="false">H5069+I5069</f>
        <v>0.764883</v>
      </c>
      <c r="L5069" s="13" t="n">
        <f aca="false">MAX(0,D5069-K5069)</f>
        <v>3.285117</v>
      </c>
      <c r="M5069" s="13" t="n">
        <f aca="false">MAX(0,F5069-I5069-J5069)</f>
        <v>0</v>
      </c>
      <c r="N5069" s="13" t="n">
        <f aca="false">IF(Kalender!A311="",0,J5068-H5069)</f>
        <v>0.00461700000000001</v>
      </c>
    </row>
    <row r="5070" customFormat="false" ht="16.4" hidden="false" customHeight="false" outlineLevel="0" collapsed="false">
      <c r="A5070" s="13" t="str">
        <f aca="false">""</f>
        <v/>
      </c>
      <c r="B5070" s="13" t="n">
        <f aca="false">308</f>
        <v>308</v>
      </c>
      <c r="C5070" s="13" t="n">
        <f aca="false">IF(Szenarien!$H$24="OK",(IFERROR(SUMIF(Nutzungsprofile!$B$6:$B$11,"Schulbetrieb",Nutzungsprofile!$G$6:$G$11)*Kalender!C312/SUM(Kalender!$C$5:$C$370),0)+IFERROR(SUMIF(Nutzungsprofile!$B$6:$B$11,"Halle",Nutzungsprofile!$G$6:$G$11)*Kalender!D312/SUM(Kalender!$D$5:$D$370),0)+IFERROR(SUMIF(Nutzungsprofile!$B$6:$B$11,"Individuell",Nutzungsprofile!$G$6:$G$11)*Kalender!E312/SUM(Kalender!$E$5:$E$370),0))*Szenarien!$E$24,0)</f>
        <v>0.9</v>
      </c>
      <c r="D5070" s="13" t="n">
        <f aca="false">IF(Szenarien!$H$24="OK",(IFERROR(SUMIF(Nutzungsprofile!$B$17:$B$22,"Schulbetrieb",Nutzungsprofile!$G$17:$G$22)*Kalender!C312/SUM(Kalender!$C$5:$C$370),0)+IFERROR(SUMIF(Nutzungsprofile!$B$17:$B$22,"Halle",Nutzungsprofile!$G$17:$G$22)*Kalender!D312/SUM(Kalender!$D$5:$D$370),0)+IFERROR(SUMIF(Nutzungsprofile!$B$17:$B$22,"Individuell",Nutzungsprofile!$G$17:$G$22)*Kalender!E312/SUM(Kalender!$E$5:$E$370),0))*Szenarien!$D$24,0)</f>
        <v>4.05</v>
      </c>
      <c r="E5070" s="13" t="n">
        <f aca="false">IFERROR(MIN(C5070,Eingaben!$B$17)*Eingaben!$B$16,0)</f>
        <v>0.855</v>
      </c>
      <c r="F5070" s="13" t="n">
        <f aca="false">IFERROR(E5070*Eingaben!$B$15,0)</f>
        <v>0.7695</v>
      </c>
      <c r="G5070" s="13" t="n">
        <f aca="false">IFERROR(IF(Kalender!A312="",0,J5069*(1-Eingaben!$B$20)),0)</f>
        <v>0.226233</v>
      </c>
      <c r="H5070" s="13" t="n">
        <f aca="false">MIN(G5070,D5070)</f>
        <v>0.226233</v>
      </c>
      <c r="I5070" s="13" t="n">
        <f aca="false">IFERROR(MIN(F5070*Eingaben!$B$19,MAX(0,D5070-H5070)),0)</f>
        <v>0.53865</v>
      </c>
      <c r="J5070" s="13" t="n">
        <f aca="false">IFERROR(MIN(Eingaben!$B$18,MAX(0,F5070-I5070)),0)</f>
        <v>0.23085</v>
      </c>
      <c r="K5070" s="13" t="n">
        <f aca="false">H5070+I5070</f>
        <v>0.764883</v>
      </c>
      <c r="L5070" s="13" t="n">
        <f aca="false">MAX(0,D5070-K5070)</f>
        <v>3.285117</v>
      </c>
      <c r="M5070" s="13" t="n">
        <f aca="false">MAX(0,F5070-I5070-J5070)</f>
        <v>0</v>
      </c>
      <c r="N5070" s="13" t="n">
        <f aca="false">IF(Kalender!A312="",0,J5069-H5070)</f>
        <v>0.00461700000000001</v>
      </c>
    </row>
    <row r="5071" customFormat="false" ht="16.4" hidden="false" customHeight="false" outlineLevel="0" collapsed="false">
      <c r="A5071" s="13" t="str">
        <f aca="false">""</f>
        <v/>
      </c>
      <c r="B5071" s="13" t="n">
        <f aca="false">309</f>
        <v>309</v>
      </c>
      <c r="C5071" s="13" t="n">
        <f aca="false">IF(Szenarien!$H$24="OK",(IFERROR(SUMIF(Nutzungsprofile!$B$6:$B$11,"Schulbetrieb",Nutzungsprofile!$G$6:$G$11)*Kalender!C313/SUM(Kalender!$C$5:$C$370),0)+IFERROR(SUMIF(Nutzungsprofile!$B$6:$B$11,"Halle",Nutzungsprofile!$G$6:$G$11)*Kalender!D313/SUM(Kalender!$D$5:$D$370),0)+IFERROR(SUMIF(Nutzungsprofile!$B$6:$B$11,"Individuell",Nutzungsprofile!$G$6:$G$11)*Kalender!E313/SUM(Kalender!$E$5:$E$370),0))*Szenarien!$E$24,0)</f>
        <v>0.9</v>
      </c>
      <c r="D5071" s="13" t="n">
        <f aca="false">IF(Szenarien!$H$24="OK",(IFERROR(SUMIF(Nutzungsprofile!$B$17:$B$22,"Schulbetrieb",Nutzungsprofile!$G$17:$G$22)*Kalender!C313/SUM(Kalender!$C$5:$C$370),0)+IFERROR(SUMIF(Nutzungsprofile!$B$17:$B$22,"Halle",Nutzungsprofile!$G$17:$G$22)*Kalender!D313/SUM(Kalender!$D$5:$D$370),0)+IFERROR(SUMIF(Nutzungsprofile!$B$17:$B$22,"Individuell",Nutzungsprofile!$G$17:$G$22)*Kalender!E313/SUM(Kalender!$E$5:$E$370),0))*Szenarien!$D$24,0)</f>
        <v>4.05</v>
      </c>
      <c r="E5071" s="13" t="n">
        <f aca="false">IFERROR(MIN(C5071,Eingaben!$B$17)*Eingaben!$B$16,0)</f>
        <v>0.855</v>
      </c>
      <c r="F5071" s="13" t="n">
        <f aca="false">IFERROR(E5071*Eingaben!$B$15,0)</f>
        <v>0.7695</v>
      </c>
      <c r="G5071" s="13" t="n">
        <f aca="false">IFERROR(IF(Kalender!A313="",0,J5070*(1-Eingaben!$B$20)),0)</f>
        <v>0.226233</v>
      </c>
      <c r="H5071" s="13" t="n">
        <f aca="false">MIN(G5071,D5071)</f>
        <v>0.226233</v>
      </c>
      <c r="I5071" s="13" t="n">
        <f aca="false">IFERROR(MIN(F5071*Eingaben!$B$19,MAX(0,D5071-H5071)),0)</f>
        <v>0.53865</v>
      </c>
      <c r="J5071" s="13" t="n">
        <f aca="false">IFERROR(MIN(Eingaben!$B$18,MAX(0,F5071-I5071)),0)</f>
        <v>0.23085</v>
      </c>
      <c r="K5071" s="13" t="n">
        <f aca="false">H5071+I5071</f>
        <v>0.764883</v>
      </c>
      <c r="L5071" s="13" t="n">
        <f aca="false">MAX(0,D5071-K5071)</f>
        <v>3.285117</v>
      </c>
      <c r="M5071" s="13" t="n">
        <f aca="false">MAX(0,F5071-I5071-J5071)</f>
        <v>0</v>
      </c>
      <c r="N5071" s="13" t="n">
        <f aca="false">IF(Kalender!A313="",0,J5070-H5071)</f>
        <v>0.00461700000000001</v>
      </c>
    </row>
    <row r="5072" customFormat="false" ht="16.4" hidden="false" customHeight="false" outlineLevel="0" collapsed="false">
      <c r="A5072" s="13" t="str">
        <f aca="false">""</f>
        <v/>
      </c>
      <c r="B5072" s="13" t="n">
        <f aca="false">310</f>
        <v>310</v>
      </c>
      <c r="C5072" s="13" t="n">
        <f aca="false">IF(Szenarien!$H$24="OK",(IFERROR(SUMIF(Nutzungsprofile!$B$6:$B$11,"Schulbetrieb",Nutzungsprofile!$G$6:$G$11)*Kalender!C314/SUM(Kalender!$C$5:$C$370),0)+IFERROR(SUMIF(Nutzungsprofile!$B$6:$B$11,"Halle",Nutzungsprofile!$G$6:$G$11)*Kalender!D314/SUM(Kalender!$D$5:$D$370),0)+IFERROR(SUMIF(Nutzungsprofile!$B$6:$B$11,"Individuell",Nutzungsprofile!$G$6:$G$11)*Kalender!E314/SUM(Kalender!$E$5:$E$370),0))*Szenarien!$E$24,0)</f>
        <v>0.9</v>
      </c>
      <c r="D5072" s="13" t="n">
        <f aca="false">IF(Szenarien!$H$24="OK",(IFERROR(SUMIF(Nutzungsprofile!$B$17:$B$22,"Schulbetrieb",Nutzungsprofile!$G$17:$G$22)*Kalender!C314/SUM(Kalender!$C$5:$C$370),0)+IFERROR(SUMIF(Nutzungsprofile!$B$17:$B$22,"Halle",Nutzungsprofile!$G$17:$G$22)*Kalender!D314/SUM(Kalender!$D$5:$D$370),0)+IFERROR(SUMIF(Nutzungsprofile!$B$17:$B$22,"Individuell",Nutzungsprofile!$G$17:$G$22)*Kalender!E314/SUM(Kalender!$E$5:$E$370),0))*Szenarien!$D$24,0)</f>
        <v>4.05</v>
      </c>
      <c r="E5072" s="13" t="n">
        <f aca="false">IFERROR(MIN(C5072,Eingaben!$B$17)*Eingaben!$B$16,0)</f>
        <v>0.855</v>
      </c>
      <c r="F5072" s="13" t="n">
        <f aca="false">IFERROR(E5072*Eingaben!$B$15,0)</f>
        <v>0.7695</v>
      </c>
      <c r="G5072" s="13" t="n">
        <f aca="false">IFERROR(IF(Kalender!A314="",0,J5071*(1-Eingaben!$B$20)),0)</f>
        <v>0.226233</v>
      </c>
      <c r="H5072" s="13" t="n">
        <f aca="false">MIN(G5072,D5072)</f>
        <v>0.226233</v>
      </c>
      <c r="I5072" s="13" t="n">
        <f aca="false">IFERROR(MIN(F5072*Eingaben!$B$19,MAX(0,D5072-H5072)),0)</f>
        <v>0.53865</v>
      </c>
      <c r="J5072" s="13" t="n">
        <f aca="false">IFERROR(MIN(Eingaben!$B$18,MAX(0,F5072-I5072)),0)</f>
        <v>0.23085</v>
      </c>
      <c r="K5072" s="13" t="n">
        <f aca="false">H5072+I5072</f>
        <v>0.764883</v>
      </c>
      <c r="L5072" s="13" t="n">
        <f aca="false">MAX(0,D5072-K5072)</f>
        <v>3.285117</v>
      </c>
      <c r="M5072" s="13" t="n">
        <f aca="false">MAX(0,F5072-I5072-J5072)</f>
        <v>0</v>
      </c>
      <c r="N5072" s="13" t="n">
        <f aca="false">IF(Kalender!A314="",0,J5071-H5072)</f>
        <v>0.00461700000000001</v>
      </c>
    </row>
    <row r="5073" customFormat="false" ht="16.4" hidden="false" customHeight="false" outlineLevel="0" collapsed="false">
      <c r="A5073" s="13" t="str">
        <f aca="false">""</f>
        <v/>
      </c>
      <c r="B5073" s="13" t="n">
        <f aca="false">311</f>
        <v>311</v>
      </c>
      <c r="C5073" s="13" t="n">
        <f aca="false">IF(Szenarien!$H$24="OK",(IFERROR(SUMIF(Nutzungsprofile!$B$6:$B$11,"Schulbetrieb",Nutzungsprofile!$G$6:$G$11)*Kalender!C315/SUM(Kalender!$C$5:$C$370),0)+IFERROR(SUMIF(Nutzungsprofile!$B$6:$B$11,"Halle",Nutzungsprofile!$G$6:$G$11)*Kalender!D315/SUM(Kalender!$D$5:$D$370),0)+IFERROR(SUMIF(Nutzungsprofile!$B$6:$B$11,"Individuell",Nutzungsprofile!$G$6:$G$11)*Kalender!E315/SUM(Kalender!$E$5:$E$370),0))*Szenarien!$E$24,0)</f>
        <v>0</v>
      </c>
      <c r="D5073" s="13" t="n">
        <f aca="false">IF(Szenarien!$H$24="OK",(IFERROR(SUMIF(Nutzungsprofile!$B$17:$B$22,"Schulbetrieb",Nutzungsprofile!$G$17:$G$22)*Kalender!C315/SUM(Kalender!$C$5:$C$370),0)+IFERROR(SUMIF(Nutzungsprofile!$B$17:$B$22,"Halle",Nutzungsprofile!$G$17:$G$22)*Kalender!D315/SUM(Kalender!$D$5:$D$370),0)+IFERROR(SUMIF(Nutzungsprofile!$B$17:$B$22,"Individuell",Nutzungsprofile!$G$17:$G$22)*Kalender!E315/SUM(Kalender!$E$5:$E$370),0))*Szenarien!$D$24,0)</f>
        <v>0</v>
      </c>
      <c r="E5073" s="13" t="n">
        <f aca="false">IFERROR(MIN(C5073,Eingaben!$B$17)*Eingaben!$B$16,0)</f>
        <v>0</v>
      </c>
      <c r="F5073" s="13" t="n">
        <f aca="false">IFERROR(E5073*Eingaben!$B$15,0)</f>
        <v>0</v>
      </c>
      <c r="G5073" s="13" t="n">
        <f aca="false">IFERROR(IF(Kalender!A315="",0,J5072*(1-Eingaben!$B$20)),0)</f>
        <v>0.226233</v>
      </c>
      <c r="H5073" s="13" t="n">
        <f aca="false">MIN(G5073,D5073)</f>
        <v>0</v>
      </c>
      <c r="I5073" s="13" t="n">
        <f aca="false">IFERROR(MIN(F5073*Eingaben!$B$19,MAX(0,D5073-H5073)),0)</f>
        <v>0</v>
      </c>
      <c r="J5073" s="13" t="n">
        <f aca="false">IFERROR(MIN(Eingaben!$B$18,MAX(0,F5073-I5073)),0)</f>
        <v>0</v>
      </c>
      <c r="K5073" s="13" t="n">
        <f aca="false">H5073+I5073</f>
        <v>0</v>
      </c>
      <c r="L5073" s="13" t="n">
        <f aca="false">MAX(0,D5073-K5073)</f>
        <v>0</v>
      </c>
      <c r="M5073" s="13" t="n">
        <f aca="false">MAX(0,F5073-I5073-J5073)</f>
        <v>0</v>
      </c>
      <c r="N5073" s="13" t="n">
        <f aca="false">IF(Kalender!A315="",0,J5072-H5073)</f>
        <v>0.23085</v>
      </c>
    </row>
    <row r="5074" customFormat="false" ht="16.4" hidden="false" customHeight="false" outlineLevel="0" collapsed="false">
      <c r="A5074" s="13" t="str">
        <f aca="false">""</f>
        <v/>
      </c>
      <c r="B5074" s="13" t="n">
        <f aca="false">312</f>
        <v>312</v>
      </c>
      <c r="C5074" s="13" t="n">
        <f aca="false">IF(Szenarien!$H$24="OK",(IFERROR(SUMIF(Nutzungsprofile!$B$6:$B$11,"Schulbetrieb",Nutzungsprofile!$G$6:$G$11)*Kalender!C316/SUM(Kalender!$C$5:$C$370),0)+IFERROR(SUMIF(Nutzungsprofile!$B$6:$B$11,"Halle",Nutzungsprofile!$G$6:$G$11)*Kalender!D316/SUM(Kalender!$D$5:$D$370),0)+IFERROR(SUMIF(Nutzungsprofile!$B$6:$B$11,"Individuell",Nutzungsprofile!$G$6:$G$11)*Kalender!E316/SUM(Kalender!$E$5:$E$370),0))*Szenarien!$E$24,0)</f>
        <v>0</v>
      </c>
      <c r="D5074" s="13" t="n">
        <f aca="false">IF(Szenarien!$H$24="OK",(IFERROR(SUMIF(Nutzungsprofile!$B$17:$B$22,"Schulbetrieb",Nutzungsprofile!$G$17:$G$22)*Kalender!C316/SUM(Kalender!$C$5:$C$370),0)+IFERROR(SUMIF(Nutzungsprofile!$B$17:$B$22,"Halle",Nutzungsprofile!$G$17:$G$22)*Kalender!D316/SUM(Kalender!$D$5:$D$370),0)+IFERROR(SUMIF(Nutzungsprofile!$B$17:$B$22,"Individuell",Nutzungsprofile!$G$17:$G$22)*Kalender!E316/SUM(Kalender!$E$5:$E$370),0))*Szenarien!$D$24,0)</f>
        <v>0</v>
      </c>
      <c r="E5074" s="13" t="n">
        <f aca="false">IFERROR(MIN(C5074,Eingaben!$B$17)*Eingaben!$B$16,0)</f>
        <v>0</v>
      </c>
      <c r="F5074" s="13" t="n">
        <f aca="false">IFERROR(E5074*Eingaben!$B$15,0)</f>
        <v>0</v>
      </c>
      <c r="G5074" s="13" t="n">
        <f aca="false">IFERROR(IF(Kalender!A316="",0,J5073*(1-Eingaben!$B$20)),0)</f>
        <v>0</v>
      </c>
      <c r="H5074" s="13" t="n">
        <f aca="false">MIN(G5074,D5074)</f>
        <v>0</v>
      </c>
      <c r="I5074" s="13" t="n">
        <f aca="false">IFERROR(MIN(F5074*Eingaben!$B$19,MAX(0,D5074-H5074)),0)</f>
        <v>0</v>
      </c>
      <c r="J5074" s="13" t="n">
        <f aca="false">IFERROR(MIN(Eingaben!$B$18,MAX(0,F5074-I5074)),0)</f>
        <v>0</v>
      </c>
      <c r="K5074" s="13" t="n">
        <f aca="false">H5074+I5074</f>
        <v>0</v>
      </c>
      <c r="L5074" s="13" t="n">
        <f aca="false">MAX(0,D5074-K5074)</f>
        <v>0</v>
      </c>
      <c r="M5074" s="13" t="n">
        <f aca="false">MAX(0,F5074-I5074-J5074)</f>
        <v>0</v>
      </c>
      <c r="N5074" s="13" t="n">
        <f aca="false">IF(Kalender!A316="",0,J5073-H5074)</f>
        <v>0</v>
      </c>
    </row>
    <row r="5075" customFormat="false" ht="16.4" hidden="false" customHeight="false" outlineLevel="0" collapsed="false">
      <c r="A5075" s="13" t="str">
        <f aca="false">""</f>
        <v/>
      </c>
      <c r="B5075" s="13" t="n">
        <f aca="false">313</f>
        <v>313</v>
      </c>
      <c r="C5075" s="13" t="n">
        <f aca="false">IF(Szenarien!$H$24="OK",(IFERROR(SUMIF(Nutzungsprofile!$B$6:$B$11,"Schulbetrieb",Nutzungsprofile!$G$6:$G$11)*Kalender!C317/SUM(Kalender!$C$5:$C$370),0)+IFERROR(SUMIF(Nutzungsprofile!$B$6:$B$11,"Halle",Nutzungsprofile!$G$6:$G$11)*Kalender!D317/SUM(Kalender!$D$5:$D$370),0)+IFERROR(SUMIF(Nutzungsprofile!$B$6:$B$11,"Individuell",Nutzungsprofile!$G$6:$G$11)*Kalender!E317/SUM(Kalender!$E$5:$E$370),0))*Szenarien!$E$24,0)</f>
        <v>0.9</v>
      </c>
      <c r="D5075" s="13" t="n">
        <f aca="false">IF(Szenarien!$H$24="OK",(IFERROR(SUMIF(Nutzungsprofile!$B$17:$B$22,"Schulbetrieb",Nutzungsprofile!$G$17:$G$22)*Kalender!C317/SUM(Kalender!$C$5:$C$370),0)+IFERROR(SUMIF(Nutzungsprofile!$B$17:$B$22,"Halle",Nutzungsprofile!$G$17:$G$22)*Kalender!D317/SUM(Kalender!$D$5:$D$370),0)+IFERROR(SUMIF(Nutzungsprofile!$B$17:$B$22,"Individuell",Nutzungsprofile!$G$17:$G$22)*Kalender!E317/SUM(Kalender!$E$5:$E$370),0))*Szenarien!$D$24,0)</f>
        <v>4.05</v>
      </c>
      <c r="E5075" s="13" t="n">
        <f aca="false">IFERROR(MIN(C5075,Eingaben!$B$17)*Eingaben!$B$16,0)</f>
        <v>0.855</v>
      </c>
      <c r="F5075" s="13" t="n">
        <f aca="false">IFERROR(E5075*Eingaben!$B$15,0)</f>
        <v>0.7695</v>
      </c>
      <c r="G5075" s="13" t="n">
        <f aca="false">IFERROR(IF(Kalender!A317="",0,J5074*(1-Eingaben!$B$20)),0)</f>
        <v>0</v>
      </c>
      <c r="H5075" s="13" t="n">
        <f aca="false">MIN(G5075,D5075)</f>
        <v>0</v>
      </c>
      <c r="I5075" s="13" t="n">
        <f aca="false">IFERROR(MIN(F5075*Eingaben!$B$19,MAX(0,D5075-H5075)),0)</f>
        <v>0.53865</v>
      </c>
      <c r="J5075" s="13" t="n">
        <f aca="false">IFERROR(MIN(Eingaben!$B$18,MAX(0,F5075-I5075)),0)</f>
        <v>0.23085</v>
      </c>
      <c r="K5075" s="13" t="n">
        <f aca="false">H5075+I5075</f>
        <v>0.53865</v>
      </c>
      <c r="L5075" s="13" t="n">
        <f aca="false">MAX(0,D5075-K5075)</f>
        <v>3.51135</v>
      </c>
      <c r="M5075" s="13" t="n">
        <f aca="false">MAX(0,F5075-I5075-J5075)</f>
        <v>0</v>
      </c>
      <c r="N5075" s="13" t="n">
        <f aca="false">IF(Kalender!A317="",0,J5074-H5075)</f>
        <v>0</v>
      </c>
    </row>
    <row r="5076" customFormat="false" ht="16.4" hidden="false" customHeight="false" outlineLevel="0" collapsed="false">
      <c r="A5076" s="13" t="str">
        <f aca="false">""</f>
        <v/>
      </c>
      <c r="B5076" s="13" t="n">
        <f aca="false">314</f>
        <v>314</v>
      </c>
      <c r="C5076" s="13" t="n">
        <f aca="false">IF(Szenarien!$H$24="OK",(IFERROR(SUMIF(Nutzungsprofile!$B$6:$B$11,"Schulbetrieb",Nutzungsprofile!$G$6:$G$11)*Kalender!C318/SUM(Kalender!$C$5:$C$370),0)+IFERROR(SUMIF(Nutzungsprofile!$B$6:$B$11,"Halle",Nutzungsprofile!$G$6:$G$11)*Kalender!D318/SUM(Kalender!$D$5:$D$370),0)+IFERROR(SUMIF(Nutzungsprofile!$B$6:$B$11,"Individuell",Nutzungsprofile!$G$6:$G$11)*Kalender!E318/SUM(Kalender!$E$5:$E$370),0))*Szenarien!$E$24,0)</f>
        <v>0.9</v>
      </c>
      <c r="D5076" s="13" t="n">
        <f aca="false">IF(Szenarien!$H$24="OK",(IFERROR(SUMIF(Nutzungsprofile!$B$17:$B$22,"Schulbetrieb",Nutzungsprofile!$G$17:$G$22)*Kalender!C318/SUM(Kalender!$C$5:$C$370),0)+IFERROR(SUMIF(Nutzungsprofile!$B$17:$B$22,"Halle",Nutzungsprofile!$G$17:$G$22)*Kalender!D318/SUM(Kalender!$D$5:$D$370),0)+IFERROR(SUMIF(Nutzungsprofile!$B$17:$B$22,"Individuell",Nutzungsprofile!$G$17:$G$22)*Kalender!E318/SUM(Kalender!$E$5:$E$370),0))*Szenarien!$D$24,0)</f>
        <v>4.05</v>
      </c>
      <c r="E5076" s="13" t="n">
        <f aca="false">IFERROR(MIN(C5076,Eingaben!$B$17)*Eingaben!$B$16,0)</f>
        <v>0.855</v>
      </c>
      <c r="F5076" s="13" t="n">
        <f aca="false">IFERROR(E5076*Eingaben!$B$15,0)</f>
        <v>0.7695</v>
      </c>
      <c r="G5076" s="13" t="n">
        <f aca="false">IFERROR(IF(Kalender!A318="",0,J5075*(1-Eingaben!$B$20)),0)</f>
        <v>0.226233</v>
      </c>
      <c r="H5076" s="13" t="n">
        <f aca="false">MIN(G5076,D5076)</f>
        <v>0.226233</v>
      </c>
      <c r="I5076" s="13" t="n">
        <f aca="false">IFERROR(MIN(F5076*Eingaben!$B$19,MAX(0,D5076-H5076)),0)</f>
        <v>0.53865</v>
      </c>
      <c r="J5076" s="13" t="n">
        <f aca="false">IFERROR(MIN(Eingaben!$B$18,MAX(0,F5076-I5076)),0)</f>
        <v>0.23085</v>
      </c>
      <c r="K5076" s="13" t="n">
        <f aca="false">H5076+I5076</f>
        <v>0.764883</v>
      </c>
      <c r="L5076" s="13" t="n">
        <f aca="false">MAX(0,D5076-K5076)</f>
        <v>3.285117</v>
      </c>
      <c r="M5076" s="13" t="n">
        <f aca="false">MAX(0,F5076-I5076-J5076)</f>
        <v>0</v>
      </c>
      <c r="N5076" s="13" t="n">
        <f aca="false">IF(Kalender!A318="",0,J5075-H5076)</f>
        <v>0.00461700000000001</v>
      </c>
    </row>
    <row r="5077" customFormat="false" ht="16.4" hidden="false" customHeight="false" outlineLevel="0" collapsed="false">
      <c r="A5077" s="13" t="str">
        <f aca="false">""</f>
        <v/>
      </c>
      <c r="B5077" s="13" t="n">
        <f aca="false">315</f>
        <v>315</v>
      </c>
      <c r="C5077" s="13" t="n">
        <f aca="false">IF(Szenarien!$H$24="OK",(IFERROR(SUMIF(Nutzungsprofile!$B$6:$B$11,"Schulbetrieb",Nutzungsprofile!$G$6:$G$11)*Kalender!C319/SUM(Kalender!$C$5:$C$370),0)+IFERROR(SUMIF(Nutzungsprofile!$B$6:$B$11,"Halle",Nutzungsprofile!$G$6:$G$11)*Kalender!D319/SUM(Kalender!$D$5:$D$370),0)+IFERROR(SUMIF(Nutzungsprofile!$B$6:$B$11,"Individuell",Nutzungsprofile!$G$6:$G$11)*Kalender!E319/SUM(Kalender!$E$5:$E$370),0))*Szenarien!$E$24,0)</f>
        <v>0.9</v>
      </c>
      <c r="D5077" s="13" t="n">
        <f aca="false">IF(Szenarien!$H$24="OK",(IFERROR(SUMIF(Nutzungsprofile!$B$17:$B$22,"Schulbetrieb",Nutzungsprofile!$G$17:$G$22)*Kalender!C319/SUM(Kalender!$C$5:$C$370),0)+IFERROR(SUMIF(Nutzungsprofile!$B$17:$B$22,"Halle",Nutzungsprofile!$G$17:$G$22)*Kalender!D319/SUM(Kalender!$D$5:$D$370),0)+IFERROR(SUMIF(Nutzungsprofile!$B$17:$B$22,"Individuell",Nutzungsprofile!$G$17:$G$22)*Kalender!E319/SUM(Kalender!$E$5:$E$370),0))*Szenarien!$D$24,0)</f>
        <v>4.05</v>
      </c>
      <c r="E5077" s="13" t="n">
        <f aca="false">IFERROR(MIN(C5077,Eingaben!$B$17)*Eingaben!$B$16,0)</f>
        <v>0.855</v>
      </c>
      <c r="F5077" s="13" t="n">
        <f aca="false">IFERROR(E5077*Eingaben!$B$15,0)</f>
        <v>0.7695</v>
      </c>
      <c r="G5077" s="13" t="n">
        <f aca="false">IFERROR(IF(Kalender!A319="",0,J5076*(1-Eingaben!$B$20)),0)</f>
        <v>0.226233</v>
      </c>
      <c r="H5077" s="13" t="n">
        <f aca="false">MIN(G5077,D5077)</f>
        <v>0.226233</v>
      </c>
      <c r="I5077" s="13" t="n">
        <f aca="false">IFERROR(MIN(F5077*Eingaben!$B$19,MAX(0,D5077-H5077)),0)</f>
        <v>0.53865</v>
      </c>
      <c r="J5077" s="13" t="n">
        <f aca="false">IFERROR(MIN(Eingaben!$B$18,MAX(0,F5077-I5077)),0)</f>
        <v>0.23085</v>
      </c>
      <c r="K5077" s="13" t="n">
        <f aca="false">H5077+I5077</f>
        <v>0.764883</v>
      </c>
      <c r="L5077" s="13" t="n">
        <f aca="false">MAX(0,D5077-K5077)</f>
        <v>3.285117</v>
      </c>
      <c r="M5077" s="13" t="n">
        <f aca="false">MAX(0,F5077-I5077-J5077)</f>
        <v>0</v>
      </c>
      <c r="N5077" s="13" t="n">
        <f aca="false">IF(Kalender!A319="",0,J5076-H5077)</f>
        <v>0.00461700000000001</v>
      </c>
    </row>
    <row r="5078" customFormat="false" ht="16.4" hidden="false" customHeight="false" outlineLevel="0" collapsed="false">
      <c r="A5078" s="13" t="str">
        <f aca="false">""</f>
        <v/>
      </c>
      <c r="B5078" s="13" t="n">
        <f aca="false">316</f>
        <v>316</v>
      </c>
      <c r="C5078" s="13" t="n">
        <f aca="false">IF(Szenarien!$H$24="OK",(IFERROR(SUMIF(Nutzungsprofile!$B$6:$B$11,"Schulbetrieb",Nutzungsprofile!$G$6:$G$11)*Kalender!C320/SUM(Kalender!$C$5:$C$370),0)+IFERROR(SUMIF(Nutzungsprofile!$B$6:$B$11,"Halle",Nutzungsprofile!$G$6:$G$11)*Kalender!D320/SUM(Kalender!$D$5:$D$370),0)+IFERROR(SUMIF(Nutzungsprofile!$B$6:$B$11,"Individuell",Nutzungsprofile!$G$6:$G$11)*Kalender!E320/SUM(Kalender!$E$5:$E$370),0))*Szenarien!$E$24,0)</f>
        <v>0.9</v>
      </c>
      <c r="D5078" s="13" t="n">
        <f aca="false">IF(Szenarien!$H$24="OK",(IFERROR(SUMIF(Nutzungsprofile!$B$17:$B$22,"Schulbetrieb",Nutzungsprofile!$G$17:$G$22)*Kalender!C320/SUM(Kalender!$C$5:$C$370),0)+IFERROR(SUMIF(Nutzungsprofile!$B$17:$B$22,"Halle",Nutzungsprofile!$G$17:$G$22)*Kalender!D320/SUM(Kalender!$D$5:$D$370),0)+IFERROR(SUMIF(Nutzungsprofile!$B$17:$B$22,"Individuell",Nutzungsprofile!$G$17:$G$22)*Kalender!E320/SUM(Kalender!$E$5:$E$370),0))*Szenarien!$D$24,0)</f>
        <v>4.05</v>
      </c>
      <c r="E5078" s="13" t="n">
        <f aca="false">IFERROR(MIN(C5078,Eingaben!$B$17)*Eingaben!$B$16,0)</f>
        <v>0.855</v>
      </c>
      <c r="F5078" s="13" t="n">
        <f aca="false">IFERROR(E5078*Eingaben!$B$15,0)</f>
        <v>0.7695</v>
      </c>
      <c r="G5078" s="13" t="n">
        <f aca="false">IFERROR(IF(Kalender!A320="",0,J5077*(1-Eingaben!$B$20)),0)</f>
        <v>0.226233</v>
      </c>
      <c r="H5078" s="13" t="n">
        <f aca="false">MIN(G5078,D5078)</f>
        <v>0.226233</v>
      </c>
      <c r="I5078" s="13" t="n">
        <f aca="false">IFERROR(MIN(F5078*Eingaben!$B$19,MAX(0,D5078-H5078)),0)</f>
        <v>0.53865</v>
      </c>
      <c r="J5078" s="13" t="n">
        <f aca="false">IFERROR(MIN(Eingaben!$B$18,MAX(0,F5078-I5078)),0)</f>
        <v>0.23085</v>
      </c>
      <c r="K5078" s="13" t="n">
        <f aca="false">H5078+I5078</f>
        <v>0.764883</v>
      </c>
      <c r="L5078" s="13" t="n">
        <f aca="false">MAX(0,D5078-K5078)</f>
        <v>3.285117</v>
      </c>
      <c r="M5078" s="13" t="n">
        <f aca="false">MAX(0,F5078-I5078-J5078)</f>
        <v>0</v>
      </c>
      <c r="N5078" s="13" t="n">
        <f aca="false">IF(Kalender!A320="",0,J5077-H5078)</f>
        <v>0.00461700000000001</v>
      </c>
    </row>
    <row r="5079" customFormat="false" ht="16.4" hidden="false" customHeight="false" outlineLevel="0" collapsed="false">
      <c r="A5079" s="13" t="str">
        <f aca="false">""</f>
        <v/>
      </c>
      <c r="B5079" s="13" t="n">
        <f aca="false">317</f>
        <v>317</v>
      </c>
      <c r="C5079" s="13" t="n">
        <f aca="false">IF(Szenarien!$H$24="OK",(IFERROR(SUMIF(Nutzungsprofile!$B$6:$B$11,"Schulbetrieb",Nutzungsprofile!$G$6:$G$11)*Kalender!C321/SUM(Kalender!$C$5:$C$370),0)+IFERROR(SUMIF(Nutzungsprofile!$B$6:$B$11,"Halle",Nutzungsprofile!$G$6:$G$11)*Kalender!D321/SUM(Kalender!$D$5:$D$370),0)+IFERROR(SUMIF(Nutzungsprofile!$B$6:$B$11,"Individuell",Nutzungsprofile!$G$6:$G$11)*Kalender!E321/SUM(Kalender!$E$5:$E$370),0))*Szenarien!$E$24,0)</f>
        <v>0.9</v>
      </c>
      <c r="D5079" s="13" t="n">
        <f aca="false">IF(Szenarien!$H$24="OK",(IFERROR(SUMIF(Nutzungsprofile!$B$17:$B$22,"Schulbetrieb",Nutzungsprofile!$G$17:$G$22)*Kalender!C321/SUM(Kalender!$C$5:$C$370),0)+IFERROR(SUMIF(Nutzungsprofile!$B$17:$B$22,"Halle",Nutzungsprofile!$G$17:$G$22)*Kalender!D321/SUM(Kalender!$D$5:$D$370),0)+IFERROR(SUMIF(Nutzungsprofile!$B$17:$B$22,"Individuell",Nutzungsprofile!$G$17:$G$22)*Kalender!E321/SUM(Kalender!$E$5:$E$370),0))*Szenarien!$D$24,0)</f>
        <v>4.05</v>
      </c>
      <c r="E5079" s="13" t="n">
        <f aca="false">IFERROR(MIN(C5079,Eingaben!$B$17)*Eingaben!$B$16,0)</f>
        <v>0.855</v>
      </c>
      <c r="F5079" s="13" t="n">
        <f aca="false">IFERROR(E5079*Eingaben!$B$15,0)</f>
        <v>0.7695</v>
      </c>
      <c r="G5079" s="13" t="n">
        <f aca="false">IFERROR(IF(Kalender!A321="",0,J5078*(1-Eingaben!$B$20)),0)</f>
        <v>0.226233</v>
      </c>
      <c r="H5079" s="13" t="n">
        <f aca="false">MIN(G5079,D5079)</f>
        <v>0.226233</v>
      </c>
      <c r="I5079" s="13" t="n">
        <f aca="false">IFERROR(MIN(F5079*Eingaben!$B$19,MAX(0,D5079-H5079)),0)</f>
        <v>0.53865</v>
      </c>
      <c r="J5079" s="13" t="n">
        <f aca="false">IFERROR(MIN(Eingaben!$B$18,MAX(0,F5079-I5079)),0)</f>
        <v>0.23085</v>
      </c>
      <c r="K5079" s="13" t="n">
        <f aca="false">H5079+I5079</f>
        <v>0.764883</v>
      </c>
      <c r="L5079" s="13" t="n">
        <f aca="false">MAX(0,D5079-K5079)</f>
        <v>3.285117</v>
      </c>
      <c r="M5079" s="13" t="n">
        <f aca="false">MAX(0,F5079-I5079-J5079)</f>
        <v>0</v>
      </c>
      <c r="N5079" s="13" t="n">
        <f aca="false">IF(Kalender!A321="",0,J5078-H5079)</f>
        <v>0.00461700000000001</v>
      </c>
    </row>
    <row r="5080" customFormat="false" ht="16.4" hidden="false" customHeight="false" outlineLevel="0" collapsed="false">
      <c r="A5080" s="13" t="str">
        <f aca="false">""</f>
        <v/>
      </c>
      <c r="B5080" s="13" t="n">
        <f aca="false">318</f>
        <v>318</v>
      </c>
      <c r="C5080" s="13" t="n">
        <f aca="false">IF(Szenarien!$H$24="OK",(IFERROR(SUMIF(Nutzungsprofile!$B$6:$B$11,"Schulbetrieb",Nutzungsprofile!$G$6:$G$11)*Kalender!C322/SUM(Kalender!$C$5:$C$370),0)+IFERROR(SUMIF(Nutzungsprofile!$B$6:$B$11,"Halle",Nutzungsprofile!$G$6:$G$11)*Kalender!D322/SUM(Kalender!$D$5:$D$370),0)+IFERROR(SUMIF(Nutzungsprofile!$B$6:$B$11,"Individuell",Nutzungsprofile!$G$6:$G$11)*Kalender!E322/SUM(Kalender!$E$5:$E$370),0))*Szenarien!$E$24,0)</f>
        <v>0</v>
      </c>
      <c r="D5080" s="13" t="n">
        <f aca="false">IF(Szenarien!$H$24="OK",(IFERROR(SUMIF(Nutzungsprofile!$B$17:$B$22,"Schulbetrieb",Nutzungsprofile!$G$17:$G$22)*Kalender!C322/SUM(Kalender!$C$5:$C$370),0)+IFERROR(SUMIF(Nutzungsprofile!$B$17:$B$22,"Halle",Nutzungsprofile!$G$17:$G$22)*Kalender!D322/SUM(Kalender!$D$5:$D$370),0)+IFERROR(SUMIF(Nutzungsprofile!$B$17:$B$22,"Individuell",Nutzungsprofile!$G$17:$G$22)*Kalender!E322/SUM(Kalender!$E$5:$E$370),0))*Szenarien!$D$24,0)</f>
        <v>0</v>
      </c>
      <c r="E5080" s="13" t="n">
        <f aca="false">IFERROR(MIN(C5080,Eingaben!$B$17)*Eingaben!$B$16,0)</f>
        <v>0</v>
      </c>
      <c r="F5080" s="13" t="n">
        <f aca="false">IFERROR(E5080*Eingaben!$B$15,0)</f>
        <v>0</v>
      </c>
      <c r="G5080" s="13" t="n">
        <f aca="false">IFERROR(IF(Kalender!A322="",0,J5079*(1-Eingaben!$B$20)),0)</f>
        <v>0.226233</v>
      </c>
      <c r="H5080" s="13" t="n">
        <f aca="false">MIN(G5080,D5080)</f>
        <v>0</v>
      </c>
      <c r="I5080" s="13" t="n">
        <f aca="false">IFERROR(MIN(F5080*Eingaben!$B$19,MAX(0,D5080-H5080)),0)</f>
        <v>0</v>
      </c>
      <c r="J5080" s="13" t="n">
        <f aca="false">IFERROR(MIN(Eingaben!$B$18,MAX(0,F5080-I5080)),0)</f>
        <v>0</v>
      </c>
      <c r="K5080" s="13" t="n">
        <f aca="false">H5080+I5080</f>
        <v>0</v>
      </c>
      <c r="L5080" s="13" t="n">
        <f aca="false">MAX(0,D5080-K5080)</f>
        <v>0</v>
      </c>
      <c r="M5080" s="13" t="n">
        <f aca="false">MAX(0,F5080-I5080-J5080)</f>
        <v>0</v>
      </c>
      <c r="N5080" s="13" t="n">
        <f aca="false">IF(Kalender!A322="",0,J5079-H5080)</f>
        <v>0.23085</v>
      </c>
    </row>
    <row r="5081" customFormat="false" ht="16.4" hidden="false" customHeight="false" outlineLevel="0" collapsed="false">
      <c r="A5081" s="13" t="str">
        <f aca="false">""</f>
        <v/>
      </c>
      <c r="B5081" s="13" t="n">
        <f aca="false">319</f>
        <v>319</v>
      </c>
      <c r="C5081" s="13" t="n">
        <f aca="false">IF(Szenarien!$H$24="OK",(IFERROR(SUMIF(Nutzungsprofile!$B$6:$B$11,"Schulbetrieb",Nutzungsprofile!$G$6:$G$11)*Kalender!C323/SUM(Kalender!$C$5:$C$370),0)+IFERROR(SUMIF(Nutzungsprofile!$B$6:$B$11,"Halle",Nutzungsprofile!$G$6:$G$11)*Kalender!D323/SUM(Kalender!$D$5:$D$370),0)+IFERROR(SUMIF(Nutzungsprofile!$B$6:$B$11,"Individuell",Nutzungsprofile!$G$6:$G$11)*Kalender!E323/SUM(Kalender!$E$5:$E$370),0))*Szenarien!$E$24,0)</f>
        <v>0</v>
      </c>
      <c r="D5081" s="13" t="n">
        <f aca="false">IF(Szenarien!$H$24="OK",(IFERROR(SUMIF(Nutzungsprofile!$B$17:$B$22,"Schulbetrieb",Nutzungsprofile!$G$17:$G$22)*Kalender!C323/SUM(Kalender!$C$5:$C$370),0)+IFERROR(SUMIF(Nutzungsprofile!$B$17:$B$22,"Halle",Nutzungsprofile!$G$17:$G$22)*Kalender!D323/SUM(Kalender!$D$5:$D$370),0)+IFERROR(SUMIF(Nutzungsprofile!$B$17:$B$22,"Individuell",Nutzungsprofile!$G$17:$G$22)*Kalender!E323/SUM(Kalender!$E$5:$E$370),0))*Szenarien!$D$24,0)</f>
        <v>0</v>
      </c>
      <c r="E5081" s="13" t="n">
        <f aca="false">IFERROR(MIN(C5081,Eingaben!$B$17)*Eingaben!$B$16,0)</f>
        <v>0</v>
      </c>
      <c r="F5081" s="13" t="n">
        <f aca="false">IFERROR(E5081*Eingaben!$B$15,0)</f>
        <v>0</v>
      </c>
      <c r="G5081" s="13" t="n">
        <f aca="false">IFERROR(IF(Kalender!A323="",0,J5080*(1-Eingaben!$B$20)),0)</f>
        <v>0</v>
      </c>
      <c r="H5081" s="13" t="n">
        <f aca="false">MIN(G5081,D5081)</f>
        <v>0</v>
      </c>
      <c r="I5081" s="13" t="n">
        <f aca="false">IFERROR(MIN(F5081*Eingaben!$B$19,MAX(0,D5081-H5081)),0)</f>
        <v>0</v>
      </c>
      <c r="J5081" s="13" t="n">
        <f aca="false">IFERROR(MIN(Eingaben!$B$18,MAX(0,F5081-I5081)),0)</f>
        <v>0</v>
      </c>
      <c r="K5081" s="13" t="n">
        <f aca="false">H5081+I5081</f>
        <v>0</v>
      </c>
      <c r="L5081" s="13" t="n">
        <f aca="false">MAX(0,D5081-K5081)</f>
        <v>0</v>
      </c>
      <c r="M5081" s="13" t="n">
        <f aca="false">MAX(0,F5081-I5081-J5081)</f>
        <v>0</v>
      </c>
      <c r="N5081" s="13" t="n">
        <f aca="false">IF(Kalender!A323="",0,J5080-H5081)</f>
        <v>0</v>
      </c>
    </row>
    <row r="5082" customFormat="false" ht="16.4" hidden="false" customHeight="false" outlineLevel="0" collapsed="false">
      <c r="A5082" s="13" t="str">
        <f aca="false">""</f>
        <v/>
      </c>
      <c r="B5082" s="13" t="n">
        <f aca="false">320</f>
        <v>320</v>
      </c>
      <c r="C5082" s="13" t="n">
        <f aca="false">IF(Szenarien!$H$24="OK",(IFERROR(SUMIF(Nutzungsprofile!$B$6:$B$11,"Schulbetrieb",Nutzungsprofile!$G$6:$G$11)*Kalender!C324/SUM(Kalender!$C$5:$C$370),0)+IFERROR(SUMIF(Nutzungsprofile!$B$6:$B$11,"Halle",Nutzungsprofile!$G$6:$G$11)*Kalender!D324/SUM(Kalender!$D$5:$D$370),0)+IFERROR(SUMIF(Nutzungsprofile!$B$6:$B$11,"Individuell",Nutzungsprofile!$G$6:$G$11)*Kalender!E324/SUM(Kalender!$E$5:$E$370),0))*Szenarien!$E$24,0)</f>
        <v>0.9</v>
      </c>
      <c r="D5082" s="13" t="n">
        <f aca="false">IF(Szenarien!$H$24="OK",(IFERROR(SUMIF(Nutzungsprofile!$B$17:$B$22,"Schulbetrieb",Nutzungsprofile!$G$17:$G$22)*Kalender!C324/SUM(Kalender!$C$5:$C$370),0)+IFERROR(SUMIF(Nutzungsprofile!$B$17:$B$22,"Halle",Nutzungsprofile!$G$17:$G$22)*Kalender!D324/SUM(Kalender!$D$5:$D$370),0)+IFERROR(SUMIF(Nutzungsprofile!$B$17:$B$22,"Individuell",Nutzungsprofile!$G$17:$G$22)*Kalender!E324/SUM(Kalender!$E$5:$E$370),0))*Szenarien!$D$24,0)</f>
        <v>4.05</v>
      </c>
      <c r="E5082" s="13" t="n">
        <f aca="false">IFERROR(MIN(C5082,Eingaben!$B$17)*Eingaben!$B$16,0)</f>
        <v>0.855</v>
      </c>
      <c r="F5082" s="13" t="n">
        <f aca="false">IFERROR(E5082*Eingaben!$B$15,0)</f>
        <v>0.7695</v>
      </c>
      <c r="G5082" s="13" t="n">
        <f aca="false">IFERROR(IF(Kalender!A324="",0,J5081*(1-Eingaben!$B$20)),0)</f>
        <v>0</v>
      </c>
      <c r="H5082" s="13" t="n">
        <f aca="false">MIN(G5082,D5082)</f>
        <v>0</v>
      </c>
      <c r="I5082" s="13" t="n">
        <f aca="false">IFERROR(MIN(F5082*Eingaben!$B$19,MAX(0,D5082-H5082)),0)</f>
        <v>0.53865</v>
      </c>
      <c r="J5082" s="13" t="n">
        <f aca="false">IFERROR(MIN(Eingaben!$B$18,MAX(0,F5082-I5082)),0)</f>
        <v>0.23085</v>
      </c>
      <c r="K5082" s="13" t="n">
        <f aca="false">H5082+I5082</f>
        <v>0.53865</v>
      </c>
      <c r="L5082" s="13" t="n">
        <f aca="false">MAX(0,D5082-K5082)</f>
        <v>3.51135</v>
      </c>
      <c r="M5082" s="13" t="n">
        <f aca="false">MAX(0,F5082-I5082-J5082)</f>
        <v>0</v>
      </c>
      <c r="N5082" s="13" t="n">
        <f aca="false">IF(Kalender!A324="",0,J5081-H5082)</f>
        <v>0</v>
      </c>
    </row>
    <row r="5083" customFormat="false" ht="16.4" hidden="false" customHeight="false" outlineLevel="0" collapsed="false">
      <c r="A5083" s="13" t="str">
        <f aca="false">""</f>
        <v/>
      </c>
      <c r="B5083" s="13" t="n">
        <f aca="false">321</f>
        <v>321</v>
      </c>
      <c r="C5083" s="13" t="n">
        <f aca="false">IF(Szenarien!$H$24="OK",(IFERROR(SUMIF(Nutzungsprofile!$B$6:$B$11,"Schulbetrieb",Nutzungsprofile!$G$6:$G$11)*Kalender!C325/SUM(Kalender!$C$5:$C$370),0)+IFERROR(SUMIF(Nutzungsprofile!$B$6:$B$11,"Halle",Nutzungsprofile!$G$6:$G$11)*Kalender!D325/SUM(Kalender!$D$5:$D$370),0)+IFERROR(SUMIF(Nutzungsprofile!$B$6:$B$11,"Individuell",Nutzungsprofile!$G$6:$G$11)*Kalender!E325/SUM(Kalender!$E$5:$E$370),0))*Szenarien!$E$24,0)</f>
        <v>0.9</v>
      </c>
      <c r="D5083" s="13" t="n">
        <f aca="false">IF(Szenarien!$H$24="OK",(IFERROR(SUMIF(Nutzungsprofile!$B$17:$B$22,"Schulbetrieb",Nutzungsprofile!$G$17:$G$22)*Kalender!C325/SUM(Kalender!$C$5:$C$370),0)+IFERROR(SUMIF(Nutzungsprofile!$B$17:$B$22,"Halle",Nutzungsprofile!$G$17:$G$22)*Kalender!D325/SUM(Kalender!$D$5:$D$370),0)+IFERROR(SUMIF(Nutzungsprofile!$B$17:$B$22,"Individuell",Nutzungsprofile!$G$17:$G$22)*Kalender!E325/SUM(Kalender!$E$5:$E$370),0))*Szenarien!$D$24,0)</f>
        <v>4.05</v>
      </c>
      <c r="E5083" s="13" t="n">
        <f aca="false">IFERROR(MIN(C5083,Eingaben!$B$17)*Eingaben!$B$16,0)</f>
        <v>0.855</v>
      </c>
      <c r="F5083" s="13" t="n">
        <f aca="false">IFERROR(E5083*Eingaben!$B$15,0)</f>
        <v>0.7695</v>
      </c>
      <c r="G5083" s="13" t="n">
        <f aca="false">IFERROR(IF(Kalender!A325="",0,J5082*(1-Eingaben!$B$20)),0)</f>
        <v>0.226233</v>
      </c>
      <c r="H5083" s="13" t="n">
        <f aca="false">MIN(G5083,D5083)</f>
        <v>0.226233</v>
      </c>
      <c r="I5083" s="13" t="n">
        <f aca="false">IFERROR(MIN(F5083*Eingaben!$B$19,MAX(0,D5083-H5083)),0)</f>
        <v>0.53865</v>
      </c>
      <c r="J5083" s="13" t="n">
        <f aca="false">IFERROR(MIN(Eingaben!$B$18,MAX(0,F5083-I5083)),0)</f>
        <v>0.23085</v>
      </c>
      <c r="K5083" s="13" t="n">
        <f aca="false">H5083+I5083</f>
        <v>0.764883</v>
      </c>
      <c r="L5083" s="13" t="n">
        <f aca="false">MAX(0,D5083-K5083)</f>
        <v>3.285117</v>
      </c>
      <c r="M5083" s="13" t="n">
        <f aca="false">MAX(0,F5083-I5083-J5083)</f>
        <v>0</v>
      </c>
      <c r="N5083" s="13" t="n">
        <f aca="false">IF(Kalender!A325="",0,J5082-H5083)</f>
        <v>0.00461700000000001</v>
      </c>
    </row>
    <row r="5084" customFormat="false" ht="16.4" hidden="false" customHeight="false" outlineLevel="0" collapsed="false">
      <c r="A5084" s="13" t="str">
        <f aca="false">""</f>
        <v/>
      </c>
      <c r="B5084" s="13" t="n">
        <f aca="false">322</f>
        <v>322</v>
      </c>
      <c r="C5084" s="13" t="n">
        <f aca="false">IF(Szenarien!$H$24="OK",(IFERROR(SUMIF(Nutzungsprofile!$B$6:$B$11,"Schulbetrieb",Nutzungsprofile!$G$6:$G$11)*Kalender!C326/SUM(Kalender!$C$5:$C$370),0)+IFERROR(SUMIF(Nutzungsprofile!$B$6:$B$11,"Halle",Nutzungsprofile!$G$6:$G$11)*Kalender!D326/SUM(Kalender!$D$5:$D$370),0)+IFERROR(SUMIF(Nutzungsprofile!$B$6:$B$11,"Individuell",Nutzungsprofile!$G$6:$G$11)*Kalender!E326/SUM(Kalender!$E$5:$E$370),0))*Szenarien!$E$24,0)</f>
        <v>0.9</v>
      </c>
      <c r="D5084" s="13" t="n">
        <f aca="false">IF(Szenarien!$H$24="OK",(IFERROR(SUMIF(Nutzungsprofile!$B$17:$B$22,"Schulbetrieb",Nutzungsprofile!$G$17:$G$22)*Kalender!C326/SUM(Kalender!$C$5:$C$370),0)+IFERROR(SUMIF(Nutzungsprofile!$B$17:$B$22,"Halle",Nutzungsprofile!$G$17:$G$22)*Kalender!D326/SUM(Kalender!$D$5:$D$370),0)+IFERROR(SUMIF(Nutzungsprofile!$B$17:$B$22,"Individuell",Nutzungsprofile!$G$17:$G$22)*Kalender!E326/SUM(Kalender!$E$5:$E$370),0))*Szenarien!$D$24,0)</f>
        <v>4.05</v>
      </c>
      <c r="E5084" s="13" t="n">
        <f aca="false">IFERROR(MIN(C5084,Eingaben!$B$17)*Eingaben!$B$16,0)</f>
        <v>0.855</v>
      </c>
      <c r="F5084" s="13" t="n">
        <f aca="false">IFERROR(E5084*Eingaben!$B$15,0)</f>
        <v>0.7695</v>
      </c>
      <c r="G5084" s="13" t="n">
        <f aca="false">IFERROR(IF(Kalender!A326="",0,J5083*(1-Eingaben!$B$20)),0)</f>
        <v>0.226233</v>
      </c>
      <c r="H5084" s="13" t="n">
        <f aca="false">MIN(G5084,D5084)</f>
        <v>0.226233</v>
      </c>
      <c r="I5084" s="13" t="n">
        <f aca="false">IFERROR(MIN(F5084*Eingaben!$B$19,MAX(0,D5084-H5084)),0)</f>
        <v>0.53865</v>
      </c>
      <c r="J5084" s="13" t="n">
        <f aca="false">IFERROR(MIN(Eingaben!$B$18,MAX(0,F5084-I5084)),0)</f>
        <v>0.23085</v>
      </c>
      <c r="K5084" s="13" t="n">
        <f aca="false">H5084+I5084</f>
        <v>0.764883</v>
      </c>
      <c r="L5084" s="13" t="n">
        <f aca="false">MAX(0,D5084-K5084)</f>
        <v>3.285117</v>
      </c>
      <c r="M5084" s="13" t="n">
        <f aca="false">MAX(0,F5084-I5084-J5084)</f>
        <v>0</v>
      </c>
      <c r="N5084" s="13" t="n">
        <f aca="false">IF(Kalender!A326="",0,J5083-H5084)</f>
        <v>0.00461700000000001</v>
      </c>
    </row>
    <row r="5085" customFormat="false" ht="16.4" hidden="false" customHeight="false" outlineLevel="0" collapsed="false">
      <c r="A5085" s="13" t="str">
        <f aca="false">""</f>
        <v/>
      </c>
      <c r="B5085" s="13" t="n">
        <f aca="false">323</f>
        <v>323</v>
      </c>
      <c r="C5085" s="13" t="n">
        <f aca="false">IF(Szenarien!$H$24="OK",(IFERROR(SUMIF(Nutzungsprofile!$B$6:$B$11,"Schulbetrieb",Nutzungsprofile!$G$6:$G$11)*Kalender!C327/SUM(Kalender!$C$5:$C$370),0)+IFERROR(SUMIF(Nutzungsprofile!$B$6:$B$11,"Halle",Nutzungsprofile!$G$6:$G$11)*Kalender!D327/SUM(Kalender!$D$5:$D$370),0)+IFERROR(SUMIF(Nutzungsprofile!$B$6:$B$11,"Individuell",Nutzungsprofile!$G$6:$G$11)*Kalender!E327/SUM(Kalender!$E$5:$E$370),0))*Szenarien!$E$24,0)</f>
        <v>0.9</v>
      </c>
      <c r="D5085" s="13" t="n">
        <f aca="false">IF(Szenarien!$H$24="OK",(IFERROR(SUMIF(Nutzungsprofile!$B$17:$B$22,"Schulbetrieb",Nutzungsprofile!$G$17:$G$22)*Kalender!C327/SUM(Kalender!$C$5:$C$370),0)+IFERROR(SUMIF(Nutzungsprofile!$B$17:$B$22,"Halle",Nutzungsprofile!$G$17:$G$22)*Kalender!D327/SUM(Kalender!$D$5:$D$370),0)+IFERROR(SUMIF(Nutzungsprofile!$B$17:$B$22,"Individuell",Nutzungsprofile!$G$17:$G$22)*Kalender!E327/SUM(Kalender!$E$5:$E$370),0))*Szenarien!$D$24,0)</f>
        <v>4.05</v>
      </c>
      <c r="E5085" s="13" t="n">
        <f aca="false">IFERROR(MIN(C5085,Eingaben!$B$17)*Eingaben!$B$16,0)</f>
        <v>0.855</v>
      </c>
      <c r="F5085" s="13" t="n">
        <f aca="false">IFERROR(E5085*Eingaben!$B$15,0)</f>
        <v>0.7695</v>
      </c>
      <c r="G5085" s="13" t="n">
        <f aca="false">IFERROR(IF(Kalender!A327="",0,J5084*(1-Eingaben!$B$20)),0)</f>
        <v>0.226233</v>
      </c>
      <c r="H5085" s="13" t="n">
        <f aca="false">MIN(G5085,D5085)</f>
        <v>0.226233</v>
      </c>
      <c r="I5085" s="13" t="n">
        <f aca="false">IFERROR(MIN(F5085*Eingaben!$B$19,MAX(0,D5085-H5085)),0)</f>
        <v>0.53865</v>
      </c>
      <c r="J5085" s="13" t="n">
        <f aca="false">IFERROR(MIN(Eingaben!$B$18,MAX(0,F5085-I5085)),0)</f>
        <v>0.23085</v>
      </c>
      <c r="K5085" s="13" t="n">
        <f aca="false">H5085+I5085</f>
        <v>0.764883</v>
      </c>
      <c r="L5085" s="13" t="n">
        <f aca="false">MAX(0,D5085-K5085)</f>
        <v>3.285117</v>
      </c>
      <c r="M5085" s="13" t="n">
        <f aca="false">MAX(0,F5085-I5085-J5085)</f>
        <v>0</v>
      </c>
      <c r="N5085" s="13" t="n">
        <f aca="false">IF(Kalender!A327="",0,J5084-H5085)</f>
        <v>0.00461700000000001</v>
      </c>
    </row>
    <row r="5086" customFormat="false" ht="16.4" hidden="false" customHeight="false" outlineLevel="0" collapsed="false">
      <c r="A5086" s="13" t="str">
        <f aca="false">""</f>
        <v/>
      </c>
      <c r="B5086" s="13" t="n">
        <f aca="false">324</f>
        <v>324</v>
      </c>
      <c r="C5086" s="13" t="n">
        <f aca="false">IF(Szenarien!$H$24="OK",(IFERROR(SUMIF(Nutzungsprofile!$B$6:$B$11,"Schulbetrieb",Nutzungsprofile!$G$6:$G$11)*Kalender!C328/SUM(Kalender!$C$5:$C$370),0)+IFERROR(SUMIF(Nutzungsprofile!$B$6:$B$11,"Halle",Nutzungsprofile!$G$6:$G$11)*Kalender!D328/SUM(Kalender!$D$5:$D$370),0)+IFERROR(SUMIF(Nutzungsprofile!$B$6:$B$11,"Individuell",Nutzungsprofile!$G$6:$G$11)*Kalender!E328/SUM(Kalender!$E$5:$E$370),0))*Szenarien!$E$24,0)</f>
        <v>0.9</v>
      </c>
      <c r="D5086" s="13" t="n">
        <f aca="false">IF(Szenarien!$H$24="OK",(IFERROR(SUMIF(Nutzungsprofile!$B$17:$B$22,"Schulbetrieb",Nutzungsprofile!$G$17:$G$22)*Kalender!C328/SUM(Kalender!$C$5:$C$370),0)+IFERROR(SUMIF(Nutzungsprofile!$B$17:$B$22,"Halle",Nutzungsprofile!$G$17:$G$22)*Kalender!D328/SUM(Kalender!$D$5:$D$370),0)+IFERROR(SUMIF(Nutzungsprofile!$B$17:$B$22,"Individuell",Nutzungsprofile!$G$17:$G$22)*Kalender!E328/SUM(Kalender!$E$5:$E$370),0))*Szenarien!$D$24,0)</f>
        <v>4.05</v>
      </c>
      <c r="E5086" s="13" t="n">
        <f aca="false">IFERROR(MIN(C5086,Eingaben!$B$17)*Eingaben!$B$16,0)</f>
        <v>0.855</v>
      </c>
      <c r="F5086" s="13" t="n">
        <f aca="false">IFERROR(E5086*Eingaben!$B$15,0)</f>
        <v>0.7695</v>
      </c>
      <c r="G5086" s="13" t="n">
        <f aca="false">IFERROR(IF(Kalender!A328="",0,J5085*(1-Eingaben!$B$20)),0)</f>
        <v>0.226233</v>
      </c>
      <c r="H5086" s="13" t="n">
        <f aca="false">MIN(G5086,D5086)</f>
        <v>0.226233</v>
      </c>
      <c r="I5086" s="13" t="n">
        <f aca="false">IFERROR(MIN(F5086*Eingaben!$B$19,MAX(0,D5086-H5086)),0)</f>
        <v>0.53865</v>
      </c>
      <c r="J5086" s="13" t="n">
        <f aca="false">IFERROR(MIN(Eingaben!$B$18,MAX(0,F5086-I5086)),0)</f>
        <v>0.23085</v>
      </c>
      <c r="K5086" s="13" t="n">
        <f aca="false">H5086+I5086</f>
        <v>0.764883</v>
      </c>
      <c r="L5086" s="13" t="n">
        <f aca="false">MAX(0,D5086-K5086)</f>
        <v>3.285117</v>
      </c>
      <c r="M5086" s="13" t="n">
        <f aca="false">MAX(0,F5086-I5086-J5086)</f>
        <v>0</v>
      </c>
      <c r="N5086" s="13" t="n">
        <f aca="false">IF(Kalender!A328="",0,J5085-H5086)</f>
        <v>0.00461700000000001</v>
      </c>
    </row>
    <row r="5087" customFormat="false" ht="16.4" hidden="false" customHeight="false" outlineLevel="0" collapsed="false">
      <c r="A5087" s="13" t="str">
        <f aca="false">""</f>
        <v/>
      </c>
      <c r="B5087" s="13" t="n">
        <f aca="false">325</f>
        <v>325</v>
      </c>
      <c r="C5087" s="13" t="n">
        <f aca="false">IF(Szenarien!$H$24="OK",(IFERROR(SUMIF(Nutzungsprofile!$B$6:$B$11,"Schulbetrieb",Nutzungsprofile!$G$6:$G$11)*Kalender!C329/SUM(Kalender!$C$5:$C$370),0)+IFERROR(SUMIF(Nutzungsprofile!$B$6:$B$11,"Halle",Nutzungsprofile!$G$6:$G$11)*Kalender!D329/SUM(Kalender!$D$5:$D$370),0)+IFERROR(SUMIF(Nutzungsprofile!$B$6:$B$11,"Individuell",Nutzungsprofile!$G$6:$G$11)*Kalender!E329/SUM(Kalender!$E$5:$E$370),0))*Szenarien!$E$24,0)</f>
        <v>0</v>
      </c>
      <c r="D5087" s="13" t="n">
        <f aca="false">IF(Szenarien!$H$24="OK",(IFERROR(SUMIF(Nutzungsprofile!$B$17:$B$22,"Schulbetrieb",Nutzungsprofile!$G$17:$G$22)*Kalender!C329/SUM(Kalender!$C$5:$C$370),0)+IFERROR(SUMIF(Nutzungsprofile!$B$17:$B$22,"Halle",Nutzungsprofile!$G$17:$G$22)*Kalender!D329/SUM(Kalender!$D$5:$D$370),0)+IFERROR(SUMIF(Nutzungsprofile!$B$17:$B$22,"Individuell",Nutzungsprofile!$G$17:$G$22)*Kalender!E329/SUM(Kalender!$E$5:$E$370),0))*Szenarien!$D$24,0)</f>
        <v>0</v>
      </c>
      <c r="E5087" s="13" t="n">
        <f aca="false">IFERROR(MIN(C5087,Eingaben!$B$17)*Eingaben!$B$16,0)</f>
        <v>0</v>
      </c>
      <c r="F5087" s="13" t="n">
        <f aca="false">IFERROR(E5087*Eingaben!$B$15,0)</f>
        <v>0</v>
      </c>
      <c r="G5087" s="13" t="n">
        <f aca="false">IFERROR(IF(Kalender!A329="",0,J5086*(1-Eingaben!$B$20)),0)</f>
        <v>0.226233</v>
      </c>
      <c r="H5087" s="13" t="n">
        <f aca="false">MIN(G5087,D5087)</f>
        <v>0</v>
      </c>
      <c r="I5087" s="13" t="n">
        <f aca="false">IFERROR(MIN(F5087*Eingaben!$B$19,MAX(0,D5087-H5087)),0)</f>
        <v>0</v>
      </c>
      <c r="J5087" s="13" t="n">
        <f aca="false">IFERROR(MIN(Eingaben!$B$18,MAX(0,F5087-I5087)),0)</f>
        <v>0</v>
      </c>
      <c r="K5087" s="13" t="n">
        <f aca="false">H5087+I5087</f>
        <v>0</v>
      </c>
      <c r="L5087" s="13" t="n">
        <f aca="false">MAX(0,D5087-K5087)</f>
        <v>0</v>
      </c>
      <c r="M5087" s="13" t="n">
        <f aca="false">MAX(0,F5087-I5087-J5087)</f>
        <v>0</v>
      </c>
      <c r="N5087" s="13" t="n">
        <f aca="false">IF(Kalender!A329="",0,J5086-H5087)</f>
        <v>0.23085</v>
      </c>
    </row>
    <row r="5088" customFormat="false" ht="16.4" hidden="false" customHeight="false" outlineLevel="0" collapsed="false">
      <c r="A5088" s="13" t="str">
        <f aca="false">""</f>
        <v/>
      </c>
      <c r="B5088" s="13" t="n">
        <f aca="false">326</f>
        <v>326</v>
      </c>
      <c r="C5088" s="13" t="n">
        <f aca="false">IF(Szenarien!$H$24="OK",(IFERROR(SUMIF(Nutzungsprofile!$B$6:$B$11,"Schulbetrieb",Nutzungsprofile!$G$6:$G$11)*Kalender!C330/SUM(Kalender!$C$5:$C$370),0)+IFERROR(SUMIF(Nutzungsprofile!$B$6:$B$11,"Halle",Nutzungsprofile!$G$6:$G$11)*Kalender!D330/SUM(Kalender!$D$5:$D$370),0)+IFERROR(SUMIF(Nutzungsprofile!$B$6:$B$11,"Individuell",Nutzungsprofile!$G$6:$G$11)*Kalender!E330/SUM(Kalender!$E$5:$E$370),0))*Szenarien!$E$24,0)</f>
        <v>0</v>
      </c>
      <c r="D5088" s="13" t="n">
        <f aca="false">IF(Szenarien!$H$24="OK",(IFERROR(SUMIF(Nutzungsprofile!$B$17:$B$22,"Schulbetrieb",Nutzungsprofile!$G$17:$G$22)*Kalender!C330/SUM(Kalender!$C$5:$C$370),0)+IFERROR(SUMIF(Nutzungsprofile!$B$17:$B$22,"Halle",Nutzungsprofile!$G$17:$G$22)*Kalender!D330/SUM(Kalender!$D$5:$D$370),0)+IFERROR(SUMIF(Nutzungsprofile!$B$17:$B$22,"Individuell",Nutzungsprofile!$G$17:$G$22)*Kalender!E330/SUM(Kalender!$E$5:$E$370),0))*Szenarien!$D$24,0)</f>
        <v>0</v>
      </c>
      <c r="E5088" s="13" t="n">
        <f aca="false">IFERROR(MIN(C5088,Eingaben!$B$17)*Eingaben!$B$16,0)</f>
        <v>0</v>
      </c>
      <c r="F5088" s="13" t="n">
        <f aca="false">IFERROR(E5088*Eingaben!$B$15,0)</f>
        <v>0</v>
      </c>
      <c r="G5088" s="13" t="n">
        <f aca="false">IFERROR(IF(Kalender!A330="",0,J5087*(1-Eingaben!$B$20)),0)</f>
        <v>0</v>
      </c>
      <c r="H5088" s="13" t="n">
        <f aca="false">MIN(G5088,D5088)</f>
        <v>0</v>
      </c>
      <c r="I5088" s="13" t="n">
        <f aca="false">IFERROR(MIN(F5088*Eingaben!$B$19,MAX(0,D5088-H5088)),0)</f>
        <v>0</v>
      </c>
      <c r="J5088" s="13" t="n">
        <f aca="false">IFERROR(MIN(Eingaben!$B$18,MAX(0,F5088-I5088)),0)</f>
        <v>0</v>
      </c>
      <c r="K5088" s="13" t="n">
        <f aca="false">H5088+I5088</f>
        <v>0</v>
      </c>
      <c r="L5088" s="13" t="n">
        <f aca="false">MAX(0,D5088-K5088)</f>
        <v>0</v>
      </c>
      <c r="M5088" s="13" t="n">
        <f aca="false">MAX(0,F5088-I5088-J5088)</f>
        <v>0</v>
      </c>
      <c r="N5088" s="13" t="n">
        <f aca="false">IF(Kalender!A330="",0,J5087-H5088)</f>
        <v>0</v>
      </c>
    </row>
    <row r="5089" customFormat="false" ht="16.4" hidden="false" customHeight="false" outlineLevel="0" collapsed="false">
      <c r="A5089" s="13" t="str">
        <f aca="false">""</f>
        <v/>
      </c>
      <c r="B5089" s="13" t="n">
        <f aca="false">327</f>
        <v>327</v>
      </c>
      <c r="C5089" s="13" t="n">
        <f aca="false">IF(Szenarien!$H$24="OK",(IFERROR(SUMIF(Nutzungsprofile!$B$6:$B$11,"Schulbetrieb",Nutzungsprofile!$G$6:$G$11)*Kalender!C331/SUM(Kalender!$C$5:$C$370),0)+IFERROR(SUMIF(Nutzungsprofile!$B$6:$B$11,"Halle",Nutzungsprofile!$G$6:$G$11)*Kalender!D331/SUM(Kalender!$D$5:$D$370),0)+IFERROR(SUMIF(Nutzungsprofile!$B$6:$B$11,"Individuell",Nutzungsprofile!$G$6:$G$11)*Kalender!E331/SUM(Kalender!$E$5:$E$370),0))*Szenarien!$E$24,0)</f>
        <v>0.9</v>
      </c>
      <c r="D5089" s="13" t="n">
        <f aca="false">IF(Szenarien!$H$24="OK",(IFERROR(SUMIF(Nutzungsprofile!$B$17:$B$22,"Schulbetrieb",Nutzungsprofile!$G$17:$G$22)*Kalender!C331/SUM(Kalender!$C$5:$C$370),0)+IFERROR(SUMIF(Nutzungsprofile!$B$17:$B$22,"Halle",Nutzungsprofile!$G$17:$G$22)*Kalender!D331/SUM(Kalender!$D$5:$D$370),0)+IFERROR(SUMIF(Nutzungsprofile!$B$17:$B$22,"Individuell",Nutzungsprofile!$G$17:$G$22)*Kalender!E331/SUM(Kalender!$E$5:$E$370),0))*Szenarien!$D$24,0)</f>
        <v>4.05</v>
      </c>
      <c r="E5089" s="13" t="n">
        <f aca="false">IFERROR(MIN(C5089,Eingaben!$B$17)*Eingaben!$B$16,0)</f>
        <v>0.855</v>
      </c>
      <c r="F5089" s="13" t="n">
        <f aca="false">IFERROR(E5089*Eingaben!$B$15,0)</f>
        <v>0.7695</v>
      </c>
      <c r="G5089" s="13" t="n">
        <f aca="false">IFERROR(IF(Kalender!A331="",0,J5088*(1-Eingaben!$B$20)),0)</f>
        <v>0</v>
      </c>
      <c r="H5089" s="13" t="n">
        <f aca="false">MIN(G5089,D5089)</f>
        <v>0</v>
      </c>
      <c r="I5089" s="13" t="n">
        <f aca="false">IFERROR(MIN(F5089*Eingaben!$B$19,MAX(0,D5089-H5089)),0)</f>
        <v>0.53865</v>
      </c>
      <c r="J5089" s="13" t="n">
        <f aca="false">IFERROR(MIN(Eingaben!$B$18,MAX(0,F5089-I5089)),0)</f>
        <v>0.23085</v>
      </c>
      <c r="K5089" s="13" t="n">
        <f aca="false">H5089+I5089</f>
        <v>0.53865</v>
      </c>
      <c r="L5089" s="13" t="n">
        <f aca="false">MAX(0,D5089-K5089)</f>
        <v>3.51135</v>
      </c>
      <c r="M5089" s="13" t="n">
        <f aca="false">MAX(0,F5089-I5089-J5089)</f>
        <v>0</v>
      </c>
      <c r="N5089" s="13" t="n">
        <f aca="false">IF(Kalender!A331="",0,J5088-H5089)</f>
        <v>0</v>
      </c>
    </row>
    <row r="5090" customFormat="false" ht="16.4" hidden="false" customHeight="false" outlineLevel="0" collapsed="false">
      <c r="A5090" s="13" t="str">
        <f aca="false">""</f>
        <v/>
      </c>
      <c r="B5090" s="13" t="n">
        <f aca="false">328</f>
        <v>328</v>
      </c>
      <c r="C5090" s="13" t="n">
        <f aca="false">IF(Szenarien!$H$24="OK",(IFERROR(SUMIF(Nutzungsprofile!$B$6:$B$11,"Schulbetrieb",Nutzungsprofile!$G$6:$G$11)*Kalender!C332/SUM(Kalender!$C$5:$C$370),0)+IFERROR(SUMIF(Nutzungsprofile!$B$6:$B$11,"Halle",Nutzungsprofile!$G$6:$G$11)*Kalender!D332/SUM(Kalender!$D$5:$D$370),0)+IFERROR(SUMIF(Nutzungsprofile!$B$6:$B$11,"Individuell",Nutzungsprofile!$G$6:$G$11)*Kalender!E332/SUM(Kalender!$E$5:$E$370),0))*Szenarien!$E$24,0)</f>
        <v>0.9</v>
      </c>
      <c r="D5090" s="13" t="n">
        <f aca="false">IF(Szenarien!$H$24="OK",(IFERROR(SUMIF(Nutzungsprofile!$B$17:$B$22,"Schulbetrieb",Nutzungsprofile!$G$17:$G$22)*Kalender!C332/SUM(Kalender!$C$5:$C$370),0)+IFERROR(SUMIF(Nutzungsprofile!$B$17:$B$22,"Halle",Nutzungsprofile!$G$17:$G$22)*Kalender!D332/SUM(Kalender!$D$5:$D$370),0)+IFERROR(SUMIF(Nutzungsprofile!$B$17:$B$22,"Individuell",Nutzungsprofile!$G$17:$G$22)*Kalender!E332/SUM(Kalender!$E$5:$E$370),0))*Szenarien!$D$24,0)</f>
        <v>4.05</v>
      </c>
      <c r="E5090" s="13" t="n">
        <f aca="false">IFERROR(MIN(C5090,Eingaben!$B$17)*Eingaben!$B$16,0)</f>
        <v>0.855</v>
      </c>
      <c r="F5090" s="13" t="n">
        <f aca="false">IFERROR(E5090*Eingaben!$B$15,0)</f>
        <v>0.7695</v>
      </c>
      <c r="G5090" s="13" t="n">
        <f aca="false">IFERROR(IF(Kalender!A332="",0,J5089*(1-Eingaben!$B$20)),0)</f>
        <v>0.226233</v>
      </c>
      <c r="H5090" s="13" t="n">
        <f aca="false">MIN(G5090,D5090)</f>
        <v>0.226233</v>
      </c>
      <c r="I5090" s="13" t="n">
        <f aca="false">IFERROR(MIN(F5090*Eingaben!$B$19,MAX(0,D5090-H5090)),0)</f>
        <v>0.53865</v>
      </c>
      <c r="J5090" s="13" t="n">
        <f aca="false">IFERROR(MIN(Eingaben!$B$18,MAX(0,F5090-I5090)),0)</f>
        <v>0.23085</v>
      </c>
      <c r="K5090" s="13" t="n">
        <f aca="false">H5090+I5090</f>
        <v>0.764883</v>
      </c>
      <c r="L5090" s="13" t="n">
        <f aca="false">MAX(0,D5090-K5090)</f>
        <v>3.285117</v>
      </c>
      <c r="M5090" s="13" t="n">
        <f aca="false">MAX(0,F5090-I5090-J5090)</f>
        <v>0</v>
      </c>
      <c r="N5090" s="13" t="n">
        <f aca="false">IF(Kalender!A332="",0,J5089-H5090)</f>
        <v>0.00461700000000001</v>
      </c>
    </row>
    <row r="5091" customFormat="false" ht="16.4" hidden="false" customHeight="false" outlineLevel="0" collapsed="false">
      <c r="A5091" s="13" t="str">
        <f aca="false">""</f>
        <v/>
      </c>
      <c r="B5091" s="13" t="n">
        <f aca="false">329</f>
        <v>329</v>
      </c>
      <c r="C5091" s="13" t="n">
        <f aca="false">IF(Szenarien!$H$24="OK",(IFERROR(SUMIF(Nutzungsprofile!$B$6:$B$11,"Schulbetrieb",Nutzungsprofile!$G$6:$G$11)*Kalender!C333/SUM(Kalender!$C$5:$C$370),0)+IFERROR(SUMIF(Nutzungsprofile!$B$6:$B$11,"Halle",Nutzungsprofile!$G$6:$G$11)*Kalender!D333/SUM(Kalender!$D$5:$D$370),0)+IFERROR(SUMIF(Nutzungsprofile!$B$6:$B$11,"Individuell",Nutzungsprofile!$G$6:$G$11)*Kalender!E333/SUM(Kalender!$E$5:$E$370),0))*Szenarien!$E$24,0)</f>
        <v>0</v>
      </c>
      <c r="D5091" s="13" t="n">
        <f aca="false">IF(Szenarien!$H$24="OK",(IFERROR(SUMIF(Nutzungsprofile!$B$17:$B$22,"Schulbetrieb",Nutzungsprofile!$G$17:$G$22)*Kalender!C333/SUM(Kalender!$C$5:$C$370),0)+IFERROR(SUMIF(Nutzungsprofile!$B$17:$B$22,"Halle",Nutzungsprofile!$G$17:$G$22)*Kalender!D333/SUM(Kalender!$D$5:$D$370),0)+IFERROR(SUMIF(Nutzungsprofile!$B$17:$B$22,"Individuell",Nutzungsprofile!$G$17:$G$22)*Kalender!E333/SUM(Kalender!$E$5:$E$370),0))*Szenarien!$D$24,0)</f>
        <v>0</v>
      </c>
      <c r="E5091" s="13" t="n">
        <f aca="false">IFERROR(MIN(C5091,Eingaben!$B$17)*Eingaben!$B$16,0)</f>
        <v>0</v>
      </c>
      <c r="F5091" s="13" t="n">
        <f aca="false">IFERROR(E5091*Eingaben!$B$15,0)</f>
        <v>0</v>
      </c>
      <c r="G5091" s="13" t="n">
        <f aca="false">IFERROR(IF(Kalender!A333="",0,J5090*(1-Eingaben!$B$20)),0)</f>
        <v>0.226233</v>
      </c>
      <c r="H5091" s="13" t="n">
        <f aca="false">MIN(G5091,D5091)</f>
        <v>0</v>
      </c>
      <c r="I5091" s="13" t="n">
        <f aca="false">IFERROR(MIN(F5091*Eingaben!$B$19,MAX(0,D5091-H5091)),0)</f>
        <v>0</v>
      </c>
      <c r="J5091" s="13" t="n">
        <f aca="false">IFERROR(MIN(Eingaben!$B$18,MAX(0,F5091-I5091)),0)</f>
        <v>0</v>
      </c>
      <c r="K5091" s="13" t="n">
        <f aca="false">H5091+I5091</f>
        <v>0</v>
      </c>
      <c r="L5091" s="13" t="n">
        <f aca="false">MAX(0,D5091-K5091)</f>
        <v>0</v>
      </c>
      <c r="M5091" s="13" t="n">
        <f aca="false">MAX(0,F5091-I5091-J5091)</f>
        <v>0</v>
      </c>
      <c r="N5091" s="13" t="n">
        <f aca="false">IF(Kalender!A333="",0,J5090-H5091)</f>
        <v>0.23085</v>
      </c>
    </row>
    <row r="5092" customFormat="false" ht="16.4" hidden="false" customHeight="false" outlineLevel="0" collapsed="false">
      <c r="A5092" s="13" t="str">
        <f aca="false">""</f>
        <v/>
      </c>
      <c r="B5092" s="13" t="n">
        <f aca="false">330</f>
        <v>330</v>
      </c>
      <c r="C5092" s="13" t="n">
        <f aca="false">IF(Szenarien!$H$24="OK",(IFERROR(SUMIF(Nutzungsprofile!$B$6:$B$11,"Schulbetrieb",Nutzungsprofile!$G$6:$G$11)*Kalender!C334/SUM(Kalender!$C$5:$C$370),0)+IFERROR(SUMIF(Nutzungsprofile!$B$6:$B$11,"Halle",Nutzungsprofile!$G$6:$G$11)*Kalender!D334/SUM(Kalender!$D$5:$D$370),0)+IFERROR(SUMIF(Nutzungsprofile!$B$6:$B$11,"Individuell",Nutzungsprofile!$G$6:$G$11)*Kalender!E334/SUM(Kalender!$E$5:$E$370),0))*Szenarien!$E$24,0)</f>
        <v>0</v>
      </c>
      <c r="D5092" s="13" t="n">
        <f aca="false">IF(Szenarien!$H$24="OK",(IFERROR(SUMIF(Nutzungsprofile!$B$17:$B$22,"Schulbetrieb",Nutzungsprofile!$G$17:$G$22)*Kalender!C334/SUM(Kalender!$C$5:$C$370),0)+IFERROR(SUMIF(Nutzungsprofile!$B$17:$B$22,"Halle",Nutzungsprofile!$G$17:$G$22)*Kalender!D334/SUM(Kalender!$D$5:$D$370),0)+IFERROR(SUMIF(Nutzungsprofile!$B$17:$B$22,"Individuell",Nutzungsprofile!$G$17:$G$22)*Kalender!E334/SUM(Kalender!$E$5:$E$370),0))*Szenarien!$D$24,0)</f>
        <v>0</v>
      </c>
      <c r="E5092" s="13" t="n">
        <f aca="false">IFERROR(MIN(C5092,Eingaben!$B$17)*Eingaben!$B$16,0)</f>
        <v>0</v>
      </c>
      <c r="F5092" s="13" t="n">
        <f aca="false">IFERROR(E5092*Eingaben!$B$15,0)</f>
        <v>0</v>
      </c>
      <c r="G5092" s="13" t="n">
        <f aca="false">IFERROR(IF(Kalender!A334="",0,J5091*(1-Eingaben!$B$20)),0)</f>
        <v>0</v>
      </c>
      <c r="H5092" s="13" t="n">
        <f aca="false">MIN(G5092,D5092)</f>
        <v>0</v>
      </c>
      <c r="I5092" s="13" t="n">
        <f aca="false">IFERROR(MIN(F5092*Eingaben!$B$19,MAX(0,D5092-H5092)),0)</f>
        <v>0</v>
      </c>
      <c r="J5092" s="13" t="n">
        <f aca="false">IFERROR(MIN(Eingaben!$B$18,MAX(0,F5092-I5092)),0)</f>
        <v>0</v>
      </c>
      <c r="K5092" s="13" t="n">
        <f aca="false">H5092+I5092</f>
        <v>0</v>
      </c>
      <c r="L5092" s="13" t="n">
        <f aca="false">MAX(0,D5092-K5092)</f>
        <v>0</v>
      </c>
      <c r="M5092" s="13" t="n">
        <f aca="false">MAX(0,F5092-I5092-J5092)</f>
        <v>0</v>
      </c>
      <c r="N5092" s="13" t="n">
        <f aca="false">IF(Kalender!A334="",0,J5091-H5092)</f>
        <v>0</v>
      </c>
    </row>
    <row r="5093" customFormat="false" ht="16.4" hidden="false" customHeight="false" outlineLevel="0" collapsed="false">
      <c r="A5093" s="13" t="str">
        <f aca="false">""</f>
        <v/>
      </c>
      <c r="B5093" s="13" t="n">
        <f aca="false">331</f>
        <v>331</v>
      </c>
      <c r="C5093" s="13" t="n">
        <f aca="false">IF(Szenarien!$H$24="OK",(IFERROR(SUMIF(Nutzungsprofile!$B$6:$B$11,"Schulbetrieb",Nutzungsprofile!$G$6:$G$11)*Kalender!C335/SUM(Kalender!$C$5:$C$370),0)+IFERROR(SUMIF(Nutzungsprofile!$B$6:$B$11,"Halle",Nutzungsprofile!$G$6:$G$11)*Kalender!D335/SUM(Kalender!$D$5:$D$370),0)+IFERROR(SUMIF(Nutzungsprofile!$B$6:$B$11,"Individuell",Nutzungsprofile!$G$6:$G$11)*Kalender!E335/SUM(Kalender!$E$5:$E$370),0))*Szenarien!$E$24,0)</f>
        <v>0</v>
      </c>
      <c r="D5093" s="13" t="n">
        <f aca="false">IF(Szenarien!$H$24="OK",(IFERROR(SUMIF(Nutzungsprofile!$B$17:$B$22,"Schulbetrieb",Nutzungsprofile!$G$17:$G$22)*Kalender!C335/SUM(Kalender!$C$5:$C$370),0)+IFERROR(SUMIF(Nutzungsprofile!$B$17:$B$22,"Halle",Nutzungsprofile!$G$17:$G$22)*Kalender!D335/SUM(Kalender!$D$5:$D$370),0)+IFERROR(SUMIF(Nutzungsprofile!$B$17:$B$22,"Individuell",Nutzungsprofile!$G$17:$G$22)*Kalender!E335/SUM(Kalender!$E$5:$E$370),0))*Szenarien!$D$24,0)</f>
        <v>0</v>
      </c>
      <c r="E5093" s="13" t="n">
        <f aca="false">IFERROR(MIN(C5093,Eingaben!$B$17)*Eingaben!$B$16,0)</f>
        <v>0</v>
      </c>
      <c r="F5093" s="13" t="n">
        <f aca="false">IFERROR(E5093*Eingaben!$B$15,0)</f>
        <v>0</v>
      </c>
      <c r="G5093" s="13" t="n">
        <f aca="false">IFERROR(IF(Kalender!A335="",0,J5092*(1-Eingaben!$B$20)),0)</f>
        <v>0</v>
      </c>
      <c r="H5093" s="13" t="n">
        <f aca="false">MIN(G5093,D5093)</f>
        <v>0</v>
      </c>
      <c r="I5093" s="13" t="n">
        <f aca="false">IFERROR(MIN(F5093*Eingaben!$B$19,MAX(0,D5093-H5093)),0)</f>
        <v>0</v>
      </c>
      <c r="J5093" s="13" t="n">
        <f aca="false">IFERROR(MIN(Eingaben!$B$18,MAX(0,F5093-I5093)),0)</f>
        <v>0</v>
      </c>
      <c r="K5093" s="13" t="n">
        <f aca="false">H5093+I5093</f>
        <v>0</v>
      </c>
      <c r="L5093" s="13" t="n">
        <f aca="false">MAX(0,D5093-K5093)</f>
        <v>0</v>
      </c>
      <c r="M5093" s="13" t="n">
        <f aca="false">MAX(0,F5093-I5093-J5093)</f>
        <v>0</v>
      </c>
      <c r="N5093" s="13" t="n">
        <f aca="false">IF(Kalender!A335="",0,J5092-H5093)</f>
        <v>0</v>
      </c>
    </row>
    <row r="5094" customFormat="false" ht="16.4" hidden="false" customHeight="false" outlineLevel="0" collapsed="false">
      <c r="A5094" s="13" t="str">
        <f aca="false">""</f>
        <v/>
      </c>
      <c r="B5094" s="13" t="n">
        <f aca="false">332</f>
        <v>332</v>
      </c>
      <c r="C5094" s="13" t="n">
        <f aca="false">IF(Szenarien!$H$24="OK",(IFERROR(SUMIF(Nutzungsprofile!$B$6:$B$11,"Schulbetrieb",Nutzungsprofile!$G$6:$G$11)*Kalender!C336/SUM(Kalender!$C$5:$C$370),0)+IFERROR(SUMIF(Nutzungsprofile!$B$6:$B$11,"Halle",Nutzungsprofile!$G$6:$G$11)*Kalender!D336/SUM(Kalender!$D$5:$D$370),0)+IFERROR(SUMIF(Nutzungsprofile!$B$6:$B$11,"Individuell",Nutzungsprofile!$G$6:$G$11)*Kalender!E336/SUM(Kalender!$E$5:$E$370),0))*Szenarien!$E$24,0)</f>
        <v>0</v>
      </c>
      <c r="D5094" s="13" t="n">
        <f aca="false">IF(Szenarien!$H$24="OK",(IFERROR(SUMIF(Nutzungsprofile!$B$17:$B$22,"Schulbetrieb",Nutzungsprofile!$G$17:$G$22)*Kalender!C336/SUM(Kalender!$C$5:$C$370),0)+IFERROR(SUMIF(Nutzungsprofile!$B$17:$B$22,"Halle",Nutzungsprofile!$G$17:$G$22)*Kalender!D336/SUM(Kalender!$D$5:$D$370),0)+IFERROR(SUMIF(Nutzungsprofile!$B$17:$B$22,"Individuell",Nutzungsprofile!$G$17:$G$22)*Kalender!E336/SUM(Kalender!$E$5:$E$370),0))*Szenarien!$D$24,0)</f>
        <v>0</v>
      </c>
      <c r="E5094" s="13" t="n">
        <f aca="false">IFERROR(MIN(C5094,Eingaben!$B$17)*Eingaben!$B$16,0)</f>
        <v>0</v>
      </c>
      <c r="F5094" s="13" t="n">
        <f aca="false">IFERROR(E5094*Eingaben!$B$15,0)</f>
        <v>0</v>
      </c>
      <c r="G5094" s="13" t="n">
        <f aca="false">IFERROR(IF(Kalender!A336="",0,J5093*(1-Eingaben!$B$20)),0)</f>
        <v>0</v>
      </c>
      <c r="H5094" s="13" t="n">
        <f aca="false">MIN(G5094,D5094)</f>
        <v>0</v>
      </c>
      <c r="I5094" s="13" t="n">
        <f aca="false">IFERROR(MIN(F5094*Eingaben!$B$19,MAX(0,D5094-H5094)),0)</f>
        <v>0</v>
      </c>
      <c r="J5094" s="13" t="n">
        <f aca="false">IFERROR(MIN(Eingaben!$B$18,MAX(0,F5094-I5094)),0)</f>
        <v>0</v>
      </c>
      <c r="K5094" s="13" t="n">
        <f aca="false">H5094+I5094</f>
        <v>0</v>
      </c>
      <c r="L5094" s="13" t="n">
        <f aca="false">MAX(0,D5094-K5094)</f>
        <v>0</v>
      </c>
      <c r="M5094" s="13" t="n">
        <f aca="false">MAX(0,F5094-I5094-J5094)</f>
        <v>0</v>
      </c>
      <c r="N5094" s="13" t="n">
        <f aca="false">IF(Kalender!A336="",0,J5093-H5094)</f>
        <v>0</v>
      </c>
    </row>
    <row r="5095" customFormat="false" ht="16.4" hidden="false" customHeight="false" outlineLevel="0" collapsed="false">
      <c r="A5095" s="13" t="str">
        <f aca="false">""</f>
        <v/>
      </c>
      <c r="B5095" s="13" t="n">
        <f aca="false">333</f>
        <v>333</v>
      </c>
      <c r="C5095" s="13" t="n">
        <f aca="false">IF(Szenarien!$H$24="OK",(IFERROR(SUMIF(Nutzungsprofile!$B$6:$B$11,"Schulbetrieb",Nutzungsprofile!$G$6:$G$11)*Kalender!C337/SUM(Kalender!$C$5:$C$370),0)+IFERROR(SUMIF(Nutzungsprofile!$B$6:$B$11,"Halle",Nutzungsprofile!$G$6:$G$11)*Kalender!D337/SUM(Kalender!$D$5:$D$370),0)+IFERROR(SUMIF(Nutzungsprofile!$B$6:$B$11,"Individuell",Nutzungsprofile!$G$6:$G$11)*Kalender!E337/SUM(Kalender!$E$5:$E$370),0))*Szenarien!$E$24,0)</f>
        <v>0</v>
      </c>
      <c r="D5095" s="13" t="n">
        <f aca="false">IF(Szenarien!$H$24="OK",(IFERROR(SUMIF(Nutzungsprofile!$B$17:$B$22,"Schulbetrieb",Nutzungsprofile!$G$17:$G$22)*Kalender!C337/SUM(Kalender!$C$5:$C$370),0)+IFERROR(SUMIF(Nutzungsprofile!$B$17:$B$22,"Halle",Nutzungsprofile!$G$17:$G$22)*Kalender!D337/SUM(Kalender!$D$5:$D$370),0)+IFERROR(SUMIF(Nutzungsprofile!$B$17:$B$22,"Individuell",Nutzungsprofile!$G$17:$G$22)*Kalender!E337/SUM(Kalender!$E$5:$E$370),0))*Szenarien!$D$24,0)</f>
        <v>0</v>
      </c>
      <c r="E5095" s="13" t="n">
        <f aca="false">IFERROR(MIN(C5095,Eingaben!$B$17)*Eingaben!$B$16,0)</f>
        <v>0</v>
      </c>
      <c r="F5095" s="13" t="n">
        <f aca="false">IFERROR(E5095*Eingaben!$B$15,0)</f>
        <v>0</v>
      </c>
      <c r="G5095" s="13" t="n">
        <f aca="false">IFERROR(IF(Kalender!A337="",0,J5094*(1-Eingaben!$B$20)),0)</f>
        <v>0</v>
      </c>
      <c r="H5095" s="13" t="n">
        <f aca="false">MIN(G5095,D5095)</f>
        <v>0</v>
      </c>
      <c r="I5095" s="13" t="n">
        <f aca="false">IFERROR(MIN(F5095*Eingaben!$B$19,MAX(0,D5095-H5095)),0)</f>
        <v>0</v>
      </c>
      <c r="J5095" s="13" t="n">
        <f aca="false">IFERROR(MIN(Eingaben!$B$18,MAX(0,F5095-I5095)),0)</f>
        <v>0</v>
      </c>
      <c r="K5095" s="13" t="n">
        <f aca="false">H5095+I5095</f>
        <v>0</v>
      </c>
      <c r="L5095" s="13" t="n">
        <f aca="false">MAX(0,D5095-K5095)</f>
        <v>0</v>
      </c>
      <c r="M5095" s="13" t="n">
        <f aca="false">MAX(0,F5095-I5095-J5095)</f>
        <v>0</v>
      </c>
      <c r="N5095" s="13" t="n">
        <f aca="false">IF(Kalender!A337="",0,J5094-H5095)</f>
        <v>0</v>
      </c>
    </row>
    <row r="5096" customFormat="false" ht="16.4" hidden="false" customHeight="false" outlineLevel="0" collapsed="false">
      <c r="A5096" s="13" t="str">
        <f aca="false">""</f>
        <v/>
      </c>
      <c r="B5096" s="13" t="n">
        <f aca="false">334</f>
        <v>334</v>
      </c>
      <c r="C5096" s="13" t="n">
        <f aca="false">IF(Szenarien!$H$24="OK",(IFERROR(SUMIF(Nutzungsprofile!$B$6:$B$11,"Schulbetrieb",Nutzungsprofile!$G$6:$G$11)*Kalender!C338/SUM(Kalender!$C$5:$C$370),0)+IFERROR(SUMIF(Nutzungsprofile!$B$6:$B$11,"Halle",Nutzungsprofile!$G$6:$G$11)*Kalender!D338/SUM(Kalender!$D$5:$D$370),0)+IFERROR(SUMIF(Nutzungsprofile!$B$6:$B$11,"Individuell",Nutzungsprofile!$G$6:$G$11)*Kalender!E338/SUM(Kalender!$E$5:$E$370),0))*Szenarien!$E$24,0)</f>
        <v>0</v>
      </c>
      <c r="D5096" s="13" t="n">
        <f aca="false">IF(Szenarien!$H$24="OK",(IFERROR(SUMIF(Nutzungsprofile!$B$17:$B$22,"Schulbetrieb",Nutzungsprofile!$G$17:$G$22)*Kalender!C338/SUM(Kalender!$C$5:$C$370),0)+IFERROR(SUMIF(Nutzungsprofile!$B$17:$B$22,"Halle",Nutzungsprofile!$G$17:$G$22)*Kalender!D338/SUM(Kalender!$D$5:$D$370),0)+IFERROR(SUMIF(Nutzungsprofile!$B$17:$B$22,"Individuell",Nutzungsprofile!$G$17:$G$22)*Kalender!E338/SUM(Kalender!$E$5:$E$370),0))*Szenarien!$D$24,0)</f>
        <v>0</v>
      </c>
      <c r="E5096" s="13" t="n">
        <f aca="false">IFERROR(MIN(C5096,Eingaben!$B$17)*Eingaben!$B$16,0)</f>
        <v>0</v>
      </c>
      <c r="F5096" s="13" t="n">
        <f aca="false">IFERROR(E5096*Eingaben!$B$15,0)</f>
        <v>0</v>
      </c>
      <c r="G5096" s="13" t="n">
        <f aca="false">IFERROR(IF(Kalender!A338="",0,J5095*(1-Eingaben!$B$20)),0)</f>
        <v>0</v>
      </c>
      <c r="H5096" s="13" t="n">
        <f aca="false">MIN(G5096,D5096)</f>
        <v>0</v>
      </c>
      <c r="I5096" s="13" t="n">
        <f aca="false">IFERROR(MIN(F5096*Eingaben!$B$19,MAX(0,D5096-H5096)),0)</f>
        <v>0</v>
      </c>
      <c r="J5096" s="13" t="n">
        <f aca="false">IFERROR(MIN(Eingaben!$B$18,MAX(0,F5096-I5096)),0)</f>
        <v>0</v>
      </c>
      <c r="K5096" s="13" t="n">
        <f aca="false">H5096+I5096</f>
        <v>0</v>
      </c>
      <c r="L5096" s="13" t="n">
        <f aca="false">MAX(0,D5096-K5096)</f>
        <v>0</v>
      </c>
      <c r="M5096" s="13" t="n">
        <f aca="false">MAX(0,F5096-I5096-J5096)</f>
        <v>0</v>
      </c>
      <c r="N5096" s="13" t="n">
        <f aca="false">IF(Kalender!A338="",0,J5095-H5096)</f>
        <v>0</v>
      </c>
    </row>
    <row r="5097" customFormat="false" ht="16.4" hidden="false" customHeight="false" outlineLevel="0" collapsed="false">
      <c r="A5097" s="13" t="str">
        <f aca="false">""</f>
        <v/>
      </c>
      <c r="B5097" s="13" t="n">
        <f aca="false">335</f>
        <v>335</v>
      </c>
      <c r="C5097" s="13" t="n">
        <f aca="false">IF(Szenarien!$H$24="OK",(IFERROR(SUMIF(Nutzungsprofile!$B$6:$B$11,"Schulbetrieb",Nutzungsprofile!$G$6:$G$11)*Kalender!C339/SUM(Kalender!$C$5:$C$370),0)+IFERROR(SUMIF(Nutzungsprofile!$B$6:$B$11,"Halle",Nutzungsprofile!$G$6:$G$11)*Kalender!D339/SUM(Kalender!$D$5:$D$370),0)+IFERROR(SUMIF(Nutzungsprofile!$B$6:$B$11,"Individuell",Nutzungsprofile!$G$6:$G$11)*Kalender!E339/SUM(Kalender!$E$5:$E$370),0))*Szenarien!$E$24,0)</f>
        <v>0</v>
      </c>
      <c r="D5097" s="13" t="n">
        <f aca="false">IF(Szenarien!$H$24="OK",(IFERROR(SUMIF(Nutzungsprofile!$B$17:$B$22,"Schulbetrieb",Nutzungsprofile!$G$17:$G$22)*Kalender!C339/SUM(Kalender!$C$5:$C$370),0)+IFERROR(SUMIF(Nutzungsprofile!$B$17:$B$22,"Halle",Nutzungsprofile!$G$17:$G$22)*Kalender!D339/SUM(Kalender!$D$5:$D$370),0)+IFERROR(SUMIF(Nutzungsprofile!$B$17:$B$22,"Individuell",Nutzungsprofile!$G$17:$G$22)*Kalender!E339/SUM(Kalender!$E$5:$E$370),0))*Szenarien!$D$24,0)</f>
        <v>0</v>
      </c>
      <c r="E5097" s="13" t="n">
        <f aca="false">IFERROR(MIN(C5097,Eingaben!$B$17)*Eingaben!$B$16,0)</f>
        <v>0</v>
      </c>
      <c r="F5097" s="13" t="n">
        <f aca="false">IFERROR(E5097*Eingaben!$B$15,0)</f>
        <v>0</v>
      </c>
      <c r="G5097" s="13" t="n">
        <f aca="false">IFERROR(IF(Kalender!A339="",0,J5096*(1-Eingaben!$B$20)),0)</f>
        <v>0</v>
      </c>
      <c r="H5097" s="13" t="n">
        <f aca="false">MIN(G5097,D5097)</f>
        <v>0</v>
      </c>
      <c r="I5097" s="13" t="n">
        <f aca="false">IFERROR(MIN(F5097*Eingaben!$B$19,MAX(0,D5097-H5097)),0)</f>
        <v>0</v>
      </c>
      <c r="J5097" s="13" t="n">
        <f aca="false">IFERROR(MIN(Eingaben!$B$18,MAX(0,F5097-I5097)),0)</f>
        <v>0</v>
      </c>
      <c r="K5097" s="13" t="n">
        <f aca="false">H5097+I5097</f>
        <v>0</v>
      </c>
      <c r="L5097" s="13" t="n">
        <f aca="false">MAX(0,D5097-K5097)</f>
        <v>0</v>
      </c>
      <c r="M5097" s="13" t="n">
        <f aca="false">MAX(0,F5097-I5097-J5097)</f>
        <v>0</v>
      </c>
      <c r="N5097" s="13" t="n">
        <f aca="false">IF(Kalender!A339="",0,J5096-H5097)</f>
        <v>0</v>
      </c>
    </row>
    <row r="5098" customFormat="false" ht="16.4" hidden="false" customHeight="false" outlineLevel="0" collapsed="false">
      <c r="A5098" s="13" t="str">
        <f aca="false">""</f>
        <v/>
      </c>
      <c r="B5098" s="13" t="n">
        <f aca="false">336</f>
        <v>336</v>
      </c>
      <c r="C5098" s="13" t="n">
        <f aca="false">IF(Szenarien!$H$24="OK",(IFERROR(SUMIF(Nutzungsprofile!$B$6:$B$11,"Schulbetrieb",Nutzungsprofile!$G$6:$G$11)*Kalender!C340/SUM(Kalender!$C$5:$C$370),0)+IFERROR(SUMIF(Nutzungsprofile!$B$6:$B$11,"Halle",Nutzungsprofile!$G$6:$G$11)*Kalender!D340/SUM(Kalender!$D$5:$D$370),0)+IFERROR(SUMIF(Nutzungsprofile!$B$6:$B$11,"Individuell",Nutzungsprofile!$G$6:$G$11)*Kalender!E340/SUM(Kalender!$E$5:$E$370),0))*Szenarien!$E$24,0)</f>
        <v>0</v>
      </c>
      <c r="D5098" s="13" t="n">
        <f aca="false">IF(Szenarien!$H$24="OK",(IFERROR(SUMIF(Nutzungsprofile!$B$17:$B$22,"Schulbetrieb",Nutzungsprofile!$G$17:$G$22)*Kalender!C340/SUM(Kalender!$C$5:$C$370),0)+IFERROR(SUMIF(Nutzungsprofile!$B$17:$B$22,"Halle",Nutzungsprofile!$G$17:$G$22)*Kalender!D340/SUM(Kalender!$D$5:$D$370),0)+IFERROR(SUMIF(Nutzungsprofile!$B$17:$B$22,"Individuell",Nutzungsprofile!$G$17:$G$22)*Kalender!E340/SUM(Kalender!$E$5:$E$370),0))*Szenarien!$D$24,0)</f>
        <v>0</v>
      </c>
      <c r="E5098" s="13" t="n">
        <f aca="false">IFERROR(MIN(C5098,Eingaben!$B$17)*Eingaben!$B$16,0)</f>
        <v>0</v>
      </c>
      <c r="F5098" s="13" t="n">
        <f aca="false">IFERROR(E5098*Eingaben!$B$15,0)</f>
        <v>0</v>
      </c>
      <c r="G5098" s="13" t="n">
        <f aca="false">IFERROR(IF(Kalender!A340="",0,J5097*(1-Eingaben!$B$20)),0)</f>
        <v>0</v>
      </c>
      <c r="H5098" s="13" t="n">
        <f aca="false">MIN(G5098,D5098)</f>
        <v>0</v>
      </c>
      <c r="I5098" s="13" t="n">
        <f aca="false">IFERROR(MIN(F5098*Eingaben!$B$19,MAX(0,D5098-H5098)),0)</f>
        <v>0</v>
      </c>
      <c r="J5098" s="13" t="n">
        <f aca="false">IFERROR(MIN(Eingaben!$B$18,MAX(0,F5098-I5098)),0)</f>
        <v>0</v>
      </c>
      <c r="K5098" s="13" t="n">
        <f aca="false">H5098+I5098</f>
        <v>0</v>
      </c>
      <c r="L5098" s="13" t="n">
        <f aca="false">MAX(0,D5098-K5098)</f>
        <v>0</v>
      </c>
      <c r="M5098" s="13" t="n">
        <f aca="false">MAX(0,F5098-I5098-J5098)</f>
        <v>0</v>
      </c>
      <c r="N5098" s="13" t="n">
        <f aca="false">IF(Kalender!A340="",0,J5097-H5098)</f>
        <v>0</v>
      </c>
    </row>
    <row r="5099" customFormat="false" ht="16.4" hidden="false" customHeight="false" outlineLevel="0" collapsed="false">
      <c r="A5099" s="13" t="str">
        <f aca="false">""</f>
        <v/>
      </c>
      <c r="B5099" s="13" t="n">
        <f aca="false">337</f>
        <v>337</v>
      </c>
      <c r="C5099" s="13" t="n">
        <f aca="false">IF(Szenarien!$H$24="OK",(IFERROR(SUMIF(Nutzungsprofile!$B$6:$B$11,"Schulbetrieb",Nutzungsprofile!$G$6:$G$11)*Kalender!C341/SUM(Kalender!$C$5:$C$370),0)+IFERROR(SUMIF(Nutzungsprofile!$B$6:$B$11,"Halle",Nutzungsprofile!$G$6:$G$11)*Kalender!D341/SUM(Kalender!$D$5:$D$370),0)+IFERROR(SUMIF(Nutzungsprofile!$B$6:$B$11,"Individuell",Nutzungsprofile!$G$6:$G$11)*Kalender!E341/SUM(Kalender!$E$5:$E$370),0))*Szenarien!$E$24,0)</f>
        <v>0</v>
      </c>
      <c r="D5099" s="13" t="n">
        <f aca="false">IF(Szenarien!$H$24="OK",(IFERROR(SUMIF(Nutzungsprofile!$B$17:$B$22,"Schulbetrieb",Nutzungsprofile!$G$17:$G$22)*Kalender!C341/SUM(Kalender!$C$5:$C$370),0)+IFERROR(SUMIF(Nutzungsprofile!$B$17:$B$22,"Halle",Nutzungsprofile!$G$17:$G$22)*Kalender!D341/SUM(Kalender!$D$5:$D$370),0)+IFERROR(SUMIF(Nutzungsprofile!$B$17:$B$22,"Individuell",Nutzungsprofile!$G$17:$G$22)*Kalender!E341/SUM(Kalender!$E$5:$E$370),0))*Szenarien!$D$24,0)</f>
        <v>0</v>
      </c>
      <c r="E5099" s="13" t="n">
        <f aca="false">IFERROR(MIN(C5099,Eingaben!$B$17)*Eingaben!$B$16,0)</f>
        <v>0</v>
      </c>
      <c r="F5099" s="13" t="n">
        <f aca="false">IFERROR(E5099*Eingaben!$B$15,0)</f>
        <v>0</v>
      </c>
      <c r="G5099" s="13" t="n">
        <f aca="false">IFERROR(IF(Kalender!A341="",0,J5098*(1-Eingaben!$B$20)),0)</f>
        <v>0</v>
      </c>
      <c r="H5099" s="13" t="n">
        <f aca="false">MIN(G5099,D5099)</f>
        <v>0</v>
      </c>
      <c r="I5099" s="13" t="n">
        <f aca="false">IFERROR(MIN(F5099*Eingaben!$B$19,MAX(0,D5099-H5099)),0)</f>
        <v>0</v>
      </c>
      <c r="J5099" s="13" t="n">
        <f aca="false">IFERROR(MIN(Eingaben!$B$18,MAX(0,F5099-I5099)),0)</f>
        <v>0</v>
      </c>
      <c r="K5099" s="13" t="n">
        <f aca="false">H5099+I5099</f>
        <v>0</v>
      </c>
      <c r="L5099" s="13" t="n">
        <f aca="false">MAX(0,D5099-K5099)</f>
        <v>0</v>
      </c>
      <c r="M5099" s="13" t="n">
        <f aca="false">MAX(0,F5099-I5099-J5099)</f>
        <v>0</v>
      </c>
      <c r="N5099" s="13" t="n">
        <f aca="false">IF(Kalender!A341="",0,J5098-H5099)</f>
        <v>0</v>
      </c>
    </row>
    <row r="5100" customFormat="false" ht="16.4" hidden="false" customHeight="false" outlineLevel="0" collapsed="false">
      <c r="A5100" s="13" t="str">
        <f aca="false">""</f>
        <v/>
      </c>
      <c r="B5100" s="13" t="n">
        <f aca="false">338</f>
        <v>338</v>
      </c>
      <c r="C5100" s="13" t="n">
        <f aca="false">IF(Szenarien!$H$24="OK",(IFERROR(SUMIF(Nutzungsprofile!$B$6:$B$11,"Schulbetrieb",Nutzungsprofile!$G$6:$G$11)*Kalender!C342/SUM(Kalender!$C$5:$C$370),0)+IFERROR(SUMIF(Nutzungsprofile!$B$6:$B$11,"Halle",Nutzungsprofile!$G$6:$G$11)*Kalender!D342/SUM(Kalender!$D$5:$D$370),0)+IFERROR(SUMIF(Nutzungsprofile!$B$6:$B$11,"Individuell",Nutzungsprofile!$G$6:$G$11)*Kalender!E342/SUM(Kalender!$E$5:$E$370),0))*Szenarien!$E$24,0)</f>
        <v>0</v>
      </c>
      <c r="D5100" s="13" t="n">
        <f aca="false">IF(Szenarien!$H$24="OK",(IFERROR(SUMIF(Nutzungsprofile!$B$17:$B$22,"Schulbetrieb",Nutzungsprofile!$G$17:$G$22)*Kalender!C342/SUM(Kalender!$C$5:$C$370),0)+IFERROR(SUMIF(Nutzungsprofile!$B$17:$B$22,"Halle",Nutzungsprofile!$G$17:$G$22)*Kalender!D342/SUM(Kalender!$D$5:$D$370),0)+IFERROR(SUMIF(Nutzungsprofile!$B$17:$B$22,"Individuell",Nutzungsprofile!$G$17:$G$22)*Kalender!E342/SUM(Kalender!$E$5:$E$370),0))*Szenarien!$D$24,0)</f>
        <v>0</v>
      </c>
      <c r="E5100" s="13" t="n">
        <f aca="false">IFERROR(MIN(C5100,Eingaben!$B$17)*Eingaben!$B$16,0)</f>
        <v>0</v>
      </c>
      <c r="F5100" s="13" t="n">
        <f aca="false">IFERROR(E5100*Eingaben!$B$15,0)</f>
        <v>0</v>
      </c>
      <c r="G5100" s="13" t="n">
        <f aca="false">IFERROR(IF(Kalender!A342="",0,J5099*(1-Eingaben!$B$20)),0)</f>
        <v>0</v>
      </c>
      <c r="H5100" s="13" t="n">
        <f aca="false">MIN(G5100,D5100)</f>
        <v>0</v>
      </c>
      <c r="I5100" s="13" t="n">
        <f aca="false">IFERROR(MIN(F5100*Eingaben!$B$19,MAX(0,D5100-H5100)),0)</f>
        <v>0</v>
      </c>
      <c r="J5100" s="13" t="n">
        <f aca="false">IFERROR(MIN(Eingaben!$B$18,MAX(0,F5100-I5100)),0)</f>
        <v>0</v>
      </c>
      <c r="K5100" s="13" t="n">
        <f aca="false">H5100+I5100</f>
        <v>0</v>
      </c>
      <c r="L5100" s="13" t="n">
        <f aca="false">MAX(0,D5100-K5100)</f>
        <v>0</v>
      </c>
      <c r="M5100" s="13" t="n">
        <f aca="false">MAX(0,F5100-I5100-J5100)</f>
        <v>0</v>
      </c>
      <c r="N5100" s="13" t="n">
        <f aca="false">IF(Kalender!A342="",0,J5099-H5100)</f>
        <v>0</v>
      </c>
    </row>
    <row r="5101" customFormat="false" ht="16.4" hidden="false" customHeight="false" outlineLevel="0" collapsed="false">
      <c r="A5101" s="13" t="str">
        <f aca="false">""</f>
        <v/>
      </c>
      <c r="B5101" s="13" t="n">
        <f aca="false">339</f>
        <v>339</v>
      </c>
      <c r="C5101" s="13" t="n">
        <f aca="false">IF(Szenarien!$H$24="OK",(IFERROR(SUMIF(Nutzungsprofile!$B$6:$B$11,"Schulbetrieb",Nutzungsprofile!$G$6:$G$11)*Kalender!C343/SUM(Kalender!$C$5:$C$370),0)+IFERROR(SUMIF(Nutzungsprofile!$B$6:$B$11,"Halle",Nutzungsprofile!$G$6:$G$11)*Kalender!D343/SUM(Kalender!$D$5:$D$370),0)+IFERROR(SUMIF(Nutzungsprofile!$B$6:$B$11,"Individuell",Nutzungsprofile!$G$6:$G$11)*Kalender!E343/SUM(Kalender!$E$5:$E$370),0))*Szenarien!$E$24,0)</f>
        <v>0</v>
      </c>
      <c r="D5101" s="13" t="n">
        <f aca="false">IF(Szenarien!$H$24="OK",(IFERROR(SUMIF(Nutzungsprofile!$B$17:$B$22,"Schulbetrieb",Nutzungsprofile!$G$17:$G$22)*Kalender!C343/SUM(Kalender!$C$5:$C$370),0)+IFERROR(SUMIF(Nutzungsprofile!$B$17:$B$22,"Halle",Nutzungsprofile!$G$17:$G$22)*Kalender!D343/SUM(Kalender!$D$5:$D$370),0)+IFERROR(SUMIF(Nutzungsprofile!$B$17:$B$22,"Individuell",Nutzungsprofile!$G$17:$G$22)*Kalender!E343/SUM(Kalender!$E$5:$E$370),0))*Szenarien!$D$24,0)</f>
        <v>0</v>
      </c>
      <c r="E5101" s="13" t="n">
        <f aca="false">IFERROR(MIN(C5101,Eingaben!$B$17)*Eingaben!$B$16,0)</f>
        <v>0</v>
      </c>
      <c r="F5101" s="13" t="n">
        <f aca="false">IFERROR(E5101*Eingaben!$B$15,0)</f>
        <v>0</v>
      </c>
      <c r="G5101" s="13" t="n">
        <f aca="false">IFERROR(IF(Kalender!A343="",0,J5100*(1-Eingaben!$B$20)),0)</f>
        <v>0</v>
      </c>
      <c r="H5101" s="13" t="n">
        <f aca="false">MIN(G5101,D5101)</f>
        <v>0</v>
      </c>
      <c r="I5101" s="13" t="n">
        <f aca="false">IFERROR(MIN(F5101*Eingaben!$B$19,MAX(0,D5101-H5101)),0)</f>
        <v>0</v>
      </c>
      <c r="J5101" s="13" t="n">
        <f aca="false">IFERROR(MIN(Eingaben!$B$18,MAX(0,F5101-I5101)),0)</f>
        <v>0</v>
      </c>
      <c r="K5101" s="13" t="n">
        <f aca="false">H5101+I5101</f>
        <v>0</v>
      </c>
      <c r="L5101" s="13" t="n">
        <f aca="false">MAX(0,D5101-K5101)</f>
        <v>0</v>
      </c>
      <c r="M5101" s="13" t="n">
        <f aca="false">MAX(0,F5101-I5101-J5101)</f>
        <v>0</v>
      </c>
      <c r="N5101" s="13" t="n">
        <f aca="false">IF(Kalender!A343="",0,J5100-H5101)</f>
        <v>0</v>
      </c>
    </row>
    <row r="5102" customFormat="false" ht="16.4" hidden="false" customHeight="false" outlineLevel="0" collapsed="false">
      <c r="A5102" s="13" t="str">
        <f aca="false">""</f>
        <v/>
      </c>
      <c r="B5102" s="13" t="n">
        <f aca="false">340</f>
        <v>340</v>
      </c>
      <c r="C5102" s="13" t="n">
        <f aca="false">IF(Szenarien!$H$24="OK",(IFERROR(SUMIF(Nutzungsprofile!$B$6:$B$11,"Schulbetrieb",Nutzungsprofile!$G$6:$G$11)*Kalender!C344/SUM(Kalender!$C$5:$C$370),0)+IFERROR(SUMIF(Nutzungsprofile!$B$6:$B$11,"Halle",Nutzungsprofile!$G$6:$G$11)*Kalender!D344/SUM(Kalender!$D$5:$D$370),0)+IFERROR(SUMIF(Nutzungsprofile!$B$6:$B$11,"Individuell",Nutzungsprofile!$G$6:$G$11)*Kalender!E344/SUM(Kalender!$E$5:$E$370),0))*Szenarien!$E$24,0)</f>
        <v>0</v>
      </c>
      <c r="D5102" s="13" t="n">
        <f aca="false">IF(Szenarien!$H$24="OK",(IFERROR(SUMIF(Nutzungsprofile!$B$17:$B$22,"Schulbetrieb",Nutzungsprofile!$G$17:$G$22)*Kalender!C344/SUM(Kalender!$C$5:$C$370),0)+IFERROR(SUMIF(Nutzungsprofile!$B$17:$B$22,"Halle",Nutzungsprofile!$G$17:$G$22)*Kalender!D344/SUM(Kalender!$D$5:$D$370),0)+IFERROR(SUMIF(Nutzungsprofile!$B$17:$B$22,"Individuell",Nutzungsprofile!$G$17:$G$22)*Kalender!E344/SUM(Kalender!$E$5:$E$370),0))*Szenarien!$D$24,0)</f>
        <v>0</v>
      </c>
      <c r="E5102" s="13" t="n">
        <f aca="false">IFERROR(MIN(C5102,Eingaben!$B$17)*Eingaben!$B$16,0)</f>
        <v>0</v>
      </c>
      <c r="F5102" s="13" t="n">
        <f aca="false">IFERROR(E5102*Eingaben!$B$15,0)</f>
        <v>0</v>
      </c>
      <c r="G5102" s="13" t="n">
        <f aca="false">IFERROR(IF(Kalender!A344="",0,J5101*(1-Eingaben!$B$20)),0)</f>
        <v>0</v>
      </c>
      <c r="H5102" s="13" t="n">
        <f aca="false">MIN(G5102,D5102)</f>
        <v>0</v>
      </c>
      <c r="I5102" s="13" t="n">
        <f aca="false">IFERROR(MIN(F5102*Eingaben!$B$19,MAX(0,D5102-H5102)),0)</f>
        <v>0</v>
      </c>
      <c r="J5102" s="13" t="n">
        <f aca="false">IFERROR(MIN(Eingaben!$B$18,MAX(0,F5102-I5102)),0)</f>
        <v>0</v>
      </c>
      <c r="K5102" s="13" t="n">
        <f aca="false">H5102+I5102</f>
        <v>0</v>
      </c>
      <c r="L5102" s="13" t="n">
        <f aca="false">MAX(0,D5102-K5102)</f>
        <v>0</v>
      </c>
      <c r="M5102" s="13" t="n">
        <f aca="false">MAX(0,F5102-I5102-J5102)</f>
        <v>0</v>
      </c>
      <c r="N5102" s="13" t="n">
        <f aca="false">IF(Kalender!A344="",0,J5101-H5102)</f>
        <v>0</v>
      </c>
    </row>
    <row r="5103" customFormat="false" ht="16.4" hidden="false" customHeight="false" outlineLevel="0" collapsed="false">
      <c r="A5103" s="13" t="str">
        <f aca="false">""</f>
        <v/>
      </c>
      <c r="B5103" s="13" t="n">
        <f aca="false">341</f>
        <v>341</v>
      </c>
      <c r="C5103" s="13" t="n">
        <f aca="false">IF(Szenarien!$H$24="OK",(IFERROR(SUMIF(Nutzungsprofile!$B$6:$B$11,"Schulbetrieb",Nutzungsprofile!$G$6:$G$11)*Kalender!C345/SUM(Kalender!$C$5:$C$370),0)+IFERROR(SUMIF(Nutzungsprofile!$B$6:$B$11,"Halle",Nutzungsprofile!$G$6:$G$11)*Kalender!D345/SUM(Kalender!$D$5:$D$370),0)+IFERROR(SUMIF(Nutzungsprofile!$B$6:$B$11,"Individuell",Nutzungsprofile!$G$6:$G$11)*Kalender!E345/SUM(Kalender!$E$5:$E$370),0))*Szenarien!$E$24,0)</f>
        <v>0</v>
      </c>
      <c r="D5103" s="13" t="n">
        <f aca="false">IF(Szenarien!$H$24="OK",(IFERROR(SUMIF(Nutzungsprofile!$B$17:$B$22,"Schulbetrieb",Nutzungsprofile!$G$17:$G$22)*Kalender!C345/SUM(Kalender!$C$5:$C$370),0)+IFERROR(SUMIF(Nutzungsprofile!$B$17:$B$22,"Halle",Nutzungsprofile!$G$17:$G$22)*Kalender!D345/SUM(Kalender!$D$5:$D$370),0)+IFERROR(SUMIF(Nutzungsprofile!$B$17:$B$22,"Individuell",Nutzungsprofile!$G$17:$G$22)*Kalender!E345/SUM(Kalender!$E$5:$E$370),0))*Szenarien!$D$24,0)</f>
        <v>0</v>
      </c>
      <c r="E5103" s="13" t="n">
        <f aca="false">IFERROR(MIN(C5103,Eingaben!$B$17)*Eingaben!$B$16,0)</f>
        <v>0</v>
      </c>
      <c r="F5103" s="13" t="n">
        <f aca="false">IFERROR(E5103*Eingaben!$B$15,0)</f>
        <v>0</v>
      </c>
      <c r="G5103" s="13" t="n">
        <f aca="false">IFERROR(IF(Kalender!A345="",0,J5102*(1-Eingaben!$B$20)),0)</f>
        <v>0</v>
      </c>
      <c r="H5103" s="13" t="n">
        <f aca="false">MIN(G5103,D5103)</f>
        <v>0</v>
      </c>
      <c r="I5103" s="13" t="n">
        <f aca="false">IFERROR(MIN(F5103*Eingaben!$B$19,MAX(0,D5103-H5103)),0)</f>
        <v>0</v>
      </c>
      <c r="J5103" s="13" t="n">
        <f aca="false">IFERROR(MIN(Eingaben!$B$18,MAX(0,F5103-I5103)),0)</f>
        <v>0</v>
      </c>
      <c r="K5103" s="13" t="n">
        <f aca="false">H5103+I5103</f>
        <v>0</v>
      </c>
      <c r="L5103" s="13" t="n">
        <f aca="false">MAX(0,D5103-K5103)</f>
        <v>0</v>
      </c>
      <c r="M5103" s="13" t="n">
        <f aca="false">MAX(0,F5103-I5103-J5103)</f>
        <v>0</v>
      </c>
      <c r="N5103" s="13" t="n">
        <f aca="false">IF(Kalender!A345="",0,J5102-H5103)</f>
        <v>0</v>
      </c>
    </row>
    <row r="5104" customFormat="false" ht="16.4" hidden="false" customHeight="false" outlineLevel="0" collapsed="false">
      <c r="A5104" s="13" t="str">
        <f aca="false">""</f>
        <v/>
      </c>
      <c r="B5104" s="13" t="n">
        <f aca="false">342</f>
        <v>342</v>
      </c>
      <c r="C5104" s="13" t="n">
        <f aca="false">IF(Szenarien!$H$24="OK",(IFERROR(SUMIF(Nutzungsprofile!$B$6:$B$11,"Schulbetrieb",Nutzungsprofile!$G$6:$G$11)*Kalender!C346/SUM(Kalender!$C$5:$C$370),0)+IFERROR(SUMIF(Nutzungsprofile!$B$6:$B$11,"Halle",Nutzungsprofile!$G$6:$G$11)*Kalender!D346/SUM(Kalender!$D$5:$D$370),0)+IFERROR(SUMIF(Nutzungsprofile!$B$6:$B$11,"Individuell",Nutzungsprofile!$G$6:$G$11)*Kalender!E346/SUM(Kalender!$E$5:$E$370),0))*Szenarien!$E$24,0)</f>
        <v>0</v>
      </c>
      <c r="D5104" s="13" t="n">
        <f aca="false">IF(Szenarien!$H$24="OK",(IFERROR(SUMIF(Nutzungsprofile!$B$17:$B$22,"Schulbetrieb",Nutzungsprofile!$G$17:$G$22)*Kalender!C346/SUM(Kalender!$C$5:$C$370),0)+IFERROR(SUMIF(Nutzungsprofile!$B$17:$B$22,"Halle",Nutzungsprofile!$G$17:$G$22)*Kalender!D346/SUM(Kalender!$D$5:$D$370),0)+IFERROR(SUMIF(Nutzungsprofile!$B$17:$B$22,"Individuell",Nutzungsprofile!$G$17:$G$22)*Kalender!E346/SUM(Kalender!$E$5:$E$370),0))*Szenarien!$D$24,0)</f>
        <v>0</v>
      </c>
      <c r="E5104" s="13" t="n">
        <f aca="false">IFERROR(MIN(C5104,Eingaben!$B$17)*Eingaben!$B$16,0)</f>
        <v>0</v>
      </c>
      <c r="F5104" s="13" t="n">
        <f aca="false">IFERROR(E5104*Eingaben!$B$15,0)</f>
        <v>0</v>
      </c>
      <c r="G5104" s="13" t="n">
        <f aca="false">IFERROR(IF(Kalender!A346="",0,J5103*(1-Eingaben!$B$20)),0)</f>
        <v>0</v>
      </c>
      <c r="H5104" s="13" t="n">
        <f aca="false">MIN(G5104,D5104)</f>
        <v>0</v>
      </c>
      <c r="I5104" s="13" t="n">
        <f aca="false">IFERROR(MIN(F5104*Eingaben!$B$19,MAX(0,D5104-H5104)),0)</f>
        <v>0</v>
      </c>
      <c r="J5104" s="13" t="n">
        <f aca="false">IFERROR(MIN(Eingaben!$B$18,MAX(0,F5104-I5104)),0)</f>
        <v>0</v>
      </c>
      <c r="K5104" s="13" t="n">
        <f aca="false">H5104+I5104</f>
        <v>0</v>
      </c>
      <c r="L5104" s="13" t="n">
        <f aca="false">MAX(0,D5104-K5104)</f>
        <v>0</v>
      </c>
      <c r="M5104" s="13" t="n">
        <f aca="false">MAX(0,F5104-I5104-J5104)</f>
        <v>0</v>
      </c>
      <c r="N5104" s="13" t="n">
        <f aca="false">IF(Kalender!A346="",0,J5103-H5104)</f>
        <v>0</v>
      </c>
    </row>
    <row r="5105" customFormat="false" ht="16.4" hidden="false" customHeight="false" outlineLevel="0" collapsed="false">
      <c r="A5105" s="13" t="str">
        <f aca="false">""</f>
        <v/>
      </c>
      <c r="B5105" s="13" t="n">
        <f aca="false">343</f>
        <v>343</v>
      </c>
      <c r="C5105" s="13" t="n">
        <f aca="false">IF(Szenarien!$H$24="OK",(IFERROR(SUMIF(Nutzungsprofile!$B$6:$B$11,"Schulbetrieb",Nutzungsprofile!$G$6:$G$11)*Kalender!C347/SUM(Kalender!$C$5:$C$370),0)+IFERROR(SUMIF(Nutzungsprofile!$B$6:$B$11,"Halle",Nutzungsprofile!$G$6:$G$11)*Kalender!D347/SUM(Kalender!$D$5:$D$370),0)+IFERROR(SUMIF(Nutzungsprofile!$B$6:$B$11,"Individuell",Nutzungsprofile!$G$6:$G$11)*Kalender!E347/SUM(Kalender!$E$5:$E$370),0))*Szenarien!$E$24,0)</f>
        <v>0</v>
      </c>
      <c r="D5105" s="13" t="n">
        <f aca="false">IF(Szenarien!$H$24="OK",(IFERROR(SUMIF(Nutzungsprofile!$B$17:$B$22,"Schulbetrieb",Nutzungsprofile!$G$17:$G$22)*Kalender!C347/SUM(Kalender!$C$5:$C$370),0)+IFERROR(SUMIF(Nutzungsprofile!$B$17:$B$22,"Halle",Nutzungsprofile!$G$17:$G$22)*Kalender!D347/SUM(Kalender!$D$5:$D$370),0)+IFERROR(SUMIF(Nutzungsprofile!$B$17:$B$22,"Individuell",Nutzungsprofile!$G$17:$G$22)*Kalender!E347/SUM(Kalender!$E$5:$E$370),0))*Szenarien!$D$24,0)</f>
        <v>0</v>
      </c>
      <c r="E5105" s="13" t="n">
        <f aca="false">IFERROR(MIN(C5105,Eingaben!$B$17)*Eingaben!$B$16,0)</f>
        <v>0</v>
      </c>
      <c r="F5105" s="13" t="n">
        <f aca="false">IFERROR(E5105*Eingaben!$B$15,0)</f>
        <v>0</v>
      </c>
      <c r="G5105" s="13" t="n">
        <f aca="false">IFERROR(IF(Kalender!A347="",0,J5104*(1-Eingaben!$B$20)),0)</f>
        <v>0</v>
      </c>
      <c r="H5105" s="13" t="n">
        <f aca="false">MIN(G5105,D5105)</f>
        <v>0</v>
      </c>
      <c r="I5105" s="13" t="n">
        <f aca="false">IFERROR(MIN(F5105*Eingaben!$B$19,MAX(0,D5105-H5105)),0)</f>
        <v>0</v>
      </c>
      <c r="J5105" s="13" t="n">
        <f aca="false">IFERROR(MIN(Eingaben!$B$18,MAX(0,F5105-I5105)),0)</f>
        <v>0</v>
      </c>
      <c r="K5105" s="13" t="n">
        <f aca="false">H5105+I5105</f>
        <v>0</v>
      </c>
      <c r="L5105" s="13" t="n">
        <f aca="false">MAX(0,D5105-K5105)</f>
        <v>0</v>
      </c>
      <c r="M5105" s="13" t="n">
        <f aca="false">MAX(0,F5105-I5105-J5105)</f>
        <v>0</v>
      </c>
      <c r="N5105" s="13" t="n">
        <f aca="false">IF(Kalender!A347="",0,J5104-H5105)</f>
        <v>0</v>
      </c>
    </row>
    <row r="5106" customFormat="false" ht="16.4" hidden="false" customHeight="false" outlineLevel="0" collapsed="false">
      <c r="A5106" s="13" t="str">
        <f aca="false">""</f>
        <v/>
      </c>
      <c r="B5106" s="13" t="n">
        <f aca="false">344</f>
        <v>344</v>
      </c>
      <c r="C5106" s="13" t="n">
        <f aca="false">IF(Szenarien!$H$24="OK",(IFERROR(SUMIF(Nutzungsprofile!$B$6:$B$11,"Schulbetrieb",Nutzungsprofile!$G$6:$G$11)*Kalender!C348/SUM(Kalender!$C$5:$C$370),0)+IFERROR(SUMIF(Nutzungsprofile!$B$6:$B$11,"Halle",Nutzungsprofile!$G$6:$G$11)*Kalender!D348/SUM(Kalender!$D$5:$D$370),0)+IFERROR(SUMIF(Nutzungsprofile!$B$6:$B$11,"Individuell",Nutzungsprofile!$G$6:$G$11)*Kalender!E348/SUM(Kalender!$E$5:$E$370),0))*Szenarien!$E$24,0)</f>
        <v>0</v>
      </c>
      <c r="D5106" s="13" t="n">
        <f aca="false">IF(Szenarien!$H$24="OK",(IFERROR(SUMIF(Nutzungsprofile!$B$17:$B$22,"Schulbetrieb",Nutzungsprofile!$G$17:$G$22)*Kalender!C348/SUM(Kalender!$C$5:$C$370),0)+IFERROR(SUMIF(Nutzungsprofile!$B$17:$B$22,"Halle",Nutzungsprofile!$G$17:$G$22)*Kalender!D348/SUM(Kalender!$D$5:$D$370),0)+IFERROR(SUMIF(Nutzungsprofile!$B$17:$B$22,"Individuell",Nutzungsprofile!$G$17:$G$22)*Kalender!E348/SUM(Kalender!$E$5:$E$370),0))*Szenarien!$D$24,0)</f>
        <v>0</v>
      </c>
      <c r="E5106" s="13" t="n">
        <f aca="false">IFERROR(MIN(C5106,Eingaben!$B$17)*Eingaben!$B$16,0)</f>
        <v>0</v>
      </c>
      <c r="F5106" s="13" t="n">
        <f aca="false">IFERROR(E5106*Eingaben!$B$15,0)</f>
        <v>0</v>
      </c>
      <c r="G5106" s="13" t="n">
        <f aca="false">IFERROR(IF(Kalender!A348="",0,J5105*(1-Eingaben!$B$20)),0)</f>
        <v>0</v>
      </c>
      <c r="H5106" s="13" t="n">
        <f aca="false">MIN(G5106,D5106)</f>
        <v>0</v>
      </c>
      <c r="I5106" s="13" t="n">
        <f aca="false">IFERROR(MIN(F5106*Eingaben!$B$19,MAX(0,D5106-H5106)),0)</f>
        <v>0</v>
      </c>
      <c r="J5106" s="13" t="n">
        <f aca="false">IFERROR(MIN(Eingaben!$B$18,MAX(0,F5106-I5106)),0)</f>
        <v>0</v>
      </c>
      <c r="K5106" s="13" t="n">
        <f aca="false">H5106+I5106</f>
        <v>0</v>
      </c>
      <c r="L5106" s="13" t="n">
        <f aca="false">MAX(0,D5106-K5106)</f>
        <v>0</v>
      </c>
      <c r="M5106" s="13" t="n">
        <f aca="false">MAX(0,F5106-I5106-J5106)</f>
        <v>0</v>
      </c>
      <c r="N5106" s="13" t="n">
        <f aca="false">IF(Kalender!A348="",0,J5105-H5106)</f>
        <v>0</v>
      </c>
    </row>
    <row r="5107" customFormat="false" ht="16.4" hidden="false" customHeight="false" outlineLevel="0" collapsed="false">
      <c r="A5107" s="13" t="str">
        <f aca="false">""</f>
        <v/>
      </c>
      <c r="B5107" s="13" t="n">
        <f aca="false">345</f>
        <v>345</v>
      </c>
      <c r="C5107" s="13" t="n">
        <f aca="false">IF(Szenarien!$H$24="OK",(IFERROR(SUMIF(Nutzungsprofile!$B$6:$B$11,"Schulbetrieb",Nutzungsprofile!$G$6:$G$11)*Kalender!C349/SUM(Kalender!$C$5:$C$370),0)+IFERROR(SUMIF(Nutzungsprofile!$B$6:$B$11,"Halle",Nutzungsprofile!$G$6:$G$11)*Kalender!D349/SUM(Kalender!$D$5:$D$370),0)+IFERROR(SUMIF(Nutzungsprofile!$B$6:$B$11,"Individuell",Nutzungsprofile!$G$6:$G$11)*Kalender!E349/SUM(Kalender!$E$5:$E$370),0))*Szenarien!$E$24,0)</f>
        <v>0</v>
      </c>
      <c r="D5107" s="13" t="n">
        <f aca="false">IF(Szenarien!$H$24="OK",(IFERROR(SUMIF(Nutzungsprofile!$B$17:$B$22,"Schulbetrieb",Nutzungsprofile!$G$17:$G$22)*Kalender!C349/SUM(Kalender!$C$5:$C$370),0)+IFERROR(SUMIF(Nutzungsprofile!$B$17:$B$22,"Halle",Nutzungsprofile!$G$17:$G$22)*Kalender!D349/SUM(Kalender!$D$5:$D$370),0)+IFERROR(SUMIF(Nutzungsprofile!$B$17:$B$22,"Individuell",Nutzungsprofile!$G$17:$G$22)*Kalender!E349/SUM(Kalender!$E$5:$E$370),0))*Szenarien!$D$24,0)</f>
        <v>0</v>
      </c>
      <c r="E5107" s="13" t="n">
        <f aca="false">IFERROR(MIN(C5107,Eingaben!$B$17)*Eingaben!$B$16,0)</f>
        <v>0</v>
      </c>
      <c r="F5107" s="13" t="n">
        <f aca="false">IFERROR(E5107*Eingaben!$B$15,0)</f>
        <v>0</v>
      </c>
      <c r="G5107" s="13" t="n">
        <f aca="false">IFERROR(IF(Kalender!A349="",0,J5106*(1-Eingaben!$B$20)),0)</f>
        <v>0</v>
      </c>
      <c r="H5107" s="13" t="n">
        <f aca="false">MIN(G5107,D5107)</f>
        <v>0</v>
      </c>
      <c r="I5107" s="13" t="n">
        <f aca="false">IFERROR(MIN(F5107*Eingaben!$B$19,MAX(0,D5107-H5107)),0)</f>
        <v>0</v>
      </c>
      <c r="J5107" s="13" t="n">
        <f aca="false">IFERROR(MIN(Eingaben!$B$18,MAX(0,F5107-I5107)),0)</f>
        <v>0</v>
      </c>
      <c r="K5107" s="13" t="n">
        <f aca="false">H5107+I5107</f>
        <v>0</v>
      </c>
      <c r="L5107" s="13" t="n">
        <f aca="false">MAX(0,D5107-K5107)</f>
        <v>0</v>
      </c>
      <c r="M5107" s="13" t="n">
        <f aca="false">MAX(0,F5107-I5107-J5107)</f>
        <v>0</v>
      </c>
      <c r="N5107" s="13" t="n">
        <f aca="false">IF(Kalender!A349="",0,J5106-H5107)</f>
        <v>0</v>
      </c>
    </row>
    <row r="5108" customFormat="false" ht="16.4" hidden="false" customHeight="false" outlineLevel="0" collapsed="false">
      <c r="A5108" s="13" t="str">
        <f aca="false">""</f>
        <v/>
      </c>
      <c r="B5108" s="13" t="n">
        <f aca="false">346</f>
        <v>346</v>
      </c>
      <c r="C5108" s="13" t="n">
        <f aca="false">IF(Szenarien!$H$24="OK",(IFERROR(SUMIF(Nutzungsprofile!$B$6:$B$11,"Schulbetrieb",Nutzungsprofile!$G$6:$G$11)*Kalender!C350/SUM(Kalender!$C$5:$C$370),0)+IFERROR(SUMIF(Nutzungsprofile!$B$6:$B$11,"Halle",Nutzungsprofile!$G$6:$G$11)*Kalender!D350/SUM(Kalender!$D$5:$D$370),0)+IFERROR(SUMIF(Nutzungsprofile!$B$6:$B$11,"Individuell",Nutzungsprofile!$G$6:$G$11)*Kalender!E350/SUM(Kalender!$E$5:$E$370),0))*Szenarien!$E$24,0)</f>
        <v>0</v>
      </c>
      <c r="D5108" s="13" t="n">
        <f aca="false">IF(Szenarien!$H$24="OK",(IFERROR(SUMIF(Nutzungsprofile!$B$17:$B$22,"Schulbetrieb",Nutzungsprofile!$G$17:$G$22)*Kalender!C350/SUM(Kalender!$C$5:$C$370),0)+IFERROR(SUMIF(Nutzungsprofile!$B$17:$B$22,"Halle",Nutzungsprofile!$G$17:$G$22)*Kalender!D350/SUM(Kalender!$D$5:$D$370),0)+IFERROR(SUMIF(Nutzungsprofile!$B$17:$B$22,"Individuell",Nutzungsprofile!$G$17:$G$22)*Kalender!E350/SUM(Kalender!$E$5:$E$370),0))*Szenarien!$D$24,0)</f>
        <v>0</v>
      </c>
      <c r="E5108" s="13" t="n">
        <f aca="false">IFERROR(MIN(C5108,Eingaben!$B$17)*Eingaben!$B$16,0)</f>
        <v>0</v>
      </c>
      <c r="F5108" s="13" t="n">
        <f aca="false">IFERROR(E5108*Eingaben!$B$15,0)</f>
        <v>0</v>
      </c>
      <c r="G5108" s="13" t="n">
        <f aca="false">IFERROR(IF(Kalender!A350="",0,J5107*(1-Eingaben!$B$20)),0)</f>
        <v>0</v>
      </c>
      <c r="H5108" s="13" t="n">
        <f aca="false">MIN(G5108,D5108)</f>
        <v>0</v>
      </c>
      <c r="I5108" s="13" t="n">
        <f aca="false">IFERROR(MIN(F5108*Eingaben!$B$19,MAX(0,D5108-H5108)),0)</f>
        <v>0</v>
      </c>
      <c r="J5108" s="13" t="n">
        <f aca="false">IFERROR(MIN(Eingaben!$B$18,MAX(0,F5108-I5108)),0)</f>
        <v>0</v>
      </c>
      <c r="K5108" s="13" t="n">
        <f aca="false">H5108+I5108</f>
        <v>0</v>
      </c>
      <c r="L5108" s="13" t="n">
        <f aca="false">MAX(0,D5108-K5108)</f>
        <v>0</v>
      </c>
      <c r="M5108" s="13" t="n">
        <f aca="false">MAX(0,F5108-I5108-J5108)</f>
        <v>0</v>
      </c>
      <c r="N5108" s="13" t="n">
        <f aca="false">IF(Kalender!A350="",0,J5107-H5108)</f>
        <v>0</v>
      </c>
    </row>
    <row r="5109" customFormat="false" ht="16.4" hidden="false" customHeight="false" outlineLevel="0" collapsed="false">
      <c r="A5109" s="13" t="str">
        <f aca="false">""</f>
        <v/>
      </c>
      <c r="B5109" s="13" t="n">
        <f aca="false">347</f>
        <v>347</v>
      </c>
      <c r="C5109" s="13" t="n">
        <f aca="false">IF(Szenarien!$H$24="OK",(IFERROR(SUMIF(Nutzungsprofile!$B$6:$B$11,"Schulbetrieb",Nutzungsprofile!$G$6:$G$11)*Kalender!C351/SUM(Kalender!$C$5:$C$370),0)+IFERROR(SUMIF(Nutzungsprofile!$B$6:$B$11,"Halle",Nutzungsprofile!$G$6:$G$11)*Kalender!D351/SUM(Kalender!$D$5:$D$370),0)+IFERROR(SUMIF(Nutzungsprofile!$B$6:$B$11,"Individuell",Nutzungsprofile!$G$6:$G$11)*Kalender!E351/SUM(Kalender!$E$5:$E$370),0))*Szenarien!$E$24,0)</f>
        <v>0</v>
      </c>
      <c r="D5109" s="13" t="n">
        <f aca="false">IF(Szenarien!$H$24="OK",(IFERROR(SUMIF(Nutzungsprofile!$B$17:$B$22,"Schulbetrieb",Nutzungsprofile!$G$17:$G$22)*Kalender!C351/SUM(Kalender!$C$5:$C$370),0)+IFERROR(SUMIF(Nutzungsprofile!$B$17:$B$22,"Halle",Nutzungsprofile!$G$17:$G$22)*Kalender!D351/SUM(Kalender!$D$5:$D$370),0)+IFERROR(SUMIF(Nutzungsprofile!$B$17:$B$22,"Individuell",Nutzungsprofile!$G$17:$G$22)*Kalender!E351/SUM(Kalender!$E$5:$E$370),0))*Szenarien!$D$24,0)</f>
        <v>0</v>
      </c>
      <c r="E5109" s="13" t="n">
        <f aca="false">IFERROR(MIN(C5109,Eingaben!$B$17)*Eingaben!$B$16,0)</f>
        <v>0</v>
      </c>
      <c r="F5109" s="13" t="n">
        <f aca="false">IFERROR(E5109*Eingaben!$B$15,0)</f>
        <v>0</v>
      </c>
      <c r="G5109" s="13" t="n">
        <f aca="false">IFERROR(IF(Kalender!A351="",0,J5108*(1-Eingaben!$B$20)),0)</f>
        <v>0</v>
      </c>
      <c r="H5109" s="13" t="n">
        <f aca="false">MIN(G5109,D5109)</f>
        <v>0</v>
      </c>
      <c r="I5109" s="13" t="n">
        <f aca="false">IFERROR(MIN(F5109*Eingaben!$B$19,MAX(0,D5109-H5109)),0)</f>
        <v>0</v>
      </c>
      <c r="J5109" s="13" t="n">
        <f aca="false">IFERROR(MIN(Eingaben!$B$18,MAX(0,F5109-I5109)),0)</f>
        <v>0</v>
      </c>
      <c r="K5109" s="13" t="n">
        <f aca="false">H5109+I5109</f>
        <v>0</v>
      </c>
      <c r="L5109" s="13" t="n">
        <f aca="false">MAX(0,D5109-K5109)</f>
        <v>0</v>
      </c>
      <c r="M5109" s="13" t="n">
        <f aca="false">MAX(0,F5109-I5109-J5109)</f>
        <v>0</v>
      </c>
      <c r="N5109" s="13" t="n">
        <f aca="false">IF(Kalender!A351="",0,J5108-H5109)</f>
        <v>0</v>
      </c>
    </row>
    <row r="5110" customFormat="false" ht="16.4" hidden="false" customHeight="false" outlineLevel="0" collapsed="false">
      <c r="A5110" s="13" t="str">
        <f aca="false">""</f>
        <v/>
      </c>
      <c r="B5110" s="13" t="n">
        <f aca="false">348</f>
        <v>348</v>
      </c>
      <c r="C5110" s="13" t="n">
        <f aca="false">IF(Szenarien!$H$24="OK",(IFERROR(SUMIF(Nutzungsprofile!$B$6:$B$11,"Schulbetrieb",Nutzungsprofile!$G$6:$G$11)*Kalender!C352/SUM(Kalender!$C$5:$C$370),0)+IFERROR(SUMIF(Nutzungsprofile!$B$6:$B$11,"Halle",Nutzungsprofile!$G$6:$G$11)*Kalender!D352/SUM(Kalender!$D$5:$D$370),0)+IFERROR(SUMIF(Nutzungsprofile!$B$6:$B$11,"Individuell",Nutzungsprofile!$G$6:$G$11)*Kalender!E352/SUM(Kalender!$E$5:$E$370),0))*Szenarien!$E$24,0)</f>
        <v>0</v>
      </c>
      <c r="D5110" s="13" t="n">
        <f aca="false">IF(Szenarien!$H$24="OK",(IFERROR(SUMIF(Nutzungsprofile!$B$17:$B$22,"Schulbetrieb",Nutzungsprofile!$G$17:$G$22)*Kalender!C352/SUM(Kalender!$C$5:$C$370),0)+IFERROR(SUMIF(Nutzungsprofile!$B$17:$B$22,"Halle",Nutzungsprofile!$G$17:$G$22)*Kalender!D352/SUM(Kalender!$D$5:$D$370),0)+IFERROR(SUMIF(Nutzungsprofile!$B$17:$B$22,"Individuell",Nutzungsprofile!$G$17:$G$22)*Kalender!E352/SUM(Kalender!$E$5:$E$370),0))*Szenarien!$D$24,0)</f>
        <v>0</v>
      </c>
      <c r="E5110" s="13" t="n">
        <f aca="false">IFERROR(MIN(C5110,Eingaben!$B$17)*Eingaben!$B$16,0)</f>
        <v>0</v>
      </c>
      <c r="F5110" s="13" t="n">
        <f aca="false">IFERROR(E5110*Eingaben!$B$15,0)</f>
        <v>0</v>
      </c>
      <c r="G5110" s="13" t="n">
        <f aca="false">IFERROR(IF(Kalender!A352="",0,J5109*(1-Eingaben!$B$20)),0)</f>
        <v>0</v>
      </c>
      <c r="H5110" s="13" t="n">
        <f aca="false">MIN(G5110,D5110)</f>
        <v>0</v>
      </c>
      <c r="I5110" s="13" t="n">
        <f aca="false">IFERROR(MIN(F5110*Eingaben!$B$19,MAX(0,D5110-H5110)),0)</f>
        <v>0</v>
      </c>
      <c r="J5110" s="13" t="n">
        <f aca="false">IFERROR(MIN(Eingaben!$B$18,MAX(0,F5110-I5110)),0)</f>
        <v>0</v>
      </c>
      <c r="K5110" s="13" t="n">
        <f aca="false">H5110+I5110</f>
        <v>0</v>
      </c>
      <c r="L5110" s="13" t="n">
        <f aca="false">MAX(0,D5110-K5110)</f>
        <v>0</v>
      </c>
      <c r="M5110" s="13" t="n">
        <f aca="false">MAX(0,F5110-I5110-J5110)</f>
        <v>0</v>
      </c>
      <c r="N5110" s="13" t="n">
        <f aca="false">IF(Kalender!A352="",0,J5109-H5110)</f>
        <v>0</v>
      </c>
    </row>
    <row r="5111" customFormat="false" ht="16.4" hidden="false" customHeight="false" outlineLevel="0" collapsed="false">
      <c r="A5111" s="13" t="str">
        <f aca="false">""</f>
        <v/>
      </c>
      <c r="B5111" s="13" t="n">
        <f aca="false">349</f>
        <v>349</v>
      </c>
      <c r="C5111" s="13" t="n">
        <f aca="false">IF(Szenarien!$H$24="OK",(IFERROR(SUMIF(Nutzungsprofile!$B$6:$B$11,"Schulbetrieb",Nutzungsprofile!$G$6:$G$11)*Kalender!C353/SUM(Kalender!$C$5:$C$370),0)+IFERROR(SUMIF(Nutzungsprofile!$B$6:$B$11,"Halle",Nutzungsprofile!$G$6:$G$11)*Kalender!D353/SUM(Kalender!$D$5:$D$370),0)+IFERROR(SUMIF(Nutzungsprofile!$B$6:$B$11,"Individuell",Nutzungsprofile!$G$6:$G$11)*Kalender!E353/SUM(Kalender!$E$5:$E$370),0))*Szenarien!$E$24,0)</f>
        <v>0</v>
      </c>
      <c r="D5111" s="13" t="n">
        <f aca="false">IF(Szenarien!$H$24="OK",(IFERROR(SUMIF(Nutzungsprofile!$B$17:$B$22,"Schulbetrieb",Nutzungsprofile!$G$17:$G$22)*Kalender!C353/SUM(Kalender!$C$5:$C$370),0)+IFERROR(SUMIF(Nutzungsprofile!$B$17:$B$22,"Halle",Nutzungsprofile!$G$17:$G$22)*Kalender!D353/SUM(Kalender!$D$5:$D$370),0)+IFERROR(SUMIF(Nutzungsprofile!$B$17:$B$22,"Individuell",Nutzungsprofile!$G$17:$G$22)*Kalender!E353/SUM(Kalender!$E$5:$E$370),0))*Szenarien!$D$24,0)</f>
        <v>0</v>
      </c>
      <c r="E5111" s="13" t="n">
        <f aca="false">IFERROR(MIN(C5111,Eingaben!$B$17)*Eingaben!$B$16,0)</f>
        <v>0</v>
      </c>
      <c r="F5111" s="13" t="n">
        <f aca="false">IFERROR(E5111*Eingaben!$B$15,0)</f>
        <v>0</v>
      </c>
      <c r="G5111" s="13" t="n">
        <f aca="false">IFERROR(IF(Kalender!A353="",0,J5110*(1-Eingaben!$B$20)),0)</f>
        <v>0</v>
      </c>
      <c r="H5111" s="13" t="n">
        <f aca="false">MIN(G5111,D5111)</f>
        <v>0</v>
      </c>
      <c r="I5111" s="13" t="n">
        <f aca="false">IFERROR(MIN(F5111*Eingaben!$B$19,MAX(0,D5111-H5111)),0)</f>
        <v>0</v>
      </c>
      <c r="J5111" s="13" t="n">
        <f aca="false">IFERROR(MIN(Eingaben!$B$18,MAX(0,F5111-I5111)),0)</f>
        <v>0</v>
      </c>
      <c r="K5111" s="13" t="n">
        <f aca="false">H5111+I5111</f>
        <v>0</v>
      </c>
      <c r="L5111" s="13" t="n">
        <f aca="false">MAX(0,D5111-K5111)</f>
        <v>0</v>
      </c>
      <c r="M5111" s="13" t="n">
        <f aca="false">MAX(0,F5111-I5111-J5111)</f>
        <v>0</v>
      </c>
      <c r="N5111" s="13" t="n">
        <f aca="false">IF(Kalender!A353="",0,J5110-H5111)</f>
        <v>0</v>
      </c>
    </row>
    <row r="5112" customFormat="false" ht="16.4" hidden="false" customHeight="false" outlineLevel="0" collapsed="false">
      <c r="A5112" s="13" t="str">
        <f aca="false">""</f>
        <v/>
      </c>
      <c r="B5112" s="13" t="n">
        <f aca="false">350</f>
        <v>350</v>
      </c>
      <c r="C5112" s="13" t="n">
        <f aca="false">IF(Szenarien!$H$24="OK",(IFERROR(SUMIF(Nutzungsprofile!$B$6:$B$11,"Schulbetrieb",Nutzungsprofile!$G$6:$G$11)*Kalender!C354/SUM(Kalender!$C$5:$C$370),0)+IFERROR(SUMIF(Nutzungsprofile!$B$6:$B$11,"Halle",Nutzungsprofile!$G$6:$G$11)*Kalender!D354/SUM(Kalender!$D$5:$D$370),0)+IFERROR(SUMIF(Nutzungsprofile!$B$6:$B$11,"Individuell",Nutzungsprofile!$G$6:$G$11)*Kalender!E354/SUM(Kalender!$E$5:$E$370),0))*Szenarien!$E$24,0)</f>
        <v>0</v>
      </c>
      <c r="D5112" s="13" t="n">
        <f aca="false">IF(Szenarien!$H$24="OK",(IFERROR(SUMIF(Nutzungsprofile!$B$17:$B$22,"Schulbetrieb",Nutzungsprofile!$G$17:$G$22)*Kalender!C354/SUM(Kalender!$C$5:$C$370),0)+IFERROR(SUMIF(Nutzungsprofile!$B$17:$B$22,"Halle",Nutzungsprofile!$G$17:$G$22)*Kalender!D354/SUM(Kalender!$D$5:$D$370),0)+IFERROR(SUMIF(Nutzungsprofile!$B$17:$B$22,"Individuell",Nutzungsprofile!$G$17:$G$22)*Kalender!E354/SUM(Kalender!$E$5:$E$370),0))*Szenarien!$D$24,0)</f>
        <v>0</v>
      </c>
      <c r="E5112" s="13" t="n">
        <f aca="false">IFERROR(MIN(C5112,Eingaben!$B$17)*Eingaben!$B$16,0)</f>
        <v>0</v>
      </c>
      <c r="F5112" s="13" t="n">
        <f aca="false">IFERROR(E5112*Eingaben!$B$15,0)</f>
        <v>0</v>
      </c>
      <c r="G5112" s="13" t="n">
        <f aca="false">IFERROR(IF(Kalender!A354="",0,J5111*(1-Eingaben!$B$20)),0)</f>
        <v>0</v>
      </c>
      <c r="H5112" s="13" t="n">
        <f aca="false">MIN(G5112,D5112)</f>
        <v>0</v>
      </c>
      <c r="I5112" s="13" t="n">
        <f aca="false">IFERROR(MIN(F5112*Eingaben!$B$19,MAX(0,D5112-H5112)),0)</f>
        <v>0</v>
      </c>
      <c r="J5112" s="13" t="n">
        <f aca="false">IFERROR(MIN(Eingaben!$B$18,MAX(0,F5112-I5112)),0)</f>
        <v>0</v>
      </c>
      <c r="K5112" s="13" t="n">
        <f aca="false">H5112+I5112</f>
        <v>0</v>
      </c>
      <c r="L5112" s="13" t="n">
        <f aca="false">MAX(0,D5112-K5112)</f>
        <v>0</v>
      </c>
      <c r="M5112" s="13" t="n">
        <f aca="false">MAX(0,F5112-I5112-J5112)</f>
        <v>0</v>
      </c>
      <c r="N5112" s="13" t="n">
        <f aca="false">IF(Kalender!A354="",0,J5111-H5112)</f>
        <v>0</v>
      </c>
    </row>
    <row r="5113" customFormat="false" ht="16.4" hidden="false" customHeight="false" outlineLevel="0" collapsed="false">
      <c r="A5113" s="13" t="str">
        <f aca="false">""</f>
        <v/>
      </c>
      <c r="B5113" s="13" t="n">
        <f aca="false">351</f>
        <v>351</v>
      </c>
      <c r="C5113" s="13" t="n">
        <f aca="false">IF(Szenarien!$H$24="OK",(IFERROR(SUMIF(Nutzungsprofile!$B$6:$B$11,"Schulbetrieb",Nutzungsprofile!$G$6:$G$11)*Kalender!C355/SUM(Kalender!$C$5:$C$370),0)+IFERROR(SUMIF(Nutzungsprofile!$B$6:$B$11,"Halle",Nutzungsprofile!$G$6:$G$11)*Kalender!D355/SUM(Kalender!$D$5:$D$370),0)+IFERROR(SUMIF(Nutzungsprofile!$B$6:$B$11,"Individuell",Nutzungsprofile!$G$6:$G$11)*Kalender!E355/SUM(Kalender!$E$5:$E$370),0))*Szenarien!$E$24,0)</f>
        <v>0</v>
      </c>
      <c r="D5113" s="13" t="n">
        <f aca="false">IF(Szenarien!$H$24="OK",(IFERROR(SUMIF(Nutzungsprofile!$B$17:$B$22,"Schulbetrieb",Nutzungsprofile!$G$17:$G$22)*Kalender!C355/SUM(Kalender!$C$5:$C$370),0)+IFERROR(SUMIF(Nutzungsprofile!$B$17:$B$22,"Halle",Nutzungsprofile!$G$17:$G$22)*Kalender!D355/SUM(Kalender!$D$5:$D$370),0)+IFERROR(SUMIF(Nutzungsprofile!$B$17:$B$22,"Individuell",Nutzungsprofile!$G$17:$G$22)*Kalender!E355/SUM(Kalender!$E$5:$E$370),0))*Szenarien!$D$24,0)</f>
        <v>0</v>
      </c>
      <c r="E5113" s="13" t="n">
        <f aca="false">IFERROR(MIN(C5113,Eingaben!$B$17)*Eingaben!$B$16,0)</f>
        <v>0</v>
      </c>
      <c r="F5113" s="13" t="n">
        <f aca="false">IFERROR(E5113*Eingaben!$B$15,0)</f>
        <v>0</v>
      </c>
      <c r="G5113" s="13" t="n">
        <f aca="false">IFERROR(IF(Kalender!A355="",0,J5112*(1-Eingaben!$B$20)),0)</f>
        <v>0</v>
      </c>
      <c r="H5113" s="13" t="n">
        <f aca="false">MIN(G5113,D5113)</f>
        <v>0</v>
      </c>
      <c r="I5113" s="13" t="n">
        <f aca="false">IFERROR(MIN(F5113*Eingaben!$B$19,MAX(0,D5113-H5113)),0)</f>
        <v>0</v>
      </c>
      <c r="J5113" s="13" t="n">
        <f aca="false">IFERROR(MIN(Eingaben!$B$18,MAX(0,F5113-I5113)),0)</f>
        <v>0</v>
      </c>
      <c r="K5113" s="13" t="n">
        <f aca="false">H5113+I5113</f>
        <v>0</v>
      </c>
      <c r="L5113" s="13" t="n">
        <f aca="false">MAX(0,D5113-K5113)</f>
        <v>0</v>
      </c>
      <c r="M5113" s="13" t="n">
        <f aca="false">MAX(0,F5113-I5113-J5113)</f>
        <v>0</v>
      </c>
      <c r="N5113" s="13" t="n">
        <f aca="false">IF(Kalender!A355="",0,J5112-H5113)</f>
        <v>0</v>
      </c>
    </row>
    <row r="5114" customFormat="false" ht="16.4" hidden="false" customHeight="false" outlineLevel="0" collapsed="false">
      <c r="A5114" s="13" t="str">
        <f aca="false">""</f>
        <v/>
      </c>
      <c r="B5114" s="13" t="n">
        <f aca="false">352</f>
        <v>352</v>
      </c>
      <c r="C5114" s="13" t="n">
        <f aca="false">IF(Szenarien!$H$24="OK",(IFERROR(SUMIF(Nutzungsprofile!$B$6:$B$11,"Schulbetrieb",Nutzungsprofile!$G$6:$G$11)*Kalender!C356/SUM(Kalender!$C$5:$C$370),0)+IFERROR(SUMIF(Nutzungsprofile!$B$6:$B$11,"Halle",Nutzungsprofile!$G$6:$G$11)*Kalender!D356/SUM(Kalender!$D$5:$D$370),0)+IFERROR(SUMIF(Nutzungsprofile!$B$6:$B$11,"Individuell",Nutzungsprofile!$G$6:$G$11)*Kalender!E356/SUM(Kalender!$E$5:$E$370),0))*Szenarien!$E$24,0)</f>
        <v>0</v>
      </c>
      <c r="D5114" s="13" t="n">
        <f aca="false">IF(Szenarien!$H$24="OK",(IFERROR(SUMIF(Nutzungsprofile!$B$17:$B$22,"Schulbetrieb",Nutzungsprofile!$G$17:$G$22)*Kalender!C356/SUM(Kalender!$C$5:$C$370),0)+IFERROR(SUMIF(Nutzungsprofile!$B$17:$B$22,"Halle",Nutzungsprofile!$G$17:$G$22)*Kalender!D356/SUM(Kalender!$D$5:$D$370),0)+IFERROR(SUMIF(Nutzungsprofile!$B$17:$B$22,"Individuell",Nutzungsprofile!$G$17:$G$22)*Kalender!E356/SUM(Kalender!$E$5:$E$370),0))*Szenarien!$D$24,0)</f>
        <v>0</v>
      </c>
      <c r="E5114" s="13" t="n">
        <f aca="false">IFERROR(MIN(C5114,Eingaben!$B$17)*Eingaben!$B$16,0)</f>
        <v>0</v>
      </c>
      <c r="F5114" s="13" t="n">
        <f aca="false">IFERROR(E5114*Eingaben!$B$15,0)</f>
        <v>0</v>
      </c>
      <c r="G5114" s="13" t="n">
        <f aca="false">IFERROR(IF(Kalender!A356="",0,J5113*(1-Eingaben!$B$20)),0)</f>
        <v>0</v>
      </c>
      <c r="H5114" s="13" t="n">
        <f aca="false">MIN(G5114,D5114)</f>
        <v>0</v>
      </c>
      <c r="I5114" s="13" t="n">
        <f aca="false">IFERROR(MIN(F5114*Eingaben!$B$19,MAX(0,D5114-H5114)),0)</f>
        <v>0</v>
      </c>
      <c r="J5114" s="13" t="n">
        <f aca="false">IFERROR(MIN(Eingaben!$B$18,MAX(0,F5114-I5114)),0)</f>
        <v>0</v>
      </c>
      <c r="K5114" s="13" t="n">
        <f aca="false">H5114+I5114</f>
        <v>0</v>
      </c>
      <c r="L5114" s="13" t="n">
        <f aca="false">MAX(0,D5114-K5114)</f>
        <v>0</v>
      </c>
      <c r="M5114" s="13" t="n">
        <f aca="false">MAX(0,F5114-I5114-J5114)</f>
        <v>0</v>
      </c>
      <c r="N5114" s="13" t="n">
        <f aca="false">IF(Kalender!A356="",0,J5113-H5114)</f>
        <v>0</v>
      </c>
    </row>
    <row r="5115" customFormat="false" ht="16.4" hidden="false" customHeight="false" outlineLevel="0" collapsed="false">
      <c r="A5115" s="13" t="str">
        <f aca="false">""</f>
        <v/>
      </c>
      <c r="B5115" s="13" t="n">
        <f aca="false">353</f>
        <v>353</v>
      </c>
      <c r="C5115" s="13" t="n">
        <f aca="false">IF(Szenarien!$H$24="OK",(IFERROR(SUMIF(Nutzungsprofile!$B$6:$B$11,"Schulbetrieb",Nutzungsprofile!$G$6:$G$11)*Kalender!C357/SUM(Kalender!$C$5:$C$370),0)+IFERROR(SUMIF(Nutzungsprofile!$B$6:$B$11,"Halle",Nutzungsprofile!$G$6:$G$11)*Kalender!D357/SUM(Kalender!$D$5:$D$370),0)+IFERROR(SUMIF(Nutzungsprofile!$B$6:$B$11,"Individuell",Nutzungsprofile!$G$6:$G$11)*Kalender!E357/SUM(Kalender!$E$5:$E$370),0))*Szenarien!$E$24,0)</f>
        <v>0</v>
      </c>
      <c r="D5115" s="13" t="n">
        <f aca="false">IF(Szenarien!$H$24="OK",(IFERROR(SUMIF(Nutzungsprofile!$B$17:$B$22,"Schulbetrieb",Nutzungsprofile!$G$17:$G$22)*Kalender!C357/SUM(Kalender!$C$5:$C$370),0)+IFERROR(SUMIF(Nutzungsprofile!$B$17:$B$22,"Halle",Nutzungsprofile!$G$17:$G$22)*Kalender!D357/SUM(Kalender!$D$5:$D$370),0)+IFERROR(SUMIF(Nutzungsprofile!$B$17:$B$22,"Individuell",Nutzungsprofile!$G$17:$G$22)*Kalender!E357/SUM(Kalender!$E$5:$E$370),0))*Szenarien!$D$24,0)</f>
        <v>0</v>
      </c>
      <c r="E5115" s="13" t="n">
        <f aca="false">IFERROR(MIN(C5115,Eingaben!$B$17)*Eingaben!$B$16,0)</f>
        <v>0</v>
      </c>
      <c r="F5115" s="13" t="n">
        <f aca="false">IFERROR(E5115*Eingaben!$B$15,0)</f>
        <v>0</v>
      </c>
      <c r="G5115" s="13" t="n">
        <f aca="false">IFERROR(IF(Kalender!A357="",0,J5114*(1-Eingaben!$B$20)),0)</f>
        <v>0</v>
      </c>
      <c r="H5115" s="13" t="n">
        <f aca="false">MIN(G5115,D5115)</f>
        <v>0</v>
      </c>
      <c r="I5115" s="13" t="n">
        <f aca="false">IFERROR(MIN(F5115*Eingaben!$B$19,MAX(0,D5115-H5115)),0)</f>
        <v>0</v>
      </c>
      <c r="J5115" s="13" t="n">
        <f aca="false">IFERROR(MIN(Eingaben!$B$18,MAX(0,F5115-I5115)),0)</f>
        <v>0</v>
      </c>
      <c r="K5115" s="13" t="n">
        <f aca="false">H5115+I5115</f>
        <v>0</v>
      </c>
      <c r="L5115" s="13" t="n">
        <f aca="false">MAX(0,D5115-K5115)</f>
        <v>0</v>
      </c>
      <c r="M5115" s="13" t="n">
        <f aca="false">MAX(0,F5115-I5115-J5115)</f>
        <v>0</v>
      </c>
      <c r="N5115" s="13" t="n">
        <f aca="false">IF(Kalender!A357="",0,J5114-H5115)</f>
        <v>0</v>
      </c>
    </row>
    <row r="5116" customFormat="false" ht="16.4" hidden="false" customHeight="false" outlineLevel="0" collapsed="false">
      <c r="A5116" s="13" t="str">
        <f aca="false">""</f>
        <v/>
      </c>
      <c r="B5116" s="13" t="n">
        <f aca="false">354</f>
        <v>354</v>
      </c>
      <c r="C5116" s="13" t="n">
        <f aca="false">IF(Szenarien!$H$24="OK",(IFERROR(SUMIF(Nutzungsprofile!$B$6:$B$11,"Schulbetrieb",Nutzungsprofile!$G$6:$G$11)*Kalender!C358/SUM(Kalender!$C$5:$C$370),0)+IFERROR(SUMIF(Nutzungsprofile!$B$6:$B$11,"Halle",Nutzungsprofile!$G$6:$G$11)*Kalender!D358/SUM(Kalender!$D$5:$D$370),0)+IFERROR(SUMIF(Nutzungsprofile!$B$6:$B$11,"Individuell",Nutzungsprofile!$G$6:$G$11)*Kalender!E358/SUM(Kalender!$E$5:$E$370),0))*Szenarien!$E$24,0)</f>
        <v>0</v>
      </c>
      <c r="D5116" s="13" t="n">
        <f aca="false">IF(Szenarien!$H$24="OK",(IFERROR(SUMIF(Nutzungsprofile!$B$17:$B$22,"Schulbetrieb",Nutzungsprofile!$G$17:$G$22)*Kalender!C358/SUM(Kalender!$C$5:$C$370),0)+IFERROR(SUMIF(Nutzungsprofile!$B$17:$B$22,"Halle",Nutzungsprofile!$G$17:$G$22)*Kalender!D358/SUM(Kalender!$D$5:$D$370),0)+IFERROR(SUMIF(Nutzungsprofile!$B$17:$B$22,"Individuell",Nutzungsprofile!$G$17:$G$22)*Kalender!E358/SUM(Kalender!$E$5:$E$370),0))*Szenarien!$D$24,0)</f>
        <v>0</v>
      </c>
      <c r="E5116" s="13" t="n">
        <f aca="false">IFERROR(MIN(C5116,Eingaben!$B$17)*Eingaben!$B$16,0)</f>
        <v>0</v>
      </c>
      <c r="F5116" s="13" t="n">
        <f aca="false">IFERROR(E5116*Eingaben!$B$15,0)</f>
        <v>0</v>
      </c>
      <c r="G5116" s="13" t="n">
        <f aca="false">IFERROR(IF(Kalender!A358="",0,J5115*(1-Eingaben!$B$20)),0)</f>
        <v>0</v>
      </c>
      <c r="H5116" s="13" t="n">
        <f aca="false">MIN(G5116,D5116)</f>
        <v>0</v>
      </c>
      <c r="I5116" s="13" t="n">
        <f aca="false">IFERROR(MIN(F5116*Eingaben!$B$19,MAX(0,D5116-H5116)),0)</f>
        <v>0</v>
      </c>
      <c r="J5116" s="13" t="n">
        <f aca="false">IFERROR(MIN(Eingaben!$B$18,MAX(0,F5116-I5116)),0)</f>
        <v>0</v>
      </c>
      <c r="K5116" s="13" t="n">
        <f aca="false">H5116+I5116</f>
        <v>0</v>
      </c>
      <c r="L5116" s="13" t="n">
        <f aca="false">MAX(0,D5116-K5116)</f>
        <v>0</v>
      </c>
      <c r="M5116" s="13" t="n">
        <f aca="false">MAX(0,F5116-I5116-J5116)</f>
        <v>0</v>
      </c>
      <c r="N5116" s="13" t="n">
        <f aca="false">IF(Kalender!A358="",0,J5115-H5116)</f>
        <v>0</v>
      </c>
    </row>
    <row r="5117" customFormat="false" ht="16.4" hidden="false" customHeight="false" outlineLevel="0" collapsed="false">
      <c r="A5117" s="13" t="str">
        <f aca="false">""</f>
        <v/>
      </c>
      <c r="B5117" s="13" t="n">
        <f aca="false">355</f>
        <v>355</v>
      </c>
      <c r="C5117" s="13" t="n">
        <f aca="false">IF(Szenarien!$H$24="OK",(IFERROR(SUMIF(Nutzungsprofile!$B$6:$B$11,"Schulbetrieb",Nutzungsprofile!$G$6:$G$11)*Kalender!C359/SUM(Kalender!$C$5:$C$370),0)+IFERROR(SUMIF(Nutzungsprofile!$B$6:$B$11,"Halle",Nutzungsprofile!$G$6:$G$11)*Kalender!D359/SUM(Kalender!$D$5:$D$370),0)+IFERROR(SUMIF(Nutzungsprofile!$B$6:$B$11,"Individuell",Nutzungsprofile!$G$6:$G$11)*Kalender!E359/SUM(Kalender!$E$5:$E$370),0))*Szenarien!$E$24,0)</f>
        <v>0</v>
      </c>
      <c r="D5117" s="13" t="n">
        <f aca="false">IF(Szenarien!$H$24="OK",(IFERROR(SUMIF(Nutzungsprofile!$B$17:$B$22,"Schulbetrieb",Nutzungsprofile!$G$17:$G$22)*Kalender!C359/SUM(Kalender!$C$5:$C$370),0)+IFERROR(SUMIF(Nutzungsprofile!$B$17:$B$22,"Halle",Nutzungsprofile!$G$17:$G$22)*Kalender!D359/SUM(Kalender!$D$5:$D$370),0)+IFERROR(SUMIF(Nutzungsprofile!$B$17:$B$22,"Individuell",Nutzungsprofile!$G$17:$G$22)*Kalender!E359/SUM(Kalender!$E$5:$E$370),0))*Szenarien!$D$24,0)</f>
        <v>0</v>
      </c>
      <c r="E5117" s="13" t="n">
        <f aca="false">IFERROR(MIN(C5117,Eingaben!$B$17)*Eingaben!$B$16,0)</f>
        <v>0</v>
      </c>
      <c r="F5117" s="13" t="n">
        <f aca="false">IFERROR(E5117*Eingaben!$B$15,0)</f>
        <v>0</v>
      </c>
      <c r="G5117" s="13" t="n">
        <f aca="false">IFERROR(IF(Kalender!A359="",0,J5116*(1-Eingaben!$B$20)),0)</f>
        <v>0</v>
      </c>
      <c r="H5117" s="13" t="n">
        <f aca="false">MIN(G5117,D5117)</f>
        <v>0</v>
      </c>
      <c r="I5117" s="13" t="n">
        <f aca="false">IFERROR(MIN(F5117*Eingaben!$B$19,MAX(0,D5117-H5117)),0)</f>
        <v>0</v>
      </c>
      <c r="J5117" s="13" t="n">
        <f aca="false">IFERROR(MIN(Eingaben!$B$18,MAX(0,F5117-I5117)),0)</f>
        <v>0</v>
      </c>
      <c r="K5117" s="13" t="n">
        <f aca="false">H5117+I5117</f>
        <v>0</v>
      </c>
      <c r="L5117" s="13" t="n">
        <f aca="false">MAX(0,D5117-K5117)</f>
        <v>0</v>
      </c>
      <c r="M5117" s="13" t="n">
        <f aca="false">MAX(0,F5117-I5117-J5117)</f>
        <v>0</v>
      </c>
      <c r="N5117" s="13" t="n">
        <f aca="false">IF(Kalender!A359="",0,J5116-H5117)</f>
        <v>0</v>
      </c>
    </row>
    <row r="5118" customFormat="false" ht="16.4" hidden="false" customHeight="false" outlineLevel="0" collapsed="false">
      <c r="A5118" s="13" t="str">
        <f aca="false">""</f>
        <v/>
      </c>
      <c r="B5118" s="13" t="n">
        <f aca="false">356</f>
        <v>356</v>
      </c>
      <c r="C5118" s="13" t="n">
        <f aca="false">IF(Szenarien!$H$24="OK",(IFERROR(SUMIF(Nutzungsprofile!$B$6:$B$11,"Schulbetrieb",Nutzungsprofile!$G$6:$G$11)*Kalender!C360/SUM(Kalender!$C$5:$C$370),0)+IFERROR(SUMIF(Nutzungsprofile!$B$6:$B$11,"Halle",Nutzungsprofile!$G$6:$G$11)*Kalender!D360/SUM(Kalender!$D$5:$D$370),0)+IFERROR(SUMIF(Nutzungsprofile!$B$6:$B$11,"Individuell",Nutzungsprofile!$G$6:$G$11)*Kalender!E360/SUM(Kalender!$E$5:$E$370),0))*Szenarien!$E$24,0)</f>
        <v>0</v>
      </c>
      <c r="D5118" s="13" t="n">
        <f aca="false">IF(Szenarien!$H$24="OK",(IFERROR(SUMIF(Nutzungsprofile!$B$17:$B$22,"Schulbetrieb",Nutzungsprofile!$G$17:$G$22)*Kalender!C360/SUM(Kalender!$C$5:$C$370),0)+IFERROR(SUMIF(Nutzungsprofile!$B$17:$B$22,"Halle",Nutzungsprofile!$G$17:$G$22)*Kalender!D360/SUM(Kalender!$D$5:$D$370),0)+IFERROR(SUMIF(Nutzungsprofile!$B$17:$B$22,"Individuell",Nutzungsprofile!$G$17:$G$22)*Kalender!E360/SUM(Kalender!$E$5:$E$370),0))*Szenarien!$D$24,0)</f>
        <v>0</v>
      </c>
      <c r="E5118" s="13" t="n">
        <f aca="false">IFERROR(MIN(C5118,Eingaben!$B$17)*Eingaben!$B$16,0)</f>
        <v>0</v>
      </c>
      <c r="F5118" s="13" t="n">
        <f aca="false">IFERROR(E5118*Eingaben!$B$15,0)</f>
        <v>0</v>
      </c>
      <c r="G5118" s="13" t="n">
        <f aca="false">IFERROR(IF(Kalender!A360="",0,J5117*(1-Eingaben!$B$20)),0)</f>
        <v>0</v>
      </c>
      <c r="H5118" s="13" t="n">
        <f aca="false">MIN(G5118,D5118)</f>
        <v>0</v>
      </c>
      <c r="I5118" s="13" t="n">
        <f aca="false">IFERROR(MIN(F5118*Eingaben!$B$19,MAX(0,D5118-H5118)),0)</f>
        <v>0</v>
      </c>
      <c r="J5118" s="13" t="n">
        <f aca="false">IFERROR(MIN(Eingaben!$B$18,MAX(0,F5118-I5118)),0)</f>
        <v>0</v>
      </c>
      <c r="K5118" s="13" t="n">
        <f aca="false">H5118+I5118</f>
        <v>0</v>
      </c>
      <c r="L5118" s="13" t="n">
        <f aca="false">MAX(0,D5118-K5118)</f>
        <v>0</v>
      </c>
      <c r="M5118" s="13" t="n">
        <f aca="false">MAX(0,F5118-I5118-J5118)</f>
        <v>0</v>
      </c>
      <c r="N5118" s="13" t="n">
        <f aca="false">IF(Kalender!A360="",0,J5117-H5118)</f>
        <v>0</v>
      </c>
    </row>
    <row r="5119" customFormat="false" ht="16.4" hidden="false" customHeight="false" outlineLevel="0" collapsed="false">
      <c r="A5119" s="13" t="str">
        <f aca="false">""</f>
        <v/>
      </c>
      <c r="B5119" s="13" t="n">
        <f aca="false">357</f>
        <v>357</v>
      </c>
      <c r="C5119" s="13" t="n">
        <f aca="false">IF(Szenarien!$H$24="OK",(IFERROR(SUMIF(Nutzungsprofile!$B$6:$B$11,"Schulbetrieb",Nutzungsprofile!$G$6:$G$11)*Kalender!C361/SUM(Kalender!$C$5:$C$370),0)+IFERROR(SUMIF(Nutzungsprofile!$B$6:$B$11,"Halle",Nutzungsprofile!$G$6:$G$11)*Kalender!D361/SUM(Kalender!$D$5:$D$370),0)+IFERROR(SUMIF(Nutzungsprofile!$B$6:$B$11,"Individuell",Nutzungsprofile!$G$6:$G$11)*Kalender!E361/SUM(Kalender!$E$5:$E$370),0))*Szenarien!$E$24,0)</f>
        <v>0</v>
      </c>
      <c r="D5119" s="13" t="n">
        <f aca="false">IF(Szenarien!$H$24="OK",(IFERROR(SUMIF(Nutzungsprofile!$B$17:$B$22,"Schulbetrieb",Nutzungsprofile!$G$17:$G$22)*Kalender!C361/SUM(Kalender!$C$5:$C$370),0)+IFERROR(SUMIF(Nutzungsprofile!$B$17:$B$22,"Halle",Nutzungsprofile!$G$17:$G$22)*Kalender!D361/SUM(Kalender!$D$5:$D$370),0)+IFERROR(SUMIF(Nutzungsprofile!$B$17:$B$22,"Individuell",Nutzungsprofile!$G$17:$G$22)*Kalender!E361/SUM(Kalender!$E$5:$E$370),0))*Szenarien!$D$24,0)</f>
        <v>0</v>
      </c>
      <c r="E5119" s="13" t="n">
        <f aca="false">IFERROR(MIN(C5119,Eingaben!$B$17)*Eingaben!$B$16,0)</f>
        <v>0</v>
      </c>
      <c r="F5119" s="13" t="n">
        <f aca="false">IFERROR(E5119*Eingaben!$B$15,0)</f>
        <v>0</v>
      </c>
      <c r="G5119" s="13" t="n">
        <f aca="false">IFERROR(IF(Kalender!A361="",0,J5118*(1-Eingaben!$B$20)),0)</f>
        <v>0</v>
      </c>
      <c r="H5119" s="13" t="n">
        <f aca="false">MIN(G5119,D5119)</f>
        <v>0</v>
      </c>
      <c r="I5119" s="13" t="n">
        <f aca="false">IFERROR(MIN(F5119*Eingaben!$B$19,MAX(0,D5119-H5119)),0)</f>
        <v>0</v>
      </c>
      <c r="J5119" s="13" t="n">
        <f aca="false">IFERROR(MIN(Eingaben!$B$18,MAX(0,F5119-I5119)),0)</f>
        <v>0</v>
      </c>
      <c r="K5119" s="13" t="n">
        <f aca="false">H5119+I5119</f>
        <v>0</v>
      </c>
      <c r="L5119" s="13" t="n">
        <f aca="false">MAX(0,D5119-K5119)</f>
        <v>0</v>
      </c>
      <c r="M5119" s="13" t="n">
        <f aca="false">MAX(0,F5119-I5119-J5119)</f>
        <v>0</v>
      </c>
      <c r="N5119" s="13" t="n">
        <f aca="false">IF(Kalender!A361="",0,J5118-H5119)</f>
        <v>0</v>
      </c>
    </row>
    <row r="5120" customFormat="false" ht="16.4" hidden="false" customHeight="false" outlineLevel="0" collapsed="false">
      <c r="A5120" s="13" t="str">
        <f aca="false">""</f>
        <v/>
      </c>
      <c r="B5120" s="13" t="n">
        <f aca="false">358</f>
        <v>358</v>
      </c>
      <c r="C5120" s="13" t="n">
        <f aca="false">IF(Szenarien!$H$24="OK",(IFERROR(SUMIF(Nutzungsprofile!$B$6:$B$11,"Schulbetrieb",Nutzungsprofile!$G$6:$G$11)*Kalender!C362/SUM(Kalender!$C$5:$C$370),0)+IFERROR(SUMIF(Nutzungsprofile!$B$6:$B$11,"Halle",Nutzungsprofile!$G$6:$G$11)*Kalender!D362/SUM(Kalender!$D$5:$D$370),0)+IFERROR(SUMIF(Nutzungsprofile!$B$6:$B$11,"Individuell",Nutzungsprofile!$G$6:$G$11)*Kalender!E362/SUM(Kalender!$E$5:$E$370),0))*Szenarien!$E$24,0)</f>
        <v>0</v>
      </c>
      <c r="D5120" s="13" t="n">
        <f aca="false">IF(Szenarien!$H$24="OK",(IFERROR(SUMIF(Nutzungsprofile!$B$17:$B$22,"Schulbetrieb",Nutzungsprofile!$G$17:$G$22)*Kalender!C362/SUM(Kalender!$C$5:$C$370),0)+IFERROR(SUMIF(Nutzungsprofile!$B$17:$B$22,"Halle",Nutzungsprofile!$G$17:$G$22)*Kalender!D362/SUM(Kalender!$D$5:$D$370),0)+IFERROR(SUMIF(Nutzungsprofile!$B$17:$B$22,"Individuell",Nutzungsprofile!$G$17:$G$22)*Kalender!E362/SUM(Kalender!$E$5:$E$370),0))*Szenarien!$D$24,0)</f>
        <v>0</v>
      </c>
      <c r="E5120" s="13" t="n">
        <f aca="false">IFERROR(MIN(C5120,Eingaben!$B$17)*Eingaben!$B$16,0)</f>
        <v>0</v>
      </c>
      <c r="F5120" s="13" t="n">
        <f aca="false">IFERROR(E5120*Eingaben!$B$15,0)</f>
        <v>0</v>
      </c>
      <c r="G5120" s="13" t="n">
        <f aca="false">IFERROR(IF(Kalender!A362="",0,J5119*(1-Eingaben!$B$20)),0)</f>
        <v>0</v>
      </c>
      <c r="H5120" s="13" t="n">
        <f aca="false">MIN(G5120,D5120)</f>
        <v>0</v>
      </c>
      <c r="I5120" s="13" t="n">
        <f aca="false">IFERROR(MIN(F5120*Eingaben!$B$19,MAX(0,D5120-H5120)),0)</f>
        <v>0</v>
      </c>
      <c r="J5120" s="13" t="n">
        <f aca="false">IFERROR(MIN(Eingaben!$B$18,MAX(0,F5120-I5120)),0)</f>
        <v>0</v>
      </c>
      <c r="K5120" s="13" t="n">
        <f aca="false">H5120+I5120</f>
        <v>0</v>
      </c>
      <c r="L5120" s="13" t="n">
        <f aca="false">MAX(0,D5120-K5120)</f>
        <v>0</v>
      </c>
      <c r="M5120" s="13" t="n">
        <f aca="false">MAX(0,F5120-I5120-J5120)</f>
        <v>0</v>
      </c>
      <c r="N5120" s="13" t="n">
        <f aca="false">IF(Kalender!A362="",0,J5119-H5120)</f>
        <v>0</v>
      </c>
    </row>
    <row r="5121" customFormat="false" ht="16.4" hidden="false" customHeight="false" outlineLevel="0" collapsed="false">
      <c r="A5121" s="13" t="str">
        <f aca="false">""</f>
        <v/>
      </c>
      <c r="B5121" s="13" t="n">
        <f aca="false">359</f>
        <v>359</v>
      </c>
      <c r="C5121" s="13" t="n">
        <f aca="false">IF(Szenarien!$H$24="OK",(IFERROR(SUMIF(Nutzungsprofile!$B$6:$B$11,"Schulbetrieb",Nutzungsprofile!$G$6:$G$11)*Kalender!C363/SUM(Kalender!$C$5:$C$370),0)+IFERROR(SUMIF(Nutzungsprofile!$B$6:$B$11,"Halle",Nutzungsprofile!$G$6:$G$11)*Kalender!D363/SUM(Kalender!$D$5:$D$370),0)+IFERROR(SUMIF(Nutzungsprofile!$B$6:$B$11,"Individuell",Nutzungsprofile!$G$6:$G$11)*Kalender!E363/SUM(Kalender!$E$5:$E$370),0))*Szenarien!$E$24,0)</f>
        <v>0</v>
      </c>
      <c r="D5121" s="13" t="n">
        <f aca="false">IF(Szenarien!$H$24="OK",(IFERROR(SUMIF(Nutzungsprofile!$B$17:$B$22,"Schulbetrieb",Nutzungsprofile!$G$17:$G$22)*Kalender!C363/SUM(Kalender!$C$5:$C$370),0)+IFERROR(SUMIF(Nutzungsprofile!$B$17:$B$22,"Halle",Nutzungsprofile!$G$17:$G$22)*Kalender!D363/SUM(Kalender!$D$5:$D$370),0)+IFERROR(SUMIF(Nutzungsprofile!$B$17:$B$22,"Individuell",Nutzungsprofile!$G$17:$G$22)*Kalender!E363/SUM(Kalender!$E$5:$E$370),0))*Szenarien!$D$24,0)</f>
        <v>0</v>
      </c>
      <c r="E5121" s="13" t="n">
        <f aca="false">IFERROR(MIN(C5121,Eingaben!$B$17)*Eingaben!$B$16,0)</f>
        <v>0</v>
      </c>
      <c r="F5121" s="13" t="n">
        <f aca="false">IFERROR(E5121*Eingaben!$B$15,0)</f>
        <v>0</v>
      </c>
      <c r="G5121" s="13" t="n">
        <f aca="false">IFERROR(IF(Kalender!A363="",0,J5120*(1-Eingaben!$B$20)),0)</f>
        <v>0</v>
      </c>
      <c r="H5121" s="13" t="n">
        <f aca="false">MIN(G5121,D5121)</f>
        <v>0</v>
      </c>
      <c r="I5121" s="13" t="n">
        <f aca="false">IFERROR(MIN(F5121*Eingaben!$B$19,MAX(0,D5121-H5121)),0)</f>
        <v>0</v>
      </c>
      <c r="J5121" s="13" t="n">
        <f aca="false">IFERROR(MIN(Eingaben!$B$18,MAX(0,F5121-I5121)),0)</f>
        <v>0</v>
      </c>
      <c r="K5121" s="13" t="n">
        <f aca="false">H5121+I5121</f>
        <v>0</v>
      </c>
      <c r="L5121" s="13" t="n">
        <f aca="false">MAX(0,D5121-K5121)</f>
        <v>0</v>
      </c>
      <c r="M5121" s="13" t="n">
        <f aca="false">MAX(0,F5121-I5121-J5121)</f>
        <v>0</v>
      </c>
      <c r="N5121" s="13" t="n">
        <f aca="false">IF(Kalender!A363="",0,J5120-H5121)</f>
        <v>0</v>
      </c>
    </row>
    <row r="5122" customFormat="false" ht="16.4" hidden="false" customHeight="false" outlineLevel="0" collapsed="false">
      <c r="A5122" s="13" t="str">
        <f aca="false">""</f>
        <v/>
      </c>
      <c r="B5122" s="13" t="n">
        <f aca="false">360</f>
        <v>360</v>
      </c>
      <c r="C5122" s="13" t="n">
        <f aca="false">IF(Szenarien!$H$24="OK",(IFERROR(SUMIF(Nutzungsprofile!$B$6:$B$11,"Schulbetrieb",Nutzungsprofile!$G$6:$G$11)*Kalender!C364/SUM(Kalender!$C$5:$C$370),0)+IFERROR(SUMIF(Nutzungsprofile!$B$6:$B$11,"Halle",Nutzungsprofile!$G$6:$G$11)*Kalender!D364/SUM(Kalender!$D$5:$D$370),0)+IFERROR(SUMIF(Nutzungsprofile!$B$6:$B$11,"Individuell",Nutzungsprofile!$G$6:$G$11)*Kalender!E364/SUM(Kalender!$E$5:$E$370),0))*Szenarien!$E$24,0)</f>
        <v>0</v>
      </c>
      <c r="D5122" s="13" t="n">
        <f aca="false">IF(Szenarien!$H$24="OK",(IFERROR(SUMIF(Nutzungsprofile!$B$17:$B$22,"Schulbetrieb",Nutzungsprofile!$G$17:$G$22)*Kalender!C364/SUM(Kalender!$C$5:$C$370),0)+IFERROR(SUMIF(Nutzungsprofile!$B$17:$B$22,"Halle",Nutzungsprofile!$G$17:$G$22)*Kalender!D364/SUM(Kalender!$D$5:$D$370),0)+IFERROR(SUMIF(Nutzungsprofile!$B$17:$B$22,"Individuell",Nutzungsprofile!$G$17:$G$22)*Kalender!E364/SUM(Kalender!$E$5:$E$370),0))*Szenarien!$D$24,0)</f>
        <v>0</v>
      </c>
      <c r="E5122" s="13" t="n">
        <f aca="false">IFERROR(MIN(C5122,Eingaben!$B$17)*Eingaben!$B$16,0)</f>
        <v>0</v>
      </c>
      <c r="F5122" s="13" t="n">
        <f aca="false">IFERROR(E5122*Eingaben!$B$15,0)</f>
        <v>0</v>
      </c>
      <c r="G5122" s="13" t="n">
        <f aca="false">IFERROR(IF(Kalender!A364="",0,J5121*(1-Eingaben!$B$20)),0)</f>
        <v>0</v>
      </c>
      <c r="H5122" s="13" t="n">
        <f aca="false">MIN(G5122,D5122)</f>
        <v>0</v>
      </c>
      <c r="I5122" s="13" t="n">
        <f aca="false">IFERROR(MIN(F5122*Eingaben!$B$19,MAX(0,D5122-H5122)),0)</f>
        <v>0</v>
      </c>
      <c r="J5122" s="13" t="n">
        <f aca="false">IFERROR(MIN(Eingaben!$B$18,MAX(0,F5122-I5122)),0)</f>
        <v>0</v>
      </c>
      <c r="K5122" s="13" t="n">
        <f aca="false">H5122+I5122</f>
        <v>0</v>
      </c>
      <c r="L5122" s="13" t="n">
        <f aca="false">MAX(0,D5122-K5122)</f>
        <v>0</v>
      </c>
      <c r="M5122" s="13" t="n">
        <f aca="false">MAX(0,F5122-I5122-J5122)</f>
        <v>0</v>
      </c>
      <c r="N5122" s="13" t="n">
        <f aca="false">IF(Kalender!A364="",0,J5121-H5122)</f>
        <v>0</v>
      </c>
    </row>
    <row r="5123" customFormat="false" ht="16.4" hidden="false" customHeight="false" outlineLevel="0" collapsed="false">
      <c r="A5123" s="13" t="str">
        <f aca="false">""</f>
        <v/>
      </c>
      <c r="B5123" s="13" t="n">
        <f aca="false">361</f>
        <v>361</v>
      </c>
      <c r="C5123" s="13" t="n">
        <f aca="false">IF(Szenarien!$H$24="OK",(IFERROR(SUMIF(Nutzungsprofile!$B$6:$B$11,"Schulbetrieb",Nutzungsprofile!$G$6:$G$11)*Kalender!C365/SUM(Kalender!$C$5:$C$370),0)+IFERROR(SUMIF(Nutzungsprofile!$B$6:$B$11,"Halle",Nutzungsprofile!$G$6:$G$11)*Kalender!D365/SUM(Kalender!$D$5:$D$370),0)+IFERROR(SUMIF(Nutzungsprofile!$B$6:$B$11,"Individuell",Nutzungsprofile!$G$6:$G$11)*Kalender!E365/SUM(Kalender!$E$5:$E$370),0))*Szenarien!$E$24,0)</f>
        <v>0</v>
      </c>
      <c r="D5123" s="13" t="n">
        <f aca="false">IF(Szenarien!$H$24="OK",(IFERROR(SUMIF(Nutzungsprofile!$B$17:$B$22,"Schulbetrieb",Nutzungsprofile!$G$17:$G$22)*Kalender!C365/SUM(Kalender!$C$5:$C$370),0)+IFERROR(SUMIF(Nutzungsprofile!$B$17:$B$22,"Halle",Nutzungsprofile!$G$17:$G$22)*Kalender!D365/SUM(Kalender!$D$5:$D$370),0)+IFERROR(SUMIF(Nutzungsprofile!$B$17:$B$22,"Individuell",Nutzungsprofile!$G$17:$G$22)*Kalender!E365/SUM(Kalender!$E$5:$E$370),0))*Szenarien!$D$24,0)</f>
        <v>0</v>
      </c>
      <c r="E5123" s="13" t="n">
        <f aca="false">IFERROR(MIN(C5123,Eingaben!$B$17)*Eingaben!$B$16,0)</f>
        <v>0</v>
      </c>
      <c r="F5123" s="13" t="n">
        <f aca="false">IFERROR(E5123*Eingaben!$B$15,0)</f>
        <v>0</v>
      </c>
      <c r="G5123" s="13" t="n">
        <f aca="false">IFERROR(IF(Kalender!A365="",0,J5122*(1-Eingaben!$B$20)),0)</f>
        <v>0</v>
      </c>
      <c r="H5123" s="13" t="n">
        <f aca="false">MIN(G5123,D5123)</f>
        <v>0</v>
      </c>
      <c r="I5123" s="13" t="n">
        <f aca="false">IFERROR(MIN(F5123*Eingaben!$B$19,MAX(0,D5123-H5123)),0)</f>
        <v>0</v>
      </c>
      <c r="J5123" s="13" t="n">
        <f aca="false">IFERROR(MIN(Eingaben!$B$18,MAX(0,F5123-I5123)),0)</f>
        <v>0</v>
      </c>
      <c r="K5123" s="13" t="n">
        <f aca="false">H5123+I5123</f>
        <v>0</v>
      </c>
      <c r="L5123" s="13" t="n">
        <f aca="false">MAX(0,D5123-K5123)</f>
        <v>0</v>
      </c>
      <c r="M5123" s="13" t="n">
        <f aca="false">MAX(0,F5123-I5123-J5123)</f>
        <v>0</v>
      </c>
      <c r="N5123" s="13" t="n">
        <f aca="false">IF(Kalender!A365="",0,J5122-H5123)</f>
        <v>0</v>
      </c>
    </row>
    <row r="5124" customFormat="false" ht="16.4" hidden="false" customHeight="false" outlineLevel="0" collapsed="false">
      <c r="A5124" s="13" t="str">
        <f aca="false">""</f>
        <v/>
      </c>
      <c r="B5124" s="13" t="n">
        <f aca="false">362</f>
        <v>362</v>
      </c>
      <c r="C5124" s="13" t="n">
        <f aca="false">IF(Szenarien!$H$24="OK",(IFERROR(SUMIF(Nutzungsprofile!$B$6:$B$11,"Schulbetrieb",Nutzungsprofile!$G$6:$G$11)*Kalender!C366/SUM(Kalender!$C$5:$C$370),0)+IFERROR(SUMIF(Nutzungsprofile!$B$6:$B$11,"Halle",Nutzungsprofile!$G$6:$G$11)*Kalender!D366/SUM(Kalender!$D$5:$D$370),0)+IFERROR(SUMIF(Nutzungsprofile!$B$6:$B$11,"Individuell",Nutzungsprofile!$G$6:$G$11)*Kalender!E366/SUM(Kalender!$E$5:$E$370),0))*Szenarien!$E$24,0)</f>
        <v>0</v>
      </c>
      <c r="D5124" s="13" t="n">
        <f aca="false">IF(Szenarien!$H$24="OK",(IFERROR(SUMIF(Nutzungsprofile!$B$17:$B$22,"Schulbetrieb",Nutzungsprofile!$G$17:$G$22)*Kalender!C366/SUM(Kalender!$C$5:$C$370),0)+IFERROR(SUMIF(Nutzungsprofile!$B$17:$B$22,"Halle",Nutzungsprofile!$G$17:$G$22)*Kalender!D366/SUM(Kalender!$D$5:$D$370),0)+IFERROR(SUMIF(Nutzungsprofile!$B$17:$B$22,"Individuell",Nutzungsprofile!$G$17:$G$22)*Kalender!E366/SUM(Kalender!$E$5:$E$370),0))*Szenarien!$D$24,0)</f>
        <v>0</v>
      </c>
      <c r="E5124" s="13" t="n">
        <f aca="false">IFERROR(MIN(C5124,Eingaben!$B$17)*Eingaben!$B$16,0)</f>
        <v>0</v>
      </c>
      <c r="F5124" s="13" t="n">
        <f aca="false">IFERROR(E5124*Eingaben!$B$15,0)</f>
        <v>0</v>
      </c>
      <c r="G5124" s="13" t="n">
        <f aca="false">IFERROR(IF(Kalender!A366="",0,J5123*(1-Eingaben!$B$20)),0)</f>
        <v>0</v>
      </c>
      <c r="H5124" s="13" t="n">
        <f aca="false">MIN(G5124,D5124)</f>
        <v>0</v>
      </c>
      <c r="I5124" s="13" t="n">
        <f aca="false">IFERROR(MIN(F5124*Eingaben!$B$19,MAX(0,D5124-H5124)),0)</f>
        <v>0</v>
      </c>
      <c r="J5124" s="13" t="n">
        <f aca="false">IFERROR(MIN(Eingaben!$B$18,MAX(0,F5124-I5124)),0)</f>
        <v>0</v>
      </c>
      <c r="K5124" s="13" t="n">
        <f aca="false">H5124+I5124</f>
        <v>0</v>
      </c>
      <c r="L5124" s="13" t="n">
        <f aca="false">MAX(0,D5124-K5124)</f>
        <v>0</v>
      </c>
      <c r="M5124" s="13" t="n">
        <f aca="false">MAX(0,F5124-I5124-J5124)</f>
        <v>0</v>
      </c>
      <c r="N5124" s="13" t="n">
        <f aca="false">IF(Kalender!A366="",0,J5123-H5124)</f>
        <v>0</v>
      </c>
    </row>
    <row r="5125" customFormat="false" ht="16.4" hidden="false" customHeight="false" outlineLevel="0" collapsed="false">
      <c r="A5125" s="13" t="str">
        <f aca="false">""</f>
        <v/>
      </c>
      <c r="B5125" s="13" t="n">
        <f aca="false">363</f>
        <v>363</v>
      </c>
      <c r="C5125" s="13" t="n">
        <f aca="false">IF(Szenarien!$H$24="OK",(IFERROR(SUMIF(Nutzungsprofile!$B$6:$B$11,"Schulbetrieb",Nutzungsprofile!$G$6:$G$11)*Kalender!C367/SUM(Kalender!$C$5:$C$370),0)+IFERROR(SUMIF(Nutzungsprofile!$B$6:$B$11,"Halle",Nutzungsprofile!$G$6:$G$11)*Kalender!D367/SUM(Kalender!$D$5:$D$370),0)+IFERROR(SUMIF(Nutzungsprofile!$B$6:$B$11,"Individuell",Nutzungsprofile!$G$6:$G$11)*Kalender!E367/SUM(Kalender!$E$5:$E$370),0))*Szenarien!$E$24,0)</f>
        <v>0</v>
      </c>
      <c r="D5125" s="13" t="n">
        <f aca="false">IF(Szenarien!$H$24="OK",(IFERROR(SUMIF(Nutzungsprofile!$B$17:$B$22,"Schulbetrieb",Nutzungsprofile!$G$17:$G$22)*Kalender!C367/SUM(Kalender!$C$5:$C$370),0)+IFERROR(SUMIF(Nutzungsprofile!$B$17:$B$22,"Halle",Nutzungsprofile!$G$17:$G$22)*Kalender!D367/SUM(Kalender!$D$5:$D$370),0)+IFERROR(SUMIF(Nutzungsprofile!$B$17:$B$22,"Individuell",Nutzungsprofile!$G$17:$G$22)*Kalender!E367/SUM(Kalender!$E$5:$E$370),0))*Szenarien!$D$24,0)</f>
        <v>0</v>
      </c>
      <c r="E5125" s="13" t="n">
        <f aca="false">IFERROR(MIN(C5125,Eingaben!$B$17)*Eingaben!$B$16,0)</f>
        <v>0</v>
      </c>
      <c r="F5125" s="13" t="n">
        <f aca="false">IFERROR(E5125*Eingaben!$B$15,0)</f>
        <v>0</v>
      </c>
      <c r="G5125" s="13" t="n">
        <f aca="false">IFERROR(IF(Kalender!A367="",0,J5124*(1-Eingaben!$B$20)),0)</f>
        <v>0</v>
      </c>
      <c r="H5125" s="13" t="n">
        <f aca="false">MIN(G5125,D5125)</f>
        <v>0</v>
      </c>
      <c r="I5125" s="13" t="n">
        <f aca="false">IFERROR(MIN(F5125*Eingaben!$B$19,MAX(0,D5125-H5125)),0)</f>
        <v>0</v>
      </c>
      <c r="J5125" s="13" t="n">
        <f aca="false">IFERROR(MIN(Eingaben!$B$18,MAX(0,F5125-I5125)),0)</f>
        <v>0</v>
      </c>
      <c r="K5125" s="13" t="n">
        <f aca="false">H5125+I5125</f>
        <v>0</v>
      </c>
      <c r="L5125" s="13" t="n">
        <f aca="false">MAX(0,D5125-K5125)</f>
        <v>0</v>
      </c>
      <c r="M5125" s="13" t="n">
        <f aca="false">MAX(0,F5125-I5125-J5125)</f>
        <v>0</v>
      </c>
      <c r="N5125" s="13" t="n">
        <f aca="false">IF(Kalender!A367="",0,J5124-H5125)</f>
        <v>0</v>
      </c>
    </row>
    <row r="5126" customFormat="false" ht="16.4" hidden="false" customHeight="false" outlineLevel="0" collapsed="false">
      <c r="A5126" s="13" t="str">
        <f aca="false">""</f>
        <v/>
      </c>
      <c r="B5126" s="13" t="n">
        <f aca="false">364</f>
        <v>364</v>
      </c>
      <c r="C5126" s="13" t="n">
        <f aca="false">IF(Szenarien!$H$24="OK",(IFERROR(SUMIF(Nutzungsprofile!$B$6:$B$11,"Schulbetrieb",Nutzungsprofile!$G$6:$G$11)*Kalender!C368/SUM(Kalender!$C$5:$C$370),0)+IFERROR(SUMIF(Nutzungsprofile!$B$6:$B$11,"Halle",Nutzungsprofile!$G$6:$G$11)*Kalender!D368/SUM(Kalender!$D$5:$D$370),0)+IFERROR(SUMIF(Nutzungsprofile!$B$6:$B$11,"Individuell",Nutzungsprofile!$G$6:$G$11)*Kalender!E368/SUM(Kalender!$E$5:$E$370),0))*Szenarien!$E$24,0)</f>
        <v>0</v>
      </c>
      <c r="D5126" s="13" t="n">
        <f aca="false">IF(Szenarien!$H$24="OK",(IFERROR(SUMIF(Nutzungsprofile!$B$17:$B$22,"Schulbetrieb",Nutzungsprofile!$G$17:$G$22)*Kalender!C368/SUM(Kalender!$C$5:$C$370),0)+IFERROR(SUMIF(Nutzungsprofile!$B$17:$B$22,"Halle",Nutzungsprofile!$G$17:$G$22)*Kalender!D368/SUM(Kalender!$D$5:$D$370),0)+IFERROR(SUMIF(Nutzungsprofile!$B$17:$B$22,"Individuell",Nutzungsprofile!$G$17:$G$22)*Kalender!E368/SUM(Kalender!$E$5:$E$370),0))*Szenarien!$D$24,0)</f>
        <v>0</v>
      </c>
      <c r="E5126" s="13" t="n">
        <f aca="false">IFERROR(MIN(C5126,Eingaben!$B$17)*Eingaben!$B$16,0)</f>
        <v>0</v>
      </c>
      <c r="F5126" s="13" t="n">
        <f aca="false">IFERROR(E5126*Eingaben!$B$15,0)</f>
        <v>0</v>
      </c>
      <c r="G5126" s="13" t="n">
        <f aca="false">IFERROR(IF(Kalender!A368="",0,J5125*(1-Eingaben!$B$20)),0)</f>
        <v>0</v>
      </c>
      <c r="H5126" s="13" t="n">
        <f aca="false">MIN(G5126,D5126)</f>
        <v>0</v>
      </c>
      <c r="I5126" s="13" t="n">
        <f aca="false">IFERROR(MIN(F5126*Eingaben!$B$19,MAX(0,D5126-H5126)),0)</f>
        <v>0</v>
      </c>
      <c r="J5126" s="13" t="n">
        <f aca="false">IFERROR(MIN(Eingaben!$B$18,MAX(0,F5126-I5126)),0)</f>
        <v>0</v>
      </c>
      <c r="K5126" s="13" t="n">
        <f aca="false">H5126+I5126</f>
        <v>0</v>
      </c>
      <c r="L5126" s="13" t="n">
        <f aca="false">MAX(0,D5126-K5126)</f>
        <v>0</v>
      </c>
      <c r="M5126" s="13" t="n">
        <f aca="false">MAX(0,F5126-I5126-J5126)</f>
        <v>0</v>
      </c>
      <c r="N5126" s="13" t="n">
        <f aca="false">IF(Kalender!A368="",0,J5125-H5126)</f>
        <v>0</v>
      </c>
    </row>
    <row r="5127" customFormat="false" ht="16.4" hidden="false" customHeight="false" outlineLevel="0" collapsed="false">
      <c r="A5127" s="13" t="str">
        <f aca="false">""</f>
        <v/>
      </c>
      <c r="B5127" s="13" t="n">
        <f aca="false">365</f>
        <v>365</v>
      </c>
      <c r="C5127" s="13" t="n">
        <f aca="false">IF(Szenarien!$H$24="OK",(IFERROR(SUMIF(Nutzungsprofile!$B$6:$B$11,"Schulbetrieb",Nutzungsprofile!$G$6:$G$11)*Kalender!C369/SUM(Kalender!$C$5:$C$370),0)+IFERROR(SUMIF(Nutzungsprofile!$B$6:$B$11,"Halle",Nutzungsprofile!$G$6:$G$11)*Kalender!D369/SUM(Kalender!$D$5:$D$370),0)+IFERROR(SUMIF(Nutzungsprofile!$B$6:$B$11,"Individuell",Nutzungsprofile!$G$6:$G$11)*Kalender!E369/SUM(Kalender!$E$5:$E$370),0))*Szenarien!$E$24,0)</f>
        <v>0</v>
      </c>
      <c r="D5127" s="13" t="n">
        <f aca="false">IF(Szenarien!$H$24="OK",(IFERROR(SUMIF(Nutzungsprofile!$B$17:$B$22,"Schulbetrieb",Nutzungsprofile!$G$17:$G$22)*Kalender!C369/SUM(Kalender!$C$5:$C$370),0)+IFERROR(SUMIF(Nutzungsprofile!$B$17:$B$22,"Halle",Nutzungsprofile!$G$17:$G$22)*Kalender!D369/SUM(Kalender!$D$5:$D$370),0)+IFERROR(SUMIF(Nutzungsprofile!$B$17:$B$22,"Individuell",Nutzungsprofile!$G$17:$G$22)*Kalender!E369/SUM(Kalender!$E$5:$E$370),0))*Szenarien!$D$24,0)</f>
        <v>0</v>
      </c>
      <c r="E5127" s="13" t="n">
        <f aca="false">IFERROR(MIN(C5127,Eingaben!$B$17)*Eingaben!$B$16,0)</f>
        <v>0</v>
      </c>
      <c r="F5127" s="13" t="n">
        <f aca="false">IFERROR(E5127*Eingaben!$B$15,0)</f>
        <v>0</v>
      </c>
      <c r="G5127" s="13" t="n">
        <f aca="false">IFERROR(IF(Kalender!A369="",0,J5126*(1-Eingaben!$B$20)),0)</f>
        <v>0</v>
      </c>
      <c r="H5127" s="13" t="n">
        <f aca="false">MIN(G5127,D5127)</f>
        <v>0</v>
      </c>
      <c r="I5127" s="13" t="n">
        <f aca="false">IFERROR(MIN(F5127*Eingaben!$B$19,MAX(0,D5127-H5127)),0)</f>
        <v>0</v>
      </c>
      <c r="J5127" s="13" t="n">
        <f aca="false">IFERROR(MIN(Eingaben!$B$18,MAX(0,F5127-I5127)),0)</f>
        <v>0</v>
      </c>
      <c r="K5127" s="13" t="n">
        <f aca="false">H5127+I5127</f>
        <v>0</v>
      </c>
      <c r="L5127" s="13" t="n">
        <f aca="false">MAX(0,D5127-K5127)</f>
        <v>0</v>
      </c>
      <c r="M5127" s="13" t="n">
        <f aca="false">MAX(0,F5127-I5127-J5127)</f>
        <v>0</v>
      </c>
      <c r="N5127" s="13" t="n">
        <f aca="false">IF(Kalender!A369="",0,J5126-H5127)</f>
        <v>0</v>
      </c>
    </row>
    <row r="5128" customFormat="false" ht="16.4" hidden="false" customHeight="false" outlineLevel="0" collapsed="false">
      <c r="A5128" s="13" t="str">
        <f aca="false">""</f>
        <v/>
      </c>
      <c r="B5128" s="13" t="n">
        <f aca="false">366</f>
        <v>366</v>
      </c>
      <c r="C5128" s="13" t="n">
        <f aca="false">IF(Szenarien!$H$24="OK",(IFERROR(SUMIF(Nutzungsprofile!$B$6:$B$11,"Schulbetrieb",Nutzungsprofile!$G$6:$G$11)*Kalender!C370/SUM(Kalender!$C$5:$C$370),0)+IFERROR(SUMIF(Nutzungsprofile!$B$6:$B$11,"Halle",Nutzungsprofile!$G$6:$G$11)*Kalender!D370/SUM(Kalender!$D$5:$D$370),0)+IFERROR(SUMIF(Nutzungsprofile!$B$6:$B$11,"Individuell",Nutzungsprofile!$G$6:$G$11)*Kalender!E370/SUM(Kalender!$E$5:$E$370),0))*Szenarien!$E$24,0)</f>
        <v>0</v>
      </c>
      <c r="D5128" s="13" t="n">
        <f aca="false">IF(Szenarien!$H$24="OK",(IFERROR(SUMIF(Nutzungsprofile!$B$17:$B$22,"Schulbetrieb",Nutzungsprofile!$G$17:$G$22)*Kalender!C370/SUM(Kalender!$C$5:$C$370),0)+IFERROR(SUMIF(Nutzungsprofile!$B$17:$B$22,"Halle",Nutzungsprofile!$G$17:$G$22)*Kalender!D370/SUM(Kalender!$D$5:$D$370),0)+IFERROR(SUMIF(Nutzungsprofile!$B$17:$B$22,"Individuell",Nutzungsprofile!$G$17:$G$22)*Kalender!E370/SUM(Kalender!$E$5:$E$370),0))*Szenarien!$D$24,0)</f>
        <v>0</v>
      </c>
      <c r="E5128" s="13" t="n">
        <f aca="false">IFERROR(MIN(C5128,Eingaben!$B$17)*Eingaben!$B$16,0)</f>
        <v>0</v>
      </c>
      <c r="F5128" s="13" t="n">
        <f aca="false">IFERROR(E5128*Eingaben!$B$15,0)</f>
        <v>0</v>
      </c>
      <c r="G5128" s="13" t="n">
        <f aca="false">IFERROR(IF(Kalender!A370="",0,J5127*(1-Eingaben!$B$20)),0)</f>
        <v>0</v>
      </c>
      <c r="H5128" s="13" t="n">
        <f aca="false">MIN(G5128,D5128)</f>
        <v>0</v>
      </c>
      <c r="I5128" s="13" t="n">
        <f aca="false">IFERROR(MIN(F5128*Eingaben!$B$19,MAX(0,D5128-H5128)),0)</f>
        <v>0</v>
      </c>
      <c r="J5128" s="13" t="n">
        <f aca="false">IFERROR(MIN(Eingaben!$B$18,MAX(0,F5128-I5128)),0)</f>
        <v>0</v>
      </c>
      <c r="K5128" s="13" t="n">
        <f aca="false">H5128+I5128</f>
        <v>0</v>
      </c>
      <c r="L5128" s="13" t="n">
        <f aca="false">MAX(0,D5128-K5128)</f>
        <v>0</v>
      </c>
      <c r="M5128" s="13" t="n">
        <f aca="false">MAX(0,F5128-I5128-J5128)</f>
        <v>0</v>
      </c>
      <c r="N5128" s="13" t="n">
        <f aca="false">IF(Kalender!A370="",0,J5127-H5128)</f>
        <v>0</v>
      </c>
    </row>
    <row r="5129" customFormat="false" ht="31.3" hidden="false" customHeight="false" outlineLevel="0" collapsed="false">
      <c r="A5129" s="13" t="str">
        <f aca="false">"Kalkulationszins +1 %-Punkt"</f>
        <v>Kalkulationszins +1 %-Punkt</v>
      </c>
      <c r="B5129" s="13" t="n">
        <f aca="false">1</f>
        <v>1</v>
      </c>
      <c r="C5129" s="13" t="n">
        <f aca="false">IF(Szenarien!$H$25="OK",(IFERROR(SUMIF(Nutzungsprofile!$B$6:$B$11,"Schulbetrieb",Nutzungsprofile!$G$6:$G$11)*Kalender!C5/SUM(Kalender!$C$5:$C$370),0)+IFERROR(SUMIF(Nutzungsprofile!$B$6:$B$11,"Halle",Nutzungsprofile!$G$6:$G$11)*Kalender!D5/SUM(Kalender!$D$5:$D$370),0)+IFERROR(SUMIF(Nutzungsprofile!$B$6:$B$11,"Individuell",Nutzungsprofile!$G$6:$G$11)*Kalender!E5/SUM(Kalender!$E$5:$E$370),0))*Szenarien!$E$25,0)</f>
        <v>2.94</v>
      </c>
      <c r="D5129" s="13" t="n">
        <f aca="false">IF(Szenarien!$H$25="OK",(IFERROR(SUMIF(Nutzungsprofile!$B$17:$B$22,"Schulbetrieb",Nutzungsprofile!$G$17:$G$22)*Kalender!C5/SUM(Kalender!$C$5:$C$370),0)+IFERROR(SUMIF(Nutzungsprofile!$B$17:$B$22,"Halle",Nutzungsprofile!$G$17:$G$22)*Kalender!D5/SUM(Kalender!$D$5:$D$370),0)+IFERROR(SUMIF(Nutzungsprofile!$B$17:$B$22,"Individuell",Nutzungsprofile!$G$17:$G$22)*Kalender!E5/SUM(Kalender!$E$5:$E$370),0))*Szenarien!$D$25,0)</f>
        <v>4.94</v>
      </c>
      <c r="E5129" s="13" t="n">
        <f aca="false">IFERROR(MIN(C5129,Eingaben!$B$17)*Eingaben!$B$16,0)</f>
        <v>2.793</v>
      </c>
      <c r="F5129" s="13" t="n">
        <f aca="false">IFERROR(E5129*Eingaben!$B$15,0)</f>
        <v>2.5137</v>
      </c>
      <c r="G5129" s="13" t="n">
        <f aca="false">0</f>
        <v>0</v>
      </c>
      <c r="H5129" s="13" t="n">
        <f aca="false">MIN(G5129,D5129)</f>
        <v>0</v>
      </c>
      <c r="I5129" s="13" t="n">
        <f aca="false">IFERROR(MIN(F5129*Eingaben!$B$19,MAX(0,D5129-H5129)),0)</f>
        <v>1.75959</v>
      </c>
      <c r="J5129" s="13" t="n">
        <f aca="false">IFERROR(MIN(Eingaben!$B$18,MAX(0,F5129-I5129)),0)</f>
        <v>0.75411</v>
      </c>
      <c r="K5129" s="13" t="n">
        <f aca="false">H5129+I5129</f>
        <v>1.75959</v>
      </c>
      <c r="L5129" s="13" t="n">
        <f aca="false">MAX(0,D5129-K5129)</f>
        <v>3.18041</v>
      </c>
      <c r="M5129" s="13" t="n">
        <f aca="false">MAX(0,F5129-I5129-J5129)</f>
        <v>0</v>
      </c>
      <c r="N5129" s="13" t="n">
        <f aca="false">0</f>
        <v>0</v>
      </c>
    </row>
    <row r="5130" customFormat="false" ht="16.4" hidden="false" customHeight="false" outlineLevel="0" collapsed="false">
      <c r="A5130" s="13" t="str">
        <f aca="false">""</f>
        <v/>
      </c>
      <c r="B5130" s="13" t="n">
        <f aca="false">2</f>
        <v>2</v>
      </c>
      <c r="C5130" s="13" t="n">
        <f aca="false">IF(Szenarien!$H$25="OK",(IFERROR(SUMIF(Nutzungsprofile!$B$6:$B$11,"Schulbetrieb",Nutzungsprofile!$G$6:$G$11)*Kalender!C6/SUM(Kalender!$C$5:$C$370),0)+IFERROR(SUMIF(Nutzungsprofile!$B$6:$B$11,"Halle",Nutzungsprofile!$G$6:$G$11)*Kalender!D6/SUM(Kalender!$D$5:$D$370),0)+IFERROR(SUMIF(Nutzungsprofile!$B$6:$B$11,"Individuell",Nutzungsprofile!$G$6:$G$11)*Kalender!E6/SUM(Kalender!$E$5:$E$370),0))*Szenarien!$E$25,0)</f>
        <v>2.94</v>
      </c>
      <c r="D5130" s="13" t="n">
        <f aca="false">IF(Szenarien!$H$25="OK",(IFERROR(SUMIF(Nutzungsprofile!$B$17:$B$22,"Schulbetrieb",Nutzungsprofile!$G$17:$G$22)*Kalender!C6/SUM(Kalender!$C$5:$C$370),0)+IFERROR(SUMIF(Nutzungsprofile!$B$17:$B$22,"Halle",Nutzungsprofile!$G$17:$G$22)*Kalender!D6/SUM(Kalender!$D$5:$D$370),0)+IFERROR(SUMIF(Nutzungsprofile!$B$17:$B$22,"Individuell",Nutzungsprofile!$G$17:$G$22)*Kalender!E6/SUM(Kalender!$E$5:$E$370),0))*Szenarien!$D$25,0)</f>
        <v>4.94</v>
      </c>
      <c r="E5130" s="13" t="n">
        <f aca="false">IFERROR(MIN(C5130,Eingaben!$B$17)*Eingaben!$B$16,0)</f>
        <v>2.793</v>
      </c>
      <c r="F5130" s="13" t="n">
        <f aca="false">IFERROR(E5130*Eingaben!$B$15,0)</f>
        <v>2.5137</v>
      </c>
      <c r="G5130" s="13" t="n">
        <f aca="false">IFERROR(IF(Kalender!A6="",0,J5129*(1-Eingaben!$B$20)),0)</f>
        <v>0.7390278</v>
      </c>
      <c r="H5130" s="13" t="n">
        <f aca="false">MIN(G5130,D5130)</f>
        <v>0.7390278</v>
      </c>
      <c r="I5130" s="13" t="n">
        <f aca="false">IFERROR(MIN(F5130*Eingaben!$B$19,MAX(0,D5130-H5130)),0)</f>
        <v>1.75959</v>
      </c>
      <c r="J5130" s="13" t="n">
        <f aca="false">IFERROR(MIN(Eingaben!$B$18,MAX(0,F5130-I5130)),0)</f>
        <v>0.75411</v>
      </c>
      <c r="K5130" s="13" t="n">
        <f aca="false">H5130+I5130</f>
        <v>2.4986178</v>
      </c>
      <c r="L5130" s="13" t="n">
        <f aca="false">MAX(0,D5130-K5130)</f>
        <v>2.4413822</v>
      </c>
      <c r="M5130" s="13" t="n">
        <f aca="false">MAX(0,F5130-I5130-J5130)</f>
        <v>0</v>
      </c>
      <c r="N5130" s="13" t="n">
        <f aca="false">IF(Kalender!A6="",0,J5129-H5130)</f>
        <v>0.0150822</v>
      </c>
    </row>
    <row r="5131" customFormat="false" ht="16.4" hidden="false" customHeight="false" outlineLevel="0" collapsed="false">
      <c r="A5131" s="13" t="str">
        <f aca="false">""</f>
        <v/>
      </c>
      <c r="B5131" s="13" t="n">
        <f aca="false">3</f>
        <v>3</v>
      </c>
      <c r="C5131" s="13" t="n">
        <f aca="false">IF(Szenarien!$H$25="OK",(IFERROR(SUMIF(Nutzungsprofile!$B$6:$B$11,"Schulbetrieb",Nutzungsprofile!$G$6:$G$11)*Kalender!C7/SUM(Kalender!$C$5:$C$370),0)+IFERROR(SUMIF(Nutzungsprofile!$B$6:$B$11,"Halle",Nutzungsprofile!$G$6:$G$11)*Kalender!D7/SUM(Kalender!$D$5:$D$370),0)+IFERROR(SUMIF(Nutzungsprofile!$B$6:$B$11,"Individuell",Nutzungsprofile!$G$6:$G$11)*Kalender!E7/SUM(Kalender!$E$5:$E$370),0))*Szenarien!$E$25,0)</f>
        <v>2.04</v>
      </c>
      <c r="D5131" s="13" t="n">
        <f aca="false">IF(Szenarien!$H$25="OK",(IFERROR(SUMIF(Nutzungsprofile!$B$17:$B$22,"Schulbetrieb",Nutzungsprofile!$G$17:$G$22)*Kalender!C7/SUM(Kalender!$C$5:$C$370),0)+IFERROR(SUMIF(Nutzungsprofile!$B$17:$B$22,"Halle",Nutzungsprofile!$G$17:$G$22)*Kalender!D7/SUM(Kalender!$D$5:$D$370),0)+IFERROR(SUMIF(Nutzungsprofile!$B$17:$B$22,"Individuell",Nutzungsprofile!$G$17:$G$22)*Kalender!E7/SUM(Kalender!$E$5:$E$370),0))*Szenarien!$D$25,0)</f>
        <v>0.89</v>
      </c>
      <c r="E5131" s="13" t="n">
        <f aca="false">IFERROR(MIN(C5131,Eingaben!$B$17)*Eingaben!$B$16,0)</f>
        <v>1.938</v>
      </c>
      <c r="F5131" s="13" t="n">
        <f aca="false">IFERROR(E5131*Eingaben!$B$15,0)</f>
        <v>1.7442</v>
      </c>
      <c r="G5131" s="13" t="n">
        <f aca="false">IFERROR(IF(Kalender!A7="",0,J5130*(1-Eingaben!$B$20)),0)</f>
        <v>0.7390278</v>
      </c>
      <c r="H5131" s="13" t="n">
        <f aca="false">MIN(G5131,D5131)</f>
        <v>0.7390278</v>
      </c>
      <c r="I5131" s="13" t="n">
        <f aca="false">IFERROR(MIN(F5131*Eingaben!$B$19,MAX(0,D5131-H5131)),0)</f>
        <v>0.1509722</v>
      </c>
      <c r="J5131" s="13" t="n">
        <f aca="false">IFERROR(MIN(Eingaben!$B$18,MAX(0,F5131-I5131)),0)</f>
        <v>1.5932278</v>
      </c>
      <c r="K5131" s="13" t="n">
        <f aca="false">H5131+I5131</f>
        <v>0.89</v>
      </c>
      <c r="L5131" s="13" t="n">
        <f aca="false">MAX(0,D5131-K5131)</f>
        <v>0</v>
      </c>
      <c r="M5131" s="13" t="n">
        <f aca="false">MAX(0,F5131-I5131-J5131)</f>
        <v>0</v>
      </c>
      <c r="N5131" s="13" t="n">
        <f aca="false">IF(Kalender!A7="",0,J5130-H5131)</f>
        <v>0.0150822</v>
      </c>
    </row>
    <row r="5132" customFormat="false" ht="16.4" hidden="false" customHeight="false" outlineLevel="0" collapsed="false">
      <c r="A5132" s="13" t="str">
        <f aca="false">""</f>
        <v/>
      </c>
      <c r="B5132" s="13" t="n">
        <f aca="false">4</f>
        <v>4</v>
      </c>
      <c r="C5132" s="13" t="n">
        <f aca="false">IF(Szenarien!$H$25="OK",(IFERROR(SUMIF(Nutzungsprofile!$B$6:$B$11,"Schulbetrieb",Nutzungsprofile!$G$6:$G$11)*Kalender!C8/SUM(Kalender!$C$5:$C$370),0)+IFERROR(SUMIF(Nutzungsprofile!$B$6:$B$11,"Halle",Nutzungsprofile!$G$6:$G$11)*Kalender!D8/SUM(Kalender!$D$5:$D$370),0)+IFERROR(SUMIF(Nutzungsprofile!$B$6:$B$11,"Individuell",Nutzungsprofile!$G$6:$G$11)*Kalender!E8/SUM(Kalender!$E$5:$E$370),0))*Szenarien!$E$25,0)</f>
        <v>2.04</v>
      </c>
      <c r="D5132" s="13" t="n">
        <f aca="false">IF(Szenarien!$H$25="OK",(IFERROR(SUMIF(Nutzungsprofile!$B$17:$B$22,"Schulbetrieb",Nutzungsprofile!$G$17:$G$22)*Kalender!C8/SUM(Kalender!$C$5:$C$370),0)+IFERROR(SUMIF(Nutzungsprofile!$B$17:$B$22,"Halle",Nutzungsprofile!$G$17:$G$22)*Kalender!D8/SUM(Kalender!$D$5:$D$370),0)+IFERROR(SUMIF(Nutzungsprofile!$B$17:$B$22,"Individuell",Nutzungsprofile!$G$17:$G$22)*Kalender!E8/SUM(Kalender!$E$5:$E$370),0))*Szenarien!$D$25,0)</f>
        <v>0.89</v>
      </c>
      <c r="E5132" s="13" t="n">
        <f aca="false">IFERROR(MIN(C5132,Eingaben!$B$17)*Eingaben!$B$16,0)</f>
        <v>1.938</v>
      </c>
      <c r="F5132" s="13" t="n">
        <f aca="false">IFERROR(E5132*Eingaben!$B$15,0)</f>
        <v>1.7442</v>
      </c>
      <c r="G5132" s="13" t="n">
        <f aca="false">IFERROR(IF(Kalender!A8="",0,J5131*(1-Eingaben!$B$20)),0)</f>
        <v>1.561363244</v>
      </c>
      <c r="H5132" s="13" t="n">
        <f aca="false">MIN(G5132,D5132)</f>
        <v>0.89</v>
      </c>
      <c r="I5132" s="13" t="n">
        <f aca="false">IFERROR(MIN(F5132*Eingaben!$B$19,MAX(0,D5132-H5132)),0)</f>
        <v>0</v>
      </c>
      <c r="J5132" s="13" t="n">
        <f aca="false">IFERROR(MIN(Eingaben!$B$18,MAX(0,F5132-I5132)),0)</f>
        <v>1.7442</v>
      </c>
      <c r="K5132" s="13" t="n">
        <f aca="false">H5132+I5132</f>
        <v>0.89</v>
      </c>
      <c r="L5132" s="13" t="n">
        <f aca="false">MAX(0,D5132-K5132)</f>
        <v>0</v>
      </c>
      <c r="M5132" s="13" t="n">
        <f aca="false">MAX(0,F5132-I5132-J5132)</f>
        <v>0</v>
      </c>
      <c r="N5132" s="13" t="n">
        <f aca="false">IF(Kalender!A8="",0,J5131-H5132)</f>
        <v>0.7032278</v>
      </c>
    </row>
    <row r="5133" customFormat="false" ht="16.4" hidden="false" customHeight="false" outlineLevel="0" collapsed="false">
      <c r="A5133" s="13" t="str">
        <f aca="false">""</f>
        <v/>
      </c>
      <c r="B5133" s="13" t="n">
        <f aca="false">5</f>
        <v>5</v>
      </c>
      <c r="C5133" s="13" t="n">
        <f aca="false">IF(Szenarien!$H$25="OK",(IFERROR(SUMIF(Nutzungsprofile!$B$6:$B$11,"Schulbetrieb",Nutzungsprofile!$G$6:$G$11)*Kalender!C9/SUM(Kalender!$C$5:$C$370),0)+IFERROR(SUMIF(Nutzungsprofile!$B$6:$B$11,"Halle",Nutzungsprofile!$G$6:$G$11)*Kalender!D9/SUM(Kalender!$D$5:$D$370),0)+IFERROR(SUMIF(Nutzungsprofile!$B$6:$B$11,"Individuell",Nutzungsprofile!$G$6:$G$11)*Kalender!E9/SUM(Kalender!$E$5:$E$370),0))*Szenarien!$E$25,0)</f>
        <v>2.94</v>
      </c>
      <c r="D5133" s="13" t="n">
        <f aca="false">IF(Szenarien!$H$25="OK",(IFERROR(SUMIF(Nutzungsprofile!$B$17:$B$22,"Schulbetrieb",Nutzungsprofile!$G$17:$G$22)*Kalender!C9/SUM(Kalender!$C$5:$C$370),0)+IFERROR(SUMIF(Nutzungsprofile!$B$17:$B$22,"Halle",Nutzungsprofile!$G$17:$G$22)*Kalender!D9/SUM(Kalender!$D$5:$D$370),0)+IFERROR(SUMIF(Nutzungsprofile!$B$17:$B$22,"Individuell",Nutzungsprofile!$G$17:$G$22)*Kalender!E9/SUM(Kalender!$E$5:$E$370),0))*Szenarien!$D$25,0)</f>
        <v>4.94</v>
      </c>
      <c r="E5133" s="13" t="n">
        <f aca="false">IFERROR(MIN(C5133,Eingaben!$B$17)*Eingaben!$B$16,0)</f>
        <v>2.793</v>
      </c>
      <c r="F5133" s="13" t="n">
        <f aca="false">IFERROR(E5133*Eingaben!$B$15,0)</f>
        <v>2.5137</v>
      </c>
      <c r="G5133" s="13" t="n">
        <f aca="false">IFERROR(IF(Kalender!A9="",0,J5132*(1-Eingaben!$B$20)),0)</f>
        <v>1.709316</v>
      </c>
      <c r="H5133" s="13" t="n">
        <f aca="false">MIN(G5133,D5133)</f>
        <v>1.709316</v>
      </c>
      <c r="I5133" s="13" t="n">
        <f aca="false">IFERROR(MIN(F5133*Eingaben!$B$19,MAX(0,D5133-H5133)),0)</f>
        <v>1.75959</v>
      </c>
      <c r="J5133" s="13" t="n">
        <f aca="false">IFERROR(MIN(Eingaben!$B$18,MAX(0,F5133-I5133)),0)</f>
        <v>0.75411</v>
      </c>
      <c r="K5133" s="13" t="n">
        <f aca="false">H5133+I5133</f>
        <v>3.468906</v>
      </c>
      <c r="L5133" s="13" t="n">
        <f aca="false">MAX(0,D5133-K5133)</f>
        <v>1.471094</v>
      </c>
      <c r="M5133" s="13" t="n">
        <f aca="false">MAX(0,F5133-I5133-J5133)</f>
        <v>0</v>
      </c>
      <c r="N5133" s="13" t="n">
        <f aca="false">IF(Kalender!A9="",0,J5132-H5133)</f>
        <v>0.0348840000000001</v>
      </c>
    </row>
    <row r="5134" customFormat="false" ht="16.4" hidden="false" customHeight="false" outlineLevel="0" collapsed="false">
      <c r="A5134" s="13" t="str">
        <f aca="false">""</f>
        <v/>
      </c>
      <c r="B5134" s="13" t="n">
        <f aca="false">6</f>
        <v>6</v>
      </c>
      <c r="C5134" s="13" t="n">
        <f aca="false">IF(Szenarien!$H$25="OK",(IFERROR(SUMIF(Nutzungsprofile!$B$6:$B$11,"Schulbetrieb",Nutzungsprofile!$G$6:$G$11)*Kalender!C10/SUM(Kalender!$C$5:$C$370),0)+IFERROR(SUMIF(Nutzungsprofile!$B$6:$B$11,"Halle",Nutzungsprofile!$G$6:$G$11)*Kalender!D10/SUM(Kalender!$D$5:$D$370),0)+IFERROR(SUMIF(Nutzungsprofile!$B$6:$B$11,"Individuell",Nutzungsprofile!$G$6:$G$11)*Kalender!E10/SUM(Kalender!$E$5:$E$370),0))*Szenarien!$E$25,0)</f>
        <v>2.94</v>
      </c>
      <c r="D5134" s="13" t="n">
        <f aca="false">IF(Szenarien!$H$25="OK",(IFERROR(SUMIF(Nutzungsprofile!$B$17:$B$22,"Schulbetrieb",Nutzungsprofile!$G$17:$G$22)*Kalender!C10/SUM(Kalender!$C$5:$C$370),0)+IFERROR(SUMIF(Nutzungsprofile!$B$17:$B$22,"Halle",Nutzungsprofile!$G$17:$G$22)*Kalender!D10/SUM(Kalender!$D$5:$D$370),0)+IFERROR(SUMIF(Nutzungsprofile!$B$17:$B$22,"Individuell",Nutzungsprofile!$G$17:$G$22)*Kalender!E10/SUM(Kalender!$E$5:$E$370),0))*Szenarien!$D$25,0)</f>
        <v>4.94</v>
      </c>
      <c r="E5134" s="13" t="n">
        <f aca="false">IFERROR(MIN(C5134,Eingaben!$B$17)*Eingaben!$B$16,0)</f>
        <v>2.793</v>
      </c>
      <c r="F5134" s="13" t="n">
        <f aca="false">IFERROR(E5134*Eingaben!$B$15,0)</f>
        <v>2.5137</v>
      </c>
      <c r="G5134" s="13" t="n">
        <f aca="false">IFERROR(IF(Kalender!A10="",0,J5133*(1-Eingaben!$B$20)),0)</f>
        <v>0.7390278</v>
      </c>
      <c r="H5134" s="13" t="n">
        <f aca="false">MIN(G5134,D5134)</f>
        <v>0.7390278</v>
      </c>
      <c r="I5134" s="13" t="n">
        <f aca="false">IFERROR(MIN(F5134*Eingaben!$B$19,MAX(0,D5134-H5134)),0)</f>
        <v>1.75959</v>
      </c>
      <c r="J5134" s="13" t="n">
        <f aca="false">IFERROR(MIN(Eingaben!$B$18,MAX(0,F5134-I5134)),0)</f>
        <v>0.75411</v>
      </c>
      <c r="K5134" s="13" t="n">
        <f aca="false">H5134+I5134</f>
        <v>2.4986178</v>
      </c>
      <c r="L5134" s="13" t="n">
        <f aca="false">MAX(0,D5134-K5134)</f>
        <v>2.4413822</v>
      </c>
      <c r="M5134" s="13" t="n">
        <f aca="false">MAX(0,F5134-I5134-J5134)</f>
        <v>0</v>
      </c>
      <c r="N5134" s="13" t="n">
        <f aca="false">IF(Kalender!A10="",0,J5133-H5134)</f>
        <v>0.0150822</v>
      </c>
    </row>
    <row r="5135" customFormat="false" ht="16.4" hidden="false" customHeight="false" outlineLevel="0" collapsed="false">
      <c r="A5135" s="13" t="str">
        <f aca="false">""</f>
        <v/>
      </c>
      <c r="B5135" s="13" t="n">
        <f aca="false">7</f>
        <v>7</v>
      </c>
      <c r="C5135" s="13" t="n">
        <f aca="false">IF(Szenarien!$H$25="OK",(IFERROR(SUMIF(Nutzungsprofile!$B$6:$B$11,"Schulbetrieb",Nutzungsprofile!$G$6:$G$11)*Kalender!C11/SUM(Kalender!$C$5:$C$370),0)+IFERROR(SUMIF(Nutzungsprofile!$B$6:$B$11,"Halle",Nutzungsprofile!$G$6:$G$11)*Kalender!D11/SUM(Kalender!$D$5:$D$370),0)+IFERROR(SUMIF(Nutzungsprofile!$B$6:$B$11,"Individuell",Nutzungsprofile!$G$6:$G$11)*Kalender!E11/SUM(Kalender!$E$5:$E$370),0))*Szenarien!$E$25,0)</f>
        <v>2.94</v>
      </c>
      <c r="D5135" s="13" t="n">
        <f aca="false">IF(Szenarien!$H$25="OK",(IFERROR(SUMIF(Nutzungsprofile!$B$17:$B$22,"Schulbetrieb",Nutzungsprofile!$G$17:$G$22)*Kalender!C11/SUM(Kalender!$C$5:$C$370),0)+IFERROR(SUMIF(Nutzungsprofile!$B$17:$B$22,"Halle",Nutzungsprofile!$G$17:$G$22)*Kalender!D11/SUM(Kalender!$D$5:$D$370),0)+IFERROR(SUMIF(Nutzungsprofile!$B$17:$B$22,"Individuell",Nutzungsprofile!$G$17:$G$22)*Kalender!E11/SUM(Kalender!$E$5:$E$370),0))*Szenarien!$D$25,0)</f>
        <v>4.94</v>
      </c>
      <c r="E5135" s="13" t="n">
        <f aca="false">IFERROR(MIN(C5135,Eingaben!$B$17)*Eingaben!$B$16,0)</f>
        <v>2.793</v>
      </c>
      <c r="F5135" s="13" t="n">
        <f aca="false">IFERROR(E5135*Eingaben!$B$15,0)</f>
        <v>2.5137</v>
      </c>
      <c r="G5135" s="13" t="n">
        <f aca="false">IFERROR(IF(Kalender!A11="",0,J5134*(1-Eingaben!$B$20)),0)</f>
        <v>0.7390278</v>
      </c>
      <c r="H5135" s="13" t="n">
        <f aca="false">MIN(G5135,D5135)</f>
        <v>0.7390278</v>
      </c>
      <c r="I5135" s="13" t="n">
        <f aca="false">IFERROR(MIN(F5135*Eingaben!$B$19,MAX(0,D5135-H5135)),0)</f>
        <v>1.75959</v>
      </c>
      <c r="J5135" s="13" t="n">
        <f aca="false">IFERROR(MIN(Eingaben!$B$18,MAX(0,F5135-I5135)),0)</f>
        <v>0.75411</v>
      </c>
      <c r="K5135" s="13" t="n">
        <f aca="false">H5135+I5135</f>
        <v>2.4986178</v>
      </c>
      <c r="L5135" s="13" t="n">
        <f aca="false">MAX(0,D5135-K5135)</f>
        <v>2.4413822</v>
      </c>
      <c r="M5135" s="13" t="n">
        <f aca="false">MAX(0,F5135-I5135-J5135)</f>
        <v>0</v>
      </c>
      <c r="N5135" s="13" t="n">
        <f aca="false">IF(Kalender!A11="",0,J5134-H5135)</f>
        <v>0.0150822</v>
      </c>
    </row>
    <row r="5136" customFormat="false" ht="16.4" hidden="false" customHeight="false" outlineLevel="0" collapsed="false">
      <c r="A5136" s="13" t="str">
        <f aca="false">""</f>
        <v/>
      </c>
      <c r="B5136" s="13" t="n">
        <f aca="false">8</f>
        <v>8</v>
      </c>
      <c r="C5136" s="13" t="n">
        <f aca="false">IF(Szenarien!$H$25="OK",(IFERROR(SUMIF(Nutzungsprofile!$B$6:$B$11,"Schulbetrieb",Nutzungsprofile!$G$6:$G$11)*Kalender!C12/SUM(Kalender!$C$5:$C$370),0)+IFERROR(SUMIF(Nutzungsprofile!$B$6:$B$11,"Halle",Nutzungsprofile!$G$6:$G$11)*Kalender!D12/SUM(Kalender!$D$5:$D$370),0)+IFERROR(SUMIF(Nutzungsprofile!$B$6:$B$11,"Individuell",Nutzungsprofile!$G$6:$G$11)*Kalender!E12/SUM(Kalender!$E$5:$E$370),0))*Szenarien!$E$25,0)</f>
        <v>2.94</v>
      </c>
      <c r="D5136" s="13" t="n">
        <f aca="false">IF(Szenarien!$H$25="OK",(IFERROR(SUMIF(Nutzungsprofile!$B$17:$B$22,"Schulbetrieb",Nutzungsprofile!$G$17:$G$22)*Kalender!C12/SUM(Kalender!$C$5:$C$370),0)+IFERROR(SUMIF(Nutzungsprofile!$B$17:$B$22,"Halle",Nutzungsprofile!$G$17:$G$22)*Kalender!D12/SUM(Kalender!$D$5:$D$370),0)+IFERROR(SUMIF(Nutzungsprofile!$B$17:$B$22,"Individuell",Nutzungsprofile!$G$17:$G$22)*Kalender!E12/SUM(Kalender!$E$5:$E$370),0))*Szenarien!$D$25,0)</f>
        <v>4.94</v>
      </c>
      <c r="E5136" s="13" t="n">
        <f aca="false">IFERROR(MIN(C5136,Eingaben!$B$17)*Eingaben!$B$16,0)</f>
        <v>2.793</v>
      </c>
      <c r="F5136" s="13" t="n">
        <f aca="false">IFERROR(E5136*Eingaben!$B$15,0)</f>
        <v>2.5137</v>
      </c>
      <c r="G5136" s="13" t="n">
        <f aca="false">IFERROR(IF(Kalender!A12="",0,J5135*(1-Eingaben!$B$20)),0)</f>
        <v>0.7390278</v>
      </c>
      <c r="H5136" s="13" t="n">
        <f aca="false">MIN(G5136,D5136)</f>
        <v>0.7390278</v>
      </c>
      <c r="I5136" s="13" t="n">
        <f aca="false">IFERROR(MIN(F5136*Eingaben!$B$19,MAX(0,D5136-H5136)),0)</f>
        <v>1.75959</v>
      </c>
      <c r="J5136" s="13" t="n">
        <f aca="false">IFERROR(MIN(Eingaben!$B$18,MAX(0,F5136-I5136)),0)</f>
        <v>0.75411</v>
      </c>
      <c r="K5136" s="13" t="n">
        <f aca="false">H5136+I5136</f>
        <v>2.4986178</v>
      </c>
      <c r="L5136" s="13" t="n">
        <f aca="false">MAX(0,D5136-K5136)</f>
        <v>2.4413822</v>
      </c>
      <c r="M5136" s="13" t="n">
        <f aca="false">MAX(0,F5136-I5136-J5136)</f>
        <v>0</v>
      </c>
      <c r="N5136" s="13" t="n">
        <f aca="false">IF(Kalender!A12="",0,J5135-H5136)</f>
        <v>0.0150822</v>
      </c>
    </row>
    <row r="5137" customFormat="false" ht="16.4" hidden="false" customHeight="false" outlineLevel="0" collapsed="false">
      <c r="A5137" s="13" t="str">
        <f aca="false">""</f>
        <v/>
      </c>
      <c r="B5137" s="13" t="n">
        <f aca="false">9</f>
        <v>9</v>
      </c>
      <c r="C5137" s="13" t="n">
        <f aca="false">IF(Szenarien!$H$25="OK",(IFERROR(SUMIF(Nutzungsprofile!$B$6:$B$11,"Schulbetrieb",Nutzungsprofile!$G$6:$G$11)*Kalender!C13/SUM(Kalender!$C$5:$C$370),0)+IFERROR(SUMIF(Nutzungsprofile!$B$6:$B$11,"Halle",Nutzungsprofile!$G$6:$G$11)*Kalender!D13/SUM(Kalender!$D$5:$D$370),0)+IFERROR(SUMIF(Nutzungsprofile!$B$6:$B$11,"Individuell",Nutzungsprofile!$G$6:$G$11)*Kalender!E13/SUM(Kalender!$E$5:$E$370),0))*Szenarien!$E$25,0)</f>
        <v>2.94</v>
      </c>
      <c r="D5137" s="13" t="n">
        <f aca="false">IF(Szenarien!$H$25="OK",(IFERROR(SUMIF(Nutzungsprofile!$B$17:$B$22,"Schulbetrieb",Nutzungsprofile!$G$17:$G$22)*Kalender!C13/SUM(Kalender!$C$5:$C$370),0)+IFERROR(SUMIF(Nutzungsprofile!$B$17:$B$22,"Halle",Nutzungsprofile!$G$17:$G$22)*Kalender!D13/SUM(Kalender!$D$5:$D$370),0)+IFERROR(SUMIF(Nutzungsprofile!$B$17:$B$22,"Individuell",Nutzungsprofile!$G$17:$G$22)*Kalender!E13/SUM(Kalender!$E$5:$E$370),0))*Szenarien!$D$25,0)</f>
        <v>4.94</v>
      </c>
      <c r="E5137" s="13" t="n">
        <f aca="false">IFERROR(MIN(C5137,Eingaben!$B$17)*Eingaben!$B$16,0)</f>
        <v>2.793</v>
      </c>
      <c r="F5137" s="13" t="n">
        <f aca="false">IFERROR(E5137*Eingaben!$B$15,0)</f>
        <v>2.5137</v>
      </c>
      <c r="G5137" s="13" t="n">
        <f aca="false">IFERROR(IF(Kalender!A13="",0,J5136*(1-Eingaben!$B$20)),0)</f>
        <v>0.7390278</v>
      </c>
      <c r="H5137" s="13" t="n">
        <f aca="false">MIN(G5137,D5137)</f>
        <v>0.7390278</v>
      </c>
      <c r="I5137" s="13" t="n">
        <f aca="false">IFERROR(MIN(F5137*Eingaben!$B$19,MAX(0,D5137-H5137)),0)</f>
        <v>1.75959</v>
      </c>
      <c r="J5137" s="13" t="n">
        <f aca="false">IFERROR(MIN(Eingaben!$B$18,MAX(0,F5137-I5137)),0)</f>
        <v>0.75411</v>
      </c>
      <c r="K5137" s="13" t="n">
        <f aca="false">H5137+I5137</f>
        <v>2.4986178</v>
      </c>
      <c r="L5137" s="13" t="n">
        <f aca="false">MAX(0,D5137-K5137)</f>
        <v>2.4413822</v>
      </c>
      <c r="M5137" s="13" t="n">
        <f aca="false">MAX(0,F5137-I5137-J5137)</f>
        <v>0</v>
      </c>
      <c r="N5137" s="13" t="n">
        <f aca="false">IF(Kalender!A13="",0,J5136-H5137)</f>
        <v>0.0150822</v>
      </c>
    </row>
    <row r="5138" customFormat="false" ht="16.4" hidden="false" customHeight="false" outlineLevel="0" collapsed="false">
      <c r="A5138" s="13" t="str">
        <f aca="false">""</f>
        <v/>
      </c>
      <c r="B5138" s="13" t="n">
        <f aca="false">10</f>
        <v>10</v>
      </c>
      <c r="C5138" s="13" t="n">
        <f aca="false">IF(Szenarien!$H$25="OK",(IFERROR(SUMIF(Nutzungsprofile!$B$6:$B$11,"Schulbetrieb",Nutzungsprofile!$G$6:$G$11)*Kalender!C14/SUM(Kalender!$C$5:$C$370),0)+IFERROR(SUMIF(Nutzungsprofile!$B$6:$B$11,"Halle",Nutzungsprofile!$G$6:$G$11)*Kalender!D14/SUM(Kalender!$D$5:$D$370),0)+IFERROR(SUMIF(Nutzungsprofile!$B$6:$B$11,"Individuell",Nutzungsprofile!$G$6:$G$11)*Kalender!E14/SUM(Kalender!$E$5:$E$370),0))*Szenarien!$E$25,0)</f>
        <v>2.04</v>
      </c>
      <c r="D5138" s="13" t="n">
        <f aca="false">IF(Szenarien!$H$25="OK",(IFERROR(SUMIF(Nutzungsprofile!$B$17:$B$22,"Schulbetrieb",Nutzungsprofile!$G$17:$G$22)*Kalender!C14/SUM(Kalender!$C$5:$C$370),0)+IFERROR(SUMIF(Nutzungsprofile!$B$17:$B$22,"Halle",Nutzungsprofile!$G$17:$G$22)*Kalender!D14/SUM(Kalender!$D$5:$D$370),0)+IFERROR(SUMIF(Nutzungsprofile!$B$17:$B$22,"Individuell",Nutzungsprofile!$G$17:$G$22)*Kalender!E14/SUM(Kalender!$E$5:$E$370),0))*Szenarien!$D$25,0)</f>
        <v>0.89</v>
      </c>
      <c r="E5138" s="13" t="n">
        <f aca="false">IFERROR(MIN(C5138,Eingaben!$B$17)*Eingaben!$B$16,0)</f>
        <v>1.938</v>
      </c>
      <c r="F5138" s="13" t="n">
        <f aca="false">IFERROR(E5138*Eingaben!$B$15,0)</f>
        <v>1.7442</v>
      </c>
      <c r="G5138" s="13" t="n">
        <f aca="false">IFERROR(IF(Kalender!A14="",0,J5137*(1-Eingaben!$B$20)),0)</f>
        <v>0.7390278</v>
      </c>
      <c r="H5138" s="13" t="n">
        <f aca="false">MIN(G5138,D5138)</f>
        <v>0.7390278</v>
      </c>
      <c r="I5138" s="13" t="n">
        <f aca="false">IFERROR(MIN(F5138*Eingaben!$B$19,MAX(0,D5138-H5138)),0)</f>
        <v>0.1509722</v>
      </c>
      <c r="J5138" s="13" t="n">
        <f aca="false">IFERROR(MIN(Eingaben!$B$18,MAX(0,F5138-I5138)),0)</f>
        <v>1.5932278</v>
      </c>
      <c r="K5138" s="13" t="n">
        <f aca="false">H5138+I5138</f>
        <v>0.89</v>
      </c>
      <c r="L5138" s="13" t="n">
        <f aca="false">MAX(0,D5138-K5138)</f>
        <v>0</v>
      </c>
      <c r="M5138" s="13" t="n">
        <f aca="false">MAX(0,F5138-I5138-J5138)</f>
        <v>0</v>
      </c>
      <c r="N5138" s="13" t="n">
        <f aca="false">IF(Kalender!A14="",0,J5137-H5138)</f>
        <v>0.0150822</v>
      </c>
    </row>
    <row r="5139" customFormat="false" ht="16.4" hidden="false" customHeight="false" outlineLevel="0" collapsed="false">
      <c r="A5139" s="13" t="str">
        <f aca="false">""</f>
        <v/>
      </c>
      <c r="B5139" s="13" t="n">
        <f aca="false">11</f>
        <v>11</v>
      </c>
      <c r="C5139" s="13" t="n">
        <f aca="false">IF(Szenarien!$H$25="OK",(IFERROR(SUMIF(Nutzungsprofile!$B$6:$B$11,"Schulbetrieb",Nutzungsprofile!$G$6:$G$11)*Kalender!C15/SUM(Kalender!$C$5:$C$370),0)+IFERROR(SUMIF(Nutzungsprofile!$B$6:$B$11,"Halle",Nutzungsprofile!$G$6:$G$11)*Kalender!D15/SUM(Kalender!$D$5:$D$370),0)+IFERROR(SUMIF(Nutzungsprofile!$B$6:$B$11,"Individuell",Nutzungsprofile!$G$6:$G$11)*Kalender!E15/SUM(Kalender!$E$5:$E$370),0))*Szenarien!$E$25,0)</f>
        <v>2.04</v>
      </c>
      <c r="D5139" s="13" t="n">
        <f aca="false">IF(Szenarien!$H$25="OK",(IFERROR(SUMIF(Nutzungsprofile!$B$17:$B$22,"Schulbetrieb",Nutzungsprofile!$G$17:$G$22)*Kalender!C15/SUM(Kalender!$C$5:$C$370),0)+IFERROR(SUMIF(Nutzungsprofile!$B$17:$B$22,"Halle",Nutzungsprofile!$G$17:$G$22)*Kalender!D15/SUM(Kalender!$D$5:$D$370),0)+IFERROR(SUMIF(Nutzungsprofile!$B$17:$B$22,"Individuell",Nutzungsprofile!$G$17:$G$22)*Kalender!E15/SUM(Kalender!$E$5:$E$370),0))*Szenarien!$D$25,0)</f>
        <v>0.89</v>
      </c>
      <c r="E5139" s="13" t="n">
        <f aca="false">IFERROR(MIN(C5139,Eingaben!$B$17)*Eingaben!$B$16,0)</f>
        <v>1.938</v>
      </c>
      <c r="F5139" s="13" t="n">
        <f aca="false">IFERROR(E5139*Eingaben!$B$15,0)</f>
        <v>1.7442</v>
      </c>
      <c r="G5139" s="13" t="n">
        <f aca="false">IFERROR(IF(Kalender!A15="",0,J5138*(1-Eingaben!$B$20)),0)</f>
        <v>1.561363244</v>
      </c>
      <c r="H5139" s="13" t="n">
        <f aca="false">MIN(G5139,D5139)</f>
        <v>0.89</v>
      </c>
      <c r="I5139" s="13" t="n">
        <f aca="false">IFERROR(MIN(F5139*Eingaben!$B$19,MAX(0,D5139-H5139)),0)</f>
        <v>0</v>
      </c>
      <c r="J5139" s="13" t="n">
        <f aca="false">IFERROR(MIN(Eingaben!$B$18,MAX(0,F5139-I5139)),0)</f>
        <v>1.7442</v>
      </c>
      <c r="K5139" s="13" t="n">
        <f aca="false">H5139+I5139</f>
        <v>0.89</v>
      </c>
      <c r="L5139" s="13" t="n">
        <f aca="false">MAX(0,D5139-K5139)</f>
        <v>0</v>
      </c>
      <c r="M5139" s="13" t="n">
        <f aca="false">MAX(0,F5139-I5139-J5139)</f>
        <v>0</v>
      </c>
      <c r="N5139" s="13" t="n">
        <f aca="false">IF(Kalender!A15="",0,J5138-H5139)</f>
        <v>0.7032278</v>
      </c>
    </row>
    <row r="5140" customFormat="false" ht="16.4" hidden="false" customHeight="false" outlineLevel="0" collapsed="false">
      <c r="A5140" s="13" t="str">
        <f aca="false">""</f>
        <v/>
      </c>
      <c r="B5140" s="13" t="n">
        <f aca="false">12</f>
        <v>12</v>
      </c>
      <c r="C5140" s="13" t="n">
        <f aca="false">IF(Szenarien!$H$25="OK",(IFERROR(SUMIF(Nutzungsprofile!$B$6:$B$11,"Schulbetrieb",Nutzungsprofile!$G$6:$G$11)*Kalender!C16/SUM(Kalender!$C$5:$C$370),0)+IFERROR(SUMIF(Nutzungsprofile!$B$6:$B$11,"Halle",Nutzungsprofile!$G$6:$G$11)*Kalender!D16/SUM(Kalender!$D$5:$D$370),0)+IFERROR(SUMIF(Nutzungsprofile!$B$6:$B$11,"Individuell",Nutzungsprofile!$G$6:$G$11)*Kalender!E16/SUM(Kalender!$E$5:$E$370),0))*Szenarien!$E$25,0)</f>
        <v>2.94</v>
      </c>
      <c r="D5140" s="13" t="n">
        <f aca="false">IF(Szenarien!$H$25="OK",(IFERROR(SUMIF(Nutzungsprofile!$B$17:$B$22,"Schulbetrieb",Nutzungsprofile!$G$17:$G$22)*Kalender!C16/SUM(Kalender!$C$5:$C$370),0)+IFERROR(SUMIF(Nutzungsprofile!$B$17:$B$22,"Halle",Nutzungsprofile!$G$17:$G$22)*Kalender!D16/SUM(Kalender!$D$5:$D$370),0)+IFERROR(SUMIF(Nutzungsprofile!$B$17:$B$22,"Individuell",Nutzungsprofile!$G$17:$G$22)*Kalender!E16/SUM(Kalender!$E$5:$E$370),0))*Szenarien!$D$25,0)</f>
        <v>4.94</v>
      </c>
      <c r="E5140" s="13" t="n">
        <f aca="false">IFERROR(MIN(C5140,Eingaben!$B$17)*Eingaben!$B$16,0)</f>
        <v>2.793</v>
      </c>
      <c r="F5140" s="13" t="n">
        <f aca="false">IFERROR(E5140*Eingaben!$B$15,0)</f>
        <v>2.5137</v>
      </c>
      <c r="G5140" s="13" t="n">
        <f aca="false">IFERROR(IF(Kalender!A16="",0,J5139*(1-Eingaben!$B$20)),0)</f>
        <v>1.709316</v>
      </c>
      <c r="H5140" s="13" t="n">
        <f aca="false">MIN(G5140,D5140)</f>
        <v>1.709316</v>
      </c>
      <c r="I5140" s="13" t="n">
        <f aca="false">IFERROR(MIN(F5140*Eingaben!$B$19,MAX(0,D5140-H5140)),0)</f>
        <v>1.75959</v>
      </c>
      <c r="J5140" s="13" t="n">
        <f aca="false">IFERROR(MIN(Eingaben!$B$18,MAX(0,F5140-I5140)),0)</f>
        <v>0.75411</v>
      </c>
      <c r="K5140" s="13" t="n">
        <f aca="false">H5140+I5140</f>
        <v>3.468906</v>
      </c>
      <c r="L5140" s="13" t="n">
        <f aca="false">MAX(0,D5140-K5140)</f>
        <v>1.471094</v>
      </c>
      <c r="M5140" s="13" t="n">
        <f aca="false">MAX(0,F5140-I5140-J5140)</f>
        <v>0</v>
      </c>
      <c r="N5140" s="13" t="n">
        <f aca="false">IF(Kalender!A16="",0,J5139-H5140)</f>
        <v>0.0348840000000001</v>
      </c>
    </row>
    <row r="5141" customFormat="false" ht="16.4" hidden="false" customHeight="false" outlineLevel="0" collapsed="false">
      <c r="A5141" s="13" t="str">
        <f aca="false">""</f>
        <v/>
      </c>
      <c r="B5141" s="13" t="n">
        <f aca="false">13</f>
        <v>13</v>
      </c>
      <c r="C5141" s="13" t="n">
        <f aca="false">IF(Szenarien!$H$25="OK",(IFERROR(SUMIF(Nutzungsprofile!$B$6:$B$11,"Schulbetrieb",Nutzungsprofile!$G$6:$G$11)*Kalender!C17/SUM(Kalender!$C$5:$C$370),0)+IFERROR(SUMIF(Nutzungsprofile!$B$6:$B$11,"Halle",Nutzungsprofile!$G$6:$G$11)*Kalender!D17/SUM(Kalender!$D$5:$D$370),0)+IFERROR(SUMIF(Nutzungsprofile!$B$6:$B$11,"Individuell",Nutzungsprofile!$G$6:$G$11)*Kalender!E17/SUM(Kalender!$E$5:$E$370),0))*Szenarien!$E$25,0)</f>
        <v>2.94</v>
      </c>
      <c r="D5141" s="13" t="n">
        <f aca="false">IF(Szenarien!$H$25="OK",(IFERROR(SUMIF(Nutzungsprofile!$B$17:$B$22,"Schulbetrieb",Nutzungsprofile!$G$17:$G$22)*Kalender!C17/SUM(Kalender!$C$5:$C$370),0)+IFERROR(SUMIF(Nutzungsprofile!$B$17:$B$22,"Halle",Nutzungsprofile!$G$17:$G$22)*Kalender!D17/SUM(Kalender!$D$5:$D$370),0)+IFERROR(SUMIF(Nutzungsprofile!$B$17:$B$22,"Individuell",Nutzungsprofile!$G$17:$G$22)*Kalender!E17/SUM(Kalender!$E$5:$E$370),0))*Szenarien!$D$25,0)</f>
        <v>4.94</v>
      </c>
      <c r="E5141" s="13" t="n">
        <f aca="false">IFERROR(MIN(C5141,Eingaben!$B$17)*Eingaben!$B$16,0)</f>
        <v>2.793</v>
      </c>
      <c r="F5141" s="13" t="n">
        <f aca="false">IFERROR(E5141*Eingaben!$B$15,0)</f>
        <v>2.5137</v>
      </c>
      <c r="G5141" s="13" t="n">
        <f aca="false">IFERROR(IF(Kalender!A17="",0,J5140*(1-Eingaben!$B$20)),0)</f>
        <v>0.7390278</v>
      </c>
      <c r="H5141" s="13" t="n">
        <f aca="false">MIN(G5141,D5141)</f>
        <v>0.7390278</v>
      </c>
      <c r="I5141" s="13" t="n">
        <f aca="false">IFERROR(MIN(F5141*Eingaben!$B$19,MAX(0,D5141-H5141)),0)</f>
        <v>1.75959</v>
      </c>
      <c r="J5141" s="13" t="n">
        <f aca="false">IFERROR(MIN(Eingaben!$B$18,MAX(0,F5141-I5141)),0)</f>
        <v>0.75411</v>
      </c>
      <c r="K5141" s="13" t="n">
        <f aca="false">H5141+I5141</f>
        <v>2.4986178</v>
      </c>
      <c r="L5141" s="13" t="n">
        <f aca="false">MAX(0,D5141-K5141)</f>
        <v>2.4413822</v>
      </c>
      <c r="M5141" s="13" t="n">
        <f aca="false">MAX(0,F5141-I5141-J5141)</f>
        <v>0</v>
      </c>
      <c r="N5141" s="13" t="n">
        <f aca="false">IF(Kalender!A17="",0,J5140-H5141)</f>
        <v>0.0150822</v>
      </c>
    </row>
    <row r="5142" customFormat="false" ht="16.4" hidden="false" customHeight="false" outlineLevel="0" collapsed="false">
      <c r="A5142" s="13" t="str">
        <f aca="false">""</f>
        <v/>
      </c>
      <c r="B5142" s="13" t="n">
        <f aca="false">14</f>
        <v>14</v>
      </c>
      <c r="C5142" s="13" t="n">
        <f aca="false">IF(Szenarien!$H$25="OK",(IFERROR(SUMIF(Nutzungsprofile!$B$6:$B$11,"Schulbetrieb",Nutzungsprofile!$G$6:$G$11)*Kalender!C18/SUM(Kalender!$C$5:$C$370),0)+IFERROR(SUMIF(Nutzungsprofile!$B$6:$B$11,"Halle",Nutzungsprofile!$G$6:$G$11)*Kalender!D18/SUM(Kalender!$D$5:$D$370),0)+IFERROR(SUMIF(Nutzungsprofile!$B$6:$B$11,"Individuell",Nutzungsprofile!$G$6:$G$11)*Kalender!E18/SUM(Kalender!$E$5:$E$370),0))*Szenarien!$E$25,0)</f>
        <v>2.94</v>
      </c>
      <c r="D5142" s="13" t="n">
        <f aca="false">IF(Szenarien!$H$25="OK",(IFERROR(SUMIF(Nutzungsprofile!$B$17:$B$22,"Schulbetrieb",Nutzungsprofile!$G$17:$G$22)*Kalender!C18/SUM(Kalender!$C$5:$C$370),0)+IFERROR(SUMIF(Nutzungsprofile!$B$17:$B$22,"Halle",Nutzungsprofile!$G$17:$G$22)*Kalender!D18/SUM(Kalender!$D$5:$D$370),0)+IFERROR(SUMIF(Nutzungsprofile!$B$17:$B$22,"Individuell",Nutzungsprofile!$G$17:$G$22)*Kalender!E18/SUM(Kalender!$E$5:$E$370),0))*Szenarien!$D$25,0)</f>
        <v>4.94</v>
      </c>
      <c r="E5142" s="13" t="n">
        <f aca="false">IFERROR(MIN(C5142,Eingaben!$B$17)*Eingaben!$B$16,0)</f>
        <v>2.793</v>
      </c>
      <c r="F5142" s="13" t="n">
        <f aca="false">IFERROR(E5142*Eingaben!$B$15,0)</f>
        <v>2.5137</v>
      </c>
      <c r="G5142" s="13" t="n">
        <f aca="false">IFERROR(IF(Kalender!A18="",0,J5141*(1-Eingaben!$B$20)),0)</f>
        <v>0.7390278</v>
      </c>
      <c r="H5142" s="13" t="n">
        <f aca="false">MIN(G5142,D5142)</f>
        <v>0.7390278</v>
      </c>
      <c r="I5142" s="13" t="n">
        <f aca="false">IFERROR(MIN(F5142*Eingaben!$B$19,MAX(0,D5142-H5142)),0)</f>
        <v>1.75959</v>
      </c>
      <c r="J5142" s="13" t="n">
        <f aca="false">IFERROR(MIN(Eingaben!$B$18,MAX(0,F5142-I5142)),0)</f>
        <v>0.75411</v>
      </c>
      <c r="K5142" s="13" t="n">
        <f aca="false">H5142+I5142</f>
        <v>2.4986178</v>
      </c>
      <c r="L5142" s="13" t="n">
        <f aca="false">MAX(0,D5142-K5142)</f>
        <v>2.4413822</v>
      </c>
      <c r="M5142" s="13" t="n">
        <f aca="false">MAX(0,F5142-I5142-J5142)</f>
        <v>0</v>
      </c>
      <c r="N5142" s="13" t="n">
        <f aca="false">IF(Kalender!A18="",0,J5141-H5142)</f>
        <v>0.0150822</v>
      </c>
    </row>
    <row r="5143" customFormat="false" ht="16.4" hidden="false" customHeight="false" outlineLevel="0" collapsed="false">
      <c r="A5143" s="13" t="str">
        <f aca="false">""</f>
        <v/>
      </c>
      <c r="B5143" s="13" t="n">
        <f aca="false">15</f>
        <v>15</v>
      </c>
      <c r="C5143" s="13" t="n">
        <f aca="false">IF(Szenarien!$H$25="OK",(IFERROR(SUMIF(Nutzungsprofile!$B$6:$B$11,"Schulbetrieb",Nutzungsprofile!$G$6:$G$11)*Kalender!C19/SUM(Kalender!$C$5:$C$370),0)+IFERROR(SUMIF(Nutzungsprofile!$B$6:$B$11,"Halle",Nutzungsprofile!$G$6:$G$11)*Kalender!D19/SUM(Kalender!$D$5:$D$370),0)+IFERROR(SUMIF(Nutzungsprofile!$B$6:$B$11,"Individuell",Nutzungsprofile!$G$6:$G$11)*Kalender!E19/SUM(Kalender!$E$5:$E$370),0))*Szenarien!$E$25,0)</f>
        <v>2.94</v>
      </c>
      <c r="D5143" s="13" t="n">
        <f aca="false">IF(Szenarien!$H$25="OK",(IFERROR(SUMIF(Nutzungsprofile!$B$17:$B$22,"Schulbetrieb",Nutzungsprofile!$G$17:$G$22)*Kalender!C19/SUM(Kalender!$C$5:$C$370),0)+IFERROR(SUMIF(Nutzungsprofile!$B$17:$B$22,"Halle",Nutzungsprofile!$G$17:$G$22)*Kalender!D19/SUM(Kalender!$D$5:$D$370),0)+IFERROR(SUMIF(Nutzungsprofile!$B$17:$B$22,"Individuell",Nutzungsprofile!$G$17:$G$22)*Kalender!E19/SUM(Kalender!$E$5:$E$370),0))*Szenarien!$D$25,0)</f>
        <v>4.94</v>
      </c>
      <c r="E5143" s="13" t="n">
        <f aca="false">IFERROR(MIN(C5143,Eingaben!$B$17)*Eingaben!$B$16,0)</f>
        <v>2.793</v>
      </c>
      <c r="F5143" s="13" t="n">
        <f aca="false">IFERROR(E5143*Eingaben!$B$15,0)</f>
        <v>2.5137</v>
      </c>
      <c r="G5143" s="13" t="n">
        <f aca="false">IFERROR(IF(Kalender!A19="",0,J5142*(1-Eingaben!$B$20)),0)</f>
        <v>0.7390278</v>
      </c>
      <c r="H5143" s="13" t="n">
        <f aca="false">MIN(G5143,D5143)</f>
        <v>0.7390278</v>
      </c>
      <c r="I5143" s="13" t="n">
        <f aca="false">IFERROR(MIN(F5143*Eingaben!$B$19,MAX(0,D5143-H5143)),0)</f>
        <v>1.75959</v>
      </c>
      <c r="J5143" s="13" t="n">
        <f aca="false">IFERROR(MIN(Eingaben!$B$18,MAX(0,F5143-I5143)),0)</f>
        <v>0.75411</v>
      </c>
      <c r="K5143" s="13" t="n">
        <f aca="false">H5143+I5143</f>
        <v>2.4986178</v>
      </c>
      <c r="L5143" s="13" t="n">
        <f aca="false">MAX(0,D5143-K5143)</f>
        <v>2.4413822</v>
      </c>
      <c r="M5143" s="13" t="n">
        <f aca="false">MAX(0,F5143-I5143-J5143)</f>
        <v>0</v>
      </c>
      <c r="N5143" s="13" t="n">
        <f aca="false">IF(Kalender!A19="",0,J5142-H5143)</f>
        <v>0.0150822</v>
      </c>
    </row>
    <row r="5144" customFormat="false" ht="16.4" hidden="false" customHeight="false" outlineLevel="0" collapsed="false">
      <c r="A5144" s="13" t="str">
        <f aca="false">""</f>
        <v/>
      </c>
      <c r="B5144" s="13" t="n">
        <f aca="false">16</f>
        <v>16</v>
      </c>
      <c r="C5144" s="13" t="n">
        <f aca="false">IF(Szenarien!$H$25="OK",(IFERROR(SUMIF(Nutzungsprofile!$B$6:$B$11,"Schulbetrieb",Nutzungsprofile!$G$6:$G$11)*Kalender!C20/SUM(Kalender!$C$5:$C$370),0)+IFERROR(SUMIF(Nutzungsprofile!$B$6:$B$11,"Halle",Nutzungsprofile!$G$6:$G$11)*Kalender!D20/SUM(Kalender!$D$5:$D$370),0)+IFERROR(SUMIF(Nutzungsprofile!$B$6:$B$11,"Individuell",Nutzungsprofile!$G$6:$G$11)*Kalender!E20/SUM(Kalender!$E$5:$E$370),0))*Szenarien!$E$25,0)</f>
        <v>2.94</v>
      </c>
      <c r="D5144" s="13" t="n">
        <f aca="false">IF(Szenarien!$H$25="OK",(IFERROR(SUMIF(Nutzungsprofile!$B$17:$B$22,"Schulbetrieb",Nutzungsprofile!$G$17:$G$22)*Kalender!C20/SUM(Kalender!$C$5:$C$370),0)+IFERROR(SUMIF(Nutzungsprofile!$B$17:$B$22,"Halle",Nutzungsprofile!$G$17:$G$22)*Kalender!D20/SUM(Kalender!$D$5:$D$370),0)+IFERROR(SUMIF(Nutzungsprofile!$B$17:$B$22,"Individuell",Nutzungsprofile!$G$17:$G$22)*Kalender!E20/SUM(Kalender!$E$5:$E$370),0))*Szenarien!$D$25,0)</f>
        <v>4.94</v>
      </c>
      <c r="E5144" s="13" t="n">
        <f aca="false">IFERROR(MIN(C5144,Eingaben!$B$17)*Eingaben!$B$16,0)</f>
        <v>2.793</v>
      </c>
      <c r="F5144" s="13" t="n">
        <f aca="false">IFERROR(E5144*Eingaben!$B$15,0)</f>
        <v>2.5137</v>
      </c>
      <c r="G5144" s="13" t="n">
        <f aca="false">IFERROR(IF(Kalender!A20="",0,J5143*(1-Eingaben!$B$20)),0)</f>
        <v>0.7390278</v>
      </c>
      <c r="H5144" s="13" t="n">
        <f aca="false">MIN(G5144,D5144)</f>
        <v>0.7390278</v>
      </c>
      <c r="I5144" s="13" t="n">
        <f aca="false">IFERROR(MIN(F5144*Eingaben!$B$19,MAX(0,D5144-H5144)),0)</f>
        <v>1.75959</v>
      </c>
      <c r="J5144" s="13" t="n">
        <f aca="false">IFERROR(MIN(Eingaben!$B$18,MAX(0,F5144-I5144)),0)</f>
        <v>0.75411</v>
      </c>
      <c r="K5144" s="13" t="n">
        <f aca="false">H5144+I5144</f>
        <v>2.4986178</v>
      </c>
      <c r="L5144" s="13" t="n">
        <f aca="false">MAX(0,D5144-K5144)</f>
        <v>2.4413822</v>
      </c>
      <c r="M5144" s="13" t="n">
        <f aca="false">MAX(0,F5144-I5144-J5144)</f>
        <v>0</v>
      </c>
      <c r="N5144" s="13" t="n">
        <f aca="false">IF(Kalender!A20="",0,J5143-H5144)</f>
        <v>0.0150822</v>
      </c>
    </row>
    <row r="5145" customFormat="false" ht="16.4" hidden="false" customHeight="false" outlineLevel="0" collapsed="false">
      <c r="A5145" s="13" t="str">
        <f aca="false">""</f>
        <v/>
      </c>
      <c r="B5145" s="13" t="n">
        <f aca="false">17</f>
        <v>17</v>
      </c>
      <c r="C5145" s="13" t="n">
        <f aca="false">IF(Szenarien!$H$25="OK",(IFERROR(SUMIF(Nutzungsprofile!$B$6:$B$11,"Schulbetrieb",Nutzungsprofile!$G$6:$G$11)*Kalender!C21/SUM(Kalender!$C$5:$C$370),0)+IFERROR(SUMIF(Nutzungsprofile!$B$6:$B$11,"Halle",Nutzungsprofile!$G$6:$G$11)*Kalender!D21/SUM(Kalender!$D$5:$D$370),0)+IFERROR(SUMIF(Nutzungsprofile!$B$6:$B$11,"Individuell",Nutzungsprofile!$G$6:$G$11)*Kalender!E21/SUM(Kalender!$E$5:$E$370),0))*Szenarien!$E$25,0)</f>
        <v>2.04</v>
      </c>
      <c r="D5145" s="13" t="n">
        <f aca="false">IF(Szenarien!$H$25="OK",(IFERROR(SUMIF(Nutzungsprofile!$B$17:$B$22,"Schulbetrieb",Nutzungsprofile!$G$17:$G$22)*Kalender!C21/SUM(Kalender!$C$5:$C$370),0)+IFERROR(SUMIF(Nutzungsprofile!$B$17:$B$22,"Halle",Nutzungsprofile!$G$17:$G$22)*Kalender!D21/SUM(Kalender!$D$5:$D$370),0)+IFERROR(SUMIF(Nutzungsprofile!$B$17:$B$22,"Individuell",Nutzungsprofile!$G$17:$G$22)*Kalender!E21/SUM(Kalender!$E$5:$E$370),0))*Szenarien!$D$25,0)</f>
        <v>0.89</v>
      </c>
      <c r="E5145" s="13" t="n">
        <f aca="false">IFERROR(MIN(C5145,Eingaben!$B$17)*Eingaben!$B$16,0)</f>
        <v>1.938</v>
      </c>
      <c r="F5145" s="13" t="n">
        <f aca="false">IFERROR(E5145*Eingaben!$B$15,0)</f>
        <v>1.7442</v>
      </c>
      <c r="G5145" s="13" t="n">
        <f aca="false">IFERROR(IF(Kalender!A21="",0,J5144*(1-Eingaben!$B$20)),0)</f>
        <v>0.7390278</v>
      </c>
      <c r="H5145" s="13" t="n">
        <f aca="false">MIN(G5145,D5145)</f>
        <v>0.7390278</v>
      </c>
      <c r="I5145" s="13" t="n">
        <f aca="false">IFERROR(MIN(F5145*Eingaben!$B$19,MAX(0,D5145-H5145)),0)</f>
        <v>0.1509722</v>
      </c>
      <c r="J5145" s="13" t="n">
        <f aca="false">IFERROR(MIN(Eingaben!$B$18,MAX(0,F5145-I5145)),0)</f>
        <v>1.5932278</v>
      </c>
      <c r="K5145" s="13" t="n">
        <f aca="false">H5145+I5145</f>
        <v>0.89</v>
      </c>
      <c r="L5145" s="13" t="n">
        <f aca="false">MAX(0,D5145-K5145)</f>
        <v>0</v>
      </c>
      <c r="M5145" s="13" t="n">
        <f aca="false">MAX(0,F5145-I5145-J5145)</f>
        <v>0</v>
      </c>
      <c r="N5145" s="13" t="n">
        <f aca="false">IF(Kalender!A21="",0,J5144-H5145)</f>
        <v>0.0150822</v>
      </c>
    </row>
    <row r="5146" customFormat="false" ht="16.4" hidden="false" customHeight="false" outlineLevel="0" collapsed="false">
      <c r="A5146" s="13" t="str">
        <f aca="false">""</f>
        <v/>
      </c>
      <c r="B5146" s="13" t="n">
        <f aca="false">18</f>
        <v>18</v>
      </c>
      <c r="C5146" s="13" t="n">
        <f aca="false">IF(Szenarien!$H$25="OK",(IFERROR(SUMIF(Nutzungsprofile!$B$6:$B$11,"Schulbetrieb",Nutzungsprofile!$G$6:$G$11)*Kalender!C22/SUM(Kalender!$C$5:$C$370),0)+IFERROR(SUMIF(Nutzungsprofile!$B$6:$B$11,"Halle",Nutzungsprofile!$G$6:$G$11)*Kalender!D22/SUM(Kalender!$D$5:$D$370),0)+IFERROR(SUMIF(Nutzungsprofile!$B$6:$B$11,"Individuell",Nutzungsprofile!$G$6:$G$11)*Kalender!E22/SUM(Kalender!$E$5:$E$370),0))*Szenarien!$E$25,0)</f>
        <v>2.04</v>
      </c>
      <c r="D5146" s="13" t="n">
        <f aca="false">IF(Szenarien!$H$25="OK",(IFERROR(SUMIF(Nutzungsprofile!$B$17:$B$22,"Schulbetrieb",Nutzungsprofile!$G$17:$G$22)*Kalender!C22/SUM(Kalender!$C$5:$C$370),0)+IFERROR(SUMIF(Nutzungsprofile!$B$17:$B$22,"Halle",Nutzungsprofile!$G$17:$G$22)*Kalender!D22/SUM(Kalender!$D$5:$D$370),0)+IFERROR(SUMIF(Nutzungsprofile!$B$17:$B$22,"Individuell",Nutzungsprofile!$G$17:$G$22)*Kalender!E22/SUM(Kalender!$E$5:$E$370),0))*Szenarien!$D$25,0)</f>
        <v>0.89</v>
      </c>
      <c r="E5146" s="13" t="n">
        <f aca="false">IFERROR(MIN(C5146,Eingaben!$B$17)*Eingaben!$B$16,0)</f>
        <v>1.938</v>
      </c>
      <c r="F5146" s="13" t="n">
        <f aca="false">IFERROR(E5146*Eingaben!$B$15,0)</f>
        <v>1.7442</v>
      </c>
      <c r="G5146" s="13" t="n">
        <f aca="false">IFERROR(IF(Kalender!A22="",0,J5145*(1-Eingaben!$B$20)),0)</f>
        <v>1.561363244</v>
      </c>
      <c r="H5146" s="13" t="n">
        <f aca="false">MIN(G5146,D5146)</f>
        <v>0.89</v>
      </c>
      <c r="I5146" s="13" t="n">
        <f aca="false">IFERROR(MIN(F5146*Eingaben!$B$19,MAX(0,D5146-H5146)),0)</f>
        <v>0</v>
      </c>
      <c r="J5146" s="13" t="n">
        <f aca="false">IFERROR(MIN(Eingaben!$B$18,MAX(0,F5146-I5146)),0)</f>
        <v>1.7442</v>
      </c>
      <c r="K5146" s="13" t="n">
        <f aca="false">H5146+I5146</f>
        <v>0.89</v>
      </c>
      <c r="L5146" s="13" t="n">
        <f aca="false">MAX(0,D5146-K5146)</f>
        <v>0</v>
      </c>
      <c r="M5146" s="13" t="n">
        <f aca="false">MAX(0,F5146-I5146-J5146)</f>
        <v>0</v>
      </c>
      <c r="N5146" s="13" t="n">
        <f aca="false">IF(Kalender!A22="",0,J5145-H5146)</f>
        <v>0.7032278</v>
      </c>
    </row>
    <row r="5147" customFormat="false" ht="16.4" hidden="false" customHeight="false" outlineLevel="0" collapsed="false">
      <c r="A5147" s="13" t="str">
        <f aca="false">""</f>
        <v/>
      </c>
      <c r="B5147" s="13" t="n">
        <f aca="false">19</f>
        <v>19</v>
      </c>
      <c r="C5147" s="13" t="n">
        <f aca="false">IF(Szenarien!$H$25="OK",(IFERROR(SUMIF(Nutzungsprofile!$B$6:$B$11,"Schulbetrieb",Nutzungsprofile!$G$6:$G$11)*Kalender!C23/SUM(Kalender!$C$5:$C$370),0)+IFERROR(SUMIF(Nutzungsprofile!$B$6:$B$11,"Halle",Nutzungsprofile!$G$6:$G$11)*Kalender!D23/SUM(Kalender!$D$5:$D$370),0)+IFERROR(SUMIF(Nutzungsprofile!$B$6:$B$11,"Individuell",Nutzungsprofile!$G$6:$G$11)*Kalender!E23/SUM(Kalender!$E$5:$E$370),0))*Szenarien!$E$25,0)</f>
        <v>2.94</v>
      </c>
      <c r="D5147" s="13" t="n">
        <f aca="false">IF(Szenarien!$H$25="OK",(IFERROR(SUMIF(Nutzungsprofile!$B$17:$B$22,"Schulbetrieb",Nutzungsprofile!$G$17:$G$22)*Kalender!C23/SUM(Kalender!$C$5:$C$370),0)+IFERROR(SUMIF(Nutzungsprofile!$B$17:$B$22,"Halle",Nutzungsprofile!$G$17:$G$22)*Kalender!D23/SUM(Kalender!$D$5:$D$370),0)+IFERROR(SUMIF(Nutzungsprofile!$B$17:$B$22,"Individuell",Nutzungsprofile!$G$17:$G$22)*Kalender!E23/SUM(Kalender!$E$5:$E$370),0))*Szenarien!$D$25,0)</f>
        <v>4.94</v>
      </c>
      <c r="E5147" s="13" t="n">
        <f aca="false">IFERROR(MIN(C5147,Eingaben!$B$17)*Eingaben!$B$16,0)</f>
        <v>2.793</v>
      </c>
      <c r="F5147" s="13" t="n">
        <f aca="false">IFERROR(E5147*Eingaben!$B$15,0)</f>
        <v>2.5137</v>
      </c>
      <c r="G5147" s="13" t="n">
        <f aca="false">IFERROR(IF(Kalender!A23="",0,J5146*(1-Eingaben!$B$20)),0)</f>
        <v>1.709316</v>
      </c>
      <c r="H5147" s="13" t="n">
        <f aca="false">MIN(G5147,D5147)</f>
        <v>1.709316</v>
      </c>
      <c r="I5147" s="13" t="n">
        <f aca="false">IFERROR(MIN(F5147*Eingaben!$B$19,MAX(0,D5147-H5147)),0)</f>
        <v>1.75959</v>
      </c>
      <c r="J5147" s="13" t="n">
        <f aca="false">IFERROR(MIN(Eingaben!$B$18,MAX(0,F5147-I5147)),0)</f>
        <v>0.75411</v>
      </c>
      <c r="K5147" s="13" t="n">
        <f aca="false">H5147+I5147</f>
        <v>3.468906</v>
      </c>
      <c r="L5147" s="13" t="n">
        <f aca="false">MAX(0,D5147-K5147)</f>
        <v>1.471094</v>
      </c>
      <c r="M5147" s="13" t="n">
        <f aca="false">MAX(0,F5147-I5147-J5147)</f>
        <v>0</v>
      </c>
      <c r="N5147" s="13" t="n">
        <f aca="false">IF(Kalender!A23="",0,J5146-H5147)</f>
        <v>0.0348840000000001</v>
      </c>
    </row>
    <row r="5148" customFormat="false" ht="16.4" hidden="false" customHeight="false" outlineLevel="0" collapsed="false">
      <c r="A5148" s="13" t="str">
        <f aca="false">""</f>
        <v/>
      </c>
      <c r="B5148" s="13" t="n">
        <f aca="false">20</f>
        <v>20</v>
      </c>
      <c r="C5148" s="13" t="n">
        <f aca="false">IF(Szenarien!$H$25="OK",(IFERROR(SUMIF(Nutzungsprofile!$B$6:$B$11,"Schulbetrieb",Nutzungsprofile!$G$6:$G$11)*Kalender!C24/SUM(Kalender!$C$5:$C$370),0)+IFERROR(SUMIF(Nutzungsprofile!$B$6:$B$11,"Halle",Nutzungsprofile!$G$6:$G$11)*Kalender!D24/SUM(Kalender!$D$5:$D$370),0)+IFERROR(SUMIF(Nutzungsprofile!$B$6:$B$11,"Individuell",Nutzungsprofile!$G$6:$G$11)*Kalender!E24/SUM(Kalender!$E$5:$E$370),0))*Szenarien!$E$25,0)</f>
        <v>2.94</v>
      </c>
      <c r="D5148" s="13" t="n">
        <f aca="false">IF(Szenarien!$H$25="OK",(IFERROR(SUMIF(Nutzungsprofile!$B$17:$B$22,"Schulbetrieb",Nutzungsprofile!$G$17:$G$22)*Kalender!C24/SUM(Kalender!$C$5:$C$370),0)+IFERROR(SUMIF(Nutzungsprofile!$B$17:$B$22,"Halle",Nutzungsprofile!$G$17:$G$22)*Kalender!D24/SUM(Kalender!$D$5:$D$370),0)+IFERROR(SUMIF(Nutzungsprofile!$B$17:$B$22,"Individuell",Nutzungsprofile!$G$17:$G$22)*Kalender!E24/SUM(Kalender!$E$5:$E$370),0))*Szenarien!$D$25,0)</f>
        <v>4.94</v>
      </c>
      <c r="E5148" s="13" t="n">
        <f aca="false">IFERROR(MIN(C5148,Eingaben!$B$17)*Eingaben!$B$16,0)</f>
        <v>2.793</v>
      </c>
      <c r="F5148" s="13" t="n">
        <f aca="false">IFERROR(E5148*Eingaben!$B$15,0)</f>
        <v>2.5137</v>
      </c>
      <c r="G5148" s="13" t="n">
        <f aca="false">IFERROR(IF(Kalender!A24="",0,J5147*(1-Eingaben!$B$20)),0)</f>
        <v>0.7390278</v>
      </c>
      <c r="H5148" s="13" t="n">
        <f aca="false">MIN(G5148,D5148)</f>
        <v>0.7390278</v>
      </c>
      <c r="I5148" s="13" t="n">
        <f aca="false">IFERROR(MIN(F5148*Eingaben!$B$19,MAX(0,D5148-H5148)),0)</f>
        <v>1.75959</v>
      </c>
      <c r="J5148" s="13" t="n">
        <f aca="false">IFERROR(MIN(Eingaben!$B$18,MAX(0,F5148-I5148)),0)</f>
        <v>0.75411</v>
      </c>
      <c r="K5148" s="13" t="n">
        <f aca="false">H5148+I5148</f>
        <v>2.4986178</v>
      </c>
      <c r="L5148" s="13" t="n">
        <f aca="false">MAX(0,D5148-K5148)</f>
        <v>2.4413822</v>
      </c>
      <c r="M5148" s="13" t="n">
        <f aca="false">MAX(0,F5148-I5148-J5148)</f>
        <v>0</v>
      </c>
      <c r="N5148" s="13" t="n">
        <f aca="false">IF(Kalender!A24="",0,J5147-H5148)</f>
        <v>0.0150822</v>
      </c>
    </row>
    <row r="5149" customFormat="false" ht="16.4" hidden="false" customHeight="false" outlineLevel="0" collapsed="false">
      <c r="A5149" s="13" t="str">
        <f aca="false">""</f>
        <v/>
      </c>
      <c r="B5149" s="13" t="n">
        <f aca="false">21</f>
        <v>21</v>
      </c>
      <c r="C5149" s="13" t="n">
        <f aca="false">IF(Szenarien!$H$25="OK",(IFERROR(SUMIF(Nutzungsprofile!$B$6:$B$11,"Schulbetrieb",Nutzungsprofile!$G$6:$G$11)*Kalender!C25/SUM(Kalender!$C$5:$C$370),0)+IFERROR(SUMIF(Nutzungsprofile!$B$6:$B$11,"Halle",Nutzungsprofile!$G$6:$G$11)*Kalender!D25/SUM(Kalender!$D$5:$D$370),0)+IFERROR(SUMIF(Nutzungsprofile!$B$6:$B$11,"Individuell",Nutzungsprofile!$G$6:$G$11)*Kalender!E25/SUM(Kalender!$E$5:$E$370),0))*Szenarien!$E$25,0)</f>
        <v>2.94</v>
      </c>
      <c r="D5149" s="13" t="n">
        <f aca="false">IF(Szenarien!$H$25="OK",(IFERROR(SUMIF(Nutzungsprofile!$B$17:$B$22,"Schulbetrieb",Nutzungsprofile!$G$17:$G$22)*Kalender!C25/SUM(Kalender!$C$5:$C$370),0)+IFERROR(SUMIF(Nutzungsprofile!$B$17:$B$22,"Halle",Nutzungsprofile!$G$17:$G$22)*Kalender!D25/SUM(Kalender!$D$5:$D$370),0)+IFERROR(SUMIF(Nutzungsprofile!$B$17:$B$22,"Individuell",Nutzungsprofile!$G$17:$G$22)*Kalender!E25/SUM(Kalender!$E$5:$E$370),0))*Szenarien!$D$25,0)</f>
        <v>4.94</v>
      </c>
      <c r="E5149" s="13" t="n">
        <f aca="false">IFERROR(MIN(C5149,Eingaben!$B$17)*Eingaben!$B$16,0)</f>
        <v>2.793</v>
      </c>
      <c r="F5149" s="13" t="n">
        <f aca="false">IFERROR(E5149*Eingaben!$B$15,0)</f>
        <v>2.5137</v>
      </c>
      <c r="G5149" s="13" t="n">
        <f aca="false">IFERROR(IF(Kalender!A25="",0,J5148*(1-Eingaben!$B$20)),0)</f>
        <v>0.7390278</v>
      </c>
      <c r="H5149" s="13" t="n">
        <f aca="false">MIN(G5149,D5149)</f>
        <v>0.7390278</v>
      </c>
      <c r="I5149" s="13" t="n">
        <f aca="false">IFERROR(MIN(F5149*Eingaben!$B$19,MAX(0,D5149-H5149)),0)</f>
        <v>1.75959</v>
      </c>
      <c r="J5149" s="13" t="n">
        <f aca="false">IFERROR(MIN(Eingaben!$B$18,MAX(0,F5149-I5149)),0)</f>
        <v>0.75411</v>
      </c>
      <c r="K5149" s="13" t="n">
        <f aca="false">H5149+I5149</f>
        <v>2.4986178</v>
      </c>
      <c r="L5149" s="13" t="n">
        <f aca="false">MAX(0,D5149-K5149)</f>
        <v>2.4413822</v>
      </c>
      <c r="M5149" s="13" t="n">
        <f aca="false">MAX(0,F5149-I5149-J5149)</f>
        <v>0</v>
      </c>
      <c r="N5149" s="13" t="n">
        <f aca="false">IF(Kalender!A25="",0,J5148-H5149)</f>
        <v>0.0150822</v>
      </c>
    </row>
    <row r="5150" customFormat="false" ht="16.4" hidden="false" customHeight="false" outlineLevel="0" collapsed="false">
      <c r="A5150" s="13" t="str">
        <f aca="false">""</f>
        <v/>
      </c>
      <c r="B5150" s="13" t="n">
        <f aca="false">22</f>
        <v>22</v>
      </c>
      <c r="C5150" s="13" t="n">
        <f aca="false">IF(Szenarien!$H$25="OK",(IFERROR(SUMIF(Nutzungsprofile!$B$6:$B$11,"Schulbetrieb",Nutzungsprofile!$G$6:$G$11)*Kalender!C26/SUM(Kalender!$C$5:$C$370),0)+IFERROR(SUMIF(Nutzungsprofile!$B$6:$B$11,"Halle",Nutzungsprofile!$G$6:$G$11)*Kalender!D26/SUM(Kalender!$D$5:$D$370),0)+IFERROR(SUMIF(Nutzungsprofile!$B$6:$B$11,"Individuell",Nutzungsprofile!$G$6:$G$11)*Kalender!E26/SUM(Kalender!$E$5:$E$370),0))*Szenarien!$E$25,0)</f>
        <v>2.94</v>
      </c>
      <c r="D5150" s="13" t="n">
        <f aca="false">IF(Szenarien!$H$25="OK",(IFERROR(SUMIF(Nutzungsprofile!$B$17:$B$22,"Schulbetrieb",Nutzungsprofile!$G$17:$G$22)*Kalender!C26/SUM(Kalender!$C$5:$C$370),0)+IFERROR(SUMIF(Nutzungsprofile!$B$17:$B$22,"Halle",Nutzungsprofile!$G$17:$G$22)*Kalender!D26/SUM(Kalender!$D$5:$D$370),0)+IFERROR(SUMIF(Nutzungsprofile!$B$17:$B$22,"Individuell",Nutzungsprofile!$G$17:$G$22)*Kalender!E26/SUM(Kalender!$E$5:$E$370),0))*Szenarien!$D$25,0)</f>
        <v>4.94</v>
      </c>
      <c r="E5150" s="13" t="n">
        <f aca="false">IFERROR(MIN(C5150,Eingaben!$B$17)*Eingaben!$B$16,0)</f>
        <v>2.793</v>
      </c>
      <c r="F5150" s="13" t="n">
        <f aca="false">IFERROR(E5150*Eingaben!$B$15,0)</f>
        <v>2.5137</v>
      </c>
      <c r="G5150" s="13" t="n">
        <f aca="false">IFERROR(IF(Kalender!A26="",0,J5149*(1-Eingaben!$B$20)),0)</f>
        <v>0.7390278</v>
      </c>
      <c r="H5150" s="13" t="n">
        <f aca="false">MIN(G5150,D5150)</f>
        <v>0.7390278</v>
      </c>
      <c r="I5150" s="13" t="n">
        <f aca="false">IFERROR(MIN(F5150*Eingaben!$B$19,MAX(0,D5150-H5150)),0)</f>
        <v>1.75959</v>
      </c>
      <c r="J5150" s="13" t="n">
        <f aca="false">IFERROR(MIN(Eingaben!$B$18,MAX(0,F5150-I5150)),0)</f>
        <v>0.75411</v>
      </c>
      <c r="K5150" s="13" t="n">
        <f aca="false">H5150+I5150</f>
        <v>2.4986178</v>
      </c>
      <c r="L5150" s="13" t="n">
        <f aca="false">MAX(0,D5150-K5150)</f>
        <v>2.4413822</v>
      </c>
      <c r="M5150" s="13" t="n">
        <f aca="false">MAX(0,F5150-I5150-J5150)</f>
        <v>0</v>
      </c>
      <c r="N5150" s="13" t="n">
        <f aca="false">IF(Kalender!A26="",0,J5149-H5150)</f>
        <v>0.0150822</v>
      </c>
    </row>
    <row r="5151" customFormat="false" ht="16.4" hidden="false" customHeight="false" outlineLevel="0" collapsed="false">
      <c r="A5151" s="13" t="str">
        <f aca="false">""</f>
        <v/>
      </c>
      <c r="B5151" s="13" t="n">
        <f aca="false">23</f>
        <v>23</v>
      </c>
      <c r="C5151" s="13" t="n">
        <f aca="false">IF(Szenarien!$H$25="OK",(IFERROR(SUMIF(Nutzungsprofile!$B$6:$B$11,"Schulbetrieb",Nutzungsprofile!$G$6:$G$11)*Kalender!C27/SUM(Kalender!$C$5:$C$370),0)+IFERROR(SUMIF(Nutzungsprofile!$B$6:$B$11,"Halle",Nutzungsprofile!$G$6:$G$11)*Kalender!D27/SUM(Kalender!$D$5:$D$370),0)+IFERROR(SUMIF(Nutzungsprofile!$B$6:$B$11,"Individuell",Nutzungsprofile!$G$6:$G$11)*Kalender!E27/SUM(Kalender!$E$5:$E$370),0))*Szenarien!$E$25,0)</f>
        <v>2.94</v>
      </c>
      <c r="D5151" s="13" t="n">
        <f aca="false">IF(Szenarien!$H$25="OK",(IFERROR(SUMIF(Nutzungsprofile!$B$17:$B$22,"Schulbetrieb",Nutzungsprofile!$G$17:$G$22)*Kalender!C27/SUM(Kalender!$C$5:$C$370),0)+IFERROR(SUMIF(Nutzungsprofile!$B$17:$B$22,"Halle",Nutzungsprofile!$G$17:$G$22)*Kalender!D27/SUM(Kalender!$D$5:$D$370),0)+IFERROR(SUMIF(Nutzungsprofile!$B$17:$B$22,"Individuell",Nutzungsprofile!$G$17:$G$22)*Kalender!E27/SUM(Kalender!$E$5:$E$370),0))*Szenarien!$D$25,0)</f>
        <v>4.94</v>
      </c>
      <c r="E5151" s="13" t="n">
        <f aca="false">IFERROR(MIN(C5151,Eingaben!$B$17)*Eingaben!$B$16,0)</f>
        <v>2.793</v>
      </c>
      <c r="F5151" s="13" t="n">
        <f aca="false">IFERROR(E5151*Eingaben!$B$15,0)</f>
        <v>2.5137</v>
      </c>
      <c r="G5151" s="13" t="n">
        <f aca="false">IFERROR(IF(Kalender!A27="",0,J5150*(1-Eingaben!$B$20)),0)</f>
        <v>0.7390278</v>
      </c>
      <c r="H5151" s="13" t="n">
        <f aca="false">MIN(G5151,D5151)</f>
        <v>0.7390278</v>
      </c>
      <c r="I5151" s="13" t="n">
        <f aca="false">IFERROR(MIN(F5151*Eingaben!$B$19,MAX(0,D5151-H5151)),0)</f>
        <v>1.75959</v>
      </c>
      <c r="J5151" s="13" t="n">
        <f aca="false">IFERROR(MIN(Eingaben!$B$18,MAX(0,F5151-I5151)),0)</f>
        <v>0.75411</v>
      </c>
      <c r="K5151" s="13" t="n">
        <f aca="false">H5151+I5151</f>
        <v>2.4986178</v>
      </c>
      <c r="L5151" s="13" t="n">
        <f aca="false">MAX(0,D5151-K5151)</f>
        <v>2.4413822</v>
      </c>
      <c r="M5151" s="13" t="n">
        <f aca="false">MAX(0,F5151-I5151-J5151)</f>
        <v>0</v>
      </c>
      <c r="N5151" s="13" t="n">
        <f aca="false">IF(Kalender!A27="",0,J5150-H5151)</f>
        <v>0.0150822</v>
      </c>
    </row>
    <row r="5152" customFormat="false" ht="16.4" hidden="false" customHeight="false" outlineLevel="0" collapsed="false">
      <c r="A5152" s="13" t="str">
        <f aca="false">""</f>
        <v/>
      </c>
      <c r="B5152" s="13" t="n">
        <f aca="false">24</f>
        <v>24</v>
      </c>
      <c r="C5152" s="13" t="n">
        <f aca="false">IF(Szenarien!$H$25="OK",(IFERROR(SUMIF(Nutzungsprofile!$B$6:$B$11,"Schulbetrieb",Nutzungsprofile!$G$6:$G$11)*Kalender!C28/SUM(Kalender!$C$5:$C$370),0)+IFERROR(SUMIF(Nutzungsprofile!$B$6:$B$11,"Halle",Nutzungsprofile!$G$6:$G$11)*Kalender!D28/SUM(Kalender!$D$5:$D$370),0)+IFERROR(SUMIF(Nutzungsprofile!$B$6:$B$11,"Individuell",Nutzungsprofile!$G$6:$G$11)*Kalender!E28/SUM(Kalender!$E$5:$E$370),0))*Szenarien!$E$25,0)</f>
        <v>2.04</v>
      </c>
      <c r="D5152" s="13" t="n">
        <f aca="false">IF(Szenarien!$H$25="OK",(IFERROR(SUMIF(Nutzungsprofile!$B$17:$B$22,"Schulbetrieb",Nutzungsprofile!$G$17:$G$22)*Kalender!C28/SUM(Kalender!$C$5:$C$370),0)+IFERROR(SUMIF(Nutzungsprofile!$B$17:$B$22,"Halle",Nutzungsprofile!$G$17:$G$22)*Kalender!D28/SUM(Kalender!$D$5:$D$370),0)+IFERROR(SUMIF(Nutzungsprofile!$B$17:$B$22,"Individuell",Nutzungsprofile!$G$17:$G$22)*Kalender!E28/SUM(Kalender!$E$5:$E$370),0))*Szenarien!$D$25,0)</f>
        <v>0.89</v>
      </c>
      <c r="E5152" s="13" t="n">
        <f aca="false">IFERROR(MIN(C5152,Eingaben!$B$17)*Eingaben!$B$16,0)</f>
        <v>1.938</v>
      </c>
      <c r="F5152" s="13" t="n">
        <f aca="false">IFERROR(E5152*Eingaben!$B$15,0)</f>
        <v>1.7442</v>
      </c>
      <c r="G5152" s="13" t="n">
        <f aca="false">IFERROR(IF(Kalender!A28="",0,J5151*(1-Eingaben!$B$20)),0)</f>
        <v>0.7390278</v>
      </c>
      <c r="H5152" s="13" t="n">
        <f aca="false">MIN(G5152,D5152)</f>
        <v>0.7390278</v>
      </c>
      <c r="I5152" s="13" t="n">
        <f aca="false">IFERROR(MIN(F5152*Eingaben!$B$19,MAX(0,D5152-H5152)),0)</f>
        <v>0.1509722</v>
      </c>
      <c r="J5152" s="13" t="n">
        <f aca="false">IFERROR(MIN(Eingaben!$B$18,MAX(0,F5152-I5152)),0)</f>
        <v>1.5932278</v>
      </c>
      <c r="K5152" s="13" t="n">
        <f aca="false">H5152+I5152</f>
        <v>0.89</v>
      </c>
      <c r="L5152" s="13" t="n">
        <f aca="false">MAX(0,D5152-K5152)</f>
        <v>0</v>
      </c>
      <c r="M5152" s="13" t="n">
        <f aca="false">MAX(0,F5152-I5152-J5152)</f>
        <v>0</v>
      </c>
      <c r="N5152" s="13" t="n">
        <f aca="false">IF(Kalender!A28="",0,J5151-H5152)</f>
        <v>0.0150822</v>
      </c>
    </row>
    <row r="5153" customFormat="false" ht="16.4" hidden="false" customHeight="false" outlineLevel="0" collapsed="false">
      <c r="A5153" s="13" t="str">
        <f aca="false">""</f>
        <v/>
      </c>
      <c r="B5153" s="13" t="n">
        <f aca="false">25</f>
        <v>25</v>
      </c>
      <c r="C5153" s="13" t="n">
        <f aca="false">IF(Szenarien!$H$25="OK",(IFERROR(SUMIF(Nutzungsprofile!$B$6:$B$11,"Schulbetrieb",Nutzungsprofile!$G$6:$G$11)*Kalender!C29/SUM(Kalender!$C$5:$C$370),0)+IFERROR(SUMIF(Nutzungsprofile!$B$6:$B$11,"Halle",Nutzungsprofile!$G$6:$G$11)*Kalender!D29/SUM(Kalender!$D$5:$D$370),0)+IFERROR(SUMIF(Nutzungsprofile!$B$6:$B$11,"Individuell",Nutzungsprofile!$G$6:$G$11)*Kalender!E29/SUM(Kalender!$E$5:$E$370),0))*Szenarien!$E$25,0)</f>
        <v>2.04</v>
      </c>
      <c r="D5153" s="13" t="n">
        <f aca="false">IF(Szenarien!$H$25="OK",(IFERROR(SUMIF(Nutzungsprofile!$B$17:$B$22,"Schulbetrieb",Nutzungsprofile!$G$17:$G$22)*Kalender!C29/SUM(Kalender!$C$5:$C$370),0)+IFERROR(SUMIF(Nutzungsprofile!$B$17:$B$22,"Halle",Nutzungsprofile!$G$17:$G$22)*Kalender!D29/SUM(Kalender!$D$5:$D$370),0)+IFERROR(SUMIF(Nutzungsprofile!$B$17:$B$22,"Individuell",Nutzungsprofile!$G$17:$G$22)*Kalender!E29/SUM(Kalender!$E$5:$E$370),0))*Szenarien!$D$25,0)</f>
        <v>0.89</v>
      </c>
      <c r="E5153" s="13" t="n">
        <f aca="false">IFERROR(MIN(C5153,Eingaben!$B$17)*Eingaben!$B$16,0)</f>
        <v>1.938</v>
      </c>
      <c r="F5153" s="13" t="n">
        <f aca="false">IFERROR(E5153*Eingaben!$B$15,0)</f>
        <v>1.7442</v>
      </c>
      <c r="G5153" s="13" t="n">
        <f aca="false">IFERROR(IF(Kalender!A29="",0,J5152*(1-Eingaben!$B$20)),0)</f>
        <v>1.561363244</v>
      </c>
      <c r="H5153" s="13" t="n">
        <f aca="false">MIN(G5153,D5153)</f>
        <v>0.89</v>
      </c>
      <c r="I5153" s="13" t="n">
        <f aca="false">IFERROR(MIN(F5153*Eingaben!$B$19,MAX(0,D5153-H5153)),0)</f>
        <v>0</v>
      </c>
      <c r="J5153" s="13" t="n">
        <f aca="false">IFERROR(MIN(Eingaben!$B$18,MAX(0,F5153-I5153)),0)</f>
        <v>1.7442</v>
      </c>
      <c r="K5153" s="13" t="n">
        <f aca="false">H5153+I5153</f>
        <v>0.89</v>
      </c>
      <c r="L5153" s="13" t="n">
        <f aca="false">MAX(0,D5153-K5153)</f>
        <v>0</v>
      </c>
      <c r="M5153" s="13" t="n">
        <f aca="false">MAX(0,F5153-I5153-J5153)</f>
        <v>0</v>
      </c>
      <c r="N5153" s="13" t="n">
        <f aca="false">IF(Kalender!A29="",0,J5152-H5153)</f>
        <v>0.7032278</v>
      </c>
    </row>
    <row r="5154" customFormat="false" ht="16.4" hidden="false" customHeight="false" outlineLevel="0" collapsed="false">
      <c r="A5154" s="13" t="str">
        <f aca="false">""</f>
        <v/>
      </c>
      <c r="B5154" s="13" t="n">
        <f aca="false">26</f>
        <v>26</v>
      </c>
      <c r="C5154" s="13" t="n">
        <f aca="false">IF(Szenarien!$H$25="OK",(IFERROR(SUMIF(Nutzungsprofile!$B$6:$B$11,"Schulbetrieb",Nutzungsprofile!$G$6:$G$11)*Kalender!C30/SUM(Kalender!$C$5:$C$370),0)+IFERROR(SUMIF(Nutzungsprofile!$B$6:$B$11,"Halle",Nutzungsprofile!$G$6:$G$11)*Kalender!D30/SUM(Kalender!$D$5:$D$370),0)+IFERROR(SUMIF(Nutzungsprofile!$B$6:$B$11,"Individuell",Nutzungsprofile!$G$6:$G$11)*Kalender!E30/SUM(Kalender!$E$5:$E$370),0))*Szenarien!$E$25,0)</f>
        <v>2.94</v>
      </c>
      <c r="D5154" s="13" t="n">
        <f aca="false">IF(Szenarien!$H$25="OK",(IFERROR(SUMIF(Nutzungsprofile!$B$17:$B$22,"Schulbetrieb",Nutzungsprofile!$G$17:$G$22)*Kalender!C30/SUM(Kalender!$C$5:$C$370),0)+IFERROR(SUMIF(Nutzungsprofile!$B$17:$B$22,"Halle",Nutzungsprofile!$G$17:$G$22)*Kalender!D30/SUM(Kalender!$D$5:$D$370),0)+IFERROR(SUMIF(Nutzungsprofile!$B$17:$B$22,"Individuell",Nutzungsprofile!$G$17:$G$22)*Kalender!E30/SUM(Kalender!$E$5:$E$370),0))*Szenarien!$D$25,0)</f>
        <v>4.94</v>
      </c>
      <c r="E5154" s="13" t="n">
        <f aca="false">IFERROR(MIN(C5154,Eingaben!$B$17)*Eingaben!$B$16,0)</f>
        <v>2.793</v>
      </c>
      <c r="F5154" s="13" t="n">
        <f aca="false">IFERROR(E5154*Eingaben!$B$15,0)</f>
        <v>2.5137</v>
      </c>
      <c r="G5154" s="13" t="n">
        <f aca="false">IFERROR(IF(Kalender!A30="",0,J5153*(1-Eingaben!$B$20)),0)</f>
        <v>1.709316</v>
      </c>
      <c r="H5154" s="13" t="n">
        <f aca="false">MIN(G5154,D5154)</f>
        <v>1.709316</v>
      </c>
      <c r="I5154" s="13" t="n">
        <f aca="false">IFERROR(MIN(F5154*Eingaben!$B$19,MAX(0,D5154-H5154)),0)</f>
        <v>1.75959</v>
      </c>
      <c r="J5154" s="13" t="n">
        <f aca="false">IFERROR(MIN(Eingaben!$B$18,MAX(0,F5154-I5154)),0)</f>
        <v>0.75411</v>
      </c>
      <c r="K5154" s="13" t="n">
        <f aca="false">H5154+I5154</f>
        <v>3.468906</v>
      </c>
      <c r="L5154" s="13" t="n">
        <f aca="false">MAX(0,D5154-K5154)</f>
        <v>1.471094</v>
      </c>
      <c r="M5154" s="13" t="n">
        <f aca="false">MAX(0,F5154-I5154-J5154)</f>
        <v>0</v>
      </c>
      <c r="N5154" s="13" t="n">
        <f aca="false">IF(Kalender!A30="",0,J5153-H5154)</f>
        <v>0.0348840000000001</v>
      </c>
    </row>
    <row r="5155" customFormat="false" ht="16.4" hidden="false" customHeight="false" outlineLevel="0" collapsed="false">
      <c r="A5155" s="13" t="str">
        <f aca="false">""</f>
        <v/>
      </c>
      <c r="B5155" s="13" t="n">
        <f aca="false">27</f>
        <v>27</v>
      </c>
      <c r="C5155" s="13" t="n">
        <f aca="false">IF(Szenarien!$H$25="OK",(IFERROR(SUMIF(Nutzungsprofile!$B$6:$B$11,"Schulbetrieb",Nutzungsprofile!$G$6:$G$11)*Kalender!C31/SUM(Kalender!$C$5:$C$370),0)+IFERROR(SUMIF(Nutzungsprofile!$B$6:$B$11,"Halle",Nutzungsprofile!$G$6:$G$11)*Kalender!D31/SUM(Kalender!$D$5:$D$370),0)+IFERROR(SUMIF(Nutzungsprofile!$B$6:$B$11,"Individuell",Nutzungsprofile!$G$6:$G$11)*Kalender!E31/SUM(Kalender!$E$5:$E$370),0))*Szenarien!$E$25,0)</f>
        <v>2.94</v>
      </c>
      <c r="D5155" s="13" t="n">
        <f aca="false">IF(Szenarien!$H$25="OK",(IFERROR(SUMIF(Nutzungsprofile!$B$17:$B$22,"Schulbetrieb",Nutzungsprofile!$G$17:$G$22)*Kalender!C31/SUM(Kalender!$C$5:$C$370),0)+IFERROR(SUMIF(Nutzungsprofile!$B$17:$B$22,"Halle",Nutzungsprofile!$G$17:$G$22)*Kalender!D31/SUM(Kalender!$D$5:$D$370),0)+IFERROR(SUMIF(Nutzungsprofile!$B$17:$B$22,"Individuell",Nutzungsprofile!$G$17:$G$22)*Kalender!E31/SUM(Kalender!$E$5:$E$370),0))*Szenarien!$D$25,0)</f>
        <v>4.94</v>
      </c>
      <c r="E5155" s="13" t="n">
        <f aca="false">IFERROR(MIN(C5155,Eingaben!$B$17)*Eingaben!$B$16,0)</f>
        <v>2.793</v>
      </c>
      <c r="F5155" s="13" t="n">
        <f aca="false">IFERROR(E5155*Eingaben!$B$15,0)</f>
        <v>2.5137</v>
      </c>
      <c r="G5155" s="13" t="n">
        <f aca="false">IFERROR(IF(Kalender!A31="",0,J5154*(1-Eingaben!$B$20)),0)</f>
        <v>0.7390278</v>
      </c>
      <c r="H5155" s="13" t="n">
        <f aca="false">MIN(G5155,D5155)</f>
        <v>0.7390278</v>
      </c>
      <c r="I5155" s="13" t="n">
        <f aca="false">IFERROR(MIN(F5155*Eingaben!$B$19,MAX(0,D5155-H5155)),0)</f>
        <v>1.75959</v>
      </c>
      <c r="J5155" s="13" t="n">
        <f aca="false">IFERROR(MIN(Eingaben!$B$18,MAX(0,F5155-I5155)),0)</f>
        <v>0.75411</v>
      </c>
      <c r="K5155" s="13" t="n">
        <f aca="false">H5155+I5155</f>
        <v>2.4986178</v>
      </c>
      <c r="L5155" s="13" t="n">
        <f aca="false">MAX(0,D5155-K5155)</f>
        <v>2.4413822</v>
      </c>
      <c r="M5155" s="13" t="n">
        <f aca="false">MAX(0,F5155-I5155-J5155)</f>
        <v>0</v>
      </c>
      <c r="N5155" s="13" t="n">
        <f aca="false">IF(Kalender!A31="",0,J5154-H5155)</f>
        <v>0.0150822</v>
      </c>
    </row>
    <row r="5156" customFormat="false" ht="16.4" hidden="false" customHeight="false" outlineLevel="0" collapsed="false">
      <c r="A5156" s="13" t="str">
        <f aca="false">""</f>
        <v/>
      </c>
      <c r="B5156" s="13" t="n">
        <f aca="false">28</f>
        <v>28</v>
      </c>
      <c r="C5156" s="13" t="n">
        <f aca="false">IF(Szenarien!$H$25="OK",(IFERROR(SUMIF(Nutzungsprofile!$B$6:$B$11,"Schulbetrieb",Nutzungsprofile!$G$6:$G$11)*Kalender!C32/SUM(Kalender!$C$5:$C$370),0)+IFERROR(SUMIF(Nutzungsprofile!$B$6:$B$11,"Halle",Nutzungsprofile!$G$6:$G$11)*Kalender!D32/SUM(Kalender!$D$5:$D$370),0)+IFERROR(SUMIF(Nutzungsprofile!$B$6:$B$11,"Individuell",Nutzungsprofile!$G$6:$G$11)*Kalender!E32/SUM(Kalender!$E$5:$E$370),0))*Szenarien!$E$25,0)</f>
        <v>2.94</v>
      </c>
      <c r="D5156" s="13" t="n">
        <f aca="false">IF(Szenarien!$H$25="OK",(IFERROR(SUMIF(Nutzungsprofile!$B$17:$B$22,"Schulbetrieb",Nutzungsprofile!$G$17:$G$22)*Kalender!C32/SUM(Kalender!$C$5:$C$370),0)+IFERROR(SUMIF(Nutzungsprofile!$B$17:$B$22,"Halle",Nutzungsprofile!$G$17:$G$22)*Kalender!D32/SUM(Kalender!$D$5:$D$370),0)+IFERROR(SUMIF(Nutzungsprofile!$B$17:$B$22,"Individuell",Nutzungsprofile!$G$17:$G$22)*Kalender!E32/SUM(Kalender!$E$5:$E$370),0))*Szenarien!$D$25,0)</f>
        <v>4.94</v>
      </c>
      <c r="E5156" s="13" t="n">
        <f aca="false">IFERROR(MIN(C5156,Eingaben!$B$17)*Eingaben!$B$16,0)</f>
        <v>2.793</v>
      </c>
      <c r="F5156" s="13" t="n">
        <f aca="false">IFERROR(E5156*Eingaben!$B$15,0)</f>
        <v>2.5137</v>
      </c>
      <c r="G5156" s="13" t="n">
        <f aca="false">IFERROR(IF(Kalender!A32="",0,J5155*(1-Eingaben!$B$20)),0)</f>
        <v>0.7390278</v>
      </c>
      <c r="H5156" s="13" t="n">
        <f aca="false">MIN(G5156,D5156)</f>
        <v>0.7390278</v>
      </c>
      <c r="I5156" s="13" t="n">
        <f aca="false">IFERROR(MIN(F5156*Eingaben!$B$19,MAX(0,D5156-H5156)),0)</f>
        <v>1.75959</v>
      </c>
      <c r="J5156" s="13" t="n">
        <f aca="false">IFERROR(MIN(Eingaben!$B$18,MAX(0,F5156-I5156)),0)</f>
        <v>0.75411</v>
      </c>
      <c r="K5156" s="13" t="n">
        <f aca="false">H5156+I5156</f>
        <v>2.4986178</v>
      </c>
      <c r="L5156" s="13" t="n">
        <f aca="false">MAX(0,D5156-K5156)</f>
        <v>2.4413822</v>
      </c>
      <c r="M5156" s="13" t="n">
        <f aca="false">MAX(0,F5156-I5156-J5156)</f>
        <v>0</v>
      </c>
      <c r="N5156" s="13" t="n">
        <f aca="false">IF(Kalender!A32="",0,J5155-H5156)</f>
        <v>0.0150822</v>
      </c>
    </row>
    <row r="5157" customFormat="false" ht="16.4" hidden="false" customHeight="false" outlineLevel="0" collapsed="false">
      <c r="A5157" s="13" t="str">
        <f aca="false">""</f>
        <v/>
      </c>
      <c r="B5157" s="13" t="n">
        <f aca="false">29</f>
        <v>29</v>
      </c>
      <c r="C5157" s="13" t="n">
        <f aca="false">IF(Szenarien!$H$25="OK",(IFERROR(SUMIF(Nutzungsprofile!$B$6:$B$11,"Schulbetrieb",Nutzungsprofile!$G$6:$G$11)*Kalender!C33/SUM(Kalender!$C$5:$C$370),0)+IFERROR(SUMIF(Nutzungsprofile!$B$6:$B$11,"Halle",Nutzungsprofile!$G$6:$G$11)*Kalender!D33/SUM(Kalender!$D$5:$D$370),0)+IFERROR(SUMIF(Nutzungsprofile!$B$6:$B$11,"Individuell",Nutzungsprofile!$G$6:$G$11)*Kalender!E33/SUM(Kalender!$E$5:$E$370),0))*Szenarien!$E$25,0)</f>
        <v>2.94</v>
      </c>
      <c r="D5157" s="13" t="n">
        <f aca="false">IF(Szenarien!$H$25="OK",(IFERROR(SUMIF(Nutzungsprofile!$B$17:$B$22,"Schulbetrieb",Nutzungsprofile!$G$17:$G$22)*Kalender!C33/SUM(Kalender!$C$5:$C$370),0)+IFERROR(SUMIF(Nutzungsprofile!$B$17:$B$22,"Halle",Nutzungsprofile!$G$17:$G$22)*Kalender!D33/SUM(Kalender!$D$5:$D$370),0)+IFERROR(SUMIF(Nutzungsprofile!$B$17:$B$22,"Individuell",Nutzungsprofile!$G$17:$G$22)*Kalender!E33/SUM(Kalender!$E$5:$E$370),0))*Szenarien!$D$25,0)</f>
        <v>4.94</v>
      </c>
      <c r="E5157" s="13" t="n">
        <f aca="false">IFERROR(MIN(C5157,Eingaben!$B$17)*Eingaben!$B$16,0)</f>
        <v>2.793</v>
      </c>
      <c r="F5157" s="13" t="n">
        <f aca="false">IFERROR(E5157*Eingaben!$B$15,0)</f>
        <v>2.5137</v>
      </c>
      <c r="G5157" s="13" t="n">
        <f aca="false">IFERROR(IF(Kalender!A33="",0,J5156*(1-Eingaben!$B$20)),0)</f>
        <v>0.7390278</v>
      </c>
      <c r="H5157" s="13" t="n">
        <f aca="false">MIN(G5157,D5157)</f>
        <v>0.7390278</v>
      </c>
      <c r="I5157" s="13" t="n">
        <f aca="false">IFERROR(MIN(F5157*Eingaben!$B$19,MAX(0,D5157-H5157)),0)</f>
        <v>1.75959</v>
      </c>
      <c r="J5157" s="13" t="n">
        <f aca="false">IFERROR(MIN(Eingaben!$B$18,MAX(0,F5157-I5157)),0)</f>
        <v>0.75411</v>
      </c>
      <c r="K5157" s="13" t="n">
        <f aca="false">H5157+I5157</f>
        <v>2.4986178</v>
      </c>
      <c r="L5157" s="13" t="n">
        <f aca="false">MAX(0,D5157-K5157)</f>
        <v>2.4413822</v>
      </c>
      <c r="M5157" s="13" t="n">
        <f aca="false">MAX(0,F5157-I5157-J5157)</f>
        <v>0</v>
      </c>
      <c r="N5157" s="13" t="n">
        <f aca="false">IF(Kalender!A33="",0,J5156-H5157)</f>
        <v>0.0150822</v>
      </c>
    </row>
    <row r="5158" customFormat="false" ht="16.4" hidden="false" customHeight="false" outlineLevel="0" collapsed="false">
      <c r="A5158" s="13" t="str">
        <f aca="false">""</f>
        <v/>
      </c>
      <c r="B5158" s="13" t="n">
        <f aca="false">30</f>
        <v>30</v>
      </c>
      <c r="C5158" s="13" t="n">
        <f aca="false">IF(Szenarien!$H$25="OK",(IFERROR(SUMIF(Nutzungsprofile!$B$6:$B$11,"Schulbetrieb",Nutzungsprofile!$G$6:$G$11)*Kalender!C34/SUM(Kalender!$C$5:$C$370),0)+IFERROR(SUMIF(Nutzungsprofile!$B$6:$B$11,"Halle",Nutzungsprofile!$G$6:$G$11)*Kalender!D34/SUM(Kalender!$D$5:$D$370),0)+IFERROR(SUMIF(Nutzungsprofile!$B$6:$B$11,"Individuell",Nutzungsprofile!$G$6:$G$11)*Kalender!E34/SUM(Kalender!$E$5:$E$370),0))*Szenarien!$E$25,0)</f>
        <v>2.94</v>
      </c>
      <c r="D5158" s="13" t="n">
        <f aca="false">IF(Szenarien!$H$25="OK",(IFERROR(SUMIF(Nutzungsprofile!$B$17:$B$22,"Schulbetrieb",Nutzungsprofile!$G$17:$G$22)*Kalender!C34/SUM(Kalender!$C$5:$C$370),0)+IFERROR(SUMIF(Nutzungsprofile!$B$17:$B$22,"Halle",Nutzungsprofile!$G$17:$G$22)*Kalender!D34/SUM(Kalender!$D$5:$D$370),0)+IFERROR(SUMIF(Nutzungsprofile!$B$17:$B$22,"Individuell",Nutzungsprofile!$G$17:$G$22)*Kalender!E34/SUM(Kalender!$E$5:$E$370),0))*Szenarien!$D$25,0)</f>
        <v>4.94</v>
      </c>
      <c r="E5158" s="13" t="n">
        <f aca="false">IFERROR(MIN(C5158,Eingaben!$B$17)*Eingaben!$B$16,0)</f>
        <v>2.793</v>
      </c>
      <c r="F5158" s="13" t="n">
        <f aca="false">IFERROR(E5158*Eingaben!$B$15,0)</f>
        <v>2.5137</v>
      </c>
      <c r="G5158" s="13" t="n">
        <f aca="false">IFERROR(IF(Kalender!A34="",0,J5157*(1-Eingaben!$B$20)),0)</f>
        <v>0.7390278</v>
      </c>
      <c r="H5158" s="13" t="n">
        <f aca="false">MIN(G5158,D5158)</f>
        <v>0.7390278</v>
      </c>
      <c r="I5158" s="13" t="n">
        <f aca="false">IFERROR(MIN(F5158*Eingaben!$B$19,MAX(0,D5158-H5158)),0)</f>
        <v>1.75959</v>
      </c>
      <c r="J5158" s="13" t="n">
        <f aca="false">IFERROR(MIN(Eingaben!$B$18,MAX(0,F5158-I5158)),0)</f>
        <v>0.75411</v>
      </c>
      <c r="K5158" s="13" t="n">
        <f aca="false">H5158+I5158</f>
        <v>2.4986178</v>
      </c>
      <c r="L5158" s="13" t="n">
        <f aca="false">MAX(0,D5158-K5158)</f>
        <v>2.4413822</v>
      </c>
      <c r="M5158" s="13" t="n">
        <f aca="false">MAX(0,F5158-I5158-J5158)</f>
        <v>0</v>
      </c>
      <c r="N5158" s="13" t="n">
        <f aca="false">IF(Kalender!A34="",0,J5157-H5158)</f>
        <v>0.0150822</v>
      </c>
    </row>
    <row r="5159" customFormat="false" ht="16.4" hidden="false" customHeight="false" outlineLevel="0" collapsed="false">
      <c r="A5159" s="13" t="str">
        <f aca="false">""</f>
        <v/>
      </c>
      <c r="B5159" s="13" t="n">
        <f aca="false">31</f>
        <v>31</v>
      </c>
      <c r="C5159" s="13" t="n">
        <f aca="false">IF(Szenarien!$H$25="OK",(IFERROR(SUMIF(Nutzungsprofile!$B$6:$B$11,"Schulbetrieb",Nutzungsprofile!$G$6:$G$11)*Kalender!C35/SUM(Kalender!$C$5:$C$370),0)+IFERROR(SUMIF(Nutzungsprofile!$B$6:$B$11,"Halle",Nutzungsprofile!$G$6:$G$11)*Kalender!D35/SUM(Kalender!$D$5:$D$370),0)+IFERROR(SUMIF(Nutzungsprofile!$B$6:$B$11,"Individuell",Nutzungsprofile!$G$6:$G$11)*Kalender!E35/SUM(Kalender!$E$5:$E$370),0))*Szenarien!$E$25,0)</f>
        <v>2.04</v>
      </c>
      <c r="D5159" s="13" t="n">
        <f aca="false">IF(Szenarien!$H$25="OK",(IFERROR(SUMIF(Nutzungsprofile!$B$17:$B$22,"Schulbetrieb",Nutzungsprofile!$G$17:$G$22)*Kalender!C35/SUM(Kalender!$C$5:$C$370),0)+IFERROR(SUMIF(Nutzungsprofile!$B$17:$B$22,"Halle",Nutzungsprofile!$G$17:$G$22)*Kalender!D35/SUM(Kalender!$D$5:$D$370),0)+IFERROR(SUMIF(Nutzungsprofile!$B$17:$B$22,"Individuell",Nutzungsprofile!$G$17:$G$22)*Kalender!E35/SUM(Kalender!$E$5:$E$370),0))*Szenarien!$D$25,0)</f>
        <v>0.89</v>
      </c>
      <c r="E5159" s="13" t="n">
        <f aca="false">IFERROR(MIN(C5159,Eingaben!$B$17)*Eingaben!$B$16,0)</f>
        <v>1.938</v>
      </c>
      <c r="F5159" s="13" t="n">
        <f aca="false">IFERROR(E5159*Eingaben!$B$15,0)</f>
        <v>1.7442</v>
      </c>
      <c r="G5159" s="13" t="n">
        <f aca="false">IFERROR(IF(Kalender!A35="",0,J5158*(1-Eingaben!$B$20)),0)</f>
        <v>0.7390278</v>
      </c>
      <c r="H5159" s="13" t="n">
        <f aca="false">MIN(G5159,D5159)</f>
        <v>0.7390278</v>
      </c>
      <c r="I5159" s="13" t="n">
        <f aca="false">IFERROR(MIN(F5159*Eingaben!$B$19,MAX(0,D5159-H5159)),0)</f>
        <v>0.1509722</v>
      </c>
      <c r="J5159" s="13" t="n">
        <f aca="false">IFERROR(MIN(Eingaben!$B$18,MAX(0,F5159-I5159)),0)</f>
        <v>1.5932278</v>
      </c>
      <c r="K5159" s="13" t="n">
        <f aca="false">H5159+I5159</f>
        <v>0.89</v>
      </c>
      <c r="L5159" s="13" t="n">
        <f aca="false">MAX(0,D5159-K5159)</f>
        <v>0</v>
      </c>
      <c r="M5159" s="13" t="n">
        <f aca="false">MAX(0,F5159-I5159-J5159)</f>
        <v>0</v>
      </c>
      <c r="N5159" s="13" t="n">
        <f aca="false">IF(Kalender!A35="",0,J5158-H5159)</f>
        <v>0.0150822</v>
      </c>
    </row>
    <row r="5160" customFormat="false" ht="16.4" hidden="false" customHeight="false" outlineLevel="0" collapsed="false">
      <c r="A5160" s="13" t="str">
        <f aca="false">""</f>
        <v/>
      </c>
      <c r="B5160" s="13" t="n">
        <f aca="false">32</f>
        <v>32</v>
      </c>
      <c r="C5160" s="13" t="n">
        <f aca="false">IF(Szenarien!$H$25="OK",(IFERROR(SUMIF(Nutzungsprofile!$B$6:$B$11,"Schulbetrieb",Nutzungsprofile!$G$6:$G$11)*Kalender!C36/SUM(Kalender!$C$5:$C$370),0)+IFERROR(SUMIF(Nutzungsprofile!$B$6:$B$11,"Halle",Nutzungsprofile!$G$6:$G$11)*Kalender!D36/SUM(Kalender!$D$5:$D$370),0)+IFERROR(SUMIF(Nutzungsprofile!$B$6:$B$11,"Individuell",Nutzungsprofile!$G$6:$G$11)*Kalender!E36/SUM(Kalender!$E$5:$E$370),0))*Szenarien!$E$25,0)</f>
        <v>2.04</v>
      </c>
      <c r="D5160" s="13" t="n">
        <f aca="false">IF(Szenarien!$H$25="OK",(IFERROR(SUMIF(Nutzungsprofile!$B$17:$B$22,"Schulbetrieb",Nutzungsprofile!$G$17:$G$22)*Kalender!C36/SUM(Kalender!$C$5:$C$370),0)+IFERROR(SUMIF(Nutzungsprofile!$B$17:$B$22,"Halle",Nutzungsprofile!$G$17:$G$22)*Kalender!D36/SUM(Kalender!$D$5:$D$370),0)+IFERROR(SUMIF(Nutzungsprofile!$B$17:$B$22,"Individuell",Nutzungsprofile!$G$17:$G$22)*Kalender!E36/SUM(Kalender!$E$5:$E$370),0))*Szenarien!$D$25,0)</f>
        <v>0.89</v>
      </c>
      <c r="E5160" s="13" t="n">
        <f aca="false">IFERROR(MIN(C5160,Eingaben!$B$17)*Eingaben!$B$16,0)</f>
        <v>1.938</v>
      </c>
      <c r="F5160" s="13" t="n">
        <f aca="false">IFERROR(E5160*Eingaben!$B$15,0)</f>
        <v>1.7442</v>
      </c>
      <c r="G5160" s="13" t="n">
        <f aca="false">IFERROR(IF(Kalender!A36="",0,J5159*(1-Eingaben!$B$20)),0)</f>
        <v>1.561363244</v>
      </c>
      <c r="H5160" s="13" t="n">
        <f aca="false">MIN(G5160,D5160)</f>
        <v>0.89</v>
      </c>
      <c r="I5160" s="13" t="n">
        <f aca="false">IFERROR(MIN(F5160*Eingaben!$B$19,MAX(0,D5160-H5160)),0)</f>
        <v>0</v>
      </c>
      <c r="J5160" s="13" t="n">
        <f aca="false">IFERROR(MIN(Eingaben!$B$18,MAX(0,F5160-I5160)),0)</f>
        <v>1.7442</v>
      </c>
      <c r="K5160" s="13" t="n">
        <f aca="false">H5160+I5160</f>
        <v>0.89</v>
      </c>
      <c r="L5160" s="13" t="n">
        <f aca="false">MAX(0,D5160-K5160)</f>
        <v>0</v>
      </c>
      <c r="M5160" s="13" t="n">
        <f aca="false">MAX(0,F5160-I5160-J5160)</f>
        <v>0</v>
      </c>
      <c r="N5160" s="13" t="n">
        <f aca="false">IF(Kalender!A36="",0,J5159-H5160)</f>
        <v>0.7032278</v>
      </c>
    </row>
    <row r="5161" customFormat="false" ht="16.4" hidden="false" customHeight="false" outlineLevel="0" collapsed="false">
      <c r="A5161" s="13" t="str">
        <f aca="false">""</f>
        <v/>
      </c>
      <c r="B5161" s="13" t="n">
        <f aca="false">33</f>
        <v>33</v>
      </c>
      <c r="C5161" s="13" t="n">
        <f aca="false">IF(Szenarien!$H$25="OK",(IFERROR(SUMIF(Nutzungsprofile!$B$6:$B$11,"Schulbetrieb",Nutzungsprofile!$G$6:$G$11)*Kalender!C37/SUM(Kalender!$C$5:$C$370),0)+IFERROR(SUMIF(Nutzungsprofile!$B$6:$B$11,"Halle",Nutzungsprofile!$G$6:$G$11)*Kalender!D37/SUM(Kalender!$D$5:$D$370),0)+IFERROR(SUMIF(Nutzungsprofile!$B$6:$B$11,"Individuell",Nutzungsprofile!$G$6:$G$11)*Kalender!E37/SUM(Kalender!$E$5:$E$370),0))*Szenarien!$E$25,0)</f>
        <v>2.94</v>
      </c>
      <c r="D5161" s="13" t="n">
        <f aca="false">IF(Szenarien!$H$25="OK",(IFERROR(SUMIF(Nutzungsprofile!$B$17:$B$22,"Schulbetrieb",Nutzungsprofile!$G$17:$G$22)*Kalender!C37/SUM(Kalender!$C$5:$C$370),0)+IFERROR(SUMIF(Nutzungsprofile!$B$17:$B$22,"Halle",Nutzungsprofile!$G$17:$G$22)*Kalender!D37/SUM(Kalender!$D$5:$D$370),0)+IFERROR(SUMIF(Nutzungsprofile!$B$17:$B$22,"Individuell",Nutzungsprofile!$G$17:$G$22)*Kalender!E37/SUM(Kalender!$E$5:$E$370),0))*Szenarien!$D$25,0)</f>
        <v>4.94</v>
      </c>
      <c r="E5161" s="13" t="n">
        <f aca="false">IFERROR(MIN(C5161,Eingaben!$B$17)*Eingaben!$B$16,0)</f>
        <v>2.793</v>
      </c>
      <c r="F5161" s="13" t="n">
        <f aca="false">IFERROR(E5161*Eingaben!$B$15,0)</f>
        <v>2.5137</v>
      </c>
      <c r="G5161" s="13" t="n">
        <f aca="false">IFERROR(IF(Kalender!A37="",0,J5160*(1-Eingaben!$B$20)),0)</f>
        <v>1.709316</v>
      </c>
      <c r="H5161" s="13" t="n">
        <f aca="false">MIN(G5161,D5161)</f>
        <v>1.709316</v>
      </c>
      <c r="I5161" s="13" t="n">
        <f aca="false">IFERROR(MIN(F5161*Eingaben!$B$19,MAX(0,D5161-H5161)),0)</f>
        <v>1.75959</v>
      </c>
      <c r="J5161" s="13" t="n">
        <f aca="false">IFERROR(MIN(Eingaben!$B$18,MAX(0,F5161-I5161)),0)</f>
        <v>0.75411</v>
      </c>
      <c r="K5161" s="13" t="n">
        <f aca="false">H5161+I5161</f>
        <v>3.468906</v>
      </c>
      <c r="L5161" s="13" t="n">
        <f aca="false">MAX(0,D5161-K5161)</f>
        <v>1.471094</v>
      </c>
      <c r="M5161" s="13" t="n">
        <f aca="false">MAX(0,F5161-I5161-J5161)</f>
        <v>0</v>
      </c>
      <c r="N5161" s="13" t="n">
        <f aca="false">IF(Kalender!A37="",0,J5160-H5161)</f>
        <v>0.0348840000000001</v>
      </c>
    </row>
    <row r="5162" customFormat="false" ht="16.4" hidden="false" customHeight="false" outlineLevel="0" collapsed="false">
      <c r="A5162" s="13" t="str">
        <f aca="false">""</f>
        <v/>
      </c>
      <c r="B5162" s="13" t="n">
        <f aca="false">34</f>
        <v>34</v>
      </c>
      <c r="C5162" s="13" t="n">
        <f aca="false">IF(Szenarien!$H$25="OK",(IFERROR(SUMIF(Nutzungsprofile!$B$6:$B$11,"Schulbetrieb",Nutzungsprofile!$G$6:$G$11)*Kalender!C38/SUM(Kalender!$C$5:$C$370),0)+IFERROR(SUMIF(Nutzungsprofile!$B$6:$B$11,"Halle",Nutzungsprofile!$G$6:$G$11)*Kalender!D38/SUM(Kalender!$D$5:$D$370),0)+IFERROR(SUMIF(Nutzungsprofile!$B$6:$B$11,"Individuell",Nutzungsprofile!$G$6:$G$11)*Kalender!E38/SUM(Kalender!$E$5:$E$370),0))*Szenarien!$E$25,0)</f>
        <v>2.94</v>
      </c>
      <c r="D5162" s="13" t="n">
        <f aca="false">IF(Szenarien!$H$25="OK",(IFERROR(SUMIF(Nutzungsprofile!$B$17:$B$22,"Schulbetrieb",Nutzungsprofile!$G$17:$G$22)*Kalender!C38/SUM(Kalender!$C$5:$C$370),0)+IFERROR(SUMIF(Nutzungsprofile!$B$17:$B$22,"Halle",Nutzungsprofile!$G$17:$G$22)*Kalender!D38/SUM(Kalender!$D$5:$D$370),0)+IFERROR(SUMIF(Nutzungsprofile!$B$17:$B$22,"Individuell",Nutzungsprofile!$G$17:$G$22)*Kalender!E38/SUM(Kalender!$E$5:$E$370),0))*Szenarien!$D$25,0)</f>
        <v>4.94</v>
      </c>
      <c r="E5162" s="13" t="n">
        <f aca="false">IFERROR(MIN(C5162,Eingaben!$B$17)*Eingaben!$B$16,0)</f>
        <v>2.793</v>
      </c>
      <c r="F5162" s="13" t="n">
        <f aca="false">IFERROR(E5162*Eingaben!$B$15,0)</f>
        <v>2.5137</v>
      </c>
      <c r="G5162" s="13" t="n">
        <f aca="false">IFERROR(IF(Kalender!A38="",0,J5161*(1-Eingaben!$B$20)),0)</f>
        <v>0.7390278</v>
      </c>
      <c r="H5162" s="13" t="n">
        <f aca="false">MIN(G5162,D5162)</f>
        <v>0.7390278</v>
      </c>
      <c r="I5162" s="13" t="n">
        <f aca="false">IFERROR(MIN(F5162*Eingaben!$B$19,MAX(0,D5162-H5162)),0)</f>
        <v>1.75959</v>
      </c>
      <c r="J5162" s="13" t="n">
        <f aca="false">IFERROR(MIN(Eingaben!$B$18,MAX(0,F5162-I5162)),0)</f>
        <v>0.75411</v>
      </c>
      <c r="K5162" s="13" t="n">
        <f aca="false">H5162+I5162</f>
        <v>2.4986178</v>
      </c>
      <c r="L5162" s="13" t="n">
        <f aca="false">MAX(0,D5162-K5162)</f>
        <v>2.4413822</v>
      </c>
      <c r="M5162" s="13" t="n">
        <f aca="false">MAX(0,F5162-I5162-J5162)</f>
        <v>0</v>
      </c>
      <c r="N5162" s="13" t="n">
        <f aca="false">IF(Kalender!A38="",0,J5161-H5162)</f>
        <v>0.0150822</v>
      </c>
    </row>
    <row r="5163" customFormat="false" ht="16.4" hidden="false" customHeight="false" outlineLevel="0" collapsed="false">
      <c r="A5163" s="13" t="str">
        <f aca="false">""</f>
        <v/>
      </c>
      <c r="B5163" s="13" t="n">
        <f aca="false">35</f>
        <v>35</v>
      </c>
      <c r="C5163" s="13" t="n">
        <f aca="false">IF(Szenarien!$H$25="OK",(IFERROR(SUMIF(Nutzungsprofile!$B$6:$B$11,"Schulbetrieb",Nutzungsprofile!$G$6:$G$11)*Kalender!C39/SUM(Kalender!$C$5:$C$370),0)+IFERROR(SUMIF(Nutzungsprofile!$B$6:$B$11,"Halle",Nutzungsprofile!$G$6:$G$11)*Kalender!D39/SUM(Kalender!$D$5:$D$370),0)+IFERROR(SUMIF(Nutzungsprofile!$B$6:$B$11,"Individuell",Nutzungsprofile!$G$6:$G$11)*Kalender!E39/SUM(Kalender!$E$5:$E$370),0))*Szenarien!$E$25,0)</f>
        <v>2.94</v>
      </c>
      <c r="D5163" s="13" t="n">
        <f aca="false">IF(Szenarien!$H$25="OK",(IFERROR(SUMIF(Nutzungsprofile!$B$17:$B$22,"Schulbetrieb",Nutzungsprofile!$G$17:$G$22)*Kalender!C39/SUM(Kalender!$C$5:$C$370),0)+IFERROR(SUMIF(Nutzungsprofile!$B$17:$B$22,"Halle",Nutzungsprofile!$G$17:$G$22)*Kalender!D39/SUM(Kalender!$D$5:$D$370),0)+IFERROR(SUMIF(Nutzungsprofile!$B$17:$B$22,"Individuell",Nutzungsprofile!$G$17:$G$22)*Kalender!E39/SUM(Kalender!$E$5:$E$370),0))*Szenarien!$D$25,0)</f>
        <v>4.94</v>
      </c>
      <c r="E5163" s="13" t="n">
        <f aca="false">IFERROR(MIN(C5163,Eingaben!$B$17)*Eingaben!$B$16,0)</f>
        <v>2.793</v>
      </c>
      <c r="F5163" s="13" t="n">
        <f aca="false">IFERROR(E5163*Eingaben!$B$15,0)</f>
        <v>2.5137</v>
      </c>
      <c r="G5163" s="13" t="n">
        <f aca="false">IFERROR(IF(Kalender!A39="",0,J5162*(1-Eingaben!$B$20)),0)</f>
        <v>0.7390278</v>
      </c>
      <c r="H5163" s="13" t="n">
        <f aca="false">MIN(G5163,D5163)</f>
        <v>0.7390278</v>
      </c>
      <c r="I5163" s="13" t="n">
        <f aca="false">IFERROR(MIN(F5163*Eingaben!$B$19,MAX(0,D5163-H5163)),0)</f>
        <v>1.75959</v>
      </c>
      <c r="J5163" s="13" t="n">
        <f aca="false">IFERROR(MIN(Eingaben!$B$18,MAX(0,F5163-I5163)),0)</f>
        <v>0.75411</v>
      </c>
      <c r="K5163" s="13" t="n">
        <f aca="false">H5163+I5163</f>
        <v>2.4986178</v>
      </c>
      <c r="L5163" s="13" t="n">
        <f aca="false">MAX(0,D5163-K5163)</f>
        <v>2.4413822</v>
      </c>
      <c r="M5163" s="13" t="n">
        <f aca="false">MAX(0,F5163-I5163-J5163)</f>
        <v>0</v>
      </c>
      <c r="N5163" s="13" t="n">
        <f aca="false">IF(Kalender!A39="",0,J5162-H5163)</f>
        <v>0.0150822</v>
      </c>
    </row>
    <row r="5164" customFormat="false" ht="16.4" hidden="false" customHeight="false" outlineLevel="0" collapsed="false">
      <c r="A5164" s="13" t="str">
        <f aca="false">""</f>
        <v/>
      </c>
      <c r="B5164" s="13" t="n">
        <f aca="false">36</f>
        <v>36</v>
      </c>
      <c r="C5164" s="13" t="n">
        <f aca="false">IF(Szenarien!$H$25="OK",(IFERROR(SUMIF(Nutzungsprofile!$B$6:$B$11,"Schulbetrieb",Nutzungsprofile!$G$6:$G$11)*Kalender!C40/SUM(Kalender!$C$5:$C$370),0)+IFERROR(SUMIF(Nutzungsprofile!$B$6:$B$11,"Halle",Nutzungsprofile!$G$6:$G$11)*Kalender!D40/SUM(Kalender!$D$5:$D$370),0)+IFERROR(SUMIF(Nutzungsprofile!$B$6:$B$11,"Individuell",Nutzungsprofile!$G$6:$G$11)*Kalender!E40/SUM(Kalender!$E$5:$E$370),0))*Szenarien!$E$25,0)</f>
        <v>2.94</v>
      </c>
      <c r="D5164" s="13" t="n">
        <f aca="false">IF(Szenarien!$H$25="OK",(IFERROR(SUMIF(Nutzungsprofile!$B$17:$B$22,"Schulbetrieb",Nutzungsprofile!$G$17:$G$22)*Kalender!C40/SUM(Kalender!$C$5:$C$370),0)+IFERROR(SUMIF(Nutzungsprofile!$B$17:$B$22,"Halle",Nutzungsprofile!$G$17:$G$22)*Kalender!D40/SUM(Kalender!$D$5:$D$370),0)+IFERROR(SUMIF(Nutzungsprofile!$B$17:$B$22,"Individuell",Nutzungsprofile!$G$17:$G$22)*Kalender!E40/SUM(Kalender!$E$5:$E$370),0))*Szenarien!$D$25,0)</f>
        <v>4.94</v>
      </c>
      <c r="E5164" s="13" t="n">
        <f aca="false">IFERROR(MIN(C5164,Eingaben!$B$17)*Eingaben!$B$16,0)</f>
        <v>2.793</v>
      </c>
      <c r="F5164" s="13" t="n">
        <f aca="false">IFERROR(E5164*Eingaben!$B$15,0)</f>
        <v>2.5137</v>
      </c>
      <c r="G5164" s="13" t="n">
        <f aca="false">IFERROR(IF(Kalender!A40="",0,J5163*(1-Eingaben!$B$20)),0)</f>
        <v>0.7390278</v>
      </c>
      <c r="H5164" s="13" t="n">
        <f aca="false">MIN(G5164,D5164)</f>
        <v>0.7390278</v>
      </c>
      <c r="I5164" s="13" t="n">
        <f aca="false">IFERROR(MIN(F5164*Eingaben!$B$19,MAX(0,D5164-H5164)),0)</f>
        <v>1.75959</v>
      </c>
      <c r="J5164" s="13" t="n">
        <f aca="false">IFERROR(MIN(Eingaben!$B$18,MAX(0,F5164-I5164)),0)</f>
        <v>0.75411</v>
      </c>
      <c r="K5164" s="13" t="n">
        <f aca="false">H5164+I5164</f>
        <v>2.4986178</v>
      </c>
      <c r="L5164" s="13" t="n">
        <f aca="false">MAX(0,D5164-K5164)</f>
        <v>2.4413822</v>
      </c>
      <c r="M5164" s="13" t="n">
        <f aca="false">MAX(0,F5164-I5164-J5164)</f>
        <v>0</v>
      </c>
      <c r="N5164" s="13" t="n">
        <f aca="false">IF(Kalender!A40="",0,J5163-H5164)</f>
        <v>0.0150822</v>
      </c>
    </row>
    <row r="5165" customFormat="false" ht="16.4" hidden="false" customHeight="false" outlineLevel="0" collapsed="false">
      <c r="A5165" s="13" t="str">
        <f aca="false">""</f>
        <v/>
      </c>
      <c r="B5165" s="13" t="n">
        <f aca="false">37</f>
        <v>37</v>
      </c>
      <c r="C5165" s="13" t="n">
        <f aca="false">IF(Szenarien!$H$25="OK",(IFERROR(SUMIF(Nutzungsprofile!$B$6:$B$11,"Schulbetrieb",Nutzungsprofile!$G$6:$G$11)*Kalender!C41/SUM(Kalender!$C$5:$C$370),0)+IFERROR(SUMIF(Nutzungsprofile!$B$6:$B$11,"Halle",Nutzungsprofile!$G$6:$G$11)*Kalender!D41/SUM(Kalender!$D$5:$D$370),0)+IFERROR(SUMIF(Nutzungsprofile!$B$6:$B$11,"Individuell",Nutzungsprofile!$G$6:$G$11)*Kalender!E41/SUM(Kalender!$E$5:$E$370),0))*Szenarien!$E$25,0)</f>
        <v>2.94</v>
      </c>
      <c r="D5165" s="13" t="n">
        <f aca="false">IF(Szenarien!$H$25="OK",(IFERROR(SUMIF(Nutzungsprofile!$B$17:$B$22,"Schulbetrieb",Nutzungsprofile!$G$17:$G$22)*Kalender!C41/SUM(Kalender!$C$5:$C$370),0)+IFERROR(SUMIF(Nutzungsprofile!$B$17:$B$22,"Halle",Nutzungsprofile!$G$17:$G$22)*Kalender!D41/SUM(Kalender!$D$5:$D$370),0)+IFERROR(SUMIF(Nutzungsprofile!$B$17:$B$22,"Individuell",Nutzungsprofile!$G$17:$G$22)*Kalender!E41/SUM(Kalender!$E$5:$E$370),0))*Szenarien!$D$25,0)</f>
        <v>4.94</v>
      </c>
      <c r="E5165" s="13" t="n">
        <f aca="false">IFERROR(MIN(C5165,Eingaben!$B$17)*Eingaben!$B$16,0)</f>
        <v>2.793</v>
      </c>
      <c r="F5165" s="13" t="n">
        <f aca="false">IFERROR(E5165*Eingaben!$B$15,0)</f>
        <v>2.5137</v>
      </c>
      <c r="G5165" s="13" t="n">
        <f aca="false">IFERROR(IF(Kalender!A41="",0,J5164*(1-Eingaben!$B$20)),0)</f>
        <v>0.7390278</v>
      </c>
      <c r="H5165" s="13" t="n">
        <f aca="false">MIN(G5165,D5165)</f>
        <v>0.7390278</v>
      </c>
      <c r="I5165" s="13" t="n">
        <f aca="false">IFERROR(MIN(F5165*Eingaben!$B$19,MAX(0,D5165-H5165)),0)</f>
        <v>1.75959</v>
      </c>
      <c r="J5165" s="13" t="n">
        <f aca="false">IFERROR(MIN(Eingaben!$B$18,MAX(0,F5165-I5165)),0)</f>
        <v>0.75411</v>
      </c>
      <c r="K5165" s="13" t="n">
        <f aca="false">H5165+I5165</f>
        <v>2.4986178</v>
      </c>
      <c r="L5165" s="13" t="n">
        <f aca="false">MAX(0,D5165-K5165)</f>
        <v>2.4413822</v>
      </c>
      <c r="M5165" s="13" t="n">
        <f aca="false">MAX(0,F5165-I5165-J5165)</f>
        <v>0</v>
      </c>
      <c r="N5165" s="13" t="n">
        <f aca="false">IF(Kalender!A41="",0,J5164-H5165)</f>
        <v>0.0150822</v>
      </c>
    </row>
    <row r="5166" customFormat="false" ht="16.4" hidden="false" customHeight="false" outlineLevel="0" collapsed="false">
      <c r="A5166" s="13" t="str">
        <f aca="false">""</f>
        <v/>
      </c>
      <c r="B5166" s="13" t="n">
        <f aca="false">38</f>
        <v>38</v>
      </c>
      <c r="C5166" s="13" t="n">
        <f aca="false">IF(Szenarien!$H$25="OK",(IFERROR(SUMIF(Nutzungsprofile!$B$6:$B$11,"Schulbetrieb",Nutzungsprofile!$G$6:$G$11)*Kalender!C42/SUM(Kalender!$C$5:$C$370),0)+IFERROR(SUMIF(Nutzungsprofile!$B$6:$B$11,"Halle",Nutzungsprofile!$G$6:$G$11)*Kalender!D42/SUM(Kalender!$D$5:$D$370),0)+IFERROR(SUMIF(Nutzungsprofile!$B$6:$B$11,"Individuell",Nutzungsprofile!$G$6:$G$11)*Kalender!E42/SUM(Kalender!$E$5:$E$370),0))*Szenarien!$E$25,0)</f>
        <v>2.04</v>
      </c>
      <c r="D5166" s="13" t="n">
        <f aca="false">IF(Szenarien!$H$25="OK",(IFERROR(SUMIF(Nutzungsprofile!$B$17:$B$22,"Schulbetrieb",Nutzungsprofile!$G$17:$G$22)*Kalender!C42/SUM(Kalender!$C$5:$C$370),0)+IFERROR(SUMIF(Nutzungsprofile!$B$17:$B$22,"Halle",Nutzungsprofile!$G$17:$G$22)*Kalender!D42/SUM(Kalender!$D$5:$D$370),0)+IFERROR(SUMIF(Nutzungsprofile!$B$17:$B$22,"Individuell",Nutzungsprofile!$G$17:$G$22)*Kalender!E42/SUM(Kalender!$E$5:$E$370),0))*Szenarien!$D$25,0)</f>
        <v>0.89</v>
      </c>
      <c r="E5166" s="13" t="n">
        <f aca="false">IFERROR(MIN(C5166,Eingaben!$B$17)*Eingaben!$B$16,0)</f>
        <v>1.938</v>
      </c>
      <c r="F5166" s="13" t="n">
        <f aca="false">IFERROR(E5166*Eingaben!$B$15,0)</f>
        <v>1.7442</v>
      </c>
      <c r="G5166" s="13" t="n">
        <f aca="false">IFERROR(IF(Kalender!A42="",0,J5165*(1-Eingaben!$B$20)),0)</f>
        <v>0.7390278</v>
      </c>
      <c r="H5166" s="13" t="n">
        <f aca="false">MIN(G5166,D5166)</f>
        <v>0.7390278</v>
      </c>
      <c r="I5166" s="13" t="n">
        <f aca="false">IFERROR(MIN(F5166*Eingaben!$B$19,MAX(0,D5166-H5166)),0)</f>
        <v>0.1509722</v>
      </c>
      <c r="J5166" s="13" t="n">
        <f aca="false">IFERROR(MIN(Eingaben!$B$18,MAX(0,F5166-I5166)),0)</f>
        <v>1.5932278</v>
      </c>
      <c r="K5166" s="13" t="n">
        <f aca="false">H5166+I5166</f>
        <v>0.89</v>
      </c>
      <c r="L5166" s="13" t="n">
        <f aca="false">MAX(0,D5166-K5166)</f>
        <v>0</v>
      </c>
      <c r="M5166" s="13" t="n">
        <f aca="false">MAX(0,F5166-I5166-J5166)</f>
        <v>0</v>
      </c>
      <c r="N5166" s="13" t="n">
        <f aca="false">IF(Kalender!A42="",0,J5165-H5166)</f>
        <v>0.0150822</v>
      </c>
    </row>
    <row r="5167" customFormat="false" ht="16.4" hidden="false" customHeight="false" outlineLevel="0" collapsed="false">
      <c r="A5167" s="13" t="str">
        <f aca="false">""</f>
        <v/>
      </c>
      <c r="B5167" s="13" t="n">
        <f aca="false">39</f>
        <v>39</v>
      </c>
      <c r="C5167" s="13" t="n">
        <f aca="false">IF(Szenarien!$H$25="OK",(IFERROR(SUMIF(Nutzungsprofile!$B$6:$B$11,"Schulbetrieb",Nutzungsprofile!$G$6:$G$11)*Kalender!C43/SUM(Kalender!$C$5:$C$370),0)+IFERROR(SUMIF(Nutzungsprofile!$B$6:$B$11,"Halle",Nutzungsprofile!$G$6:$G$11)*Kalender!D43/SUM(Kalender!$D$5:$D$370),0)+IFERROR(SUMIF(Nutzungsprofile!$B$6:$B$11,"Individuell",Nutzungsprofile!$G$6:$G$11)*Kalender!E43/SUM(Kalender!$E$5:$E$370),0))*Szenarien!$E$25,0)</f>
        <v>2.04</v>
      </c>
      <c r="D5167" s="13" t="n">
        <f aca="false">IF(Szenarien!$H$25="OK",(IFERROR(SUMIF(Nutzungsprofile!$B$17:$B$22,"Schulbetrieb",Nutzungsprofile!$G$17:$G$22)*Kalender!C43/SUM(Kalender!$C$5:$C$370),0)+IFERROR(SUMIF(Nutzungsprofile!$B$17:$B$22,"Halle",Nutzungsprofile!$G$17:$G$22)*Kalender!D43/SUM(Kalender!$D$5:$D$370),0)+IFERROR(SUMIF(Nutzungsprofile!$B$17:$B$22,"Individuell",Nutzungsprofile!$G$17:$G$22)*Kalender!E43/SUM(Kalender!$E$5:$E$370),0))*Szenarien!$D$25,0)</f>
        <v>0.89</v>
      </c>
      <c r="E5167" s="13" t="n">
        <f aca="false">IFERROR(MIN(C5167,Eingaben!$B$17)*Eingaben!$B$16,0)</f>
        <v>1.938</v>
      </c>
      <c r="F5167" s="13" t="n">
        <f aca="false">IFERROR(E5167*Eingaben!$B$15,0)</f>
        <v>1.7442</v>
      </c>
      <c r="G5167" s="13" t="n">
        <f aca="false">IFERROR(IF(Kalender!A43="",0,J5166*(1-Eingaben!$B$20)),0)</f>
        <v>1.561363244</v>
      </c>
      <c r="H5167" s="13" t="n">
        <f aca="false">MIN(G5167,D5167)</f>
        <v>0.89</v>
      </c>
      <c r="I5167" s="13" t="n">
        <f aca="false">IFERROR(MIN(F5167*Eingaben!$B$19,MAX(0,D5167-H5167)),0)</f>
        <v>0</v>
      </c>
      <c r="J5167" s="13" t="n">
        <f aca="false">IFERROR(MIN(Eingaben!$B$18,MAX(0,F5167-I5167)),0)</f>
        <v>1.7442</v>
      </c>
      <c r="K5167" s="13" t="n">
        <f aca="false">H5167+I5167</f>
        <v>0.89</v>
      </c>
      <c r="L5167" s="13" t="n">
        <f aca="false">MAX(0,D5167-K5167)</f>
        <v>0</v>
      </c>
      <c r="M5167" s="13" t="n">
        <f aca="false">MAX(0,F5167-I5167-J5167)</f>
        <v>0</v>
      </c>
      <c r="N5167" s="13" t="n">
        <f aca="false">IF(Kalender!A43="",0,J5166-H5167)</f>
        <v>0.7032278</v>
      </c>
    </row>
    <row r="5168" customFormat="false" ht="16.4" hidden="false" customHeight="false" outlineLevel="0" collapsed="false">
      <c r="A5168" s="13" t="str">
        <f aca="false">""</f>
        <v/>
      </c>
      <c r="B5168" s="13" t="n">
        <f aca="false">40</f>
        <v>40</v>
      </c>
      <c r="C5168" s="13" t="n">
        <f aca="false">IF(Szenarien!$H$25="OK",(IFERROR(SUMIF(Nutzungsprofile!$B$6:$B$11,"Schulbetrieb",Nutzungsprofile!$G$6:$G$11)*Kalender!C44/SUM(Kalender!$C$5:$C$370),0)+IFERROR(SUMIF(Nutzungsprofile!$B$6:$B$11,"Halle",Nutzungsprofile!$G$6:$G$11)*Kalender!D44/SUM(Kalender!$D$5:$D$370),0)+IFERROR(SUMIF(Nutzungsprofile!$B$6:$B$11,"Individuell",Nutzungsprofile!$G$6:$G$11)*Kalender!E44/SUM(Kalender!$E$5:$E$370),0))*Szenarien!$E$25,0)</f>
        <v>2.94</v>
      </c>
      <c r="D5168" s="13" t="n">
        <f aca="false">IF(Szenarien!$H$25="OK",(IFERROR(SUMIF(Nutzungsprofile!$B$17:$B$22,"Schulbetrieb",Nutzungsprofile!$G$17:$G$22)*Kalender!C44/SUM(Kalender!$C$5:$C$370),0)+IFERROR(SUMIF(Nutzungsprofile!$B$17:$B$22,"Halle",Nutzungsprofile!$G$17:$G$22)*Kalender!D44/SUM(Kalender!$D$5:$D$370),0)+IFERROR(SUMIF(Nutzungsprofile!$B$17:$B$22,"Individuell",Nutzungsprofile!$G$17:$G$22)*Kalender!E44/SUM(Kalender!$E$5:$E$370),0))*Szenarien!$D$25,0)</f>
        <v>4.94</v>
      </c>
      <c r="E5168" s="13" t="n">
        <f aca="false">IFERROR(MIN(C5168,Eingaben!$B$17)*Eingaben!$B$16,0)</f>
        <v>2.793</v>
      </c>
      <c r="F5168" s="13" t="n">
        <f aca="false">IFERROR(E5168*Eingaben!$B$15,0)</f>
        <v>2.5137</v>
      </c>
      <c r="G5168" s="13" t="n">
        <f aca="false">IFERROR(IF(Kalender!A44="",0,J5167*(1-Eingaben!$B$20)),0)</f>
        <v>1.709316</v>
      </c>
      <c r="H5168" s="13" t="n">
        <f aca="false">MIN(G5168,D5168)</f>
        <v>1.709316</v>
      </c>
      <c r="I5168" s="13" t="n">
        <f aca="false">IFERROR(MIN(F5168*Eingaben!$B$19,MAX(0,D5168-H5168)),0)</f>
        <v>1.75959</v>
      </c>
      <c r="J5168" s="13" t="n">
        <f aca="false">IFERROR(MIN(Eingaben!$B$18,MAX(0,F5168-I5168)),0)</f>
        <v>0.75411</v>
      </c>
      <c r="K5168" s="13" t="n">
        <f aca="false">H5168+I5168</f>
        <v>3.468906</v>
      </c>
      <c r="L5168" s="13" t="n">
        <f aca="false">MAX(0,D5168-K5168)</f>
        <v>1.471094</v>
      </c>
      <c r="M5168" s="13" t="n">
        <f aca="false">MAX(0,F5168-I5168-J5168)</f>
        <v>0</v>
      </c>
      <c r="N5168" s="13" t="n">
        <f aca="false">IF(Kalender!A44="",0,J5167-H5168)</f>
        <v>0.0348840000000001</v>
      </c>
    </row>
    <row r="5169" customFormat="false" ht="16.4" hidden="false" customHeight="false" outlineLevel="0" collapsed="false">
      <c r="A5169" s="13" t="str">
        <f aca="false">""</f>
        <v/>
      </c>
      <c r="B5169" s="13" t="n">
        <f aca="false">41</f>
        <v>41</v>
      </c>
      <c r="C5169" s="13" t="n">
        <f aca="false">IF(Szenarien!$H$25="OK",(IFERROR(SUMIF(Nutzungsprofile!$B$6:$B$11,"Schulbetrieb",Nutzungsprofile!$G$6:$G$11)*Kalender!C45/SUM(Kalender!$C$5:$C$370),0)+IFERROR(SUMIF(Nutzungsprofile!$B$6:$B$11,"Halle",Nutzungsprofile!$G$6:$G$11)*Kalender!D45/SUM(Kalender!$D$5:$D$370),0)+IFERROR(SUMIF(Nutzungsprofile!$B$6:$B$11,"Individuell",Nutzungsprofile!$G$6:$G$11)*Kalender!E45/SUM(Kalender!$E$5:$E$370),0))*Szenarien!$E$25,0)</f>
        <v>2.94</v>
      </c>
      <c r="D5169" s="13" t="n">
        <f aca="false">IF(Szenarien!$H$25="OK",(IFERROR(SUMIF(Nutzungsprofile!$B$17:$B$22,"Schulbetrieb",Nutzungsprofile!$G$17:$G$22)*Kalender!C45/SUM(Kalender!$C$5:$C$370),0)+IFERROR(SUMIF(Nutzungsprofile!$B$17:$B$22,"Halle",Nutzungsprofile!$G$17:$G$22)*Kalender!D45/SUM(Kalender!$D$5:$D$370),0)+IFERROR(SUMIF(Nutzungsprofile!$B$17:$B$22,"Individuell",Nutzungsprofile!$G$17:$G$22)*Kalender!E45/SUM(Kalender!$E$5:$E$370),0))*Szenarien!$D$25,0)</f>
        <v>4.94</v>
      </c>
      <c r="E5169" s="13" t="n">
        <f aca="false">IFERROR(MIN(C5169,Eingaben!$B$17)*Eingaben!$B$16,0)</f>
        <v>2.793</v>
      </c>
      <c r="F5169" s="13" t="n">
        <f aca="false">IFERROR(E5169*Eingaben!$B$15,0)</f>
        <v>2.5137</v>
      </c>
      <c r="G5169" s="13" t="n">
        <f aca="false">IFERROR(IF(Kalender!A45="",0,J5168*(1-Eingaben!$B$20)),0)</f>
        <v>0.7390278</v>
      </c>
      <c r="H5169" s="13" t="n">
        <f aca="false">MIN(G5169,D5169)</f>
        <v>0.7390278</v>
      </c>
      <c r="I5169" s="13" t="n">
        <f aca="false">IFERROR(MIN(F5169*Eingaben!$B$19,MAX(0,D5169-H5169)),0)</f>
        <v>1.75959</v>
      </c>
      <c r="J5169" s="13" t="n">
        <f aca="false">IFERROR(MIN(Eingaben!$B$18,MAX(0,F5169-I5169)),0)</f>
        <v>0.75411</v>
      </c>
      <c r="K5169" s="13" t="n">
        <f aca="false">H5169+I5169</f>
        <v>2.4986178</v>
      </c>
      <c r="L5169" s="13" t="n">
        <f aca="false">MAX(0,D5169-K5169)</f>
        <v>2.4413822</v>
      </c>
      <c r="M5169" s="13" t="n">
        <f aca="false">MAX(0,F5169-I5169-J5169)</f>
        <v>0</v>
      </c>
      <c r="N5169" s="13" t="n">
        <f aca="false">IF(Kalender!A45="",0,J5168-H5169)</f>
        <v>0.0150822</v>
      </c>
    </row>
    <row r="5170" customFormat="false" ht="16.4" hidden="false" customHeight="false" outlineLevel="0" collapsed="false">
      <c r="A5170" s="13" t="str">
        <f aca="false">""</f>
        <v/>
      </c>
      <c r="B5170" s="13" t="n">
        <f aca="false">42</f>
        <v>42</v>
      </c>
      <c r="C5170" s="13" t="n">
        <f aca="false">IF(Szenarien!$H$25="OK",(IFERROR(SUMIF(Nutzungsprofile!$B$6:$B$11,"Schulbetrieb",Nutzungsprofile!$G$6:$G$11)*Kalender!C46/SUM(Kalender!$C$5:$C$370),0)+IFERROR(SUMIF(Nutzungsprofile!$B$6:$B$11,"Halle",Nutzungsprofile!$G$6:$G$11)*Kalender!D46/SUM(Kalender!$D$5:$D$370),0)+IFERROR(SUMIF(Nutzungsprofile!$B$6:$B$11,"Individuell",Nutzungsprofile!$G$6:$G$11)*Kalender!E46/SUM(Kalender!$E$5:$E$370),0))*Szenarien!$E$25,0)</f>
        <v>2.94</v>
      </c>
      <c r="D5170" s="13" t="n">
        <f aca="false">IF(Szenarien!$H$25="OK",(IFERROR(SUMIF(Nutzungsprofile!$B$17:$B$22,"Schulbetrieb",Nutzungsprofile!$G$17:$G$22)*Kalender!C46/SUM(Kalender!$C$5:$C$370),0)+IFERROR(SUMIF(Nutzungsprofile!$B$17:$B$22,"Halle",Nutzungsprofile!$G$17:$G$22)*Kalender!D46/SUM(Kalender!$D$5:$D$370),0)+IFERROR(SUMIF(Nutzungsprofile!$B$17:$B$22,"Individuell",Nutzungsprofile!$G$17:$G$22)*Kalender!E46/SUM(Kalender!$E$5:$E$370),0))*Szenarien!$D$25,0)</f>
        <v>4.94</v>
      </c>
      <c r="E5170" s="13" t="n">
        <f aca="false">IFERROR(MIN(C5170,Eingaben!$B$17)*Eingaben!$B$16,0)</f>
        <v>2.793</v>
      </c>
      <c r="F5170" s="13" t="n">
        <f aca="false">IFERROR(E5170*Eingaben!$B$15,0)</f>
        <v>2.5137</v>
      </c>
      <c r="G5170" s="13" t="n">
        <f aca="false">IFERROR(IF(Kalender!A46="",0,J5169*(1-Eingaben!$B$20)),0)</f>
        <v>0.7390278</v>
      </c>
      <c r="H5170" s="13" t="n">
        <f aca="false">MIN(G5170,D5170)</f>
        <v>0.7390278</v>
      </c>
      <c r="I5170" s="13" t="n">
        <f aca="false">IFERROR(MIN(F5170*Eingaben!$B$19,MAX(0,D5170-H5170)),0)</f>
        <v>1.75959</v>
      </c>
      <c r="J5170" s="13" t="n">
        <f aca="false">IFERROR(MIN(Eingaben!$B$18,MAX(0,F5170-I5170)),0)</f>
        <v>0.75411</v>
      </c>
      <c r="K5170" s="13" t="n">
        <f aca="false">H5170+I5170</f>
        <v>2.4986178</v>
      </c>
      <c r="L5170" s="13" t="n">
        <f aca="false">MAX(0,D5170-K5170)</f>
        <v>2.4413822</v>
      </c>
      <c r="M5170" s="13" t="n">
        <f aca="false">MAX(0,F5170-I5170-J5170)</f>
        <v>0</v>
      </c>
      <c r="N5170" s="13" t="n">
        <f aca="false">IF(Kalender!A46="",0,J5169-H5170)</f>
        <v>0.0150822</v>
      </c>
    </row>
    <row r="5171" customFormat="false" ht="16.4" hidden="false" customHeight="false" outlineLevel="0" collapsed="false">
      <c r="A5171" s="13" t="str">
        <f aca="false">""</f>
        <v/>
      </c>
      <c r="B5171" s="13" t="n">
        <f aca="false">43</f>
        <v>43</v>
      </c>
      <c r="C5171" s="13" t="n">
        <f aca="false">IF(Szenarien!$H$25="OK",(IFERROR(SUMIF(Nutzungsprofile!$B$6:$B$11,"Schulbetrieb",Nutzungsprofile!$G$6:$G$11)*Kalender!C47/SUM(Kalender!$C$5:$C$370),0)+IFERROR(SUMIF(Nutzungsprofile!$B$6:$B$11,"Halle",Nutzungsprofile!$G$6:$G$11)*Kalender!D47/SUM(Kalender!$D$5:$D$370),0)+IFERROR(SUMIF(Nutzungsprofile!$B$6:$B$11,"Individuell",Nutzungsprofile!$G$6:$G$11)*Kalender!E47/SUM(Kalender!$E$5:$E$370),0))*Szenarien!$E$25,0)</f>
        <v>2.94</v>
      </c>
      <c r="D5171" s="13" t="n">
        <f aca="false">IF(Szenarien!$H$25="OK",(IFERROR(SUMIF(Nutzungsprofile!$B$17:$B$22,"Schulbetrieb",Nutzungsprofile!$G$17:$G$22)*Kalender!C47/SUM(Kalender!$C$5:$C$370),0)+IFERROR(SUMIF(Nutzungsprofile!$B$17:$B$22,"Halle",Nutzungsprofile!$G$17:$G$22)*Kalender!D47/SUM(Kalender!$D$5:$D$370),0)+IFERROR(SUMIF(Nutzungsprofile!$B$17:$B$22,"Individuell",Nutzungsprofile!$G$17:$G$22)*Kalender!E47/SUM(Kalender!$E$5:$E$370),0))*Szenarien!$D$25,0)</f>
        <v>4.94</v>
      </c>
      <c r="E5171" s="13" t="n">
        <f aca="false">IFERROR(MIN(C5171,Eingaben!$B$17)*Eingaben!$B$16,0)</f>
        <v>2.793</v>
      </c>
      <c r="F5171" s="13" t="n">
        <f aca="false">IFERROR(E5171*Eingaben!$B$15,0)</f>
        <v>2.5137</v>
      </c>
      <c r="G5171" s="13" t="n">
        <f aca="false">IFERROR(IF(Kalender!A47="",0,J5170*(1-Eingaben!$B$20)),0)</f>
        <v>0.7390278</v>
      </c>
      <c r="H5171" s="13" t="n">
        <f aca="false">MIN(G5171,D5171)</f>
        <v>0.7390278</v>
      </c>
      <c r="I5171" s="13" t="n">
        <f aca="false">IFERROR(MIN(F5171*Eingaben!$B$19,MAX(0,D5171-H5171)),0)</f>
        <v>1.75959</v>
      </c>
      <c r="J5171" s="13" t="n">
        <f aca="false">IFERROR(MIN(Eingaben!$B$18,MAX(0,F5171-I5171)),0)</f>
        <v>0.75411</v>
      </c>
      <c r="K5171" s="13" t="n">
        <f aca="false">H5171+I5171</f>
        <v>2.4986178</v>
      </c>
      <c r="L5171" s="13" t="n">
        <f aca="false">MAX(0,D5171-K5171)</f>
        <v>2.4413822</v>
      </c>
      <c r="M5171" s="13" t="n">
        <f aca="false">MAX(0,F5171-I5171-J5171)</f>
        <v>0</v>
      </c>
      <c r="N5171" s="13" t="n">
        <f aca="false">IF(Kalender!A47="",0,J5170-H5171)</f>
        <v>0.0150822</v>
      </c>
    </row>
    <row r="5172" customFormat="false" ht="16.4" hidden="false" customHeight="false" outlineLevel="0" collapsed="false">
      <c r="A5172" s="13" t="str">
        <f aca="false">""</f>
        <v/>
      </c>
      <c r="B5172" s="13" t="n">
        <f aca="false">44</f>
        <v>44</v>
      </c>
      <c r="C5172" s="13" t="n">
        <f aca="false">IF(Szenarien!$H$25="OK",(IFERROR(SUMIF(Nutzungsprofile!$B$6:$B$11,"Schulbetrieb",Nutzungsprofile!$G$6:$G$11)*Kalender!C48/SUM(Kalender!$C$5:$C$370),0)+IFERROR(SUMIF(Nutzungsprofile!$B$6:$B$11,"Halle",Nutzungsprofile!$G$6:$G$11)*Kalender!D48/SUM(Kalender!$D$5:$D$370),0)+IFERROR(SUMIF(Nutzungsprofile!$B$6:$B$11,"Individuell",Nutzungsprofile!$G$6:$G$11)*Kalender!E48/SUM(Kalender!$E$5:$E$370),0))*Szenarien!$E$25,0)</f>
        <v>2.94</v>
      </c>
      <c r="D5172" s="13" t="n">
        <f aca="false">IF(Szenarien!$H$25="OK",(IFERROR(SUMIF(Nutzungsprofile!$B$17:$B$22,"Schulbetrieb",Nutzungsprofile!$G$17:$G$22)*Kalender!C48/SUM(Kalender!$C$5:$C$370),0)+IFERROR(SUMIF(Nutzungsprofile!$B$17:$B$22,"Halle",Nutzungsprofile!$G$17:$G$22)*Kalender!D48/SUM(Kalender!$D$5:$D$370),0)+IFERROR(SUMIF(Nutzungsprofile!$B$17:$B$22,"Individuell",Nutzungsprofile!$G$17:$G$22)*Kalender!E48/SUM(Kalender!$E$5:$E$370),0))*Szenarien!$D$25,0)</f>
        <v>4.94</v>
      </c>
      <c r="E5172" s="13" t="n">
        <f aca="false">IFERROR(MIN(C5172,Eingaben!$B$17)*Eingaben!$B$16,0)</f>
        <v>2.793</v>
      </c>
      <c r="F5172" s="13" t="n">
        <f aca="false">IFERROR(E5172*Eingaben!$B$15,0)</f>
        <v>2.5137</v>
      </c>
      <c r="G5172" s="13" t="n">
        <f aca="false">IFERROR(IF(Kalender!A48="",0,J5171*(1-Eingaben!$B$20)),0)</f>
        <v>0.7390278</v>
      </c>
      <c r="H5172" s="13" t="n">
        <f aca="false">MIN(G5172,D5172)</f>
        <v>0.7390278</v>
      </c>
      <c r="I5172" s="13" t="n">
        <f aca="false">IFERROR(MIN(F5172*Eingaben!$B$19,MAX(0,D5172-H5172)),0)</f>
        <v>1.75959</v>
      </c>
      <c r="J5172" s="13" t="n">
        <f aca="false">IFERROR(MIN(Eingaben!$B$18,MAX(0,F5172-I5172)),0)</f>
        <v>0.75411</v>
      </c>
      <c r="K5172" s="13" t="n">
        <f aca="false">H5172+I5172</f>
        <v>2.4986178</v>
      </c>
      <c r="L5172" s="13" t="n">
        <f aca="false">MAX(0,D5172-K5172)</f>
        <v>2.4413822</v>
      </c>
      <c r="M5172" s="13" t="n">
        <f aca="false">MAX(0,F5172-I5172-J5172)</f>
        <v>0</v>
      </c>
      <c r="N5172" s="13" t="n">
        <f aca="false">IF(Kalender!A48="",0,J5171-H5172)</f>
        <v>0.0150822</v>
      </c>
    </row>
    <row r="5173" customFormat="false" ht="16.4" hidden="false" customHeight="false" outlineLevel="0" collapsed="false">
      <c r="A5173" s="13" t="str">
        <f aca="false">""</f>
        <v/>
      </c>
      <c r="B5173" s="13" t="n">
        <f aca="false">45</f>
        <v>45</v>
      </c>
      <c r="C5173" s="13" t="n">
        <f aca="false">IF(Szenarien!$H$25="OK",(IFERROR(SUMIF(Nutzungsprofile!$B$6:$B$11,"Schulbetrieb",Nutzungsprofile!$G$6:$G$11)*Kalender!C49/SUM(Kalender!$C$5:$C$370),0)+IFERROR(SUMIF(Nutzungsprofile!$B$6:$B$11,"Halle",Nutzungsprofile!$G$6:$G$11)*Kalender!D49/SUM(Kalender!$D$5:$D$370),0)+IFERROR(SUMIF(Nutzungsprofile!$B$6:$B$11,"Individuell",Nutzungsprofile!$G$6:$G$11)*Kalender!E49/SUM(Kalender!$E$5:$E$370),0))*Szenarien!$E$25,0)</f>
        <v>2.04</v>
      </c>
      <c r="D5173" s="13" t="n">
        <f aca="false">IF(Szenarien!$H$25="OK",(IFERROR(SUMIF(Nutzungsprofile!$B$17:$B$22,"Schulbetrieb",Nutzungsprofile!$G$17:$G$22)*Kalender!C49/SUM(Kalender!$C$5:$C$370),0)+IFERROR(SUMIF(Nutzungsprofile!$B$17:$B$22,"Halle",Nutzungsprofile!$G$17:$G$22)*Kalender!D49/SUM(Kalender!$D$5:$D$370),0)+IFERROR(SUMIF(Nutzungsprofile!$B$17:$B$22,"Individuell",Nutzungsprofile!$G$17:$G$22)*Kalender!E49/SUM(Kalender!$E$5:$E$370),0))*Szenarien!$D$25,0)</f>
        <v>0.89</v>
      </c>
      <c r="E5173" s="13" t="n">
        <f aca="false">IFERROR(MIN(C5173,Eingaben!$B$17)*Eingaben!$B$16,0)</f>
        <v>1.938</v>
      </c>
      <c r="F5173" s="13" t="n">
        <f aca="false">IFERROR(E5173*Eingaben!$B$15,0)</f>
        <v>1.7442</v>
      </c>
      <c r="G5173" s="13" t="n">
        <f aca="false">IFERROR(IF(Kalender!A49="",0,J5172*(1-Eingaben!$B$20)),0)</f>
        <v>0.7390278</v>
      </c>
      <c r="H5173" s="13" t="n">
        <f aca="false">MIN(G5173,D5173)</f>
        <v>0.7390278</v>
      </c>
      <c r="I5173" s="13" t="n">
        <f aca="false">IFERROR(MIN(F5173*Eingaben!$B$19,MAX(0,D5173-H5173)),0)</f>
        <v>0.1509722</v>
      </c>
      <c r="J5173" s="13" t="n">
        <f aca="false">IFERROR(MIN(Eingaben!$B$18,MAX(0,F5173-I5173)),0)</f>
        <v>1.5932278</v>
      </c>
      <c r="K5173" s="13" t="n">
        <f aca="false">H5173+I5173</f>
        <v>0.89</v>
      </c>
      <c r="L5173" s="13" t="n">
        <f aca="false">MAX(0,D5173-K5173)</f>
        <v>0</v>
      </c>
      <c r="M5173" s="13" t="n">
        <f aca="false">MAX(0,F5173-I5173-J5173)</f>
        <v>0</v>
      </c>
      <c r="N5173" s="13" t="n">
        <f aca="false">IF(Kalender!A49="",0,J5172-H5173)</f>
        <v>0.0150822</v>
      </c>
    </row>
    <row r="5174" customFormat="false" ht="16.4" hidden="false" customHeight="false" outlineLevel="0" collapsed="false">
      <c r="A5174" s="13" t="str">
        <f aca="false">""</f>
        <v/>
      </c>
      <c r="B5174" s="13" t="n">
        <f aca="false">46</f>
        <v>46</v>
      </c>
      <c r="C5174" s="13" t="n">
        <f aca="false">IF(Szenarien!$H$25="OK",(IFERROR(SUMIF(Nutzungsprofile!$B$6:$B$11,"Schulbetrieb",Nutzungsprofile!$G$6:$G$11)*Kalender!C50/SUM(Kalender!$C$5:$C$370),0)+IFERROR(SUMIF(Nutzungsprofile!$B$6:$B$11,"Halle",Nutzungsprofile!$G$6:$G$11)*Kalender!D50/SUM(Kalender!$D$5:$D$370),0)+IFERROR(SUMIF(Nutzungsprofile!$B$6:$B$11,"Individuell",Nutzungsprofile!$G$6:$G$11)*Kalender!E50/SUM(Kalender!$E$5:$E$370),0))*Szenarien!$E$25,0)</f>
        <v>2.04</v>
      </c>
      <c r="D5174" s="13" t="n">
        <f aca="false">IF(Szenarien!$H$25="OK",(IFERROR(SUMIF(Nutzungsprofile!$B$17:$B$22,"Schulbetrieb",Nutzungsprofile!$G$17:$G$22)*Kalender!C50/SUM(Kalender!$C$5:$C$370),0)+IFERROR(SUMIF(Nutzungsprofile!$B$17:$B$22,"Halle",Nutzungsprofile!$G$17:$G$22)*Kalender!D50/SUM(Kalender!$D$5:$D$370),0)+IFERROR(SUMIF(Nutzungsprofile!$B$17:$B$22,"Individuell",Nutzungsprofile!$G$17:$G$22)*Kalender!E50/SUM(Kalender!$E$5:$E$370),0))*Szenarien!$D$25,0)</f>
        <v>0.89</v>
      </c>
      <c r="E5174" s="13" t="n">
        <f aca="false">IFERROR(MIN(C5174,Eingaben!$B$17)*Eingaben!$B$16,0)</f>
        <v>1.938</v>
      </c>
      <c r="F5174" s="13" t="n">
        <f aca="false">IFERROR(E5174*Eingaben!$B$15,0)</f>
        <v>1.7442</v>
      </c>
      <c r="G5174" s="13" t="n">
        <f aca="false">IFERROR(IF(Kalender!A50="",0,J5173*(1-Eingaben!$B$20)),0)</f>
        <v>1.561363244</v>
      </c>
      <c r="H5174" s="13" t="n">
        <f aca="false">MIN(G5174,D5174)</f>
        <v>0.89</v>
      </c>
      <c r="I5174" s="13" t="n">
        <f aca="false">IFERROR(MIN(F5174*Eingaben!$B$19,MAX(0,D5174-H5174)),0)</f>
        <v>0</v>
      </c>
      <c r="J5174" s="13" t="n">
        <f aca="false">IFERROR(MIN(Eingaben!$B$18,MAX(0,F5174-I5174)),0)</f>
        <v>1.7442</v>
      </c>
      <c r="K5174" s="13" t="n">
        <f aca="false">H5174+I5174</f>
        <v>0.89</v>
      </c>
      <c r="L5174" s="13" t="n">
        <f aca="false">MAX(0,D5174-K5174)</f>
        <v>0</v>
      </c>
      <c r="M5174" s="13" t="n">
        <f aca="false">MAX(0,F5174-I5174-J5174)</f>
        <v>0</v>
      </c>
      <c r="N5174" s="13" t="n">
        <f aca="false">IF(Kalender!A50="",0,J5173-H5174)</f>
        <v>0.7032278</v>
      </c>
    </row>
    <row r="5175" customFormat="false" ht="16.4" hidden="false" customHeight="false" outlineLevel="0" collapsed="false">
      <c r="A5175" s="13" t="str">
        <f aca="false">""</f>
        <v/>
      </c>
      <c r="B5175" s="13" t="n">
        <f aca="false">47</f>
        <v>47</v>
      </c>
      <c r="C5175" s="13" t="n">
        <f aca="false">IF(Szenarien!$H$25="OK",(IFERROR(SUMIF(Nutzungsprofile!$B$6:$B$11,"Schulbetrieb",Nutzungsprofile!$G$6:$G$11)*Kalender!C51/SUM(Kalender!$C$5:$C$370),0)+IFERROR(SUMIF(Nutzungsprofile!$B$6:$B$11,"Halle",Nutzungsprofile!$G$6:$G$11)*Kalender!D51/SUM(Kalender!$D$5:$D$370),0)+IFERROR(SUMIF(Nutzungsprofile!$B$6:$B$11,"Individuell",Nutzungsprofile!$G$6:$G$11)*Kalender!E51/SUM(Kalender!$E$5:$E$370),0))*Szenarien!$E$25,0)</f>
        <v>2.94</v>
      </c>
      <c r="D5175" s="13" t="n">
        <f aca="false">IF(Szenarien!$H$25="OK",(IFERROR(SUMIF(Nutzungsprofile!$B$17:$B$22,"Schulbetrieb",Nutzungsprofile!$G$17:$G$22)*Kalender!C51/SUM(Kalender!$C$5:$C$370),0)+IFERROR(SUMIF(Nutzungsprofile!$B$17:$B$22,"Halle",Nutzungsprofile!$G$17:$G$22)*Kalender!D51/SUM(Kalender!$D$5:$D$370),0)+IFERROR(SUMIF(Nutzungsprofile!$B$17:$B$22,"Individuell",Nutzungsprofile!$G$17:$G$22)*Kalender!E51/SUM(Kalender!$E$5:$E$370),0))*Szenarien!$D$25,0)</f>
        <v>4.94</v>
      </c>
      <c r="E5175" s="13" t="n">
        <f aca="false">IFERROR(MIN(C5175,Eingaben!$B$17)*Eingaben!$B$16,0)</f>
        <v>2.793</v>
      </c>
      <c r="F5175" s="13" t="n">
        <f aca="false">IFERROR(E5175*Eingaben!$B$15,0)</f>
        <v>2.5137</v>
      </c>
      <c r="G5175" s="13" t="n">
        <f aca="false">IFERROR(IF(Kalender!A51="",0,J5174*(1-Eingaben!$B$20)),0)</f>
        <v>1.709316</v>
      </c>
      <c r="H5175" s="13" t="n">
        <f aca="false">MIN(G5175,D5175)</f>
        <v>1.709316</v>
      </c>
      <c r="I5175" s="13" t="n">
        <f aca="false">IFERROR(MIN(F5175*Eingaben!$B$19,MAX(0,D5175-H5175)),0)</f>
        <v>1.75959</v>
      </c>
      <c r="J5175" s="13" t="n">
        <f aca="false">IFERROR(MIN(Eingaben!$B$18,MAX(0,F5175-I5175)),0)</f>
        <v>0.75411</v>
      </c>
      <c r="K5175" s="13" t="n">
        <f aca="false">H5175+I5175</f>
        <v>3.468906</v>
      </c>
      <c r="L5175" s="13" t="n">
        <f aca="false">MAX(0,D5175-K5175)</f>
        <v>1.471094</v>
      </c>
      <c r="M5175" s="13" t="n">
        <f aca="false">MAX(0,F5175-I5175-J5175)</f>
        <v>0</v>
      </c>
      <c r="N5175" s="13" t="n">
        <f aca="false">IF(Kalender!A51="",0,J5174-H5175)</f>
        <v>0.0348840000000001</v>
      </c>
    </row>
    <row r="5176" customFormat="false" ht="16.4" hidden="false" customHeight="false" outlineLevel="0" collapsed="false">
      <c r="A5176" s="13" t="str">
        <f aca="false">""</f>
        <v/>
      </c>
      <c r="B5176" s="13" t="n">
        <f aca="false">48</f>
        <v>48</v>
      </c>
      <c r="C5176" s="13" t="n">
        <f aca="false">IF(Szenarien!$H$25="OK",(IFERROR(SUMIF(Nutzungsprofile!$B$6:$B$11,"Schulbetrieb",Nutzungsprofile!$G$6:$G$11)*Kalender!C52/SUM(Kalender!$C$5:$C$370),0)+IFERROR(SUMIF(Nutzungsprofile!$B$6:$B$11,"Halle",Nutzungsprofile!$G$6:$G$11)*Kalender!D52/SUM(Kalender!$D$5:$D$370),0)+IFERROR(SUMIF(Nutzungsprofile!$B$6:$B$11,"Individuell",Nutzungsprofile!$G$6:$G$11)*Kalender!E52/SUM(Kalender!$E$5:$E$370),0))*Szenarien!$E$25,0)</f>
        <v>2.94</v>
      </c>
      <c r="D5176" s="13" t="n">
        <f aca="false">IF(Szenarien!$H$25="OK",(IFERROR(SUMIF(Nutzungsprofile!$B$17:$B$22,"Schulbetrieb",Nutzungsprofile!$G$17:$G$22)*Kalender!C52/SUM(Kalender!$C$5:$C$370),0)+IFERROR(SUMIF(Nutzungsprofile!$B$17:$B$22,"Halle",Nutzungsprofile!$G$17:$G$22)*Kalender!D52/SUM(Kalender!$D$5:$D$370),0)+IFERROR(SUMIF(Nutzungsprofile!$B$17:$B$22,"Individuell",Nutzungsprofile!$G$17:$G$22)*Kalender!E52/SUM(Kalender!$E$5:$E$370),0))*Szenarien!$D$25,0)</f>
        <v>4.94</v>
      </c>
      <c r="E5176" s="13" t="n">
        <f aca="false">IFERROR(MIN(C5176,Eingaben!$B$17)*Eingaben!$B$16,0)</f>
        <v>2.793</v>
      </c>
      <c r="F5176" s="13" t="n">
        <f aca="false">IFERROR(E5176*Eingaben!$B$15,0)</f>
        <v>2.5137</v>
      </c>
      <c r="G5176" s="13" t="n">
        <f aca="false">IFERROR(IF(Kalender!A52="",0,J5175*(1-Eingaben!$B$20)),0)</f>
        <v>0.7390278</v>
      </c>
      <c r="H5176" s="13" t="n">
        <f aca="false">MIN(G5176,D5176)</f>
        <v>0.7390278</v>
      </c>
      <c r="I5176" s="13" t="n">
        <f aca="false">IFERROR(MIN(F5176*Eingaben!$B$19,MAX(0,D5176-H5176)),0)</f>
        <v>1.75959</v>
      </c>
      <c r="J5176" s="13" t="n">
        <f aca="false">IFERROR(MIN(Eingaben!$B$18,MAX(0,F5176-I5176)),0)</f>
        <v>0.75411</v>
      </c>
      <c r="K5176" s="13" t="n">
        <f aca="false">H5176+I5176</f>
        <v>2.4986178</v>
      </c>
      <c r="L5176" s="13" t="n">
        <f aca="false">MAX(0,D5176-K5176)</f>
        <v>2.4413822</v>
      </c>
      <c r="M5176" s="13" t="n">
        <f aca="false">MAX(0,F5176-I5176-J5176)</f>
        <v>0</v>
      </c>
      <c r="N5176" s="13" t="n">
        <f aca="false">IF(Kalender!A52="",0,J5175-H5176)</f>
        <v>0.0150822</v>
      </c>
    </row>
    <row r="5177" customFormat="false" ht="16.4" hidden="false" customHeight="false" outlineLevel="0" collapsed="false">
      <c r="A5177" s="13" t="str">
        <f aca="false">""</f>
        <v/>
      </c>
      <c r="B5177" s="13" t="n">
        <f aca="false">49</f>
        <v>49</v>
      </c>
      <c r="C5177" s="13" t="n">
        <f aca="false">IF(Szenarien!$H$25="OK",(IFERROR(SUMIF(Nutzungsprofile!$B$6:$B$11,"Schulbetrieb",Nutzungsprofile!$G$6:$G$11)*Kalender!C53/SUM(Kalender!$C$5:$C$370),0)+IFERROR(SUMIF(Nutzungsprofile!$B$6:$B$11,"Halle",Nutzungsprofile!$G$6:$G$11)*Kalender!D53/SUM(Kalender!$D$5:$D$370),0)+IFERROR(SUMIF(Nutzungsprofile!$B$6:$B$11,"Individuell",Nutzungsprofile!$G$6:$G$11)*Kalender!E53/SUM(Kalender!$E$5:$E$370),0))*Szenarien!$E$25,0)</f>
        <v>2.94</v>
      </c>
      <c r="D5177" s="13" t="n">
        <f aca="false">IF(Szenarien!$H$25="OK",(IFERROR(SUMIF(Nutzungsprofile!$B$17:$B$22,"Schulbetrieb",Nutzungsprofile!$G$17:$G$22)*Kalender!C53/SUM(Kalender!$C$5:$C$370),0)+IFERROR(SUMIF(Nutzungsprofile!$B$17:$B$22,"Halle",Nutzungsprofile!$G$17:$G$22)*Kalender!D53/SUM(Kalender!$D$5:$D$370),0)+IFERROR(SUMIF(Nutzungsprofile!$B$17:$B$22,"Individuell",Nutzungsprofile!$G$17:$G$22)*Kalender!E53/SUM(Kalender!$E$5:$E$370),0))*Szenarien!$D$25,0)</f>
        <v>4.94</v>
      </c>
      <c r="E5177" s="13" t="n">
        <f aca="false">IFERROR(MIN(C5177,Eingaben!$B$17)*Eingaben!$B$16,0)</f>
        <v>2.793</v>
      </c>
      <c r="F5177" s="13" t="n">
        <f aca="false">IFERROR(E5177*Eingaben!$B$15,0)</f>
        <v>2.5137</v>
      </c>
      <c r="G5177" s="13" t="n">
        <f aca="false">IFERROR(IF(Kalender!A53="",0,J5176*(1-Eingaben!$B$20)),0)</f>
        <v>0.7390278</v>
      </c>
      <c r="H5177" s="13" t="n">
        <f aca="false">MIN(G5177,D5177)</f>
        <v>0.7390278</v>
      </c>
      <c r="I5177" s="13" t="n">
        <f aca="false">IFERROR(MIN(F5177*Eingaben!$B$19,MAX(0,D5177-H5177)),0)</f>
        <v>1.75959</v>
      </c>
      <c r="J5177" s="13" t="n">
        <f aca="false">IFERROR(MIN(Eingaben!$B$18,MAX(0,F5177-I5177)),0)</f>
        <v>0.75411</v>
      </c>
      <c r="K5177" s="13" t="n">
        <f aca="false">H5177+I5177</f>
        <v>2.4986178</v>
      </c>
      <c r="L5177" s="13" t="n">
        <f aca="false">MAX(0,D5177-K5177)</f>
        <v>2.4413822</v>
      </c>
      <c r="M5177" s="13" t="n">
        <f aca="false">MAX(0,F5177-I5177-J5177)</f>
        <v>0</v>
      </c>
      <c r="N5177" s="13" t="n">
        <f aca="false">IF(Kalender!A53="",0,J5176-H5177)</f>
        <v>0.0150822</v>
      </c>
    </row>
    <row r="5178" customFormat="false" ht="16.4" hidden="false" customHeight="false" outlineLevel="0" collapsed="false">
      <c r="A5178" s="13" t="str">
        <f aca="false">""</f>
        <v/>
      </c>
      <c r="B5178" s="13" t="n">
        <f aca="false">50</f>
        <v>50</v>
      </c>
      <c r="C5178" s="13" t="n">
        <f aca="false">IF(Szenarien!$H$25="OK",(IFERROR(SUMIF(Nutzungsprofile!$B$6:$B$11,"Schulbetrieb",Nutzungsprofile!$G$6:$G$11)*Kalender!C54/SUM(Kalender!$C$5:$C$370),0)+IFERROR(SUMIF(Nutzungsprofile!$B$6:$B$11,"Halle",Nutzungsprofile!$G$6:$G$11)*Kalender!D54/SUM(Kalender!$D$5:$D$370),0)+IFERROR(SUMIF(Nutzungsprofile!$B$6:$B$11,"Individuell",Nutzungsprofile!$G$6:$G$11)*Kalender!E54/SUM(Kalender!$E$5:$E$370),0))*Szenarien!$E$25,0)</f>
        <v>2.94</v>
      </c>
      <c r="D5178" s="13" t="n">
        <f aca="false">IF(Szenarien!$H$25="OK",(IFERROR(SUMIF(Nutzungsprofile!$B$17:$B$22,"Schulbetrieb",Nutzungsprofile!$G$17:$G$22)*Kalender!C54/SUM(Kalender!$C$5:$C$370),0)+IFERROR(SUMIF(Nutzungsprofile!$B$17:$B$22,"Halle",Nutzungsprofile!$G$17:$G$22)*Kalender!D54/SUM(Kalender!$D$5:$D$370),0)+IFERROR(SUMIF(Nutzungsprofile!$B$17:$B$22,"Individuell",Nutzungsprofile!$G$17:$G$22)*Kalender!E54/SUM(Kalender!$E$5:$E$370),0))*Szenarien!$D$25,0)</f>
        <v>4.94</v>
      </c>
      <c r="E5178" s="13" t="n">
        <f aca="false">IFERROR(MIN(C5178,Eingaben!$B$17)*Eingaben!$B$16,0)</f>
        <v>2.793</v>
      </c>
      <c r="F5178" s="13" t="n">
        <f aca="false">IFERROR(E5178*Eingaben!$B$15,0)</f>
        <v>2.5137</v>
      </c>
      <c r="G5178" s="13" t="n">
        <f aca="false">IFERROR(IF(Kalender!A54="",0,J5177*(1-Eingaben!$B$20)),0)</f>
        <v>0.7390278</v>
      </c>
      <c r="H5178" s="13" t="n">
        <f aca="false">MIN(G5178,D5178)</f>
        <v>0.7390278</v>
      </c>
      <c r="I5178" s="13" t="n">
        <f aca="false">IFERROR(MIN(F5178*Eingaben!$B$19,MAX(0,D5178-H5178)),0)</f>
        <v>1.75959</v>
      </c>
      <c r="J5178" s="13" t="n">
        <f aca="false">IFERROR(MIN(Eingaben!$B$18,MAX(0,F5178-I5178)),0)</f>
        <v>0.75411</v>
      </c>
      <c r="K5178" s="13" t="n">
        <f aca="false">H5178+I5178</f>
        <v>2.4986178</v>
      </c>
      <c r="L5178" s="13" t="n">
        <f aca="false">MAX(0,D5178-K5178)</f>
        <v>2.4413822</v>
      </c>
      <c r="M5178" s="13" t="n">
        <f aca="false">MAX(0,F5178-I5178-J5178)</f>
        <v>0</v>
      </c>
      <c r="N5178" s="13" t="n">
        <f aca="false">IF(Kalender!A54="",0,J5177-H5178)</f>
        <v>0.0150822</v>
      </c>
    </row>
    <row r="5179" customFormat="false" ht="16.4" hidden="false" customHeight="false" outlineLevel="0" collapsed="false">
      <c r="A5179" s="13" t="str">
        <f aca="false">""</f>
        <v/>
      </c>
      <c r="B5179" s="13" t="n">
        <f aca="false">51</f>
        <v>51</v>
      </c>
      <c r="C5179" s="13" t="n">
        <f aca="false">IF(Szenarien!$H$25="OK",(IFERROR(SUMIF(Nutzungsprofile!$B$6:$B$11,"Schulbetrieb",Nutzungsprofile!$G$6:$G$11)*Kalender!C55/SUM(Kalender!$C$5:$C$370),0)+IFERROR(SUMIF(Nutzungsprofile!$B$6:$B$11,"Halle",Nutzungsprofile!$G$6:$G$11)*Kalender!D55/SUM(Kalender!$D$5:$D$370),0)+IFERROR(SUMIF(Nutzungsprofile!$B$6:$B$11,"Individuell",Nutzungsprofile!$G$6:$G$11)*Kalender!E55/SUM(Kalender!$E$5:$E$370),0))*Szenarien!$E$25,0)</f>
        <v>2.94</v>
      </c>
      <c r="D5179" s="13" t="n">
        <f aca="false">IF(Szenarien!$H$25="OK",(IFERROR(SUMIF(Nutzungsprofile!$B$17:$B$22,"Schulbetrieb",Nutzungsprofile!$G$17:$G$22)*Kalender!C55/SUM(Kalender!$C$5:$C$370),0)+IFERROR(SUMIF(Nutzungsprofile!$B$17:$B$22,"Halle",Nutzungsprofile!$G$17:$G$22)*Kalender!D55/SUM(Kalender!$D$5:$D$370),0)+IFERROR(SUMIF(Nutzungsprofile!$B$17:$B$22,"Individuell",Nutzungsprofile!$G$17:$G$22)*Kalender!E55/SUM(Kalender!$E$5:$E$370),0))*Szenarien!$D$25,0)</f>
        <v>4.94</v>
      </c>
      <c r="E5179" s="13" t="n">
        <f aca="false">IFERROR(MIN(C5179,Eingaben!$B$17)*Eingaben!$B$16,0)</f>
        <v>2.793</v>
      </c>
      <c r="F5179" s="13" t="n">
        <f aca="false">IFERROR(E5179*Eingaben!$B$15,0)</f>
        <v>2.5137</v>
      </c>
      <c r="G5179" s="13" t="n">
        <f aca="false">IFERROR(IF(Kalender!A55="",0,J5178*(1-Eingaben!$B$20)),0)</f>
        <v>0.7390278</v>
      </c>
      <c r="H5179" s="13" t="n">
        <f aca="false">MIN(G5179,D5179)</f>
        <v>0.7390278</v>
      </c>
      <c r="I5179" s="13" t="n">
        <f aca="false">IFERROR(MIN(F5179*Eingaben!$B$19,MAX(0,D5179-H5179)),0)</f>
        <v>1.75959</v>
      </c>
      <c r="J5179" s="13" t="n">
        <f aca="false">IFERROR(MIN(Eingaben!$B$18,MAX(0,F5179-I5179)),0)</f>
        <v>0.75411</v>
      </c>
      <c r="K5179" s="13" t="n">
        <f aca="false">H5179+I5179</f>
        <v>2.4986178</v>
      </c>
      <c r="L5179" s="13" t="n">
        <f aca="false">MAX(0,D5179-K5179)</f>
        <v>2.4413822</v>
      </c>
      <c r="M5179" s="13" t="n">
        <f aca="false">MAX(0,F5179-I5179-J5179)</f>
        <v>0</v>
      </c>
      <c r="N5179" s="13" t="n">
        <f aca="false">IF(Kalender!A55="",0,J5178-H5179)</f>
        <v>0.0150822</v>
      </c>
    </row>
    <row r="5180" customFormat="false" ht="16.4" hidden="false" customHeight="false" outlineLevel="0" collapsed="false">
      <c r="A5180" s="13" t="str">
        <f aca="false">""</f>
        <v/>
      </c>
      <c r="B5180" s="13" t="n">
        <f aca="false">52</f>
        <v>52</v>
      </c>
      <c r="C5180" s="13" t="n">
        <f aca="false">IF(Szenarien!$H$25="OK",(IFERROR(SUMIF(Nutzungsprofile!$B$6:$B$11,"Schulbetrieb",Nutzungsprofile!$G$6:$G$11)*Kalender!C56/SUM(Kalender!$C$5:$C$370),0)+IFERROR(SUMIF(Nutzungsprofile!$B$6:$B$11,"Halle",Nutzungsprofile!$G$6:$G$11)*Kalender!D56/SUM(Kalender!$D$5:$D$370),0)+IFERROR(SUMIF(Nutzungsprofile!$B$6:$B$11,"Individuell",Nutzungsprofile!$G$6:$G$11)*Kalender!E56/SUM(Kalender!$E$5:$E$370),0))*Szenarien!$E$25,0)</f>
        <v>2.04</v>
      </c>
      <c r="D5180" s="13" t="n">
        <f aca="false">IF(Szenarien!$H$25="OK",(IFERROR(SUMIF(Nutzungsprofile!$B$17:$B$22,"Schulbetrieb",Nutzungsprofile!$G$17:$G$22)*Kalender!C56/SUM(Kalender!$C$5:$C$370),0)+IFERROR(SUMIF(Nutzungsprofile!$B$17:$B$22,"Halle",Nutzungsprofile!$G$17:$G$22)*Kalender!D56/SUM(Kalender!$D$5:$D$370),0)+IFERROR(SUMIF(Nutzungsprofile!$B$17:$B$22,"Individuell",Nutzungsprofile!$G$17:$G$22)*Kalender!E56/SUM(Kalender!$E$5:$E$370),0))*Szenarien!$D$25,0)</f>
        <v>0.89</v>
      </c>
      <c r="E5180" s="13" t="n">
        <f aca="false">IFERROR(MIN(C5180,Eingaben!$B$17)*Eingaben!$B$16,0)</f>
        <v>1.938</v>
      </c>
      <c r="F5180" s="13" t="n">
        <f aca="false">IFERROR(E5180*Eingaben!$B$15,0)</f>
        <v>1.7442</v>
      </c>
      <c r="G5180" s="13" t="n">
        <f aca="false">IFERROR(IF(Kalender!A56="",0,J5179*(1-Eingaben!$B$20)),0)</f>
        <v>0.7390278</v>
      </c>
      <c r="H5180" s="13" t="n">
        <f aca="false">MIN(G5180,D5180)</f>
        <v>0.7390278</v>
      </c>
      <c r="I5180" s="13" t="n">
        <f aca="false">IFERROR(MIN(F5180*Eingaben!$B$19,MAX(0,D5180-H5180)),0)</f>
        <v>0.1509722</v>
      </c>
      <c r="J5180" s="13" t="n">
        <f aca="false">IFERROR(MIN(Eingaben!$B$18,MAX(0,F5180-I5180)),0)</f>
        <v>1.5932278</v>
      </c>
      <c r="K5180" s="13" t="n">
        <f aca="false">H5180+I5180</f>
        <v>0.89</v>
      </c>
      <c r="L5180" s="13" t="n">
        <f aca="false">MAX(0,D5180-K5180)</f>
        <v>0</v>
      </c>
      <c r="M5180" s="13" t="n">
        <f aca="false">MAX(0,F5180-I5180-J5180)</f>
        <v>0</v>
      </c>
      <c r="N5180" s="13" t="n">
        <f aca="false">IF(Kalender!A56="",0,J5179-H5180)</f>
        <v>0.0150822</v>
      </c>
    </row>
    <row r="5181" customFormat="false" ht="16.4" hidden="false" customHeight="false" outlineLevel="0" collapsed="false">
      <c r="A5181" s="13" t="str">
        <f aca="false">""</f>
        <v/>
      </c>
      <c r="B5181" s="13" t="n">
        <f aca="false">53</f>
        <v>53</v>
      </c>
      <c r="C5181" s="13" t="n">
        <f aca="false">IF(Szenarien!$H$25="OK",(IFERROR(SUMIF(Nutzungsprofile!$B$6:$B$11,"Schulbetrieb",Nutzungsprofile!$G$6:$G$11)*Kalender!C57/SUM(Kalender!$C$5:$C$370),0)+IFERROR(SUMIF(Nutzungsprofile!$B$6:$B$11,"Halle",Nutzungsprofile!$G$6:$G$11)*Kalender!D57/SUM(Kalender!$D$5:$D$370),0)+IFERROR(SUMIF(Nutzungsprofile!$B$6:$B$11,"Individuell",Nutzungsprofile!$G$6:$G$11)*Kalender!E57/SUM(Kalender!$E$5:$E$370),0))*Szenarien!$E$25,0)</f>
        <v>2.04</v>
      </c>
      <c r="D5181" s="13" t="n">
        <f aca="false">IF(Szenarien!$H$25="OK",(IFERROR(SUMIF(Nutzungsprofile!$B$17:$B$22,"Schulbetrieb",Nutzungsprofile!$G$17:$G$22)*Kalender!C57/SUM(Kalender!$C$5:$C$370),0)+IFERROR(SUMIF(Nutzungsprofile!$B$17:$B$22,"Halle",Nutzungsprofile!$G$17:$G$22)*Kalender!D57/SUM(Kalender!$D$5:$D$370),0)+IFERROR(SUMIF(Nutzungsprofile!$B$17:$B$22,"Individuell",Nutzungsprofile!$G$17:$G$22)*Kalender!E57/SUM(Kalender!$E$5:$E$370),0))*Szenarien!$D$25,0)</f>
        <v>0.89</v>
      </c>
      <c r="E5181" s="13" t="n">
        <f aca="false">IFERROR(MIN(C5181,Eingaben!$B$17)*Eingaben!$B$16,0)</f>
        <v>1.938</v>
      </c>
      <c r="F5181" s="13" t="n">
        <f aca="false">IFERROR(E5181*Eingaben!$B$15,0)</f>
        <v>1.7442</v>
      </c>
      <c r="G5181" s="13" t="n">
        <f aca="false">IFERROR(IF(Kalender!A57="",0,J5180*(1-Eingaben!$B$20)),0)</f>
        <v>1.561363244</v>
      </c>
      <c r="H5181" s="13" t="n">
        <f aca="false">MIN(G5181,D5181)</f>
        <v>0.89</v>
      </c>
      <c r="I5181" s="13" t="n">
        <f aca="false">IFERROR(MIN(F5181*Eingaben!$B$19,MAX(0,D5181-H5181)),0)</f>
        <v>0</v>
      </c>
      <c r="J5181" s="13" t="n">
        <f aca="false">IFERROR(MIN(Eingaben!$B$18,MAX(0,F5181-I5181)),0)</f>
        <v>1.7442</v>
      </c>
      <c r="K5181" s="13" t="n">
        <f aca="false">H5181+I5181</f>
        <v>0.89</v>
      </c>
      <c r="L5181" s="13" t="n">
        <f aca="false">MAX(0,D5181-K5181)</f>
        <v>0</v>
      </c>
      <c r="M5181" s="13" t="n">
        <f aca="false">MAX(0,F5181-I5181-J5181)</f>
        <v>0</v>
      </c>
      <c r="N5181" s="13" t="n">
        <f aca="false">IF(Kalender!A57="",0,J5180-H5181)</f>
        <v>0.7032278</v>
      </c>
    </row>
    <row r="5182" customFormat="false" ht="16.4" hidden="false" customHeight="false" outlineLevel="0" collapsed="false">
      <c r="A5182" s="13" t="str">
        <f aca="false">""</f>
        <v/>
      </c>
      <c r="B5182" s="13" t="n">
        <f aca="false">54</f>
        <v>54</v>
      </c>
      <c r="C5182" s="13" t="n">
        <f aca="false">IF(Szenarien!$H$25="OK",(IFERROR(SUMIF(Nutzungsprofile!$B$6:$B$11,"Schulbetrieb",Nutzungsprofile!$G$6:$G$11)*Kalender!C58/SUM(Kalender!$C$5:$C$370),0)+IFERROR(SUMIF(Nutzungsprofile!$B$6:$B$11,"Halle",Nutzungsprofile!$G$6:$G$11)*Kalender!D58/SUM(Kalender!$D$5:$D$370),0)+IFERROR(SUMIF(Nutzungsprofile!$B$6:$B$11,"Individuell",Nutzungsprofile!$G$6:$G$11)*Kalender!E58/SUM(Kalender!$E$5:$E$370),0))*Szenarien!$E$25,0)</f>
        <v>2.94</v>
      </c>
      <c r="D5182" s="13" t="n">
        <f aca="false">IF(Szenarien!$H$25="OK",(IFERROR(SUMIF(Nutzungsprofile!$B$17:$B$22,"Schulbetrieb",Nutzungsprofile!$G$17:$G$22)*Kalender!C58/SUM(Kalender!$C$5:$C$370),0)+IFERROR(SUMIF(Nutzungsprofile!$B$17:$B$22,"Halle",Nutzungsprofile!$G$17:$G$22)*Kalender!D58/SUM(Kalender!$D$5:$D$370),0)+IFERROR(SUMIF(Nutzungsprofile!$B$17:$B$22,"Individuell",Nutzungsprofile!$G$17:$G$22)*Kalender!E58/SUM(Kalender!$E$5:$E$370),0))*Szenarien!$D$25,0)</f>
        <v>4.94</v>
      </c>
      <c r="E5182" s="13" t="n">
        <f aca="false">IFERROR(MIN(C5182,Eingaben!$B$17)*Eingaben!$B$16,0)</f>
        <v>2.793</v>
      </c>
      <c r="F5182" s="13" t="n">
        <f aca="false">IFERROR(E5182*Eingaben!$B$15,0)</f>
        <v>2.5137</v>
      </c>
      <c r="G5182" s="13" t="n">
        <f aca="false">IFERROR(IF(Kalender!A58="",0,J5181*(1-Eingaben!$B$20)),0)</f>
        <v>1.709316</v>
      </c>
      <c r="H5182" s="13" t="n">
        <f aca="false">MIN(G5182,D5182)</f>
        <v>1.709316</v>
      </c>
      <c r="I5182" s="13" t="n">
        <f aca="false">IFERROR(MIN(F5182*Eingaben!$B$19,MAX(0,D5182-H5182)),0)</f>
        <v>1.75959</v>
      </c>
      <c r="J5182" s="13" t="n">
        <f aca="false">IFERROR(MIN(Eingaben!$B$18,MAX(0,F5182-I5182)),0)</f>
        <v>0.75411</v>
      </c>
      <c r="K5182" s="13" t="n">
        <f aca="false">H5182+I5182</f>
        <v>3.468906</v>
      </c>
      <c r="L5182" s="13" t="n">
        <f aca="false">MAX(0,D5182-K5182)</f>
        <v>1.471094</v>
      </c>
      <c r="M5182" s="13" t="n">
        <f aca="false">MAX(0,F5182-I5182-J5182)</f>
        <v>0</v>
      </c>
      <c r="N5182" s="13" t="n">
        <f aca="false">IF(Kalender!A58="",0,J5181-H5182)</f>
        <v>0.0348840000000001</v>
      </c>
    </row>
    <row r="5183" customFormat="false" ht="16.4" hidden="false" customHeight="false" outlineLevel="0" collapsed="false">
      <c r="A5183" s="13" t="str">
        <f aca="false">""</f>
        <v/>
      </c>
      <c r="B5183" s="13" t="n">
        <f aca="false">55</f>
        <v>55</v>
      </c>
      <c r="C5183" s="13" t="n">
        <f aca="false">IF(Szenarien!$H$25="OK",(IFERROR(SUMIF(Nutzungsprofile!$B$6:$B$11,"Schulbetrieb",Nutzungsprofile!$G$6:$G$11)*Kalender!C59/SUM(Kalender!$C$5:$C$370),0)+IFERROR(SUMIF(Nutzungsprofile!$B$6:$B$11,"Halle",Nutzungsprofile!$G$6:$G$11)*Kalender!D59/SUM(Kalender!$D$5:$D$370),0)+IFERROR(SUMIF(Nutzungsprofile!$B$6:$B$11,"Individuell",Nutzungsprofile!$G$6:$G$11)*Kalender!E59/SUM(Kalender!$E$5:$E$370),0))*Szenarien!$E$25,0)</f>
        <v>2.94</v>
      </c>
      <c r="D5183" s="13" t="n">
        <f aca="false">IF(Szenarien!$H$25="OK",(IFERROR(SUMIF(Nutzungsprofile!$B$17:$B$22,"Schulbetrieb",Nutzungsprofile!$G$17:$G$22)*Kalender!C59/SUM(Kalender!$C$5:$C$370),0)+IFERROR(SUMIF(Nutzungsprofile!$B$17:$B$22,"Halle",Nutzungsprofile!$G$17:$G$22)*Kalender!D59/SUM(Kalender!$D$5:$D$370),0)+IFERROR(SUMIF(Nutzungsprofile!$B$17:$B$22,"Individuell",Nutzungsprofile!$G$17:$G$22)*Kalender!E59/SUM(Kalender!$E$5:$E$370),0))*Szenarien!$D$25,0)</f>
        <v>4.94</v>
      </c>
      <c r="E5183" s="13" t="n">
        <f aca="false">IFERROR(MIN(C5183,Eingaben!$B$17)*Eingaben!$B$16,0)</f>
        <v>2.793</v>
      </c>
      <c r="F5183" s="13" t="n">
        <f aca="false">IFERROR(E5183*Eingaben!$B$15,0)</f>
        <v>2.5137</v>
      </c>
      <c r="G5183" s="13" t="n">
        <f aca="false">IFERROR(IF(Kalender!A59="",0,J5182*(1-Eingaben!$B$20)),0)</f>
        <v>0.7390278</v>
      </c>
      <c r="H5183" s="13" t="n">
        <f aca="false">MIN(G5183,D5183)</f>
        <v>0.7390278</v>
      </c>
      <c r="I5183" s="13" t="n">
        <f aca="false">IFERROR(MIN(F5183*Eingaben!$B$19,MAX(0,D5183-H5183)),0)</f>
        <v>1.75959</v>
      </c>
      <c r="J5183" s="13" t="n">
        <f aca="false">IFERROR(MIN(Eingaben!$B$18,MAX(0,F5183-I5183)),0)</f>
        <v>0.75411</v>
      </c>
      <c r="K5183" s="13" t="n">
        <f aca="false">H5183+I5183</f>
        <v>2.4986178</v>
      </c>
      <c r="L5183" s="13" t="n">
        <f aca="false">MAX(0,D5183-K5183)</f>
        <v>2.4413822</v>
      </c>
      <c r="M5183" s="13" t="n">
        <f aca="false">MAX(0,F5183-I5183-J5183)</f>
        <v>0</v>
      </c>
      <c r="N5183" s="13" t="n">
        <f aca="false">IF(Kalender!A59="",0,J5182-H5183)</f>
        <v>0.0150822</v>
      </c>
    </row>
    <row r="5184" customFormat="false" ht="16.4" hidden="false" customHeight="false" outlineLevel="0" collapsed="false">
      <c r="A5184" s="13" t="str">
        <f aca="false">""</f>
        <v/>
      </c>
      <c r="B5184" s="13" t="n">
        <f aca="false">56</f>
        <v>56</v>
      </c>
      <c r="C5184" s="13" t="n">
        <f aca="false">IF(Szenarien!$H$25="OK",(IFERROR(SUMIF(Nutzungsprofile!$B$6:$B$11,"Schulbetrieb",Nutzungsprofile!$G$6:$G$11)*Kalender!C60/SUM(Kalender!$C$5:$C$370),0)+IFERROR(SUMIF(Nutzungsprofile!$B$6:$B$11,"Halle",Nutzungsprofile!$G$6:$G$11)*Kalender!D60/SUM(Kalender!$D$5:$D$370),0)+IFERROR(SUMIF(Nutzungsprofile!$B$6:$B$11,"Individuell",Nutzungsprofile!$G$6:$G$11)*Kalender!E60/SUM(Kalender!$E$5:$E$370),0))*Szenarien!$E$25,0)</f>
        <v>2.94</v>
      </c>
      <c r="D5184" s="13" t="n">
        <f aca="false">IF(Szenarien!$H$25="OK",(IFERROR(SUMIF(Nutzungsprofile!$B$17:$B$22,"Schulbetrieb",Nutzungsprofile!$G$17:$G$22)*Kalender!C60/SUM(Kalender!$C$5:$C$370),0)+IFERROR(SUMIF(Nutzungsprofile!$B$17:$B$22,"Halle",Nutzungsprofile!$G$17:$G$22)*Kalender!D60/SUM(Kalender!$D$5:$D$370),0)+IFERROR(SUMIF(Nutzungsprofile!$B$17:$B$22,"Individuell",Nutzungsprofile!$G$17:$G$22)*Kalender!E60/SUM(Kalender!$E$5:$E$370),0))*Szenarien!$D$25,0)</f>
        <v>4.94</v>
      </c>
      <c r="E5184" s="13" t="n">
        <f aca="false">IFERROR(MIN(C5184,Eingaben!$B$17)*Eingaben!$B$16,0)</f>
        <v>2.793</v>
      </c>
      <c r="F5184" s="13" t="n">
        <f aca="false">IFERROR(E5184*Eingaben!$B$15,0)</f>
        <v>2.5137</v>
      </c>
      <c r="G5184" s="13" t="n">
        <f aca="false">IFERROR(IF(Kalender!A60="",0,J5183*(1-Eingaben!$B$20)),0)</f>
        <v>0.7390278</v>
      </c>
      <c r="H5184" s="13" t="n">
        <f aca="false">MIN(G5184,D5184)</f>
        <v>0.7390278</v>
      </c>
      <c r="I5184" s="13" t="n">
        <f aca="false">IFERROR(MIN(F5184*Eingaben!$B$19,MAX(0,D5184-H5184)),0)</f>
        <v>1.75959</v>
      </c>
      <c r="J5184" s="13" t="n">
        <f aca="false">IFERROR(MIN(Eingaben!$B$18,MAX(0,F5184-I5184)),0)</f>
        <v>0.75411</v>
      </c>
      <c r="K5184" s="13" t="n">
        <f aca="false">H5184+I5184</f>
        <v>2.4986178</v>
      </c>
      <c r="L5184" s="13" t="n">
        <f aca="false">MAX(0,D5184-K5184)</f>
        <v>2.4413822</v>
      </c>
      <c r="M5184" s="13" t="n">
        <f aca="false">MAX(0,F5184-I5184-J5184)</f>
        <v>0</v>
      </c>
      <c r="N5184" s="13" t="n">
        <f aca="false">IF(Kalender!A60="",0,J5183-H5184)</f>
        <v>0.0150822</v>
      </c>
    </row>
    <row r="5185" customFormat="false" ht="16.4" hidden="false" customHeight="false" outlineLevel="0" collapsed="false">
      <c r="A5185" s="13" t="str">
        <f aca="false">""</f>
        <v/>
      </c>
      <c r="B5185" s="13" t="n">
        <f aca="false">57</f>
        <v>57</v>
      </c>
      <c r="C5185" s="13" t="n">
        <f aca="false">IF(Szenarien!$H$25="OK",(IFERROR(SUMIF(Nutzungsprofile!$B$6:$B$11,"Schulbetrieb",Nutzungsprofile!$G$6:$G$11)*Kalender!C61/SUM(Kalender!$C$5:$C$370),0)+IFERROR(SUMIF(Nutzungsprofile!$B$6:$B$11,"Halle",Nutzungsprofile!$G$6:$G$11)*Kalender!D61/SUM(Kalender!$D$5:$D$370),0)+IFERROR(SUMIF(Nutzungsprofile!$B$6:$B$11,"Individuell",Nutzungsprofile!$G$6:$G$11)*Kalender!E61/SUM(Kalender!$E$5:$E$370),0))*Szenarien!$E$25,0)</f>
        <v>2.94</v>
      </c>
      <c r="D5185" s="13" t="n">
        <f aca="false">IF(Szenarien!$H$25="OK",(IFERROR(SUMIF(Nutzungsprofile!$B$17:$B$22,"Schulbetrieb",Nutzungsprofile!$G$17:$G$22)*Kalender!C61/SUM(Kalender!$C$5:$C$370),0)+IFERROR(SUMIF(Nutzungsprofile!$B$17:$B$22,"Halle",Nutzungsprofile!$G$17:$G$22)*Kalender!D61/SUM(Kalender!$D$5:$D$370),0)+IFERROR(SUMIF(Nutzungsprofile!$B$17:$B$22,"Individuell",Nutzungsprofile!$G$17:$G$22)*Kalender!E61/SUM(Kalender!$E$5:$E$370),0))*Szenarien!$D$25,0)</f>
        <v>4.94</v>
      </c>
      <c r="E5185" s="13" t="n">
        <f aca="false">IFERROR(MIN(C5185,Eingaben!$B$17)*Eingaben!$B$16,0)</f>
        <v>2.793</v>
      </c>
      <c r="F5185" s="13" t="n">
        <f aca="false">IFERROR(E5185*Eingaben!$B$15,0)</f>
        <v>2.5137</v>
      </c>
      <c r="G5185" s="13" t="n">
        <f aca="false">IFERROR(IF(Kalender!A61="",0,J5184*(1-Eingaben!$B$20)),0)</f>
        <v>0.7390278</v>
      </c>
      <c r="H5185" s="13" t="n">
        <f aca="false">MIN(G5185,D5185)</f>
        <v>0.7390278</v>
      </c>
      <c r="I5185" s="13" t="n">
        <f aca="false">IFERROR(MIN(F5185*Eingaben!$B$19,MAX(0,D5185-H5185)),0)</f>
        <v>1.75959</v>
      </c>
      <c r="J5185" s="13" t="n">
        <f aca="false">IFERROR(MIN(Eingaben!$B$18,MAX(0,F5185-I5185)),0)</f>
        <v>0.75411</v>
      </c>
      <c r="K5185" s="13" t="n">
        <f aca="false">H5185+I5185</f>
        <v>2.4986178</v>
      </c>
      <c r="L5185" s="13" t="n">
        <f aca="false">MAX(0,D5185-K5185)</f>
        <v>2.4413822</v>
      </c>
      <c r="M5185" s="13" t="n">
        <f aca="false">MAX(0,F5185-I5185-J5185)</f>
        <v>0</v>
      </c>
      <c r="N5185" s="13" t="n">
        <f aca="false">IF(Kalender!A61="",0,J5184-H5185)</f>
        <v>0.0150822</v>
      </c>
    </row>
    <row r="5186" customFormat="false" ht="16.4" hidden="false" customHeight="false" outlineLevel="0" collapsed="false">
      <c r="A5186" s="13" t="str">
        <f aca="false">""</f>
        <v/>
      </c>
      <c r="B5186" s="13" t="n">
        <f aca="false">58</f>
        <v>58</v>
      </c>
      <c r="C5186" s="13" t="n">
        <f aca="false">IF(Szenarien!$H$25="OK",(IFERROR(SUMIF(Nutzungsprofile!$B$6:$B$11,"Schulbetrieb",Nutzungsprofile!$G$6:$G$11)*Kalender!C62/SUM(Kalender!$C$5:$C$370),0)+IFERROR(SUMIF(Nutzungsprofile!$B$6:$B$11,"Halle",Nutzungsprofile!$G$6:$G$11)*Kalender!D62/SUM(Kalender!$D$5:$D$370),0)+IFERROR(SUMIF(Nutzungsprofile!$B$6:$B$11,"Individuell",Nutzungsprofile!$G$6:$G$11)*Kalender!E62/SUM(Kalender!$E$5:$E$370),0))*Szenarien!$E$25,0)</f>
        <v>2.94</v>
      </c>
      <c r="D5186" s="13" t="n">
        <f aca="false">IF(Szenarien!$H$25="OK",(IFERROR(SUMIF(Nutzungsprofile!$B$17:$B$22,"Schulbetrieb",Nutzungsprofile!$G$17:$G$22)*Kalender!C62/SUM(Kalender!$C$5:$C$370),0)+IFERROR(SUMIF(Nutzungsprofile!$B$17:$B$22,"Halle",Nutzungsprofile!$G$17:$G$22)*Kalender!D62/SUM(Kalender!$D$5:$D$370),0)+IFERROR(SUMIF(Nutzungsprofile!$B$17:$B$22,"Individuell",Nutzungsprofile!$G$17:$G$22)*Kalender!E62/SUM(Kalender!$E$5:$E$370),0))*Szenarien!$D$25,0)</f>
        <v>4.94</v>
      </c>
      <c r="E5186" s="13" t="n">
        <f aca="false">IFERROR(MIN(C5186,Eingaben!$B$17)*Eingaben!$B$16,0)</f>
        <v>2.793</v>
      </c>
      <c r="F5186" s="13" t="n">
        <f aca="false">IFERROR(E5186*Eingaben!$B$15,0)</f>
        <v>2.5137</v>
      </c>
      <c r="G5186" s="13" t="n">
        <f aca="false">IFERROR(IF(Kalender!A62="",0,J5185*(1-Eingaben!$B$20)),0)</f>
        <v>0.7390278</v>
      </c>
      <c r="H5186" s="13" t="n">
        <f aca="false">MIN(G5186,D5186)</f>
        <v>0.7390278</v>
      </c>
      <c r="I5186" s="13" t="n">
        <f aca="false">IFERROR(MIN(F5186*Eingaben!$B$19,MAX(0,D5186-H5186)),0)</f>
        <v>1.75959</v>
      </c>
      <c r="J5186" s="13" t="n">
        <f aca="false">IFERROR(MIN(Eingaben!$B$18,MAX(0,F5186-I5186)),0)</f>
        <v>0.75411</v>
      </c>
      <c r="K5186" s="13" t="n">
        <f aca="false">H5186+I5186</f>
        <v>2.4986178</v>
      </c>
      <c r="L5186" s="13" t="n">
        <f aca="false">MAX(0,D5186-K5186)</f>
        <v>2.4413822</v>
      </c>
      <c r="M5186" s="13" t="n">
        <f aca="false">MAX(0,F5186-I5186-J5186)</f>
        <v>0</v>
      </c>
      <c r="N5186" s="13" t="n">
        <f aca="false">IF(Kalender!A62="",0,J5185-H5186)</f>
        <v>0.0150822</v>
      </c>
    </row>
    <row r="5187" customFormat="false" ht="16.4" hidden="false" customHeight="false" outlineLevel="0" collapsed="false">
      <c r="A5187" s="13" t="str">
        <f aca="false">""</f>
        <v/>
      </c>
      <c r="B5187" s="13" t="n">
        <f aca="false">59</f>
        <v>59</v>
      </c>
      <c r="C5187" s="13" t="n">
        <f aca="false">IF(Szenarien!$H$25="OK",(IFERROR(SUMIF(Nutzungsprofile!$B$6:$B$11,"Schulbetrieb",Nutzungsprofile!$G$6:$G$11)*Kalender!C63/SUM(Kalender!$C$5:$C$370),0)+IFERROR(SUMIF(Nutzungsprofile!$B$6:$B$11,"Halle",Nutzungsprofile!$G$6:$G$11)*Kalender!D63/SUM(Kalender!$D$5:$D$370),0)+IFERROR(SUMIF(Nutzungsprofile!$B$6:$B$11,"Individuell",Nutzungsprofile!$G$6:$G$11)*Kalender!E63/SUM(Kalender!$E$5:$E$370),0))*Szenarien!$E$25,0)</f>
        <v>2.04</v>
      </c>
      <c r="D5187" s="13" t="n">
        <f aca="false">IF(Szenarien!$H$25="OK",(IFERROR(SUMIF(Nutzungsprofile!$B$17:$B$22,"Schulbetrieb",Nutzungsprofile!$G$17:$G$22)*Kalender!C63/SUM(Kalender!$C$5:$C$370),0)+IFERROR(SUMIF(Nutzungsprofile!$B$17:$B$22,"Halle",Nutzungsprofile!$G$17:$G$22)*Kalender!D63/SUM(Kalender!$D$5:$D$370),0)+IFERROR(SUMIF(Nutzungsprofile!$B$17:$B$22,"Individuell",Nutzungsprofile!$G$17:$G$22)*Kalender!E63/SUM(Kalender!$E$5:$E$370),0))*Szenarien!$D$25,0)</f>
        <v>0.89</v>
      </c>
      <c r="E5187" s="13" t="n">
        <f aca="false">IFERROR(MIN(C5187,Eingaben!$B$17)*Eingaben!$B$16,0)</f>
        <v>1.938</v>
      </c>
      <c r="F5187" s="13" t="n">
        <f aca="false">IFERROR(E5187*Eingaben!$B$15,0)</f>
        <v>1.7442</v>
      </c>
      <c r="G5187" s="13" t="n">
        <f aca="false">IFERROR(IF(Kalender!A63="",0,J5186*(1-Eingaben!$B$20)),0)</f>
        <v>0.7390278</v>
      </c>
      <c r="H5187" s="13" t="n">
        <f aca="false">MIN(G5187,D5187)</f>
        <v>0.7390278</v>
      </c>
      <c r="I5187" s="13" t="n">
        <f aca="false">IFERROR(MIN(F5187*Eingaben!$B$19,MAX(0,D5187-H5187)),0)</f>
        <v>0.1509722</v>
      </c>
      <c r="J5187" s="13" t="n">
        <f aca="false">IFERROR(MIN(Eingaben!$B$18,MAX(0,F5187-I5187)),0)</f>
        <v>1.5932278</v>
      </c>
      <c r="K5187" s="13" t="n">
        <f aca="false">H5187+I5187</f>
        <v>0.89</v>
      </c>
      <c r="L5187" s="13" t="n">
        <f aca="false">MAX(0,D5187-K5187)</f>
        <v>0</v>
      </c>
      <c r="M5187" s="13" t="n">
        <f aca="false">MAX(0,F5187-I5187-J5187)</f>
        <v>0</v>
      </c>
      <c r="N5187" s="13" t="n">
        <f aca="false">IF(Kalender!A63="",0,J5186-H5187)</f>
        <v>0.0150822</v>
      </c>
    </row>
    <row r="5188" customFormat="false" ht="16.4" hidden="false" customHeight="false" outlineLevel="0" collapsed="false">
      <c r="A5188" s="13" t="str">
        <f aca="false">""</f>
        <v/>
      </c>
      <c r="B5188" s="13" t="n">
        <f aca="false">60</f>
        <v>60</v>
      </c>
      <c r="C5188" s="13" t="n">
        <f aca="false">IF(Szenarien!$H$25="OK",(IFERROR(SUMIF(Nutzungsprofile!$B$6:$B$11,"Schulbetrieb",Nutzungsprofile!$G$6:$G$11)*Kalender!C64/SUM(Kalender!$C$5:$C$370),0)+IFERROR(SUMIF(Nutzungsprofile!$B$6:$B$11,"Halle",Nutzungsprofile!$G$6:$G$11)*Kalender!D64/SUM(Kalender!$D$5:$D$370),0)+IFERROR(SUMIF(Nutzungsprofile!$B$6:$B$11,"Individuell",Nutzungsprofile!$G$6:$G$11)*Kalender!E64/SUM(Kalender!$E$5:$E$370),0))*Szenarien!$E$25,0)</f>
        <v>2.04</v>
      </c>
      <c r="D5188" s="13" t="n">
        <f aca="false">IF(Szenarien!$H$25="OK",(IFERROR(SUMIF(Nutzungsprofile!$B$17:$B$22,"Schulbetrieb",Nutzungsprofile!$G$17:$G$22)*Kalender!C64/SUM(Kalender!$C$5:$C$370),0)+IFERROR(SUMIF(Nutzungsprofile!$B$17:$B$22,"Halle",Nutzungsprofile!$G$17:$G$22)*Kalender!D64/SUM(Kalender!$D$5:$D$370),0)+IFERROR(SUMIF(Nutzungsprofile!$B$17:$B$22,"Individuell",Nutzungsprofile!$G$17:$G$22)*Kalender!E64/SUM(Kalender!$E$5:$E$370),0))*Szenarien!$D$25,0)</f>
        <v>0.89</v>
      </c>
      <c r="E5188" s="13" t="n">
        <f aca="false">IFERROR(MIN(C5188,Eingaben!$B$17)*Eingaben!$B$16,0)</f>
        <v>1.938</v>
      </c>
      <c r="F5188" s="13" t="n">
        <f aca="false">IFERROR(E5188*Eingaben!$B$15,0)</f>
        <v>1.7442</v>
      </c>
      <c r="G5188" s="13" t="n">
        <f aca="false">IFERROR(IF(Kalender!A64="",0,J5187*(1-Eingaben!$B$20)),0)</f>
        <v>1.561363244</v>
      </c>
      <c r="H5188" s="13" t="n">
        <f aca="false">MIN(G5188,D5188)</f>
        <v>0.89</v>
      </c>
      <c r="I5188" s="13" t="n">
        <f aca="false">IFERROR(MIN(F5188*Eingaben!$B$19,MAX(0,D5188-H5188)),0)</f>
        <v>0</v>
      </c>
      <c r="J5188" s="13" t="n">
        <f aca="false">IFERROR(MIN(Eingaben!$B$18,MAX(0,F5188-I5188)),0)</f>
        <v>1.7442</v>
      </c>
      <c r="K5188" s="13" t="n">
        <f aca="false">H5188+I5188</f>
        <v>0.89</v>
      </c>
      <c r="L5188" s="13" t="n">
        <f aca="false">MAX(0,D5188-K5188)</f>
        <v>0</v>
      </c>
      <c r="M5188" s="13" t="n">
        <f aca="false">MAX(0,F5188-I5188-J5188)</f>
        <v>0</v>
      </c>
      <c r="N5188" s="13" t="n">
        <f aca="false">IF(Kalender!A64="",0,J5187-H5188)</f>
        <v>0.7032278</v>
      </c>
    </row>
    <row r="5189" customFormat="false" ht="16.4" hidden="false" customHeight="false" outlineLevel="0" collapsed="false">
      <c r="A5189" s="13" t="str">
        <f aca="false">""</f>
        <v/>
      </c>
      <c r="B5189" s="13" t="n">
        <f aca="false">61</f>
        <v>61</v>
      </c>
      <c r="C5189" s="13" t="n">
        <f aca="false">IF(Szenarien!$H$25="OK",(IFERROR(SUMIF(Nutzungsprofile!$B$6:$B$11,"Schulbetrieb",Nutzungsprofile!$G$6:$G$11)*Kalender!C65/SUM(Kalender!$C$5:$C$370),0)+IFERROR(SUMIF(Nutzungsprofile!$B$6:$B$11,"Halle",Nutzungsprofile!$G$6:$G$11)*Kalender!D65/SUM(Kalender!$D$5:$D$370),0)+IFERROR(SUMIF(Nutzungsprofile!$B$6:$B$11,"Individuell",Nutzungsprofile!$G$6:$G$11)*Kalender!E65/SUM(Kalender!$E$5:$E$370),0))*Szenarien!$E$25,0)</f>
        <v>2.94</v>
      </c>
      <c r="D5189" s="13" t="n">
        <f aca="false">IF(Szenarien!$H$25="OK",(IFERROR(SUMIF(Nutzungsprofile!$B$17:$B$22,"Schulbetrieb",Nutzungsprofile!$G$17:$G$22)*Kalender!C65/SUM(Kalender!$C$5:$C$370),0)+IFERROR(SUMIF(Nutzungsprofile!$B$17:$B$22,"Halle",Nutzungsprofile!$G$17:$G$22)*Kalender!D65/SUM(Kalender!$D$5:$D$370),0)+IFERROR(SUMIF(Nutzungsprofile!$B$17:$B$22,"Individuell",Nutzungsprofile!$G$17:$G$22)*Kalender!E65/SUM(Kalender!$E$5:$E$370),0))*Szenarien!$D$25,0)</f>
        <v>4.94</v>
      </c>
      <c r="E5189" s="13" t="n">
        <f aca="false">IFERROR(MIN(C5189,Eingaben!$B$17)*Eingaben!$B$16,0)</f>
        <v>2.793</v>
      </c>
      <c r="F5189" s="13" t="n">
        <f aca="false">IFERROR(E5189*Eingaben!$B$15,0)</f>
        <v>2.5137</v>
      </c>
      <c r="G5189" s="13" t="n">
        <f aca="false">IFERROR(IF(Kalender!A65="",0,J5188*(1-Eingaben!$B$20)),0)</f>
        <v>1.709316</v>
      </c>
      <c r="H5189" s="13" t="n">
        <f aca="false">MIN(G5189,D5189)</f>
        <v>1.709316</v>
      </c>
      <c r="I5189" s="13" t="n">
        <f aca="false">IFERROR(MIN(F5189*Eingaben!$B$19,MAX(0,D5189-H5189)),0)</f>
        <v>1.75959</v>
      </c>
      <c r="J5189" s="13" t="n">
        <f aca="false">IFERROR(MIN(Eingaben!$B$18,MAX(0,F5189-I5189)),0)</f>
        <v>0.75411</v>
      </c>
      <c r="K5189" s="13" t="n">
        <f aca="false">H5189+I5189</f>
        <v>3.468906</v>
      </c>
      <c r="L5189" s="13" t="n">
        <f aca="false">MAX(0,D5189-K5189)</f>
        <v>1.471094</v>
      </c>
      <c r="M5189" s="13" t="n">
        <f aca="false">MAX(0,F5189-I5189-J5189)</f>
        <v>0</v>
      </c>
      <c r="N5189" s="13" t="n">
        <f aca="false">IF(Kalender!A65="",0,J5188-H5189)</f>
        <v>0.0348840000000001</v>
      </c>
    </row>
    <row r="5190" customFormat="false" ht="16.4" hidden="false" customHeight="false" outlineLevel="0" collapsed="false">
      <c r="A5190" s="13" t="str">
        <f aca="false">""</f>
        <v/>
      </c>
      <c r="B5190" s="13" t="n">
        <f aca="false">62</f>
        <v>62</v>
      </c>
      <c r="C5190" s="13" t="n">
        <f aca="false">IF(Szenarien!$H$25="OK",(IFERROR(SUMIF(Nutzungsprofile!$B$6:$B$11,"Schulbetrieb",Nutzungsprofile!$G$6:$G$11)*Kalender!C66/SUM(Kalender!$C$5:$C$370),0)+IFERROR(SUMIF(Nutzungsprofile!$B$6:$B$11,"Halle",Nutzungsprofile!$G$6:$G$11)*Kalender!D66/SUM(Kalender!$D$5:$D$370),0)+IFERROR(SUMIF(Nutzungsprofile!$B$6:$B$11,"Individuell",Nutzungsprofile!$G$6:$G$11)*Kalender!E66/SUM(Kalender!$E$5:$E$370),0))*Szenarien!$E$25,0)</f>
        <v>2.94</v>
      </c>
      <c r="D5190" s="13" t="n">
        <f aca="false">IF(Szenarien!$H$25="OK",(IFERROR(SUMIF(Nutzungsprofile!$B$17:$B$22,"Schulbetrieb",Nutzungsprofile!$G$17:$G$22)*Kalender!C66/SUM(Kalender!$C$5:$C$370),0)+IFERROR(SUMIF(Nutzungsprofile!$B$17:$B$22,"Halle",Nutzungsprofile!$G$17:$G$22)*Kalender!D66/SUM(Kalender!$D$5:$D$370),0)+IFERROR(SUMIF(Nutzungsprofile!$B$17:$B$22,"Individuell",Nutzungsprofile!$G$17:$G$22)*Kalender!E66/SUM(Kalender!$E$5:$E$370),0))*Szenarien!$D$25,0)</f>
        <v>4.94</v>
      </c>
      <c r="E5190" s="13" t="n">
        <f aca="false">IFERROR(MIN(C5190,Eingaben!$B$17)*Eingaben!$B$16,0)</f>
        <v>2.793</v>
      </c>
      <c r="F5190" s="13" t="n">
        <f aca="false">IFERROR(E5190*Eingaben!$B$15,0)</f>
        <v>2.5137</v>
      </c>
      <c r="G5190" s="13" t="n">
        <f aca="false">IFERROR(IF(Kalender!A66="",0,J5189*(1-Eingaben!$B$20)),0)</f>
        <v>0.7390278</v>
      </c>
      <c r="H5190" s="13" t="n">
        <f aca="false">MIN(G5190,D5190)</f>
        <v>0.7390278</v>
      </c>
      <c r="I5190" s="13" t="n">
        <f aca="false">IFERROR(MIN(F5190*Eingaben!$B$19,MAX(0,D5190-H5190)),0)</f>
        <v>1.75959</v>
      </c>
      <c r="J5190" s="13" t="n">
        <f aca="false">IFERROR(MIN(Eingaben!$B$18,MAX(0,F5190-I5190)),0)</f>
        <v>0.75411</v>
      </c>
      <c r="K5190" s="13" t="n">
        <f aca="false">H5190+I5190</f>
        <v>2.4986178</v>
      </c>
      <c r="L5190" s="13" t="n">
        <f aca="false">MAX(0,D5190-K5190)</f>
        <v>2.4413822</v>
      </c>
      <c r="M5190" s="13" t="n">
        <f aca="false">MAX(0,F5190-I5190-J5190)</f>
        <v>0</v>
      </c>
      <c r="N5190" s="13" t="n">
        <f aca="false">IF(Kalender!A66="",0,J5189-H5190)</f>
        <v>0.0150822</v>
      </c>
    </row>
    <row r="5191" customFormat="false" ht="16.4" hidden="false" customHeight="false" outlineLevel="0" collapsed="false">
      <c r="A5191" s="13" t="str">
        <f aca="false">""</f>
        <v/>
      </c>
      <c r="B5191" s="13" t="n">
        <f aca="false">63</f>
        <v>63</v>
      </c>
      <c r="C5191" s="13" t="n">
        <f aca="false">IF(Szenarien!$H$25="OK",(IFERROR(SUMIF(Nutzungsprofile!$B$6:$B$11,"Schulbetrieb",Nutzungsprofile!$G$6:$G$11)*Kalender!C67/SUM(Kalender!$C$5:$C$370),0)+IFERROR(SUMIF(Nutzungsprofile!$B$6:$B$11,"Halle",Nutzungsprofile!$G$6:$G$11)*Kalender!D67/SUM(Kalender!$D$5:$D$370),0)+IFERROR(SUMIF(Nutzungsprofile!$B$6:$B$11,"Individuell",Nutzungsprofile!$G$6:$G$11)*Kalender!E67/SUM(Kalender!$E$5:$E$370),0))*Szenarien!$E$25,0)</f>
        <v>2.94</v>
      </c>
      <c r="D5191" s="13" t="n">
        <f aca="false">IF(Szenarien!$H$25="OK",(IFERROR(SUMIF(Nutzungsprofile!$B$17:$B$22,"Schulbetrieb",Nutzungsprofile!$G$17:$G$22)*Kalender!C67/SUM(Kalender!$C$5:$C$370),0)+IFERROR(SUMIF(Nutzungsprofile!$B$17:$B$22,"Halle",Nutzungsprofile!$G$17:$G$22)*Kalender!D67/SUM(Kalender!$D$5:$D$370),0)+IFERROR(SUMIF(Nutzungsprofile!$B$17:$B$22,"Individuell",Nutzungsprofile!$G$17:$G$22)*Kalender!E67/SUM(Kalender!$E$5:$E$370),0))*Szenarien!$D$25,0)</f>
        <v>4.94</v>
      </c>
      <c r="E5191" s="13" t="n">
        <f aca="false">IFERROR(MIN(C5191,Eingaben!$B$17)*Eingaben!$B$16,0)</f>
        <v>2.793</v>
      </c>
      <c r="F5191" s="13" t="n">
        <f aca="false">IFERROR(E5191*Eingaben!$B$15,0)</f>
        <v>2.5137</v>
      </c>
      <c r="G5191" s="13" t="n">
        <f aca="false">IFERROR(IF(Kalender!A67="",0,J5190*(1-Eingaben!$B$20)),0)</f>
        <v>0.7390278</v>
      </c>
      <c r="H5191" s="13" t="n">
        <f aca="false">MIN(G5191,D5191)</f>
        <v>0.7390278</v>
      </c>
      <c r="I5191" s="13" t="n">
        <f aca="false">IFERROR(MIN(F5191*Eingaben!$B$19,MAX(0,D5191-H5191)),0)</f>
        <v>1.75959</v>
      </c>
      <c r="J5191" s="13" t="n">
        <f aca="false">IFERROR(MIN(Eingaben!$B$18,MAX(0,F5191-I5191)),0)</f>
        <v>0.75411</v>
      </c>
      <c r="K5191" s="13" t="n">
        <f aca="false">H5191+I5191</f>
        <v>2.4986178</v>
      </c>
      <c r="L5191" s="13" t="n">
        <f aca="false">MAX(0,D5191-K5191)</f>
        <v>2.4413822</v>
      </c>
      <c r="M5191" s="13" t="n">
        <f aca="false">MAX(0,F5191-I5191-J5191)</f>
        <v>0</v>
      </c>
      <c r="N5191" s="13" t="n">
        <f aca="false">IF(Kalender!A67="",0,J5190-H5191)</f>
        <v>0.0150822</v>
      </c>
    </row>
    <row r="5192" customFormat="false" ht="16.4" hidden="false" customHeight="false" outlineLevel="0" collapsed="false">
      <c r="A5192" s="13" t="str">
        <f aca="false">""</f>
        <v/>
      </c>
      <c r="B5192" s="13" t="n">
        <f aca="false">64</f>
        <v>64</v>
      </c>
      <c r="C5192" s="13" t="n">
        <f aca="false">IF(Szenarien!$H$25="OK",(IFERROR(SUMIF(Nutzungsprofile!$B$6:$B$11,"Schulbetrieb",Nutzungsprofile!$G$6:$G$11)*Kalender!C68/SUM(Kalender!$C$5:$C$370),0)+IFERROR(SUMIF(Nutzungsprofile!$B$6:$B$11,"Halle",Nutzungsprofile!$G$6:$G$11)*Kalender!D68/SUM(Kalender!$D$5:$D$370),0)+IFERROR(SUMIF(Nutzungsprofile!$B$6:$B$11,"Individuell",Nutzungsprofile!$G$6:$G$11)*Kalender!E68/SUM(Kalender!$E$5:$E$370),0))*Szenarien!$E$25,0)</f>
        <v>2.94</v>
      </c>
      <c r="D5192" s="13" t="n">
        <f aca="false">IF(Szenarien!$H$25="OK",(IFERROR(SUMIF(Nutzungsprofile!$B$17:$B$22,"Schulbetrieb",Nutzungsprofile!$G$17:$G$22)*Kalender!C68/SUM(Kalender!$C$5:$C$370),0)+IFERROR(SUMIF(Nutzungsprofile!$B$17:$B$22,"Halle",Nutzungsprofile!$G$17:$G$22)*Kalender!D68/SUM(Kalender!$D$5:$D$370),0)+IFERROR(SUMIF(Nutzungsprofile!$B$17:$B$22,"Individuell",Nutzungsprofile!$G$17:$G$22)*Kalender!E68/SUM(Kalender!$E$5:$E$370),0))*Szenarien!$D$25,0)</f>
        <v>4.94</v>
      </c>
      <c r="E5192" s="13" t="n">
        <f aca="false">IFERROR(MIN(C5192,Eingaben!$B$17)*Eingaben!$B$16,0)</f>
        <v>2.793</v>
      </c>
      <c r="F5192" s="13" t="n">
        <f aca="false">IFERROR(E5192*Eingaben!$B$15,0)</f>
        <v>2.5137</v>
      </c>
      <c r="G5192" s="13" t="n">
        <f aca="false">IFERROR(IF(Kalender!A68="",0,J5191*(1-Eingaben!$B$20)),0)</f>
        <v>0.7390278</v>
      </c>
      <c r="H5192" s="13" t="n">
        <f aca="false">MIN(G5192,D5192)</f>
        <v>0.7390278</v>
      </c>
      <c r="I5192" s="13" t="n">
        <f aca="false">IFERROR(MIN(F5192*Eingaben!$B$19,MAX(0,D5192-H5192)),0)</f>
        <v>1.75959</v>
      </c>
      <c r="J5192" s="13" t="n">
        <f aca="false">IFERROR(MIN(Eingaben!$B$18,MAX(0,F5192-I5192)),0)</f>
        <v>0.75411</v>
      </c>
      <c r="K5192" s="13" t="n">
        <f aca="false">H5192+I5192</f>
        <v>2.4986178</v>
      </c>
      <c r="L5192" s="13" t="n">
        <f aca="false">MAX(0,D5192-K5192)</f>
        <v>2.4413822</v>
      </c>
      <c r="M5192" s="13" t="n">
        <f aca="false">MAX(0,F5192-I5192-J5192)</f>
        <v>0</v>
      </c>
      <c r="N5192" s="13" t="n">
        <f aca="false">IF(Kalender!A68="",0,J5191-H5192)</f>
        <v>0.0150822</v>
      </c>
    </row>
    <row r="5193" customFormat="false" ht="16.4" hidden="false" customHeight="false" outlineLevel="0" collapsed="false">
      <c r="A5193" s="13" t="str">
        <f aca="false">""</f>
        <v/>
      </c>
      <c r="B5193" s="13" t="n">
        <f aca="false">65</f>
        <v>65</v>
      </c>
      <c r="C5193" s="13" t="n">
        <f aca="false">IF(Szenarien!$H$25="OK",(IFERROR(SUMIF(Nutzungsprofile!$B$6:$B$11,"Schulbetrieb",Nutzungsprofile!$G$6:$G$11)*Kalender!C69/SUM(Kalender!$C$5:$C$370),0)+IFERROR(SUMIF(Nutzungsprofile!$B$6:$B$11,"Halle",Nutzungsprofile!$G$6:$G$11)*Kalender!D69/SUM(Kalender!$D$5:$D$370),0)+IFERROR(SUMIF(Nutzungsprofile!$B$6:$B$11,"Individuell",Nutzungsprofile!$G$6:$G$11)*Kalender!E69/SUM(Kalender!$E$5:$E$370),0))*Szenarien!$E$25,0)</f>
        <v>2.94</v>
      </c>
      <c r="D5193" s="13" t="n">
        <f aca="false">IF(Szenarien!$H$25="OK",(IFERROR(SUMIF(Nutzungsprofile!$B$17:$B$22,"Schulbetrieb",Nutzungsprofile!$G$17:$G$22)*Kalender!C69/SUM(Kalender!$C$5:$C$370),0)+IFERROR(SUMIF(Nutzungsprofile!$B$17:$B$22,"Halle",Nutzungsprofile!$G$17:$G$22)*Kalender!D69/SUM(Kalender!$D$5:$D$370),0)+IFERROR(SUMIF(Nutzungsprofile!$B$17:$B$22,"Individuell",Nutzungsprofile!$G$17:$G$22)*Kalender!E69/SUM(Kalender!$E$5:$E$370),0))*Szenarien!$D$25,0)</f>
        <v>4.94</v>
      </c>
      <c r="E5193" s="13" t="n">
        <f aca="false">IFERROR(MIN(C5193,Eingaben!$B$17)*Eingaben!$B$16,0)</f>
        <v>2.793</v>
      </c>
      <c r="F5193" s="13" t="n">
        <f aca="false">IFERROR(E5193*Eingaben!$B$15,0)</f>
        <v>2.5137</v>
      </c>
      <c r="G5193" s="13" t="n">
        <f aca="false">IFERROR(IF(Kalender!A69="",0,J5192*(1-Eingaben!$B$20)),0)</f>
        <v>0.7390278</v>
      </c>
      <c r="H5193" s="13" t="n">
        <f aca="false">MIN(G5193,D5193)</f>
        <v>0.7390278</v>
      </c>
      <c r="I5193" s="13" t="n">
        <f aca="false">IFERROR(MIN(F5193*Eingaben!$B$19,MAX(0,D5193-H5193)),0)</f>
        <v>1.75959</v>
      </c>
      <c r="J5193" s="13" t="n">
        <f aca="false">IFERROR(MIN(Eingaben!$B$18,MAX(0,F5193-I5193)),0)</f>
        <v>0.75411</v>
      </c>
      <c r="K5193" s="13" t="n">
        <f aca="false">H5193+I5193</f>
        <v>2.4986178</v>
      </c>
      <c r="L5193" s="13" t="n">
        <f aca="false">MAX(0,D5193-K5193)</f>
        <v>2.4413822</v>
      </c>
      <c r="M5193" s="13" t="n">
        <f aca="false">MAX(0,F5193-I5193-J5193)</f>
        <v>0</v>
      </c>
      <c r="N5193" s="13" t="n">
        <f aca="false">IF(Kalender!A69="",0,J5192-H5193)</f>
        <v>0.0150822</v>
      </c>
    </row>
    <row r="5194" customFormat="false" ht="16.4" hidden="false" customHeight="false" outlineLevel="0" collapsed="false">
      <c r="A5194" s="13" t="str">
        <f aca="false">""</f>
        <v/>
      </c>
      <c r="B5194" s="13" t="n">
        <f aca="false">66</f>
        <v>66</v>
      </c>
      <c r="C5194" s="13" t="n">
        <f aca="false">IF(Szenarien!$H$25="OK",(IFERROR(SUMIF(Nutzungsprofile!$B$6:$B$11,"Schulbetrieb",Nutzungsprofile!$G$6:$G$11)*Kalender!C70/SUM(Kalender!$C$5:$C$370),0)+IFERROR(SUMIF(Nutzungsprofile!$B$6:$B$11,"Halle",Nutzungsprofile!$G$6:$G$11)*Kalender!D70/SUM(Kalender!$D$5:$D$370),0)+IFERROR(SUMIF(Nutzungsprofile!$B$6:$B$11,"Individuell",Nutzungsprofile!$G$6:$G$11)*Kalender!E70/SUM(Kalender!$E$5:$E$370),0))*Szenarien!$E$25,0)</f>
        <v>2.04</v>
      </c>
      <c r="D5194" s="13" t="n">
        <f aca="false">IF(Szenarien!$H$25="OK",(IFERROR(SUMIF(Nutzungsprofile!$B$17:$B$22,"Schulbetrieb",Nutzungsprofile!$G$17:$G$22)*Kalender!C70/SUM(Kalender!$C$5:$C$370),0)+IFERROR(SUMIF(Nutzungsprofile!$B$17:$B$22,"Halle",Nutzungsprofile!$G$17:$G$22)*Kalender!D70/SUM(Kalender!$D$5:$D$370),0)+IFERROR(SUMIF(Nutzungsprofile!$B$17:$B$22,"Individuell",Nutzungsprofile!$G$17:$G$22)*Kalender!E70/SUM(Kalender!$E$5:$E$370),0))*Szenarien!$D$25,0)</f>
        <v>0.89</v>
      </c>
      <c r="E5194" s="13" t="n">
        <f aca="false">IFERROR(MIN(C5194,Eingaben!$B$17)*Eingaben!$B$16,0)</f>
        <v>1.938</v>
      </c>
      <c r="F5194" s="13" t="n">
        <f aca="false">IFERROR(E5194*Eingaben!$B$15,0)</f>
        <v>1.7442</v>
      </c>
      <c r="G5194" s="13" t="n">
        <f aca="false">IFERROR(IF(Kalender!A70="",0,J5193*(1-Eingaben!$B$20)),0)</f>
        <v>0.7390278</v>
      </c>
      <c r="H5194" s="13" t="n">
        <f aca="false">MIN(G5194,D5194)</f>
        <v>0.7390278</v>
      </c>
      <c r="I5194" s="13" t="n">
        <f aca="false">IFERROR(MIN(F5194*Eingaben!$B$19,MAX(0,D5194-H5194)),0)</f>
        <v>0.1509722</v>
      </c>
      <c r="J5194" s="13" t="n">
        <f aca="false">IFERROR(MIN(Eingaben!$B$18,MAX(0,F5194-I5194)),0)</f>
        <v>1.5932278</v>
      </c>
      <c r="K5194" s="13" t="n">
        <f aca="false">H5194+I5194</f>
        <v>0.89</v>
      </c>
      <c r="L5194" s="13" t="n">
        <f aca="false">MAX(0,D5194-K5194)</f>
        <v>0</v>
      </c>
      <c r="M5194" s="13" t="n">
        <f aca="false">MAX(0,F5194-I5194-J5194)</f>
        <v>0</v>
      </c>
      <c r="N5194" s="13" t="n">
        <f aca="false">IF(Kalender!A70="",0,J5193-H5194)</f>
        <v>0.0150822</v>
      </c>
    </row>
    <row r="5195" customFormat="false" ht="16.4" hidden="false" customHeight="false" outlineLevel="0" collapsed="false">
      <c r="A5195" s="13" t="str">
        <f aca="false">""</f>
        <v/>
      </c>
      <c r="B5195" s="13" t="n">
        <f aca="false">67</f>
        <v>67</v>
      </c>
      <c r="C5195" s="13" t="n">
        <f aca="false">IF(Szenarien!$H$25="OK",(IFERROR(SUMIF(Nutzungsprofile!$B$6:$B$11,"Schulbetrieb",Nutzungsprofile!$G$6:$G$11)*Kalender!C71/SUM(Kalender!$C$5:$C$370),0)+IFERROR(SUMIF(Nutzungsprofile!$B$6:$B$11,"Halle",Nutzungsprofile!$G$6:$G$11)*Kalender!D71/SUM(Kalender!$D$5:$D$370),0)+IFERROR(SUMIF(Nutzungsprofile!$B$6:$B$11,"Individuell",Nutzungsprofile!$G$6:$G$11)*Kalender!E71/SUM(Kalender!$E$5:$E$370),0))*Szenarien!$E$25,0)</f>
        <v>2.04</v>
      </c>
      <c r="D5195" s="13" t="n">
        <f aca="false">IF(Szenarien!$H$25="OK",(IFERROR(SUMIF(Nutzungsprofile!$B$17:$B$22,"Schulbetrieb",Nutzungsprofile!$G$17:$G$22)*Kalender!C71/SUM(Kalender!$C$5:$C$370),0)+IFERROR(SUMIF(Nutzungsprofile!$B$17:$B$22,"Halle",Nutzungsprofile!$G$17:$G$22)*Kalender!D71/SUM(Kalender!$D$5:$D$370),0)+IFERROR(SUMIF(Nutzungsprofile!$B$17:$B$22,"Individuell",Nutzungsprofile!$G$17:$G$22)*Kalender!E71/SUM(Kalender!$E$5:$E$370),0))*Szenarien!$D$25,0)</f>
        <v>0.89</v>
      </c>
      <c r="E5195" s="13" t="n">
        <f aca="false">IFERROR(MIN(C5195,Eingaben!$B$17)*Eingaben!$B$16,0)</f>
        <v>1.938</v>
      </c>
      <c r="F5195" s="13" t="n">
        <f aca="false">IFERROR(E5195*Eingaben!$B$15,0)</f>
        <v>1.7442</v>
      </c>
      <c r="G5195" s="13" t="n">
        <f aca="false">IFERROR(IF(Kalender!A71="",0,J5194*(1-Eingaben!$B$20)),0)</f>
        <v>1.561363244</v>
      </c>
      <c r="H5195" s="13" t="n">
        <f aca="false">MIN(G5195,D5195)</f>
        <v>0.89</v>
      </c>
      <c r="I5195" s="13" t="n">
        <f aca="false">IFERROR(MIN(F5195*Eingaben!$B$19,MAX(0,D5195-H5195)),0)</f>
        <v>0</v>
      </c>
      <c r="J5195" s="13" t="n">
        <f aca="false">IFERROR(MIN(Eingaben!$B$18,MAX(0,F5195-I5195)),0)</f>
        <v>1.7442</v>
      </c>
      <c r="K5195" s="13" t="n">
        <f aca="false">H5195+I5195</f>
        <v>0.89</v>
      </c>
      <c r="L5195" s="13" t="n">
        <f aca="false">MAX(0,D5195-K5195)</f>
        <v>0</v>
      </c>
      <c r="M5195" s="13" t="n">
        <f aca="false">MAX(0,F5195-I5195-J5195)</f>
        <v>0</v>
      </c>
      <c r="N5195" s="13" t="n">
        <f aca="false">IF(Kalender!A71="",0,J5194-H5195)</f>
        <v>0.7032278</v>
      </c>
    </row>
    <row r="5196" customFormat="false" ht="16.4" hidden="false" customHeight="false" outlineLevel="0" collapsed="false">
      <c r="A5196" s="13" t="str">
        <f aca="false">""</f>
        <v/>
      </c>
      <c r="B5196" s="13" t="n">
        <f aca="false">68</f>
        <v>68</v>
      </c>
      <c r="C5196" s="13" t="n">
        <f aca="false">IF(Szenarien!$H$25="OK",(IFERROR(SUMIF(Nutzungsprofile!$B$6:$B$11,"Schulbetrieb",Nutzungsprofile!$G$6:$G$11)*Kalender!C72/SUM(Kalender!$C$5:$C$370),0)+IFERROR(SUMIF(Nutzungsprofile!$B$6:$B$11,"Halle",Nutzungsprofile!$G$6:$G$11)*Kalender!D72/SUM(Kalender!$D$5:$D$370),0)+IFERROR(SUMIF(Nutzungsprofile!$B$6:$B$11,"Individuell",Nutzungsprofile!$G$6:$G$11)*Kalender!E72/SUM(Kalender!$E$5:$E$370),0))*Szenarien!$E$25,0)</f>
        <v>2.94</v>
      </c>
      <c r="D5196" s="13" t="n">
        <f aca="false">IF(Szenarien!$H$25="OK",(IFERROR(SUMIF(Nutzungsprofile!$B$17:$B$22,"Schulbetrieb",Nutzungsprofile!$G$17:$G$22)*Kalender!C72/SUM(Kalender!$C$5:$C$370),0)+IFERROR(SUMIF(Nutzungsprofile!$B$17:$B$22,"Halle",Nutzungsprofile!$G$17:$G$22)*Kalender!D72/SUM(Kalender!$D$5:$D$370),0)+IFERROR(SUMIF(Nutzungsprofile!$B$17:$B$22,"Individuell",Nutzungsprofile!$G$17:$G$22)*Kalender!E72/SUM(Kalender!$E$5:$E$370),0))*Szenarien!$D$25,0)</f>
        <v>4.94</v>
      </c>
      <c r="E5196" s="13" t="n">
        <f aca="false">IFERROR(MIN(C5196,Eingaben!$B$17)*Eingaben!$B$16,0)</f>
        <v>2.793</v>
      </c>
      <c r="F5196" s="13" t="n">
        <f aca="false">IFERROR(E5196*Eingaben!$B$15,0)</f>
        <v>2.5137</v>
      </c>
      <c r="G5196" s="13" t="n">
        <f aca="false">IFERROR(IF(Kalender!A72="",0,J5195*(1-Eingaben!$B$20)),0)</f>
        <v>1.709316</v>
      </c>
      <c r="H5196" s="13" t="n">
        <f aca="false">MIN(G5196,D5196)</f>
        <v>1.709316</v>
      </c>
      <c r="I5196" s="13" t="n">
        <f aca="false">IFERROR(MIN(F5196*Eingaben!$B$19,MAX(0,D5196-H5196)),0)</f>
        <v>1.75959</v>
      </c>
      <c r="J5196" s="13" t="n">
        <f aca="false">IFERROR(MIN(Eingaben!$B$18,MAX(0,F5196-I5196)),0)</f>
        <v>0.75411</v>
      </c>
      <c r="K5196" s="13" t="n">
        <f aca="false">H5196+I5196</f>
        <v>3.468906</v>
      </c>
      <c r="L5196" s="13" t="n">
        <f aca="false">MAX(0,D5196-K5196)</f>
        <v>1.471094</v>
      </c>
      <c r="M5196" s="13" t="n">
        <f aca="false">MAX(0,F5196-I5196-J5196)</f>
        <v>0</v>
      </c>
      <c r="N5196" s="13" t="n">
        <f aca="false">IF(Kalender!A72="",0,J5195-H5196)</f>
        <v>0.0348840000000001</v>
      </c>
    </row>
    <row r="5197" customFormat="false" ht="16.4" hidden="false" customHeight="false" outlineLevel="0" collapsed="false">
      <c r="A5197" s="13" t="str">
        <f aca="false">""</f>
        <v/>
      </c>
      <c r="B5197" s="13" t="n">
        <f aca="false">69</f>
        <v>69</v>
      </c>
      <c r="C5197" s="13" t="n">
        <f aca="false">IF(Szenarien!$H$25="OK",(IFERROR(SUMIF(Nutzungsprofile!$B$6:$B$11,"Schulbetrieb",Nutzungsprofile!$G$6:$G$11)*Kalender!C73/SUM(Kalender!$C$5:$C$370),0)+IFERROR(SUMIF(Nutzungsprofile!$B$6:$B$11,"Halle",Nutzungsprofile!$G$6:$G$11)*Kalender!D73/SUM(Kalender!$D$5:$D$370),0)+IFERROR(SUMIF(Nutzungsprofile!$B$6:$B$11,"Individuell",Nutzungsprofile!$G$6:$G$11)*Kalender!E73/SUM(Kalender!$E$5:$E$370),0))*Szenarien!$E$25,0)</f>
        <v>2.94</v>
      </c>
      <c r="D5197" s="13" t="n">
        <f aca="false">IF(Szenarien!$H$25="OK",(IFERROR(SUMIF(Nutzungsprofile!$B$17:$B$22,"Schulbetrieb",Nutzungsprofile!$G$17:$G$22)*Kalender!C73/SUM(Kalender!$C$5:$C$370),0)+IFERROR(SUMIF(Nutzungsprofile!$B$17:$B$22,"Halle",Nutzungsprofile!$G$17:$G$22)*Kalender!D73/SUM(Kalender!$D$5:$D$370),0)+IFERROR(SUMIF(Nutzungsprofile!$B$17:$B$22,"Individuell",Nutzungsprofile!$G$17:$G$22)*Kalender!E73/SUM(Kalender!$E$5:$E$370),0))*Szenarien!$D$25,0)</f>
        <v>4.94</v>
      </c>
      <c r="E5197" s="13" t="n">
        <f aca="false">IFERROR(MIN(C5197,Eingaben!$B$17)*Eingaben!$B$16,0)</f>
        <v>2.793</v>
      </c>
      <c r="F5197" s="13" t="n">
        <f aca="false">IFERROR(E5197*Eingaben!$B$15,0)</f>
        <v>2.5137</v>
      </c>
      <c r="G5197" s="13" t="n">
        <f aca="false">IFERROR(IF(Kalender!A73="",0,J5196*(1-Eingaben!$B$20)),0)</f>
        <v>0.7390278</v>
      </c>
      <c r="H5197" s="13" t="n">
        <f aca="false">MIN(G5197,D5197)</f>
        <v>0.7390278</v>
      </c>
      <c r="I5197" s="13" t="n">
        <f aca="false">IFERROR(MIN(F5197*Eingaben!$B$19,MAX(0,D5197-H5197)),0)</f>
        <v>1.75959</v>
      </c>
      <c r="J5197" s="13" t="n">
        <f aca="false">IFERROR(MIN(Eingaben!$B$18,MAX(0,F5197-I5197)),0)</f>
        <v>0.75411</v>
      </c>
      <c r="K5197" s="13" t="n">
        <f aca="false">H5197+I5197</f>
        <v>2.4986178</v>
      </c>
      <c r="L5197" s="13" t="n">
        <f aca="false">MAX(0,D5197-K5197)</f>
        <v>2.4413822</v>
      </c>
      <c r="M5197" s="13" t="n">
        <f aca="false">MAX(0,F5197-I5197-J5197)</f>
        <v>0</v>
      </c>
      <c r="N5197" s="13" t="n">
        <f aca="false">IF(Kalender!A73="",0,J5196-H5197)</f>
        <v>0.0150822</v>
      </c>
    </row>
    <row r="5198" customFormat="false" ht="16.4" hidden="false" customHeight="false" outlineLevel="0" collapsed="false">
      <c r="A5198" s="13" t="str">
        <f aca="false">""</f>
        <v/>
      </c>
      <c r="B5198" s="13" t="n">
        <f aca="false">70</f>
        <v>70</v>
      </c>
      <c r="C5198" s="13" t="n">
        <f aca="false">IF(Szenarien!$H$25="OK",(IFERROR(SUMIF(Nutzungsprofile!$B$6:$B$11,"Schulbetrieb",Nutzungsprofile!$G$6:$G$11)*Kalender!C74/SUM(Kalender!$C$5:$C$370),0)+IFERROR(SUMIF(Nutzungsprofile!$B$6:$B$11,"Halle",Nutzungsprofile!$G$6:$G$11)*Kalender!D74/SUM(Kalender!$D$5:$D$370),0)+IFERROR(SUMIF(Nutzungsprofile!$B$6:$B$11,"Individuell",Nutzungsprofile!$G$6:$G$11)*Kalender!E74/SUM(Kalender!$E$5:$E$370),0))*Szenarien!$E$25,0)</f>
        <v>2.94</v>
      </c>
      <c r="D5198" s="13" t="n">
        <f aca="false">IF(Szenarien!$H$25="OK",(IFERROR(SUMIF(Nutzungsprofile!$B$17:$B$22,"Schulbetrieb",Nutzungsprofile!$G$17:$G$22)*Kalender!C74/SUM(Kalender!$C$5:$C$370),0)+IFERROR(SUMIF(Nutzungsprofile!$B$17:$B$22,"Halle",Nutzungsprofile!$G$17:$G$22)*Kalender!D74/SUM(Kalender!$D$5:$D$370),0)+IFERROR(SUMIF(Nutzungsprofile!$B$17:$B$22,"Individuell",Nutzungsprofile!$G$17:$G$22)*Kalender!E74/SUM(Kalender!$E$5:$E$370),0))*Szenarien!$D$25,0)</f>
        <v>4.94</v>
      </c>
      <c r="E5198" s="13" t="n">
        <f aca="false">IFERROR(MIN(C5198,Eingaben!$B$17)*Eingaben!$B$16,0)</f>
        <v>2.793</v>
      </c>
      <c r="F5198" s="13" t="n">
        <f aca="false">IFERROR(E5198*Eingaben!$B$15,0)</f>
        <v>2.5137</v>
      </c>
      <c r="G5198" s="13" t="n">
        <f aca="false">IFERROR(IF(Kalender!A74="",0,J5197*(1-Eingaben!$B$20)),0)</f>
        <v>0.7390278</v>
      </c>
      <c r="H5198" s="13" t="n">
        <f aca="false">MIN(G5198,D5198)</f>
        <v>0.7390278</v>
      </c>
      <c r="I5198" s="13" t="n">
        <f aca="false">IFERROR(MIN(F5198*Eingaben!$B$19,MAX(0,D5198-H5198)),0)</f>
        <v>1.75959</v>
      </c>
      <c r="J5198" s="13" t="n">
        <f aca="false">IFERROR(MIN(Eingaben!$B$18,MAX(0,F5198-I5198)),0)</f>
        <v>0.75411</v>
      </c>
      <c r="K5198" s="13" t="n">
        <f aca="false">H5198+I5198</f>
        <v>2.4986178</v>
      </c>
      <c r="L5198" s="13" t="n">
        <f aca="false">MAX(0,D5198-K5198)</f>
        <v>2.4413822</v>
      </c>
      <c r="M5198" s="13" t="n">
        <f aca="false">MAX(0,F5198-I5198-J5198)</f>
        <v>0</v>
      </c>
      <c r="N5198" s="13" t="n">
        <f aca="false">IF(Kalender!A74="",0,J5197-H5198)</f>
        <v>0.0150822</v>
      </c>
    </row>
    <row r="5199" customFormat="false" ht="16.4" hidden="false" customHeight="false" outlineLevel="0" collapsed="false">
      <c r="A5199" s="13" t="str">
        <f aca="false">""</f>
        <v/>
      </c>
      <c r="B5199" s="13" t="n">
        <f aca="false">71</f>
        <v>71</v>
      </c>
      <c r="C5199" s="13" t="n">
        <f aca="false">IF(Szenarien!$H$25="OK",(IFERROR(SUMIF(Nutzungsprofile!$B$6:$B$11,"Schulbetrieb",Nutzungsprofile!$G$6:$G$11)*Kalender!C75/SUM(Kalender!$C$5:$C$370),0)+IFERROR(SUMIF(Nutzungsprofile!$B$6:$B$11,"Halle",Nutzungsprofile!$G$6:$G$11)*Kalender!D75/SUM(Kalender!$D$5:$D$370),0)+IFERROR(SUMIF(Nutzungsprofile!$B$6:$B$11,"Individuell",Nutzungsprofile!$G$6:$G$11)*Kalender!E75/SUM(Kalender!$E$5:$E$370),0))*Szenarien!$E$25,0)</f>
        <v>2.94</v>
      </c>
      <c r="D5199" s="13" t="n">
        <f aca="false">IF(Szenarien!$H$25="OK",(IFERROR(SUMIF(Nutzungsprofile!$B$17:$B$22,"Schulbetrieb",Nutzungsprofile!$G$17:$G$22)*Kalender!C75/SUM(Kalender!$C$5:$C$370),0)+IFERROR(SUMIF(Nutzungsprofile!$B$17:$B$22,"Halle",Nutzungsprofile!$G$17:$G$22)*Kalender!D75/SUM(Kalender!$D$5:$D$370),0)+IFERROR(SUMIF(Nutzungsprofile!$B$17:$B$22,"Individuell",Nutzungsprofile!$G$17:$G$22)*Kalender!E75/SUM(Kalender!$E$5:$E$370),0))*Szenarien!$D$25,0)</f>
        <v>4.94</v>
      </c>
      <c r="E5199" s="13" t="n">
        <f aca="false">IFERROR(MIN(C5199,Eingaben!$B$17)*Eingaben!$B$16,0)</f>
        <v>2.793</v>
      </c>
      <c r="F5199" s="13" t="n">
        <f aca="false">IFERROR(E5199*Eingaben!$B$15,0)</f>
        <v>2.5137</v>
      </c>
      <c r="G5199" s="13" t="n">
        <f aca="false">IFERROR(IF(Kalender!A75="",0,J5198*(1-Eingaben!$B$20)),0)</f>
        <v>0.7390278</v>
      </c>
      <c r="H5199" s="13" t="n">
        <f aca="false">MIN(G5199,D5199)</f>
        <v>0.7390278</v>
      </c>
      <c r="I5199" s="13" t="n">
        <f aca="false">IFERROR(MIN(F5199*Eingaben!$B$19,MAX(0,D5199-H5199)),0)</f>
        <v>1.75959</v>
      </c>
      <c r="J5199" s="13" t="n">
        <f aca="false">IFERROR(MIN(Eingaben!$B$18,MAX(0,F5199-I5199)),0)</f>
        <v>0.75411</v>
      </c>
      <c r="K5199" s="13" t="n">
        <f aca="false">H5199+I5199</f>
        <v>2.4986178</v>
      </c>
      <c r="L5199" s="13" t="n">
        <f aca="false">MAX(0,D5199-K5199)</f>
        <v>2.4413822</v>
      </c>
      <c r="M5199" s="13" t="n">
        <f aca="false">MAX(0,F5199-I5199-J5199)</f>
        <v>0</v>
      </c>
      <c r="N5199" s="13" t="n">
        <f aca="false">IF(Kalender!A75="",0,J5198-H5199)</f>
        <v>0.0150822</v>
      </c>
    </row>
    <row r="5200" customFormat="false" ht="16.4" hidden="false" customHeight="false" outlineLevel="0" collapsed="false">
      <c r="A5200" s="13" t="str">
        <f aca="false">""</f>
        <v/>
      </c>
      <c r="B5200" s="13" t="n">
        <f aca="false">72</f>
        <v>72</v>
      </c>
      <c r="C5200" s="13" t="n">
        <f aca="false">IF(Szenarien!$H$25="OK",(IFERROR(SUMIF(Nutzungsprofile!$B$6:$B$11,"Schulbetrieb",Nutzungsprofile!$G$6:$G$11)*Kalender!C76/SUM(Kalender!$C$5:$C$370),0)+IFERROR(SUMIF(Nutzungsprofile!$B$6:$B$11,"Halle",Nutzungsprofile!$G$6:$G$11)*Kalender!D76/SUM(Kalender!$D$5:$D$370),0)+IFERROR(SUMIF(Nutzungsprofile!$B$6:$B$11,"Individuell",Nutzungsprofile!$G$6:$G$11)*Kalender!E76/SUM(Kalender!$E$5:$E$370),0))*Szenarien!$E$25,0)</f>
        <v>2.94</v>
      </c>
      <c r="D5200" s="13" t="n">
        <f aca="false">IF(Szenarien!$H$25="OK",(IFERROR(SUMIF(Nutzungsprofile!$B$17:$B$22,"Schulbetrieb",Nutzungsprofile!$G$17:$G$22)*Kalender!C76/SUM(Kalender!$C$5:$C$370),0)+IFERROR(SUMIF(Nutzungsprofile!$B$17:$B$22,"Halle",Nutzungsprofile!$G$17:$G$22)*Kalender!D76/SUM(Kalender!$D$5:$D$370),0)+IFERROR(SUMIF(Nutzungsprofile!$B$17:$B$22,"Individuell",Nutzungsprofile!$G$17:$G$22)*Kalender!E76/SUM(Kalender!$E$5:$E$370),0))*Szenarien!$D$25,0)</f>
        <v>4.94</v>
      </c>
      <c r="E5200" s="13" t="n">
        <f aca="false">IFERROR(MIN(C5200,Eingaben!$B$17)*Eingaben!$B$16,0)</f>
        <v>2.793</v>
      </c>
      <c r="F5200" s="13" t="n">
        <f aca="false">IFERROR(E5200*Eingaben!$B$15,0)</f>
        <v>2.5137</v>
      </c>
      <c r="G5200" s="13" t="n">
        <f aca="false">IFERROR(IF(Kalender!A76="",0,J5199*(1-Eingaben!$B$20)),0)</f>
        <v>0.7390278</v>
      </c>
      <c r="H5200" s="13" t="n">
        <f aca="false">MIN(G5200,D5200)</f>
        <v>0.7390278</v>
      </c>
      <c r="I5200" s="13" t="n">
        <f aca="false">IFERROR(MIN(F5200*Eingaben!$B$19,MAX(0,D5200-H5200)),0)</f>
        <v>1.75959</v>
      </c>
      <c r="J5200" s="13" t="n">
        <f aca="false">IFERROR(MIN(Eingaben!$B$18,MAX(0,F5200-I5200)),0)</f>
        <v>0.75411</v>
      </c>
      <c r="K5200" s="13" t="n">
        <f aca="false">H5200+I5200</f>
        <v>2.4986178</v>
      </c>
      <c r="L5200" s="13" t="n">
        <f aca="false">MAX(0,D5200-K5200)</f>
        <v>2.4413822</v>
      </c>
      <c r="M5200" s="13" t="n">
        <f aca="false">MAX(0,F5200-I5200-J5200)</f>
        <v>0</v>
      </c>
      <c r="N5200" s="13" t="n">
        <f aca="false">IF(Kalender!A76="",0,J5199-H5200)</f>
        <v>0.0150822</v>
      </c>
    </row>
    <row r="5201" customFormat="false" ht="16.4" hidden="false" customHeight="false" outlineLevel="0" collapsed="false">
      <c r="A5201" s="13" t="str">
        <f aca="false">""</f>
        <v/>
      </c>
      <c r="B5201" s="13" t="n">
        <f aca="false">73</f>
        <v>73</v>
      </c>
      <c r="C5201" s="13" t="n">
        <f aca="false">IF(Szenarien!$H$25="OK",(IFERROR(SUMIF(Nutzungsprofile!$B$6:$B$11,"Schulbetrieb",Nutzungsprofile!$G$6:$G$11)*Kalender!C77/SUM(Kalender!$C$5:$C$370),0)+IFERROR(SUMIF(Nutzungsprofile!$B$6:$B$11,"Halle",Nutzungsprofile!$G$6:$G$11)*Kalender!D77/SUM(Kalender!$D$5:$D$370),0)+IFERROR(SUMIF(Nutzungsprofile!$B$6:$B$11,"Individuell",Nutzungsprofile!$G$6:$G$11)*Kalender!E77/SUM(Kalender!$E$5:$E$370),0))*Szenarien!$E$25,0)</f>
        <v>2.04</v>
      </c>
      <c r="D5201" s="13" t="n">
        <f aca="false">IF(Szenarien!$H$25="OK",(IFERROR(SUMIF(Nutzungsprofile!$B$17:$B$22,"Schulbetrieb",Nutzungsprofile!$G$17:$G$22)*Kalender!C77/SUM(Kalender!$C$5:$C$370),0)+IFERROR(SUMIF(Nutzungsprofile!$B$17:$B$22,"Halle",Nutzungsprofile!$G$17:$G$22)*Kalender!D77/SUM(Kalender!$D$5:$D$370),0)+IFERROR(SUMIF(Nutzungsprofile!$B$17:$B$22,"Individuell",Nutzungsprofile!$G$17:$G$22)*Kalender!E77/SUM(Kalender!$E$5:$E$370),0))*Szenarien!$D$25,0)</f>
        <v>0.89</v>
      </c>
      <c r="E5201" s="13" t="n">
        <f aca="false">IFERROR(MIN(C5201,Eingaben!$B$17)*Eingaben!$B$16,0)</f>
        <v>1.938</v>
      </c>
      <c r="F5201" s="13" t="n">
        <f aca="false">IFERROR(E5201*Eingaben!$B$15,0)</f>
        <v>1.7442</v>
      </c>
      <c r="G5201" s="13" t="n">
        <f aca="false">IFERROR(IF(Kalender!A77="",0,J5200*(1-Eingaben!$B$20)),0)</f>
        <v>0.7390278</v>
      </c>
      <c r="H5201" s="13" t="n">
        <f aca="false">MIN(G5201,D5201)</f>
        <v>0.7390278</v>
      </c>
      <c r="I5201" s="13" t="n">
        <f aca="false">IFERROR(MIN(F5201*Eingaben!$B$19,MAX(0,D5201-H5201)),0)</f>
        <v>0.1509722</v>
      </c>
      <c r="J5201" s="13" t="n">
        <f aca="false">IFERROR(MIN(Eingaben!$B$18,MAX(0,F5201-I5201)),0)</f>
        <v>1.5932278</v>
      </c>
      <c r="K5201" s="13" t="n">
        <f aca="false">H5201+I5201</f>
        <v>0.89</v>
      </c>
      <c r="L5201" s="13" t="n">
        <f aca="false">MAX(0,D5201-K5201)</f>
        <v>0</v>
      </c>
      <c r="M5201" s="13" t="n">
        <f aca="false">MAX(0,F5201-I5201-J5201)</f>
        <v>0</v>
      </c>
      <c r="N5201" s="13" t="n">
        <f aca="false">IF(Kalender!A77="",0,J5200-H5201)</f>
        <v>0.0150822</v>
      </c>
    </row>
    <row r="5202" customFormat="false" ht="16.4" hidden="false" customHeight="false" outlineLevel="0" collapsed="false">
      <c r="A5202" s="13" t="str">
        <f aca="false">""</f>
        <v/>
      </c>
      <c r="B5202" s="13" t="n">
        <f aca="false">74</f>
        <v>74</v>
      </c>
      <c r="C5202" s="13" t="n">
        <f aca="false">IF(Szenarien!$H$25="OK",(IFERROR(SUMIF(Nutzungsprofile!$B$6:$B$11,"Schulbetrieb",Nutzungsprofile!$G$6:$G$11)*Kalender!C78/SUM(Kalender!$C$5:$C$370),0)+IFERROR(SUMIF(Nutzungsprofile!$B$6:$B$11,"Halle",Nutzungsprofile!$G$6:$G$11)*Kalender!D78/SUM(Kalender!$D$5:$D$370),0)+IFERROR(SUMIF(Nutzungsprofile!$B$6:$B$11,"Individuell",Nutzungsprofile!$G$6:$G$11)*Kalender!E78/SUM(Kalender!$E$5:$E$370),0))*Szenarien!$E$25,0)</f>
        <v>2.04</v>
      </c>
      <c r="D5202" s="13" t="n">
        <f aca="false">IF(Szenarien!$H$25="OK",(IFERROR(SUMIF(Nutzungsprofile!$B$17:$B$22,"Schulbetrieb",Nutzungsprofile!$G$17:$G$22)*Kalender!C78/SUM(Kalender!$C$5:$C$370),0)+IFERROR(SUMIF(Nutzungsprofile!$B$17:$B$22,"Halle",Nutzungsprofile!$G$17:$G$22)*Kalender!D78/SUM(Kalender!$D$5:$D$370),0)+IFERROR(SUMIF(Nutzungsprofile!$B$17:$B$22,"Individuell",Nutzungsprofile!$G$17:$G$22)*Kalender!E78/SUM(Kalender!$E$5:$E$370),0))*Szenarien!$D$25,0)</f>
        <v>0.89</v>
      </c>
      <c r="E5202" s="13" t="n">
        <f aca="false">IFERROR(MIN(C5202,Eingaben!$B$17)*Eingaben!$B$16,0)</f>
        <v>1.938</v>
      </c>
      <c r="F5202" s="13" t="n">
        <f aca="false">IFERROR(E5202*Eingaben!$B$15,0)</f>
        <v>1.7442</v>
      </c>
      <c r="G5202" s="13" t="n">
        <f aca="false">IFERROR(IF(Kalender!A78="",0,J5201*(1-Eingaben!$B$20)),0)</f>
        <v>1.561363244</v>
      </c>
      <c r="H5202" s="13" t="n">
        <f aca="false">MIN(G5202,D5202)</f>
        <v>0.89</v>
      </c>
      <c r="I5202" s="13" t="n">
        <f aca="false">IFERROR(MIN(F5202*Eingaben!$B$19,MAX(0,D5202-H5202)),0)</f>
        <v>0</v>
      </c>
      <c r="J5202" s="13" t="n">
        <f aca="false">IFERROR(MIN(Eingaben!$B$18,MAX(0,F5202-I5202)),0)</f>
        <v>1.7442</v>
      </c>
      <c r="K5202" s="13" t="n">
        <f aca="false">H5202+I5202</f>
        <v>0.89</v>
      </c>
      <c r="L5202" s="13" t="n">
        <f aca="false">MAX(0,D5202-K5202)</f>
        <v>0</v>
      </c>
      <c r="M5202" s="13" t="n">
        <f aca="false">MAX(0,F5202-I5202-J5202)</f>
        <v>0</v>
      </c>
      <c r="N5202" s="13" t="n">
        <f aca="false">IF(Kalender!A78="",0,J5201-H5202)</f>
        <v>0.7032278</v>
      </c>
    </row>
    <row r="5203" customFormat="false" ht="16.4" hidden="false" customHeight="false" outlineLevel="0" collapsed="false">
      <c r="A5203" s="13" t="str">
        <f aca="false">""</f>
        <v/>
      </c>
      <c r="B5203" s="13" t="n">
        <f aca="false">75</f>
        <v>75</v>
      </c>
      <c r="C5203" s="13" t="n">
        <f aca="false">IF(Szenarien!$H$25="OK",(IFERROR(SUMIF(Nutzungsprofile!$B$6:$B$11,"Schulbetrieb",Nutzungsprofile!$G$6:$G$11)*Kalender!C79/SUM(Kalender!$C$5:$C$370),0)+IFERROR(SUMIF(Nutzungsprofile!$B$6:$B$11,"Halle",Nutzungsprofile!$G$6:$G$11)*Kalender!D79/SUM(Kalender!$D$5:$D$370),0)+IFERROR(SUMIF(Nutzungsprofile!$B$6:$B$11,"Individuell",Nutzungsprofile!$G$6:$G$11)*Kalender!E79/SUM(Kalender!$E$5:$E$370),0))*Szenarien!$E$25,0)</f>
        <v>2.94</v>
      </c>
      <c r="D5203" s="13" t="n">
        <f aca="false">IF(Szenarien!$H$25="OK",(IFERROR(SUMIF(Nutzungsprofile!$B$17:$B$22,"Schulbetrieb",Nutzungsprofile!$G$17:$G$22)*Kalender!C79/SUM(Kalender!$C$5:$C$370),0)+IFERROR(SUMIF(Nutzungsprofile!$B$17:$B$22,"Halle",Nutzungsprofile!$G$17:$G$22)*Kalender!D79/SUM(Kalender!$D$5:$D$370),0)+IFERROR(SUMIF(Nutzungsprofile!$B$17:$B$22,"Individuell",Nutzungsprofile!$G$17:$G$22)*Kalender!E79/SUM(Kalender!$E$5:$E$370),0))*Szenarien!$D$25,0)</f>
        <v>4.94</v>
      </c>
      <c r="E5203" s="13" t="n">
        <f aca="false">IFERROR(MIN(C5203,Eingaben!$B$17)*Eingaben!$B$16,0)</f>
        <v>2.793</v>
      </c>
      <c r="F5203" s="13" t="n">
        <f aca="false">IFERROR(E5203*Eingaben!$B$15,0)</f>
        <v>2.5137</v>
      </c>
      <c r="G5203" s="13" t="n">
        <f aca="false">IFERROR(IF(Kalender!A79="",0,J5202*(1-Eingaben!$B$20)),0)</f>
        <v>1.709316</v>
      </c>
      <c r="H5203" s="13" t="n">
        <f aca="false">MIN(G5203,D5203)</f>
        <v>1.709316</v>
      </c>
      <c r="I5203" s="13" t="n">
        <f aca="false">IFERROR(MIN(F5203*Eingaben!$B$19,MAX(0,D5203-H5203)),0)</f>
        <v>1.75959</v>
      </c>
      <c r="J5203" s="13" t="n">
        <f aca="false">IFERROR(MIN(Eingaben!$B$18,MAX(0,F5203-I5203)),0)</f>
        <v>0.75411</v>
      </c>
      <c r="K5203" s="13" t="n">
        <f aca="false">H5203+I5203</f>
        <v>3.468906</v>
      </c>
      <c r="L5203" s="13" t="n">
        <f aca="false">MAX(0,D5203-K5203)</f>
        <v>1.471094</v>
      </c>
      <c r="M5203" s="13" t="n">
        <f aca="false">MAX(0,F5203-I5203-J5203)</f>
        <v>0</v>
      </c>
      <c r="N5203" s="13" t="n">
        <f aca="false">IF(Kalender!A79="",0,J5202-H5203)</f>
        <v>0.0348840000000001</v>
      </c>
    </row>
    <row r="5204" customFormat="false" ht="16.4" hidden="false" customHeight="false" outlineLevel="0" collapsed="false">
      <c r="A5204" s="13" t="str">
        <f aca="false">""</f>
        <v/>
      </c>
      <c r="B5204" s="13" t="n">
        <f aca="false">76</f>
        <v>76</v>
      </c>
      <c r="C5204" s="13" t="n">
        <f aca="false">IF(Szenarien!$H$25="OK",(IFERROR(SUMIF(Nutzungsprofile!$B$6:$B$11,"Schulbetrieb",Nutzungsprofile!$G$6:$G$11)*Kalender!C80/SUM(Kalender!$C$5:$C$370),0)+IFERROR(SUMIF(Nutzungsprofile!$B$6:$B$11,"Halle",Nutzungsprofile!$G$6:$G$11)*Kalender!D80/SUM(Kalender!$D$5:$D$370),0)+IFERROR(SUMIF(Nutzungsprofile!$B$6:$B$11,"Individuell",Nutzungsprofile!$G$6:$G$11)*Kalender!E80/SUM(Kalender!$E$5:$E$370),0))*Szenarien!$E$25,0)</f>
        <v>2.94</v>
      </c>
      <c r="D5204" s="13" t="n">
        <f aca="false">IF(Szenarien!$H$25="OK",(IFERROR(SUMIF(Nutzungsprofile!$B$17:$B$22,"Schulbetrieb",Nutzungsprofile!$G$17:$G$22)*Kalender!C80/SUM(Kalender!$C$5:$C$370),0)+IFERROR(SUMIF(Nutzungsprofile!$B$17:$B$22,"Halle",Nutzungsprofile!$G$17:$G$22)*Kalender!D80/SUM(Kalender!$D$5:$D$370),0)+IFERROR(SUMIF(Nutzungsprofile!$B$17:$B$22,"Individuell",Nutzungsprofile!$G$17:$G$22)*Kalender!E80/SUM(Kalender!$E$5:$E$370),0))*Szenarien!$D$25,0)</f>
        <v>4.94</v>
      </c>
      <c r="E5204" s="13" t="n">
        <f aca="false">IFERROR(MIN(C5204,Eingaben!$B$17)*Eingaben!$B$16,0)</f>
        <v>2.793</v>
      </c>
      <c r="F5204" s="13" t="n">
        <f aca="false">IFERROR(E5204*Eingaben!$B$15,0)</f>
        <v>2.5137</v>
      </c>
      <c r="G5204" s="13" t="n">
        <f aca="false">IFERROR(IF(Kalender!A80="",0,J5203*(1-Eingaben!$B$20)),0)</f>
        <v>0.7390278</v>
      </c>
      <c r="H5204" s="13" t="n">
        <f aca="false">MIN(G5204,D5204)</f>
        <v>0.7390278</v>
      </c>
      <c r="I5204" s="13" t="n">
        <f aca="false">IFERROR(MIN(F5204*Eingaben!$B$19,MAX(0,D5204-H5204)),0)</f>
        <v>1.75959</v>
      </c>
      <c r="J5204" s="13" t="n">
        <f aca="false">IFERROR(MIN(Eingaben!$B$18,MAX(0,F5204-I5204)),0)</f>
        <v>0.75411</v>
      </c>
      <c r="K5204" s="13" t="n">
        <f aca="false">H5204+I5204</f>
        <v>2.4986178</v>
      </c>
      <c r="L5204" s="13" t="n">
        <f aca="false">MAX(0,D5204-K5204)</f>
        <v>2.4413822</v>
      </c>
      <c r="M5204" s="13" t="n">
        <f aca="false">MAX(0,F5204-I5204-J5204)</f>
        <v>0</v>
      </c>
      <c r="N5204" s="13" t="n">
        <f aca="false">IF(Kalender!A80="",0,J5203-H5204)</f>
        <v>0.0150822</v>
      </c>
    </row>
    <row r="5205" customFormat="false" ht="16.4" hidden="false" customHeight="false" outlineLevel="0" collapsed="false">
      <c r="A5205" s="13" t="str">
        <f aca="false">""</f>
        <v/>
      </c>
      <c r="B5205" s="13" t="n">
        <f aca="false">77</f>
        <v>77</v>
      </c>
      <c r="C5205" s="13" t="n">
        <f aca="false">IF(Szenarien!$H$25="OK",(IFERROR(SUMIF(Nutzungsprofile!$B$6:$B$11,"Schulbetrieb",Nutzungsprofile!$G$6:$G$11)*Kalender!C81/SUM(Kalender!$C$5:$C$370),0)+IFERROR(SUMIF(Nutzungsprofile!$B$6:$B$11,"Halle",Nutzungsprofile!$G$6:$G$11)*Kalender!D81/SUM(Kalender!$D$5:$D$370),0)+IFERROR(SUMIF(Nutzungsprofile!$B$6:$B$11,"Individuell",Nutzungsprofile!$G$6:$G$11)*Kalender!E81/SUM(Kalender!$E$5:$E$370),0))*Szenarien!$E$25,0)</f>
        <v>2.94</v>
      </c>
      <c r="D5205" s="13" t="n">
        <f aca="false">IF(Szenarien!$H$25="OK",(IFERROR(SUMIF(Nutzungsprofile!$B$17:$B$22,"Schulbetrieb",Nutzungsprofile!$G$17:$G$22)*Kalender!C81/SUM(Kalender!$C$5:$C$370),0)+IFERROR(SUMIF(Nutzungsprofile!$B$17:$B$22,"Halle",Nutzungsprofile!$G$17:$G$22)*Kalender!D81/SUM(Kalender!$D$5:$D$370),0)+IFERROR(SUMIF(Nutzungsprofile!$B$17:$B$22,"Individuell",Nutzungsprofile!$G$17:$G$22)*Kalender!E81/SUM(Kalender!$E$5:$E$370),0))*Szenarien!$D$25,0)</f>
        <v>4.94</v>
      </c>
      <c r="E5205" s="13" t="n">
        <f aca="false">IFERROR(MIN(C5205,Eingaben!$B$17)*Eingaben!$B$16,0)</f>
        <v>2.793</v>
      </c>
      <c r="F5205" s="13" t="n">
        <f aca="false">IFERROR(E5205*Eingaben!$B$15,0)</f>
        <v>2.5137</v>
      </c>
      <c r="G5205" s="13" t="n">
        <f aca="false">IFERROR(IF(Kalender!A81="",0,J5204*(1-Eingaben!$B$20)),0)</f>
        <v>0.7390278</v>
      </c>
      <c r="H5205" s="13" t="n">
        <f aca="false">MIN(G5205,D5205)</f>
        <v>0.7390278</v>
      </c>
      <c r="I5205" s="13" t="n">
        <f aca="false">IFERROR(MIN(F5205*Eingaben!$B$19,MAX(0,D5205-H5205)),0)</f>
        <v>1.75959</v>
      </c>
      <c r="J5205" s="13" t="n">
        <f aca="false">IFERROR(MIN(Eingaben!$B$18,MAX(0,F5205-I5205)),0)</f>
        <v>0.75411</v>
      </c>
      <c r="K5205" s="13" t="n">
        <f aca="false">H5205+I5205</f>
        <v>2.4986178</v>
      </c>
      <c r="L5205" s="13" t="n">
        <f aca="false">MAX(0,D5205-K5205)</f>
        <v>2.4413822</v>
      </c>
      <c r="M5205" s="13" t="n">
        <f aca="false">MAX(0,F5205-I5205-J5205)</f>
        <v>0</v>
      </c>
      <c r="N5205" s="13" t="n">
        <f aca="false">IF(Kalender!A81="",0,J5204-H5205)</f>
        <v>0.0150822</v>
      </c>
    </row>
    <row r="5206" customFormat="false" ht="16.4" hidden="false" customHeight="false" outlineLevel="0" collapsed="false">
      <c r="A5206" s="13" t="str">
        <f aca="false">""</f>
        <v/>
      </c>
      <c r="B5206" s="13" t="n">
        <f aca="false">78</f>
        <v>78</v>
      </c>
      <c r="C5206" s="13" t="n">
        <f aca="false">IF(Szenarien!$H$25="OK",(IFERROR(SUMIF(Nutzungsprofile!$B$6:$B$11,"Schulbetrieb",Nutzungsprofile!$G$6:$G$11)*Kalender!C82/SUM(Kalender!$C$5:$C$370),0)+IFERROR(SUMIF(Nutzungsprofile!$B$6:$B$11,"Halle",Nutzungsprofile!$G$6:$G$11)*Kalender!D82/SUM(Kalender!$D$5:$D$370),0)+IFERROR(SUMIF(Nutzungsprofile!$B$6:$B$11,"Individuell",Nutzungsprofile!$G$6:$G$11)*Kalender!E82/SUM(Kalender!$E$5:$E$370),0))*Szenarien!$E$25,0)</f>
        <v>2.94</v>
      </c>
      <c r="D5206" s="13" t="n">
        <f aca="false">IF(Szenarien!$H$25="OK",(IFERROR(SUMIF(Nutzungsprofile!$B$17:$B$22,"Schulbetrieb",Nutzungsprofile!$G$17:$G$22)*Kalender!C82/SUM(Kalender!$C$5:$C$370),0)+IFERROR(SUMIF(Nutzungsprofile!$B$17:$B$22,"Halle",Nutzungsprofile!$G$17:$G$22)*Kalender!D82/SUM(Kalender!$D$5:$D$370),0)+IFERROR(SUMIF(Nutzungsprofile!$B$17:$B$22,"Individuell",Nutzungsprofile!$G$17:$G$22)*Kalender!E82/SUM(Kalender!$E$5:$E$370),0))*Szenarien!$D$25,0)</f>
        <v>4.94</v>
      </c>
      <c r="E5206" s="13" t="n">
        <f aca="false">IFERROR(MIN(C5206,Eingaben!$B$17)*Eingaben!$B$16,0)</f>
        <v>2.793</v>
      </c>
      <c r="F5206" s="13" t="n">
        <f aca="false">IFERROR(E5206*Eingaben!$B$15,0)</f>
        <v>2.5137</v>
      </c>
      <c r="G5206" s="13" t="n">
        <f aca="false">IFERROR(IF(Kalender!A82="",0,J5205*(1-Eingaben!$B$20)),0)</f>
        <v>0.7390278</v>
      </c>
      <c r="H5206" s="13" t="n">
        <f aca="false">MIN(G5206,D5206)</f>
        <v>0.7390278</v>
      </c>
      <c r="I5206" s="13" t="n">
        <f aca="false">IFERROR(MIN(F5206*Eingaben!$B$19,MAX(0,D5206-H5206)),0)</f>
        <v>1.75959</v>
      </c>
      <c r="J5206" s="13" t="n">
        <f aca="false">IFERROR(MIN(Eingaben!$B$18,MAX(0,F5206-I5206)),0)</f>
        <v>0.75411</v>
      </c>
      <c r="K5206" s="13" t="n">
        <f aca="false">H5206+I5206</f>
        <v>2.4986178</v>
      </c>
      <c r="L5206" s="13" t="n">
        <f aca="false">MAX(0,D5206-K5206)</f>
        <v>2.4413822</v>
      </c>
      <c r="M5206" s="13" t="n">
        <f aca="false">MAX(0,F5206-I5206-J5206)</f>
        <v>0</v>
      </c>
      <c r="N5206" s="13" t="n">
        <f aca="false">IF(Kalender!A82="",0,J5205-H5206)</f>
        <v>0.0150822</v>
      </c>
    </row>
    <row r="5207" customFormat="false" ht="16.4" hidden="false" customHeight="false" outlineLevel="0" collapsed="false">
      <c r="A5207" s="13" t="str">
        <f aca="false">""</f>
        <v/>
      </c>
      <c r="B5207" s="13" t="n">
        <f aca="false">79</f>
        <v>79</v>
      </c>
      <c r="C5207" s="13" t="n">
        <f aca="false">IF(Szenarien!$H$25="OK",(IFERROR(SUMIF(Nutzungsprofile!$B$6:$B$11,"Schulbetrieb",Nutzungsprofile!$G$6:$G$11)*Kalender!C83/SUM(Kalender!$C$5:$C$370),0)+IFERROR(SUMIF(Nutzungsprofile!$B$6:$B$11,"Halle",Nutzungsprofile!$G$6:$G$11)*Kalender!D83/SUM(Kalender!$D$5:$D$370),0)+IFERROR(SUMIF(Nutzungsprofile!$B$6:$B$11,"Individuell",Nutzungsprofile!$G$6:$G$11)*Kalender!E83/SUM(Kalender!$E$5:$E$370),0))*Szenarien!$E$25,0)</f>
        <v>2.94</v>
      </c>
      <c r="D5207" s="13" t="n">
        <f aca="false">IF(Szenarien!$H$25="OK",(IFERROR(SUMIF(Nutzungsprofile!$B$17:$B$22,"Schulbetrieb",Nutzungsprofile!$G$17:$G$22)*Kalender!C83/SUM(Kalender!$C$5:$C$370),0)+IFERROR(SUMIF(Nutzungsprofile!$B$17:$B$22,"Halle",Nutzungsprofile!$G$17:$G$22)*Kalender!D83/SUM(Kalender!$D$5:$D$370),0)+IFERROR(SUMIF(Nutzungsprofile!$B$17:$B$22,"Individuell",Nutzungsprofile!$G$17:$G$22)*Kalender!E83/SUM(Kalender!$E$5:$E$370),0))*Szenarien!$D$25,0)</f>
        <v>4.94</v>
      </c>
      <c r="E5207" s="13" t="n">
        <f aca="false">IFERROR(MIN(C5207,Eingaben!$B$17)*Eingaben!$B$16,0)</f>
        <v>2.793</v>
      </c>
      <c r="F5207" s="13" t="n">
        <f aca="false">IFERROR(E5207*Eingaben!$B$15,0)</f>
        <v>2.5137</v>
      </c>
      <c r="G5207" s="13" t="n">
        <f aca="false">IFERROR(IF(Kalender!A83="",0,J5206*(1-Eingaben!$B$20)),0)</f>
        <v>0.7390278</v>
      </c>
      <c r="H5207" s="13" t="n">
        <f aca="false">MIN(G5207,D5207)</f>
        <v>0.7390278</v>
      </c>
      <c r="I5207" s="13" t="n">
        <f aca="false">IFERROR(MIN(F5207*Eingaben!$B$19,MAX(0,D5207-H5207)),0)</f>
        <v>1.75959</v>
      </c>
      <c r="J5207" s="13" t="n">
        <f aca="false">IFERROR(MIN(Eingaben!$B$18,MAX(0,F5207-I5207)),0)</f>
        <v>0.75411</v>
      </c>
      <c r="K5207" s="13" t="n">
        <f aca="false">H5207+I5207</f>
        <v>2.4986178</v>
      </c>
      <c r="L5207" s="13" t="n">
        <f aca="false">MAX(0,D5207-K5207)</f>
        <v>2.4413822</v>
      </c>
      <c r="M5207" s="13" t="n">
        <f aca="false">MAX(0,F5207-I5207-J5207)</f>
        <v>0</v>
      </c>
      <c r="N5207" s="13" t="n">
        <f aca="false">IF(Kalender!A83="",0,J5206-H5207)</f>
        <v>0.0150822</v>
      </c>
    </row>
    <row r="5208" customFormat="false" ht="16.4" hidden="false" customHeight="false" outlineLevel="0" collapsed="false">
      <c r="A5208" s="13" t="str">
        <f aca="false">""</f>
        <v/>
      </c>
      <c r="B5208" s="13" t="n">
        <f aca="false">80</f>
        <v>80</v>
      </c>
      <c r="C5208" s="13" t="n">
        <f aca="false">IF(Szenarien!$H$25="OK",(IFERROR(SUMIF(Nutzungsprofile!$B$6:$B$11,"Schulbetrieb",Nutzungsprofile!$G$6:$G$11)*Kalender!C84/SUM(Kalender!$C$5:$C$370),0)+IFERROR(SUMIF(Nutzungsprofile!$B$6:$B$11,"Halle",Nutzungsprofile!$G$6:$G$11)*Kalender!D84/SUM(Kalender!$D$5:$D$370),0)+IFERROR(SUMIF(Nutzungsprofile!$B$6:$B$11,"Individuell",Nutzungsprofile!$G$6:$G$11)*Kalender!E84/SUM(Kalender!$E$5:$E$370),0))*Szenarien!$E$25,0)</f>
        <v>2.04</v>
      </c>
      <c r="D5208" s="13" t="n">
        <f aca="false">IF(Szenarien!$H$25="OK",(IFERROR(SUMIF(Nutzungsprofile!$B$17:$B$22,"Schulbetrieb",Nutzungsprofile!$G$17:$G$22)*Kalender!C84/SUM(Kalender!$C$5:$C$370),0)+IFERROR(SUMIF(Nutzungsprofile!$B$17:$B$22,"Halle",Nutzungsprofile!$G$17:$G$22)*Kalender!D84/SUM(Kalender!$D$5:$D$370),0)+IFERROR(SUMIF(Nutzungsprofile!$B$17:$B$22,"Individuell",Nutzungsprofile!$G$17:$G$22)*Kalender!E84/SUM(Kalender!$E$5:$E$370),0))*Szenarien!$D$25,0)</f>
        <v>0.89</v>
      </c>
      <c r="E5208" s="13" t="n">
        <f aca="false">IFERROR(MIN(C5208,Eingaben!$B$17)*Eingaben!$B$16,0)</f>
        <v>1.938</v>
      </c>
      <c r="F5208" s="13" t="n">
        <f aca="false">IFERROR(E5208*Eingaben!$B$15,0)</f>
        <v>1.7442</v>
      </c>
      <c r="G5208" s="13" t="n">
        <f aca="false">IFERROR(IF(Kalender!A84="",0,J5207*(1-Eingaben!$B$20)),0)</f>
        <v>0.7390278</v>
      </c>
      <c r="H5208" s="13" t="n">
        <f aca="false">MIN(G5208,D5208)</f>
        <v>0.7390278</v>
      </c>
      <c r="I5208" s="13" t="n">
        <f aca="false">IFERROR(MIN(F5208*Eingaben!$B$19,MAX(0,D5208-H5208)),0)</f>
        <v>0.1509722</v>
      </c>
      <c r="J5208" s="13" t="n">
        <f aca="false">IFERROR(MIN(Eingaben!$B$18,MAX(0,F5208-I5208)),0)</f>
        <v>1.5932278</v>
      </c>
      <c r="K5208" s="13" t="n">
        <f aca="false">H5208+I5208</f>
        <v>0.89</v>
      </c>
      <c r="L5208" s="13" t="n">
        <f aca="false">MAX(0,D5208-K5208)</f>
        <v>0</v>
      </c>
      <c r="M5208" s="13" t="n">
        <f aca="false">MAX(0,F5208-I5208-J5208)</f>
        <v>0</v>
      </c>
      <c r="N5208" s="13" t="n">
        <f aca="false">IF(Kalender!A84="",0,J5207-H5208)</f>
        <v>0.0150822</v>
      </c>
    </row>
    <row r="5209" customFormat="false" ht="16.4" hidden="false" customHeight="false" outlineLevel="0" collapsed="false">
      <c r="A5209" s="13" t="str">
        <f aca="false">""</f>
        <v/>
      </c>
      <c r="B5209" s="13" t="n">
        <f aca="false">81</f>
        <v>81</v>
      </c>
      <c r="C5209" s="13" t="n">
        <f aca="false">IF(Szenarien!$H$25="OK",(IFERROR(SUMIF(Nutzungsprofile!$B$6:$B$11,"Schulbetrieb",Nutzungsprofile!$G$6:$G$11)*Kalender!C85/SUM(Kalender!$C$5:$C$370),0)+IFERROR(SUMIF(Nutzungsprofile!$B$6:$B$11,"Halle",Nutzungsprofile!$G$6:$G$11)*Kalender!D85/SUM(Kalender!$D$5:$D$370),0)+IFERROR(SUMIF(Nutzungsprofile!$B$6:$B$11,"Individuell",Nutzungsprofile!$G$6:$G$11)*Kalender!E85/SUM(Kalender!$E$5:$E$370),0))*Szenarien!$E$25,0)</f>
        <v>2.04</v>
      </c>
      <c r="D5209" s="13" t="n">
        <f aca="false">IF(Szenarien!$H$25="OK",(IFERROR(SUMIF(Nutzungsprofile!$B$17:$B$22,"Schulbetrieb",Nutzungsprofile!$G$17:$G$22)*Kalender!C85/SUM(Kalender!$C$5:$C$370),0)+IFERROR(SUMIF(Nutzungsprofile!$B$17:$B$22,"Halle",Nutzungsprofile!$G$17:$G$22)*Kalender!D85/SUM(Kalender!$D$5:$D$370),0)+IFERROR(SUMIF(Nutzungsprofile!$B$17:$B$22,"Individuell",Nutzungsprofile!$G$17:$G$22)*Kalender!E85/SUM(Kalender!$E$5:$E$370),0))*Szenarien!$D$25,0)</f>
        <v>0.89</v>
      </c>
      <c r="E5209" s="13" t="n">
        <f aca="false">IFERROR(MIN(C5209,Eingaben!$B$17)*Eingaben!$B$16,0)</f>
        <v>1.938</v>
      </c>
      <c r="F5209" s="13" t="n">
        <f aca="false">IFERROR(E5209*Eingaben!$B$15,0)</f>
        <v>1.7442</v>
      </c>
      <c r="G5209" s="13" t="n">
        <f aca="false">IFERROR(IF(Kalender!A85="",0,J5208*(1-Eingaben!$B$20)),0)</f>
        <v>1.561363244</v>
      </c>
      <c r="H5209" s="13" t="n">
        <f aca="false">MIN(G5209,D5209)</f>
        <v>0.89</v>
      </c>
      <c r="I5209" s="13" t="n">
        <f aca="false">IFERROR(MIN(F5209*Eingaben!$B$19,MAX(0,D5209-H5209)),0)</f>
        <v>0</v>
      </c>
      <c r="J5209" s="13" t="n">
        <f aca="false">IFERROR(MIN(Eingaben!$B$18,MAX(0,F5209-I5209)),0)</f>
        <v>1.7442</v>
      </c>
      <c r="K5209" s="13" t="n">
        <f aca="false">H5209+I5209</f>
        <v>0.89</v>
      </c>
      <c r="L5209" s="13" t="n">
        <f aca="false">MAX(0,D5209-K5209)</f>
        <v>0</v>
      </c>
      <c r="M5209" s="13" t="n">
        <f aca="false">MAX(0,F5209-I5209-J5209)</f>
        <v>0</v>
      </c>
      <c r="N5209" s="13" t="n">
        <f aca="false">IF(Kalender!A85="",0,J5208-H5209)</f>
        <v>0.7032278</v>
      </c>
    </row>
    <row r="5210" customFormat="false" ht="16.4" hidden="false" customHeight="false" outlineLevel="0" collapsed="false">
      <c r="A5210" s="13" t="str">
        <f aca="false">""</f>
        <v/>
      </c>
      <c r="B5210" s="13" t="n">
        <f aca="false">82</f>
        <v>82</v>
      </c>
      <c r="C5210" s="13" t="n">
        <f aca="false">IF(Szenarien!$H$25="OK",(IFERROR(SUMIF(Nutzungsprofile!$B$6:$B$11,"Schulbetrieb",Nutzungsprofile!$G$6:$G$11)*Kalender!C86/SUM(Kalender!$C$5:$C$370),0)+IFERROR(SUMIF(Nutzungsprofile!$B$6:$B$11,"Halle",Nutzungsprofile!$G$6:$G$11)*Kalender!D86/SUM(Kalender!$D$5:$D$370),0)+IFERROR(SUMIF(Nutzungsprofile!$B$6:$B$11,"Individuell",Nutzungsprofile!$G$6:$G$11)*Kalender!E86/SUM(Kalender!$E$5:$E$370),0))*Szenarien!$E$25,0)</f>
        <v>2.94</v>
      </c>
      <c r="D5210" s="13" t="n">
        <f aca="false">IF(Szenarien!$H$25="OK",(IFERROR(SUMIF(Nutzungsprofile!$B$17:$B$22,"Schulbetrieb",Nutzungsprofile!$G$17:$G$22)*Kalender!C86/SUM(Kalender!$C$5:$C$370),0)+IFERROR(SUMIF(Nutzungsprofile!$B$17:$B$22,"Halle",Nutzungsprofile!$G$17:$G$22)*Kalender!D86/SUM(Kalender!$D$5:$D$370),0)+IFERROR(SUMIF(Nutzungsprofile!$B$17:$B$22,"Individuell",Nutzungsprofile!$G$17:$G$22)*Kalender!E86/SUM(Kalender!$E$5:$E$370),0))*Szenarien!$D$25,0)</f>
        <v>4.94</v>
      </c>
      <c r="E5210" s="13" t="n">
        <f aca="false">IFERROR(MIN(C5210,Eingaben!$B$17)*Eingaben!$B$16,0)</f>
        <v>2.793</v>
      </c>
      <c r="F5210" s="13" t="n">
        <f aca="false">IFERROR(E5210*Eingaben!$B$15,0)</f>
        <v>2.5137</v>
      </c>
      <c r="G5210" s="13" t="n">
        <f aca="false">IFERROR(IF(Kalender!A86="",0,J5209*(1-Eingaben!$B$20)),0)</f>
        <v>1.709316</v>
      </c>
      <c r="H5210" s="13" t="n">
        <f aca="false">MIN(G5210,D5210)</f>
        <v>1.709316</v>
      </c>
      <c r="I5210" s="13" t="n">
        <f aca="false">IFERROR(MIN(F5210*Eingaben!$B$19,MAX(0,D5210-H5210)),0)</f>
        <v>1.75959</v>
      </c>
      <c r="J5210" s="13" t="n">
        <f aca="false">IFERROR(MIN(Eingaben!$B$18,MAX(0,F5210-I5210)),0)</f>
        <v>0.75411</v>
      </c>
      <c r="K5210" s="13" t="n">
        <f aca="false">H5210+I5210</f>
        <v>3.468906</v>
      </c>
      <c r="L5210" s="13" t="n">
        <f aca="false">MAX(0,D5210-K5210)</f>
        <v>1.471094</v>
      </c>
      <c r="M5210" s="13" t="n">
        <f aca="false">MAX(0,F5210-I5210-J5210)</f>
        <v>0</v>
      </c>
      <c r="N5210" s="13" t="n">
        <f aca="false">IF(Kalender!A86="",0,J5209-H5210)</f>
        <v>0.0348840000000001</v>
      </c>
    </row>
    <row r="5211" customFormat="false" ht="16.4" hidden="false" customHeight="false" outlineLevel="0" collapsed="false">
      <c r="A5211" s="13" t="str">
        <f aca="false">""</f>
        <v/>
      </c>
      <c r="B5211" s="13" t="n">
        <f aca="false">83</f>
        <v>83</v>
      </c>
      <c r="C5211" s="13" t="n">
        <f aca="false">IF(Szenarien!$H$25="OK",(IFERROR(SUMIF(Nutzungsprofile!$B$6:$B$11,"Schulbetrieb",Nutzungsprofile!$G$6:$G$11)*Kalender!C87/SUM(Kalender!$C$5:$C$370),0)+IFERROR(SUMIF(Nutzungsprofile!$B$6:$B$11,"Halle",Nutzungsprofile!$G$6:$G$11)*Kalender!D87/SUM(Kalender!$D$5:$D$370),0)+IFERROR(SUMIF(Nutzungsprofile!$B$6:$B$11,"Individuell",Nutzungsprofile!$G$6:$G$11)*Kalender!E87/SUM(Kalender!$E$5:$E$370),0))*Szenarien!$E$25,0)</f>
        <v>2.94</v>
      </c>
      <c r="D5211" s="13" t="n">
        <f aca="false">IF(Szenarien!$H$25="OK",(IFERROR(SUMIF(Nutzungsprofile!$B$17:$B$22,"Schulbetrieb",Nutzungsprofile!$G$17:$G$22)*Kalender!C87/SUM(Kalender!$C$5:$C$370),0)+IFERROR(SUMIF(Nutzungsprofile!$B$17:$B$22,"Halle",Nutzungsprofile!$G$17:$G$22)*Kalender!D87/SUM(Kalender!$D$5:$D$370),0)+IFERROR(SUMIF(Nutzungsprofile!$B$17:$B$22,"Individuell",Nutzungsprofile!$G$17:$G$22)*Kalender!E87/SUM(Kalender!$E$5:$E$370),0))*Szenarien!$D$25,0)</f>
        <v>4.94</v>
      </c>
      <c r="E5211" s="13" t="n">
        <f aca="false">IFERROR(MIN(C5211,Eingaben!$B$17)*Eingaben!$B$16,0)</f>
        <v>2.793</v>
      </c>
      <c r="F5211" s="13" t="n">
        <f aca="false">IFERROR(E5211*Eingaben!$B$15,0)</f>
        <v>2.5137</v>
      </c>
      <c r="G5211" s="13" t="n">
        <f aca="false">IFERROR(IF(Kalender!A87="",0,J5210*(1-Eingaben!$B$20)),0)</f>
        <v>0.7390278</v>
      </c>
      <c r="H5211" s="13" t="n">
        <f aca="false">MIN(G5211,D5211)</f>
        <v>0.7390278</v>
      </c>
      <c r="I5211" s="13" t="n">
        <f aca="false">IFERROR(MIN(F5211*Eingaben!$B$19,MAX(0,D5211-H5211)),0)</f>
        <v>1.75959</v>
      </c>
      <c r="J5211" s="13" t="n">
        <f aca="false">IFERROR(MIN(Eingaben!$B$18,MAX(0,F5211-I5211)),0)</f>
        <v>0.75411</v>
      </c>
      <c r="K5211" s="13" t="n">
        <f aca="false">H5211+I5211</f>
        <v>2.4986178</v>
      </c>
      <c r="L5211" s="13" t="n">
        <f aca="false">MAX(0,D5211-K5211)</f>
        <v>2.4413822</v>
      </c>
      <c r="M5211" s="13" t="n">
        <f aca="false">MAX(0,F5211-I5211-J5211)</f>
        <v>0</v>
      </c>
      <c r="N5211" s="13" t="n">
        <f aca="false">IF(Kalender!A87="",0,J5210-H5211)</f>
        <v>0.0150822</v>
      </c>
    </row>
    <row r="5212" customFormat="false" ht="16.4" hidden="false" customHeight="false" outlineLevel="0" collapsed="false">
      <c r="A5212" s="13" t="str">
        <f aca="false">""</f>
        <v/>
      </c>
      <c r="B5212" s="13" t="n">
        <f aca="false">84</f>
        <v>84</v>
      </c>
      <c r="C5212" s="13" t="n">
        <f aca="false">IF(Szenarien!$H$25="OK",(IFERROR(SUMIF(Nutzungsprofile!$B$6:$B$11,"Schulbetrieb",Nutzungsprofile!$G$6:$G$11)*Kalender!C88/SUM(Kalender!$C$5:$C$370),0)+IFERROR(SUMIF(Nutzungsprofile!$B$6:$B$11,"Halle",Nutzungsprofile!$G$6:$G$11)*Kalender!D88/SUM(Kalender!$D$5:$D$370),0)+IFERROR(SUMIF(Nutzungsprofile!$B$6:$B$11,"Individuell",Nutzungsprofile!$G$6:$G$11)*Kalender!E88/SUM(Kalender!$E$5:$E$370),0))*Szenarien!$E$25,0)</f>
        <v>2.94</v>
      </c>
      <c r="D5212" s="13" t="n">
        <f aca="false">IF(Szenarien!$H$25="OK",(IFERROR(SUMIF(Nutzungsprofile!$B$17:$B$22,"Schulbetrieb",Nutzungsprofile!$G$17:$G$22)*Kalender!C88/SUM(Kalender!$C$5:$C$370),0)+IFERROR(SUMIF(Nutzungsprofile!$B$17:$B$22,"Halle",Nutzungsprofile!$G$17:$G$22)*Kalender!D88/SUM(Kalender!$D$5:$D$370),0)+IFERROR(SUMIF(Nutzungsprofile!$B$17:$B$22,"Individuell",Nutzungsprofile!$G$17:$G$22)*Kalender!E88/SUM(Kalender!$E$5:$E$370),0))*Szenarien!$D$25,0)</f>
        <v>4.94</v>
      </c>
      <c r="E5212" s="13" t="n">
        <f aca="false">IFERROR(MIN(C5212,Eingaben!$B$17)*Eingaben!$B$16,0)</f>
        <v>2.793</v>
      </c>
      <c r="F5212" s="13" t="n">
        <f aca="false">IFERROR(E5212*Eingaben!$B$15,0)</f>
        <v>2.5137</v>
      </c>
      <c r="G5212" s="13" t="n">
        <f aca="false">IFERROR(IF(Kalender!A88="",0,J5211*(1-Eingaben!$B$20)),0)</f>
        <v>0.7390278</v>
      </c>
      <c r="H5212" s="13" t="n">
        <f aca="false">MIN(G5212,D5212)</f>
        <v>0.7390278</v>
      </c>
      <c r="I5212" s="13" t="n">
        <f aca="false">IFERROR(MIN(F5212*Eingaben!$B$19,MAX(0,D5212-H5212)),0)</f>
        <v>1.75959</v>
      </c>
      <c r="J5212" s="13" t="n">
        <f aca="false">IFERROR(MIN(Eingaben!$B$18,MAX(0,F5212-I5212)),0)</f>
        <v>0.75411</v>
      </c>
      <c r="K5212" s="13" t="n">
        <f aca="false">H5212+I5212</f>
        <v>2.4986178</v>
      </c>
      <c r="L5212" s="13" t="n">
        <f aca="false">MAX(0,D5212-K5212)</f>
        <v>2.4413822</v>
      </c>
      <c r="M5212" s="13" t="n">
        <f aca="false">MAX(0,F5212-I5212-J5212)</f>
        <v>0</v>
      </c>
      <c r="N5212" s="13" t="n">
        <f aca="false">IF(Kalender!A88="",0,J5211-H5212)</f>
        <v>0.0150822</v>
      </c>
    </row>
    <row r="5213" customFormat="false" ht="16.4" hidden="false" customHeight="false" outlineLevel="0" collapsed="false">
      <c r="A5213" s="13" t="str">
        <f aca="false">""</f>
        <v/>
      </c>
      <c r="B5213" s="13" t="n">
        <f aca="false">85</f>
        <v>85</v>
      </c>
      <c r="C5213" s="13" t="n">
        <f aca="false">IF(Szenarien!$H$25="OK",(IFERROR(SUMIF(Nutzungsprofile!$B$6:$B$11,"Schulbetrieb",Nutzungsprofile!$G$6:$G$11)*Kalender!C89/SUM(Kalender!$C$5:$C$370),0)+IFERROR(SUMIF(Nutzungsprofile!$B$6:$B$11,"Halle",Nutzungsprofile!$G$6:$G$11)*Kalender!D89/SUM(Kalender!$D$5:$D$370),0)+IFERROR(SUMIF(Nutzungsprofile!$B$6:$B$11,"Individuell",Nutzungsprofile!$G$6:$G$11)*Kalender!E89/SUM(Kalender!$E$5:$E$370),0))*Szenarien!$E$25,0)</f>
        <v>2.94</v>
      </c>
      <c r="D5213" s="13" t="n">
        <f aca="false">IF(Szenarien!$H$25="OK",(IFERROR(SUMIF(Nutzungsprofile!$B$17:$B$22,"Schulbetrieb",Nutzungsprofile!$G$17:$G$22)*Kalender!C89/SUM(Kalender!$C$5:$C$370),0)+IFERROR(SUMIF(Nutzungsprofile!$B$17:$B$22,"Halle",Nutzungsprofile!$G$17:$G$22)*Kalender!D89/SUM(Kalender!$D$5:$D$370),0)+IFERROR(SUMIF(Nutzungsprofile!$B$17:$B$22,"Individuell",Nutzungsprofile!$G$17:$G$22)*Kalender!E89/SUM(Kalender!$E$5:$E$370),0))*Szenarien!$D$25,0)</f>
        <v>4.94</v>
      </c>
      <c r="E5213" s="13" t="n">
        <f aca="false">IFERROR(MIN(C5213,Eingaben!$B$17)*Eingaben!$B$16,0)</f>
        <v>2.793</v>
      </c>
      <c r="F5213" s="13" t="n">
        <f aca="false">IFERROR(E5213*Eingaben!$B$15,0)</f>
        <v>2.5137</v>
      </c>
      <c r="G5213" s="13" t="n">
        <f aca="false">IFERROR(IF(Kalender!A89="",0,J5212*(1-Eingaben!$B$20)),0)</f>
        <v>0.7390278</v>
      </c>
      <c r="H5213" s="13" t="n">
        <f aca="false">MIN(G5213,D5213)</f>
        <v>0.7390278</v>
      </c>
      <c r="I5213" s="13" t="n">
        <f aca="false">IFERROR(MIN(F5213*Eingaben!$B$19,MAX(0,D5213-H5213)),0)</f>
        <v>1.75959</v>
      </c>
      <c r="J5213" s="13" t="n">
        <f aca="false">IFERROR(MIN(Eingaben!$B$18,MAX(0,F5213-I5213)),0)</f>
        <v>0.75411</v>
      </c>
      <c r="K5213" s="13" t="n">
        <f aca="false">H5213+I5213</f>
        <v>2.4986178</v>
      </c>
      <c r="L5213" s="13" t="n">
        <f aca="false">MAX(0,D5213-K5213)</f>
        <v>2.4413822</v>
      </c>
      <c r="M5213" s="13" t="n">
        <f aca="false">MAX(0,F5213-I5213-J5213)</f>
        <v>0</v>
      </c>
      <c r="N5213" s="13" t="n">
        <f aca="false">IF(Kalender!A89="",0,J5212-H5213)</f>
        <v>0.0150822</v>
      </c>
    </row>
    <row r="5214" customFormat="false" ht="16.4" hidden="false" customHeight="false" outlineLevel="0" collapsed="false">
      <c r="A5214" s="13" t="str">
        <f aca="false">""</f>
        <v/>
      </c>
      <c r="B5214" s="13" t="n">
        <f aca="false">86</f>
        <v>86</v>
      </c>
      <c r="C5214" s="13" t="n">
        <f aca="false">IF(Szenarien!$H$25="OK",(IFERROR(SUMIF(Nutzungsprofile!$B$6:$B$11,"Schulbetrieb",Nutzungsprofile!$G$6:$G$11)*Kalender!C90/SUM(Kalender!$C$5:$C$370),0)+IFERROR(SUMIF(Nutzungsprofile!$B$6:$B$11,"Halle",Nutzungsprofile!$G$6:$G$11)*Kalender!D90/SUM(Kalender!$D$5:$D$370),0)+IFERROR(SUMIF(Nutzungsprofile!$B$6:$B$11,"Individuell",Nutzungsprofile!$G$6:$G$11)*Kalender!E90/SUM(Kalender!$E$5:$E$370),0))*Szenarien!$E$25,0)</f>
        <v>2.94</v>
      </c>
      <c r="D5214" s="13" t="n">
        <f aca="false">IF(Szenarien!$H$25="OK",(IFERROR(SUMIF(Nutzungsprofile!$B$17:$B$22,"Schulbetrieb",Nutzungsprofile!$G$17:$G$22)*Kalender!C90/SUM(Kalender!$C$5:$C$370),0)+IFERROR(SUMIF(Nutzungsprofile!$B$17:$B$22,"Halle",Nutzungsprofile!$G$17:$G$22)*Kalender!D90/SUM(Kalender!$D$5:$D$370),0)+IFERROR(SUMIF(Nutzungsprofile!$B$17:$B$22,"Individuell",Nutzungsprofile!$G$17:$G$22)*Kalender!E90/SUM(Kalender!$E$5:$E$370),0))*Szenarien!$D$25,0)</f>
        <v>4.94</v>
      </c>
      <c r="E5214" s="13" t="n">
        <f aca="false">IFERROR(MIN(C5214,Eingaben!$B$17)*Eingaben!$B$16,0)</f>
        <v>2.793</v>
      </c>
      <c r="F5214" s="13" t="n">
        <f aca="false">IFERROR(E5214*Eingaben!$B$15,0)</f>
        <v>2.5137</v>
      </c>
      <c r="G5214" s="13" t="n">
        <f aca="false">IFERROR(IF(Kalender!A90="",0,J5213*(1-Eingaben!$B$20)),0)</f>
        <v>0.7390278</v>
      </c>
      <c r="H5214" s="13" t="n">
        <f aca="false">MIN(G5214,D5214)</f>
        <v>0.7390278</v>
      </c>
      <c r="I5214" s="13" t="n">
        <f aca="false">IFERROR(MIN(F5214*Eingaben!$B$19,MAX(0,D5214-H5214)),0)</f>
        <v>1.75959</v>
      </c>
      <c r="J5214" s="13" t="n">
        <f aca="false">IFERROR(MIN(Eingaben!$B$18,MAX(0,F5214-I5214)),0)</f>
        <v>0.75411</v>
      </c>
      <c r="K5214" s="13" t="n">
        <f aca="false">H5214+I5214</f>
        <v>2.4986178</v>
      </c>
      <c r="L5214" s="13" t="n">
        <f aca="false">MAX(0,D5214-K5214)</f>
        <v>2.4413822</v>
      </c>
      <c r="M5214" s="13" t="n">
        <f aca="false">MAX(0,F5214-I5214-J5214)</f>
        <v>0</v>
      </c>
      <c r="N5214" s="13" t="n">
        <f aca="false">IF(Kalender!A90="",0,J5213-H5214)</f>
        <v>0.0150822</v>
      </c>
    </row>
    <row r="5215" customFormat="false" ht="16.4" hidden="false" customHeight="false" outlineLevel="0" collapsed="false">
      <c r="A5215" s="13" t="str">
        <f aca="false">""</f>
        <v/>
      </c>
      <c r="B5215" s="13" t="n">
        <f aca="false">87</f>
        <v>87</v>
      </c>
      <c r="C5215" s="13" t="n">
        <f aca="false">IF(Szenarien!$H$25="OK",(IFERROR(SUMIF(Nutzungsprofile!$B$6:$B$11,"Schulbetrieb",Nutzungsprofile!$G$6:$G$11)*Kalender!C91/SUM(Kalender!$C$5:$C$370),0)+IFERROR(SUMIF(Nutzungsprofile!$B$6:$B$11,"Halle",Nutzungsprofile!$G$6:$G$11)*Kalender!D91/SUM(Kalender!$D$5:$D$370),0)+IFERROR(SUMIF(Nutzungsprofile!$B$6:$B$11,"Individuell",Nutzungsprofile!$G$6:$G$11)*Kalender!E91/SUM(Kalender!$E$5:$E$370),0))*Szenarien!$E$25,0)</f>
        <v>2.04</v>
      </c>
      <c r="D5215" s="13" t="n">
        <f aca="false">IF(Szenarien!$H$25="OK",(IFERROR(SUMIF(Nutzungsprofile!$B$17:$B$22,"Schulbetrieb",Nutzungsprofile!$G$17:$G$22)*Kalender!C91/SUM(Kalender!$C$5:$C$370),0)+IFERROR(SUMIF(Nutzungsprofile!$B$17:$B$22,"Halle",Nutzungsprofile!$G$17:$G$22)*Kalender!D91/SUM(Kalender!$D$5:$D$370),0)+IFERROR(SUMIF(Nutzungsprofile!$B$17:$B$22,"Individuell",Nutzungsprofile!$G$17:$G$22)*Kalender!E91/SUM(Kalender!$E$5:$E$370),0))*Szenarien!$D$25,0)</f>
        <v>0.89</v>
      </c>
      <c r="E5215" s="13" t="n">
        <f aca="false">IFERROR(MIN(C5215,Eingaben!$B$17)*Eingaben!$B$16,0)</f>
        <v>1.938</v>
      </c>
      <c r="F5215" s="13" t="n">
        <f aca="false">IFERROR(E5215*Eingaben!$B$15,0)</f>
        <v>1.7442</v>
      </c>
      <c r="G5215" s="13" t="n">
        <f aca="false">IFERROR(IF(Kalender!A91="",0,J5214*(1-Eingaben!$B$20)),0)</f>
        <v>0.7390278</v>
      </c>
      <c r="H5215" s="13" t="n">
        <f aca="false">MIN(G5215,D5215)</f>
        <v>0.7390278</v>
      </c>
      <c r="I5215" s="13" t="n">
        <f aca="false">IFERROR(MIN(F5215*Eingaben!$B$19,MAX(0,D5215-H5215)),0)</f>
        <v>0.1509722</v>
      </c>
      <c r="J5215" s="13" t="n">
        <f aca="false">IFERROR(MIN(Eingaben!$B$18,MAX(0,F5215-I5215)),0)</f>
        <v>1.5932278</v>
      </c>
      <c r="K5215" s="13" t="n">
        <f aca="false">H5215+I5215</f>
        <v>0.89</v>
      </c>
      <c r="L5215" s="13" t="n">
        <f aca="false">MAX(0,D5215-K5215)</f>
        <v>0</v>
      </c>
      <c r="M5215" s="13" t="n">
        <f aca="false">MAX(0,F5215-I5215-J5215)</f>
        <v>0</v>
      </c>
      <c r="N5215" s="13" t="n">
        <f aca="false">IF(Kalender!A91="",0,J5214-H5215)</f>
        <v>0.0150822</v>
      </c>
    </row>
    <row r="5216" customFormat="false" ht="16.4" hidden="false" customHeight="false" outlineLevel="0" collapsed="false">
      <c r="A5216" s="13" t="str">
        <f aca="false">""</f>
        <v/>
      </c>
      <c r="B5216" s="13" t="n">
        <f aca="false">88</f>
        <v>88</v>
      </c>
      <c r="C5216" s="13" t="n">
        <f aca="false">IF(Szenarien!$H$25="OK",(IFERROR(SUMIF(Nutzungsprofile!$B$6:$B$11,"Schulbetrieb",Nutzungsprofile!$G$6:$G$11)*Kalender!C92/SUM(Kalender!$C$5:$C$370),0)+IFERROR(SUMIF(Nutzungsprofile!$B$6:$B$11,"Halle",Nutzungsprofile!$G$6:$G$11)*Kalender!D92/SUM(Kalender!$D$5:$D$370),0)+IFERROR(SUMIF(Nutzungsprofile!$B$6:$B$11,"Individuell",Nutzungsprofile!$G$6:$G$11)*Kalender!E92/SUM(Kalender!$E$5:$E$370),0))*Szenarien!$E$25,0)</f>
        <v>2.04</v>
      </c>
      <c r="D5216" s="13" t="n">
        <f aca="false">IF(Szenarien!$H$25="OK",(IFERROR(SUMIF(Nutzungsprofile!$B$17:$B$22,"Schulbetrieb",Nutzungsprofile!$G$17:$G$22)*Kalender!C92/SUM(Kalender!$C$5:$C$370),0)+IFERROR(SUMIF(Nutzungsprofile!$B$17:$B$22,"Halle",Nutzungsprofile!$G$17:$G$22)*Kalender!D92/SUM(Kalender!$D$5:$D$370),0)+IFERROR(SUMIF(Nutzungsprofile!$B$17:$B$22,"Individuell",Nutzungsprofile!$G$17:$G$22)*Kalender!E92/SUM(Kalender!$E$5:$E$370),0))*Szenarien!$D$25,0)</f>
        <v>0.89</v>
      </c>
      <c r="E5216" s="13" t="n">
        <f aca="false">IFERROR(MIN(C5216,Eingaben!$B$17)*Eingaben!$B$16,0)</f>
        <v>1.938</v>
      </c>
      <c r="F5216" s="13" t="n">
        <f aca="false">IFERROR(E5216*Eingaben!$B$15,0)</f>
        <v>1.7442</v>
      </c>
      <c r="G5216" s="13" t="n">
        <f aca="false">IFERROR(IF(Kalender!A92="",0,J5215*(1-Eingaben!$B$20)),0)</f>
        <v>1.561363244</v>
      </c>
      <c r="H5216" s="13" t="n">
        <f aca="false">MIN(G5216,D5216)</f>
        <v>0.89</v>
      </c>
      <c r="I5216" s="13" t="n">
        <f aca="false">IFERROR(MIN(F5216*Eingaben!$B$19,MAX(0,D5216-H5216)),0)</f>
        <v>0</v>
      </c>
      <c r="J5216" s="13" t="n">
        <f aca="false">IFERROR(MIN(Eingaben!$B$18,MAX(0,F5216-I5216)),0)</f>
        <v>1.7442</v>
      </c>
      <c r="K5216" s="13" t="n">
        <f aca="false">H5216+I5216</f>
        <v>0.89</v>
      </c>
      <c r="L5216" s="13" t="n">
        <f aca="false">MAX(0,D5216-K5216)</f>
        <v>0</v>
      </c>
      <c r="M5216" s="13" t="n">
        <f aca="false">MAX(0,F5216-I5216-J5216)</f>
        <v>0</v>
      </c>
      <c r="N5216" s="13" t="n">
        <f aca="false">IF(Kalender!A92="",0,J5215-H5216)</f>
        <v>0.7032278</v>
      </c>
    </row>
    <row r="5217" customFormat="false" ht="16.4" hidden="false" customHeight="false" outlineLevel="0" collapsed="false">
      <c r="A5217" s="13" t="str">
        <f aca="false">""</f>
        <v/>
      </c>
      <c r="B5217" s="13" t="n">
        <f aca="false">89</f>
        <v>89</v>
      </c>
      <c r="C5217" s="13" t="n">
        <f aca="false">IF(Szenarien!$H$25="OK",(IFERROR(SUMIF(Nutzungsprofile!$B$6:$B$11,"Schulbetrieb",Nutzungsprofile!$G$6:$G$11)*Kalender!C93/SUM(Kalender!$C$5:$C$370),0)+IFERROR(SUMIF(Nutzungsprofile!$B$6:$B$11,"Halle",Nutzungsprofile!$G$6:$G$11)*Kalender!D93/SUM(Kalender!$D$5:$D$370),0)+IFERROR(SUMIF(Nutzungsprofile!$B$6:$B$11,"Individuell",Nutzungsprofile!$G$6:$G$11)*Kalender!E93/SUM(Kalender!$E$5:$E$370),0))*Szenarien!$E$25,0)</f>
        <v>2.94</v>
      </c>
      <c r="D5217" s="13" t="n">
        <f aca="false">IF(Szenarien!$H$25="OK",(IFERROR(SUMIF(Nutzungsprofile!$B$17:$B$22,"Schulbetrieb",Nutzungsprofile!$G$17:$G$22)*Kalender!C93/SUM(Kalender!$C$5:$C$370),0)+IFERROR(SUMIF(Nutzungsprofile!$B$17:$B$22,"Halle",Nutzungsprofile!$G$17:$G$22)*Kalender!D93/SUM(Kalender!$D$5:$D$370),0)+IFERROR(SUMIF(Nutzungsprofile!$B$17:$B$22,"Individuell",Nutzungsprofile!$G$17:$G$22)*Kalender!E93/SUM(Kalender!$E$5:$E$370),0))*Szenarien!$D$25,0)</f>
        <v>4.94</v>
      </c>
      <c r="E5217" s="13" t="n">
        <f aca="false">IFERROR(MIN(C5217,Eingaben!$B$17)*Eingaben!$B$16,0)</f>
        <v>2.793</v>
      </c>
      <c r="F5217" s="13" t="n">
        <f aca="false">IFERROR(E5217*Eingaben!$B$15,0)</f>
        <v>2.5137</v>
      </c>
      <c r="G5217" s="13" t="n">
        <f aca="false">IFERROR(IF(Kalender!A93="",0,J5216*(1-Eingaben!$B$20)),0)</f>
        <v>1.709316</v>
      </c>
      <c r="H5217" s="13" t="n">
        <f aca="false">MIN(G5217,D5217)</f>
        <v>1.709316</v>
      </c>
      <c r="I5217" s="13" t="n">
        <f aca="false">IFERROR(MIN(F5217*Eingaben!$B$19,MAX(0,D5217-H5217)),0)</f>
        <v>1.75959</v>
      </c>
      <c r="J5217" s="13" t="n">
        <f aca="false">IFERROR(MIN(Eingaben!$B$18,MAX(0,F5217-I5217)),0)</f>
        <v>0.75411</v>
      </c>
      <c r="K5217" s="13" t="n">
        <f aca="false">H5217+I5217</f>
        <v>3.468906</v>
      </c>
      <c r="L5217" s="13" t="n">
        <f aca="false">MAX(0,D5217-K5217)</f>
        <v>1.471094</v>
      </c>
      <c r="M5217" s="13" t="n">
        <f aca="false">MAX(0,F5217-I5217-J5217)</f>
        <v>0</v>
      </c>
      <c r="N5217" s="13" t="n">
        <f aca="false">IF(Kalender!A93="",0,J5216-H5217)</f>
        <v>0.0348840000000001</v>
      </c>
    </row>
    <row r="5218" customFormat="false" ht="16.4" hidden="false" customHeight="false" outlineLevel="0" collapsed="false">
      <c r="A5218" s="13" t="str">
        <f aca="false">""</f>
        <v/>
      </c>
      <c r="B5218" s="13" t="n">
        <f aca="false">90</f>
        <v>90</v>
      </c>
      <c r="C5218" s="13" t="n">
        <f aca="false">IF(Szenarien!$H$25="OK",(IFERROR(SUMIF(Nutzungsprofile!$B$6:$B$11,"Schulbetrieb",Nutzungsprofile!$G$6:$G$11)*Kalender!C94/SUM(Kalender!$C$5:$C$370),0)+IFERROR(SUMIF(Nutzungsprofile!$B$6:$B$11,"Halle",Nutzungsprofile!$G$6:$G$11)*Kalender!D94/SUM(Kalender!$D$5:$D$370),0)+IFERROR(SUMIF(Nutzungsprofile!$B$6:$B$11,"Individuell",Nutzungsprofile!$G$6:$G$11)*Kalender!E94/SUM(Kalender!$E$5:$E$370),0))*Szenarien!$E$25,0)</f>
        <v>2.94</v>
      </c>
      <c r="D5218" s="13" t="n">
        <f aca="false">IF(Szenarien!$H$25="OK",(IFERROR(SUMIF(Nutzungsprofile!$B$17:$B$22,"Schulbetrieb",Nutzungsprofile!$G$17:$G$22)*Kalender!C94/SUM(Kalender!$C$5:$C$370),0)+IFERROR(SUMIF(Nutzungsprofile!$B$17:$B$22,"Halle",Nutzungsprofile!$G$17:$G$22)*Kalender!D94/SUM(Kalender!$D$5:$D$370),0)+IFERROR(SUMIF(Nutzungsprofile!$B$17:$B$22,"Individuell",Nutzungsprofile!$G$17:$G$22)*Kalender!E94/SUM(Kalender!$E$5:$E$370),0))*Szenarien!$D$25,0)</f>
        <v>4.94</v>
      </c>
      <c r="E5218" s="13" t="n">
        <f aca="false">IFERROR(MIN(C5218,Eingaben!$B$17)*Eingaben!$B$16,0)</f>
        <v>2.793</v>
      </c>
      <c r="F5218" s="13" t="n">
        <f aca="false">IFERROR(E5218*Eingaben!$B$15,0)</f>
        <v>2.5137</v>
      </c>
      <c r="G5218" s="13" t="n">
        <f aca="false">IFERROR(IF(Kalender!A94="",0,J5217*(1-Eingaben!$B$20)),0)</f>
        <v>0.7390278</v>
      </c>
      <c r="H5218" s="13" t="n">
        <f aca="false">MIN(G5218,D5218)</f>
        <v>0.7390278</v>
      </c>
      <c r="I5218" s="13" t="n">
        <f aca="false">IFERROR(MIN(F5218*Eingaben!$B$19,MAX(0,D5218-H5218)),0)</f>
        <v>1.75959</v>
      </c>
      <c r="J5218" s="13" t="n">
        <f aca="false">IFERROR(MIN(Eingaben!$B$18,MAX(0,F5218-I5218)),0)</f>
        <v>0.75411</v>
      </c>
      <c r="K5218" s="13" t="n">
        <f aca="false">H5218+I5218</f>
        <v>2.4986178</v>
      </c>
      <c r="L5218" s="13" t="n">
        <f aca="false">MAX(0,D5218-K5218)</f>
        <v>2.4413822</v>
      </c>
      <c r="M5218" s="13" t="n">
        <f aca="false">MAX(0,F5218-I5218-J5218)</f>
        <v>0</v>
      </c>
      <c r="N5218" s="13" t="n">
        <f aca="false">IF(Kalender!A94="",0,J5217-H5218)</f>
        <v>0.0150822</v>
      </c>
    </row>
    <row r="5219" customFormat="false" ht="16.4" hidden="false" customHeight="false" outlineLevel="0" collapsed="false">
      <c r="A5219" s="13" t="str">
        <f aca="false">""</f>
        <v/>
      </c>
      <c r="B5219" s="13" t="n">
        <f aca="false">91</f>
        <v>91</v>
      </c>
      <c r="C5219" s="13" t="n">
        <f aca="false">IF(Szenarien!$H$25="OK",(IFERROR(SUMIF(Nutzungsprofile!$B$6:$B$11,"Schulbetrieb",Nutzungsprofile!$G$6:$G$11)*Kalender!C95/SUM(Kalender!$C$5:$C$370),0)+IFERROR(SUMIF(Nutzungsprofile!$B$6:$B$11,"Halle",Nutzungsprofile!$G$6:$G$11)*Kalender!D95/SUM(Kalender!$D$5:$D$370),0)+IFERROR(SUMIF(Nutzungsprofile!$B$6:$B$11,"Individuell",Nutzungsprofile!$G$6:$G$11)*Kalender!E95/SUM(Kalender!$E$5:$E$370),0))*Szenarien!$E$25,0)</f>
        <v>2.94</v>
      </c>
      <c r="D5219" s="13" t="n">
        <f aca="false">IF(Szenarien!$H$25="OK",(IFERROR(SUMIF(Nutzungsprofile!$B$17:$B$22,"Schulbetrieb",Nutzungsprofile!$G$17:$G$22)*Kalender!C95/SUM(Kalender!$C$5:$C$370),0)+IFERROR(SUMIF(Nutzungsprofile!$B$17:$B$22,"Halle",Nutzungsprofile!$G$17:$G$22)*Kalender!D95/SUM(Kalender!$D$5:$D$370),0)+IFERROR(SUMIF(Nutzungsprofile!$B$17:$B$22,"Individuell",Nutzungsprofile!$G$17:$G$22)*Kalender!E95/SUM(Kalender!$E$5:$E$370),0))*Szenarien!$D$25,0)</f>
        <v>4.94</v>
      </c>
      <c r="E5219" s="13" t="n">
        <f aca="false">IFERROR(MIN(C5219,Eingaben!$B$17)*Eingaben!$B$16,0)</f>
        <v>2.793</v>
      </c>
      <c r="F5219" s="13" t="n">
        <f aca="false">IFERROR(E5219*Eingaben!$B$15,0)</f>
        <v>2.5137</v>
      </c>
      <c r="G5219" s="13" t="n">
        <f aca="false">IFERROR(IF(Kalender!A95="",0,J5218*(1-Eingaben!$B$20)),0)</f>
        <v>0.7390278</v>
      </c>
      <c r="H5219" s="13" t="n">
        <f aca="false">MIN(G5219,D5219)</f>
        <v>0.7390278</v>
      </c>
      <c r="I5219" s="13" t="n">
        <f aca="false">IFERROR(MIN(F5219*Eingaben!$B$19,MAX(0,D5219-H5219)),0)</f>
        <v>1.75959</v>
      </c>
      <c r="J5219" s="13" t="n">
        <f aca="false">IFERROR(MIN(Eingaben!$B$18,MAX(0,F5219-I5219)),0)</f>
        <v>0.75411</v>
      </c>
      <c r="K5219" s="13" t="n">
        <f aca="false">H5219+I5219</f>
        <v>2.4986178</v>
      </c>
      <c r="L5219" s="13" t="n">
        <f aca="false">MAX(0,D5219-K5219)</f>
        <v>2.4413822</v>
      </c>
      <c r="M5219" s="13" t="n">
        <f aca="false">MAX(0,F5219-I5219-J5219)</f>
        <v>0</v>
      </c>
      <c r="N5219" s="13" t="n">
        <f aca="false">IF(Kalender!A95="",0,J5218-H5219)</f>
        <v>0.0150822</v>
      </c>
    </row>
    <row r="5220" customFormat="false" ht="16.4" hidden="false" customHeight="false" outlineLevel="0" collapsed="false">
      <c r="A5220" s="13" t="str">
        <f aca="false">""</f>
        <v/>
      </c>
      <c r="B5220" s="13" t="n">
        <f aca="false">92</f>
        <v>92</v>
      </c>
      <c r="C5220" s="13" t="n">
        <f aca="false">IF(Szenarien!$H$25="OK",(IFERROR(SUMIF(Nutzungsprofile!$B$6:$B$11,"Schulbetrieb",Nutzungsprofile!$G$6:$G$11)*Kalender!C96/SUM(Kalender!$C$5:$C$370),0)+IFERROR(SUMIF(Nutzungsprofile!$B$6:$B$11,"Halle",Nutzungsprofile!$G$6:$G$11)*Kalender!D96/SUM(Kalender!$D$5:$D$370),0)+IFERROR(SUMIF(Nutzungsprofile!$B$6:$B$11,"Individuell",Nutzungsprofile!$G$6:$G$11)*Kalender!E96/SUM(Kalender!$E$5:$E$370),0))*Szenarien!$E$25,0)</f>
        <v>2.94</v>
      </c>
      <c r="D5220" s="13" t="n">
        <f aca="false">IF(Szenarien!$H$25="OK",(IFERROR(SUMIF(Nutzungsprofile!$B$17:$B$22,"Schulbetrieb",Nutzungsprofile!$G$17:$G$22)*Kalender!C96/SUM(Kalender!$C$5:$C$370),0)+IFERROR(SUMIF(Nutzungsprofile!$B$17:$B$22,"Halle",Nutzungsprofile!$G$17:$G$22)*Kalender!D96/SUM(Kalender!$D$5:$D$370),0)+IFERROR(SUMIF(Nutzungsprofile!$B$17:$B$22,"Individuell",Nutzungsprofile!$G$17:$G$22)*Kalender!E96/SUM(Kalender!$E$5:$E$370),0))*Szenarien!$D$25,0)</f>
        <v>4.94</v>
      </c>
      <c r="E5220" s="13" t="n">
        <f aca="false">IFERROR(MIN(C5220,Eingaben!$B$17)*Eingaben!$B$16,0)</f>
        <v>2.793</v>
      </c>
      <c r="F5220" s="13" t="n">
        <f aca="false">IFERROR(E5220*Eingaben!$B$15,0)</f>
        <v>2.5137</v>
      </c>
      <c r="G5220" s="13" t="n">
        <f aca="false">IFERROR(IF(Kalender!A96="",0,J5219*(1-Eingaben!$B$20)),0)</f>
        <v>0.7390278</v>
      </c>
      <c r="H5220" s="13" t="n">
        <f aca="false">MIN(G5220,D5220)</f>
        <v>0.7390278</v>
      </c>
      <c r="I5220" s="13" t="n">
        <f aca="false">IFERROR(MIN(F5220*Eingaben!$B$19,MAX(0,D5220-H5220)),0)</f>
        <v>1.75959</v>
      </c>
      <c r="J5220" s="13" t="n">
        <f aca="false">IFERROR(MIN(Eingaben!$B$18,MAX(0,F5220-I5220)),0)</f>
        <v>0.75411</v>
      </c>
      <c r="K5220" s="13" t="n">
        <f aca="false">H5220+I5220</f>
        <v>2.4986178</v>
      </c>
      <c r="L5220" s="13" t="n">
        <f aca="false">MAX(0,D5220-K5220)</f>
        <v>2.4413822</v>
      </c>
      <c r="M5220" s="13" t="n">
        <f aca="false">MAX(0,F5220-I5220-J5220)</f>
        <v>0</v>
      </c>
      <c r="N5220" s="13" t="n">
        <f aca="false">IF(Kalender!A96="",0,J5219-H5220)</f>
        <v>0.0150822</v>
      </c>
    </row>
    <row r="5221" customFormat="false" ht="16.4" hidden="false" customHeight="false" outlineLevel="0" collapsed="false">
      <c r="A5221" s="13" t="str">
        <f aca="false">""</f>
        <v/>
      </c>
      <c r="B5221" s="13" t="n">
        <f aca="false">93</f>
        <v>93</v>
      </c>
      <c r="C5221" s="13" t="n">
        <f aca="false">IF(Szenarien!$H$25="OK",(IFERROR(SUMIF(Nutzungsprofile!$B$6:$B$11,"Schulbetrieb",Nutzungsprofile!$G$6:$G$11)*Kalender!C97/SUM(Kalender!$C$5:$C$370),0)+IFERROR(SUMIF(Nutzungsprofile!$B$6:$B$11,"Halle",Nutzungsprofile!$G$6:$G$11)*Kalender!D97/SUM(Kalender!$D$5:$D$370),0)+IFERROR(SUMIF(Nutzungsprofile!$B$6:$B$11,"Individuell",Nutzungsprofile!$G$6:$G$11)*Kalender!E97/SUM(Kalender!$E$5:$E$370),0))*Szenarien!$E$25,0)</f>
        <v>2.94</v>
      </c>
      <c r="D5221" s="13" t="n">
        <f aca="false">IF(Szenarien!$H$25="OK",(IFERROR(SUMIF(Nutzungsprofile!$B$17:$B$22,"Schulbetrieb",Nutzungsprofile!$G$17:$G$22)*Kalender!C97/SUM(Kalender!$C$5:$C$370),0)+IFERROR(SUMIF(Nutzungsprofile!$B$17:$B$22,"Halle",Nutzungsprofile!$G$17:$G$22)*Kalender!D97/SUM(Kalender!$D$5:$D$370),0)+IFERROR(SUMIF(Nutzungsprofile!$B$17:$B$22,"Individuell",Nutzungsprofile!$G$17:$G$22)*Kalender!E97/SUM(Kalender!$E$5:$E$370),0))*Szenarien!$D$25,0)</f>
        <v>4.94</v>
      </c>
      <c r="E5221" s="13" t="n">
        <f aca="false">IFERROR(MIN(C5221,Eingaben!$B$17)*Eingaben!$B$16,0)</f>
        <v>2.793</v>
      </c>
      <c r="F5221" s="13" t="n">
        <f aca="false">IFERROR(E5221*Eingaben!$B$15,0)</f>
        <v>2.5137</v>
      </c>
      <c r="G5221" s="13" t="n">
        <f aca="false">IFERROR(IF(Kalender!A97="",0,J5220*(1-Eingaben!$B$20)),0)</f>
        <v>0.7390278</v>
      </c>
      <c r="H5221" s="13" t="n">
        <f aca="false">MIN(G5221,D5221)</f>
        <v>0.7390278</v>
      </c>
      <c r="I5221" s="13" t="n">
        <f aca="false">IFERROR(MIN(F5221*Eingaben!$B$19,MAX(0,D5221-H5221)),0)</f>
        <v>1.75959</v>
      </c>
      <c r="J5221" s="13" t="n">
        <f aca="false">IFERROR(MIN(Eingaben!$B$18,MAX(0,F5221-I5221)),0)</f>
        <v>0.75411</v>
      </c>
      <c r="K5221" s="13" t="n">
        <f aca="false">H5221+I5221</f>
        <v>2.4986178</v>
      </c>
      <c r="L5221" s="13" t="n">
        <f aca="false">MAX(0,D5221-K5221)</f>
        <v>2.4413822</v>
      </c>
      <c r="M5221" s="13" t="n">
        <f aca="false">MAX(0,F5221-I5221-J5221)</f>
        <v>0</v>
      </c>
      <c r="N5221" s="13" t="n">
        <f aca="false">IF(Kalender!A97="",0,J5220-H5221)</f>
        <v>0.0150822</v>
      </c>
    </row>
    <row r="5222" customFormat="false" ht="16.4" hidden="false" customHeight="false" outlineLevel="0" collapsed="false">
      <c r="A5222" s="13" t="str">
        <f aca="false">""</f>
        <v/>
      </c>
      <c r="B5222" s="13" t="n">
        <f aca="false">94</f>
        <v>94</v>
      </c>
      <c r="C5222" s="13" t="n">
        <f aca="false">IF(Szenarien!$H$25="OK",(IFERROR(SUMIF(Nutzungsprofile!$B$6:$B$11,"Schulbetrieb",Nutzungsprofile!$G$6:$G$11)*Kalender!C98/SUM(Kalender!$C$5:$C$370),0)+IFERROR(SUMIF(Nutzungsprofile!$B$6:$B$11,"Halle",Nutzungsprofile!$G$6:$G$11)*Kalender!D98/SUM(Kalender!$D$5:$D$370),0)+IFERROR(SUMIF(Nutzungsprofile!$B$6:$B$11,"Individuell",Nutzungsprofile!$G$6:$G$11)*Kalender!E98/SUM(Kalender!$E$5:$E$370),0))*Szenarien!$E$25,0)</f>
        <v>2.04</v>
      </c>
      <c r="D5222" s="13" t="n">
        <f aca="false">IF(Szenarien!$H$25="OK",(IFERROR(SUMIF(Nutzungsprofile!$B$17:$B$22,"Schulbetrieb",Nutzungsprofile!$G$17:$G$22)*Kalender!C98/SUM(Kalender!$C$5:$C$370),0)+IFERROR(SUMIF(Nutzungsprofile!$B$17:$B$22,"Halle",Nutzungsprofile!$G$17:$G$22)*Kalender!D98/SUM(Kalender!$D$5:$D$370),0)+IFERROR(SUMIF(Nutzungsprofile!$B$17:$B$22,"Individuell",Nutzungsprofile!$G$17:$G$22)*Kalender!E98/SUM(Kalender!$E$5:$E$370),0))*Szenarien!$D$25,0)</f>
        <v>0.89</v>
      </c>
      <c r="E5222" s="13" t="n">
        <f aca="false">IFERROR(MIN(C5222,Eingaben!$B$17)*Eingaben!$B$16,0)</f>
        <v>1.938</v>
      </c>
      <c r="F5222" s="13" t="n">
        <f aca="false">IFERROR(E5222*Eingaben!$B$15,0)</f>
        <v>1.7442</v>
      </c>
      <c r="G5222" s="13" t="n">
        <f aca="false">IFERROR(IF(Kalender!A98="",0,J5221*(1-Eingaben!$B$20)),0)</f>
        <v>0.7390278</v>
      </c>
      <c r="H5222" s="13" t="n">
        <f aca="false">MIN(G5222,D5222)</f>
        <v>0.7390278</v>
      </c>
      <c r="I5222" s="13" t="n">
        <f aca="false">IFERROR(MIN(F5222*Eingaben!$B$19,MAX(0,D5222-H5222)),0)</f>
        <v>0.1509722</v>
      </c>
      <c r="J5222" s="13" t="n">
        <f aca="false">IFERROR(MIN(Eingaben!$B$18,MAX(0,F5222-I5222)),0)</f>
        <v>1.5932278</v>
      </c>
      <c r="K5222" s="13" t="n">
        <f aca="false">H5222+I5222</f>
        <v>0.89</v>
      </c>
      <c r="L5222" s="13" t="n">
        <f aca="false">MAX(0,D5222-K5222)</f>
        <v>0</v>
      </c>
      <c r="M5222" s="13" t="n">
        <f aca="false">MAX(0,F5222-I5222-J5222)</f>
        <v>0</v>
      </c>
      <c r="N5222" s="13" t="n">
        <f aca="false">IF(Kalender!A98="",0,J5221-H5222)</f>
        <v>0.0150822</v>
      </c>
    </row>
    <row r="5223" customFormat="false" ht="16.4" hidden="false" customHeight="false" outlineLevel="0" collapsed="false">
      <c r="A5223" s="13" t="str">
        <f aca="false">""</f>
        <v/>
      </c>
      <c r="B5223" s="13" t="n">
        <f aca="false">95</f>
        <v>95</v>
      </c>
      <c r="C5223" s="13" t="n">
        <f aca="false">IF(Szenarien!$H$25="OK",(IFERROR(SUMIF(Nutzungsprofile!$B$6:$B$11,"Schulbetrieb",Nutzungsprofile!$G$6:$G$11)*Kalender!C99/SUM(Kalender!$C$5:$C$370),0)+IFERROR(SUMIF(Nutzungsprofile!$B$6:$B$11,"Halle",Nutzungsprofile!$G$6:$G$11)*Kalender!D99/SUM(Kalender!$D$5:$D$370),0)+IFERROR(SUMIF(Nutzungsprofile!$B$6:$B$11,"Individuell",Nutzungsprofile!$G$6:$G$11)*Kalender!E99/SUM(Kalender!$E$5:$E$370),0))*Szenarien!$E$25,0)</f>
        <v>2.04</v>
      </c>
      <c r="D5223" s="13" t="n">
        <f aca="false">IF(Szenarien!$H$25="OK",(IFERROR(SUMIF(Nutzungsprofile!$B$17:$B$22,"Schulbetrieb",Nutzungsprofile!$G$17:$G$22)*Kalender!C99/SUM(Kalender!$C$5:$C$370),0)+IFERROR(SUMIF(Nutzungsprofile!$B$17:$B$22,"Halle",Nutzungsprofile!$G$17:$G$22)*Kalender!D99/SUM(Kalender!$D$5:$D$370),0)+IFERROR(SUMIF(Nutzungsprofile!$B$17:$B$22,"Individuell",Nutzungsprofile!$G$17:$G$22)*Kalender!E99/SUM(Kalender!$E$5:$E$370),0))*Szenarien!$D$25,0)</f>
        <v>0.89</v>
      </c>
      <c r="E5223" s="13" t="n">
        <f aca="false">IFERROR(MIN(C5223,Eingaben!$B$17)*Eingaben!$B$16,0)</f>
        <v>1.938</v>
      </c>
      <c r="F5223" s="13" t="n">
        <f aca="false">IFERROR(E5223*Eingaben!$B$15,0)</f>
        <v>1.7442</v>
      </c>
      <c r="G5223" s="13" t="n">
        <f aca="false">IFERROR(IF(Kalender!A99="",0,J5222*(1-Eingaben!$B$20)),0)</f>
        <v>1.561363244</v>
      </c>
      <c r="H5223" s="13" t="n">
        <f aca="false">MIN(G5223,D5223)</f>
        <v>0.89</v>
      </c>
      <c r="I5223" s="13" t="n">
        <f aca="false">IFERROR(MIN(F5223*Eingaben!$B$19,MAX(0,D5223-H5223)),0)</f>
        <v>0</v>
      </c>
      <c r="J5223" s="13" t="n">
        <f aca="false">IFERROR(MIN(Eingaben!$B$18,MAX(0,F5223-I5223)),0)</f>
        <v>1.7442</v>
      </c>
      <c r="K5223" s="13" t="n">
        <f aca="false">H5223+I5223</f>
        <v>0.89</v>
      </c>
      <c r="L5223" s="13" t="n">
        <f aca="false">MAX(0,D5223-K5223)</f>
        <v>0</v>
      </c>
      <c r="M5223" s="13" t="n">
        <f aca="false">MAX(0,F5223-I5223-J5223)</f>
        <v>0</v>
      </c>
      <c r="N5223" s="13" t="n">
        <f aca="false">IF(Kalender!A99="",0,J5222-H5223)</f>
        <v>0.7032278</v>
      </c>
    </row>
    <row r="5224" customFormat="false" ht="16.4" hidden="false" customHeight="false" outlineLevel="0" collapsed="false">
      <c r="A5224" s="13" t="str">
        <f aca="false">""</f>
        <v/>
      </c>
      <c r="B5224" s="13" t="n">
        <f aca="false">96</f>
        <v>96</v>
      </c>
      <c r="C5224" s="13" t="n">
        <f aca="false">IF(Szenarien!$H$25="OK",(IFERROR(SUMIF(Nutzungsprofile!$B$6:$B$11,"Schulbetrieb",Nutzungsprofile!$G$6:$G$11)*Kalender!C100/SUM(Kalender!$C$5:$C$370),0)+IFERROR(SUMIF(Nutzungsprofile!$B$6:$B$11,"Halle",Nutzungsprofile!$G$6:$G$11)*Kalender!D100/SUM(Kalender!$D$5:$D$370),0)+IFERROR(SUMIF(Nutzungsprofile!$B$6:$B$11,"Individuell",Nutzungsprofile!$G$6:$G$11)*Kalender!E100/SUM(Kalender!$E$5:$E$370),0))*Szenarien!$E$25,0)</f>
        <v>2.94</v>
      </c>
      <c r="D5224" s="13" t="n">
        <f aca="false">IF(Szenarien!$H$25="OK",(IFERROR(SUMIF(Nutzungsprofile!$B$17:$B$22,"Schulbetrieb",Nutzungsprofile!$G$17:$G$22)*Kalender!C100/SUM(Kalender!$C$5:$C$370),0)+IFERROR(SUMIF(Nutzungsprofile!$B$17:$B$22,"Halle",Nutzungsprofile!$G$17:$G$22)*Kalender!D100/SUM(Kalender!$D$5:$D$370),0)+IFERROR(SUMIF(Nutzungsprofile!$B$17:$B$22,"Individuell",Nutzungsprofile!$G$17:$G$22)*Kalender!E100/SUM(Kalender!$E$5:$E$370),0))*Szenarien!$D$25,0)</f>
        <v>4.94</v>
      </c>
      <c r="E5224" s="13" t="n">
        <f aca="false">IFERROR(MIN(C5224,Eingaben!$B$17)*Eingaben!$B$16,0)</f>
        <v>2.793</v>
      </c>
      <c r="F5224" s="13" t="n">
        <f aca="false">IFERROR(E5224*Eingaben!$B$15,0)</f>
        <v>2.5137</v>
      </c>
      <c r="G5224" s="13" t="n">
        <f aca="false">IFERROR(IF(Kalender!A100="",0,J5223*(1-Eingaben!$B$20)),0)</f>
        <v>1.709316</v>
      </c>
      <c r="H5224" s="13" t="n">
        <f aca="false">MIN(G5224,D5224)</f>
        <v>1.709316</v>
      </c>
      <c r="I5224" s="13" t="n">
        <f aca="false">IFERROR(MIN(F5224*Eingaben!$B$19,MAX(0,D5224-H5224)),0)</f>
        <v>1.75959</v>
      </c>
      <c r="J5224" s="13" t="n">
        <f aca="false">IFERROR(MIN(Eingaben!$B$18,MAX(0,F5224-I5224)),0)</f>
        <v>0.75411</v>
      </c>
      <c r="K5224" s="13" t="n">
        <f aca="false">H5224+I5224</f>
        <v>3.468906</v>
      </c>
      <c r="L5224" s="13" t="n">
        <f aca="false">MAX(0,D5224-K5224)</f>
        <v>1.471094</v>
      </c>
      <c r="M5224" s="13" t="n">
        <f aca="false">MAX(0,F5224-I5224-J5224)</f>
        <v>0</v>
      </c>
      <c r="N5224" s="13" t="n">
        <f aca="false">IF(Kalender!A100="",0,J5223-H5224)</f>
        <v>0.0348840000000001</v>
      </c>
    </row>
    <row r="5225" customFormat="false" ht="16.4" hidden="false" customHeight="false" outlineLevel="0" collapsed="false">
      <c r="A5225" s="13" t="str">
        <f aca="false">""</f>
        <v/>
      </c>
      <c r="B5225" s="13" t="n">
        <f aca="false">97</f>
        <v>97</v>
      </c>
      <c r="C5225" s="13" t="n">
        <f aca="false">IF(Szenarien!$H$25="OK",(IFERROR(SUMIF(Nutzungsprofile!$B$6:$B$11,"Schulbetrieb",Nutzungsprofile!$G$6:$G$11)*Kalender!C101/SUM(Kalender!$C$5:$C$370),0)+IFERROR(SUMIF(Nutzungsprofile!$B$6:$B$11,"Halle",Nutzungsprofile!$G$6:$G$11)*Kalender!D101/SUM(Kalender!$D$5:$D$370),0)+IFERROR(SUMIF(Nutzungsprofile!$B$6:$B$11,"Individuell",Nutzungsprofile!$G$6:$G$11)*Kalender!E101/SUM(Kalender!$E$5:$E$370),0))*Szenarien!$E$25,0)</f>
        <v>2.94</v>
      </c>
      <c r="D5225" s="13" t="n">
        <f aca="false">IF(Szenarien!$H$25="OK",(IFERROR(SUMIF(Nutzungsprofile!$B$17:$B$22,"Schulbetrieb",Nutzungsprofile!$G$17:$G$22)*Kalender!C101/SUM(Kalender!$C$5:$C$370),0)+IFERROR(SUMIF(Nutzungsprofile!$B$17:$B$22,"Halle",Nutzungsprofile!$G$17:$G$22)*Kalender!D101/SUM(Kalender!$D$5:$D$370),0)+IFERROR(SUMIF(Nutzungsprofile!$B$17:$B$22,"Individuell",Nutzungsprofile!$G$17:$G$22)*Kalender!E101/SUM(Kalender!$E$5:$E$370),0))*Szenarien!$D$25,0)</f>
        <v>4.94</v>
      </c>
      <c r="E5225" s="13" t="n">
        <f aca="false">IFERROR(MIN(C5225,Eingaben!$B$17)*Eingaben!$B$16,0)</f>
        <v>2.793</v>
      </c>
      <c r="F5225" s="13" t="n">
        <f aca="false">IFERROR(E5225*Eingaben!$B$15,0)</f>
        <v>2.5137</v>
      </c>
      <c r="G5225" s="13" t="n">
        <f aca="false">IFERROR(IF(Kalender!A101="",0,J5224*(1-Eingaben!$B$20)),0)</f>
        <v>0.7390278</v>
      </c>
      <c r="H5225" s="13" t="n">
        <f aca="false">MIN(G5225,D5225)</f>
        <v>0.7390278</v>
      </c>
      <c r="I5225" s="13" t="n">
        <f aca="false">IFERROR(MIN(F5225*Eingaben!$B$19,MAX(0,D5225-H5225)),0)</f>
        <v>1.75959</v>
      </c>
      <c r="J5225" s="13" t="n">
        <f aca="false">IFERROR(MIN(Eingaben!$B$18,MAX(0,F5225-I5225)),0)</f>
        <v>0.75411</v>
      </c>
      <c r="K5225" s="13" t="n">
        <f aca="false">H5225+I5225</f>
        <v>2.4986178</v>
      </c>
      <c r="L5225" s="13" t="n">
        <f aca="false">MAX(0,D5225-K5225)</f>
        <v>2.4413822</v>
      </c>
      <c r="M5225" s="13" t="n">
        <f aca="false">MAX(0,F5225-I5225-J5225)</f>
        <v>0</v>
      </c>
      <c r="N5225" s="13" t="n">
        <f aca="false">IF(Kalender!A101="",0,J5224-H5225)</f>
        <v>0.0150822</v>
      </c>
    </row>
    <row r="5226" customFormat="false" ht="16.4" hidden="false" customHeight="false" outlineLevel="0" collapsed="false">
      <c r="A5226" s="13" t="str">
        <f aca="false">""</f>
        <v/>
      </c>
      <c r="B5226" s="13" t="n">
        <f aca="false">98</f>
        <v>98</v>
      </c>
      <c r="C5226" s="13" t="n">
        <f aca="false">IF(Szenarien!$H$25="OK",(IFERROR(SUMIF(Nutzungsprofile!$B$6:$B$11,"Schulbetrieb",Nutzungsprofile!$G$6:$G$11)*Kalender!C102/SUM(Kalender!$C$5:$C$370),0)+IFERROR(SUMIF(Nutzungsprofile!$B$6:$B$11,"Halle",Nutzungsprofile!$G$6:$G$11)*Kalender!D102/SUM(Kalender!$D$5:$D$370),0)+IFERROR(SUMIF(Nutzungsprofile!$B$6:$B$11,"Individuell",Nutzungsprofile!$G$6:$G$11)*Kalender!E102/SUM(Kalender!$E$5:$E$370),0))*Szenarien!$E$25,0)</f>
        <v>2.94</v>
      </c>
      <c r="D5226" s="13" t="n">
        <f aca="false">IF(Szenarien!$H$25="OK",(IFERROR(SUMIF(Nutzungsprofile!$B$17:$B$22,"Schulbetrieb",Nutzungsprofile!$G$17:$G$22)*Kalender!C102/SUM(Kalender!$C$5:$C$370),0)+IFERROR(SUMIF(Nutzungsprofile!$B$17:$B$22,"Halle",Nutzungsprofile!$G$17:$G$22)*Kalender!D102/SUM(Kalender!$D$5:$D$370),0)+IFERROR(SUMIF(Nutzungsprofile!$B$17:$B$22,"Individuell",Nutzungsprofile!$G$17:$G$22)*Kalender!E102/SUM(Kalender!$E$5:$E$370),0))*Szenarien!$D$25,0)</f>
        <v>4.94</v>
      </c>
      <c r="E5226" s="13" t="n">
        <f aca="false">IFERROR(MIN(C5226,Eingaben!$B$17)*Eingaben!$B$16,0)</f>
        <v>2.793</v>
      </c>
      <c r="F5226" s="13" t="n">
        <f aca="false">IFERROR(E5226*Eingaben!$B$15,0)</f>
        <v>2.5137</v>
      </c>
      <c r="G5226" s="13" t="n">
        <f aca="false">IFERROR(IF(Kalender!A102="",0,J5225*(1-Eingaben!$B$20)),0)</f>
        <v>0.7390278</v>
      </c>
      <c r="H5226" s="13" t="n">
        <f aca="false">MIN(G5226,D5226)</f>
        <v>0.7390278</v>
      </c>
      <c r="I5226" s="13" t="n">
        <f aca="false">IFERROR(MIN(F5226*Eingaben!$B$19,MAX(0,D5226-H5226)),0)</f>
        <v>1.75959</v>
      </c>
      <c r="J5226" s="13" t="n">
        <f aca="false">IFERROR(MIN(Eingaben!$B$18,MAX(0,F5226-I5226)),0)</f>
        <v>0.75411</v>
      </c>
      <c r="K5226" s="13" t="n">
        <f aca="false">H5226+I5226</f>
        <v>2.4986178</v>
      </c>
      <c r="L5226" s="13" t="n">
        <f aca="false">MAX(0,D5226-K5226)</f>
        <v>2.4413822</v>
      </c>
      <c r="M5226" s="13" t="n">
        <f aca="false">MAX(0,F5226-I5226-J5226)</f>
        <v>0</v>
      </c>
      <c r="N5226" s="13" t="n">
        <f aca="false">IF(Kalender!A102="",0,J5225-H5226)</f>
        <v>0.0150822</v>
      </c>
    </row>
    <row r="5227" customFormat="false" ht="16.4" hidden="false" customHeight="false" outlineLevel="0" collapsed="false">
      <c r="A5227" s="13" t="str">
        <f aca="false">""</f>
        <v/>
      </c>
      <c r="B5227" s="13" t="n">
        <f aca="false">99</f>
        <v>99</v>
      </c>
      <c r="C5227" s="13" t="n">
        <f aca="false">IF(Szenarien!$H$25="OK",(IFERROR(SUMIF(Nutzungsprofile!$B$6:$B$11,"Schulbetrieb",Nutzungsprofile!$G$6:$G$11)*Kalender!C103/SUM(Kalender!$C$5:$C$370),0)+IFERROR(SUMIF(Nutzungsprofile!$B$6:$B$11,"Halle",Nutzungsprofile!$G$6:$G$11)*Kalender!D103/SUM(Kalender!$D$5:$D$370),0)+IFERROR(SUMIF(Nutzungsprofile!$B$6:$B$11,"Individuell",Nutzungsprofile!$G$6:$G$11)*Kalender!E103/SUM(Kalender!$E$5:$E$370),0))*Szenarien!$E$25,0)</f>
        <v>2.94</v>
      </c>
      <c r="D5227" s="13" t="n">
        <f aca="false">IF(Szenarien!$H$25="OK",(IFERROR(SUMIF(Nutzungsprofile!$B$17:$B$22,"Schulbetrieb",Nutzungsprofile!$G$17:$G$22)*Kalender!C103/SUM(Kalender!$C$5:$C$370),0)+IFERROR(SUMIF(Nutzungsprofile!$B$17:$B$22,"Halle",Nutzungsprofile!$G$17:$G$22)*Kalender!D103/SUM(Kalender!$D$5:$D$370),0)+IFERROR(SUMIF(Nutzungsprofile!$B$17:$B$22,"Individuell",Nutzungsprofile!$G$17:$G$22)*Kalender!E103/SUM(Kalender!$E$5:$E$370),0))*Szenarien!$D$25,0)</f>
        <v>4.94</v>
      </c>
      <c r="E5227" s="13" t="n">
        <f aca="false">IFERROR(MIN(C5227,Eingaben!$B$17)*Eingaben!$B$16,0)</f>
        <v>2.793</v>
      </c>
      <c r="F5227" s="13" t="n">
        <f aca="false">IFERROR(E5227*Eingaben!$B$15,0)</f>
        <v>2.5137</v>
      </c>
      <c r="G5227" s="13" t="n">
        <f aca="false">IFERROR(IF(Kalender!A103="",0,J5226*(1-Eingaben!$B$20)),0)</f>
        <v>0.7390278</v>
      </c>
      <c r="H5227" s="13" t="n">
        <f aca="false">MIN(G5227,D5227)</f>
        <v>0.7390278</v>
      </c>
      <c r="I5227" s="13" t="n">
        <f aca="false">IFERROR(MIN(F5227*Eingaben!$B$19,MAX(0,D5227-H5227)),0)</f>
        <v>1.75959</v>
      </c>
      <c r="J5227" s="13" t="n">
        <f aca="false">IFERROR(MIN(Eingaben!$B$18,MAX(0,F5227-I5227)),0)</f>
        <v>0.75411</v>
      </c>
      <c r="K5227" s="13" t="n">
        <f aca="false">H5227+I5227</f>
        <v>2.4986178</v>
      </c>
      <c r="L5227" s="13" t="n">
        <f aca="false">MAX(0,D5227-K5227)</f>
        <v>2.4413822</v>
      </c>
      <c r="M5227" s="13" t="n">
        <f aca="false">MAX(0,F5227-I5227-J5227)</f>
        <v>0</v>
      </c>
      <c r="N5227" s="13" t="n">
        <f aca="false">IF(Kalender!A103="",0,J5226-H5227)</f>
        <v>0.0150822</v>
      </c>
    </row>
    <row r="5228" customFormat="false" ht="16.4" hidden="false" customHeight="false" outlineLevel="0" collapsed="false">
      <c r="A5228" s="13" t="str">
        <f aca="false">""</f>
        <v/>
      </c>
      <c r="B5228" s="13" t="n">
        <f aca="false">100</f>
        <v>100</v>
      </c>
      <c r="C5228" s="13" t="n">
        <f aca="false">IF(Szenarien!$H$25="OK",(IFERROR(SUMIF(Nutzungsprofile!$B$6:$B$11,"Schulbetrieb",Nutzungsprofile!$G$6:$G$11)*Kalender!C104/SUM(Kalender!$C$5:$C$370),0)+IFERROR(SUMIF(Nutzungsprofile!$B$6:$B$11,"Halle",Nutzungsprofile!$G$6:$G$11)*Kalender!D104/SUM(Kalender!$D$5:$D$370),0)+IFERROR(SUMIF(Nutzungsprofile!$B$6:$B$11,"Individuell",Nutzungsprofile!$G$6:$G$11)*Kalender!E104/SUM(Kalender!$E$5:$E$370),0))*Szenarien!$E$25,0)</f>
        <v>2.94</v>
      </c>
      <c r="D5228" s="13" t="n">
        <f aca="false">IF(Szenarien!$H$25="OK",(IFERROR(SUMIF(Nutzungsprofile!$B$17:$B$22,"Schulbetrieb",Nutzungsprofile!$G$17:$G$22)*Kalender!C104/SUM(Kalender!$C$5:$C$370),0)+IFERROR(SUMIF(Nutzungsprofile!$B$17:$B$22,"Halle",Nutzungsprofile!$G$17:$G$22)*Kalender!D104/SUM(Kalender!$D$5:$D$370),0)+IFERROR(SUMIF(Nutzungsprofile!$B$17:$B$22,"Individuell",Nutzungsprofile!$G$17:$G$22)*Kalender!E104/SUM(Kalender!$E$5:$E$370),0))*Szenarien!$D$25,0)</f>
        <v>4.94</v>
      </c>
      <c r="E5228" s="13" t="n">
        <f aca="false">IFERROR(MIN(C5228,Eingaben!$B$17)*Eingaben!$B$16,0)</f>
        <v>2.793</v>
      </c>
      <c r="F5228" s="13" t="n">
        <f aca="false">IFERROR(E5228*Eingaben!$B$15,0)</f>
        <v>2.5137</v>
      </c>
      <c r="G5228" s="13" t="n">
        <f aca="false">IFERROR(IF(Kalender!A104="",0,J5227*(1-Eingaben!$B$20)),0)</f>
        <v>0.7390278</v>
      </c>
      <c r="H5228" s="13" t="n">
        <f aca="false">MIN(G5228,D5228)</f>
        <v>0.7390278</v>
      </c>
      <c r="I5228" s="13" t="n">
        <f aca="false">IFERROR(MIN(F5228*Eingaben!$B$19,MAX(0,D5228-H5228)),0)</f>
        <v>1.75959</v>
      </c>
      <c r="J5228" s="13" t="n">
        <f aca="false">IFERROR(MIN(Eingaben!$B$18,MAX(0,F5228-I5228)),0)</f>
        <v>0.75411</v>
      </c>
      <c r="K5228" s="13" t="n">
        <f aca="false">H5228+I5228</f>
        <v>2.4986178</v>
      </c>
      <c r="L5228" s="13" t="n">
        <f aca="false">MAX(0,D5228-K5228)</f>
        <v>2.4413822</v>
      </c>
      <c r="M5228" s="13" t="n">
        <f aca="false">MAX(0,F5228-I5228-J5228)</f>
        <v>0</v>
      </c>
      <c r="N5228" s="13" t="n">
        <f aca="false">IF(Kalender!A104="",0,J5227-H5228)</f>
        <v>0.0150822</v>
      </c>
    </row>
    <row r="5229" customFormat="false" ht="16.4" hidden="false" customHeight="false" outlineLevel="0" collapsed="false">
      <c r="A5229" s="13" t="str">
        <f aca="false">""</f>
        <v/>
      </c>
      <c r="B5229" s="13" t="n">
        <f aca="false">101</f>
        <v>101</v>
      </c>
      <c r="C5229" s="13" t="n">
        <f aca="false">IF(Szenarien!$H$25="OK",(IFERROR(SUMIF(Nutzungsprofile!$B$6:$B$11,"Schulbetrieb",Nutzungsprofile!$G$6:$G$11)*Kalender!C105/SUM(Kalender!$C$5:$C$370),0)+IFERROR(SUMIF(Nutzungsprofile!$B$6:$B$11,"Halle",Nutzungsprofile!$G$6:$G$11)*Kalender!D105/SUM(Kalender!$D$5:$D$370),0)+IFERROR(SUMIF(Nutzungsprofile!$B$6:$B$11,"Individuell",Nutzungsprofile!$G$6:$G$11)*Kalender!E105/SUM(Kalender!$E$5:$E$370),0))*Szenarien!$E$25,0)</f>
        <v>2.04</v>
      </c>
      <c r="D5229" s="13" t="n">
        <f aca="false">IF(Szenarien!$H$25="OK",(IFERROR(SUMIF(Nutzungsprofile!$B$17:$B$22,"Schulbetrieb",Nutzungsprofile!$G$17:$G$22)*Kalender!C105/SUM(Kalender!$C$5:$C$370),0)+IFERROR(SUMIF(Nutzungsprofile!$B$17:$B$22,"Halle",Nutzungsprofile!$G$17:$G$22)*Kalender!D105/SUM(Kalender!$D$5:$D$370),0)+IFERROR(SUMIF(Nutzungsprofile!$B$17:$B$22,"Individuell",Nutzungsprofile!$G$17:$G$22)*Kalender!E105/SUM(Kalender!$E$5:$E$370),0))*Szenarien!$D$25,0)</f>
        <v>0.89</v>
      </c>
      <c r="E5229" s="13" t="n">
        <f aca="false">IFERROR(MIN(C5229,Eingaben!$B$17)*Eingaben!$B$16,0)</f>
        <v>1.938</v>
      </c>
      <c r="F5229" s="13" t="n">
        <f aca="false">IFERROR(E5229*Eingaben!$B$15,0)</f>
        <v>1.7442</v>
      </c>
      <c r="G5229" s="13" t="n">
        <f aca="false">IFERROR(IF(Kalender!A105="",0,J5228*(1-Eingaben!$B$20)),0)</f>
        <v>0.7390278</v>
      </c>
      <c r="H5229" s="13" t="n">
        <f aca="false">MIN(G5229,D5229)</f>
        <v>0.7390278</v>
      </c>
      <c r="I5229" s="13" t="n">
        <f aca="false">IFERROR(MIN(F5229*Eingaben!$B$19,MAX(0,D5229-H5229)),0)</f>
        <v>0.1509722</v>
      </c>
      <c r="J5229" s="13" t="n">
        <f aca="false">IFERROR(MIN(Eingaben!$B$18,MAX(0,F5229-I5229)),0)</f>
        <v>1.5932278</v>
      </c>
      <c r="K5229" s="13" t="n">
        <f aca="false">H5229+I5229</f>
        <v>0.89</v>
      </c>
      <c r="L5229" s="13" t="n">
        <f aca="false">MAX(0,D5229-K5229)</f>
        <v>0</v>
      </c>
      <c r="M5229" s="13" t="n">
        <f aca="false">MAX(0,F5229-I5229-J5229)</f>
        <v>0</v>
      </c>
      <c r="N5229" s="13" t="n">
        <f aca="false">IF(Kalender!A105="",0,J5228-H5229)</f>
        <v>0.0150822</v>
      </c>
    </row>
    <row r="5230" customFormat="false" ht="16.4" hidden="false" customHeight="false" outlineLevel="0" collapsed="false">
      <c r="A5230" s="13" t="str">
        <f aca="false">""</f>
        <v/>
      </c>
      <c r="B5230" s="13" t="n">
        <f aca="false">102</f>
        <v>102</v>
      </c>
      <c r="C5230" s="13" t="n">
        <f aca="false">IF(Szenarien!$H$25="OK",(IFERROR(SUMIF(Nutzungsprofile!$B$6:$B$11,"Schulbetrieb",Nutzungsprofile!$G$6:$G$11)*Kalender!C106/SUM(Kalender!$C$5:$C$370),0)+IFERROR(SUMIF(Nutzungsprofile!$B$6:$B$11,"Halle",Nutzungsprofile!$G$6:$G$11)*Kalender!D106/SUM(Kalender!$D$5:$D$370),0)+IFERROR(SUMIF(Nutzungsprofile!$B$6:$B$11,"Individuell",Nutzungsprofile!$G$6:$G$11)*Kalender!E106/SUM(Kalender!$E$5:$E$370),0))*Szenarien!$E$25,0)</f>
        <v>2.04</v>
      </c>
      <c r="D5230" s="13" t="n">
        <f aca="false">IF(Szenarien!$H$25="OK",(IFERROR(SUMIF(Nutzungsprofile!$B$17:$B$22,"Schulbetrieb",Nutzungsprofile!$G$17:$G$22)*Kalender!C106/SUM(Kalender!$C$5:$C$370),0)+IFERROR(SUMIF(Nutzungsprofile!$B$17:$B$22,"Halle",Nutzungsprofile!$G$17:$G$22)*Kalender!D106/SUM(Kalender!$D$5:$D$370),0)+IFERROR(SUMIF(Nutzungsprofile!$B$17:$B$22,"Individuell",Nutzungsprofile!$G$17:$G$22)*Kalender!E106/SUM(Kalender!$E$5:$E$370),0))*Szenarien!$D$25,0)</f>
        <v>0.89</v>
      </c>
      <c r="E5230" s="13" t="n">
        <f aca="false">IFERROR(MIN(C5230,Eingaben!$B$17)*Eingaben!$B$16,0)</f>
        <v>1.938</v>
      </c>
      <c r="F5230" s="13" t="n">
        <f aca="false">IFERROR(E5230*Eingaben!$B$15,0)</f>
        <v>1.7442</v>
      </c>
      <c r="G5230" s="13" t="n">
        <f aca="false">IFERROR(IF(Kalender!A106="",0,J5229*(1-Eingaben!$B$20)),0)</f>
        <v>1.561363244</v>
      </c>
      <c r="H5230" s="13" t="n">
        <f aca="false">MIN(G5230,D5230)</f>
        <v>0.89</v>
      </c>
      <c r="I5230" s="13" t="n">
        <f aca="false">IFERROR(MIN(F5230*Eingaben!$B$19,MAX(0,D5230-H5230)),0)</f>
        <v>0</v>
      </c>
      <c r="J5230" s="13" t="n">
        <f aca="false">IFERROR(MIN(Eingaben!$B$18,MAX(0,F5230-I5230)),0)</f>
        <v>1.7442</v>
      </c>
      <c r="K5230" s="13" t="n">
        <f aca="false">H5230+I5230</f>
        <v>0.89</v>
      </c>
      <c r="L5230" s="13" t="n">
        <f aca="false">MAX(0,D5230-K5230)</f>
        <v>0</v>
      </c>
      <c r="M5230" s="13" t="n">
        <f aca="false">MAX(0,F5230-I5230-J5230)</f>
        <v>0</v>
      </c>
      <c r="N5230" s="13" t="n">
        <f aca="false">IF(Kalender!A106="",0,J5229-H5230)</f>
        <v>0.7032278</v>
      </c>
    </row>
    <row r="5231" customFormat="false" ht="16.4" hidden="false" customHeight="false" outlineLevel="0" collapsed="false">
      <c r="A5231" s="13" t="str">
        <f aca="false">""</f>
        <v/>
      </c>
      <c r="B5231" s="13" t="n">
        <f aca="false">103</f>
        <v>103</v>
      </c>
      <c r="C5231" s="13" t="n">
        <f aca="false">IF(Szenarien!$H$25="OK",(IFERROR(SUMIF(Nutzungsprofile!$B$6:$B$11,"Schulbetrieb",Nutzungsprofile!$G$6:$G$11)*Kalender!C107/SUM(Kalender!$C$5:$C$370),0)+IFERROR(SUMIF(Nutzungsprofile!$B$6:$B$11,"Halle",Nutzungsprofile!$G$6:$G$11)*Kalender!D107/SUM(Kalender!$D$5:$D$370),0)+IFERROR(SUMIF(Nutzungsprofile!$B$6:$B$11,"Individuell",Nutzungsprofile!$G$6:$G$11)*Kalender!E107/SUM(Kalender!$E$5:$E$370),0))*Szenarien!$E$25,0)</f>
        <v>2.94</v>
      </c>
      <c r="D5231" s="13" t="n">
        <f aca="false">IF(Szenarien!$H$25="OK",(IFERROR(SUMIF(Nutzungsprofile!$B$17:$B$22,"Schulbetrieb",Nutzungsprofile!$G$17:$G$22)*Kalender!C107/SUM(Kalender!$C$5:$C$370),0)+IFERROR(SUMIF(Nutzungsprofile!$B$17:$B$22,"Halle",Nutzungsprofile!$G$17:$G$22)*Kalender!D107/SUM(Kalender!$D$5:$D$370),0)+IFERROR(SUMIF(Nutzungsprofile!$B$17:$B$22,"Individuell",Nutzungsprofile!$G$17:$G$22)*Kalender!E107/SUM(Kalender!$E$5:$E$370),0))*Szenarien!$D$25,0)</f>
        <v>4.94</v>
      </c>
      <c r="E5231" s="13" t="n">
        <f aca="false">IFERROR(MIN(C5231,Eingaben!$B$17)*Eingaben!$B$16,0)</f>
        <v>2.793</v>
      </c>
      <c r="F5231" s="13" t="n">
        <f aca="false">IFERROR(E5231*Eingaben!$B$15,0)</f>
        <v>2.5137</v>
      </c>
      <c r="G5231" s="13" t="n">
        <f aca="false">IFERROR(IF(Kalender!A107="",0,J5230*(1-Eingaben!$B$20)),0)</f>
        <v>1.709316</v>
      </c>
      <c r="H5231" s="13" t="n">
        <f aca="false">MIN(G5231,D5231)</f>
        <v>1.709316</v>
      </c>
      <c r="I5231" s="13" t="n">
        <f aca="false">IFERROR(MIN(F5231*Eingaben!$B$19,MAX(0,D5231-H5231)),0)</f>
        <v>1.75959</v>
      </c>
      <c r="J5231" s="13" t="n">
        <f aca="false">IFERROR(MIN(Eingaben!$B$18,MAX(0,F5231-I5231)),0)</f>
        <v>0.75411</v>
      </c>
      <c r="K5231" s="13" t="n">
        <f aca="false">H5231+I5231</f>
        <v>3.468906</v>
      </c>
      <c r="L5231" s="13" t="n">
        <f aca="false">MAX(0,D5231-K5231)</f>
        <v>1.471094</v>
      </c>
      <c r="M5231" s="13" t="n">
        <f aca="false">MAX(0,F5231-I5231-J5231)</f>
        <v>0</v>
      </c>
      <c r="N5231" s="13" t="n">
        <f aca="false">IF(Kalender!A107="",0,J5230-H5231)</f>
        <v>0.0348840000000001</v>
      </c>
    </row>
    <row r="5232" customFormat="false" ht="16.4" hidden="false" customHeight="false" outlineLevel="0" collapsed="false">
      <c r="A5232" s="13" t="str">
        <f aca="false">""</f>
        <v/>
      </c>
      <c r="B5232" s="13" t="n">
        <f aca="false">104</f>
        <v>104</v>
      </c>
      <c r="C5232" s="13" t="n">
        <f aca="false">IF(Szenarien!$H$25="OK",(IFERROR(SUMIF(Nutzungsprofile!$B$6:$B$11,"Schulbetrieb",Nutzungsprofile!$G$6:$G$11)*Kalender!C108/SUM(Kalender!$C$5:$C$370),0)+IFERROR(SUMIF(Nutzungsprofile!$B$6:$B$11,"Halle",Nutzungsprofile!$G$6:$G$11)*Kalender!D108/SUM(Kalender!$D$5:$D$370),0)+IFERROR(SUMIF(Nutzungsprofile!$B$6:$B$11,"Individuell",Nutzungsprofile!$G$6:$G$11)*Kalender!E108/SUM(Kalender!$E$5:$E$370),0))*Szenarien!$E$25,0)</f>
        <v>2.94</v>
      </c>
      <c r="D5232" s="13" t="n">
        <f aca="false">IF(Szenarien!$H$25="OK",(IFERROR(SUMIF(Nutzungsprofile!$B$17:$B$22,"Schulbetrieb",Nutzungsprofile!$G$17:$G$22)*Kalender!C108/SUM(Kalender!$C$5:$C$370),0)+IFERROR(SUMIF(Nutzungsprofile!$B$17:$B$22,"Halle",Nutzungsprofile!$G$17:$G$22)*Kalender!D108/SUM(Kalender!$D$5:$D$370),0)+IFERROR(SUMIF(Nutzungsprofile!$B$17:$B$22,"Individuell",Nutzungsprofile!$G$17:$G$22)*Kalender!E108/SUM(Kalender!$E$5:$E$370),0))*Szenarien!$D$25,0)</f>
        <v>4.94</v>
      </c>
      <c r="E5232" s="13" t="n">
        <f aca="false">IFERROR(MIN(C5232,Eingaben!$B$17)*Eingaben!$B$16,0)</f>
        <v>2.793</v>
      </c>
      <c r="F5232" s="13" t="n">
        <f aca="false">IFERROR(E5232*Eingaben!$B$15,0)</f>
        <v>2.5137</v>
      </c>
      <c r="G5232" s="13" t="n">
        <f aca="false">IFERROR(IF(Kalender!A108="",0,J5231*(1-Eingaben!$B$20)),0)</f>
        <v>0.7390278</v>
      </c>
      <c r="H5232" s="13" t="n">
        <f aca="false">MIN(G5232,D5232)</f>
        <v>0.7390278</v>
      </c>
      <c r="I5232" s="13" t="n">
        <f aca="false">IFERROR(MIN(F5232*Eingaben!$B$19,MAX(0,D5232-H5232)),0)</f>
        <v>1.75959</v>
      </c>
      <c r="J5232" s="13" t="n">
        <f aca="false">IFERROR(MIN(Eingaben!$B$18,MAX(0,F5232-I5232)),0)</f>
        <v>0.75411</v>
      </c>
      <c r="K5232" s="13" t="n">
        <f aca="false">H5232+I5232</f>
        <v>2.4986178</v>
      </c>
      <c r="L5232" s="13" t="n">
        <f aca="false">MAX(0,D5232-K5232)</f>
        <v>2.4413822</v>
      </c>
      <c r="M5232" s="13" t="n">
        <f aca="false">MAX(0,F5232-I5232-J5232)</f>
        <v>0</v>
      </c>
      <c r="N5232" s="13" t="n">
        <f aca="false">IF(Kalender!A108="",0,J5231-H5232)</f>
        <v>0.0150822</v>
      </c>
    </row>
    <row r="5233" customFormat="false" ht="16.4" hidden="false" customHeight="false" outlineLevel="0" collapsed="false">
      <c r="A5233" s="13" t="str">
        <f aca="false">""</f>
        <v/>
      </c>
      <c r="B5233" s="13" t="n">
        <f aca="false">105</f>
        <v>105</v>
      </c>
      <c r="C5233" s="13" t="n">
        <f aca="false">IF(Szenarien!$H$25="OK",(IFERROR(SUMIF(Nutzungsprofile!$B$6:$B$11,"Schulbetrieb",Nutzungsprofile!$G$6:$G$11)*Kalender!C109/SUM(Kalender!$C$5:$C$370),0)+IFERROR(SUMIF(Nutzungsprofile!$B$6:$B$11,"Halle",Nutzungsprofile!$G$6:$G$11)*Kalender!D109/SUM(Kalender!$D$5:$D$370),0)+IFERROR(SUMIF(Nutzungsprofile!$B$6:$B$11,"Individuell",Nutzungsprofile!$G$6:$G$11)*Kalender!E109/SUM(Kalender!$E$5:$E$370),0))*Szenarien!$E$25,0)</f>
        <v>2.94</v>
      </c>
      <c r="D5233" s="13" t="n">
        <f aca="false">IF(Szenarien!$H$25="OK",(IFERROR(SUMIF(Nutzungsprofile!$B$17:$B$22,"Schulbetrieb",Nutzungsprofile!$G$17:$G$22)*Kalender!C109/SUM(Kalender!$C$5:$C$370),0)+IFERROR(SUMIF(Nutzungsprofile!$B$17:$B$22,"Halle",Nutzungsprofile!$G$17:$G$22)*Kalender!D109/SUM(Kalender!$D$5:$D$370),0)+IFERROR(SUMIF(Nutzungsprofile!$B$17:$B$22,"Individuell",Nutzungsprofile!$G$17:$G$22)*Kalender!E109/SUM(Kalender!$E$5:$E$370),0))*Szenarien!$D$25,0)</f>
        <v>4.94</v>
      </c>
      <c r="E5233" s="13" t="n">
        <f aca="false">IFERROR(MIN(C5233,Eingaben!$B$17)*Eingaben!$B$16,0)</f>
        <v>2.793</v>
      </c>
      <c r="F5233" s="13" t="n">
        <f aca="false">IFERROR(E5233*Eingaben!$B$15,0)</f>
        <v>2.5137</v>
      </c>
      <c r="G5233" s="13" t="n">
        <f aca="false">IFERROR(IF(Kalender!A109="",0,J5232*(1-Eingaben!$B$20)),0)</f>
        <v>0.7390278</v>
      </c>
      <c r="H5233" s="13" t="n">
        <f aca="false">MIN(G5233,D5233)</f>
        <v>0.7390278</v>
      </c>
      <c r="I5233" s="13" t="n">
        <f aca="false">IFERROR(MIN(F5233*Eingaben!$B$19,MAX(0,D5233-H5233)),0)</f>
        <v>1.75959</v>
      </c>
      <c r="J5233" s="13" t="n">
        <f aca="false">IFERROR(MIN(Eingaben!$B$18,MAX(0,F5233-I5233)),0)</f>
        <v>0.75411</v>
      </c>
      <c r="K5233" s="13" t="n">
        <f aca="false">H5233+I5233</f>
        <v>2.4986178</v>
      </c>
      <c r="L5233" s="13" t="n">
        <f aca="false">MAX(0,D5233-K5233)</f>
        <v>2.4413822</v>
      </c>
      <c r="M5233" s="13" t="n">
        <f aca="false">MAX(0,F5233-I5233-J5233)</f>
        <v>0</v>
      </c>
      <c r="N5233" s="13" t="n">
        <f aca="false">IF(Kalender!A109="",0,J5232-H5233)</f>
        <v>0.0150822</v>
      </c>
    </row>
    <row r="5234" customFormat="false" ht="16.4" hidden="false" customHeight="false" outlineLevel="0" collapsed="false">
      <c r="A5234" s="13" t="str">
        <f aca="false">""</f>
        <v/>
      </c>
      <c r="B5234" s="13" t="n">
        <f aca="false">106</f>
        <v>106</v>
      </c>
      <c r="C5234" s="13" t="n">
        <f aca="false">IF(Szenarien!$H$25="OK",(IFERROR(SUMIF(Nutzungsprofile!$B$6:$B$11,"Schulbetrieb",Nutzungsprofile!$G$6:$G$11)*Kalender!C110/SUM(Kalender!$C$5:$C$370),0)+IFERROR(SUMIF(Nutzungsprofile!$B$6:$B$11,"Halle",Nutzungsprofile!$G$6:$G$11)*Kalender!D110/SUM(Kalender!$D$5:$D$370),0)+IFERROR(SUMIF(Nutzungsprofile!$B$6:$B$11,"Individuell",Nutzungsprofile!$G$6:$G$11)*Kalender!E110/SUM(Kalender!$E$5:$E$370),0))*Szenarien!$E$25,0)</f>
        <v>2.94</v>
      </c>
      <c r="D5234" s="13" t="n">
        <f aca="false">IF(Szenarien!$H$25="OK",(IFERROR(SUMIF(Nutzungsprofile!$B$17:$B$22,"Schulbetrieb",Nutzungsprofile!$G$17:$G$22)*Kalender!C110/SUM(Kalender!$C$5:$C$370),0)+IFERROR(SUMIF(Nutzungsprofile!$B$17:$B$22,"Halle",Nutzungsprofile!$G$17:$G$22)*Kalender!D110/SUM(Kalender!$D$5:$D$370),0)+IFERROR(SUMIF(Nutzungsprofile!$B$17:$B$22,"Individuell",Nutzungsprofile!$G$17:$G$22)*Kalender!E110/SUM(Kalender!$E$5:$E$370),0))*Szenarien!$D$25,0)</f>
        <v>4.94</v>
      </c>
      <c r="E5234" s="13" t="n">
        <f aca="false">IFERROR(MIN(C5234,Eingaben!$B$17)*Eingaben!$B$16,0)</f>
        <v>2.793</v>
      </c>
      <c r="F5234" s="13" t="n">
        <f aca="false">IFERROR(E5234*Eingaben!$B$15,0)</f>
        <v>2.5137</v>
      </c>
      <c r="G5234" s="13" t="n">
        <f aca="false">IFERROR(IF(Kalender!A110="",0,J5233*(1-Eingaben!$B$20)),0)</f>
        <v>0.7390278</v>
      </c>
      <c r="H5234" s="13" t="n">
        <f aca="false">MIN(G5234,D5234)</f>
        <v>0.7390278</v>
      </c>
      <c r="I5234" s="13" t="n">
        <f aca="false">IFERROR(MIN(F5234*Eingaben!$B$19,MAX(0,D5234-H5234)),0)</f>
        <v>1.75959</v>
      </c>
      <c r="J5234" s="13" t="n">
        <f aca="false">IFERROR(MIN(Eingaben!$B$18,MAX(0,F5234-I5234)),0)</f>
        <v>0.75411</v>
      </c>
      <c r="K5234" s="13" t="n">
        <f aca="false">H5234+I5234</f>
        <v>2.4986178</v>
      </c>
      <c r="L5234" s="13" t="n">
        <f aca="false">MAX(0,D5234-K5234)</f>
        <v>2.4413822</v>
      </c>
      <c r="M5234" s="13" t="n">
        <f aca="false">MAX(0,F5234-I5234-J5234)</f>
        <v>0</v>
      </c>
      <c r="N5234" s="13" t="n">
        <f aca="false">IF(Kalender!A110="",0,J5233-H5234)</f>
        <v>0.0150822</v>
      </c>
    </row>
    <row r="5235" customFormat="false" ht="16.4" hidden="false" customHeight="false" outlineLevel="0" collapsed="false">
      <c r="A5235" s="13" t="str">
        <f aca="false">""</f>
        <v/>
      </c>
      <c r="B5235" s="13" t="n">
        <f aca="false">107</f>
        <v>107</v>
      </c>
      <c r="C5235" s="13" t="n">
        <f aca="false">IF(Szenarien!$H$25="OK",(IFERROR(SUMIF(Nutzungsprofile!$B$6:$B$11,"Schulbetrieb",Nutzungsprofile!$G$6:$G$11)*Kalender!C111/SUM(Kalender!$C$5:$C$370),0)+IFERROR(SUMIF(Nutzungsprofile!$B$6:$B$11,"Halle",Nutzungsprofile!$G$6:$G$11)*Kalender!D111/SUM(Kalender!$D$5:$D$370),0)+IFERROR(SUMIF(Nutzungsprofile!$B$6:$B$11,"Individuell",Nutzungsprofile!$G$6:$G$11)*Kalender!E111/SUM(Kalender!$E$5:$E$370),0))*Szenarien!$E$25,0)</f>
        <v>2.94</v>
      </c>
      <c r="D5235" s="13" t="n">
        <f aca="false">IF(Szenarien!$H$25="OK",(IFERROR(SUMIF(Nutzungsprofile!$B$17:$B$22,"Schulbetrieb",Nutzungsprofile!$G$17:$G$22)*Kalender!C111/SUM(Kalender!$C$5:$C$370),0)+IFERROR(SUMIF(Nutzungsprofile!$B$17:$B$22,"Halle",Nutzungsprofile!$G$17:$G$22)*Kalender!D111/SUM(Kalender!$D$5:$D$370),0)+IFERROR(SUMIF(Nutzungsprofile!$B$17:$B$22,"Individuell",Nutzungsprofile!$G$17:$G$22)*Kalender!E111/SUM(Kalender!$E$5:$E$370),0))*Szenarien!$D$25,0)</f>
        <v>4.94</v>
      </c>
      <c r="E5235" s="13" t="n">
        <f aca="false">IFERROR(MIN(C5235,Eingaben!$B$17)*Eingaben!$B$16,0)</f>
        <v>2.793</v>
      </c>
      <c r="F5235" s="13" t="n">
        <f aca="false">IFERROR(E5235*Eingaben!$B$15,0)</f>
        <v>2.5137</v>
      </c>
      <c r="G5235" s="13" t="n">
        <f aca="false">IFERROR(IF(Kalender!A111="",0,J5234*(1-Eingaben!$B$20)),0)</f>
        <v>0.7390278</v>
      </c>
      <c r="H5235" s="13" t="n">
        <f aca="false">MIN(G5235,D5235)</f>
        <v>0.7390278</v>
      </c>
      <c r="I5235" s="13" t="n">
        <f aca="false">IFERROR(MIN(F5235*Eingaben!$B$19,MAX(0,D5235-H5235)),0)</f>
        <v>1.75959</v>
      </c>
      <c r="J5235" s="13" t="n">
        <f aca="false">IFERROR(MIN(Eingaben!$B$18,MAX(0,F5235-I5235)),0)</f>
        <v>0.75411</v>
      </c>
      <c r="K5235" s="13" t="n">
        <f aca="false">H5235+I5235</f>
        <v>2.4986178</v>
      </c>
      <c r="L5235" s="13" t="n">
        <f aca="false">MAX(0,D5235-K5235)</f>
        <v>2.4413822</v>
      </c>
      <c r="M5235" s="13" t="n">
        <f aca="false">MAX(0,F5235-I5235-J5235)</f>
        <v>0</v>
      </c>
      <c r="N5235" s="13" t="n">
        <f aca="false">IF(Kalender!A111="",0,J5234-H5235)</f>
        <v>0.0150822</v>
      </c>
    </row>
    <row r="5236" customFormat="false" ht="16.4" hidden="false" customHeight="false" outlineLevel="0" collapsed="false">
      <c r="A5236" s="13" t="str">
        <f aca="false">""</f>
        <v/>
      </c>
      <c r="B5236" s="13" t="n">
        <f aca="false">108</f>
        <v>108</v>
      </c>
      <c r="C5236" s="13" t="n">
        <f aca="false">IF(Szenarien!$H$25="OK",(IFERROR(SUMIF(Nutzungsprofile!$B$6:$B$11,"Schulbetrieb",Nutzungsprofile!$G$6:$G$11)*Kalender!C112/SUM(Kalender!$C$5:$C$370),0)+IFERROR(SUMIF(Nutzungsprofile!$B$6:$B$11,"Halle",Nutzungsprofile!$G$6:$G$11)*Kalender!D112/SUM(Kalender!$D$5:$D$370),0)+IFERROR(SUMIF(Nutzungsprofile!$B$6:$B$11,"Individuell",Nutzungsprofile!$G$6:$G$11)*Kalender!E112/SUM(Kalender!$E$5:$E$370),0))*Szenarien!$E$25,0)</f>
        <v>2.04</v>
      </c>
      <c r="D5236" s="13" t="n">
        <f aca="false">IF(Szenarien!$H$25="OK",(IFERROR(SUMIF(Nutzungsprofile!$B$17:$B$22,"Schulbetrieb",Nutzungsprofile!$G$17:$G$22)*Kalender!C112/SUM(Kalender!$C$5:$C$370),0)+IFERROR(SUMIF(Nutzungsprofile!$B$17:$B$22,"Halle",Nutzungsprofile!$G$17:$G$22)*Kalender!D112/SUM(Kalender!$D$5:$D$370),0)+IFERROR(SUMIF(Nutzungsprofile!$B$17:$B$22,"Individuell",Nutzungsprofile!$G$17:$G$22)*Kalender!E112/SUM(Kalender!$E$5:$E$370),0))*Szenarien!$D$25,0)</f>
        <v>0.89</v>
      </c>
      <c r="E5236" s="13" t="n">
        <f aca="false">IFERROR(MIN(C5236,Eingaben!$B$17)*Eingaben!$B$16,0)</f>
        <v>1.938</v>
      </c>
      <c r="F5236" s="13" t="n">
        <f aca="false">IFERROR(E5236*Eingaben!$B$15,0)</f>
        <v>1.7442</v>
      </c>
      <c r="G5236" s="13" t="n">
        <f aca="false">IFERROR(IF(Kalender!A112="",0,J5235*(1-Eingaben!$B$20)),0)</f>
        <v>0.7390278</v>
      </c>
      <c r="H5236" s="13" t="n">
        <f aca="false">MIN(G5236,D5236)</f>
        <v>0.7390278</v>
      </c>
      <c r="I5236" s="13" t="n">
        <f aca="false">IFERROR(MIN(F5236*Eingaben!$B$19,MAX(0,D5236-H5236)),0)</f>
        <v>0.1509722</v>
      </c>
      <c r="J5236" s="13" t="n">
        <f aca="false">IFERROR(MIN(Eingaben!$B$18,MAX(0,F5236-I5236)),0)</f>
        <v>1.5932278</v>
      </c>
      <c r="K5236" s="13" t="n">
        <f aca="false">H5236+I5236</f>
        <v>0.89</v>
      </c>
      <c r="L5236" s="13" t="n">
        <f aca="false">MAX(0,D5236-K5236)</f>
        <v>0</v>
      </c>
      <c r="M5236" s="13" t="n">
        <f aca="false">MAX(0,F5236-I5236-J5236)</f>
        <v>0</v>
      </c>
      <c r="N5236" s="13" t="n">
        <f aca="false">IF(Kalender!A112="",0,J5235-H5236)</f>
        <v>0.0150822</v>
      </c>
    </row>
    <row r="5237" customFormat="false" ht="16.4" hidden="false" customHeight="false" outlineLevel="0" collapsed="false">
      <c r="A5237" s="13" t="str">
        <f aca="false">""</f>
        <v/>
      </c>
      <c r="B5237" s="13" t="n">
        <f aca="false">109</f>
        <v>109</v>
      </c>
      <c r="C5237" s="13" t="n">
        <f aca="false">IF(Szenarien!$H$25="OK",(IFERROR(SUMIF(Nutzungsprofile!$B$6:$B$11,"Schulbetrieb",Nutzungsprofile!$G$6:$G$11)*Kalender!C113/SUM(Kalender!$C$5:$C$370),0)+IFERROR(SUMIF(Nutzungsprofile!$B$6:$B$11,"Halle",Nutzungsprofile!$G$6:$G$11)*Kalender!D113/SUM(Kalender!$D$5:$D$370),0)+IFERROR(SUMIF(Nutzungsprofile!$B$6:$B$11,"Individuell",Nutzungsprofile!$G$6:$G$11)*Kalender!E113/SUM(Kalender!$E$5:$E$370),0))*Szenarien!$E$25,0)</f>
        <v>2.04</v>
      </c>
      <c r="D5237" s="13" t="n">
        <f aca="false">IF(Szenarien!$H$25="OK",(IFERROR(SUMIF(Nutzungsprofile!$B$17:$B$22,"Schulbetrieb",Nutzungsprofile!$G$17:$G$22)*Kalender!C113/SUM(Kalender!$C$5:$C$370),0)+IFERROR(SUMIF(Nutzungsprofile!$B$17:$B$22,"Halle",Nutzungsprofile!$G$17:$G$22)*Kalender!D113/SUM(Kalender!$D$5:$D$370),0)+IFERROR(SUMIF(Nutzungsprofile!$B$17:$B$22,"Individuell",Nutzungsprofile!$G$17:$G$22)*Kalender!E113/SUM(Kalender!$E$5:$E$370),0))*Szenarien!$D$25,0)</f>
        <v>0.89</v>
      </c>
      <c r="E5237" s="13" t="n">
        <f aca="false">IFERROR(MIN(C5237,Eingaben!$B$17)*Eingaben!$B$16,0)</f>
        <v>1.938</v>
      </c>
      <c r="F5237" s="13" t="n">
        <f aca="false">IFERROR(E5237*Eingaben!$B$15,0)</f>
        <v>1.7442</v>
      </c>
      <c r="G5237" s="13" t="n">
        <f aca="false">IFERROR(IF(Kalender!A113="",0,J5236*(1-Eingaben!$B$20)),0)</f>
        <v>1.561363244</v>
      </c>
      <c r="H5237" s="13" t="n">
        <f aca="false">MIN(G5237,D5237)</f>
        <v>0.89</v>
      </c>
      <c r="I5237" s="13" t="n">
        <f aca="false">IFERROR(MIN(F5237*Eingaben!$B$19,MAX(0,D5237-H5237)),0)</f>
        <v>0</v>
      </c>
      <c r="J5237" s="13" t="n">
        <f aca="false">IFERROR(MIN(Eingaben!$B$18,MAX(0,F5237-I5237)),0)</f>
        <v>1.7442</v>
      </c>
      <c r="K5237" s="13" t="n">
        <f aca="false">H5237+I5237</f>
        <v>0.89</v>
      </c>
      <c r="L5237" s="13" t="n">
        <f aca="false">MAX(0,D5237-K5237)</f>
        <v>0</v>
      </c>
      <c r="M5237" s="13" t="n">
        <f aca="false">MAX(0,F5237-I5237-J5237)</f>
        <v>0</v>
      </c>
      <c r="N5237" s="13" t="n">
        <f aca="false">IF(Kalender!A113="",0,J5236-H5237)</f>
        <v>0.7032278</v>
      </c>
    </row>
    <row r="5238" customFormat="false" ht="16.4" hidden="false" customHeight="false" outlineLevel="0" collapsed="false">
      <c r="A5238" s="13" t="str">
        <f aca="false">""</f>
        <v/>
      </c>
      <c r="B5238" s="13" t="n">
        <f aca="false">110</f>
        <v>110</v>
      </c>
      <c r="C5238" s="13" t="n">
        <f aca="false">IF(Szenarien!$H$25="OK",(IFERROR(SUMIF(Nutzungsprofile!$B$6:$B$11,"Schulbetrieb",Nutzungsprofile!$G$6:$G$11)*Kalender!C114/SUM(Kalender!$C$5:$C$370),0)+IFERROR(SUMIF(Nutzungsprofile!$B$6:$B$11,"Halle",Nutzungsprofile!$G$6:$G$11)*Kalender!D114/SUM(Kalender!$D$5:$D$370),0)+IFERROR(SUMIF(Nutzungsprofile!$B$6:$B$11,"Individuell",Nutzungsprofile!$G$6:$G$11)*Kalender!E114/SUM(Kalender!$E$5:$E$370),0))*Szenarien!$E$25,0)</f>
        <v>2.94</v>
      </c>
      <c r="D5238" s="13" t="n">
        <f aca="false">IF(Szenarien!$H$25="OK",(IFERROR(SUMIF(Nutzungsprofile!$B$17:$B$22,"Schulbetrieb",Nutzungsprofile!$G$17:$G$22)*Kalender!C114/SUM(Kalender!$C$5:$C$370),0)+IFERROR(SUMIF(Nutzungsprofile!$B$17:$B$22,"Halle",Nutzungsprofile!$G$17:$G$22)*Kalender!D114/SUM(Kalender!$D$5:$D$370),0)+IFERROR(SUMIF(Nutzungsprofile!$B$17:$B$22,"Individuell",Nutzungsprofile!$G$17:$G$22)*Kalender!E114/SUM(Kalender!$E$5:$E$370),0))*Szenarien!$D$25,0)</f>
        <v>4.94</v>
      </c>
      <c r="E5238" s="13" t="n">
        <f aca="false">IFERROR(MIN(C5238,Eingaben!$B$17)*Eingaben!$B$16,0)</f>
        <v>2.793</v>
      </c>
      <c r="F5238" s="13" t="n">
        <f aca="false">IFERROR(E5238*Eingaben!$B$15,0)</f>
        <v>2.5137</v>
      </c>
      <c r="G5238" s="13" t="n">
        <f aca="false">IFERROR(IF(Kalender!A114="",0,J5237*(1-Eingaben!$B$20)),0)</f>
        <v>1.709316</v>
      </c>
      <c r="H5238" s="13" t="n">
        <f aca="false">MIN(G5238,D5238)</f>
        <v>1.709316</v>
      </c>
      <c r="I5238" s="13" t="n">
        <f aca="false">IFERROR(MIN(F5238*Eingaben!$B$19,MAX(0,D5238-H5238)),0)</f>
        <v>1.75959</v>
      </c>
      <c r="J5238" s="13" t="n">
        <f aca="false">IFERROR(MIN(Eingaben!$B$18,MAX(0,F5238-I5238)),0)</f>
        <v>0.75411</v>
      </c>
      <c r="K5238" s="13" t="n">
        <f aca="false">H5238+I5238</f>
        <v>3.468906</v>
      </c>
      <c r="L5238" s="13" t="n">
        <f aca="false">MAX(0,D5238-K5238)</f>
        <v>1.471094</v>
      </c>
      <c r="M5238" s="13" t="n">
        <f aca="false">MAX(0,F5238-I5238-J5238)</f>
        <v>0</v>
      </c>
      <c r="N5238" s="13" t="n">
        <f aca="false">IF(Kalender!A114="",0,J5237-H5238)</f>
        <v>0.0348840000000001</v>
      </c>
    </row>
    <row r="5239" customFormat="false" ht="16.4" hidden="false" customHeight="false" outlineLevel="0" collapsed="false">
      <c r="A5239" s="13" t="str">
        <f aca="false">""</f>
        <v/>
      </c>
      <c r="B5239" s="13" t="n">
        <f aca="false">111</f>
        <v>111</v>
      </c>
      <c r="C5239" s="13" t="n">
        <f aca="false">IF(Szenarien!$H$25="OK",(IFERROR(SUMIF(Nutzungsprofile!$B$6:$B$11,"Schulbetrieb",Nutzungsprofile!$G$6:$G$11)*Kalender!C115/SUM(Kalender!$C$5:$C$370),0)+IFERROR(SUMIF(Nutzungsprofile!$B$6:$B$11,"Halle",Nutzungsprofile!$G$6:$G$11)*Kalender!D115/SUM(Kalender!$D$5:$D$370),0)+IFERROR(SUMIF(Nutzungsprofile!$B$6:$B$11,"Individuell",Nutzungsprofile!$G$6:$G$11)*Kalender!E115/SUM(Kalender!$E$5:$E$370),0))*Szenarien!$E$25,0)</f>
        <v>2.94</v>
      </c>
      <c r="D5239" s="13" t="n">
        <f aca="false">IF(Szenarien!$H$25="OK",(IFERROR(SUMIF(Nutzungsprofile!$B$17:$B$22,"Schulbetrieb",Nutzungsprofile!$G$17:$G$22)*Kalender!C115/SUM(Kalender!$C$5:$C$370),0)+IFERROR(SUMIF(Nutzungsprofile!$B$17:$B$22,"Halle",Nutzungsprofile!$G$17:$G$22)*Kalender!D115/SUM(Kalender!$D$5:$D$370),0)+IFERROR(SUMIF(Nutzungsprofile!$B$17:$B$22,"Individuell",Nutzungsprofile!$G$17:$G$22)*Kalender!E115/SUM(Kalender!$E$5:$E$370),0))*Szenarien!$D$25,0)</f>
        <v>4.94</v>
      </c>
      <c r="E5239" s="13" t="n">
        <f aca="false">IFERROR(MIN(C5239,Eingaben!$B$17)*Eingaben!$B$16,0)</f>
        <v>2.793</v>
      </c>
      <c r="F5239" s="13" t="n">
        <f aca="false">IFERROR(E5239*Eingaben!$B$15,0)</f>
        <v>2.5137</v>
      </c>
      <c r="G5239" s="13" t="n">
        <f aca="false">IFERROR(IF(Kalender!A115="",0,J5238*(1-Eingaben!$B$20)),0)</f>
        <v>0.7390278</v>
      </c>
      <c r="H5239" s="13" t="n">
        <f aca="false">MIN(G5239,D5239)</f>
        <v>0.7390278</v>
      </c>
      <c r="I5239" s="13" t="n">
        <f aca="false">IFERROR(MIN(F5239*Eingaben!$B$19,MAX(0,D5239-H5239)),0)</f>
        <v>1.75959</v>
      </c>
      <c r="J5239" s="13" t="n">
        <f aca="false">IFERROR(MIN(Eingaben!$B$18,MAX(0,F5239-I5239)),0)</f>
        <v>0.75411</v>
      </c>
      <c r="K5239" s="13" t="n">
        <f aca="false">H5239+I5239</f>
        <v>2.4986178</v>
      </c>
      <c r="L5239" s="13" t="n">
        <f aca="false">MAX(0,D5239-K5239)</f>
        <v>2.4413822</v>
      </c>
      <c r="M5239" s="13" t="n">
        <f aca="false">MAX(0,F5239-I5239-J5239)</f>
        <v>0</v>
      </c>
      <c r="N5239" s="13" t="n">
        <f aca="false">IF(Kalender!A115="",0,J5238-H5239)</f>
        <v>0.0150822</v>
      </c>
    </row>
    <row r="5240" customFormat="false" ht="16.4" hidden="false" customHeight="false" outlineLevel="0" collapsed="false">
      <c r="A5240" s="13" t="str">
        <f aca="false">""</f>
        <v/>
      </c>
      <c r="B5240" s="13" t="n">
        <f aca="false">112</f>
        <v>112</v>
      </c>
      <c r="C5240" s="13" t="n">
        <f aca="false">IF(Szenarien!$H$25="OK",(IFERROR(SUMIF(Nutzungsprofile!$B$6:$B$11,"Schulbetrieb",Nutzungsprofile!$G$6:$G$11)*Kalender!C116/SUM(Kalender!$C$5:$C$370),0)+IFERROR(SUMIF(Nutzungsprofile!$B$6:$B$11,"Halle",Nutzungsprofile!$G$6:$G$11)*Kalender!D116/SUM(Kalender!$D$5:$D$370),0)+IFERROR(SUMIF(Nutzungsprofile!$B$6:$B$11,"Individuell",Nutzungsprofile!$G$6:$G$11)*Kalender!E116/SUM(Kalender!$E$5:$E$370),0))*Szenarien!$E$25,0)</f>
        <v>2.94</v>
      </c>
      <c r="D5240" s="13" t="n">
        <f aca="false">IF(Szenarien!$H$25="OK",(IFERROR(SUMIF(Nutzungsprofile!$B$17:$B$22,"Schulbetrieb",Nutzungsprofile!$G$17:$G$22)*Kalender!C116/SUM(Kalender!$C$5:$C$370),0)+IFERROR(SUMIF(Nutzungsprofile!$B$17:$B$22,"Halle",Nutzungsprofile!$G$17:$G$22)*Kalender!D116/SUM(Kalender!$D$5:$D$370),0)+IFERROR(SUMIF(Nutzungsprofile!$B$17:$B$22,"Individuell",Nutzungsprofile!$G$17:$G$22)*Kalender!E116/SUM(Kalender!$E$5:$E$370),0))*Szenarien!$D$25,0)</f>
        <v>4.94</v>
      </c>
      <c r="E5240" s="13" t="n">
        <f aca="false">IFERROR(MIN(C5240,Eingaben!$B$17)*Eingaben!$B$16,0)</f>
        <v>2.793</v>
      </c>
      <c r="F5240" s="13" t="n">
        <f aca="false">IFERROR(E5240*Eingaben!$B$15,0)</f>
        <v>2.5137</v>
      </c>
      <c r="G5240" s="13" t="n">
        <f aca="false">IFERROR(IF(Kalender!A116="",0,J5239*(1-Eingaben!$B$20)),0)</f>
        <v>0.7390278</v>
      </c>
      <c r="H5240" s="13" t="n">
        <f aca="false">MIN(G5240,D5240)</f>
        <v>0.7390278</v>
      </c>
      <c r="I5240" s="13" t="n">
        <f aca="false">IFERROR(MIN(F5240*Eingaben!$B$19,MAX(0,D5240-H5240)),0)</f>
        <v>1.75959</v>
      </c>
      <c r="J5240" s="13" t="n">
        <f aca="false">IFERROR(MIN(Eingaben!$B$18,MAX(0,F5240-I5240)),0)</f>
        <v>0.75411</v>
      </c>
      <c r="K5240" s="13" t="n">
        <f aca="false">H5240+I5240</f>
        <v>2.4986178</v>
      </c>
      <c r="L5240" s="13" t="n">
        <f aca="false">MAX(0,D5240-K5240)</f>
        <v>2.4413822</v>
      </c>
      <c r="M5240" s="13" t="n">
        <f aca="false">MAX(0,F5240-I5240-J5240)</f>
        <v>0</v>
      </c>
      <c r="N5240" s="13" t="n">
        <f aca="false">IF(Kalender!A116="",0,J5239-H5240)</f>
        <v>0.0150822</v>
      </c>
    </row>
    <row r="5241" customFormat="false" ht="16.4" hidden="false" customHeight="false" outlineLevel="0" collapsed="false">
      <c r="A5241" s="13" t="str">
        <f aca="false">""</f>
        <v/>
      </c>
      <c r="B5241" s="13" t="n">
        <f aca="false">113</f>
        <v>113</v>
      </c>
      <c r="C5241" s="13" t="n">
        <f aca="false">IF(Szenarien!$H$25="OK",(IFERROR(SUMIF(Nutzungsprofile!$B$6:$B$11,"Schulbetrieb",Nutzungsprofile!$G$6:$G$11)*Kalender!C117/SUM(Kalender!$C$5:$C$370),0)+IFERROR(SUMIF(Nutzungsprofile!$B$6:$B$11,"Halle",Nutzungsprofile!$G$6:$G$11)*Kalender!D117/SUM(Kalender!$D$5:$D$370),0)+IFERROR(SUMIF(Nutzungsprofile!$B$6:$B$11,"Individuell",Nutzungsprofile!$G$6:$G$11)*Kalender!E117/SUM(Kalender!$E$5:$E$370),0))*Szenarien!$E$25,0)</f>
        <v>2.94</v>
      </c>
      <c r="D5241" s="13" t="n">
        <f aca="false">IF(Szenarien!$H$25="OK",(IFERROR(SUMIF(Nutzungsprofile!$B$17:$B$22,"Schulbetrieb",Nutzungsprofile!$G$17:$G$22)*Kalender!C117/SUM(Kalender!$C$5:$C$370),0)+IFERROR(SUMIF(Nutzungsprofile!$B$17:$B$22,"Halle",Nutzungsprofile!$G$17:$G$22)*Kalender!D117/SUM(Kalender!$D$5:$D$370),0)+IFERROR(SUMIF(Nutzungsprofile!$B$17:$B$22,"Individuell",Nutzungsprofile!$G$17:$G$22)*Kalender!E117/SUM(Kalender!$E$5:$E$370),0))*Szenarien!$D$25,0)</f>
        <v>4.94</v>
      </c>
      <c r="E5241" s="13" t="n">
        <f aca="false">IFERROR(MIN(C5241,Eingaben!$B$17)*Eingaben!$B$16,0)</f>
        <v>2.793</v>
      </c>
      <c r="F5241" s="13" t="n">
        <f aca="false">IFERROR(E5241*Eingaben!$B$15,0)</f>
        <v>2.5137</v>
      </c>
      <c r="G5241" s="13" t="n">
        <f aca="false">IFERROR(IF(Kalender!A117="",0,J5240*(1-Eingaben!$B$20)),0)</f>
        <v>0.7390278</v>
      </c>
      <c r="H5241" s="13" t="n">
        <f aca="false">MIN(G5241,D5241)</f>
        <v>0.7390278</v>
      </c>
      <c r="I5241" s="13" t="n">
        <f aca="false">IFERROR(MIN(F5241*Eingaben!$B$19,MAX(0,D5241-H5241)),0)</f>
        <v>1.75959</v>
      </c>
      <c r="J5241" s="13" t="n">
        <f aca="false">IFERROR(MIN(Eingaben!$B$18,MAX(0,F5241-I5241)),0)</f>
        <v>0.75411</v>
      </c>
      <c r="K5241" s="13" t="n">
        <f aca="false">H5241+I5241</f>
        <v>2.4986178</v>
      </c>
      <c r="L5241" s="13" t="n">
        <f aca="false">MAX(0,D5241-K5241)</f>
        <v>2.4413822</v>
      </c>
      <c r="M5241" s="13" t="n">
        <f aca="false">MAX(0,F5241-I5241-J5241)</f>
        <v>0</v>
      </c>
      <c r="N5241" s="13" t="n">
        <f aca="false">IF(Kalender!A117="",0,J5240-H5241)</f>
        <v>0.0150822</v>
      </c>
    </row>
    <row r="5242" customFormat="false" ht="16.4" hidden="false" customHeight="false" outlineLevel="0" collapsed="false">
      <c r="A5242" s="13" t="str">
        <f aca="false">""</f>
        <v/>
      </c>
      <c r="B5242" s="13" t="n">
        <f aca="false">114</f>
        <v>114</v>
      </c>
      <c r="C5242" s="13" t="n">
        <f aca="false">IF(Szenarien!$H$25="OK",(IFERROR(SUMIF(Nutzungsprofile!$B$6:$B$11,"Schulbetrieb",Nutzungsprofile!$G$6:$G$11)*Kalender!C118/SUM(Kalender!$C$5:$C$370),0)+IFERROR(SUMIF(Nutzungsprofile!$B$6:$B$11,"Halle",Nutzungsprofile!$G$6:$G$11)*Kalender!D118/SUM(Kalender!$D$5:$D$370),0)+IFERROR(SUMIF(Nutzungsprofile!$B$6:$B$11,"Individuell",Nutzungsprofile!$G$6:$G$11)*Kalender!E118/SUM(Kalender!$E$5:$E$370),0))*Szenarien!$E$25,0)</f>
        <v>2.94</v>
      </c>
      <c r="D5242" s="13" t="n">
        <f aca="false">IF(Szenarien!$H$25="OK",(IFERROR(SUMIF(Nutzungsprofile!$B$17:$B$22,"Schulbetrieb",Nutzungsprofile!$G$17:$G$22)*Kalender!C118/SUM(Kalender!$C$5:$C$370),0)+IFERROR(SUMIF(Nutzungsprofile!$B$17:$B$22,"Halle",Nutzungsprofile!$G$17:$G$22)*Kalender!D118/SUM(Kalender!$D$5:$D$370),0)+IFERROR(SUMIF(Nutzungsprofile!$B$17:$B$22,"Individuell",Nutzungsprofile!$G$17:$G$22)*Kalender!E118/SUM(Kalender!$E$5:$E$370),0))*Szenarien!$D$25,0)</f>
        <v>4.94</v>
      </c>
      <c r="E5242" s="13" t="n">
        <f aca="false">IFERROR(MIN(C5242,Eingaben!$B$17)*Eingaben!$B$16,0)</f>
        <v>2.793</v>
      </c>
      <c r="F5242" s="13" t="n">
        <f aca="false">IFERROR(E5242*Eingaben!$B$15,0)</f>
        <v>2.5137</v>
      </c>
      <c r="G5242" s="13" t="n">
        <f aca="false">IFERROR(IF(Kalender!A118="",0,J5241*(1-Eingaben!$B$20)),0)</f>
        <v>0.7390278</v>
      </c>
      <c r="H5242" s="13" t="n">
        <f aca="false">MIN(G5242,D5242)</f>
        <v>0.7390278</v>
      </c>
      <c r="I5242" s="13" t="n">
        <f aca="false">IFERROR(MIN(F5242*Eingaben!$B$19,MAX(0,D5242-H5242)),0)</f>
        <v>1.75959</v>
      </c>
      <c r="J5242" s="13" t="n">
        <f aca="false">IFERROR(MIN(Eingaben!$B$18,MAX(0,F5242-I5242)),0)</f>
        <v>0.75411</v>
      </c>
      <c r="K5242" s="13" t="n">
        <f aca="false">H5242+I5242</f>
        <v>2.4986178</v>
      </c>
      <c r="L5242" s="13" t="n">
        <f aca="false">MAX(0,D5242-K5242)</f>
        <v>2.4413822</v>
      </c>
      <c r="M5242" s="13" t="n">
        <f aca="false">MAX(0,F5242-I5242-J5242)</f>
        <v>0</v>
      </c>
      <c r="N5242" s="13" t="n">
        <f aca="false">IF(Kalender!A118="",0,J5241-H5242)</f>
        <v>0.0150822</v>
      </c>
    </row>
    <row r="5243" customFormat="false" ht="16.4" hidden="false" customHeight="false" outlineLevel="0" collapsed="false">
      <c r="A5243" s="13" t="str">
        <f aca="false">""</f>
        <v/>
      </c>
      <c r="B5243" s="13" t="n">
        <f aca="false">115</f>
        <v>115</v>
      </c>
      <c r="C5243" s="13" t="n">
        <f aca="false">IF(Szenarien!$H$25="OK",(IFERROR(SUMIF(Nutzungsprofile!$B$6:$B$11,"Schulbetrieb",Nutzungsprofile!$G$6:$G$11)*Kalender!C119/SUM(Kalender!$C$5:$C$370),0)+IFERROR(SUMIF(Nutzungsprofile!$B$6:$B$11,"Halle",Nutzungsprofile!$G$6:$G$11)*Kalender!D119/SUM(Kalender!$D$5:$D$370),0)+IFERROR(SUMIF(Nutzungsprofile!$B$6:$B$11,"Individuell",Nutzungsprofile!$G$6:$G$11)*Kalender!E119/SUM(Kalender!$E$5:$E$370),0))*Szenarien!$E$25,0)</f>
        <v>2.04</v>
      </c>
      <c r="D5243" s="13" t="n">
        <f aca="false">IF(Szenarien!$H$25="OK",(IFERROR(SUMIF(Nutzungsprofile!$B$17:$B$22,"Schulbetrieb",Nutzungsprofile!$G$17:$G$22)*Kalender!C119/SUM(Kalender!$C$5:$C$370),0)+IFERROR(SUMIF(Nutzungsprofile!$B$17:$B$22,"Halle",Nutzungsprofile!$G$17:$G$22)*Kalender!D119/SUM(Kalender!$D$5:$D$370),0)+IFERROR(SUMIF(Nutzungsprofile!$B$17:$B$22,"Individuell",Nutzungsprofile!$G$17:$G$22)*Kalender!E119/SUM(Kalender!$E$5:$E$370),0))*Szenarien!$D$25,0)</f>
        <v>0.89</v>
      </c>
      <c r="E5243" s="13" t="n">
        <f aca="false">IFERROR(MIN(C5243,Eingaben!$B$17)*Eingaben!$B$16,0)</f>
        <v>1.938</v>
      </c>
      <c r="F5243" s="13" t="n">
        <f aca="false">IFERROR(E5243*Eingaben!$B$15,0)</f>
        <v>1.7442</v>
      </c>
      <c r="G5243" s="13" t="n">
        <f aca="false">IFERROR(IF(Kalender!A119="",0,J5242*(1-Eingaben!$B$20)),0)</f>
        <v>0.7390278</v>
      </c>
      <c r="H5243" s="13" t="n">
        <f aca="false">MIN(G5243,D5243)</f>
        <v>0.7390278</v>
      </c>
      <c r="I5243" s="13" t="n">
        <f aca="false">IFERROR(MIN(F5243*Eingaben!$B$19,MAX(0,D5243-H5243)),0)</f>
        <v>0.1509722</v>
      </c>
      <c r="J5243" s="13" t="n">
        <f aca="false">IFERROR(MIN(Eingaben!$B$18,MAX(0,F5243-I5243)),0)</f>
        <v>1.5932278</v>
      </c>
      <c r="K5243" s="13" t="n">
        <f aca="false">H5243+I5243</f>
        <v>0.89</v>
      </c>
      <c r="L5243" s="13" t="n">
        <f aca="false">MAX(0,D5243-K5243)</f>
        <v>0</v>
      </c>
      <c r="M5243" s="13" t="n">
        <f aca="false">MAX(0,F5243-I5243-J5243)</f>
        <v>0</v>
      </c>
      <c r="N5243" s="13" t="n">
        <f aca="false">IF(Kalender!A119="",0,J5242-H5243)</f>
        <v>0.0150822</v>
      </c>
    </row>
    <row r="5244" customFormat="false" ht="16.4" hidden="false" customHeight="false" outlineLevel="0" collapsed="false">
      <c r="A5244" s="13" t="str">
        <f aca="false">""</f>
        <v/>
      </c>
      <c r="B5244" s="13" t="n">
        <f aca="false">116</f>
        <v>116</v>
      </c>
      <c r="C5244" s="13" t="n">
        <f aca="false">IF(Szenarien!$H$25="OK",(IFERROR(SUMIF(Nutzungsprofile!$B$6:$B$11,"Schulbetrieb",Nutzungsprofile!$G$6:$G$11)*Kalender!C120/SUM(Kalender!$C$5:$C$370),0)+IFERROR(SUMIF(Nutzungsprofile!$B$6:$B$11,"Halle",Nutzungsprofile!$G$6:$G$11)*Kalender!D120/SUM(Kalender!$D$5:$D$370),0)+IFERROR(SUMIF(Nutzungsprofile!$B$6:$B$11,"Individuell",Nutzungsprofile!$G$6:$G$11)*Kalender!E120/SUM(Kalender!$E$5:$E$370),0))*Szenarien!$E$25,0)</f>
        <v>2.04</v>
      </c>
      <c r="D5244" s="13" t="n">
        <f aca="false">IF(Szenarien!$H$25="OK",(IFERROR(SUMIF(Nutzungsprofile!$B$17:$B$22,"Schulbetrieb",Nutzungsprofile!$G$17:$G$22)*Kalender!C120/SUM(Kalender!$C$5:$C$370),0)+IFERROR(SUMIF(Nutzungsprofile!$B$17:$B$22,"Halle",Nutzungsprofile!$G$17:$G$22)*Kalender!D120/SUM(Kalender!$D$5:$D$370),0)+IFERROR(SUMIF(Nutzungsprofile!$B$17:$B$22,"Individuell",Nutzungsprofile!$G$17:$G$22)*Kalender!E120/SUM(Kalender!$E$5:$E$370),0))*Szenarien!$D$25,0)</f>
        <v>0.89</v>
      </c>
      <c r="E5244" s="13" t="n">
        <f aca="false">IFERROR(MIN(C5244,Eingaben!$B$17)*Eingaben!$B$16,0)</f>
        <v>1.938</v>
      </c>
      <c r="F5244" s="13" t="n">
        <f aca="false">IFERROR(E5244*Eingaben!$B$15,0)</f>
        <v>1.7442</v>
      </c>
      <c r="G5244" s="13" t="n">
        <f aca="false">IFERROR(IF(Kalender!A120="",0,J5243*(1-Eingaben!$B$20)),0)</f>
        <v>1.561363244</v>
      </c>
      <c r="H5244" s="13" t="n">
        <f aca="false">MIN(G5244,D5244)</f>
        <v>0.89</v>
      </c>
      <c r="I5244" s="13" t="n">
        <f aca="false">IFERROR(MIN(F5244*Eingaben!$B$19,MAX(0,D5244-H5244)),0)</f>
        <v>0</v>
      </c>
      <c r="J5244" s="13" t="n">
        <f aca="false">IFERROR(MIN(Eingaben!$B$18,MAX(0,F5244-I5244)),0)</f>
        <v>1.7442</v>
      </c>
      <c r="K5244" s="13" t="n">
        <f aca="false">H5244+I5244</f>
        <v>0.89</v>
      </c>
      <c r="L5244" s="13" t="n">
        <f aca="false">MAX(0,D5244-K5244)</f>
        <v>0</v>
      </c>
      <c r="M5244" s="13" t="n">
        <f aca="false">MAX(0,F5244-I5244-J5244)</f>
        <v>0</v>
      </c>
      <c r="N5244" s="13" t="n">
        <f aca="false">IF(Kalender!A120="",0,J5243-H5244)</f>
        <v>0.7032278</v>
      </c>
    </row>
    <row r="5245" customFormat="false" ht="16.4" hidden="false" customHeight="false" outlineLevel="0" collapsed="false">
      <c r="A5245" s="13" t="str">
        <f aca="false">""</f>
        <v/>
      </c>
      <c r="B5245" s="13" t="n">
        <f aca="false">117</f>
        <v>117</v>
      </c>
      <c r="C5245" s="13" t="n">
        <f aca="false">IF(Szenarien!$H$25="OK",(IFERROR(SUMIF(Nutzungsprofile!$B$6:$B$11,"Schulbetrieb",Nutzungsprofile!$G$6:$G$11)*Kalender!C121/SUM(Kalender!$C$5:$C$370),0)+IFERROR(SUMIF(Nutzungsprofile!$B$6:$B$11,"Halle",Nutzungsprofile!$G$6:$G$11)*Kalender!D121/SUM(Kalender!$D$5:$D$370),0)+IFERROR(SUMIF(Nutzungsprofile!$B$6:$B$11,"Individuell",Nutzungsprofile!$G$6:$G$11)*Kalender!E121/SUM(Kalender!$E$5:$E$370),0))*Szenarien!$E$25,0)</f>
        <v>2.94</v>
      </c>
      <c r="D5245" s="13" t="n">
        <f aca="false">IF(Szenarien!$H$25="OK",(IFERROR(SUMIF(Nutzungsprofile!$B$17:$B$22,"Schulbetrieb",Nutzungsprofile!$G$17:$G$22)*Kalender!C121/SUM(Kalender!$C$5:$C$370),0)+IFERROR(SUMIF(Nutzungsprofile!$B$17:$B$22,"Halle",Nutzungsprofile!$G$17:$G$22)*Kalender!D121/SUM(Kalender!$D$5:$D$370),0)+IFERROR(SUMIF(Nutzungsprofile!$B$17:$B$22,"Individuell",Nutzungsprofile!$G$17:$G$22)*Kalender!E121/SUM(Kalender!$E$5:$E$370),0))*Szenarien!$D$25,0)</f>
        <v>4.94</v>
      </c>
      <c r="E5245" s="13" t="n">
        <f aca="false">IFERROR(MIN(C5245,Eingaben!$B$17)*Eingaben!$B$16,0)</f>
        <v>2.793</v>
      </c>
      <c r="F5245" s="13" t="n">
        <f aca="false">IFERROR(E5245*Eingaben!$B$15,0)</f>
        <v>2.5137</v>
      </c>
      <c r="G5245" s="13" t="n">
        <f aca="false">IFERROR(IF(Kalender!A121="",0,J5244*(1-Eingaben!$B$20)),0)</f>
        <v>1.709316</v>
      </c>
      <c r="H5245" s="13" t="n">
        <f aca="false">MIN(G5245,D5245)</f>
        <v>1.709316</v>
      </c>
      <c r="I5245" s="13" t="n">
        <f aca="false">IFERROR(MIN(F5245*Eingaben!$B$19,MAX(0,D5245-H5245)),0)</f>
        <v>1.75959</v>
      </c>
      <c r="J5245" s="13" t="n">
        <f aca="false">IFERROR(MIN(Eingaben!$B$18,MAX(0,F5245-I5245)),0)</f>
        <v>0.75411</v>
      </c>
      <c r="K5245" s="13" t="n">
        <f aca="false">H5245+I5245</f>
        <v>3.468906</v>
      </c>
      <c r="L5245" s="13" t="n">
        <f aca="false">MAX(0,D5245-K5245)</f>
        <v>1.471094</v>
      </c>
      <c r="M5245" s="13" t="n">
        <f aca="false">MAX(0,F5245-I5245-J5245)</f>
        <v>0</v>
      </c>
      <c r="N5245" s="13" t="n">
        <f aca="false">IF(Kalender!A121="",0,J5244-H5245)</f>
        <v>0.0348840000000001</v>
      </c>
    </row>
    <row r="5246" customFormat="false" ht="16.4" hidden="false" customHeight="false" outlineLevel="0" collapsed="false">
      <c r="A5246" s="13" t="str">
        <f aca="false">""</f>
        <v/>
      </c>
      <c r="B5246" s="13" t="n">
        <f aca="false">118</f>
        <v>118</v>
      </c>
      <c r="C5246" s="13" t="n">
        <f aca="false">IF(Szenarien!$H$25="OK",(IFERROR(SUMIF(Nutzungsprofile!$B$6:$B$11,"Schulbetrieb",Nutzungsprofile!$G$6:$G$11)*Kalender!C122/SUM(Kalender!$C$5:$C$370),0)+IFERROR(SUMIF(Nutzungsprofile!$B$6:$B$11,"Halle",Nutzungsprofile!$G$6:$G$11)*Kalender!D122/SUM(Kalender!$D$5:$D$370),0)+IFERROR(SUMIF(Nutzungsprofile!$B$6:$B$11,"Individuell",Nutzungsprofile!$G$6:$G$11)*Kalender!E122/SUM(Kalender!$E$5:$E$370),0))*Szenarien!$E$25,0)</f>
        <v>2.94</v>
      </c>
      <c r="D5246" s="13" t="n">
        <f aca="false">IF(Szenarien!$H$25="OK",(IFERROR(SUMIF(Nutzungsprofile!$B$17:$B$22,"Schulbetrieb",Nutzungsprofile!$G$17:$G$22)*Kalender!C122/SUM(Kalender!$C$5:$C$370),0)+IFERROR(SUMIF(Nutzungsprofile!$B$17:$B$22,"Halle",Nutzungsprofile!$G$17:$G$22)*Kalender!D122/SUM(Kalender!$D$5:$D$370),0)+IFERROR(SUMIF(Nutzungsprofile!$B$17:$B$22,"Individuell",Nutzungsprofile!$G$17:$G$22)*Kalender!E122/SUM(Kalender!$E$5:$E$370),0))*Szenarien!$D$25,0)</f>
        <v>4.94</v>
      </c>
      <c r="E5246" s="13" t="n">
        <f aca="false">IFERROR(MIN(C5246,Eingaben!$B$17)*Eingaben!$B$16,0)</f>
        <v>2.793</v>
      </c>
      <c r="F5246" s="13" t="n">
        <f aca="false">IFERROR(E5246*Eingaben!$B$15,0)</f>
        <v>2.5137</v>
      </c>
      <c r="G5246" s="13" t="n">
        <f aca="false">IFERROR(IF(Kalender!A122="",0,J5245*(1-Eingaben!$B$20)),0)</f>
        <v>0.7390278</v>
      </c>
      <c r="H5246" s="13" t="n">
        <f aca="false">MIN(G5246,D5246)</f>
        <v>0.7390278</v>
      </c>
      <c r="I5246" s="13" t="n">
        <f aca="false">IFERROR(MIN(F5246*Eingaben!$B$19,MAX(0,D5246-H5246)),0)</f>
        <v>1.75959</v>
      </c>
      <c r="J5246" s="13" t="n">
        <f aca="false">IFERROR(MIN(Eingaben!$B$18,MAX(0,F5246-I5246)),0)</f>
        <v>0.75411</v>
      </c>
      <c r="K5246" s="13" t="n">
        <f aca="false">H5246+I5246</f>
        <v>2.4986178</v>
      </c>
      <c r="L5246" s="13" t="n">
        <f aca="false">MAX(0,D5246-K5246)</f>
        <v>2.4413822</v>
      </c>
      <c r="M5246" s="13" t="n">
        <f aca="false">MAX(0,F5246-I5246-J5246)</f>
        <v>0</v>
      </c>
      <c r="N5246" s="13" t="n">
        <f aca="false">IF(Kalender!A122="",0,J5245-H5246)</f>
        <v>0.0150822</v>
      </c>
    </row>
    <row r="5247" customFormat="false" ht="16.4" hidden="false" customHeight="false" outlineLevel="0" collapsed="false">
      <c r="A5247" s="13" t="str">
        <f aca="false">""</f>
        <v/>
      </c>
      <c r="B5247" s="13" t="n">
        <f aca="false">119</f>
        <v>119</v>
      </c>
      <c r="C5247" s="13" t="n">
        <f aca="false">IF(Szenarien!$H$25="OK",(IFERROR(SUMIF(Nutzungsprofile!$B$6:$B$11,"Schulbetrieb",Nutzungsprofile!$G$6:$G$11)*Kalender!C123/SUM(Kalender!$C$5:$C$370),0)+IFERROR(SUMIF(Nutzungsprofile!$B$6:$B$11,"Halle",Nutzungsprofile!$G$6:$G$11)*Kalender!D123/SUM(Kalender!$D$5:$D$370),0)+IFERROR(SUMIF(Nutzungsprofile!$B$6:$B$11,"Individuell",Nutzungsprofile!$G$6:$G$11)*Kalender!E123/SUM(Kalender!$E$5:$E$370),0))*Szenarien!$E$25,0)</f>
        <v>2.94</v>
      </c>
      <c r="D5247" s="13" t="n">
        <f aca="false">IF(Szenarien!$H$25="OK",(IFERROR(SUMIF(Nutzungsprofile!$B$17:$B$22,"Schulbetrieb",Nutzungsprofile!$G$17:$G$22)*Kalender!C123/SUM(Kalender!$C$5:$C$370),0)+IFERROR(SUMIF(Nutzungsprofile!$B$17:$B$22,"Halle",Nutzungsprofile!$G$17:$G$22)*Kalender!D123/SUM(Kalender!$D$5:$D$370),0)+IFERROR(SUMIF(Nutzungsprofile!$B$17:$B$22,"Individuell",Nutzungsprofile!$G$17:$G$22)*Kalender!E123/SUM(Kalender!$E$5:$E$370),0))*Szenarien!$D$25,0)</f>
        <v>4.94</v>
      </c>
      <c r="E5247" s="13" t="n">
        <f aca="false">IFERROR(MIN(C5247,Eingaben!$B$17)*Eingaben!$B$16,0)</f>
        <v>2.793</v>
      </c>
      <c r="F5247" s="13" t="n">
        <f aca="false">IFERROR(E5247*Eingaben!$B$15,0)</f>
        <v>2.5137</v>
      </c>
      <c r="G5247" s="13" t="n">
        <f aca="false">IFERROR(IF(Kalender!A123="",0,J5246*(1-Eingaben!$B$20)),0)</f>
        <v>0.7390278</v>
      </c>
      <c r="H5247" s="13" t="n">
        <f aca="false">MIN(G5247,D5247)</f>
        <v>0.7390278</v>
      </c>
      <c r="I5247" s="13" t="n">
        <f aca="false">IFERROR(MIN(F5247*Eingaben!$B$19,MAX(0,D5247-H5247)),0)</f>
        <v>1.75959</v>
      </c>
      <c r="J5247" s="13" t="n">
        <f aca="false">IFERROR(MIN(Eingaben!$B$18,MAX(0,F5247-I5247)),0)</f>
        <v>0.75411</v>
      </c>
      <c r="K5247" s="13" t="n">
        <f aca="false">H5247+I5247</f>
        <v>2.4986178</v>
      </c>
      <c r="L5247" s="13" t="n">
        <f aca="false">MAX(0,D5247-K5247)</f>
        <v>2.4413822</v>
      </c>
      <c r="M5247" s="13" t="n">
        <f aca="false">MAX(0,F5247-I5247-J5247)</f>
        <v>0</v>
      </c>
      <c r="N5247" s="13" t="n">
        <f aca="false">IF(Kalender!A123="",0,J5246-H5247)</f>
        <v>0.0150822</v>
      </c>
    </row>
    <row r="5248" customFormat="false" ht="16.4" hidden="false" customHeight="false" outlineLevel="0" collapsed="false">
      <c r="A5248" s="13" t="str">
        <f aca="false">""</f>
        <v/>
      </c>
      <c r="B5248" s="13" t="n">
        <f aca="false">120</f>
        <v>120</v>
      </c>
      <c r="C5248" s="13" t="n">
        <f aca="false">IF(Szenarien!$H$25="OK",(IFERROR(SUMIF(Nutzungsprofile!$B$6:$B$11,"Schulbetrieb",Nutzungsprofile!$G$6:$G$11)*Kalender!C124/SUM(Kalender!$C$5:$C$370),0)+IFERROR(SUMIF(Nutzungsprofile!$B$6:$B$11,"Halle",Nutzungsprofile!$G$6:$G$11)*Kalender!D124/SUM(Kalender!$D$5:$D$370),0)+IFERROR(SUMIF(Nutzungsprofile!$B$6:$B$11,"Individuell",Nutzungsprofile!$G$6:$G$11)*Kalender!E124/SUM(Kalender!$E$5:$E$370),0))*Szenarien!$E$25,0)</f>
        <v>2.94</v>
      </c>
      <c r="D5248" s="13" t="n">
        <f aca="false">IF(Szenarien!$H$25="OK",(IFERROR(SUMIF(Nutzungsprofile!$B$17:$B$22,"Schulbetrieb",Nutzungsprofile!$G$17:$G$22)*Kalender!C124/SUM(Kalender!$C$5:$C$370),0)+IFERROR(SUMIF(Nutzungsprofile!$B$17:$B$22,"Halle",Nutzungsprofile!$G$17:$G$22)*Kalender!D124/SUM(Kalender!$D$5:$D$370),0)+IFERROR(SUMIF(Nutzungsprofile!$B$17:$B$22,"Individuell",Nutzungsprofile!$G$17:$G$22)*Kalender!E124/SUM(Kalender!$E$5:$E$370),0))*Szenarien!$D$25,0)</f>
        <v>4.94</v>
      </c>
      <c r="E5248" s="13" t="n">
        <f aca="false">IFERROR(MIN(C5248,Eingaben!$B$17)*Eingaben!$B$16,0)</f>
        <v>2.793</v>
      </c>
      <c r="F5248" s="13" t="n">
        <f aca="false">IFERROR(E5248*Eingaben!$B$15,0)</f>
        <v>2.5137</v>
      </c>
      <c r="G5248" s="13" t="n">
        <f aca="false">IFERROR(IF(Kalender!A124="",0,J5247*(1-Eingaben!$B$20)),0)</f>
        <v>0.7390278</v>
      </c>
      <c r="H5248" s="13" t="n">
        <f aca="false">MIN(G5248,D5248)</f>
        <v>0.7390278</v>
      </c>
      <c r="I5248" s="13" t="n">
        <f aca="false">IFERROR(MIN(F5248*Eingaben!$B$19,MAX(0,D5248-H5248)),0)</f>
        <v>1.75959</v>
      </c>
      <c r="J5248" s="13" t="n">
        <f aca="false">IFERROR(MIN(Eingaben!$B$18,MAX(0,F5248-I5248)),0)</f>
        <v>0.75411</v>
      </c>
      <c r="K5248" s="13" t="n">
        <f aca="false">H5248+I5248</f>
        <v>2.4986178</v>
      </c>
      <c r="L5248" s="13" t="n">
        <f aca="false">MAX(0,D5248-K5248)</f>
        <v>2.4413822</v>
      </c>
      <c r="M5248" s="13" t="n">
        <f aca="false">MAX(0,F5248-I5248-J5248)</f>
        <v>0</v>
      </c>
      <c r="N5248" s="13" t="n">
        <f aca="false">IF(Kalender!A124="",0,J5247-H5248)</f>
        <v>0.0150822</v>
      </c>
    </row>
    <row r="5249" customFormat="false" ht="16.4" hidden="false" customHeight="false" outlineLevel="0" collapsed="false">
      <c r="A5249" s="13" t="str">
        <f aca="false">""</f>
        <v/>
      </c>
      <c r="B5249" s="13" t="n">
        <f aca="false">121</f>
        <v>121</v>
      </c>
      <c r="C5249" s="13" t="n">
        <f aca="false">IF(Szenarien!$H$25="OK",(IFERROR(SUMIF(Nutzungsprofile!$B$6:$B$11,"Schulbetrieb",Nutzungsprofile!$G$6:$G$11)*Kalender!C125/SUM(Kalender!$C$5:$C$370),0)+IFERROR(SUMIF(Nutzungsprofile!$B$6:$B$11,"Halle",Nutzungsprofile!$G$6:$G$11)*Kalender!D125/SUM(Kalender!$D$5:$D$370),0)+IFERROR(SUMIF(Nutzungsprofile!$B$6:$B$11,"Individuell",Nutzungsprofile!$G$6:$G$11)*Kalender!E125/SUM(Kalender!$E$5:$E$370),0))*Szenarien!$E$25,0)</f>
        <v>2.94</v>
      </c>
      <c r="D5249" s="13" t="n">
        <f aca="false">IF(Szenarien!$H$25="OK",(IFERROR(SUMIF(Nutzungsprofile!$B$17:$B$22,"Schulbetrieb",Nutzungsprofile!$G$17:$G$22)*Kalender!C125/SUM(Kalender!$C$5:$C$370),0)+IFERROR(SUMIF(Nutzungsprofile!$B$17:$B$22,"Halle",Nutzungsprofile!$G$17:$G$22)*Kalender!D125/SUM(Kalender!$D$5:$D$370),0)+IFERROR(SUMIF(Nutzungsprofile!$B$17:$B$22,"Individuell",Nutzungsprofile!$G$17:$G$22)*Kalender!E125/SUM(Kalender!$E$5:$E$370),0))*Szenarien!$D$25,0)</f>
        <v>4.94</v>
      </c>
      <c r="E5249" s="13" t="n">
        <f aca="false">IFERROR(MIN(C5249,Eingaben!$B$17)*Eingaben!$B$16,0)</f>
        <v>2.793</v>
      </c>
      <c r="F5249" s="13" t="n">
        <f aca="false">IFERROR(E5249*Eingaben!$B$15,0)</f>
        <v>2.5137</v>
      </c>
      <c r="G5249" s="13" t="n">
        <f aca="false">IFERROR(IF(Kalender!A125="",0,J5248*(1-Eingaben!$B$20)),0)</f>
        <v>0.7390278</v>
      </c>
      <c r="H5249" s="13" t="n">
        <f aca="false">MIN(G5249,D5249)</f>
        <v>0.7390278</v>
      </c>
      <c r="I5249" s="13" t="n">
        <f aca="false">IFERROR(MIN(F5249*Eingaben!$B$19,MAX(0,D5249-H5249)),0)</f>
        <v>1.75959</v>
      </c>
      <c r="J5249" s="13" t="n">
        <f aca="false">IFERROR(MIN(Eingaben!$B$18,MAX(0,F5249-I5249)),0)</f>
        <v>0.75411</v>
      </c>
      <c r="K5249" s="13" t="n">
        <f aca="false">H5249+I5249</f>
        <v>2.4986178</v>
      </c>
      <c r="L5249" s="13" t="n">
        <f aca="false">MAX(0,D5249-K5249)</f>
        <v>2.4413822</v>
      </c>
      <c r="M5249" s="13" t="n">
        <f aca="false">MAX(0,F5249-I5249-J5249)</f>
        <v>0</v>
      </c>
      <c r="N5249" s="13" t="n">
        <f aca="false">IF(Kalender!A125="",0,J5248-H5249)</f>
        <v>0.0150822</v>
      </c>
    </row>
    <row r="5250" customFormat="false" ht="16.4" hidden="false" customHeight="false" outlineLevel="0" collapsed="false">
      <c r="A5250" s="13" t="str">
        <f aca="false">""</f>
        <v/>
      </c>
      <c r="B5250" s="13" t="n">
        <f aca="false">122</f>
        <v>122</v>
      </c>
      <c r="C5250" s="13" t="n">
        <f aca="false">IF(Szenarien!$H$25="OK",(IFERROR(SUMIF(Nutzungsprofile!$B$6:$B$11,"Schulbetrieb",Nutzungsprofile!$G$6:$G$11)*Kalender!C126/SUM(Kalender!$C$5:$C$370),0)+IFERROR(SUMIF(Nutzungsprofile!$B$6:$B$11,"Halle",Nutzungsprofile!$G$6:$G$11)*Kalender!D126/SUM(Kalender!$D$5:$D$370),0)+IFERROR(SUMIF(Nutzungsprofile!$B$6:$B$11,"Individuell",Nutzungsprofile!$G$6:$G$11)*Kalender!E126/SUM(Kalender!$E$5:$E$370),0))*Szenarien!$E$25,0)</f>
        <v>2.04</v>
      </c>
      <c r="D5250" s="13" t="n">
        <f aca="false">IF(Szenarien!$H$25="OK",(IFERROR(SUMIF(Nutzungsprofile!$B$17:$B$22,"Schulbetrieb",Nutzungsprofile!$G$17:$G$22)*Kalender!C126/SUM(Kalender!$C$5:$C$370),0)+IFERROR(SUMIF(Nutzungsprofile!$B$17:$B$22,"Halle",Nutzungsprofile!$G$17:$G$22)*Kalender!D126/SUM(Kalender!$D$5:$D$370),0)+IFERROR(SUMIF(Nutzungsprofile!$B$17:$B$22,"Individuell",Nutzungsprofile!$G$17:$G$22)*Kalender!E126/SUM(Kalender!$E$5:$E$370),0))*Szenarien!$D$25,0)</f>
        <v>0.89</v>
      </c>
      <c r="E5250" s="13" t="n">
        <f aca="false">IFERROR(MIN(C5250,Eingaben!$B$17)*Eingaben!$B$16,0)</f>
        <v>1.938</v>
      </c>
      <c r="F5250" s="13" t="n">
        <f aca="false">IFERROR(E5250*Eingaben!$B$15,0)</f>
        <v>1.7442</v>
      </c>
      <c r="G5250" s="13" t="n">
        <f aca="false">IFERROR(IF(Kalender!A126="",0,J5249*(1-Eingaben!$B$20)),0)</f>
        <v>0.7390278</v>
      </c>
      <c r="H5250" s="13" t="n">
        <f aca="false">MIN(G5250,D5250)</f>
        <v>0.7390278</v>
      </c>
      <c r="I5250" s="13" t="n">
        <f aca="false">IFERROR(MIN(F5250*Eingaben!$B$19,MAX(0,D5250-H5250)),0)</f>
        <v>0.1509722</v>
      </c>
      <c r="J5250" s="13" t="n">
        <f aca="false">IFERROR(MIN(Eingaben!$B$18,MAX(0,F5250-I5250)),0)</f>
        <v>1.5932278</v>
      </c>
      <c r="K5250" s="13" t="n">
        <f aca="false">H5250+I5250</f>
        <v>0.89</v>
      </c>
      <c r="L5250" s="13" t="n">
        <f aca="false">MAX(0,D5250-K5250)</f>
        <v>0</v>
      </c>
      <c r="M5250" s="13" t="n">
        <f aca="false">MAX(0,F5250-I5250-J5250)</f>
        <v>0</v>
      </c>
      <c r="N5250" s="13" t="n">
        <f aca="false">IF(Kalender!A126="",0,J5249-H5250)</f>
        <v>0.0150822</v>
      </c>
    </row>
    <row r="5251" customFormat="false" ht="16.4" hidden="false" customHeight="false" outlineLevel="0" collapsed="false">
      <c r="A5251" s="13" t="str">
        <f aca="false">""</f>
        <v/>
      </c>
      <c r="B5251" s="13" t="n">
        <f aca="false">123</f>
        <v>123</v>
      </c>
      <c r="C5251" s="13" t="n">
        <f aca="false">IF(Szenarien!$H$25="OK",(IFERROR(SUMIF(Nutzungsprofile!$B$6:$B$11,"Schulbetrieb",Nutzungsprofile!$G$6:$G$11)*Kalender!C127/SUM(Kalender!$C$5:$C$370),0)+IFERROR(SUMIF(Nutzungsprofile!$B$6:$B$11,"Halle",Nutzungsprofile!$G$6:$G$11)*Kalender!D127/SUM(Kalender!$D$5:$D$370),0)+IFERROR(SUMIF(Nutzungsprofile!$B$6:$B$11,"Individuell",Nutzungsprofile!$G$6:$G$11)*Kalender!E127/SUM(Kalender!$E$5:$E$370),0))*Szenarien!$E$25,0)</f>
        <v>2.04</v>
      </c>
      <c r="D5251" s="13" t="n">
        <f aca="false">IF(Szenarien!$H$25="OK",(IFERROR(SUMIF(Nutzungsprofile!$B$17:$B$22,"Schulbetrieb",Nutzungsprofile!$G$17:$G$22)*Kalender!C127/SUM(Kalender!$C$5:$C$370),0)+IFERROR(SUMIF(Nutzungsprofile!$B$17:$B$22,"Halle",Nutzungsprofile!$G$17:$G$22)*Kalender!D127/SUM(Kalender!$D$5:$D$370),0)+IFERROR(SUMIF(Nutzungsprofile!$B$17:$B$22,"Individuell",Nutzungsprofile!$G$17:$G$22)*Kalender!E127/SUM(Kalender!$E$5:$E$370),0))*Szenarien!$D$25,0)</f>
        <v>0.89</v>
      </c>
      <c r="E5251" s="13" t="n">
        <f aca="false">IFERROR(MIN(C5251,Eingaben!$B$17)*Eingaben!$B$16,0)</f>
        <v>1.938</v>
      </c>
      <c r="F5251" s="13" t="n">
        <f aca="false">IFERROR(E5251*Eingaben!$B$15,0)</f>
        <v>1.7442</v>
      </c>
      <c r="G5251" s="13" t="n">
        <f aca="false">IFERROR(IF(Kalender!A127="",0,J5250*(1-Eingaben!$B$20)),0)</f>
        <v>1.561363244</v>
      </c>
      <c r="H5251" s="13" t="n">
        <f aca="false">MIN(G5251,D5251)</f>
        <v>0.89</v>
      </c>
      <c r="I5251" s="13" t="n">
        <f aca="false">IFERROR(MIN(F5251*Eingaben!$B$19,MAX(0,D5251-H5251)),0)</f>
        <v>0</v>
      </c>
      <c r="J5251" s="13" t="n">
        <f aca="false">IFERROR(MIN(Eingaben!$B$18,MAX(0,F5251-I5251)),0)</f>
        <v>1.7442</v>
      </c>
      <c r="K5251" s="13" t="n">
        <f aca="false">H5251+I5251</f>
        <v>0.89</v>
      </c>
      <c r="L5251" s="13" t="n">
        <f aca="false">MAX(0,D5251-K5251)</f>
        <v>0</v>
      </c>
      <c r="M5251" s="13" t="n">
        <f aca="false">MAX(0,F5251-I5251-J5251)</f>
        <v>0</v>
      </c>
      <c r="N5251" s="13" t="n">
        <f aca="false">IF(Kalender!A127="",0,J5250-H5251)</f>
        <v>0.7032278</v>
      </c>
    </row>
    <row r="5252" customFormat="false" ht="16.4" hidden="false" customHeight="false" outlineLevel="0" collapsed="false">
      <c r="A5252" s="13" t="str">
        <f aca="false">""</f>
        <v/>
      </c>
      <c r="B5252" s="13" t="n">
        <f aca="false">124</f>
        <v>124</v>
      </c>
      <c r="C5252" s="13" t="n">
        <f aca="false">IF(Szenarien!$H$25="OK",(IFERROR(SUMIF(Nutzungsprofile!$B$6:$B$11,"Schulbetrieb",Nutzungsprofile!$G$6:$G$11)*Kalender!C128/SUM(Kalender!$C$5:$C$370),0)+IFERROR(SUMIF(Nutzungsprofile!$B$6:$B$11,"Halle",Nutzungsprofile!$G$6:$G$11)*Kalender!D128/SUM(Kalender!$D$5:$D$370),0)+IFERROR(SUMIF(Nutzungsprofile!$B$6:$B$11,"Individuell",Nutzungsprofile!$G$6:$G$11)*Kalender!E128/SUM(Kalender!$E$5:$E$370),0))*Szenarien!$E$25,0)</f>
        <v>2.94</v>
      </c>
      <c r="D5252" s="13" t="n">
        <f aca="false">IF(Szenarien!$H$25="OK",(IFERROR(SUMIF(Nutzungsprofile!$B$17:$B$22,"Schulbetrieb",Nutzungsprofile!$G$17:$G$22)*Kalender!C128/SUM(Kalender!$C$5:$C$370),0)+IFERROR(SUMIF(Nutzungsprofile!$B$17:$B$22,"Halle",Nutzungsprofile!$G$17:$G$22)*Kalender!D128/SUM(Kalender!$D$5:$D$370),0)+IFERROR(SUMIF(Nutzungsprofile!$B$17:$B$22,"Individuell",Nutzungsprofile!$G$17:$G$22)*Kalender!E128/SUM(Kalender!$E$5:$E$370),0))*Szenarien!$D$25,0)</f>
        <v>4.94</v>
      </c>
      <c r="E5252" s="13" t="n">
        <f aca="false">IFERROR(MIN(C5252,Eingaben!$B$17)*Eingaben!$B$16,0)</f>
        <v>2.793</v>
      </c>
      <c r="F5252" s="13" t="n">
        <f aca="false">IFERROR(E5252*Eingaben!$B$15,0)</f>
        <v>2.5137</v>
      </c>
      <c r="G5252" s="13" t="n">
        <f aca="false">IFERROR(IF(Kalender!A128="",0,J5251*(1-Eingaben!$B$20)),0)</f>
        <v>1.709316</v>
      </c>
      <c r="H5252" s="13" t="n">
        <f aca="false">MIN(G5252,D5252)</f>
        <v>1.709316</v>
      </c>
      <c r="I5252" s="13" t="n">
        <f aca="false">IFERROR(MIN(F5252*Eingaben!$B$19,MAX(0,D5252-H5252)),0)</f>
        <v>1.75959</v>
      </c>
      <c r="J5252" s="13" t="n">
        <f aca="false">IFERROR(MIN(Eingaben!$B$18,MAX(0,F5252-I5252)),0)</f>
        <v>0.75411</v>
      </c>
      <c r="K5252" s="13" t="n">
        <f aca="false">H5252+I5252</f>
        <v>3.468906</v>
      </c>
      <c r="L5252" s="13" t="n">
        <f aca="false">MAX(0,D5252-K5252)</f>
        <v>1.471094</v>
      </c>
      <c r="M5252" s="13" t="n">
        <f aca="false">MAX(0,F5252-I5252-J5252)</f>
        <v>0</v>
      </c>
      <c r="N5252" s="13" t="n">
        <f aca="false">IF(Kalender!A128="",0,J5251-H5252)</f>
        <v>0.0348840000000001</v>
      </c>
    </row>
    <row r="5253" customFormat="false" ht="16.4" hidden="false" customHeight="false" outlineLevel="0" collapsed="false">
      <c r="A5253" s="13" t="str">
        <f aca="false">""</f>
        <v/>
      </c>
      <c r="B5253" s="13" t="n">
        <f aca="false">125</f>
        <v>125</v>
      </c>
      <c r="C5253" s="13" t="n">
        <f aca="false">IF(Szenarien!$H$25="OK",(IFERROR(SUMIF(Nutzungsprofile!$B$6:$B$11,"Schulbetrieb",Nutzungsprofile!$G$6:$G$11)*Kalender!C129/SUM(Kalender!$C$5:$C$370),0)+IFERROR(SUMIF(Nutzungsprofile!$B$6:$B$11,"Halle",Nutzungsprofile!$G$6:$G$11)*Kalender!D129/SUM(Kalender!$D$5:$D$370),0)+IFERROR(SUMIF(Nutzungsprofile!$B$6:$B$11,"Individuell",Nutzungsprofile!$G$6:$G$11)*Kalender!E129/SUM(Kalender!$E$5:$E$370),0))*Szenarien!$E$25,0)</f>
        <v>2.94</v>
      </c>
      <c r="D5253" s="13" t="n">
        <f aca="false">IF(Szenarien!$H$25="OK",(IFERROR(SUMIF(Nutzungsprofile!$B$17:$B$22,"Schulbetrieb",Nutzungsprofile!$G$17:$G$22)*Kalender!C129/SUM(Kalender!$C$5:$C$370),0)+IFERROR(SUMIF(Nutzungsprofile!$B$17:$B$22,"Halle",Nutzungsprofile!$G$17:$G$22)*Kalender!D129/SUM(Kalender!$D$5:$D$370),0)+IFERROR(SUMIF(Nutzungsprofile!$B$17:$B$22,"Individuell",Nutzungsprofile!$G$17:$G$22)*Kalender!E129/SUM(Kalender!$E$5:$E$370),0))*Szenarien!$D$25,0)</f>
        <v>4.94</v>
      </c>
      <c r="E5253" s="13" t="n">
        <f aca="false">IFERROR(MIN(C5253,Eingaben!$B$17)*Eingaben!$B$16,0)</f>
        <v>2.793</v>
      </c>
      <c r="F5253" s="13" t="n">
        <f aca="false">IFERROR(E5253*Eingaben!$B$15,0)</f>
        <v>2.5137</v>
      </c>
      <c r="G5253" s="13" t="n">
        <f aca="false">IFERROR(IF(Kalender!A129="",0,J5252*(1-Eingaben!$B$20)),0)</f>
        <v>0.7390278</v>
      </c>
      <c r="H5253" s="13" t="n">
        <f aca="false">MIN(G5253,D5253)</f>
        <v>0.7390278</v>
      </c>
      <c r="I5253" s="13" t="n">
        <f aca="false">IFERROR(MIN(F5253*Eingaben!$B$19,MAX(0,D5253-H5253)),0)</f>
        <v>1.75959</v>
      </c>
      <c r="J5253" s="13" t="n">
        <f aca="false">IFERROR(MIN(Eingaben!$B$18,MAX(0,F5253-I5253)),0)</f>
        <v>0.75411</v>
      </c>
      <c r="K5253" s="13" t="n">
        <f aca="false">H5253+I5253</f>
        <v>2.4986178</v>
      </c>
      <c r="L5253" s="13" t="n">
        <f aca="false">MAX(0,D5253-K5253)</f>
        <v>2.4413822</v>
      </c>
      <c r="M5253" s="13" t="n">
        <f aca="false">MAX(0,F5253-I5253-J5253)</f>
        <v>0</v>
      </c>
      <c r="N5253" s="13" t="n">
        <f aca="false">IF(Kalender!A129="",0,J5252-H5253)</f>
        <v>0.0150822</v>
      </c>
    </row>
    <row r="5254" customFormat="false" ht="16.4" hidden="false" customHeight="false" outlineLevel="0" collapsed="false">
      <c r="A5254" s="13" t="str">
        <f aca="false">""</f>
        <v/>
      </c>
      <c r="B5254" s="13" t="n">
        <f aca="false">126</f>
        <v>126</v>
      </c>
      <c r="C5254" s="13" t="n">
        <f aca="false">IF(Szenarien!$H$25="OK",(IFERROR(SUMIF(Nutzungsprofile!$B$6:$B$11,"Schulbetrieb",Nutzungsprofile!$G$6:$G$11)*Kalender!C130/SUM(Kalender!$C$5:$C$370),0)+IFERROR(SUMIF(Nutzungsprofile!$B$6:$B$11,"Halle",Nutzungsprofile!$G$6:$G$11)*Kalender!D130/SUM(Kalender!$D$5:$D$370),0)+IFERROR(SUMIF(Nutzungsprofile!$B$6:$B$11,"Individuell",Nutzungsprofile!$G$6:$G$11)*Kalender!E130/SUM(Kalender!$E$5:$E$370),0))*Szenarien!$E$25,0)</f>
        <v>2.94</v>
      </c>
      <c r="D5254" s="13" t="n">
        <f aca="false">IF(Szenarien!$H$25="OK",(IFERROR(SUMIF(Nutzungsprofile!$B$17:$B$22,"Schulbetrieb",Nutzungsprofile!$G$17:$G$22)*Kalender!C130/SUM(Kalender!$C$5:$C$370),0)+IFERROR(SUMIF(Nutzungsprofile!$B$17:$B$22,"Halle",Nutzungsprofile!$G$17:$G$22)*Kalender!D130/SUM(Kalender!$D$5:$D$370),0)+IFERROR(SUMIF(Nutzungsprofile!$B$17:$B$22,"Individuell",Nutzungsprofile!$G$17:$G$22)*Kalender!E130/SUM(Kalender!$E$5:$E$370),0))*Szenarien!$D$25,0)</f>
        <v>4.94</v>
      </c>
      <c r="E5254" s="13" t="n">
        <f aca="false">IFERROR(MIN(C5254,Eingaben!$B$17)*Eingaben!$B$16,0)</f>
        <v>2.793</v>
      </c>
      <c r="F5254" s="13" t="n">
        <f aca="false">IFERROR(E5254*Eingaben!$B$15,0)</f>
        <v>2.5137</v>
      </c>
      <c r="G5254" s="13" t="n">
        <f aca="false">IFERROR(IF(Kalender!A130="",0,J5253*(1-Eingaben!$B$20)),0)</f>
        <v>0.7390278</v>
      </c>
      <c r="H5254" s="13" t="n">
        <f aca="false">MIN(G5254,D5254)</f>
        <v>0.7390278</v>
      </c>
      <c r="I5254" s="13" t="n">
        <f aca="false">IFERROR(MIN(F5254*Eingaben!$B$19,MAX(0,D5254-H5254)),0)</f>
        <v>1.75959</v>
      </c>
      <c r="J5254" s="13" t="n">
        <f aca="false">IFERROR(MIN(Eingaben!$B$18,MAX(0,F5254-I5254)),0)</f>
        <v>0.75411</v>
      </c>
      <c r="K5254" s="13" t="n">
        <f aca="false">H5254+I5254</f>
        <v>2.4986178</v>
      </c>
      <c r="L5254" s="13" t="n">
        <f aca="false">MAX(0,D5254-K5254)</f>
        <v>2.4413822</v>
      </c>
      <c r="M5254" s="13" t="n">
        <f aca="false">MAX(0,F5254-I5254-J5254)</f>
        <v>0</v>
      </c>
      <c r="N5254" s="13" t="n">
        <f aca="false">IF(Kalender!A130="",0,J5253-H5254)</f>
        <v>0.0150822</v>
      </c>
    </row>
    <row r="5255" customFormat="false" ht="16.4" hidden="false" customHeight="false" outlineLevel="0" collapsed="false">
      <c r="A5255" s="13" t="str">
        <f aca="false">""</f>
        <v/>
      </c>
      <c r="B5255" s="13" t="n">
        <f aca="false">127</f>
        <v>127</v>
      </c>
      <c r="C5255" s="13" t="n">
        <f aca="false">IF(Szenarien!$H$25="OK",(IFERROR(SUMIF(Nutzungsprofile!$B$6:$B$11,"Schulbetrieb",Nutzungsprofile!$G$6:$G$11)*Kalender!C131/SUM(Kalender!$C$5:$C$370),0)+IFERROR(SUMIF(Nutzungsprofile!$B$6:$B$11,"Halle",Nutzungsprofile!$G$6:$G$11)*Kalender!D131/SUM(Kalender!$D$5:$D$370),0)+IFERROR(SUMIF(Nutzungsprofile!$B$6:$B$11,"Individuell",Nutzungsprofile!$G$6:$G$11)*Kalender!E131/SUM(Kalender!$E$5:$E$370),0))*Szenarien!$E$25,0)</f>
        <v>2.94</v>
      </c>
      <c r="D5255" s="13" t="n">
        <f aca="false">IF(Szenarien!$H$25="OK",(IFERROR(SUMIF(Nutzungsprofile!$B$17:$B$22,"Schulbetrieb",Nutzungsprofile!$G$17:$G$22)*Kalender!C131/SUM(Kalender!$C$5:$C$370),0)+IFERROR(SUMIF(Nutzungsprofile!$B$17:$B$22,"Halle",Nutzungsprofile!$G$17:$G$22)*Kalender!D131/SUM(Kalender!$D$5:$D$370),0)+IFERROR(SUMIF(Nutzungsprofile!$B$17:$B$22,"Individuell",Nutzungsprofile!$G$17:$G$22)*Kalender!E131/SUM(Kalender!$E$5:$E$370),0))*Szenarien!$D$25,0)</f>
        <v>4.94</v>
      </c>
      <c r="E5255" s="13" t="n">
        <f aca="false">IFERROR(MIN(C5255,Eingaben!$B$17)*Eingaben!$B$16,0)</f>
        <v>2.793</v>
      </c>
      <c r="F5255" s="13" t="n">
        <f aca="false">IFERROR(E5255*Eingaben!$B$15,0)</f>
        <v>2.5137</v>
      </c>
      <c r="G5255" s="13" t="n">
        <f aca="false">IFERROR(IF(Kalender!A131="",0,J5254*(1-Eingaben!$B$20)),0)</f>
        <v>0.7390278</v>
      </c>
      <c r="H5255" s="13" t="n">
        <f aca="false">MIN(G5255,D5255)</f>
        <v>0.7390278</v>
      </c>
      <c r="I5255" s="13" t="n">
        <f aca="false">IFERROR(MIN(F5255*Eingaben!$B$19,MAX(0,D5255-H5255)),0)</f>
        <v>1.75959</v>
      </c>
      <c r="J5255" s="13" t="n">
        <f aca="false">IFERROR(MIN(Eingaben!$B$18,MAX(0,F5255-I5255)),0)</f>
        <v>0.75411</v>
      </c>
      <c r="K5255" s="13" t="n">
        <f aca="false">H5255+I5255</f>
        <v>2.4986178</v>
      </c>
      <c r="L5255" s="13" t="n">
        <f aca="false">MAX(0,D5255-K5255)</f>
        <v>2.4413822</v>
      </c>
      <c r="M5255" s="13" t="n">
        <f aca="false">MAX(0,F5255-I5255-J5255)</f>
        <v>0</v>
      </c>
      <c r="N5255" s="13" t="n">
        <f aca="false">IF(Kalender!A131="",0,J5254-H5255)</f>
        <v>0.0150822</v>
      </c>
    </row>
    <row r="5256" customFormat="false" ht="16.4" hidden="false" customHeight="false" outlineLevel="0" collapsed="false">
      <c r="A5256" s="13" t="str">
        <f aca="false">""</f>
        <v/>
      </c>
      <c r="B5256" s="13" t="n">
        <f aca="false">128</f>
        <v>128</v>
      </c>
      <c r="C5256" s="13" t="n">
        <f aca="false">IF(Szenarien!$H$25="OK",(IFERROR(SUMIF(Nutzungsprofile!$B$6:$B$11,"Schulbetrieb",Nutzungsprofile!$G$6:$G$11)*Kalender!C132/SUM(Kalender!$C$5:$C$370),0)+IFERROR(SUMIF(Nutzungsprofile!$B$6:$B$11,"Halle",Nutzungsprofile!$G$6:$G$11)*Kalender!D132/SUM(Kalender!$D$5:$D$370),0)+IFERROR(SUMIF(Nutzungsprofile!$B$6:$B$11,"Individuell",Nutzungsprofile!$G$6:$G$11)*Kalender!E132/SUM(Kalender!$E$5:$E$370),0))*Szenarien!$E$25,0)</f>
        <v>2.94</v>
      </c>
      <c r="D5256" s="13" t="n">
        <f aca="false">IF(Szenarien!$H$25="OK",(IFERROR(SUMIF(Nutzungsprofile!$B$17:$B$22,"Schulbetrieb",Nutzungsprofile!$G$17:$G$22)*Kalender!C132/SUM(Kalender!$C$5:$C$370),0)+IFERROR(SUMIF(Nutzungsprofile!$B$17:$B$22,"Halle",Nutzungsprofile!$G$17:$G$22)*Kalender!D132/SUM(Kalender!$D$5:$D$370),0)+IFERROR(SUMIF(Nutzungsprofile!$B$17:$B$22,"Individuell",Nutzungsprofile!$G$17:$G$22)*Kalender!E132/SUM(Kalender!$E$5:$E$370),0))*Szenarien!$D$25,0)</f>
        <v>4.94</v>
      </c>
      <c r="E5256" s="13" t="n">
        <f aca="false">IFERROR(MIN(C5256,Eingaben!$B$17)*Eingaben!$B$16,0)</f>
        <v>2.793</v>
      </c>
      <c r="F5256" s="13" t="n">
        <f aca="false">IFERROR(E5256*Eingaben!$B$15,0)</f>
        <v>2.5137</v>
      </c>
      <c r="G5256" s="13" t="n">
        <f aca="false">IFERROR(IF(Kalender!A132="",0,J5255*(1-Eingaben!$B$20)),0)</f>
        <v>0.7390278</v>
      </c>
      <c r="H5256" s="13" t="n">
        <f aca="false">MIN(G5256,D5256)</f>
        <v>0.7390278</v>
      </c>
      <c r="I5256" s="13" t="n">
        <f aca="false">IFERROR(MIN(F5256*Eingaben!$B$19,MAX(0,D5256-H5256)),0)</f>
        <v>1.75959</v>
      </c>
      <c r="J5256" s="13" t="n">
        <f aca="false">IFERROR(MIN(Eingaben!$B$18,MAX(0,F5256-I5256)),0)</f>
        <v>0.75411</v>
      </c>
      <c r="K5256" s="13" t="n">
        <f aca="false">H5256+I5256</f>
        <v>2.4986178</v>
      </c>
      <c r="L5256" s="13" t="n">
        <f aca="false">MAX(0,D5256-K5256)</f>
        <v>2.4413822</v>
      </c>
      <c r="M5256" s="13" t="n">
        <f aca="false">MAX(0,F5256-I5256-J5256)</f>
        <v>0</v>
      </c>
      <c r="N5256" s="13" t="n">
        <f aca="false">IF(Kalender!A132="",0,J5255-H5256)</f>
        <v>0.0150822</v>
      </c>
    </row>
    <row r="5257" customFormat="false" ht="16.4" hidden="false" customHeight="false" outlineLevel="0" collapsed="false">
      <c r="A5257" s="13" t="str">
        <f aca="false">""</f>
        <v/>
      </c>
      <c r="B5257" s="13" t="n">
        <f aca="false">129</f>
        <v>129</v>
      </c>
      <c r="C5257" s="13" t="n">
        <f aca="false">IF(Szenarien!$H$25="OK",(IFERROR(SUMIF(Nutzungsprofile!$B$6:$B$11,"Schulbetrieb",Nutzungsprofile!$G$6:$G$11)*Kalender!C133/SUM(Kalender!$C$5:$C$370),0)+IFERROR(SUMIF(Nutzungsprofile!$B$6:$B$11,"Halle",Nutzungsprofile!$G$6:$G$11)*Kalender!D133/SUM(Kalender!$D$5:$D$370),0)+IFERROR(SUMIF(Nutzungsprofile!$B$6:$B$11,"Individuell",Nutzungsprofile!$G$6:$G$11)*Kalender!E133/SUM(Kalender!$E$5:$E$370),0))*Szenarien!$E$25,0)</f>
        <v>2.04</v>
      </c>
      <c r="D5257" s="13" t="n">
        <f aca="false">IF(Szenarien!$H$25="OK",(IFERROR(SUMIF(Nutzungsprofile!$B$17:$B$22,"Schulbetrieb",Nutzungsprofile!$G$17:$G$22)*Kalender!C133/SUM(Kalender!$C$5:$C$370),0)+IFERROR(SUMIF(Nutzungsprofile!$B$17:$B$22,"Halle",Nutzungsprofile!$G$17:$G$22)*Kalender!D133/SUM(Kalender!$D$5:$D$370),0)+IFERROR(SUMIF(Nutzungsprofile!$B$17:$B$22,"Individuell",Nutzungsprofile!$G$17:$G$22)*Kalender!E133/SUM(Kalender!$E$5:$E$370),0))*Szenarien!$D$25,0)</f>
        <v>0.89</v>
      </c>
      <c r="E5257" s="13" t="n">
        <f aca="false">IFERROR(MIN(C5257,Eingaben!$B$17)*Eingaben!$B$16,0)</f>
        <v>1.938</v>
      </c>
      <c r="F5257" s="13" t="n">
        <f aca="false">IFERROR(E5257*Eingaben!$B$15,0)</f>
        <v>1.7442</v>
      </c>
      <c r="G5257" s="13" t="n">
        <f aca="false">IFERROR(IF(Kalender!A133="",0,J5256*(1-Eingaben!$B$20)),0)</f>
        <v>0.7390278</v>
      </c>
      <c r="H5257" s="13" t="n">
        <f aca="false">MIN(G5257,D5257)</f>
        <v>0.7390278</v>
      </c>
      <c r="I5257" s="13" t="n">
        <f aca="false">IFERROR(MIN(F5257*Eingaben!$B$19,MAX(0,D5257-H5257)),0)</f>
        <v>0.1509722</v>
      </c>
      <c r="J5257" s="13" t="n">
        <f aca="false">IFERROR(MIN(Eingaben!$B$18,MAX(0,F5257-I5257)),0)</f>
        <v>1.5932278</v>
      </c>
      <c r="K5257" s="13" t="n">
        <f aca="false">H5257+I5257</f>
        <v>0.89</v>
      </c>
      <c r="L5257" s="13" t="n">
        <f aca="false">MAX(0,D5257-K5257)</f>
        <v>0</v>
      </c>
      <c r="M5257" s="13" t="n">
        <f aca="false">MAX(0,F5257-I5257-J5257)</f>
        <v>0</v>
      </c>
      <c r="N5257" s="13" t="n">
        <f aca="false">IF(Kalender!A133="",0,J5256-H5257)</f>
        <v>0.0150822</v>
      </c>
    </row>
    <row r="5258" customFormat="false" ht="16.4" hidden="false" customHeight="false" outlineLevel="0" collapsed="false">
      <c r="A5258" s="13" t="str">
        <f aca="false">""</f>
        <v/>
      </c>
      <c r="B5258" s="13" t="n">
        <f aca="false">130</f>
        <v>130</v>
      </c>
      <c r="C5258" s="13" t="n">
        <f aca="false">IF(Szenarien!$H$25="OK",(IFERROR(SUMIF(Nutzungsprofile!$B$6:$B$11,"Schulbetrieb",Nutzungsprofile!$G$6:$G$11)*Kalender!C134/SUM(Kalender!$C$5:$C$370),0)+IFERROR(SUMIF(Nutzungsprofile!$B$6:$B$11,"Halle",Nutzungsprofile!$G$6:$G$11)*Kalender!D134/SUM(Kalender!$D$5:$D$370),0)+IFERROR(SUMIF(Nutzungsprofile!$B$6:$B$11,"Individuell",Nutzungsprofile!$G$6:$G$11)*Kalender!E134/SUM(Kalender!$E$5:$E$370),0))*Szenarien!$E$25,0)</f>
        <v>2.04</v>
      </c>
      <c r="D5258" s="13" t="n">
        <f aca="false">IF(Szenarien!$H$25="OK",(IFERROR(SUMIF(Nutzungsprofile!$B$17:$B$22,"Schulbetrieb",Nutzungsprofile!$G$17:$G$22)*Kalender!C134/SUM(Kalender!$C$5:$C$370),0)+IFERROR(SUMIF(Nutzungsprofile!$B$17:$B$22,"Halle",Nutzungsprofile!$G$17:$G$22)*Kalender!D134/SUM(Kalender!$D$5:$D$370),0)+IFERROR(SUMIF(Nutzungsprofile!$B$17:$B$22,"Individuell",Nutzungsprofile!$G$17:$G$22)*Kalender!E134/SUM(Kalender!$E$5:$E$370),0))*Szenarien!$D$25,0)</f>
        <v>0.89</v>
      </c>
      <c r="E5258" s="13" t="n">
        <f aca="false">IFERROR(MIN(C5258,Eingaben!$B$17)*Eingaben!$B$16,0)</f>
        <v>1.938</v>
      </c>
      <c r="F5258" s="13" t="n">
        <f aca="false">IFERROR(E5258*Eingaben!$B$15,0)</f>
        <v>1.7442</v>
      </c>
      <c r="G5258" s="13" t="n">
        <f aca="false">IFERROR(IF(Kalender!A134="",0,J5257*(1-Eingaben!$B$20)),0)</f>
        <v>1.561363244</v>
      </c>
      <c r="H5258" s="13" t="n">
        <f aca="false">MIN(G5258,D5258)</f>
        <v>0.89</v>
      </c>
      <c r="I5258" s="13" t="n">
        <f aca="false">IFERROR(MIN(F5258*Eingaben!$B$19,MAX(0,D5258-H5258)),0)</f>
        <v>0</v>
      </c>
      <c r="J5258" s="13" t="n">
        <f aca="false">IFERROR(MIN(Eingaben!$B$18,MAX(0,F5258-I5258)),0)</f>
        <v>1.7442</v>
      </c>
      <c r="K5258" s="13" t="n">
        <f aca="false">H5258+I5258</f>
        <v>0.89</v>
      </c>
      <c r="L5258" s="13" t="n">
        <f aca="false">MAX(0,D5258-K5258)</f>
        <v>0</v>
      </c>
      <c r="M5258" s="13" t="n">
        <f aca="false">MAX(0,F5258-I5258-J5258)</f>
        <v>0</v>
      </c>
      <c r="N5258" s="13" t="n">
        <f aca="false">IF(Kalender!A134="",0,J5257-H5258)</f>
        <v>0.7032278</v>
      </c>
    </row>
    <row r="5259" customFormat="false" ht="16.4" hidden="false" customHeight="false" outlineLevel="0" collapsed="false">
      <c r="A5259" s="13" t="str">
        <f aca="false">""</f>
        <v/>
      </c>
      <c r="B5259" s="13" t="n">
        <f aca="false">131</f>
        <v>131</v>
      </c>
      <c r="C5259" s="13" t="n">
        <f aca="false">IF(Szenarien!$H$25="OK",(IFERROR(SUMIF(Nutzungsprofile!$B$6:$B$11,"Schulbetrieb",Nutzungsprofile!$G$6:$G$11)*Kalender!C135/SUM(Kalender!$C$5:$C$370),0)+IFERROR(SUMIF(Nutzungsprofile!$B$6:$B$11,"Halle",Nutzungsprofile!$G$6:$G$11)*Kalender!D135/SUM(Kalender!$D$5:$D$370),0)+IFERROR(SUMIF(Nutzungsprofile!$B$6:$B$11,"Individuell",Nutzungsprofile!$G$6:$G$11)*Kalender!E135/SUM(Kalender!$E$5:$E$370),0))*Szenarien!$E$25,0)</f>
        <v>2.94</v>
      </c>
      <c r="D5259" s="13" t="n">
        <f aca="false">IF(Szenarien!$H$25="OK",(IFERROR(SUMIF(Nutzungsprofile!$B$17:$B$22,"Schulbetrieb",Nutzungsprofile!$G$17:$G$22)*Kalender!C135/SUM(Kalender!$C$5:$C$370),0)+IFERROR(SUMIF(Nutzungsprofile!$B$17:$B$22,"Halle",Nutzungsprofile!$G$17:$G$22)*Kalender!D135/SUM(Kalender!$D$5:$D$370),0)+IFERROR(SUMIF(Nutzungsprofile!$B$17:$B$22,"Individuell",Nutzungsprofile!$G$17:$G$22)*Kalender!E135/SUM(Kalender!$E$5:$E$370),0))*Szenarien!$D$25,0)</f>
        <v>4.94</v>
      </c>
      <c r="E5259" s="13" t="n">
        <f aca="false">IFERROR(MIN(C5259,Eingaben!$B$17)*Eingaben!$B$16,0)</f>
        <v>2.793</v>
      </c>
      <c r="F5259" s="13" t="n">
        <f aca="false">IFERROR(E5259*Eingaben!$B$15,0)</f>
        <v>2.5137</v>
      </c>
      <c r="G5259" s="13" t="n">
        <f aca="false">IFERROR(IF(Kalender!A135="",0,J5258*(1-Eingaben!$B$20)),0)</f>
        <v>1.709316</v>
      </c>
      <c r="H5259" s="13" t="n">
        <f aca="false">MIN(G5259,D5259)</f>
        <v>1.709316</v>
      </c>
      <c r="I5259" s="13" t="n">
        <f aca="false">IFERROR(MIN(F5259*Eingaben!$B$19,MAX(0,D5259-H5259)),0)</f>
        <v>1.75959</v>
      </c>
      <c r="J5259" s="13" t="n">
        <f aca="false">IFERROR(MIN(Eingaben!$B$18,MAX(0,F5259-I5259)),0)</f>
        <v>0.75411</v>
      </c>
      <c r="K5259" s="13" t="n">
        <f aca="false">H5259+I5259</f>
        <v>3.468906</v>
      </c>
      <c r="L5259" s="13" t="n">
        <f aca="false">MAX(0,D5259-K5259)</f>
        <v>1.471094</v>
      </c>
      <c r="M5259" s="13" t="n">
        <f aca="false">MAX(0,F5259-I5259-J5259)</f>
        <v>0</v>
      </c>
      <c r="N5259" s="13" t="n">
        <f aca="false">IF(Kalender!A135="",0,J5258-H5259)</f>
        <v>0.0348840000000001</v>
      </c>
    </row>
    <row r="5260" customFormat="false" ht="16.4" hidden="false" customHeight="false" outlineLevel="0" collapsed="false">
      <c r="A5260" s="13" t="str">
        <f aca="false">""</f>
        <v/>
      </c>
      <c r="B5260" s="13" t="n">
        <f aca="false">132</f>
        <v>132</v>
      </c>
      <c r="C5260" s="13" t="n">
        <f aca="false">IF(Szenarien!$H$25="OK",(IFERROR(SUMIF(Nutzungsprofile!$B$6:$B$11,"Schulbetrieb",Nutzungsprofile!$G$6:$G$11)*Kalender!C136/SUM(Kalender!$C$5:$C$370),0)+IFERROR(SUMIF(Nutzungsprofile!$B$6:$B$11,"Halle",Nutzungsprofile!$G$6:$G$11)*Kalender!D136/SUM(Kalender!$D$5:$D$370),0)+IFERROR(SUMIF(Nutzungsprofile!$B$6:$B$11,"Individuell",Nutzungsprofile!$G$6:$G$11)*Kalender!E136/SUM(Kalender!$E$5:$E$370),0))*Szenarien!$E$25,0)</f>
        <v>2.94</v>
      </c>
      <c r="D5260" s="13" t="n">
        <f aca="false">IF(Szenarien!$H$25="OK",(IFERROR(SUMIF(Nutzungsprofile!$B$17:$B$22,"Schulbetrieb",Nutzungsprofile!$G$17:$G$22)*Kalender!C136/SUM(Kalender!$C$5:$C$370),0)+IFERROR(SUMIF(Nutzungsprofile!$B$17:$B$22,"Halle",Nutzungsprofile!$G$17:$G$22)*Kalender!D136/SUM(Kalender!$D$5:$D$370),0)+IFERROR(SUMIF(Nutzungsprofile!$B$17:$B$22,"Individuell",Nutzungsprofile!$G$17:$G$22)*Kalender!E136/SUM(Kalender!$E$5:$E$370),0))*Szenarien!$D$25,0)</f>
        <v>4.94</v>
      </c>
      <c r="E5260" s="13" t="n">
        <f aca="false">IFERROR(MIN(C5260,Eingaben!$B$17)*Eingaben!$B$16,0)</f>
        <v>2.793</v>
      </c>
      <c r="F5260" s="13" t="n">
        <f aca="false">IFERROR(E5260*Eingaben!$B$15,0)</f>
        <v>2.5137</v>
      </c>
      <c r="G5260" s="13" t="n">
        <f aca="false">IFERROR(IF(Kalender!A136="",0,J5259*(1-Eingaben!$B$20)),0)</f>
        <v>0.7390278</v>
      </c>
      <c r="H5260" s="13" t="n">
        <f aca="false">MIN(G5260,D5260)</f>
        <v>0.7390278</v>
      </c>
      <c r="I5260" s="13" t="n">
        <f aca="false">IFERROR(MIN(F5260*Eingaben!$B$19,MAX(0,D5260-H5260)),0)</f>
        <v>1.75959</v>
      </c>
      <c r="J5260" s="13" t="n">
        <f aca="false">IFERROR(MIN(Eingaben!$B$18,MAX(0,F5260-I5260)),0)</f>
        <v>0.75411</v>
      </c>
      <c r="K5260" s="13" t="n">
        <f aca="false">H5260+I5260</f>
        <v>2.4986178</v>
      </c>
      <c r="L5260" s="13" t="n">
        <f aca="false">MAX(0,D5260-K5260)</f>
        <v>2.4413822</v>
      </c>
      <c r="M5260" s="13" t="n">
        <f aca="false">MAX(0,F5260-I5260-J5260)</f>
        <v>0</v>
      </c>
      <c r="N5260" s="13" t="n">
        <f aca="false">IF(Kalender!A136="",0,J5259-H5260)</f>
        <v>0.0150822</v>
      </c>
    </row>
    <row r="5261" customFormat="false" ht="16.4" hidden="false" customHeight="false" outlineLevel="0" collapsed="false">
      <c r="A5261" s="13" t="str">
        <f aca="false">""</f>
        <v/>
      </c>
      <c r="B5261" s="13" t="n">
        <f aca="false">133</f>
        <v>133</v>
      </c>
      <c r="C5261" s="13" t="n">
        <f aca="false">IF(Szenarien!$H$25="OK",(IFERROR(SUMIF(Nutzungsprofile!$B$6:$B$11,"Schulbetrieb",Nutzungsprofile!$G$6:$G$11)*Kalender!C137/SUM(Kalender!$C$5:$C$370),0)+IFERROR(SUMIF(Nutzungsprofile!$B$6:$B$11,"Halle",Nutzungsprofile!$G$6:$G$11)*Kalender!D137/SUM(Kalender!$D$5:$D$370),0)+IFERROR(SUMIF(Nutzungsprofile!$B$6:$B$11,"Individuell",Nutzungsprofile!$G$6:$G$11)*Kalender!E137/SUM(Kalender!$E$5:$E$370),0))*Szenarien!$E$25,0)</f>
        <v>2.94</v>
      </c>
      <c r="D5261" s="13" t="n">
        <f aca="false">IF(Szenarien!$H$25="OK",(IFERROR(SUMIF(Nutzungsprofile!$B$17:$B$22,"Schulbetrieb",Nutzungsprofile!$G$17:$G$22)*Kalender!C137/SUM(Kalender!$C$5:$C$370),0)+IFERROR(SUMIF(Nutzungsprofile!$B$17:$B$22,"Halle",Nutzungsprofile!$G$17:$G$22)*Kalender!D137/SUM(Kalender!$D$5:$D$370),0)+IFERROR(SUMIF(Nutzungsprofile!$B$17:$B$22,"Individuell",Nutzungsprofile!$G$17:$G$22)*Kalender!E137/SUM(Kalender!$E$5:$E$370),0))*Szenarien!$D$25,0)</f>
        <v>4.94</v>
      </c>
      <c r="E5261" s="13" t="n">
        <f aca="false">IFERROR(MIN(C5261,Eingaben!$B$17)*Eingaben!$B$16,0)</f>
        <v>2.793</v>
      </c>
      <c r="F5261" s="13" t="n">
        <f aca="false">IFERROR(E5261*Eingaben!$B$15,0)</f>
        <v>2.5137</v>
      </c>
      <c r="G5261" s="13" t="n">
        <f aca="false">IFERROR(IF(Kalender!A137="",0,J5260*(1-Eingaben!$B$20)),0)</f>
        <v>0.7390278</v>
      </c>
      <c r="H5261" s="13" t="n">
        <f aca="false">MIN(G5261,D5261)</f>
        <v>0.7390278</v>
      </c>
      <c r="I5261" s="13" t="n">
        <f aca="false">IFERROR(MIN(F5261*Eingaben!$B$19,MAX(0,D5261-H5261)),0)</f>
        <v>1.75959</v>
      </c>
      <c r="J5261" s="13" t="n">
        <f aca="false">IFERROR(MIN(Eingaben!$B$18,MAX(0,F5261-I5261)),0)</f>
        <v>0.75411</v>
      </c>
      <c r="K5261" s="13" t="n">
        <f aca="false">H5261+I5261</f>
        <v>2.4986178</v>
      </c>
      <c r="L5261" s="13" t="n">
        <f aca="false">MAX(0,D5261-K5261)</f>
        <v>2.4413822</v>
      </c>
      <c r="M5261" s="13" t="n">
        <f aca="false">MAX(0,F5261-I5261-J5261)</f>
        <v>0</v>
      </c>
      <c r="N5261" s="13" t="n">
        <f aca="false">IF(Kalender!A137="",0,J5260-H5261)</f>
        <v>0.0150822</v>
      </c>
    </row>
    <row r="5262" customFormat="false" ht="16.4" hidden="false" customHeight="false" outlineLevel="0" collapsed="false">
      <c r="A5262" s="13" t="str">
        <f aca="false">""</f>
        <v/>
      </c>
      <c r="B5262" s="13" t="n">
        <f aca="false">134</f>
        <v>134</v>
      </c>
      <c r="C5262" s="13" t="n">
        <f aca="false">IF(Szenarien!$H$25="OK",(IFERROR(SUMIF(Nutzungsprofile!$B$6:$B$11,"Schulbetrieb",Nutzungsprofile!$G$6:$G$11)*Kalender!C138/SUM(Kalender!$C$5:$C$370),0)+IFERROR(SUMIF(Nutzungsprofile!$B$6:$B$11,"Halle",Nutzungsprofile!$G$6:$G$11)*Kalender!D138/SUM(Kalender!$D$5:$D$370),0)+IFERROR(SUMIF(Nutzungsprofile!$B$6:$B$11,"Individuell",Nutzungsprofile!$G$6:$G$11)*Kalender!E138/SUM(Kalender!$E$5:$E$370),0))*Szenarien!$E$25,0)</f>
        <v>2.94</v>
      </c>
      <c r="D5262" s="13" t="n">
        <f aca="false">IF(Szenarien!$H$25="OK",(IFERROR(SUMIF(Nutzungsprofile!$B$17:$B$22,"Schulbetrieb",Nutzungsprofile!$G$17:$G$22)*Kalender!C138/SUM(Kalender!$C$5:$C$370),0)+IFERROR(SUMIF(Nutzungsprofile!$B$17:$B$22,"Halle",Nutzungsprofile!$G$17:$G$22)*Kalender!D138/SUM(Kalender!$D$5:$D$370),0)+IFERROR(SUMIF(Nutzungsprofile!$B$17:$B$22,"Individuell",Nutzungsprofile!$G$17:$G$22)*Kalender!E138/SUM(Kalender!$E$5:$E$370),0))*Szenarien!$D$25,0)</f>
        <v>4.94</v>
      </c>
      <c r="E5262" s="13" t="n">
        <f aca="false">IFERROR(MIN(C5262,Eingaben!$B$17)*Eingaben!$B$16,0)</f>
        <v>2.793</v>
      </c>
      <c r="F5262" s="13" t="n">
        <f aca="false">IFERROR(E5262*Eingaben!$B$15,0)</f>
        <v>2.5137</v>
      </c>
      <c r="G5262" s="13" t="n">
        <f aca="false">IFERROR(IF(Kalender!A138="",0,J5261*(1-Eingaben!$B$20)),0)</f>
        <v>0.7390278</v>
      </c>
      <c r="H5262" s="13" t="n">
        <f aca="false">MIN(G5262,D5262)</f>
        <v>0.7390278</v>
      </c>
      <c r="I5262" s="13" t="n">
        <f aca="false">IFERROR(MIN(F5262*Eingaben!$B$19,MAX(0,D5262-H5262)),0)</f>
        <v>1.75959</v>
      </c>
      <c r="J5262" s="13" t="n">
        <f aca="false">IFERROR(MIN(Eingaben!$B$18,MAX(0,F5262-I5262)),0)</f>
        <v>0.75411</v>
      </c>
      <c r="K5262" s="13" t="n">
        <f aca="false">H5262+I5262</f>
        <v>2.4986178</v>
      </c>
      <c r="L5262" s="13" t="n">
        <f aca="false">MAX(0,D5262-K5262)</f>
        <v>2.4413822</v>
      </c>
      <c r="M5262" s="13" t="n">
        <f aca="false">MAX(0,F5262-I5262-J5262)</f>
        <v>0</v>
      </c>
      <c r="N5262" s="13" t="n">
        <f aca="false">IF(Kalender!A138="",0,J5261-H5262)</f>
        <v>0.0150822</v>
      </c>
    </row>
    <row r="5263" customFormat="false" ht="16.4" hidden="false" customHeight="false" outlineLevel="0" collapsed="false">
      <c r="A5263" s="13" t="str">
        <f aca="false">""</f>
        <v/>
      </c>
      <c r="B5263" s="13" t="n">
        <f aca="false">135</f>
        <v>135</v>
      </c>
      <c r="C5263" s="13" t="n">
        <f aca="false">IF(Szenarien!$H$25="OK",(IFERROR(SUMIF(Nutzungsprofile!$B$6:$B$11,"Schulbetrieb",Nutzungsprofile!$G$6:$G$11)*Kalender!C139/SUM(Kalender!$C$5:$C$370),0)+IFERROR(SUMIF(Nutzungsprofile!$B$6:$B$11,"Halle",Nutzungsprofile!$G$6:$G$11)*Kalender!D139/SUM(Kalender!$D$5:$D$370),0)+IFERROR(SUMIF(Nutzungsprofile!$B$6:$B$11,"Individuell",Nutzungsprofile!$G$6:$G$11)*Kalender!E139/SUM(Kalender!$E$5:$E$370),0))*Szenarien!$E$25,0)</f>
        <v>2.94</v>
      </c>
      <c r="D5263" s="13" t="n">
        <f aca="false">IF(Szenarien!$H$25="OK",(IFERROR(SUMIF(Nutzungsprofile!$B$17:$B$22,"Schulbetrieb",Nutzungsprofile!$G$17:$G$22)*Kalender!C139/SUM(Kalender!$C$5:$C$370),0)+IFERROR(SUMIF(Nutzungsprofile!$B$17:$B$22,"Halle",Nutzungsprofile!$G$17:$G$22)*Kalender!D139/SUM(Kalender!$D$5:$D$370),0)+IFERROR(SUMIF(Nutzungsprofile!$B$17:$B$22,"Individuell",Nutzungsprofile!$G$17:$G$22)*Kalender!E139/SUM(Kalender!$E$5:$E$370),0))*Szenarien!$D$25,0)</f>
        <v>4.94</v>
      </c>
      <c r="E5263" s="13" t="n">
        <f aca="false">IFERROR(MIN(C5263,Eingaben!$B$17)*Eingaben!$B$16,0)</f>
        <v>2.793</v>
      </c>
      <c r="F5263" s="13" t="n">
        <f aca="false">IFERROR(E5263*Eingaben!$B$15,0)</f>
        <v>2.5137</v>
      </c>
      <c r="G5263" s="13" t="n">
        <f aca="false">IFERROR(IF(Kalender!A139="",0,J5262*(1-Eingaben!$B$20)),0)</f>
        <v>0.7390278</v>
      </c>
      <c r="H5263" s="13" t="n">
        <f aca="false">MIN(G5263,D5263)</f>
        <v>0.7390278</v>
      </c>
      <c r="I5263" s="13" t="n">
        <f aca="false">IFERROR(MIN(F5263*Eingaben!$B$19,MAX(0,D5263-H5263)),0)</f>
        <v>1.75959</v>
      </c>
      <c r="J5263" s="13" t="n">
        <f aca="false">IFERROR(MIN(Eingaben!$B$18,MAX(0,F5263-I5263)),0)</f>
        <v>0.75411</v>
      </c>
      <c r="K5263" s="13" t="n">
        <f aca="false">H5263+I5263</f>
        <v>2.4986178</v>
      </c>
      <c r="L5263" s="13" t="n">
        <f aca="false">MAX(0,D5263-K5263)</f>
        <v>2.4413822</v>
      </c>
      <c r="M5263" s="13" t="n">
        <f aca="false">MAX(0,F5263-I5263-J5263)</f>
        <v>0</v>
      </c>
      <c r="N5263" s="13" t="n">
        <f aca="false">IF(Kalender!A139="",0,J5262-H5263)</f>
        <v>0.0150822</v>
      </c>
    </row>
    <row r="5264" customFormat="false" ht="16.4" hidden="false" customHeight="false" outlineLevel="0" collapsed="false">
      <c r="A5264" s="13" t="str">
        <f aca="false">""</f>
        <v/>
      </c>
      <c r="B5264" s="13" t="n">
        <f aca="false">136</f>
        <v>136</v>
      </c>
      <c r="C5264" s="13" t="n">
        <f aca="false">IF(Szenarien!$H$25="OK",(IFERROR(SUMIF(Nutzungsprofile!$B$6:$B$11,"Schulbetrieb",Nutzungsprofile!$G$6:$G$11)*Kalender!C140/SUM(Kalender!$C$5:$C$370),0)+IFERROR(SUMIF(Nutzungsprofile!$B$6:$B$11,"Halle",Nutzungsprofile!$G$6:$G$11)*Kalender!D140/SUM(Kalender!$D$5:$D$370),0)+IFERROR(SUMIF(Nutzungsprofile!$B$6:$B$11,"Individuell",Nutzungsprofile!$G$6:$G$11)*Kalender!E140/SUM(Kalender!$E$5:$E$370),0))*Szenarien!$E$25,0)</f>
        <v>2.04</v>
      </c>
      <c r="D5264" s="13" t="n">
        <f aca="false">IF(Szenarien!$H$25="OK",(IFERROR(SUMIF(Nutzungsprofile!$B$17:$B$22,"Schulbetrieb",Nutzungsprofile!$G$17:$G$22)*Kalender!C140/SUM(Kalender!$C$5:$C$370),0)+IFERROR(SUMIF(Nutzungsprofile!$B$17:$B$22,"Halle",Nutzungsprofile!$G$17:$G$22)*Kalender!D140/SUM(Kalender!$D$5:$D$370),0)+IFERROR(SUMIF(Nutzungsprofile!$B$17:$B$22,"Individuell",Nutzungsprofile!$G$17:$G$22)*Kalender!E140/SUM(Kalender!$E$5:$E$370),0))*Szenarien!$D$25,0)</f>
        <v>0.89</v>
      </c>
      <c r="E5264" s="13" t="n">
        <f aca="false">IFERROR(MIN(C5264,Eingaben!$B$17)*Eingaben!$B$16,0)</f>
        <v>1.938</v>
      </c>
      <c r="F5264" s="13" t="n">
        <f aca="false">IFERROR(E5264*Eingaben!$B$15,0)</f>
        <v>1.7442</v>
      </c>
      <c r="G5264" s="13" t="n">
        <f aca="false">IFERROR(IF(Kalender!A140="",0,J5263*(1-Eingaben!$B$20)),0)</f>
        <v>0.7390278</v>
      </c>
      <c r="H5264" s="13" t="n">
        <f aca="false">MIN(G5264,D5264)</f>
        <v>0.7390278</v>
      </c>
      <c r="I5264" s="13" t="n">
        <f aca="false">IFERROR(MIN(F5264*Eingaben!$B$19,MAX(0,D5264-H5264)),0)</f>
        <v>0.1509722</v>
      </c>
      <c r="J5264" s="13" t="n">
        <f aca="false">IFERROR(MIN(Eingaben!$B$18,MAX(0,F5264-I5264)),0)</f>
        <v>1.5932278</v>
      </c>
      <c r="K5264" s="13" t="n">
        <f aca="false">H5264+I5264</f>
        <v>0.89</v>
      </c>
      <c r="L5264" s="13" t="n">
        <f aca="false">MAX(0,D5264-K5264)</f>
        <v>0</v>
      </c>
      <c r="M5264" s="13" t="n">
        <f aca="false">MAX(0,F5264-I5264-J5264)</f>
        <v>0</v>
      </c>
      <c r="N5264" s="13" t="n">
        <f aca="false">IF(Kalender!A140="",0,J5263-H5264)</f>
        <v>0.0150822</v>
      </c>
    </row>
    <row r="5265" customFormat="false" ht="16.4" hidden="false" customHeight="false" outlineLevel="0" collapsed="false">
      <c r="A5265" s="13" t="str">
        <f aca="false">""</f>
        <v/>
      </c>
      <c r="B5265" s="13" t="n">
        <f aca="false">137</f>
        <v>137</v>
      </c>
      <c r="C5265" s="13" t="n">
        <f aca="false">IF(Szenarien!$H$25="OK",(IFERROR(SUMIF(Nutzungsprofile!$B$6:$B$11,"Schulbetrieb",Nutzungsprofile!$G$6:$G$11)*Kalender!C141/SUM(Kalender!$C$5:$C$370),0)+IFERROR(SUMIF(Nutzungsprofile!$B$6:$B$11,"Halle",Nutzungsprofile!$G$6:$G$11)*Kalender!D141/SUM(Kalender!$D$5:$D$370),0)+IFERROR(SUMIF(Nutzungsprofile!$B$6:$B$11,"Individuell",Nutzungsprofile!$G$6:$G$11)*Kalender!E141/SUM(Kalender!$E$5:$E$370),0))*Szenarien!$E$25,0)</f>
        <v>2.04</v>
      </c>
      <c r="D5265" s="13" t="n">
        <f aca="false">IF(Szenarien!$H$25="OK",(IFERROR(SUMIF(Nutzungsprofile!$B$17:$B$22,"Schulbetrieb",Nutzungsprofile!$G$17:$G$22)*Kalender!C141/SUM(Kalender!$C$5:$C$370),0)+IFERROR(SUMIF(Nutzungsprofile!$B$17:$B$22,"Halle",Nutzungsprofile!$G$17:$G$22)*Kalender!D141/SUM(Kalender!$D$5:$D$370),0)+IFERROR(SUMIF(Nutzungsprofile!$B$17:$B$22,"Individuell",Nutzungsprofile!$G$17:$G$22)*Kalender!E141/SUM(Kalender!$E$5:$E$370),0))*Szenarien!$D$25,0)</f>
        <v>0.89</v>
      </c>
      <c r="E5265" s="13" t="n">
        <f aca="false">IFERROR(MIN(C5265,Eingaben!$B$17)*Eingaben!$B$16,0)</f>
        <v>1.938</v>
      </c>
      <c r="F5265" s="13" t="n">
        <f aca="false">IFERROR(E5265*Eingaben!$B$15,0)</f>
        <v>1.7442</v>
      </c>
      <c r="G5265" s="13" t="n">
        <f aca="false">IFERROR(IF(Kalender!A141="",0,J5264*(1-Eingaben!$B$20)),0)</f>
        <v>1.561363244</v>
      </c>
      <c r="H5265" s="13" t="n">
        <f aca="false">MIN(G5265,D5265)</f>
        <v>0.89</v>
      </c>
      <c r="I5265" s="13" t="n">
        <f aca="false">IFERROR(MIN(F5265*Eingaben!$B$19,MAX(0,D5265-H5265)),0)</f>
        <v>0</v>
      </c>
      <c r="J5265" s="13" t="n">
        <f aca="false">IFERROR(MIN(Eingaben!$B$18,MAX(0,F5265-I5265)),0)</f>
        <v>1.7442</v>
      </c>
      <c r="K5265" s="13" t="n">
        <f aca="false">H5265+I5265</f>
        <v>0.89</v>
      </c>
      <c r="L5265" s="13" t="n">
        <f aca="false">MAX(0,D5265-K5265)</f>
        <v>0</v>
      </c>
      <c r="M5265" s="13" t="n">
        <f aca="false">MAX(0,F5265-I5265-J5265)</f>
        <v>0</v>
      </c>
      <c r="N5265" s="13" t="n">
        <f aca="false">IF(Kalender!A141="",0,J5264-H5265)</f>
        <v>0.7032278</v>
      </c>
    </row>
    <row r="5266" customFormat="false" ht="16.4" hidden="false" customHeight="false" outlineLevel="0" collapsed="false">
      <c r="A5266" s="13" t="str">
        <f aca="false">""</f>
        <v/>
      </c>
      <c r="B5266" s="13" t="n">
        <f aca="false">138</f>
        <v>138</v>
      </c>
      <c r="C5266" s="13" t="n">
        <f aca="false">IF(Szenarien!$H$25="OK",(IFERROR(SUMIF(Nutzungsprofile!$B$6:$B$11,"Schulbetrieb",Nutzungsprofile!$G$6:$G$11)*Kalender!C142/SUM(Kalender!$C$5:$C$370),0)+IFERROR(SUMIF(Nutzungsprofile!$B$6:$B$11,"Halle",Nutzungsprofile!$G$6:$G$11)*Kalender!D142/SUM(Kalender!$D$5:$D$370),0)+IFERROR(SUMIF(Nutzungsprofile!$B$6:$B$11,"Individuell",Nutzungsprofile!$G$6:$G$11)*Kalender!E142/SUM(Kalender!$E$5:$E$370),0))*Szenarien!$E$25,0)</f>
        <v>2.94</v>
      </c>
      <c r="D5266" s="13" t="n">
        <f aca="false">IF(Szenarien!$H$25="OK",(IFERROR(SUMIF(Nutzungsprofile!$B$17:$B$22,"Schulbetrieb",Nutzungsprofile!$G$17:$G$22)*Kalender!C142/SUM(Kalender!$C$5:$C$370),0)+IFERROR(SUMIF(Nutzungsprofile!$B$17:$B$22,"Halle",Nutzungsprofile!$G$17:$G$22)*Kalender!D142/SUM(Kalender!$D$5:$D$370),0)+IFERROR(SUMIF(Nutzungsprofile!$B$17:$B$22,"Individuell",Nutzungsprofile!$G$17:$G$22)*Kalender!E142/SUM(Kalender!$E$5:$E$370),0))*Szenarien!$D$25,0)</f>
        <v>4.94</v>
      </c>
      <c r="E5266" s="13" t="n">
        <f aca="false">IFERROR(MIN(C5266,Eingaben!$B$17)*Eingaben!$B$16,0)</f>
        <v>2.793</v>
      </c>
      <c r="F5266" s="13" t="n">
        <f aca="false">IFERROR(E5266*Eingaben!$B$15,0)</f>
        <v>2.5137</v>
      </c>
      <c r="G5266" s="13" t="n">
        <f aca="false">IFERROR(IF(Kalender!A142="",0,J5265*(1-Eingaben!$B$20)),0)</f>
        <v>1.709316</v>
      </c>
      <c r="H5266" s="13" t="n">
        <f aca="false">MIN(G5266,D5266)</f>
        <v>1.709316</v>
      </c>
      <c r="I5266" s="13" t="n">
        <f aca="false">IFERROR(MIN(F5266*Eingaben!$B$19,MAX(0,D5266-H5266)),0)</f>
        <v>1.75959</v>
      </c>
      <c r="J5266" s="13" t="n">
        <f aca="false">IFERROR(MIN(Eingaben!$B$18,MAX(0,F5266-I5266)),0)</f>
        <v>0.75411</v>
      </c>
      <c r="K5266" s="13" t="n">
        <f aca="false">H5266+I5266</f>
        <v>3.468906</v>
      </c>
      <c r="L5266" s="13" t="n">
        <f aca="false">MAX(0,D5266-K5266)</f>
        <v>1.471094</v>
      </c>
      <c r="M5266" s="13" t="n">
        <f aca="false">MAX(0,F5266-I5266-J5266)</f>
        <v>0</v>
      </c>
      <c r="N5266" s="13" t="n">
        <f aca="false">IF(Kalender!A142="",0,J5265-H5266)</f>
        <v>0.0348840000000001</v>
      </c>
    </row>
    <row r="5267" customFormat="false" ht="16.4" hidden="false" customHeight="false" outlineLevel="0" collapsed="false">
      <c r="A5267" s="13" t="str">
        <f aca="false">""</f>
        <v/>
      </c>
      <c r="B5267" s="13" t="n">
        <f aca="false">139</f>
        <v>139</v>
      </c>
      <c r="C5267" s="13" t="n">
        <f aca="false">IF(Szenarien!$H$25="OK",(IFERROR(SUMIF(Nutzungsprofile!$B$6:$B$11,"Schulbetrieb",Nutzungsprofile!$G$6:$G$11)*Kalender!C143/SUM(Kalender!$C$5:$C$370),0)+IFERROR(SUMIF(Nutzungsprofile!$B$6:$B$11,"Halle",Nutzungsprofile!$G$6:$G$11)*Kalender!D143/SUM(Kalender!$D$5:$D$370),0)+IFERROR(SUMIF(Nutzungsprofile!$B$6:$B$11,"Individuell",Nutzungsprofile!$G$6:$G$11)*Kalender!E143/SUM(Kalender!$E$5:$E$370),0))*Szenarien!$E$25,0)</f>
        <v>2.94</v>
      </c>
      <c r="D5267" s="13" t="n">
        <f aca="false">IF(Szenarien!$H$25="OK",(IFERROR(SUMIF(Nutzungsprofile!$B$17:$B$22,"Schulbetrieb",Nutzungsprofile!$G$17:$G$22)*Kalender!C143/SUM(Kalender!$C$5:$C$370),0)+IFERROR(SUMIF(Nutzungsprofile!$B$17:$B$22,"Halle",Nutzungsprofile!$G$17:$G$22)*Kalender!D143/SUM(Kalender!$D$5:$D$370),0)+IFERROR(SUMIF(Nutzungsprofile!$B$17:$B$22,"Individuell",Nutzungsprofile!$G$17:$G$22)*Kalender!E143/SUM(Kalender!$E$5:$E$370),0))*Szenarien!$D$25,0)</f>
        <v>4.94</v>
      </c>
      <c r="E5267" s="13" t="n">
        <f aca="false">IFERROR(MIN(C5267,Eingaben!$B$17)*Eingaben!$B$16,0)</f>
        <v>2.793</v>
      </c>
      <c r="F5267" s="13" t="n">
        <f aca="false">IFERROR(E5267*Eingaben!$B$15,0)</f>
        <v>2.5137</v>
      </c>
      <c r="G5267" s="13" t="n">
        <f aca="false">IFERROR(IF(Kalender!A143="",0,J5266*(1-Eingaben!$B$20)),0)</f>
        <v>0.7390278</v>
      </c>
      <c r="H5267" s="13" t="n">
        <f aca="false">MIN(G5267,D5267)</f>
        <v>0.7390278</v>
      </c>
      <c r="I5267" s="13" t="n">
        <f aca="false">IFERROR(MIN(F5267*Eingaben!$B$19,MAX(0,D5267-H5267)),0)</f>
        <v>1.75959</v>
      </c>
      <c r="J5267" s="13" t="n">
        <f aca="false">IFERROR(MIN(Eingaben!$B$18,MAX(0,F5267-I5267)),0)</f>
        <v>0.75411</v>
      </c>
      <c r="K5267" s="13" t="n">
        <f aca="false">H5267+I5267</f>
        <v>2.4986178</v>
      </c>
      <c r="L5267" s="13" t="n">
        <f aca="false">MAX(0,D5267-K5267)</f>
        <v>2.4413822</v>
      </c>
      <c r="M5267" s="13" t="n">
        <f aca="false">MAX(0,F5267-I5267-J5267)</f>
        <v>0</v>
      </c>
      <c r="N5267" s="13" t="n">
        <f aca="false">IF(Kalender!A143="",0,J5266-H5267)</f>
        <v>0.0150822</v>
      </c>
    </row>
    <row r="5268" customFormat="false" ht="16.4" hidden="false" customHeight="false" outlineLevel="0" collapsed="false">
      <c r="A5268" s="13" t="str">
        <f aca="false">""</f>
        <v/>
      </c>
      <c r="B5268" s="13" t="n">
        <f aca="false">140</f>
        <v>140</v>
      </c>
      <c r="C5268" s="13" t="n">
        <f aca="false">IF(Szenarien!$H$25="OK",(IFERROR(SUMIF(Nutzungsprofile!$B$6:$B$11,"Schulbetrieb",Nutzungsprofile!$G$6:$G$11)*Kalender!C144/SUM(Kalender!$C$5:$C$370),0)+IFERROR(SUMIF(Nutzungsprofile!$B$6:$B$11,"Halle",Nutzungsprofile!$G$6:$G$11)*Kalender!D144/SUM(Kalender!$D$5:$D$370),0)+IFERROR(SUMIF(Nutzungsprofile!$B$6:$B$11,"Individuell",Nutzungsprofile!$G$6:$G$11)*Kalender!E144/SUM(Kalender!$E$5:$E$370),0))*Szenarien!$E$25,0)</f>
        <v>2.94</v>
      </c>
      <c r="D5268" s="13" t="n">
        <f aca="false">IF(Szenarien!$H$25="OK",(IFERROR(SUMIF(Nutzungsprofile!$B$17:$B$22,"Schulbetrieb",Nutzungsprofile!$G$17:$G$22)*Kalender!C144/SUM(Kalender!$C$5:$C$370),0)+IFERROR(SUMIF(Nutzungsprofile!$B$17:$B$22,"Halle",Nutzungsprofile!$G$17:$G$22)*Kalender!D144/SUM(Kalender!$D$5:$D$370),0)+IFERROR(SUMIF(Nutzungsprofile!$B$17:$B$22,"Individuell",Nutzungsprofile!$G$17:$G$22)*Kalender!E144/SUM(Kalender!$E$5:$E$370),0))*Szenarien!$D$25,0)</f>
        <v>4.94</v>
      </c>
      <c r="E5268" s="13" t="n">
        <f aca="false">IFERROR(MIN(C5268,Eingaben!$B$17)*Eingaben!$B$16,0)</f>
        <v>2.793</v>
      </c>
      <c r="F5268" s="13" t="n">
        <f aca="false">IFERROR(E5268*Eingaben!$B$15,0)</f>
        <v>2.5137</v>
      </c>
      <c r="G5268" s="13" t="n">
        <f aca="false">IFERROR(IF(Kalender!A144="",0,J5267*(1-Eingaben!$B$20)),0)</f>
        <v>0.7390278</v>
      </c>
      <c r="H5268" s="13" t="n">
        <f aca="false">MIN(G5268,D5268)</f>
        <v>0.7390278</v>
      </c>
      <c r="I5268" s="13" t="n">
        <f aca="false">IFERROR(MIN(F5268*Eingaben!$B$19,MAX(0,D5268-H5268)),0)</f>
        <v>1.75959</v>
      </c>
      <c r="J5268" s="13" t="n">
        <f aca="false">IFERROR(MIN(Eingaben!$B$18,MAX(0,F5268-I5268)),0)</f>
        <v>0.75411</v>
      </c>
      <c r="K5268" s="13" t="n">
        <f aca="false">H5268+I5268</f>
        <v>2.4986178</v>
      </c>
      <c r="L5268" s="13" t="n">
        <f aca="false">MAX(0,D5268-K5268)</f>
        <v>2.4413822</v>
      </c>
      <c r="M5268" s="13" t="n">
        <f aca="false">MAX(0,F5268-I5268-J5268)</f>
        <v>0</v>
      </c>
      <c r="N5268" s="13" t="n">
        <f aca="false">IF(Kalender!A144="",0,J5267-H5268)</f>
        <v>0.0150822</v>
      </c>
    </row>
    <row r="5269" customFormat="false" ht="16.4" hidden="false" customHeight="false" outlineLevel="0" collapsed="false">
      <c r="A5269" s="13" t="str">
        <f aca="false">""</f>
        <v/>
      </c>
      <c r="B5269" s="13" t="n">
        <f aca="false">141</f>
        <v>141</v>
      </c>
      <c r="C5269" s="13" t="n">
        <f aca="false">IF(Szenarien!$H$25="OK",(IFERROR(SUMIF(Nutzungsprofile!$B$6:$B$11,"Schulbetrieb",Nutzungsprofile!$G$6:$G$11)*Kalender!C145/SUM(Kalender!$C$5:$C$370),0)+IFERROR(SUMIF(Nutzungsprofile!$B$6:$B$11,"Halle",Nutzungsprofile!$G$6:$G$11)*Kalender!D145/SUM(Kalender!$D$5:$D$370),0)+IFERROR(SUMIF(Nutzungsprofile!$B$6:$B$11,"Individuell",Nutzungsprofile!$G$6:$G$11)*Kalender!E145/SUM(Kalender!$E$5:$E$370),0))*Szenarien!$E$25,0)</f>
        <v>2.94</v>
      </c>
      <c r="D5269" s="13" t="n">
        <f aca="false">IF(Szenarien!$H$25="OK",(IFERROR(SUMIF(Nutzungsprofile!$B$17:$B$22,"Schulbetrieb",Nutzungsprofile!$G$17:$G$22)*Kalender!C145/SUM(Kalender!$C$5:$C$370),0)+IFERROR(SUMIF(Nutzungsprofile!$B$17:$B$22,"Halle",Nutzungsprofile!$G$17:$G$22)*Kalender!D145/SUM(Kalender!$D$5:$D$370),0)+IFERROR(SUMIF(Nutzungsprofile!$B$17:$B$22,"Individuell",Nutzungsprofile!$G$17:$G$22)*Kalender!E145/SUM(Kalender!$E$5:$E$370),0))*Szenarien!$D$25,0)</f>
        <v>4.94</v>
      </c>
      <c r="E5269" s="13" t="n">
        <f aca="false">IFERROR(MIN(C5269,Eingaben!$B$17)*Eingaben!$B$16,0)</f>
        <v>2.793</v>
      </c>
      <c r="F5269" s="13" t="n">
        <f aca="false">IFERROR(E5269*Eingaben!$B$15,0)</f>
        <v>2.5137</v>
      </c>
      <c r="G5269" s="13" t="n">
        <f aca="false">IFERROR(IF(Kalender!A145="",0,J5268*(1-Eingaben!$B$20)),0)</f>
        <v>0.7390278</v>
      </c>
      <c r="H5269" s="13" t="n">
        <f aca="false">MIN(G5269,D5269)</f>
        <v>0.7390278</v>
      </c>
      <c r="I5269" s="13" t="n">
        <f aca="false">IFERROR(MIN(F5269*Eingaben!$B$19,MAX(0,D5269-H5269)),0)</f>
        <v>1.75959</v>
      </c>
      <c r="J5269" s="13" t="n">
        <f aca="false">IFERROR(MIN(Eingaben!$B$18,MAX(0,F5269-I5269)),0)</f>
        <v>0.75411</v>
      </c>
      <c r="K5269" s="13" t="n">
        <f aca="false">H5269+I5269</f>
        <v>2.4986178</v>
      </c>
      <c r="L5269" s="13" t="n">
        <f aca="false">MAX(0,D5269-K5269)</f>
        <v>2.4413822</v>
      </c>
      <c r="M5269" s="13" t="n">
        <f aca="false">MAX(0,F5269-I5269-J5269)</f>
        <v>0</v>
      </c>
      <c r="N5269" s="13" t="n">
        <f aca="false">IF(Kalender!A145="",0,J5268-H5269)</f>
        <v>0.0150822</v>
      </c>
    </row>
    <row r="5270" customFormat="false" ht="16.4" hidden="false" customHeight="false" outlineLevel="0" collapsed="false">
      <c r="A5270" s="13" t="str">
        <f aca="false">""</f>
        <v/>
      </c>
      <c r="B5270" s="13" t="n">
        <f aca="false">142</f>
        <v>142</v>
      </c>
      <c r="C5270" s="13" t="n">
        <f aca="false">IF(Szenarien!$H$25="OK",(IFERROR(SUMIF(Nutzungsprofile!$B$6:$B$11,"Schulbetrieb",Nutzungsprofile!$G$6:$G$11)*Kalender!C146/SUM(Kalender!$C$5:$C$370),0)+IFERROR(SUMIF(Nutzungsprofile!$B$6:$B$11,"Halle",Nutzungsprofile!$G$6:$G$11)*Kalender!D146/SUM(Kalender!$D$5:$D$370),0)+IFERROR(SUMIF(Nutzungsprofile!$B$6:$B$11,"Individuell",Nutzungsprofile!$G$6:$G$11)*Kalender!E146/SUM(Kalender!$E$5:$E$370),0))*Szenarien!$E$25,0)</f>
        <v>2.94</v>
      </c>
      <c r="D5270" s="13" t="n">
        <f aca="false">IF(Szenarien!$H$25="OK",(IFERROR(SUMIF(Nutzungsprofile!$B$17:$B$22,"Schulbetrieb",Nutzungsprofile!$G$17:$G$22)*Kalender!C146/SUM(Kalender!$C$5:$C$370),0)+IFERROR(SUMIF(Nutzungsprofile!$B$17:$B$22,"Halle",Nutzungsprofile!$G$17:$G$22)*Kalender!D146/SUM(Kalender!$D$5:$D$370),0)+IFERROR(SUMIF(Nutzungsprofile!$B$17:$B$22,"Individuell",Nutzungsprofile!$G$17:$G$22)*Kalender!E146/SUM(Kalender!$E$5:$E$370),0))*Szenarien!$D$25,0)</f>
        <v>4.94</v>
      </c>
      <c r="E5270" s="13" t="n">
        <f aca="false">IFERROR(MIN(C5270,Eingaben!$B$17)*Eingaben!$B$16,0)</f>
        <v>2.793</v>
      </c>
      <c r="F5270" s="13" t="n">
        <f aca="false">IFERROR(E5270*Eingaben!$B$15,0)</f>
        <v>2.5137</v>
      </c>
      <c r="G5270" s="13" t="n">
        <f aca="false">IFERROR(IF(Kalender!A146="",0,J5269*(1-Eingaben!$B$20)),0)</f>
        <v>0.7390278</v>
      </c>
      <c r="H5270" s="13" t="n">
        <f aca="false">MIN(G5270,D5270)</f>
        <v>0.7390278</v>
      </c>
      <c r="I5270" s="13" t="n">
        <f aca="false">IFERROR(MIN(F5270*Eingaben!$B$19,MAX(0,D5270-H5270)),0)</f>
        <v>1.75959</v>
      </c>
      <c r="J5270" s="13" t="n">
        <f aca="false">IFERROR(MIN(Eingaben!$B$18,MAX(0,F5270-I5270)),0)</f>
        <v>0.75411</v>
      </c>
      <c r="K5270" s="13" t="n">
        <f aca="false">H5270+I5270</f>
        <v>2.4986178</v>
      </c>
      <c r="L5270" s="13" t="n">
        <f aca="false">MAX(0,D5270-K5270)</f>
        <v>2.4413822</v>
      </c>
      <c r="M5270" s="13" t="n">
        <f aca="false">MAX(0,F5270-I5270-J5270)</f>
        <v>0</v>
      </c>
      <c r="N5270" s="13" t="n">
        <f aca="false">IF(Kalender!A146="",0,J5269-H5270)</f>
        <v>0.0150822</v>
      </c>
    </row>
    <row r="5271" customFormat="false" ht="16.4" hidden="false" customHeight="false" outlineLevel="0" collapsed="false">
      <c r="A5271" s="13" t="str">
        <f aca="false">""</f>
        <v/>
      </c>
      <c r="B5271" s="13" t="n">
        <f aca="false">143</f>
        <v>143</v>
      </c>
      <c r="C5271" s="13" t="n">
        <f aca="false">IF(Szenarien!$H$25="OK",(IFERROR(SUMIF(Nutzungsprofile!$B$6:$B$11,"Schulbetrieb",Nutzungsprofile!$G$6:$G$11)*Kalender!C147/SUM(Kalender!$C$5:$C$370),0)+IFERROR(SUMIF(Nutzungsprofile!$B$6:$B$11,"Halle",Nutzungsprofile!$G$6:$G$11)*Kalender!D147/SUM(Kalender!$D$5:$D$370),0)+IFERROR(SUMIF(Nutzungsprofile!$B$6:$B$11,"Individuell",Nutzungsprofile!$G$6:$G$11)*Kalender!E147/SUM(Kalender!$E$5:$E$370),0))*Szenarien!$E$25,0)</f>
        <v>2.04</v>
      </c>
      <c r="D5271" s="13" t="n">
        <f aca="false">IF(Szenarien!$H$25="OK",(IFERROR(SUMIF(Nutzungsprofile!$B$17:$B$22,"Schulbetrieb",Nutzungsprofile!$G$17:$G$22)*Kalender!C147/SUM(Kalender!$C$5:$C$370),0)+IFERROR(SUMIF(Nutzungsprofile!$B$17:$B$22,"Halle",Nutzungsprofile!$G$17:$G$22)*Kalender!D147/SUM(Kalender!$D$5:$D$370),0)+IFERROR(SUMIF(Nutzungsprofile!$B$17:$B$22,"Individuell",Nutzungsprofile!$G$17:$G$22)*Kalender!E147/SUM(Kalender!$E$5:$E$370),0))*Szenarien!$D$25,0)</f>
        <v>0.89</v>
      </c>
      <c r="E5271" s="13" t="n">
        <f aca="false">IFERROR(MIN(C5271,Eingaben!$B$17)*Eingaben!$B$16,0)</f>
        <v>1.938</v>
      </c>
      <c r="F5271" s="13" t="n">
        <f aca="false">IFERROR(E5271*Eingaben!$B$15,0)</f>
        <v>1.7442</v>
      </c>
      <c r="G5271" s="13" t="n">
        <f aca="false">IFERROR(IF(Kalender!A147="",0,J5270*(1-Eingaben!$B$20)),0)</f>
        <v>0.7390278</v>
      </c>
      <c r="H5271" s="13" t="n">
        <f aca="false">MIN(G5271,D5271)</f>
        <v>0.7390278</v>
      </c>
      <c r="I5271" s="13" t="n">
        <f aca="false">IFERROR(MIN(F5271*Eingaben!$B$19,MAX(0,D5271-H5271)),0)</f>
        <v>0.1509722</v>
      </c>
      <c r="J5271" s="13" t="n">
        <f aca="false">IFERROR(MIN(Eingaben!$B$18,MAX(0,F5271-I5271)),0)</f>
        <v>1.5932278</v>
      </c>
      <c r="K5271" s="13" t="n">
        <f aca="false">H5271+I5271</f>
        <v>0.89</v>
      </c>
      <c r="L5271" s="13" t="n">
        <f aca="false">MAX(0,D5271-K5271)</f>
        <v>0</v>
      </c>
      <c r="M5271" s="13" t="n">
        <f aca="false">MAX(0,F5271-I5271-J5271)</f>
        <v>0</v>
      </c>
      <c r="N5271" s="13" t="n">
        <f aca="false">IF(Kalender!A147="",0,J5270-H5271)</f>
        <v>0.0150822</v>
      </c>
    </row>
    <row r="5272" customFormat="false" ht="16.4" hidden="false" customHeight="false" outlineLevel="0" collapsed="false">
      <c r="A5272" s="13" t="str">
        <f aca="false">""</f>
        <v/>
      </c>
      <c r="B5272" s="13" t="n">
        <f aca="false">144</f>
        <v>144</v>
      </c>
      <c r="C5272" s="13" t="n">
        <f aca="false">IF(Szenarien!$H$25="OK",(IFERROR(SUMIF(Nutzungsprofile!$B$6:$B$11,"Schulbetrieb",Nutzungsprofile!$G$6:$G$11)*Kalender!C148/SUM(Kalender!$C$5:$C$370),0)+IFERROR(SUMIF(Nutzungsprofile!$B$6:$B$11,"Halle",Nutzungsprofile!$G$6:$G$11)*Kalender!D148/SUM(Kalender!$D$5:$D$370),0)+IFERROR(SUMIF(Nutzungsprofile!$B$6:$B$11,"Individuell",Nutzungsprofile!$G$6:$G$11)*Kalender!E148/SUM(Kalender!$E$5:$E$370),0))*Szenarien!$E$25,0)</f>
        <v>2.04</v>
      </c>
      <c r="D5272" s="13" t="n">
        <f aca="false">IF(Szenarien!$H$25="OK",(IFERROR(SUMIF(Nutzungsprofile!$B$17:$B$22,"Schulbetrieb",Nutzungsprofile!$G$17:$G$22)*Kalender!C148/SUM(Kalender!$C$5:$C$370),0)+IFERROR(SUMIF(Nutzungsprofile!$B$17:$B$22,"Halle",Nutzungsprofile!$G$17:$G$22)*Kalender!D148/SUM(Kalender!$D$5:$D$370),0)+IFERROR(SUMIF(Nutzungsprofile!$B$17:$B$22,"Individuell",Nutzungsprofile!$G$17:$G$22)*Kalender!E148/SUM(Kalender!$E$5:$E$370),0))*Szenarien!$D$25,0)</f>
        <v>0.89</v>
      </c>
      <c r="E5272" s="13" t="n">
        <f aca="false">IFERROR(MIN(C5272,Eingaben!$B$17)*Eingaben!$B$16,0)</f>
        <v>1.938</v>
      </c>
      <c r="F5272" s="13" t="n">
        <f aca="false">IFERROR(E5272*Eingaben!$B$15,0)</f>
        <v>1.7442</v>
      </c>
      <c r="G5272" s="13" t="n">
        <f aca="false">IFERROR(IF(Kalender!A148="",0,J5271*(1-Eingaben!$B$20)),0)</f>
        <v>1.561363244</v>
      </c>
      <c r="H5272" s="13" t="n">
        <f aca="false">MIN(G5272,D5272)</f>
        <v>0.89</v>
      </c>
      <c r="I5272" s="13" t="n">
        <f aca="false">IFERROR(MIN(F5272*Eingaben!$B$19,MAX(0,D5272-H5272)),0)</f>
        <v>0</v>
      </c>
      <c r="J5272" s="13" t="n">
        <f aca="false">IFERROR(MIN(Eingaben!$B$18,MAX(0,F5272-I5272)),0)</f>
        <v>1.7442</v>
      </c>
      <c r="K5272" s="13" t="n">
        <f aca="false">H5272+I5272</f>
        <v>0.89</v>
      </c>
      <c r="L5272" s="13" t="n">
        <f aca="false">MAX(0,D5272-K5272)</f>
        <v>0</v>
      </c>
      <c r="M5272" s="13" t="n">
        <f aca="false">MAX(0,F5272-I5272-J5272)</f>
        <v>0</v>
      </c>
      <c r="N5272" s="13" t="n">
        <f aca="false">IF(Kalender!A148="",0,J5271-H5272)</f>
        <v>0.7032278</v>
      </c>
    </row>
    <row r="5273" customFormat="false" ht="16.4" hidden="false" customHeight="false" outlineLevel="0" collapsed="false">
      <c r="A5273" s="13" t="str">
        <f aca="false">""</f>
        <v/>
      </c>
      <c r="B5273" s="13" t="n">
        <f aca="false">145</f>
        <v>145</v>
      </c>
      <c r="C5273" s="13" t="n">
        <f aca="false">IF(Szenarien!$H$25="OK",(IFERROR(SUMIF(Nutzungsprofile!$B$6:$B$11,"Schulbetrieb",Nutzungsprofile!$G$6:$G$11)*Kalender!C149/SUM(Kalender!$C$5:$C$370),0)+IFERROR(SUMIF(Nutzungsprofile!$B$6:$B$11,"Halle",Nutzungsprofile!$G$6:$G$11)*Kalender!D149/SUM(Kalender!$D$5:$D$370),0)+IFERROR(SUMIF(Nutzungsprofile!$B$6:$B$11,"Individuell",Nutzungsprofile!$G$6:$G$11)*Kalender!E149/SUM(Kalender!$E$5:$E$370),0))*Szenarien!$E$25,0)</f>
        <v>2.94</v>
      </c>
      <c r="D5273" s="13" t="n">
        <f aca="false">IF(Szenarien!$H$25="OK",(IFERROR(SUMIF(Nutzungsprofile!$B$17:$B$22,"Schulbetrieb",Nutzungsprofile!$G$17:$G$22)*Kalender!C149/SUM(Kalender!$C$5:$C$370),0)+IFERROR(SUMIF(Nutzungsprofile!$B$17:$B$22,"Halle",Nutzungsprofile!$G$17:$G$22)*Kalender!D149/SUM(Kalender!$D$5:$D$370),0)+IFERROR(SUMIF(Nutzungsprofile!$B$17:$B$22,"Individuell",Nutzungsprofile!$G$17:$G$22)*Kalender!E149/SUM(Kalender!$E$5:$E$370),0))*Szenarien!$D$25,0)</f>
        <v>4.94</v>
      </c>
      <c r="E5273" s="13" t="n">
        <f aca="false">IFERROR(MIN(C5273,Eingaben!$B$17)*Eingaben!$B$16,0)</f>
        <v>2.793</v>
      </c>
      <c r="F5273" s="13" t="n">
        <f aca="false">IFERROR(E5273*Eingaben!$B$15,0)</f>
        <v>2.5137</v>
      </c>
      <c r="G5273" s="13" t="n">
        <f aca="false">IFERROR(IF(Kalender!A149="",0,J5272*(1-Eingaben!$B$20)),0)</f>
        <v>1.709316</v>
      </c>
      <c r="H5273" s="13" t="n">
        <f aca="false">MIN(G5273,D5273)</f>
        <v>1.709316</v>
      </c>
      <c r="I5273" s="13" t="n">
        <f aca="false">IFERROR(MIN(F5273*Eingaben!$B$19,MAX(0,D5273-H5273)),0)</f>
        <v>1.75959</v>
      </c>
      <c r="J5273" s="13" t="n">
        <f aca="false">IFERROR(MIN(Eingaben!$B$18,MAX(0,F5273-I5273)),0)</f>
        <v>0.75411</v>
      </c>
      <c r="K5273" s="13" t="n">
        <f aca="false">H5273+I5273</f>
        <v>3.468906</v>
      </c>
      <c r="L5273" s="13" t="n">
        <f aca="false">MAX(0,D5273-K5273)</f>
        <v>1.471094</v>
      </c>
      <c r="M5273" s="13" t="n">
        <f aca="false">MAX(0,F5273-I5273-J5273)</f>
        <v>0</v>
      </c>
      <c r="N5273" s="13" t="n">
        <f aca="false">IF(Kalender!A149="",0,J5272-H5273)</f>
        <v>0.0348840000000001</v>
      </c>
    </row>
    <row r="5274" customFormat="false" ht="16.4" hidden="false" customHeight="false" outlineLevel="0" collapsed="false">
      <c r="A5274" s="13" t="str">
        <f aca="false">""</f>
        <v/>
      </c>
      <c r="B5274" s="13" t="n">
        <f aca="false">146</f>
        <v>146</v>
      </c>
      <c r="C5274" s="13" t="n">
        <f aca="false">IF(Szenarien!$H$25="OK",(IFERROR(SUMIF(Nutzungsprofile!$B$6:$B$11,"Schulbetrieb",Nutzungsprofile!$G$6:$G$11)*Kalender!C150/SUM(Kalender!$C$5:$C$370),0)+IFERROR(SUMIF(Nutzungsprofile!$B$6:$B$11,"Halle",Nutzungsprofile!$G$6:$G$11)*Kalender!D150/SUM(Kalender!$D$5:$D$370),0)+IFERROR(SUMIF(Nutzungsprofile!$B$6:$B$11,"Individuell",Nutzungsprofile!$G$6:$G$11)*Kalender!E150/SUM(Kalender!$E$5:$E$370),0))*Szenarien!$E$25,0)</f>
        <v>2.94</v>
      </c>
      <c r="D5274" s="13" t="n">
        <f aca="false">IF(Szenarien!$H$25="OK",(IFERROR(SUMIF(Nutzungsprofile!$B$17:$B$22,"Schulbetrieb",Nutzungsprofile!$G$17:$G$22)*Kalender!C150/SUM(Kalender!$C$5:$C$370),0)+IFERROR(SUMIF(Nutzungsprofile!$B$17:$B$22,"Halle",Nutzungsprofile!$G$17:$G$22)*Kalender!D150/SUM(Kalender!$D$5:$D$370),0)+IFERROR(SUMIF(Nutzungsprofile!$B$17:$B$22,"Individuell",Nutzungsprofile!$G$17:$G$22)*Kalender!E150/SUM(Kalender!$E$5:$E$370),0))*Szenarien!$D$25,0)</f>
        <v>4.94</v>
      </c>
      <c r="E5274" s="13" t="n">
        <f aca="false">IFERROR(MIN(C5274,Eingaben!$B$17)*Eingaben!$B$16,0)</f>
        <v>2.793</v>
      </c>
      <c r="F5274" s="13" t="n">
        <f aca="false">IFERROR(E5274*Eingaben!$B$15,0)</f>
        <v>2.5137</v>
      </c>
      <c r="G5274" s="13" t="n">
        <f aca="false">IFERROR(IF(Kalender!A150="",0,J5273*(1-Eingaben!$B$20)),0)</f>
        <v>0.7390278</v>
      </c>
      <c r="H5274" s="13" t="n">
        <f aca="false">MIN(G5274,D5274)</f>
        <v>0.7390278</v>
      </c>
      <c r="I5274" s="13" t="n">
        <f aca="false">IFERROR(MIN(F5274*Eingaben!$B$19,MAX(0,D5274-H5274)),0)</f>
        <v>1.75959</v>
      </c>
      <c r="J5274" s="13" t="n">
        <f aca="false">IFERROR(MIN(Eingaben!$B$18,MAX(0,F5274-I5274)),0)</f>
        <v>0.75411</v>
      </c>
      <c r="K5274" s="13" t="n">
        <f aca="false">H5274+I5274</f>
        <v>2.4986178</v>
      </c>
      <c r="L5274" s="13" t="n">
        <f aca="false">MAX(0,D5274-K5274)</f>
        <v>2.4413822</v>
      </c>
      <c r="M5274" s="13" t="n">
        <f aca="false">MAX(0,F5274-I5274-J5274)</f>
        <v>0</v>
      </c>
      <c r="N5274" s="13" t="n">
        <f aca="false">IF(Kalender!A150="",0,J5273-H5274)</f>
        <v>0.0150822</v>
      </c>
    </row>
    <row r="5275" customFormat="false" ht="16.4" hidden="false" customHeight="false" outlineLevel="0" collapsed="false">
      <c r="A5275" s="13" t="str">
        <f aca="false">""</f>
        <v/>
      </c>
      <c r="B5275" s="13" t="n">
        <f aca="false">147</f>
        <v>147</v>
      </c>
      <c r="C5275" s="13" t="n">
        <f aca="false">IF(Szenarien!$H$25="OK",(IFERROR(SUMIF(Nutzungsprofile!$B$6:$B$11,"Schulbetrieb",Nutzungsprofile!$G$6:$G$11)*Kalender!C151/SUM(Kalender!$C$5:$C$370),0)+IFERROR(SUMIF(Nutzungsprofile!$B$6:$B$11,"Halle",Nutzungsprofile!$G$6:$G$11)*Kalender!D151/SUM(Kalender!$D$5:$D$370),0)+IFERROR(SUMIF(Nutzungsprofile!$B$6:$B$11,"Individuell",Nutzungsprofile!$G$6:$G$11)*Kalender!E151/SUM(Kalender!$E$5:$E$370),0))*Szenarien!$E$25,0)</f>
        <v>2.94</v>
      </c>
      <c r="D5275" s="13" t="n">
        <f aca="false">IF(Szenarien!$H$25="OK",(IFERROR(SUMIF(Nutzungsprofile!$B$17:$B$22,"Schulbetrieb",Nutzungsprofile!$G$17:$G$22)*Kalender!C151/SUM(Kalender!$C$5:$C$370),0)+IFERROR(SUMIF(Nutzungsprofile!$B$17:$B$22,"Halle",Nutzungsprofile!$G$17:$G$22)*Kalender!D151/SUM(Kalender!$D$5:$D$370),0)+IFERROR(SUMIF(Nutzungsprofile!$B$17:$B$22,"Individuell",Nutzungsprofile!$G$17:$G$22)*Kalender!E151/SUM(Kalender!$E$5:$E$370),0))*Szenarien!$D$25,0)</f>
        <v>4.94</v>
      </c>
      <c r="E5275" s="13" t="n">
        <f aca="false">IFERROR(MIN(C5275,Eingaben!$B$17)*Eingaben!$B$16,0)</f>
        <v>2.793</v>
      </c>
      <c r="F5275" s="13" t="n">
        <f aca="false">IFERROR(E5275*Eingaben!$B$15,0)</f>
        <v>2.5137</v>
      </c>
      <c r="G5275" s="13" t="n">
        <f aca="false">IFERROR(IF(Kalender!A151="",0,J5274*(1-Eingaben!$B$20)),0)</f>
        <v>0.7390278</v>
      </c>
      <c r="H5275" s="13" t="n">
        <f aca="false">MIN(G5275,D5275)</f>
        <v>0.7390278</v>
      </c>
      <c r="I5275" s="13" t="n">
        <f aca="false">IFERROR(MIN(F5275*Eingaben!$B$19,MAX(0,D5275-H5275)),0)</f>
        <v>1.75959</v>
      </c>
      <c r="J5275" s="13" t="n">
        <f aca="false">IFERROR(MIN(Eingaben!$B$18,MAX(0,F5275-I5275)),0)</f>
        <v>0.75411</v>
      </c>
      <c r="K5275" s="13" t="n">
        <f aca="false">H5275+I5275</f>
        <v>2.4986178</v>
      </c>
      <c r="L5275" s="13" t="n">
        <f aca="false">MAX(0,D5275-K5275)</f>
        <v>2.4413822</v>
      </c>
      <c r="M5275" s="13" t="n">
        <f aca="false">MAX(0,F5275-I5275-J5275)</f>
        <v>0</v>
      </c>
      <c r="N5275" s="13" t="n">
        <f aca="false">IF(Kalender!A151="",0,J5274-H5275)</f>
        <v>0.0150822</v>
      </c>
    </row>
    <row r="5276" customFormat="false" ht="16.4" hidden="false" customHeight="false" outlineLevel="0" collapsed="false">
      <c r="A5276" s="13" t="str">
        <f aca="false">""</f>
        <v/>
      </c>
      <c r="B5276" s="13" t="n">
        <f aca="false">148</f>
        <v>148</v>
      </c>
      <c r="C5276" s="13" t="n">
        <f aca="false">IF(Szenarien!$H$25="OK",(IFERROR(SUMIF(Nutzungsprofile!$B$6:$B$11,"Schulbetrieb",Nutzungsprofile!$G$6:$G$11)*Kalender!C152/SUM(Kalender!$C$5:$C$370),0)+IFERROR(SUMIF(Nutzungsprofile!$B$6:$B$11,"Halle",Nutzungsprofile!$G$6:$G$11)*Kalender!D152/SUM(Kalender!$D$5:$D$370),0)+IFERROR(SUMIF(Nutzungsprofile!$B$6:$B$11,"Individuell",Nutzungsprofile!$G$6:$G$11)*Kalender!E152/SUM(Kalender!$E$5:$E$370),0))*Szenarien!$E$25,0)</f>
        <v>2.94</v>
      </c>
      <c r="D5276" s="13" t="n">
        <f aca="false">IF(Szenarien!$H$25="OK",(IFERROR(SUMIF(Nutzungsprofile!$B$17:$B$22,"Schulbetrieb",Nutzungsprofile!$G$17:$G$22)*Kalender!C152/SUM(Kalender!$C$5:$C$370),0)+IFERROR(SUMIF(Nutzungsprofile!$B$17:$B$22,"Halle",Nutzungsprofile!$G$17:$G$22)*Kalender!D152/SUM(Kalender!$D$5:$D$370),0)+IFERROR(SUMIF(Nutzungsprofile!$B$17:$B$22,"Individuell",Nutzungsprofile!$G$17:$G$22)*Kalender!E152/SUM(Kalender!$E$5:$E$370),0))*Szenarien!$D$25,0)</f>
        <v>4.94</v>
      </c>
      <c r="E5276" s="13" t="n">
        <f aca="false">IFERROR(MIN(C5276,Eingaben!$B$17)*Eingaben!$B$16,0)</f>
        <v>2.793</v>
      </c>
      <c r="F5276" s="13" t="n">
        <f aca="false">IFERROR(E5276*Eingaben!$B$15,0)</f>
        <v>2.5137</v>
      </c>
      <c r="G5276" s="13" t="n">
        <f aca="false">IFERROR(IF(Kalender!A152="",0,J5275*(1-Eingaben!$B$20)),0)</f>
        <v>0.7390278</v>
      </c>
      <c r="H5276" s="13" t="n">
        <f aca="false">MIN(G5276,D5276)</f>
        <v>0.7390278</v>
      </c>
      <c r="I5276" s="13" t="n">
        <f aca="false">IFERROR(MIN(F5276*Eingaben!$B$19,MAX(0,D5276-H5276)),0)</f>
        <v>1.75959</v>
      </c>
      <c r="J5276" s="13" t="n">
        <f aca="false">IFERROR(MIN(Eingaben!$B$18,MAX(0,F5276-I5276)),0)</f>
        <v>0.75411</v>
      </c>
      <c r="K5276" s="13" t="n">
        <f aca="false">H5276+I5276</f>
        <v>2.4986178</v>
      </c>
      <c r="L5276" s="13" t="n">
        <f aca="false">MAX(0,D5276-K5276)</f>
        <v>2.4413822</v>
      </c>
      <c r="M5276" s="13" t="n">
        <f aca="false">MAX(0,F5276-I5276-J5276)</f>
        <v>0</v>
      </c>
      <c r="N5276" s="13" t="n">
        <f aca="false">IF(Kalender!A152="",0,J5275-H5276)</f>
        <v>0.0150822</v>
      </c>
    </row>
    <row r="5277" customFormat="false" ht="16.4" hidden="false" customHeight="false" outlineLevel="0" collapsed="false">
      <c r="A5277" s="13" t="str">
        <f aca="false">""</f>
        <v/>
      </c>
      <c r="B5277" s="13" t="n">
        <f aca="false">149</f>
        <v>149</v>
      </c>
      <c r="C5277" s="13" t="n">
        <f aca="false">IF(Szenarien!$H$25="OK",(IFERROR(SUMIF(Nutzungsprofile!$B$6:$B$11,"Schulbetrieb",Nutzungsprofile!$G$6:$G$11)*Kalender!C153/SUM(Kalender!$C$5:$C$370),0)+IFERROR(SUMIF(Nutzungsprofile!$B$6:$B$11,"Halle",Nutzungsprofile!$G$6:$G$11)*Kalender!D153/SUM(Kalender!$D$5:$D$370),0)+IFERROR(SUMIF(Nutzungsprofile!$B$6:$B$11,"Individuell",Nutzungsprofile!$G$6:$G$11)*Kalender!E153/SUM(Kalender!$E$5:$E$370),0))*Szenarien!$E$25,0)</f>
        <v>2.94</v>
      </c>
      <c r="D5277" s="13" t="n">
        <f aca="false">IF(Szenarien!$H$25="OK",(IFERROR(SUMIF(Nutzungsprofile!$B$17:$B$22,"Schulbetrieb",Nutzungsprofile!$G$17:$G$22)*Kalender!C153/SUM(Kalender!$C$5:$C$370),0)+IFERROR(SUMIF(Nutzungsprofile!$B$17:$B$22,"Halle",Nutzungsprofile!$G$17:$G$22)*Kalender!D153/SUM(Kalender!$D$5:$D$370),0)+IFERROR(SUMIF(Nutzungsprofile!$B$17:$B$22,"Individuell",Nutzungsprofile!$G$17:$G$22)*Kalender!E153/SUM(Kalender!$E$5:$E$370),0))*Szenarien!$D$25,0)</f>
        <v>4.94</v>
      </c>
      <c r="E5277" s="13" t="n">
        <f aca="false">IFERROR(MIN(C5277,Eingaben!$B$17)*Eingaben!$B$16,0)</f>
        <v>2.793</v>
      </c>
      <c r="F5277" s="13" t="n">
        <f aca="false">IFERROR(E5277*Eingaben!$B$15,0)</f>
        <v>2.5137</v>
      </c>
      <c r="G5277" s="13" t="n">
        <f aca="false">IFERROR(IF(Kalender!A153="",0,J5276*(1-Eingaben!$B$20)),0)</f>
        <v>0.7390278</v>
      </c>
      <c r="H5277" s="13" t="n">
        <f aca="false">MIN(G5277,D5277)</f>
        <v>0.7390278</v>
      </c>
      <c r="I5277" s="13" t="n">
        <f aca="false">IFERROR(MIN(F5277*Eingaben!$B$19,MAX(0,D5277-H5277)),0)</f>
        <v>1.75959</v>
      </c>
      <c r="J5277" s="13" t="n">
        <f aca="false">IFERROR(MIN(Eingaben!$B$18,MAX(0,F5277-I5277)),0)</f>
        <v>0.75411</v>
      </c>
      <c r="K5277" s="13" t="n">
        <f aca="false">H5277+I5277</f>
        <v>2.4986178</v>
      </c>
      <c r="L5277" s="13" t="n">
        <f aca="false">MAX(0,D5277-K5277)</f>
        <v>2.4413822</v>
      </c>
      <c r="M5277" s="13" t="n">
        <f aca="false">MAX(0,F5277-I5277-J5277)</f>
        <v>0</v>
      </c>
      <c r="N5277" s="13" t="n">
        <f aca="false">IF(Kalender!A153="",0,J5276-H5277)</f>
        <v>0.0150822</v>
      </c>
    </row>
    <row r="5278" customFormat="false" ht="16.4" hidden="false" customHeight="false" outlineLevel="0" collapsed="false">
      <c r="A5278" s="13" t="str">
        <f aca="false">""</f>
        <v/>
      </c>
      <c r="B5278" s="13" t="n">
        <f aca="false">150</f>
        <v>150</v>
      </c>
      <c r="C5278" s="13" t="n">
        <f aca="false">IF(Szenarien!$H$25="OK",(IFERROR(SUMIF(Nutzungsprofile!$B$6:$B$11,"Schulbetrieb",Nutzungsprofile!$G$6:$G$11)*Kalender!C154/SUM(Kalender!$C$5:$C$370),0)+IFERROR(SUMIF(Nutzungsprofile!$B$6:$B$11,"Halle",Nutzungsprofile!$G$6:$G$11)*Kalender!D154/SUM(Kalender!$D$5:$D$370),0)+IFERROR(SUMIF(Nutzungsprofile!$B$6:$B$11,"Individuell",Nutzungsprofile!$G$6:$G$11)*Kalender!E154/SUM(Kalender!$E$5:$E$370),0))*Szenarien!$E$25,0)</f>
        <v>2.04</v>
      </c>
      <c r="D5278" s="13" t="n">
        <f aca="false">IF(Szenarien!$H$25="OK",(IFERROR(SUMIF(Nutzungsprofile!$B$17:$B$22,"Schulbetrieb",Nutzungsprofile!$G$17:$G$22)*Kalender!C154/SUM(Kalender!$C$5:$C$370),0)+IFERROR(SUMIF(Nutzungsprofile!$B$17:$B$22,"Halle",Nutzungsprofile!$G$17:$G$22)*Kalender!D154/SUM(Kalender!$D$5:$D$370),0)+IFERROR(SUMIF(Nutzungsprofile!$B$17:$B$22,"Individuell",Nutzungsprofile!$G$17:$G$22)*Kalender!E154/SUM(Kalender!$E$5:$E$370),0))*Szenarien!$D$25,0)</f>
        <v>0.89</v>
      </c>
      <c r="E5278" s="13" t="n">
        <f aca="false">IFERROR(MIN(C5278,Eingaben!$B$17)*Eingaben!$B$16,0)</f>
        <v>1.938</v>
      </c>
      <c r="F5278" s="13" t="n">
        <f aca="false">IFERROR(E5278*Eingaben!$B$15,0)</f>
        <v>1.7442</v>
      </c>
      <c r="G5278" s="13" t="n">
        <f aca="false">IFERROR(IF(Kalender!A154="",0,J5277*(1-Eingaben!$B$20)),0)</f>
        <v>0.7390278</v>
      </c>
      <c r="H5278" s="13" t="n">
        <f aca="false">MIN(G5278,D5278)</f>
        <v>0.7390278</v>
      </c>
      <c r="I5278" s="13" t="n">
        <f aca="false">IFERROR(MIN(F5278*Eingaben!$B$19,MAX(0,D5278-H5278)),0)</f>
        <v>0.1509722</v>
      </c>
      <c r="J5278" s="13" t="n">
        <f aca="false">IFERROR(MIN(Eingaben!$B$18,MAX(0,F5278-I5278)),0)</f>
        <v>1.5932278</v>
      </c>
      <c r="K5278" s="13" t="n">
        <f aca="false">H5278+I5278</f>
        <v>0.89</v>
      </c>
      <c r="L5278" s="13" t="n">
        <f aca="false">MAX(0,D5278-K5278)</f>
        <v>0</v>
      </c>
      <c r="M5278" s="13" t="n">
        <f aca="false">MAX(0,F5278-I5278-J5278)</f>
        <v>0</v>
      </c>
      <c r="N5278" s="13" t="n">
        <f aca="false">IF(Kalender!A154="",0,J5277-H5278)</f>
        <v>0.0150822</v>
      </c>
    </row>
    <row r="5279" customFormat="false" ht="16.4" hidden="false" customHeight="false" outlineLevel="0" collapsed="false">
      <c r="A5279" s="13" t="str">
        <f aca="false">""</f>
        <v/>
      </c>
      <c r="B5279" s="13" t="n">
        <f aca="false">151</f>
        <v>151</v>
      </c>
      <c r="C5279" s="13" t="n">
        <f aca="false">IF(Szenarien!$H$25="OK",(IFERROR(SUMIF(Nutzungsprofile!$B$6:$B$11,"Schulbetrieb",Nutzungsprofile!$G$6:$G$11)*Kalender!C155/SUM(Kalender!$C$5:$C$370),0)+IFERROR(SUMIF(Nutzungsprofile!$B$6:$B$11,"Halle",Nutzungsprofile!$G$6:$G$11)*Kalender!D155/SUM(Kalender!$D$5:$D$370),0)+IFERROR(SUMIF(Nutzungsprofile!$B$6:$B$11,"Individuell",Nutzungsprofile!$G$6:$G$11)*Kalender!E155/SUM(Kalender!$E$5:$E$370),0))*Szenarien!$E$25,0)</f>
        <v>2.04</v>
      </c>
      <c r="D5279" s="13" t="n">
        <f aca="false">IF(Szenarien!$H$25="OK",(IFERROR(SUMIF(Nutzungsprofile!$B$17:$B$22,"Schulbetrieb",Nutzungsprofile!$G$17:$G$22)*Kalender!C155/SUM(Kalender!$C$5:$C$370),0)+IFERROR(SUMIF(Nutzungsprofile!$B$17:$B$22,"Halle",Nutzungsprofile!$G$17:$G$22)*Kalender!D155/SUM(Kalender!$D$5:$D$370),0)+IFERROR(SUMIF(Nutzungsprofile!$B$17:$B$22,"Individuell",Nutzungsprofile!$G$17:$G$22)*Kalender!E155/SUM(Kalender!$E$5:$E$370),0))*Szenarien!$D$25,0)</f>
        <v>0.89</v>
      </c>
      <c r="E5279" s="13" t="n">
        <f aca="false">IFERROR(MIN(C5279,Eingaben!$B$17)*Eingaben!$B$16,0)</f>
        <v>1.938</v>
      </c>
      <c r="F5279" s="13" t="n">
        <f aca="false">IFERROR(E5279*Eingaben!$B$15,0)</f>
        <v>1.7442</v>
      </c>
      <c r="G5279" s="13" t="n">
        <f aca="false">IFERROR(IF(Kalender!A155="",0,J5278*(1-Eingaben!$B$20)),0)</f>
        <v>1.561363244</v>
      </c>
      <c r="H5279" s="13" t="n">
        <f aca="false">MIN(G5279,D5279)</f>
        <v>0.89</v>
      </c>
      <c r="I5279" s="13" t="n">
        <f aca="false">IFERROR(MIN(F5279*Eingaben!$B$19,MAX(0,D5279-H5279)),0)</f>
        <v>0</v>
      </c>
      <c r="J5279" s="13" t="n">
        <f aca="false">IFERROR(MIN(Eingaben!$B$18,MAX(0,F5279-I5279)),0)</f>
        <v>1.7442</v>
      </c>
      <c r="K5279" s="13" t="n">
        <f aca="false">H5279+I5279</f>
        <v>0.89</v>
      </c>
      <c r="L5279" s="13" t="n">
        <f aca="false">MAX(0,D5279-K5279)</f>
        <v>0</v>
      </c>
      <c r="M5279" s="13" t="n">
        <f aca="false">MAX(0,F5279-I5279-J5279)</f>
        <v>0</v>
      </c>
      <c r="N5279" s="13" t="n">
        <f aca="false">IF(Kalender!A155="",0,J5278-H5279)</f>
        <v>0.7032278</v>
      </c>
    </row>
    <row r="5280" customFormat="false" ht="16.4" hidden="false" customHeight="false" outlineLevel="0" collapsed="false">
      <c r="A5280" s="13" t="str">
        <f aca="false">""</f>
        <v/>
      </c>
      <c r="B5280" s="13" t="n">
        <f aca="false">152</f>
        <v>152</v>
      </c>
      <c r="C5280" s="13" t="n">
        <f aca="false">IF(Szenarien!$H$25="OK",(IFERROR(SUMIF(Nutzungsprofile!$B$6:$B$11,"Schulbetrieb",Nutzungsprofile!$G$6:$G$11)*Kalender!C156/SUM(Kalender!$C$5:$C$370),0)+IFERROR(SUMIF(Nutzungsprofile!$B$6:$B$11,"Halle",Nutzungsprofile!$G$6:$G$11)*Kalender!D156/SUM(Kalender!$D$5:$D$370),0)+IFERROR(SUMIF(Nutzungsprofile!$B$6:$B$11,"Individuell",Nutzungsprofile!$G$6:$G$11)*Kalender!E156/SUM(Kalender!$E$5:$E$370),0))*Szenarien!$E$25,0)</f>
        <v>2.94</v>
      </c>
      <c r="D5280" s="13" t="n">
        <f aca="false">IF(Szenarien!$H$25="OK",(IFERROR(SUMIF(Nutzungsprofile!$B$17:$B$22,"Schulbetrieb",Nutzungsprofile!$G$17:$G$22)*Kalender!C156/SUM(Kalender!$C$5:$C$370),0)+IFERROR(SUMIF(Nutzungsprofile!$B$17:$B$22,"Halle",Nutzungsprofile!$G$17:$G$22)*Kalender!D156/SUM(Kalender!$D$5:$D$370),0)+IFERROR(SUMIF(Nutzungsprofile!$B$17:$B$22,"Individuell",Nutzungsprofile!$G$17:$G$22)*Kalender!E156/SUM(Kalender!$E$5:$E$370),0))*Szenarien!$D$25,0)</f>
        <v>4.94</v>
      </c>
      <c r="E5280" s="13" t="n">
        <f aca="false">IFERROR(MIN(C5280,Eingaben!$B$17)*Eingaben!$B$16,0)</f>
        <v>2.793</v>
      </c>
      <c r="F5280" s="13" t="n">
        <f aca="false">IFERROR(E5280*Eingaben!$B$15,0)</f>
        <v>2.5137</v>
      </c>
      <c r="G5280" s="13" t="n">
        <f aca="false">IFERROR(IF(Kalender!A156="",0,J5279*(1-Eingaben!$B$20)),0)</f>
        <v>1.709316</v>
      </c>
      <c r="H5280" s="13" t="n">
        <f aca="false">MIN(G5280,D5280)</f>
        <v>1.709316</v>
      </c>
      <c r="I5280" s="13" t="n">
        <f aca="false">IFERROR(MIN(F5280*Eingaben!$B$19,MAX(0,D5280-H5280)),0)</f>
        <v>1.75959</v>
      </c>
      <c r="J5280" s="13" t="n">
        <f aca="false">IFERROR(MIN(Eingaben!$B$18,MAX(0,F5280-I5280)),0)</f>
        <v>0.75411</v>
      </c>
      <c r="K5280" s="13" t="n">
        <f aca="false">H5280+I5280</f>
        <v>3.468906</v>
      </c>
      <c r="L5280" s="13" t="n">
        <f aca="false">MAX(0,D5280-K5280)</f>
        <v>1.471094</v>
      </c>
      <c r="M5280" s="13" t="n">
        <f aca="false">MAX(0,F5280-I5280-J5280)</f>
        <v>0</v>
      </c>
      <c r="N5280" s="13" t="n">
        <f aca="false">IF(Kalender!A156="",0,J5279-H5280)</f>
        <v>0.0348840000000001</v>
      </c>
    </row>
    <row r="5281" customFormat="false" ht="16.4" hidden="false" customHeight="false" outlineLevel="0" collapsed="false">
      <c r="A5281" s="13" t="str">
        <f aca="false">""</f>
        <v/>
      </c>
      <c r="B5281" s="13" t="n">
        <f aca="false">153</f>
        <v>153</v>
      </c>
      <c r="C5281" s="13" t="n">
        <f aca="false">IF(Szenarien!$H$25="OK",(IFERROR(SUMIF(Nutzungsprofile!$B$6:$B$11,"Schulbetrieb",Nutzungsprofile!$G$6:$G$11)*Kalender!C157/SUM(Kalender!$C$5:$C$370),0)+IFERROR(SUMIF(Nutzungsprofile!$B$6:$B$11,"Halle",Nutzungsprofile!$G$6:$G$11)*Kalender!D157/SUM(Kalender!$D$5:$D$370),0)+IFERROR(SUMIF(Nutzungsprofile!$B$6:$B$11,"Individuell",Nutzungsprofile!$G$6:$G$11)*Kalender!E157/SUM(Kalender!$E$5:$E$370),0))*Szenarien!$E$25,0)</f>
        <v>2.94</v>
      </c>
      <c r="D5281" s="13" t="n">
        <f aca="false">IF(Szenarien!$H$25="OK",(IFERROR(SUMIF(Nutzungsprofile!$B$17:$B$22,"Schulbetrieb",Nutzungsprofile!$G$17:$G$22)*Kalender!C157/SUM(Kalender!$C$5:$C$370),0)+IFERROR(SUMIF(Nutzungsprofile!$B$17:$B$22,"Halle",Nutzungsprofile!$G$17:$G$22)*Kalender!D157/SUM(Kalender!$D$5:$D$370),0)+IFERROR(SUMIF(Nutzungsprofile!$B$17:$B$22,"Individuell",Nutzungsprofile!$G$17:$G$22)*Kalender!E157/SUM(Kalender!$E$5:$E$370),0))*Szenarien!$D$25,0)</f>
        <v>4.94</v>
      </c>
      <c r="E5281" s="13" t="n">
        <f aca="false">IFERROR(MIN(C5281,Eingaben!$B$17)*Eingaben!$B$16,0)</f>
        <v>2.793</v>
      </c>
      <c r="F5281" s="13" t="n">
        <f aca="false">IFERROR(E5281*Eingaben!$B$15,0)</f>
        <v>2.5137</v>
      </c>
      <c r="G5281" s="13" t="n">
        <f aca="false">IFERROR(IF(Kalender!A157="",0,J5280*(1-Eingaben!$B$20)),0)</f>
        <v>0.7390278</v>
      </c>
      <c r="H5281" s="13" t="n">
        <f aca="false">MIN(G5281,D5281)</f>
        <v>0.7390278</v>
      </c>
      <c r="I5281" s="13" t="n">
        <f aca="false">IFERROR(MIN(F5281*Eingaben!$B$19,MAX(0,D5281-H5281)),0)</f>
        <v>1.75959</v>
      </c>
      <c r="J5281" s="13" t="n">
        <f aca="false">IFERROR(MIN(Eingaben!$B$18,MAX(0,F5281-I5281)),0)</f>
        <v>0.75411</v>
      </c>
      <c r="K5281" s="13" t="n">
        <f aca="false">H5281+I5281</f>
        <v>2.4986178</v>
      </c>
      <c r="L5281" s="13" t="n">
        <f aca="false">MAX(0,D5281-K5281)</f>
        <v>2.4413822</v>
      </c>
      <c r="M5281" s="13" t="n">
        <f aca="false">MAX(0,F5281-I5281-J5281)</f>
        <v>0</v>
      </c>
      <c r="N5281" s="13" t="n">
        <f aca="false">IF(Kalender!A157="",0,J5280-H5281)</f>
        <v>0.0150822</v>
      </c>
    </row>
    <row r="5282" customFormat="false" ht="16.4" hidden="false" customHeight="false" outlineLevel="0" collapsed="false">
      <c r="A5282" s="13" t="str">
        <f aca="false">""</f>
        <v/>
      </c>
      <c r="B5282" s="13" t="n">
        <f aca="false">154</f>
        <v>154</v>
      </c>
      <c r="C5282" s="13" t="n">
        <f aca="false">IF(Szenarien!$H$25="OK",(IFERROR(SUMIF(Nutzungsprofile!$B$6:$B$11,"Schulbetrieb",Nutzungsprofile!$G$6:$G$11)*Kalender!C158/SUM(Kalender!$C$5:$C$370),0)+IFERROR(SUMIF(Nutzungsprofile!$B$6:$B$11,"Halle",Nutzungsprofile!$G$6:$G$11)*Kalender!D158/SUM(Kalender!$D$5:$D$370),0)+IFERROR(SUMIF(Nutzungsprofile!$B$6:$B$11,"Individuell",Nutzungsprofile!$G$6:$G$11)*Kalender!E158/SUM(Kalender!$E$5:$E$370),0))*Szenarien!$E$25,0)</f>
        <v>2.94</v>
      </c>
      <c r="D5282" s="13" t="n">
        <f aca="false">IF(Szenarien!$H$25="OK",(IFERROR(SUMIF(Nutzungsprofile!$B$17:$B$22,"Schulbetrieb",Nutzungsprofile!$G$17:$G$22)*Kalender!C158/SUM(Kalender!$C$5:$C$370),0)+IFERROR(SUMIF(Nutzungsprofile!$B$17:$B$22,"Halle",Nutzungsprofile!$G$17:$G$22)*Kalender!D158/SUM(Kalender!$D$5:$D$370),0)+IFERROR(SUMIF(Nutzungsprofile!$B$17:$B$22,"Individuell",Nutzungsprofile!$G$17:$G$22)*Kalender!E158/SUM(Kalender!$E$5:$E$370),0))*Szenarien!$D$25,0)</f>
        <v>4.94</v>
      </c>
      <c r="E5282" s="13" t="n">
        <f aca="false">IFERROR(MIN(C5282,Eingaben!$B$17)*Eingaben!$B$16,0)</f>
        <v>2.793</v>
      </c>
      <c r="F5282" s="13" t="n">
        <f aca="false">IFERROR(E5282*Eingaben!$B$15,0)</f>
        <v>2.5137</v>
      </c>
      <c r="G5282" s="13" t="n">
        <f aca="false">IFERROR(IF(Kalender!A158="",0,J5281*(1-Eingaben!$B$20)),0)</f>
        <v>0.7390278</v>
      </c>
      <c r="H5282" s="13" t="n">
        <f aca="false">MIN(G5282,D5282)</f>
        <v>0.7390278</v>
      </c>
      <c r="I5282" s="13" t="n">
        <f aca="false">IFERROR(MIN(F5282*Eingaben!$B$19,MAX(0,D5282-H5282)),0)</f>
        <v>1.75959</v>
      </c>
      <c r="J5282" s="13" t="n">
        <f aca="false">IFERROR(MIN(Eingaben!$B$18,MAX(0,F5282-I5282)),0)</f>
        <v>0.75411</v>
      </c>
      <c r="K5282" s="13" t="n">
        <f aca="false">H5282+I5282</f>
        <v>2.4986178</v>
      </c>
      <c r="L5282" s="13" t="n">
        <f aca="false">MAX(0,D5282-K5282)</f>
        <v>2.4413822</v>
      </c>
      <c r="M5282" s="13" t="n">
        <f aca="false">MAX(0,F5282-I5282-J5282)</f>
        <v>0</v>
      </c>
      <c r="N5282" s="13" t="n">
        <f aca="false">IF(Kalender!A158="",0,J5281-H5282)</f>
        <v>0.0150822</v>
      </c>
    </row>
    <row r="5283" customFormat="false" ht="16.4" hidden="false" customHeight="false" outlineLevel="0" collapsed="false">
      <c r="A5283" s="13" t="str">
        <f aca="false">""</f>
        <v/>
      </c>
      <c r="B5283" s="13" t="n">
        <f aca="false">155</f>
        <v>155</v>
      </c>
      <c r="C5283" s="13" t="n">
        <f aca="false">IF(Szenarien!$H$25="OK",(IFERROR(SUMIF(Nutzungsprofile!$B$6:$B$11,"Schulbetrieb",Nutzungsprofile!$G$6:$G$11)*Kalender!C159/SUM(Kalender!$C$5:$C$370),0)+IFERROR(SUMIF(Nutzungsprofile!$B$6:$B$11,"Halle",Nutzungsprofile!$G$6:$G$11)*Kalender!D159/SUM(Kalender!$D$5:$D$370),0)+IFERROR(SUMIF(Nutzungsprofile!$B$6:$B$11,"Individuell",Nutzungsprofile!$G$6:$G$11)*Kalender!E159/SUM(Kalender!$E$5:$E$370),0))*Szenarien!$E$25,0)</f>
        <v>2.94</v>
      </c>
      <c r="D5283" s="13" t="n">
        <f aca="false">IF(Szenarien!$H$25="OK",(IFERROR(SUMIF(Nutzungsprofile!$B$17:$B$22,"Schulbetrieb",Nutzungsprofile!$G$17:$G$22)*Kalender!C159/SUM(Kalender!$C$5:$C$370),0)+IFERROR(SUMIF(Nutzungsprofile!$B$17:$B$22,"Halle",Nutzungsprofile!$G$17:$G$22)*Kalender!D159/SUM(Kalender!$D$5:$D$370),0)+IFERROR(SUMIF(Nutzungsprofile!$B$17:$B$22,"Individuell",Nutzungsprofile!$G$17:$G$22)*Kalender!E159/SUM(Kalender!$E$5:$E$370),0))*Szenarien!$D$25,0)</f>
        <v>4.94</v>
      </c>
      <c r="E5283" s="13" t="n">
        <f aca="false">IFERROR(MIN(C5283,Eingaben!$B$17)*Eingaben!$B$16,0)</f>
        <v>2.793</v>
      </c>
      <c r="F5283" s="13" t="n">
        <f aca="false">IFERROR(E5283*Eingaben!$B$15,0)</f>
        <v>2.5137</v>
      </c>
      <c r="G5283" s="13" t="n">
        <f aca="false">IFERROR(IF(Kalender!A159="",0,J5282*(1-Eingaben!$B$20)),0)</f>
        <v>0.7390278</v>
      </c>
      <c r="H5283" s="13" t="n">
        <f aca="false">MIN(G5283,D5283)</f>
        <v>0.7390278</v>
      </c>
      <c r="I5283" s="13" t="n">
        <f aca="false">IFERROR(MIN(F5283*Eingaben!$B$19,MAX(0,D5283-H5283)),0)</f>
        <v>1.75959</v>
      </c>
      <c r="J5283" s="13" t="n">
        <f aca="false">IFERROR(MIN(Eingaben!$B$18,MAX(0,F5283-I5283)),0)</f>
        <v>0.75411</v>
      </c>
      <c r="K5283" s="13" t="n">
        <f aca="false">H5283+I5283</f>
        <v>2.4986178</v>
      </c>
      <c r="L5283" s="13" t="n">
        <f aca="false">MAX(0,D5283-K5283)</f>
        <v>2.4413822</v>
      </c>
      <c r="M5283" s="13" t="n">
        <f aca="false">MAX(0,F5283-I5283-J5283)</f>
        <v>0</v>
      </c>
      <c r="N5283" s="13" t="n">
        <f aca="false">IF(Kalender!A159="",0,J5282-H5283)</f>
        <v>0.0150822</v>
      </c>
    </row>
    <row r="5284" customFormat="false" ht="16.4" hidden="false" customHeight="false" outlineLevel="0" collapsed="false">
      <c r="A5284" s="13" t="str">
        <f aca="false">""</f>
        <v/>
      </c>
      <c r="B5284" s="13" t="n">
        <f aca="false">156</f>
        <v>156</v>
      </c>
      <c r="C5284" s="13" t="n">
        <f aca="false">IF(Szenarien!$H$25="OK",(IFERROR(SUMIF(Nutzungsprofile!$B$6:$B$11,"Schulbetrieb",Nutzungsprofile!$G$6:$G$11)*Kalender!C160/SUM(Kalender!$C$5:$C$370),0)+IFERROR(SUMIF(Nutzungsprofile!$B$6:$B$11,"Halle",Nutzungsprofile!$G$6:$G$11)*Kalender!D160/SUM(Kalender!$D$5:$D$370),0)+IFERROR(SUMIF(Nutzungsprofile!$B$6:$B$11,"Individuell",Nutzungsprofile!$G$6:$G$11)*Kalender!E160/SUM(Kalender!$E$5:$E$370),0))*Szenarien!$E$25,0)</f>
        <v>2.94</v>
      </c>
      <c r="D5284" s="13" t="n">
        <f aca="false">IF(Szenarien!$H$25="OK",(IFERROR(SUMIF(Nutzungsprofile!$B$17:$B$22,"Schulbetrieb",Nutzungsprofile!$G$17:$G$22)*Kalender!C160/SUM(Kalender!$C$5:$C$370),0)+IFERROR(SUMIF(Nutzungsprofile!$B$17:$B$22,"Halle",Nutzungsprofile!$G$17:$G$22)*Kalender!D160/SUM(Kalender!$D$5:$D$370),0)+IFERROR(SUMIF(Nutzungsprofile!$B$17:$B$22,"Individuell",Nutzungsprofile!$G$17:$G$22)*Kalender!E160/SUM(Kalender!$E$5:$E$370),0))*Szenarien!$D$25,0)</f>
        <v>4.94</v>
      </c>
      <c r="E5284" s="13" t="n">
        <f aca="false">IFERROR(MIN(C5284,Eingaben!$B$17)*Eingaben!$B$16,0)</f>
        <v>2.793</v>
      </c>
      <c r="F5284" s="13" t="n">
        <f aca="false">IFERROR(E5284*Eingaben!$B$15,0)</f>
        <v>2.5137</v>
      </c>
      <c r="G5284" s="13" t="n">
        <f aca="false">IFERROR(IF(Kalender!A160="",0,J5283*(1-Eingaben!$B$20)),0)</f>
        <v>0.7390278</v>
      </c>
      <c r="H5284" s="13" t="n">
        <f aca="false">MIN(G5284,D5284)</f>
        <v>0.7390278</v>
      </c>
      <c r="I5284" s="13" t="n">
        <f aca="false">IFERROR(MIN(F5284*Eingaben!$B$19,MAX(0,D5284-H5284)),0)</f>
        <v>1.75959</v>
      </c>
      <c r="J5284" s="13" t="n">
        <f aca="false">IFERROR(MIN(Eingaben!$B$18,MAX(0,F5284-I5284)),0)</f>
        <v>0.75411</v>
      </c>
      <c r="K5284" s="13" t="n">
        <f aca="false">H5284+I5284</f>
        <v>2.4986178</v>
      </c>
      <c r="L5284" s="13" t="n">
        <f aca="false">MAX(0,D5284-K5284)</f>
        <v>2.4413822</v>
      </c>
      <c r="M5284" s="13" t="n">
        <f aca="false">MAX(0,F5284-I5284-J5284)</f>
        <v>0</v>
      </c>
      <c r="N5284" s="13" t="n">
        <f aca="false">IF(Kalender!A160="",0,J5283-H5284)</f>
        <v>0.0150822</v>
      </c>
    </row>
    <row r="5285" customFormat="false" ht="16.4" hidden="false" customHeight="false" outlineLevel="0" collapsed="false">
      <c r="A5285" s="13" t="str">
        <f aca="false">""</f>
        <v/>
      </c>
      <c r="B5285" s="13" t="n">
        <f aca="false">157</f>
        <v>157</v>
      </c>
      <c r="C5285" s="13" t="n">
        <f aca="false">IF(Szenarien!$H$25="OK",(IFERROR(SUMIF(Nutzungsprofile!$B$6:$B$11,"Schulbetrieb",Nutzungsprofile!$G$6:$G$11)*Kalender!C161/SUM(Kalender!$C$5:$C$370),0)+IFERROR(SUMIF(Nutzungsprofile!$B$6:$B$11,"Halle",Nutzungsprofile!$G$6:$G$11)*Kalender!D161/SUM(Kalender!$D$5:$D$370),0)+IFERROR(SUMIF(Nutzungsprofile!$B$6:$B$11,"Individuell",Nutzungsprofile!$G$6:$G$11)*Kalender!E161/SUM(Kalender!$E$5:$E$370),0))*Szenarien!$E$25,0)</f>
        <v>2.04</v>
      </c>
      <c r="D5285" s="13" t="n">
        <f aca="false">IF(Szenarien!$H$25="OK",(IFERROR(SUMIF(Nutzungsprofile!$B$17:$B$22,"Schulbetrieb",Nutzungsprofile!$G$17:$G$22)*Kalender!C161/SUM(Kalender!$C$5:$C$370),0)+IFERROR(SUMIF(Nutzungsprofile!$B$17:$B$22,"Halle",Nutzungsprofile!$G$17:$G$22)*Kalender!D161/SUM(Kalender!$D$5:$D$370),0)+IFERROR(SUMIF(Nutzungsprofile!$B$17:$B$22,"Individuell",Nutzungsprofile!$G$17:$G$22)*Kalender!E161/SUM(Kalender!$E$5:$E$370),0))*Szenarien!$D$25,0)</f>
        <v>0.89</v>
      </c>
      <c r="E5285" s="13" t="n">
        <f aca="false">IFERROR(MIN(C5285,Eingaben!$B$17)*Eingaben!$B$16,0)</f>
        <v>1.938</v>
      </c>
      <c r="F5285" s="13" t="n">
        <f aca="false">IFERROR(E5285*Eingaben!$B$15,0)</f>
        <v>1.7442</v>
      </c>
      <c r="G5285" s="13" t="n">
        <f aca="false">IFERROR(IF(Kalender!A161="",0,J5284*(1-Eingaben!$B$20)),0)</f>
        <v>0.7390278</v>
      </c>
      <c r="H5285" s="13" t="n">
        <f aca="false">MIN(G5285,D5285)</f>
        <v>0.7390278</v>
      </c>
      <c r="I5285" s="13" t="n">
        <f aca="false">IFERROR(MIN(F5285*Eingaben!$B$19,MAX(0,D5285-H5285)),0)</f>
        <v>0.1509722</v>
      </c>
      <c r="J5285" s="13" t="n">
        <f aca="false">IFERROR(MIN(Eingaben!$B$18,MAX(0,F5285-I5285)),0)</f>
        <v>1.5932278</v>
      </c>
      <c r="K5285" s="13" t="n">
        <f aca="false">H5285+I5285</f>
        <v>0.89</v>
      </c>
      <c r="L5285" s="13" t="n">
        <f aca="false">MAX(0,D5285-K5285)</f>
        <v>0</v>
      </c>
      <c r="M5285" s="13" t="n">
        <f aca="false">MAX(0,F5285-I5285-J5285)</f>
        <v>0</v>
      </c>
      <c r="N5285" s="13" t="n">
        <f aca="false">IF(Kalender!A161="",0,J5284-H5285)</f>
        <v>0.0150822</v>
      </c>
    </row>
    <row r="5286" customFormat="false" ht="16.4" hidden="false" customHeight="false" outlineLevel="0" collapsed="false">
      <c r="A5286" s="13" t="str">
        <f aca="false">""</f>
        <v/>
      </c>
      <c r="B5286" s="13" t="n">
        <f aca="false">158</f>
        <v>158</v>
      </c>
      <c r="C5286" s="13" t="n">
        <f aca="false">IF(Szenarien!$H$25="OK",(IFERROR(SUMIF(Nutzungsprofile!$B$6:$B$11,"Schulbetrieb",Nutzungsprofile!$G$6:$G$11)*Kalender!C162/SUM(Kalender!$C$5:$C$370),0)+IFERROR(SUMIF(Nutzungsprofile!$B$6:$B$11,"Halle",Nutzungsprofile!$G$6:$G$11)*Kalender!D162/SUM(Kalender!$D$5:$D$370),0)+IFERROR(SUMIF(Nutzungsprofile!$B$6:$B$11,"Individuell",Nutzungsprofile!$G$6:$G$11)*Kalender!E162/SUM(Kalender!$E$5:$E$370),0))*Szenarien!$E$25,0)</f>
        <v>2.04</v>
      </c>
      <c r="D5286" s="13" t="n">
        <f aca="false">IF(Szenarien!$H$25="OK",(IFERROR(SUMIF(Nutzungsprofile!$B$17:$B$22,"Schulbetrieb",Nutzungsprofile!$G$17:$G$22)*Kalender!C162/SUM(Kalender!$C$5:$C$370),0)+IFERROR(SUMIF(Nutzungsprofile!$B$17:$B$22,"Halle",Nutzungsprofile!$G$17:$G$22)*Kalender!D162/SUM(Kalender!$D$5:$D$370),0)+IFERROR(SUMIF(Nutzungsprofile!$B$17:$B$22,"Individuell",Nutzungsprofile!$G$17:$G$22)*Kalender!E162/SUM(Kalender!$E$5:$E$370),0))*Szenarien!$D$25,0)</f>
        <v>0.89</v>
      </c>
      <c r="E5286" s="13" t="n">
        <f aca="false">IFERROR(MIN(C5286,Eingaben!$B$17)*Eingaben!$B$16,0)</f>
        <v>1.938</v>
      </c>
      <c r="F5286" s="13" t="n">
        <f aca="false">IFERROR(E5286*Eingaben!$B$15,0)</f>
        <v>1.7442</v>
      </c>
      <c r="G5286" s="13" t="n">
        <f aca="false">IFERROR(IF(Kalender!A162="",0,J5285*(1-Eingaben!$B$20)),0)</f>
        <v>1.561363244</v>
      </c>
      <c r="H5286" s="13" t="n">
        <f aca="false">MIN(G5286,D5286)</f>
        <v>0.89</v>
      </c>
      <c r="I5286" s="13" t="n">
        <f aca="false">IFERROR(MIN(F5286*Eingaben!$B$19,MAX(0,D5286-H5286)),0)</f>
        <v>0</v>
      </c>
      <c r="J5286" s="13" t="n">
        <f aca="false">IFERROR(MIN(Eingaben!$B$18,MAX(0,F5286-I5286)),0)</f>
        <v>1.7442</v>
      </c>
      <c r="K5286" s="13" t="n">
        <f aca="false">H5286+I5286</f>
        <v>0.89</v>
      </c>
      <c r="L5286" s="13" t="n">
        <f aca="false">MAX(0,D5286-K5286)</f>
        <v>0</v>
      </c>
      <c r="M5286" s="13" t="n">
        <f aca="false">MAX(0,F5286-I5286-J5286)</f>
        <v>0</v>
      </c>
      <c r="N5286" s="13" t="n">
        <f aca="false">IF(Kalender!A162="",0,J5285-H5286)</f>
        <v>0.7032278</v>
      </c>
    </row>
    <row r="5287" customFormat="false" ht="16.4" hidden="false" customHeight="false" outlineLevel="0" collapsed="false">
      <c r="A5287" s="13" t="str">
        <f aca="false">""</f>
        <v/>
      </c>
      <c r="B5287" s="13" t="n">
        <f aca="false">159</f>
        <v>159</v>
      </c>
      <c r="C5287" s="13" t="n">
        <f aca="false">IF(Szenarien!$H$25="OK",(IFERROR(SUMIF(Nutzungsprofile!$B$6:$B$11,"Schulbetrieb",Nutzungsprofile!$G$6:$G$11)*Kalender!C163/SUM(Kalender!$C$5:$C$370),0)+IFERROR(SUMIF(Nutzungsprofile!$B$6:$B$11,"Halle",Nutzungsprofile!$G$6:$G$11)*Kalender!D163/SUM(Kalender!$D$5:$D$370),0)+IFERROR(SUMIF(Nutzungsprofile!$B$6:$B$11,"Individuell",Nutzungsprofile!$G$6:$G$11)*Kalender!E163/SUM(Kalender!$E$5:$E$370),0))*Szenarien!$E$25,0)</f>
        <v>2.94</v>
      </c>
      <c r="D5287" s="13" t="n">
        <f aca="false">IF(Szenarien!$H$25="OK",(IFERROR(SUMIF(Nutzungsprofile!$B$17:$B$22,"Schulbetrieb",Nutzungsprofile!$G$17:$G$22)*Kalender!C163/SUM(Kalender!$C$5:$C$370),0)+IFERROR(SUMIF(Nutzungsprofile!$B$17:$B$22,"Halle",Nutzungsprofile!$G$17:$G$22)*Kalender!D163/SUM(Kalender!$D$5:$D$370),0)+IFERROR(SUMIF(Nutzungsprofile!$B$17:$B$22,"Individuell",Nutzungsprofile!$G$17:$G$22)*Kalender!E163/SUM(Kalender!$E$5:$E$370),0))*Szenarien!$D$25,0)</f>
        <v>4.94</v>
      </c>
      <c r="E5287" s="13" t="n">
        <f aca="false">IFERROR(MIN(C5287,Eingaben!$B$17)*Eingaben!$B$16,0)</f>
        <v>2.793</v>
      </c>
      <c r="F5287" s="13" t="n">
        <f aca="false">IFERROR(E5287*Eingaben!$B$15,0)</f>
        <v>2.5137</v>
      </c>
      <c r="G5287" s="13" t="n">
        <f aca="false">IFERROR(IF(Kalender!A163="",0,J5286*(1-Eingaben!$B$20)),0)</f>
        <v>1.709316</v>
      </c>
      <c r="H5287" s="13" t="n">
        <f aca="false">MIN(G5287,D5287)</f>
        <v>1.709316</v>
      </c>
      <c r="I5287" s="13" t="n">
        <f aca="false">IFERROR(MIN(F5287*Eingaben!$B$19,MAX(0,D5287-H5287)),0)</f>
        <v>1.75959</v>
      </c>
      <c r="J5287" s="13" t="n">
        <f aca="false">IFERROR(MIN(Eingaben!$B$18,MAX(0,F5287-I5287)),0)</f>
        <v>0.75411</v>
      </c>
      <c r="K5287" s="13" t="n">
        <f aca="false">H5287+I5287</f>
        <v>3.468906</v>
      </c>
      <c r="L5287" s="13" t="n">
        <f aca="false">MAX(0,D5287-K5287)</f>
        <v>1.471094</v>
      </c>
      <c r="M5287" s="13" t="n">
        <f aca="false">MAX(0,F5287-I5287-J5287)</f>
        <v>0</v>
      </c>
      <c r="N5287" s="13" t="n">
        <f aca="false">IF(Kalender!A163="",0,J5286-H5287)</f>
        <v>0.0348840000000001</v>
      </c>
    </row>
    <row r="5288" customFormat="false" ht="16.4" hidden="false" customHeight="false" outlineLevel="0" collapsed="false">
      <c r="A5288" s="13" t="str">
        <f aca="false">""</f>
        <v/>
      </c>
      <c r="B5288" s="13" t="n">
        <f aca="false">160</f>
        <v>160</v>
      </c>
      <c r="C5288" s="13" t="n">
        <f aca="false">IF(Szenarien!$H$25="OK",(IFERROR(SUMIF(Nutzungsprofile!$B$6:$B$11,"Schulbetrieb",Nutzungsprofile!$G$6:$G$11)*Kalender!C164/SUM(Kalender!$C$5:$C$370),0)+IFERROR(SUMIF(Nutzungsprofile!$B$6:$B$11,"Halle",Nutzungsprofile!$G$6:$G$11)*Kalender!D164/SUM(Kalender!$D$5:$D$370),0)+IFERROR(SUMIF(Nutzungsprofile!$B$6:$B$11,"Individuell",Nutzungsprofile!$G$6:$G$11)*Kalender!E164/SUM(Kalender!$E$5:$E$370),0))*Szenarien!$E$25,0)</f>
        <v>2.94</v>
      </c>
      <c r="D5288" s="13" t="n">
        <f aca="false">IF(Szenarien!$H$25="OK",(IFERROR(SUMIF(Nutzungsprofile!$B$17:$B$22,"Schulbetrieb",Nutzungsprofile!$G$17:$G$22)*Kalender!C164/SUM(Kalender!$C$5:$C$370),0)+IFERROR(SUMIF(Nutzungsprofile!$B$17:$B$22,"Halle",Nutzungsprofile!$G$17:$G$22)*Kalender!D164/SUM(Kalender!$D$5:$D$370),0)+IFERROR(SUMIF(Nutzungsprofile!$B$17:$B$22,"Individuell",Nutzungsprofile!$G$17:$G$22)*Kalender!E164/SUM(Kalender!$E$5:$E$370),0))*Szenarien!$D$25,0)</f>
        <v>4.94</v>
      </c>
      <c r="E5288" s="13" t="n">
        <f aca="false">IFERROR(MIN(C5288,Eingaben!$B$17)*Eingaben!$B$16,0)</f>
        <v>2.793</v>
      </c>
      <c r="F5288" s="13" t="n">
        <f aca="false">IFERROR(E5288*Eingaben!$B$15,0)</f>
        <v>2.5137</v>
      </c>
      <c r="G5288" s="13" t="n">
        <f aca="false">IFERROR(IF(Kalender!A164="",0,J5287*(1-Eingaben!$B$20)),0)</f>
        <v>0.7390278</v>
      </c>
      <c r="H5288" s="13" t="n">
        <f aca="false">MIN(G5288,D5288)</f>
        <v>0.7390278</v>
      </c>
      <c r="I5288" s="13" t="n">
        <f aca="false">IFERROR(MIN(F5288*Eingaben!$B$19,MAX(0,D5288-H5288)),0)</f>
        <v>1.75959</v>
      </c>
      <c r="J5288" s="13" t="n">
        <f aca="false">IFERROR(MIN(Eingaben!$B$18,MAX(0,F5288-I5288)),0)</f>
        <v>0.75411</v>
      </c>
      <c r="K5288" s="13" t="n">
        <f aca="false">H5288+I5288</f>
        <v>2.4986178</v>
      </c>
      <c r="L5288" s="13" t="n">
        <f aca="false">MAX(0,D5288-K5288)</f>
        <v>2.4413822</v>
      </c>
      <c r="M5288" s="13" t="n">
        <f aca="false">MAX(0,F5288-I5288-J5288)</f>
        <v>0</v>
      </c>
      <c r="N5288" s="13" t="n">
        <f aca="false">IF(Kalender!A164="",0,J5287-H5288)</f>
        <v>0.0150822</v>
      </c>
    </row>
    <row r="5289" customFormat="false" ht="16.4" hidden="false" customHeight="false" outlineLevel="0" collapsed="false">
      <c r="A5289" s="13" t="str">
        <f aca="false">""</f>
        <v/>
      </c>
      <c r="B5289" s="13" t="n">
        <f aca="false">161</f>
        <v>161</v>
      </c>
      <c r="C5289" s="13" t="n">
        <f aca="false">IF(Szenarien!$H$25="OK",(IFERROR(SUMIF(Nutzungsprofile!$B$6:$B$11,"Schulbetrieb",Nutzungsprofile!$G$6:$G$11)*Kalender!C165/SUM(Kalender!$C$5:$C$370),0)+IFERROR(SUMIF(Nutzungsprofile!$B$6:$B$11,"Halle",Nutzungsprofile!$G$6:$G$11)*Kalender!D165/SUM(Kalender!$D$5:$D$370),0)+IFERROR(SUMIF(Nutzungsprofile!$B$6:$B$11,"Individuell",Nutzungsprofile!$G$6:$G$11)*Kalender!E165/SUM(Kalender!$E$5:$E$370),0))*Szenarien!$E$25,0)</f>
        <v>2.94</v>
      </c>
      <c r="D5289" s="13" t="n">
        <f aca="false">IF(Szenarien!$H$25="OK",(IFERROR(SUMIF(Nutzungsprofile!$B$17:$B$22,"Schulbetrieb",Nutzungsprofile!$G$17:$G$22)*Kalender!C165/SUM(Kalender!$C$5:$C$370),0)+IFERROR(SUMIF(Nutzungsprofile!$B$17:$B$22,"Halle",Nutzungsprofile!$G$17:$G$22)*Kalender!D165/SUM(Kalender!$D$5:$D$370),0)+IFERROR(SUMIF(Nutzungsprofile!$B$17:$B$22,"Individuell",Nutzungsprofile!$G$17:$G$22)*Kalender!E165/SUM(Kalender!$E$5:$E$370),0))*Szenarien!$D$25,0)</f>
        <v>4.94</v>
      </c>
      <c r="E5289" s="13" t="n">
        <f aca="false">IFERROR(MIN(C5289,Eingaben!$B$17)*Eingaben!$B$16,0)</f>
        <v>2.793</v>
      </c>
      <c r="F5289" s="13" t="n">
        <f aca="false">IFERROR(E5289*Eingaben!$B$15,0)</f>
        <v>2.5137</v>
      </c>
      <c r="G5289" s="13" t="n">
        <f aca="false">IFERROR(IF(Kalender!A165="",0,J5288*(1-Eingaben!$B$20)),0)</f>
        <v>0.7390278</v>
      </c>
      <c r="H5289" s="13" t="n">
        <f aca="false">MIN(G5289,D5289)</f>
        <v>0.7390278</v>
      </c>
      <c r="I5289" s="13" t="n">
        <f aca="false">IFERROR(MIN(F5289*Eingaben!$B$19,MAX(0,D5289-H5289)),0)</f>
        <v>1.75959</v>
      </c>
      <c r="J5289" s="13" t="n">
        <f aca="false">IFERROR(MIN(Eingaben!$B$18,MAX(0,F5289-I5289)),0)</f>
        <v>0.75411</v>
      </c>
      <c r="K5289" s="13" t="n">
        <f aca="false">H5289+I5289</f>
        <v>2.4986178</v>
      </c>
      <c r="L5289" s="13" t="n">
        <f aca="false">MAX(0,D5289-K5289)</f>
        <v>2.4413822</v>
      </c>
      <c r="M5289" s="13" t="n">
        <f aca="false">MAX(0,F5289-I5289-J5289)</f>
        <v>0</v>
      </c>
      <c r="N5289" s="13" t="n">
        <f aca="false">IF(Kalender!A165="",0,J5288-H5289)</f>
        <v>0.0150822</v>
      </c>
    </row>
    <row r="5290" customFormat="false" ht="16.4" hidden="false" customHeight="false" outlineLevel="0" collapsed="false">
      <c r="A5290" s="13" t="str">
        <f aca="false">""</f>
        <v/>
      </c>
      <c r="B5290" s="13" t="n">
        <f aca="false">162</f>
        <v>162</v>
      </c>
      <c r="C5290" s="13" t="n">
        <f aca="false">IF(Szenarien!$H$25="OK",(IFERROR(SUMIF(Nutzungsprofile!$B$6:$B$11,"Schulbetrieb",Nutzungsprofile!$G$6:$G$11)*Kalender!C166/SUM(Kalender!$C$5:$C$370),0)+IFERROR(SUMIF(Nutzungsprofile!$B$6:$B$11,"Halle",Nutzungsprofile!$G$6:$G$11)*Kalender!D166/SUM(Kalender!$D$5:$D$370),0)+IFERROR(SUMIF(Nutzungsprofile!$B$6:$B$11,"Individuell",Nutzungsprofile!$G$6:$G$11)*Kalender!E166/SUM(Kalender!$E$5:$E$370),0))*Szenarien!$E$25,0)</f>
        <v>2.94</v>
      </c>
      <c r="D5290" s="13" t="n">
        <f aca="false">IF(Szenarien!$H$25="OK",(IFERROR(SUMIF(Nutzungsprofile!$B$17:$B$22,"Schulbetrieb",Nutzungsprofile!$G$17:$G$22)*Kalender!C166/SUM(Kalender!$C$5:$C$370),0)+IFERROR(SUMIF(Nutzungsprofile!$B$17:$B$22,"Halle",Nutzungsprofile!$G$17:$G$22)*Kalender!D166/SUM(Kalender!$D$5:$D$370),0)+IFERROR(SUMIF(Nutzungsprofile!$B$17:$B$22,"Individuell",Nutzungsprofile!$G$17:$G$22)*Kalender!E166/SUM(Kalender!$E$5:$E$370),0))*Szenarien!$D$25,0)</f>
        <v>4.94</v>
      </c>
      <c r="E5290" s="13" t="n">
        <f aca="false">IFERROR(MIN(C5290,Eingaben!$B$17)*Eingaben!$B$16,0)</f>
        <v>2.793</v>
      </c>
      <c r="F5290" s="13" t="n">
        <f aca="false">IFERROR(E5290*Eingaben!$B$15,0)</f>
        <v>2.5137</v>
      </c>
      <c r="G5290" s="13" t="n">
        <f aca="false">IFERROR(IF(Kalender!A166="",0,J5289*(1-Eingaben!$B$20)),0)</f>
        <v>0.7390278</v>
      </c>
      <c r="H5290" s="13" t="n">
        <f aca="false">MIN(G5290,D5290)</f>
        <v>0.7390278</v>
      </c>
      <c r="I5290" s="13" t="n">
        <f aca="false">IFERROR(MIN(F5290*Eingaben!$B$19,MAX(0,D5290-H5290)),0)</f>
        <v>1.75959</v>
      </c>
      <c r="J5290" s="13" t="n">
        <f aca="false">IFERROR(MIN(Eingaben!$B$18,MAX(0,F5290-I5290)),0)</f>
        <v>0.75411</v>
      </c>
      <c r="K5290" s="13" t="n">
        <f aca="false">H5290+I5290</f>
        <v>2.4986178</v>
      </c>
      <c r="L5290" s="13" t="n">
        <f aca="false">MAX(0,D5290-K5290)</f>
        <v>2.4413822</v>
      </c>
      <c r="M5290" s="13" t="n">
        <f aca="false">MAX(0,F5290-I5290-J5290)</f>
        <v>0</v>
      </c>
      <c r="N5290" s="13" t="n">
        <f aca="false">IF(Kalender!A166="",0,J5289-H5290)</f>
        <v>0.0150822</v>
      </c>
    </row>
    <row r="5291" customFormat="false" ht="16.4" hidden="false" customHeight="false" outlineLevel="0" collapsed="false">
      <c r="A5291" s="13" t="str">
        <f aca="false">""</f>
        <v/>
      </c>
      <c r="B5291" s="13" t="n">
        <f aca="false">163</f>
        <v>163</v>
      </c>
      <c r="C5291" s="13" t="n">
        <f aca="false">IF(Szenarien!$H$25="OK",(IFERROR(SUMIF(Nutzungsprofile!$B$6:$B$11,"Schulbetrieb",Nutzungsprofile!$G$6:$G$11)*Kalender!C167/SUM(Kalender!$C$5:$C$370),0)+IFERROR(SUMIF(Nutzungsprofile!$B$6:$B$11,"Halle",Nutzungsprofile!$G$6:$G$11)*Kalender!D167/SUM(Kalender!$D$5:$D$370),0)+IFERROR(SUMIF(Nutzungsprofile!$B$6:$B$11,"Individuell",Nutzungsprofile!$G$6:$G$11)*Kalender!E167/SUM(Kalender!$E$5:$E$370),0))*Szenarien!$E$25,0)</f>
        <v>2.94</v>
      </c>
      <c r="D5291" s="13" t="n">
        <f aca="false">IF(Szenarien!$H$25="OK",(IFERROR(SUMIF(Nutzungsprofile!$B$17:$B$22,"Schulbetrieb",Nutzungsprofile!$G$17:$G$22)*Kalender!C167/SUM(Kalender!$C$5:$C$370),0)+IFERROR(SUMIF(Nutzungsprofile!$B$17:$B$22,"Halle",Nutzungsprofile!$G$17:$G$22)*Kalender!D167/SUM(Kalender!$D$5:$D$370),0)+IFERROR(SUMIF(Nutzungsprofile!$B$17:$B$22,"Individuell",Nutzungsprofile!$G$17:$G$22)*Kalender!E167/SUM(Kalender!$E$5:$E$370),0))*Szenarien!$D$25,0)</f>
        <v>4.94</v>
      </c>
      <c r="E5291" s="13" t="n">
        <f aca="false">IFERROR(MIN(C5291,Eingaben!$B$17)*Eingaben!$B$16,0)</f>
        <v>2.793</v>
      </c>
      <c r="F5291" s="13" t="n">
        <f aca="false">IFERROR(E5291*Eingaben!$B$15,0)</f>
        <v>2.5137</v>
      </c>
      <c r="G5291" s="13" t="n">
        <f aca="false">IFERROR(IF(Kalender!A167="",0,J5290*(1-Eingaben!$B$20)),0)</f>
        <v>0.7390278</v>
      </c>
      <c r="H5291" s="13" t="n">
        <f aca="false">MIN(G5291,D5291)</f>
        <v>0.7390278</v>
      </c>
      <c r="I5291" s="13" t="n">
        <f aca="false">IFERROR(MIN(F5291*Eingaben!$B$19,MAX(0,D5291-H5291)),0)</f>
        <v>1.75959</v>
      </c>
      <c r="J5291" s="13" t="n">
        <f aca="false">IFERROR(MIN(Eingaben!$B$18,MAX(0,F5291-I5291)),0)</f>
        <v>0.75411</v>
      </c>
      <c r="K5291" s="13" t="n">
        <f aca="false">H5291+I5291</f>
        <v>2.4986178</v>
      </c>
      <c r="L5291" s="13" t="n">
        <f aca="false">MAX(0,D5291-K5291)</f>
        <v>2.4413822</v>
      </c>
      <c r="M5291" s="13" t="n">
        <f aca="false">MAX(0,F5291-I5291-J5291)</f>
        <v>0</v>
      </c>
      <c r="N5291" s="13" t="n">
        <f aca="false">IF(Kalender!A167="",0,J5290-H5291)</f>
        <v>0.0150822</v>
      </c>
    </row>
    <row r="5292" customFormat="false" ht="16.4" hidden="false" customHeight="false" outlineLevel="0" collapsed="false">
      <c r="A5292" s="13" t="str">
        <f aca="false">""</f>
        <v/>
      </c>
      <c r="B5292" s="13" t="n">
        <f aca="false">164</f>
        <v>164</v>
      </c>
      <c r="C5292" s="13" t="n">
        <f aca="false">IF(Szenarien!$H$25="OK",(IFERROR(SUMIF(Nutzungsprofile!$B$6:$B$11,"Schulbetrieb",Nutzungsprofile!$G$6:$G$11)*Kalender!C168/SUM(Kalender!$C$5:$C$370),0)+IFERROR(SUMIF(Nutzungsprofile!$B$6:$B$11,"Halle",Nutzungsprofile!$G$6:$G$11)*Kalender!D168/SUM(Kalender!$D$5:$D$370),0)+IFERROR(SUMIF(Nutzungsprofile!$B$6:$B$11,"Individuell",Nutzungsprofile!$G$6:$G$11)*Kalender!E168/SUM(Kalender!$E$5:$E$370),0))*Szenarien!$E$25,0)</f>
        <v>2.04</v>
      </c>
      <c r="D5292" s="13" t="n">
        <f aca="false">IF(Szenarien!$H$25="OK",(IFERROR(SUMIF(Nutzungsprofile!$B$17:$B$22,"Schulbetrieb",Nutzungsprofile!$G$17:$G$22)*Kalender!C168/SUM(Kalender!$C$5:$C$370),0)+IFERROR(SUMIF(Nutzungsprofile!$B$17:$B$22,"Halle",Nutzungsprofile!$G$17:$G$22)*Kalender!D168/SUM(Kalender!$D$5:$D$370),0)+IFERROR(SUMIF(Nutzungsprofile!$B$17:$B$22,"Individuell",Nutzungsprofile!$G$17:$G$22)*Kalender!E168/SUM(Kalender!$E$5:$E$370),0))*Szenarien!$D$25,0)</f>
        <v>0.89</v>
      </c>
      <c r="E5292" s="13" t="n">
        <f aca="false">IFERROR(MIN(C5292,Eingaben!$B$17)*Eingaben!$B$16,0)</f>
        <v>1.938</v>
      </c>
      <c r="F5292" s="13" t="n">
        <f aca="false">IFERROR(E5292*Eingaben!$B$15,0)</f>
        <v>1.7442</v>
      </c>
      <c r="G5292" s="13" t="n">
        <f aca="false">IFERROR(IF(Kalender!A168="",0,J5291*(1-Eingaben!$B$20)),0)</f>
        <v>0.7390278</v>
      </c>
      <c r="H5292" s="13" t="n">
        <f aca="false">MIN(G5292,D5292)</f>
        <v>0.7390278</v>
      </c>
      <c r="I5292" s="13" t="n">
        <f aca="false">IFERROR(MIN(F5292*Eingaben!$B$19,MAX(0,D5292-H5292)),0)</f>
        <v>0.1509722</v>
      </c>
      <c r="J5292" s="13" t="n">
        <f aca="false">IFERROR(MIN(Eingaben!$B$18,MAX(0,F5292-I5292)),0)</f>
        <v>1.5932278</v>
      </c>
      <c r="K5292" s="13" t="n">
        <f aca="false">H5292+I5292</f>
        <v>0.89</v>
      </c>
      <c r="L5292" s="13" t="n">
        <f aca="false">MAX(0,D5292-K5292)</f>
        <v>0</v>
      </c>
      <c r="M5292" s="13" t="n">
        <f aca="false">MAX(0,F5292-I5292-J5292)</f>
        <v>0</v>
      </c>
      <c r="N5292" s="13" t="n">
        <f aca="false">IF(Kalender!A168="",0,J5291-H5292)</f>
        <v>0.0150822</v>
      </c>
    </row>
    <row r="5293" customFormat="false" ht="16.4" hidden="false" customHeight="false" outlineLevel="0" collapsed="false">
      <c r="A5293" s="13" t="str">
        <f aca="false">""</f>
        <v/>
      </c>
      <c r="B5293" s="13" t="n">
        <f aca="false">165</f>
        <v>165</v>
      </c>
      <c r="C5293" s="13" t="n">
        <f aca="false">IF(Szenarien!$H$25="OK",(IFERROR(SUMIF(Nutzungsprofile!$B$6:$B$11,"Schulbetrieb",Nutzungsprofile!$G$6:$G$11)*Kalender!C169/SUM(Kalender!$C$5:$C$370),0)+IFERROR(SUMIF(Nutzungsprofile!$B$6:$B$11,"Halle",Nutzungsprofile!$G$6:$G$11)*Kalender!D169/SUM(Kalender!$D$5:$D$370),0)+IFERROR(SUMIF(Nutzungsprofile!$B$6:$B$11,"Individuell",Nutzungsprofile!$G$6:$G$11)*Kalender!E169/SUM(Kalender!$E$5:$E$370),0))*Szenarien!$E$25,0)</f>
        <v>2.04</v>
      </c>
      <c r="D5293" s="13" t="n">
        <f aca="false">IF(Szenarien!$H$25="OK",(IFERROR(SUMIF(Nutzungsprofile!$B$17:$B$22,"Schulbetrieb",Nutzungsprofile!$G$17:$G$22)*Kalender!C169/SUM(Kalender!$C$5:$C$370),0)+IFERROR(SUMIF(Nutzungsprofile!$B$17:$B$22,"Halle",Nutzungsprofile!$G$17:$G$22)*Kalender!D169/SUM(Kalender!$D$5:$D$370),0)+IFERROR(SUMIF(Nutzungsprofile!$B$17:$B$22,"Individuell",Nutzungsprofile!$G$17:$G$22)*Kalender!E169/SUM(Kalender!$E$5:$E$370),0))*Szenarien!$D$25,0)</f>
        <v>0.89</v>
      </c>
      <c r="E5293" s="13" t="n">
        <f aca="false">IFERROR(MIN(C5293,Eingaben!$B$17)*Eingaben!$B$16,0)</f>
        <v>1.938</v>
      </c>
      <c r="F5293" s="13" t="n">
        <f aca="false">IFERROR(E5293*Eingaben!$B$15,0)</f>
        <v>1.7442</v>
      </c>
      <c r="G5293" s="13" t="n">
        <f aca="false">IFERROR(IF(Kalender!A169="",0,J5292*(1-Eingaben!$B$20)),0)</f>
        <v>1.561363244</v>
      </c>
      <c r="H5293" s="13" t="n">
        <f aca="false">MIN(G5293,D5293)</f>
        <v>0.89</v>
      </c>
      <c r="I5293" s="13" t="n">
        <f aca="false">IFERROR(MIN(F5293*Eingaben!$B$19,MAX(0,D5293-H5293)),0)</f>
        <v>0</v>
      </c>
      <c r="J5293" s="13" t="n">
        <f aca="false">IFERROR(MIN(Eingaben!$B$18,MAX(0,F5293-I5293)),0)</f>
        <v>1.7442</v>
      </c>
      <c r="K5293" s="13" t="n">
        <f aca="false">H5293+I5293</f>
        <v>0.89</v>
      </c>
      <c r="L5293" s="13" t="n">
        <f aca="false">MAX(0,D5293-K5293)</f>
        <v>0</v>
      </c>
      <c r="M5293" s="13" t="n">
        <f aca="false">MAX(0,F5293-I5293-J5293)</f>
        <v>0</v>
      </c>
      <c r="N5293" s="13" t="n">
        <f aca="false">IF(Kalender!A169="",0,J5292-H5293)</f>
        <v>0.7032278</v>
      </c>
    </row>
    <row r="5294" customFormat="false" ht="16.4" hidden="false" customHeight="false" outlineLevel="0" collapsed="false">
      <c r="A5294" s="13" t="str">
        <f aca="false">""</f>
        <v/>
      </c>
      <c r="B5294" s="13" t="n">
        <f aca="false">166</f>
        <v>166</v>
      </c>
      <c r="C5294" s="13" t="n">
        <f aca="false">IF(Szenarien!$H$25="OK",(IFERROR(SUMIF(Nutzungsprofile!$B$6:$B$11,"Schulbetrieb",Nutzungsprofile!$G$6:$G$11)*Kalender!C170/SUM(Kalender!$C$5:$C$370),0)+IFERROR(SUMIF(Nutzungsprofile!$B$6:$B$11,"Halle",Nutzungsprofile!$G$6:$G$11)*Kalender!D170/SUM(Kalender!$D$5:$D$370),0)+IFERROR(SUMIF(Nutzungsprofile!$B$6:$B$11,"Individuell",Nutzungsprofile!$G$6:$G$11)*Kalender!E170/SUM(Kalender!$E$5:$E$370),0))*Szenarien!$E$25,0)</f>
        <v>2.94</v>
      </c>
      <c r="D5294" s="13" t="n">
        <f aca="false">IF(Szenarien!$H$25="OK",(IFERROR(SUMIF(Nutzungsprofile!$B$17:$B$22,"Schulbetrieb",Nutzungsprofile!$G$17:$G$22)*Kalender!C170/SUM(Kalender!$C$5:$C$370),0)+IFERROR(SUMIF(Nutzungsprofile!$B$17:$B$22,"Halle",Nutzungsprofile!$G$17:$G$22)*Kalender!D170/SUM(Kalender!$D$5:$D$370),0)+IFERROR(SUMIF(Nutzungsprofile!$B$17:$B$22,"Individuell",Nutzungsprofile!$G$17:$G$22)*Kalender!E170/SUM(Kalender!$E$5:$E$370),0))*Szenarien!$D$25,0)</f>
        <v>4.94</v>
      </c>
      <c r="E5294" s="13" t="n">
        <f aca="false">IFERROR(MIN(C5294,Eingaben!$B$17)*Eingaben!$B$16,0)</f>
        <v>2.793</v>
      </c>
      <c r="F5294" s="13" t="n">
        <f aca="false">IFERROR(E5294*Eingaben!$B$15,0)</f>
        <v>2.5137</v>
      </c>
      <c r="G5294" s="13" t="n">
        <f aca="false">IFERROR(IF(Kalender!A170="",0,J5293*(1-Eingaben!$B$20)),0)</f>
        <v>1.709316</v>
      </c>
      <c r="H5294" s="13" t="n">
        <f aca="false">MIN(G5294,D5294)</f>
        <v>1.709316</v>
      </c>
      <c r="I5294" s="13" t="n">
        <f aca="false">IFERROR(MIN(F5294*Eingaben!$B$19,MAX(0,D5294-H5294)),0)</f>
        <v>1.75959</v>
      </c>
      <c r="J5294" s="13" t="n">
        <f aca="false">IFERROR(MIN(Eingaben!$B$18,MAX(0,F5294-I5294)),0)</f>
        <v>0.75411</v>
      </c>
      <c r="K5294" s="13" t="n">
        <f aca="false">H5294+I5294</f>
        <v>3.468906</v>
      </c>
      <c r="L5294" s="13" t="n">
        <f aca="false">MAX(0,D5294-K5294)</f>
        <v>1.471094</v>
      </c>
      <c r="M5294" s="13" t="n">
        <f aca="false">MAX(0,F5294-I5294-J5294)</f>
        <v>0</v>
      </c>
      <c r="N5294" s="13" t="n">
        <f aca="false">IF(Kalender!A170="",0,J5293-H5294)</f>
        <v>0.0348840000000001</v>
      </c>
    </row>
    <row r="5295" customFormat="false" ht="16.4" hidden="false" customHeight="false" outlineLevel="0" collapsed="false">
      <c r="A5295" s="13" t="str">
        <f aca="false">""</f>
        <v/>
      </c>
      <c r="B5295" s="13" t="n">
        <f aca="false">167</f>
        <v>167</v>
      </c>
      <c r="C5295" s="13" t="n">
        <f aca="false">IF(Szenarien!$H$25="OK",(IFERROR(SUMIF(Nutzungsprofile!$B$6:$B$11,"Schulbetrieb",Nutzungsprofile!$G$6:$G$11)*Kalender!C171/SUM(Kalender!$C$5:$C$370),0)+IFERROR(SUMIF(Nutzungsprofile!$B$6:$B$11,"Halle",Nutzungsprofile!$G$6:$G$11)*Kalender!D171/SUM(Kalender!$D$5:$D$370),0)+IFERROR(SUMIF(Nutzungsprofile!$B$6:$B$11,"Individuell",Nutzungsprofile!$G$6:$G$11)*Kalender!E171/SUM(Kalender!$E$5:$E$370),0))*Szenarien!$E$25,0)</f>
        <v>2.94</v>
      </c>
      <c r="D5295" s="13" t="n">
        <f aca="false">IF(Szenarien!$H$25="OK",(IFERROR(SUMIF(Nutzungsprofile!$B$17:$B$22,"Schulbetrieb",Nutzungsprofile!$G$17:$G$22)*Kalender!C171/SUM(Kalender!$C$5:$C$370),0)+IFERROR(SUMIF(Nutzungsprofile!$B$17:$B$22,"Halle",Nutzungsprofile!$G$17:$G$22)*Kalender!D171/SUM(Kalender!$D$5:$D$370),0)+IFERROR(SUMIF(Nutzungsprofile!$B$17:$B$22,"Individuell",Nutzungsprofile!$G$17:$G$22)*Kalender!E171/SUM(Kalender!$E$5:$E$370),0))*Szenarien!$D$25,0)</f>
        <v>4.94</v>
      </c>
      <c r="E5295" s="13" t="n">
        <f aca="false">IFERROR(MIN(C5295,Eingaben!$B$17)*Eingaben!$B$16,0)</f>
        <v>2.793</v>
      </c>
      <c r="F5295" s="13" t="n">
        <f aca="false">IFERROR(E5295*Eingaben!$B$15,0)</f>
        <v>2.5137</v>
      </c>
      <c r="G5295" s="13" t="n">
        <f aca="false">IFERROR(IF(Kalender!A171="",0,J5294*(1-Eingaben!$B$20)),0)</f>
        <v>0.7390278</v>
      </c>
      <c r="H5295" s="13" t="n">
        <f aca="false">MIN(G5295,D5295)</f>
        <v>0.7390278</v>
      </c>
      <c r="I5295" s="13" t="n">
        <f aca="false">IFERROR(MIN(F5295*Eingaben!$B$19,MAX(0,D5295-H5295)),0)</f>
        <v>1.75959</v>
      </c>
      <c r="J5295" s="13" t="n">
        <f aca="false">IFERROR(MIN(Eingaben!$B$18,MAX(0,F5295-I5295)),0)</f>
        <v>0.75411</v>
      </c>
      <c r="K5295" s="13" t="n">
        <f aca="false">H5295+I5295</f>
        <v>2.4986178</v>
      </c>
      <c r="L5295" s="13" t="n">
        <f aca="false">MAX(0,D5295-K5295)</f>
        <v>2.4413822</v>
      </c>
      <c r="M5295" s="13" t="n">
        <f aca="false">MAX(0,F5295-I5295-J5295)</f>
        <v>0</v>
      </c>
      <c r="N5295" s="13" t="n">
        <f aca="false">IF(Kalender!A171="",0,J5294-H5295)</f>
        <v>0.0150822</v>
      </c>
    </row>
    <row r="5296" customFormat="false" ht="16.4" hidden="false" customHeight="false" outlineLevel="0" collapsed="false">
      <c r="A5296" s="13" t="str">
        <f aca="false">""</f>
        <v/>
      </c>
      <c r="B5296" s="13" t="n">
        <f aca="false">168</f>
        <v>168</v>
      </c>
      <c r="C5296" s="13" t="n">
        <f aca="false">IF(Szenarien!$H$25="OK",(IFERROR(SUMIF(Nutzungsprofile!$B$6:$B$11,"Schulbetrieb",Nutzungsprofile!$G$6:$G$11)*Kalender!C172/SUM(Kalender!$C$5:$C$370),0)+IFERROR(SUMIF(Nutzungsprofile!$B$6:$B$11,"Halle",Nutzungsprofile!$G$6:$G$11)*Kalender!D172/SUM(Kalender!$D$5:$D$370),0)+IFERROR(SUMIF(Nutzungsprofile!$B$6:$B$11,"Individuell",Nutzungsprofile!$G$6:$G$11)*Kalender!E172/SUM(Kalender!$E$5:$E$370),0))*Szenarien!$E$25,0)</f>
        <v>2.94</v>
      </c>
      <c r="D5296" s="13" t="n">
        <f aca="false">IF(Szenarien!$H$25="OK",(IFERROR(SUMIF(Nutzungsprofile!$B$17:$B$22,"Schulbetrieb",Nutzungsprofile!$G$17:$G$22)*Kalender!C172/SUM(Kalender!$C$5:$C$370),0)+IFERROR(SUMIF(Nutzungsprofile!$B$17:$B$22,"Halle",Nutzungsprofile!$G$17:$G$22)*Kalender!D172/SUM(Kalender!$D$5:$D$370),0)+IFERROR(SUMIF(Nutzungsprofile!$B$17:$B$22,"Individuell",Nutzungsprofile!$G$17:$G$22)*Kalender!E172/SUM(Kalender!$E$5:$E$370),0))*Szenarien!$D$25,0)</f>
        <v>4.94</v>
      </c>
      <c r="E5296" s="13" t="n">
        <f aca="false">IFERROR(MIN(C5296,Eingaben!$B$17)*Eingaben!$B$16,0)</f>
        <v>2.793</v>
      </c>
      <c r="F5296" s="13" t="n">
        <f aca="false">IFERROR(E5296*Eingaben!$B$15,0)</f>
        <v>2.5137</v>
      </c>
      <c r="G5296" s="13" t="n">
        <f aca="false">IFERROR(IF(Kalender!A172="",0,J5295*(1-Eingaben!$B$20)),0)</f>
        <v>0.7390278</v>
      </c>
      <c r="H5296" s="13" t="n">
        <f aca="false">MIN(G5296,D5296)</f>
        <v>0.7390278</v>
      </c>
      <c r="I5296" s="13" t="n">
        <f aca="false">IFERROR(MIN(F5296*Eingaben!$B$19,MAX(0,D5296-H5296)),0)</f>
        <v>1.75959</v>
      </c>
      <c r="J5296" s="13" t="n">
        <f aca="false">IFERROR(MIN(Eingaben!$B$18,MAX(0,F5296-I5296)),0)</f>
        <v>0.75411</v>
      </c>
      <c r="K5296" s="13" t="n">
        <f aca="false">H5296+I5296</f>
        <v>2.4986178</v>
      </c>
      <c r="L5296" s="13" t="n">
        <f aca="false">MAX(0,D5296-K5296)</f>
        <v>2.4413822</v>
      </c>
      <c r="M5296" s="13" t="n">
        <f aca="false">MAX(0,F5296-I5296-J5296)</f>
        <v>0</v>
      </c>
      <c r="N5296" s="13" t="n">
        <f aca="false">IF(Kalender!A172="",0,J5295-H5296)</f>
        <v>0.0150822</v>
      </c>
    </row>
    <row r="5297" customFormat="false" ht="16.4" hidden="false" customHeight="false" outlineLevel="0" collapsed="false">
      <c r="A5297" s="13" t="str">
        <f aca="false">""</f>
        <v/>
      </c>
      <c r="B5297" s="13" t="n">
        <f aca="false">169</f>
        <v>169</v>
      </c>
      <c r="C5297" s="13" t="n">
        <f aca="false">IF(Szenarien!$H$25="OK",(IFERROR(SUMIF(Nutzungsprofile!$B$6:$B$11,"Schulbetrieb",Nutzungsprofile!$G$6:$G$11)*Kalender!C173/SUM(Kalender!$C$5:$C$370),0)+IFERROR(SUMIF(Nutzungsprofile!$B$6:$B$11,"Halle",Nutzungsprofile!$G$6:$G$11)*Kalender!D173/SUM(Kalender!$D$5:$D$370),0)+IFERROR(SUMIF(Nutzungsprofile!$B$6:$B$11,"Individuell",Nutzungsprofile!$G$6:$G$11)*Kalender!E173/SUM(Kalender!$E$5:$E$370),0))*Szenarien!$E$25,0)</f>
        <v>2.94</v>
      </c>
      <c r="D5297" s="13" t="n">
        <f aca="false">IF(Szenarien!$H$25="OK",(IFERROR(SUMIF(Nutzungsprofile!$B$17:$B$22,"Schulbetrieb",Nutzungsprofile!$G$17:$G$22)*Kalender!C173/SUM(Kalender!$C$5:$C$370),0)+IFERROR(SUMIF(Nutzungsprofile!$B$17:$B$22,"Halle",Nutzungsprofile!$G$17:$G$22)*Kalender!D173/SUM(Kalender!$D$5:$D$370),0)+IFERROR(SUMIF(Nutzungsprofile!$B$17:$B$22,"Individuell",Nutzungsprofile!$G$17:$G$22)*Kalender!E173/SUM(Kalender!$E$5:$E$370),0))*Szenarien!$D$25,0)</f>
        <v>4.94</v>
      </c>
      <c r="E5297" s="13" t="n">
        <f aca="false">IFERROR(MIN(C5297,Eingaben!$B$17)*Eingaben!$B$16,0)</f>
        <v>2.793</v>
      </c>
      <c r="F5297" s="13" t="n">
        <f aca="false">IFERROR(E5297*Eingaben!$B$15,0)</f>
        <v>2.5137</v>
      </c>
      <c r="G5297" s="13" t="n">
        <f aca="false">IFERROR(IF(Kalender!A173="",0,J5296*(1-Eingaben!$B$20)),0)</f>
        <v>0.7390278</v>
      </c>
      <c r="H5297" s="13" t="n">
        <f aca="false">MIN(G5297,D5297)</f>
        <v>0.7390278</v>
      </c>
      <c r="I5297" s="13" t="n">
        <f aca="false">IFERROR(MIN(F5297*Eingaben!$B$19,MAX(0,D5297-H5297)),0)</f>
        <v>1.75959</v>
      </c>
      <c r="J5297" s="13" t="n">
        <f aca="false">IFERROR(MIN(Eingaben!$B$18,MAX(0,F5297-I5297)),0)</f>
        <v>0.75411</v>
      </c>
      <c r="K5297" s="13" t="n">
        <f aca="false">H5297+I5297</f>
        <v>2.4986178</v>
      </c>
      <c r="L5297" s="13" t="n">
        <f aca="false">MAX(0,D5297-K5297)</f>
        <v>2.4413822</v>
      </c>
      <c r="M5297" s="13" t="n">
        <f aca="false">MAX(0,F5297-I5297-J5297)</f>
        <v>0</v>
      </c>
      <c r="N5297" s="13" t="n">
        <f aca="false">IF(Kalender!A173="",0,J5296-H5297)</f>
        <v>0.0150822</v>
      </c>
    </row>
    <row r="5298" customFormat="false" ht="16.4" hidden="false" customHeight="false" outlineLevel="0" collapsed="false">
      <c r="A5298" s="13" t="str">
        <f aca="false">""</f>
        <v/>
      </c>
      <c r="B5298" s="13" t="n">
        <f aca="false">170</f>
        <v>170</v>
      </c>
      <c r="C5298" s="13" t="n">
        <f aca="false">IF(Szenarien!$H$25="OK",(IFERROR(SUMIF(Nutzungsprofile!$B$6:$B$11,"Schulbetrieb",Nutzungsprofile!$G$6:$G$11)*Kalender!C174/SUM(Kalender!$C$5:$C$370),0)+IFERROR(SUMIF(Nutzungsprofile!$B$6:$B$11,"Halle",Nutzungsprofile!$G$6:$G$11)*Kalender!D174/SUM(Kalender!$D$5:$D$370),0)+IFERROR(SUMIF(Nutzungsprofile!$B$6:$B$11,"Individuell",Nutzungsprofile!$G$6:$G$11)*Kalender!E174/SUM(Kalender!$E$5:$E$370),0))*Szenarien!$E$25,0)</f>
        <v>2.94</v>
      </c>
      <c r="D5298" s="13" t="n">
        <f aca="false">IF(Szenarien!$H$25="OK",(IFERROR(SUMIF(Nutzungsprofile!$B$17:$B$22,"Schulbetrieb",Nutzungsprofile!$G$17:$G$22)*Kalender!C174/SUM(Kalender!$C$5:$C$370),0)+IFERROR(SUMIF(Nutzungsprofile!$B$17:$B$22,"Halle",Nutzungsprofile!$G$17:$G$22)*Kalender!D174/SUM(Kalender!$D$5:$D$370),0)+IFERROR(SUMIF(Nutzungsprofile!$B$17:$B$22,"Individuell",Nutzungsprofile!$G$17:$G$22)*Kalender!E174/SUM(Kalender!$E$5:$E$370),0))*Szenarien!$D$25,0)</f>
        <v>4.94</v>
      </c>
      <c r="E5298" s="13" t="n">
        <f aca="false">IFERROR(MIN(C5298,Eingaben!$B$17)*Eingaben!$B$16,0)</f>
        <v>2.793</v>
      </c>
      <c r="F5298" s="13" t="n">
        <f aca="false">IFERROR(E5298*Eingaben!$B$15,0)</f>
        <v>2.5137</v>
      </c>
      <c r="G5298" s="13" t="n">
        <f aca="false">IFERROR(IF(Kalender!A174="",0,J5297*(1-Eingaben!$B$20)),0)</f>
        <v>0.7390278</v>
      </c>
      <c r="H5298" s="13" t="n">
        <f aca="false">MIN(G5298,D5298)</f>
        <v>0.7390278</v>
      </c>
      <c r="I5298" s="13" t="n">
        <f aca="false">IFERROR(MIN(F5298*Eingaben!$B$19,MAX(0,D5298-H5298)),0)</f>
        <v>1.75959</v>
      </c>
      <c r="J5298" s="13" t="n">
        <f aca="false">IFERROR(MIN(Eingaben!$B$18,MAX(0,F5298-I5298)),0)</f>
        <v>0.75411</v>
      </c>
      <c r="K5298" s="13" t="n">
        <f aca="false">H5298+I5298</f>
        <v>2.4986178</v>
      </c>
      <c r="L5298" s="13" t="n">
        <f aca="false">MAX(0,D5298-K5298)</f>
        <v>2.4413822</v>
      </c>
      <c r="M5298" s="13" t="n">
        <f aca="false">MAX(0,F5298-I5298-J5298)</f>
        <v>0</v>
      </c>
      <c r="N5298" s="13" t="n">
        <f aca="false">IF(Kalender!A174="",0,J5297-H5298)</f>
        <v>0.0150822</v>
      </c>
    </row>
    <row r="5299" customFormat="false" ht="16.4" hidden="false" customHeight="false" outlineLevel="0" collapsed="false">
      <c r="A5299" s="13" t="str">
        <f aca="false">""</f>
        <v/>
      </c>
      <c r="B5299" s="13" t="n">
        <f aca="false">171</f>
        <v>171</v>
      </c>
      <c r="C5299" s="13" t="n">
        <f aca="false">IF(Szenarien!$H$25="OK",(IFERROR(SUMIF(Nutzungsprofile!$B$6:$B$11,"Schulbetrieb",Nutzungsprofile!$G$6:$G$11)*Kalender!C175/SUM(Kalender!$C$5:$C$370),0)+IFERROR(SUMIF(Nutzungsprofile!$B$6:$B$11,"Halle",Nutzungsprofile!$G$6:$G$11)*Kalender!D175/SUM(Kalender!$D$5:$D$370),0)+IFERROR(SUMIF(Nutzungsprofile!$B$6:$B$11,"Individuell",Nutzungsprofile!$G$6:$G$11)*Kalender!E175/SUM(Kalender!$E$5:$E$370),0))*Szenarien!$E$25,0)</f>
        <v>2.04</v>
      </c>
      <c r="D5299" s="13" t="n">
        <f aca="false">IF(Szenarien!$H$25="OK",(IFERROR(SUMIF(Nutzungsprofile!$B$17:$B$22,"Schulbetrieb",Nutzungsprofile!$G$17:$G$22)*Kalender!C175/SUM(Kalender!$C$5:$C$370),0)+IFERROR(SUMIF(Nutzungsprofile!$B$17:$B$22,"Halle",Nutzungsprofile!$G$17:$G$22)*Kalender!D175/SUM(Kalender!$D$5:$D$370),0)+IFERROR(SUMIF(Nutzungsprofile!$B$17:$B$22,"Individuell",Nutzungsprofile!$G$17:$G$22)*Kalender!E175/SUM(Kalender!$E$5:$E$370),0))*Szenarien!$D$25,0)</f>
        <v>0.89</v>
      </c>
      <c r="E5299" s="13" t="n">
        <f aca="false">IFERROR(MIN(C5299,Eingaben!$B$17)*Eingaben!$B$16,0)</f>
        <v>1.938</v>
      </c>
      <c r="F5299" s="13" t="n">
        <f aca="false">IFERROR(E5299*Eingaben!$B$15,0)</f>
        <v>1.7442</v>
      </c>
      <c r="G5299" s="13" t="n">
        <f aca="false">IFERROR(IF(Kalender!A175="",0,J5298*(1-Eingaben!$B$20)),0)</f>
        <v>0.7390278</v>
      </c>
      <c r="H5299" s="13" t="n">
        <f aca="false">MIN(G5299,D5299)</f>
        <v>0.7390278</v>
      </c>
      <c r="I5299" s="13" t="n">
        <f aca="false">IFERROR(MIN(F5299*Eingaben!$B$19,MAX(0,D5299-H5299)),0)</f>
        <v>0.1509722</v>
      </c>
      <c r="J5299" s="13" t="n">
        <f aca="false">IFERROR(MIN(Eingaben!$B$18,MAX(0,F5299-I5299)),0)</f>
        <v>1.5932278</v>
      </c>
      <c r="K5299" s="13" t="n">
        <f aca="false">H5299+I5299</f>
        <v>0.89</v>
      </c>
      <c r="L5299" s="13" t="n">
        <f aca="false">MAX(0,D5299-K5299)</f>
        <v>0</v>
      </c>
      <c r="M5299" s="13" t="n">
        <f aca="false">MAX(0,F5299-I5299-J5299)</f>
        <v>0</v>
      </c>
      <c r="N5299" s="13" t="n">
        <f aca="false">IF(Kalender!A175="",0,J5298-H5299)</f>
        <v>0.0150822</v>
      </c>
    </row>
    <row r="5300" customFormat="false" ht="16.4" hidden="false" customHeight="false" outlineLevel="0" collapsed="false">
      <c r="A5300" s="13" t="str">
        <f aca="false">""</f>
        <v/>
      </c>
      <c r="B5300" s="13" t="n">
        <f aca="false">172</f>
        <v>172</v>
      </c>
      <c r="C5300" s="13" t="n">
        <f aca="false">IF(Szenarien!$H$25="OK",(IFERROR(SUMIF(Nutzungsprofile!$B$6:$B$11,"Schulbetrieb",Nutzungsprofile!$G$6:$G$11)*Kalender!C176/SUM(Kalender!$C$5:$C$370),0)+IFERROR(SUMIF(Nutzungsprofile!$B$6:$B$11,"Halle",Nutzungsprofile!$G$6:$G$11)*Kalender!D176/SUM(Kalender!$D$5:$D$370),0)+IFERROR(SUMIF(Nutzungsprofile!$B$6:$B$11,"Individuell",Nutzungsprofile!$G$6:$G$11)*Kalender!E176/SUM(Kalender!$E$5:$E$370),0))*Szenarien!$E$25,0)</f>
        <v>2.04</v>
      </c>
      <c r="D5300" s="13" t="n">
        <f aca="false">IF(Szenarien!$H$25="OK",(IFERROR(SUMIF(Nutzungsprofile!$B$17:$B$22,"Schulbetrieb",Nutzungsprofile!$G$17:$G$22)*Kalender!C176/SUM(Kalender!$C$5:$C$370),0)+IFERROR(SUMIF(Nutzungsprofile!$B$17:$B$22,"Halle",Nutzungsprofile!$G$17:$G$22)*Kalender!D176/SUM(Kalender!$D$5:$D$370),0)+IFERROR(SUMIF(Nutzungsprofile!$B$17:$B$22,"Individuell",Nutzungsprofile!$G$17:$G$22)*Kalender!E176/SUM(Kalender!$E$5:$E$370),0))*Szenarien!$D$25,0)</f>
        <v>0.89</v>
      </c>
      <c r="E5300" s="13" t="n">
        <f aca="false">IFERROR(MIN(C5300,Eingaben!$B$17)*Eingaben!$B$16,0)</f>
        <v>1.938</v>
      </c>
      <c r="F5300" s="13" t="n">
        <f aca="false">IFERROR(E5300*Eingaben!$B$15,0)</f>
        <v>1.7442</v>
      </c>
      <c r="G5300" s="13" t="n">
        <f aca="false">IFERROR(IF(Kalender!A176="",0,J5299*(1-Eingaben!$B$20)),0)</f>
        <v>1.561363244</v>
      </c>
      <c r="H5300" s="13" t="n">
        <f aca="false">MIN(G5300,D5300)</f>
        <v>0.89</v>
      </c>
      <c r="I5300" s="13" t="n">
        <f aca="false">IFERROR(MIN(F5300*Eingaben!$B$19,MAX(0,D5300-H5300)),0)</f>
        <v>0</v>
      </c>
      <c r="J5300" s="13" t="n">
        <f aca="false">IFERROR(MIN(Eingaben!$B$18,MAX(0,F5300-I5300)),0)</f>
        <v>1.7442</v>
      </c>
      <c r="K5300" s="13" t="n">
        <f aca="false">H5300+I5300</f>
        <v>0.89</v>
      </c>
      <c r="L5300" s="13" t="n">
        <f aca="false">MAX(0,D5300-K5300)</f>
        <v>0</v>
      </c>
      <c r="M5300" s="13" t="n">
        <f aca="false">MAX(0,F5300-I5300-J5300)</f>
        <v>0</v>
      </c>
      <c r="N5300" s="13" t="n">
        <f aca="false">IF(Kalender!A176="",0,J5299-H5300)</f>
        <v>0.7032278</v>
      </c>
    </row>
    <row r="5301" customFormat="false" ht="16.4" hidden="false" customHeight="false" outlineLevel="0" collapsed="false">
      <c r="A5301" s="13" t="str">
        <f aca="false">""</f>
        <v/>
      </c>
      <c r="B5301" s="13" t="n">
        <f aca="false">173</f>
        <v>173</v>
      </c>
      <c r="C5301" s="13" t="n">
        <f aca="false">IF(Szenarien!$H$25="OK",(IFERROR(SUMIF(Nutzungsprofile!$B$6:$B$11,"Schulbetrieb",Nutzungsprofile!$G$6:$G$11)*Kalender!C177/SUM(Kalender!$C$5:$C$370),0)+IFERROR(SUMIF(Nutzungsprofile!$B$6:$B$11,"Halle",Nutzungsprofile!$G$6:$G$11)*Kalender!D177/SUM(Kalender!$D$5:$D$370),0)+IFERROR(SUMIF(Nutzungsprofile!$B$6:$B$11,"Individuell",Nutzungsprofile!$G$6:$G$11)*Kalender!E177/SUM(Kalender!$E$5:$E$370),0))*Szenarien!$E$25,0)</f>
        <v>2.94</v>
      </c>
      <c r="D5301" s="13" t="n">
        <f aca="false">IF(Szenarien!$H$25="OK",(IFERROR(SUMIF(Nutzungsprofile!$B$17:$B$22,"Schulbetrieb",Nutzungsprofile!$G$17:$G$22)*Kalender!C177/SUM(Kalender!$C$5:$C$370),0)+IFERROR(SUMIF(Nutzungsprofile!$B$17:$B$22,"Halle",Nutzungsprofile!$G$17:$G$22)*Kalender!D177/SUM(Kalender!$D$5:$D$370),0)+IFERROR(SUMIF(Nutzungsprofile!$B$17:$B$22,"Individuell",Nutzungsprofile!$G$17:$G$22)*Kalender!E177/SUM(Kalender!$E$5:$E$370),0))*Szenarien!$D$25,0)</f>
        <v>4.94</v>
      </c>
      <c r="E5301" s="13" t="n">
        <f aca="false">IFERROR(MIN(C5301,Eingaben!$B$17)*Eingaben!$B$16,0)</f>
        <v>2.793</v>
      </c>
      <c r="F5301" s="13" t="n">
        <f aca="false">IFERROR(E5301*Eingaben!$B$15,0)</f>
        <v>2.5137</v>
      </c>
      <c r="G5301" s="13" t="n">
        <f aca="false">IFERROR(IF(Kalender!A177="",0,J5300*(1-Eingaben!$B$20)),0)</f>
        <v>1.709316</v>
      </c>
      <c r="H5301" s="13" t="n">
        <f aca="false">MIN(G5301,D5301)</f>
        <v>1.709316</v>
      </c>
      <c r="I5301" s="13" t="n">
        <f aca="false">IFERROR(MIN(F5301*Eingaben!$B$19,MAX(0,D5301-H5301)),0)</f>
        <v>1.75959</v>
      </c>
      <c r="J5301" s="13" t="n">
        <f aca="false">IFERROR(MIN(Eingaben!$B$18,MAX(0,F5301-I5301)),0)</f>
        <v>0.75411</v>
      </c>
      <c r="K5301" s="13" t="n">
        <f aca="false">H5301+I5301</f>
        <v>3.468906</v>
      </c>
      <c r="L5301" s="13" t="n">
        <f aca="false">MAX(0,D5301-K5301)</f>
        <v>1.471094</v>
      </c>
      <c r="M5301" s="13" t="n">
        <f aca="false">MAX(0,F5301-I5301-J5301)</f>
        <v>0</v>
      </c>
      <c r="N5301" s="13" t="n">
        <f aca="false">IF(Kalender!A177="",0,J5300-H5301)</f>
        <v>0.0348840000000001</v>
      </c>
    </row>
    <row r="5302" customFormat="false" ht="16.4" hidden="false" customHeight="false" outlineLevel="0" collapsed="false">
      <c r="A5302" s="13" t="str">
        <f aca="false">""</f>
        <v/>
      </c>
      <c r="B5302" s="13" t="n">
        <f aca="false">174</f>
        <v>174</v>
      </c>
      <c r="C5302" s="13" t="n">
        <f aca="false">IF(Szenarien!$H$25="OK",(IFERROR(SUMIF(Nutzungsprofile!$B$6:$B$11,"Schulbetrieb",Nutzungsprofile!$G$6:$G$11)*Kalender!C178/SUM(Kalender!$C$5:$C$370),0)+IFERROR(SUMIF(Nutzungsprofile!$B$6:$B$11,"Halle",Nutzungsprofile!$G$6:$G$11)*Kalender!D178/SUM(Kalender!$D$5:$D$370),0)+IFERROR(SUMIF(Nutzungsprofile!$B$6:$B$11,"Individuell",Nutzungsprofile!$G$6:$G$11)*Kalender!E178/SUM(Kalender!$E$5:$E$370),0))*Szenarien!$E$25,0)</f>
        <v>2.94</v>
      </c>
      <c r="D5302" s="13" t="n">
        <f aca="false">IF(Szenarien!$H$25="OK",(IFERROR(SUMIF(Nutzungsprofile!$B$17:$B$22,"Schulbetrieb",Nutzungsprofile!$G$17:$G$22)*Kalender!C178/SUM(Kalender!$C$5:$C$370),0)+IFERROR(SUMIF(Nutzungsprofile!$B$17:$B$22,"Halle",Nutzungsprofile!$G$17:$G$22)*Kalender!D178/SUM(Kalender!$D$5:$D$370),0)+IFERROR(SUMIF(Nutzungsprofile!$B$17:$B$22,"Individuell",Nutzungsprofile!$G$17:$G$22)*Kalender!E178/SUM(Kalender!$E$5:$E$370),0))*Szenarien!$D$25,0)</f>
        <v>4.94</v>
      </c>
      <c r="E5302" s="13" t="n">
        <f aca="false">IFERROR(MIN(C5302,Eingaben!$B$17)*Eingaben!$B$16,0)</f>
        <v>2.793</v>
      </c>
      <c r="F5302" s="13" t="n">
        <f aca="false">IFERROR(E5302*Eingaben!$B$15,0)</f>
        <v>2.5137</v>
      </c>
      <c r="G5302" s="13" t="n">
        <f aca="false">IFERROR(IF(Kalender!A178="",0,J5301*(1-Eingaben!$B$20)),0)</f>
        <v>0.7390278</v>
      </c>
      <c r="H5302" s="13" t="n">
        <f aca="false">MIN(G5302,D5302)</f>
        <v>0.7390278</v>
      </c>
      <c r="I5302" s="13" t="n">
        <f aca="false">IFERROR(MIN(F5302*Eingaben!$B$19,MAX(0,D5302-H5302)),0)</f>
        <v>1.75959</v>
      </c>
      <c r="J5302" s="13" t="n">
        <f aca="false">IFERROR(MIN(Eingaben!$B$18,MAX(0,F5302-I5302)),0)</f>
        <v>0.75411</v>
      </c>
      <c r="K5302" s="13" t="n">
        <f aca="false">H5302+I5302</f>
        <v>2.4986178</v>
      </c>
      <c r="L5302" s="13" t="n">
        <f aca="false">MAX(0,D5302-K5302)</f>
        <v>2.4413822</v>
      </c>
      <c r="M5302" s="13" t="n">
        <f aca="false">MAX(0,F5302-I5302-J5302)</f>
        <v>0</v>
      </c>
      <c r="N5302" s="13" t="n">
        <f aca="false">IF(Kalender!A178="",0,J5301-H5302)</f>
        <v>0.0150822</v>
      </c>
    </row>
    <row r="5303" customFormat="false" ht="16.4" hidden="false" customHeight="false" outlineLevel="0" collapsed="false">
      <c r="A5303" s="13" t="str">
        <f aca="false">""</f>
        <v/>
      </c>
      <c r="B5303" s="13" t="n">
        <f aca="false">175</f>
        <v>175</v>
      </c>
      <c r="C5303" s="13" t="n">
        <f aca="false">IF(Szenarien!$H$25="OK",(IFERROR(SUMIF(Nutzungsprofile!$B$6:$B$11,"Schulbetrieb",Nutzungsprofile!$G$6:$G$11)*Kalender!C179/SUM(Kalender!$C$5:$C$370),0)+IFERROR(SUMIF(Nutzungsprofile!$B$6:$B$11,"Halle",Nutzungsprofile!$G$6:$G$11)*Kalender!D179/SUM(Kalender!$D$5:$D$370),0)+IFERROR(SUMIF(Nutzungsprofile!$B$6:$B$11,"Individuell",Nutzungsprofile!$G$6:$G$11)*Kalender!E179/SUM(Kalender!$E$5:$E$370),0))*Szenarien!$E$25,0)</f>
        <v>2.94</v>
      </c>
      <c r="D5303" s="13" t="n">
        <f aca="false">IF(Szenarien!$H$25="OK",(IFERROR(SUMIF(Nutzungsprofile!$B$17:$B$22,"Schulbetrieb",Nutzungsprofile!$G$17:$G$22)*Kalender!C179/SUM(Kalender!$C$5:$C$370),0)+IFERROR(SUMIF(Nutzungsprofile!$B$17:$B$22,"Halle",Nutzungsprofile!$G$17:$G$22)*Kalender!D179/SUM(Kalender!$D$5:$D$370),0)+IFERROR(SUMIF(Nutzungsprofile!$B$17:$B$22,"Individuell",Nutzungsprofile!$G$17:$G$22)*Kalender!E179/SUM(Kalender!$E$5:$E$370),0))*Szenarien!$D$25,0)</f>
        <v>4.94</v>
      </c>
      <c r="E5303" s="13" t="n">
        <f aca="false">IFERROR(MIN(C5303,Eingaben!$B$17)*Eingaben!$B$16,0)</f>
        <v>2.793</v>
      </c>
      <c r="F5303" s="13" t="n">
        <f aca="false">IFERROR(E5303*Eingaben!$B$15,0)</f>
        <v>2.5137</v>
      </c>
      <c r="G5303" s="13" t="n">
        <f aca="false">IFERROR(IF(Kalender!A179="",0,J5302*(1-Eingaben!$B$20)),0)</f>
        <v>0.7390278</v>
      </c>
      <c r="H5303" s="13" t="n">
        <f aca="false">MIN(G5303,D5303)</f>
        <v>0.7390278</v>
      </c>
      <c r="I5303" s="13" t="n">
        <f aca="false">IFERROR(MIN(F5303*Eingaben!$B$19,MAX(0,D5303-H5303)),0)</f>
        <v>1.75959</v>
      </c>
      <c r="J5303" s="13" t="n">
        <f aca="false">IFERROR(MIN(Eingaben!$B$18,MAX(0,F5303-I5303)),0)</f>
        <v>0.75411</v>
      </c>
      <c r="K5303" s="13" t="n">
        <f aca="false">H5303+I5303</f>
        <v>2.4986178</v>
      </c>
      <c r="L5303" s="13" t="n">
        <f aca="false">MAX(0,D5303-K5303)</f>
        <v>2.4413822</v>
      </c>
      <c r="M5303" s="13" t="n">
        <f aca="false">MAX(0,F5303-I5303-J5303)</f>
        <v>0</v>
      </c>
      <c r="N5303" s="13" t="n">
        <f aca="false">IF(Kalender!A179="",0,J5302-H5303)</f>
        <v>0.0150822</v>
      </c>
    </row>
    <row r="5304" customFormat="false" ht="16.4" hidden="false" customHeight="false" outlineLevel="0" collapsed="false">
      <c r="A5304" s="13" t="str">
        <f aca="false">""</f>
        <v/>
      </c>
      <c r="B5304" s="13" t="n">
        <f aca="false">176</f>
        <v>176</v>
      </c>
      <c r="C5304" s="13" t="n">
        <f aca="false">IF(Szenarien!$H$25="OK",(IFERROR(SUMIF(Nutzungsprofile!$B$6:$B$11,"Schulbetrieb",Nutzungsprofile!$G$6:$G$11)*Kalender!C180/SUM(Kalender!$C$5:$C$370),0)+IFERROR(SUMIF(Nutzungsprofile!$B$6:$B$11,"Halle",Nutzungsprofile!$G$6:$G$11)*Kalender!D180/SUM(Kalender!$D$5:$D$370),0)+IFERROR(SUMIF(Nutzungsprofile!$B$6:$B$11,"Individuell",Nutzungsprofile!$G$6:$G$11)*Kalender!E180/SUM(Kalender!$E$5:$E$370),0))*Szenarien!$E$25,0)</f>
        <v>2.94</v>
      </c>
      <c r="D5304" s="13" t="n">
        <f aca="false">IF(Szenarien!$H$25="OK",(IFERROR(SUMIF(Nutzungsprofile!$B$17:$B$22,"Schulbetrieb",Nutzungsprofile!$G$17:$G$22)*Kalender!C180/SUM(Kalender!$C$5:$C$370),0)+IFERROR(SUMIF(Nutzungsprofile!$B$17:$B$22,"Halle",Nutzungsprofile!$G$17:$G$22)*Kalender!D180/SUM(Kalender!$D$5:$D$370),0)+IFERROR(SUMIF(Nutzungsprofile!$B$17:$B$22,"Individuell",Nutzungsprofile!$G$17:$G$22)*Kalender!E180/SUM(Kalender!$E$5:$E$370),0))*Szenarien!$D$25,0)</f>
        <v>4.94</v>
      </c>
      <c r="E5304" s="13" t="n">
        <f aca="false">IFERROR(MIN(C5304,Eingaben!$B$17)*Eingaben!$B$16,0)</f>
        <v>2.793</v>
      </c>
      <c r="F5304" s="13" t="n">
        <f aca="false">IFERROR(E5304*Eingaben!$B$15,0)</f>
        <v>2.5137</v>
      </c>
      <c r="G5304" s="13" t="n">
        <f aca="false">IFERROR(IF(Kalender!A180="",0,J5303*(1-Eingaben!$B$20)),0)</f>
        <v>0.7390278</v>
      </c>
      <c r="H5304" s="13" t="n">
        <f aca="false">MIN(G5304,D5304)</f>
        <v>0.7390278</v>
      </c>
      <c r="I5304" s="13" t="n">
        <f aca="false">IFERROR(MIN(F5304*Eingaben!$B$19,MAX(0,D5304-H5304)),0)</f>
        <v>1.75959</v>
      </c>
      <c r="J5304" s="13" t="n">
        <f aca="false">IFERROR(MIN(Eingaben!$B$18,MAX(0,F5304-I5304)),0)</f>
        <v>0.75411</v>
      </c>
      <c r="K5304" s="13" t="n">
        <f aca="false">H5304+I5304</f>
        <v>2.4986178</v>
      </c>
      <c r="L5304" s="13" t="n">
        <f aca="false">MAX(0,D5304-K5304)</f>
        <v>2.4413822</v>
      </c>
      <c r="M5304" s="13" t="n">
        <f aca="false">MAX(0,F5304-I5304-J5304)</f>
        <v>0</v>
      </c>
      <c r="N5304" s="13" t="n">
        <f aca="false">IF(Kalender!A180="",0,J5303-H5304)</f>
        <v>0.0150822</v>
      </c>
    </row>
    <row r="5305" customFormat="false" ht="16.4" hidden="false" customHeight="false" outlineLevel="0" collapsed="false">
      <c r="A5305" s="13" t="str">
        <f aca="false">""</f>
        <v/>
      </c>
      <c r="B5305" s="13" t="n">
        <f aca="false">177</f>
        <v>177</v>
      </c>
      <c r="C5305" s="13" t="n">
        <f aca="false">IF(Szenarien!$H$25="OK",(IFERROR(SUMIF(Nutzungsprofile!$B$6:$B$11,"Schulbetrieb",Nutzungsprofile!$G$6:$G$11)*Kalender!C181/SUM(Kalender!$C$5:$C$370),0)+IFERROR(SUMIF(Nutzungsprofile!$B$6:$B$11,"Halle",Nutzungsprofile!$G$6:$G$11)*Kalender!D181/SUM(Kalender!$D$5:$D$370),0)+IFERROR(SUMIF(Nutzungsprofile!$B$6:$B$11,"Individuell",Nutzungsprofile!$G$6:$G$11)*Kalender!E181/SUM(Kalender!$E$5:$E$370),0))*Szenarien!$E$25,0)</f>
        <v>2.94</v>
      </c>
      <c r="D5305" s="13" t="n">
        <f aca="false">IF(Szenarien!$H$25="OK",(IFERROR(SUMIF(Nutzungsprofile!$B$17:$B$22,"Schulbetrieb",Nutzungsprofile!$G$17:$G$22)*Kalender!C181/SUM(Kalender!$C$5:$C$370),0)+IFERROR(SUMIF(Nutzungsprofile!$B$17:$B$22,"Halle",Nutzungsprofile!$G$17:$G$22)*Kalender!D181/SUM(Kalender!$D$5:$D$370),0)+IFERROR(SUMIF(Nutzungsprofile!$B$17:$B$22,"Individuell",Nutzungsprofile!$G$17:$G$22)*Kalender!E181/SUM(Kalender!$E$5:$E$370),0))*Szenarien!$D$25,0)</f>
        <v>4.94</v>
      </c>
      <c r="E5305" s="13" t="n">
        <f aca="false">IFERROR(MIN(C5305,Eingaben!$B$17)*Eingaben!$B$16,0)</f>
        <v>2.793</v>
      </c>
      <c r="F5305" s="13" t="n">
        <f aca="false">IFERROR(E5305*Eingaben!$B$15,0)</f>
        <v>2.5137</v>
      </c>
      <c r="G5305" s="13" t="n">
        <f aca="false">IFERROR(IF(Kalender!A181="",0,J5304*(1-Eingaben!$B$20)),0)</f>
        <v>0.7390278</v>
      </c>
      <c r="H5305" s="13" t="n">
        <f aca="false">MIN(G5305,D5305)</f>
        <v>0.7390278</v>
      </c>
      <c r="I5305" s="13" t="n">
        <f aca="false">IFERROR(MIN(F5305*Eingaben!$B$19,MAX(0,D5305-H5305)),0)</f>
        <v>1.75959</v>
      </c>
      <c r="J5305" s="13" t="n">
        <f aca="false">IFERROR(MIN(Eingaben!$B$18,MAX(0,F5305-I5305)),0)</f>
        <v>0.75411</v>
      </c>
      <c r="K5305" s="13" t="n">
        <f aca="false">H5305+I5305</f>
        <v>2.4986178</v>
      </c>
      <c r="L5305" s="13" t="n">
        <f aca="false">MAX(0,D5305-K5305)</f>
        <v>2.4413822</v>
      </c>
      <c r="M5305" s="13" t="n">
        <f aca="false">MAX(0,F5305-I5305-J5305)</f>
        <v>0</v>
      </c>
      <c r="N5305" s="13" t="n">
        <f aca="false">IF(Kalender!A181="",0,J5304-H5305)</f>
        <v>0.0150822</v>
      </c>
    </row>
    <row r="5306" customFormat="false" ht="16.4" hidden="false" customHeight="false" outlineLevel="0" collapsed="false">
      <c r="A5306" s="13" t="str">
        <f aca="false">""</f>
        <v/>
      </c>
      <c r="B5306" s="13" t="n">
        <f aca="false">178</f>
        <v>178</v>
      </c>
      <c r="C5306" s="13" t="n">
        <f aca="false">IF(Szenarien!$H$25="OK",(IFERROR(SUMIF(Nutzungsprofile!$B$6:$B$11,"Schulbetrieb",Nutzungsprofile!$G$6:$G$11)*Kalender!C182/SUM(Kalender!$C$5:$C$370),0)+IFERROR(SUMIF(Nutzungsprofile!$B$6:$B$11,"Halle",Nutzungsprofile!$G$6:$G$11)*Kalender!D182/SUM(Kalender!$D$5:$D$370),0)+IFERROR(SUMIF(Nutzungsprofile!$B$6:$B$11,"Individuell",Nutzungsprofile!$G$6:$G$11)*Kalender!E182/SUM(Kalender!$E$5:$E$370),0))*Szenarien!$E$25,0)</f>
        <v>2.04</v>
      </c>
      <c r="D5306" s="13" t="n">
        <f aca="false">IF(Szenarien!$H$25="OK",(IFERROR(SUMIF(Nutzungsprofile!$B$17:$B$22,"Schulbetrieb",Nutzungsprofile!$G$17:$G$22)*Kalender!C182/SUM(Kalender!$C$5:$C$370),0)+IFERROR(SUMIF(Nutzungsprofile!$B$17:$B$22,"Halle",Nutzungsprofile!$G$17:$G$22)*Kalender!D182/SUM(Kalender!$D$5:$D$370),0)+IFERROR(SUMIF(Nutzungsprofile!$B$17:$B$22,"Individuell",Nutzungsprofile!$G$17:$G$22)*Kalender!E182/SUM(Kalender!$E$5:$E$370),0))*Szenarien!$D$25,0)</f>
        <v>0.89</v>
      </c>
      <c r="E5306" s="13" t="n">
        <f aca="false">IFERROR(MIN(C5306,Eingaben!$B$17)*Eingaben!$B$16,0)</f>
        <v>1.938</v>
      </c>
      <c r="F5306" s="13" t="n">
        <f aca="false">IFERROR(E5306*Eingaben!$B$15,0)</f>
        <v>1.7442</v>
      </c>
      <c r="G5306" s="13" t="n">
        <f aca="false">IFERROR(IF(Kalender!A182="",0,J5305*(1-Eingaben!$B$20)),0)</f>
        <v>0.7390278</v>
      </c>
      <c r="H5306" s="13" t="n">
        <f aca="false">MIN(G5306,D5306)</f>
        <v>0.7390278</v>
      </c>
      <c r="I5306" s="13" t="n">
        <f aca="false">IFERROR(MIN(F5306*Eingaben!$B$19,MAX(0,D5306-H5306)),0)</f>
        <v>0.1509722</v>
      </c>
      <c r="J5306" s="13" t="n">
        <f aca="false">IFERROR(MIN(Eingaben!$B$18,MAX(0,F5306-I5306)),0)</f>
        <v>1.5932278</v>
      </c>
      <c r="K5306" s="13" t="n">
        <f aca="false">H5306+I5306</f>
        <v>0.89</v>
      </c>
      <c r="L5306" s="13" t="n">
        <f aca="false">MAX(0,D5306-K5306)</f>
        <v>0</v>
      </c>
      <c r="M5306" s="13" t="n">
        <f aca="false">MAX(0,F5306-I5306-J5306)</f>
        <v>0</v>
      </c>
      <c r="N5306" s="13" t="n">
        <f aca="false">IF(Kalender!A182="",0,J5305-H5306)</f>
        <v>0.0150822</v>
      </c>
    </row>
    <row r="5307" customFormat="false" ht="16.4" hidden="false" customHeight="false" outlineLevel="0" collapsed="false">
      <c r="A5307" s="13" t="str">
        <f aca="false">""</f>
        <v/>
      </c>
      <c r="B5307" s="13" t="n">
        <f aca="false">179</f>
        <v>179</v>
      </c>
      <c r="C5307" s="13" t="n">
        <f aca="false">IF(Szenarien!$H$25="OK",(IFERROR(SUMIF(Nutzungsprofile!$B$6:$B$11,"Schulbetrieb",Nutzungsprofile!$G$6:$G$11)*Kalender!C183/SUM(Kalender!$C$5:$C$370),0)+IFERROR(SUMIF(Nutzungsprofile!$B$6:$B$11,"Halle",Nutzungsprofile!$G$6:$G$11)*Kalender!D183/SUM(Kalender!$D$5:$D$370),0)+IFERROR(SUMIF(Nutzungsprofile!$B$6:$B$11,"Individuell",Nutzungsprofile!$G$6:$G$11)*Kalender!E183/SUM(Kalender!$E$5:$E$370),0))*Szenarien!$E$25,0)</f>
        <v>2.04</v>
      </c>
      <c r="D5307" s="13" t="n">
        <f aca="false">IF(Szenarien!$H$25="OK",(IFERROR(SUMIF(Nutzungsprofile!$B$17:$B$22,"Schulbetrieb",Nutzungsprofile!$G$17:$G$22)*Kalender!C183/SUM(Kalender!$C$5:$C$370),0)+IFERROR(SUMIF(Nutzungsprofile!$B$17:$B$22,"Halle",Nutzungsprofile!$G$17:$G$22)*Kalender!D183/SUM(Kalender!$D$5:$D$370),0)+IFERROR(SUMIF(Nutzungsprofile!$B$17:$B$22,"Individuell",Nutzungsprofile!$G$17:$G$22)*Kalender!E183/SUM(Kalender!$E$5:$E$370),0))*Szenarien!$D$25,0)</f>
        <v>0.89</v>
      </c>
      <c r="E5307" s="13" t="n">
        <f aca="false">IFERROR(MIN(C5307,Eingaben!$B$17)*Eingaben!$B$16,0)</f>
        <v>1.938</v>
      </c>
      <c r="F5307" s="13" t="n">
        <f aca="false">IFERROR(E5307*Eingaben!$B$15,0)</f>
        <v>1.7442</v>
      </c>
      <c r="G5307" s="13" t="n">
        <f aca="false">IFERROR(IF(Kalender!A183="",0,J5306*(1-Eingaben!$B$20)),0)</f>
        <v>1.561363244</v>
      </c>
      <c r="H5307" s="13" t="n">
        <f aca="false">MIN(G5307,D5307)</f>
        <v>0.89</v>
      </c>
      <c r="I5307" s="13" t="n">
        <f aca="false">IFERROR(MIN(F5307*Eingaben!$B$19,MAX(0,D5307-H5307)),0)</f>
        <v>0</v>
      </c>
      <c r="J5307" s="13" t="n">
        <f aca="false">IFERROR(MIN(Eingaben!$B$18,MAX(0,F5307-I5307)),0)</f>
        <v>1.7442</v>
      </c>
      <c r="K5307" s="13" t="n">
        <f aca="false">H5307+I5307</f>
        <v>0.89</v>
      </c>
      <c r="L5307" s="13" t="n">
        <f aca="false">MAX(0,D5307-K5307)</f>
        <v>0</v>
      </c>
      <c r="M5307" s="13" t="n">
        <f aca="false">MAX(0,F5307-I5307-J5307)</f>
        <v>0</v>
      </c>
      <c r="N5307" s="13" t="n">
        <f aca="false">IF(Kalender!A183="",0,J5306-H5307)</f>
        <v>0.7032278</v>
      </c>
    </row>
    <row r="5308" customFormat="false" ht="16.4" hidden="false" customHeight="false" outlineLevel="0" collapsed="false">
      <c r="A5308" s="13" t="str">
        <f aca="false">""</f>
        <v/>
      </c>
      <c r="B5308" s="13" t="n">
        <f aca="false">180</f>
        <v>180</v>
      </c>
      <c r="C5308" s="13" t="n">
        <f aca="false">IF(Szenarien!$H$25="OK",(IFERROR(SUMIF(Nutzungsprofile!$B$6:$B$11,"Schulbetrieb",Nutzungsprofile!$G$6:$G$11)*Kalender!C184/SUM(Kalender!$C$5:$C$370),0)+IFERROR(SUMIF(Nutzungsprofile!$B$6:$B$11,"Halle",Nutzungsprofile!$G$6:$G$11)*Kalender!D184/SUM(Kalender!$D$5:$D$370),0)+IFERROR(SUMIF(Nutzungsprofile!$B$6:$B$11,"Individuell",Nutzungsprofile!$G$6:$G$11)*Kalender!E184/SUM(Kalender!$E$5:$E$370),0))*Szenarien!$E$25,0)</f>
        <v>2.94</v>
      </c>
      <c r="D5308" s="13" t="n">
        <f aca="false">IF(Szenarien!$H$25="OK",(IFERROR(SUMIF(Nutzungsprofile!$B$17:$B$22,"Schulbetrieb",Nutzungsprofile!$G$17:$G$22)*Kalender!C184/SUM(Kalender!$C$5:$C$370),0)+IFERROR(SUMIF(Nutzungsprofile!$B$17:$B$22,"Halle",Nutzungsprofile!$G$17:$G$22)*Kalender!D184/SUM(Kalender!$D$5:$D$370),0)+IFERROR(SUMIF(Nutzungsprofile!$B$17:$B$22,"Individuell",Nutzungsprofile!$G$17:$G$22)*Kalender!E184/SUM(Kalender!$E$5:$E$370),0))*Szenarien!$D$25,0)</f>
        <v>4.94</v>
      </c>
      <c r="E5308" s="13" t="n">
        <f aca="false">IFERROR(MIN(C5308,Eingaben!$B$17)*Eingaben!$B$16,0)</f>
        <v>2.793</v>
      </c>
      <c r="F5308" s="13" t="n">
        <f aca="false">IFERROR(E5308*Eingaben!$B$15,0)</f>
        <v>2.5137</v>
      </c>
      <c r="G5308" s="13" t="n">
        <f aca="false">IFERROR(IF(Kalender!A184="",0,J5307*(1-Eingaben!$B$20)),0)</f>
        <v>1.709316</v>
      </c>
      <c r="H5308" s="13" t="n">
        <f aca="false">MIN(G5308,D5308)</f>
        <v>1.709316</v>
      </c>
      <c r="I5308" s="13" t="n">
        <f aca="false">IFERROR(MIN(F5308*Eingaben!$B$19,MAX(0,D5308-H5308)),0)</f>
        <v>1.75959</v>
      </c>
      <c r="J5308" s="13" t="n">
        <f aca="false">IFERROR(MIN(Eingaben!$B$18,MAX(0,F5308-I5308)),0)</f>
        <v>0.75411</v>
      </c>
      <c r="K5308" s="13" t="n">
        <f aca="false">H5308+I5308</f>
        <v>3.468906</v>
      </c>
      <c r="L5308" s="13" t="n">
        <f aca="false">MAX(0,D5308-K5308)</f>
        <v>1.471094</v>
      </c>
      <c r="M5308" s="13" t="n">
        <f aca="false">MAX(0,F5308-I5308-J5308)</f>
        <v>0</v>
      </c>
      <c r="N5308" s="13" t="n">
        <f aca="false">IF(Kalender!A184="",0,J5307-H5308)</f>
        <v>0.0348840000000001</v>
      </c>
    </row>
    <row r="5309" customFormat="false" ht="16.4" hidden="false" customHeight="false" outlineLevel="0" collapsed="false">
      <c r="A5309" s="13" t="str">
        <f aca="false">""</f>
        <v/>
      </c>
      <c r="B5309" s="13" t="n">
        <f aca="false">181</f>
        <v>181</v>
      </c>
      <c r="C5309" s="13" t="n">
        <f aca="false">IF(Szenarien!$H$25="OK",(IFERROR(SUMIF(Nutzungsprofile!$B$6:$B$11,"Schulbetrieb",Nutzungsprofile!$G$6:$G$11)*Kalender!C185/SUM(Kalender!$C$5:$C$370),0)+IFERROR(SUMIF(Nutzungsprofile!$B$6:$B$11,"Halle",Nutzungsprofile!$G$6:$G$11)*Kalender!D185/SUM(Kalender!$D$5:$D$370),0)+IFERROR(SUMIF(Nutzungsprofile!$B$6:$B$11,"Individuell",Nutzungsprofile!$G$6:$G$11)*Kalender!E185/SUM(Kalender!$E$5:$E$370),0))*Szenarien!$E$25,0)</f>
        <v>2.94</v>
      </c>
      <c r="D5309" s="13" t="n">
        <f aca="false">IF(Szenarien!$H$25="OK",(IFERROR(SUMIF(Nutzungsprofile!$B$17:$B$22,"Schulbetrieb",Nutzungsprofile!$G$17:$G$22)*Kalender!C185/SUM(Kalender!$C$5:$C$370),0)+IFERROR(SUMIF(Nutzungsprofile!$B$17:$B$22,"Halle",Nutzungsprofile!$G$17:$G$22)*Kalender!D185/SUM(Kalender!$D$5:$D$370),0)+IFERROR(SUMIF(Nutzungsprofile!$B$17:$B$22,"Individuell",Nutzungsprofile!$G$17:$G$22)*Kalender!E185/SUM(Kalender!$E$5:$E$370),0))*Szenarien!$D$25,0)</f>
        <v>4.94</v>
      </c>
      <c r="E5309" s="13" t="n">
        <f aca="false">IFERROR(MIN(C5309,Eingaben!$B$17)*Eingaben!$B$16,0)</f>
        <v>2.793</v>
      </c>
      <c r="F5309" s="13" t="n">
        <f aca="false">IFERROR(E5309*Eingaben!$B$15,0)</f>
        <v>2.5137</v>
      </c>
      <c r="G5309" s="13" t="n">
        <f aca="false">IFERROR(IF(Kalender!A185="",0,J5308*(1-Eingaben!$B$20)),0)</f>
        <v>0.7390278</v>
      </c>
      <c r="H5309" s="13" t="n">
        <f aca="false">MIN(G5309,D5309)</f>
        <v>0.7390278</v>
      </c>
      <c r="I5309" s="13" t="n">
        <f aca="false">IFERROR(MIN(F5309*Eingaben!$B$19,MAX(0,D5309-H5309)),0)</f>
        <v>1.75959</v>
      </c>
      <c r="J5309" s="13" t="n">
        <f aca="false">IFERROR(MIN(Eingaben!$B$18,MAX(0,F5309-I5309)),0)</f>
        <v>0.75411</v>
      </c>
      <c r="K5309" s="13" t="n">
        <f aca="false">H5309+I5309</f>
        <v>2.4986178</v>
      </c>
      <c r="L5309" s="13" t="n">
        <f aca="false">MAX(0,D5309-K5309)</f>
        <v>2.4413822</v>
      </c>
      <c r="M5309" s="13" t="n">
        <f aca="false">MAX(0,F5309-I5309-J5309)</f>
        <v>0</v>
      </c>
      <c r="N5309" s="13" t="n">
        <f aca="false">IF(Kalender!A185="",0,J5308-H5309)</f>
        <v>0.0150822</v>
      </c>
    </row>
    <row r="5310" customFormat="false" ht="16.4" hidden="false" customHeight="false" outlineLevel="0" collapsed="false">
      <c r="A5310" s="13" t="str">
        <f aca="false">""</f>
        <v/>
      </c>
      <c r="B5310" s="13" t="n">
        <f aca="false">182</f>
        <v>182</v>
      </c>
      <c r="C5310" s="13" t="n">
        <f aca="false">IF(Szenarien!$H$25="OK",(IFERROR(SUMIF(Nutzungsprofile!$B$6:$B$11,"Schulbetrieb",Nutzungsprofile!$G$6:$G$11)*Kalender!C186/SUM(Kalender!$C$5:$C$370),0)+IFERROR(SUMIF(Nutzungsprofile!$B$6:$B$11,"Halle",Nutzungsprofile!$G$6:$G$11)*Kalender!D186/SUM(Kalender!$D$5:$D$370),0)+IFERROR(SUMIF(Nutzungsprofile!$B$6:$B$11,"Individuell",Nutzungsprofile!$G$6:$G$11)*Kalender!E186/SUM(Kalender!$E$5:$E$370),0))*Szenarien!$E$25,0)</f>
        <v>2.04</v>
      </c>
      <c r="D5310" s="13" t="n">
        <f aca="false">IF(Szenarien!$H$25="OK",(IFERROR(SUMIF(Nutzungsprofile!$B$17:$B$22,"Schulbetrieb",Nutzungsprofile!$G$17:$G$22)*Kalender!C186/SUM(Kalender!$C$5:$C$370),0)+IFERROR(SUMIF(Nutzungsprofile!$B$17:$B$22,"Halle",Nutzungsprofile!$G$17:$G$22)*Kalender!D186/SUM(Kalender!$D$5:$D$370),0)+IFERROR(SUMIF(Nutzungsprofile!$B$17:$B$22,"Individuell",Nutzungsprofile!$G$17:$G$22)*Kalender!E186/SUM(Kalender!$E$5:$E$370),0))*Szenarien!$D$25,0)</f>
        <v>0.89</v>
      </c>
      <c r="E5310" s="13" t="n">
        <f aca="false">IFERROR(MIN(C5310,Eingaben!$B$17)*Eingaben!$B$16,0)</f>
        <v>1.938</v>
      </c>
      <c r="F5310" s="13" t="n">
        <f aca="false">IFERROR(E5310*Eingaben!$B$15,0)</f>
        <v>1.7442</v>
      </c>
      <c r="G5310" s="13" t="n">
        <f aca="false">IFERROR(IF(Kalender!A186="",0,J5309*(1-Eingaben!$B$20)),0)</f>
        <v>0.7390278</v>
      </c>
      <c r="H5310" s="13" t="n">
        <f aca="false">MIN(G5310,D5310)</f>
        <v>0.7390278</v>
      </c>
      <c r="I5310" s="13" t="n">
        <f aca="false">IFERROR(MIN(F5310*Eingaben!$B$19,MAX(0,D5310-H5310)),0)</f>
        <v>0.1509722</v>
      </c>
      <c r="J5310" s="13" t="n">
        <f aca="false">IFERROR(MIN(Eingaben!$B$18,MAX(0,F5310-I5310)),0)</f>
        <v>1.5932278</v>
      </c>
      <c r="K5310" s="13" t="n">
        <f aca="false">H5310+I5310</f>
        <v>0.89</v>
      </c>
      <c r="L5310" s="13" t="n">
        <f aca="false">MAX(0,D5310-K5310)</f>
        <v>0</v>
      </c>
      <c r="M5310" s="13" t="n">
        <f aca="false">MAX(0,F5310-I5310-J5310)</f>
        <v>0</v>
      </c>
      <c r="N5310" s="13" t="n">
        <f aca="false">IF(Kalender!A186="",0,J5309-H5310)</f>
        <v>0.0150822</v>
      </c>
    </row>
    <row r="5311" customFormat="false" ht="16.4" hidden="false" customHeight="false" outlineLevel="0" collapsed="false">
      <c r="A5311" s="13" t="str">
        <f aca="false">""</f>
        <v/>
      </c>
      <c r="B5311" s="13" t="n">
        <f aca="false">183</f>
        <v>183</v>
      </c>
      <c r="C5311" s="13" t="n">
        <f aca="false">IF(Szenarien!$H$25="OK",(IFERROR(SUMIF(Nutzungsprofile!$B$6:$B$11,"Schulbetrieb",Nutzungsprofile!$G$6:$G$11)*Kalender!C187/SUM(Kalender!$C$5:$C$370),0)+IFERROR(SUMIF(Nutzungsprofile!$B$6:$B$11,"Halle",Nutzungsprofile!$G$6:$G$11)*Kalender!D187/SUM(Kalender!$D$5:$D$370),0)+IFERROR(SUMIF(Nutzungsprofile!$B$6:$B$11,"Individuell",Nutzungsprofile!$G$6:$G$11)*Kalender!E187/SUM(Kalender!$E$5:$E$370),0))*Szenarien!$E$25,0)</f>
        <v>2.04</v>
      </c>
      <c r="D5311" s="13" t="n">
        <f aca="false">IF(Szenarien!$H$25="OK",(IFERROR(SUMIF(Nutzungsprofile!$B$17:$B$22,"Schulbetrieb",Nutzungsprofile!$G$17:$G$22)*Kalender!C187/SUM(Kalender!$C$5:$C$370),0)+IFERROR(SUMIF(Nutzungsprofile!$B$17:$B$22,"Halle",Nutzungsprofile!$G$17:$G$22)*Kalender!D187/SUM(Kalender!$D$5:$D$370),0)+IFERROR(SUMIF(Nutzungsprofile!$B$17:$B$22,"Individuell",Nutzungsprofile!$G$17:$G$22)*Kalender!E187/SUM(Kalender!$E$5:$E$370),0))*Szenarien!$D$25,0)</f>
        <v>0.89</v>
      </c>
      <c r="E5311" s="13" t="n">
        <f aca="false">IFERROR(MIN(C5311,Eingaben!$B$17)*Eingaben!$B$16,0)</f>
        <v>1.938</v>
      </c>
      <c r="F5311" s="13" t="n">
        <f aca="false">IFERROR(E5311*Eingaben!$B$15,0)</f>
        <v>1.7442</v>
      </c>
      <c r="G5311" s="13" t="n">
        <f aca="false">IFERROR(IF(Kalender!A187="",0,J5310*(1-Eingaben!$B$20)),0)</f>
        <v>1.561363244</v>
      </c>
      <c r="H5311" s="13" t="n">
        <f aca="false">MIN(G5311,D5311)</f>
        <v>0.89</v>
      </c>
      <c r="I5311" s="13" t="n">
        <f aca="false">IFERROR(MIN(F5311*Eingaben!$B$19,MAX(0,D5311-H5311)),0)</f>
        <v>0</v>
      </c>
      <c r="J5311" s="13" t="n">
        <f aca="false">IFERROR(MIN(Eingaben!$B$18,MAX(0,F5311-I5311)),0)</f>
        <v>1.7442</v>
      </c>
      <c r="K5311" s="13" t="n">
        <f aca="false">H5311+I5311</f>
        <v>0.89</v>
      </c>
      <c r="L5311" s="13" t="n">
        <f aca="false">MAX(0,D5311-K5311)</f>
        <v>0</v>
      </c>
      <c r="M5311" s="13" t="n">
        <f aca="false">MAX(0,F5311-I5311-J5311)</f>
        <v>0</v>
      </c>
      <c r="N5311" s="13" t="n">
        <f aca="false">IF(Kalender!A187="",0,J5310-H5311)</f>
        <v>0.7032278</v>
      </c>
    </row>
    <row r="5312" customFormat="false" ht="16.4" hidden="false" customHeight="false" outlineLevel="0" collapsed="false">
      <c r="A5312" s="13" t="str">
        <f aca="false">""</f>
        <v/>
      </c>
      <c r="B5312" s="13" t="n">
        <f aca="false">184</f>
        <v>184</v>
      </c>
      <c r="C5312" s="13" t="n">
        <f aca="false">IF(Szenarien!$H$25="OK",(IFERROR(SUMIF(Nutzungsprofile!$B$6:$B$11,"Schulbetrieb",Nutzungsprofile!$G$6:$G$11)*Kalender!C188/SUM(Kalender!$C$5:$C$370),0)+IFERROR(SUMIF(Nutzungsprofile!$B$6:$B$11,"Halle",Nutzungsprofile!$G$6:$G$11)*Kalender!D188/SUM(Kalender!$D$5:$D$370),0)+IFERROR(SUMIF(Nutzungsprofile!$B$6:$B$11,"Individuell",Nutzungsprofile!$G$6:$G$11)*Kalender!E188/SUM(Kalender!$E$5:$E$370),0))*Szenarien!$E$25,0)</f>
        <v>2.04</v>
      </c>
      <c r="D5312" s="13" t="n">
        <f aca="false">IF(Szenarien!$H$25="OK",(IFERROR(SUMIF(Nutzungsprofile!$B$17:$B$22,"Schulbetrieb",Nutzungsprofile!$G$17:$G$22)*Kalender!C188/SUM(Kalender!$C$5:$C$370),0)+IFERROR(SUMIF(Nutzungsprofile!$B$17:$B$22,"Halle",Nutzungsprofile!$G$17:$G$22)*Kalender!D188/SUM(Kalender!$D$5:$D$370),0)+IFERROR(SUMIF(Nutzungsprofile!$B$17:$B$22,"Individuell",Nutzungsprofile!$G$17:$G$22)*Kalender!E188/SUM(Kalender!$E$5:$E$370),0))*Szenarien!$D$25,0)</f>
        <v>0.89</v>
      </c>
      <c r="E5312" s="13" t="n">
        <f aca="false">IFERROR(MIN(C5312,Eingaben!$B$17)*Eingaben!$B$16,0)</f>
        <v>1.938</v>
      </c>
      <c r="F5312" s="13" t="n">
        <f aca="false">IFERROR(E5312*Eingaben!$B$15,0)</f>
        <v>1.7442</v>
      </c>
      <c r="G5312" s="13" t="n">
        <f aca="false">IFERROR(IF(Kalender!A188="",0,J5311*(1-Eingaben!$B$20)),0)</f>
        <v>1.709316</v>
      </c>
      <c r="H5312" s="13" t="n">
        <f aca="false">MIN(G5312,D5312)</f>
        <v>0.89</v>
      </c>
      <c r="I5312" s="13" t="n">
        <f aca="false">IFERROR(MIN(F5312*Eingaben!$B$19,MAX(0,D5312-H5312)),0)</f>
        <v>0</v>
      </c>
      <c r="J5312" s="13" t="n">
        <f aca="false">IFERROR(MIN(Eingaben!$B$18,MAX(0,F5312-I5312)),0)</f>
        <v>1.7442</v>
      </c>
      <c r="K5312" s="13" t="n">
        <f aca="false">H5312+I5312</f>
        <v>0.89</v>
      </c>
      <c r="L5312" s="13" t="n">
        <f aca="false">MAX(0,D5312-K5312)</f>
        <v>0</v>
      </c>
      <c r="M5312" s="13" t="n">
        <f aca="false">MAX(0,F5312-I5312-J5312)</f>
        <v>0</v>
      </c>
      <c r="N5312" s="13" t="n">
        <f aca="false">IF(Kalender!A188="",0,J5311-H5312)</f>
        <v>0.8542</v>
      </c>
    </row>
    <row r="5313" customFormat="false" ht="16.4" hidden="false" customHeight="false" outlineLevel="0" collapsed="false">
      <c r="A5313" s="13" t="str">
        <f aca="false">""</f>
        <v/>
      </c>
      <c r="B5313" s="13" t="n">
        <f aca="false">185</f>
        <v>185</v>
      </c>
      <c r="C5313" s="13" t="n">
        <f aca="false">IF(Szenarien!$H$25="OK",(IFERROR(SUMIF(Nutzungsprofile!$B$6:$B$11,"Schulbetrieb",Nutzungsprofile!$G$6:$G$11)*Kalender!C189/SUM(Kalender!$C$5:$C$370),0)+IFERROR(SUMIF(Nutzungsprofile!$B$6:$B$11,"Halle",Nutzungsprofile!$G$6:$G$11)*Kalender!D189/SUM(Kalender!$D$5:$D$370),0)+IFERROR(SUMIF(Nutzungsprofile!$B$6:$B$11,"Individuell",Nutzungsprofile!$G$6:$G$11)*Kalender!E189/SUM(Kalender!$E$5:$E$370),0))*Szenarien!$E$25,0)</f>
        <v>2.04</v>
      </c>
      <c r="D5313" s="13" t="n">
        <f aca="false">IF(Szenarien!$H$25="OK",(IFERROR(SUMIF(Nutzungsprofile!$B$17:$B$22,"Schulbetrieb",Nutzungsprofile!$G$17:$G$22)*Kalender!C189/SUM(Kalender!$C$5:$C$370),0)+IFERROR(SUMIF(Nutzungsprofile!$B$17:$B$22,"Halle",Nutzungsprofile!$G$17:$G$22)*Kalender!D189/SUM(Kalender!$D$5:$D$370),0)+IFERROR(SUMIF(Nutzungsprofile!$B$17:$B$22,"Individuell",Nutzungsprofile!$G$17:$G$22)*Kalender!E189/SUM(Kalender!$E$5:$E$370),0))*Szenarien!$D$25,0)</f>
        <v>0.89</v>
      </c>
      <c r="E5313" s="13" t="n">
        <f aca="false">IFERROR(MIN(C5313,Eingaben!$B$17)*Eingaben!$B$16,0)</f>
        <v>1.938</v>
      </c>
      <c r="F5313" s="13" t="n">
        <f aca="false">IFERROR(E5313*Eingaben!$B$15,0)</f>
        <v>1.7442</v>
      </c>
      <c r="G5313" s="13" t="n">
        <f aca="false">IFERROR(IF(Kalender!A189="",0,J5312*(1-Eingaben!$B$20)),0)</f>
        <v>1.709316</v>
      </c>
      <c r="H5313" s="13" t="n">
        <f aca="false">MIN(G5313,D5313)</f>
        <v>0.89</v>
      </c>
      <c r="I5313" s="13" t="n">
        <f aca="false">IFERROR(MIN(F5313*Eingaben!$B$19,MAX(0,D5313-H5313)),0)</f>
        <v>0</v>
      </c>
      <c r="J5313" s="13" t="n">
        <f aca="false">IFERROR(MIN(Eingaben!$B$18,MAX(0,F5313-I5313)),0)</f>
        <v>1.7442</v>
      </c>
      <c r="K5313" s="13" t="n">
        <f aca="false">H5313+I5313</f>
        <v>0.89</v>
      </c>
      <c r="L5313" s="13" t="n">
        <f aca="false">MAX(0,D5313-K5313)</f>
        <v>0</v>
      </c>
      <c r="M5313" s="13" t="n">
        <f aca="false">MAX(0,F5313-I5313-J5313)</f>
        <v>0</v>
      </c>
      <c r="N5313" s="13" t="n">
        <f aca="false">IF(Kalender!A189="",0,J5312-H5313)</f>
        <v>0.8542</v>
      </c>
    </row>
    <row r="5314" customFormat="false" ht="16.4" hidden="false" customHeight="false" outlineLevel="0" collapsed="false">
      <c r="A5314" s="13" t="str">
        <f aca="false">""</f>
        <v/>
      </c>
      <c r="B5314" s="13" t="n">
        <f aca="false">186</f>
        <v>186</v>
      </c>
      <c r="C5314" s="13" t="n">
        <f aca="false">IF(Szenarien!$H$25="OK",(IFERROR(SUMIF(Nutzungsprofile!$B$6:$B$11,"Schulbetrieb",Nutzungsprofile!$G$6:$G$11)*Kalender!C190/SUM(Kalender!$C$5:$C$370),0)+IFERROR(SUMIF(Nutzungsprofile!$B$6:$B$11,"Halle",Nutzungsprofile!$G$6:$G$11)*Kalender!D190/SUM(Kalender!$D$5:$D$370),0)+IFERROR(SUMIF(Nutzungsprofile!$B$6:$B$11,"Individuell",Nutzungsprofile!$G$6:$G$11)*Kalender!E190/SUM(Kalender!$E$5:$E$370),0))*Szenarien!$E$25,0)</f>
        <v>2.04</v>
      </c>
      <c r="D5314" s="13" t="n">
        <f aca="false">IF(Szenarien!$H$25="OK",(IFERROR(SUMIF(Nutzungsprofile!$B$17:$B$22,"Schulbetrieb",Nutzungsprofile!$G$17:$G$22)*Kalender!C190/SUM(Kalender!$C$5:$C$370),0)+IFERROR(SUMIF(Nutzungsprofile!$B$17:$B$22,"Halle",Nutzungsprofile!$G$17:$G$22)*Kalender!D190/SUM(Kalender!$D$5:$D$370),0)+IFERROR(SUMIF(Nutzungsprofile!$B$17:$B$22,"Individuell",Nutzungsprofile!$G$17:$G$22)*Kalender!E190/SUM(Kalender!$E$5:$E$370),0))*Szenarien!$D$25,0)</f>
        <v>0.89</v>
      </c>
      <c r="E5314" s="13" t="n">
        <f aca="false">IFERROR(MIN(C5314,Eingaben!$B$17)*Eingaben!$B$16,0)</f>
        <v>1.938</v>
      </c>
      <c r="F5314" s="13" t="n">
        <f aca="false">IFERROR(E5314*Eingaben!$B$15,0)</f>
        <v>1.7442</v>
      </c>
      <c r="G5314" s="13" t="n">
        <f aca="false">IFERROR(IF(Kalender!A190="",0,J5313*(1-Eingaben!$B$20)),0)</f>
        <v>1.709316</v>
      </c>
      <c r="H5314" s="13" t="n">
        <f aca="false">MIN(G5314,D5314)</f>
        <v>0.89</v>
      </c>
      <c r="I5314" s="13" t="n">
        <f aca="false">IFERROR(MIN(F5314*Eingaben!$B$19,MAX(0,D5314-H5314)),0)</f>
        <v>0</v>
      </c>
      <c r="J5314" s="13" t="n">
        <f aca="false">IFERROR(MIN(Eingaben!$B$18,MAX(0,F5314-I5314)),0)</f>
        <v>1.7442</v>
      </c>
      <c r="K5314" s="13" t="n">
        <f aca="false">H5314+I5314</f>
        <v>0.89</v>
      </c>
      <c r="L5314" s="13" t="n">
        <f aca="false">MAX(0,D5314-K5314)</f>
        <v>0</v>
      </c>
      <c r="M5314" s="13" t="n">
        <f aca="false">MAX(0,F5314-I5314-J5314)</f>
        <v>0</v>
      </c>
      <c r="N5314" s="13" t="n">
        <f aca="false">IF(Kalender!A190="",0,J5313-H5314)</f>
        <v>0.8542</v>
      </c>
    </row>
    <row r="5315" customFormat="false" ht="16.4" hidden="false" customHeight="false" outlineLevel="0" collapsed="false">
      <c r="A5315" s="13" t="str">
        <f aca="false">""</f>
        <v/>
      </c>
      <c r="B5315" s="13" t="n">
        <f aca="false">187</f>
        <v>187</v>
      </c>
      <c r="C5315" s="13" t="n">
        <f aca="false">IF(Szenarien!$H$25="OK",(IFERROR(SUMIF(Nutzungsprofile!$B$6:$B$11,"Schulbetrieb",Nutzungsprofile!$G$6:$G$11)*Kalender!C191/SUM(Kalender!$C$5:$C$370),0)+IFERROR(SUMIF(Nutzungsprofile!$B$6:$B$11,"Halle",Nutzungsprofile!$G$6:$G$11)*Kalender!D191/SUM(Kalender!$D$5:$D$370),0)+IFERROR(SUMIF(Nutzungsprofile!$B$6:$B$11,"Individuell",Nutzungsprofile!$G$6:$G$11)*Kalender!E191/SUM(Kalender!$E$5:$E$370),0))*Szenarien!$E$25,0)</f>
        <v>2.04</v>
      </c>
      <c r="D5315" s="13" t="n">
        <f aca="false">IF(Szenarien!$H$25="OK",(IFERROR(SUMIF(Nutzungsprofile!$B$17:$B$22,"Schulbetrieb",Nutzungsprofile!$G$17:$G$22)*Kalender!C191/SUM(Kalender!$C$5:$C$370),0)+IFERROR(SUMIF(Nutzungsprofile!$B$17:$B$22,"Halle",Nutzungsprofile!$G$17:$G$22)*Kalender!D191/SUM(Kalender!$D$5:$D$370),0)+IFERROR(SUMIF(Nutzungsprofile!$B$17:$B$22,"Individuell",Nutzungsprofile!$G$17:$G$22)*Kalender!E191/SUM(Kalender!$E$5:$E$370),0))*Szenarien!$D$25,0)</f>
        <v>0.89</v>
      </c>
      <c r="E5315" s="13" t="n">
        <f aca="false">IFERROR(MIN(C5315,Eingaben!$B$17)*Eingaben!$B$16,0)</f>
        <v>1.938</v>
      </c>
      <c r="F5315" s="13" t="n">
        <f aca="false">IFERROR(E5315*Eingaben!$B$15,0)</f>
        <v>1.7442</v>
      </c>
      <c r="G5315" s="13" t="n">
        <f aca="false">IFERROR(IF(Kalender!A191="",0,J5314*(1-Eingaben!$B$20)),0)</f>
        <v>1.709316</v>
      </c>
      <c r="H5315" s="13" t="n">
        <f aca="false">MIN(G5315,D5315)</f>
        <v>0.89</v>
      </c>
      <c r="I5315" s="13" t="n">
        <f aca="false">IFERROR(MIN(F5315*Eingaben!$B$19,MAX(0,D5315-H5315)),0)</f>
        <v>0</v>
      </c>
      <c r="J5315" s="13" t="n">
        <f aca="false">IFERROR(MIN(Eingaben!$B$18,MAX(0,F5315-I5315)),0)</f>
        <v>1.7442</v>
      </c>
      <c r="K5315" s="13" t="n">
        <f aca="false">H5315+I5315</f>
        <v>0.89</v>
      </c>
      <c r="L5315" s="13" t="n">
        <f aca="false">MAX(0,D5315-K5315)</f>
        <v>0</v>
      </c>
      <c r="M5315" s="13" t="n">
        <f aca="false">MAX(0,F5315-I5315-J5315)</f>
        <v>0</v>
      </c>
      <c r="N5315" s="13" t="n">
        <f aca="false">IF(Kalender!A191="",0,J5314-H5315)</f>
        <v>0.8542</v>
      </c>
    </row>
    <row r="5316" customFormat="false" ht="16.4" hidden="false" customHeight="false" outlineLevel="0" collapsed="false">
      <c r="A5316" s="13" t="str">
        <f aca="false">""</f>
        <v/>
      </c>
      <c r="B5316" s="13" t="n">
        <f aca="false">188</f>
        <v>188</v>
      </c>
      <c r="C5316" s="13" t="n">
        <f aca="false">IF(Szenarien!$H$25="OK",(IFERROR(SUMIF(Nutzungsprofile!$B$6:$B$11,"Schulbetrieb",Nutzungsprofile!$G$6:$G$11)*Kalender!C192/SUM(Kalender!$C$5:$C$370),0)+IFERROR(SUMIF(Nutzungsprofile!$B$6:$B$11,"Halle",Nutzungsprofile!$G$6:$G$11)*Kalender!D192/SUM(Kalender!$D$5:$D$370),0)+IFERROR(SUMIF(Nutzungsprofile!$B$6:$B$11,"Individuell",Nutzungsprofile!$G$6:$G$11)*Kalender!E192/SUM(Kalender!$E$5:$E$370),0))*Szenarien!$E$25,0)</f>
        <v>2.04</v>
      </c>
      <c r="D5316" s="13" t="n">
        <f aca="false">IF(Szenarien!$H$25="OK",(IFERROR(SUMIF(Nutzungsprofile!$B$17:$B$22,"Schulbetrieb",Nutzungsprofile!$G$17:$G$22)*Kalender!C192/SUM(Kalender!$C$5:$C$370),0)+IFERROR(SUMIF(Nutzungsprofile!$B$17:$B$22,"Halle",Nutzungsprofile!$G$17:$G$22)*Kalender!D192/SUM(Kalender!$D$5:$D$370),0)+IFERROR(SUMIF(Nutzungsprofile!$B$17:$B$22,"Individuell",Nutzungsprofile!$G$17:$G$22)*Kalender!E192/SUM(Kalender!$E$5:$E$370),0))*Szenarien!$D$25,0)</f>
        <v>0.89</v>
      </c>
      <c r="E5316" s="13" t="n">
        <f aca="false">IFERROR(MIN(C5316,Eingaben!$B$17)*Eingaben!$B$16,0)</f>
        <v>1.938</v>
      </c>
      <c r="F5316" s="13" t="n">
        <f aca="false">IFERROR(E5316*Eingaben!$B$15,0)</f>
        <v>1.7442</v>
      </c>
      <c r="G5316" s="13" t="n">
        <f aca="false">IFERROR(IF(Kalender!A192="",0,J5315*(1-Eingaben!$B$20)),0)</f>
        <v>1.709316</v>
      </c>
      <c r="H5316" s="13" t="n">
        <f aca="false">MIN(G5316,D5316)</f>
        <v>0.89</v>
      </c>
      <c r="I5316" s="13" t="n">
        <f aca="false">IFERROR(MIN(F5316*Eingaben!$B$19,MAX(0,D5316-H5316)),0)</f>
        <v>0</v>
      </c>
      <c r="J5316" s="13" t="n">
        <f aca="false">IFERROR(MIN(Eingaben!$B$18,MAX(0,F5316-I5316)),0)</f>
        <v>1.7442</v>
      </c>
      <c r="K5316" s="13" t="n">
        <f aca="false">H5316+I5316</f>
        <v>0.89</v>
      </c>
      <c r="L5316" s="13" t="n">
        <f aca="false">MAX(0,D5316-K5316)</f>
        <v>0</v>
      </c>
      <c r="M5316" s="13" t="n">
        <f aca="false">MAX(0,F5316-I5316-J5316)</f>
        <v>0</v>
      </c>
      <c r="N5316" s="13" t="n">
        <f aca="false">IF(Kalender!A192="",0,J5315-H5316)</f>
        <v>0.8542</v>
      </c>
    </row>
    <row r="5317" customFormat="false" ht="16.4" hidden="false" customHeight="false" outlineLevel="0" collapsed="false">
      <c r="A5317" s="13" t="str">
        <f aca="false">""</f>
        <v/>
      </c>
      <c r="B5317" s="13" t="n">
        <f aca="false">189</f>
        <v>189</v>
      </c>
      <c r="C5317" s="13" t="n">
        <f aca="false">IF(Szenarien!$H$25="OK",(IFERROR(SUMIF(Nutzungsprofile!$B$6:$B$11,"Schulbetrieb",Nutzungsprofile!$G$6:$G$11)*Kalender!C193/SUM(Kalender!$C$5:$C$370),0)+IFERROR(SUMIF(Nutzungsprofile!$B$6:$B$11,"Halle",Nutzungsprofile!$G$6:$G$11)*Kalender!D193/SUM(Kalender!$D$5:$D$370),0)+IFERROR(SUMIF(Nutzungsprofile!$B$6:$B$11,"Individuell",Nutzungsprofile!$G$6:$G$11)*Kalender!E193/SUM(Kalender!$E$5:$E$370),0))*Szenarien!$E$25,0)</f>
        <v>2.04</v>
      </c>
      <c r="D5317" s="13" t="n">
        <f aca="false">IF(Szenarien!$H$25="OK",(IFERROR(SUMIF(Nutzungsprofile!$B$17:$B$22,"Schulbetrieb",Nutzungsprofile!$G$17:$G$22)*Kalender!C193/SUM(Kalender!$C$5:$C$370),0)+IFERROR(SUMIF(Nutzungsprofile!$B$17:$B$22,"Halle",Nutzungsprofile!$G$17:$G$22)*Kalender!D193/SUM(Kalender!$D$5:$D$370),0)+IFERROR(SUMIF(Nutzungsprofile!$B$17:$B$22,"Individuell",Nutzungsprofile!$G$17:$G$22)*Kalender!E193/SUM(Kalender!$E$5:$E$370),0))*Szenarien!$D$25,0)</f>
        <v>0.89</v>
      </c>
      <c r="E5317" s="13" t="n">
        <f aca="false">IFERROR(MIN(C5317,Eingaben!$B$17)*Eingaben!$B$16,0)</f>
        <v>1.938</v>
      </c>
      <c r="F5317" s="13" t="n">
        <f aca="false">IFERROR(E5317*Eingaben!$B$15,0)</f>
        <v>1.7442</v>
      </c>
      <c r="G5317" s="13" t="n">
        <f aca="false">IFERROR(IF(Kalender!A193="",0,J5316*(1-Eingaben!$B$20)),0)</f>
        <v>1.709316</v>
      </c>
      <c r="H5317" s="13" t="n">
        <f aca="false">MIN(G5317,D5317)</f>
        <v>0.89</v>
      </c>
      <c r="I5317" s="13" t="n">
        <f aca="false">IFERROR(MIN(F5317*Eingaben!$B$19,MAX(0,D5317-H5317)),0)</f>
        <v>0</v>
      </c>
      <c r="J5317" s="13" t="n">
        <f aca="false">IFERROR(MIN(Eingaben!$B$18,MAX(0,F5317-I5317)),0)</f>
        <v>1.7442</v>
      </c>
      <c r="K5317" s="13" t="n">
        <f aca="false">H5317+I5317</f>
        <v>0.89</v>
      </c>
      <c r="L5317" s="13" t="n">
        <f aca="false">MAX(0,D5317-K5317)</f>
        <v>0</v>
      </c>
      <c r="M5317" s="13" t="n">
        <f aca="false">MAX(0,F5317-I5317-J5317)</f>
        <v>0</v>
      </c>
      <c r="N5317" s="13" t="n">
        <f aca="false">IF(Kalender!A193="",0,J5316-H5317)</f>
        <v>0.8542</v>
      </c>
    </row>
    <row r="5318" customFormat="false" ht="16.4" hidden="false" customHeight="false" outlineLevel="0" collapsed="false">
      <c r="A5318" s="13" t="str">
        <f aca="false">""</f>
        <v/>
      </c>
      <c r="B5318" s="13" t="n">
        <f aca="false">190</f>
        <v>190</v>
      </c>
      <c r="C5318" s="13" t="n">
        <f aca="false">IF(Szenarien!$H$25="OK",(IFERROR(SUMIF(Nutzungsprofile!$B$6:$B$11,"Schulbetrieb",Nutzungsprofile!$G$6:$G$11)*Kalender!C194/SUM(Kalender!$C$5:$C$370),0)+IFERROR(SUMIF(Nutzungsprofile!$B$6:$B$11,"Halle",Nutzungsprofile!$G$6:$G$11)*Kalender!D194/SUM(Kalender!$D$5:$D$370),0)+IFERROR(SUMIF(Nutzungsprofile!$B$6:$B$11,"Individuell",Nutzungsprofile!$G$6:$G$11)*Kalender!E194/SUM(Kalender!$E$5:$E$370),0))*Szenarien!$E$25,0)</f>
        <v>2.04</v>
      </c>
      <c r="D5318" s="13" t="n">
        <f aca="false">IF(Szenarien!$H$25="OK",(IFERROR(SUMIF(Nutzungsprofile!$B$17:$B$22,"Schulbetrieb",Nutzungsprofile!$G$17:$G$22)*Kalender!C194/SUM(Kalender!$C$5:$C$370),0)+IFERROR(SUMIF(Nutzungsprofile!$B$17:$B$22,"Halle",Nutzungsprofile!$G$17:$G$22)*Kalender!D194/SUM(Kalender!$D$5:$D$370),0)+IFERROR(SUMIF(Nutzungsprofile!$B$17:$B$22,"Individuell",Nutzungsprofile!$G$17:$G$22)*Kalender!E194/SUM(Kalender!$E$5:$E$370),0))*Szenarien!$D$25,0)</f>
        <v>0.89</v>
      </c>
      <c r="E5318" s="13" t="n">
        <f aca="false">IFERROR(MIN(C5318,Eingaben!$B$17)*Eingaben!$B$16,0)</f>
        <v>1.938</v>
      </c>
      <c r="F5318" s="13" t="n">
        <f aca="false">IFERROR(E5318*Eingaben!$B$15,0)</f>
        <v>1.7442</v>
      </c>
      <c r="G5318" s="13" t="n">
        <f aca="false">IFERROR(IF(Kalender!A194="",0,J5317*(1-Eingaben!$B$20)),0)</f>
        <v>1.709316</v>
      </c>
      <c r="H5318" s="13" t="n">
        <f aca="false">MIN(G5318,D5318)</f>
        <v>0.89</v>
      </c>
      <c r="I5318" s="13" t="n">
        <f aca="false">IFERROR(MIN(F5318*Eingaben!$B$19,MAX(0,D5318-H5318)),0)</f>
        <v>0</v>
      </c>
      <c r="J5318" s="13" t="n">
        <f aca="false">IFERROR(MIN(Eingaben!$B$18,MAX(0,F5318-I5318)),0)</f>
        <v>1.7442</v>
      </c>
      <c r="K5318" s="13" t="n">
        <f aca="false">H5318+I5318</f>
        <v>0.89</v>
      </c>
      <c r="L5318" s="13" t="n">
        <f aca="false">MAX(0,D5318-K5318)</f>
        <v>0</v>
      </c>
      <c r="M5318" s="13" t="n">
        <f aca="false">MAX(0,F5318-I5318-J5318)</f>
        <v>0</v>
      </c>
      <c r="N5318" s="13" t="n">
        <f aca="false">IF(Kalender!A194="",0,J5317-H5318)</f>
        <v>0.8542</v>
      </c>
    </row>
    <row r="5319" customFormat="false" ht="16.4" hidden="false" customHeight="false" outlineLevel="0" collapsed="false">
      <c r="A5319" s="13" t="str">
        <f aca="false">""</f>
        <v/>
      </c>
      <c r="B5319" s="13" t="n">
        <f aca="false">191</f>
        <v>191</v>
      </c>
      <c r="C5319" s="13" t="n">
        <f aca="false">IF(Szenarien!$H$25="OK",(IFERROR(SUMIF(Nutzungsprofile!$B$6:$B$11,"Schulbetrieb",Nutzungsprofile!$G$6:$G$11)*Kalender!C195/SUM(Kalender!$C$5:$C$370),0)+IFERROR(SUMIF(Nutzungsprofile!$B$6:$B$11,"Halle",Nutzungsprofile!$G$6:$G$11)*Kalender!D195/SUM(Kalender!$D$5:$D$370),0)+IFERROR(SUMIF(Nutzungsprofile!$B$6:$B$11,"Individuell",Nutzungsprofile!$G$6:$G$11)*Kalender!E195/SUM(Kalender!$E$5:$E$370),0))*Szenarien!$E$25,0)</f>
        <v>2.04</v>
      </c>
      <c r="D5319" s="13" t="n">
        <f aca="false">IF(Szenarien!$H$25="OK",(IFERROR(SUMIF(Nutzungsprofile!$B$17:$B$22,"Schulbetrieb",Nutzungsprofile!$G$17:$G$22)*Kalender!C195/SUM(Kalender!$C$5:$C$370),0)+IFERROR(SUMIF(Nutzungsprofile!$B$17:$B$22,"Halle",Nutzungsprofile!$G$17:$G$22)*Kalender!D195/SUM(Kalender!$D$5:$D$370),0)+IFERROR(SUMIF(Nutzungsprofile!$B$17:$B$22,"Individuell",Nutzungsprofile!$G$17:$G$22)*Kalender!E195/SUM(Kalender!$E$5:$E$370),0))*Szenarien!$D$25,0)</f>
        <v>0.89</v>
      </c>
      <c r="E5319" s="13" t="n">
        <f aca="false">IFERROR(MIN(C5319,Eingaben!$B$17)*Eingaben!$B$16,0)</f>
        <v>1.938</v>
      </c>
      <c r="F5319" s="13" t="n">
        <f aca="false">IFERROR(E5319*Eingaben!$B$15,0)</f>
        <v>1.7442</v>
      </c>
      <c r="G5319" s="13" t="n">
        <f aca="false">IFERROR(IF(Kalender!A195="",0,J5318*(1-Eingaben!$B$20)),0)</f>
        <v>1.709316</v>
      </c>
      <c r="H5319" s="13" t="n">
        <f aca="false">MIN(G5319,D5319)</f>
        <v>0.89</v>
      </c>
      <c r="I5319" s="13" t="n">
        <f aca="false">IFERROR(MIN(F5319*Eingaben!$B$19,MAX(0,D5319-H5319)),0)</f>
        <v>0</v>
      </c>
      <c r="J5319" s="13" t="n">
        <f aca="false">IFERROR(MIN(Eingaben!$B$18,MAX(0,F5319-I5319)),0)</f>
        <v>1.7442</v>
      </c>
      <c r="K5319" s="13" t="n">
        <f aca="false">H5319+I5319</f>
        <v>0.89</v>
      </c>
      <c r="L5319" s="13" t="n">
        <f aca="false">MAX(0,D5319-K5319)</f>
        <v>0</v>
      </c>
      <c r="M5319" s="13" t="n">
        <f aca="false">MAX(0,F5319-I5319-J5319)</f>
        <v>0</v>
      </c>
      <c r="N5319" s="13" t="n">
        <f aca="false">IF(Kalender!A195="",0,J5318-H5319)</f>
        <v>0.8542</v>
      </c>
    </row>
    <row r="5320" customFormat="false" ht="16.4" hidden="false" customHeight="false" outlineLevel="0" collapsed="false">
      <c r="A5320" s="13" t="str">
        <f aca="false">""</f>
        <v/>
      </c>
      <c r="B5320" s="13" t="n">
        <f aca="false">192</f>
        <v>192</v>
      </c>
      <c r="C5320" s="13" t="n">
        <f aca="false">IF(Szenarien!$H$25="OK",(IFERROR(SUMIF(Nutzungsprofile!$B$6:$B$11,"Schulbetrieb",Nutzungsprofile!$G$6:$G$11)*Kalender!C196/SUM(Kalender!$C$5:$C$370),0)+IFERROR(SUMIF(Nutzungsprofile!$B$6:$B$11,"Halle",Nutzungsprofile!$G$6:$G$11)*Kalender!D196/SUM(Kalender!$D$5:$D$370),0)+IFERROR(SUMIF(Nutzungsprofile!$B$6:$B$11,"Individuell",Nutzungsprofile!$G$6:$G$11)*Kalender!E196/SUM(Kalender!$E$5:$E$370),0))*Szenarien!$E$25,0)</f>
        <v>2.04</v>
      </c>
      <c r="D5320" s="13" t="n">
        <f aca="false">IF(Szenarien!$H$25="OK",(IFERROR(SUMIF(Nutzungsprofile!$B$17:$B$22,"Schulbetrieb",Nutzungsprofile!$G$17:$G$22)*Kalender!C196/SUM(Kalender!$C$5:$C$370),0)+IFERROR(SUMIF(Nutzungsprofile!$B$17:$B$22,"Halle",Nutzungsprofile!$G$17:$G$22)*Kalender!D196/SUM(Kalender!$D$5:$D$370),0)+IFERROR(SUMIF(Nutzungsprofile!$B$17:$B$22,"Individuell",Nutzungsprofile!$G$17:$G$22)*Kalender!E196/SUM(Kalender!$E$5:$E$370),0))*Szenarien!$D$25,0)</f>
        <v>0.89</v>
      </c>
      <c r="E5320" s="13" t="n">
        <f aca="false">IFERROR(MIN(C5320,Eingaben!$B$17)*Eingaben!$B$16,0)</f>
        <v>1.938</v>
      </c>
      <c r="F5320" s="13" t="n">
        <f aca="false">IFERROR(E5320*Eingaben!$B$15,0)</f>
        <v>1.7442</v>
      </c>
      <c r="G5320" s="13" t="n">
        <f aca="false">IFERROR(IF(Kalender!A196="",0,J5319*(1-Eingaben!$B$20)),0)</f>
        <v>1.709316</v>
      </c>
      <c r="H5320" s="13" t="n">
        <f aca="false">MIN(G5320,D5320)</f>
        <v>0.89</v>
      </c>
      <c r="I5320" s="13" t="n">
        <f aca="false">IFERROR(MIN(F5320*Eingaben!$B$19,MAX(0,D5320-H5320)),0)</f>
        <v>0</v>
      </c>
      <c r="J5320" s="13" t="n">
        <f aca="false">IFERROR(MIN(Eingaben!$B$18,MAX(0,F5320-I5320)),0)</f>
        <v>1.7442</v>
      </c>
      <c r="K5320" s="13" t="n">
        <f aca="false">H5320+I5320</f>
        <v>0.89</v>
      </c>
      <c r="L5320" s="13" t="n">
        <f aca="false">MAX(0,D5320-K5320)</f>
        <v>0</v>
      </c>
      <c r="M5320" s="13" t="n">
        <f aca="false">MAX(0,F5320-I5320-J5320)</f>
        <v>0</v>
      </c>
      <c r="N5320" s="13" t="n">
        <f aca="false">IF(Kalender!A196="",0,J5319-H5320)</f>
        <v>0.8542</v>
      </c>
    </row>
    <row r="5321" customFormat="false" ht="16.4" hidden="false" customHeight="false" outlineLevel="0" collapsed="false">
      <c r="A5321" s="13" t="str">
        <f aca="false">""</f>
        <v/>
      </c>
      <c r="B5321" s="13" t="n">
        <f aca="false">193</f>
        <v>193</v>
      </c>
      <c r="C5321" s="13" t="n">
        <f aca="false">IF(Szenarien!$H$25="OK",(IFERROR(SUMIF(Nutzungsprofile!$B$6:$B$11,"Schulbetrieb",Nutzungsprofile!$G$6:$G$11)*Kalender!C197/SUM(Kalender!$C$5:$C$370),0)+IFERROR(SUMIF(Nutzungsprofile!$B$6:$B$11,"Halle",Nutzungsprofile!$G$6:$G$11)*Kalender!D197/SUM(Kalender!$D$5:$D$370),0)+IFERROR(SUMIF(Nutzungsprofile!$B$6:$B$11,"Individuell",Nutzungsprofile!$G$6:$G$11)*Kalender!E197/SUM(Kalender!$E$5:$E$370),0))*Szenarien!$E$25,0)</f>
        <v>2.04</v>
      </c>
      <c r="D5321" s="13" t="n">
        <f aca="false">IF(Szenarien!$H$25="OK",(IFERROR(SUMIF(Nutzungsprofile!$B$17:$B$22,"Schulbetrieb",Nutzungsprofile!$G$17:$G$22)*Kalender!C197/SUM(Kalender!$C$5:$C$370),0)+IFERROR(SUMIF(Nutzungsprofile!$B$17:$B$22,"Halle",Nutzungsprofile!$G$17:$G$22)*Kalender!D197/SUM(Kalender!$D$5:$D$370),0)+IFERROR(SUMIF(Nutzungsprofile!$B$17:$B$22,"Individuell",Nutzungsprofile!$G$17:$G$22)*Kalender!E197/SUM(Kalender!$E$5:$E$370),0))*Szenarien!$D$25,0)</f>
        <v>0.89</v>
      </c>
      <c r="E5321" s="13" t="n">
        <f aca="false">IFERROR(MIN(C5321,Eingaben!$B$17)*Eingaben!$B$16,0)</f>
        <v>1.938</v>
      </c>
      <c r="F5321" s="13" t="n">
        <f aca="false">IFERROR(E5321*Eingaben!$B$15,0)</f>
        <v>1.7442</v>
      </c>
      <c r="G5321" s="13" t="n">
        <f aca="false">IFERROR(IF(Kalender!A197="",0,J5320*(1-Eingaben!$B$20)),0)</f>
        <v>1.709316</v>
      </c>
      <c r="H5321" s="13" t="n">
        <f aca="false">MIN(G5321,D5321)</f>
        <v>0.89</v>
      </c>
      <c r="I5321" s="13" t="n">
        <f aca="false">IFERROR(MIN(F5321*Eingaben!$B$19,MAX(0,D5321-H5321)),0)</f>
        <v>0</v>
      </c>
      <c r="J5321" s="13" t="n">
        <f aca="false">IFERROR(MIN(Eingaben!$B$18,MAX(0,F5321-I5321)),0)</f>
        <v>1.7442</v>
      </c>
      <c r="K5321" s="13" t="n">
        <f aca="false">H5321+I5321</f>
        <v>0.89</v>
      </c>
      <c r="L5321" s="13" t="n">
        <f aca="false">MAX(0,D5321-K5321)</f>
        <v>0</v>
      </c>
      <c r="M5321" s="13" t="n">
        <f aca="false">MAX(0,F5321-I5321-J5321)</f>
        <v>0</v>
      </c>
      <c r="N5321" s="13" t="n">
        <f aca="false">IF(Kalender!A197="",0,J5320-H5321)</f>
        <v>0.8542</v>
      </c>
    </row>
    <row r="5322" customFormat="false" ht="16.4" hidden="false" customHeight="false" outlineLevel="0" collapsed="false">
      <c r="A5322" s="13" t="str">
        <f aca="false">""</f>
        <v/>
      </c>
      <c r="B5322" s="13" t="n">
        <f aca="false">194</f>
        <v>194</v>
      </c>
      <c r="C5322" s="13" t="n">
        <f aca="false">IF(Szenarien!$H$25="OK",(IFERROR(SUMIF(Nutzungsprofile!$B$6:$B$11,"Schulbetrieb",Nutzungsprofile!$G$6:$G$11)*Kalender!C198/SUM(Kalender!$C$5:$C$370),0)+IFERROR(SUMIF(Nutzungsprofile!$B$6:$B$11,"Halle",Nutzungsprofile!$G$6:$G$11)*Kalender!D198/SUM(Kalender!$D$5:$D$370),0)+IFERROR(SUMIF(Nutzungsprofile!$B$6:$B$11,"Individuell",Nutzungsprofile!$G$6:$G$11)*Kalender!E198/SUM(Kalender!$E$5:$E$370),0))*Szenarien!$E$25,0)</f>
        <v>2.04</v>
      </c>
      <c r="D5322" s="13" t="n">
        <f aca="false">IF(Szenarien!$H$25="OK",(IFERROR(SUMIF(Nutzungsprofile!$B$17:$B$22,"Schulbetrieb",Nutzungsprofile!$G$17:$G$22)*Kalender!C198/SUM(Kalender!$C$5:$C$370),0)+IFERROR(SUMIF(Nutzungsprofile!$B$17:$B$22,"Halle",Nutzungsprofile!$G$17:$G$22)*Kalender!D198/SUM(Kalender!$D$5:$D$370),0)+IFERROR(SUMIF(Nutzungsprofile!$B$17:$B$22,"Individuell",Nutzungsprofile!$G$17:$G$22)*Kalender!E198/SUM(Kalender!$E$5:$E$370),0))*Szenarien!$D$25,0)</f>
        <v>0.89</v>
      </c>
      <c r="E5322" s="13" t="n">
        <f aca="false">IFERROR(MIN(C5322,Eingaben!$B$17)*Eingaben!$B$16,0)</f>
        <v>1.938</v>
      </c>
      <c r="F5322" s="13" t="n">
        <f aca="false">IFERROR(E5322*Eingaben!$B$15,0)</f>
        <v>1.7442</v>
      </c>
      <c r="G5322" s="13" t="n">
        <f aca="false">IFERROR(IF(Kalender!A198="",0,J5321*(1-Eingaben!$B$20)),0)</f>
        <v>1.709316</v>
      </c>
      <c r="H5322" s="13" t="n">
        <f aca="false">MIN(G5322,D5322)</f>
        <v>0.89</v>
      </c>
      <c r="I5322" s="13" t="n">
        <f aca="false">IFERROR(MIN(F5322*Eingaben!$B$19,MAX(0,D5322-H5322)),0)</f>
        <v>0</v>
      </c>
      <c r="J5322" s="13" t="n">
        <f aca="false">IFERROR(MIN(Eingaben!$B$18,MAX(0,F5322-I5322)),0)</f>
        <v>1.7442</v>
      </c>
      <c r="K5322" s="13" t="n">
        <f aca="false">H5322+I5322</f>
        <v>0.89</v>
      </c>
      <c r="L5322" s="13" t="n">
        <f aca="false">MAX(0,D5322-K5322)</f>
        <v>0</v>
      </c>
      <c r="M5322" s="13" t="n">
        <f aca="false">MAX(0,F5322-I5322-J5322)</f>
        <v>0</v>
      </c>
      <c r="N5322" s="13" t="n">
        <f aca="false">IF(Kalender!A198="",0,J5321-H5322)</f>
        <v>0.8542</v>
      </c>
    </row>
    <row r="5323" customFormat="false" ht="16.4" hidden="false" customHeight="false" outlineLevel="0" collapsed="false">
      <c r="A5323" s="13" t="str">
        <f aca="false">""</f>
        <v/>
      </c>
      <c r="B5323" s="13" t="n">
        <f aca="false">195</f>
        <v>195</v>
      </c>
      <c r="C5323" s="13" t="n">
        <f aca="false">IF(Szenarien!$H$25="OK",(IFERROR(SUMIF(Nutzungsprofile!$B$6:$B$11,"Schulbetrieb",Nutzungsprofile!$G$6:$G$11)*Kalender!C199/SUM(Kalender!$C$5:$C$370),0)+IFERROR(SUMIF(Nutzungsprofile!$B$6:$B$11,"Halle",Nutzungsprofile!$G$6:$G$11)*Kalender!D199/SUM(Kalender!$D$5:$D$370),0)+IFERROR(SUMIF(Nutzungsprofile!$B$6:$B$11,"Individuell",Nutzungsprofile!$G$6:$G$11)*Kalender!E199/SUM(Kalender!$E$5:$E$370),0))*Szenarien!$E$25,0)</f>
        <v>2.04</v>
      </c>
      <c r="D5323" s="13" t="n">
        <f aca="false">IF(Szenarien!$H$25="OK",(IFERROR(SUMIF(Nutzungsprofile!$B$17:$B$22,"Schulbetrieb",Nutzungsprofile!$G$17:$G$22)*Kalender!C199/SUM(Kalender!$C$5:$C$370),0)+IFERROR(SUMIF(Nutzungsprofile!$B$17:$B$22,"Halle",Nutzungsprofile!$G$17:$G$22)*Kalender!D199/SUM(Kalender!$D$5:$D$370),0)+IFERROR(SUMIF(Nutzungsprofile!$B$17:$B$22,"Individuell",Nutzungsprofile!$G$17:$G$22)*Kalender!E199/SUM(Kalender!$E$5:$E$370),0))*Szenarien!$D$25,0)</f>
        <v>0.89</v>
      </c>
      <c r="E5323" s="13" t="n">
        <f aca="false">IFERROR(MIN(C5323,Eingaben!$B$17)*Eingaben!$B$16,0)</f>
        <v>1.938</v>
      </c>
      <c r="F5323" s="13" t="n">
        <f aca="false">IFERROR(E5323*Eingaben!$B$15,0)</f>
        <v>1.7442</v>
      </c>
      <c r="G5323" s="13" t="n">
        <f aca="false">IFERROR(IF(Kalender!A199="",0,J5322*(1-Eingaben!$B$20)),0)</f>
        <v>1.709316</v>
      </c>
      <c r="H5323" s="13" t="n">
        <f aca="false">MIN(G5323,D5323)</f>
        <v>0.89</v>
      </c>
      <c r="I5323" s="13" t="n">
        <f aca="false">IFERROR(MIN(F5323*Eingaben!$B$19,MAX(0,D5323-H5323)),0)</f>
        <v>0</v>
      </c>
      <c r="J5323" s="13" t="n">
        <f aca="false">IFERROR(MIN(Eingaben!$B$18,MAX(0,F5323-I5323)),0)</f>
        <v>1.7442</v>
      </c>
      <c r="K5323" s="13" t="n">
        <f aca="false">H5323+I5323</f>
        <v>0.89</v>
      </c>
      <c r="L5323" s="13" t="n">
        <f aca="false">MAX(0,D5323-K5323)</f>
        <v>0</v>
      </c>
      <c r="M5323" s="13" t="n">
        <f aca="false">MAX(0,F5323-I5323-J5323)</f>
        <v>0</v>
      </c>
      <c r="N5323" s="13" t="n">
        <f aca="false">IF(Kalender!A199="",0,J5322-H5323)</f>
        <v>0.8542</v>
      </c>
    </row>
    <row r="5324" customFormat="false" ht="16.4" hidden="false" customHeight="false" outlineLevel="0" collapsed="false">
      <c r="A5324" s="13" t="str">
        <f aca="false">""</f>
        <v/>
      </c>
      <c r="B5324" s="13" t="n">
        <f aca="false">196</f>
        <v>196</v>
      </c>
      <c r="C5324" s="13" t="n">
        <f aca="false">IF(Szenarien!$H$25="OK",(IFERROR(SUMIF(Nutzungsprofile!$B$6:$B$11,"Schulbetrieb",Nutzungsprofile!$G$6:$G$11)*Kalender!C200/SUM(Kalender!$C$5:$C$370),0)+IFERROR(SUMIF(Nutzungsprofile!$B$6:$B$11,"Halle",Nutzungsprofile!$G$6:$G$11)*Kalender!D200/SUM(Kalender!$D$5:$D$370),0)+IFERROR(SUMIF(Nutzungsprofile!$B$6:$B$11,"Individuell",Nutzungsprofile!$G$6:$G$11)*Kalender!E200/SUM(Kalender!$E$5:$E$370),0))*Szenarien!$E$25,0)</f>
        <v>2.04</v>
      </c>
      <c r="D5324" s="13" t="n">
        <f aca="false">IF(Szenarien!$H$25="OK",(IFERROR(SUMIF(Nutzungsprofile!$B$17:$B$22,"Schulbetrieb",Nutzungsprofile!$G$17:$G$22)*Kalender!C200/SUM(Kalender!$C$5:$C$370),0)+IFERROR(SUMIF(Nutzungsprofile!$B$17:$B$22,"Halle",Nutzungsprofile!$G$17:$G$22)*Kalender!D200/SUM(Kalender!$D$5:$D$370),0)+IFERROR(SUMIF(Nutzungsprofile!$B$17:$B$22,"Individuell",Nutzungsprofile!$G$17:$G$22)*Kalender!E200/SUM(Kalender!$E$5:$E$370),0))*Szenarien!$D$25,0)</f>
        <v>0.89</v>
      </c>
      <c r="E5324" s="13" t="n">
        <f aca="false">IFERROR(MIN(C5324,Eingaben!$B$17)*Eingaben!$B$16,0)</f>
        <v>1.938</v>
      </c>
      <c r="F5324" s="13" t="n">
        <f aca="false">IFERROR(E5324*Eingaben!$B$15,0)</f>
        <v>1.7442</v>
      </c>
      <c r="G5324" s="13" t="n">
        <f aca="false">IFERROR(IF(Kalender!A200="",0,J5323*(1-Eingaben!$B$20)),0)</f>
        <v>1.709316</v>
      </c>
      <c r="H5324" s="13" t="n">
        <f aca="false">MIN(G5324,D5324)</f>
        <v>0.89</v>
      </c>
      <c r="I5324" s="13" t="n">
        <f aca="false">IFERROR(MIN(F5324*Eingaben!$B$19,MAX(0,D5324-H5324)),0)</f>
        <v>0</v>
      </c>
      <c r="J5324" s="13" t="n">
        <f aca="false">IFERROR(MIN(Eingaben!$B$18,MAX(0,F5324-I5324)),0)</f>
        <v>1.7442</v>
      </c>
      <c r="K5324" s="13" t="n">
        <f aca="false">H5324+I5324</f>
        <v>0.89</v>
      </c>
      <c r="L5324" s="13" t="n">
        <f aca="false">MAX(0,D5324-K5324)</f>
        <v>0</v>
      </c>
      <c r="M5324" s="13" t="n">
        <f aca="false">MAX(0,F5324-I5324-J5324)</f>
        <v>0</v>
      </c>
      <c r="N5324" s="13" t="n">
        <f aca="false">IF(Kalender!A200="",0,J5323-H5324)</f>
        <v>0.8542</v>
      </c>
    </row>
    <row r="5325" customFormat="false" ht="16.4" hidden="false" customHeight="false" outlineLevel="0" collapsed="false">
      <c r="A5325" s="13" t="str">
        <f aca="false">""</f>
        <v/>
      </c>
      <c r="B5325" s="13" t="n">
        <f aca="false">197</f>
        <v>197</v>
      </c>
      <c r="C5325" s="13" t="n">
        <f aca="false">IF(Szenarien!$H$25="OK",(IFERROR(SUMIF(Nutzungsprofile!$B$6:$B$11,"Schulbetrieb",Nutzungsprofile!$G$6:$G$11)*Kalender!C201/SUM(Kalender!$C$5:$C$370),0)+IFERROR(SUMIF(Nutzungsprofile!$B$6:$B$11,"Halle",Nutzungsprofile!$G$6:$G$11)*Kalender!D201/SUM(Kalender!$D$5:$D$370),0)+IFERROR(SUMIF(Nutzungsprofile!$B$6:$B$11,"Individuell",Nutzungsprofile!$G$6:$G$11)*Kalender!E201/SUM(Kalender!$E$5:$E$370),0))*Szenarien!$E$25,0)</f>
        <v>2.04</v>
      </c>
      <c r="D5325" s="13" t="n">
        <f aca="false">IF(Szenarien!$H$25="OK",(IFERROR(SUMIF(Nutzungsprofile!$B$17:$B$22,"Schulbetrieb",Nutzungsprofile!$G$17:$G$22)*Kalender!C201/SUM(Kalender!$C$5:$C$370),0)+IFERROR(SUMIF(Nutzungsprofile!$B$17:$B$22,"Halle",Nutzungsprofile!$G$17:$G$22)*Kalender!D201/SUM(Kalender!$D$5:$D$370),0)+IFERROR(SUMIF(Nutzungsprofile!$B$17:$B$22,"Individuell",Nutzungsprofile!$G$17:$G$22)*Kalender!E201/SUM(Kalender!$E$5:$E$370),0))*Szenarien!$D$25,0)</f>
        <v>0.89</v>
      </c>
      <c r="E5325" s="13" t="n">
        <f aca="false">IFERROR(MIN(C5325,Eingaben!$B$17)*Eingaben!$B$16,0)</f>
        <v>1.938</v>
      </c>
      <c r="F5325" s="13" t="n">
        <f aca="false">IFERROR(E5325*Eingaben!$B$15,0)</f>
        <v>1.7442</v>
      </c>
      <c r="G5325" s="13" t="n">
        <f aca="false">IFERROR(IF(Kalender!A201="",0,J5324*(1-Eingaben!$B$20)),0)</f>
        <v>1.709316</v>
      </c>
      <c r="H5325" s="13" t="n">
        <f aca="false">MIN(G5325,D5325)</f>
        <v>0.89</v>
      </c>
      <c r="I5325" s="13" t="n">
        <f aca="false">IFERROR(MIN(F5325*Eingaben!$B$19,MAX(0,D5325-H5325)),0)</f>
        <v>0</v>
      </c>
      <c r="J5325" s="13" t="n">
        <f aca="false">IFERROR(MIN(Eingaben!$B$18,MAX(0,F5325-I5325)),0)</f>
        <v>1.7442</v>
      </c>
      <c r="K5325" s="13" t="n">
        <f aca="false">H5325+I5325</f>
        <v>0.89</v>
      </c>
      <c r="L5325" s="13" t="n">
        <f aca="false">MAX(0,D5325-K5325)</f>
        <v>0</v>
      </c>
      <c r="M5325" s="13" t="n">
        <f aca="false">MAX(0,F5325-I5325-J5325)</f>
        <v>0</v>
      </c>
      <c r="N5325" s="13" t="n">
        <f aca="false">IF(Kalender!A201="",0,J5324-H5325)</f>
        <v>0.8542</v>
      </c>
    </row>
    <row r="5326" customFormat="false" ht="16.4" hidden="false" customHeight="false" outlineLevel="0" collapsed="false">
      <c r="A5326" s="13" t="str">
        <f aca="false">""</f>
        <v/>
      </c>
      <c r="B5326" s="13" t="n">
        <f aca="false">198</f>
        <v>198</v>
      </c>
      <c r="C5326" s="13" t="n">
        <f aca="false">IF(Szenarien!$H$25="OK",(IFERROR(SUMIF(Nutzungsprofile!$B$6:$B$11,"Schulbetrieb",Nutzungsprofile!$G$6:$G$11)*Kalender!C202/SUM(Kalender!$C$5:$C$370),0)+IFERROR(SUMIF(Nutzungsprofile!$B$6:$B$11,"Halle",Nutzungsprofile!$G$6:$G$11)*Kalender!D202/SUM(Kalender!$D$5:$D$370),0)+IFERROR(SUMIF(Nutzungsprofile!$B$6:$B$11,"Individuell",Nutzungsprofile!$G$6:$G$11)*Kalender!E202/SUM(Kalender!$E$5:$E$370),0))*Szenarien!$E$25,0)</f>
        <v>2.04</v>
      </c>
      <c r="D5326" s="13" t="n">
        <f aca="false">IF(Szenarien!$H$25="OK",(IFERROR(SUMIF(Nutzungsprofile!$B$17:$B$22,"Schulbetrieb",Nutzungsprofile!$G$17:$G$22)*Kalender!C202/SUM(Kalender!$C$5:$C$370),0)+IFERROR(SUMIF(Nutzungsprofile!$B$17:$B$22,"Halle",Nutzungsprofile!$G$17:$G$22)*Kalender!D202/SUM(Kalender!$D$5:$D$370),0)+IFERROR(SUMIF(Nutzungsprofile!$B$17:$B$22,"Individuell",Nutzungsprofile!$G$17:$G$22)*Kalender!E202/SUM(Kalender!$E$5:$E$370),0))*Szenarien!$D$25,0)</f>
        <v>0.89</v>
      </c>
      <c r="E5326" s="13" t="n">
        <f aca="false">IFERROR(MIN(C5326,Eingaben!$B$17)*Eingaben!$B$16,0)</f>
        <v>1.938</v>
      </c>
      <c r="F5326" s="13" t="n">
        <f aca="false">IFERROR(E5326*Eingaben!$B$15,0)</f>
        <v>1.7442</v>
      </c>
      <c r="G5326" s="13" t="n">
        <f aca="false">IFERROR(IF(Kalender!A202="",0,J5325*(1-Eingaben!$B$20)),0)</f>
        <v>1.709316</v>
      </c>
      <c r="H5326" s="13" t="n">
        <f aca="false">MIN(G5326,D5326)</f>
        <v>0.89</v>
      </c>
      <c r="I5326" s="13" t="n">
        <f aca="false">IFERROR(MIN(F5326*Eingaben!$B$19,MAX(0,D5326-H5326)),0)</f>
        <v>0</v>
      </c>
      <c r="J5326" s="13" t="n">
        <f aca="false">IFERROR(MIN(Eingaben!$B$18,MAX(0,F5326-I5326)),0)</f>
        <v>1.7442</v>
      </c>
      <c r="K5326" s="13" t="n">
        <f aca="false">H5326+I5326</f>
        <v>0.89</v>
      </c>
      <c r="L5326" s="13" t="n">
        <f aca="false">MAX(0,D5326-K5326)</f>
        <v>0</v>
      </c>
      <c r="M5326" s="13" t="n">
        <f aca="false">MAX(0,F5326-I5326-J5326)</f>
        <v>0</v>
      </c>
      <c r="N5326" s="13" t="n">
        <f aca="false">IF(Kalender!A202="",0,J5325-H5326)</f>
        <v>0.8542</v>
      </c>
    </row>
    <row r="5327" customFormat="false" ht="16.4" hidden="false" customHeight="false" outlineLevel="0" collapsed="false">
      <c r="A5327" s="13" t="str">
        <f aca="false">""</f>
        <v/>
      </c>
      <c r="B5327" s="13" t="n">
        <f aca="false">199</f>
        <v>199</v>
      </c>
      <c r="C5327" s="13" t="n">
        <f aca="false">IF(Szenarien!$H$25="OK",(IFERROR(SUMIF(Nutzungsprofile!$B$6:$B$11,"Schulbetrieb",Nutzungsprofile!$G$6:$G$11)*Kalender!C203/SUM(Kalender!$C$5:$C$370),0)+IFERROR(SUMIF(Nutzungsprofile!$B$6:$B$11,"Halle",Nutzungsprofile!$G$6:$G$11)*Kalender!D203/SUM(Kalender!$D$5:$D$370),0)+IFERROR(SUMIF(Nutzungsprofile!$B$6:$B$11,"Individuell",Nutzungsprofile!$G$6:$G$11)*Kalender!E203/SUM(Kalender!$E$5:$E$370),0))*Szenarien!$E$25,0)</f>
        <v>2.04</v>
      </c>
      <c r="D5327" s="13" t="n">
        <f aca="false">IF(Szenarien!$H$25="OK",(IFERROR(SUMIF(Nutzungsprofile!$B$17:$B$22,"Schulbetrieb",Nutzungsprofile!$G$17:$G$22)*Kalender!C203/SUM(Kalender!$C$5:$C$370),0)+IFERROR(SUMIF(Nutzungsprofile!$B$17:$B$22,"Halle",Nutzungsprofile!$G$17:$G$22)*Kalender!D203/SUM(Kalender!$D$5:$D$370),0)+IFERROR(SUMIF(Nutzungsprofile!$B$17:$B$22,"Individuell",Nutzungsprofile!$G$17:$G$22)*Kalender!E203/SUM(Kalender!$E$5:$E$370),0))*Szenarien!$D$25,0)</f>
        <v>0.89</v>
      </c>
      <c r="E5327" s="13" t="n">
        <f aca="false">IFERROR(MIN(C5327,Eingaben!$B$17)*Eingaben!$B$16,0)</f>
        <v>1.938</v>
      </c>
      <c r="F5327" s="13" t="n">
        <f aca="false">IFERROR(E5327*Eingaben!$B$15,0)</f>
        <v>1.7442</v>
      </c>
      <c r="G5327" s="13" t="n">
        <f aca="false">IFERROR(IF(Kalender!A203="",0,J5326*(1-Eingaben!$B$20)),0)</f>
        <v>1.709316</v>
      </c>
      <c r="H5327" s="13" t="n">
        <f aca="false">MIN(G5327,D5327)</f>
        <v>0.89</v>
      </c>
      <c r="I5327" s="13" t="n">
        <f aca="false">IFERROR(MIN(F5327*Eingaben!$B$19,MAX(0,D5327-H5327)),0)</f>
        <v>0</v>
      </c>
      <c r="J5327" s="13" t="n">
        <f aca="false">IFERROR(MIN(Eingaben!$B$18,MAX(0,F5327-I5327)),0)</f>
        <v>1.7442</v>
      </c>
      <c r="K5327" s="13" t="n">
        <f aca="false">H5327+I5327</f>
        <v>0.89</v>
      </c>
      <c r="L5327" s="13" t="n">
        <f aca="false">MAX(0,D5327-K5327)</f>
        <v>0</v>
      </c>
      <c r="M5327" s="13" t="n">
        <f aca="false">MAX(0,F5327-I5327-J5327)</f>
        <v>0</v>
      </c>
      <c r="N5327" s="13" t="n">
        <f aca="false">IF(Kalender!A203="",0,J5326-H5327)</f>
        <v>0.8542</v>
      </c>
    </row>
    <row r="5328" customFormat="false" ht="16.4" hidden="false" customHeight="false" outlineLevel="0" collapsed="false">
      <c r="A5328" s="13" t="str">
        <f aca="false">""</f>
        <v/>
      </c>
      <c r="B5328" s="13" t="n">
        <f aca="false">200</f>
        <v>200</v>
      </c>
      <c r="C5328" s="13" t="n">
        <f aca="false">IF(Szenarien!$H$25="OK",(IFERROR(SUMIF(Nutzungsprofile!$B$6:$B$11,"Schulbetrieb",Nutzungsprofile!$G$6:$G$11)*Kalender!C204/SUM(Kalender!$C$5:$C$370),0)+IFERROR(SUMIF(Nutzungsprofile!$B$6:$B$11,"Halle",Nutzungsprofile!$G$6:$G$11)*Kalender!D204/SUM(Kalender!$D$5:$D$370),0)+IFERROR(SUMIF(Nutzungsprofile!$B$6:$B$11,"Individuell",Nutzungsprofile!$G$6:$G$11)*Kalender!E204/SUM(Kalender!$E$5:$E$370),0))*Szenarien!$E$25,0)</f>
        <v>2.04</v>
      </c>
      <c r="D5328" s="13" t="n">
        <f aca="false">IF(Szenarien!$H$25="OK",(IFERROR(SUMIF(Nutzungsprofile!$B$17:$B$22,"Schulbetrieb",Nutzungsprofile!$G$17:$G$22)*Kalender!C204/SUM(Kalender!$C$5:$C$370),0)+IFERROR(SUMIF(Nutzungsprofile!$B$17:$B$22,"Halle",Nutzungsprofile!$G$17:$G$22)*Kalender!D204/SUM(Kalender!$D$5:$D$370),0)+IFERROR(SUMIF(Nutzungsprofile!$B$17:$B$22,"Individuell",Nutzungsprofile!$G$17:$G$22)*Kalender!E204/SUM(Kalender!$E$5:$E$370),0))*Szenarien!$D$25,0)</f>
        <v>0.89</v>
      </c>
      <c r="E5328" s="13" t="n">
        <f aca="false">IFERROR(MIN(C5328,Eingaben!$B$17)*Eingaben!$B$16,0)</f>
        <v>1.938</v>
      </c>
      <c r="F5328" s="13" t="n">
        <f aca="false">IFERROR(E5328*Eingaben!$B$15,0)</f>
        <v>1.7442</v>
      </c>
      <c r="G5328" s="13" t="n">
        <f aca="false">IFERROR(IF(Kalender!A204="",0,J5327*(1-Eingaben!$B$20)),0)</f>
        <v>1.709316</v>
      </c>
      <c r="H5328" s="13" t="n">
        <f aca="false">MIN(G5328,D5328)</f>
        <v>0.89</v>
      </c>
      <c r="I5328" s="13" t="n">
        <f aca="false">IFERROR(MIN(F5328*Eingaben!$B$19,MAX(0,D5328-H5328)),0)</f>
        <v>0</v>
      </c>
      <c r="J5328" s="13" t="n">
        <f aca="false">IFERROR(MIN(Eingaben!$B$18,MAX(0,F5328-I5328)),0)</f>
        <v>1.7442</v>
      </c>
      <c r="K5328" s="13" t="n">
        <f aca="false">H5328+I5328</f>
        <v>0.89</v>
      </c>
      <c r="L5328" s="13" t="n">
        <f aca="false">MAX(0,D5328-K5328)</f>
        <v>0</v>
      </c>
      <c r="M5328" s="13" t="n">
        <f aca="false">MAX(0,F5328-I5328-J5328)</f>
        <v>0</v>
      </c>
      <c r="N5328" s="13" t="n">
        <f aca="false">IF(Kalender!A204="",0,J5327-H5328)</f>
        <v>0.8542</v>
      </c>
    </row>
    <row r="5329" customFormat="false" ht="16.4" hidden="false" customHeight="false" outlineLevel="0" collapsed="false">
      <c r="A5329" s="13" t="str">
        <f aca="false">""</f>
        <v/>
      </c>
      <c r="B5329" s="13" t="n">
        <f aca="false">201</f>
        <v>201</v>
      </c>
      <c r="C5329" s="13" t="n">
        <f aca="false">IF(Szenarien!$H$25="OK",(IFERROR(SUMIF(Nutzungsprofile!$B$6:$B$11,"Schulbetrieb",Nutzungsprofile!$G$6:$G$11)*Kalender!C205/SUM(Kalender!$C$5:$C$370),0)+IFERROR(SUMIF(Nutzungsprofile!$B$6:$B$11,"Halle",Nutzungsprofile!$G$6:$G$11)*Kalender!D205/SUM(Kalender!$D$5:$D$370),0)+IFERROR(SUMIF(Nutzungsprofile!$B$6:$B$11,"Individuell",Nutzungsprofile!$G$6:$G$11)*Kalender!E205/SUM(Kalender!$E$5:$E$370),0))*Szenarien!$E$25,0)</f>
        <v>2.04</v>
      </c>
      <c r="D5329" s="13" t="n">
        <f aca="false">IF(Szenarien!$H$25="OK",(IFERROR(SUMIF(Nutzungsprofile!$B$17:$B$22,"Schulbetrieb",Nutzungsprofile!$G$17:$G$22)*Kalender!C205/SUM(Kalender!$C$5:$C$370),0)+IFERROR(SUMIF(Nutzungsprofile!$B$17:$B$22,"Halle",Nutzungsprofile!$G$17:$G$22)*Kalender!D205/SUM(Kalender!$D$5:$D$370),0)+IFERROR(SUMIF(Nutzungsprofile!$B$17:$B$22,"Individuell",Nutzungsprofile!$G$17:$G$22)*Kalender!E205/SUM(Kalender!$E$5:$E$370),0))*Szenarien!$D$25,0)</f>
        <v>0.89</v>
      </c>
      <c r="E5329" s="13" t="n">
        <f aca="false">IFERROR(MIN(C5329,Eingaben!$B$17)*Eingaben!$B$16,0)</f>
        <v>1.938</v>
      </c>
      <c r="F5329" s="13" t="n">
        <f aca="false">IFERROR(E5329*Eingaben!$B$15,0)</f>
        <v>1.7442</v>
      </c>
      <c r="G5329" s="13" t="n">
        <f aca="false">IFERROR(IF(Kalender!A205="",0,J5328*(1-Eingaben!$B$20)),0)</f>
        <v>1.709316</v>
      </c>
      <c r="H5329" s="13" t="n">
        <f aca="false">MIN(G5329,D5329)</f>
        <v>0.89</v>
      </c>
      <c r="I5329" s="13" t="n">
        <f aca="false">IFERROR(MIN(F5329*Eingaben!$B$19,MAX(0,D5329-H5329)),0)</f>
        <v>0</v>
      </c>
      <c r="J5329" s="13" t="n">
        <f aca="false">IFERROR(MIN(Eingaben!$B$18,MAX(0,F5329-I5329)),0)</f>
        <v>1.7442</v>
      </c>
      <c r="K5329" s="13" t="n">
        <f aca="false">H5329+I5329</f>
        <v>0.89</v>
      </c>
      <c r="L5329" s="13" t="n">
        <f aca="false">MAX(0,D5329-K5329)</f>
        <v>0</v>
      </c>
      <c r="M5329" s="13" t="n">
        <f aca="false">MAX(0,F5329-I5329-J5329)</f>
        <v>0</v>
      </c>
      <c r="N5329" s="13" t="n">
        <f aca="false">IF(Kalender!A205="",0,J5328-H5329)</f>
        <v>0.8542</v>
      </c>
    </row>
    <row r="5330" customFormat="false" ht="16.4" hidden="false" customHeight="false" outlineLevel="0" collapsed="false">
      <c r="A5330" s="13" t="str">
        <f aca="false">""</f>
        <v/>
      </c>
      <c r="B5330" s="13" t="n">
        <f aca="false">202</f>
        <v>202</v>
      </c>
      <c r="C5330" s="13" t="n">
        <f aca="false">IF(Szenarien!$H$25="OK",(IFERROR(SUMIF(Nutzungsprofile!$B$6:$B$11,"Schulbetrieb",Nutzungsprofile!$G$6:$G$11)*Kalender!C206/SUM(Kalender!$C$5:$C$370),0)+IFERROR(SUMIF(Nutzungsprofile!$B$6:$B$11,"Halle",Nutzungsprofile!$G$6:$G$11)*Kalender!D206/SUM(Kalender!$D$5:$D$370),0)+IFERROR(SUMIF(Nutzungsprofile!$B$6:$B$11,"Individuell",Nutzungsprofile!$G$6:$G$11)*Kalender!E206/SUM(Kalender!$E$5:$E$370),0))*Szenarien!$E$25,0)</f>
        <v>2.04</v>
      </c>
      <c r="D5330" s="13" t="n">
        <f aca="false">IF(Szenarien!$H$25="OK",(IFERROR(SUMIF(Nutzungsprofile!$B$17:$B$22,"Schulbetrieb",Nutzungsprofile!$G$17:$G$22)*Kalender!C206/SUM(Kalender!$C$5:$C$370),0)+IFERROR(SUMIF(Nutzungsprofile!$B$17:$B$22,"Halle",Nutzungsprofile!$G$17:$G$22)*Kalender!D206/SUM(Kalender!$D$5:$D$370),0)+IFERROR(SUMIF(Nutzungsprofile!$B$17:$B$22,"Individuell",Nutzungsprofile!$G$17:$G$22)*Kalender!E206/SUM(Kalender!$E$5:$E$370),0))*Szenarien!$D$25,0)</f>
        <v>0.89</v>
      </c>
      <c r="E5330" s="13" t="n">
        <f aca="false">IFERROR(MIN(C5330,Eingaben!$B$17)*Eingaben!$B$16,0)</f>
        <v>1.938</v>
      </c>
      <c r="F5330" s="13" t="n">
        <f aca="false">IFERROR(E5330*Eingaben!$B$15,0)</f>
        <v>1.7442</v>
      </c>
      <c r="G5330" s="13" t="n">
        <f aca="false">IFERROR(IF(Kalender!A206="",0,J5329*(1-Eingaben!$B$20)),0)</f>
        <v>1.709316</v>
      </c>
      <c r="H5330" s="13" t="n">
        <f aca="false">MIN(G5330,D5330)</f>
        <v>0.89</v>
      </c>
      <c r="I5330" s="13" t="n">
        <f aca="false">IFERROR(MIN(F5330*Eingaben!$B$19,MAX(0,D5330-H5330)),0)</f>
        <v>0</v>
      </c>
      <c r="J5330" s="13" t="n">
        <f aca="false">IFERROR(MIN(Eingaben!$B$18,MAX(0,F5330-I5330)),0)</f>
        <v>1.7442</v>
      </c>
      <c r="K5330" s="13" t="n">
        <f aca="false">H5330+I5330</f>
        <v>0.89</v>
      </c>
      <c r="L5330" s="13" t="n">
        <f aca="false">MAX(0,D5330-K5330)</f>
        <v>0</v>
      </c>
      <c r="M5330" s="13" t="n">
        <f aca="false">MAX(0,F5330-I5330-J5330)</f>
        <v>0</v>
      </c>
      <c r="N5330" s="13" t="n">
        <f aca="false">IF(Kalender!A206="",0,J5329-H5330)</f>
        <v>0.8542</v>
      </c>
    </row>
    <row r="5331" customFormat="false" ht="16.4" hidden="false" customHeight="false" outlineLevel="0" collapsed="false">
      <c r="A5331" s="13" t="str">
        <f aca="false">""</f>
        <v/>
      </c>
      <c r="B5331" s="13" t="n">
        <f aca="false">203</f>
        <v>203</v>
      </c>
      <c r="C5331" s="13" t="n">
        <f aca="false">IF(Szenarien!$H$25="OK",(IFERROR(SUMIF(Nutzungsprofile!$B$6:$B$11,"Schulbetrieb",Nutzungsprofile!$G$6:$G$11)*Kalender!C207/SUM(Kalender!$C$5:$C$370),0)+IFERROR(SUMIF(Nutzungsprofile!$B$6:$B$11,"Halle",Nutzungsprofile!$G$6:$G$11)*Kalender!D207/SUM(Kalender!$D$5:$D$370),0)+IFERROR(SUMIF(Nutzungsprofile!$B$6:$B$11,"Individuell",Nutzungsprofile!$G$6:$G$11)*Kalender!E207/SUM(Kalender!$E$5:$E$370),0))*Szenarien!$E$25,0)</f>
        <v>2.04</v>
      </c>
      <c r="D5331" s="13" t="n">
        <f aca="false">IF(Szenarien!$H$25="OK",(IFERROR(SUMIF(Nutzungsprofile!$B$17:$B$22,"Schulbetrieb",Nutzungsprofile!$G$17:$G$22)*Kalender!C207/SUM(Kalender!$C$5:$C$370),0)+IFERROR(SUMIF(Nutzungsprofile!$B$17:$B$22,"Halle",Nutzungsprofile!$G$17:$G$22)*Kalender!D207/SUM(Kalender!$D$5:$D$370),0)+IFERROR(SUMIF(Nutzungsprofile!$B$17:$B$22,"Individuell",Nutzungsprofile!$G$17:$G$22)*Kalender!E207/SUM(Kalender!$E$5:$E$370),0))*Szenarien!$D$25,0)</f>
        <v>0.89</v>
      </c>
      <c r="E5331" s="13" t="n">
        <f aca="false">IFERROR(MIN(C5331,Eingaben!$B$17)*Eingaben!$B$16,0)</f>
        <v>1.938</v>
      </c>
      <c r="F5331" s="13" t="n">
        <f aca="false">IFERROR(E5331*Eingaben!$B$15,0)</f>
        <v>1.7442</v>
      </c>
      <c r="G5331" s="13" t="n">
        <f aca="false">IFERROR(IF(Kalender!A207="",0,J5330*(1-Eingaben!$B$20)),0)</f>
        <v>1.709316</v>
      </c>
      <c r="H5331" s="13" t="n">
        <f aca="false">MIN(G5331,D5331)</f>
        <v>0.89</v>
      </c>
      <c r="I5331" s="13" t="n">
        <f aca="false">IFERROR(MIN(F5331*Eingaben!$B$19,MAX(0,D5331-H5331)),0)</f>
        <v>0</v>
      </c>
      <c r="J5331" s="13" t="n">
        <f aca="false">IFERROR(MIN(Eingaben!$B$18,MAX(0,F5331-I5331)),0)</f>
        <v>1.7442</v>
      </c>
      <c r="K5331" s="13" t="n">
        <f aca="false">H5331+I5331</f>
        <v>0.89</v>
      </c>
      <c r="L5331" s="13" t="n">
        <f aca="false">MAX(0,D5331-K5331)</f>
        <v>0</v>
      </c>
      <c r="M5331" s="13" t="n">
        <f aca="false">MAX(0,F5331-I5331-J5331)</f>
        <v>0</v>
      </c>
      <c r="N5331" s="13" t="n">
        <f aca="false">IF(Kalender!A207="",0,J5330-H5331)</f>
        <v>0.8542</v>
      </c>
    </row>
    <row r="5332" customFormat="false" ht="16.4" hidden="false" customHeight="false" outlineLevel="0" collapsed="false">
      <c r="A5332" s="13" t="str">
        <f aca="false">""</f>
        <v/>
      </c>
      <c r="B5332" s="13" t="n">
        <f aca="false">204</f>
        <v>204</v>
      </c>
      <c r="C5332" s="13" t="n">
        <f aca="false">IF(Szenarien!$H$25="OK",(IFERROR(SUMIF(Nutzungsprofile!$B$6:$B$11,"Schulbetrieb",Nutzungsprofile!$G$6:$G$11)*Kalender!C208/SUM(Kalender!$C$5:$C$370),0)+IFERROR(SUMIF(Nutzungsprofile!$B$6:$B$11,"Halle",Nutzungsprofile!$G$6:$G$11)*Kalender!D208/SUM(Kalender!$D$5:$D$370),0)+IFERROR(SUMIF(Nutzungsprofile!$B$6:$B$11,"Individuell",Nutzungsprofile!$G$6:$G$11)*Kalender!E208/SUM(Kalender!$E$5:$E$370),0))*Szenarien!$E$25,0)</f>
        <v>2.04</v>
      </c>
      <c r="D5332" s="13" t="n">
        <f aca="false">IF(Szenarien!$H$25="OK",(IFERROR(SUMIF(Nutzungsprofile!$B$17:$B$22,"Schulbetrieb",Nutzungsprofile!$G$17:$G$22)*Kalender!C208/SUM(Kalender!$C$5:$C$370),0)+IFERROR(SUMIF(Nutzungsprofile!$B$17:$B$22,"Halle",Nutzungsprofile!$G$17:$G$22)*Kalender!D208/SUM(Kalender!$D$5:$D$370),0)+IFERROR(SUMIF(Nutzungsprofile!$B$17:$B$22,"Individuell",Nutzungsprofile!$G$17:$G$22)*Kalender!E208/SUM(Kalender!$E$5:$E$370),0))*Szenarien!$D$25,0)</f>
        <v>0.89</v>
      </c>
      <c r="E5332" s="13" t="n">
        <f aca="false">IFERROR(MIN(C5332,Eingaben!$B$17)*Eingaben!$B$16,0)</f>
        <v>1.938</v>
      </c>
      <c r="F5332" s="13" t="n">
        <f aca="false">IFERROR(E5332*Eingaben!$B$15,0)</f>
        <v>1.7442</v>
      </c>
      <c r="G5332" s="13" t="n">
        <f aca="false">IFERROR(IF(Kalender!A208="",0,J5331*(1-Eingaben!$B$20)),0)</f>
        <v>1.709316</v>
      </c>
      <c r="H5332" s="13" t="n">
        <f aca="false">MIN(G5332,D5332)</f>
        <v>0.89</v>
      </c>
      <c r="I5332" s="13" t="n">
        <f aca="false">IFERROR(MIN(F5332*Eingaben!$B$19,MAX(0,D5332-H5332)),0)</f>
        <v>0</v>
      </c>
      <c r="J5332" s="13" t="n">
        <f aca="false">IFERROR(MIN(Eingaben!$B$18,MAX(0,F5332-I5332)),0)</f>
        <v>1.7442</v>
      </c>
      <c r="K5332" s="13" t="n">
        <f aca="false">H5332+I5332</f>
        <v>0.89</v>
      </c>
      <c r="L5332" s="13" t="n">
        <f aca="false">MAX(0,D5332-K5332)</f>
        <v>0</v>
      </c>
      <c r="M5332" s="13" t="n">
        <f aca="false">MAX(0,F5332-I5332-J5332)</f>
        <v>0</v>
      </c>
      <c r="N5332" s="13" t="n">
        <f aca="false">IF(Kalender!A208="",0,J5331-H5332)</f>
        <v>0.8542</v>
      </c>
    </row>
    <row r="5333" customFormat="false" ht="16.4" hidden="false" customHeight="false" outlineLevel="0" collapsed="false">
      <c r="A5333" s="13" t="str">
        <f aca="false">""</f>
        <v/>
      </c>
      <c r="B5333" s="13" t="n">
        <f aca="false">205</f>
        <v>205</v>
      </c>
      <c r="C5333" s="13" t="n">
        <f aca="false">IF(Szenarien!$H$25="OK",(IFERROR(SUMIF(Nutzungsprofile!$B$6:$B$11,"Schulbetrieb",Nutzungsprofile!$G$6:$G$11)*Kalender!C209/SUM(Kalender!$C$5:$C$370),0)+IFERROR(SUMIF(Nutzungsprofile!$B$6:$B$11,"Halle",Nutzungsprofile!$G$6:$G$11)*Kalender!D209/SUM(Kalender!$D$5:$D$370),0)+IFERROR(SUMIF(Nutzungsprofile!$B$6:$B$11,"Individuell",Nutzungsprofile!$G$6:$G$11)*Kalender!E209/SUM(Kalender!$E$5:$E$370),0))*Szenarien!$E$25,0)</f>
        <v>2.04</v>
      </c>
      <c r="D5333" s="13" t="n">
        <f aca="false">IF(Szenarien!$H$25="OK",(IFERROR(SUMIF(Nutzungsprofile!$B$17:$B$22,"Schulbetrieb",Nutzungsprofile!$G$17:$G$22)*Kalender!C209/SUM(Kalender!$C$5:$C$370),0)+IFERROR(SUMIF(Nutzungsprofile!$B$17:$B$22,"Halle",Nutzungsprofile!$G$17:$G$22)*Kalender!D209/SUM(Kalender!$D$5:$D$370),0)+IFERROR(SUMIF(Nutzungsprofile!$B$17:$B$22,"Individuell",Nutzungsprofile!$G$17:$G$22)*Kalender!E209/SUM(Kalender!$E$5:$E$370),0))*Szenarien!$D$25,0)</f>
        <v>0.89</v>
      </c>
      <c r="E5333" s="13" t="n">
        <f aca="false">IFERROR(MIN(C5333,Eingaben!$B$17)*Eingaben!$B$16,0)</f>
        <v>1.938</v>
      </c>
      <c r="F5333" s="13" t="n">
        <f aca="false">IFERROR(E5333*Eingaben!$B$15,0)</f>
        <v>1.7442</v>
      </c>
      <c r="G5333" s="13" t="n">
        <f aca="false">IFERROR(IF(Kalender!A209="",0,J5332*(1-Eingaben!$B$20)),0)</f>
        <v>1.709316</v>
      </c>
      <c r="H5333" s="13" t="n">
        <f aca="false">MIN(G5333,D5333)</f>
        <v>0.89</v>
      </c>
      <c r="I5333" s="13" t="n">
        <f aca="false">IFERROR(MIN(F5333*Eingaben!$B$19,MAX(0,D5333-H5333)),0)</f>
        <v>0</v>
      </c>
      <c r="J5333" s="13" t="n">
        <f aca="false">IFERROR(MIN(Eingaben!$B$18,MAX(0,F5333-I5333)),0)</f>
        <v>1.7442</v>
      </c>
      <c r="K5333" s="13" t="n">
        <f aca="false">H5333+I5333</f>
        <v>0.89</v>
      </c>
      <c r="L5333" s="13" t="n">
        <f aca="false">MAX(0,D5333-K5333)</f>
        <v>0</v>
      </c>
      <c r="M5333" s="13" t="n">
        <f aca="false">MAX(0,F5333-I5333-J5333)</f>
        <v>0</v>
      </c>
      <c r="N5333" s="13" t="n">
        <f aca="false">IF(Kalender!A209="",0,J5332-H5333)</f>
        <v>0.8542</v>
      </c>
    </row>
    <row r="5334" customFormat="false" ht="16.4" hidden="false" customHeight="false" outlineLevel="0" collapsed="false">
      <c r="A5334" s="13" t="str">
        <f aca="false">""</f>
        <v/>
      </c>
      <c r="B5334" s="13" t="n">
        <f aca="false">206</f>
        <v>206</v>
      </c>
      <c r="C5334" s="13" t="n">
        <f aca="false">IF(Szenarien!$H$25="OK",(IFERROR(SUMIF(Nutzungsprofile!$B$6:$B$11,"Schulbetrieb",Nutzungsprofile!$G$6:$G$11)*Kalender!C210/SUM(Kalender!$C$5:$C$370),0)+IFERROR(SUMIF(Nutzungsprofile!$B$6:$B$11,"Halle",Nutzungsprofile!$G$6:$G$11)*Kalender!D210/SUM(Kalender!$D$5:$D$370),0)+IFERROR(SUMIF(Nutzungsprofile!$B$6:$B$11,"Individuell",Nutzungsprofile!$G$6:$G$11)*Kalender!E210/SUM(Kalender!$E$5:$E$370),0))*Szenarien!$E$25,0)</f>
        <v>2.04</v>
      </c>
      <c r="D5334" s="13" t="n">
        <f aca="false">IF(Szenarien!$H$25="OK",(IFERROR(SUMIF(Nutzungsprofile!$B$17:$B$22,"Schulbetrieb",Nutzungsprofile!$G$17:$G$22)*Kalender!C210/SUM(Kalender!$C$5:$C$370),0)+IFERROR(SUMIF(Nutzungsprofile!$B$17:$B$22,"Halle",Nutzungsprofile!$G$17:$G$22)*Kalender!D210/SUM(Kalender!$D$5:$D$370),0)+IFERROR(SUMIF(Nutzungsprofile!$B$17:$B$22,"Individuell",Nutzungsprofile!$G$17:$G$22)*Kalender!E210/SUM(Kalender!$E$5:$E$370),0))*Szenarien!$D$25,0)</f>
        <v>0.89</v>
      </c>
      <c r="E5334" s="13" t="n">
        <f aca="false">IFERROR(MIN(C5334,Eingaben!$B$17)*Eingaben!$B$16,0)</f>
        <v>1.938</v>
      </c>
      <c r="F5334" s="13" t="n">
        <f aca="false">IFERROR(E5334*Eingaben!$B$15,0)</f>
        <v>1.7442</v>
      </c>
      <c r="G5334" s="13" t="n">
        <f aca="false">IFERROR(IF(Kalender!A210="",0,J5333*(1-Eingaben!$B$20)),0)</f>
        <v>1.709316</v>
      </c>
      <c r="H5334" s="13" t="n">
        <f aca="false">MIN(G5334,D5334)</f>
        <v>0.89</v>
      </c>
      <c r="I5334" s="13" t="n">
        <f aca="false">IFERROR(MIN(F5334*Eingaben!$B$19,MAX(0,D5334-H5334)),0)</f>
        <v>0</v>
      </c>
      <c r="J5334" s="13" t="n">
        <f aca="false">IFERROR(MIN(Eingaben!$B$18,MAX(0,F5334-I5334)),0)</f>
        <v>1.7442</v>
      </c>
      <c r="K5334" s="13" t="n">
        <f aca="false">H5334+I5334</f>
        <v>0.89</v>
      </c>
      <c r="L5334" s="13" t="n">
        <f aca="false">MAX(0,D5334-K5334)</f>
        <v>0</v>
      </c>
      <c r="M5334" s="13" t="n">
        <f aca="false">MAX(0,F5334-I5334-J5334)</f>
        <v>0</v>
      </c>
      <c r="N5334" s="13" t="n">
        <f aca="false">IF(Kalender!A210="",0,J5333-H5334)</f>
        <v>0.8542</v>
      </c>
    </row>
    <row r="5335" customFormat="false" ht="16.4" hidden="false" customHeight="false" outlineLevel="0" collapsed="false">
      <c r="A5335" s="13" t="str">
        <f aca="false">""</f>
        <v/>
      </c>
      <c r="B5335" s="13" t="n">
        <f aca="false">207</f>
        <v>207</v>
      </c>
      <c r="C5335" s="13" t="n">
        <f aca="false">IF(Szenarien!$H$25="OK",(IFERROR(SUMIF(Nutzungsprofile!$B$6:$B$11,"Schulbetrieb",Nutzungsprofile!$G$6:$G$11)*Kalender!C211/SUM(Kalender!$C$5:$C$370),0)+IFERROR(SUMIF(Nutzungsprofile!$B$6:$B$11,"Halle",Nutzungsprofile!$G$6:$G$11)*Kalender!D211/SUM(Kalender!$D$5:$D$370),0)+IFERROR(SUMIF(Nutzungsprofile!$B$6:$B$11,"Individuell",Nutzungsprofile!$G$6:$G$11)*Kalender!E211/SUM(Kalender!$E$5:$E$370),0))*Szenarien!$E$25,0)</f>
        <v>2.04</v>
      </c>
      <c r="D5335" s="13" t="n">
        <f aca="false">IF(Szenarien!$H$25="OK",(IFERROR(SUMIF(Nutzungsprofile!$B$17:$B$22,"Schulbetrieb",Nutzungsprofile!$G$17:$G$22)*Kalender!C211/SUM(Kalender!$C$5:$C$370),0)+IFERROR(SUMIF(Nutzungsprofile!$B$17:$B$22,"Halle",Nutzungsprofile!$G$17:$G$22)*Kalender!D211/SUM(Kalender!$D$5:$D$370),0)+IFERROR(SUMIF(Nutzungsprofile!$B$17:$B$22,"Individuell",Nutzungsprofile!$G$17:$G$22)*Kalender!E211/SUM(Kalender!$E$5:$E$370),0))*Szenarien!$D$25,0)</f>
        <v>0.89</v>
      </c>
      <c r="E5335" s="13" t="n">
        <f aca="false">IFERROR(MIN(C5335,Eingaben!$B$17)*Eingaben!$B$16,0)</f>
        <v>1.938</v>
      </c>
      <c r="F5335" s="13" t="n">
        <f aca="false">IFERROR(E5335*Eingaben!$B$15,0)</f>
        <v>1.7442</v>
      </c>
      <c r="G5335" s="13" t="n">
        <f aca="false">IFERROR(IF(Kalender!A211="",0,J5334*(1-Eingaben!$B$20)),0)</f>
        <v>1.709316</v>
      </c>
      <c r="H5335" s="13" t="n">
        <f aca="false">MIN(G5335,D5335)</f>
        <v>0.89</v>
      </c>
      <c r="I5335" s="13" t="n">
        <f aca="false">IFERROR(MIN(F5335*Eingaben!$B$19,MAX(0,D5335-H5335)),0)</f>
        <v>0</v>
      </c>
      <c r="J5335" s="13" t="n">
        <f aca="false">IFERROR(MIN(Eingaben!$B$18,MAX(0,F5335-I5335)),0)</f>
        <v>1.7442</v>
      </c>
      <c r="K5335" s="13" t="n">
        <f aca="false">H5335+I5335</f>
        <v>0.89</v>
      </c>
      <c r="L5335" s="13" t="n">
        <f aca="false">MAX(0,D5335-K5335)</f>
        <v>0</v>
      </c>
      <c r="M5335" s="13" t="n">
        <f aca="false">MAX(0,F5335-I5335-J5335)</f>
        <v>0</v>
      </c>
      <c r="N5335" s="13" t="n">
        <f aca="false">IF(Kalender!A211="",0,J5334-H5335)</f>
        <v>0.8542</v>
      </c>
    </row>
    <row r="5336" customFormat="false" ht="16.4" hidden="false" customHeight="false" outlineLevel="0" collapsed="false">
      <c r="A5336" s="13" t="str">
        <f aca="false">""</f>
        <v/>
      </c>
      <c r="B5336" s="13" t="n">
        <f aca="false">208</f>
        <v>208</v>
      </c>
      <c r="C5336" s="13" t="n">
        <f aca="false">IF(Szenarien!$H$25="OK",(IFERROR(SUMIF(Nutzungsprofile!$B$6:$B$11,"Schulbetrieb",Nutzungsprofile!$G$6:$G$11)*Kalender!C212/SUM(Kalender!$C$5:$C$370),0)+IFERROR(SUMIF(Nutzungsprofile!$B$6:$B$11,"Halle",Nutzungsprofile!$G$6:$G$11)*Kalender!D212/SUM(Kalender!$D$5:$D$370),0)+IFERROR(SUMIF(Nutzungsprofile!$B$6:$B$11,"Individuell",Nutzungsprofile!$G$6:$G$11)*Kalender!E212/SUM(Kalender!$E$5:$E$370),0))*Szenarien!$E$25,0)</f>
        <v>2.04</v>
      </c>
      <c r="D5336" s="13" t="n">
        <f aca="false">IF(Szenarien!$H$25="OK",(IFERROR(SUMIF(Nutzungsprofile!$B$17:$B$22,"Schulbetrieb",Nutzungsprofile!$G$17:$G$22)*Kalender!C212/SUM(Kalender!$C$5:$C$370),0)+IFERROR(SUMIF(Nutzungsprofile!$B$17:$B$22,"Halle",Nutzungsprofile!$G$17:$G$22)*Kalender!D212/SUM(Kalender!$D$5:$D$370),0)+IFERROR(SUMIF(Nutzungsprofile!$B$17:$B$22,"Individuell",Nutzungsprofile!$G$17:$G$22)*Kalender!E212/SUM(Kalender!$E$5:$E$370),0))*Szenarien!$D$25,0)</f>
        <v>0.89</v>
      </c>
      <c r="E5336" s="13" t="n">
        <f aca="false">IFERROR(MIN(C5336,Eingaben!$B$17)*Eingaben!$B$16,0)</f>
        <v>1.938</v>
      </c>
      <c r="F5336" s="13" t="n">
        <f aca="false">IFERROR(E5336*Eingaben!$B$15,0)</f>
        <v>1.7442</v>
      </c>
      <c r="G5336" s="13" t="n">
        <f aca="false">IFERROR(IF(Kalender!A212="",0,J5335*(1-Eingaben!$B$20)),0)</f>
        <v>1.709316</v>
      </c>
      <c r="H5336" s="13" t="n">
        <f aca="false">MIN(G5336,D5336)</f>
        <v>0.89</v>
      </c>
      <c r="I5336" s="13" t="n">
        <f aca="false">IFERROR(MIN(F5336*Eingaben!$B$19,MAX(0,D5336-H5336)),0)</f>
        <v>0</v>
      </c>
      <c r="J5336" s="13" t="n">
        <f aca="false">IFERROR(MIN(Eingaben!$B$18,MAX(0,F5336-I5336)),0)</f>
        <v>1.7442</v>
      </c>
      <c r="K5336" s="13" t="n">
        <f aca="false">H5336+I5336</f>
        <v>0.89</v>
      </c>
      <c r="L5336" s="13" t="n">
        <f aca="false">MAX(0,D5336-K5336)</f>
        <v>0</v>
      </c>
      <c r="M5336" s="13" t="n">
        <f aca="false">MAX(0,F5336-I5336-J5336)</f>
        <v>0</v>
      </c>
      <c r="N5336" s="13" t="n">
        <f aca="false">IF(Kalender!A212="",0,J5335-H5336)</f>
        <v>0.8542</v>
      </c>
    </row>
    <row r="5337" customFormat="false" ht="16.4" hidden="false" customHeight="false" outlineLevel="0" collapsed="false">
      <c r="A5337" s="13" t="str">
        <f aca="false">""</f>
        <v/>
      </c>
      <c r="B5337" s="13" t="n">
        <f aca="false">209</f>
        <v>209</v>
      </c>
      <c r="C5337" s="13" t="n">
        <f aca="false">IF(Szenarien!$H$25="OK",(IFERROR(SUMIF(Nutzungsprofile!$B$6:$B$11,"Schulbetrieb",Nutzungsprofile!$G$6:$G$11)*Kalender!C213/SUM(Kalender!$C$5:$C$370),0)+IFERROR(SUMIF(Nutzungsprofile!$B$6:$B$11,"Halle",Nutzungsprofile!$G$6:$G$11)*Kalender!D213/SUM(Kalender!$D$5:$D$370),0)+IFERROR(SUMIF(Nutzungsprofile!$B$6:$B$11,"Individuell",Nutzungsprofile!$G$6:$G$11)*Kalender!E213/SUM(Kalender!$E$5:$E$370),0))*Szenarien!$E$25,0)</f>
        <v>2.04</v>
      </c>
      <c r="D5337" s="13" t="n">
        <f aca="false">IF(Szenarien!$H$25="OK",(IFERROR(SUMIF(Nutzungsprofile!$B$17:$B$22,"Schulbetrieb",Nutzungsprofile!$G$17:$G$22)*Kalender!C213/SUM(Kalender!$C$5:$C$370),0)+IFERROR(SUMIF(Nutzungsprofile!$B$17:$B$22,"Halle",Nutzungsprofile!$G$17:$G$22)*Kalender!D213/SUM(Kalender!$D$5:$D$370),0)+IFERROR(SUMIF(Nutzungsprofile!$B$17:$B$22,"Individuell",Nutzungsprofile!$G$17:$G$22)*Kalender!E213/SUM(Kalender!$E$5:$E$370),0))*Szenarien!$D$25,0)</f>
        <v>0.89</v>
      </c>
      <c r="E5337" s="13" t="n">
        <f aca="false">IFERROR(MIN(C5337,Eingaben!$B$17)*Eingaben!$B$16,0)</f>
        <v>1.938</v>
      </c>
      <c r="F5337" s="13" t="n">
        <f aca="false">IFERROR(E5337*Eingaben!$B$15,0)</f>
        <v>1.7442</v>
      </c>
      <c r="G5337" s="13" t="n">
        <f aca="false">IFERROR(IF(Kalender!A213="",0,J5336*(1-Eingaben!$B$20)),0)</f>
        <v>1.709316</v>
      </c>
      <c r="H5337" s="13" t="n">
        <f aca="false">MIN(G5337,D5337)</f>
        <v>0.89</v>
      </c>
      <c r="I5337" s="13" t="n">
        <f aca="false">IFERROR(MIN(F5337*Eingaben!$B$19,MAX(0,D5337-H5337)),0)</f>
        <v>0</v>
      </c>
      <c r="J5337" s="13" t="n">
        <f aca="false">IFERROR(MIN(Eingaben!$B$18,MAX(0,F5337-I5337)),0)</f>
        <v>1.7442</v>
      </c>
      <c r="K5337" s="13" t="n">
        <f aca="false">H5337+I5337</f>
        <v>0.89</v>
      </c>
      <c r="L5337" s="13" t="n">
        <f aca="false">MAX(0,D5337-K5337)</f>
        <v>0</v>
      </c>
      <c r="M5337" s="13" t="n">
        <f aca="false">MAX(0,F5337-I5337-J5337)</f>
        <v>0</v>
      </c>
      <c r="N5337" s="13" t="n">
        <f aca="false">IF(Kalender!A213="",0,J5336-H5337)</f>
        <v>0.8542</v>
      </c>
    </row>
    <row r="5338" customFormat="false" ht="16.4" hidden="false" customHeight="false" outlineLevel="0" collapsed="false">
      <c r="A5338" s="13" t="str">
        <f aca="false">""</f>
        <v/>
      </c>
      <c r="B5338" s="13" t="n">
        <f aca="false">210</f>
        <v>210</v>
      </c>
      <c r="C5338" s="13" t="n">
        <f aca="false">IF(Szenarien!$H$25="OK",(IFERROR(SUMIF(Nutzungsprofile!$B$6:$B$11,"Schulbetrieb",Nutzungsprofile!$G$6:$G$11)*Kalender!C214/SUM(Kalender!$C$5:$C$370),0)+IFERROR(SUMIF(Nutzungsprofile!$B$6:$B$11,"Halle",Nutzungsprofile!$G$6:$G$11)*Kalender!D214/SUM(Kalender!$D$5:$D$370),0)+IFERROR(SUMIF(Nutzungsprofile!$B$6:$B$11,"Individuell",Nutzungsprofile!$G$6:$G$11)*Kalender!E214/SUM(Kalender!$E$5:$E$370),0))*Szenarien!$E$25,0)</f>
        <v>2.04</v>
      </c>
      <c r="D5338" s="13" t="n">
        <f aca="false">IF(Szenarien!$H$25="OK",(IFERROR(SUMIF(Nutzungsprofile!$B$17:$B$22,"Schulbetrieb",Nutzungsprofile!$G$17:$G$22)*Kalender!C214/SUM(Kalender!$C$5:$C$370),0)+IFERROR(SUMIF(Nutzungsprofile!$B$17:$B$22,"Halle",Nutzungsprofile!$G$17:$G$22)*Kalender!D214/SUM(Kalender!$D$5:$D$370),0)+IFERROR(SUMIF(Nutzungsprofile!$B$17:$B$22,"Individuell",Nutzungsprofile!$G$17:$G$22)*Kalender!E214/SUM(Kalender!$E$5:$E$370),0))*Szenarien!$D$25,0)</f>
        <v>0.89</v>
      </c>
      <c r="E5338" s="13" t="n">
        <f aca="false">IFERROR(MIN(C5338,Eingaben!$B$17)*Eingaben!$B$16,0)</f>
        <v>1.938</v>
      </c>
      <c r="F5338" s="13" t="n">
        <f aca="false">IFERROR(E5338*Eingaben!$B$15,0)</f>
        <v>1.7442</v>
      </c>
      <c r="G5338" s="13" t="n">
        <f aca="false">IFERROR(IF(Kalender!A214="",0,J5337*(1-Eingaben!$B$20)),0)</f>
        <v>1.709316</v>
      </c>
      <c r="H5338" s="13" t="n">
        <f aca="false">MIN(G5338,D5338)</f>
        <v>0.89</v>
      </c>
      <c r="I5338" s="13" t="n">
        <f aca="false">IFERROR(MIN(F5338*Eingaben!$B$19,MAX(0,D5338-H5338)),0)</f>
        <v>0</v>
      </c>
      <c r="J5338" s="13" t="n">
        <f aca="false">IFERROR(MIN(Eingaben!$B$18,MAX(0,F5338-I5338)),0)</f>
        <v>1.7442</v>
      </c>
      <c r="K5338" s="13" t="n">
        <f aca="false">H5338+I5338</f>
        <v>0.89</v>
      </c>
      <c r="L5338" s="13" t="n">
        <f aca="false">MAX(0,D5338-K5338)</f>
        <v>0</v>
      </c>
      <c r="M5338" s="13" t="n">
        <f aca="false">MAX(0,F5338-I5338-J5338)</f>
        <v>0</v>
      </c>
      <c r="N5338" s="13" t="n">
        <f aca="false">IF(Kalender!A214="",0,J5337-H5338)</f>
        <v>0.8542</v>
      </c>
    </row>
    <row r="5339" customFormat="false" ht="16.4" hidden="false" customHeight="false" outlineLevel="0" collapsed="false">
      <c r="A5339" s="13" t="str">
        <f aca="false">""</f>
        <v/>
      </c>
      <c r="B5339" s="13" t="n">
        <f aca="false">211</f>
        <v>211</v>
      </c>
      <c r="C5339" s="13" t="n">
        <f aca="false">IF(Szenarien!$H$25="OK",(IFERROR(SUMIF(Nutzungsprofile!$B$6:$B$11,"Schulbetrieb",Nutzungsprofile!$G$6:$G$11)*Kalender!C215/SUM(Kalender!$C$5:$C$370),0)+IFERROR(SUMIF(Nutzungsprofile!$B$6:$B$11,"Halle",Nutzungsprofile!$G$6:$G$11)*Kalender!D215/SUM(Kalender!$D$5:$D$370),0)+IFERROR(SUMIF(Nutzungsprofile!$B$6:$B$11,"Individuell",Nutzungsprofile!$G$6:$G$11)*Kalender!E215/SUM(Kalender!$E$5:$E$370),0))*Szenarien!$E$25,0)</f>
        <v>2.04</v>
      </c>
      <c r="D5339" s="13" t="n">
        <f aca="false">IF(Szenarien!$H$25="OK",(IFERROR(SUMIF(Nutzungsprofile!$B$17:$B$22,"Schulbetrieb",Nutzungsprofile!$G$17:$G$22)*Kalender!C215/SUM(Kalender!$C$5:$C$370),0)+IFERROR(SUMIF(Nutzungsprofile!$B$17:$B$22,"Halle",Nutzungsprofile!$G$17:$G$22)*Kalender!D215/SUM(Kalender!$D$5:$D$370),0)+IFERROR(SUMIF(Nutzungsprofile!$B$17:$B$22,"Individuell",Nutzungsprofile!$G$17:$G$22)*Kalender!E215/SUM(Kalender!$E$5:$E$370),0))*Szenarien!$D$25,0)</f>
        <v>0.89</v>
      </c>
      <c r="E5339" s="13" t="n">
        <f aca="false">IFERROR(MIN(C5339,Eingaben!$B$17)*Eingaben!$B$16,0)</f>
        <v>1.938</v>
      </c>
      <c r="F5339" s="13" t="n">
        <f aca="false">IFERROR(E5339*Eingaben!$B$15,0)</f>
        <v>1.7442</v>
      </c>
      <c r="G5339" s="13" t="n">
        <f aca="false">IFERROR(IF(Kalender!A215="",0,J5338*(1-Eingaben!$B$20)),0)</f>
        <v>1.709316</v>
      </c>
      <c r="H5339" s="13" t="n">
        <f aca="false">MIN(G5339,D5339)</f>
        <v>0.89</v>
      </c>
      <c r="I5339" s="13" t="n">
        <f aca="false">IFERROR(MIN(F5339*Eingaben!$B$19,MAX(0,D5339-H5339)),0)</f>
        <v>0</v>
      </c>
      <c r="J5339" s="13" t="n">
        <f aca="false">IFERROR(MIN(Eingaben!$B$18,MAX(0,F5339-I5339)),0)</f>
        <v>1.7442</v>
      </c>
      <c r="K5339" s="13" t="n">
        <f aca="false">H5339+I5339</f>
        <v>0.89</v>
      </c>
      <c r="L5339" s="13" t="n">
        <f aca="false">MAX(0,D5339-K5339)</f>
        <v>0</v>
      </c>
      <c r="M5339" s="13" t="n">
        <f aca="false">MAX(0,F5339-I5339-J5339)</f>
        <v>0</v>
      </c>
      <c r="N5339" s="13" t="n">
        <f aca="false">IF(Kalender!A215="",0,J5338-H5339)</f>
        <v>0.8542</v>
      </c>
    </row>
    <row r="5340" customFormat="false" ht="16.4" hidden="false" customHeight="false" outlineLevel="0" collapsed="false">
      <c r="A5340" s="13" t="str">
        <f aca="false">""</f>
        <v/>
      </c>
      <c r="B5340" s="13" t="n">
        <f aca="false">212</f>
        <v>212</v>
      </c>
      <c r="C5340" s="13" t="n">
        <f aca="false">IF(Szenarien!$H$25="OK",(IFERROR(SUMIF(Nutzungsprofile!$B$6:$B$11,"Schulbetrieb",Nutzungsprofile!$G$6:$G$11)*Kalender!C216/SUM(Kalender!$C$5:$C$370),0)+IFERROR(SUMIF(Nutzungsprofile!$B$6:$B$11,"Halle",Nutzungsprofile!$G$6:$G$11)*Kalender!D216/SUM(Kalender!$D$5:$D$370),0)+IFERROR(SUMIF(Nutzungsprofile!$B$6:$B$11,"Individuell",Nutzungsprofile!$G$6:$G$11)*Kalender!E216/SUM(Kalender!$E$5:$E$370),0))*Szenarien!$E$25,0)</f>
        <v>2.04</v>
      </c>
      <c r="D5340" s="13" t="n">
        <f aca="false">IF(Szenarien!$H$25="OK",(IFERROR(SUMIF(Nutzungsprofile!$B$17:$B$22,"Schulbetrieb",Nutzungsprofile!$G$17:$G$22)*Kalender!C216/SUM(Kalender!$C$5:$C$370),0)+IFERROR(SUMIF(Nutzungsprofile!$B$17:$B$22,"Halle",Nutzungsprofile!$G$17:$G$22)*Kalender!D216/SUM(Kalender!$D$5:$D$370),0)+IFERROR(SUMIF(Nutzungsprofile!$B$17:$B$22,"Individuell",Nutzungsprofile!$G$17:$G$22)*Kalender!E216/SUM(Kalender!$E$5:$E$370),0))*Szenarien!$D$25,0)</f>
        <v>0.89</v>
      </c>
      <c r="E5340" s="13" t="n">
        <f aca="false">IFERROR(MIN(C5340,Eingaben!$B$17)*Eingaben!$B$16,0)</f>
        <v>1.938</v>
      </c>
      <c r="F5340" s="13" t="n">
        <f aca="false">IFERROR(E5340*Eingaben!$B$15,0)</f>
        <v>1.7442</v>
      </c>
      <c r="G5340" s="13" t="n">
        <f aca="false">IFERROR(IF(Kalender!A216="",0,J5339*(1-Eingaben!$B$20)),0)</f>
        <v>1.709316</v>
      </c>
      <c r="H5340" s="13" t="n">
        <f aca="false">MIN(G5340,D5340)</f>
        <v>0.89</v>
      </c>
      <c r="I5340" s="13" t="n">
        <f aca="false">IFERROR(MIN(F5340*Eingaben!$B$19,MAX(0,D5340-H5340)),0)</f>
        <v>0</v>
      </c>
      <c r="J5340" s="13" t="n">
        <f aca="false">IFERROR(MIN(Eingaben!$B$18,MAX(0,F5340-I5340)),0)</f>
        <v>1.7442</v>
      </c>
      <c r="K5340" s="13" t="n">
        <f aca="false">H5340+I5340</f>
        <v>0.89</v>
      </c>
      <c r="L5340" s="13" t="n">
        <f aca="false">MAX(0,D5340-K5340)</f>
        <v>0</v>
      </c>
      <c r="M5340" s="13" t="n">
        <f aca="false">MAX(0,F5340-I5340-J5340)</f>
        <v>0</v>
      </c>
      <c r="N5340" s="13" t="n">
        <f aca="false">IF(Kalender!A216="",0,J5339-H5340)</f>
        <v>0.8542</v>
      </c>
    </row>
    <row r="5341" customFormat="false" ht="16.4" hidden="false" customHeight="false" outlineLevel="0" collapsed="false">
      <c r="A5341" s="13" t="str">
        <f aca="false">""</f>
        <v/>
      </c>
      <c r="B5341" s="13" t="n">
        <f aca="false">213</f>
        <v>213</v>
      </c>
      <c r="C5341" s="13" t="n">
        <f aca="false">IF(Szenarien!$H$25="OK",(IFERROR(SUMIF(Nutzungsprofile!$B$6:$B$11,"Schulbetrieb",Nutzungsprofile!$G$6:$G$11)*Kalender!C217/SUM(Kalender!$C$5:$C$370),0)+IFERROR(SUMIF(Nutzungsprofile!$B$6:$B$11,"Halle",Nutzungsprofile!$G$6:$G$11)*Kalender!D217/SUM(Kalender!$D$5:$D$370),0)+IFERROR(SUMIF(Nutzungsprofile!$B$6:$B$11,"Individuell",Nutzungsprofile!$G$6:$G$11)*Kalender!E217/SUM(Kalender!$E$5:$E$370),0))*Szenarien!$E$25,0)</f>
        <v>2.04</v>
      </c>
      <c r="D5341" s="13" t="n">
        <f aca="false">IF(Szenarien!$H$25="OK",(IFERROR(SUMIF(Nutzungsprofile!$B$17:$B$22,"Schulbetrieb",Nutzungsprofile!$G$17:$G$22)*Kalender!C217/SUM(Kalender!$C$5:$C$370),0)+IFERROR(SUMIF(Nutzungsprofile!$B$17:$B$22,"Halle",Nutzungsprofile!$G$17:$G$22)*Kalender!D217/SUM(Kalender!$D$5:$D$370),0)+IFERROR(SUMIF(Nutzungsprofile!$B$17:$B$22,"Individuell",Nutzungsprofile!$G$17:$G$22)*Kalender!E217/SUM(Kalender!$E$5:$E$370),0))*Szenarien!$D$25,0)</f>
        <v>0.89</v>
      </c>
      <c r="E5341" s="13" t="n">
        <f aca="false">IFERROR(MIN(C5341,Eingaben!$B$17)*Eingaben!$B$16,0)</f>
        <v>1.938</v>
      </c>
      <c r="F5341" s="13" t="n">
        <f aca="false">IFERROR(E5341*Eingaben!$B$15,0)</f>
        <v>1.7442</v>
      </c>
      <c r="G5341" s="13" t="n">
        <f aca="false">IFERROR(IF(Kalender!A217="",0,J5340*(1-Eingaben!$B$20)),0)</f>
        <v>1.709316</v>
      </c>
      <c r="H5341" s="13" t="n">
        <f aca="false">MIN(G5341,D5341)</f>
        <v>0.89</v>
      </c>
      <c r="I5341" s="13" t="n">
        <f aca="false">IFERROR(MIN(F5341*Eingaben!$B$19,MAX(0,D5341-H5341)),0)</f>
        <v>0</v>
      </c>
      <c r="J5341" s="13" t="n">
        <f aca="false">IFERROR(MIN(Eingaben!$B$18,MAX(0,F5341-I5341)),0)</f>
        <v>1.7442</v>
      </c>
      <c r="K5341" s="13" t="n">
        <f aca="false">H5341+I5341</f>
        <v>0.89</v>
      </c>
      <c r="L5341" s="13" t="n">
        <f aca="false">MAX(0,D5341-K5341)</f>
        <v>0</v>
      </c>
      <c r="M5341" s="13" t="n">
        <f aca="false">MAX(0,F5341-I5341-J5341)</f>
        <v>0</v>
      </c>
      <c r="N5341" s="13" t="n">
        <f aca="false">IF(Kalender!A217="",0,J5340-H5341)</f>
        <v>0.8542</v>
      </c>
    </row>
    <row r="5342" customFormat="false" ht="16.4" hidden="false" customHeight="false" outlineLevel="0" collapsed="false">
      <c r="A5342" s="13" t="str">
        <f aca="false">""</f>
        <v/>
      </c>
      <c r="B5342" s="13" t="n">
        <f aca="false">214</f>
        <v>214</v>
      </c>
      <c r="C5342" s="13" t="n">
        <f aca="false">IF(Szenarien!$H$25="OK",(IFERROR(SUMIF(Nutzungsprofile!$B$6:$B$11,"Schulbetrieb",Nutzungsprofile!$G$6:$G$11)*Kalender!C218/SUM(Kalender!$C$5:$C$370),0)+IFERROR(SUMIF(Nutzungsprofile!$B$6:$B$11,"Halle",Nutzungsprofile!$G$6:$G$11)*Kalender!D218/SUM(Kalender!$D$5:$D$370),0)+IFERROR(SUMIF(Nutzungsprofile!$B$6:$B$11,"Individuell",Nutzungsprofile!$G$6:$G$11)*Kalender!E218/SUM(Kalender!$E$5:$E$370),0))*Szenarien!$E$25,0)</f>
        <v>2.04</v>
      </c>
      <c r="D5342" s="13" t="n">
        <f aca="false">IF(Szenarien!$H$25="OK",(IFERROR(SUMIF(Nutzungsprofile!$B$17:$B$22,"Schulbetrieb",Nutzungsprofile!$G$17:$G$22)*Kalender!C218/SUM(Kalender!$C$5:$C$370),0)+IFERROR(SUMIF(Nutzungsprofile!$B$17:$B$22,"Halle",Nutzungsprofile!$G$17:$G$22)*Kalender!D218/SUM(Kalender!$D$5:$D$370),0)+IFERROR(SUMIF(Nutzungsprofile!$B$17:$B$22,"Individuell",Nutzungsprofile!$G$17:$G$22)*Kalender!E218/SUM(Kalender!$E$5:$E$370),0))*Szenarien!$D$25,0)</f>
        <v>0.89</v>
      </c>
      <c r="E5342" s="13" t="n">
        <f aca="false">IFERROR(MIN(C5342,Eingaben!$B$17)*Eingaben!$B$16,0)</f>
        <v>1.938</v>
      </c>
      <c r="F5342" s="13" t="n">
        <f aca="false">IFERROR(E5342*Eingaben!$B$15,0)</f>
        <v>1.7442</v>
      </c>
      <c r="G5342" s="13" t="n">
        <f aca="false">IFERROR(IF(Kalender!A218="",0,J5341*(1-Eingaben!$B$20)),0)</f>
        <v>1.709316</v>
      </c>
      <c r="H5342" s="13" t="n">
        <f aca="false">MIN(G5342,D5342)</f>
        <v>0.89</v>
      </c>
      <c r="I5342" s="13" t="n">
        <f aca="false">IFERROR(MIN(F5342*Eingaben!$B$19,MAX(0,D5342-H5342)),0)</f>
        <v>0</v>
      </c>
      <c r="J5342" s="13" t="n">
        <f aca="false">IFERROR(MIN(Eingaben!$B$18,MAX(0,F5342-I5342)),0)</f>
        <v>1.7442</v>
      </c>
      <c r="K5342" s="13" t="n">
        <f aca="false">H5342+I5342</f>
        <v>0.89</v>
      </c>
      <c r="L5342" s="13" t="n">
        <f aca="false">MAX(0,D5342-K5342)</f>
        <v>0</v>
      </c>
      <c r="M5342" s="13" t="n">
        <f aca="false">MAX(0,F5342-I5342-J5342)</f>
        <v>0</v>
      </c>
      <c r="N5342" s="13" t="n">
        <f aca="false">IF(Kalender!A218="",0,J5341-H5342)</f>
        <v>0.8542</v>
      </c>
    </row>
    <row r="5343" customFormat="false" ht="16.4" hidden="false" customHeight="false" outlineLevel="0" collapsed="false">
      <c r="A5343" s="13" t="str">
        <f aca="false">""</f>
        <v/>
      </c>
      <c r="B5343" s="13" t="n">
        <f aca="false">215</f>
        <v>215</v>
      </c>
      <c r="C5343" s="13" t="n">
        <f aca="false">IF(Szenarien!$H$25="OK",(IFERROR(SUMIF(Nutzungsprofile!$B$6:$B$11,"Schulbetrieb",Nutzungsprofile!$G$6:$G$11)*Kalender!C219/SUM(Kalender!$C$5:$C$370),0)+IFERROR(SUMIF(Nutzungsprofile!$B$6:$B$11,"Halle",Nutzungsprofile!$G$6:$G$11)*Kalender!D219/SUM(Kalender!$D$5:$D$370),0)+IFERROR(SUMIF(Nutzungsprofile!$B$6:$B$11,"Individuell",Nutzungsprofile!$G$6:$G$11)*Kalender!E219/SUM(Kalender!$E$5:$E$370),0))*Szenarien!$E$25,0)</f>
        <v>2.04</v>
      </c>
      <c r="D5343" s="13" t="n">
        <f aca="false">IF(Szenarien!$H$25="OK",(IFERROR(SUMIF(Nutzungsprofile!$B$17:$B$22,"Schulbetrieb",Nutzungsprofile!$G$17:$G$22)*Kalender!C219/SUM(Kalender!$C$5:$C$370),0)+IFERROR(SUMIF(Nutzungsprofile!$B$17:$B$22,"Halle",Nutzungsprofile!$G$17:$G$22)*Kalender!D219/SUM(Kalender!$D$5:$D$370),0)+IFERROR(SUMIF(Nutzungsprofile!$B$17:$B$22,"Individuell",Nutzungsprofile!$G$17:$G$22)*Kalender!E219/SUM(Kalender!$E$5:$E$370),0))*Szenarien!$D$25,0)</f>
        <v>0.89</v>
      </c>
      <c r="E5343" s="13" t="n">
        <f aca="false">IFERROR(MIN(C5343,Eingaben!$B$17)*Eingaben!$B$16,0)</f>
        <v>1.938</v>
      </c>
      <c r="F5343" s="13" t="n">
        <f aca="false">IFERROR(E5343*Eingaben!$B$15,0)</f>
        <v>1.7442</v>
      </c>
      <c r="G5343" s="13" t="n">
        <f aca="false">IFERROR(IF(Kalender!A219="",0,J5342*(1-Eingaben!$B$20)),0)</f>
        <v>1.709316</v>
      </c>
      <c r="H5343" s="13" t="n">
        <f aca="false">MIN(G5343,D5343)</f>
        <v>0.89</v>
      </c>
      <c r="I5343" s="13" t="n">
        <f aca="false">IFERROR(MIN(F5343*Eingaben!$B$19,MAX(0,D5343-H5343)),0)</f>
        <v>0</v>
      </c>
      <c r="J5343" s="13" t="n">
        <f aca="false">IFERROR(MIN(Eingaben!$B$18,MAX(0,F5343-I5343)),0)</f>
        <v>1.7442</v>
      </c>
      <c r="K5343" s="13" t="n">
        <f aca="false">H5343+I5343</f>
        <v>0.89</v>
      </c>
      <c r="L5343" s="13" t="n">
        <f aca="false">MAX(0,D5343-K5343)</f>
        <v>0</v>
      </c>
      <c r="M5343" s="13" t="n">
        <f aca="false">MAX(0,F5343-I5343-J5343)</f>
        <v>0</v>
      </c>
      <c r="N5343" s="13" t="n">
        <f aca="false">IF(Kalender!A219="",0,J5342-H5343)</f>
        <v>0.8542</v>
      </c>
    </row>
    <row r="5344" customFormat="false" ht="16.4" hidden="false" customHeight="false" outlineLevel="0" collapsed="false">
      <c r="A5344" s="13" t="str">
        <f aca="false">""</f>
        <v/>
      </c>
      <c r="B5344" s="13" t="n">
        <f aca="false">216</f>
        <v>216</v>
      </c>
      <c r="C5344" s="13" t="n">
        <f aca="false">IF(Szenarien!$H$25="OK",(IFERROR(SUMIF(Nutzungsprofile!$B$6:$B$11,"Schulbetrieb",Nutzungsprofile!$G$6:$G$11)*Kalender!C220/SUM(Kalender!$C$5:$C$370),0)+IFERROR(SUMIF(Nutzungsprofile!$B$6:$B$11,"Halle",Nutzungsprofile!$G$6:$G$11)*Kalender!D220/SUM(Kalender!$D$5:$D$370),0)+IFERROR(SUMIF(Nutzungsprofile!$B$6:$B$11,"Individuell",Nutzungsprofile!$G$6:$G$11)*Kalender!E220/SUM(Kalender!$E$5:$E$370),0))*Szenarien!$E$25,0)</f>
        <v>2.04</v>
      </c>
      <c r="D5344" s="13" t="n">
        <f aca="false">IF(Szenarien!$H$25="OK",(IFERROR(SUMIF(Nutzungsprofile!$B$17:$B$22,"Schulbetrieb",Nutzungsprofile!$G$17:$G$22)*Kalender!C220/SUM(Kalender!$C$5:$C$370),0)+IFERROR(SUMIF(Nutzungsprofile!$B$17:$B$22,"Halle",Nutzungsprofile!$G$17:$G$22)*Kalender!D220/SUM(Kalender!$D$5:$D$370),0)+IFERROR(SUMIF(Nutzungsprofile!$B$17:$B$22,"Individuell",Nutzungsprofile!$G$17:$G$22)*Kalender!E220/SUM(Kalender!$E$5:$E$370),0))*Szenarien!$D$25,0)</f>
        <v>0.89</v>
      </c>
      <c r="E5344" s="13" t="n">
        <f aca="false">IFERROR(MIN(C5344,Eingaben!$B$17)*Eingaben!$B$16,0)</f>
        <v>1.938</v>
      </c>
      <c r="F5344" s="13" t="n">
        <f aca="false">IFERROR(E5344*Eingaben!$B$15,0)</f>
        <v>1.7442</v>
      </c>
      <c r="G5344" s="13" t="n">
        <f aca="false">IFERROR(IF(Kalender!A220="",0,J5343*(1-Eingaben!$B$20)),0)</f>
        <v>1.709316</v>
      </c>
      <c r="H5344" s="13" t="n">
        <f aca="false">MIN(G5344,D5344)</f>
        <v>0.89</v>
      </c>
      <c r="I5344" s="13" t="n">
        <f aca="false">IFERROR(MIN(F5344*Eingaben!$B$19,MAX(0,D5344-H5344)),0)</f>
        <v>0</v>
      </c>
      <c r="J5344" s="13" t="n">
        <f aca="false">IFERROR(MIN(Eingaben!$B$18,MAX(0,F5344-I5344)),0)</f>
        <v>1.7442</v>
      </c>
      <c r="K5344" s="13" t="n">
        <f aca="false">H5344+I5344</f>
        <v>0.89</v>
      </c>
      <c r="L5344" s="13" t="n">
        <f aca="false">MAX(0,D5344-K5344)</f>
        <v>0</v>
      </c>
      <c r="M5344" s="13" t="n">
        <f aca="false">MAX(0,F5344-I5344-J5344)</f>
        <v>0</v>
      </c>
      <c r="N5344" s="13" t="n">
        <f aca="false">IF(Kalender!A220="",0,J5343-H5344)</f>
        <v>0.8542</v>
      </c>
    </row>
    <row r="5345" customFormat="false" ht="16.4" hidden="false" customHeight="false" outlineLevel="0" collapsed="false">
      <c r="A5345" s="13" t="str">
        <f aca="false">""</f>
        <v/>
      </c>
      <c r="B5345" s="13" t="n">
        <f aca="false">217</f>
        <v>217</v>
      </c>
      <c r="C5345" s="13" t="n">
        <f aca="false">IF(Szenarien!$H$25="OK",(IFERROR(SUMIF(Nutzungsprofile!$B$6:$B$11,"Schulbetrieb",Nutzungsprofile!$G$6:$G$11)*Kalender!C221/SUM(Kalender!$C$5:$C$370),0)+IFERROR(SUMIF(Nutzungsprofile!$B$6:$B$11,"Halle",Nutzungsprofile!$G$6:$G$11)*Kalender!D221/SUM(Kalender!$D$5:$D$370),0)+IFERROR(SUMIF(Nutzungsprofile!$B$6:$B$11,"Individuell",Nutzungsprofile!$G$6:$G$11)*Kalender!E221/SUM(Kalender!$E$5:$E$370),0))*Szenarien!$E$25,0)</f>
        <v>2.04</v>
      </c>
      <c r="D5345" s="13" t="n">
        <f aca="false">IF(Szenarien!$H$25="OK",(IFERROR(SUMIF(Nutzungsprofile!$B$17:$B$22,"Schulbetrieb",Nutzungsprofile!$G$17:$G$22)*Kalender!C221/SUM(Kalender!$C$5:$C$370),0)+IFERROR(SUMIF(Nutzungsprofile!$B$17:$B$22,"Halle",Nutzungsprofile!$G$17:$G$22)*Kalender!D221/SUM(Kalender!$D$5:$D$370),0)+IFERROR(SUMIF(Nutzungsprofile!$B$17:$B$22,"Individuell",Nutzungsprofile!$G$17:$G$22)*Kalender!E221/SUM(Kalender!$E$5:$E$370),0))*Szenarien!$D$25,0)</f>
        <v>0.89</v>
      </c>
      <c r="E5345" s="13" t="n">
        <f aca="false">IFERROR(MIN(C5345,Eingaben!$B$17)*Eingaben!$B$16,0)</f>
        <v>1.938</v>
      </c>
      <c r="F5345" s="13" t="n">
        <f aca="false">IFERROR(E5345*Eingaben!$B$15,0)</f>
        <v>1.7442</v>
      </c>
      <c r="G5345" s="13" t="n">
        <f aca="false">IFERROR(IF(Kalender!A221="",0,J5344*(1-Eingaben!$B$20)),0)</f>
        <v>1.709316</v>
      </c>
      <c r="H5345" s="13" t="n">
        <f aca="false">MIN(G5345,D5345)</f>
        <v>0.89</v>
      </c>
      <c r="I5345" s="13" t="n">
        <f aca="false">IFERROR(MIN(F5345*Eingaben!$B$19,MAX(0,D5345-H5345)),0)</f>
        <v>0</v>
      </c>
      <c r="J5345" s="13" t="n">
        <f aca="false">IFERROR(MIN(Eingaben!$B$18,MAX(0,F5345-I5345)),0)</f>
        <v>1.7442</v>
      </c>
      <c r="K5345" s="13" t="n">
        <f aca="false">H5345+I5345</f>
        <v>0.89</v>
      </c>
      <c r="L5345" s="13" t="n">
        <f aca="false">MAX(0,D5345-K5345)</f>
        <v>0</v>
      </c>
      <c r="M5345" s="13" t="n">
        <f aca="false">MAX(0,F5345-I5345-J5345)</f>
        <v>0</v>
      </c>
      <c r="N5345" s="13" t="n">
        <f aca="false">IF(Kalender!A221="",0,J5344-H5345)</f>
        <v>0.8542</v>
      </c>
    </row>
    <row r="5346" customFormat="false" ht="16.4" hidden="false" customHeight="false" outlineLevel="0" collapsed="false">
      <c r="A5346" s="13" t="str">
        <f aca="false">""</f>
        <v/>
      </c>
      <c r="B5346" s="13" t="n">
        <f aca="false">218</f>
        <v>218</v>
      </c>
      <c r="C5346" s="13" t="n">
        <f aca="false">IF(Szenarien!$H$25="OK",(IFERROR(SUMIF(Nutzungsprofile!$B$6:$B$11,"Schulbetrieb",Nutzungsprofile!$G$6:$G$11)*Kalender!C222/SUM(Kalender!$C$5:$C$370),0)+IFERROR(SUMIF(Nutzungsprofile!$B$6:$B$11,"Halle",Nutzungsprofile!$G$6:$G$11)*Kalender!D222/SUM(Kalender!$D$5:$D$370),0)+IFERROR(SUMIF(Nutzungsprofile!$B$6:$B$11,"Individuell",Nutzungsprofile!$G$6:$G$11)*Kalender!E222/SUM(Kalender!$E$5:$E$370),0))*Szenarien!$E$25,0)</f>
        <v>2.04</v>
      </c>
      <c r="D5346" s="13" t="n">
        <f aca="false">IF(Szenarien!$H$25="OK",(IFERROR(SUMIF(Nutzungsprofile!$B$17:$B$22,"Schulbetrieb",Nutzungsprofile!$G$17:$G$22)*Kalender!C222/SUM(Kalender!$C$5:$C$370),0)+IFERROR(SUMIF(Nutzungsprofile!$B$17:$B$22,"Halle",Nutzungsprofile!$G$17:$G$22)*Kalender!D222/SUM(Kalender!$D$5:$D$370),0)+IFERROR(SUMIF(Nutzungsprofile!$B$17:$B$22,"Individuell",Nutzungsprofile!$G$17:$G$22)*Kalender!E222/SUM(Kalender!$E$5:$E$370),0))*Szenarien!$D$25,0)</f>
        <v>0.89</v>
      </c>
      <c r="E5346" s="13" t="n">
        <f aca="false">IFERROR(MIN(C5346,Eingaben!$B$17)*Eingaben!$B$16,0)</f>
        <v>1.938</v>
      </c>
      <c r="F5346" s="13" t="n">
        <f aca="false">IFERROR(E5346*Eingaben!$B$15,0)</f>
        <v>1.7442</v>
      </c>
      <c r="G5346" s="13" t="n">
        <f aca="false">IFERROR(IF(Kalender!A222="",0,J5345*(1-Eingaben!$B$20)),0)</f>
        <v>1.709316</v>
      </c>
      <c r="H5346" s="13" t="n">
        <f aca="false">MIN(G5346,D5346)</f>
        <v>0.89</v>
      </c>
      <c r="I5346" s="13" t="n">
        <f aca="false">IFERROR(MIN(F5346*Eingaben!$B$19,MAX(0,D5346-H5346)),0)</f>
        <v>0</v>
      </c>
      <c r="J5346" s="13" t="n">
        <f aca="false">IFERROR(MIN(Eingaben!$B$18,MAX(0,F5346-I5346)),0)</f>
        <v>1.7442</v>
      </c>
      <c r="K5346" s="13" t="n">
        <f aca="false">H5346+I5346</f>
        <v>0.89</v>
      </c>
      <c r="L5346" s="13" t="n">
        <f aca="false">MAX(0,D5346-K5346)</f>
        <v>0</v>
      </c>
      <c r="M5346" s="13" t="n">
        <f aca="false">MAX(0,F5346-I5346-J5346)</f>
        <v>0</v>
      </c>
      <c r="N5346" s="13" t="n">
        <f aca="false">IF(Kalender!A222="",0,J5345-H5346)</f>
        <v>0.8542</v>
      </c>
    </row>
    <row r="5347" customFormat="false" ht="16.4" hidden="false" customHeight="false" outlineLevel="0" collapsed="false">
      <c r="A5347" s="13" t="str">
        <f aca="false">""</f>
        <v/>
      </c>
      <c r="B5347" s="13" t="n">
        <f aca="false">219</f>
        <v>219</v>
      </c>
      <c r="C5347" s="13" t="n">
        <f aca="false">IF(Szenarien!$H$25="OK",(IFERROR(SUMIF(Nutzungsprofile!$B$6:$B$11,"Schulbetrieb",Nutzungsprofile!$G$6:$G$11)*Kalender!C223/SUM(Kalender!$C$5:$C$370),0)+IFERROR(SUMIF(Nutzungsprofile!$B$6:$B$11,"Halle",Nutzungsprofile!$G$6:$G$11)*Kalender!D223/SUM(Kalender!$D$5:$D$370),0)+IFERROR(SUMIF(Nutzungsprofile!$B$6:$B$11,"Individuell",Nutzungsprofile!$G$6:$G$11)*Kalender!E223/SUM(Kalender!$E$5:$E$370),0))*Szenarien!$E$25,0)</f>
        <v>2.04</v>
      </c>
      <c r="D5347" s="13" t="n">
        <f aca="false">IF(Szenarien!$H$25="OK",(IFERROR(SUMIF(Nutzungsprofile!$B$17:$B$22,"Schulbetrieb",Nutzungsprofile!$G$17:$G$22)*Kalender!C223/SUM(Kalender!$C$5:$C$370),0)+IFERROR(SUMIF(Nutzungsprofile!$B$17:$B$22,"Halle",Nutzungsprofile!$G$17:$G$22)*Kalender!D223/SUM(Kalender!$D$5:$D$370),0)+IFERROR(SUMIF(Nutzungsprofile!$B$17:$B$22,"Individuell",Nutzungsprofile!$G$17:$G$22)*Kalender!E223/SUM(Kalender!$E$5:$E$370),0))*Szenarien!$D$25,0)</f>
        <v>0.89</v>
      </c>
      <c r="E5347" s="13" t="n">
        <f aca="false">IFERROR(MIN(C5347,Eingaben!$B$17)*Eingaben!$B$16,0)</f>
        <v>1.938</v>
      </c>
      <c r="F5347" s="13" t="n">
        <f aca="false">IFERROR(E5347*Eingaben!$B$15,0)</f>
        <v>1.7442</v>
      </c>
      <c r="G5347" s="13" t="n">
        <f aca="false">IFERROR(IF(Kalender!A223="",0,J5346*(1-Eingaben!$B$20)),0)</f>
        <v>1.709316</v>
      </c>
      <c r="H5347" s="13" t="n">
        <f aca="false">MIN(G5347,D5347)</f>
        <v>0.89</v>
      </c>
      <c r="I5347" s="13" t="n">
        <f aca="false">IFERROR(MIN(F5347*Eingaben!$B$19,MAX(0,D5347-H5347)),0)</f>
        <v>0</v>
      </c>
      <c r="J5347" s="13" t="n">
        <f aca="false">IFERROR(MIN(Eingaben!$B$18,MAX(0,F5347-I5347)),0)</f>
        <v>1.7442</v>
      </c>
      <c r="K5347" s="13" t="n">
        <f aca="false">H5347+I5347</f>
        <v>0.89</v>
      </c>
      <c r="L5347" s="13" t="n">
        <f aca="false">MAX(0,D5347-K5347)</f>
        <v>0</v>
      </c>
      <c r="M5347" s="13" t="n">
        <f aca="false">MAX(0,F5347-I5347-J5347)</f>
        <v>0</v>
      </c>
      <c r="N5347" s="13" t="n">
        <f aca="false">IF(Kalender!A223="",0,J5346-H5347)</f>
        <v>0.8542</v>
      </c>
    </row>
    <row r="5348" customFormat="false" ht="16.4" hidden="false" customHeight="false" outlineLevel="0" collapsed="false">
      <c r="A5348" s="13" t="str">
        <f aca="false">""</f>
        <v/>
      </c>
      <c r="B5348" s="13" t="n">
        <f aca="false">220</f>
        <v>220</v>
      </c>
      <c r="C5348" s="13" t="n">
        <f aca="false">IF(Szenarien!$H$25="OK",(IFERROR(SUMIF(Nutzungsprofile!$B$6:$B$11,"Schulbetrieb",Nutzungsprofile!$G$6:$G$11)*Kalender!C224/SUM(Kalender!$C$5:$C$370),0)+IFERROR(SUMIF(Nutzungsprofile!$B$6:$B$11,"Halle",Nutzungsprofile!$G$6:$G$11)*Kalender!D224/SUM(Kalender!$D$5:$D$370),0)+IFERROR(SUMIF(Nutzungsprofile!$B$6:$B$11,"Individuell",Nutzungsprofile!$G$6:$G$11)*Kalender!E224/SUM(Kalender!$E$5:$E$370),0))*Szenarien!$E$25,0)</f>
        <v>2.04</v>
      </c>
      <c r="D5348" s="13" t="n">
        <f aca="false">IF(Szenarien!$H$25="OK",(IFERROR(SUMIF(Nutzungsprofile!$B$17:$B$22,"Schulbetrieb",Nutzungsprofile!$G$17:$G$22)*Kalender!C224/SUM(Kalender!$C$5:$C$370),0)+IFERROR(SUMIF(Nutzungsprofile!$B$17:$B$22,"Halle",Nutzungsprofile!$G$17:$G$22)*Kalender!D224/SUM(Kalender!$D$5:$D$370),0)+IFERROR(SUMIF(Nutzungsprofile!$B$17:$B$22,"Individuell",Nutzungsprofile!$G$17:$G$22)*Kalender!E224/SUM(Kalender!$E$5:$E$370),0))*Szenarien!$D$25,0)</f>
        <v>0.89</v>
      </c>
      <c r="E5348" s="13" t="n">
        <f aca="false">IFERROR(MIN(C5348,Eingaben!$B$17)*Eingaben!$B$16,0)</f>
        <v>1.938</v>
      </c>
      <c r="F5348" s="13" t="n">
        <f aca="false">IFERROR(E5348*Eingaben!$B$15,0)</f>
        <v>1.7442</v>
      </c>
      <c r="G5348" s="13" t="n">
        <f aca="false">IFERROR(IF(Kalender!A224="",0,J5347*(1-Eingaben!$B$20)),0)</f>
        <v>1.709316</v>
      </c>
      <c r="H5348" s="13" t="n">
        <f aca="false">MIN(G5348,D5348)</f>
        <v>0.89</v>
      </c>
      <c r="I5348" s="13" t="n">
        <f aca="false">IFERROR(MIN(F5348*Eingaben!$B$19,MAX(0,D5348-H5348)),0)</f>
        <v>0</v>
      </c>
      <c r="J5348" s="13" t="n">
        <f aca="false">IFERROR(MIN(Eingaben!$B$18,MAX(0,F5348-I5348)),0)</f>
        <v>1.7442</v>
      </c>
      <c r="K5348" s="13" t="n">
        <f aca="false">H5348+I5348</f>
        <v>0.89</v>
      </c>
      <c r="L5348" s="13" t="n">
        <f aca="false">MAX(0,D5348-K5348)</f>
        <v>0</v>
      </c>
      <c r="M5348" s="13" t="n">
        <f aca="false">MAX(0,F5348-I5348-J5348)</f>
        <v>0</v>
      </c>
      <c r="N5348" s="13" t="n">
        <f aca="false">IF(Kalender!A224="",0,J5347-H5348)</f>
        <v>0.8542</v>
      </c>
    </row>
    <row r="5349" customFormat="false" ht="16.4" hidden="false" customHeight="false" outlineLevel="0" collapsed="false">
      <c r="A5349" s="13" t="str">
        <f aca="false">""</f>
        <v/>
      </c>
      <c r="B5349" s="13" t="n">
        <f aca="false">221</f>
        <v>221</v>
      </c>
      <c r="C5349" s="13" t="n">
        <f aca="false">IF(Szenarien!$H$25="OK",(IFERROR(SUMIF(Nutzungsprofile!$B$6:$B$11,"Schulbetrieb",Nutzungsprofile!$G$6:$G$11)*Kalender!C225/SUM(Kalender!$C$5:$C$370),0)+IFERROR(SUMIF(Nutzungsprofile!$B$6:$B$11,"Halle",Nutzungsprofile!$G$6:$G$11)*Kalender!D225/SUM(Kalender!$D$5:$D$370),0)+IFERROR(SUMIF(Nutzungsprofile!$B$6:$B$11,"Individuell",Nutzungsprofile!$G$6:$G$11)*Kalender!E225/SUM(Kalender!$E$5:$E$370),0))*Szenarien!$E$25,0)</f>
        <v>2.04</v>
      </c>
      <c r="D5349" s="13" t="n">
        <f aca="false">IF(Szenarien!$H$25="OK",(IFERROR(SUMIF(Nutzungsprofile!$B$17:$B$22,"Schulbetrieb",Nutzungsprofile!$G$17:$G$22)*Kalender!C225/SUM(Kalender!$C$5:$C$370),0)+IFERROR(SUMIF(Nutzungsprofile!$B$17:$B$22,"Halle",Nutzungsprofile!$G$17:$G$22)*Kalender!D225/SUM(Kalender!$D$5:$D$370),0)+IFERROR(SUMIF(Nutzungsprofile!$B$17:$B$22,"Individuell",Nutzungsprofile!$G$17:$G$22)*Kalender!E225/SUM(Kalender!$E$5:$E$370),0))*Szenarien!$D$25,0)</f>
        <v>0.89</v>
      </c>
      <c r="E5349" s="13" t="n">
        <f aca="false">IFERROR(MIN(C5349,Eingaben!$B$17)*Eingaben!$B$16,0)</f>
        <v>1.938</v>
      </c>
      <c r="F5349" s="13" t="n">
        <f aca="false">IFERROR(E5349*Eingaben!$B$15,0)</f>
        <v>1.7442</v>
      </c>
      <c r="G5349" s="13" t="n">
        <f aca="false">IFERROR(IF(Kalender!A225="",0,J5348*(1-Eingaben!$B$20)),0)</f>
        <v>1.709316</v>
      </c>
      <c r="H5349" s="13" t="n">
        <f aca="false">MIN(G5349,D5349)</f>
        <v>0.89</v>
      </c>
      <c r="I5349" s="13" t="n">
        <f aca="false">IFERROR(MIN(F5349*Eingaben!$B$19,MAX(0,D5349-H5349)),0)</f>
        <v>0</v>
      </c>
      <c r="J5349" s="13" t="n">
        <f aca="false">IFERROR(MIN(Eingaben!$B$18,MAX(0,F5349-I5349)),0)</f>
        <v>1.7442</v>
      </c>
      <c r="K5349" s="13" t="n">
        <f aca="false">H5349+I5349</f>
        <v>0.89</v>
      </c>
      <c r="L5349" s="13" t="n">
        <f aca="false">MAX(0,D5349-K5349)</f>
        <v>0</v>
      </c>
      <c r="M5349" s="13" t="n">
        <f aca="false">MAX(0,F5349-I5349-J5349)</f>
        <v>0</v>
      </c>
      <c r="N5349" s="13" t="n">
        <f aca="false">IF(Kalender!A225="",0,J5348-H5349)</f>
        <v>0.8542</v>
      </c>
    </row>
    <row r="5350" customFormat="false" ht="16.4" hidden="false" customHeight="false" outlineLevel="0" collapsed="false">
      <c r="A5350" s="13" t="str">
        <f aca="false">""</f>
        <v/>
      </c>
      <c r="B5350" s="13" t="n">
        <f aca="false">222</f>
        <v>222</v>
      </c>
      <c r="C5350" s="13" t="n">
        <f aca="false">IF(Szenarien!$H$25="OK",(IFERROR(SUMIF(Nutzungsprofile!$B$6:$B$11,"Schulbetrieb",Nutzungsprofile!$G$6:$G$11)*Kalender!C226/SUM(Kalender!$C$5:$C$370),0)+IFERROR(SUMIF(Nutzungsprofile!$B$6:$B$11,"Halle",Nutzungsprofile!$G$6:$G$11)*Kalender!D226/SUM(Kalender!$D$5:$D$370),0)+IFERROR(SUMIF(Nutzungsprofile!$B$6:$B$11,"Individuell",Nutzungsprofile!$G$6:$G$11)*Kalender!E226/SUM(Kalender!$E$5:$E$370),0))*Szenarien!$E$25,0)</f>
        <v>2.04</v>
      </c>
      <c r="D5350" s="13" t="n">
        <f aca="false">IF(Szenarien!$H$25="OK",(IFERROR(SUMIF(Nutzungsprofile!$B$17:$B$22,"Schulbetrieb",Nutzungsprofile!$G$17:$G$22)*Kalender!C226/SUM(Kalender!$C$5:$C$370),0)+IFERROR(SUMIF(Nutzungsprofile!$B$17:$B$22,"Halle",Nutzungsprofile!$G$17:$G$22)*Kalender!D226/SUM(Kalender!$D$5:$D$370),0)+IFERROR(SUMIF(Nutzungsprofile!$B$17:$B$22,"Individuell",Nutzungsprofile!$G$17:$G$22)*Kalender!E226/SUM(Kalender!$E$5:$E$370),0))*Szenarien!$D$25,0)</f>
        <v>0.89</v>
      </c>
      <c r="E5350" s="13" t="n">
        <f aca="false">IFERROR(MIN(C5350,Eingaben!$B$17)*Eingaben!$B$16,0)</f>
        <v>1.938</v>
      </c>
      <c r="F5350" s="13" t="n">
        <f aca="false">IFERROR(E5350*Eingaben!$B$15,0)</f>
        <v>1.7442</v>
      </c>
      <c r="G5350" s="13" t="n">
        <f aca="false">IFERROR(IF(Kalender!A226="",0,J5349*(1-Eingaben!$B$20)),0)</f>
        <v>1.709316</v>
      </c>
      <c r="H5350" s="13" t="n">
        <f aca="false">MIN(G5350,D5350)</f>
        <v>0.89</v>
      </c>
      <c r="I5350" s="13" t="n">
        <f aca="false">IFERROR(MIN(F5350*Eingaben!$B$19,MAX(0,D5350-H5350)),0)</f>
        <v>0</v>
      </c>
      <c r="J5350" s="13" t="n">
        <f aca="false">IFERROR(MIN(Eingaben!$B$18,MAX(0,F5350-I5350)),0)</f>
        <v>1.7442</v>
      </c>
      <c r="K5350" s="13" t="n">
        <f aca="false">H5350+I5350</f>
        <v>0.89</v>
      </c>
      <c r="L5350" s="13" t="n">
        <f aca="false">MAX(0,D5350-K5350)</f>
        <v>0</v>
      </c>
      <c r="M5350" s="13" t="n">
        <f aca="false">MAX(0,F5350-I5350-J5350)</f>
        <v>0</v>
      </c>
      <c r="N5350" s="13" t="n">
        <f aca="false">IF(Kalender!A226="",0,J5349-H5350)</f>
        <v>0.8542</v>
      </c>
    </row>
    <row r="5351" customFormat="false" ht="16.4" hidden="false" customHeight="false" outlineLevel="0" collapsed="false">
      <c r="A5351" s="13" t="str">
        <f aca="false">""</f>
        <v/>
      </c>
      <c r="B5351" s="13" t="n">
        <f aca="false">223</f>
        <v>223</v>
      </c>
      <c r="C5351" s="13" t="n">
        <f aca="false">IF(Szenarien!$H$25="OK",(IFERROR(SUMIF(Nutzungsprofile!$B$6:$B$11,"Schulbetrieb",Nutzungsprofile!$G$6:$G$11)*Kalender!C227/SUM(Kalender!$C$5:$C$370),0)+IFERROR(SUMIF(Nutzungsprofile!$B$6:$B$11,"Halle",Nutzungsprofile!$G$6:$G$11)*Kalender!D227/SUM(Kalender!$D$5:$D$370),0)+IFERROR(SUMIF(Nutzungsprofile!$B$6:$B$11,"Individuell",Nutzungsprofile!$G$6:$G$11)*Kalender!E227/SUM(Kalender!$E$5:$E$370),0))*Szenarien!$E$25,0)</f>
        <v>2.04</v>
      </c>
      <c r="D5351" s="13" t="n">
        <f aca="false">IF(Szenarien!$H$25="OK",(IFERROR(SUMIF(Nutzungsprofile!$B$17:$B$22,"Schulbetrieb",Nutzungsprofile!$G$17:$G$22)*Kalender!C227/SUM(Kalender!$C$5:$C$370),0)+IFERROR(SUMIF(Nutzungsprofile!$B$17:$B$22,"Halle",Nutzungsprofile!$G$17:$G$22)*Kalender!D227/SUM(Kalender!$D$5:$D$370),0)+IFERROR(SUMIF(Nutzungsprofile!$B$17:$B$22,"Individuell",Nutzungsprofile!$G$17:$G$22)*Kalender!E227/SUM(Kalender!$E$5:$E$370),0))*Szenarien!$D$25,0)</f>
        <v>0.89</v>
      </c>
      <c r="E5351" s="13" t="n">
        <f aca="false">IFERROR(MIN(C5351,Eingaben!$B$17)*Eingaben!$B$16,0)</f>
        <v>1.938</v>
      </c>
      <c r="F5351" s="13" t="n">
        <f aca="false">IFERROR(E5351*Eingaben!$B$15,0)</f>
        <v>1.7442</v>
      </c>
      <c r="G5351" s="13" t="n">
        <f aca="false">IFERROR(IF(Kalender!A227="",0,J5350*(1-Eingaben!$B$20)),0)</f>
        <v>1.709316</v>
      </c>
      <c r="H5351" s="13" t="n">
        <f aca="false">MIN(G5351,D5351)</f>
        <v>0.89</v>
      </c>
      <c r="I5351" s="13" t="n">
        <f aca="false">IFERROR(MIN(F5351*Eingaben!$B$19,MAX(0,D5351-H5351)),0)</f>
        <v>0</v>
      </c>
      <c r="J5351" s="13" t="n">
        <f aca="false">IFERROR(MIN(Eingaben!$B$18,MAX(0,F5351-I5351)),0)</f>
        <v>1.7442</v>
      </c>
      <c r="K5351" s="13" t="n">
        <f aca="false">H5351+I5351</f>
        <v>0.89</v>
      </c>
      <c r="L5351" s="13" t="n">
        <f aca="false">MAX(0,D5351-K5351)</f>
        <v>0</v>
      </c>
      <c r="M5351" s="13" t="n">
        <f aca="false">MAX(0,F5351-I5351-J5351)</f>
        <v>0</v>
      </c>
      <c r="N5351" s="13" t="n">
        <f aca="false">IF(Kalender!A227="",0,J5350-H5351)</f>
        <v>0.8542</v>
      </c>
    </row>
    <row r="5352" customFormat="false" ht="16.4" hidden="false" customHeight="false" outlineLevel="0" collapsed="false">
      <c r="A5352" s="13" t="str">
        <f aca="false">""</f>
        <v/>
      </c>
      <c r="B5352" s="13" t="n">
        <f aca="false">224</f>
        <v>224</v>
      </c>
      <c r="C5352" s="13" t="n">
        <f aca="false">IF(Szenarien!$H$25="OK",(IFERROR(SUMIF(Nutzungsprofile!$B$6:$B$11,"Schulbetrieb",Nutzungsprofile!$G$6:$G$11)*Kalender!C228/SUM(Kalender!$C$5:$C$370),0)+IFERROR(SUMIF(Nutzungsprofile!$B$6:$B$11,"Halle",Nutzungsprofile!$G$6:$G$11)*Kalender!D228/SUM(Kalender!$D$5:$D$370),0)+IFERROR(SUMIF(Nutzungsprofile!$B$6:$B$11,"Individuell",Nutzungsprofile!$G$6:$G$11)*Kalender!E228/SUM(Kalender!$E$5:$E$370),0))*Szenarien!$E$25,0)</f>
        <v>2.04</v>
      </c>
      <c r="D5352" s="13" t="n">
        <f aca="false">IF(Szenarien!$H$25="OK",(IFERROR(SUMIF(Nutzungsprofile!$B$17:$B$22,"Schulbetrieb",Nutzungsprofile!$G$17:$G$22)*Kalender!C228/SUM(Kalender!$C$5:$C$370),0)+IFERROR(SUMIF(Nutzungsprofile!$B$17:$B$22,"Halle",Nutzungsprofile!$G$17:$G$22)*Kalender!D228/SUM(Kalender!$D$5:$D$370),0)+IFERROR(SUMIF(Nutzungsprofile!$B$17:$B$22,"Individuell",Nutzungsprofile!$G$17:$G$22)*Kalender!E228/SUM(Kalender!$E$5:$E$370),0))*Szenarien!$D$25,0)</f>
        <v>0.89</v>
      </c>
      <c r="E5352" s="13" t="n">
        <f aca="false">IFERROR(MIN(C5352,Eingaben!$B$17)*Eingaben!$B$16,0)</f>
        <v>1.938</v>
      </c>
      <c r="F5352" s="13" t="n">
        <f aca="false">IFERROR(E5352*Eingaben!$B$15,0)</f>
        <v>1.7442</v>
      </c>
      <c r="G5352" s="13" t="n">
        <f aca="false">IFERROR(IF(Kalender!A228="",0,J5351*(1-Eingaben!$B$20)),0)</f>
        <v>1.709316</v>
      </c>
      <c r="H5352" s="13" t="n">
        <f aca="false">MIN(G5352,D5352)</f>
        <v>0.89</v>
      </c>
      <c r="I5352" s="13" t="n">
        <f aca="false">IFERROR(MIN(F5352*Eingaben!$B$19,MAX(0,D5352-H5352)),0)</f>
        <v>0</v>
      </c>
      <c r="J5352" s="13" t="n">
        <f aca="false">IFERROR(MIN(Eingaben!$B$18,MAX(0,F5352-I5352)),0)</f>
        <v>1.7442</v>
      </c>
      <c r="K5352" s="13" t="n">
        <f aca="false">H5352+I5352</f>
        <v>0.89</v>
      </c>
      <c r="L5352" s="13" t="n">
        <f aca="false">MAX(0,D5352-K5352)</f>
        <v>0</v>
      </c>
      <c r="M5352" s="13" t="n">
        <f aca="false">MAX(0,F5352-I5352-J5352)</f>
        <v>0</v>
      </c>
      <c r="N5352" s="13" t="n">
        <f aca="false">IF(Kalender!A228="",0,J5351-H5352)</f>
        <v>0.8542</v>
      </c>
    </row>
    <row r="5353" customFormat="false" ht="16.4" hidden="false" customHeight="false" outlineLevel="0" collapsed="false">
      <c r="A5353" s="13" t="str">
        <f aca="false">""</f>
        <v/>
      </c>
      <c r="B5353" s="13" t="n">
        <f aca="false">225</f>
        <v>225</v>
      </c>
      <c r="C5353" s="13" t="n">
        <f aca="false">IF(Szenarien!$H$25="OK",(IFERROR(SUMIF(Nutzungsprofile!$B$6:$B$11,"Schulbetrieb",Nutzungsprofile!$G$6:$G$11)*Kalender!C229/SUM(Kalender!$C$5:$C$370),0)+IFERROR(SUMIF(Nutzungsprofile!$B$6:$B$11,"Halle",Nutzungsprofile!$G$6:$G$11)*Kalender!D229/SUM(Kalender!$D$5:$D$370),0)+IFERROR(SUMIF(Nutzungsprofile!$B$6:$B$11,"Individuell",Nutzungsprofile!$G$6:$G$11)*Kalender!E229/SUM(Kalender!$E$5:$E$370),0))*Szenarien!$E$25,0)</f>
        <v>2.04</v>
      </c>
      <c r="D5353" s="13" t="n">
        <f aca="false">IF(Szenarien!$H$25="OK",(IFERROR(SUMIF(Nutzungsprofile!$B$17:$B$22,"Schulbetrieb",Nutzungsprofile!$G$17:$G$22)*Kalender!C229/SUM(Kalender!$C$5:$C$370),0)+IFERROR(SUMIF(Nutzungsprofile!$B$17:$B$22,"Halle",Nutzungsprofile!$G$17:$G$22)*Kalender!D229/SUM(Kalender!$D$5:$D$370),0)+IFERROR(SUMIF(Nutzungsprofile!$B$17:$B$22,"Individuell",Nutzungsprofile!$G$17:$G$22)*Kalender!E229/SUM(Kalender!$E$5:$E$370),0))*Szenarien!$D$25,0)</f>
        <v>0.89</v>
      </c>
      <c r="E5353" s="13" t="n">
        <f aca="false">IFERROR(MIN(C5353,Eingaben!$B$17)*Eingaben!$B$16,0)</f>
        <v>1.938</v>
      </c>
      <c r="F5353" s="13" t="n">
        <f aca="false">IFERROR(E5353*Eingaben!$B$15,0)</f>
        <v>1.7442</v>
      </c>
      <c r="G5353" s="13" t="n">
        <f aca="false">IFERROR(IF(Kalender!A229="",0,J5352*(1-Eingaben!$B$20)),0)</f>
        <v>1.709316</v>
      </c>
      <c r="H5353" s="13" t="n">
        <f aca="false">MIN(G5353,D5353)</f>
        <v>0.89</v>
      </c>
      <c r="I5353" s="13" t="n">
        <f aca="false">IFERROR(MIN(F5353*Eingaben!$B$19,MAX(0,D5353-H5353)),0)</f>
        <v>0</v>
      </c>
      <c r="J5353" s="13" t="n">
        <f aca="false">IFERROR(MIN(Eingaben!$B$18,MAX(0,F5353-I5353)),0)</f>
        <v>1.7442</v>
      </c>
      <c r="K5353" s="13" t="n">
        <f aca="false">H5353+I5353</f>
        <v>0.89</v>
      </c>
      <c r="L5353" s="13" t="n">
        <f aca="false">MAX(0,D5353-K5353)</f>
        <v>0</v>
      </c>
      <c r="M5353" s="13" t="n">
        <f aca="false">MAX(0,F5353-I5353-J5353)</f>
        <v>0</v>
      </c>
      <c r="N5353" s="13" t="n">
        <f aca="false">IF(Kalender!A229="",0,J5352-H5353)</f>
        <v>0.8542</v>
      </c>
    </row>
    <row r="5354" customFormat="false" ht="16.4" hidden="false" customHeight="false" outlineLevel="0" collapsed="false">
      <c r="A5354" s="13" t="str">
        <f aca="false">""</f>
        <v/>
      </c>
      <c r="B5354" s="13" t="n">
        <f aca="false">226</f>
        <v>226</v>
      </c>
      <c r="C5354" s="13" t="n">
        <f aca="false">IF(Szenarien!$H$25="OK",(IFERROR(SUMIF(Nutzungsprofile!$B$6:$B$11,"Schulbetrieb",Nutzungsprofile!$G$6:$G$11)*Kalender!C230/SUM(Kalender!$C$5:$C$370),0)+IFERROR(SUMIF(Nutzungsprofile!$B$6:$B$11,"Halle",Nutzungsprofile!$G$6:$G$11)*Kalender!D230/SUM(Kalender!$D$5:$D$370),0)+IFERROR(SUMIF(Nutzungsprofile!$B$6:$B$11,"Individuell",Nutzungsprofile!$G$6:$G$11)*Kalender!E230/SUM(Kalender!$E$5:$E$370),0))*Szenarien!$E$25,0)</f>
        <v>2.04</v>
      </c>
      <c r="D5354" s="13" t="n">
        <f aca="false">IF(Szenarien!$H$25="OK",(IFERROR(SUMIF(Nutzungsprofile!$B$17:$B$22,"Schulbetrieb",Nutzungsprofile!$G$17:$G$22)*Kalender!C230/SUM(Kalender!$C$5:$C$370),0)+IFERROR(SUMIF(Nutzungsprofile!$B$17:$B$22,"Halle",Nutzungsprofile!$G$17:$G$22)*Kalender!D230/SUM(Kalender!$D$5:$D$370),0)+IFERROR(SUMIF(Nutzungsprofile!$B$17:$B$22,"Individuell",Nutzungsprofile!$G$17:$G$22)*Kalender!E230/SUM(Kalender!$E$5:$E$370),0))*Szenarien!$D$25,0)</f>
        <v>0.89</v>
      </c>
      <c r="E5354" s="13" t="n">
        <f aca="false">IFERROR(MIN(C5354,Eingaben!$B$17)*Eingaben!$B$16,0)</f>
        <v>1.938</v>
      </c>
      <c r="F5354" s="13" t="n">
        <f aca="false">IFERROR(E5354*Eingaben!$B$15,0)</f>
        <v>1.7442</v>
      </c>
      <c r="G5354" s="13" t="n">
        <f aca="false">IFERROR(IF(Kalender!A230="",0,J5353*(1-Eingaben!$B$20)),0)</f>
        <v>1.709316</v>
      </c>
      <c r="H5354" s="13" t="n">
        <f aca="false">MIN(G5354,D5354)</f>
        <v>0.89</v>
      </c>
      <c r="I5354" s="13" t="n">
        <f aca="false">IFERROR(MIN(F5354*Eingaben!$B$19,MAX(0,D5354-H5354)),0)</f>
        <v>0</v>
      </c>
      <c r="J5354" s="13" t="n">
        <f aca="false">IFERROR(MIN(Eingaben!$B$18,MAX(0,F5354-I5354)),0)</f>
        <v>1.7442</v>
      </c>
      <c r="K5354" s="13" t="n">
        <f aca="false">H5354+I5354</f>
        <v>0.89</v>
      </c>
      <c r="L5354" s="13" t="n">
        <f aca="false">MAX(0,D5354-K5354)</f>
        <v>0</v>
      </c>
      <c r="M5354" s="13" t="n">
        <f aca="false">MAX(0,F5354-I5354-J5354)</f>
        <v>0</v>
      </c>
      <c r="N5354" s="13" t="n">
        <f aca="false">IF(Kalender!A230="",0,J5353-H5354)</f>
        <v>0.8542</v>
      </c>
    </row>
    <row r="5355" customFormat="false" ht="16.4" hidden="false" customHeight="false" outlineLevel="0" collapsed="false">
      <c r="A5355" s="13" t="str">
        <f aca="false">""</f>
        <v/>
      </c>
      <c r="B5355" s="13" t="n">
        <f aca="false">227</f>
        <v>227</v>
      </c>
      <c r="C5355" s="13" t="n">
        <f aca="false">IF(Szenarien!$H$25="OK",(IFERROR(SUMIF(Nutzungsprofile!$B$6:$B$11,"Schulbetrieb",Nutzungsprofile!$G$6:$G$11)*Kalender!C231/SUM(Kalender!$C$5:$C$370),0)+IFERROR(SUMIF(Nutzungsprofile!$B$6:$B$11,"Halle",Nutzungsprofile!$G$6:$G$11)*Kalender!D231/SUM(Kalender!$D$5:$D$370),0)+IFERROR(SUMIF(Nutzungsprofile!$B$6:$B$11,"Individuell",Nutzungsprofile!$G$6:$G$11)*Kalender!E231/SUM(Kalender!$E$5:$E$370),0))*Szenarien!$E$25,0)</f>
        <v>2.04</v>
      </c>
      <c r="D5355" s="13" t="n">
        <f aca="false">IF(Szenarien!$H$25="OK",(IFERROR(SUMIF(Nutzungsprofile!$B$17:$B$22,"Schulbetrieb",Nutzungsprofile!$G$17:$G$22)*Kalender!C231/SUM(Kalender!$C$5:$C$370),0)+IFERROR(SUMIF(Nutzungsprofile!$B$17:$B$22,"Halle",Nutzungsprofile!$G$17:$G$22)*Kalender!D231/SUM(Kalender!$D$5:$D$370),0)+IFERROR(SUMIF(Nutzungsprofile!$B$17:$B$22,"Individuell",Nutzungsprofile!$G$17:$G$22)*Kalender!E231/SUM(Kalender!$E$5:$E$370),0))*Szenarien!$D$25,0)</f>
        <v>0.89</v>
      </c>
      <c r="E5355" s="13" t="n">
        <f aca="false">IFERROR(MIN(C5355,Eingaben!$B$17)*Eingaben!$B$16,0)</f>
        <v>1.938</v>
      </c>
      <c r="F5355" s="13" t="n">
        <f aca="false">IFERROR(E5355*Eingaben!$B$15,0)</f>
        <v>1.7442</v>
      </c>
      <c r="G5355" s="13" t="n">
        <f aca="false">IFERROR(IF(Kalender!A231="",0,J5354*(1-Eingaben!$B$20)),0)</f>
        <v>1.709316</v>
      </c>
      <c r="H5355" s="13" t="n">
        <f aca="false">MIN(G5355,D5355)</f>
        <v>0.89</v>
      </c>
      <c r="I5355" s="13" t="n">
        <f aca="false">IFERROR(MIN(F5355*Eingaben!$B$19,MAX(0,D5355-H5355)),0)</f>
        <v>0</v>
      </c>
      <c r="J5355" s="13" t="n">
        <f aca="false">IFERROR(MIN(Eingaben!$B$18,MAX(0,F5355-I5355)),0)</f>
        <v>1.7442</v>
      </c>
      <c r="K5355" s="13" t="n">
        <f aca="false">H5355+I5355</f>
        <v>0.89</v>
      </c>
      <c r="L5355" s="13" t="n">
        <f aca="false">MAX(0,D5355-K5355)</f>
        <v>0</v>
      </c>
      <c r="M5355" s="13" t="n">
        <f aca="false">MAX(0,F5355-I5355-J5355)</f>
        <v>0</v>
      </c>
      <c r="N5355" s="13" t="n">
        <f aca="false">IF(Kalender!A231="",0,J5354-H5355)</f>
        <v>0.8542</v>
      </c>
    </row>
    <row r="5356" customFormat="false" ht="16.4" hidden="false" customHeight="false" outlineLevel="0" collapsed="false">
      <c r="A5356" s="13" t="str">
        <f aca="false">""</f>
        <v/>
      </c>
      <c r="B5356" s="13" t="n">
        <f aca="false">228</f>
        <v>228</v>
      </c>
      <c r="C5356" s="13" t="n">
        <f aca="false">IF(Szenarien!$H$25="OK",(IFERROR(SUMIF(Nutzungsprofile!$B$6:$B$11,"Schulbetrieb",Nutzungsprofile!$G$6:$G$11)*Kalender!C232/SUM(Kalender!$C$5:$C$370),0)+IFERROR(SUMIF(Nutzungsprofile!$B$6:$B$11,"Halle",Nutzungsprofile!$G$6:$G$11)*Kalender!D232/SUM(Kalender!$D$5:$D$370),0)+IFERROR(SUMIF(Nutzungsprofile!$B$6:$B$11,"Individuell",Nutzungsprofile!$G$6:$G$11)*Kalender!E232/SUM(Kalender!$E$5:$E$370),0))*Szenarien!$E$25,0)</f>
        <v>2.04</v>
      </c>
      <c r="D5356" s="13" t="n">
        <f aca="false">IF(Szenarien!$H$25="OK",(IFERROR(SUMIF(Nutzungsprofile!$B$17:$B$22,"Schulbetrieb",Nutzungsprofile!$G$17:$G$22)*Kalender!C232/SUM(Kalender!$C$5:$C$370),0)+IFERROR(SUMIF(Nutzungsprofile!$B$17:$B$22,"Halle",Nutzungsprofile!$G$17:$G$22)*Kalender!D232/SUM(Kalender!$D$5:$D$370),0)+IFERROR(SUMIF(Nutzungsprofile!$B$17:$B$22,"Individuell",Nutzungsprofile!$G$17:$G$22)*Kalender!E232/SUM(Kalender!$E$5:$E$370),0))*Szenarien!$D$25,0)</f>
        <v>0.89</v>
      </c>
      <c r="E5356" s="13" t="n">
        <f aca="false">IFERROR(MIN(C5356,Eingaben!$B$17)*Eingaben!$B$16,0)</f>
        <v>1.938</v>
      </c>
      <c r="F5356" s="13" t="n">
        <f aca="false">IFERROR(E5356*Eingaben!$B$15,0)</f>
        <v>1.7442</v>
      </c>
      <c r="G5356" s="13" t="n">
        <f aca="false">IFERROR(IF(Kalender!A232="",0,J5355*(1-Eingaben!$B$20)),0)</f>
        <v>1.709316</v>
      </c>
      <c r="H5356" s="13" t="n">
        <f aca="false">MIN(G5356,D5356)</f>
        <v>0.89</v>
      </c>
      <c r="I5356" s="13" t="n">
        <f aca="false">IFERROR(MIN(F5356*Eingaben!$B$19,MAX(0,D5356-H5356)),0)</f>
        <v>0</v>
      </c>
      <c r="J5356" s="13" t="n">
        <f aca="false">IFERROR(MIN(Eingaben!$B$18,MAX(0,F5356-I5356)),0)</f>
        <v>1.7442</v>
      </c>
      <c r="K5356" s="13" t="n">
        <f aca="false">H5356+I5356</f>
        <v>0.89</v>
      </c>
      <c r="L5356" s="13" t="n">
        <f aca="false">MAX(0,D5356-K5356)</f>
        <v>0</v>
      </c>
      <c r="M5356" s="13" t="n">
        <f aca="false">MAX(0,F5356-I5356-J5356)</f>
        <v>0</v>
      </c>
      <c r="N5356" s="13" t="n">
        <f aca="false">IF(Kalender!A232="",0,J5355-H5356)</f>
        <v>0.8542</v>
      </c>
    </row>
    <row r="5357" customFormat="false" ht="16.4" hidden="false" customHeight="false" outlineLevel="0" collapsed="false">
      <c r="A5357" s="13" t="str">
        <f aca="false">""</f>
        <v/>
      </c>
      <c r="B5357" s="13" t="n">
        <f aca="false">229</f>
        <v>229</v>
      </c>
      <c r="C5357" s="13" t="n">
        <f aca="false">IF(Szenarien!$H$25="OK",(IFERROR(SUMIF(Nutzungsprofile!$B$6:$B$11,"Schulbetrieb",Nutzungsprofile!$G$6:$G$11)*Kalender!C233/SUM(Kalender!$C$5:$C$370),0)+IFERROR(SUMIF(Nutzungsprofile!$B$6:$B$11,"Halle",Nutzungsprofile!$G$6:$G$11)*Kalender!D233/SUM(Kalender!$D$5:$D$370),0)+IFERROR(SUMIF(Nutzungsprofile!$B$6:$B$11,"Individuell",Nutzungsprofile!$G$6:$G$11)*Kalender!E233/SUM(Kalender!$E$5:$E$370),0))*Szenarien!$E$25,0)</f>
        <v>2.04</v>
      </c>
      <c r="D5357" s="13" t="n">
        <f aca="false">IF(Szenarien!$H$25="OK",(IFERROR(SUMIF(Nutzungsprofile!$B$17:$B$22,"Schulbetrieb",Nutzungsprofile!$G$17:$G$22)*Kalender!C233/SUM(Kalender!$C$5:$C$370),0)+IFERROR(SUMIF(Nutzungsprofile!$B$17:$B$22,"Halle",Nutzungsprofile!$G$17:$G$22)*Kalender!D233/SUM(Kalender!$D$5:$D$370),0)+IFERROR(SUMIF(Nutzungsprofile!$B$17:$B$22,"Individuell",Nutzungsprofile!$G$17:$G$22)*Kalender!E233/SUM(Kalender!$E$5:$E$370),0))*Szenarien!$D$25,0)</f>
        <v>0.89</v>
      </c>
      <c r="E5357" s="13" t="n">
        <f aca="false">IFERROR(MIN(C5357,Eingaben!$B$17)*Eingaben!$B$16,0)</f>
        <v>1.938</v>
      </c>
      <c r="F5357" s="13" t="n">
        <f aca="false">IFERROR(E5357*Eingaben!$B$15,0)</f>
        <v>1.7442</v>
      </c>
      <c r="G5357" s="13" t="n">
        <f aca="false">IFERROR(IF(Kalender!A233="",0,J5356*(1-Eingaben!$B$20)),0)</f>
        <v>1.709316</v>
      </c>
      <c r="H5357" s="13" t="n">
        <f aca="false">MIN(G5357,D5357)</f>
        <v>0.89</v>
      </c>
      <c r="I5357" s="13" t="n">
        <f aca="false">IFERROR(MIN(F5357*Eingaben!$B$19,MAX(0,D5357-H5357)),0)</f>
        <v>0</v>
      </c>
      <c r="J5357" s="13" t="n">
        <f aca="false">IFERROR(MIN(Eingaben!$B$18,MAX(0,F5357-I5357)),0)</f>
        <v>1.7442</v>
      </c>
      <c r="K5357" s="13" t="n">
        <f aca="false">H5357+I5357</f>
        <v>0.89</v>
      </c>
      <c r="L5357" s="13" t="n">
        <f aca="false">MAX(0,D5357-K5357)</f>
        <v>0</v>
      </c>
      <c r="M5357" s="13" t="n">
        <f aca="false">MAX(0,F5357-I5357-J5357)</f>
        <v>0</v>
      </c>
      <c r="N5357" s="13" t="n">
        <f aca="false">IF(Kalender!A233="",0,J5356-H5357)</f>
        <v>0.8542</v>
      </c>
    </row>
    <row r="5358" customFormat="false" ht="16.4" hidden="false" customHeight="false" outlineLevel="0" collapsed="false">
      <c r="A5358" s="13" t="str">
        <f aca="false">""</f>
        <v/>
      </c>
      <c r="B5358" s="13" t="n">
        <f aca="false">230</f>
        <v>230</v>
      </c>
      <c r="C5358" s="13" t="n">
        <f aca="false">IF(Szenarien!$H$25="OK",(IFERROR(SUMIF(Nutzungsprofile!$B$6:$B$11,"Schulbetrieb",Nutzungsprofile!$G$6:$G$11)*Kalender!C234/SUM(Kalender!$C$5:$C$370),0)+IFERROR(SUMIF(Nutzungsprofile!$B$6:$B$11,"Halle",Nutzungsprofile!$G$6:$G$11)*Kalender!D234/SUM(Kalender!$D$5:$D$370),0)+IFERROR(SUMIF(Nutzungsprofile!$B$6:$B$11,"Individuell",Nutzungsprofile!$G$6:$G$11)*Kalender!E234/SUM(Kalender!$E$5:$E$370),0))*Szenarien!$E$25,0)</f>
        <v>2.04</v>
      </c>
      <c r="D5358" s="13" t="n">
        <f aca="false">IF(Szenarien!$H$25="OK",(IFERROR(SUMIF(Nutzungsprofile!$B$17:$B$22,"Schulbetrieb",Nutzungsprofile!$G$17:$G$22)*Kalender!C234/SUM(Kalender!$C$5:$C$370),0)+IFERROR(SUMIF(Nutzungsprofile!$B$17:$B$22,"Halle",Nutzungsprofile!$G$17:$G$22)*Kalender!D234/SUM(Kalender!$D$5:$D$370),0)+IFERROR(SUMIF(Nutzungsprofile!$B$17:$B$22,"Individuell",Nutzungsprofile!$G$17:$G$22)*Kalender!E234/SUM(Kalender!$E$5:$E$370),0))*Szenarien!$D$25,0)</f>
        <v>0.89</v>
      </c>
      <c r="E5358" s="13" t="n">
        <f aca="false">IFERROR(MIN(C5358,Eingaben!$B$17)*Eingaben!$B$16,0)</f>
        <v>1.938</v>
      </c>
      <c r="F5358" s="13" t="n">
        <f aca="false">IFERROR(E5358*Eingaben!$B$15,0)</f>
        <v>1.7442</v>
      </c>
      <c r="G5358" s="13" t="n">
        <f aca="false">IFERROR(IF(Kalender!A234="",0,J5357*(1-Eingaben!$B$20)),0)</f>
        <v>1.709316</v>
      </c>
      <c r="H5358" s="13" t="n">
        <f aca="false">MIN(G5358,D5358)</f>
        <v>0.89</v>
      </c>
      <c r="I5358" s="13" t="n">
        <f aca="false">IFERROR(MIN(F5358*Eingaben!$B$19,MAX(0,D5358-H5358)),0)</f>
        <v>0</v>
      </c>
      <c r="J5358" s="13" t="n">
        <f aca="false">IFERROR(MIN(Eingaben!$B$18,MAX(0,F5358-I5358)),0)</f>
        <v>1.7442</v>
      </c>
      <c r="K5358" s="13" t="n">
        <f aca="false">H5358+I5358</f>
        <v>0.89</v>
      </c>
      <c r="L5358" s="13" t="n">
        <f aca="false">MAX(0,D5358-K5358)</f>
        <v>0</v>
      </c>
      <c r="M5358" s="13" t="n">
        <f aca="false">MAX(0,F5358-I5358-J5358)</f>
        <v>0</v>
      </c>
      <c r="N5358" s="13" t="n">
        <f aca="false">IF(Kalender!A234="",0,J5357-H5358)</f>
        <v>0.8542</v>
      </c>
    </row>
    <row r="5359" customFormat="false" ht="16.4" hidden="false" customHeight="false" outlineLevel="0" collapsed="false">
      <c r="A5359" s="13" t="str">
        <f aca="false">""</f>
        <v/>
      </c>
      <c r="B5359" s="13" t="n">
        <f aca="false">231</f>
        <v>231</v>
      </c>
      <c r="C5359" s="13" t="n">
        <f aca="false">IF(Szenarien!$H$25="OK",(IFERROR(SUMIF(Nutzungsprofile!$B$6:$B$11,"Schulbetrieb",Nutzungsprofile!$G$6:$G$11)*Kalender!C235/SUM(Kalender!$C$5:$C$370),0)+IFERROR(SUMIF(Nutzungsprofile!$B$6:$B$11,"Halle",Nutzungsprofile!$G$6:$G$11)*Kalender!D235/SUM(Kalender!$D$5:$D$370),0)+IFERROR(SUMIF(Nutzungsprofile!$B$6:$B$11,"Individuell",Nutzungsprofile!$G$6:$G$11)*Kalender!E235/SUM(Kalender!$E$5:$E$370),0))*Szenarien!$E$25,0)</f>
        <v>2.04</v>
      </c>
      <c r="D5359" s="13" t="n">
        <f aca="false">IF(Szenarien!$H$25="OK",(IFERROR(SUMIF(Nutzungsprofile!$B$17:$B$22,"Schulbetrieb",Nutzungsprofile!$G$17:$G$22)*Kalender!C235/SUM(Kalender!$C$5:$C$370),0)+IFERROR(SUMIF(Nutzungsprofile!$B$17:$B$22,"Halle",Nutzungsprofile!$G$17:$G$22)*Kalender!D235/SUM(Kalender!$D$5:$D$370),0)+IFERROR(SUMIF(Nutzungsprofile!$B$17:$B$22,"Individuell",Nutzungsprofile!$G$17:$G$22)*Kalender!E235/SUM(Kalender!$E$5:$E$370),0))*Szenarien!$D$25,0)</f>
        <v>0.89</v>
      </c>
      <c r="E5359" s="13" t="n">
        <f aca="false">IFERROR(MIN(C5359,Eingaben!$B$17)*Eingaben!$B$16,0)</f>
        <v>1.938</v>
      </c>
      <c r="F5359" s="13" t="n">
        <f aca="false">IFERROR(E5359*Eingaben!$B$15,0)</f>
        <v>1.7442</v>
      </c>
      <c r="G5359" s="13" t="n">
        <f aca="false">IFERROR(IF(Kalender!A235="",0,J5358*(1-Eingaben!$B$20)),0)</f>
        <v>1.709316</v>
      </c>
      <c r="H5359" s="13" t="n">
        <f aca="false">MIN(G5359,D5359)</f>
        <v>0.89</v>
      </c>
      <c r="I5359" s="13" t="n">
        <f aca="false">IFERROR(MIN(F5359*Eingaben!$B$19,MAX(0,D5359-H5359)),0)</f>
        <v>0</v>
      </c>
      <c r="J5359" s="13" t="n">
        <f aca="false">IFERROR(MIN(Eingaben!$B$18,MAX(0,F5359-I5359)),0)</f>
        <v>1.7442</v>
      </c>
      <c r="K5359" s="13" t="n">
        <f aca="false">H5359+I5359</f>
        <v>0.89</v>
      </c>
      <c r="L5359" s="13" t="n">
        <f aca="false">MAX(0,D5359-K5359)</f>
        <v>0</v>
      </c>
      <c r="M5359" s="13" t="n">
        <f aca="false">MAX(0,F5359-I5359-J5359)</f>
        <v>0</v>
      </c>
      <c r="N5359" s="13" t="n">
        <f aca="false">IF(Kalender!A235="",0,J5358-H5359)</f>
        <v>0.8542</v>
      </c>
    </row>
    <row r="5360" customFormat="false" ht="16.4" hidden="false" customHeight="false" outlineLevel="0" collapsed="false">
      <c r="A5360" s="13" t="str">
        <f aca="false">""</f>
        <v/>
      </c>
      <c r="B5360" s="13" t="n">
        <f aca="false">232</f>
        <v>232</v>
      </c>
      <c r="C5360" s="13" t="n">
        <f aca="false">IF(Szenarien!$H$25="OK",(IFERROR(SUMIF(Nutzungsprofile!$B$6:$B$11,"Schulbetrieb",Nutzungsprofile!$G$6:$G$11)*Kalender!C236/SUM(Kalender!$C$5:$C$370),0)+IFERROR(SUMIF(Nutzungsprofile!$B$6:$B$11,"Halle",Nutzungsprofile!$G$6:$G$11)*Kalender!D236/SUM(Kalender!$D$5:$D$370),0)+IFERROR(SUMIF(Nutzungsprofile!$B$6:$B$11,"Individuell",Nutzungsprofile!$G$6:$G$11)*Kalender!E236/SUM(Kalender!$E$5:$E$370),0))*Szenarien!$E$25,0)</f>
        <v>2.04</v>
      </c>
      <c r="D5360" s="13" t="n">
        <f aca="false">IF(Szenarien!$H$25="OK",(IFERROR(SUMIF(Nutzungsprofile!$B$17:$B$22,"Schulbetrieb",Nutzungsprofile!$G$17:$G$22)*Kalender!C236/SUM(Kalender!$C$5:$C$370),0)+IFERROR(SUMIF(Nutzungsprofile!$B$17:$B$22,"Halle",Nutzungsprofile!$G$17:$G$22)*Kalender!D236/SUM(Kalender!$D$5:$D$370),0)+IFERROR(SUMIF(Nutzungsprofile!$B$17:$B$22,"Individuell",Nutzungsprofile!$G$17:$G$22)*Kalender!E236/SUM(Kalender!$E$5:$E$370),0))*Szenarien!$D$25,0)</f>
        <v>0.89</v>
      </c>
      <c r="E5360" s="13" t="n">
        <f aca="false">IFERROR(MIN(C5360,Eingaben!$B$17)*Eingaben!$B$16,0)</f>
        <v>1.938</v>
      </c>
      <c r="F5360" s="13" t="n">
        <f aca="false">IFERROR(E5360*Eingaben!$B$15,0)</f>
        <v>1.7442</v>
      </c>
      <c r="G5360" s="13" t="n">
        <f aca="false">IFERROR(IF(Kalender!A236="",0,J5359*(1-Eingaben!$B$20)),0)</f>
        <v>1.709316</v>
      </c>
      <c r="H5360" s="13" t="n">
        <f aca="false">MIN(G5360,D5360)</f>
        <v>0.89</v>
      </c>
      <c r="I5360" s="13" t="n">
        <f aca="false">IFERROR(MIN(F5360*Eingaben!$B$19,MAX(0,D5360-H5360)),0)</f>
        <v>0</v>
      </c>
      <c r="J5360" s="13" t="n">
        <f aca="false">IFERROR(MIN(Eingaben!$B$18,MAX(0,F5360-I5360)),0)</f>
        <v>1.7442</v>
      </c>
      <c r="K5360" s="13" t="n">
        <f aca="false">H5360+I5360</f>
        <v>0.89</v>
      </c>
      <c r="L5360" s="13" t="n">
        <f aca="false">MAX(0,D5360-K5360)</f>
        <v>0</v>
      </c>
      <c r="M5360" s="13" t="n">
        <f aca="false">MAX(0,F5360-I5360-J5360)</f>
        <v>0</v>
      </c>
      <c r="N5360" s="13" t="n">
        <f aca="false">IF(Kalender!A236="",0,J5359-H5360)</f>
        <v>0.8542</v>
      </c>
    </row>
    <row r="5361" customFormat="false" ht="16.4" hidden="false" customHeight="false" outlineLevel="0" collapsed="false">
      <c r="A5361" s="13" t="str">
        <f aca="false">""</f>
        <v/>
      </c>
      <c r="B5361" s="13" t="n">
        <f aca="false">233</f>
        <v>233</v>
      </c>
      <c r="C5361" s="13" t="n">
        <f aca="false">IF(Szenarien!$H$25="OK",(IFERROR(SUMIF(Nutzungsprofile!$B$6:$B$11,"Schulbetrieb",Nutzungsprofile!$G$6:$G$11)*Kalender!C237/SUM(Kalender!$C$5:$C$370),0)+IFERROR(SUMIF(Nutzungsprofile!$B$6:$B$11,"Halle",Nutzungsprofile!$G$6:$G$11)*Kalender!D237/SUM(Kalender!$D$5:$D$370),0)+IFERROR(SUMIF(Nutzungsprofile!$B$6:$B$11,"Individuell",Nutzungsprofile!$G$6:$G$11)*Kalender!E237/SUM(Kalender!$E$5:$E$370),0))*Szenarien!$E$25,0)</f>
        <v>2.04</v>
      </c>
      <c r="D5361" s="13" t="n">
        <f aca="false">IF(Szenarien!$H$25="OK",(IFERROR(SUMIF(Nutzungsprofile!$B$17:$B$22,"Schulbetrieb",Nutzungsprofile!$G$17:$G$22)*Kalender!C237/SUM(Kalender!$C$5:$C$370),0)+IFERROR(SUMIF(Nutzungsprofile!$B$17:$B$22,"Halle",Nutzungsprofile!$G$17:$G$22)*Kalender!D237/SUM(Kalender!$D$5:$D$370),0)+IFERROR(SUMIF(Nutzungsprofile!$B$17:$B$22,"Individuell",Nutzungsprofile!$G$17:$G$22)*Kalender!E237/SUM(Kalender!$E$5:$E$370),0))*Szenarien!$D$25,0)</f>
        <v>0.89</v>
      </c>
      <c r="E5361" s="13" t="n">
        <f aca="false">IFERROR(MIN(C5361,Eingaben!$B$17)*Eingaben!$B$16,0)</f>
        <v>1.938</v>
      </c>
      <c r="F5361" s="13" t="n">
        <f aca="false">IFERROR(E5361*Eingaben!$B$15,0)</f>
        <v>1.7442</v>
      </c>
      <c r="G5361" s="13" t="n">
        <f aca="false">IFERROR(IF(Kalender!A237="",0,J5360*(1-Eingaben!$B$20)),0)</f>
        <v>1.709316</v>
      </c>
      <c r="H5361" s="13" t="n">
        <f aca="false">MIN(G5361,D5361)</f>
        <v>0.89</v>
      </c>
      <c r="I5361" s="13" t="n">
        <f aca="false">IFERROR(MIN(F5361*Eingaben!$B$19,MAX(0,D5361-H5361)),0)</f>
        <v>0</v>
      </c>
      <c r="J5361" s="13" t="n">
        <f aca="false">IFERROR(MIN(Eingaben!$B$18,MAX(0,F5361-I5361)),0)</f>
        <v>1.7442</v>
      </c>
      <c r="K5361" s="13" t="n">
        <f aca="false">H5361+I5361</f>
        <v>0.89</v>
      </c>
      <c r="L5361" s="13" t="n">
        <f aca="false">MAX(0,D5361-K5361)</f>
        <v>0</v>
      </c>
      <c r="M5361" s="13" t="n">
        <f aca="false">MAX(0,F5361-I5361-J5361)</f>
        <v>0</v>
      </c>
      <c r="N5361" s="13" t="n">
        <f aca="false">IF(Kalender!A237="",0,J5360-H5361)</f>
        <v>0.8542</v>
      </c>
    </row>
    <row r="5362" customFormat="false" ht="16.4" hidden="false" customHeight="false" outlineLevel="0" collapsed="false">
      <c r="A5362" s="13" t="str">
        <f aca="false">""</f>
        <v/>
      </c>
      <c r="B5362" s="13" t="n">
        <f aca="false">234</f>
        <v>234</v>
      </c>
      <c r="C5362" s="13" t="n">
        <f aca="false">IF(Szenarien!$H$25="OK",(IFERROR(SUMIF(Nutzungsprofile!$B$6:$B$11,"Schulbetrieb",Nutzungsprofile!$G$6:$G$11)*Kalender!C238/SUM(Kalender!$C$5:$C$370),0)+IFERROR(SUMIF(Nutzungsprofile!$B$6:$B$11,"Halle",Nutzungsprofile!$G$6:$G$11)*Kalender!D238/SUM(Kalender!$D$5:$D$370),0)+IFERROR(SUMIF(Nutzungsprofile!$B$6:$B$11,"Individuell",Nutzungsprofile!$G$6:$G$11)*Kalender!E238/SUM(Kalender!$E$5:$E$370),0))*Szenarien!$E$25,0)</f>
        <v>2.04</v>
      </c>
      <c r="D5362" s="13" t="n">
        <f aca="false">IF(Szenarien!$H$25="OK",(IFERROR(SUMIF(Nutzungsprofile!$B$17:$B$22,"Schulbetrieb",Nutzungsprofile!$G$17:$G$22)*Kalender!C238/SUM(Kalender!$C$5:$C$370),0)+IFERROR(SUMIF(Nutzungsprofile!$B$17:$B$22,"Halle",Nutzungsprofile!$G$17:$G$22)*Kalender!D238/SUM(Kalender!$D$5:$D$370),0)+IFERROR(SUMIF(Nutzungsprofile!$B$17:$B$22,"Individuell",Nutzungsprofile!$G$17:$G$22)*Kalender!E238/SUM(Kalender!$E$5:$E$370),0))*Szenarien!$D$25,0)</f>
        <v>0.89</v>
      </c>
      <c r="E5362" s="13" t="n">
        <f aca="false">IFERROR(MIN(C5362,Eingaben!$B$17)*Eingaben!$B$16,0)</f>
        <v>1.938</v>
      </c>
      <c r="F5362" s="13" t="n">
        <f aca="false">IFERROR(E5362*Eingaben!$B$15,0)</f>
        <v>1.7442</v>
      </c>
      <c r="G5362" s="13" t="n">
        <f aca="false">IFERROR(IF(Kalender!A238="",0,J5361*(1-Eingaben!$B$20)),0)</f>
        <v>1.709316</v>
      </c>
      <c r="H5362" s="13" t="n">
        <f aca="false">MIN(G5362,D5362)</f>
        <v>0.89</v>
      </c>
      <c r="I5362" s="13" t="n">
        <f aca="false">IFERROR(MIN(F5362*Eingaben!$B$19,MAX(0,D5362-H5362)),0)</f>
        <v>0</v>
      </c>
      <c r="J5362" s="13" t="n">
        <f aca="false">IFERROR(MIN(Eingaben!$B$18,MAX(0,F5362-I5362)),0)</f>
        <v>1.7442</v>
      </c>
      <c r="K5362" s="13" t="n">
        <f aca="false">H5362+I5362</f>
        <v>0.89</v>
      </c>
      <c r="L5362" s="13" t="n">
        <f aca="false">MAX(0,D5362-K5362)</f>
        <v>0</v>
      </c>
      <c r="M5362" s="13" t="n">
        <f aca="false">MAX(0,F5362-I5362-J5362)</f>
        <v>0</v>
      </c>
      <c r="N5362" s="13" t="n">
        <f aca="false">IF(Kalender!A238="",0,J5361-H5362)</f>
        <v>0.8542</v>
      </c>
    </row>
    <row r="5363" customFormat="false" ht="16.4" hidden="false" customHeight="false" outlineLevel="0" collapsed="false">
      <c r="A5363" s="13" t="str">
        <f aca="false">""</f>
        <v/>
      </c>
      <c r="B5363" s="13" t="n">
        <f aca="false">235</f>
        <v>235</v>
      </c>
      <c r="C5363" s="13" t="n">
        <f aca="false">IF(Szenarien!$H$25="OK",(IFERROR(SUMIF(Nutzungsprofile!$B$6:$B$11,"Schulbetrieb",Nutzungsprofile!$G$6:$G$11)*Kalender!C239/SUM(Kalender!$C$5:$C$370),0)+IFERROR(SUMIF(Nutzungsprofile!$B$6:$B$11,"Halle",Nutzungsprofile!$G$6:$G$11)*Kalender!D239/SUM(Kalender!$D$5:$D$370),0)+IFERROR(SUMIF(Nutzungsprofile!$B$6:$B$11,"Individuell",Nutzungsprofile!$G$6:$G$11)*Kalender!E239/SUM(Kalender!$E$5:$E$370),0))*Szenarien!$E$25,0)</f>
        <v>2.04</v>
      </c>
      <c r="D5363" s="13" t="n">
        <f aca="false">IF(Szenarien!$H$25="OK",(IFERROR(SUMIF(Nutzungsprofile!$B$17:$B$22,"Schulbetrieb",Nutzungsprofile!$G$17:$G$22)*Kalender!C239/SUM(Kalender!$C$5:$C$370),0)+IFERROR(SUMIF(Nutzungsprofile!$B$17:$B$22,"Halle",Nutzungsprofile!$G$17:$G$22)*Kalender!D239/SUM(Kalender!$D$5:$D$370),0)+IFERROR(SUMIF(Nutzungsprofile!$B$17:$B$22,"Individuell",Nutzungsprofile!$G$17:$G$22)*Kalender!E239/SUM(Kalender!$E$5:$E$370),0))*Szenarien!$D$25,0)</f>
        <v>0.89</v>
      </c>
      <c r="E5363" s="13" t="n">
        <f aca="false">IFERROR(MIN(C5363,Eingaben!$B$17)*Eingaben!$B$16,0)</f>
        <v>1.938</v>
      </c>
      <c r="F5363" s="13" t="n">
        <f aca="false">IFERROR(E5363*Eingaben!$B$15,0)</f>
        <v>1.7442</v>
      </c>
      <c r="G5363" s="13" t="n">
        <f aca="false">IFERROR(IF(Kalender!A239="",0,J5362*(1-Eingaben!$B$20)),0)</f>
        <v>1.709316</v>
      </c>
      <c r="H5363" s="13" t="n">
        <f aca="false">MIN(G5363,D5363)</f>
        <v>0.89</v>
      </c>
      <c r="I5363" s="13" t="n">
        <f aca="false">IFERROR(MIN(F5363*Eingaben!$B$19,MAX(0,D5363-H5363)),0)</f>
        <v>0</v>
      </c>
      <c r="J5363" s="13" t="n">
        <f aca="false">IFERROR(MIN(Eingaben!$B$18,MAX(0,F5363-I5363)),0)</f>
        <v>1.7442</v>
      </c>
      <c r="K5363" s="13" t="n">
        <f aca="false">H5363+I5363</f>
        <v>0.89</v>
      </c>
      <c r="L5363" s="13" t="n">
        <f aca="false">MAX(0,D5363-K5363)</f>
        <v>0</v>
      </c>
      <c r="M5363" s="13" t="n">
        <f aca="false">MAX(0,F5363-I5363-J5363)</f>
        <v>0</v>
      </c>
      <c r="N5363" s="13" t="n">
        <f aca="false">IF(Kalender!A239="",0,J5362-H5363)</f>
        <v>0.8542</v>
      </c>
    </row>
    <row r="5364" customFormat="false" ht="16.4" hidden="false" customHeight="false" outlineLevel="0" collapsed="false">
      <c r="A5364" s="13" t="str">
        <f aca="false">""</f>
        <v/>
      </c>
      <c r="B5364" s="13" t="n">
        <f aca="false">236</f>
        <v>236</v>
      </c>
      <c r="C5364" s="13" t="n">
        <f aca="false">IF(Szenarien!$H$25="OK",(IFERROR(SUMIF(Nutzungsprofile!$B$6:$B$11,"Schulbetrieb",Nutzungsprofile!$G$6:$G$11)*Kalender!C240/SUM(Kalender!$C$5:$C$370),0)+IFERROR(SUMIF(Nutzungsprofile!$B$6:$B$11,"Halle",Nutzungsprofile!$G$6:$G$11)*Kalender!D240/SUM(Kalender!$D$5:$D$370),0)+IFERROR(SUMIF(Nutzungsprofile!$B$6:$B$11,"Individuell",Nutzungsprofile!$G$6:$G$11)*Kalender!E240/SUM(Kalender!$E$5:$E$370),0))*Szenarien!$E$25,0)</f>
        <v>2.04</v>
      </c>
      <c r="D5364" s="13" t="n">
        <f aca="false">IF(Szenarien!$H$25="OK",(IFERROR(SUMIF(Nutzungsprofile!$B$17:$B$22,"Schulbetrieb",Nutzungsprofile!$G$17:$G$22)*Kalender!C240/SUM(Kalender!$C$5:$C$370),0)+IFERROR(SUMIF(Nutzungsprofile!$B$17:$B$22,"Halle",Nutzungsprofile!$G$17:$G$22)*Kalender!D240/SUM(Kalender!$D$5:$D$370),0)+IFERROR(SUMIF(Nutzungsprofile!$B$17:$B$22,"Individuell",Nutzungsprofile!$G$17:$G$22)*Kalender!E240/SUM(Kalender!$E$5:$E$370),0))*Szenarien!$D$25,0)</f>
        <v>0.89</v>
      </c>
      <c r="E5364" s="13" t="n">
        <f aca="false">IFERROR(MIN(C5364,Eingaben!$B$17)*Eingaben!$B$16,0)</f>
        <v>1.938</v>
      </c>
      <c r="F5364" s="13" t="n">
        <f aca="false">IFERROR(E5364*Eingaben!$B$15,0)</f>
        <v>1.7442</v>
      </c>
      <c r="G5364" s="13" t="n">
        <f aca="false">IFERROR(IF(Kalender!A240="",0,J5363*(1-Eingaben!$B$20)),0)</f>
        <v>1.709316</v>
      </c>
      <c r="H5364" s="13" t="n">
        <f aca="false">MIN(G5364,D5364)</f>
        <v>0.89</v>
      </c>
      <c r="I5364" s="13" t="n">
        <f aca="false">IFERROR(MIN(F5364*Eingaben!$B$19,MAX(0,D5364-H5364)),0)</f>
        <v>0</v>
      </c>
      <c r="J5364" s="13" t="n">
        <f aca="false">IFERROR(MIN(Eingaben!$B$18,MAX(0,F5364-I5364)),0)</f>
        <v>1.7442</v>
      </c>
      <c r="K5364" s="13" t="n">
        <f aca="false">H5364+I5364</f>
        <v>0.89</v>
      </c>
      <c r="L5364" s="13" t="n">
        <f aca="false">MAX(0,D5364-K5364)</f>
        <v>0</v>
      </c>
      <c r="M5364" s="13" t="n">
        <f aca="false">MAX(0,F5364-I5364-J5364)</f>
        <v>0</v>
      </c>
      <c r="N5364" s="13" t="n">
        <f aca="false">IF(Kalender!A240="",0,J5363-H5364)</f>
        <v>0.8542</v>
      </c>
    </row>
    <row r="5365" customFormat="false" ht="16.4" hidden="false" customHeight="false" outlineLevel="0" collapsed="false">
      <c r="A5365" s="13" t="str">
        <f aca="false">""</f>
        <v/>
      </c>
      <c r="B5365" s="13" t="n">
        <f aca="false">237</f>
        <v>237</v>
      </c>
      <c r="C5365" s="13" t="n">
        <f aca="false">IF(Szenarien!$H$25="OK",(IFERROR(SUMIF(Nutzungsprofile!$B$6:$B$11,"Schulbetrieb",Nutzungsprofile!$G$6:$G$11)*Kalender!C241/SUM(Kalender!$C$5:$C$370),0)+IFERROR(SUMIF(Nutzungsprofile!$B$6:$B$11,"Halle",Nutzungsprofile!$G$6:$G$11)*Kalender!D241/SUM(Kalender!$D$5:$D$370),0)+IFERROR(SUMIF(Nutzungsprofile!$B$6:$B$11,"Individuell",Nutzungsprofile!$G$6:$G$11)*Kalender!E241/SUM(Kalender!$E$5:$E$370),0))*Szenarien!$E$25,0)</f>
        <v>2.04</v>
      </c>
      <c r="D5365" s="13" t="n">
        <f aca="false">IF(Szenarien!$H$25="OK",(IFERROR(SUMIF(Nutzungsprofile!$B$17:$B$22,"Schulbetrieb",Nutzungsprofile!$G$17:$G$22)*Kalender!C241/SUM(Kalender!$C$5:$C$370),0)+IFERROR(SUMIF(Nutzungsprofile!$B$17:$B$22,"Halle",Nutzungsprofile!$G$17:$G$22)*Kalender!D241/SUM(Kalender!$D$5:$D$370),0)+IFERROR(SUMIF(Nutzungsprofile!$B$17:$B$22,"Individuell",Nutzungsprofile!$G$17:$G$22)*Kalender!E241/SUM(Kalender!$E$5:$E$370),0))*Szenarien!$D$25,0)</f>
        <v>0.89</v>
      </c>
      <c r="E5365" s="13" t="n">
        <f aca="false">IFERROR(MIN(C5365,Eingaben!$B$17)*Eingaben!$B$16,0)</f>
        <v>1.938</v>
      </c>
      <c r="F5365" s="13" t="n">
        <f aca="false">IFERROR(E5365*Eingaben!$B$15,0)</f>
        <v>1.7442</v>
      </c>
      <c r="G5365" s="13" t="n">
        <f aca="false">IFERROR(IF(Kalender!A241="",0,J5364*(1-Eingaben!$B$20)),0)</f>
        <v>1.709316</v>
      </c>
      <c r="H5365" s="13" t="n">
        <f aca="false">MIN(G5365,D5365)</f>
        <v>0.89</v>
      </c>
      <c r="I5365" s="13" t="n">
        <f aca="false">IFERROR(MIN(F5365*Eingaben!$B$19,MAX(0,D5365-H5365)),0)</f>
        <v>0</v>
      </c>
      <c r="J5365" s="13" t="n">
        <f aca="false">IFERROR(MIN(Eingaben!$B$18,MAX(0,F5365-I5365)),0)</f>
        <v>1.7442</v>
      </c>
      <c r="K5365" s="13" t="n">
        <f aca="false">H5365+I5365</f>
        <v>0.89</v>
      </c>
      <c r="L5365" s="13" t="n">
        <f aca="false">MAX(0,D5365-K5365)</f>
        <v>0</v>
      </c>
      <c r="M5365" s="13" t="n">
        <f aca="false">MAX(0,F5365-I5365-J5365)</f>
        <v>0</v>
      </c>
      <c r="N5365" s="13" t="n">
        <f aca="false">IF(Kalender!A241="",0,J5364-H5365)</f>
        <v>0.8542</v>
      </c>
    </row>
    <row r="5366" customFormat="false" ht="16.4" hidden="false" customHeight="false" outlineLevel="0" collapsed="false">
      <c r="A5366" s="13" t="str">
        <f aca="false">""</f>
        <v/>
      </c>
      <c r="B5366" s="13" t="n">
        <f aca="false">238</f>
        <v>238</v>
      </c>
      <c r="C5366" s="13" t="n">
        <f aca="false">IF(Szenarien!$H$25="OK",(IFERROR(SUMIF(Nutzungsprofile!$B$6:$B$11,"Schulbetrieb",Nutzungsprofile!$G$6:$G$11)*Kalender!C242/SUM(Kalender!$C$5:$C$370),0)+IFERROR(SUMIF(Nutzungsprofile!$B$6:$B$11,"Halle",Nutzungsprofile!$G$6:$G$11)*Kalender!D242/SUM(Kalender!$D$5:$D$370),0)+IFERROR(SUMIF(Nutzungsprofile!$B$6:$B$11,"Individuell",Nutzungsprofile!$G$6:$G$11)*Kalender!E242/SUM(Kalender!$E$5:$E$370),0))*Szenarien!$E$25,0)</f>
        <v>2.04</v>
      </c>
      <c r="D5366" s="13" t="n">
        <f aca="false">IF(Szenarien!$H$25="OK",(IFERROR(SUMIF(Nutzungsprofile!$B$17:$B$22,"Schulbetrieb",Nutzungsprofile!$G$17:$G$22)*Kalender!C242/SUM(Kalender!$C$5:$C$370),0)+IFERROR(SUMIF(Nutzungsprofile!$B$17:$B$22,"Halle",Nutzungsprofile!$G$17:$G$22)*Kalender!D242/SUM(Kalender!$D$5:$D$370),0)+IFERROR(SUMIF(Nutzungsprofile!$B$17:$B$22,"Individuell",Nutzungsprofile!$G$17:$G$22)*Kalender!E242/SUM(Kalender!$E$5:$E$370),0))*Szenarien!$D$25,0)</f>
        <v>0.89</v>
      </c>
      <c r="E5366" s="13" t="n">
        <f aca="false">IFERROR(MIN(C5366,Eingaben!$B$17)*Eingaben!$B$16,0)</f>
        <v>1.938</v>
      </c>
      <c r="F5366" s="13" t="n">
        <f aca="false">IFERROR(E5366*Eingaben!$B$15,0)</f>
        <v>1.7442</v>
      </c>
      <c r="G5366" s="13" t="n">
        <f aca="false">IFERROR(IF(Kalender!A242="",0,J5365*(1-Eingaben!$B$20)),0)</f>
        <v>1.709316</v>
      </c>
      <c r="H5366" s="13" t="n">
        <f aca="false">MIN(G5366,D5366)</f>
        <v>0.89</v>
      </c>
      <c r="I5366" s="13" t="n">
        <f aca="false">IFERROR(MIN(F5366*Eingaben!$B$19,MAX(0,D5366-H5366)),0)</f>
        <v>0</v>
      </c>
      <c r="J5366" s="13" t="n">
        <f aca="false">IFERROR(MIN(Eingaben!$B$18,MAX(0,F5366-I5366)),0)</f>
        <v>1.7442</v>
      </c>
      <c r="K5366" s="13" t="n">
        <f aca="false">H5366+I5366</f>
        <v>0.89</v>
      </c>
      <c r="L5366" s="13" t="n">
        <f aca="false">MAX(0,D5366-K5366)</f>
        <v>0</v>
      </c>
      <c r="M5366" s="13" t="n">
        <f aca="false">MAX(0,F5366-I5366-J5366)</f>
        <v>0</v>
      </c>
      <c r="N5366" s="13" t="n">
        <f aca="false">IF(Kalender!A242="",0,J5365-H5366)</f>
        <v>0.8542</v>
      </c>
    </row>
    <row r="5367" customFormat="false" ht="16.4" hidden="false" customHeight="false" outlineLevel="0" collapsed="false">
      <c r="A5367" s="13" t="str">
        <f aca="false">""</f>
        <v/>
      </c>
      <c r="B5367" s="13" t="n">
        <f aca="false">239</f>
        <v>239</v>
      </c>
      <c r="C5367" s="13" t="n">
        <f aca="false">IF(Szenarien!$H$25="OK",(IFERROR(SUMIF(Nutzungsprofile!$B$6:$B$11,"Schulbetrieb",Nutzungsprofile!$G$6:$G$11)*Kalender!C243/SUM(Kalender!$C$5:$C$370),0)+IFERROR(SUMIF(Nutzungsprofile!$B$6:$B$11,"Halle",Nutzungsprofile!$G$6:$G$11)*Kalender!D243/SUM(Kalender!$D$5:$D$370),0)+IFERROR(SUMIF(Nutzungsprofile!$B$6:$B$11,"Individuell",Nutzungsprofile!$G$6:$G$11)*Kalender!E243/SUM(Kalender!$E$5:$E$370),0))*Szenarien!$E$25,0)</f>
        <v>2.04</v>
      </c>
      <c r="D5367" s="13" t="n">
        <f aca="false">IF(Szenarien!$H$25="OK",(IFERROR(SUMIF(Nutzungsprofile!$B$17:$B$22,"Schulbetrieb",Nutzungsprofile!$G$17:$G$22)*Kalender!C243/SUM(Kalender!$C$5:$C$370),0)+IFERROR(SUMIF(Nutzungsprofile!$B$17:$B$22,"Halle",Nutzungsprofile!$G$17:$G$22)*Kalender!D243/SUM(Kalender!$D$5:$D$370),0)+IFERROR(SUMIF(Nutzungsprofile!$B$17:$B$22,"Individuell",Nutzungsprofile!$G$17:$G$22)*Kalender!E243/SUM(Kalender!$E$5:$E$370),0))*Szenarien!$D$25,0)</f>
        <v>0.89</v>
      </c>
      <c r="E5367" s="13" t="n">
        <f aca="false">IFERROR(MIN(C5367,Eingaben!$B$17)*Eingaben!$B$16,0)</f>
        <v>1.938</v>
      </c>
      <c r="F5367" s="13" t="n">
        <f aca="false">IFERROR(E5367*Eingaben!$B$15,0)</f>
        <v>1.7442</v>
      </c>
      <c r="G5367" s="13" t="n">
        <f aca="false">IFERROR(IF(Kalender!A243="",0,J5366*(1-Eingaben!$B$20)),0)</f>
        <v>1.709316</v>
      </c>
      <c r="H5367" s="13" t="n">
        <f aca="false">MIN(G5367,D5367)</f>
        <v>0.89</v>
      </c>
      <c r="I5367" s="13" t="n">
        <f aca="false">IFERROR(MIN(F5367*Eingaben!$B$19,MAX(0,D5367-H5367)),0)</f>
        <v>0</v>
      </c>
      <c r="J5367" s="13" t="n">
        <f aca="false">IFERROR(MIN(Eingaben!$B$18,MAX(0,F5367-I5367)),0)</f>
        <v>1.7442</v>
      </c>
      <c r="K5367" s="13" t="n">
        <f aca="false">H5367+I5367</f>
        <v>0.89</v>
      </c>
      <c r="L5367" s="13" t="n">
        <f aca="false">MAX(0,D5367-K5367)</f>
        <v>0</v>
      </c>
      <c r="M5367" s="13" t="n">
        <f aca="false">MAX(0,F5367-I5367-J5367)</f>
        <v>0</v>
      </c>
      <c r="N5367" s="13" t="n">
        <f aca="false">IF(Kalender!A243="",0,J5366-H5367)</f>
        <v>0.8542</v>
      </c>
    </row>
    <row r="5368" customFormat="false" ht="16.4" hidden="false" customHeight="false" outlineLevel="0" collapsed="false">
      <c r="A5368" s="13" t="str">
        <f aca="false">""</f>
        <v/>
      </c>
      <c r="B5368" s="13" t="n">
        <f aca="false">240</f>
        <v>240</v>
      </c>
      <c r="C5368" s="13" t="n">
        <f aca="false">IF(Szenarien!$H$25="OK",(IFERROR(SUMIF(Nutzungsprofile!$B$6:$B$11,"Schulbetrieb",Nutzungsprofile!$G$6:$G$11)*Kalender!C244/SUM(Kalender!$C$5:$C$370),0)+IFERROR(SUMIF(Nutzungsprofile!$B$6:$B$11,"Halle",Nutzungsprofile!$G$6:$G$11)*Kalender!D244/SUM(Kalender!$D$5:$D$370),0)+IFERROR(SUMIF(Nutzungsprofile!$B$6:$B$11,"Individuell",Nutzungsprofile!$G$6:$G$11)*Kalender!E244/SUM(Kalender!$E$5:$E$370),0))*Szenarien!$E$25,0)</f>
        <v>2.04</v>
      </c>
      <c r="D5368" s="13" t="n">
        <f aca="false">IF(Szenarien!$H$25="OK",(IFERROR(SUMIF(Nutzungsprofile!$B$17:$B$22,"Schulbetrieb",Nutzungsprofile!$G$17:$G$22)*Kalender!C244/SUM(Kalender!$C$5:$C$370),0)+IFERROR(SUMIF(Nutzungsprofile!$B$17:$B$22,"Halle",Nutzungsprofile!$G$17:$G$22)*Kalender!D244/SUM(Kalender!$D$5:$D$370),0)+IFERROR(SUMIF(Nutzungsprofile!$B$17:$B$22,"Individuell",Nutzungsprofile!$G$17:$G$22)*Kalender!E244/SUM(Kalender!$E$5:$E$370),0))*Szenarien!$D$25,0)</f>
        <v>0.89</v>
      </c>
      <c r="E5368" s="13" t="n">
        <f aca="false">IFERROR(MIN(C5368,Eingaben!$B$17)*Eingaben!$B$16,0)</f>
        <v>1.938</v>
      </c>
      <c r="F5368" s="13" t="n">
        <f aca="false">IFERROR(E5368*Eingaben!$B$15,0)</f>
        <v>1.7442</v>
      </c>
      <c r="G5368" s="13" t="n">
        <f aca="false">IFERROR(IF(Kalender!A244="",0,J5367*(1-Eingaben!$B$20)),0)</f>
        <v>1.709316</v>
      </c>
      <c r="H5368" s="13" t="n">
        <f aca="false">MIN(G5368,D5368)</f>
        <v>0.89</v>
      </c>
      <c r="I5368" s="13" t="n">
        <f aca="false">IFERROR(MIN(F5368*Eingaben!$B$19,MAX(0,D5368-H5368)),0)</f>
        <v>0</v>
      </c>
      <c r="J5368" s="13" t="n">
        <f aca="false">IFERROR(MIN(Eingaben!$B$18,MAX(0,F5368-I5368)),0)</f>
        <v>1.7442</v>
      </c>
      <c r="K5368" s="13" t="n">
        <f aca="false">H5368+I5368</f>
        <v>0.89</v>
      </c>
      <c r="L5368" s="13" t="n">
        <f aca="false">MAX(0,D5368-K5368)</f>
        <v>0</v>
      </c>
      <c r="M5368" s="13" t="n">
        <f aca="false">MAX(0,F5368-I5368-J5368)</f>
        <v>0</v>
      </c>
      <c r="N5368" s="13" t="n">
        <f aca="false">IF(Kalender!A244="",0,J5367-H5368)</f>
        <v>0.8542</v>
      </c>
    </row>
    <row r="5369" customFormat="false" ht="16.4" hidden="false" customHeight="false" outlineLevel="0" collapsed="false">
      <c r="A5369" s="13" t="str">
        <f aca="false">""</f>
        <v/>
      </c>
      <c r="B5369" s="13" t="n">
        <f aca="false">241</f>
        <v>241</v>
      </c>
      <c r="C5369" s="13" t="n">
        <f aca="false">IF(Szenarien!$H$25="OK",(IFERROR(SUMIF(Nutzungsprofile!$B$6:$B$11,"Schulbetrieb",Nutzungsprofile!$G$6:$G$11)*Kalender!C245/SUM(Kalender!$C$5:$C$370),0)+IFERROR(SUMIF(Nutzungsprofile!$B$6:$B$11,"Halle",Nutzungsprofile!$G$6:$G$11)*Kalender!D245/SUM(Kalender!$D$5:$D$370),0)+IFERROR(SUMIF(Nutzungsprofile!$B$6:$B$11,"Individuell",Nutzungsprofile!$G$6:$G$11)*Kalender!E245/SUM(Kalender!$E$5:$E$370),0))*Szenarien!$E$25,0)</f>
        <v>2.04</v>
      </c>
      <c r="D5369" s="13" t="n">
        <f aca="false">IF(Szenarien!$H$25="OK",(IFERROR(SUMIF(Nutzungsprofile!$B$17:$B$22,"Schulbetrieb",Nutzungsprofile!$G$17:$G$22)*Kalender!C245/SUM(Kalender!$C$5:$C$370),0)+IFERROR(SUMIF(Nutzungsprofile!$B$17:$B$22,"Halle",Nutzungsprofile!$G$17:$G$22)*Kalender!D245/SUM(Kalender!$D$5:$D$370),0)+IFERROR(SUMIF(Nutzungsprofile!$B$17:$B$22,"Individuell",Nutzungsprofile!$G$17:$G$22)*Kalender!E245/SUM(Kalender!$E$5:$E$370),0))*Szenarien!$D$25,0)</f>
        <v>0.89</v>
      </c>
      <c r="E5369" s="13" t="n">
        <f aca="false">IFERROR(MIN(C5369,Eingaben!$B$17)*Eingaben!$B$16,0)</f>
        <v>1.938</v>
      </c>
      <c r="F5369" s="13" t="n">
        <f aca="false">IFERROR(E5369*Eingaben!$B$15,0)</f>
        <v>1.7442</v>
      </c>
      <c r="G5369" s="13" t="n">
        <f aca="false">IFERROR(IF(Kalender!A245="",0,J5368*(1-Eingaben!$B$20)),0)</f>
        <v>1.709316</v>
      </c>
      <c r="H5369" s="13" t="n">
        <f aca="false">MIN(G5369,D5369)</f>
        <v>0.89</v>
      </c>
      <c r="I5369" s="13" t="n">
        <f aca="false">IFERROR(MIN(F5369*Eingaben!$B$19,MAX(0,D5369-H5369)),0)</f>
        <v>0</v>
      </c>
      <c r="J5369" s="13" t="n">
        <f aca="false">IFERROR(MIN(Eingaben!$B$18,MAX(0,F5369-I5369)),0)</f>
        <v>1.7442</v>
      </c>
      <c r="K5369" s="13" t="n">
        <f aca="false">H5369+I5369</f>
        <v>0.89</v>
      </c>
      <c r="L5369" s="13" t="n">
        <f aca="false">MAX(0,D5369-K5369)</f>
        <v>0</v>
      </c>
      <c r="M5369" s="13" t="n">
        <f aca="false">MAX(0,F5369-I5369-J5369)</f>
        <v>0</v>
      </c>
      <c r="N5369" s="13" t="n">
        <f aca="false">IF(Kalender!A245="",0,J5368-H5369)</f>
        <v>0.8542</v>
      </c>
    </row>
    <row r="5370" customFormat="false" ht="16.4" hidden="false" customHeight="false" outlineLevel="0" collapsed="false">
      <c r="A5370" s="13" t="str">
        <f aca="false">""</f>
        <v/>
      </c>
      <c r="B5370" s="13" t="n">
        <f aca="false">242</f>
        <v>242</v>
      </c>
      <c r="C5370" s="13" t="n">
        <f aca="false">IF(Szenarien!$H$25="OK",(IFERROR(SUMIF(Nutzungsprofile!$B$6:$B$11,"Schulbetrieb",Nutzungsprofile!$G$6:$G$11)*Kalender!C246/SUM(Kalender!$C$5:$C$370),0)+IFERROR(SUMIF(Nutzungsprofile!$B$6:$B$11,"Halle",Nutzungsprofile!$G$6:$G$11)*Kalender!D246/SUM(Kalender!$D$5:$D$370),0)+IFERROR(SUMIF(Nutzungsprofile!$B$6:$B$11,"Individuell",Nutzungsprofile!$G$6:$G$11)*Kalender!E246/SUM(Kalender!$E$5:$E$370),0))*Szenarien!$E$25,0)</f>
        <v>2.04</v>
      </c>
      <c r="D5370" s="13" t="n">
        <f aca="false">IF(Szenarien!$H$25="OK",(IFERROR(SUMIF(Nutzungsprofile!$B$17:$B$22,"Schulbetrieb",Nutzungsprofile!$G$17:$G$22)*Kalender!C246/SUM(Kalender!$C$5:$C$370),0)+IFERROR(SUMIF(Nutzungsprofile!$B$17:$B$22,"Halle",Nutzungsprofile!$G$17:$G$22)*Kalender!D246/SUM(Kalender!$D$5:$D$370),0)+IFERROR(SUMIF(Nutzungsprofile!$B$17:$B$22,"Individuell",Nutzungsprofile!$G$17:$G$22)*Kalender!E246/SUM(Kalender!$E$5:$E$370),0))*Szenarien!$D$25,0)</f>
        <v>0.89</v>
      </c>
      <c r="E5370" s="13" t="n">
        <f aca="false">IFERROR(MIN(C5370,Eingaben!$B$17)*Eingaben!$B$16,0)</f>
        <v>1.938</v>
      </c>
      <c r="F5370" s="13" t="n">
        <f aca="false">IFERROR(E5370*Eingaben!$B$15,0)</f>
        <v>1.7442</v>
      </c>
      <c r="G5370" s="13" t="n">
        <f aca="false">IFERROR(IF(Kalender!A246="",0,J5369*(1-Eingaben!$B$20)),0)</f>
        <v>1.709316</v>
      </c>
      <c r="H5370" s="13" t="n">
        <f aca="false">MIN(G5370,D5370)</f>
        <v>0.89</v>
      </c>
      <c r="I5370" s="13" t="n">
        <f aca="false">IFERROR(MIN(F5370*Eingaben!$B$19,MAX(0,D5370-H5370)),0)</f>
        <v>0</v>
      </c>
      <c r="J5370" s="13" t="n">
        <f aca="false">IFERROR(MIN(Eingaben!$B$18,MAX(0,F5370-I5370)),0)</f>
        <v>1.7442</v>
      </c>
      <c r="K5370" s="13" t="n">
        <f aca="false">H5370+I5370</f>
        <v>0.89</v>
      </c>
      <c r="L5370" s="13" t="n">
        <f aca="false">MAX(0,D5370-K5370)</f>
        <v>0</v>
      </c>
      <c r="M5370" s="13" t="n">
        <f aca="false">MAX(0,F5370-I5370-J5370)</f>
        <v>0</v>
      </c>
      <c r="N5370" s="13" t="n">
        <f aca="false">IF(Kalender!A246="",0,J5369-H5370)</f>
        <v>0.8542</v>
      </c>
    </row>
    <row r="5371" customFormat="false" ht="16.4" hidden="false" customHeight="false" outlineLevel="0" collapsed="false">
      <c r="A5371" s="13" t="str">
        <f aca="false">""</f>
        <v/>
      </c>
      <c r="B5371" s="13" t="n">
        <f aca="false">243</f>
        <v>243</v>
      </c>
      <c r="C5371" s="13" t="n">
        <f aca="false">IF(Szenarien!$H$25="OK",(IFERROR(SUMIF(Nutzungsprofile!$B$6:$B$11,"Schulbetrieb",Nutzungsprofile!$G$6:$G$11)*Kalender!C247/SUM(Kalender!$C$5:$C$370),0)+IFERROR(SUMIF(Nutzungsprofile!$B$6:$B$11,"Halle",Nutzungsprofile!$G$6:$G$11)*Kalender!D247/SUM(Kalender!$D$5:$D$370),0)+IFERROR(SUMIF(Nutzungsprofile!$B$6:$B$11,"Individuell",Nutzungsprofile!$G$6:$G$11)*Kalender!E247/SUM(Kalender!$E$5:$E$370),0))*Szenarien!$E$25,0)</f>
        <v>2.04</v>
      </c>
      <c r="D5371" s="13" t="n">
        <f aca="false">IF(Szenarien!$H$25="OK",(IFERROR(SUMIF(Nutzungsprofile!$B$17:$B$22,"Schulbetrieb",Nutzungsprofile!$G$17:$G$22)*Kalender!C247/SUM(Kalender!$C$5:$C$370),0)+IFERROR(SUMIF(Nutzungsprofile!$B$17:$B$22,"Halle",Nutzungsprofile!$G$17:$G$22)*Kalender!D247/SUM(Kalender!$D$5:$D$370),0)+IFERROR(SUMIF(Nutzungsprofile!$B$17:$B$22,"Individuell",Nutzungsprofile!$G$17:$G$22)*Kalender!E247/SUM(Kalender!$E$5:$E$370),0))*Szenarien!$D$25,0)</f>
        <v>0.89</v>
      </c>
      <c r="E5371" s="13" t="n">
        <f aca="false">IFERROR(MIN(C5371,Eingaben!$B$17)*Eingaben!$B$16,0)</f>
        <v>1.938</v>
      </c>
      <c r="F5371" s="13" t="n">
        <f aca="false">IFERROR(E5371*Eingaben!$B$15,0)</f>
        <v>1.7442</v>
      </c>
      <c r="G5371" s="13" t="n">
        <f aca="false">IFERROR(IF(Kalender!A247="",0,J5370*(1-Eingaben!$B$20)),0)</f>
        <v>1.709316</v>
      </c>
      <c r="H5371" s="13" t="n">
        <f aca="false">MIN(G5371,D5371)</f>
        <v>0.89</v>
      </c>
      <c r="I5371" s="13" t="n">
        <f aca="false">IFERROR(MIN(F5371*Eingaben!$B$19,MAX(0,D5371-H5371)),0)</f>
        <v>0</v>
      </c>
      <c r="J5371" s="13" t="n">
        <f aca="false">IFERROR(MIN(Eingaben!$B$18,MAX(0,F5371-I5371)),0)</f>
        <v>1.7442</v>
      </c>
      <c r="K5371" s="13" t="n">
        <f aca="false">H5371+I5371</f>
        <v>0.89</v>
      </c>
      <c r="L5371" s="13" t="n">
        <f aca="false">MAX(0,D5371-K5371)</f>
        <v>0</v>
      </c>
      <c r="M5371" s="13" t="n">
        <f aca="false">MAX(0,F5371-I5371-J5371)</f>
        <v>0</v>
      </c>
      <c r="N5371" s="13" t="n">
        <f aca="false">IF(Kalender!A247="",0,J5370-H5371)</f>
        <v>0.8542</v>
      </c>
    </row>
    <row r="5372" customFormat="false" ht="16.4" hidden="false" customHeight="false" outlineLevel="0" collapsed="false">
      <c r="A5372" s="13" t="str">
        <f aca="false">""</f>
        <v/>
      </c>
      <c r="B5372" s="13" t="n">
        <f aca="false">244</f>
        <v>244</v>
      </c>
      <c r="C5372" s="13" t="n">
        <f aca="false">IF(Szenarien!$H$25="OK",(IFERROR(SUMIF(Nutzungsprofile!$B$6:$B$11,"Schulbetrieb",Nutzungsprofile!$G$6:$G$11)*Kalender!C248/SUM(Kalender!$C$5:$C$370),0)+IFERROR(SUMIF(Nutzungsprofile!$B$6:$B$11,"Halle",Nutzungsprofile!$G$6:$G$11)*Kalender!D248/SUM(Kalender!$D$5:$D$370),0)+IFERROR(SUMIF(Nutzungsprofile!$B$6:$B$11,"Individuell",Nutzungsprofile!$G$6:$G$11)*Kalender!E248/SUM(Kalender!$E$5:$E$370),0))*Szenarien!$E$25,0)</f>
        <v>2.94</v>
      </c>
      <c r="D5372" s="13" t="n">
        <f aca="false">IF(Szenarien!$H$25="OK",(IFERROR(SUMIF(Nutzungsprofile!$B$17:$B$22,"Schulbetrieb",Nutzungsprofile!$G$17:$G$22)*Kalender!C248/SUM(Kalender!$C$5:$C$370),0)+IFERROR(SUMIF(Nutzungsprofile!$B$17:$B$22,"Halle",Nutzungsprofile!$G$17:$G$22)*Kalender!D248/SUM(Kalender!$D$5:$D$370),0)+IFERROR(SUMIF(Nutzungsprofile!$B$17:$B$22,"Individuell",Nutzungsprofile!$G$17:$G$22)*Kalender!E248/SUM(Kalender!$E$5:$E$370),0))*Szenarien!$D$25,0)</f>
        <v>4.94</v>
      </c>
      <c r="E5372" s="13" t="n">
        <f aca="false">IFERROR(MIN(C5372,Eingaben!$B$17)*Eingaben!$B$16,0)</f>
        <v>2.793</v>
      </c>
      <c r="F5372" s="13" t="n">
        <f aca="false">IFERROR(E5372*Eingaben!$B$15,0)</f>
        <v>2.5137</v>
      </c>
      <c r="G5372" s="13" t="n">
        <f aca="false">IFERROR(IF(Kalender!A248="",0,J5371*(1-Eingaben!$B$20)),0)</f>
        <v>1.709316</v>
      </c>
      <c r="H5372" s="13" t="n">
        <f aca="false">MIN(G5372,D5372)</f>
        <v>1.709316</v>
      </c>
      <c r="I5372" s="13" t="n">
        <f aca="false">IFERROR(MIN(F5372*Eingaben!$B$19,MAX(0,D5372-H5372)),0)</f>
        <v>1.75959</v>
      </c>
      <c r="J5372" s="13" t="n">
        <f aca="false">IFERROR(MIN(Eingaben!$B$18,MAX(0,F5372-I5372)),0)</f>
        <v>0.75411</v>
      </c>
      <c r="K5372" s="13" t="n">
        <f aca="false">H5372+I5372</f>
        <v>3.468906</v>
      </c>
      <c r="L5372" s="13" t="n">
        <f aca="false">MAX(0,D5372-K5372)</f>
        <v>1.471094</v>
      </c>
      <c r="M5372" s="13" t="n">
        <f aca="false">MAX(0,F5372-I5372-J5372)</f>
        <v>0</v>
      </c>
      <c r="N5372" s="13" t="n">
        <f aca="false">IF(Kalender!A248="",0,J5371-H5372)</f>
        <v>0.0348840000000001</v>
      </c>
    </row>
    <row r="5373" customFormat="false" ht="16.4" hidden="false" customHeight="false" outlineLevel="0" collapsed="false">
      <c r="A5373" s="13" t="str">
        <f aca="false">""</f>
        <v/>
      </c>
      <c r="B5373" s="13" t="n">
        <f aca="false">245</f>
        <v>245</v>
      </c>
      <c r="C5373" s="13" t="n">
        <f aca="false">IF(Szenarien!$H$25="OK",(IFERROR(SUMIF(Nutzungsprofile!$B$6:$B$11,"Schulbetrieb",Nutzungsprofile!$G$6:$G$11)*Kalender!C249/SUM(Kalender!$C$5:$C$370),0)+IFERROR(SUMIF(Nutzungsprofile!$B$6:$B$11,"Halle",Nutzungsprofile!$G$6:$G$11)*Kalender!D249/SUM(Kalender!$D$5:$D$370),0)+IFERROR(SUMIF(Nutzungsprofile!$B$6:$B$11,"Individuell",Nutzungsprofile!$G$6:$G$11)*Kalender!E249/SUM(Kalender!$E$5:$E$370),0))*Szenarien!$E$25,0)</f>
        <v>2.94</v>
      </c>
      <c r="D5373" s="13" t="n">
        <f aca="false">IF(Szenarien!$H$25="OK",(IFERROR(SUMIF(Nutzungsprofile!$B$17:$B$22,"Schulbetrieb",Nutzungsprofile!$G$17:$G$22)*Kalender!C249/SUM(Kalender!$C$5:$C$370),0)+IFERROR(SUMIF(Nutzungsprofile!$B$17:$B$22,"Halle",Nutzungsprofile!$G$17:$G$22)*Kalender!D249/SUM(Kalender!$D$5:$D$370),0)+IFERROR(SUMIF(Nutzungsprofile!$B$17:$B$22,"Individuell",Nutzungsprofile!$G$17:$G$22)*Kalender!E249/SUM(Kalender!$E$5:$E$370),0))*Szenarien!$D$25,0)</f>
        <v>4.94</v>
      </c>
      <c r="E5373" s="13" t="n">
        <f aca="false">IFERROR(MIN(C5373,Eingaben!$B$17)*Eingaben!$B$16,0)</f>
        <v>2.793</v>
      </c>
      <c r="F5373" s="13" t="n">
        <f aca="false">IFERROR(E5373*Eingaben!$B$15,0)</f>
        <v>2.5137</v>
      </c>
      <c r="G5373" s="13" t="n">
        <f aca="false">IFERROR(IF(Kalender!A249="",0,J5372*(1-Eingaben!$B$20)),0)</f>
        <v>0.7390278</v>
      </c>
      <c r="H5373" s="13" t="n">
        <f aca="false">MIN(G5373,D5373)</f>
        <v>0.7390278</v>
      </c>
      <c r="I5373" s="13" t="n">
        <f aca="false">IFERROR(MIN(F5373*Eingaben!$B$19,MAX(0,D5373-H5373)),0)</f>
        <v>1.75959</v>
      </c>
      <c r="J5373" s="13" t="n">
        <f aca="false">IFERROR(MIN(Eingaben!$B$18,MAX(0,F5373-I5373)),0)</f>
        <v>0.75411</v>
      </c>
      <c r="K5373" s="13" t="n">
        <f aca="false">H5373+I5373</f>
        <v>2.4986178</v>
      </c>
      <c r="L5373" s="13" t="n">
        <f aca="false">MAX(0,D5373-K5373)</f>
        <v>2.4413822</v>
      </c>
      <c r="M5373" s="13" t="n">
        <f aca="false">MAX(0,F5373-I5373-J5373)</f>
        <v>0</v>
      </c>
      <c r="N5373" s="13" t="n">
        <f aca="false">IF(Kalender!A249="",0,J5372-H5373)</f>
        <v>0.0150822</v>
      </c>
    </row>
    <row r="5374" customFormat="false" ht="16.4" hidden="false" customHeight="false" outlineLevel="0" collapsed="false">
      <c r="A5374" s="13" t="str">
        <f aca="false">""</f>
        <v/>
      </c>
      <c r="B5374" s="13" t="n">
        <f aca="false">246</f>
        <v>246</v>
      </c>
      <c r="C5374" s="13" t="n">
        <f aca="false">IF(Szenarien!$H$25="OK",(IFERROR(SUMIF(Nutzungsprofile!$B$6:$B$11,"Schulbetrieb",Nutzungsprofile!$G$6:$G$11)*Kalender!C250/SUM(Kalender!$C$5:$C$370),0)+IFERROR(SUMIF(Nutzungsprofile!$B$6:$B$11,"Halle",Nutzungsprofile!$G$6:$G$11)*Kalender!D250/SUM(Kalender!$D$5:$D$370),0)+IFERROR(SUMIF(Nutzungsprofile!$B$6:$B$11,"Individuell",Nutzungsprofile!$G$6:$G$11)*Kalender!E250/SUM(Kalender!$E$5:$E$370),0))*Szenarien!$E$25,0)</f>
        <v>2.94</v>
      </c>
      <c r="D5374" s="13" t="n">
        <f aca="false">IF(Szenarien!$H$25="OK",(IFERROR(SUMIF(Nutzungsprofile!$B$17:$B$22,"Schulbetrieb",Nutzungsprofile!$G$17:$G$22)*Kalender!C250/SUM(Kalender!$C$5:$C$370),0)+IFERROR(SUMIF(Nutzungsprofile!$B$17:$B$22,"Halle",Nutzungsprofile!$G$17:$G$22)*Kalender!D250/SUM(Kalender!$D$5:$D$370),0)+IFERROR(SUMIF(Nutzungsprofile!$B$17:$B$22,"Individuell",Nutzungsprofile!$G$17:$G$22)*Kalender!E250/SUM(Kalender!$E$5:$E$370),0))*Szenarien!$D$25,0)</f>
        <v>4.94</v>
      </c>
      <c r="E5374" s="13" t="n">
        <f aca="false">IFERROR(MIN(C5374,Eingaben!$B$17)*Eingaben!$B$16,0)</f>
        <v>2.793</v>
      </c>
      <c r="F5374" s="13" t="n">
        <f aca="false">IFERROR(E5374*Eingaben!$B$15,0)</f>
        <v>2.5137</v>
      </c>
      <c r="G5374" s="13" t="n">
        <f aca="false">IFERROR(IF(Kalender!A250="",0,J5373*(1-Eingaben!$B$20)),0)</f>
        <v>0.7390278</v>
      </c>
      <c r="H5374" s="13" t="n">
        <f aca="false">MIN(G5374,D5374)</f>
        <v>0.7390278</v>
      </c>
      <c r="I5374" s="13" t="n">
        <f aca="false">IFERROR(MIN(F5374*Eingaben!$B$19,MAX(0,D5374-H5374)),0)</f>
        <v>1.75959</v>
      </c>
      <c r="J5374" s="13" t="n">
        <f aca="false">IFERROR(MIN(Eingaben!$B$18,MAX(0,F5374-I5374)),0)</f>
        <v>0.75411</v>
      </c>
      <c r="K5374" s="13" t="n">
        <f aca="false">H5374+I5374</f>
        <v>2.4986178</v>
      </c>
      <c r="L5374" s="13" t="n">
        <f aca="false">MAX(0,D5374-K5374)</f>
        <v>2.4413822</v>
      </c>
      <c r="M5374" s="13" t="n">
        <f aca="false">MAX(0,F5374-I5374-J5374)</f>
        <v>0</v>
      </c>
      <c r="N5374" s="13" t="n">
        <f aca="false">IF(Kalender!A250="",0,J5373-H5374)</f>
        <v>0.0150822</v>
      </c>
    </row>
    <row r="5375" customFormat="false" ht="16.4" hidden="false" customHeight="false" outlineLevel="0" collapsed="false">
      <c r="A5375" s="13" t="str">
        <f aca="false">""</f>
        <v/>
      </c>
      <c r="B5375" s="13" t="n">
        <f aca="false">247</f>
        <v>247</v>
      </c>
      <c r="C5375" s="13" t="n">
        <f aca="false">IF(Szenarien!$H$25="OK",(IFERROR(SUMIF(Nutzungsprofile!$B$6:$B$11,"Schulbetrieb",Nutzungsprofile!$G$6:$G$11)*Kalender!C251/SUM(Kalender!$C$5:$C$370),0)+IFERROR(SUMIF(Nutzungsprofile!$B$6:$B$11,"Halle",Nutzungsprofile!$G$6:$G$11)*Kalender!D251/SUM(Kalender!$D$5:$D$370),0)+IFERROR(SUMIF(Nutzungsprofile!$B$6:$B$11,"Individuell",Nutzungsprofile!$G$6:$G$11)*Kalender!E251/SUM(Kalender!$E$5:$E$370),0))*Szenarien!$E$25,0)</f>
        <v>2.94</v>
      </c>
      <c r="D5375" s="13" t="n">
        <f aca="false">IF(Szenarien!$H$25="OK",(IFERROR(SUMIF(Nutzungsprofile!$B$17:$B$22,"Schulbetrieb",Nutzungsprofile!$G$17:$G$22)*Kalender!C251/SUM(Kalender!$C$5:$C$370),0)+IFERROR(SUMIF(Nutzungsprofile!$B$17:$B$22,"Halle",Nutzungsprofile!$G$17:$G$22)*Kalender!D251/SUM(Kalender!$D$5:$D$370),0)+IFERROR(SUMIF(Nutzungsprofile!$B$17:$B$22,"Individuell",Nutzungsprofile!$G$17:$G$22)*Kalender!E251/SUM(Kalender!$E$5:$E$370),0))*Szenarien!$D$25,0)</f>
        <v>4.94</v>
      </c>
      <c r="E5375" s="13" t="n">
        <f aca="false">IFERROR(MIN(C5375,Eingaben!$B$17)*Eingaben!$B$16,0)</f>
        <v>2.793</v>
      </c>
      <c r="F5375" s="13" t="n">
        <f aca="false">IFERROR(E5375*Eingaben!$B$15,0)</f>
        <v>2.5137</v>
      </c>
      <c r="G5375" s="13" t="n">
        <f aca="false">IFERROR(IF(Kalender!A251="",0,J5374*(1-Eingaben!$B$20)),0)</f>
        <v>0.7390278</v>
      </c>
      <c r="H5375" s="13" t="n">
        <f aca="false">MIN(G5375,D5375)</f>
        <v>0.7390278</v>
      </c>
      <c r="I5375" s="13" t="n">
        <f aca="false">IFERROR(MIN(F5375*Eingaben!$B$19,MAX(0,D5375-H5375)),0)</f>
        <v>1.75959</v>
      </c>
      <c r="J5375" s="13" t="n">
        <f aca="false">IFERROR(MIN(Eingaben!$B$18,MAX(0,F5375-I5375)),0)</f>
        <v>0.75411</v>
      </c>
      <c r="K5375" s="13" t="n">
        <f aca="false">H5375+I5375</f>
        <v>2.4986178</v>
      </c>
      <c r="L5375" s="13" t="n">
        <f aca="false">MAX(0,D5375-K5375)</f>
        <v>2.4413822</v>
      </c>
      <c r="M5375" s="13" t="n">
        <f aca="false">MAX(0,F5375-I5375-J5375)</f>
        <v>0</v>
      </c>
      <c r="N5375" s="13" t="n">
        <f aca="false">IF(Kalender!A251="",0,J5374-H5375)</f>
        <v>0.0150822</v>
      </c>
    </row>
    <row r="5376" customFormat="false" ht="16.4" hidden="false" customHeight="false" outlineLevel="0" collapsed="false">
      <c r="A5376" s="13" t="str">
        <f aca="false">""</f>
        <v/>
      </c>
      <c r="B5376" s="13" t="n">
        <f aca="false">248</f>
        <v>248</v>
      </c>
      <c r="C5376" s="13" t="n">
        <f aca="false">IF(Szenarien!$H$25="OK",(IFERROR(SUMIF(Nutzungsprofile!$B$6:$B$11,"Schulbetrieb",Nutzungsprofile!$G$6:$G$11)*Kalender!C252/SUM(Kalender!$C$5:$C$370),0)+IFERROR(SUMIF(Nutzungsprofile!$B$6:$B$11,"Halle",Nutzungsprofile!$G$6:$G$11)*Kalender!D252/SUM(Kalender!$D$5:$D$370),0)+IFERROR(SUMIF(Nutzungsprofile!$B$6:$B$11,"Individuell",Nutzungsprofile!$G$6:$G$11)*Kalender!E252/SUM(Kalender!$E$5:$E$370),0))*Szenarien!$E$25,0)</f>
        <v>2.04</v>
      </c>
      <c r="D5376" s="13" t="n">
        <f aca="false">IF(Szenarien!$H$25="OK",(IFERROR(SUMIF(Nutzungsprofile!$B$17:$B$22,"Schulbetrieb",Nutzungsprofile!$G$17:$G$22)*Kalender!C252/SUM(Kalender!$C$5:$C$370),0)+IFERROR(SUMIF(Nutzungsprofile!$B$17:$B$22,"Halle",Nutzungsprofile!$G$17:$G$22)*Kalender!D252/SUM(Kalender!$D$5:$D$370),0)+IFERROR(SUMIF(Nutzungsprofile!$B$17:$B$22,"Individuell",Nutzungsprofile!$G$17:$G$22)*Kalender!E252/SUM(Kalender!$E$5:$E$370),0))*Szenarien!$D$25,0)</f>
        <v>0.89</v>
      </c>
      <c r="E5376" s="13" t="n">
        <f aca="false">IFERROR(MIN(C5376,Eingaben!$B$17)*Eingaben!$B$16,0)</f>
        <v>1.938</v>
      </c>
      <c r="F5376" s="13" t="n">
        <f aca="false">IFERROR(E5376*Eingaben!$B$15,0)</f>
        <v>1.7442</v>
      </c>
      <c r="G5376" s="13" t="n">
        <f aca="false">IFERROR(IF(Kalender!A252="",0,J5375*(1-Eingaben!$B$20)),0)</f>
        <v>0.7390278</v>
      </c>
      <c r="H5376" s="13" t="n">
        <f aca="false">MIN(G5376,D5376)</f>
        <v>0.7390278</v>
      </c>
      <c r="I5376" s="13" t="n">
        <f aca="false">IFERROR(MIN(F5376*Eingaben!$B$19,MAX(0,D5376-H5376)),0)</f>
        <v>0.1509722</v>
      </c>
      <c r="J5376" s="13" t="n">
        <f aca="false">IFERROR(MIN(Eingaben!$B$18,MAX(0,F5376-I5376)),0)</f>
        <v>1.5932278</v>
      </c>
      <c r="K5376" s="13" t="n">
        <f aca="false">H5376+I5376</f>
        <v>0.89</v>
      </c>
      <c r="L5376" s="13" t="n">
        <f aca="false">MAX(0,D5376-K5376)</f>
        <v>0</v>
      </c>
      <c r="M5376" s="13" t="n">
        <f aca="false">MAX(0,F5376-I5376-J5376)</f>
        <v>0</v>
      </c>
      <c r="N5376" s="13" t="n">
        <f aca="false">IF(Kalender!A252="",0,J5375-H5376)</f>
        <v>0.0150822</v>
      </c>
    </row>
    <row r="5377" customFormat="false" ht="16.4" hidden="false" customHeight="false" outlineLevel="0" collapsed="false">
      <c r="A5377" s="13" t="str">
        <f aca="false">""</f>
        <v/>
      </c>
      <c r="B5377" s="13" t="n">
        <f aca="false">249</f>
        <v>249</v>
      </c>
      <c r="C5377" s="13" t="n">
        <f aca="false">IF(Szenarien!$H$25="OK",(IFERROR(SUMIF(Nutzungsprofile!$B$6:$B$11,"Schulbetrieb",Nutzungsprofile!$G$6:$G$11)*Kalender!C253/SUM(Kalender!$C$5:$C$370),0)+IFERROR(SUMIF(Nutzungsprofile!$B$6:$B$11,"Halle",Nutzungsprofile!$G$6:$G$11)*Kalender!D253/SUM(Kalender!$D$5:$D$370),0)+IFERROR(SUMIF(Nutzungsprofile!$B$6:$B$11,"Individuell",Nutzungsprofile!$G$6:$G$11)*Kalender!E253/SUM(Kalender!$E$5:$E$370),0))*Szenarien!$E$25,0)</f>
        <v>2.04</v>
      </c>
      <c r="D5377" s="13" t="n">
        <f aca="false">IF(Szenarien!$H$25="OK",(IFERROR(SUMIF(Nutzungsprofile!$B$17:$B$22,"Schulbetrieb",Nutzungsprofile!$G$17:$G$22)*Kalender!C253/SUM(Kalender!$C$5:$C$370),0)+IFERROR(SUMIF(Nutzungsprofile!$B$17:$B$22,"Halle",Nutzungsprofile!$G$17:$G$22)*Kalender!D253/SUM(Kalender!$D$5:$D$370),0)+IFERROR(SUMIF(Nutzungsprofile!$B$17:$B$22,"Individuell",Nutzungsprofile!$G$17:$G$22)*Kalender!E253/SUM(Kalender!$E$5:$E$370),0))*Szenarien!$D$25,0)</f>
        <v>0.89</v>
      </c>
      <c r="E5377" s="13" t="n">
        <f aca="false">IFERROR(MIN(C5377,Eingaben!$B$17)*Eingaben!$B$16,0)</f>
        <v>1.938</v>
      </c>
      <c r="F5377" s="13" t="n">
        <f aca="false">IFERROR(E5377*Eingaben!$B$15,0)</f>
        <v>1.7442</v>
      </c>
      <c r="G5377" s="13" t="n">
        <f aca="false">IFERROR(IF(Kalender!A253="",0,J5376*(1-Eingaben!$B$20)),0)</f>
        <v>1.561363244</v>
      </c>
      <c r="H5377" s="13" t="n">
        <f aca="false">MIN(G5377,D5377)</f>
        <v>0.89</v>
      </c>
      <c r="I5377" s="13" t="n">
        <f aca="false">IFERROR(MIN(F5377*Eingaben!$B$19,MAX(0,D5377-H5377)),0)</f>
        <v>0</v>
      </c>
      <c r="J5377" s="13" t="n">
        <f aca="false">IFERROR(MIN(Eingaben!$B$18,MAX(0,F5377-I5377)),0)</f>
        <v>1.7442</v>
      </c>
      <c r="K5377" s="13" t="n">
        <f aca="false">H5377+I5377</f>
        <v>0.89</v>
      </c>
      <c r="L5377" s="13" t="n">
        <f aca="false">MAX(0,D5377-K5377)</f>
        <v>0</v>
      </c>
      <c r="M5377" s="13" t="n">
        <f aca="false">MAX(0,F5377-I5377-J5377)</f>
        <v>0</v>
      </c>
      <c r="N5377" s="13" t="n">
        <f aca="false">IF(Kalender!A253="",0,J5376-H5377)</f>
        <v>0.7032278</v>
      </c>
    </row>
    <row r="5378" customFormat="false" ht="16.4" hidden="false" customHeight="false" outlineLevel="0" collapsed="false">
      <c r="A5378" s="13" t="str">
        <f aca="false">""</f>
        <v/>
      </c>
      <c r="B5378" s="13" t="n">
        <f aca="false">250</f>
        <v>250</v>
      </c>
      <c r="C5378" s="13" t="n">
        <f aca="false">IF(Szenarien!$H$25="OK",(IFERROR(SUMIF(Nutzungsprofile!$B$6:$B$11,"Schulbetrieb",Nutzungsprofile!$G$6:$G$11)*Kalender!C254/SUM(Kalender!$C$5:$C$370),0)+IFERROR(SUMIF(Nutzungsprofile!$B$6:$B$11,"Halle",Nutzungsprofile!$G$6:$G$11)*Kalender!D254/SUM(Kalender!$D$5:$D$370),0)+IFERROR(SUMIF(Nutzungsprofile!$B$6:$B$11,"Individuell",Nutzungsprofile!$G$6:$G$11)*Kalender!E254/SUM(Kalender!$E$5:$E$370),0))*Szenarien!$E$25,0)</f>
        <v>2.94</v>
      </c>
      <c r="D5378" s="13" t="n">
        <f aca="false">IF(Szenarien!$H$25="OK",(IFERROR(SUMIF(Nutzungsprofile!$B$17:$B$22,"Schulbetrieb",Nutzungsprofile!$G$17:$G$22)*Kalender!C254/SUM(Kalender!$C$5:$C$370),0)+IFERROR(SUMIF(Nutzungsprofile!$B$17:$B$22,"Halle",Nutzungsprofile!$G$17:$G$22)*Kalender!D254/SUM(Kalender!$D$5:$D$370),0)+IFERROR(SUMIF(Nutzungsprofile!$B$17:$B$22,"Individuell",Nutzungsprofile!$G$17:$G$22)*Kalender!E254/SUM(Kalender!$E$5:$E$370),0))*Szenarien!$D$25,0)</f>
        <v>4.94</v>
      </c>
      <c r="E5378" s="13" t="n">
        <f aca="false">IFERROR(MIN(C5378,Eingaben!$B$17)*Eingaben!$B$16,0)</f>
        <v>2.793</v>
      </c>
      <c r="F5378" s="13" t="n">
        <f aca="false">IFERROR(E5378*Eingaben!$B$15,0)</f>
        <v>2.5137</v>
      </c>
      <c r="G5378" s="13" t="n">
        <f aca="false">IFERROR(IF(Kalender!A254="",0,J5377*(1-Eingaben!$B$20)),0)</f>
        <v>1.709316</v>
      </c>
      <c r="H5378" s="13" t="n">
        <f aca="false">MIN(G5378,D5378)</f>
        <v>1.709316</v>
      </c>
      <c r="I5378" s="13" t="n">
        <f aca="false">IFERROR(MIN(F5378*Eingaben!$B$19,MAX(0,D5378-H5378)),0)</f>
        <v>1.75959</v>
      </c>
      <c r="J5378" s="13" t="n">
        <f aca="false">IFERROR(MIN(Eingaben!$B$18,MAX(0,F5378-I5378)),0)</f>
        <v>0.75411</v>
      </c>
      <c r="K5378" s="13" t="n">
        <f aca="false">H5378+I5378</f>
        <v>3.468906</v>
      </c>
      <c r="L5378" s="13" t="n">
        <f aca="false">MAX(0,D5378-K5378)</f>
        <v>1.471094</v>
      </c>
      <c r="M5378" s="13" t="n">
        <f aca="false">MAX(0,F5378-I5378-J5378)</f>
        <v>0</v>
      </c>
      <c r="N5378" s="13" t="n">
        <f aca="false">IF(Kalender!A254="",0,J5377-H5378)</f>
        <v>0.0348840000000001</v>
      </c>
    </row>
    <row r="5379" customFormat="false" ht="16.4" hidden="false" customHeight="false" outlineLevel="0" collapsed="false">
      <c r="A5379" s="13" t="str">
        <f aca="false">""</f>
        <v/>
      </c>
      <c r="B5379" s="13" t="n">
        <f aca="false">251</f>
        <v>251</v>
      </c>
      <c r="C5379" s="13" t="n">
        <f aca="false">IF(Szenarien!$H$25="OK",(IFERROR(SUMIF(Nutzungsprofile!$B$6:$B$11,"Schulbetrieb",Nutzungsprofile!$G$6:$G$11)*Kalender!C255/SUM(Kalender!$C$5:$C$370),0)+IFERROR(SUMIF(Nutzungsprofile!$B$6:$B$11,"Halle",Nutzungsprofile!$G$6:$G$11)*Kalender!D255/SUM(Kalender!$D$5:$D$370),0)+IFERROR(SUMIF(Nutzungsprofile!$B$6:$B$11,"Individuell",Nutzungsprofile!$G$6:$G$11)*Kalender!E255/SUM(Kalender!$E$5:$E$370),0))*Szenarien!$E$25,0)</f>
        <v>2.94</v>
      </c>
      <c r="D5379" s="13" t="n">
        <f aca="false">IF(Szenarien!$H$25="OK",(IFERROR(SUMIF(Nutzungsprofile!$B$17:$B$22,"Schulbetrieb",Nutzungsprofile!$G$17:$G$22)*Kalender!C255/SUM(Kalender!$C$5:$C$370),0)+IFERROR(SUMIF(Nutzungsprofile!$B$17:$B$22,"Halle",Nutzungsprofile!$G$17:$G$22)*Kalender!D255/SUM(Kalender!$D$5:$D$370),0)+IFERROR(SUMIF(Nutzungsprofile!$B$17:$B$22,"Individuell",Nutzungsprofile!$G$17:$G$22)*Kalender!E255/SUM(Kalender!$E$5:$E$370),0))*Szenarien!$D$25,0)</f>
        <v>4.94</v>
      </c>
      <c r="E5379" s="13" t="n">
        <f aca="false">IFERROR(MIN(C5379,Eingaben!$B$17)*Eingaben!$B$16,0)</f>
        <v>2.793</v>
      </c>
      <c r="F5379" s="13" t="n">
        <f aca="false">IFERROR(E5379*Eingaben!$B$15,0)</f>
        <v>2.5137</v>
      </c>
      <c r="G5379" s="13" t="n">
        <f aca="false">IFERROR(IF(Kalender!A255="",0,J5378*(1-Eingaben!$B$20)),0)</f>
        <v>0.7390278</v>
      </c>
      <c r="H5379" s="13" t="n">
        <f aca="false">MIN(G5379,D5379)</f>
        <v>0.7390278</v>
      </c>
      <c r="I5379" s="13" t="n">
        <f aca="false">IFERROR(MIN(F5379*Eingaben!$B$19,MAX(0,D5379-H5379)),0)</f>
        <v>1.75959</v>
      </c>
      <c r="J5379" s="13" t="n">
        <f aca="false">IFERROR(MIN(Eingaben!$B$18,MAX(0,F5379-I5379)),0)</f>
        <v>0.75411</v>
      </c>
      <c r="K5379" s="13" t="n">
        <f aca="false">H5379+I5379</f>
        <v>2.4986178</v>
      </c>
      <c r="L5379" s="13" t="n">
        <f aca="false">MAX(0,D5379-K5379)</f>
        <v>2.4413822</v>
      </c>
      <c r="M5379" s="13" t="n">
        <f aca="false">MAX(0,F5379-I5379-J5379)</f>
        <v>0</v>
      </c>
      <c r="N5379" s="13" t="n">
        <f aca="false">IF(Kalender!A255="",0,J5378-H5379)</f>
        <v>0.0150822</v>
      </c>
    </row>
    <row r="5380" customFormat="false" ht="16.4" hidden="false" customHeight="false" outlineLevel="0" collapsed="false">
      <c r="A5380" s="13" t="str">
        <f aca="false">""</f>
        <v/>
      </c>
      <c r="B5380" s="13" t="n">
        <f aca="false">252</f>
        <v>252</v>
      </c>
      <c r="C5380" s="13" t="n">
        <f aca="false">IF(Szenarien!$H$25="OK",(IFERROR(SUMIF(Nutzungsprofile!$B$6:$B$11,"Schulbetrieb",Nutzungsprofile!$G$6:$G$11)*Kalender!C256/SUM(Kalender!$C$5:$C$370),0)+IFERROR(SUMIF(Nutzungsprofile!$B$6:$B$11,"Halle",Nutzungsprofile!$G$6:$G$11)*Kalender!D256/SUM(Kalender!$D$5:$D$370),0)+IFERROR(SUMIF(Nutzungsprofile!$B$6:$B$11,"Individuell",Nutzungsprofile!$G$6:$G$11)*Kalender!E256/SUM(Kalender!$E$5:$E$370),0))*Szenarien!$E$25,0)</f>
        <v>2.94</v>
      </c>
      <c r="D5380" s="13" t="n">
        <f aca="false">IF(Szenarien!$H$25="OK",(IFERROR(SUMIF(Nutzungsprofile!$B$17:$B$22,"Schulbetrieb",Nutzungsprofile!$G$17:$G$22)*Kalender!C256/SUM(Kalender!$C$5:$C$370),0)+IFERROR(SUMIF(Nutzungsprofile!$B$17:$B$22,"Halle",Nutzungsprofile!$G$17:$G$22)*Kalender!D256/SUM(Kalender!$D$5:$D$370),0)+IFERROR(SUMIF(Nutzungsprofile!$B$17:$B$22,"Individuell",Nutzungsprofile!$G$17:$G$22)*Kalender!E256/SUM(Kalender!$E$5:$E$370),0))*Szenarien!$D$25,0)</f>
        <v>4.94</v>
      </c>
      <c r="E5380" s="13" t="n">
        <f aca="false">IFERROR(MIN(C5380,Eingaben!$B$17)*Eingaben!$B$16,0)</f>
        <v>2.793</v>
      </c>
      <c r="F5380" s="13" t="n">
        <f aca="false">IFERROR(E5380*Eingaben!$B$15,0)</f>
        <v>2.5137</v>
      </c>
      <c r="G5380" s="13" t="n">
        <f aca="false">IFERROR(IF(Kalender!A256="",0,J5379*(1-Eingaben!$B$20)),0)</f>
        <v>0.7390278</v>
      </c>
      <c r="H5380" s="13" t="n">
        <f aca="false">MIN(G5380,D5380)</f>
        <v>0.7390278</v>
      </c>
      <c r="I5380" s="13" t="n">
        <f aca="false">IFERROR(MIN(F5380*Eingaben!$B$19,MAX(0,D5380-H5380)),0)</f>
        <v>1.75959</v>
      </c>
      <c r="J5380" s="13" t="n">
        <f aca="false">IFERROR(MIN(Eingaben!$B$18,MAX(0,F5380-I5380)),0)</f>
        <v>0.75411</v>
      </c>
      <c r="K5380" s="13" t="n">
        <f aca="false">H5380+I5380</f>
        <v>2.4986178</v>
      </c>
      <c r="L5380" s="13" t="n">
        <f aca="false">MAX(0,D5380-K5380)</f>
        <v>2.4413822</v>
      </c>
      <c r="M5380" s="13" t="n">
        <f aca="false">MAX(0,F5380-I5380-J5380)</f>
        <v>0</v>
      </c>
      <c r="N5380" s="13" t="n">
        <f aca="false">IF(Kalender!A256="",0,J5379-H5380)</f>
        <v>0.0150822</v>
      </c>
    </row>
    <row r="5381" customFormat="false" ht="16.4" hidden="false" customHeight="false" outlineLevel="0" collapsed="false">
      <c r="A5381" s="13" t="str">
        <f aca="false">""</f>
        <v/>
      </c>
      <c r="B5381" s="13" t="n">
        <f aca="false">253</f>
        <v>253</v>
      </c>
      <c r="C5381" s="13" t="n">
        <f aca="false">IF(Szenarien!$H$25="OK",(IFERROR(SUMIF(Nutzungsprofile!$B$6:$B$11,"Schulbetrieb",Nutzungsprofile!$G$6:$G$11)*Kalender!C257/SUM(Kalender!$C$5:$C$370),0)+IFERROR(SUMIF(Nutzungsprofile!$B$6:$B$11,"Halle",Nutzungsprofile!$G$6:$G$11)*Kalender!D257/SUM(Kalender!$D$5:$D$370),0)+IFERROR(SUMIF(Nutzungsprofile!$B$6:$B$11,"Individuell",Nutzungsprofile!$G$6:$G$11)*Kalender!E257/SUM(Kalender!$E$5:$E$370),0))*Szenarien!$E$25,0)</f>
        <v>2.94</v>
      </c>
      <c r="D5381" s="13" t="n">
        <f aca="false">IF(Szenarien!$H$25="OK",(IFERROR(SUMIF(Nutzungsprofile!$B$17:$B$22,"Schulbetrieb",Nutzungsprofile!$G$17:$G$22)*Kalender!C257/SUM(Kalender!$C$5:$C$370),0)+IFERROR(SUMIF(Nutzungsprofile!$B$17:$B$22,"Halle",Nutzungsprofile!$G$17:$G$22)*Kalender!D257/SUM(Kalender!$D$5:$D$370),0)+IFERROR(SUMIF(Nutzungsprofile!$B$17:$B$22,"Individuell",Nutzungsprofile!$G$17:$G$22)*Kalender!E257/SUM(Kalender!$E$5:$E$370),0))*Szenarien!$D$25,0)</f>
        <v>4.94</v>
      </c>
      <c r="E5381" s="13" t="n">
        <f aca="false">IFERROR(MIN(C5381,Eingaben!$B$17)*Eingaben!$B$16,0)</f>
        <v>2.793</v>
      </c>
      <c r="F5381" s="13" t="n">
        <f aca="false">IFERROR(E5381*Eingaben!$B$15,0)</f>
        <v>2.5137</v>
      </c>
      <c r="G5381" s="13" t="n">
        <f aca="false">IFERROR(IF(Kalender!A257="",0,J5380*(1-Eingaben!$B$20)),0)</f>
        <v>0.7390278</v>
      </c>
      <c r="H5381" s="13" t="n">
        <f aca="false">MIN(G5381,D5381)</f>
        <v>0.7390278</v>
      </c>
      <c r="I5381" s="13" t="n">
        <f aca="false">IFERROR(MIN(F5381*Eingaben!$B$19,MAX(0,D5381-H5381)),0)</f>
        <v>1.75959</v>
      </c>
      <c r="J5381" s="13" t="n">
        <f aca="false">IFERROR(MIN(Eingaben!$B$18,MAX(0,F5381-I5381)),0)</f>
        <v>0.75411</v>
      </c>
      <c r="K5381" s="13" t="n">
        <f aca="false">H5381+I5381</f>
        <v>2.4986178</v>
      </c>
      <c r="L5381" s="13" t="n">
        <f aca="false">MAX(0,D5381-K5381)</f>
        <v>2.4413822</v>
      </c>
      <c r="M5381" s="13" t="n">
        <f aca="false">MAX(0,F5381-I5381-J5381)</f>
        <v>0</v>
      </c>
      <c r="N5381" s="13" t="n">
        <f aca="false">IF(Kalender!A257="",0,J5380-H5381)</f>
        <v>0.0150822</v>
      </c>
    </row>
    <row r="5382" customFormat="false" ht="16.4" hidden="false" customHeight="false" outlineLevel="0" collapsed="false">
      <c r="A5382" s="13" t="str">
        <f aca="false">""</f>
        <v/>
      </c>
      <c r="B5382" s="13" t="n">
        <f aca="false">254</f>
        <v>254</v>
      </c>
      <c r="C5382" s="13" t="n">
        <f aca="false">IF(Szenarien!$H$25="OK",(IFERROR(SUMIF(Nutzungsprofile!$B$6:$B$11,"Schulbetrieb",Nutzungsprofile!$G$6:$G$11)*Kalender!C258/SUM(Kalender!$C$5:$C$370),0)+IFERROR(SUMIF(Nutzungsprofile!$B$6:$B$11,"Halle",Nutzungsprofile!$G$6:$G$11)*Kalender!D258/SUM(Kalender!$D$5:$D$370),0)+IFERROR(SUMIF(Nutzungsprofile!$B$6:$B$11,"Individuell",Nutzungsprofile!$G$6:$G$11)*Kalender!E258/SUM(Kalender!$E$5:$E$370),0))*Szenarien!$E$25,0)</f>
        <v>2.94</v>
      </c>
      <c r="D5382" s="13" t="n">
        <f aca="false">IF(Szenarien!$H$25="OK",(IFERROR(SUMIF(Nutzungsprofile!$B$17:$B$22,"Schulbetrieb",Nutzungsprofile!$G$17:$G$22)*Kalender!C258/SUM(Kalender!$C$5:$C$370),0)+IFERROR(SUMIF(Nutzungsprofile!$B$17:$B$22,"Halle",Nutzungsprofile!$G$17:$G$22)*Kalender!D258/SUM(Kalender!$D$5:$D$370),0)+IFERROR(SUMIF(Nutzungsprofile!$B$17:$B$22,"Individuell",Nutzungsprofile!$G$17:$G$22)*Kalender!E258/SUM(Kalender!$E$5:$E$370),0))*Szenarien!$D$25,0)</f>
        <v>4.94</v>
      </c>
      <c r="E5382" s="13" t="n">
        <f aca="false">IFERROR(MIN(C5382,Eingaben!$B$17)*Eingaben!$B$16,0)</f>
        <v>2.793</v>
      </c>
      <c r="F5382" s="13" t="n">
        <f aca="false">IFERROR(E5382*Eingaben!$B$15,0)</f>
        <v>2.5137</v>
      </c>
      <c r="G5382" s="13" t="n">
        <f aca="false">IFERROR(IF(Kalender!A258="",0,J5381*(1-Eingaben!$B$20)),0)</f>
        <v>0.7390278</v>
      </c>
      <c r="H5382" s="13" t="n">
        <f aca="false">MIN(G5382,D5382)</f>
        <v>0.7390278</v>
      </c>
      <c r="I5382" s="13" t="n">
        <f aca="false">IFERROR(MIN(F5382*Eingaben!$B$19,MAX(0,D5382-H5382)),0)</f>
        <v>1.75959</v>
      </c>
      <c r="J5382" s="13" t="n">
        <f aca="false">IFERROR(MIN(Eingaben!$B$18,MAX(0,F5382-I5382)),0)</f>
        <v>0.75411</v>
      </c>
      <c r="K5382" s="13" t="n">
        <f aca="false">H5382+I5382</f>
        <v>2.4986178</v>
      </c>
      <c r="L5382" s="13" t="n">
        <f aca="false">MAX(0,D5382-K5382)</f>
        <v>2.4413822</v>
      </c>
      <c r="M5382" s="13" t="n">
        <f aca="false">MAX(0,F5382-I5382-J5382)</f>
        <v>0</v>
      </c>
      <c r="N5382" s="13" t="n">
        <f aca="false">IF(Kalender!A258="",0,J5381-H5382)</f>
        <v>0.0150822</v>
      </c>
    </row>
    <row r="5383" customFormat="false" ht="16.4" hidden="false" customHeight="false" outlineLevel="0" collapsed="false">
      <c r="A5383" s="13" t="str">
        <f aca="false">""</f>
        <v/>
      </c>
      <c r="B5383" s="13" t="n">
        <f aca="false">255</f>
        <v>255</v>
      </c>
      <c r="C5383" s="13" t="n">
        <f aca="false">IF(Szenarien!$H$25="OK",(IFERROR(SUMIF(Nutzungsprofile!$B$6:$B$11,"Schulbetrieb",Nutzungsprofile!$G$6:$G$11)*Kalender!C259/SUM(Kalender!$C$5:$C$370),0)+IFERROR(SUMIF(Nutzungsprofile!$B$6:$B$11,"Halle",Nutzungsprofile!$G$6:$G$11)*Kalender!D259/SUM(Kalender!$D$5:$D$370),0)+IFERROR(SUMIF(Nutzungsprofile!$B$6:$B$11,"Individuell",Nutzungsprofile!$G$6:$G$11)*Kalender!E259/SUM(Kalender!$E$5:$E$370),0))*Szenarien!$E$25,0)</f>
        <v>2.04</v>
      </c>
      <c r="D5383" s="13" t="n">
        <f aca="false">IF(Szenarien!$H$25="OK",(IFERROR(SUMIF(Nutzungsprofile!$B$17:$B$22,"Schulbetrieb",Nutzungsprofile!$G$17:$G$22)*Kalender!C259/SUM(Kalender!$C$5:$C$370),0)+IFERROR(SUMIF(Nutzungsprofile!$B$17:$B$22,"Halle",Nutzungsprofile!$G$17:$G$22)*Kalender!D259/SUM(Kalender!$D$5:$D$370),0)+IFERROR(SUMIF(Nutzungsprofile!$B$17:$B$22,"Individuell",Nutzungsprofile!$G$17:$G$22)*Kalender!E259/SUM(Kalender!$E$5:$E$370),0))*Szenarien!$D$25,0)</f>
        <v>0.89</v>
      </c>
      <c r="E5383" s="13" t="n">
        <f aca="false">IFERROR(MIN(C5383,Eingaben!$B$17)*Eingaben!$B$16,0)</f>
        <v>1.938</v>
      </c>
      <c r="F5383" s="13" t="n">
        <f aca="false">IFERROR(E5383*Eingaben!$B$15,0)</f>
        <v>1.7442</v>
      </c>
      <c r="G5383" s="13" t="n">
        <f aca="false">IFERROR(IF(Kalender!A259="",0,J5382*(1-Eingaben!$B$20)),0)</f>
        <v>0.7390278</v>
      </c>
      <c r="H5383" s="13" t="n">
        <f aca="false">MIN(G5383,D5383)</f>
        <v>0.7390278</v>
      </c>
      <c r="I5383" s="13" t="n">
        <f aca="false">IFERROR(MIN(F5383*Eingaben!$B$19,MAX(0,D5383-H5383)),0)</f>
        <v>0.1509722</v>
      </c>
      <c r="J5383" s="13" t="n">
        <f aca="false">IFERROR(MIN(Eingaben!$B$18,MAX(0,F5383-I5383)),0)</f>
        <v>1.5932278</v>
      </c>
      <c r="K5383" s="13" t="n">
        <f aca="false">H5383+I5383</f>
        <v>0.89</v>
      </c>
      <c r="L5383" s="13" t="n">
        <f aca="false">MAX(0,D5383-K5383)</f>
        <v>0</v>
      </c>
      <c r="M5383" s="13" t="n">
        <f aca="false">MAX(0,F5383-I5383-J5383)</f>
        <v>0</v>
      </c>
      <c r="N5383" s="13" t="n">
        <f aca="false">IF(Kalender!A259="",0,J5382-H5383)</f>
        <v>0.0150822</v>
      </c>
    </row>
    <row r="5384" customFormat="false" ht="16.4" hidden="false" customHeight="false" outlineLevel="0" collapsed="false">
      <c r="A5384" s="13" t="str">
        <f aca="false">""</f>
        <v/>
      </c>
      <c r="B5384" s="13" t="n">
        <f aca="false">256</f>
        <v>256</v>
      </c>
      <c r="C5384" s="13" t="n">
        <f aca="false">IF(Szenarien!$H$25="OK",(IFERROR(SUMIF(Nutzungsprofile!$B$6:$B$11,"Schulbetrieb",Nutzungsprofile!$G$6:$G$11)*Kalender!C260/SUM(Kalender!$C$5:$C$370),0)+IFERROR(SUMIF(Nutzungsprofile!$B$6:$B$11,"Halle",Nutzungsprofile!$G$6:$G$11)*Kalender!D260/SUM(Kalender!$D$5:$D$370),0)+IFERROR(SUMIF(Nutzungsprofile!$B$6:$B$11,"Individuell",Nutzungsprofile!$G$6:$G$11)*Kalender!E260/SUM(Kalender!$E$5:$E$370),0))*Szenarien!$E$25,0)</f>
        <v>2.04</v>
      </c>
      <c r="D5384" s="13" t="n">
        <f aca="false">IF(Szenarien!$H$25="OK",(IFERROR(SUMIF(Nutzungsprofile!$B$17:$B$22,"Schulbetrieb",Nutzungsprofile!$G$17:$G$22)*Kalender!C260/SUM(Kalender!$C$5:$C$370),0)+IFERROR(SUMIF(Nutzungsprofile!$B$17:$B$22,"Halle",Nutzungsprofile!$G$17:$G$22)*Kalender!D260/SUM(Kalender!$D$5:$D$370),0)+IFERROR(SUMIF(Nutzungsprofile!$B$17:$B$22,"Individuell",Nutzungsprofile!$G$17:$G$22)*Kalender!E260/SUM(Kalender!$E$5:$E$370),0))*Szenarien!$D$25,0)</f>
        <v>0.89</v>
      </c>
      <c r="E5384" s="13" t="n">
        <f aca="false">IFERROR(MIN(C5384,Eingaben!$B$17)*Eingaben!$B$16,0)</f>
        <v>1.938</v>
      </c>
      <c r="F5384" s="13" t="n">
        <f aca="false">IFERROR(E5384*Eingaben!$B$15,0)</f>
        <v>1.7442</v>
      </c>
      <c r="G5384" s="13" t="n">
        <f aca="false">IFERROR(IF(Kalender!A260="",0,J5383*(1-Eingaben!$B$20)),0)</f>
        <v>1.561363244</v>
      </c>
      <c r="H5384" s="13" t="n">
        <f aca="false">MIN(G5384,D5384)</f>
        <v>0.89</v>
      </c>
      <c r="I5384" s="13" t="n">
        <f aca="false">IFERROR(MIN(F5384*Eingaben!$B$19,MAX(0,D5384-H5384)),0)</f>
        <v>0</v>
      </c>
      <c r="J5384" s="13" t="n">
        <f aca="false">IFERROR(MIN(Eingaben!$B$18,MAX(0,F5384-I5384)),0)</f>
        <v>1.7442</v>
      </c>
      <c r="K5384" s="13" t="n">
        <f aca="false">H5384+I5384</f>
        <v>0.89</v>
      </c>
      <c r="L5384" s="13" t="n">
        <f aca="false">MAX(0,D5384-K5384)</f>
        <v>0</v>
      </c>
      <c r="M5384" s="13" t="n">
        <f aca="false">MAX(0,F5384-I5384-J5384)</f>
        <v>0</v>
      </c>
      <c r="N5384" s="13" t="n">
        <f aca="false">IF(Kalender!A260="",0,J5383-H5384)</f>
        <v>0.7032278</v>
      </c>
    </row>
    <row r="5385" customFormat="false" ht="16.4" hidden="false" customHeight="false" outlineLevel="0" collapsed="false">
      <c r="A5385" s="13" t="str">
        <f aca="false">""</f>
        <v/>
      </c>
      <c r="B5385" s="13" t="n">
        <f aca="false">257</f>
        <v>257</v>
      </c>
      <c r="C5385" s="13" t="n">
        <f aca="false">IF(Szenarien!$H$25="OK",(IFERROR(SUMIF(Nutzungsprofile!$B$6:$B$11,"Schulbetrieb",Nutzungsprofile!$G$6:$G$11)*Kalender!C261/SUM(Kalender!$C$5:$C$370),0)+IFERROR(SUMIF(Nutzungsprofile!$B$6:$B$11,"Halle",Nutzungsprofile!$G$6:$G$11)*Kalender!D261/SUM(Kalender!$D$5:$D$370),0)+IFERROR(SUMIF(Nutzungsprofile!$B$6:$B$11,"Individuell",Nutzungsprofile!$G$6:$G$11)*Kalender!E261/SUM(Kalender!$E$5:$E$370),0))*Szenarien!$E$25,0)</f>
        <v>2.94</v>
      </c>
      <c r="D5385" s="13" t="n">
        <f aca="false">IF(Szenarien!$H$25="OK",(IFERROR(SUMIF(Nutzungsprofile!$B$17:$B$22,"Schulbetrieb",Nutzungsprofile!$G$17:$G$22)*Kalender!C261/SUM(Kalender!$C$5:$C$370),0)+IFERROR(SUMIF(Nutzungsprofile!$B$17:$B$22,"Halle",Nutzungsprofile!$G$17:$G$22)*Kalender!D261/SUM(Kalender!$D$5:$D$370),0)+IFERROR(SUMIF(Nutzungsprofile!$B$17:$B$22,"Individuell",Nutzungsprofile!$G$17:$G$22)*Kalender!E261/SUM(Kalender!$E$5:$E$370),0))*Szenarien!$D$25,0)</f>
        <v>4.94</v>
      </c>
      <c r="E5385" s="13" t="n">
        <f aca="false">IFERROR(MIN(C5385,Eingaben!$B$17)*Eingaben!$B$16,0)</f>
        <v>2.793</v>
      </c>
      <c r="F5385" s="13" t="n">
        <f aca="false">IFERROR(E5385*Eingaben!$B$15,0)</f>
        <v>2.5137</v>
      </c>
      <c r="G5385" s="13" t="n">
        <f aca="false">IFERROR(IF(Kalender!A261="",0,J5384*(1-Eingaben!$B$20)),0)</f>
        <v>1.709316</v>
      </c>
      <c r="H5385" s="13" t="n">
        <f aca="false">MIN(G5385,D5385)</f>
        <v>1.709316</v>
      </c>
      <c r="I5385" s="13" t="n">
        <f aca="false">IFERROR(MIN(F5385*Eingaben!$B$19,MAX(0,D5385-H5385)),0)</f>
        <v>1.75959</v>
      </c>
      <c r="J5385" s="13" t="n">
        <f aca="false">IFERROR(MIN(Eingaben!$B$18,MAX(0,F5385-I5385)),0)</f>
        <v>0.75411</v>
      </c>
      <c r="K5385" s="13" t="n">
        <f aca="false">H5385+I5385</f>
        <v>3.468906</v>
      </c>
      <c r="L5385" s="13" t="n">
        <f aca="false">MAX(0,D5385-K5385)</f>
        <v>1.471094</v>
      </c>
      <c r="M5385" s="13" t="n">
        <f aca="false">MAX(0,F5385-I5385-J5385)</f>
        <v>0</v>
      </c>
      <c r="N5385" s="13" t="n">
        <f aca="false">IF(Kalender!A261="",0,J5384-H5385)</f>
        <v>0.0348840000000001</v>
      </c>
    </row>
    <row r="5386" customFormat="false" ht="16.4" hidden="false" customHeight="false" outlineLevel="0" collapsed="false">
      <c r="A5386" s="13" t="str">
        <f aca="false">""</f>
        <v/>
      </c>
      <c r="B5386" s="13" t="n">
        <f aca="false">258</f>
        <v>258</v>
      </c>
      <c r="C5386" s="13" t="n">
        <f aca="false">IF(Szenarien!$H$25="OK",(IFERROR(SUMIF(Nutzungsprofile!$B$6:$B$11,"Schulbetrieb",Nutzungsprofile!$G$6:$G$11)*Kalender!C262/SUM(Kalender!$C$5:$C$370),0)+IFERROR(SUMIF(Nutzungsprofile!$B$6:$B$11,"Halle",Nutzungsprofile!$G$6:$G$11)*Kalender!D262/SUM(Kalender!$D$5:$D$370),0)+IFERROR(SUMIF(Nutzungsprofile!$B$6:$B$11,"Individuell",Nutzungsprofile!$G$6:$G$11)*Kalender!E262/SUM(Kalender!$E$5:$E$370),0))*Szenarien!$E$25,0)</f>
        <v>2.94</v>
      </c>
      <c r="D5386" s="13" t="n">
        <f aca="false">IF(Szenarien!$H$25="OK",(IFERROR(SUMIF(Nutzungsprofile!$B$17:$B$22,"Schulbetrieb",Nutzungsprofile!$G$17:$G$22)*Kalender!C262/SUM(Kalender!$C$5:$C$370),0)+IFERROR(SUMIF(Nutzungsprofile!$B$17:$B$22,"Halle",Nutzungsprofile!$G$17:$G$22)*Kalender!D262/SUM(Kalender!$D$5:$D$370),0)+IFERROR(SUMIF(Nutzungsprofile!$B$17:$B$22,"Individuell",Nutzungsprofile!$G$17:$G$22)*Kalender!E262/SUM(Kalender!$E$5:$E$370),0))*Szenarien!$D$25,0)</f>
        <v>4.94</v>
      </c>
      <c r="E5386" s="13" t="n">
        <f aca="false">IFERROR(MIN(C5386,Eingaben!$B$17)*Eingaben!$B$16,0)</f>
        <v>2.793</v>
      </c>
      <c r="F5386" s="13" t="n">
        <f aca="false">IFERROR(E5386*Eingaben!$B$15,0)</f>
        <v>2.5137</v>
      </c>
      <c r="G5386" s="13" t="n">
        <f aca="false">IFERROR(IF(Kalender!A262="",0,J5385*(1-Eingaben!$B$20)),0)</f>
        <v>0.7390278</v>
      </c>
      <c r="H5386" s="13" t="n">
        <f aca="false">MIN(G5386,D5386)</f>
        <v>0.7390278</v>
      </c>
      <c r="I5386" s="13" t="n">
        <f aca="false">IFERROR(MIN(F5386*Eingaben!$B$19,MAX(0,D5386-H5386)),0)</f>
        <v>1.75959</v>
      </c>
      <c r="J5386" s="13" t="n">
        <f aca="false">IFERROR(MIN(Eingaben!$B$18,MAX(0,F5386-I5386)),0)</f>
        <v>0.75411</v>
      </c>
      <c r="K5386" s="13" t="n">
        <f aca="false">H5386+I5386</f>
        <v>2.4986178</v>
      </c>
      <c r="L5386" s="13" t="n">
        <f aca="false">MAX(0,D5386-K5386)</f>
        <v>2.4413822</v>
      </c>
      <c r="M5386" s="13" t="n">
        <f aca="false">MAX(0,F5386-I5386-J5386)</f>
        <v>0</v>
      </c>
      <c r="N5386" s="13" t="n">
        <f aca="false">IF(Kalender!A262="",0,J5385-H5386)</f>
        <v>0.0150822</v>
      </c>
    </row>
    <row r="5387" customFormat="false" ht="16.4" hidden="false" customHeight="false" outlineLevel="0" collapsed="false">
      <c r="A5387" s="13" t="str">
        <f aca="false">""</f>
        <v/>
      </c>
      <c r="B5387" s="13" t="n">
        <f aca="false">259</f>
        <v>259</v>
      </c>
      <c r="C5387" s="13" t="n">
        <f aca="false">IF(Szenarien!$H$25="OK",(IFERROR(SUMIF(Nutzungsprofile!$B$6:$B$11,"Schulbetrieb",Nutzungsprofile!$G$6:$G$11)*Kalender!C263/SUM(Kalender!$C$5:$C$370),0)+IFERROR(SUMIF(Nutzungsprofile!$B$6:$B$11,"Halle",Nutzungsprofile!$G$6:$G$11)*Kalender!D263/SUM(Kalender!$D$5:$D$370),0)+IFERROR(SUMIF(Nutzungsprofile!$B$6:$B$11,"Individuell",Nutzungsprofile!$G$6:$G$11)*Kalender!E263/SUM(Kalender!$E$5:$E$370),0))*Szenarien!$E$25,0)</f>
        <v>2.94</v>
      </c>
      <c r="D5387" s="13" t="n">
        <f aca="false">IF(Szenarien!$H$25="OK",(IFERROR(SUMIF(Nutzungsprofile!$B$17:$B$22,"Schulbetrieb",Nutzungsprofile!$G$17:$G$22)*Kalender!C263/SUM(Kalender!$C$5:$C$370),0)+IFERROR(SUMIF(Nutzungsprofile!$B$17:$B$22,"Halle",Nutzungsprofile!$G$17:$G$22)*Kalender!D263/SUM(Kalender!$D$5:$D$370),0)+IFERROR(SUMIF(Nutzungsprofile!$B$17:$B$22,"Individuell",Nutzungsprofile!$G$17:$G$22)*Kalender!E263/SUM(Kalender!$E$5:$E$370),0))*Szenarien!$D$25,0)</f>
        <v>4.94</v>
      </c>
      <c r="E5387" s="13" t="n">
        <f aca="false">IFERROR(MIN(C5387,Eingaben!$B$17)*Eingaben!$B$16,0)</f>
        <v>2.793</v>
      </c>
      <c r="F5387" s="13" t="n">
        <f aca="false">IFERROR(E5387*Eingaben!$B$15,0)</f>
        <v>2.5137</v>
      </c>
      <c r="G5387" s="13" t="n">
        <f aca="false">IFERROR(IF(Kalender!A263="",0,J5386*(1-Eingaben!$B$20)),0)</f>
        <v>0.7390278</v>
      </c>
      <c r="H5387" s="13" t="n">
        <f aca="false">MIN(G5387,D5387)</f>
        <v>0.7390278</v>
      </c>
      <c r="I5387" s="13" t="n">
        <f aca="false">IFERROR(MIN(F5387*Eingaben!$B$19,MAX(0,D5387-H5387)),0)</f>
        <v>1.75959</v>
      </c>
      <c r="J5387" s="13" t="n">
        <f aca="false">IFERROR(MIN(Eingaben!$B$18,MAX(0,F5387-I5387)),0)</f>
        <v>0.75411</v>
      </c>
      <c r="K5387" s="13" t="n">
        <f aca="false">H5387+I5387</f>
        <v>2.4986178</v>
      </c>
      <c r="L5387" s="13" t="n">
        <f aca="false">MAX(0,D5387-K5387)</f>
        <v>2.4413822</v>
      </c>
      <c r="M5387" s="13" t="n">
        <f aca="false">MAX(0,F5387-I5387-J5387)</f>
        <v>0</v>
      </c>
      <c r="N5387" s="13" t="n">
        <f aca="false">IF(Kalender!A263="",0,J5386-H5387)</f>
        <v>0.0150822</v>
      </c>
    </row>
    <row r="5388" customFormat="false" ht="16.4" hidden="false" customHeight="false" outlineLevel="0" collapsed="false">
      <c r="A5388" s="13" t="str">
        <f aca="false">""</f>
        <v/>
      </c>
      <c r="B5388" s="13" t="n">
        <f aca="false">260</f>
        <v>260</v>
      </c>
      <c r="C5388" s="13" t="n">
        <f aca="false">IF(Szenarien!$H$25="OK",(IFERROR(SUMIF(Nutzungsprofile!$B$6:$B$11,"Schulbetrieb",Nutzungsprofile!$G$6:$G$11)*Kalender!C264/SUM(Kalender!$C$5:$C$370),0)+IFERROR(SUMIF(Nutzungsprofile!$B$6:$B$11,"Halle",Nutzungsprofile!$G$6:$G$11)*Kalender!D264/SUM(Kalender!$D$5:$D$370),0)+IFERROR(SUMIF(Nutzungsprofile!$B$6:$B$11,"Individuell",Nutzungsprofile!$G$6:$G$11)*Kalender!E264/SUM(Kalender!$E$5:$E$370),0))*Szenarien!$E$25,0)</f>
        <v>2.94</v>
      </c>
      <c r="D5388" s="13" t="n">
        <f aca="false">IF(Szenarien!$H$25="OK",(IFERROR(SUMIF(Nutzungsprofile!$B$17:$B$22,"Schulbetrieb",Nutzungsprofile!$G$17:$G$22)*Kalender!C264/SUM(Kalender!$C$5:$C$370),0)+IFERROR(SUMIF(Nutzungsprofile!$B$17:$B$22,"Halle",Nutzungsprofile!$G$17:$G$22)*Kalender!D264/SUM(Kalender!$D$5:$D$370),0)+IFERROR(SUMIF(Nutzungsprofile!$B$17:$B$22,"Individuell",Nutzungsprofile!$G$17:$G$22)*Kalender!E264/SUM(Kalender!$E$5:$E$370),0))*Szenarien!$D$25,0)</f>
        <v>4.94</v>
      </c>
      <c r="E5388" s="13" t="n">
        <f aca="false">IFERROR(MIN(C5388,Eingaben!$B$17)*Eingaben!$B$16,0)</f>
        <v>2.793</v>
      </c>
      <c r="F5388" s="13" t="n">
        <f aca="false">IFERROR(E5388*Eingaben!$B$15,0)</f>
        <v>2.5137</v>
      </c>
      <c r="G5388" s="13" t="n">
        <f aca="false">IFERROR(IF(Kalender!A264="",0,J5387*(1-Eingaben!$B$20)),0)</f>
        <v>0.7390278</v>
      </c>
      <c r="H5388" s="13" t="n">
        <f aca="false">MIN(G5388,D5388)</f>
        <v>0.7390278</v>
      </c>
      <c r="I5388" s="13" t="n">
        <f aca="false">IFERROR(MIN(F5388*Eingaben!$B$19,MAX(0,D5388-H5388)),0)</f>
        <v>1.75959</v>
      </c>
      <c r="J5388" s="13" t="n">
        <f aca="false">IFERROR(MIN(Eingaben!$B$18,MAX(0,F5388-I5388)),0)</f>
        <v>0.75411</v>
      </c>
      <c r="K5388" s="13" t="n">
        <f aca="false">H5388+I5388</f>
        <v>2.4986178</v>
      </c>
      <c r="L5388" s="13" t="n">
        <f aca="false">MAX(0,D5388-K5388)</f>
        <v>2.4413822</v>
      </c>
      <c r="M5388" s="13" t="n">
        <f aca="false">MAX(0,F5388-I5388-J5388)</f>
        <v>0</v>
      </c>
      <c r="N5388" s="13" t="n">
        <f aca="false">IF(Kalender!A264="",0,J5387-H5388)</f>
        <v>0.0150822</v>
      </c>
    </row>
    <row r="5389" customFormat="false" ht="16.4" hidden="false" customHeight="false" outlineLevel="0" collapsed="false">
      <c r="A5389" s="13" t="str">
        <f aca="false">""</f>
        <v/>
      </c>
      <c r="B5389" s="13" t="n">
        <f aca="false">261</f>
        <v>261</v>
      </c>
      <c r="C5389" s="13" t="n">
        <f aca="false">IF(Szenarien!$H$25="OK",(IFERROR(SUMIF(Nutzungsprofile!$B$6:$B$11,"Schulbetrieb",Nutzungsprofile!$G$6:$G$11)*Kalender!C265/SUM(Kalender!$C$5:$C$370),0)+IFERROR(SUMIF(Nutzungsprofile!$B$6:$B$11,"Halle",Nutzungsprofile!$G$6:$G$11)*Kalender!D265/SUM(Kalender!$D$5:$D$370),0)+IFERROR(SUMIF(Nutzungsprofile!$B$6:$B$11,"Individuell",Nutzungsprofile!$G$6:$G$11)*Kalender!E265/SUM(Kalender!$E$5:$E$370),0))*Szenarien!$E$25,0)</f>
        <v>2.94</v>
      </c>
      <c r="D5389" s="13" t="n">
        <f aca="false">IF(Szenarien!$H$25="OK",(IFERROR(SUMIF(Nutzungsprofile!$B$17:$B$22,"Schulbetrieb",Nutzungsprofile!$G$17:$G$22)*Kalender!C265/SUM(Kalender!$C$5:$C$370),0)+IFERROR(SUMIF(Nutzungsprofile!$B$17:$B$22,"Halle",Nutzungsprofile!$G$17:$G$22)*Kalender!D265/SUM(Kalender!$D$5:$D$370),0)+IFERROR(SUMIF(Nutzungsprofile!$B$17:$B$22,"Individuell",Nutzungsprofile!$G$17:$G$22)*Kalender!E265/SUM(Kalender!$E$5:$E$370),0))*Szenarien!$D$25,0)</f>
        <v>4.94</v>
      </c>
      <c r="E5389" s="13" t="n">
        <f aca="false">IFERROR(MIN(C5389,Eingaben!$B$17)*Eingaben!$B$16,0)</f>
        <v>2.793</v>
      </c>
      <c r="F5389" s="13" t="n">
        <f aca="false">IFERROR(E5389*Eingaben!$B$15,0)</f>
        <v>2.5137</v>
      </c>
      <c r="G5389" s="13" t="n">
        <f aca="false">IFERROR(IF(Kalender!A265="",0,J5388*(1-Eingaben!$B$20)),0)</f>
        <v>0.7390278</v>
      </c>
      <c r="H5389" s="13" t="n">
        <f aca="false">MIN(G5389,D5389)</f>
        <v>0.7390278</v>
      </c>
      <c r="I5389" s="13" t="n">
        <f aca="false">IFERROR(MIN(F5389*Eingaben!$B$19,MAX(0,D5389-H5389)),0)</f>
        <v>1.75959</v>
      </c>
      <c r="J5389" s="13" t="n">
        <f aca="false">IFERROR(MIN(Eingaben!$B$18,MAX(0,F5389-I5389)),0)</f>
        <v>0.75411</v>
      </c>
      <c r="K5389" s="13" t="n">
        <f aca="false">H5389+I5389</f>
        <v>2.4986178</v>
      </c>
      <c r="L5389" s="13" t="n">
        <f aca="false">MAX(0,D5389-K5389)</f>
        <v>2.4413822</v>
      </c>
      <c r="M5389" s="13" t="n">
        <f aca="false">MAX(0,F5389-I5389-J5389)</f>
        <v>0</v>
      </c>
      <c r="N5389" s="13" t="n">
        <f aca="false">IF(Kalender!A265="",0,J5388-H5389)</f>
        <v>0.0150822</v>
      </c>
    </row>
    <row r="5390" customFormat="false" ht="16.4" hidden="false" customHeight="false" outlineLevel="0" collapsed="false">
      <c r="A5390" s="13" t="str">
        <f aca="false">""</f>
        <v/>
      </c>
      <c r="B5390" s="13" t="n">
        <f aca="false">262</f>
        <v>262</v>
      </c>
      <c r="C5390" s="13" t="n">
        <f aca="false">IF(Szenarien!$H$25="OK",(IFERROR(SUMIF(Nutzungsprofile!$B$6:$B$11,"Schulbetrieb",Nutzungsprofile!$G$6:$G$11)*Kalender!C266/SUM(Kalender!$C$5:$C$370),0)+IFERROR(SUMIF(Nutzungsprofile!$B$6:$B$11,"Halle",Nutzungsprofile!$G$6:$G$11)*Kalender!D266/SUM(Kalender!$D$5:$D$370),0)+IFERROR(SUMIF(Nutzungsprofile!$B$6:$B$11,"Individuell",Nutzungsprofile!$G$6:$G$11)*Kalender!E266/SUM(Kalender!$E$5:$E$370),0))*Szenarien!$E$25,0)</f>
        <v>2.04</v>
      </c>
      <c r="D5390" s="13" t="n">
        <f aca="false">IF(Szenarien!$H$25="OK",(IFERROR(SUMIF(Nutzungsprofile!$B$17:$B$22,"Schulbetrieb",Nutzungsprofile!$G$17:$G$22)*Kalender!C266/SUM(Kalender!$C$5:$C$370),0)+IFERROR(SUMIF(Nutzungsprofile!$B$17:$B$22,"Halle",Nutzungsprofile!$G$17:$G$22)*Kalender!D266/SUM(Kalender!$D$5:$D$370),0)+IFERROR(SUMIF(Nutzungsprofile!$B$17:$B$22,"Individuell",Nutzungsprofile!$G$17:$G$22)*Kalender!E266/SUM(Kalender!$E$5:$E$370),0))*Szenarien!$D$25,0)</f>
        <v>0.89</v>
      </c>
      <c r="E5390" s="13" t="n">
        <f aca="false">IFERROR(MIN(C5390,Eingaben!$B$17)*Eingaben!$B$16,0)</f>
        <v>1.938</v>
      </c>
      <c r="F5390" s="13" t="n">
        <f aca="false">IFERROR(E5390*Eingaben!$B$15,0)</f>
        <v>1.7442</v>
      </c>
      <c r="G5390" s="13" t="n">
        <f aca="false">IFERROR(IF(Kalender!A266="",0,J5389*(1-Eingaben!$B$20)),0)</f>
        <v>0.7390278</v>
      </c>
      <c r="H5390" s="13" t="n">
        <f aca="false">MIN(G5390,D5390)</f>
        <v>0.7390278</v>
      </c>
      <c r="I5390" s="13" t="n">
        <f aca="false">IFERROR(MIN(F5390*Eingaben!$B$19,MAX(0,D5390-H5390)),0)</f>
        <v>0.1509722</v>
      </c>
      <c r="J5390" s="13" t="n">
        <f aca="false">IFERROR(MIN(Eingaben!$B$18,MAX(0,F5390-I5390)),0)</f>
        <v>1.5932278</v>
      </c>
      <c r="K5390" s="13" t="n">
        <f aca="false">H5390+I5390</f>
        <v>0.89</v>
      </c>
      <c r="L5390" s="13" t="n">
        <f aca="false">MAX(0,D5390-K5390)</f>
        <v>0</v>
      </c>
      <c r="M5390" s="13" t="n">
        <f aca="false">MAX(0,F5390-I5390-J5390)</f>
        <v>0</v>
      </c>
      <c r="N5390" s="13" t="n">
        <f aca="false">IF(Kalender!A266="",0,J5389-H5390)</f>
        <v>0.0150822</v>
      </c>
    </row>
    <row r="5391" customFormat="false" ht="16.4" hidden="false" customHeight="false" outlineLevel="0" collapsed="false">
      <c r="A5391" s="13" t="str">
        <f aca="false">""</f>
        <v/>
      </c>
      <c r="B5391" s="13" t="n">
        <f aca="false">263</f>
        <v>263</v>
      </c>
      <c r="C5391" s="13" t="n">
        <f aca="false">IF(Szenarien!$H$25="OK",(IFERROR(SUMIF(Nutzungsprofile!$B$6:$B$11,"Schulbetrieb",Nutzungsprofile!$G$6:$G$11)*Kalender!C267/SUM(Kalender!$C$5:$C$370),0)+IFERROR(SUMIF(Nutzungsprofile!$B$6:$B$11,"Halle",Nutzungsprofile!$G$6:$G$11)*Kalender!D267/SUM(Kalender!$D$5:$D$370),0)+IFERROR(SUMIF(Nutzungsprofile!$B$6:$B$11,"Individuell",Nutzungsprofile!$G$6:$G$11)*Kalender!E267/SUM(Kalender!$E$5:$E$370),0))*Szenarien!$E$25,0)</f>
        <v>2.04</v>
      </c>
      <c r="D5391" s="13" t="n">
        <f aca="false">IF(Szenarien!$H$25="OK",(IFERROR(SUMIF(Nutzungsprofile!$B$17:$B$22,"Schulbetrieb",Nutzungsprofile!$G$17:$G$22)*Kalender!C267/SUM(Kalender!$C$5:$C$370),0)+IFERROR(SUMIF(Nutzungsprofile!$B$17:$B$22,"Halle",Nutzungsprofile!$G$17:$G$22)*Kalender!D267/SUM(Kalender!$D$5:$D$370),0)+IFERROR(SUMIF(Nutzungsprofile!$B$17:$B$22,"Individuell",Nutzungsprofile!$G$17:$G$22)*Kalender!E267/SUM(Kalender!$E$5:$E$370),0))*Szenarien!$D$25,0)</f>
        <v>0.89</v>
      </c>
      <c r="E5391" s="13" t="n">
        <f aca="false">IFERROR(MIN(C5391,Eingaben!$B$17)*Eingaben!$B$16,0)</f>
        <v>1.938</v>
      </c>
      <c r="F5391" s="13" t="n">
        <f aca="false">IFERROR(E5391*Eingaben!$B$15,0)</f>
        <v>1.7442</v>
      </c>
      <c r="G5391" s="13" t="n">
        <f aca="false">IFERROR(IF(Kalender!A267="",0,J5390*(1-Eingaben!$B$20)),0)</f>
        <v>1.561363244</v>
      </c>
      <c r="H5391" s="13" t="n">
        <f aca="false">MIN(G5391,D5391)</f>
        <v>0.89</v>
      </c>
      <c r="I5391" s="13" t="n">
        <f aca="false">IFERROR(MIN(F5391*Eingaben!$B$19,MAX(0,D5391-H5391)),0)</f>
        <v>0</v>
      </c>
      <c r="J5391" s="13" t="n">
        <f aca="false">IFERROR(MIN(Eingaben!$B$18,MAX(0,F5391-I5391)),0)</f>
        <v>1.7442</v>
      </c>
      <c r="K5391" s="13" t="n">
        <f aca="false">H5391+I5391</f>
        <v>0.89</v>
      </c>
      <c r="L5391" s="13" t="n">
        <f aca="false">MAX(0,D5391-K5391)</f>
        <v>0</v>
      </c>
      <c r="M5391" s="13" t="n">
        <f aca="false">MAX(0,F5391-I5391-J5391)</f>
        <v>0</v>
      </c>
      <c r="N5391" s="13" t="n">
        <f aca="false">IF(Kalender!A267="",0,J5390-H5391)</f>
        <v>0.7032278</v>
      </c>
    </row>
    <row r="5392" customFormat="false" ht="16.4" hidden="false" customHeight="false" outlineLevel="0" collapsed="false">
      <c r="A5392" s="13" t="str">
        <f aca="false">""</f>
        <v/>
      </c>
      <c r="B5392" s="13" t="n">
        <f aca="false">264</f>
        <v>264</v>
      </c>
      <c r="C5392" s="13" t="n">
        <f aca="false">IF(Szenarien!$H$25="OK",(IFERROR(SUMIF(Nutzungsprofile!$B$6:$B$11,"Schulbetrieb",Nutzungsprofile!$G$6:$G$11)*Kalender!C268/SUM(Kalender!$C$5:$C$370),0)+IFERROR(SUMIF(Nutzungsprofile!$B$6:$B$11,"Halle",Nutzungsprofile!$G$6:$G$11)*Kalender!D268/SUM(Kalender!$D$5:$D$370),0)+IFERROR(SUMIF(Nutzungsprofile!$B$6:$B$11,"Individuell",Nutzungsprofile!$G$6:$G$11)*Kalender!E268/SUM(Kalender!$E$5:$E$370),0))*Szenarien!$E$25,0)</f>
        <v>2.94</v>
      </c>
      <c r="D5392" s="13" t="n">
        <f aca="false">IF(Szenarien!$H$25="OK",(IFERROR(SUMIF(Nutzungsprofile!$B$17:$B$22,"Schulbetrieb",Nutzungsprofile!$G$17:$G$22)*Kalender!C268/SUM(Kalender!$C$5:$C$370),0)+IFERROR(SUMIF(Nutzungsprofile!$B$17:$B$22,"Halle",Nutzungsprofile!$G$17:$G$22)*Kalender!D268/SUM(Kalender!$D$5:$D$370),0)+IFERROR(SUMIF(Nutzungsprofile!$B$17:$B$22,"Individuell",Nutzungsprofile!$G$17:$G$22)*Kalender!E268/SUM(Kalender!$E$5:$E$370),0))*Szenarien!$D$25,0)</f>
        <v>4.94</v>
      </c>
      <c r="E5392" s="13" t="n">
        <f aca="false">IFERROR(MIN(C5392,Eingaben!$B$17)*Eingaben!$B$16,0)</f>
        <v>2.793</v>
      </c>
      <c r="F5392" s="13" t="n">
        <f aca="false">IFERROR(E5392*Eingaben!$B$15,0)</f>
        <v>2.5137</v>
      </c>
      <c r="G5392" s="13" t="n">
        <f aca="false">IFERROR(IF(Kalender!A268="",0,J5391*(1-Eingaben!$B$20)),0)</f>
        <v>1.709316</v>
      </c>
      <c r="H5392" s="13" t="n">
        <f aca="false">MIN(G5392,D5392)</f>
        <v>1.709316</v>
      </c>
      <c r="I5392" s="13" t="n">
        <f aca="false">IFERROR(MIN(F5392*Eingaben!$B$19,MAX(0,D5392-H5392)),0)</f>
        <v>1.75959</v>
      </c>
      <c r="J5392" s="13" t="n">
        <f aca="false">IFERROR(MIN(Eingaben!$B$18,MAX(0,F5392-I5392)),0)</f>
        <v>0.75411</v>
      </c>
      <c r="K5392" s="13" t="n">
        <f aca="false">H5392+I5392</f>
        <v>3.468906</v>
      </c>
      <c r="L5392" s="13" t="n">
        <f aca="false">MAX(0,D5392-K5392)</f>
        <v>1.471094</v>
      </c>
      <c r="M5392" s="13" t="n">
        <f aca="false">MAX(0,F5392-I5392-J5392)</f>
        <v>0</v>
      </c>
      <c r="N5392" s="13" t="n">
        <f aca="false">IF(Kalender!A268="",0,J5391-H5392)</f>
        <v>0.0348840000000001</v>
      </c>
    </row>
    <row r="5393" customFormat="false" ht="16.4" hidden="false" customHeight="false" outlineLevel="0" collapsed="false">
      <c r="A5393" s="13" t="str">
        <f aca="false">""</f>
        <v/>
      </c>
      <c r="B5393" s="13" t="n">
        <f aca="false">265</f>
        <v>265</v>
      </c>
      <c r="C5393" s="13" t="n">
        <f aca="false">IF(Szenarien!$H$25="OK",(IFERROR(SUMIF(Nutzungsprofile!$B$6:$B$11,"Schulbetrieb",Nutzungsprofile!$G$6:$G$11)*Kalender!C269/SUM(Kalender!$C$5:$C$370),0)+IFERROR(SUMIF(Nutzungsprofile!$B$6:$B$11,"Halle",Nutzungsprofile!$G$6:$G$11)*Kalender!D269/SUM(Kalender!$D$5:$D$370),0)+IFERROR(SUMIF(Nutzungsprofile!$B$6:$B$11,"Individuell",Nutzungsprofile!$G$6:$G$11)*Kalender!E269/SUM(Kalender!$E$5:$E$370),0))*Szenarien!$E$25,0)</f>
        <v>2.94</v>
      </c>
      <c r="D5393" s="13" t="n">
        <f aca="false">IF(Szenarien!$H$25="OK",(IFERROR(SUMIF(Nutzungsprofile!$B$17:$B$22,"Schulbetrieb",Nutzungsprofile!$G$17:$G$22)*Kalender!C269/SUM(Kalender!$C$5:$C$370),0)+IFERROR(SUMIF(Nutzungsprofile!$B$17:$B$22,"Halle",Nutzungsprofile!$G$17:$G$22)*Kalender!D269/SUM(Kalender!$D$5:$D$370),0)+IFERROR(SUMIF(Nutzungsprofile!$B$17:$B$22,"Individuell",Nutzungsprofile!$G$17:$G$22)*Kalender!E269/SUM(Kalender!$E$5:$E$370),0))*Szenarien!$D$25,0)</f>
        <v>4.94</v>
      </c>
      <c r="E5393" s="13" t="n">
        <f aca="false">IFERROR(MIN(C5393,Eingaben!$B$17)*Eingaben!$B$16,0)</f>
        <v>2.793</v>
      </c>
      <c r="F5393" s="13" t="n">
        <f aca="false">IFERROR(E5393*Eingaben!$B$15,0)</f>
        <v>2.5137</v>
      </c>
      <c r="G5393" s="13" t="n">
        <f aca="false">IFERROR(IF(Kalender!A269="",0,J5392*(1-Eingaben!$B$20)),0)</f>
        <v>0.7390278</v>
      </c>
      <c r="H5393" s="13" t="n">
        <f aca="false">MIN(G5393,D5393)</f>
        <v>0.7390278</v>
      </c>
      <c r="I5393" s="13" t="n">
        <f aca="false">IFERROR(MIN(F5393*Eingaben!$B$19,MAX(0,D5393-H5393)),0)</f>
        <v>1.75959</v>
      </c>
      <c r="J5393" s="13" t="n">
        <f aca="false">IFERROR(MIN(Eingaben!$B$18,MAX(0,F5393-I5393)),0)</f>
        <v>0.75411</v>
      </c>
      <c r="K5393" s="13" t="n">
        <f aca="false">H5393+I5393</f>
        <v>2.4986178</v>
      </c>
      <c r="L5393" s="13" t="n">
        <f aca="false">MAX(0,D5393-K5393)</f>
        <v>2.4413822</v>
      </c>
      <c r="M5393" s="13" t="n">
        <f aca="false">MAX(0,F5393-I5393-J5393)</f>
        <v>0</v>
      </c>
      <c r="N5393" s="13" t="n">
        <f aca="false">IF(Kalender!A269="",0,J5392-H5393)</f>
        <v>0.0150822</v>
      </c>
    </row>
    <row r="5394" customFormat="false" ht="16.4" hidden="false" customHeight="false" outlineLevel="0" collapsed="false">
      <c r="A5394" s="13" t="str">
        <f aca="false">""</f>
        <v/>
      </c>
      <c r="B5394" s="13" t="n">
        <f aca="false">266</f>
        <v>266</v>
      </c>
      <c r="C5394" s="13" t="n">
        <f aca="false">IF(Szenarien!$H$25="OK",(IFERROR(SUMIF(Nutzungsprofile!$B$6:$B$11,"Schulbetrieb",Nutzungsprofile!$G$6:$G$11)*Kalender!C270/SUM(Kalender!$C$5:$C$370),0)+IFERROR(SUMIF(Nutzungsprofile!$B$6:$B$11,"Halle",Nutzungsprofile!$G$6:$G$11)*Kalender!D270/SUM(Kalender!$D$5:$D$370),0)+IFERROR(SUMIF(Nutzungsprofile!$B$6:$B$11,"Individuell",Nutzungsprofile!$G$6:$G$11)*Kalender!E270/SUM(Kalender!$E$5:$E$370),0))*Szenarien!$E$25,0)</f>
        <v>2.94</v>
      </c>
      <c r="D5394" s="13" t="n">
        <f aca="false">IF(Szenarien!$H$25="OK",(IFERROR(SUMIF(Nutzungsprofile!$B$17:$B$22,"Schulbetrieb",Nutzungsprofile!$G$17:$G$22)*Kalender!C270/SUM(Kalender!$C$5:$C$370),0)+IFERROR(SUMIF(Nutzungsprofile!$B$17:$B$22,"Halle",Nutzungsprofile!$G$17:$G$22)*Kalender!D270/SUM(Kalender!$D$5:$D$370),0)+IFERROR(SUMIF(Nutzungsprofile!$B$17:$B$22,"Individuell",Nutzungsprofile!$G$17:$G$22)*Kalender!E270/SUM(Kalender!$E$5:$E$370),0))*Szenarien!$D$25,0)</f>
        <v>4.94</v>
      </c>
      <c r="E5394" s="13" t="n">
        <f aca="false">IFERROR(MIN(C5394,Eingaben!$B$17)*Eingaben!$B$16,0)</f>
        <v>2.793</v>
      </c>
      <c r="F5394" s="13" t="n">
        <f aca="false">IFERROR(E5394*Eingaben!$B$15,0)</f>
        <v>2.5137</v>
      </c>
      <c r="G5394" s="13" t="n">
        <f aca="false">IFERROR(IF(Kalender!A270="",0,J5393*(1-Eingaben!$B$20)),0)</f>
        <v>0.7390278</v>
      </c>
      <c r="H5394" s="13" t="n">
        <f aca="false">MIN(G5394,D5394)</f>
        <v>0.7390278</v>
      </c>
      <c r="I5394" s="13" t="n">
        <f aca="false">IFERROR(MIN(F5394*Eingaben!$B$19,MAX(0,D5394-H5394)),0)</f>
        <v>1.75959</v>
      </c>
      <c r="J5394" s="13" t="n">
        <f aca="false">IFERROR(MIN(Eingaben!$B$18,MAX(0,F5394-I5394)),0)</f>
        <v>0.75411</v>
      </c>
      <c r="K5394" s="13" t="n">
        <f aca="false">H5394+I5394</f>
        <v>2.4986178</v>
      </c>
      <c r="L5394" s="13" t="n">
        <f aca="false">MAX(0,D5394-K5394)</f>
        <v>2.4413822</v>
      </c>
      <c r="M5394" s="13" t="n">
        <f aca="false">MAX(0,F5394-I5394-J5394)</f>
        <v>0</v>
      </c>
      <c r="N5394" s="13" t="n">
        <f aca="false">IF(Kalender!A270="",0,J5393-H5394)</f>
        <v>0.0150822</v>
      </c>
    </row>
    <row r="5395" customFormat="false" ht="16.4" hidden="false" customHeight="false" outlineLevel="0" collapsed="false">
      <c r="A5395" s="13" t="str">
        <f aca="false">""</f>
        <v/>
      </c>
      <c r="B5395" s="13" t="n">
        <f aca="false">267</f>
        <v>267</v>
      </c>
      <c r="C5395" s="13" t="n">
        <f aca="false">IF(Szenarien!$H$25="OK",(IFERROR(SUMIF(Nutzungsprofile!$B$6:$B$11,"Schulbetrieb",Nutzungsprofile!$G$6:$G$11)*Kalender!C271/SUM(Kalender!$C$5:$C$370),0)+IFERROR(SUMIF(Nutzungsprofile!$B$6:$B$11,"Halle",Nutzungsprofile!$G$6:$G$11)*Kalender!D271/SUM(Kalender!$D$5:$D$370),0)+IFERROR(SUMIF(Nutzungsprofile!$B$6:$B$11,"Individuell",Nutzungsprofile!$G$6:$G$11)*Kalender!E271/SUM(Kalender!$E$5:$E$370),0))*Szenarien!$E$25,0)</f>
        <v>2.94</v>
      </c>
      <c r="D5395" s="13" t="n">
        <f aca="false">IF(Szenarien!$H$25="OK",(IFERROR(SUMIF(Nutzungsprofile!$B$17:$B$22,"Schulbetrieb",Nutzungsprofile!$G$17:$G$22)*Kalender!C271/SUM(Kalender!$C$5:$C$370),0)+IFERROR(SUMIF(Nutzungsprofile!$B$17:$B$22,"Halle",Nutzungsprofile!$G$17:$G$22)*Kalender!D271/SUM(Kalender!$D$5:$D$370),0)+IFERROR(SUMIF(Nutzungsprofile!$B$17:$B$22,"Individuell",Nutzungsprofile!$G$17:$G$22)*Kalender!E271/SUM(Kalender!$E$5:$E$370),0))*Szenarien!$D$25,0)</f>
        <v>4.94</v>
      </c>
      <c r="E5395" s="13" t="n">
        <f aca="false">IFERROR(MIN(C5395,Eingaben!$B$17)*Eingaben!$B$16,0)</f>
        <v>2.793</v>
      </c>
      <c r="F5395" s="13" t="n">
        <f aca="false">IFERROR(E5395*Eingaben!$B$15,0)</f>
        <v>2.5137</v>
      </c>
      <c r="G5395" s="13" t="n">
        <f aca="false">IFERROR(IF(Kalender!A271="",0,J5394*(1-Eingaben!$B$20)),0)</f>
        <v>0.7390278</v>
      </c>
      <c r="H5395" s="13" t="n">
        <f aca="false">MIN(G5395,D5395)</f>
        <v>0.7390278</v>
      </c>
      <c r="I5395" s="13" t="n">
        <f aca="false">IFERROR(MIN(F5395*Eingaben!$B$19,MAX(0,D5395-H5395)),0)</f>
        <v>1.75959</v>
      </c>
      <c r="J5395" s="13" t="n">
        <f aca="false">IFERROR(MIN(Eingaben!$B$18,MAX(0,F5395-I5395)),0)</f>
        <v>0.75411</v>
      </c>
      <c r="K5395" s="13" t="n">
        <f aca="false">H5395+I5395</f>
        <v>2.4986178</v>
      </c>
      <c r="L5395" s="13" t="n">
        <f aca="false">MAX(0,D5395-K5395)</f>
        <v>2.4413822</v>
      </c>
      <c r="M5395" s="13" t="n">
        <f aca="false">MAX(0,F5395-I5395-J5395)</f>
        <v>0</v>
      </c>
      <c r="N5395" s="13" t="n">
        <f aca="false">IF(Kalender!A271="",0,J5394-H5395)</f>
        <v>0.0150822</v>
      </c>
    </row>
    <row r="5396" customFormat="false" ht="16.4" hidden="false" customHeight="false" outlineLevel="0" collapsed="false">
      <c r="A5396" s="13" t="str">
        <f aca="false">""</f>
        <v/>
      </c>
      <c r="B5396" s="13" t="n">
        <f aca="false">268</f>
        <v>268</v>
      </c>
      <c r="C5396" s="13" t="n">
        <f aca="false">IF(Szenarien!$H$25="OK",(IFERROR(SUMIF(Nutzungsprofile!$B$6:$B$11,"Schulbetrieb",Nutzungsprofile!$G$6:$G$11)*Kalender!C272/SUM(Kalender!$C$5:$C$370),0)+IFERROR(SUMIF(Nutzungsprofile!$B$6:$B$11,"Halle",Nutzungsprofile!$G$6:$G$11)*Kalender!D272/SUM(Kalender!$D$5:$D$370),0)+IFERROR(SUMIF(Nutzungsprofile!$B$6:$B$11,"Individuell",Nutzungsprofile!$G$6:$G$11)*Kalender!E272/SUM(Kalender!$E$5:$E$370),0))*Szenarien!$E$25,0)</f>
        <v>2.94</v>
      </c>
      <c r="D5396" s="13" t="n">
        <f aca="false">IF(Szenarien!$H$25="OK",(IFERROR(SUMIF(Nutzungsprofile!$B$17:$B$22,"Schulbetrieb",Nutzungsprofile!$G$17:$G$22)*Kalender!C272/SUM(Kalender!$C$5:$C$370),0)+IFERROR(SUMIF(Nutzungsprofile!$B$17:$B$22,"Halle",Nutzungsprofile!$G$17:$G$22)*Kalender!D272/SUM(Kalender!$D$5:$D$370),0)+IFERROR(SUMIF(Nutzungsprofile!$B$17:$B$22,"Individuell",Nutzungsprofile!$G$17:$G$22)*Kalender!E272/SUM(Kalender!$E$5:$E$370),0))*Szenarien!$D$25,0)</f>
        <v>4.94</v>
      </c>
      <c r="E5396" s="13" t="n">
        <f aca="false">IFERROR(MIN(C5396,Eingaben!$B$17)*Eingaben!$B$16,0)</f>
        <v>2.793</v>
      </c>
      <c r="F5396" s="13" t="n">
        <f aca="false">IFERROR(E5396*Eingaben!$B$15,0)</f>
        <v>2.5137</v>
      </c>
      <c r="G5396" s="13" t="n">
        <f aca="false">IFERROR(IF(Kalender!A272="",0,J5395*(1-Eingaben!$B$20)),0)</f>
        <v>0.7390278</v>
      </c>
      <c r="H5396" s="13" t="n">
        <f aca="false">MIN(G5396,D5396)</f>
        <v>0.7390278</v>
      </c>
      <c r="I5396" s="13" t="n">
        <f aca="false">IFERROR(MIN(F5396*Eingaben!$B$19,MAX(0,D5396-H5396)),0)</f>
        <v>1.75959</v>
      </c>
      <c r="J5396" s="13" t="n">
        <f aca="false">IFERROR(MIN(Eingaben!$B$18,MAX(0,F5396-I5396)),0)</f>
        <v>0.75411</v>
      </c>
      <c r="K5396" s="13" t="n">
        <f aca="false">H5396+I5396</f>
        <v>2.4986178</v>
      </c>
      <c r="L5396" s="13" t="n">
        <f aca="false">MAX(0,D5396-K5396)</f>
        <v>2.4413822</v>
      </c>
      <c r="M5396" s="13" t="n">
        <f aca="false">MAX(0,F5396-I5396-J5396)</f>
        <v>0</v>
      </c>
      <c r="N5396" s="13" t="n">
        <f aca="false">IF(Kalender!A272="",0,J5395-H5396)</f>
        <v>0.0150822</v>
      </c>
    </row>
    <row r="5397" customFormat="false" ht="16.4" hidden="false" customHeight="false" outlineLevel="0" collapsed="false">
      <c r="A5397" s="13" t="str">
        <f aca="false">""</f>
        <v/>
      </c>
      <c r="B5397" s="13" t="n">
        <f aca="false">269</f>
        <v>269</v>
      </c>
      <c r="C5397" s="13" t="n">
        <f aca="false">IF(Szenarien!$H$25="OK",(IFERROR(SUMIF(Nutzungsprofile!$B$6:$B$11,"Schulbetrieb",Nutzungsprofile!$G$6:$G$11)*Kalender!C273/SUM(Kalender!$C$5:$C$370),0)+IFERROR(SUMIF(Nutzungsprofile!$B$6:$B$11,"Halle",Nutzungsprofile!$G$6:$G$11)*Kalender!D273/SUM(Kalender!$D$5:$D$370),0)+IFERROR(SUMIF(Nutzungsprofile!$B$6:$B$11,"Individuell",Nutzungsprofile!$G$6:$G$11)*Kalender!E273/SUM(Kalender!$E$5:$E$370),0))*Szenarien!$E$25,0)</f>
        <v>2.04</v>
      </c>
      <c r="D5397" s="13" t="n">
        <f aca="false">IF(Szenarien!$H$25="OK",(IFERROR(SUMIF(Nutzungsprofile!$B$17:$B$22,"Schulbetrieb",Nutzungsprofile!$G$17:$G$22)*Kalender!C273/SUM(Kalender!$C$5:$C$370),0)+IFERROR(SUMIF(Nutzungsprofile!$B$17:$B$22,"Halle",Nutzungsprofile!$G$17:$G$22)*Kalender!D273/SUM(Kalender!$D$5:$D$370),0)+IFERROR(SUMIF(Nutzungsprofile!$B$17:$B$22,"Individuell",Nutzungsprofile!$G$17:$G$22)*Kalender!E273/SUM(Kalender!$E$5:$E$370),0))*Szenarien!$D$25,0)</f>
        <v>0.89</v>
      </c>
      <c r="E5397" s="13" t="n">
        <f aca="false">IFERROR(MIN(C5397,Eingaben!$B$17)*Eingaben!$B$16,0)</f>
        <v>1.938</v>
      </c>
      <c r="F5397" s="13" t="n">
        <f aca="false">IFERROR(E5397*Eingaben!$B$15,0)</f>
        <v>1.7442</v>
      </c>
      <c r="G5397" s="13" t="n">
        <f aca="false">IFERROR(IF(Kalender!A273="",0,J5396*(1-Eingaben!$B$20)),0)</f>
        <v>0.7390278</v>
      </c>
      <c r="H5397" s="13" t="n">
        <f aca="false">MIN(G5397,D5397)</f>
        <v>0.7390278</v>
      </c>
      <c r="I5397" s="13" t="n">
        <f aca="false">IFERROR(MIN(F5397*Eingaben!$B$19,MAX(0,D5397-H5397)),0)</f>
        <v>0.1509722</v>
      </c>
      <c r="J5397" s="13" t="n">
        <f aca="false">IFERROR(MIN(Eingaben!$B$18,MAX(0,F5397-I5397)),0)</f>
        <v>1.5932278</v>
      </c>
      <c r="K5397" s="13" t="n">
        <f aca="false">H5397+I5397</f>
        <v>0.89</v>
      </c>
      <c r="L5397" s="13" t="n">
        <f aca="false">MAX(0,D5397-K5397)</f>
        <v>0</v>
      </c>
      <c r="M5397" s="13" t="n">
        <f aca="false">MAX(0,F5397-I5397-J5397)</f>
        <v>0</v>
      </c>
      <c r="N5397" s="13" t="n">
        <f aca="false">IF(Kalender!A273="",0,J5396-H5397)</f>
        <v>0.0150822</v>
      </c>
    </row>
    <row r="5398" customFormat="false" ht="16.4" hidden="false" customHeight="false" outlineLevel="0" collapsed="false">
      <c r="A5398" s="13" t="str">
        <f aca="false">""</f>
        <v/>
      </c>
      <c r="B5398" s="13" t="n">
        <f aca="false">270</f>
        <v>270</v>
      </c>
      <c r="C5398" s="13" t="n">
        <f aca="false">IF(Szenarien!$H$25="OK",(IFERROR(SUMIF(Nutzungsprofile!$B$6:$B$11,"Schulbetrieb",Nutzungsprofile!$G$6:$G$11)*Kalender!C274/SUM(Kalender!$C$5:$C$370),0)+IFERROR(SUMIF(Nutzungsprofile!$B$6:$B$11,"Halle",Nutzungsprofile!$G$6:$G$11)*Kalender!D274/SUM(Kalender!$D$5:$D$370),0)+IFERROR(SUMIF(Nutzungsprofile!$B$6:$B$11,"Individuell",Nutzungsprofile!$G$6:$G$11)*Kalender!E274/SUM(Kalender!$E$5:$E$370),0))*Szenarien!$E$25,0)</f>
        <v>2.04</v>
      </c>
      <c r="D5398" s="13" t="n">
        <f aca="false">IF(Szenarien!$H$25="OK",(IFERROR(SUMIF(Nutzungsprofile!$B$17:$B$22,"Schulbetrieb",Nutzungsprofile!$G$17:$G$22)*Kalender!C274/SUM(Kalender!$C$5:$C$370),0)+IFERROR(SUMIF(Nutzungsprofile!$B$17:$B$22,"Halle",Nutzungsprofile!$G$17:$G$22)*Kalender!D274/SUM(Kalender!$D$5:$D$370),0)+IFERROR(SUMIF(Nutzungsprofile!$B$17:$B$22,"Individuell",Nutzungsprofile!$G$17:$G$22)*Kalender!E274/SUM(Kalender!$E$5:$E$370),0))*Szenarien!$D$25,0)</f>
        <v>0.89</v>
      </c>
      <c r="E5398" s="13" t="n">
        <f aca="false">IFERROR(MIN(C5398,Eingaben!$B$17)*Eingaben!$B$16,0)</f>
        <v>1.938</v>
      </c>
      <c r="F5398" s="13" t="n">
        <f aca="false">IFERROR(E5398*Eingaben!$B$15,0)</f>
        <v>1.7442</v>
      </c>
      <c r="G5398" s="13" t="n">
        <f aca="false">IFERROR(IF(Kalender!A274="",0,J5397*(1-Eingaben!$B$20)),0)</f>
        <v>1.561363244</v>
      </c>
      <c r="H5398" s="13" t="n">
        <f aca="false">MIN(G5398,D5398)</f>
        <v>0.89</v>
      </c>
      <c r="I5398" s="13" t="n">
        <f aca="false">IFERROR(MIN(F5398*Eingaben!$B$19,MAX(0,D5398-H5398)),0)</f>
        <v>0</v>
      </c>
      <c r="J5398" s="13" t="n">
        <f aca="false">IFERROR(MIN(Eingaben!$B$18,MAX(0,F5398-I5398)),0)</f>
        <v>1.7442</v>
      </c>
      <c r="K5398" s="13" t="n">
        <f aca="false">H5398+I5398</f>
        <v>0.89</v>
      </c>
      <c r="L5398" s="13" t="n">
        <f aca="false">MAX(0,D5398-K5398)</f>
        <v>0</v>
      </c>
      <c r="M5398" s="13" t="n">
        <f aca="false">MAX(0,F5398-I5398-J5398)</f>
        <v>0</v>
      </c>
      <c r="N5398" s="13" t="n">
        <f aca="false">IF(Kalender!A274="",0,J5397-H5398)</f>
        <v>0.7032278</v>
      </c>
    </row>
    <row r="5399" customFormat="false" ht="16.4" hidden="false" customHeight="false" outlineLevel="0" collapsed="false">
      <c r="A5399" s="13" t="str">
        <f aca="false">""</f>
        <v/>
      </c>
      <c r="B5399" s="13" t="n">
        <f aca="false">271</f>
        <v>271</v>
      </c>
      <c r="C5399" s="13" t="n">
        <f aca="false">IF(Szenarien!$H$25="OK",(IFERROR(SUMIF(Nutzungsprofile!$B$6:$B$11,"Schulbetrieb",Nutzungsprofile!$G$6:$G$11)*Kalender!C275/SUM(Kalender!$C$5:$C$370),0)+IFERROR(SUMIF(Nutzungsprofile!$B$6:$B$11,"Halle",Nutzungsprofile!$G$6:$G$11)*Kalender!D275/SUM(Kalender!$D$5:$D$370),0)+IFERROR(SUMIF(Nutzungsprofile!$B$6:$B$11,"Individuell",Nutzungsprofile!$G$6:$G$11)*Kalender!E275/SUM(Kalender!$E$5:$E$370),0))*Szenarien!$E$25,0)</f>
        <v>2.94</v>
      </c>
      <c r="D5399" s="13" t="n">
        <f aca="false">IF(Szenarien!$H$25="OK",(IFERROR(SUMIF(Nutzungsprofile!$B$17:$B$22,"Schulbetrieb",Nutzungsprofile!$G$17:$G$22)*Kalender!C275/SUM(Kalender!$C$5:$C$370),0)+IFERROR(SUMIF(Nutzungsprofile!$B$17:$B$22,"Halle",Nutzungsprofile!$G$17:$G$22)*Kalender!D275/SUM(Kalender!$D$5:$D$370),0)+IFERROR(SUMIF(Nutzungsprofile!$B$17:$B$22,"Individuell",Nutzungsprofile!$G$17:$G$22)*Kalender!E275/SUM(Kalender!$E$5:$E$370),0))*Szenarien!$D$25,0)</f>
        <v>4.94</v>
      </c>
      <c r="E5399" s="13" t="n">
        <f aca="false">IFERROR(MIN(C5399,Eingaben!$B$17)*Eingaben!$B$16,0)</f>
        <v>2.793</v>
      </c>
      <c r="F5399" s="13" t="n">
        <f aca="false">IFERROR(E5399*Eingaben!$B$15,0)</f>
        <v>2.5137</v>
      </c>
      <c r="G5399" s="13" t="n">
        <f aca="false">IFERROR(IF(Kalender!A275="",0,J5398*(1-Eingaben!$B$20)),0)</f>
        <v>1.709316</v>
      </c>
      <c r="H5399" s="13" t="n">
        <f aca="false">MIN(G5399,D5399)</f>
        <v>1.709316</v>
      </c>
      <c r="I5399" s="13" t="n">
        <f aca="false">IFERROR(MIN(F5399*Eingaben!$B$19,MAX(0,D5399-H5399)),0)</f>
        <v>1.75959</v>
      </c>
      <c r="J5399" s="13" t="n">
        <f aca="false">IFERROR(MIN(Eingaben!$B$18,MAX(0,F5399-I5399)),0)</f>
        <v>0.75411</v>
      </c>
      <c r="K5399" s="13" t="n">
        <f aca="false">H5399+I5399</f>
        <v>3.468906</v>
      </c>
      <c r="L5399" s="13" t="n">
        <f aca="false">MAX(0,D5399-K5399)</f>
        <v>1.471094</v>
      </c>
      <c r="M5399" s="13" t="n">
        <f aca="false">MAX(0,F5399-I5399-J5399)</f>
        <v>0</v>
      </c>
      <c r="N5399" s="13" t="n">
        <f aca="false">IF(Kalender!A275="",0,J5398-H5399)</f>
        <v>0.0348840000000001</v>
      </c>
    </row>
    <row r="5400" customFormat="false" ht="16.4" hidden="false" customHeight="false" outlineLevel="0" collapsed="false">
      <c r="A5400" s="13" t="str">
        <f aca="false">""</f>
        <v/>
      </c>
      <c r="B5400" s="13" t="n">
        <f aca="false">272</f>
        <v>272</v>
      </c>
      <c r="C5400" s="13" t="n">
        <f aca="false">IF(Szenarien!$H$25="OK",(IFERROR(SUMIF(Nutzungsprofile!$B$6:$B$11,"Schulbetrieb",Nutzungsprofile!$G$6:$G$11)*Kalender!C276/SUM(Kalender!$C$5:$C$370),0)+IFERROR(SUMIF(Nutzungsprofile!$B$6:$B$11,"Halle",Nutzungsprofile!$G$6:$G$11)*Kalender!D276/SUM(Kalender!$D$5:$D$370),0)+IFERROR(SUMIF(Nutzungsprofile!$B$6:$B$11,"Individuell",Nutzungsprofile!$G$6:$G$11)*Kalender!E276/SUM(Kalender!$E$5:$E$370),0))*Szenarien!$E$25,0)</f>
        <v>2.94</v>
      </c>
      <c r="D5400" s="13" t="n">
        <f aca="false">IF(Szenarien!$H$25="OK",(IFERROR(SUMIF(Nutzungsprofile!$B$17:$B$22,"Schulbetrieb",Nutzungsprofile!$G$17:$G$22)*Kalender!C276/SUM(Kalender!$C$5:$C$370),0)+IFERROR(SUMIF(Nutzungsprofile!$B$17:$B$22,"Halle",Nutzungsprofile!$G$17:$G$22)*Kalender!D276/SUM(Kalender!$D$5:$D$370),0)+IFERROR(SUMIF(Nutzungsprofile!$B$17:$B$22,"Individuell",Nutzungsprofile!$G$17:$G$22)*Kalender!E276/SUM(Kalender!$E$5:$E$370),0))*Szenarien!$D$25,0)</f>
        <v>4.94</v>
      </c>
      <c r="E5400" s="13" t="n">
        <f aca="false">IFERROR(MIN(C5400,Eingaben!$B$17)*Eingaben!$B$16,0)</f>
        <v>2.793</v>
      </c>
      <c r="F5400" s="13" t="n">
        <f aca="false">IFERROR(E5400*Eingaben!$B$15,0)</f>
        <v>2.5137</v>
      </c>
      <c r="G5400" s="13" t="n">
        <f aca="false">IFERROR(IF(Kalender!A276="",0,J5399*(1-Eingaben!$B$20)),0)</f>
        <v>0.7390278</v>
      </c>
      <c r="H5400" s="13" t="n">
        <f aca="false">MIN(G5400,D5400)</f>
        <v>0.7390278</v>
      </c>
      <c r="I5400" s="13" t="n">
        <f aca="false">IFERROR(MIN(F5400*Eingaben!$B$19,MAX(0,D5400-H5400)),0)</f>
        <v>1.75959</v>
      </c>
      <c r="J5400" s="13" t="n">
        <f aca="false">IFERROR(MIN(Eingaben!$B$18,MAX(0,F5400-I5400)),0)</f>
        <v>0.75411</v>
      </c>
      <c r="K5400" s="13" t="n">
        <f aca="false">H5400+I5400</f>
        <v>2.4986178</v>
      </c>
      <c r="L5400" s="13" t="n">
        <f aca="false">MAX(0,D5400-K5400)</f>
        <v>2.4413822</v>
      </c>
      <c r="M5400" s="13" t="n">
        <f aca="false">MAX(0,F5400-I5400-J5400)</f>
        <v>0</v>
      </c>
      <c r="N5400" s="13" t="n">
        <f aca="false">IF(Kalender!A276="",0,J5399-H5400)</f>
        <v>0.0150822</v>
      </c>
    </row>
    <row r="5401" customFormat="false" ht="16.4" hidden="false" customHeight="false" outlineLevel="0" collapsed="false">
      <c r="A5401" s="13" t="str">
        <f aca="false">""</f>
        <v/>
      </c>
      <c r="B5401" s="13" t="n">
        <f aca="false">273</f>
        <v>273</v>
      </c>
      <c r="C5401" s="13" t="n">
        <f aca="false">IF(Szenarien!$H$25="OK",(IFERROR(SUMIF(Nutzungsprofile!$B$6:$B$11,"Schulbetrieb",Nutzungsprofile!$G$6:$G$11)*Kalender!C277/SUM(Kalender!$C$5:$C$370),0)+IFERROR(SUMIF(Nutzungsprofile!$B$6:$B$11,"Halle",Nutzungsprofile!$G$6:$G$11)*Kalender!D277/SUM(Kalender!$D$5:$D$370),0)+IFERROR(SUMIF(Nutzungsprofile!$B$6:$B$11,"Individuell",Nutzungsprofile!$G$6:$G$11)*Kalender!E277/SUM(Kalender!$E$5:$E$370),0))*Szenarien!$E$25,0)</f>
        <v>2.94</v>
      </c>
      <c r="D5401" s="13" t="n">
        <f aca="false">IF(Szenarien!$H$25="OK",(IFERROR(SUMIF(Nutzungsprofile!$B$17:$B$22,"Schulbetrieb",Nutzungsprofile!$G$17:$G$22)*Kalender!C277/SUM(Kalender!$C$5:$C$370),0)+IFERROR(SUMIF(Nutzungsprofile!$B$17:$B$22,"Halle",Nutzungsprofile!$G$17:$G$22)*Kalender!D277/SUM(Kalender!$D$5:$D$370),0)+IFERROR(SUMIF(Nutzungsprofile!$B$17:$B$22,"Individuell",Nutzungsprofile!$G$17:$G$22)*Kalender!E277/SUM(Kalender!$E$5:$E$370),0))*Szenarien!$D$25,0)</f>
        <v>4.94</v>
      </c>
      <c r="E5401" s="13" t="n">
        <f aca="false">IFERROR(MIN(C5401,Eingaben!$B$17)*Eingaben!$B$16,0)</f>
        <v>2.793</v>
      </c>
      <c r="F5401" s="13" t="n">
        <f aca="false">IFERROR(E5401*Eingaben!$B$15,0)</f>
        <v>2.5137</v>
      </c>
      <c r="G5401" s="13" t="n">
        <f aca="false">IFERROR(IF(Kalender!A277="",0,J5400*(1-Eingaben!$B$20)),0)</f>
        <v>0.7390278</v>
      </c>
      <c r="H5401" s="13" t="n">
        <f aca="false">MIN(G5401,D5401)</f>
        <v>0.7390278</v>
      </c>
      <c r="I5401" s="13" t="n">
        <f aca="false">IFERROR(MIN(F5401*Eingaben!$B$19,MAX(0,D5401-H5401)),0)</f>
        <v>1.75959</v>
      </c>
      <c r="J5401" s="13" t="n">
        <f aca="false">IFERROR(MIN(Eingaben!$B$18,MAX(0,F5401-I5401)),0)</f>
        <v>0.75411</v>
      </c>
      <c r="K5401" s="13" t="n">
        <f aca="false">H5401+I5401</f>
        <v>2.4986178</v>
      </c>
      <c r="L5401" s="13" t="n">
        <f aca="false">MAX(0,D5401-K5401)</f>
        <v>2.4413822</v>
      </c>
      <c r="M5401" s="13" t="n">
        <f aca="false">MAX(0,F5401-I5401-J5401)</f>
        <v>0</v>
      </c>
      <c r="N5401" s="13" t="n">
        <f aca="false">IF(Kalender!A277="",0,J5400-H5401)</f>
        <v>0.0150822</v>
      </c>
    </row>
    <row r="5402" customFormat="false" ht="16.4" hidden="false" customHeight="false" outlineLevel="0" collapsed="false">
      <c r="A5402" s="13" t="str">
        <f aca="false">""</f>
        <v/>
      </c>
      <c r="B5402" s="13" t="n">
        <f aca="false">274</f>
        <v>274</v>
      </c>
      <c r="C5402" s="13" t="n">
        <f aca="false">IF(Szenarien!$H$25="OK",(IFERROR(SUMIF(Nutzungsprofile!$B$6:$B$11,"Schulbetrieb",Nutzungsprofile!$G$6:$G$11)*Kalender!C278/SUM(Kalender!$C$5:$C$370),0)+IFERROR(SUMIF(Nutzungsprofile!$B$6:$B$11,"Halle",Nutzungsprofile!$G$6:$G$11)*Kalender!D278/SUM(Kalender!$D$5:$D$370),0)+IFERROR(SUMIF(Nutzungsprofile!$B$6:$B$11,"Individuell",Nutzungsprofile!$G$6:$G$11)*Kalender!E278/SUM(Kalender!$E$5:$E$370),0))*Szenarien!$E$25,0)</f>
        <v>2.94</v>
      </c>
      <c r="D5402" s="13" t="n">
        <f aca="false">IF(Szenarien!$H$25="OK",(IFERROR(SUMIF(Nutzungsprofile!$B$17:$B$22,"Schulbetrieb",Nutzungsprofile!$G$17:$G$22)*Kalender!C278/SUM(Kalender!$C$5:$C$370),0)+IFERROR(SUMIF(Nutzungsprofile!$B$17:$B$22,"Halle",Nutzungsprofile!$G$17:$G$22)*Kalender!D278/SUM(Kalender!$D$5:$D$370),0)+IFERROR(SUMIF(Nutzungsprofile!$B$17:$B$22,"Individuell",Nutzungsprofile!$G$17:$G$22)*Kalender!E278/SUM(Kalender!$E$5:$E$370),0))*Szenarien!$D$25,0)</f>
        <v>4.94</v>
      </c>
      <c r="E5402" s="13" t="n">
        <f aca="false">IFERROR(MIN(C5402,Eingaben!$B$17)*Eingaben!$B$16,0)</f>
        <v>2.793</v>
      </c>
      <c r="F5402" s="13" t="n">
        <f aca="false">IFERROR(E5402*Eingaben!$B$15,0)</f>
        <v>2.5137</v>
      </c>
      <c r="G5402" s="13" t="n">
        <f aca="false">IFERROR(IF(Kalender!A278="",0,J5401*(1-Eingaben!$B$20)),0)</f>
        <v>0.7390278</v>
      </c>
      <c r="H5402" s="13" t="n">
        <f aca="false">MIN(G5402,D5402)</f>
        <v>0.7390278</v>
      </c>
      <c r="I5402" s="13" t="n">
        <f aca="false">IFERROR(MIN(F5402*Eingaben!$B$19,MAX(0,D5402-H5402)),0)</f>
        <v>1.75959</v>
      </c>
      <c r="J5402" s="13" t="n">
        <f aca="false">IFERROR(MIN(Eingaben!$B$18,MAX(0,F5402-I5402)),0)</f>
        <v>0.75411</v>
      </c>
      <c r="K5402" s="13" t="n">
        <f aca="false">H5402+I5402</f>
        <v>2.4986178</v>
      </c>
      <c r="L5402" s="13" t="n">
        <f aca="false">MAX(0,D5402-K5402)</f>
        <v>2.4413822</v>
      </c>
      <c r="M5402" s="13" t="n">
        <f aca="false">MAX(0,F5402-I5402-J5402)</f>
        <v>0</v>
      </c>
      <c r="N5402" s="13" t="n">
        <f aca="false">IF(Kalender!A278="",0,J5401-H5402)</f>
        <v>0.0150822</v>
      </c>
    </row>
    <row r="5403" customFormat="false" ht="16.4" hidden="false" customHeight="false" outlineLevel="0" collapsed="false">
      <c r="A5403" s="13" t="str">
        <f aca="false">""</f>
        <v/>
      </c>
      <c r="B5403" s="13" t="n">
        <f aca="false">275</f>
        <v>275</v>
      </c>
      <c r="C5403" s="13" t="n">
        <f aca="false">IF(Szenarien!$H$25="OK",(IFERROR(SUMIF(Nutzungsprofile!$B$6:$B$11,"Schulbetrieb",Nutzungsprofile!$G$6:$G$11)*Kalender!C279/SUM(Kalender!$C$5:$C$370),0)+IFERROR(SUMIF(Nutzungsprofile!$B$6:$B$11,"Halle",Nutzungsprofile!$G$6:$G$11)*Kalender!D279/SUM(Kalender!$D$5:$D$370),0)+IFERROR(SUMIF(Nutzungsprofile!$B$6:$B$11,"Individuell",Nutzungsprofile!$G$6:$G$11)*Kalender!E279/SUM(Kalender!$E$5:$E$370),0))*Szenarien!$E$25,0)</f>
        <v>2.94</v>
      </c>
      <c r="D5403" s="13" t="n">
        <f aca="false">IF(Szenarien!$H$25="OK",(IFERROR(SUMIF(Nutzungsprofile!$B$17:$B$22,"Schulbetrieb",Nutzungsprofile!$G$17:$G$22)*Kalender!C279/SUM(Kalender!$C$5:$C$370),0)+IFERROR(SUMIF(Nutzungsprofile!$B$17:$B$22,"Halle",Nutzungsprofile!$G$17:$G$22)*Kalender!D279/SUM(Kalender!$D$5:$D$370),0)+IFERROR(SUMIF(Nutzungsprofile!$B$17:$B$22,"Individuell",Nutzungsprofile!$G$17:$G$22)*Kalender!E279/SUM(Kalender!$E$5:$E$370),0))*Szenarien!$D$25,0)</f>
        <v>4.94</v>
      </c>
      <c r="E5403" s="13" t="n">
        <f aca="false">IFERROR(MIN(C5403,Eingaben!$B$17)*Eingaben!$B$16,0)</f>
        <v>2.793</v>
      </c>
      <c r="F5403" s="13" t="n">
        <f aca="false">IFERROR(E5403*Eingaben!$B$15,0)</f>
        <v>2.5137</v>
      </c>
      <c r="G5403" s="13" t="n">
        <f aca="false">IFERROR(IF(Kalender!A279="",0,J5402*(1-Eingaben!$B$20)),0)</f>
        <v>0.7390278</v>
      </c>
      <c r="H5403" s="13" t="n">
        <f aca="false">MIN(G5403,D5403)</f>
        <v>0.7390278</v>
      </c>
      <c r="I5403" s="13" t="n">
        <f aca="false">IFERROR(MIN(F5403*Eingaben!$B$19,MAX(0,D5403-H5403)),0)</f>
        <v>1.75959</v>
      </c>
      <c r="J5403" s="13" t="n">
        <f aca="false">IFERROR(MIN(Eingaben!$B$18,MAX(0,F5403-I5403)),0)</f>
        <v>0.75411</v>
      </c>
      <c r="K5403" s="13" t="n">
        <f aca="false">H5403+I5403</f>
        <v>2.4986178</v>
      </c>
      <c r="L5403" s="13" t="n">
        <f aca="false">MAX(0,D5403-K5403)</f>
        <v>2.4413822</v>
      </c>
      <c r="M5403" s="13" t="n">
        <f aca="false">MAX(0,F5403-I5403-J5403)</f>
        <v>0</v>
      </c>
      <c r="N5403" s="13" t="n">
        <f aca="false">IF(Kalender!A279="",0,J5402-H5403)</f>
        <v>0.0150822</v>
      </c>
    </row>
    <row r="5404" customFormat="false" ht="16.4" hidden="false" customHeight="false" outlineLevel="0" collapsed="false">
      <c r="A5404" s="13" t="str">
        <f aca="false">""</f>
        <v/>
      </c>
      <c r="B5404" s="13" t="n">
        <f aca="false">276</f>
        <v>276</v>
      </c>
      <c r="C5404" s="13" t="n">
        <f aca="false">IF(Szenarien!$H$25="OK",(IFERROR(SUMIF(Nutzungsprofile!$B$6:$B$11,"Schulbetrieb",Nutzungsprofile!$G$6:$G$11)*Kalender!C280/SUM(Kalender!$C$5:$C$370),0)+IFERROR(SUMIF(Nutzungsprofile!$B$6:$B$11,"Halle",Nutzungsprofile!$G$6:$G$11)*Kalender!D280/SUM(Kalender!$D$5:$D$370),0)+IFERROR(SUMIF(Nutzungsprofile!$B$6:$B$11,"Individuell",Nutzungsprofile!$G$6:$G$11)*Kalender!E280/SUM(Kalender!$E$5:$E$370),0))*Szenarien!$E$25,0)</f>
        <v>2.04</v>
      </c>
      <c r="D5404" s="13" t="n">
        <f aca="false">IF(Szenarien!$H$25="OK",(IFERROR(SUMIF(Nutzungsprofile!$B$17:$B$22,"Schulbetrieb",Nutzungsprofile!$G$17:$G$22)*Kalender!C280/SUM(Kalender!$C$5:$C$370),0)+IFERROR(SUMIF(Nutzungsprofile!$B$17:$B$22,"Halle",Nutzungsprofile!$G$17:$G$22)*Kalender!D280/SUM(Kalender!$D$5:$D$370),0)+IFERROR(SUMIF(Nutzungsprofile!$B$17:$B$22,"Individuell",Nutzungsprofile!$G$17:$G$22)*Kalender!E280/SUM(Kalender!$E$5:$E$370),0))*Szenarien!$D$25,0)</f>
        <v>0.89</v>
      </c>
      <c r="E5404" s="13" t="n">
        <f aca="false">IFERROR(MIN(C5404,Eingaben!$B$17)*Eingaben!$B$16,0)</f>
        <v>1.938</v>
      </c>
      <c r="F5404" s="13" t="n">
        <f aca="false">IFERROR(E5404*Eingaben!$B$15,0)</f>
        <v>1.7442</v>
      </c>
      <c r="G5404" s="13" t="n">
        <f aca="false">IFERROR(IF(Kalender!A280="",0,J5403*(1-Eingaben!$B$20)),0)</f>
        <v>0.7390278</v>
      </c>
      <c r="H5404" s="13" t="n">
        <f aca="false">MIN(G5404,D5404)</f>
        <v>0.7390278</v>
      </c>
      <c r="I5404" s="13" t="n">
        <f aca="false">IFERROR(MIN(F5404*Eingaben!$B$19,MAX(0,D5404-H5404)),0)</f>
        <v>0.1509722</v>
      </c>
      <c r="J5404" s="13" t="n">
        <f aca="false">IFERROR(MIN(Eingaben!$B$18,MAX(0,F5404-I5404)),0)</f>
        <v>1.5932278</v>
      </c>
      <c r="K5404" s="13" t="n">
        <f aca="false">H5404+I5404</f>
        <v>0.89</v>
      </c>
      <c r="L5404" s="13" t="n">
        <f aca="false">MAX(0,D5404-K5404)</f>
        <v>0</v>
      </c>
      <c r="M5404" s="13" t="n">
        <f aca="false">MAX(0,F5404-I5404-J5404)</f>
        <v>0</v>
      </c>
      <c r="N5404" s="13" t="n">
        <f aca="false">IF(Kalender!A280="",0,J5403-H5404)</f>
        <v>0.0150822</v>
      </c>
    </row>
    <row r="5405" customFormat="false" ht="16.4" hidden="false" customHeight="false" outlineLevel="0" collapsed="false">
      <c r="A5405" s="13" t="str">
        <f aca="false">""</f>
        <v/>
      </c>
      <c r="B5405" s="13" t="n">
        <f aca="false">277</f>
        <v>277</v>
      </c>
      <c r="C5405" s="13" t="n">
        <f aca="false">IF(Szenarien!$H$25="OK",(IFERROR(SUMIF(Nutzungsprofile!$B$6:$B$11,"Schulbetrieb",Nutzungsprofile!$G$6:$G$11)*Kalender!C281/SUM(Kalender!$C$5:$C$370),0)+IFERROR(SUMIF(Nutzungsprofile!$B$6:$B$11,"Halle",Nutzungsprofile!$G$6:$G$11)*Kalender!D281/SUM(Kalender!$D$5:$D$370),0)+IFERROR(SUMIF(Nutzungsprofile!$B$6:$B$11,"Individuell",Nutzungsprofile!$G$6:$G$11)*Kalender!E281/SUM(Kalender!$E$5:$E$370),0))*Szenarien!$E$25,0)</f>
        <v>2.04</v>
      </c>
      <c r="D5405" s="13" t="n">
        <f aca="false">IF(Szenarien!$H$25="OK",(IFERROR(SUMIF(Nutzungsprofile!$B$17:$B$22,"Schulbetrieb",Nutzungsprofile!$G$17:$G$22)*Kalender!C281/SUM(Kalender!$C$5:$C$370),0)+IFERROR(SUMIF(Nutzungsprofile!$B$17:$B$22,"Halle",Nutzungsprofile!$G$17:$G$22)*Kalender!D281/SUM(Kalender!$D$5:$D$370),0)+IFERROR(SUMIF(Nutzungsprofile!$B$17:$B$22,"Individuell",Nutzungsprofile!$G$17:$G$22)*Kalender!E281/SUM(Kalender!$E$5:$E$370),0))*Szenarien!$D$25,0)</f>
        <v>0.89</v>
      </c>
      <c r="E5405" s="13" t="n">
        <f aca="false">IFERROR(MIN(C5405,Eingaben!$B$17)*Eingaben!$B$16,0)</f>
        <v>1.938</v>
      </c>
      <c r="F5405" s="13" t="n">
        <f aca="false">IFERROR(E5405*Eingaben!$B$15,0)</f>
        <v>1.7442</v>
      </c>
      <c r="G5405" s="13" t="n">
        <f aca="false">IFERROR(IF(Kalender!A281="",0,J5404*(1-Eingaben!$B$20)),0)</f>
        <v>1.561363244</v>
      </c>
      <c r="H5405" s="13" t="n">
        <f aca="false">MIN(G5405,D5405)</f>
        <v>0.89</v>
      </c>
      <c r="I5405" s="13" t="n">
        <f aca="false">IFERROR(MIN(F5405*Eingaben!$B$19,MAX(0,D5405-H5405)),0)</f>
        <v>0</v>
      </c>
      <c r="J5405" s="13" t="n">
        <f aca="false">IFERROR(MIN(Eingaben!$B$18,MAX(0,F5405-I5405)),0)</f>
        <v>1.7442</v>
      </c>
      <c r="K5405" s="13" t="n">
        <f aca="false">H5405+I5405</f>
        <v>0.89</v>
      </c>
      <c r="L5405" s="13" t="n">
        <f aca="false">MAX(0,D5405-K5405)</f>
        <v>0</v>
      </c>
      <c r="M5405" s="13" t="n">
        <f aca="false">MAX(0,F5405-I5405-J5405)</f>
        <v>0</v>
      </c>
      <c r="N5405" s="13" t="n">
        <f aca="false">IF(Kalender!A281="",0,J5404-H5405)</f>
        <v>0.7032278</v>
      </c>
    </row>
    <row r="5406" customFormat="false" ht="16.4" hidden="false" customHeight="false" outlineLevel="0" collapsed="false">
      <c r="A5406" s="13" t="str">
        <f aca="false">""</f>
        <v/>
      </c>
      <c r="B5406" s="13" t="n">
        <f aca="false">278</f>
        <v>278</v>
      </c>
      <c r="C5406" s="13" t="n">
        <f aca="false">IF(Szenarien!$H$25="OK",(IFERROR(SUMIF(Nutzungsprofile!$B$6:$B$11,"Schulbetrieb",Nutzungsprofile!$G$6:$G$11)*Kalender!C282/SUM(Kalender!$C$5:$C$370),0)+IFERROR(SUMIF(Nutzungsprofile!$B$6:$B$11,"Halle",Nutzungsprofile!$G$6:$G$11)*Kalender!D282/SUM(Kalender!$D$5:$D$370),0)+IFERROR(SUMIF(Nutzungsprofile!$B$6:$B$11,"Individuell",Nutzungsprofile!$G$6:$G$11)*Kalender!E282/SUM(Kalender!$E$5:$E$370),0))*Szenarien!$E$25,0)</f>
        <v>2.94</v>
      </c>
      <c r="D5406" s="13" t="n">
        <f aca="false">IF(Szenarien!$H$25="OK",(IFERROR(SUMIF(Nutzungsprofile!$B$17:$B$22,"Schulbetrieb",Nutzungsprofile!$G$17:$G$22)*Kalender!C282/SUM(Kalender!$C$5:$C$370),0)+IFERROR(SUMIF(Nutzungsprofile!$B$17:$B$22,"Halle",Nutzungsprofile!$G$17:$G$22)*Kalender!D282/SUM(Kalender!$D$5:$D$370),0)+IFERROR(SUMIF(Nutzungsprofile!$B$17:$B$22,"Individuell",Nutzungsprofile!$G$17:$G$22)*Kalender!E282/SUM(Kalender!$E$5:$E$370),0))*Szenarien!$D$25,0)</f>
        <v>4.94</v>
      </c>
      <c r="E5406" s="13" t="n">
        <f aca="false">IFERROR(MIN(C5406,Eingaben!$B$17)*Eingaben!$B$16,0)</f>
        <v>2.793</v>
      </c>
      <c r="F5406" s="13" t="n">
        <f aca="false">IFERROR(E5406*Eingaben!$B$15,0)</f>
        <v>2.5137</v>
      </c>
      <c r="G5406" s="13" t="n">
        <f aca="false">IFERROR(IF(Kalender!A282="",0,J5405*(1-Eingaben!$B$20)),0)</f>
        <v>1.709316</v>
      </c>
      <c r="H5406" s="13" t="n">
        <f aca="false">MIN(G5406,D5406)</f>
        <v>1.709316</v>
      </c>
      <c r="I5406" s="13" t="n">
        <f aca="false">IFERROR(MIN(F5406*Eingaben!$B$19,MAX(0,D5406-H5406)),0)</f>
        <v>1.75959</v>
      </c>
      <c r="J5406" s="13" t="n">
        <f aca="false">IFERROR(MIN(Eingaben!$B$18,MAX(0,F5406-I5406)),0)</f>
        <v>0.75411</v>
      </c>
      <c r="K5406" s="13" t="n">
        <f aca="false">H5406+I5406</f>
        <v>3.468906</v>
      </c>
      <c r="L5406" s="13" t="n">
        <f aca="false">MAX(0,D5406-K5406)</f>
        <v>1.471094</v>
      </c>
      <c r="M5406" s="13" t="n">
        <f aca="false">MAX(0,F5406-I5406-J5406)</f>
        <v>0</v>
      </c>
      <c r="N5406" s="13" t="n">
        <f aca="false">IF(Kalender!A282="",0,J5405-H5406)</f>
        <v>0.0348840000000001</v>
      </c>
    </row>
    <row r="5407" customFormat="false" ht="16.4" hidden="false" customHeight="false" outlineLevel="0" collapsed="false">
      <c r="A5407" s="13" t="str">
        <f aca="false">""</f>
        <v/>
      </c>
      <c r="B5407" s="13" t="n">
        <f aca="false">279</f>
        <v>279</v>
      </c>
      <c r="C5407" s="13" t="n">
        <f aca="false">IF(Szenarien!$H$25="OK",(IFERROR(SUMIF(Nutzungsprofile!$B$6:$B$11,"Schulbetrieb",Nutzungsprofile!$G$6:$G$11)*Kalender!C283/SUM(Kalender!$C$5:$C$370),0)+IFERROR(SUMIF(Nutzungsprofile!$B$6:$B$11,"Halle",Nutzungsprofile!$G$6:$G$11)*Kalender!D283/SUM(Kalender!$D$5:$D$370),0)+IFERROR(SUMIF(Nutzungsprofile!$B$6:$B$11,"Individuell",Nutzungsprofile!$G$6:$G$11)*Kalender!E283/SUM(Kalender!$E$5:$E$370),0))*Szenarien!$E$25,0)</f>
        <v>2.94</v>
      </c>
      <c r="D5407" s="13" t="n">
        <f aca="false">IF(Szenarien!$H$25="OK",(IFERROR(SUMIF(Nutzungsprofile!$B$17:$B$22,"Schulbetrieb",Nutzungsprofile!$G$17:$G$22)*Kalender!C283/SUM(Kalender!$C$5:$C$370),0)+IFERROR(SUMIF(Nutzungsprofile!$B$17:$B$22,"Halle",Nutzungsprofile!$G$17:$G$22)*Kalender!D283/SUM(Kalender!$D$5:$D$370),0)+IFERROR(SUMIF(Nutzungsprofile!$B$17:$B$22,"Individuell",Nutzungsprofile!$G$17:$G$22)*Kalender!E283/SUM(Kalender!$E$5:$E$370),0))*Szenarien!$D$25,0)</f>
        <v>4.94</v>
      </c>
      <c r="E5407" s="13" t="n">
        <f aca="false">IFERROR(MIN(C5407,Eingaben!$B$17)*Eingaben!$B$16,0)</f>
        <v>2.793</v>
      </c>
      <c r="F5407" s="13" t="n">
        <f aca="false">IFERROR(E5407*Eingaben!$B$15,0)</f>
        <v>2.5137</v>
      </c>
      <c r="G5407" s="13" t="n">
        <f aca="false">IFERROR(IF(Kalender!A283="",0,J5406*(1-Eingaben!$B$20)),0)</f>
        <v>0.7390278</v>
      </c>
      <c r="H5407" s="13" t="n">
        <f aca="false">MIN(G5407,D5407)</f>
        <v>0.7390278</v>
      </c>
      <c r="I5407" s="13" t="n">
        <f aca="false">IFERROR(MIN(F5407*Eingaben!$B$19,MAX(0,D5407-H5407)),0)</f>
        <v>1.75959</v>
      </c>
      <c r="J5407" s="13" t="n">
        <f aca="false">IFERROR(MIN(Eingaben!$B$18,MAX(0,F5407-I5407)),0)</f>
        <v>0.75411</v>
      </c>
      <c r="K5407" s="13" t="n">
        <f aca="false">H5407+I5407</f>
        <v>2.4986178</v>
      </c>
      <c r="L5407" s="13" t="n">
        <f aca="false">MAX(0,D5407-K5407)</f>
        <v>2.4413822</v>
      </c>
      <c r="M5407" s="13" t="n">
        <f aca="false">MAX(0,F5407-I5407-J5407)</f>
        <v>0</v>
      </c>
      <c r="N5407" s="13" t="n">
        <f aca="false">IF(Kalender!A283="",0,J5406-H5407)</f>
        <v>0.0150822</v>
      </c>
    </row>
    <row r="5408" customFormat="false" ht="16.4" hidden="false" customHeight="false" outlineLevel="0" collapsed="false">
      <c r="A5408" s="13" t="str">
        <f aca="false">""</f>
        <v/>
      </c>
      <c r="B5408" s="13" t="n">
        <f aca="false">280</f>
        <v>280</v>
      </c>
      <c r="C5408" s="13" t="n">
        <f aca="false">IF(Szenarien!$H$25="OK",(IFERROR(SUMIF(Nutzungsprofile!$B$6:$B$11,"Schulbetrieb",Nutzungsprofile!$G$6:$G$11)*Kalender!C284/SUM(Kalender!$C$5:$C$370),0)+IFERROR(SUMIF(Nutzungsprofile!$B$6:$B$11,"Halle",Nutzungsprofile!$G$6:$G$11)*Kalender!D284/SUM(Kalender!$D$5:$D$370),0)+IFERROR(SUMIF(Nutzungsprofile!$B$6:$B$11,"Individuell",Nutzungsprofile!$G$6:$G$11)*Kalender!E284/SUM(Kalender!$E$5:$E$370),0))*Szenarien!$E$25,0)</f>
        <v>2.94</v>
      </c>
      <c r="D5408" s="13" t="n">
        <f aca="false">IF(Szenarien!$H$25="OK",(IFERROR(SUMIF(Nutzungsprofile!$B$17:$B$22,"Schulbetrieb",Nutzungsprofile!$G$17:$G$22)*Kalender!C284/SUM(Kalender!$C$5:$C$370),0)+IFERROR(SUMIF(Nutzungsprofile!$B$17:$B$22,"Halle",Nutzungsprofile!$G$17:$G$22)*Kalender!D284/SUM(Kalender!$D$5:$D$370),0)+IFERROR(SUMIF(Nutzungsprofile!$B$17:$B$22,"Individuell",Nutzungsprofile!$G$17:$G$22)*Kalender!E284/SUM(Kalender!$E$5:$E$370),0))*Szenarien!$D$25,0)</f>
        <v>4.94</v>
      </c>
      <c r="E5408" s="13" t="n">
        <f aca="false">IFERROR(MIN(C5408,Eingaben!$B$17)*Eingaben!$B$16,0)</f>
        <v>2.793</v>
      </c>
      <c r="F5408" s="13" t="n">
        <f aca="false">IFERROR(E5408*Eingaben!$B$15,0)</f>
        <v>2.5137</v>
      </c>
      <c r="G5408" s="13" t="n">
        <f aca="false">IFERROR(IF(Kalender!A284="",0,J5407*(1-Eingaben!$B$20)),0)</f>
        <v>0.7390278</v>
      </c>
      <c r="H5408" s="13" t="n">
        <f aca="false">MIN(G5408,D5408)</f>
        <v>0.7390278</v>
      </c>
      <c r="I5408" s="13" t="n">
        <f aca="false">IFERROR(MIN(F5408*Eingaben!$B$19,MAX(0,D5408-H5408)),0)</f>
        <v>1.75959</v>
      </c>
      <c r="J5408" s="13" t="n">
        <f aca="false">IFERROR(MIN(Eingaben!$B$18,MAX(0,F5408-I5408)),0)</f>
        <v>0.75411</v>
      </c>
      <c r="K5408" s="13" t="n">
        <f aca="false">H5408+I5408</f>
        <v>2.4986178</v>
      </c>
      <c r="L5408" s="13" t="n">
        <f aca="false">MAX(0,D5408-K5408)</f>
        <v>2.4413822</v>
      </c>
      <c r="M5408" s="13" t="n">
        <f aca="false">MAX(0,F5408-I5408-J5408)</f>
        <v>0</v>
      </c>
      <c r="N5408" s="13" t="n">
        <f aca="false">IF(Kalender!A284="",0,J5407-H5408)</f>
        <v>0.0150822</v>
      </c>
    </row>
    <row r="5409" customFormat="false" ht="16.4" hidden="false" customHeight="false" outlineLevel="0" collapsed="false">
      <c r="A5409" s="13" t="str">
        <f aca="false">""</f>
        <v/>
      </c>
      <c r="B5409" s="13" t="n">
        <f aca="false">281</f>
        <v>281</v>
      </c>
      <c r="C5409" s="13" t="n">
        <f aca="false">IF(Szenarien!$H$25="OK",(IFERROR(SUMIF(Nutzungsprofile!$B$6:$B$11,"Schulbetrieb",Nutzungsprofile!$G$6:$G$11)*Kalender!C285/SUM(Kalender!$C$5:$C$370),0)+IFERROR(SUMIF(Nutzungsprofile!$B$6:$B$11,"Halle",Nutzungsprofile!$G$6:$G$11)*Kalender!D285/SUM(Kalender!$D$5:$D$370),0)+IFERROR(SUMIF(Nutzungsprofile!$B$6:$B$11,"Individuell",Nutzungsprofile!$G$6:$G$11)*Kalender!E285/SUM(Kalender!$E$5:$E$370),0))*Szenarien!$E$25,0)</f>
        <v>0.9</v>
      </c>
      <c r="D5409" s="13" t="n">
        <f aca="false">IF(Szenarien!$H$25="OK",(IFERROR(SUMIF(Nutzungsprofile!$B$17:$B$22,"Schulbetrieb",Nutzungsprofile!$G$17:$G$22)*Kalender!C285/SUM(Kalender!$C$5:$C$370),0)+IFERROR(SUMIF(Nutzungsprofile!$B$17:$B$22,"Halle",Nutzungsprofile!$G$17:$G$22)*Kalender!D285/SUM(Kalender!$D$5:$D$370),0)+IFERROR(SUMIF(Nutzungsprofile!$B$17:$B$22,"Individuell",Nutzungsprofile!$G$17:$G$22)*Kalender!E285/SUM(Kalender!$E$5:$E$370),0))*Szenarien!$D$25,0)</f>
        <v>4.05</v>
      </c>
      <c r="E5409" s="13" t="n">
        <f aca="false">IFERROR(MIN(C5409,Eingaben!$B$17)*Eingaben!$B$16,0)</f>
        <v>0.855</v>
      </c>
      <c r="F5409" s="13" t="n">
        <f aca="false">IFERROR(E5409*Eingaben!$B$15,0)</f>
        <v>0.7695</v>
      </c>
      <c r="G5409" s="13" t="n">
        <f aca="false">IFERROR(IF(Kalender!A285="",0,J5408*(1-Eingaben!$B$20)),0)</f>
        <v>0.7390278</v>
      </c>
      <c r="H5409" s="13" t="n">
        <f aca="false">MIN(G5409,D5409)</f>
        <v>0.7390278</v>
      </c>
      <c r="I5409" s="13" t="n">
        <f aca="false">IFERROR(MIN(F5409*Eingaben!$B$19,MAX(0,D5409-H5409)),0)</f>
        <v>0.53865</v>
      </c>
      <c r="J5409" s="13" t="n">
        <f aca="false">IFERROR(MIN(Eingaben!$B$18,MAX(0,F5409-I5409)),0)</f>
        <v>0.23085</v>
      </c>
      <c r="K5409" s="13" t="n">
        <f aca="false">H5409+I5409</f>
        <v>1.2776778</v>
      </c>
      <c r="L5409" s="13" t="n">
        <f aca="false">MAX(0,D5409-K5409)</f>
        <v>2.7723222</v>
      </c>
      <c r="M5409" s="13" t="n">
        <f aca="false">MAX(0,F5409-I5409-J5409)</f>
        <v>0</v>
      </c>
      <c r="N5409" s="13" t="n">
        <f aca="false">IF(Kalender!A285="",0,J5408-H5409)</f>
        <v>0.0150822</v>
      </c>
    </row>
    <row r="5410" customFormat="false" ht="16.4" hidden="false" customHeight="false" outlineLevel="0" collapsed="false">
      <c r="A5410" s="13" t="str">
        <f aca="false">""</f>
        <v/>
      </c>
      <c r="B5410" s="13" t="n">
        <f aca="false">282</f>
        <v>282</v>
      </c>
      <c r="C5410" s="13" t="n">
        <f aca="false">IF(Szenarien!$H$25="OK",(IFERROR(SUMIF(Nutzungsprofile!$B$6:$B$11,"Schulbetrieb",Nutzungsprofile!$G$6:$G$11)*Kalender!C286/SUM(Kalender!$C$5:$C$370),0)+IFERROR(SUMIF(Nutzungsprofile!$B$6:$B$11,"Halle",Nutzungsprofile!$G$6:$G$11)*Kalender!D286/SUM(Kalender!$D$5:$D$370),0)+IFERROR(SUMIF(Nutzungsprofile!$B$6:$B$11,"Individuell",Nutzungsprofile!$G$6:$G$11)*Kalender!E286/SUM(Kalender!$E$5:$E$370),0))*Szenarien!$E$25,0)</f>
        <v>0.9</v>
      </c>
      <c r="D5410" s="13" t="n">
        <f aca="false">IF(Szenarien!$H$25="OK",(IFERROR(SUMIF(Nutzungsprofile!$B$17:$B$22,"Schulbetrieb",Nutzungsprofile!$G$17:$G$22)*Kalender!C286/SUM(Kalender!$C$5:$C$370),0)+IFERROR(SUMIF(Nutzungsprofile!$B$17:$B$22,"Halle",Nutzungsprofile!$G$17:$G$22)*Kalender!D286/SUM(Kalender!$D$5:$D$370),0)+IFERROR(SUMIF(Nutzungsprofile!$B$17:$B$22,"Individuell",Nutzungsprofile!$G$17:$G$22)*Kalender!E286/SUM(Kalender!$E$5:$E$370),0))*Szenarien!$D$25,0)</f>
        <v>4.05</v>
      </c>
      <c r="E5410" s="13" t="n">
        <f aca="false">IFERROR(MIN(C5410,Eingaben!$B$17)*Eingaben!$B$16,0)</f>
        <v>0.855</v>
      </c>
      <c r="F5410" s="13" t="n">
        <f aca="false">IFERROR(E5410*Eingaben!$B$15,0)</f>
        <v>0.7695</v>
      </c>
      <c r="G5410" s="13" t="n">
        <f aca="false">IFERROR(IF(Kalender!A286="",0,J5409*(1-Eingaben!$B$20)),0)</f>
        <v>0.226233</v>
      </c>
      <c r="H5410" s="13" t="n">
        <f aca="false">MIN(G5410,D5410)</f>
        <v>0.226233</v>
      </c>
      <c r="I5410" s="13" t="n">
        <f aca="false">IFERROR(MIN(F5410*Eingaben!$B$19,MAX(0,D5410-H5410)),0)</f>
        <v>0.53865</v>
      </c>
      <c r="J5410" s="13" t="n">
        <f aca="false">IFERROR(MIN(Eingaben!$B$18,MAX(0,F5410-I5410)),0)</f>
        <v>0.23085</v>
      </c>
      <c r="K5410" s="13" t="n">
        <f aca="false">H5410+I5410</f>
        <v>0.764883</v>
      </c>
      <c r="L5410" s="13" t="n">
        <f aca="false">MAX(0,D5410-K5410)</f>
        <v>3.285117</v>
      </c>
      <c r="M5410" s="13" t="n">
        <f aca="false">MAX(0,F5410-I5410-J5410)</f>
        <v>0</v>
      </c>
      <c r="N5410" s="13" t="n">
        <f aca="false">IF(Kalender!A286="",0,J5409-H5410)</f>
        <v>0.00461700000000001</v>
      </c>
    </row>
    <row r="5411" customFormat="false" ht="16.4" hidden="false" customHeight="false" outlineLevel="0" collapsed="false">
      <c r="A5411" s="13" t="str">
        <f aca="false">""</f>
        <v/>
      </c>
      <c r="B5411" s="13" t="n">
        <f aca="false">283</f>
        <v>283</v>
      </c>
      <c r="C5411" s="13" t="n">
        <f aca="false">IF(Szenarien!$H$25="OK",(IFERROR(SUMIF(Nutzungsprofile!$B$6:$B$11,"Schulbetrieb",Nutzungsprofile!$G$6:$G$11)*Kalender!C287/SUM(Kalender!$C$5:$C$370),0)+IFERROR(SUMIF(Nutzungsprofile!$B$6:$B$11,"Halle",Nutzungsprofile!$G$6:$G$11)*Kalender!D287/SUM(Kalender!$D$5:$D$370),0)+IFERROR(SUMIF(Nutzungsprofile!$B$6:$B$11,"Individuell",Nutzungsprofile!$G$6:$G$11)*Kalender!E287/SUM(Kalender!$E$5:$E$370),0))*Szenarien!$E$25,0)</f>
        <v>0</v>
      </c>
      <c r="D5411" s="13" t="n">
        <f aca="false">IF(Szenarien!$H$25="OK",(IFERROR(SUMIF(Nutzungsprofile!$B$17:$B$22,"Schulbetrieb",Nutzungsprofile!$G$17:$G$22)*Kalender!C287/SUM(Kalender!$C$5:$C$370),0)+IFERROR(SUMIF(Nutzungsprofile!$B$17:$B$22,"Halle",Nutzungsprofile!$G$17:$G$22)*Kalender!D287/SUM(Kalender!$D$5:$D$370),0)+IFERROR(SUMIF(Nutzungsprofile!$B$17:$B$22,"Individuell",Nutzungsprofile!$G$17:$G$22)*Kalender!E287/SUM(Kalender!$E$5:$E$370),0))*Szenarien!$D$25,0)</f>
        <v>0</v>
      </c>
      <c r="E5411" s="13" t="n">
        <f aca="false">IFERROR(MIN(C5411,Eingaben!$B$17)*Eingaben!$B$16,0)</f>
        <v>0</v>
      </c>
      <c r="F5411" s="13" t="n">
        <f aca="false">IFERROR(E5411*Eingaben!$B$15,0)</f>
        <v>0</v>
      </c>
      <c r="G5411" s="13" t="n">
        <f aca="false">IFERROR(IF(Kalender!A287="",0,J5410*(1-Eingaben!$B$20)),0)</f>
        <v>0.226233</v>
      </c>
      <c r="H5411" s="13" t="n">
        <f aca="false">MIN(G5411,D5411)</f>
        <v>0</v>
      </c>
      <c r="I5411" s="13" t="n">
        <f aca="false">IFERROR(MIN(F5411*Eingaben!$B$19,MAX(0,D5411-H5411)),0)</f>
        <v>0</v>
      </c>
      <c r="J5411" s="13" t="n">
        <f aca="false">IFERROR(MIN(Eingaben!$B$18,MAX(0,F5411-I5411)),0)</f>
        <v>0</v>
      </c>
      <c r="K5411" s="13" t="n">
        <f aca="false">H5411+I5411</f>
        <v>0</v>
      </c>
      <c r="L5411" s="13" t="n">
        <f aca="false">MAX(0,D5411-K5411)</f>
        <v>0</v>
      </c>
      <c r="M5411" s="13" t="n">
        <f aca="false">MAX(0,F5411-I5411-J5411)</f>
        <v>0</v>
      </c>
      <c r="N5411" s="13" t="n">
        <f aca="false">IF(Kalender!A287="",0,J5410-H5411)</f>
        <v>0.23085</v>
      </c>
    </row>
    <row r="5412" customFormat="false" ht="16.4" hidden="false" customHeight="false" outlineLevel="0" collapsed="false">
      <c r="A5412" s="13" t="str">
        <f aca="false">""</f>
        <v/>
      </c>
      <c r="B5412" s="13" t="n">
        <f aca="false">284</f>
        <v>284</v>
      </c>
      <c r="C5412" s="13" t="n">
        <f aca="false">IF(Szenarien!$H$25="OK",(IFERROR(SUMIF(Nutzungsprofile!$B$6:$B$11,"Schulbetrieb",Nutzungsprofile!$G$6:$G$11)*Kalender!C288/SUM(Kalender!$C$5:$C$370),0)+IFERROR(SUMIF(Nutzungsprofile!$B$6:$B$11,"Halle",Nutzungsprofile!$G$6:$G$11)*Kalender!D288/SUM(Kalender!$D$5:$D$370),0)+IFERROR(SUMIF(Nutzungsprofile!$B$6:$B$11,"Individuell",Nutzungsprofile!$G$6:$G$11)*Kalender!E288/SUM(Kalender!$E$5:$E$370),0))*Szenarien!$E$25,0)</f>
        <v>0</v>
      </c>
      <c r="D5412" s="13" t="n">
        <f aca="false">IF(Szenarien!$H$25="OK",(IFERROR(SUMIF(Nutzungsprofile!$B$17:$B$22,"Schulbetrieb",Nutzungsprofile!$G$17:$G$22)*Kalender!C288/SUM(Kalender!$C$5:$C$370),0)+IFERROR(SUMIF(Nutzungsprofile!$B$17:$B$22,"Halle",Nutzungsprofile!$G$17:$G$22)*Kalender!D288/SUM(Kalender!$D$5:$D$370),0)+IFERROR(SUMIF(Nutzungsprofile!$B$17:$B$22,"Individuell",Nutzungsprofile!$G$17:$G$22)*Kalender!E288/SUM(Kalender!$E$5:$E$370),0))*Szenarien!$D$25,0)</f>
        <v>0</v>
      </c>
      <c r="E5412" s="13" t="n">
        <f aca="false">IFERROR(MIN(C5412,Eingaben!$B$17)*Eingaben!$B$16,0)</f>
        <v>0</v>
      </c>
      <c r="F5412" s="13" t="n">
        <f aca="false">IFERROR(E5412*Eingaben!$B$15,0)</f>
        <v>0</v>
      </c>
      <c r="G5412" s="13" t="n">
        <f aca="false">IFERROR(IF(Kalender!A288="",0,J5411*(1-Eingaben!$B$20)),0)</f>
        <v>0</v>
      </c>
      <c r="H5412" s="13" t="n">
        <f aca="false">MIN(G5412,D5412)</f>
        <v>0</v>
      </c>
      <c r="I5412" s="13" t="n">
        <f aca="false">IFERROR(MIN(F5412*Eingaben!$B$19,MAX(0,D5412-H5412)),0)</f>
        <v>0</v>
      </c>
      <c r="J5412" s="13" t="n">
        <f aca="false">IFERROR(MIN(Eingaben!$B$18,MAX(0,F5412-I5412)),0)</f>
        <v>0</v>
      </c>
      <c r="K5412" s="13" t="n">
        <f aca="false">H5412+I5412</f>
        <v>0</v>
      </c>
      <c r="L5412" s="13" t="n">
        <f aca="false">MAX(0,D5412-K5412)</f>
        <v>0</v>
      </c>
      <c r="M5412" s="13" t="n">
        <f aca="false">MAX(0,F5412-I5412-J5412)</f>
        <v>0</v>
      </c>
      <c r="N5412" s="13" t="n">
        <f aca="false">IF(Kalender!A288="",0,J5411-H5412)</f>
        <v>0</v>
      </c>
    </row>
    <row r="5413" customFormat="false" ht="16.4" hidden="false" customHeight="false" outlineLevel="0" collapsed="false">
      <c r="A5413" s="13" t="str">
        <f aca="false">""</f>
        <v/>
      </c>
      <c r="B5413" s="13" t="n">
        <f aca="false">285</f>
        <v>285</v>
      </c>
      <c r="C5413" s="13" t="n">
        <f aca="false">IF(Szenarien!$H$25="OK",(IFERROR(SUMIF(Nutzungsprofile!$B$6:$B$11,"Schulbetrieb",Nutzungsprofile!$G$6:$G$11)*Kalender!C289/SUM(Kalender!$C$5:$C$370),0)+IFERROR(SUMIF(Nutzungsprofile!$B$6:$B$11,"Halle",Nutzungsprofile!$G$6:$G$11)*Kalender!D289/SUM(Kalender!$D$5:$D$370),0)+IFERROR(SUMIF(Nutzungsprofile!$B$6:$B$11,"Individuell",Nutzungsprofile!$G$6:$G$11)*Kalender!E289/SUM(Kalender!$E$5:$E$370),0))*Szenarien!$E$25,0)</f>
        <v>0.9</v>
      </c>
      <c r="D5413" s="13" t="n">
        <f aca="false">IF(Szenarien!$H$25="OK",(IFERROR(SUMIF(Nutzungsprofile!$B$17:$B$22,"Schulbetrieb",Nutzungsprofile!$G$17:$G$22)*Kalender!C289/SUM(Kalender!$C$5:$C$370),0)+IFERROR(SUMIF(Nutzungsprofile!$B$17:$B$22,"Halle",Nutzungsprofile!$G$17:$G$22)*Kalender!D289/SUM(Kalender!$D$5:$D$370),0)+IFERROR(SUMIF(Nutzungsprofile!$B$17:$B$22,"Individuell",Nutzungsprofile!$G$17:$G$22)*Kalender!E289/SUM(Kalender!$E$5:$E$370),0))*Szenarien!$D$25,0)</f>
        <v>4.05</v>
      </c>
      <c r="E5413" s="13" t="n">
        <f aca="false">IFERROR(MIN(C5413,Eingaben!$B$17)*Eingaben!$B$16,0)</f>
        <v>0.855</v>
      </c>
      <c r="F5413" s="13" t="n">
        <f aca="false">IFERROR(E5413*Eingaben!$B$15,0)</f>
        <v>0.7695</v>
      </c>
      <c r="G5413" s="13" t="n">
        <f aca="false">IFERROR(IF(Kalender!A289="",0,J5412*(1-Eingaben!$B$20)),0)</f>
        <v>0</v>
      </c>
      <c r="H5413" s="13" t="n">
        <f aca="false">MIN(G5413,D5413)</f>
        <v>0</v>
      </c>
      <c r="I5413" s="13" t="n">
        <f aca="false">IFERROR(MIN(F5413*Eingaben!$B$19,MAX(0,D5413-H5413)),0)</f>
        <v>0.53865</v>
      </c>
      <c r="J5413" s="13" t="n">
        <f aca="false">IFERROR(MIN(Eingaben!$B$18,MAX(0,F5413-I5413)),0)</f>
        <v>0.23085</v>
      </c>
      <c r="K5413" s="13" t="n">
        <f aca="false">H5413+I5413</f>
        <v>0.53865</v>
      </c>
      <c r="L5413" s="13" t="n">
        <f aca="false">MAX(0,D5413-K5413)</f>
        <v>3.51135</v>
      </c>
      <c r="M5413" s="13" t="n">
        <f aca="false">MAX(0,F5413-I5413-J5413)</f>
        <v>0</v>
      </c>
      <c r="N5413" s="13" t="n">
        <f aca="false">IF(Kalender!A289="",0,J5412-H5413)</f>
        <v>0</v>
      </c>
    </row>
    <row r="5414" customFormat="false" ht="16.4" hidden="false" customHeight="false" outlineLevel="0" collapsed="false">
      <c r="A5414" s="13" t="str">
        <f aca="false">""</f>
        <v/>
      </c>
      <c r="B5414" s="13" t="n">
        <f aca="false">286</f>
        <v>286</v>
      </c>
      <c r="C5414" s="13" t="n">
        <f aca="false">IF(Szenarien!$H$25="OK",(IFERROR(SUMIF(Nutzungsprofile!$B$6:$B$11,"Schulbetrieb",Nutzungsprofile!$G$6:$G$11)*Kalender!C290/SUM(Kalender!$C$5:$C$370),0)+IFERROR(SUMIF(Nutzungsprofile!$B$6:$B$11,"Halle",Nutzungsprofile!$G$6:$G$11)*Kalender!D290/SUM(Kalender!$D$5:$D$370),0)+IFERROR(SUMIF(Nutzungsprofile!$B$6:$B$11,"Individuell",Nutzungsprofile!$G$6:$G$11)*Kalender!E290/SUM(Kalender!$E$5:$E$370),0))*Szenarien!$E$25,0)</f>
        <v>0.9</v>
      </c>
      <c r="D5414" s="13" t="n">
        <f aca="false">IF(Szenarien!$H$25="OK",(IFERROR(SUMIF(Nutzungsprofile!$B$17:$B$22,"Schulbetrieb",Nutzungsprofile!$G$17:$G$22)*Kalender!C290/SUM(Kalender!$C$5:$C$370),0)+IFERROR(SUMIF(Nutzungsprofile!$B$17:$B$22,"Halle",Nutzungsprofile!$G$17:$G$22)*Kalender!D290/SUM(Kalender!$D$5:$D$370),0)+IFERROR(SUMIF(Nutzungsprofile!$B$17:$B$22,"Individuell",Nutzungsprofile!$G$17:$G$22)*Kalender!E290/SUM(Kalender!$E$5:$E$370),0))*Szenarien!$D$25,0)</f>
        <v>4.05</v>
      </c>
      <c r="E5414" s="13" t="n">
        <f aca="false">IFERROR(MIN(C5414,Eingaben!$B$17)*Eingaben!$B$16,0)</f>
        <v>0.855</v>
      </c>
      <c r="F5414" s="13" t="n">
        <f aca="false">IFERROR(E5414*Eingaben!$B$15,0)</f>
        <v>0.7695</v>
      </c>
      <c r="G5414" s="13" t="n">
        <f aca="false">IFERROR(IF(Kalender!A290="",0,J5413*(1-Eingaben!$B$20)),0)</f>
        <v>0.226233</v>
      </c>
      <c r="H5414" s="13" t="n">
        <f aca="false">MIN(G5414,D5414)</f>
        <v>0.226233</v>
      </c>
      <c r="I5414" s="13" t="n">
        <f aca="false">IFERROR(MIN(F5414*Eingaben!$B$19,MAX(0,D5414-H5414)),0)</f>
        <v>0.53865</v>
      </c>
      <c r="J5414" s="13" t="n">
        <f aca="false">IFERROR(MIN(Eingaben!$B$18,MAX(0,F5414-I5414)),0)</f>
        <v>0.23085</v>
      </c>
      <c r="K5414" s="13" t="n">
        <f aca="false">H5414+I5414</f>
        <v>0.764883</v>
      </c>
      <c r="L5414" s="13" t="n">
        <f aca="false">MAX(0,D5414-K5414)</f>
        <v>3.285117</v>
      </c>
      <c r="M5414" s="13" t="n">
        <f aca="false">MAX(0,F5414-I5414-J5414)</f>
        <v>0</v>
      </c>
      <c r="N5414" s="13" t="n">
        <f aca="false">IF(Kalender!A290="",0,J5413-H5414)</f>
        <v>0.00461700000000001</v>
      </c>
    </row>
    <row r="5415" customFormat="false" ht="16.4" hidden="false" customHeight="false" outlineLevel="0" collapsed="false">
      <c r="A5415" s="13" t="str">
        <f aca="false">""</f>
        <v/>
      </c>
      <c r="B5415" s="13" t="n">
        <f aca="false">287</f>
        <v>287</v>
      </c>
      <c r="C5415" s="13" t="n">
        <f aca="false">IF(Szenarien!$H$25="OK",(IFERROR(SUMIF(Nutzungsprofile!$B$6:$B$11,"Schulbetrieb",Nutzungsprofile!$G$6:$G$11)*Kalender!C291/SUM(Kalender!$C$5:$C$370),0)+IFERROR(SUMIF(Nutzungsprofile!$B$6:$B$11,"Halle",Nutzungsprofile!$G$6:$G$11)*Kalender!D291/SUM(Kalender!$D$5:$D$370),0)+IFERROR(SUMIF(Nutzungsprofile!$B$6:$B$11,"Individuell",Nutzungsprofile!$G$6:$G$11)*Kalender!E291/SUM(Kalender!$E$5:$E$370),0))*Szenarien!$E$25,0)</f>
        <v>0.9</v>
      </c>
      <c r="D5415" s="13" t="n">
        <f aca="false">IF(Szenarien!$H$25="OK",(IFERROR(SUMIF(Nutzungsprofile!$B$17:$B$22,"Schulbetrieb",Nutzungsprofile!$G$17:$G$22)*Kalender!C291/SUM(Kalender!$C$5:$C$370),0)+IFERROR(SUMIF(Nutzungsprofile!$B$17:$B$22,"Halle",Nutzungsprofile!$G$17:$G$22)*Kalender!D291/SUM(Kalender!$D$5:$D$370),0)+IFERROR(SUMIF(Nutzungsprofile!$B$17:$B$22,"Individuell",Nutzungsprofile!$G$17:$G$22)*Kalender!E291/SUM(Kalender!$E$5:$E$370),0))*Szenarien!$D$25,0)</f>
        <v>4.05</v>
      </c>
      <c r="E5415" s="13" t="n">
        <f aca="false">IFERROR(MIN(C5415,Eingaben!$B$17)*Eingaben!$B$16,0)</f>
        <v>0.855</v>
      </c>
      <c r="F5415" s="13" t="n">
        <f aca="false">IFERROR(E5415*Eingaben!$B$15,0)</f>
        <v>0.7695</v>
      </c>
      <c r="G5415" s="13" t="n">
        <f aca="false">IFERROR(IF(Kalender!A291="",0,J5414*(1-Eingaben!$B$20)),0)</f>
        <v>0.226233</v>
      </c>
      <c r="H5415" s="13" t="n">
        <f aca="false">MIN(G5415,D5415)</f>
        <v>0.226233</v>
      </c>
      <c r="I5415" s="13" t="n">
        <f aca="false">IFERROR(MIN(F5415*Eingaben!$B$19,MAX(0,D5415-H5415)),0)</f>
        <v>0.53865</v>
      </c>
      <c r="J5415" s="13" t="n">
        <f aca="false">IFERROR(MIN(Eingaben!$B$18,MAX(0,F5415-I5415)),0)</f>
        <v>0.23085</v>
      </c>
      <c r="K5415" s="13" t="n">
        <f aca="false">H5415+I5415</f>
        <v>0.764883</v>
      </c>
      <c r="L5415" s="13" t="n">
        <f aca="false">MAX(0,D5415-K5415)</f>
        <v>3.285117</v>
      </c>
      <c r="M5415" s="13" t="n">
        <f aca="false">MAX(0,F5415-I5415-J5415)</f>
        <v>0</v>
      </c>
      <c r="N5415" s="13" t="n">
        <f aca="false">IF(Kalender!A291="",0,J5414-H5415)</f>
        <v>0.00461700000000001</v>
      </c>
    </row>
    <row r="5416" customFormat="false" ht="16.4" hidden="false" customHeight="false" outlineLevel="0" collapsed="false">
      <c r="A5416" s="13" t="str">
        <f aca="false">""</f>
        <v/>
      </c>
      <c r="B5416" s="13" t="n">
        <f aca="false">288</f>
        <v>288</v>
      </c>
      <c r="C5416" s="13" t="n">
        <f aca="false">IF(Szenarien!$H$25="OK",(IFERROR(SUMIF(Nutzungsprofile!$B$6:$B$11,"Schulbetrieb",Nutzungsprofile!$G$6:$G$11)*Kalender!C292/SUM(Kalender!$C$5:$C$370),0)+IFERROR(SUMIF(Nutzungsprofile!$B$6:$B$11,"Halle",Nutzungsprofile!$G$6:$G$11)*Kalender!D292/SUM(Kalender!$D$5:$D$370),0)+IFERROR(SUMIF(Nutzungsprofile!$B$6:$B$11,"Individuell",Nutzungsprofile!$G$6:$G$11)*Kalender!E292/SUM(Kalender!$E$5:$E$370),0))*Szenarien!$E$25,0)</f>
        <v>0.9</v>
      </c>
      <c r="D5416" s="13" t="n">
        <f aca="false">IF(Szenarien!$H$25="OK",(IFERROR(SUMIF(Nutzungsprofile!$B$17:$B$22,"Schulbetrieb",Nutzungsprofile!$G$17:$G$22)*Kalender!C292/SUM(Kalender!$C$5:$C$370),0)+IFERROR(SUMIF(Nutzungsprofile!$B$17:$B$22,"Halle",Nutzungsprofile!$G$17:$G$22)*Kalender!D292/SUM(Kalender!$D$5:$D$370),0)+IFERROR(SUMIF(Nutzungsprofile!$B$17:$B$22,"Individuell",Nutzungsprofile!$G$17:$G$22)*Kalender!E292/SUM(Kalender!$E$5:$E$370),0))*Szenarien!$D$25,0)</f>
        <v>4.05</v>
      </c>
      <c r="E5416" s="13" t="n">
        <f aca="false">IFERROR(MIN(C5416,Eingaben!$B$17)*Eingaben!$B$16,0)</f>
        <v>0.855</v>
      </c>
      <c r="F5416" s="13" t="n">
        <f aca="false">IFERROR(E5416*Eingaben!$B$15,0)</f>
        <v>0.7695</v>
      </c>
      <c r="G5416" s="13" t="n">
        <f aca="false">IFERROR(IF(Kalender!A292="",0,J5415*(1-Eingaben!$B$20)),0)</f>
        <v>0.226233</v>
      </c>
      <c r="H5416" s="13" t="n">
        <f aca="false">MIN(G5416,D5416)</f>
        <v>0.226233</v>
      </c>
      <c r="I5416" s="13" t="n">
        <f aca="false">IFERROR(MIN(F5416*Eingaben!$B$19,MAX(0,D5416-H5416)),0)</f>
        <v>0.53865</v>
      </c>
      <c r="J5416" s="13" t="n">
        <f aca="false">IFERROR(MIN(Eingaben!$B$18,MAX(0,F5416-I5416)),0)</f>
        <v>0.23085</v>
      </c>
      <c r="K5416" s="13" t="n">
        <f aca="false">H5416+I5416</f>
        <v>0.764883</v>
      </c>
      <c r="L5416" s="13" t="n">
        <f aca="false">MAX(0,D5416-K5416)</f>
        <v>3.285117</v>
      </c>
      <c r="M5416" s="13" t="n">
        <f aca="false">MAX(0,F5416-I5416-J5416)</f>
        <v>0</v>
      </c>
      <c r="N5416" s="13" t="n">
        <f aca="false">IF(Kalender!A292="",0,J5415-H5416)</f>
        <v>0.00461700000000001</v>
      </c>
    </row>
    <row r="5417" customFormat="false" ht="16.4" hidden="false" customHeight="false" outlineLevel="0" collapsed="false">
      <c r="A5417" s="13" t="str">
        <f aca="false">""</f>
        <v/>
      </c>
      <c r="B5417" s="13" t="n">
        <f aca="false">289</f>
        <v>289</v>
      </c>
      <c r="C5417" s="13" t="n">
        <f aca="false">IF(Szenarien!$H$25="OK",(IFERROR(SUMIF(Nutzungsprofile!$B$6:$B$11,"Schulbetrieb",Nutzungsprofile!$G$6:$G$11)*Kalender!C293/SUM(Kalender!$C$5:$C$370),0)+IFERROR(SUMIF(Nutzungsprofile!$B$6:$B$11,"Halle",Nutzungsprofile!$G$6:$G$11)*Kalender!D293/SUM(Kalender!$D$5:$D$370),0)+IFERROR(SUMIF(Nutzungsprofile!$B$6:$B$11,"Individuell",Nutzungsprofile!$G$6:$G$11)*Kalender!E293/SUM(Kalender!$E$5:$E$370),0))*Szenarien!$E$25,0)</f>
        <v>0.9</v>
      </c>
      <c r="D5417" s="13" t="n">
        <f aca="false">IF(Szenarien!$H$25="OK",(IFERROR(SUMIF(Nutzungsprofile!$B$17:$B$22,"Schulbetrieb",Nutzungsprofile!$G$17:$G$22)*Kalender!C293/SUM(Kalender!$C$5:$C$370),0)+IFERROR(SUMIF(Nutzungsprofile!$B$17:$B$22,"Halle",Nutzungsprofile!$G$17:$G$22)*Kalender!D293/SUM(Kalender!$D$5:$D$370),0)+IFERROR(SUMIF(Nutzungsprofile!$B$17:$B$22,"Individuell",Nutzungsprofile!$G$17:$G$22)*Kalender!E293/SUM(Kalender!$E$5:$E$370),0))*Szenarien!$D$25,0)</f>
        <v>4.05</v>
      </c>
      <c r="E5417" s="13" t="n">
        <f aca="false">IFERROR(MIN(C5417,Eingaben!$B$17)*Eingaben!$B$16,0)</f>
        <v>0.855</v>
      </c>
      <c r="F5417" s="13" t="n">
        <f aca="false">IFERROR(E5417*Eingaben!$B$15,0)</f>
        <v>0.7695</v>
      </c>
      <c r="G5417" s="13" t="n">
        <f aca="false">IFERROR(IF(Kalender!A293="",0,J5416*(1-Eingaben!$B$20)),0)</f>
        <v>0.226233</v>
      </c>
      <c r="H5417" s="13" t="n">
        <f aca="false">MIN(G5417,D5417)</f>
        <v>0.226233</v>
      </c>
      <c r="I5417" s="13" t="n">
        <f aca="false">IFERROR(MIN(F5417*Eingaben!$B$19,MAX(0,D5417-H5417)),0)</f>
        <v>0.53865</v>
      </c>
      <c r="J5417" s="13" t="n">
        <f aca="false">IFERROR(MIN(Eingaben!$B$18,MAX(0,F5417-I5417)),0)</f>
        <v>0.23085</v>
      </c>
      <c r="K5417" s="13" t="n">
        <f aca="false">H5417+I5417</f>
        <v>0.764883</v>
      </c>
      <c r="L5417" s="13" t="n">
        <f aca="false">MAX(0,D5417-K5417)</f>
        <v>3.285117</v>
      </c>
      <c r="M5417" s="13" t="n">
        <f aca="false">MAX(0,F5417-I5417-J5417)</f>
        <v>0</v>
      </c>
      <c r="N5417" s="13" t="n">
        <f aca="false">IF(Kalender!A293="",0,J5416-H5417)</f>
        <v>0.00461700000000001</v>
      </c>
    </row>
    <row r="5418" customFormat="false" ht="16.4" hidden="false" customHeight="false" outlineLevel="0" collapsed="false">
      <c r="A5418" s="13" t="str">
        <f aca="false">""</f>
        <v/>
      </c>
      <c r="B5418" s="13" t="n">
        <f aca="false">290</f>
        <v>290</v>
      </c>
      <c r="C5418" s="13" t="n">
        <f aca="false">IF(Szenarien!$H$25="OK",(IFERROR(SUMIF(Nutzungsprofile!$B$6:$B$11,"Schulbetrieb",Nutzungsprofile!$G$6:$G$11)*Kalender!C294/SUM(Kalender!$C$5:$C$370),0)+IFERROR(SUMIF(Nutzungsprofile!$B$6:$B$11,"Halle",Nutzungsprofile!$G$6:$G$11)*Kalender!D294/SUM(Kalender!$D$5:$D$370),0)+IFERROR(SUMIF(Nutzungsprofile!$B$6:$B$11,"Individuell",Nutzungsprofile!$G$6:$G$11)*Kalender!E294/SUM(Kalender!$E$5:$E$370),0))*Szenarien!$E$25,0)</f>
        <v>0</v>
      </c>
      <c r="D5418" s="13" t="n">
        <f aca="false">IF(Szenarien!$H$25="OK",(IFERROR(SUMIF(Nutzungsprofile!$B$17:$B$22,"Schulbetrieb",Nutzungsprofile!$G$17:$G$22)*Kalender!C294/SUM(Kalender!$C$5:$C$370),0)+IFERROR(SUMIF(Nutzungsprofile!$B$17:$B$22,"Halle",Nutzungsprofile!$G$17:$G$22)*Kalender!D294/SUM(Kalender!$D$5:$D$370),0)+IFERROR(SUMIF(Nutzungsprofile!$B$17:$B$22,"Individuell",Nutzungsprofile!$G$17:$G$22)*Kalender!E294/SUM(Kalender!$E$5:$E$370),0))*Szenarien!$D$25,0)</f>
        <v>0</v>
      </c>
      <c r="E5418" s="13" t="n">
        <f aca="false">IFERROR(MIN(C5418,Eingaben!$B$17)*Eingaben!$B$16,0)</f>
        <v>0</v>
      </c>
      <c r="F5418" s="13" t="n">
        <f aca="false">IFERROR(E5418*Eingaben!$B$15,0)</f>
        <v>0</v>
      </c>
      <c r="G5418" s="13" t="n">
        <f aca="false">IFERROR(IF(Kalender!A294="",0,J5417*(1-Eingaben!$B$20)),0)</f>
        <v>0.226233</v>
      </c>
      <c r="H5418" s="13" t="n">
        <f aca="false">MIN(G5418,D5418)</f>
        <v>0</v>
      </c>
      <c r="I5418" s="13" t="n">
        <f aca="false">IFERROR(MIN(F5418*Eingaben!$B$19,MAX(0,D5418-H5418)),0)</f>
        <v>0</v>
      </c>
      <c r="J5418" s="13" t="n">
        <f aca="false">IFERROR(MIN(Eingaben!$B$18,MAX(0,F5418-I5418)),0)</f>
        <v>0</v>
      </c>
      <c r="K5418" s="13" t="n">
        <f aca="false">H5418+I5418</f>
        <v>0</v>
      </c>
      <c r="L5418" s="13" t="n">
        <f aca="false">MAX(0,D5418-K5418)</f>
        <v>0</v>
      </c>
      <c r="M5418" s="13" t="n">
        <f aca="false">MAX(0,F5418-I5418-J5418)</f>
        <v>0</v>
      </c>
      <c r="N5418" s="13" t="n">
        <f aca="false">IF(Kalender!A294="",0,J5417-H5418)</f>
        <v>0.23085</v>
      </c>
    </row>
    <row r="5419" customFormat="false" ht="16.4" hidden="false" customHeight="false" outlineLevel="0" collapsed="false">
      <c r="A5419" s="13" t="str">
        <f aca="false">""</f>
        <v/>
      </c>
      <c r="B5419" s="13" t="n">
        <f aca="false">291</f>
        <v>291</v>
      </c>
      <c r="C5419" s="13" t="n">
        <f aca="false">IF(Szenarien!$H$25="OK",(IFERROR(SUMIF(Nutzungsprofile!$B$6:$B$11,"Schulbetrieb",Nutzungsprofile!$G$6:$G$11)*Kalender!C295/SUM(Kalender!$C$5:$C$370),0)+IFERROR(SUMIF(Nutzungsprofile!$B$6:$B$11,"Halle",Nutzungsprofile!$G$6:$G$11)*Kalender!D295/SUM(Kalender!$D$5:$D$370),0)+IFERROR(SUMIF(Nutzungsprofile!$B$6:$B$11,"Individuell",Nutzungsprofile!$G$6:$G$11)*Kalender!E295/SUM(Kalender!$E$5:$E$370),0))*Szenarien!$E$25,0)</f>
        <v>0</v>
      </c>
      <c r="D5419" s="13" t="n">
        <f aca="false">IF(Szenarien!$H$25="OK",(IFERROR(SUMIF(Nutzungsprofile!$B$17:$B$22,"Schulbetrieb",Nutzungsprofile!$G$17:$G$22)*Kalender!C295/SUM(Kalender!$C$5:$C$370),0)+IFERROR(SUMIF(Nutzungsprofile!$B$17:$B$22,"Halle",Nutzungsprofile!$G$17:$G$22)*Kalender!D295/SUM(Kalender!$D$5:$D$370),0)+IFERROR(SUMIF(Nutzungsprofile!$B$17:$B$22,"Individuell",Nutzungsprofile!$G$17:$G$22)*Kalender!E295/SUM(Kalender!$E$5:$E$370),0))*Szenarien!$D$25,0)</f>
        <v>0</v>
      </c>
      <c r="E5419" s="13" t="n">
        <f aca="false">IFERROR(MIN(C5419,Eingaben!$B$17)*Eingaben!$B$16,0)</f>
        <v>0</v>
      </c>
      <c r="F5419" s="13" t="n">
        <f aca="false">IFERROR(E5419*Eingaben!$B$15,0)</f>
        <v>0</v>
      </c>
      <c r="G5419" s="13" t="n">
        <f aca="false">IFERROR(IF(Kalender!A295="",0,J5418*(1-Eingaben!$B$20)),0)</f>
        <v>0</v>
      </c>
      <c r="H5419" s="13" t="n">
        <f aca="false">MIN(G5419,D5419)</f>
        <v>0</v>
      </c>
      <c r="I5419" s="13" t="n">
        <f aca="false">IFERROR(MIN(F5419*Eingaben!$B$19,MAX(0,D5419-H5419)),0)</f>
        <v>0</v>
      </c>
      <c r="J5419" s="13" t="n">
        <f aca="false">IFERROR(MIN(Eingaben!$B$18,MAX(0,F5419-I5419)),0)</f>
        <v>0</v>
      </c>
      <c r="K5419" s="13" t="n">
        <f aca="false">H5419+I5419</f>
        <v>0</v>
      </c>
      <c r="L5419" s="13" t="n">
        <f aca="false">MAX(0,D5419-K5419)</f>
        <v>0</v>
      </c>
      <c r="M5419" s="13" t="n">
        <f aca="false">MAX(0,F5419-I5419-J5419)</f>
        <v>0</v>
      </c>
      <c r="N5419" s="13" t="n">
        <f aca="false">IF(Kalender!A295="",0,J5418-H5419)</f>
        <v>0</v>
      </c>
    </row>
    <row r="5420" customFormat="false" ht="16.4" hidden="false" customHeight="false" outlineLevel="0" collapsed="false">
      <c r="A5420" s="13" t="str">
        <f aca="false">""</f>
        <v/>
      </c>
      <c r="B5420" s="13" t="n">
        <f aca="false">292</f>
        <v>292</v>
      </c>
      <c r="C5420" s="13" t="n">
        <f aca="false">IF(Szenarien!$H$25="OK",(IFERROR(SUMIF(Nutzungsprofile!$B$6:$B$11,"Schulbetrieb",Nutzungsprofile!$G$6:$G$11)*Kalender!C296/SUM(Kalender!$C$5:$C$370),0)+IFERROR(SUMIF(Nutzungsprofile!$B$6:$B$11,"Halle",Nutzungsprofile!$G$6:$G$11)*Kalender!D296/SUM(Kalender!$D$5:$D$370),0)+IFERROR(SUMIF(Nutzungsprofile!$B$6:$B$11,"Individuell",Nutzungsprofile!$G$6:$G$11)*Kalender!E296/SUM(Kalender!$E$5:$E$370),0))*Szenarien!$E$25,0)</f>
        <v>0.9</v>
      </c>
      <c r="D5420" s="13" t="n">
        <f aca="false">IF(Szenarien!$H$25="OK",(IFERROR(SUMIF(Nutzungsprofile!$B$17:$B$22,"Schulbetrieb",Nutzungsprofile!$G$17:$G$22)*Kalender!C296/SUM(Kalender!$C$5:$C$370),0)+IFERROR(SUMIF(Nutzungsprofile!$B$17:$B$22,"Halle",Nutzungsprofile!$G$17:$G$22)*Kalender!D296/SUM(Kalender!$D$5:$D$370),0)+IFERROR(SUMIF(Nutzungsprofile!$B$17:$B$22,"Individuell",Nutzungsprofile!$G$17:$G$22)*Kalender!E296/SUM(Kalender!$E$5:$E$370),0))*Szenarien!$D$25,0)</f>
        <v>4.05</v>
      </c>
      <c r="E5420" s="13" t="n">
        <f aca="false">IFERROR(MIN(C5420,Eingaben!$B$17)*Eingaben!$B$16,0)</f>
        <v>0.855</v>
      </c>
      <c r="F5420" s="13" t="n">
        <f aca="false">IFERROR(E5420*Eingaben!$B$15,0)</f>
        <v>0.7695</v>
      </c>
      <c r="G5420" s="13" t="n">
        <f aca="false">IFERROR(IF(Kalender!A296="",0,J5419*(1-Eingaben!$B$20)),0)</f>
        <v>0</v>
      </c>
      <c r="H5420" s="13" t="n">
        <f aca="false">MIN(G5420,D5420)</f>
        <v>0</v>
      </c>
      <c r="I5420" s="13" t="n">
        <f aca="false">IFERROR(MIN(F5420*Eingaben!$B$19,MAX(0,D5420-H5420)),0)</f>
        <v>0.53865</v>
      </c>
      <c r="J5420" s="13" t="n">
        <f aca="false">IFERROR(MIN(Eingaben!$B$18,MAX(0,F5420-I5420)),0)</f>
        <v>0.23085</v>
      </c>
      <c r="K5420" s="13" t="n">
        <f aca="false">H5420+I5420</f>
        <v>0.53865</v>
      </c>
      <c r="L5420" s="13" t="n">
        <f aca="false">MAX(0,D5420-K5420)</f>
        <v>3.51135</v>
      </c>
      <c r="M5420" s="13" t="n">
        <f aca="false">MAX(0,F5420-I5420-J5420)</f>
        <v>0</v>
      </c>
      <c r="N5420" s="13" t="n">
        <f aca="false">IF(Kalender!A296="",0,J5419-H5420)</f>
        <v>0</v>
      </c>
    </row>
    <row r="5421" customFormat="false" ht="16.4" hidden="false" customHeight="false" outlineLevel="0" collapsed="false">
      <c r="A5421" s="13" t="str">
        <f aca="false">""</f>
        <v/>
      </c>
      <c r="B5421" s="13" t="n">
        <f aca="false">293</f>
        <v>293</v>
      </c>
      <c r="C5421" s="13" t="n">
        <f aca="false">IF(Szenarien!$H$25="OK",(IFERROR(SUMIF(Nutzungsprofile!$B$6:$B$11,"Schulbetrieb",Nutzungsprofile!$G$6:$G$11)*Kalender!C297/SUM(Kalender!$C$5:$C$370),0)+IFERROR(SUMIF(Nutzungsprofile!$B$6:$B$11,"Halle",Nutzungsprofile!$G$6:$G$11)*Kalender!D297/SUM(Kalender!$D$5:$D$370),0)+IFERROR(SUMIF(Nutzungsprofile!$B$6:$B$11,"Individuell",Nutzungsprofile!$G$6:$G$11)*Kalender!E297/SUM(Kalender!$E$5:$E$370),0))*Szenarien!$E$25,0)</f>
        <v>0.9</v>
      </c>
      <c r="D5421" s="13" t="n">
        <f aca="false">IF(Szenarien!$H$25="OK",(IFERROR(SUMIF(Nutzungsprofile!$B$17:$B$22,"Schulbetrieb",Nutzungsprofile!$G$17:$G$22)*Kalender!C297/SUM(Kalender!$C$5:$C$370),0)+IFERROR(SUMIF(Nutzungsprofile!$B$17:$B$22,"Halle",Nutzungsprofile!$G$17:$G$22)*Kalender!D297/SUM(Kalender!$D$5:$D$370),0)+IFERROR(SUMIF(Nutzungsprofile!$B$17:$B$22,"Individuell",Nutzungsprofile!$G$17:$G$22)*Kalender!E297/SUM(Kalender!$E$5:$E$370),0))*Szenarien!$D$25,0)</f>
        <v>4.05</v>
      </c>
      <c r="E5421" s="13" t="n">
        <f aca="false">IFERROR(MIN(C5421,Eingaben!$B$17)*Eingaben!$B$16,0)</f>
        <v>0.855</v>
      </c>
      <c r="F5421" s="13" t="n">
        <f aca="false">IFERROR(E5421*Eingaben!$B$15,0)</f>
        <v>0.7695</v>
      </c>
      <c r="G5421" s="13" t="n">
        <f aca="false">IFERROR(IF(Kalender!A297="",0,J5420*(1-Eingaben!$B$20)),0)</f>
        <v>0.226233</v>
      </c>
      <c r="H5421" s="13" t="n">
        <f aca="false">MIN(G5421,D5421)</f>
        <v>0.226233</v>
      </c>
      <c r="I5421" s="13" t="n">
        <f aca="false">IFERROR(MIN(F5421*Eingaben!$B$19,MAX(0,D5421-H5421)),0)</f>
        <v>0.53865</v>
      </c>
      <c r="J5421" s="13" t="n">
        <f aca="false">IFERROR(MIN(Eingaben!$B$18,MAX(0,F5421-I5421)),0)</f>
        <v>0.23085</v>
      </c>
      <c r="K5421" s="13" t="n">
        <f aca="false">H5421+I5421</f>
        <v>0.764883</v>
      </c>
      <c r="L5421" s="13" t="n">
        <f aca="false">MAX(0,D5421-K5421)</f>
        <v>3.285117</v>
      </c>
      <c r="M5421" s="13" t="n">
        <f aca="false">MAX(0,F5421-I5421-J5421)</f>
        <v>0</v>
      </c>
      <c r="N5421" s="13" t="n">
        <f aca="false">IF(Kalender!A297="",0,J5420-H5421)</f>
        <v>0.00461700000000001</v>
      </c>
    </row>
    <row r="5422" customFormat="false" ht="16.4" hidden="false" customHeight="false" outlineLevel="0" collapsed="false">
      <c r="A5422" s="13" t="str">
        <f aca="false">""</f>
        <v/>
      </c>
      <c r="B5422" s="13" t="n">
        <f aca="false">294</f>
        <v>294</v>
      </c>
      <c r="C5422" s="13" t="n">
        <f aca="false">IF(Szenarien!$H$25="OK",(IFERROR(SUMIF(Nutzungsprofile!$B$6:$B$11,"Schulbetrieb",Nutzungsprofile!$G$6:$G$11)*Kalender!C298/SUM(Kalender!$C$5:$C$370),0)+IFERROR(SUMIF(Nutzungsprofile!$B$6:$B$11,"Halle",Nutzungsprofile!$G$6:$G$11)*Kalender!D298/SUM(Kalender!$D$5:$D$370),0)+IFERROR(SUMIF(Nutzungsprofile!$B$6:$B$11,"Individuell",Nutzungsprofile!$G$6:$G$11)*Kalender!E298/SUM(Kalender!$E$5:$E$370),0))*Szenarien!$E$25,0)</f>
        <v>0.9</v>
      </c>
      <c r="D5422" s="13" t="n">
        <f aca="false">IF(Szenarien!$H$25="OK",(IFERROR(SUMIF(Nutzungsprofile!$B$17:$B$22,"Schulbetrieb",Nutzungsprofile!$G$17:$G$22)*Kalender!C298/SUM(Kalender!$C$5:$C$370),0)+IFERROR(SUMIF(Nutzungsprofile!$B$17:$B$22,"Halle",Nutzungsprofile!$G$17:$G$22)*Kalender!D298/SUM(Kalender!$D$5:$D$370),0)+IFERROR(SUMIF(Nutzungsprofile!$B$17:$B$22,"Individuell",Nutzungsprofile!$G$17:$G$22)*Kalender!E298/SUM(Kalender!$E$5:$E$370),0))*Szenarien!$D$25,0)</f>
        <v>4.05</v>
      </c>
      <c r="E5422" s="13" t="n">
        <f aca="false">IFERROR(MIN(C5422,Eingaben!$B$17)*Eingaben!$B$16,0)</f>
        <v>0.855</v>
      </c>
      <c r="F5422" s="13" t="n">
        <f aca="false">IFERROR(E5422*Eingaben!$B$15,0)</f>
        <v>0.7695</v>
      </c>
      <c r="G5422" s="13" t="n">
        <f aca="false">IFERROR(IF(Kalender!A298="",0,J5421*(1-Eingaben!$B$20)),0)</f>
        <v>0.226233</v>
      </c>
      <c r="H5422" s="13" t="n">
        <f aca="false">MIN(G5422,D5422)</f>
        <v>0.226233</v>
      </c>
      <c r="I5422" s="13" t="n">
        <f aca="false">IFERROR(MIN(F5422*Eingaben!$B$19,MAX(0,D5422-H5422)),0)</f>
        <v>0.53865</v>
      </c>
      <c r="J5422" s="13" t="n">
        <f aca="false">IFERROR(MIN(Eingaben!$B$18,MAX(0,F5422-I5422)),0)</f>
        <v>0.23085</v>
      </c>
      <c r="K5422" s="13" t="n">
        <f aca="false">H5422+I5422</f>
        <v>0.764883</v>
      </c>
      <c r="L5422" s="13" t="n">
        <f aca="false">MAX(0,D5422-K5422)</f>
        <v>3.285117</v>
      </c>
      <c r="M5422" s="13" t="n">
        <f aca="false">MAX(0,F5422-I5422-J5422)</f>
        <v>0</v>
      </c>
      <c r="N5422" s="13" t="n">
        <f aca="false">IF(Kalender!A298="",0,J5421-H5422)</f>
        <v>0.00461700000000001</v>
      </c>
    </row>
    <row r="5423" customFormat="false" ht="16.4" hidden="false" customHeight="false" outlineLevel="0" collapsed="false">
      <c r="A5423" s="13" t="str">
        <f aca="false">""</f>
        <v/>
      </c>
      <c r="B5423" s="13" t="n">
        <f aca="false">295</f>
        <v>295</v>
      </c>
      <c r="C5423" s="13" t="n">
        <f aca="false">IF(Szenarien!$H$25="OK",(IFERROR(SUMIF(Nutzungsprofile!$B$6:$B$11,"Schulbetrieb",Nutzungsprofile!$G$6:$G$11)*Kalender!C299/SUM(Kalender!$C$5:$C$370),0)+IFERROR(SUMIF(Nutzungsprofile!$B$6:$B$11,"Halle",Nutzungsprofile!$G$6:$G$11)*Kalender!D299/SUM(Kalender!$D$5:$D$370),0)+IFERROR(SUMIF(Nutzungsprofile!$B$6:$B$11,"Individuell",Nutzungsprofile!$G$6:$G$11)*Kalender!E299/SUM(Kalender!$E$5:$E$370),0))*Szenarien!$E$25,0)</f>
        <v>0.9</v>
      </c>
      <c r="D5423" s="13" t="n">
        <f aca="false">IF(Szenarien!$H$25="OK",(IFERROR(SUMIF(Nutzungsprofile!$B$17:$B$22,"Schulbetrieb",Nutzungsprofile!$G$17:$G$22)*Kalender!C299/SUM(Kalender!$C$5:$C$370),0)+IFERROR(SUMIF(Nutzungsprofile!$B$17:$B$22,"Halle",Nutzungsprofile!$G$17:$G$22)*Kalender!D299/SUM(Kalender!$D$5:$D$370),0)+IFERROR(SUMIF(Nutzungsprofile!$B$17:$B$22,"Individuell",Nutzungsprofile!$G$17:$G$22)*Kalender!E299/SUM(Kalender!$E$5:$E$370),0))*Szenarien!$D$25,0)</f>
        <v>4.05</v>
      </c>
      <c r="E5423" s="13" t="n">
        <f aca="false">IFERROR(MIN(C5423,Eingaben!$B$17)*Eingaben!$B$16,0)</f>
        <v>0.855</v>
      </c>
      <c r="F5423" s="13" t="n">
        <f aca="false">IFERROR(E5423*Eingaben!$B$15,0)</f>
        <v>0.7695</v>
      </c>
      <c r="G5423" s="13" t="n">
        <f aca="false">IFERROR(IF(Kalender!A299="",0,J5422*(1-Eingaben!$B$20)),0)</f>
        <v>0.226233</v>
      </c>
      <c r="H5423" s="13" t="n">
        <f aca="false">MIN(G5423,D5423)</f>
        <v>0.226233</v>
      </c>
      <c r="I5423" s="13" t="n">
        <f aca="false">IFERROR(MIN(F5423*Eingaben!$B$19,MAX(0,D5423-H5423)),0)</f>
        <v>0.53865</v>
      </c>
      <c r="J5423" s="13" t="n">
        <f aca="false">IFERROR(MIN(Eingaben!$B$18,MAX(0,F5423-I5423)),0)</f>
        <v>0.23085</v>
      </c>
      <c r="K5423" s="13" t="n">
        <f aca="false">H5423+I5423</f>
        <v>0.764883</v>
      </c>
      <c r="L5423" s="13" t="n">
        <f aca="false">MAX(0,D5423-K5423)</f>
        <v>3.285117</v>
      </c>
      <c r="M5423" s="13" t="n">
        <f aca="false">MAX(0,F5423-I5423-J5423)</f>
        <v>0</v>
      </c>
      <c r="N5423" s="13" t="n">
        <f aca="false">IF(Kalender!A299="",0,J5422-H5423)</f>
        <v>0.00461700000000001</v>
      </c>
    </row>
    <row r="5424" customFormat="false" ht="16.4" hidden="false" customHeight="false" outlineLevel="0" collapsed="false">
      <c r="A5424" s="13" t="str">
        <f aca="false">""</f>
        <v/>
      </c>
      <c r="B5424" s="13" t="n">
        <f aca="false">296</f>
        <v>296</v>
      </c>
      <c r="C5424" s="13" t="n">
        <f aca="false">IF(Szenarien!$H$25="OK",(IFERROR(SUMIF(Nutzungsprofile!$B$6:$B$11,"Schulbetrieb",Nutzungsprofile!$G$6:$G$11)*Kalender!C300/SUM(Kalender!$C$5:$C$370),0)+IFERROR(SUMIF(Nutzungsprofile!$B$6:$B$11,"Halle",Nutzungsprofile!$G$6:$G$11)*Kalender!D300/SUM(Kalender!$D$5:$D$370),0)+IFERROR(SUMIF(Nutzungsprofile!$B$6:$B$11,"Individuell",Nutzungsprofile!$G$6:$G$11)*Kalender!E300/SUM(Kalender!$E$5:$E$370),0))*Szenarien!$E$25,0)</f>
        <v>0.9</v>
      </c>
      <c r="D5424" s="13" t="n">
        <f aca="false">IF(Szenarien!$H$25="OK",(IFERROR(SUMIF(Nutzungsprofile!$B$17:$B$22,"Schulbetrieb",Nutzungsprofile!$G$17:$G$22)*Kalender!C300/SUM(Kalender!$C$5:$C$370),0)+IFERROR(SUMIF(Nutzungsprofile!$B$17:$B$22,"Halle",Nutzungsprofile!$G$17:$G$22)*Kalender!D300/SUM(Kalender!$D$5:$D$370),0)+IFERROR(SUMIF(Nutzungsprofile!$B$17:$B$22,"Individuell",Nutzungsprofile!$G$17:$G$22)*Kalender!E300/SUM(Kalender!$E$5:$E$370),0))*Szenarien!$D$25,0)</f>
        <v>4.05</v>
      </c>
      <c r="E5424" s="13" t="n">
        <f aca="false">IFERROR(MIN(C5424,Eingaben!$B$17)*Eingaben!$B$16,0)</f>
        <v>0.855</v>
      </c>
      <c r="F5424" s="13" t="n">
        <f aca="false">IFERROR(E5424*Eingaben!$B$15,0)</f>
        <v>0.7695</v>
      </c>
      <c r="G5424" s="13" t="n">
        <f aca="false">IFERROR(IF(Kalender!A300="",0,J5423*(1-Eingaben!$B$20)),0)</f>
        <v>0.226233</v>
      </c>
      <c r="H5424" s="13" t="n">
        <f aca="false">MIN(G5424,D5424)</f>
        <v>0.226233</v>
      </c>
      <c r="I5424" s="13" t="n">
        <f aca="false">IFERROR(MIN(F5424*Eingaben!$B$19,MAX(0,D5424-H5424)),0)</f>
        <v>0.53865</v>
      </c>
      <c r="J5424" s="13" t="n">
        <f aca="false">IFERROR(MIN(Eingaben!$B$18,MAX(0,F5424-I5424)),0)</f>
        <v>0.23085</v>
      </c>
      <c r="K5424" s="13" t="n">
        <f aca="false">H5424+I5424</f>
        <v>0.764883</v>
      </c>
      <c r="L5424" s="13" t="n">
        <f aca="false">MAX(0,D5424-K5424)</f>
        <v>3.285117</v>
      </c>
      <c r="M5424" s="13" t="n">
        <f aca="false">MAX(0,F5424-I5424-J5424)</f>
        <v>0</v>
      </c>
      <c r="N5424" s="13" t="n">
        <f aca="false">IF(Kalender!A300="",0,J5423-H5424)</f>
        <v>0.00461700000000001</v>
      </c>
    </row>
    <row r="5425" customFormat="false" ht="16.4" hidden="false" customHeight="false" outlineLevel="0" collapsed="false">
      <c r="A5425" s="13" t="str">
        <f aca="false">""</f>
        <v/>
      </c>
      <c r="B5425" s="13" t="n">
        <f aca="false">297</f>
        <v>297</v>
      </c>
      <c r="C5425" s="13" t="n">
        <f aca="false">IF(Szenarien!$H$25="OK",(IFERROR(SUMIF(Nutzungsprofile!$B$6:$B$11,"Schulbetrieb",Nutzungsprofile!$G$6:$G$11)*Kalender!C301/SUM(Kalender!$C$5:$C$370),0)+IFERROR(SUMIF(Nutzungsprofile!$B$6:$B$11,"Halle",Nutzungsprofile!$G$6:$G$11)*Kalender!D301/SUM(Kalender!$D$5:$D$370),0)+IFERROR(SUMIF(Nutzungsprofile!$B$6:$B$11,"Individuell",Nutzungsprofile!$G$6:$G$11)*Kalender!E301/SUM(Kalender!$E$5:$E$370),0))*Szenarien!$E$25,0)</f>
        <v>0</v>
      </c>
      <c r="D5425" s="13" t="n">
        <f aca="false">IF(Szenarien!$H$25="OK",(IFERROR(SUMIF(Nutzungsprofile!$B$17:$B$22,"Schulbetrieb",Nutzungsprofile!$G$17:$G$22)*Kalender!C301/SUM(Kalender!$C$5:$C$370),0)+IFERROR(SUMIF(Nutzungsprofile!$B$17:$B$22,"Halle",Nutzungsprofile!$G$17:$G$22)*Kalender!D301/SUM(Kalender!$D$5:$D$370),0)+IFERROR(SUMIF(Nutzungsprofile!$B$17:$B$22,"Individuell",Nutzungsprofile!$G$17:$G$22)*Kalender!E301/SUM(Kalender!$E$5:$E$370),0))*Szenarien!$D$25,0)</f>
        <v>0</v>
      </c>
      <c r="E5425" s="13" t="n">
        <f aca="false">IFERROR(MIN(C5425,Eingaben!$B$17)*Eingaben!$B$16,0)</f>
        <v>0</v>
      </c>
      <c r="F5425" s="13" t="n">
        <f aca="false">IFERROR(E5425*Eingaben!$B$15,0)</f>
        <v>0</v>
      </c>
      <c r="G5425" s="13" t="n">
        <f aca="false">IFERROR(IF(Kalender!A301="",0,J5424*(1-Eingaben!$B$20)),0)</f>
        <v>0.226233</v>
      </c>
      <c r="H5425" s="13" t="n">
        <f aca="false">MIN(G5425,D5425)</f>
        <v>0</v>
      </c>
      <c r="I5425" s="13" t="n">
        <f aca="false">IFERROR(MIN(F5425*Eingaben!$B$19,MAX(0,D5425-H5425)),0)</f>
        <v>0</v>
      </c>
      <c r="J5425" s="13" t="n">
        <f aca="false">IFERROR(MIN(Eingaben!$B$18,MAX(0,F5425-I5425)),0)</f>
        <v>0</v>
      </c>
      <c r="K5425" s="13" t="n">
        <f aca="false">H5425+I5425</f>
        <v>0</v>
      </c>
      <c r="L5425" s="13" t="n">
        <f aca="false">MAX(0,D5425-K5425)</f>
        <v>0</v>
      </c>
      <c r="M5425" s="13" t="n">
        <f aca="false">MAX(0,F5425-I5425-J5425)</f>
        <v>0</v>
      </c>
      <c r="N5425" s="13" t="n">
        <f aca="false">IF(Kalender!A301="",0,J5424-H5425)</f>
        <v>0.23085</v>
      </c>
    </row>
    <row r="5426" customFormat="false" ht="16.4" hidden="false" customHeight="false" outlineLevel="0" collapsed="false">
      <c r="A5426" s="13" t="str">
        <f aca="false">""</f>
        <v/>
      </c>
      <c r="B5426" s="13" t="n">
        <f aca="false">298</f>
        <v>298</v>
      </c>
      <c r="C5426" s="13" t="n">
        <f aca="false">IF(Szenarien!$H$25="OK",(IFERROR(SUMIF(Nutzungsprofile!$B$6:$B$11,"Schulbetrieb",Nutzungsprofile!$G$6:$G$11)*Kalender!C302/SUM(Kalender!$C$5:$C$370),0)+IFERROR(SUMIF(Nutzungsprofile!$B$6:$B$11,"Halle",Nutzungsprofile!$G$6:$G$11)*Kalender!D302/SUM(Kalender!$D$5:$D$370),0)+IFERROR(SUMIF(Nutzungsprofile!$B$6:$B$11,"Individuell",Nutzungsprofile!$G$6:$G$11)*Kalender!E302/SUM(Kalender!$E$5:$E$370),0))*Szenarien!$E$25,0)</f>
        <v>0</v>
      </c>
      <c r="D5426" s="13" t="n">
        <f aca="false">IF(Szenarien!$H$25="OK",(IFERROR(SUMIF(Nutzungsprofile!$B$17:$B$22,"Schulbetrieb",Nutzungsprofile!$G$17:$G$22)*Kalender!C302/SUM(Kalender!$C$5:$C$370),0)+IFERROR(SUMIF(Nutzungsprofile!$B$17:$B$22,"Halle",Nutzungsprofile!$G$17:$G$22)*Kalender!D302/SUM(Kalender!$D$5:$D$370),0)+IFERROR(SUMIF(Nutzungsprofile!$B$17:$B$22,"Individuell",Nutzungsprofile!$G$17:$G$22)*Kalender!E302/SUM(Kalender!$E$5:$E$370),0))*Szenarien!$D$25,0)</f>
        <v>0</v>
      </c>
      <c r="E5426" s="13" t="n">
        <f aca="false">IFERROR(MIN(C5426,Eingaben!$B$17)*Eingaben!$B$16,0)</f>
        <v>0</v>
      </c>
      <c r="F5426" s="13" t="n">
        <f aca="false">IFERROR(E5426*Eingaben!$B$15,0)</f>
        <v>0</v>
      </c>
      <c r="G5426" s="13" t="n">
        <f aca="false">IFERROR(IF(Kalender!A302="",0,J5425*(1-Eingaben!$B$20)),0)</f>
        <v>0</v>
      </c>
      <c r="H5426" s="13" t="n">
        <f aca="false">MIN(G5426,D5426)</f>
        <v>0</v>
      </c>
      <c r="I5426" s="13" t="n">
        <f aca="false">IFERROR(MIN(F5426*Eingaben!$B$19,MAX(0,D5426-H5426)),0)</f>
        <v>0</v>
      </c>
      <c r="J5426" s="13" t="n">
        <f aca="false">IFERROR(MIN(Eingaben!$B$18,MAX(0,F5426-I5426)),0)</f>
        <v>0</v>
      </c>
      <c r="K5426" s="13" t="n">
        <f aca="false">H5426+I5426</f>
        <v>0</v>
      </c>
      <c r="L5426" s="13" t="n">
        <f aca="false">MAX(0,D5426-K5426)</f>
        <v>0</v>
      </c>
      <c r="M5426" s="13" t="n">
        <f aca="false">MAX(0,F5426-I5426-J5426)</f>
        <v>0</v>
      </c>
      <c r="N5426" s="13" t="n">
        <f aca="false">IF(Kalender!A302="",0,J5425-H5426)</f>
        <v>0</v>
      </c>
    </row>
    <row r="5427" customFormat="false" ht="16.4" hidden="false" customHeight="false" outlineLevel="0" collapsed="false">
      <c r="A5427" s="13" t="str">
        <f aca="false">""</f>
        <v/>
      </c>
      <c r="B5427" s="13" t="n">
        <f aca="false">299</f>
        <v>299</v>
      </c>
      <c r="C5427" s="13" t="n">
        <f aca="false">IF(Szenarien!$H$25="OK",(IFERROR(SUMIF(Nutzungsprofile!$B$6:$B$11,"Schulbetrieb",Nutzungsprofile!$G$6:$G$11)*Kalender!C303/SUM(Kalender!$C$5:$C$370),0)+IFERROR(SUMIF(Nutzungsprofile!$B$6:$B$11,"Halle",Nutzungsprofile!$G$6:$G$11)*Kalender!D303/SUM(Kalender!$D$5:$D$370),0)+IFERROR(SUMIF(Nutzungsprofile!$B$6:$B$11,"Individuell",Nutzungsprofile!$G$6:$G$11)*Kalender!E303/SUM(Kalender!$E$5:$E$370),0))*Szenarien!$E$25,0)</f>
        <v>0.9</v>
      </c>
      <c r="D5427" s="13" t="n">
        <f aca="false">IF(Szenarien!$H$25="OK",(IFERROR(SUMIF(Nutzungsprofile!$B$17:$B$22,"Schulbetrieb",Nutzungsprofile!$G$17:$G$22)*Kalender!C303/SUM(Kalender!$C$5:$C$370),0)+IFERROR(SUMIF(Nutzungsprofile!$B$17:$B$22,"Halle",Nutzungsprofile!$G$17:$G$22)*Kalender!D303/SUM(Kalender!$D$5:$D$370),0)+IFERROR(SUMIF(Nutzungsprofile!$B$17:$B$22,"Individuell",Nutzungsprofile!$G$17:$G$22)*Kalender!E303/SUM(Kalender!$E$5:$E$370),0))*Szenarien!$D$25,0)</f>
        <v>4.05</v>
      </c>
      <c r="E5427" s="13" t="n">
        <f aca="false">IFERROR(MIN(C5427,Eingaben!$B$17)*Eingaben!$B$16,0)</f>
        <v>0.855</v>
      </c>
      <c r="F5427" s="13" t="n">
        <f aca="false">IFERROR(E5427*Eingaben!$B$15,0)</f>
        <v>0.7695</v>
      </c>
      <c r="G5427" s="13" t="n">
        <f aca="false">IFERROR(IF(Kalender!A303="",0,J5426*(1-Eingaben!$B$20)),0)</f>
        <v>0</v>
      </c>
      <c r="H5427" s="13" t="n">
        <f aca="false">MIN(G5427,D5427)</f>
        <v>0</v>
      </c>
      <c r="I5427" s="13" t="n">
        <f aca="false">IFERROR(MIN(F5427*Eingaben!$B$19,MAX(0,D5427-H5427)),0)</f>
        <v>0.53865</v>
      </c>
      <c r="J5427" s="13" t="n">
        <f aca="false">IFERROR(MIN(Eingaben!$B$18,MAX(0,F5427-I5427)),0)</f>
        <v>0.23085</v>
      </c>
      <c r="K5427" s="13" t="n">
        <f aca="false">H5427+I5427</f>
        <v>0.53865</v>
      </c>
      <c r="L5427" s="13" t="n">
        <f aca="false">MAX(0,D5427-K5427)</f>
        <v>3.51135</v>
      </c>
      <c r="M5427" s="13" t="n">
        <f aca="false">MAX(0,F5427-I5427-J5427)</f>
        <v>0</v>
      </c>
      <c r="N5427" s="13" t="n">
        <f aca="false">IF(Kalender!A303="",0,J5426-H5427)</f>
        <v>0</v>
      </c>
    </row>
    <row r="5428" customFormat="false" ht="16.4" hidden="false" customHeight="false" outlineLevel="0" collapsed="false">
      <c r="A5428" s="13" t="str">
        <f aca="false">""</f>
        <v/>
      </c>
      <c r="B5428" s="13" t="n">
        <f aca="false">300</f>
        <v>300</v>
      </c>
      <c r="C5428" s="13" t="n">
        <f aca="false">IF(Szenarien!$H$25="OK",(IFERROR(SUMIF(Nutzungsprofile!$B$6:$B$11,"Schulbetrieb",Nutzungsprofile!$G$6:$G$11)*Kalender!C304/SUM(Kalender!$C$5:$C$370),0)+IFERROR(SUMIF(Nutzungsprofile!$B$6:$B$11,"Halle",Nutzungsprofile!$G$6:$G$11)*Kalender!D304/SUM(Kalender!$D$5:$D$370),0)+IFERROR(SUMIF(Nutzungsprofile!$B$6:$B$11,"Individuell",Nutzungsprofile!$G$6:$G$11)*Kalender!E304/SUM(Kalender!$E$5:$E$370),0))*Szenarien!$E$25,0)</f>
        <v>0.9</v>
      </c>
      <c r="D5428" s="13" t="n">
        <f aca="false">IF(Szenarien!$H$25="OK",(IFERROR(SUMIF(Nutzungsprofile!$B$17:$B$22,"Schulbetrieb",Nutzungsprofile!$G$17:$G$22)*Kalender!C304/SUM(Kalender!$C$5:$C$370),0)+IFERROR(SUMIF(Nutzungsprofile!$B$17:$B$22,"Halle",Nutzungsprofile!$G$17:$G$22)*Kalender!D304/SUM(Kalender!$D$5:$D$370),0)+IFERROR(SUMIF(Nutzungsprofile!$B$17:$B$22,"Individuell",Nutzungsprofile!$G$17:$G$22)*Kalender!E304/SUM(Kalender!$E$5:$E$370),0))*Szenarien!$D$25,0)</f>
        <v>4.05</v>
      </c>
      <c r="E5428" s="13" t="n">
        <f aca="false">IFERROR(MIN(C5428,Eingaben!$B$17)*Eingaben!$B$16,0)</f>
        <v>0.855</v>
      </c>
      <c r="F5428" s="13" t="n">
        <f aca="false">IFERROR(E5428*Eingaben!$B$15,0)</f>
        <v>0.7695</v>
      </c>
      <c r="G5428" s="13" t="n">
        <f aca="false">IFERROR(IF(Kalender!A304="",0,J5427*(1-Eingaben!$B$20)),0)</f>
        <v>0.226233</v>
      </c>
      <c r="H5428" s="13" t="n">
        <f aca="false">MIN(G5428,D5428)</f>
        <v>0.226233</v>
      </c>
      <c r="I5428" s="13" t="n">
        <f aca="false">IFERROR(MIN(F5428*Eingaben!$B$19,MAX(0,D5428-H5428)),0)</f>
        <v>0.53865</v>
      </c>
      <c r="J5428" s="13" t="n">
        <f aca="false">IFERROR(MIN(Eingaben!$B$18,MAX(0,F5428-I5428)),0)</f>
        <v>0.23085</v>
      </c>
      <c r="K5428" s="13" t="n">
        <f aca="false">H5428+I5428</f>
        <v>0.764883</v>
      </c>
      <c r="L5428" s="13" t="n">
        <f aca="false">MAX(0,D5428-K5428)</f>
        <v>3.285117</v>
      </c>
      <c r="M5428" s="13" t="n">
        <f aca="false">MAX(0,F5428-I5428-J5428)</f>
        <v>0</v>
      </c>
      <c r="N5428" s="13" t="n">
        <f aca="false">IF(Kalender!A304="",0,J5427-H5428)</f>
        <v>0.00461700000000001</v>
      </c>
    </row>
    <row r="5429" customFormat="false" ht="16.4" hidden="false" customHeight="false" outlineLevel="0" collapsed="false">
      <c r="A5429" s="13" t="str">
        <f aca="false">""</f>
        <v/>
      </c>
      <c r="B5429" s="13" t="n">
        <f aca="false">301</f>
        <v>301</v>
      </c>
      <c r="C5429" s="13" t="n">
        <f aca="false">IF(Szenarien!$H$25="OK",(IFERROR(SUMIF(Nutzungsprofile!$B$6:$B$11,"Schulbetrieb",Nutzungsprofile!$G$6:$G$11)*Kalender!C305/SUM(Kalender!$C$5:$C$370),0)+IFERROR(SUMIF(Nutzungsprofile!$B$6:$B$11,"Halle",Nutzungsprofile!$G$6:$G$11)*Kalender!D305/SUM(Kalender!$D$5:$D$370),0)+IFERROR(SUMIF(Nutzungsprofile!$B$6:$B$11,"Individuell",Nutzungsprofile!$G$6:$G$11)*Kalender!E305/SUM(Kalender!$E$5:$E$370),0))*Szenarien!$E$25,0)</f>
        <v>0.9</v>
      </c>
      <c r="D5429" s="13" t="n">
        <f aca="false">IF(Szenarien!$H$25="OK",(IFERROR(SUMIF(Nutzungsprofile!$B$17:$B$22,"Schulbetrieb",Nutzungsprofile!$G$17:$G$22)*Kalender!C305/SUM(Kalender!$C$5:$C$370),0)+IFERROR(SUMIF(Nutzungsprofile!$B$17:$B$22,"Halle",Nutzungsprofile!$G$17:$G$22)*Kalender!D305/SUM(Kalender!$D$5:$D$370),0)+IFERROR(SUMIF(Nutzungsprofile!$B$17:$B$22,"Individuell",Nutzungsprofile!$G$17:$G$22)*Kalender!E305/SUM(Kalender!$E$5:$E$370),0))*Szenarien!$D$25,0)</f>
        <v>4.05</v>
      </c>
      <c r="E5429" s="13" t="n">
        <f aca="false">IFERROR(MIN(C5429,Eingaben!$B$17)*Eingaben!$B$16,0)</f>
        <v>0.855</v>
      </c>
      <c r="F5429" s="13" t="n">
        <f aca="false">IFERROR(E5429*Eingaben!$B$15,0)</f>
        <v>0.7695</v>
      </c>
      <c r="G5429" s="13" t="n">
        <f aca="false">IFERROR(IF(Kalender!A305="",0,J5428*(1-Eingaben!$B$20)),0)</f>
        <v>0.226233</v>
      </c>
      <c r="H5429" s="13" t="n">
        <f aca="false">MIN(G5429,D5429)</f>
        <v>0.226233</v>
      </c>
      <c r="I5429" s="13" t="n">
        <f aca="false">IFERROR(MIN(F5429*Eingaben!$B$19,MAX(0,D5429-H5429)),0)</f>
        <v>0.53865</v>
      </c>
      <c r="J5429" s="13" t="n">
        <f aca="false">IFERROR(MIN(Eingaben!$B$18,MAX(0,F5429-I5429)),0)</f>
        <v>0.23085</v>
      </c>
      <c r="K5429" s="13" t="n">
        <f aca="false">H5429+I5429</f>
        <v>0.764883</v>
      </c>
      <c r="L5429" s="13" t="n">
        <f aca="false">MAX(0,D5429-K5429)</f>
        <v>3.285117</v>
      </c>
      <c r="M5429" s="13" t="n">
        <f aca="false">MAX(0,F5429-I5429-J5429)</f>
        <v>0</v>
      </c>
      <c r="N5429" s="13" t="n">
        <f aca="false">IF(Kalender!A305="",0,J5428-H5429)</f>
        <v>0.00461700000000001</v>
      </c>
    </row>
    <row r="5430" customFormat="false" ht="16.4" hidden="false" customHeight="false" outlineLevel="0" collapsed="false">
      <c r="A5430" s="13" t="str">
        <f aca="false">""</f>
        <v/>
      </c>
      <c r="B5430" s="13" t="n">
        <f aca="false">302</f>
        <v>302</v>
      </c>
      <c r="C5430" s="13" t="n">
        <f aca="false">IF(Szenarien!$H$25="OK",(IFERROR(SUMIF(Nutzungsprofile!$B$6:$B$11,"Schulbetrieb",Nutzungsprofile!$G$6:$G$11)*Kalender!C306/SUM(Kalender!$C$5:$C$370),0)+IFERROR(SUMIF(Nutzungsprofile!$B$6:$B$11,"Halle",Nutzungsprofile!$G$6:$G$11)*Kalender!D306/SUM(Kalender!$D$5:$D$370),0)+IFERROR(SUMIF(Nutzungsprofile!$B$6:$B$11,"Individuell",Nutzungsprofile!$G$6:$G$11)*Kalender!E306/SUM(Kalender!$E$5:$E$370),0))*Szenarien!$E$25,0)</f>
        <v>0.9</v>
      </c>
      <c r="D5430" s="13" t="n">
        <f aca="false">IF(Szenarien!$H$25="OK",(IFERROR(SUMIF(Nutzungsprofile!$B$17:$B$22,"Schulbetrieb",Nutzungsprofile!$G$17:$G$22)*Kalender!C306/SUM(Kalender!$C$5:$C$370),0)+IFERROR(SUMIF(Nutzungsprofile!$B$17:$B$22,"Halle",Nutzungsprofile!$G$17:$G$22)*Kalender!D306/SUM(Kalender!$D$5:$D$370),0)+IFERROR(SUMIF(Nutzungsprofile!$B$17:$B$22,"Individuell",Nutzungsprofile!$G$17:$G$22)*Kalender!E306/SUM(Kalender!$E$5:$E$370),0))*Szenarien!$D$25,0)</f>
        <v>4.05</v>
      </c>
      <c r="E5430" s="13" t="n">
        <f aca="false">IFERROR(MIN(C5430,Eingaben!$B$17)*Eingaben!$B$16,0)</f>
        <v>0.855</v>
      </c>
      <c r="F5430" s="13" t="n">
        <f aca="false">IFERROR(E5430*Eingaben!$B$15,0)</f>
        <v>0.7695</v>
      </c>
      <c r="G5430" s="13" t="n">
        <f aca="false">IFERROR(IF(Kalender!A306="",0,J5429*(1-Eingaben!$B$20)),0)</f>
        <v>0.226233</v>
      </c>
      <c r="H5430" s="13" t="n">
        <f aca="false">MIN(G5430,D5430)</f>
        <v>0.226233</v>
      </c>
      <c r="I5430" s="13" t="n">
        <f aca="false">IFERROR(MIN(F5430*Eingaben!$B$19,MAX(0,D5430-H5430)),0)</f>
        <v>0.53865</v>
      </c>
      <c r="J5430" s="13" t="n">
        <f aca="false">IFERROR(MIN(Eingaben!$B$18,MAX(0,F5430-I5430)),0)</f>
        <v>0.23085</v>
      </c>
      <c r="K5430" s="13" t="n">
        <f aca="false">H5430+I5430</f>
        <v>0.764883</v>
      </c>
      <c r="L5430" s="13" t="n">
        <f aca="false">MAX(0,D5430-K5430)</f>
        <v>3.285117</v>
      </c>
      <c r="M5430" s="13" t="n">
        <f aca="false">MAX(0,F5430-I5430-J5430)</f>
        <v>0</v>
      </c>
      <c r="N5430" s="13" t="n">
        <f aca="false">IF(Kalender!A306="",0,J5429-H5430)</f>
        <v>0.00461700000000001</v>
      </c>
    </row>
    <row r="5431" customFormat="false" ht="16.4" hidden="false" customHeight="false" outlineLevel="0" collapsed="false">
      <c r="A5431" s="13" t="str">
        <f aca="false">""</f>
        <v/>
      </c>
      <c r="B5431" s="13" t="n">
        <f aca="false">303</f>
        <v>303</v>
      </c>
      <c r="C5431" s="13" t="n">
        <f aca="false">IF(Szenarien!$H$25="OK",(IFERROR(SUMIF(Nutzungsprofile!$B$6:$B$11,"Schulbetrieb",Nutzungsprofile!$G$6:$G$11)*Kalender!C307/SUM(Kalender!$C$5:$C$370),0)+IFERROR(SUMIF(Nutzungsprofile!$B$6:$B$11,"Halle",Nutzungsprofile!$G$6:$G$11)*Kalender!D307/SUM(Kalender!$D$5:$D$370),0)+IFERROR(SUMIF(Nutzungsprofile!$B$6:$B$11,"Individuell",Nutzungsprofile!$G$6:$G$11)*Kalender!E307/SUM(Kalender!$E$5:$E$370),0))*Szenarien!$E$25,0)</f>
        <v>0.9</v>
      </c>
      <c r="D5431" s="13" t="n">
        <f aca="false">IF(Szenarien!$H$25="OK",(IFERROR(SUMIF(Nutzungsprofile!$B$17:$B$22,"Schulbetrieb",Nutzungsprofile!$G$17:$G$22)*Kalender!C307/SUM(Kalender!$C$5:$C$370),0)+IFERROR(SUMIF(Nutzungsprofile!$B$17:$B$22,"Halle",Nutzungsprofile!$G$17:$G$22)*Kalender!D307/SUM(Kalender!$D$5:$D$370),0)+IFERROR(SUMIF(Nutzungsprofile!$B$17:$B$22,"Individuell",Nutzungsprofile!$G$17:$G$22)*Kalender!E307/SUM(Kalender!$E$5:$E$370),0))*Szenarien!$D$25,0)</f>
        <v>4.05</v>
      </c>
      <c r="E5431" s="13" t="n">
        <f aca="false">IFERROR(MIN(C5431,Eingaben!$B$17)*Eingaben!$B$16,0)</f>
        <v>0.855</v>
      </c>
      <c r="F5431" s="13" t="n">
        <f aca="false">IFERROR(E5431*Eingaben!$B$15,0)</f>
        <v>0.7695</v>
      </c>
      <c r="G5431" s="13" t="n">
        <f aca="false">IFERROR(IF(Kalender!A307="",0,J5430*(1-Eingaben!$B$20)),0)</f>
        <v>0.226233</v>
      </c>
      <c r="H5431" s="13" t="n">
        <f aca="false">MIN(G5431,D5431)</f>
        <v>0.226233</v>
      </c>
      <c r="I5431" s="13" t="n">
        <f aca="false">IFERROR(MIN(F5431*Eingaben!$B$19,MAX(0,D5431-H5431)),0)</f>
        <v>0.53865</v>
      </c>
      <c r="J5431" s="13" t="n">
        <f aca="false">IFERROR(MIN(Eingaben!$B$18,MAX(0,F5431-I5431)),0)</f>
        <v>0.23085</v>
      </c>
      <c r="K5431" s="13" t="n">
        <f aca="false">H5431+I5431</f>
        <v>0.764883</v>
      </c>
      <c r="L5431" s="13" t="n">
        <f aca="false">MAX(0,D5431-K5431)</f>
        <v>3.285117</v>
      </c>
      <c r="M5431" s="13" t="n">
        <f aca="false">MAX(0,F5431-I5431-J5431)</f>
        <v>0</v>
      </c>
      <c r="N5431" s="13" t="n">
        <f aca="false">IF(Kalender!A307="",0,J5430-H5431)</f>
        <v>0.00461700000000001</v>
      </c>
    </row>
    <row r="5432" customFormat="false" ht="16.4" hidden="false" customHeight="false" outlineLevel="0" collapsed="false">
      <c r="A5432" s="13" t="str">
        <f aca="false">""</f>
        <v/>
      </c>
      <c r="B5432" s="13" t="n">
        <f aca="false">304</f>
        <v>304</v>
      </c>
      <c r="C5432" s="13" t="n">
        <f aca="false">IF(Szenarien!$H$25="OK",(IFERROR(SUMIF(Nutzungsprofile!$B$6:$B$11,"Schulbetrieb",Nutzungsprofile!$G$6:$G$11)*Kalender!C308/SUM(Kalender!$C$5:$C$370),0)+IFERROR(SUMIF(Nutzungsprofile!$B$6:$B$11,"Halle",Nutzungsprofile!$G$6:$G$11)*Kalender!D308/SUM(Kalender!$D$5:$D$370),0)+IFERROR(SUMIF(Nutzungsprofile!$B$6:$B$11,"Individuell",Nutzungsprofile!$G$6:$G$11)*Kalender!E308/SUM(Kalender!$E$5:$E$370),0))*Szenarien!$E$25,0)</f>
        <v>0</v>
      </c>
      <c r="D5432" s="13" t="n">
        <f aca="false">IF(Szenarien!$H$25="OK",(IFERROR(SUMIF(Nutzungsprofile!$B$17:$B$22,"Schulbetrieb",Nutzungsprofile!$G$17:$G$22)*Kalender!C308/SUM(Kalender!$C$5:$C$370),0)+IFERROR(SUMIF(Nutzungsprofile!$B$17:$B$22,"Halle",Nutzungsprofile!$G$17:$G$22)*Kalender!D308/SUM(Kalender!$D$5:$D$370),0)+IFERROR(SUMIF(Nutzungsprofile!$B$17:$B$22,"Individuell",Nutzungsprofile!$G$17:$G$22)*Kalender!E308/SUM(Kalender!$E$5:$E$370),0))*Szenarien!$D$25,0)</f>
        <v>0</v>
      </c>
      <c r="E5432" s="13" t="n">
        <f aca="false">IFERROR(MIN(C5432,Eingaben!$B$17)*Eingaben!$B$16,0)</f>
        <v>0</v>
      </c>
      <c r="F5432" s="13" t="n">
        <f aca="false">IFERROR(E5432*Eingaben!$B$15,0)</f>
        <v>0</v>
      </c>
      <c r="G5432" s="13" t="n">
        <f aca="false">IFERROR(IF(Kalender!A308="",0,J5431*(1-Eingaben!$B$20)),0)</f>
        <v>0.226233</v>
      </c>
      <c r="H5432" s="13" t="n">
        <f aca="false">MIN(G5432,D5432)</f>
        <v>0</v>
      </c>
      <c r="I5432" s="13" t="n">
        <f aca="false">IFERROR(MIN(F5432*Eingaben!$B$19,MAX(0,D5432-H5432)),0)</f>
        <v>0</v>
      </c>
      <c r="J5432" s="13" t="n">
        <f aca="false">IFERROR(MIN(Eingaben!$B$18,MAX(0,F5432-I5432)),0)</f>
        <v>0</v>
      </c>
      <c r="K5432" s="13" t="n">
        <f aca="false">H5432+I5432</f>
        <v>0</v>
      </c>
      <c r="L5432" s="13" t="n">
        <f aca="false">MAX(0,D5432-K5432)</f>
        <v>0</v>
      </c>
      <c r="M5432" s="13" t="n">
        <f aca="false">MAX(0,F5432-I5432-J5432)</f>
        <v>0</v>
      </c>
      <c r="N5432" s="13" t="n">
        <f aca="false">IF(Kalender!A308="",0,J5431-H5432)</f>
        <v>0.23085</v>
      </c>
    </row>
    <row r="5433" customFormat="false" ht="16.4" hidden="false" customHeight="false" outlineLevel="0" collapsed="false">
      <c r="A5433" s="13" t="str">
        <f aca="false">""</f>
        <v/>
      </c>
      <c r="B5433" s="13" t="n">
        <f aca="false">305</f>
        <v>305</v>
      </c>
      <c r="C5433" s="13" t="n">
        <f aca="false">IF(Szenarien!$H$25="OK",(IFERROR(SUMIF(Nutzungsprofile!$B$6:$B$11,"Schulbetrieb",Nutzungsprofile!$G$6:$G$11)*Kalender!C309/SUM(Kalender!$C$5:$C$370),0)+IFERROR(SUMIF(Nutzungsprofile!$B$6:$B$11,"Halle",Nutzungsprofile!$G$6:$G$11)*Kalender!D309/SUM(Kalender!$D$5:$D$370),0)+IFERROR(SUMIF(Nutzungsprofile!$B$6:$B$11,"Individuell",Nutzungsprofile!$G$6:$G$11)*Kalender!E309/SUM(Kalender!$E$5:$E$370),0))*Szenarien!$E$25,0)</f>
        <v>0</v>
      </c>
      <c r="D5433" s="13" t="n">
        <f aca="false">IF(Szenarien!$H$25="OK",(IFERROR(SUMIF(Nutzungsprofile!$B$17:$B$22,"Schulbetrieb",Nutzungsprofile!$G$17:$G$22)*Kalender!C309/SUM(Kalender!$C$5:$C$370),0)+IFERROR(SUMIF(Nutzungsprofile!$B$17:$B$22,"Halle",Nutzungsprofile!$G$17:$G$22)*Kalender!D309/SUM(Kalender!$D$5:$D$370),0)+IFERROR(SUMIF(Nutzungsprofile!$B$17:$B$22,"Individuell",Nutzungsprofile!$G$17:$G$22)*Kalender!E309/SUM(Kalender!$E$5:$E$370),0))*Szenarien!$D$25,0)</f>
        <v>0</v>
      </c>
      <c r="E5433" s="13" t="n">
        <f aca="false">IFERROR(MIN(C5433,Eingaben!$B$17)*Eingaben!$B$16,0)</f>
        <v>0</v>
      </c>
      <c r="F5433" s="13" t="n">
        <f aca="false">IFERROR(E5433*Eingaben!$B$15,0)</f>
        <v>0</v>
      </c>
      <c r="G5433" s="13" t="n">
        <f aca="false">IFERROR(IF(Kalender!A309="",0,J5432*(1-Eingaben!$B$20)),0)</f>
        <v>0</v>
      </c>
      <c r="H5433" s="13" t="n">
        <f aca="false">MIN(G5433,D5433)</f>
        <v>0</v>
      </c>
      <c r="I5433" s="13" t="n">
        <f aca="false">IFERROR(MIN(F5433*Eingaben!$B$19,MAX(0,D5433-H5433)),0)</f>
        <v>0</v>
      </c>
      <c r="J5433" s="13" t="n">
        <f aca="false">IFERROR(MIN(Eingaben!$B$18,MAX(0,F5433-I5433)),0)</f>
        <v>0</v>
      </c>
      <c r="K5433" s="13" t="n">
        <f aca="false">H5433+I5433</f>
        <v>0</v>
      </c>
      <c r="L5433" s="13" t="n">
        <f aca="false">MAX(0,D5433-K5433)</f>
        <v>0</v>
      </c>
      <c r="M5433" s="13" t="n">
        <f aca="false">MAX(0,F5433-I5433-J5433)</f>
        <v>0</v>
      </c>
      <c r="N5433" s="13" t="n">
        <f aca="false">IF(Kalender!A309="",0,J5432-H5433)</f>
        <v>0</v>
      </c>
    </row>
    <row r="5434" customFormat="false" ht="16.4" hidden="false" customHeight="false" outlineLevel="0" collapsed="false">
      <c r="A5434" s="13" t="str">
        <f aca="false">""</f>
        <v/>
      </c>
      <c r="B5434" s="13" t="n">
        <f aca="false">306</f>
        <v>306</v>
      </c>
      <c r="C5434" s="13" t="n">
        <f aca="false">IF(Szenarien!$H$25="OK",(IFERROR(SUMIF(Nutzungsprofile!$B$6:$B$11,"Schulbetrieb",Nutzungsprofile!$G$6:$G$11)*Kalender!C310/SUM(Kalender!$C$5:$C$370),0)+IFERROR(SUMIF(Nutzungsprofile!$B$6:$B$11,"Halle",Nutzungsprofile!$G$6:$G$11)*Kalender!D310/SUM(Kalender!$D$5:$D$370),0)+IFERROR(SUMIF(Nutzungsprofile!$B$6:$B$11,"Individuell",Nutzungsprofile!$G$6:$G$11)*Kalender!E310/SUM(Kalender!$E$5:$E$370),0))*Szenarien!$E$25,0)</f>
        <v>0.9</v>
      </c>
      <c r="D5434" s="13" t="n">
        <f aca="false">IF(Szenarien!$H$25="OK",(IFERROR(SUMIF(Nutzungsprofile!$B$17:$B$22,"Schulbetrieb",Nutzungsprofile!$G$17:$G$22)*Kalender!C310/SUM(Kalender!$C$5:$C$370),0)+IFERROR(SUMIF(Nutzungsprofile!$B$17:$B$22,"Halle",Nutzungsprofile!$G$17:$G$22)*Kalender!D310/SUM(Kalender!$D$5:$D$370),0)+IFERROR(SUMIF(Nutzungsprofile!$B$17:$B$22,"Individuell",Nutzungsprofile!$G$17:$G$22)*Kalender!E310/SUM(Kalender!$E$5:$E$370),0))*Szenarien!$D$25,0)</f>
        <v>4.05</v>
      </c>
      <c r="E5434" s="13" t="n">
        <f aca="false">IFERROR(MIN(C5434,Eingaben!$B$17)*Eingaben!$B$16,0)</f>
        <v>0.855</v>
      </c>
      <c r="F5434" s="13" t="n">
        <f aca="false">IFERROR(E5434*Eingaben!$B$15,0)</f>
        <v>0.7695</v>
      </c>
      <c r="G5434" s="13" t="n">
        <f aca="false">IFERROR(IF(Kalender!A310="",0,J5433*(1-Eingaben!$B$20)),0)</f>
        <v>0</v>
      </c>
      <c r="H5434" s="13" t="n">
        <f aca="false">MIN(G5434,D5434)</f>
        <v>0</v>
      </c>
      <c r="I5434" s="13" t="n">
        <f aca="false">IFERROR(MIN(F5434*Eingaben!$B$19,MAX(0,D5434-H5434)),0)</f>
        <v>0.53865</v>
      </c>
      <c r="J5434" s="13" t="n">
        <f aca="false">IFERROR(MIN(Eingaben!$B$18,MAX(0,F5434-I5434)),0)</f>
        <v>0.23085</v>
      </c>
      <c r="K5434" s="13" t="n">
        <f aca="false">H5434+I5434</f>
        <v>0.53865</v>
      </c>
      <c r="L5434" s="13" t="n">
        <f aca="false">MAX(0,D5434-K5434)</f>
        <v>3.51135</v>
      </c>
      <c r="M5434" s="13" t="n">
        <f aca="false">MAX(0,F5434-I5434-J5434)</f>
        <v>0</v>
      </c>
      <c r="N5434" s="13" t="n">
        <f aca="false">IF(Kalender!A310="",0,J5433-H5434)</f>
        <v>0</v>
      </c>
    </row>
    <row r="5435" customFormat="false" ht="16.4" hidden="false" customHeight="false" outlineLevel="0" collapsed="false">
      <c r="A5435" s="13" t="str">
        <f aca="false">""</f>
        <v/>
      </c>
      <c r="B5435" s="13" t="n">
        <f aca="false">307</f>
        <v>307</v>
      </c>
      <c r="C5435" s="13" t="n">
        <f aca="false">IF(Szenarien!$H$25="OK",(IFERROR(SUMIF(Nutzungsprofile!$B$6:$B$11,"Schulbetrieb",Nutzungsprofile!$G$6:$G$11)*Kalender!C311/SUM(Kalender!$C$5:$C$370),0)+IFERROR(SUMIF(Nutzungsprofile!$B$6:$B$11,"Halle",Nutzungsprofile!$G$6:$G$11)*Kalender!D311/SUM(Kalender!$D$5:$D$370),0)+IFERROR(SUMIF(Nutzungsprofile!$B$6:$B$11,"Individuell",Nutzungsprofile!$G$6:$G$11)*Kalender!E311/SUM(Kalender!$E$5:$E$370),0))*Szenarien!$E$25,0)</f>
        <v>0.9</v>
      </c>
      <c r="D5435" s="13" t="n">
        <f aca="false">IF(Szenarien!$H$25="OK",(IFERROR(SUMIF(Nutzungsprofile!$B$17:$B$22,"Schulbetrieb",Nutzungsprofile!$G$17:$G$22)*Kalender!C311/SUM(Kalender!$C$5:$C$370),0)+IFERROR(SUMIF(Nutzungsprofile!$B$17:$B$22,"Halle",Nutzungsprofile!$G$17:$G$22)*Kalender!D311/SUM(Kalender!$D$5:$D$370),0)+IFERROR(SUMIF(Nutzungsprofile!$B$17:$B$22,"Individuell",Nutzungsprofile!$G$17:$G$22)*Kalender!E311/SUM(Kalender!$E$5:$E$370),0))*Szenarien!$D$25,0)</f>
        <v>4.05</v>
      </c>
      <c r="E5435" s="13" t="n">
        <f aca="false">IFERROR(MIN(C5435,Eingaben!$B$17)*Eingaben!$B$16,0)</f>
        <v>0.855</v>
      </c>
      <c r="F5435" s="13" t="n">
        <f aca="false">IFERROR(E5435*Eingaben!$B$15,0)</f>
        <v>0.7695</v>
      </c>
      <c r="G5435" s="13" t="n">
        <f aca="false">IFERROR(IF(Kalender!A311="",0,J5434*(1-Eingaben!$B$20)),0)</f>
        <v>0.226233</v>
      </c>
      <c r="H5435" s="13" t="n">
        <f aca="false">MIN(G5435,D5435)</f>
        <v>0.226233</v>
      </c>
      <c r="I5435" s="13" t="n">
        <f aca="false">IFERROR(MIN(F5435*Eingaben!$B$19,MAX(0,D5435-H5435)),0)</f>
        <v>0.53865</v>
      </c>
      <c r="J5435" s="13" t="n">
        <f aca="false">IFERROR(MIN(Eingaben!$B$18,MAX(0,F5435-I5435)),0)</f>
        <v>0.23085</v>
      </c>
      <c r="K5435" s="13" t="n">
        <f aca="false">H5435+I5435</f>
        <v>0.764883</v>
      </c>
      <c r="L5435" s="13" t="n">
        <f aca="false">MAX(0,D5435-K5435)</f>
        <v>3.285117</v>
      </c>
      <c r="M5435" s="13" t="n">
        <f aca="false">MAX(0,F5435-I5435-J5435)</f>
        <v>0</v>
      </c>
      <c r="N5435" s="13" t="n">
        <f aca="false">IF(Kalender!A311="",0,J5434-H5435)</f>
        <v>0.00461700000000001</v>
      </c>
    </row>
    <row r="5436" customFormat="false" ht="16.4" hidden="false" customHeight="false" outlineLevel="0" collapsed="false">
      <c r="A5436" s="13" t="str">
        <f aca="false">""</f>
        <v/>
      </c>
      <c r="B5436" s="13" t="n">
        <f aca="false">308</f>
        <v>308</v>
      </c>
      <c r="C5436" s="13" t="n">
        <f aca="false">IF(Szenarien!$H$25="OK",(IFERROR(SUMIF(Nutzungsprofile!$B$6:$B$11,"Schulbetrieb",Nutzungsprofile!$G$6:$G$11)*Kalender!C312/SUM(Kalender!$C$5:$C$370),0)+IFERROR(SUMIF(Nutzungsprofile!$B$6:$B$11,"Halle",Nutzungsprofile!$G$6:$G$11)*Kalender!D312/SUM(Kalender!$D$5:$D$370),0)+IFERROR(SUMIF(Nutzungsprofile!$B$6:$B$11,"Individuell",Nutzungsprofile!$G$6:$G$11)*Kalender!E312/SUM(Kalender!$E$5:$E$370),0))*Szenarien!$E$25,0)</f>
        <v>0.9</v>
      </c>
      <c r="D5436" s="13" t="n">
        <f aca="false">IF(Szenarien!$H$25="OK",(IFERROR(SUMIF(Nutzungsprofile!$B$17:$B$22,"Schulbetrieb",Nutzungsprofile!$G$17:$G$22)*Kalender!C312/SUM(Kalender!$C$5:$C$370),0)+IFERROR(SUMIF(Nutzungsprofile!$B$17:$B$22,"Halle",Nutzungsprofile!$G$17:$G$22)*Kalender!D312/SUM(Kalender!$D$5:$D$370),0)+IFERROR(SUMIF(Nutzungsprofile!$B$17:$B$22,"Individuell",Nutzungsprofile!$G$17:$G$22)*Kalender!E312/SUM(Kalender!$E$5:$E$370),0))*Szenarien!$D$25,0)</f>
        <v>4.05</v>
      </c>
      <c r="E5436" s="13" t="n">
        <f aca="false">IFERROR(MIN(C5436,Eingaben!$B$17)*Eingaben!$B$16,0)</f>
        <v>0.855</v>
      </c>
      <c r="F5436" s="13" t="n">
        <f aca="false">IFERROR(E5436*Eingaben!$B$15,0)</f>
        <v>0.7695</v>
      </c>
      <c r="G5436" s="13" t="n">
        <f aca="false">IFERROR(IF(Kalender!A312="",0,J5435*(1-Eingaben!$B$20)),0)</f>
        <v>0.226233</v>
      </c>
      <c r="H5436" s="13" t="n">
        <f aca="false">MIN(G5436,D5436)</f>
        <v>0.226233</v>
      </c>
      <c r="I5436" s="13" t="n">
        <f aca="false">IFERROR(MIN(F5436*Eingaben!$B$19,MAX(0,D5436-H5436)),0)</f>
        <v>0.53865</v>
      </c>
      <c r="J5436" s="13" t="n">
        <f aca="false">IFERROR(MIN(Eingaben!$B$18,MAX(0,F5436-I5436)),0)</f>
        <v>0.23085</v>
      </c>
      <c r="K5436" s="13" t="n">
        <f aca="false">H5436+I5436</f>
        <v>0.764883</v>
      </c>
      <c r="L5436" s="13" t="n">
        <f aca="false">MAX(0,D5436-K5436)</f>
        <v>3.285117</v>
      </c>
      <c r="M5436" s="13" t="n">
        <f aca="false">MAX(0,F5436-I5436-J5436)</f>
        <v>0</v>
      </c>
      <c r="N5436" s="13" t="n">
        <f aca="false">IF(Kalender!A312="",0,J5435-H5436)</f>
        <v>0.00461700000000001</v>
      </c>
    </row>
    <row r="5437" customFormat="false" ht="16.4" hidden="false" customHeight="false" outlineLevel="0" collapsed="false">
      <c r="A5437" s="13" t="str">
        <f aca="false">""</f>
        <v/>
      </c>
      <c r="B5437" s="13" t="n">
        <f aca="false">309</f>
        <v>309</v>
      </c>
      <c r="C5437" s="13" t="n">
        <f aca="false">IF(Szenarien!$H$25="OK",(IFERROR(SUMIF(Nutzungsprofile!$B$6:$B$11,"Schulbetrieb",Nutzungsprofile!$G$6:$G$11)*Kalender!C313/SUM(Kalender!$C$5:$C$370),0)+IFERROR(SUMIF(Nutzungsprofile!$B$6:$B$11,"Halle",Nutzungsprofile!$G$6:$G$11)*Kalender!D313/SUM(Kalender!$D$5:$D$370),0)+IFERROR(SUMIF(Nutzungsprofile!$B$6:$B$11,"Individuell",Nutzungsprofile!$G$6:$G$11)*Kalender!E313/SUM(Kalender!$E$5:$E$370),0))*Szenarien!$E$25,0)</f>
        <v>0.9</v>
      </c>
      <c r="D5437" s="13" t="n">
        <f aca="false">IF(Szenarien!$H$25="OK",(IFERROR(SUMIF(Nutzungsprofile!$B$17:$B$22,"Schulbetrieb",Nutzungsprofile!$G$17:$G$22)*Kalender!C313/SUM(Kalender!$C$5:$C$370),0)+IFERROR(SUMIF(Nutzungsprofile!$B$17:$B$22,"Halle",Nutzungsprofile!$G$17:$G$22)*Kalender!D313/SUM(Kalender!$D$5:$D$370),0)+IFERROR(SUMIF(Nutzungsprofile!$B$17:$B$22,"Individuell",Nutzungsprofile!$G$17:$G$22)*Kalender!E313/SUM(Kalender!$E$5:$E$370),0))*Szenarien!$D$25,0)</f>
        <v>4.05</v>
      </c>
      <c r="E5437" s="13" t="n">
        <f aca="false">IFERROR(MIN(C5437,Eingaben!$B$17)*Eingaben!$B$16,0)</f>
        <v>0.855</v>
      </c>
      <c r="F5437" s="13" t="n">
        <f aca="false">IFERROR(E5437*Eingaben!$B$15,0)</f>
        <v>0.7695</v>
      </c>
      <c r="G5437" s="13" t="n">
        <f aca="false">IFERROR(IF(Kalender!A313="",0,J5436*(1-Eingaben!$B$20)),0)</f>
        <v>0.226233</v>
      </c>
      <c r="H5437" s="13" t="n">
        <f aca="false">MIN(G5437,D5437)</f>
        <v>0.226233</v>
      </c>
      <c r="I5437" s="13" t="n">
        <f aca="false">IFERROR(MIN(F5437*Eingaben!$B$19,MAX(0,D5437-H5437)),0)</f>
        <v>0.53865</v>
      </c>
      <c r="J5437" s="13" t="n">
        <f aca="false">IFERROR(MIN(Eingaben!$B$18,MAX(0,F5437-I5437)),0)</f>
        <v>0.23085</v>
      </c>
      <c r="K5437" s="13" t="n">
        <f aca="false">H5437+I5437</f>
        <v>0.764883</v>
      </c>
      <c r="L5437" s="13" t="n">
        <f aca="false">MAX(0,D5437-K5437)</f>
        <v>3.285117</v>
      </c>
      <c r="M5437" s="13" t="n">
        <f aca="false">MAX(0,F5437-I5437-J5437)</f>
        <v>0</v>
      </c>
      <c r="N5437" s="13" t="n">
        <f aca="false">IF(Kalender!A313="",0,J5436-H5437)</f>
        <v>0.00461700000000001</v>
      </c>
    </row>
    <row r="5438" customFormat="false" ht="16.4" hidden="false" customHeight="false" outlineLevel="0" collapsed="false">
      <c r="A5438" s="13" t="str">
        <f aca="false">""</f>
        <v/>
      </c>
      <c r="B5438" s="13" t="n">
        <f aca="false">310</f>
        <v>310</v>
      </c>
      <c r="C5438" s="13" t="n">
        <f aca="false">IF(Szenarien!$H$25="OK",(IFERROR(SUMIF(Nutzungsprofile!$B$6:$B$11,"Schulbetrieb",Nutzungsprofile!$G$6:$G$11)*Kalender!C314/SUM(Kalender!$C$5:$C$370),0)+IFERROR(SUMIF(Nutzungsprofile!$B$6:$B$11,"Halle",Nutzungsprofile!$G$6:$G$11)*Kalender!D314/SUM(Kalender!$D$5:$D$370),0)+IFERROR(SUMIF(Nutzungsprofile!$B$6:$B$11,"Individuell",Nutzungsprofile!$G$6:$G$11)*Kalender!E314/SUM(Kalender!$E$5:$E$370),0))*Szenarien!$E$25,0)</f>
        <v>0.9</v>
      </c>
      <c r="D5438" s="13" t="n">
        <f aca="false">IF(Szenarien!$H$25="OK",(IFERROR(SUMIF(Nutzungsprofile!$B$17:$B$22,"Schulbetrieb",Nutzungsprofile!$G$17:$G$22)*Kalender!C314/SUM(Kalender!$C$5:$C$370),0)+IFERROR(SUMIF(Nutzungsprofile!$B$17:$B$22,"Halle",Nutzungsprofile!$G$17:$G$22)*Kalender!D314/SUM(Kalender!$D$5:$D$370),0)+IFERROR(SUMIF(Nutzungsprofile!$B$17:$B$22,"Individuell",Nutzungsprofile!$G$17:$G$22)*Kalender!E314/SUM(Kalender!$E$5:$E$370),0))*Szenarien!$D$25,0)</f>
        <v>4.05</v>
      </c>
      <c r="E5438" s="13" t="n">
        <f aca="false">IFERROR(MIN(C5438,Eingaben!$B$17)*Eingaben!$B$16,0)</f>
        <v>0.855</v>
      </c>
      <c r="F5438" s="13" t="n">
        <f aca="false">IFERROR(E5438*Eingaben!$B$15,0)</f>
        <v>0.7695</v>
      </c>
      <c r="G5438" s="13" t="n">
        <f aca="false">IFERROR(IF(Kalender!A314="",0,J5437*(1-Eingaben!$B$20)),0)</f>
        <v>0.226233</v>
      </c>
      <c r="H5438" s="13" t="n">
        <f aca="false">MIN(G5438,D5438)</f>
        <v>0.226233</v>
      </c>
      <c r="I5438" s="13" t="n">
        <f aca="false">IFERROR(MIN(F5438*Eingaben!$B$19,MAX(0,D5438-H5438)),0)</f>
        <v>0.53865</v>
      </c>
      <c r="J5438" s="13" t="n">
        <f aca="false">IFERROR(MIN(Eingaben!$B$18,MAX(0,F5438-I5438)),0)</f>
        <v>0.23085</v>
      </c>
      <c r="K5438" s="13" t="n">
        <f aca="false">H5438+I5438</f>
        <v>0.764883</v>
      </c>
      <c r="L5438" s="13" t="n">
        <f aca="false">MAX(0,D5438-K5438)</f>
        <v>3.285117</v>
      </c>
      <c r="M5438" s="13" t="n">
        <f aca="false">MAX(0,F5438-I5438-J5438)</f>
        <v>0</v>
      </c>
      <c r="N5438" s="13" t="n">
        <f aca="false">IF(Kalender!A314="",0,J5437-H5438)</f>
        <v>0.00461700000000001</v>
      </c>
    </row>
    <row r="5439" customFormat="false" ht="16.4" hidden="false" customHeight="false" outlineLevel="0" collapsed="false">
      <c r="A5439" s="13" t="str">
        <f aca="false">""</f>
        <v/>
      </c>
      <c r="B5439" s="13" t="n">
        <f aca="false">311</f>
        <v>311</v>
      </c>
      <c r="C5439" s="13" t="n">
        <f aca="false">IF(Szenarien!$H$25="OK",(IFERROR(SUMIF(Nutzungsprofile!$B$6:$B$11,"Schulbetrieb",Nutzungsprofile!$G$6:$G$11)*Kalender!C315/SUM(Kalender!$C$5:$C$370),0)+IFERROR(SUMIF(Nutzungsprofile!$B$6:$B$11,"Halle",Nutzungsprofile!$G$6:$G$11)*Kalender!D315/SUM(Kalender!$D$5:$D$370),0)+IFERROR(SUMIF(Nutzungsprofile!$B$6:$B$11,"Individuell",Nutzungsprofile!$G$6:$G$11)*Kalender!E315/SUM(Kalender!$E$5:$E$370),0))*Szenarien!$E$25,0)</f>
        <v>0</v>
      </c>
      <c r="D5439" s="13" t="n">
        <f aca="false">IF(Szenarien!$H$25="OK",(IFERROR(SUMIF(Nutzungsprofile!$B$17:$B$22,"Schulbetrieb",Nutzungsprofile!$G$17:$G$22)*Kalender!C315/SUM(Kalender!$C$5:$C$370),0)+IFERROR(SUMIF(Nutzungsprofile!$B$17:$B$22,"Halle",Nutzungsprofile!$G$17:$G$22)*Kalender!D315/SUM(Kalender!$D$5:$D$370),0)+IFERROR(SUMIF(Nutzungsprofile!$B$17:$B$22,"Individuell",Nutzungsprofile!$G$17:$G$22)*Kalender!E315/SUM(Kalender!$E$5:$E$370),0))*Szenarien!$D$25,0)</f>
        <v>0</v>
      </c>
      <c r="E5439" s="13" t="n">
        <f aca="false">IFERROR(MIN(C5439,Eingaben!$B$17)*Eingaben!$B$16,0)</f>
        <v>0</v>
      </c>
      <c r="F5439" s="13" t="n">
        <f aca="false">IFERROR(E5439*Eingaben!$B$15,0)</f>
        <v>0</v>
      </c>
      <c r="G5439" s="13" t="n">
        <f aca="false">IFERROR(IF(Kalender!A315="",0,J5438*(1-Eingaben!$B$20)),0)</f>
        <v>0.226233</v>
      </c>
      <c r="H5439" s="13" t="n">
        <f aca="false">MIN(G5439,D5439)</f>
        <v>0</v>
      </c>
      <c r="I5439" s="13" t="n">
        <f aca="false">IFERROR(MIN(F5439*Eingaben!$B$19,MAX(0,D5439-H5439)),0)</f>
        <v>0</v>
      </c>
      <c r="J5439" s="13" t="n">
        <f aca="false">IFERROR(MIN(Eingaben!$B$18,MAX(0,F5439-I5439)),0)</f>
        <v>0</v>
      </c>
      <c r="K5439" s="13" t="n">
        <f aca="false">H5439+I5439</f>
        <v>0</v>
      </c>
      <c r="L5439" s="13" t="n">
        <f aca="false">MAX(0,D5439-K5439)</f>
        <v>0</v>
      </c>
      <c r="M5439" s="13" t="n">
        <f aca="false">MAX(0,F5439-I5439-J5439)</f>
        <v>0</v>
      </c>
      <c r="N5439" s="13" t="n">
        <f aca="false">IF(Kalender!A315="",0,J5438-H5439)</f>
        <v>0.23085</v>
      </c>
    </row>
    <row r="5440" customFormat="false" ht="16.4" hidden="false" customHeight="false" outlineLevel="0" collapsed="false">
      <c r="A5440" s="13" t="str">
        <f aca="false">""</f>
        <v/>
      </c>
      <c r="B5440" s="13" t="n">
        <f aca="false">312</f>
        <v>312</v>
      </c>
      <c r="C5440" s="13" t="n">
        <f aca="false">IF(Szenarien!$H$25="OK",(IFERROR(SUMIF(Nutzungsprofile!$B$6:$B$11,"Schulbetrieb",Nutzungsprofile!$G$6:$G$11)*Kalender!C316/SUM(Kalender!$C$5:$C$370),0)+IFERROR(SUMIF(Nutzungsprofile!$B$6:$B$11,"Halle",Nutzungsprofile!$G$6:$G$11)*Kalender!D316/SUM(Kalender!$D$5:$D$370),0)+IFERROR(SUMIF(Nutzungsprofile!$B$6:$B$11,"Individuell",Nutzungsprofile!$G$6:$G$11)*Kalender!E316/SUM(Kalender!$E$5:$E$370),0))*Szenarien!$E$25,0)</f>
        <v>0</v>
      </c>
      <c r="D5440" s="13" t="n">
        <f aca="false">IF(Szenarien!$H$25="OK",(IFERROR(SUMIF(Nutzungsprofile!$B$17:$B$22,"Schulbetrieb",Nutzungsprofile!$G$17:$G$22)*Kalender!C316/SUM(Kalender!$C$5:$C$370),0)+IFERROR(SUMIF(Nutzungsprofile!$B$17:$B$22,"Halle",Nutzungsprofile!$G$17:$G$22)*Kalender!D316/SUM(Kalender!$D$5:$D$370),0)+IFERROR(SUMIF(Nutzungsprofile!$B$17:$B$22,"Individuell",Nutzungsprofile!$G$17:$G$22)*Kalender!E316/SUM(Kalender!$E$5:$E$370),0))*Szenarien!$D$25,0)</f>
        <v>0</v>
      </c>
      <c r="E5440" s="13" t="n">
        <f aca="false">IFERROR(MIN(C5440,Eingaben!$B$17)*Eingaben!$B$16,0)</f>
        <v>0</v>
      </c>
      <c r="F5440" s="13" t="n">
        <f aca="false">IFERROR(E5440*Eingaben!$B$15,0)</f>
        <v>0</v>
      </c>
      <c r="G5440" s="13" t="n">
        <f aca="false">IFERROR(IF(Kalender!A316="",0,J5439*(1-Eingaben!$B$20)),0)</f>
        <v>0</v>
      </c>
      <c r="H5440" s="13" t="n">
        <f aca="false">MIN(G5440,D5440)</f>
        <v>0</v>
      </c>
      <c r="I5440" s="13" t="n">
        <f aca="false">IFERROR(MIN(F5440*Eingaben!$B$19,MAX(0,D5440-H5440)),0)</f>
        <v>0</v>
      </c>
      <c r="J5440" s="13" t="n">
        <f aca="false">IFERROR(MIN(Eingaben!$B$18,MAX(0,F5440-I5440)),0)</f>
        <v>0</v>
      </c>
      <c r="K5440" s="13" t="n">
        <f aca="false">H5440+I5440</f>
        <v>0</v>
      </c>
      <c r="L5440" s="13" t="n">
        <f aca="false">MAX(0,D5440-K5440)</f>
        <v>0</v>
      </c>
      <c r="M5440" s="13" t="n">
        <f aca="false">MAX(0,F5440-I5440-J5440)</f>
        <v>0</v>
      </c>
      <c r="N5440" s="13" t="n">
        <f aca="false">IF(Kalender!A316="",0,J5439-H5440)</f>
        <v>0</v>
      </c>
    </row>
    <row r="5441" customFormat="false" ht="16.4" hidden="false" customHeight="false" outlineLevel="0" collapsed="false">
      <c r="A5441" s="13" t="str">
        <f aca="false">""</f>
        <v/>
      </c>
      <c r="B5441" s="13" t="n">
        <f aca="false">313</f>
        <v>313</v>
      </c>
      <c r="C5441" s="13" t="n">
        <f aca="false">IF(Szenarien!$H$25="OK",(IFERROR(SUMIF(Nutzungsprofile!$B$6:$B$11,"Schulbetrieb",Nutzungsprofile!$G$6:$G$11)*Kalender!C317/SUM(Kalender!$C$5:$C$370),0)+IFERROR(SUMIF(Nutzungsprofile!$B$6:$B$11,"Halle",Nutzungsprofile!$G$6:$G$11)*Kalender!D317/SUM(Kalender!$D$5:$D$370),0)+IFERROR(SUMIF(Nutzungsprofile!$B$6:$B$11,"Individuell",Nutzungsprofile!$G$6:$G$11)*Kalender!E317/SUM(Kalender!$E$5:$E$370),0))*Szenarien!$E$25,0)</f>
        <v>0.9</v>
      </c>
      <c r="D5441" s="13" t="n">
        <f aca="false">IF(Szenarien!$H$25="OK",(IFERROR(SUMIF(Nutzungsprofile!$B$17:$B$22,"Schulbetrieb",Nutzungsprofile!$G$17:$G$22)*Kalender!C317/SUM(Kalender!$C$5:$C$370),0)+IFERROR(SUMIF(Nutzungsprofile!$B$17:$B$22,"Halle",Nutzungsprofile!$G$17:$G$22)*Kalender!D317/SUM(Kalender!$D$5:$D$370),0)+IFERROR(SUMIF(Nutzungsprofile!$B$17:$B$22,"Individuell",Nutzungsprofile!$G$17:$G$22)*Kalender!E317/SUM(Kalender!$E$5:$E$370),0))*Szenarien!$D$25,0)</f>
        <v>4.05</v>
      </c>
      <c r="E5441" s="13" t="n">
        <f aca="false">IFERROR(MIN(C5441,Eingaben!$B$17)*Eingaben!$B$16,0)</f>
        <v>0.855</v>
      </c>
      <c r="F5441" s="13" t="n">
        <f aca="false">IFERROR(E5441*Eingaben!$B$15,0)</f>
        <v>0.7695</v>
      </c>
      <c r="G5441" s="13" t="n">
        <f aca="false">IFERROR(IF(Kalender!A317="",0,J5440*(1-Eingaben!$B$20)),0)</f>
        <v>0</v>
      </c>
      <c r="H5441" s="13" t="n">
        <f aca="false">MIN(G5441,D5441)</f>
        <v>0</v>
      </c>
      <c r="I5441" s="13" t="n">
        <f aca="false">IFERROR(MIN(F5441*Eingaben!$B$19,MAX(0,D5441-H5441)),0)</f>
        <v>0.53865</v>
      </c>
      <c r="J5441" s="13" t="n">
        <f aca="false">IFERROR(MIN(Eingaben!$B$18,MAX(0,F5441-I5441)),0)</f>
        <v>0.23085</v>
      </c>
      <c r="K5441" s="13" t="n">
        <f aca="false">H5441+I5441</f>
        <v>0.53865</v>
      </c>
      <c r="L5441" s="13" t="n">
        <f aca="false">MAX(0,D5441-K5441)</f>
        <v>3.51135</v>
      </c>
      <c r="M5441" s="13" t="n">
        <f aca="false">MAX(0,F5441-I5441-J5441)</f>
        <v>0</v>
      </c>
      <c r="N5441" s="13" t="n">
        <f aca="false">IF(Kalender!A317="",0,J5440-H5441)</f>
        <v>0</v>
      </c>
    </row>
    <row r="5442" customFormat="false" ht="16.4" hidden="false" customHeight="false" outlineLevel="0" collapsed="false">
      <c r="A5442" s="13" t="str">
        <f aca="false">""</f>
        <v/>
      </c>
      <c r="B5442" s="13" t="n">
        <f aca="false">314</f>
        <v>314</v>
      </c>
      <c r="C5442" s="13" t="n">
        <f aca="false">IF(Szenarien!$H$25="OK",(IFERROR(SUMIF(Nutzungsprofile!$B$6:$B$11,"Schulbetrieb",Nutzungsprofile!$G$6:$G$11)*Kalender!C318/SUM(Kalender!$C$5:$C$370),0)+IFERROR(SUMIF(Nutzungsprofile!$B$6:$B$11,"Halle",Nutzungsprofile!$G$6:$G$11)*Kalender!D318/SUM(Kalender!$D$5:$D$370),0)+IFERROR(SUMIF(Nutzungsprofile!$B$6:$B$11,"Individuell",Nutzungsprofile!$G$6:$G$11)*Kalender!E318/SUM(Kalender!$E$5:$E$370),0))*Szenarien!$E$25,0)</f>
        <v>0.9</v>
      </c>
      <c r="D5442" s="13" t="n">
        <f aca="false">IF(Szenarien!$H$25="OK",(IFERROR(SUMIF(Nutzungsprofile!$B$17:$B$22,"Schulbetrieb",Nutzungsprofile!$G$17:$G$22)*Kalender!C318/SUM(Kalender!$C$5:$C$370),0)+IFERROR(SUMIF(Nutzungsprofile!$B$17:$B$22,"Halle",Nutzungsprofile!$G$17:$G$22)*Kalender!D318/SUM(Kalender!$D$5:$D$370),0)+IFERROR(SUMIF(Nutzungsprofile!$B$17:$B$22,"Individuell",Nutzungsprofile!$G$17:$G$22)*Kalender!E318/SUM(Kalender!$E$5:$E$370),0))*Szenarien!$D$25,0)</f>
        <v>4.05</v>
      </c>
      <c r="E5442" s="13" t="n">
        <f aca="false">IFERROR(MIN(C5442,Eingaben!$B$17)*Eingaben!$B$16,0)</f>
        <v>0.855</v>
      </c>
      <c r="F5442" s="13" t="n">
        <f aca="false">IFERROR(E5442*Eingaben!$B$15,0)</f>
        <v>0.7695</v>
      </c>
      <c r="G5442" s="13" t="n">
        <f aca="false">IFERROR(IF(Kalender!A318="",0,J5441*(1-Eingaben!$B$20)),0)</f>
        <v>0.226233</v>
      </c>
      <c r="H5442" s="13" t="n">
        <f aca="false">MIN(G5442,D5442)</f>
        <v>0.226233</v>
      </c>
      <c r="I5442" s="13" t="n">
        <f aca="false">IFERROR(MIN(F5442*Eingaben!$B$19,MAX(0,D5442-H5442)),0)</f>
        <v>0.53865</v>
      </c>
      <c r="J5442" s="13" t="n">
        <f aca="false">IFERROR(MIN(Eingaben!$B$18,MAX(0,F5442-I5442)),0)</f>
        <v>0.23085</v>
      </c>
      <c r="K5442" s="13" t="n">
        <f aca="false">H5442+I5442</f>
        <v>0.764883</v>
      </c>
      <c r="L5442" s="13" t="n">
        <f aca="false">MAX(0,D5442-K5442)</f>
        <v>3.285117</v>
      </c>
      <c r="M5442" s="13" t="n">
        <f aca="false">MAX(0,F5442-I5442-J5442)</f>
        <v>0</v>
      </c>
      <c r="N5442" s="13" t="n">
        <f aca="false">IF(Kalender!A318="",0,J5441-H5442)</f>
        <v>0.00461700000000001</v>
      </c>
    </row>
    <row r="5443" customFormat="false" ht="16.4" hidden="false" customHeight="false" outlineLevel="0" collapsed="false">
      <c r="A5443" s="13" t="str">
        <f aca="false">""</f>
        <v/>
      </c>
      <c r="B5443" s="13" t="n">
        <f aca="false">315</f>
        <v>315</v>
      </c>
      <c r="C5443" s="13" t="n">
        <f aca="false">IF(Szenarien!$H$25="OK",(IFERROR(SUMIF(Nutzungsprofile!$B$6:$B$11,"Schulbetrieb",Nutzungsprofile!$G$6:$G$11)*Kalender!C319/SUM(Kalender!$C$5:$C$370),0)+IFERROR(SUMIF(Nutzungsprofile!$B$6:$B$11,"Halle",Nutzungsprofile!$G$6:$G$11)*Kalender!D319/SUM(Kalender!$D$5:$D$370),0)+IFERROR(SUMIF(Nutzungsprofile!$B$6:$B$11,"Individuell",Nutzungsprofile!$G$6:$G$11)*Kalender!E319/SUM(Kalender!$E$5:$E$370),0))*Szenarien!$E$25,0)</f>
        <v>0.9</v>
      </c>
      <c r="D5443" s="13" t="n">
        <f aca="false">IF(Szenarien!$H$25="OK",(IFERROR(SUMIF(Nutzungsprofile!$B$17:$B$22,"Schulbetrieb",Nutzungsprofile!$G$17:$G$22)*Kalender!C319/SUM(Kalender!$C$5:$C$370),0)+IFERROR(SUMIF(Nutzungsprofile!$B$17:$B$22,"Halle",Nutzungsprofile!$G$17:$G$22)*Kalender!D319/SUM(Kalender!$D$5:$D$370),0)+IFERROR(SUMIF(Nutzungsprofile!$B$17:$B$22,"Individuell",Nutzungsprofile!$G$17:$G$22)*Kalender!E319/SUM(Kalender!$E$5:$E$370),0))*Szenarien!$D$25,0)</f>
        <v>4.05</v>
      </c>
      <c r="E5443" s="13" t="n">
        <f aca="false">IFERROR(MIN(C5443,Eingaben!$B$17)*Eingaben!$B$16,0)</f>
        <v>0.855</v>
      </c>
      <c r="F5443" s="13" t="n">
        <f aca="false">IFERROR(E5443*Eingaben!$B$15,0)</f>
        <v>0.7695</v>
      </c>
      <c r="G5443" s="13" t="n">
        <f aca="false">IFERROR(IF(Kalender!A319="",0,J5442*(1-Eingaben!$B$20)),0)</f>
        <v>0.226233</v>
      </c>
      <c r="H5443" s="13" t="n">
        <f aca="false">MIN(G5443,D5443)</f>
        <v>0.226233</v>
      </c>
      <c r="I5443" s="13" t="n">
        <f aca="false">IFERROR(MIN(F5443*Eingaben!$B$19,MAX(0,D5443-H5443)),0)</f>
        <v>0.53865</v>
      </c>
      <c r="J5443" s="13" t="n">
        <f aca="false">IFERROR(MIN(Eingaben!$B$18,MAX(0,F5443-I5443)),0)</f>
        <v>0.23085</v>
      </c>
      <c r="K5443" s="13" t="n">
        <f aca="false">H5443+I5443</f>
        <v>0.764883</v>
      </c>
      <c r="L5443" s="13" t="n">
        <f aca="false">MAX(0,D5443-K5443)</f>
        <v>3.285117</v>
      </c>
      <c r="M5443" s="13" t="n">
        <f aca="false">MAX(0,F5443-I5443-J5443)</f>
        <v>0</v>
      </c>
      <c r="N5443" s="13" t="n">
        <f aca="false">IF(Kalender!A319="",0,J5442-H5443)</f>
        <v>0.00461700000000001</v>
      </c>
    </row>
    <row r="5444" customFormat="false" ht="16.4" hidden="false" customHeight="false" outlineLevel="0" collapsed="false">
      <c r="A5444" s="13" t="str">
        <f aca="false">""</f>
        <v/>
      </c>
      <c r="B5444" s="13" t="n">
        <f aca="false">316</f>
        <v>316</v>
      </c>
      <c r="C5444" s="13" t="n">
        <f aca="false">IF(Szenarien!$H$25="OK",(IFERROR(SUMIF(Nutzungsprofile!$B$6:$B$11,"Schulbetrieb",Nutzungsprofile!$G$6:$G$11)*Kalender!C320/SUM(Kalender!$C$5:$C$370),0)+IFERROR(SUMIF(Nutzungsprofile!$B$6:$B$11,"Halle",Nutzungsprofile!$G$6:$G$11)*Kalender!D320/SUM(Kalender!$D$5:$D$370),0)+IFERROR(SUMIF(Nutzungsprofile!$B$6:$B$11,"Individuell",Nutzungsprofile!$G$6:$G$11)*Kalender!E320/SUM(Kalender!$E$5:$E$370),0))*Szenarien!$E$25,0)</f>
        <v>0.9</v>
      </c>
      <c r="D5444" s="13" t="n">
        <f aca="false">IF(Szenarien!$H$25="OK",(IFERROR(SUMIF(Nutzungsprofile!$B$17:$B$22,"Schulbetrieb",Nutzungsprofile!$G$17:$G$22)*Kalender!C320/SUM(Kalender!$C$5:$C$370),0)+IFERROR(SUMIF(Nutzungsprofile!$B$17:$B$22,"Halle",Nutzungsprofile!$G$17:$G$22)*Kalender!D320/SUM(Kalender!$D$5:$D$370),0)+IFERROR(SUMIF(Nutzungsprofile!$B$17:$B$22,"Individuell",Nutzungsprofile!$G$17:$G$22)*Kalender!E320/SUM(Kalender!$E$5:$E$370),0))*Szenarien!$D$25,0)</f>
        <v>4.05</v>
      </c>
      <c r="E5444" s="13" t="n">
        <f aca="false">IFERROR(MIN(C5444,Eingaben!$B$17)*Eingaben!$B$16,0)</f>
        <v>0.855</v>
      </c>
      <c r="F5444" s="13" t="n">
        <f aca="false">IFERROR(E5444*Eingaben!$B$15,0)</f>
        <v>0.7695</v>
      </c>
      <c r="G5444" s="13" t="n">
        <f aca="false">IFERROR(IF(Kalender!A320="",0,J5443*(1-Eingaben!$B$20)),0)</f>
        <v>0.226233</v>
      </c>
      <c r="H5444" s="13" t="n">
        <f aca="false">MIN(G5444,D5444)</f>
        <v>0.226233</v>
      </c>
      <c r="I5444" s="13" t="n">
        <f aca="false">IFERROR(MIN(F5444*Eingaben!$B$19,MAX(0,D5444-H5444)),0)</f>
        <v>0.53865</v>
      </c>
      <c r="J5444" s="13" t="n">
        <f aca="false">IFERROR(MIN(Eingaben!$B$18,MAX(0,F5444-I5444)),0)</f>
        <v>0.23085</v>
      </c>
      <c r="K5444" s="13" t="n">
        <f aca="false">H5444+I5444</f>
        <v>0.764883</v>
      </c>
      <c r="L5444" s="13" t="n">
        <f aca="false">MAX(0,D5444-K5444)</f>
        <v>3.285117</v>
      </c>
      <c r="M5444" s="13" t="n">
        <f aca="false">MAX(0,F5444-I5444-J5444)</f>
        <v>0</v>
      </c>
      <c r="N5444" s="13" t="n">
        <f aca="false">IF(Kalender!A320="",0,J5443-H5444)</f>
        <v>0.00461700000000001</v>
      </c>
    </row>
    <row r="5445" customFormat="false" ht="16.4" hidden="false" customHeight="false" outlineLevel="0" collapsed="false">
      <c r="A5445" s="13" t="str">
        <f aca="false">""</f>
        <v/>
      </c>
      <c r="B5445" s="13" t="n">
        <f aca="false">317</f>
        <v>317</v>
      </c>
      <c r="C5445" s="13" t="n">
        <f aca="false">IF(Szenarien!$H$25="OK",(IFERROR(SUMIF(Nutzungsprofile!$B$6:$B$11,"Schulbetrieb",Nutzungsprofile!$G$6:$G$11)*Kalender!C321/SUM(Kalender!$C$5:$C$370),0)+IFERROR(SUMIF(Nutzungsprofile!$B$6:$B$11,"Halle",Nutzungsprofile!$G$6:$G$11)*Kalender!D321/SUM(Kalender!$D$5:$D$370),0)+IFERROR(SUMIF(Nutzungsprofile!$B$6:$B$11,"Individuell",Nutzungsprofile!$G$6:$G$11)*Kalender!E321/SUM(Kalender!$E$5:$E$370),0))*Szenarien!$E$25,0)</f>
        <v>0.9</v>
      </c>
      <c r="D5445" s="13" t="n">
        <f aca="false">IF(Szenarien!$H$25="OK",(IFERROR(SUMIF(Nutzungsprofile!$B$17:$B$22,"Schulbetrieb",Nutzungsprofile!$G$17:$G$22)*Kalender!C321/SUM(Kalender!$C$5:$C$370),0)+IFERROR(SUMIF(Nutzungsprofile!$B$17:$B$22,"Halle",Nutzungsprofile!$G$17:$G$22)*Kalender!D321/SUM(Kalender!$D$5:$D$370),0)+IFERROR(SUMIF(Nutzungsprofile!$B$17:$B$22,"Individuell",Nutzungsprofile!$G$17:$G$22)*Kalender!E321/SUM(Kalender!$E$5:$E$370),0))*Szenarien!$D$25,0)</f>
        <v>4.05</v>
      </c>
      <c r="E5445" s="13" t="n">
        <f aca="false">IFERROR(MIN(C5445,Eingaben!$B$17)*Eingaben!$B$16,0)</f>
        <v>0.855</v>
      </c>
      <c r="F5445" s="13" t="n">
        <f aca="false">IFERROR(E5445*Eingaben!$B$15,0)</f>
        <v>0.7695</v>
      </c>
      <c r="G5445" s="13" t="n">
        <f aca="false">IFERROR(IF(Kalender!A321="",0,J5444*(1-Eingaben!$B$20)),0)</f>
        <v>0.226233</v>
      </c>
      <c r="H5445" s="13" t="n">
        <f aca="false">MIN(G5445,D5445)</f>
        <v>0.226233</v>
      </c>
      <c r="I5445" s="13" t="n">
        <f aca="false">IFERROR(MIN(F5445*Eingaben!$B$19,MAX(0,D5445-H5445)),0)</f>
        <v>0.53865</v>
      </c>
      <c r="J5445" s="13" t="n">
        <f aca="false">IFERROR(MIN(Eingaben!$B$18,MAX(0,F5445-I5445)),0)</f>
        <v>0.23085</v>
      </c>
      <c r="K5445" s="13" t="n">
        <f aca="false">H5445+I5445</f>
        <v>0.764883</v>
      </c>
      <c r="L5445" s="13" t="n">
        <f aca="false">MAX(0,D5445-K5445)</f>
        <v>3.285117</v>
      </c>
      <c r="M5445" s="13" t="n">
        <f aca="false">MAX(0,F5445-I5445-J5445)</f>
        <v>0</v>
      </c>
      <c r="N5445" s="13" t="n">
        <f aca="false">IF(Kalender!A321="",0,J5444-H5445)</f>
        <v>0.00461700000000001</v>
      </c>
    </row>
    <row r="5446" customFormat="false" ht="16.4" hidden="false" customHeight="false" outlineLevel="0" collapsed="false">
      <c r="A5446" s="13" t="str">
        <f aca="false">""</f>
        <v/>
      </c>
      <c r="B5446" s="13" t="n">
        <f aca="false">318</f>
        <v>318</v>
      </c>
      <c r="C5446" s="13" t="n">
        <f aca="false">IF(Szenarien!$H$25="OK",(IFERROR(SUMIF(Nutzungsprofile!$B$6:$B$11,"Schulbetrieb",Nutzungsprofile!$G$6:$G$11)*Kalender!C322/SUM(Kalender!$C$5:$C$370),0)+IFERROR(SUMIF(Nutzungsprofile!$B$6:$B$11,"Halle",Nutzungsprofile!$G$6:$G$11)*Kalender!D322/SUM(Kalender!$D$5:$D$370),0)+IFERROR(SUMIF(Nutzungsprofile!$B$6:$B$11,"Individuell",Nutzungsprofile!$G$6:$G$11)*Kalender!E322/SUM(Kalender!$E$5:$E$370),0))*Szenarien!$E$25,0)</f>
        <v>0</v>
      </c>
      <c r="D5446" s="13" t="n">
        <f aca="false">IF(Szenarien!$H$25="OK",(IFERROR(SUMIF(Nutzungsprofile!$B$17:$B$22,"Schulbetrieb",Nutzungsprofile!$G$17:$G$22)*Kalender!C322/SUM(Kalender!$C$5:$C$370),0)+IFERROR(SUMIF(Nutzungsprofile!$B$17:$B$22,"Halle",Nutzungsprofile!$G$17:$G$22)*Kalender!D322/SUM(Kalender!$D$5:$D$370),0)+IFERROR(SUMIF(Nutzungsprofile!$B$17:$B$22,"Individuell",Nutzungsprofile!$G$17:$G$22)*Kalender!E322/SUM(Kalender!$E$5:$E$370),0))*Szenarien!$D$25,0)</f>
        <v>0</v>
      </c>
      <c r="E5446" s="13" t="n">
        <f aca="false">IFERROR(MIN(C5446,Eingaben!$B$17)*Eingaben!$B$16,0)</f>
        <v>0</v>
      </c>
      <c r="F5446" s="13" t="n">
        <f aca="false">IFERROR(E5446*Eingaben!$B$15,0)</f>
        <v>0</v>
      </c>
      <c r="G5446" s="13" t="n">
        <f aca="false">IFERROR(IF(Kalender!A322="",0,J5445*(1-Eingaben!$B$20)),0)</f>
        <v>0.226233</v>
      </c>
      <c r="H5446" s="13" t="n">
        <f aca="false">MIN(G5446,D5446)</f>
        <v>0</v>
      </c>
      <c r="I5446" s="13" t="n">
        <f aca="false">IFERROR(MIN(F5446*Eingaben!$B$19,MAX(0,D5446-H5446)),0)</f>
        <v>0</v>
      </c>
      <c r="J5446" s="13" t="n">
        <f aca="false">IFERROR(MIN(Eingaben!$B$18,MAX(0,F5446-I5446)),0)</f>
        <v>0</v>
      </c>
      <c r="K5446" s="13" t="n">
        <f aca="false">H5446+I5446</f>
        <v>0</v>
      </c>
      <c r="L5446" s="13" t="n">
        <f aca="false">MAX(0,D5446-K5446)</f>
        <v>0</v>
      </c>
      <c r="M5446" s="13" t="n">
        <f aca="false">MAX(0,F5446-I5446-J5446)</f>
        <v>0</v>
      </c>
      <c r="N5446" s="13" t="n">
        <f aca="false">IF(Kalender!A322="",0,J5445-H5446)</f>
        <v>0.23085</v>
      </c>
    </row>
    <row r="5447" customFormat="false" ht="16.4" hidden="false" customHeight="false" outlineLevel="0" collapsed="false">
      <c r="A5447" s="13" t="str">
        <f aca="false">""</f>
        <v/>
      </c>
      <c r="B5447" s="13" t="n">
        <f aca="false">319</f>
        <v>319</v>
      </c>
      <c r="C5447" s="13" t="n">
        <f aca="false">IF(Szenarien!$H$25="OK",(IFERROR(SUMIF(Nutzungsprofile!$B$6:$B$11,"Schulbetrieb",Nutzungsprofile!$G$6:$G$11)*Kalender!C323/SUM(Kalender!$C$5:$C$370),0)+IFERROR(SUMIF(Nutzungsprofile!$B$6:$B$11,"Halle",Nutzungsprofile!$G$6:$G$11)*Kalender!D323/SUM(Kalender!$D$5:$D$370),0)+IFERROR(SUMIF(Nutzungsprofile!$B$6:$B$11,"Individuell",Nutzungsprofile!$G$6:$G$11)*Kalender!E323/SUM(Kalender!$E$5:$E$370),0))*Szenarien!$E$25,0)</f>
        <v>0</v>
      </c>
      <c r="D5447" s="13" t="n">
        <f aca="false">IF(Szenarien!$H$25="OK",(IFERROR(SUMIF(Nutzungsprofile!$B$17:$B$22,"Schulbetrieb",Nutzungsprofile!$G$17:$G$22)*Kalender!C323/SUM(Kalender!$C$5:$C$370),0)+IFERROR(SUMIF(Nutzungsprofile!$B$17:$B$22,"Halle",Nutzungsprofile!$G$17:$G$22)*Kalender!D323/SUM(Kalender!$D$5:$D$370),0)+IFERROR(SUMIF(Nutzungsprofile!$B$17:$B$22,"Individuell",Nutzungsprofile!$G$17:$G$22)*Kalender!E323/SUM(Kalender!$E$5:$E$370),0))*Szenarien!$D$25,0)</f>
        <v>0</v>
      </c>
      <c r="E5447" s="13" t="n">
        <f aca="false">IFERROR(MIN(C5447,Eingaben!$B$17)*Eingaben!$B$16,0)</f>
        <v>0</v>
      </c>
      <c r="F5447" s="13" t="n">
        <f aca="false">IFERROR(E5447*Eingaben!$B$15,0)</f>
        <v>0</v>
      </c>
      <c r="G5447" s="13" t="n">
        <f aca="false">IFERROR(IF(Kalender!A323="",0,J5446*(1-Eingaben!$B$20)),0)</f>
        <v>0</v>
      </c>
      <c r="H5447" s="13" t="n">
        <f aca="false">MIN(G5447,D5447)</f>
        <v>0</v>
      </c>
      <c r="I5447" s="13" t="n">
        <f aca="false">IFERROR(MIN(F5447*Eingaben!$B$19,MAX(0,D5447-H5447)),0)</f>
        <v>0</v>
      </c>
      <c r="J5447" s="13" t="n">
        <f aca="false">IFERROR(MIN(Eingaben!$B$18,MAX(0,F5447-I5447)),0)</f>
        <v>0</v>
      </c>
      <c r="K5447" s="13" t="n">
        <f aca="false">H5447+I5447</f>
        <v>0</v>
      </c>
      <c r="L5447" s="13" t="n">
        <f aca="false">MAX(0,D5447-K5447)</f>
        <v>0</v>
      </c>
      <c r="M5447" s="13" t="n">
        <f aca="false">MAX(0,F5447-I5447-J5447)</f>
        <v>0</v>
      </c>
      <c r="N5447" s="13" t="n">
        <f aca="false">IF(Kalender!A323="",0,J5446-H5447)</f>
        <v>0</v>
      </c>
    </row>
    <row r="5448" customFormat="false" ht="16.4" hidden="false" customHeight="false" outlineLevel="0" collapsed="false">
      <c r="A5448" s="13" t="str">
        <f aca="false">""</f>
        <v/>
      </c>
      <c r="B5448" s="13" t="n">
        <f aca="false">320</f>
        <v>320</v>
      </c>
      <c r="C5448" s="13" t="n">
        <f aca="false">IF(Szenarien!$H$25="OK",(IFERROR(SUMIF(Nutzungsprofile!$B$6:$B$11,"Schulbetrieb",Nutzungsprofile!$G$6:$G$11)*Kalender!C324/SUM(Kalender!$C$5:$C$370),0)+IFERROR(SUMIF(Nutzungsprofile!$B$6:$B$11,"Halle",Nutzungsprofile!$G$6:$G$11)*Kalender!D324/SUM(Kalender!$D$5:$D$370),0)+IFERROR(SUMIF(Nutzungsprofile!$B$6:$B$11,"Individuell",Nutzungsprofile!$G$6:$G$11)*Kalender!E324/SUM(Kalender!$E$5:$E$370),0))*Szenarien!$E$25,0)</f>
        <v>0.9</v>
      </c>
      <c r="D5448" s="13" t="n">
        <f aca="false">IF(Szenarien!$H$25="OK",(IFERROR(SUMIF(Nutzungsprofile!$B$17:$B$22,"Schulbetrieb",Nutzungsprofile!$G$17:$G$22)*Kalender!C324/SUM(Kalender!$C$5:$C$370),0)+IFERROR(SUMIF(Nutzungsprofile!$B$17:$B$22,"Halle",Nutzungsprofile!$G$17:$G$22)*Kalender!D324/SUM(Kalender!$D$5:$D$370),0)+IFERROR(SUMIF(Nutzungsprofile!$B$17:$B$22,"Individuell",Nutzungsprofile!$G$17:$G$22)*Kalender!E324/SUM(Kalender!$E$5:$E$370),0))*Szenarien!$D$25,0)</f>
        <v>4.05</v>
      </c>
      <c r="E5448" s="13" t="n">
        <f aca="false">IFERROR(MIN(C5448,Eingaben!$B$17)*Eingaben!$B$16,0)</f>
        <v>0.855</v>
      </c>
      <c r="F5448" s="13" t="n">
        <f aca="false">IFERROR(E5448*Eingaben!$B$15,0)</f>
        <v>0.7695</v>
      </c>
      <c r="G5448" s="13" t="n">
        <f aca="false">IFERROR(IF(Kalender!A324="",0,J5447*(1-Eingaben!$B$20)),0)</f>
        <v>0</v>
      </c>
      <c r="H5448" s="13" t="n">
        <f aca="false">MIN(G5448,D5448)</f>
        <v>0</v>
      </c>
      <c r="I5448" s="13" t="n">
        <f aca="false">IFERROR(MIN(F5448*Eingaben!$B$19,MAX(0,D5448-H5448)),0)</f>
        <v>0.53865</v>
      </c>
      <c r="J5448" s="13" t="n">
        <f aca="false">IFERROR(MIN(Eingaben!$B$18,MAX(0,F5448-I5448)),0)</f>
        <v>0.23085</v>
      </c>
      <c r="K5448" s="13" t="n">
        <f aca="false">H5448+I5448</f>
        <v>0.53865</v>
      </c>
      <c r="L5448" s="13" t="n">
        <f aca="false">MAX(0,D5448-K5448)</f>
        <v>3.51135</v>
      </c>
      <c r="M5448" s="13" t="n">
        <f aca="false">MAX(0,F5448-I5448-J5448)</f>
        <v>0</v>
      </c>
      <c r="N5448" s="13" t="n">
        <f aca="false">IF(Kalender!A324="",0,J5447-H5448)</f>
        <v>0</v>
      </c>
    </row>
    <row r="5449" customFormat="false" ht="16.4" hidden="false" customHeight="false" outlineLevel="0" collapsed="false">
      <c r="A5449" s="13" t="str">
        <f aca="false">""</f>
        <v/>
      </c>
      <c r="B5449" s="13" t="n">
        <f aca="false">321</f>
        <v>321</v>
      </c>
      <c r="C5449" s="13" t="n">
        <f aca="false">IF(Szenarien!$H$25="OK",(IFERROR(SUMIF(Nutzungsprofile!$B$6:$B$11,"Schulbetrieb",Nutzungsprofile!$G$6:$G$11)*Kalender!C325/SUM(Kalender!$C$5:$C$370),0)+IFERROR(SUMIF(Nutzungsprofile!$B$6:$B$11,"Halle",Nutzungsprofile!$G$6:$G$11)*Kalender!D325/SUM(Kalender!$D$5:$D$370),0)+IFERROR(SUMIF(Nutzungsprofile!$B$6:$B$11,"Individuell",Nutzungsprofile!$G$6:$G$11)*Kalender!E325/SUM(Kalender!$E$5:$E$370),0))*Szenarien!$E$25,0)</f>
        <v>0.9</v>
      </c>
      <c r="D5449" s="13" t="n">
        <f aca="false">IF(Szenarien!$H$25="OK",(IFERROR(SUMIF(Nutzungsprofile!$B$17:$B$22,"Schulbetrieb",Nutzungsprofile!$G$17:$G$22)*Kalender!C325/SUM(Kalender!$C$5:$C$370),0)+IFERROR(SUMIF(Nutzungsprofile!$B$17:$B$22,"Halle",Nutzungsprofile!$G$17:$G$22)*Kalender!D325/SUM(Kalender!$D$5:$D$370),0)+IFERROR(SUMIF(Nutzungsprofile!$B$17:$B$22,"Individuell",Nutzungsprofile!$G$17:$G$22)*Kalender!E325/SUM(Kalender!$E$5:$E$370),0))*Szenarien!$D$25,0)</f>
        <v>4.05</v>
      </c>
      <c r="E5449" s="13" t="n">
        <f aca="false">IFERROR(MIN(C5449,Eingaben!$B$17)*Eingaben!$B$16,0)</f>
        <v>0.855</v>
      </c>
      <c r="F5449" s="13" t="n">
        <f aca="false">IFERROR(E5449*Eingaben!$B$15,0)</f>
        <v>0.7695</v>
      </c>
      <c r="G5449" s="13" t="n">
        <f aca="false">IFERROR(IF(Kalender!A325="",0,J5448*(1-Eingaben!$B$20)),0)</f>
        <v>0.226233</v>
      </c>
      <c r="H5449" s="13" t="n">
        <f aca="false">MIN(G5449,D5449)</f>
        <v>0.226233</v>
      </c>
      <c r="I5449" s="13" t="n">
        <f aca="false">IFERROR(MIN(F5449*Eingaben!$B$19,MAX(0,D5449-H5449)),0)</f>
        <v>0.53865</v>
      </c>
      <c r="J5449" s="13" t="n">
        <f aca="false">IFERROR(MIN(Eingaben!$B$18,MAX(0,F5449-I5449)),0)</f>
        <v>0.23085</v>
      </c>
      <c r="K5449" s="13" t="n">
        <f aca="false">H5449+I5449</f>
        <v>0.764883</v>
      </c>
      <c r="L5449" s="13" t="n">
        <f aca="false">MAX(0,D5449-K5449)</f>
        <v>3.285117</v>
      </c>
      <c r="M5449" s="13" t="n">
        <f aca="false">MAX(0,F5449-I5449-J5449)</f>
        <v>0</v>
      </c>
      <c r="N5449" s="13" t="n">
        <f aca="false">IF(Kalender!A325="",0,J5448-H5449)</f>
        <v>0.00461700000000001</v>
      </c>
    </row>
    <row r="5450" customFormat="false" ht="16.4" hidden="false" customHeight="false" outlineLevel="0" collapsed="false">
      <c r="A5450" s="13" t="str">
        <f aca="false">""</f>
        <v/>
      </c>
      <c r="B5450" s="13" t="n">
        <f aca="false">322</f>
        <v>322</v>
      </c>
      <c r="C5450" s="13" t="n">
        <f aca="false">IF(Szenarien!$H$25="OK",(IFERROR(SUMIF(Nutzungsprofile!$B$6:$B$11,"Schulbetrieb",Nutzungsprofile!$G$6:$G$11)*Kalender!C326/SUM(Kalender!$C$5:$C$370),0)+IFERROR(SUMIF(Nutzungsprofile!$B$6:$B$11,"Halle",Nutzungsprofile!$G$6:$G$11)*Kalender!D326/SUM(Kalender!$D$5:$D$370),0)+IFERROR(SUMIF(Nutzungsprofile!$B$6:$B$11,"Individuell",Nutzungsprofile!$G$6:$G$11)*Kalender!E326/SUM(Kalender!$E$5:$E$370),0))*Szenarien!$E$25,0)</f>
        <v>0.9</v>
      </c>
      <c r="D5450" s="13" t="n">
        <f aca="false">IF(Szenarien!$H$25="OK",(IFERROR(SUMIF(Nutzungsprofile!$B$17:$B$22,"Schulbetrieb",Nutzungsprofile!$G$17:$G$22)*Kalender!C326/SUM(Kalender!$C$5:$C$370),0)+IFERROR(SUMIF(Nutzungsprofile!$B$17:$B$22,"Halle",Nutzungsprofile!$G$17:$G$22)*Kalender!D326/SUM(Kalender!$D$5:$D$370),0)+IFERROR(SUMIF(Nutzungsprofile!$B$17:$B$22,"Individuell",Nutzungsprofile!$G$17:$G$22)*Kalender!E326/SUM(Kalender!$E$5:$E$370),0))*Szenarien!$D$25,0)</f>
        <v>4.05</v>
      </c>
      <c r="E5450" s="13" t="n">
        <f aca="false">IFERROR(MIN(C5450,Eingaben!$B$17)*Eingaben!$B$16,0)</f>
        <v>0.855</v>
      </c>
      <c r="F5450" s="13" t="n">
        <f aca="false">IFERROR(E5450*Eingaben!$B$15,0)</f>
        <v>0.7695</v>
      </c>
      <c r="G5450" s="13" t="n">
        <f aca="false">IFERROR(IF(Kalender!A326="",0,J5449*(1-Eingaben!$B$20)),0)</f>
        <v>0.226233</v>
      </c>
      <c r="H5450" s="13" t="n">
        <f aca="false">MIN(G5450,D5450)</f>
        <v>0.226233</v>
      </c>
      <c r="I5450" s="13" t="n">
        <f aca="false">IFERROR(MIN(F5450*Eingaben!$B$19,MAX(0,D5450-H5450)),0)</f>
        <v>0.53865</v>
      </c>
      <c r="J5450" s="13" t="n">
        <f aca="false">IFERROR(MIN(Eingaben!$B$18,MAX(0,F5450-I5450)),0)</f>
        <v>0.23085</v>
      </c>
      <c r="K5450" s="13" t="n">
        <f aca="false">H5450+I5450</f>
        <v>0.764883</v>
      </c>
      <c r="L5450" s="13" t="n">
        <f aca="false">MAX(0,D5450-K5450)</f>
        <v>3.285117</v>
      </c>
      <c r="M5450" s="13" t="n">
        <f aca="false">MAX(0,F5450-I5450-J5450)</f>
        <v>0</v>
      </c>
      <c r="N5450" s="13" t="n">
        <f aca="false">IF(Kalender!A326="",0,J5449-H5450)</f>
        <v>0.00461700000000001</v>
      </c>
    </row>
    <row r="5451" customFormat="false" ht="16.4" hidden="false" customHeight="false" outlineLevel="0" collapsed="false">
      <c r="A5451" s="13" t="str">
        <f aca="false">""</f>
        <v/>
      </c>
      <c r="B5451" s="13" t="n">
        <f aca="false">323</f>
        <v>323</v>
      </c>
      <c r="C5451" s="13" t="n">
        <f aca="false">IF(Szenarien!$H$25="OK",(IFERROR(SUMIF(Nutzungsprofile!$B$6:$B$11,"Schulbetrieb",Nutzungsprofile!$G$6:$G$11)*Kalender!C327/SUM(Kalender!$C$5:$C$370),0)+IFERROR(SUMIF(Nutzungsprofile!$B$6:$B$11,"Halle",Nutzungsprofile!$G$6:$G$11)*Kalender!D327/SUM(Kalender!$D$5:$D$370),0)+IFERROR(SUMIF(Nutzungsprofile!$B$6:$B$11,"Individuell",Nutzungsprofile!$G$6:$G$11)*Kalender!E327/SUM(Kalender!$E$5:$E$370),0))*Szenarien!$E$25,0)</f>
        <v>0.9</v>
      </c>
      <c r="D5451" s="13" t="n">
        <f aca="false">IF(Szenarien!$H$25="OK",(IFERROR(SUMIF(Nutzungsprofile!$B$17:$B$22,"Schulbetrieb",Nutzungsprofile!$G$17:$G$22)*Kalender!C327/SUM(Kalender!$C$5:$C$370),0)+IFERROR(SUMIF(Nutzungsprofile!$B$17:$B$22,"Halle",Nutzungsprofile!$G$17:$G$22)*Kalender!D327/SUM(Kalender!$D$5:$D$370),0)+IFERROR(SUMIF(Nutzungsprofile!$B$17:$B$22,"Individuell",Nutzungsprofile!$G$17:$G$22)*Kalender!E327/SUM(Kalender!$E$5:$E$370),0))*Szenarien!$D$25,0)</f>
        <v>4.05</v>
      </c>
      <c r="E5451" s="13" t="n">
        <f aca="false">IFERROR(MIN(C5451,Eingaben!$B$17)*Eingaben!$B$16,0)</f>
        <v>0.855</v>
      </c>
      <c r="F5451" s="13" t="n">
        <f aca="false">IFERROR(E5451*Eingaben!$B$15,0)</f>
        <v>0.7695</v>
      </c>
      <c r="G5451" s="13" t="n">
        <f aca="false">IFERROR(IF(Kalender!A327="",0,J5450*(1-Eingaben!$B$20)),0)</f>
        <v>0.226233</v>
      </c>
      <c r="H5451" s="13" t="n">
        <f aca="false">MIN(G5451,D5451)</f>
        <v>0.226233</v>
      </c>
      <c r="I5451" s="13" t="n">
        <f aca="false">IFERROR(MIN(F5451*Eingaben!$B$19,MAX(0,D5451-H5451)),0)</f>
        <v>0.53865</v>
      </c>
      <c r="J5451" s="13" t="n">
        <f aca="false">IFERROR(MIN(Eingaben!$B$18,MAX(0,F5451-I5451)),0)</f>
        <v>0.23085</v>
      </c>
      <c r="K5451" s="13" t="n">
        <f aca="false">H5451+I5451</f>
        <v>0.764883</v>
      </c>
      <c r="L5451" s="13" t="n">
        <f aca="false">MAX(0,D5451-K5451)</f>
        <v>3.285117</v>
      </c>
      <c r="M5451" s="13" t="n">
        <f aca="false">MAX(0,F5451-I5451-J5451)</f>
        <v>0</v>
      </c>
      <c r="N5451" s="13" t="n">
        <f aca="false">IF(Kalender!A327="",0,J5450-H5451)</f>
        <v>0.00461700000000001</v>
      </c>
    </row>
    <row r="5452" customFormat="false" ht="16.4" hidden="false" customHeight="false" outlineLevel="0" collapsed="false">
      <c r="A5452" s="13" t="str">
        <f aca="false">""</f>
        <v/>
      </c>
      <c r="B5452" s="13" t="n">
        <f aca="false">324</f>
        <v>324</v>
      </c>
      <c r="C5452" s="13" t="n">
        <f aca="false">IF(Szenarien!$H$25="OK",(IFERROR(SUMIF(Nutzungsprofile!$B$6:$B$11,"Schulbetrieb",Nutzungsprofile!$G$6:$G$11)*Kalender!C328/SUM(Kalender!$C$5:$C$370),0)+IFERROR(SUMIF(Nutzungsprofile!$B$6:$B$11,"Halle",Nutzungsprofile!$G$6:$G$11)*Kalender!D328/SUM(Kalender!$D$5:$D$370),0)+IFERROR(SUMIF(Nutzungsprofile!$B$6:$B$11,"Individuell",Nutzungsprofile!$G$6:$G$11)*Kalender!E328/SUM(Kalender!$E$5:$E$370),0))*Szenarien!$E$25,0)</f>
        <v>0.9</v>
      </c>
      <c r="D5452" s="13" t="n">
        <f aca="false">IF(Szenarien!$H$25="OK",(IFERROR(SUMIF(Nutzungsprofile!$B$17:$B$22,"Schulbetrieb",Nutzungsprofile!$G$17:$G$22)*Kalender!C328/SUM(Kalender!$C$5:$C$370),0)+IFERROR(SUMIF(Nutzungsprofile!$B$17:$B$22,"Halle",Nutzungsprofile!$G$17:$G$22)*Kalender!D328/SUM(Kalender!$D$5:$D$370),0)+IFERROR(SUMIF(Nutzungsprofile!$B$17:$B$22,"Individuell",Nutzungsprofile!$G$17:$G$22)*Kalender!E328/SUM(Kalender!$E$5:$E$370),0))*Szenarien!$D$25,0)</f>
        <v>4.05</v>
      </c>
      <c r="E5452" s="13" t="n">
        <f aca="false">IFERROR(MIN(C5452,Eingaben!$B$17)*Eingaben!$B$16,0)</f>
        <v>0.855</v>
      </c>
      <c r="F5452" s="13" t="n">
        <f aca="false">IFERROR(E5452*Eingaben!$B$15,0)</f>
        <v>0.7695</v>
      </c>
      <c r="G5452" s="13" t="n">
        <f aca="false">IFERROR(IF(Kalender!A328="",0,J5451*(1-Eingaben!$B$20)),0)</f>
        <v>0.226233</v>
      </c>
      <c r="H5452" s="13" t="n">
        <f aca="false">MIN(G5452,D5452)</f>
        <v>0.226233</v>
      </c>
      <c r="I5452" s="13" t="n">
        <f aca="false">IFERROR(MIN(F5452*Eingaben!$B$19,MAX(0,D5452-H5452)),0)</f>
        <v>0.53865</v>
      </c>
      <c r="J5452" s="13" t="n">
        <f aca="false">IFERROR(MIN(Eingaben!$B$18,MAX(0,F5452-I5452)),0)</f>
        <v>0.23085</v>
      </c>
      <c r="K5452" s="13" t="n">
        <f aca="false">H5452+I5452</f>
        <v>0.764883</v>
      </c>
      <c r="L5452" s="13" t="n">
        <f aca="false">MAX(0,D5452-K5452)</f>
        <v>3.285117</v>
      </c>
      <c r="M5452" s="13" t="n">
        <f aca="false">MAX(0,F5452-I5452-J5452)</f>
        <v>0</v>
      </c>
      <c r="N5452" s="13" t="n">
        <f aca="false">IF(Kalender!A328="",0,J5451-H5452)</f>
        <v>0.00461700000000001</v>
      </c>
    </row>
    <row r="5453" customFormat="false" ht="16.4" hidden="false" customHeight="false" outlineLevel="0" collapsed="false">
      <c r="A5453" s="13" t="str">
        <f aca="false">""</f>
        <v/>
      </c>
      <c r="B5453" s="13" t="n">
        <f aca="false">325</f>
        <v>325</v>
      </c>
      <c r="C5453" s="13" t="n">
        <f aca="false">IF(Szenarien!$H$25="OK",(IFERROR(SUMIF(Nutzungsprofile!$B$6:$B$11,"Schulbetrieb",Nutzungsprofile!$G$6:$G$11)*Kalender!C329/SUM(Kalender!$C$5:$C$370),0)+IFERROR(SUMIF(Nutzungsprofile!$B$6:$B$11,"Halle",Nutzungsprofile!$G$6:$G$11)*Kalender!D329/SUM(Kalender!$D$5:$D$370),0)+IFERROR(SUMIF(Nutzungsprofile!$B$6:$B$11,"Individuell",Nutzungsprofile!$G$6:$G$11)*Kalender!E329/SUM(Kalender!$E$5:$E$370),0))*Szenarien!$E$25,0)</f>
        <v>0</v>
      </c>
      <c r="D5453" s="13" t="n">
        <f aca="false">IF(Szenarien!$H$25="OK",(IFERROR(SUMIF(Nutzungsprofile!$B$17:$B$22,"Schulbetrieb",Nutzungsprofile!$G$17:$G$22)*Kalender!C329/SUM(Kalender!$C$5:$C$370),0)+IFERROR(SUMIF(Nutzungsprofile!$B$17:$B$22,"Halle",Nutzungsprofile!$G$17:$G$22)*Kalender!D329/SUM(Kalender!$D$5:$D$370),0)+IFERROR(SUMIF(Nutzungsprofile!$B$17:$B$22,"Individuell",Nutzungsprofile!$G$17:$G$22)*Kalender!E329/SUM(Kalender!$E$5:$E$370),0))*Szenarien!$D$25,0)</f>
        <v>0</v>
      </c>
      <c r="E5453" s="13" t="n">
        <f aca="false">IFERROR(MIN(C5453,Eingaben!$B$17)*Eingaben!$B$16,0)</f>
        <v>0</v>
      </c>
      <c r="F5453" s="13" t="n">
        <f aca="false">IFERROR(E5453*Eingaben!$B$15,0)</f>
        <v>0</v>
      </c>
      <c r="G5453" s="13" t="n">
        <f aca="false">IFERROR(IF(Kalender!A329="",0,J5452*(1-Eingaben!$B$20)),0)</f>
        <v>0.226233</v>
      </c>
      <c r="H5453" s="13" t="n">
        <f aca="false">MIN(G5453,D5453)</f>
        <v>0</v>
      </c>
      <c r="I5453" s="13" t="n">
        <f aca="false">IFERROR(MIN(F5453*Eingaben!$B$19,MAX(0,D5453-H5453)),0)</f>
        <v>0</v>
      </c>
      <c r="J5453" s="13" t="n">
        <f aca="false">IFERROR(MIN(Eingaben!$B$18,MAX(0,F5453-I5453)),0)</f>
        <v>0</v>
      </c>
      <c r="K5453" s="13" t="n">
        <f aca="false">H5453+I5453</f>
        <v>0</v>
      </c>
      <c r="L5453" s="13" t="n">
        <f aca="false">MAX(0,D5453-K5453)</f>
        <v>0</v>
      </c>
      <c r="M5453" s="13" t="n">
        <f aca="false">MAX(0,F5453-I5453-J5453)</f>
        <v>0</v>
      </c>
      <c r="N5453" s="13" t="n">
        <f aca="false">IF(Kalender!A329="",0,J5452-H5453)</f>
        <v>0.23085</v>
      </c>
    </row>
    <row r="5454" customFormat="false" ht="16.4" hidden="false" customHeight="false" outlineLevel="0" collapsed="false">
      <c r="A5454" s="13" t="str">
        <f aca="false">""</f>
        <v/>
      </c>
      <c r="B5454" s="13" t="n">
        <f aca="false">326</f>
        <v>326</v>
      </c>
      <c r="C5454" s="13" t="n">
        <f aca="false">IF(Szenarien!$H$25="OK",(IFERROR(SUMIF(Nutzungsprofile!$B$6:$B$11,"Schulbetrieb",Nutzungsprofile!$G$6:$G$11)*Kalender!C330/SUM(Kalender!$C$5:$C$370),0)+IFERROR(SUMIF(Nutzungsprofile!$B$6:$B$11,"Halle",Nutzungsprofile!$G$6:$G$11)*Kalender!D330/SUM(Kalender!$D$5:$D$370),0)+IFERROR(SUMIF(Nutzungsprofile!$B$6:$B$11,"Individuell",Nutzungsprofile!$G$6:$G$11)*Kalender!E330/SUM(Kalender!$E$5:$E$370),0))*Szenarien!$E$25,0)</f>
        <v>0</v>
      </c>
      <c r="D5454" s="13" t="n">
        <f aca="false">IF(Szenarien!$H$25="OK",(IFERROR(SUMIF(Nutzungsprofile!$B$17:$B$22,"Schulbetrieb",Nutzungsprofile!$G$17:$G$22)*Kalender!C330/SUM(Kalender!$C$5:$C$370),0)+IFERROR(SUMIF(Nutzungsprofile!$B$17:$B$22,"Halle",Nutzungsprofile!$G$17:$G$22)*Kalender!D330/SUM(Kalender!$D$5:$D$370),0)+IFERROR(SUMIF(Nutzungsprofile!$B$17:$B$22,"Individuell",Nutzungsprofile!$G$17:$G$22)*Kalender!E330/SUM(Kalender!$E$5:$E$370),0))*Szenarien!$D$25,0)</f>
        <v>0</v>
      </c>
      <c r="E5454" s="13" t="n">
        <f aca="false">IFERROR(MIN(C5454,Eingaben!$B$17)*Eingaben!$B$16,0)</f>
        <v>0</v>
      </c>
      <c r="F5454" s="13" t="n">
        <f aca="false">IFERROR(E5454*Eingaben!$B$15,0)</f>
        <v>0</v>
      </c>
      <c r="G5454" s="13" t="n">
        <f aca="false">IFERROR(IF(Kalender!A330="",0,J5453*(1-Eingaben!$B$20)),0)</f>
        <v>0</v>
      </c>
      <c r="H5454" s="13" t="n">
        <f aca="false">MIN(G5454,D5454)</f>
        <v>0</v>
      </c>
      <c r="I5454" s="13" t="n">
        <f aca="false">IFERROR(MIN(F5454*Eingaben!$B$19,MAX(0,D5454-H5454)),0)</f>
        <v>0</v>
      </c>
      <c r="J5454" s="13" t="n">
        <f aca="false">IFERROR(MIN(Eingaben!$B$18,MAX(0,F5454-I5454)),0)</f>
        <v>0</v>
      </c>
      <c r="K5454" s="13" t="n">
        <f aca="false">H5454+I5454</f>
        <v>0</v>
      </c>
      <c r="L5454" s="13" t="n">
        <f aca="false">MAX(0,D5454-K5454)</f>
        <v>0</v>
      </c>
      <c r="M5454" s="13" t="n">
        <f aca="false">MAX(0,F5454-I5454-J5454)</f>
        <v>0</v>
      </c>
      <c r="N5454" s="13" t="n">
        <f aca="false">IF(Kalender!A330="",0,J5453-H5454)</f>
        <v>0</v>
      </c>
    </row>
    <row r="5455" customFormat="false" ht="16.4" hidden="false" customHeight="false" outlineLevel="0" collapsed="false">
      <c r="A5455" s="13" t="str">
        <f aca="false">""</f>
        <v/>
      </c>
      <c r="B5455" s="13" t="n">
        <f aca="false">327</f>
        <v>327</v>
      </c>
      <c r="C5455" s="13" t="n">
        <f aca="false">IF(Szenarien!$H$25="OK",(IFERROR(SUMIF(Nutzungsprofile!$B$6:$B$11,"Schulbetrieb",Nutzungsprofile!$G$6:$G$11)*Kalender!C331/SUM(Kalender!$C$5:$C$370),0)+IFERROR(SUMIF(Nutzungsprofile!$B$6:$B$11,"Halle",Nutzungsprofile!$G$6:$G$11)*Kalender!D331/SUM(Kalender!$D$5:$D$370),0)+IFERROR(SUMIF(Nutzungsprofile!$B$6:$B$11,"Individuell",Nutzungsprofile!$G$6:$G$11)*Kalender!E331/SUM(Kalender!$E$5:$E$370),0))*Szenarien!$E$25,0)</f>
        <v>0.9</v>
      </c>
      <c r="D5455" s="13" t="n">
        <f aca="false">IF(Szenarien!$H$25="OK",(IFERROR(SUMIF(Nutzungsprofile!$B$17:$B$22,"Schulbetrieb",Nutzungsprofile!$G$17:$G$22)*Kalender!C331/SUM(Kalender!$C$5:$C$370),0)+IFERROR(SUMIF(Nutzungsprofile!$B$17:$B$22,"Halle",Nutzungsprofile!$G$17:$G$22)*Kalender!D331/SUM(Kalender!$D$5:$D$370),0)+IFERROR(SUMIF(Nutzungsprofile!$B$17:$B$22,"Individuell",Nutzungsprofile!$G$17:$G$22)*Kalender!E331/SUM(Kalender!$E$5:$E$370),0))*Szenarien!$D$25,0)</f>
        <v>4.05</v>
      </c>
      <c r="E5455" s="13" t="n">
        <f aca="false">IFERROR(MIN(C5455,Eingaben!$B$17)*Eingaben!$B$16,0)</f>
        <v>0.855</v>
      </c>
      <c r="F5455" s="13" t="n">
        <f aca="false">IFERROR(E5455*Eingaben!$B$15,0)</f>
        <v>0.7695</v>
      </c>
      <c r="G5455" s="13" t="n">
        <f aca="false">IFERROR(IF(Kalender!A331="",0,J5454*(1-Eingaben!$B$20)),0)</f>
        <v>0</v>
      </c>
      <c r="H5455" s="13" t="n">
        <f aca="false">MIN(G5455,D5455)</f>
        <v>0</v>
      </c>
      <c r="I5455" s="13" t="n">
        <f aca="false">IFERROR(MIN(F5455*Eingaben!$B$19,MAX(0,D5455-H5455)),0)</f>
        <v>0.53865</v>
      </c>
      <c r="J5455" s="13" t="n">
        <f aca="false">IFERROR(MIN(Eingaben!$B$18,MAX(0,F5455-I5455)),0)</f>
        <v>0.23085</v>
      </c>
      <c r="K5455" s="13" t="n">
        <f aca="false">H5455+I5455</f>
        <v>0.53865</v>
      </c>
      <c r="L5455" s="13" t="n">
        <f aca="false">MAX(0,D5455-K5455)</f>
        <v>3.51135</v>
      </c>
      <c r="M5455" s="13" t="n">
        <f aca="false">MAX(0,F5455-I5455-J5455)</f>
        <v>0</v>
      </c>
      <c r="N5455" s="13" t="n">
        <f aca="false">IF(Kalender!A331="",0,J5454-H5455)</f>
        <v>0</v>
      </c>
    </row>
    <row r="5456" customFormat="false" ht="16.4" hidden="false" customHeight="false" outlineLevel="0" collapsed="false">
      <c r="A5456" s="13" t="str">
        <f aca="false">""</f>
        <v/>
      </c>
      <c r="B5456" s="13" t="n">
        <f aca="false">328</f>
        <v>328</v>
      </c>
      <c r="C5456" s="13" t="n">
        <f aca="false">IF(Szenarien!$H$25="OK",(IFERROR(SUMIF(Nutzungsprofile!$B$6:$B$11,"Schulbetrieb",Nutzungsprofile!$G$6:$G$11)*Kalender!C332/SUM(Kalender!$C$5:$C$370),0)+IFERROR(SUMIF(Nutzungsprofile!$B$6:$B$11,"Halle",Nutzungsprofile!$G$6:$G$11)*Kalender!D332/SUM(Kalender!$D$5:$D$370),0)+IFERROR(SUMIF(Nutzungsprofile!$B$6:$B$11,"Individuell",Nutzungsprofile!$G$6:$G$11)*Kalender!E332/SUM(Kalender!$E$5:$E$370),0))*Szenarien!$E$25,0)</f>
        <v>0.9</v>
      </c>
      <c r="D5456" s="13" t="n">
        <f aca="false">IF(Szenarien!$H$25="OK",(IFERROR(SUMIF(Nutzungsprofile!$B$17:$B$22,"Schulbetrieb",Nutzungsprofile!$G$17:$G$22)*Kalender!C332/SUM(Kalender!$C$5:$C$370),0)+IFERROR(SUMIF(Nutzungsprofile!$B$17:$B$22,"Halle",Nutzungsprofile!$G$17:$G$22)*Kalender!D332/SUM(Kalender!$D$5:$D$370),0)+IFERROR(SUMIF(Nutzungsprofile!$B$17:$B$22,"Individuell",Nutzungsprofile!$G$17:$G$22)*Kalender!E332/SUM(Kalender!$E$5:$E$370),0))*Szenarien!$D$25,0)</f>
        <v>4.05</v>
      </c>
      <c r="E5456" s="13" t="n">
        <f aca="false">IFERROR(MIN(C5456,Eingaben!$B$17)*Eingaben!$B$16,0)</f>
        <v>0.855</v>
      </c>
      <c r="F5456" s="13" t="n">
        <f aca="false">IFERROR(E5456*Eingaben!$B$15,0)</f>
        <v>0.7695</v>
      </c>
      <c r="G5456" s="13" t="n">
        <f aca="false">IFERROR(IF(Kalender!A332="",0,J5455*(1-Eingaben!$B$20)),0)</f>
        <v>0.226233</v>
      </c>
      <c r="H5456" s="13" t="n">
        <f aca="false">MIN(G5456,D5456)</f>
        <v>0.226233</v>
      </c>
      <c r="I5456" s="13" t="n">
        <f aca="false">IFERROR(MIN(F5456*Eingaben!$B$19,MAX(0,D5456-H5456)),0)</f>
        <v>0.53865</v>
      </c>
      <c r="J5456" s="13" t="n">
        <f aca="false">IFERROR(MIN(Eingaben!$B$18,MAX(0,F5456-I5456)),0)</f>
        <v>0.23085</v>
      </c>
      <c r="K5456" s="13" t="n">
        <f aca="false">H5456+I5456</f>
        <v>0.764883</v>
      </c>
      <c r="L5456" s="13" t="n">
        <f aca="false">MAX(0,D5456-K5456)</f>
        <v>3.285117</v>
      </c>
      <c r="M5456" s="13" t="n">
        <f aca="false">MAX(0,F5456-I5456-J5456)</f>
        <v>0</v>
      </c>
      <c r="N5456" s="13" t="n">
        <f aca="false">IF(Kalender!A332="",0,J5455-H5456)</f>
        <v>0.00461700000000001</v>
      </c>
    </row>
    <row r="5457" customFormat="false" ht="16.4" hidden="false" customHeight="false" outlineLevel="0" collapsed="false">
      <c r="A5457" s="13" t="str">
        <f aca="false">""</f>
        <v/>
      </c>
      <c r="B5457" s="13" t="n">
        <f aca="false">329</f>
        <v>329</v>
      </c>
      <c r="C5457" s="13" t="n">
        <f aca="false">IF(Szenarien!$H$25="OK",(IFERROR(SUMIF(Nutzungsprofile!$B$6:$B$11,"Schulbetrieb",Nutzungsprofile!$G$6:$G$11)*Kalender!C333/SUM(Kalender!$C$5:$C$370),0)+IFERROR(SUMIF(Nutzungsprofile!$B$6:$B$11,"Halle",Nutzungsprofile!$G$6:$G$11)*Kalender!D333/SUM(Kalender!$D$5:$D$370),0)+IFERROR(SUMIF(Nutzungsprofile!$B$6:$B$11,"Individuell",Nutzungsprofile!$G$6:$G$11)*Kalender!E333/SUM(Kalender!$E$5:$E$370),0))*Szenarien!$E$25,0)</f>
        <v>0</v>
      </c>
      <c r="D5457" s="13" t="n">
        <f aca="false">IF(Szenarien!$H$25="OK",(IFERROR(SUMIF(Nutzungsprofile!$B$17:$B$22,"Schulbetrieb",Nutzungsprofile!$G$17:$G$22)*Kalender!C333/SUM(Kalender!$C$5:$C$370),0)+IFERROR(SUMIF(Nutzungsprofile!$B$17:$B$22,"Halle",Nutzungsprofile!$G$17:$G$22)*Kalender!D333/SUM(Kalender!$D$5:$D$370),0)+IFERROR(SUMIF(Nutzungsprofile!$B$17:$B$22,"Individuell",Nutzungsprofile!$G$17:$G$22)*Kalender!E333/SUM(Kalender!$E$5:$E$370),0))*Szenarien!$D$25,0)</f>
        <v>0</v>
      </c>
      <c r="E5457" s="13" t="n">
        <f aca="false">IFERROR(MIN(C5457,Eingaben!$B$17)*Eingaben!$B$16,0)</f>
        <v>0</v>
      </c>
      <c r="F5457" s="13" t="n">
        <f aca="false">IFERROR(E5457*Eingaben!$B$15,0)</f>
        <v>0</v>
      </c>
      <c r="G5457" s="13" t="n">
        <f aca="false">IFERROR(IF(Kalender!A333="",0,J5456*(1-Eingaben!$B$20)),0)</f>
        <v>0.226233</v>
      </c>
      <c r="H5457" s="13" t="n">
        <f aca="false">MIN(G5457,D5457)</f>
        <v>0</v>
      </c>
      <c r="I5457" s="13" t="n">
        <f aca="false">IFERROR(MIN(F5457*Eingaben!$B$19,MAX(0,D5457-H5457)),0)</f>
        <v>0</v>
      </c>
      <c r="J5457" s="13" t="n">
        <f aca="false">IFERROR(MIN(Eingaben!$B$18,MAX(0,F5457-I5457)),0)</f>
        <v>0</v>
      </c>
      <c r="K5457" s="13" t="n">
        <f aca="false">H5457+I5457</f>
        <v>0</v>
      </c>
      <c r="L5457" s="13" t="n">
        <f aca="false">MAX(0,D5457-K5457)</f>
        <v>0</v>
      </c>
      <c r="M5457" s="13" t="n">
        <f aca="false">MAX(0,F5457-I5457-J5457)</f>
        <v>0</v>
      </c>
      <c r="N5457" s="13" t="n">
        <f aca="false">IF(Kalender!A333="",0,J5456-H5457)</f>
        <v>0.23085</v>
      </c>
    </row>
    <row r="5458" customFormat="false" ht="16.4" hidden="false" customHeight="false" outlineLevel="0" collapsed="false">
      <c r="A5458" s="13" t="str">
        <f aca="false">""</f>
        <v/>
      </c>
      <c r="B5458" s="13" t="n">
        <f aca="false">330</f>
        <v>330</v>
      </c>
      <c r="C5458" s="13" t="n">
        <f aca="false">IF(Szenarien!$H$25="OK",(IFERROR(SUMIF(Nutzungsprofile!$B$6:$B$11,"Schulbetrieb",Nutzungsprofile!$G$6:$G$11)*Kalender!C334/SUM(Kalender!$C$5:$C$370),0)+IFERROR(SUMIF(Nutzungsprofile!$B$6:$B$11,"Halle",Nutzungsprofile!$G$6:$G$11)*Kalender!D334/SUM(Kalender!$D$5:$D$370),0)+IFERROR(SUMIF(Nutzungsprofile!$B$6:$B$11,"Individuell",Nutzungsprofile!$G$6:$G$11)*Kalender!E334/SUM(Kalender!$E$5:$E$370),0))*Szenarien!$E$25,0)</f>
        <v>0</v>
      </c>
      <c r="D5458" s="13" t="n">
        <f aca="false">IF(Szenarien!$H$25="OK",(IFERROR(SUMIF(Nutzungsprofile!$B$17:$B$22,"Schulbetrieb",Nutzungsprofile!$G$17:$G$22)*Kalender!C334/SUM(Kalender!$C$5:$C$370),0)+IFERROR(SUMIF(Nutzungsprofile!$B$17:$B$22,"Halle",Nutzungsprofile!$G$17:$G$22)*Kalender!D334/SUM(Kalender!$D$5:$D$370),0)+IFERROR(SUMIF(Nutzungsprofile!$B$17:$B$22,"Individuell",Nutzungsprofile!$G$17:$G$22)*Kalender!E334/SUM(Kalender!$E$5:$E$370),0))*Szenarien!$D$25,0)</f>
        <v>0</v>
      </c>
      <c r="E5458" s="13" t="n">
        <f aca="false">IFERROR(MIN(C5458,Eingaben!$B$17)*Eingaben!$B$16,0)</f>
        <v>0</v>
      </c>
      <c r="F5458" s="13" t="n">
        <f aca="false">IFERROR(E5458*Eingaben!$B$15,0)</f>
        <v>0</v>
      </c>
      <c r="G5458" s="13" t="n">
        <f aca="false">IFERROR(IF(Kalender!A334="",0,J5457*(1-Eingaben!$B$20)),0)</f>
        <v>0</v>
      </c>
      <c r="H5458" s="13" t="n">
        <f aca="false">MIN(G5458,D5458)</f>
        <v>0</v>
      </c>
      <c r="I5458" s="13" t="n">
        <f aca="false">IFERROR(MIN(F5458*Eingaben!$B$19,MAX(0,D5458-H5458)),0)</f>
        <v>0</v>
      </c>
      <c r="J5458" s="13" t="n">
        <f aca="false">IFERROR(MIN(Eingaben!$B$18,MAX(0,F5458-I5458)),0)</f>
        <v>0</v>
      </c>
      <c r="K5458" s="13" t="n">
        <f aca="false">H5458+I5458</f>
        <v>0</v>
      </c>
      <c r="L5458" s="13" t="n">
        <f aca="false">MAX(0,D5458-K5458)</f>
        <v>0</v>
      </c>
      <c r="M5458" s="13" t="n">
        <f aca="false">MAX(0,F5458-I5458-J5458)</f>
        <v>0</v>
      </c>
      <c r="N5458" s="13" t="n">
        <f aca="false">IF(Kalender!A334="",0,J5457-H5458)</f>
        <v>0</v>
      </c>
    </row>
    <row r="5459" customFormat="false" ht="16.4" hidden="false" customHeight="false" outlineLevel="0" collapsed="false">
      <c r="A5459" s="13" t="str">
        <f aca="false">""</f>
        <v/>
      </c>
      <c r="B5459" s="13" t="n">
        <f aca="false">331</f>
        <v>331</v>
      </c>
      <c r="C5459" s="13" t="n">
        <f aca="false">IF(Szenarien!$H$25="OK",(IFERROR(SUMIF(Nutzungsprofile!$B$6:$B$11,"Schulbetrieb",Nutzungsprofile!$G$6:$G$11)*Kalender!C335/SUM(Kalender!$C$5:$C$370),0)+IFERROR(SUMIF(Nutzungsprofile!$B$6:$B$11,"Halle",Nutzungsprofile!$G$6:$G$11)*Kalender!D335/SUM(Kalender!$D$5:$D$370),0)+IFERROR(SUMIF(Nutzungsprofile!$B$6:$B$11,"Individuell",Nutzungsprofile!$G$6:$G$11)*Kalender!E335/SUM(Kalender!$E$5:$E$370),0))*Szenarien!$E$25,0)</f>
        <v>0</v>
      </c>
      <c r="D5459" s="13" t="n">
        <f aca="false">IF(Szenarien!$H$25="OK",(IFERROR(SUMIF(Nutzungsprofile!$B$17:$B$22,"Schulbetrieb",Nutzungsprofile!$G$17:$G$22)*Kalender!C335/SUM(Kalender!$C$5:$C$370),0)+IFERROR(SUMIF(Nutzungsprofile!$B$17:$B$22,"Halle",Nutzungsprofile!$G$17:$G$22)*Kalender!D335/SUM(Kalender!$D$5:$D$370),0)+IFERROR(SUMIF(Nutzungsprofile!$B$17:$B$22,"Individuell",Nutzungsprofile!$G$17:$G$22)*Kalender!E335/SUM(Kalender!$E$5:$E$370),0))*Szenarien!$D$25,0)</f>
        <v>0</v>
      </c>
      <c r="E5459" s="13" t="n">
        <f aca="false">IFERROR(MIN(C5459,Eingaben!$B$17)*Eingaben!$B$16,0)</f>
        <v>0</v>
      </c>
      <c r="F5459" s="13" t="n">
        <f aca="false">IFERROR(E5459*Eingaben!$B$15,0)</f>
        <v>0</v>
      </c>
      <c r="G5459" s="13" t="n">
        <f aca="false">IFERROR(IF(Kalender!A335="",0,J5458*(1-Eingaben!$B$20)),0)</f>
        <v>0</v>
      </c>
      <c r="H5459" s="13" t="n">
        <f aca="false">MIN(G5459,D5459)</f>
        <v>0</v>
      </c>
      <c r="I5459" s="13" t="n">
        <f aca="false">IFERROR(MIN(F5459*Eingaben!$B$19,MAX(0,D5459-H5459)),0)</f>
        <v>0</v>
      </c>
      <c r="J5459" s="13" t="n">
        <f aca="false">IFERROR(MIN(Eingaben!$B$18,MAX(0,F5459-I5459)),0)</f>
        <v>0</v>
      </c>
      <c r="K5459" s="13" t="n">
        <f aca="false">H5459+I5459</f>
        <v>0</v>
      </c>
      <c r="L5459" s="13" t="n">
        <f aca="false">MAX(0,D5459-K5459)</f>
        <v>0</v>
      </c>
      <c r="M5459" s="13" t="n">
        <f aca="false">MAX(0,F5459-I5459-J5459)</f>
        <v>0</v>
      </c>
      <c r="N5459" s="13" t="n">
        <f aca="false">IF(Kalender!A335="",0,J5458-H5459)</f>
        <v>0</v>
      </c>
    </row>
    <row r="5460" customFormat="false" ht="16.4" hidden="false" customHeight="false" outlineLevel="0" collapsed="false">
      <c r="A5460" s="13" t="str">
        <f aca="false">""</f>
        <v/>
      </c>
      <c r="B5460" s="13" t="n">
        <f aca="false">332</f>
        <v>332</v>
      </c>
      <c r="C5460" s="13" t="n">
        <f aca="false">IF(Szenarien!$H$25="OK",(IFERROR(SUMIF(Nutzungsprofile!$B$6:$B$11,"Schulbetrieb",Nutzungsprofile!$G$6:$G$11)*Kalender!C336/SUM(Kalender!$C$5:$C$370),0)+IFERROR(SUMIF(Nutzungsprofile!$B$6:$B$11,"Halle",Nutzungsprofile!$G$6:$G$11)*Kalender!D336/SUM(Kalender!$D$5:$D$370),0)+IFERROR(SUMIF(Nutzungsprofile!$B$6:$B$11,"Individuell",Nutzungsprofile!$G$6:$G$11)*Kalender!E336/SUM(Kalender!$E$5:$E$370),0))*Szenarien!$E$25,0)</f>
        <v>0</v>
      </c>
      <c r="D5460" s="13" t="n">
        <f aca="false">IF(Szenarien!$H$25="OK",(IFERROR(SUMIF(Nutzungsprofile!$B$17:$B$22,"Schulbetrieb",Nutzungsprofile!$G$17:$G$22)*Kalender!C336/SUM(Kalender!$C$5:$C$370),0)+IFERROR(SUMIF(Nutzungsprofile!$B$17:$B$22,"Halle",Nutzungsprofile!$G$17:$G$22)*Kalender!D336/SUM(Kalender!$D$5:$D$370),0)+IFERROR(SUMIF(Nutzungsprofile!$B$17:$B$22,"Individuell",Nutzungsprofile!$G$17:$G$22)*Kalender!E336/SUM(Kalender!$E$5:$E$370),0))*Szenarien!$D$25,0)</f>
        <v>0</v>
      </c>
      <c r="E5460" s="13" t="n">
        <f aca="false">IFERROR(MIN(C5460,Eingaben!$B$17)*Eingaben!$B$16,0)</f>
        <v>0</v>
      </c>
      <c r="F5460" s="13" t="n">
        <f aca="false">IFERROR(E5460*Eingaben!$B$15,0)</f>
        <v>0</v>
      </c>
      <c r="G5460" s="13" t="n">
        <f aca="false">IFERROR(IF(Kalender!A336="",0,J5459*(1-Eingaben!$B$20)),0)</f>
        <v>0</v>
      </c>
      <c r="H5460" s="13" t="n">
        <f aca="false">MIN(G5460,D5460)</f>
        <v>0</v>
      </c>
      <c r="I5460" s="13" t="n">
        <f aca="false">IFERROR(MIN(F5460*Eingaben!$B$19,MAX(0,D5460-H5460)),0)</f>
        <v>0</v>
      </c>
      <c r="J5460" s="13" t="n">
        <f aca="false">IFERROR(MIN(Eingaben!$B$18,MAX(0,F5460-I5460)),0)</f>
        <v>0</v>
      </c>
      <c r="K5460" s="13" t="n">
        <f aca="false">H5460+I5460</f>
        <v>0</v>
      </c>
      <c r="L5460" s="13" t="n">
        <f aca="false">MAX(0,D5460-K5460)</f>
        <v>0</v>
      </c>
      <c r="M5460" s="13" t="n">
        <f aca="false">MAX(0,F5460-I5460-J5460)</f>
        <v>0</v>
      </c>
      <c r="N5460" s="13" t="n">
        <f aca="false">IF(Kalender!A336="",0,J5459-H5460)</f>
        <v>0</v>
      </c>
    </row>
    <row r="5461" customFormat="false" ht="16.4" hidden="false" customHeight="false" outlineLevel="0" collapsed="false">
      <c r="A5461" s="13" t="str">
        <f aca="false">""</f>
        <v/>
      </c>
      <c r="B5461" s="13" t="n">
        <f aca="false">333</f>
        <v>333</v>
      </c>
      <c r="C5461" s="13" t="n">
        <f aca="false">IF(Szenarien!$H$25="OK",(IFERROR(SUMIF(Nutzungsprofile!$B$6:$B$11,"Schulbetrieb",Nutzungsprofile!$G$6:$G$11)*Kalender!C337/SUM(Kalender!$C$5:$C$370),0)+IFERROR(SUMIF(Nutzungsprofile!$B$6:$B$11,"Halle",Nutzungsprofile!$G$6:$G$11)*Kalender!D337/SUM(Kalender!$D$5:$D$370),0)+IFERROR(SUMIF(Nutzungsprofile!$B$6:$B$11,"Individuell",Nutzungsprofile!$G$6:$G$11)*Kalender!E337/SUM(Kalender!$E$5:$E$370),0))*Szenarien!$E$25,0)</f>
        <v>0</v>
      </c>
      <c r="D5461" s="13" t="n">
        <f aca="false">IF(Szenarien!$H$25="OK",(IFERROR(SUMIF(Nutzungsprofile!$B$17:$B$22,"Schulbetrieb",Nutzungsprofile!$G$17:$G$22)*Kalender!C337/SUM(Kalender!$C$5:$C$370),0)+IFERROR(SUMIF(Nutzungsprofile!$B$17:$B$22,"Halle",Nutzungsprofile!$G$17:$G$22)*Kalender!D337/SUM(Kalender!$D$5:$D$370),0)+IFERROR(SUMIF(Nutzungsprofile!$B$17:$B$22,"Individuell",Nutzungsprofile!$G$17:$G$22)*Kalender!E337/SUM(Kalender!$E$5:$E$370),0))*Szenarien!$D$25,0)</f>
        <v>0</v>
      </c>
      <c r="E5461" s="13" t="n">
        <f aca="false">IFERROR(MIN(C5461,Eingaben!$B$17)*Eingaben!$B$16,0)</f>
        <v>0</v>
      </c>
      <c r="F5461" s="13" t="n">
        <f aca="false">IFERROR(E5461*Eingaben!$B$15,0)</f>
        <v>0</v>
      </c>
      <c r="G5461" s="13" t="n">
        <f aca="false">IFERROR(IF(Kalender!A337="",0,J5460*(1-Eingaben!$B$20)),0)</f>
        <v>0</v>
      </c>
      <c r="H5461" s="13" t="n">
        <f aca="false">MIN(G5461,D5461)</f>
        <v>0</v>
      </c>
      <c r="I5461" s="13" t="n">
        <f aca="false">IFERROR(MIN(F5461*Eingaben!$B$19,MAX(0,D5461-H5461)),0)</f>
        <v>0</v>
      </c>
      <c r="J5461" s="13" t="n">
        <f aca="false">IFERROR(MIN(Eingaben!$B$18,MAX(0,F5461-I5461)),0)</f>
        <v>0</v>
      </c>
      <c r="K5461" s="13" t="n">
        <f aca="false">H5461+I5461</f>
        <v>0</v>
      </c>
      <c r="L5461" s="13" t="n">
        <f aca="false">MAX(0,D5461-K5461)</f>
        <v>0</v>
      </c>
      <c r="M5461" s="13" t="n">
        <f aca="false">MAX(0,F5461-I5461-J5461)</f>
        <v>0</v>
      </c>
      <c r="N5461" s="13" t="n">
        <f aca="false">IF(Kalender!A337="",0,J5460-H5461)</f>
        <v>0</v>
      </c>
    </row>
    <row r="5462" customFormat="false" ht="16.4" hidden="false" customHeight="false" outlineLevel="0" collapsed="false">
      <c r="A5462" s="13" t="str">
        <f aca="false">""</f>
        <v/>
      </c>
      <c r="B5462" s="13" t="n">
        <f aca="false">334</f>
        <v>334</v>
      </c>
      <c r="C5462" s="13" t="n">
        <f aca="false">IF(Szenarien!$H$25="OK",(IFERROR(SUMIF(Nutzungsprofile!$B$6:$B$11,"Schulbetrieb",Nutzungsprofile!$G$6:$G$11)*Kalender!C338/SUM(Kalender!$C$5:$C$370),0)+IFERROR(SUMIF(Nutzungsprofile!$B$6:$B$11,"Halle",Nutzungsprofile!$G$6:$G$11)*Kalender!D338/SUM(Kalender!$D$5:$D$370),0)+IFERROR(SUMIF(Nutzungsprofile!$B$6:$B$11,"Individuell",Nutzungsprofile!$G$6:$G$11)*Kalender!E338/SUM(Kalender!$E$5:$E$370),0))*Szenarien!$E$25,0)</f>
        <v>0</v>
      </c>
      <c r="D5462" s="13" t="n">
        <f aca="false">IF(Szenarien!$H$25="OK",(IFERROR(SUMIF(Nutzungsprofile!$B$17:$B$22,"Schulbetrieb",Nutzungsprofile!$G$17:$G$22)*Kalender!C338/SUM(Kalender!$C$5:$C$370),0)+IFERROR(SUMIF(Nutzungsprofile!$B$17:$B$22,"Halle",Nutzungsprofile!$G$17:$G$22)*Kalender!D338/SUM(Kalender!$D$5:$D$370),0)+IFERROR(SUMIF(Nutzungsprofile!$B$17:$B$22,"Individuell",Nutzungsprofile!$G$17:$G$22)*Kalender!E338/SUM(Kalender!$E$5:$E$370),0))*Szenarien!$D$25,0)</f>
        <v>0</v>
      </c>
      <c r="E5462" s="13" t="n">
        <f aca="false">IFERROR(MIN(C5462,Eingaben!$B$17)*Eingaben!$B$16,0)</f>
        <v>0</v>
      </c>
      <c r="F5462" s="13" t="n">
        <f aca="false">IFERROR(E5462*Eingaben!$B$15,0)</f>
        <v>0</v>
      </c>
      <c r="G5462" s="13" t="n">
        <f aca="false">IFERROR(IF(Kalender!A338="",0,J5461*(1-Eingaben!$B$20)),0)</f>
        <v>0</v>
      </c>
      <c r="H5462" s="13" t="n">
        <f aca="false">MIN(G5462,D5462)</f>
        <v>0</v>
      </c>
      <c r="I5462" s="13" t="n">
        <f aca="false">IFERROR(MIN(F5462*Eingaben!$B$19,MAX(0,D5462-H5462)),0)</f>
        <v>0</v>
      </c>
      <c r="J5462" s="13" t="n">
        <f aca="false">IFERROR(MIN(Eingaben!$B$18,MAX(0,F5462-I5462)),0)</f>
        <v>0</v>
      </c>
      <c r="K5462" s="13" t="n">
        <f aca="false">H5462+I5462</f>
        <v>0</v>
      </c>
      <c r="L5462" s="13" t="n">
        <f aca="false">MAX(0,D5462-K5462)</f>
        <v>0</v>
      </c>
      <c r="M5462" s="13" t="n">
        <f aca="false">MAX(0,F5462-I5462-J5462)</f>
        <v>0</v>
      </c>
      <c r="N5462" s="13" t="n">
        <f aca="false">IF(Kalender!A338="",0,J5461-H5462)</f>
        <v>0</v>
      </c>
    </row>
    <row r="5463" customFormat="false" ht="16.4" hidden="false" customHeight="false" outlineLevel="0" collapsed="false">
      <c r="A5463" s="13" t="str">
        <f aca="false">""</f>
        <v/>
      </c>
      <c r="B5463" s="13" t="n">
        <f aca="false">335</f>
        <v>335</v>
      </c>
      <c r="C5463" s="13" t="n">
        <f aca="false">IF(Szenarien!$H$25="OK",(IFERROR(SUMIF(Nutzungsprofile!$B$6:$B$11,"Schulbetrieb",Nutzungsprofile!$G$6:$G$11)*Kalender!C339/SUM(Kalender!$C$5:$C$370),0)+IFERROR(SUMIF(Nutzungsprofile!$B$6:$B$11,"Halle",Nutzungsprofile!$G$6:$G$11)*Kalender!D339/SUM(Kalender!$D$5:$D$370),0)+IFERROR(SUMIF(Nutzungsprofile!$B$6:$B$11,"Individuell",Nutzungsprofile!$G$6:$G$11)*Kalender!E339/SUM(Kalender!$E$5:$E$370),0))*Szenarien!$E$25,0)</f>
        <v>0</v>
      </c>
      <c r="D5463" s="13" t="n">
        <f aca="false">IF(Szenarien!$H$25="OK",(IFERROR(SUMIF(Nutzungsprofile!$B$17:$B$22,"Schulbetrieb",Nutzungsprofile!$G$17:$G$22)*Kalender!C339/SUM(Kalender!$C$5:$C$370),0)+IFERROR(SUMIF(Nutzungsprofile!$B$17:$B$22,"Halle",Nutzungsprofile!$G$17:$G$22)*Kalender!D339/SUM(Kalender!$D$5:$D$370),0)+IFERROR(SUMIF(Nutzungsprofile!$B$17:$B$22,"Individuell",Nutzungsprofile!$G$17:$G$22)*Kalender!E339/SUM(Kalender!$E$5:$E$370),0))*Szenarien!$D$25,0)</f>
        <v>0</v>
      </c>
      <c r="E5463" s="13" t="n">
        <f aca="false">IFERROR(MIN(C5463,Eingaben!$B$17)*Eingaben!$B$16,0)</f>
        <v>0</v>
      </c>
      <c r="F5463" s="13" t="n">
        <f aca="false">IFERROR(E5463*Eingaben!$B$15,0)</f>
        <v>0</v>
      </c>
      <c r="G5463" s="13" t="n">
        <f aca="false">IFERROR(IF(Kalender!A339="",0,J5462*(1-Eingaben!$B$20)),0)</f>
        <v>0</v>
      </c>
      <c r="H5463" s="13" t="n">
        <f aca="false">MIN(G5463,D5463)</f>
        <v>0</v>
      </c>
      <c r="I5463" s="13" t="n">
        <f aca="false">IFERROR(MIN(F5463*Eingaben!$B$19,MAX(0,D5463-H5463)),0)</f>
        <v>0</v>
      </c>
      <c r="J5463" s="13" t="n">
        <f aca="false">IFERROR(MIN(Eingaben!$B$18,MAX(0,F5463-I5463)),0)</f>
        <v>0</v>
      </c>
      <c r="K5463" s="13" t="n">
        <f aca="false">H5463+I5463</f>
        <v>0</v>
      </c>
      <c r="L5463" s="13" t="n">
        <f aca="false">MAX(0,D5463-K5463)</f>
        <v>0</v>
      </c>
      <c r="M5463" s="13" t="n">
        <f aca="false">MAX(0,F5463-I5463-J5463)</f>
        <v>0</v>
      </c>
      <c r="N5463" s="13" t="n">
        <f aca="false">IF(Kalender!A339="",0,J5462-H5463)</f>
        <v>0</v>
      </c>
    </row>
    <row r="5464" customFormat="false" ht="16.4" hidden="false" customHeight="false" outlineLevel="0" collapsed="false">
      <c r="A5464" s="13" t="str">
        <f aca="false">""</f>
        <v/>
      </c>
      <c r="B5464" s="13" t="n">
        <f aca="false">336</f>
        <v>336</v>
      </c>
      <c r="C5464" s="13" t="n">
        <f aca="false">IF(Szenarien!$H$25="OK",(IFERROR(SUMIF(Nutzungsprofile!$B$6:$B$11,"Schulbetrieb",Nutzungsprofile!$G$6:$G$11)*Kalender!C340/SUM(Kalender!$C$5:$C$370),0)+IFERROR(SUMIF(Nutzungsprofile!$B$6:$B$11,"Halle",Nutzungsprofile!$G$6:$G$11)*Kalender!D340/SUM(Kalender!$D$5:$D$370),0)+IFERROR(SUMIF(Nutzungsprofile!$B$6:$B$11,"Individuell",Nutzungsprofile!$G$6:$G$11)*Kalender!E340/SUM(Kalender!$E$5:$E$370),0))*Szenarien!$E$25,0)</f>
        <v>0</v>
      </c>
      <c r="D5464" s="13" t="n">
        <f aca="false">IF(Szenarien!$H$25="OK",(IFERROR(SUMIF(Nutzungsprofile!$B$17:$B$22,"Schulbetrieb",Nutzungsprofile!$G$17:$G$22)*Kalender!C340/SUM(Kalender!$C$5:$C$370),0)+IFERROR(SUMIF(Nutzungsprofile!$B$17:$B$22,"Halle",Nutzungsprofile!$G$17:$G$22)*Kalender!D340/SUM(Kalender!$D$5:$D$370),0)+IFERROR(SUMIF(Nutzungsprofile!$B$17:$B$22,"Individuell",Nutzungsprofile!$G$17:$G$22)*Kalender!E340/SUM(Kalender!$E$5:$E$370),0))*Szenarien!$D$25,0)</f>
        <v>0</v>
      </c>
      <c r="E5464" s="13" t="n">
        <f aca="false">IFERROR(MIN(C5464,Eingaben!$B$17)*Eingaben!$B$16,0)</f>
        <v>0</v>
      </c>
      <c r="F5464" s="13" t="n">
        <f aca="false">IFERROR(E5464*Eingaben!$B$15,0)</f>
        <v>0</v>
      </c>
      <c r="G5464" s="13" t="n">
        <f aca="false">IFERROR(IF(Kalender!A340="",0,J5463*(1-Eingaben!$B$20)),0)</f>
        <v>0</v>
      </c>
      <c r="H5464" s="13" t="n">
        <f aca="false">MIN(G5464,D5464)</f>
        <v>0</v>
      </c>
      <c r="I5464" s="13" t="n">
        <f aca="false">IFERROR(MIN(F5464*Eingaben!$B$19,MAX(0,D5464-H5464)),0)</f>
        <v>0</v>
      </c>
      <c r="J5464" s="13" t="n">
        <f aca="false">IFERROR(MIN(Eingaben!$B$18,MAX(0,F5464-I5464)),0)</f>
        <v>0</v>
      </c>
      <c r="K5464" s="13" t="n">
        <f aca="false">H5464+I5464</f>
        <v>0</v>
      </c>
      <c r="L5464" s="13" t="n">
        <f aca="false">MAX(0,D5464-K5464)</f>
        <v>0</v>
      </c>
      <c r="M5464" s="13" t="n">
        <f aca="false">MAX(0,F5464-I5464-J5464)</f>
        <v>0</v>
      </c>
      <c r="N5464" s="13" t="n">
        <f aca="false">IF(Kalender!A340="",0,J5463-H5464)</f>
        <v>0</v>
      </c>
    </row>
    <row r="5465" customFormat="false" ht="16.4" hidden="false" customHeight="false" outlineLevel="0" collapsed="false">
      <c r="A5465" s="13" t="str">
        <f aca="false">""</f>
        <v/>
      </c>
      <c r="B5465" s="13" t="n">
        <f aca="false">337</f>
        <v>337</v>
      </c>
      <c r="C5465" s="13" t="n">
        <f aca="false">IF(Szenarien!$H$25="OK",(IFERROR(SUMIF(Nutzungsprofile!$B$6:$B$11,"Schulbetrieb",Nutzungsprofile!$G$6:$G$11)*Kalender!C341/SUM(Kalender!$C$5:$C$370),0)+IFERROR(SUMIF(Nutzungsprofile!$B$6:$B$11,"Halle",Nutzungsprofile!$G$6:$G$11)*Kalender!D341/SUM(Kalender!$D$5:$D$370),0)+IFERROR(SUMIF(Nutzungsprofile!$B$6:$B$11,"Individuell",Nutzungsprofile!$G$6:$G$11)*Kalender!E341/SUM(Kalender!$E$5:$E$370),0))*Szenarien!$E$25,0)</f>
        <v>0</v>
      </c>
      <c r="D5465" s="13" t="n">
        <f aca="false">IF(Szenarien!$H$25="OK",(IFERROR(SUMIF(Nutzungsprofile!$B$17:$B$22,"Schulbetrieb",Nutzungsprofile!$G$17:$G$22)*Kalender!C341/SUM(Kalender!$C$5:$C$370),0)+IFERROR(SUMIF(Nutzungsprofile!$B$17:$B$22,"Halle",Nutzungsprofile!$G$17:$G$22)*Kalender!D341/SUM(Kalender!$D$5:$D$370),0)+IFERROR(SUMIF(Nutzungsprofile!$B$17:$B$22,"Individuell",Nutzungsprofile!$G$17:$G$22)*Kalender!E341/SUM(Kalender!$E$5:$E$370),0))*Szenarien!$D$25,0)</f>
        <v>0</v>
      </c>
      <c r="E5465" s="13" t="n">
        <f aca="false">IFERROR(MIN(C5465,Eingaben!$B$17)*Eingaben!$B$16,0)</f>
        <v>0</v>
      </c>
      <c r="F5465" s="13" t="n">
        <f aca="false">IFERROR(E5465*Eingaben!$B$15,0)</f>
        <v>0</v>
      </c>
      <c r="G5465" s="13" t="n">
        <f aca="false">IFERROR(IF(Kalender!A341="",0,J5464*(1-Eingaben!$B$20)),0)</f>
        <v>0</v>
      </c>
      <c r="H5465" s="13" t="n">
        <f aca="false">MIN(G5465,D5465)</f>
        <v>0</v>
      </c>
      <c r="I5465" s="13" t="n">
        <f aca="false">IFERROR(MIN(F5465*Eingaben!$B$19,MAX(0,D5465-H5465)),0)</f>
        <v>0</v>
      </c>
      <c r="J5465" s="13" t="n">
        <f aca="false">IFERROR(MIN(Eingaben!$B$18,MAX(0,F5465-I5465)),0)</f>
        <v>0</v>
      </c>
      <c r="K5465" s="13" t="n">
        <f aca="false">H5465+I5465</f>
        <v>0</v>
      </c>
      <c r="L5465" s="13" t="n">
        <f aca="false">MAX(0,D5465-K5465)</f>
        <v>0</v>
      </c>
      <c r="M5465" s="13" t="n">
        <f aca="false">MAX(0,F5465-I5465-J5465)</f>
        <v>0</v>
      </c>
      <c r="N5465" s="13" t="n">
        <f aca="false">IF(Kalender!A341="",0,J5464-H5465)</f>
        <v>0</v>
      </c>
    </row>
    <row r="5466" customFormat="false" ht="16.4" hidden="false" customHeight="false" outlineLevel="0" collapsed="false">
      <c r="A5466" s="13" t="str">
        <f aca="false">""</f>
        <v/>
      </c>
      <c r="B5466" s="13" t="n">
        <f aca="false">338</f>
        <v>338</v>
      </c>
      <c r="C5466" s="13" t="n">
        <f aca="false">IF(Szenarien!$H$25="OK",(IFERROR(SUMIF(Nutzungsprofile!$B$6:$B$11,"Schulbetrieb",Nutzungsprofile!$G$6:$G$11)*Kalender!C342/SUM(Kalender!$C$5:$C$370),0)+IFERROR(SUMIF(Nutzungsprofile!$B$6:$B$11,"Halle",Nutzungsprofile!$G$6:$G$11)*Kalender!D342/SUM(Kalender!$D$5:$D$370),0)+IFERROR(SUMIF(Nutzungsprofile!$B$6:$B$11,"Individuell",Nutzungsprofile!$G$6:$G$11)*Kalender!E342/SUM(Kalender!$E$5:$E$370),0))*Szenarien!$E$25,0)</f>
        <v>0</v>
      </c>
      <c r="D5466" s="13" t="n">
        <f aca="false">IF(Szenarien!$H$25="OK",(IFERROR(SUMIF(Nutzungsprofile!$B$17:$B$22,"Schulbetrieb",Nutzungsprofile!$G$17:$G$22)*Kalender!C342/SUM(Kalender!$C$5:$C$370),0)+IFERROR(SUMIF(Nutzungsprofile!$B$17:$B$22,"Halle",Nutzungsprofile!$G$17:$G$22)*Kalender!D342/SUM(Kalender!$D$5:$D$370),0)+IFERROR(SUMIF(Nutzungsprofile!$B$17:$B$22,"Individuell",Nutzungsprofile!$G$17:$G$22)*Kalender!E342/SUM(Kalender!$E$5:$E$370),0))*Szenarien!$D$25,0)</f>
        <v>0</v>
      </c>
      <c r="E5466" s="13" t="n">
        <f aca="false">IFERROR(MIN(C5466,Eingaben!$B$17)*Eingaben!$B$16,0)</f>
        <v>0</v>
      </c>
      <c r="F5466" s="13" t="n">
        <f aca="false">IFERROR(E5466*Eingaben!$B$15,0)</f>
        <v>0</v>
      </c>
      <c r="G5466" s="13" t="n">
        <f aca="false">IFERROR(IF(Kalender!A342="",0,J5465*(1-Eingaben!$B$20)),0)</f>
        <v>0</v>
      </c>
      <c r="H5466" s="13" t="n">
        <f aca="false">MIN(G5466,D5466)</f>
        <v>0</v>
      </c>
      <c r="I5466" s="13" t="n">
        <f aca="false">IFERROR(MIN(F5466*Eingaben!$B$19,MAX(0,D5466-H5466)),0)</f>
        <v>0</v>
      </c>
      <c r="J5466" s="13" t="n">
        <f aca="false">IFERROR(MIN(Eingaben!$B$18,MAX(0,F5466-I5466)),0)</f>
        <v>0</v>
      </c>
      <c r="K5466" s="13" t="n">
        <f aca="false">H5466+I5466</f>
        <v>0</v>
      </c>
      <c r="L5466" s="13" t="n">
        <f aca="false">MAX(0,D5466-K5466)</f>
        <v>0</v>
      </c>
      <c r="M5466" s="13" t="n">
        <f aca="false">MAX(0,F5466-I5466-J5466)</f>
        <v>0</v>
      </c>
      <c r="N5466" s="13" t="n">
        <f aca="false">IF(Kalender!A342="",0,J5465-H5466)</f>
        <v>0</v>
      </c>
    </row>
    <row r="5467" customFormat="false" ht="16.4" hidden="false" customHeight="false" outlineLevel="0" collapsed="false">
      <c r="A5467" s="13" t="str">
        <f aca="false">""</f>
        <v/>
      </c>
      <c r="B5467" s="13" t="n">
        <f aca="false">339</f>
        <v>339</v>
      </c>
      <c r="C5467" s="13" t="n">
        <f aca="false">IF(Szenarien!$H$25="OK",(IFERROR(SUMIF(Nutzungsprofile!$B$6:$B$11,"Schulbetrieb",Nutzungsprofile!$G$6:$G$11)*Kalender!C343/SUM(Kalender!$C$5:$C$370),0)+IFERROR(SUMIF(Nutzungsprofile!$B$6:$B$11,"Halle",Nutzungsprofile!$G$6:$G$11)*Kalender!D343/SUM(Kalender!$D$5:$D$370),0)+IFERROR(SUMIF(Nutzungsprofile!$B$6:$B$11,"Individuell",Nutzungsprofile!$G$6:$G$11)*Kalender!E343/SUM(Kalender!$E$5:$E$370),0))*Szenarien!$E$25,0)</f>
        <v>0</v>
      </c>
      <c r="D5467" s="13" t="n">
        <f aca="false">IF(Szenarien!$H$25="OK",(IFERROR(SUMIF(Nutzungsprofile!$B$17:$B$22,"Schulbetrieb",Nutzungsprofile!$G$17:$G$22)*Kalender!C343/SUM(Kalender!$C$5:$C$370),0)+IFERROR(SUMIF(Nutzungsprofile!$B$17:$B$22,"Halle",Nutzungsprofile!$G$17:$G$22)*Kalender!D343/SUM(Kalender!$D$5:$D$370),0)+IFERROR(SUMIF(Nutzungsprofile!$B$17:$B$22,"Individuell",Nutzungsprofile!$G$17:$G$22)*Kalender!E343/SUM(Kalender!$E$5:$E$370),0))*Szenarien!$D$25,0)</f>
        <v>0</v>
      </c>
      <c r="E5467" s="13" t="n">
        <f aca="false">IFERROR(MIN(C5467,Eingaben!$B$17)*Eingaben!$B$16,0)</f>
        <v>0</v>
      </c>
      <c r="F5467" s="13" t="n">
        <f aca="false">IFERROR(E5467*Eingaben!$B$15,0)</f>
        <v>0</v>
      </c>
      <c r="G5467" s="13" t="n">
        <f aca="false">IFERROR(IF(Kalender!A343="",0,J5466*(1-Eingaben!$B$20)),0)</f>
        <v>0</v>
      </c>
      <c r="H5467" s="13" t="n">
        <f aca="false">MIN(G5467,D5467)</f>
        <v>0</v>
      </c>
      <c r="I5467" s="13" t="n">
        <f aca="false">IFERROR(MIN(F5467*Eingaben!$B$19,MAX(0,D5467-H5467)),0)</f>
        <v>0</v>
      </c>
      <c r="J5467" s="13" t="n">
        <f aca="false">IFERROR(MIN(Eingaben!$B$18,MAX(0,F5467-I5467)),0)</f>
        <v>0</v>
      </c>
      <c r="K5467" s="13" t="n">
        <f aca="false">H5467+I5467</f>
        <v>0</v>
      </c>
      <c r="L5467" s="13" t="n">
        <f aca="false">MAX(0,D5467-K5467)</f>
        <v>0</v>
      </c>
      <c r="M5467" s="13" t="n">
        <f aca="false">MAX(0,F5467-I5467-J5467)</f>
        <v>0</v>
      </c>
      <c r="N5467" s="13" t="n">
        <f aca="false">IF(Kalender!A343="",0,J5466-H5467)</f>
        <v>0</v>
      </c>
    </row>
    <row r="5468" customFormat="false" ht="16.4" hidden="false" customHeight="false" outlineLevel="0" collapsed="false">
      <c r="A5468" s="13" t="str">
        <f aca="false">""</f>
        <v/>
      </c>
      <c r="B5468" s="13" t="n">
        <f aca="false">340</f>
        <v>340</v>
      </c>
      <c r="C5468" s="13" t="n">
        <f aca="false">IF(Szenarien!$H$25="OK",(IFERROR(SUMIF(Nutzungsprofile!$B$6:$B$11,"Schulbetrieb",Nutzungsprofile!$G$6:$G$11)*Kalender!C344/SUM(Kalender!$C$5:$C$370),0)+IFERROR(SUMIF(Nutzungsprofile!$B$6:$B$11,"Halle",Nutzungsprofile!$G$6:$G$11)*Kalender!D344/SUM(Kalender!$D$5:$D$370),0)+IFERROR(SUMIF(Nutzungsprofile!$B$6:$B$11,"Individuell",Nutzungsprofile!$G$6:$G$11)*Kalender!E344/SUM(Kalender!$E$5:$E$370),0))*Szenarien!$E$25,0)</f>
        <v>0</v>
      </c>
      <c r="D5468" s="13" t="n">
        <f aca="false">IF(Szenarien!$H$25="OK",(IFERROR(SUMIF(Nutzungsprofile!$B$17:$B$22,"Schulbetrieb",Nutzungsprofile!$G$17:$G$22)*Kalender!C344/SUM(Kalender!$C$5:$C$370),0)+IFERROR(SUMIF(Nutzungsprofile!$B$17:$B$22,"Halle",Nutzungsprofile!$G$17:$G$22)*Kalender!D344/SUM(Kalender!$D$5:$D$370),0)+IFERROR(SUMIF(Nutzungsprofile!$B$17:$B$22,"Individuell",Nutzungsprofile!$G$17:$G$22)*Kalender!E344/SUM(Kalender!$E$5:$E$370),0))*Szenarien!$D$25,0)</f>
        <v>0</v>
      </c>
      <c r="E5468" s="13" t="n">
        <f aca="false">IFERROR(MIN(C5468,Eingaben!$B$17)*Eingaben!$B$16,0)</f>
        <v>0</v>
      </c>
      <c r="F5468" s="13" t="n">
        <f aca="false">IFERROR(E5468*Eingaben!$B$15,0)</f>
        <v>0</v>
      </c>
      <c r="G5468" s="13" t="n">
        <f aca="false">IFERROR(IF(Kalender!A344="",0,J5467*(1-Eingaben!$B$20)),0)</f>
        <v>0</v>
      </c>
      <c r="H5468" s="13" t="n">
        <f aca="false">MIN(G5468,D5468)</f>
        <v>0</v>
      </c>
      <c r="I5468" s="13" t="n">
        <f aca="false">IFERROR(MIN(F5468*Eingaben!$B$19,MAX(0,D5468-H5468)),0)</f>
        <v>0</v>
      </c>
      <c r="J5468" s="13" t="n">
        <f aca="false">IFERROR(MIN(Eingaben!$B$18,MAX(0,F5468-I5468)),0)</f>
        <v>0</v>
      </c>
      <c r="K5468" s="13" t="n">
        <f aca="false">H5468+I5468</f>
        <v>0</v>
      </c>
      <c r="L5468" s="13" t="n">
        <f aca="false">MAX(0,D5468-K5468)</f>
        <v>0</v>
      </c>
      <c r="M5468" s="13" t="n">
        <f aca="false">MAX(0,F5468-I5468-J5468)</f>
        <v>0</v>
      </c>
      <c r="N5468" s="13" t="n">
        <f aca="false">IF(Kalender!A344="",0,J5467-H5468)</f>
        <v>0</v>
      </c>
    </row>
    <row r="5469" customFormat="false" ht="16.4" hidden="false" customHeight="false" outlineLevel="0" collapsed="false">
      <c r="A5469" s="13" t="str">
        <f aca="false">""</f>
        <v/>
      </c>
      <c r="B5469" s="13" t="n">
        <f aca="false">341</f>
        <v>341</v>
      </c>
      <c r="C5469" s="13" t="n">
        <f aca="false">IF(Szenarien!$H$25="OK",(IFERROR(SUMIF(Nutzungsprofile!$B$6:$B$11,"Schulbetrieb",Nutzungsprofile!$G$6:$G$11)*Kalender!C345/SUM(Kalender!$C$5:$C$370),0)+IFERROR(SUMIF(Nutzungsprofile!$B$6:$B$11,"Halle",Nutzungsprofile!$G$6:$G$11)*Kalender!D345/SUM(Kalender!$D$5:$D$370),0)+IFERROR(SUMIF(Nutzungsprofile!$B$6:$B$11,"Individuell",Nutzungsprofile!$G$6:$G$11)*Kalender!E345/SUM(Kalender!$E$5:$E$370),0))*Szenarien!$E$25,0)</f>
        <v>0</v>
      </c>
      <c r="D5469" s="13" t="n">
        <f aca="false">IF(Szenarien!$H$25="OK",(IFERROR(SUMIF(Nutzungsprofile!$B$17:$B$22,"Schulbetrieb",Nutzungsprofile!$G$17:$G$22)*Kalender!C345/SUM(Kalender!$C$5:$C$370),0)+IFERROR(SUMIF(Nutzungsprofile!$B$17:$B$22,"Halle",Nutzungsprofile!$G$17:$G$22)*Kalender!D345/SUM(Kalender!$D$5:$D$370),0)+IFERROR(SUMIF(Nutzungsprofile!$B$17:$B$22,"Individuell",Nutzungsprofile!$G$17:$G$22)*Kalender!E345/SUM(Kalender!$E$5:$E$370),0))*Szenarien!$D$25,0)</f>
        <v>0</v>
      </c>
      <c r="E5469" s="13" t="n">
        <f aca="false">IFERROR(MIN(C5469,Eingaben!$B$17)*Eingaben!$B$16,0)</f>
        <v>0</v>
      </c>
      <c r="F5469" s="13" t="n">
        <f aca="false">IFERROR(E5469*Eingaben!$B$15,0)</f>
        <v>0</v>
      </c>
      <c r="G5469" s="13" t="n">
        <f aca="false">IFERROR(IF(Kalender!A345="",0,J5468*(1-Eingaben!$B$20)),0)</f>
        <v>0</v>
      </c>
      <c r="H5469" s="13" t="n">
        <f aca="false">MIN(G5469,D5469)</f>
        <v>0</v>
      </c>
      <c r="I5469" s="13" t="n">
        <f aca="false">IFERROR(MIN(F5469*Eingaben!$B$19,MAX(0,D5469-H5469)),0)</f>
        <v>0</v>
      </c>
      <c r="J5469" s="13" t="n">
        <f aca="false">IFERROR(MIN(Eingaben!$B$18,MAX(0,F5469-I5469)),0)</f>
        <v>0</v>
      </c>
      <c r="K5469" s="13" t="n">
        <f aca="false">H5469+I5469</f>
        <v>0</v>
      </c>
      <c r="L5469" s="13" t="n">
        <f aca="false">MAX(0,D5469-K5469)</f>
        <v>0</v>
      </c>
      <c r="M5469" s="13" t="n">
        <f aca="false">MAX(0,F5469-I5469-J5469)</f>
        <v>0</v>
      </c>
      <c r="N5469" s="13" t="n">
        <f aca="false">IF(Kalender!A345="",0,J5468-H5469)</f>
        <v>0</v>
      </c>
    </row>
    <row r="5470" customFormat="false" ht="16.4" hidden="false" customHeight="false" outlineLevel="0" collapsed="false">
      <c r="A5470" s="13" t="str">
        <f aca="false">""</f>
        <v/>
      </c>
      <c r="B5470" s="13" t="n">
        <f aca="false">342</f>
        <v>342</v>
      </c>
      <c r="C5470" s="13" t="n">
        <f aca="false">IF(Szenarien!$H$25="OK",(IFERROR(SUMIF(Nutzungsprofile!$B$6:$B$11,"Schulbetrieb",Nutzungsprofile!$G$6:$G$11)*Kalender!C346/SUM(Kalender!$C$5:$C$370),0)+IFERROR(SUMIF(Nutzungsprofile!$B$6:$B$11,"Halle",Nutzungsprofile!$G$6:$G$11)*Kalender!D346/SUM(Kalender!$D$5:$D$370),0)+IFERROR(SUMIF(Nutzungsprofile!$B$6:$B$11,"Individuell",Nutzungsprofile!$G$6:$G$11)*Kalender!E346/SUM(Kalender!$E$5:$E$370),0))*Szenarien!$E$25,0)</f>
        <v>0</v>
      </c>
      <c r="D5470" s="13" t="n">
        <f aca="false">IF(Szenarien!$H$25="OK",(IFERROR(SUMIF(Nutzungsprofile!$B$17:$B$22,"Schulbetrieb",Nutzungsprofile!$G$17:$G$22)*Kalender!C346/SUM(Kalender!$C$5:$C$370),0)+IFERROR(SUMIF(Nutzungsprofile!$B$17:$B$22,"Halle",Nutzungsprofile!$G$17:$G$22)*Kalender!D346/SUM(Kalender!$D$5:$D$370),0)+IFERROR(SUMIF(Nutzungsprofile!$B$17:$B$22,"Individuell",Nutzungsprofile!$G$17:$G$22)*Kalender!E346/SUM(Kalender!$E$5:$E$370),0))*Szenarien!$D$25,0)</f>
        <v>0</v>
      </c>
      <c r="E5470" s="13" t="n">
        <f aca="false">IFERROR(MIN(C5470,Eingaben!$B$17)*Eingaben!$B$16,0)</f>
        <v>0</v>
      </c>
      <c r="F5470" s="13" t="n">
        <f aca="false">IFERROR(E5470*Eingaben!$B$15,0)</f>
        <v>0</v>
      </c>
      <c r="G5470" s="13" t="n">
        <f aca="false">IFERROR(IF(Kalender!A346="",0,J5469*(1-Eingaben!$B$20)),0)</f>
        <v>0</v>
      </c>
      <c r="H5470" s="13" t="n">
        <f aca="false">MIN(G5470,D5470)</f>
        <v>0</v>
      </c>
      <c r="I5470" s="13" t="n">
        <f aca="false">IFERROR(MIN(F5470*Eingaben!$B$19,MAX(0,D5470-H5470)),0)</f>
        <v>0</v>
      </c>
      <c r="J5470" s="13" t="n">
        <f aca="false">IFERROR(MIN(Eingaben!$B$18,MAX(0,F5470-I5470)),0)</f>
        <v>0</v>
      </c>
      <c r="K5470" s="13" t="n">
        <f aca="false">H5470+I5470</f>
        <v>0</v>
      </c>
      <c r="L5470" s="13" t="n">
        <f aca="false">MAX(0,D5470-K5470)</f>
        <v>0</v>
      </c>
      <c r="M5470" s="13" t="n">
        <f aca="false">MAX(0,F5470-I5470-J5470)</f>
        <v>0</v>
      </c>
      <c r="N5470" s="13" t="n">
        <f aca="false">IF(Kalender!A346="",0,J5469-H5470)</f>
        <v>0</v>
      </c>
    </row>
    <row r="5471" customFormat="false" ht="16.4" hidden="false" customHeight="false" outlineLevel="0" collapsed="false">
      <c r="A5471" s="13" t="str">
        <f aca="false">""</f>
        <v/>
      </c>
      <c r="B5471" s="13" t="n">
        <f aca="false">343</f>
        <v>343</v>
      </c>
      <c r="C5471" s="13" t="n">
        <f aca="false">IF(Szenarien!$H$25="OK",(IFERROR(SUMIF(Nutzungsprofile!$B$6:$B$11,"Schulbetrieb",Nutzungsprofile!$G$6:$G$11)*Kalender!C347/SUM(Kalender!$C$5:$C$370),0)+IFERROR(SUMIF(Nutzungsprofile!$B$6:$B$11,"Halle",Nutzungsprofile!$G$6:$G$11)*Kalender!D347/SUM(Kalender!$D$5:$D$370),0)+IFERROR(SUMIF(Nutzungsprofile!$B$6:$B$11,"Individuell",Nutzungsprofile!$G$6:$G$11)*Kalender!E347/SUM(Kalender!$E$5:$E$370),0))*Szenarien!$E$25,0)</f>
        <v>0</v>
      </c>
      <c r="D5471" s="13" t="n">
        <f aca="false">IF(Szenarien!$H$25="OK",(IFERROR(SUMIF(Nutzungsprofile!$B$17:$B$22,"Schulbetrieb",Nutzungsprofile!$G$17:$G$22)*Kalender!C347/SUM(Kalender!$C$5:$C$370),0)+IFERROR(SUMIF(Nutzungsprofile!$B$17:$B$22,"Halle",Nutzungsprofile!$G$17:$G$22)*Kalender!D347/SUM(Kalender!$D$5:$D$370),0)+IFERROR(SUMIF(Nutzungsprofile!$B$17:$B$22,"Individuell",Nutzungsprofile!$G$17:$G$22)*Kalender!E347/SUM(Kalender!$E$5:$E$370),0))*Szenarien!$D$25,0)</f>
        <v>0</v>
      </c>
      <c r="E5471" s="13" t="n">
        <f aca="false">IFERROR(MIN(C5471,Eingaben!$B$17)*Eingaben!$B$16,0)</f>
        <v>0</v>
      </c>
      <c r="F5471" s="13" t="n">
        <f aca="false">IFERROR(E5471*Eingaben!$B$15,0)</f>
        <v>0</v>
      </c>
      <c r="G5471" s="13" t="n">
        <f aca="false">IFERROR(IF(Kalender!A347="",0,J5470*(1-Eingaben!$B$20)),0)</f>
        <v>0</v>
      </c>
      <c r="H5471" s="13" t="n">
        <f aca="false">MIN(G5471,D5471)</f>
        <v>0</v>
      </c>
      <c r="I5471" s="13" t="n">
        <f aca="false">IFERROR(MIN(F5471*Eingaben!$B$19,MAX(0,D5471-H5471)),0)</f>
        <v>0</v>
      </c>
      <c r="J5471" s="13" t="n">
        <f aca="false">IFERROR(MIN(Eingaben!$B$18,MAX(0,F5471-I5471)),0)</f>
        <v>0</v>
      </c>
      <c r="K5471" s="13" t="n">
        <f aca="false">H5471+I5471</f>
        <v>0</v>
      </c>
      <c r="L5471" s="13" t="n">
        <f aca="false">MAX(0,D5471-K5471)</f>
        <v>0</v>
      </c>
      <c r="M5471" s="13" t="n">
        <f aca="false">MAX(0,F5471-I5471-J5471)</f>
        <v>0</v>
      </c>
      <c r="N5471" s="13" t="n">
        <f aca="false">IF(Kalender!A347="",0,J5470-H5471)</f>
        <v>0</v>
      </c>
    </row>
    <row r="5472" customFormat="false" ht="16.4" hidden="false" customHeight="false" outlineLevel="0" collapsed="false">
      <c r="A5472" s="13" t="str">
        <f aca="false">""</f>
        <v/>
      </c>
      <c r="B5472" s="13" t="n">
        <f aca="false">344</f>
        <v>344</v>
      </c>
      <c r="C5472" s="13" t="n">
        <f aca="false">IF(Szenarien!$H$25="OK",(IFERROR(SUMIF(Nutzungsprofile!$B$6:$B$11,"Schulbetrieb",Nutzungsprofile!$G$6:$G$11)*Kalender!C348/SUM(Kalender!$C$5:$C$370),0)+IFERROR(SUMIF(Nutzungsprofile!$B$6:$B$11,"Halle",Nutzungsprofile!$G$6:$G$11)*Kalender!D348/SUM(Kalender!$D$5:$D$370),0)+IFERROR(SUMIF(Nutzungsprofile!$B$6:$B$11,"Individuell",Nutzungsprofile!$G$6:$G$11)*Kalender!E348/SUM(Kalender!$E$5:$E$370),0))*Szenarien!$E$25,0)</f>
        <v>0</v>
      </c>
      <c r="D5472" s="13" t="n">
        <f aca="false">IF(Szenarien!$H$25="OK",(IFERROR(SUMIF(Nutzungsprofile!$B$17:$B$22,"Schulbetrieb",Nutzungsprofile!$G$17:$G$22)*Kalender!C348/SUM(Kalender!$C$5:$C$370),0)+IFERROR(SUMIF(Nutzungsprofile!$B$17:$B$22,"Halle",Nutzungsprofile!$G$17:$G$22)*Kalender!D348/SUM(Kalender!$D$5:$D$370),0)+IFERROR(SUMIF(Nutzungsprofile!$B$17:$B$22,"Individuell",Nutzungsprofile!$G$17:$G$22)*Kalender!E348/SUM(Kalender!$E$5:$E$370),0))*Szenarien!$D$25,0)</f>
        <v>0</v>
      </c>
      <c r="E5472" s="13" t="n">
        <f aca="false">IFERROR(MIN(C5472,Eingaben!$B$17)*Eingaben!$B$16,0)</f>
        <v>0</v>
      </c>
      <c r="F5472" s="13" t="n">
        <f aca="false">IFERROR(E5472*Eingaben!$B$15,0)</f>
        <v>0</v>
      </c>
      <c r="G5472" s="13" t="n">
        <f aca="false">IFERROR(IF(Kalender!A348="",0,J5471*(1-Eingaben!$B$20)),0)</f>
        <v>0</v>
      </c>
      <c r="H5472" s="13" t="n">
        <f aca="false">MIN(G5472,D5472)</f>
        <v>0</v>
      </c>
      <c r="I5472" s="13" t="n">
        <f aca="false">IFERROR(MIN(F5472*Eingaben!$B$19,MAX(0,D5472-H5472)),0)</f>
        <v>0</v>
      </c>
      <c r="J5472" s="13" t="n">
        <f aca="false">IFERROR(MIN(Eingaben!$B$18,MAX(0,F5472-I5472)),0)</f>
        <v>0</v>
      </c>
      <c r="K5472" s="13" t="n">
        <f aca="false">H5472+I5472</f>
        <v>0</v>
      </c>
      <c r="L5472" s="13" t="n">
        <f aca="false">MAX(0,D5472-K5472)</f>
        <v>0</v>
      </c>
      <c r="M5472" s="13" t="n">
        <f aca="false">MAX(0,F5472-I5472-J5472)</f>
        <v>0</v>
      </c>
      <c r="N5472" s="13" t="n">
        <f aca="false">IF(Kalender!A348="",0,J5471-H5472)</f>
        <v>0</v>
      </c>
    </row>
    <row r="5473" customFormat="false" ht="16.4" hidden="false" customHeight="false" outlineLevel="0" collapsed="false">
      <c r="A5473" s="13" t="str">
        <f aca="false">""</f>
        <v/>
      </c>
      <c r="B5473" s="13" t="n">
        <f aca="false">345</f>
        <v>345</v>
      </c>
      <c r="C5473" s="13" t="n">
        <f aca="false">IF(Szenarien!$H$25="OK",(IFERROR(SUMIF(Nutzungsprofile!$B$6:$B$11,"Schulbetrieb",Nutzungsprofile!$G$6:$G$11)*Kalender!C349/SUM(Kalender!$C$5:$C$370),0)+IFERROR(SUMIF(Nutzungsprofile!$B$6:$B$11,"Halle",Nutzungsprofile!$G$6:$G$11)*Kalender!D349/SUM(Kalender!$D$5:$D$370),0)+IFERROR(SUMIF(Nutzungsprofile!$B$6:$B$11,"Individuell",Nutzungsprofile!$G$6:$G$11)*Kalender!E349/SUM(Kalender!$E$5:$E$370),0))*Szenarien!$E$25,0)</f>
        <v>0</v>
      </c>
      <c r="D5473" s="13" t="n">
        <f aca="false">IF(Szenarien!$H$25="OK",(IFERROR(SUMIF(Nutzungsprofile!$B$17:$B$22,"Schulbetrieb",Nutzungsprofile!$G$17:$G$22)*Kalender!C349/SUM(Kalender!$C$5:$C$370),0)+IFERROR(SUMIF(Nutzungsprofile!$B$17:$B$22,"Halle",Nutzungsprofile!$G$17:$G$22)*Kalender!D349/SUM(Kalender!$D$5:$D$370),0)+IFERROR(SUMIF(Nutzungsprofile!$B$17:$B$22,"Individuell",Nutzungsprofile!$G$17:$G$22)*Kalender!E349/SUM(Kalender!$E$5:$E$370),0))*Szenarien!$D$25,0)</f>
        <v>0</v>
      </c>
      <c r="E5473" s="13" t="n">
        <f aca="false">IFERROR(MIN(C5473,Eingaben!$B$17)*Eingaben!$B$16,0)</f>
        <v>0</v>
      </c>
      <c r="F5473" s="13" t="n">
        <f aca="false">IFERROR(E5473*Eingaben!$B$15,0)</f>
        <v>0</v>
      </c>
      <c r="G5473" s="13" t="n">
        <f aca="false">IFERROR(IF(Kalender!A349="",0,J5472*(1-Eingaben!$B$20)),0)</f>
        <v>0</v>
      </c>
      <c r="H5473" s="13" t="n">
        <f aca="false">MIN(G5473,D5473)</f>
        <v>0</v>
      </c>
      <c r="I5473" s="13" t="n">
        <f aca="false">IFERROR(MIN(F5473*Eingaben!$B$19,MAX(0,D5473-H5473)),0)</f>
        <v>0</v>
      </c>
      <c r="J5473" s="13" t="n">
        <f aca="false">IFERROR(MIN(Eingaben!$B$18,MAX(0,F5473-I5473)),0)</f>
        <v>0</v>
      </c>
      <c r="K5473" s="13" t="n">
        <f aca="false">H5473+I5473</f>
        <v>0</v>
      </c>
      <c r="L5473" s="13" t="n">
        <f aca="false">MAX(0,D5473-K5473)</f>
        <v>0</v>
      </c>
      <c r="M5473" s="13" t="n">
        <f aca="false">MAX(0,F5473-I5473-J5473)</f>
        <v>0</v>
      </c>
      <c r="N5473" s="13" t="n">
        <f aca="false">IF(Kalender!A349="",0,J5472-H5473)</f>
        <v>0</v>
      </c>
    </row>
    <row r="5474" customFormat="false" ht="16.4" hidden="false" customHeight="false" outlineLevel="0" collapsed="false">
      <c r="A5474" s="13" t="str">
        <f aca="false">""</f>
        <v/>
      </c>
      <c r="B5474" s="13" t="n">
        <f aca="false">346</f>
        <v>346</v>
      </c>
      <c r="C5474" s="13" t="n">
        <f aca="false">IF(Szenarien!$H$25="OK",(IFERROR(SUMIF(Nutzungsprofile!$B$6:$B$11,"Schulbetrieb",Nutzungsprofile!$G$6:$G$11)*Kalender!C350/SUM(Kalender!$C$5:$C$370),0)+IFERROR(SUMIF(Nutzungsprofile!$B$6:$B$11,"Halle",Nutzungsprofile!$G$6:$G$11)*Kalender!D350/SUM(Kalender!$D$5:$D$370),0)+IFERROR(SUMIF(Nutzungsprofile!$B$6:$B$11,"Individuell",Nutzungsprofile!$G$6:$G$11)*Kalender!E350/SUM(Kalender!$E$5:$E$370),0))*Szenarien!$E$25,0)</f>
        <v>0</v>
      </c>
      <c r="D5474" s="13" t="n">
        <f aca="false">IF(Szenarien!$H$25="OK",(IFERROR(SUMIF(Nutzungsprofile!$B$17:$B$22,"Schulbetrieb",Nutzungsprofile!$G$17:$G$22)*Kalender!C350/SUM(Kalender!$C$5:$C$370),0)+IFERROR(SUMIF(Nutzungsprofile!$B$17:$B$22,"Halle",Nutzungsprofile!$G$17:$G$22)*Kalender!D350/SUM(Kalender!$D$5:$D$370),0)+IFERROR(SUMIF(Nutzungsprofile!$B$17:$B$22,"Individuell",Nutzungsprofile!$G$17:$G$22)*Kalender!E350/SUM(Kalender!$E$5:$E$370),0))*Szenarien!$D$25,0)</f>
        <v>0</v>
      </c>
      <c r="E5474" s="13" t="n">
        <f aca="false">IFERROR(MIN(C5474,Eingaben!$B$17)*Eingaben!$B$16,0)</f>
        <v>0</v>
      </c>
      <c r="F5474" s="13" t="n">
        <f aca="false">IFERROR(E5474*Eingaben!$B$15,0)</f>
        <v>0</v>
      </c>
      <c r="G5474" s="13" t="n">
        <f aca="false">IFERROR(IF(Kalender!A350="",0,J5473*(1-Eingaben!$B$20)),0)</f>
        <v>0</v>
      </c>
      <c r="H5474" s="13" t="n">
        <f aca="false">MIN(G5474,D5474)</f>
        <v>0</v>
      </c>
      <c r="I5474" s="13" t="n">
        <f aca="false">IFERROR(MIN(F5474*Eingaben!$B$19,MAX(0,D5474-H5474)),0)</f>
        <v>0</v>
      </c>
      <c r="J5474" s="13" t="n">
        <f aca="false">IFERROR(MIN(Eingaben!$B$18,MAX(0,F5474-I5474)),0)</f>
        <v>0</v>
      </c>
      <c r="K5474" s="13" t="n">
        <f aca="false">H5474+I5474</f>
        <v>0</v>
      </c>
      <c r="L5474" s="13" t="n">
        <f aca="false">MAX(0,D5474-K5474)</f>
        <v>0</v>
      </c>
      <c r="M5474" s="13" t="n">
        <f aca="false">MAX(0,F5474-I5474-J5474)</f>
        <v>0</v>
      </c>
      <c r="N5474" s="13" t="n">
        <f aca="false">IF(Kalender!A350="",0,J5473-H5474)</f>
        <v>0</v>
      </c>
    </row>
    <row r="5475" customFormat="false" ht="16.4" hidden="false" customHeight="false" outlineLevel="0" collapsed="false">
      <c r="A5475" s="13" t="str">
        <f aca="false">""</f>
        <v/>
      </c>
      <c r="B5475" s="13" t="n">
        <f aca="false">347</f>
        <v>347</v>
      </c>
      <c r="C5475" s="13" t="n">
        <f aca="false">IF(Szenarien!$H$25="OK",(IFERROR(SUMIF(Nutzungsprofile!$B$6:$B$11,"Schulbetrieb",Nutzungsprofile!$G$6:$G$11)*Kalender!C351/SUM(Kalender!$C$5:$C$370),0)+IFERROR(SUMIF(Nutzungsprofile!$B$6:$B$11,"Halle",Nutzungsprofile!$G$6:$G$11)*Kalender!D351/SUM(Kalender!$D$5:$D$370),0)+IFERROR(SUMIF(Nutzungsprofile!$B$6:$B$11,"Individuell",Nutzungsprofile!$G$6:$G$11)*Kalender!E351/SUM(Kalender!$E$5:$E$370),0))*Szenarien!$E$25,0)</f>
        <v>0</v>
      </c>
      <c r="D5475" s="13" t="n">
        <f aca="false">IF(Szenarien!$H$25="OK",(IFERROR(SUMIF(Nutzungsprofile!$B$17:$B$22,"Schulbetrieb",Nutzungsprofile!$G$17:$G$22)*Kalender!C351/SUM(Kalender!$C$5:$C$370),0)+IFERROR(SUMIF(Nutzungsprofile!$B$17:$B$22,"Halle",Nutzungsprofile!$G$17:$G$22)*Kalender!D351/SUM(Kalender!$D$5:$D$370),0)+IFERROR(SUMIF(Nutzungsprofile!$B$17:$B$22,"Individuell",Nutzungsprofile!$G$17:$G$22)*Kalender!E351/SUM(Kalender!$E$5:$E$370),0))*Szenarien!$D$25,0)</f>
        <v>0</v>
      </c>
      <c r="E5475" s="13" t="n">
        <f aca="false">IFERROR(MIN(C5475,Eingaben!$B$17)*Eingaben!$B$16,0)</f>
        <v>0</v>
      </c>
      <c r="F5475" s="13" t="n">
        <f aca="false">IFERROR(E5475*Eingaben!$B$15,0)</f>
        <v>0</v>
      </c>
      <c r="G5475" s="13" t="n">
        <f aca="false">IFERROR(IF(Kalender!A351="",0,J5474*(1-Eingaben!$B$20)),0)</f>
        <v>0</v>
      </c>
      <c r="H5475" s="13" t="n">
        <f aca="false">MIN(G5475,D5475)</f>
        <v>0</v>
      </c>
      <c r="I5475" s="13" t="n">
        <f aca="false">IFERROR(MIN(F5475*Eingaben!$B$19,MAX(0,D5475-H5475)),0)</f>
        <v>0</v>
      </c>
      <c r="J5475" s="13" t="n">
        <f aca="false">IFERROR(MIN(Eingaben!$B$18,MAX(0,F5475-I5475)),0)</f>
        <v>0</v>
      </c>
      <c r="K5475" s="13" t="n">
        <f aca="false">H5475+I5475</f>
        <v>0</v>
      </c>
      <c r="L5475" s="13" t="n">
        <f aca="false">MAX(0,D5475-K5475)</f>
        <v>0</v>
      </c>
      <c r="M5475" s="13" t="n">
        <f aca="false">MAX(0,F5475-I5475-J5475)</f>
        <v>0</v>
      </c>
      <c r="N5475" s="13" t="n">
        <f aca="false">IF(Kalender!A351="",0,J5474-H5475)</f>
        <v>0</v>
      </c>
    </row>
    <row r="5476" customFormat="false" ht="16.4" hidden="false" customHeight="false" outlineLevel="0" collapsed="false">
      <c r="A5476" s="13" t="str">
        <f aca="false">""</f>
        <v/>
      </c>
      <c r="B5476" s="13" t="n">
        <f aca="false">348</f>
        <v>348</v>
      </c>
      <c r="C5476" s="13" t="n">
        <f aca="false">IF(Szenarien!$H$25="OK",(IFERROR(SUMIF(Nutzungsprofile!$B$6:$B$11,"Schulbetrieb",Nutzungsprofile!$G$6:$G$11)*Kalender!C352/SUM(Kalender!$C$5:$C$370),0)+IFERROR(SUMIF(Nutzungsprofile!$B$6:$B$11,"Halle",Nutzungsprofile!$G$6:$G$11)*Kalender!D352/SUM(Kalender!$D$5:$D$370),0)+IFERROR(SUMIF(Nutzungsprofile!$B$6:$B$11,"Individuell",Nutzungsprofile!$G$6:$G$11)*Kalender!E352/SUM(Kalender!$E$5:$E$370),0))*Szenarien!$E$25,0)</f>
        <v>0</v>
      </c>
      <c r="D5476" s="13" t="n">
        <f aca="false">IF(Szenarien!$H$25="OK",(IFERROR(SUMIF(Nutzungsprofile!$B$17:$B$22,"Schulbetrieb",Nutzungsprofile!$G$17:$G$22)*Kalender!C352/SUM(Kalender!$C$5:$C$370),0)+IFERROR(SUMIF(Nutzungsprofile!$B$17:$B$22,"Halle",Nutzungsprofile!$G$17:$G$22)*Kalender!D352/SUM(Kalender!$D$5:$D$370),0)+IFERROR(SUMIF(Nutzungsprofile!$B$17:$B$22,"Individuell",Nutzungsprofile!$G$17:$G$22)*Kalender!E352/SUM(Kalender!$E$5:$E$370),0))*Szenarien!$D$25,0)</f>
        <v>0</v>
      </c>
      <c r="E5476" s="13" t="n">
        <f aca="false">IFERROR(MIN(C5476,Eingaben!$B$17)*Eingaben!$B$16,0)</f>
        <v>0</v>
      </c>
      <c r="F5476" s="13" t="n">
        <f aca="false">IFERROR(E5476*Eingaben!$B$15,0)</f>
        <v>0</v>
      </c>
      <c r="G5476" s="13" t="n">
        <f aca="false">IFERROR(IF(Kalender!A352="",0,J5475*(1-Eingaben!$B$20)),0)</f>
        <v>0</v>
      </c>
      <c r="H5476" s="13" t="n">
        <f aca="false">MIN(G5476,D5476)</f>
        <v>0</v>
      </c>
      <c r="I5476" s="13" t="n">
        <f aca="false">IFERROR(MIN(F5476*Eingaben!$B$19,MAX(0,D5476-H5476)),0)</f>
        <v>0</v>
      </c>
      <c r="J5476" s="13" t="n">
        <f aca="false">IFERROR(MIN(Eingaben!$B$18,MAX(0,F5476-I5476)),0)</f>
        <v>0</v>
      </c>
      <c r="K5476" s="13" t="n">
        <f aca="false">H5476+I5476</f>
        <v>0</v>
      </c>
      <c r="L5476" s="13" t="n">
        <f aca="false">MAX(0,D5476-K5476)</f>
        <v>0</v>
      </c>
      <c r="M5476" s="13" t="n">
        <f aca="false">MAX(0,F5476-I5476-J5476)</f>
        <v>0</v>
      </c>
      <c r="N5476" s="13" t="n">
        <f aca="false">IF(Kalender!A352="",0,J5475-H5476)</f>
        <v>0</v>
      </c>
    </row>
    <row r="5477" customFormat="false" ht="16.4" hidden="false" customHeight="false" outlineLevel="0" collapsed="false">
      <c r="A5477" s="13" t="str">
        <f aca="false">""</f>
        <v/>
      </c>
      <c r="B5477" s="13" t="n">
        <f aca="false">349</f>
        <v>349</v>
      </c>
      <c r="C5477" s="13" t="n">
        <f aca="false">IF(Szenarien!$H$25="OK",(IFERROR(SUMIF(Nutzungsprofile!$B$6:$B$11,"Schulbetrieb",Nutzungsprofile!$G$6:$G$11)*Kalender!C353/SUM(Kalender!$C$5:$C$370),0)+IFERROR(SUMIF(Nutzungsprofile!$B$6:$B$11,"Halle",Nutzungsprofile!$G$6:$G$11)*Kalender!D353/SUM(Kalender!$D$5:$D$370),0)+IFERROR(SUMIF(Nutzungsprofile!$B$6:$B$11,"Individuell",Nutzungsprofile!$G$6:$G$11)*Kalender!E353/SUM(Kalender!$E$5:$E$370),0))*Szenarien!$E$25,0)</f>
        <v>0</v>
      </c>
      <c r="D5477" s="13" t="n">
        <f aca="false">IF(Szenarien!$H$25="OK",(IFERROR(SUMIF(Nutzungsprofile!$B$17:$B$22,"Schulbetrieb",Nutzungsprofile!$G$17:$G$22)*Kalender!C353/SUM(Kalender!$C$5:$C$370),0)+IFERROR(SUMIF(Nutzungsprofile!$B$17:$B$22,"Halle",Nutzungsprofile!$G$17:$G$22)*Kalender!D353/SUM(Kalender!$D$5:$D$370),0)+IFERROR(SUMIF(Nutzungsprofile!$B$17:$B$22,"Individuell",Nutzungsprofile!$G$17:$G$22)*Kalender!E353/SUM(Kalender!$E$5:$E$370),0))*Szenarien!$D$25,0)</f>
        <v>0</v>
      </c>
      <c r="E5477" s="13" t="n">
        <f aca="false">IFERROR(MIN(C5477,Eingaben!$B$17)*Eingaben!$B$16,0)</f>
        <v>0</v>
      </c>
      <c r="F5477" s="13" t="n">
        <f aca="false">IFERROR(E5477*Eingaben!$B$15,0)</f>
        <v>0</v>
      </c>
      <c r="G5477" s="13" t="n">
        <f aca="false">IFERROR(IF(Kalender!A353="",0,J5476*(1-Eingaben!$B$20)),0)</f>
        <v>0</v>
      </c>
      <c r="H5477" s="13" t="n">
        <f aca="false">MIN(G5477,D5477)</f>
        <v>0</v>
      </c>
      <c r="I5477" s="13" t="n">
        <f aca="false">IFERROR(MIN(F5477*Eingaben!$B$19,MAX(0,D5477-H5477)),0)</f>
        <v>0</v>
      </c>
      <c r="J5477" s="13" t="n">
        <f aca="false">IFERROR(MIN(Eingaben!$B$18,MAX(0,F5477-I5477)),0)</f>
        <v>0</v>
      </c>
      <c r="K5477" s="13" t="n">
        <f aca="false">H5477+I5477</f>
        <v>0</v>
      </c>
      <c r="L5477" s="13" t="n">
        <f aca="false">MAX(0,D5477-K5477)</f>
        <v>0</v>
      </c>
      <c r="M5477" s="13" t="n">
        <f aca="false">MAX(0,F5477-I5477-J5477)</f>
        <v>0</v>
      </c>
      <c r="N5477" s="13" t="n">
        <f aca="false">IF(Kalender!A353="",0,J5476-H5477)</f>
        <v>0</v>
      </c>
    </row>
    <row r="5478" customFormat="false" ht="16.4" hidden="false" customHeight="false" outlineLevel="0" collapsed="false">
      <c r="A5478" s="13" t="str">
        <f aca="false">""</f>
        <v/>
      </c>
      <c r="B5478" s="13" t="n">
        <f aca="false">350</f>
        <v>350</v>
      </c>
      <c r="C5478" s="13" t="n">
        <f aca="false">IF(Szenarien!$H$25="OK",(IFERROR(SUMIF(Nutzungsprofile!$B$6:$B$11,"Schulbetrieb",Nutzungsprofile!$G$6:$G$11)*Kalender!C354/SUM(Kalender!$C$5:$C$370),0)+IFERROR(SUMIF(Nutzungsprofile!$B$6:$B$11,"Halle",Nutzungsprofile!$G$6:$G$11)*Kalender!D354/SUM(Kalender!$D$5:$D$370),0)+IFERROR(SUMIF(Nutzungsprofile!$B$6:$B$11,"Individuell",Nutzungsprofile!$G$6:$G$11)*Kalender!E354/SUM(Kalender!$E$5:$E$370),0))*Szenarien!$E$25,0)</f>
        <v>0</v>
      </c>
      <c r="D5478" s="13" t="n">
        <f aca="false">IF(Szenarien!$H$25="OK",(IFERROR(SUMIF(Nutzungsprofile!$B$17:$B$22,"Schulbetrieb",Nutzungsprofile!$G$17:$G$22)*Kalender!C354/SUM(Kalender!$C$5:$C$370),0)+IFERROR(SUMIF(Nutzungsprofile!$B$17:$B$22,"Halle",Nutzungsprofile!$G$17:$G$22)*Kalender!D354/SUM(Kalender!$D$5:$D$370),0)+IFERROR(SUMIF(Nutzungsprofile!$B$17:$B$22,"Individuell",Nutzungsprofile!$G$17:$G$22)*Kalender!E354/SUM(Kalender!$E$5:$E$370),0))*Szenarien!$D$25,0)</f>
        <v>0</v>
      </c>
      <c r="E5478" s="13" t="n">
        <f aca="false">IFERROR(MIN(C5478,Eingaben!$B$17)*Eingaben!$B$16,0)</f>
        <v>0</v>
      </c>
      <c r="F5478" s="13" t="n">
        <f aca="false">IFERROR(E5478*Eingaben!$B$15,0)</f>
        <v>0</v>
      </c>
      <c r="G5478" s="13" t="n">
        <f aca="false">IFERROR(IF(Kalender!A354="",0,J5477*(1-Eingaben!$B$20)),0)</f>
        <v>0</v>
      </c>
      <c r="H5478" s="13" t="n">
        <f aca="false">MIN(G5478,D5478)</f>
        <v>0</v>
      </c>
      <c r="I5478" s="13" t="n">
        <f aca="false">IFERROR(MIN(F5478*Eingaben!$B$19,MAX(0,D5478-H5478)),0)</f>
        <v>0</v>
      </c>
      <c r="J5478" s="13" t="n">
        <f aca="false">IFERROR(MIN(Eingaben!$B$18,MAX(0,F5478-I5478)),0)</f>
        <v>0</v>
      </c>
      <c r="K5478" s="13" t="n">
        <f aca="false">H5478+I5478</f>
        <v>0</v>
      </c>
      <c r="L5478" s="13" t="n">
        <f aca="false">MAX(0,D5478-K5478)</f>
        <v>0</v>
      </c>
      <c r="M5478" s="13" t="n">
        <f aca="false">MAX(0,F5478-I5478-J5478)</f>
        <v>0</v>
      </c>
      <c r="N5478" s="13" t="n">
        <f aca="false">IF(Kalender!A354="",0,J5477-H5478)</f>
        <v>0</v>
      </c>
    </row>
    <row r="5479" customFormat="false" ht="16.4" hidden="false" customHeight="false" outlineLevel="0" collapsed="false">
      <c r="A5479" s="13" t="str">
        <f aca="false">""</f>
        <v/>
      </c>
      <c r="B5479" s="13" t="n">
        <f aca="false">351</f>
        <v>351</v>
      </c>
      <c r="C5479" s="13" t="n">
        <f aca="false">IF(Szenarien!$H$25="OK",(IFERROR(SUMIF(Nutzungsprofile!$B$6:$B$11,"Schulbetrieb",Nutzungsprofile!$G$6:$G$11)*Kalender!C355/SUM(Kalender!$C$5:$C$370),0)+IFERROR(SUMIF(Nutzungsprofile!$B$6:$B$11,"Halle",Nutzungsprofile!$G$6:$G$11)*Kalender!D355/SUM(Kalender!$D$5:$D$370),0)+IFERROR(SUMIF(Nutzungsprofile!$B$6:$B$11,"Individuell",Nutzungsprofile!$G$6:$G$11)*Kalender!E355/SUM(Kalender!$E$5:$E$370),0))*Szenarien!$E$25,0)</f>
        <v>0</v>
      </c>
      <c r="D5479" s="13" t="n">
        <f aca="false">IF(Szenarien!$H$25="OK",(IFERROR(SUMIF(Nutzungsprofile!$B$17:$B$22,"Schulbetrieb",Nutzungsprofile!$G$17:$G$22)*Kalender!C355/SUM(Kalender!$C$5:$C$370),0)+IFERROR(SUMIF(Nutzungsprofile!$B$17:$B$22,"Halle",Nutzungsprofile!$G$17:$G$22)*Kalender!D355/SUM(Kalender!$D$5:$D$370),0)+IFERROR(SUMIF(Nutzungsprofile!$B$17:$B$22,"Individuell",Nutzungsprofile!$G$17:$G$22)*Kalender!E355/SUM(Kalender!$E$5:$E$370),0))*Szenarien!$D$25,0)</f>
        <v>0</v>
      </c>
      <c r="E5479" s="13" t="n">
        <f aca="false">IFERROR(MIN(C5479,Eingaben!$B$17)*Eingaben!$B$16,0)</f>
        <v>0</v>
      </c>
      <c r="F5479" s="13" t="n">
        <f aca="false">IFERROR(E5479*Eingaben!$B$15,0)</f>
        <v>0</v>
      </c>
      <c r="G5479" s="13" t="n">
        <f aca="false">IFERROR(IF(Kalender!A355="",0,J5478*(1-Eingaben!$B$20)),0)</f>
        <v>0</v>
      </c>
      <c r="H5479" s="13" t="n">
        <f aca="false">MIN(G5479,D5479)</f>
        <v>0</v>
      </c>
      <c r="I5479" s="13" t="n">
        <f aca="false">IFERROR(MIN(F5479*Eingaben!$B$19,MAX(0,D5479-H5479)),0)</f>
        <v>0</v>
      </c>
      <c r="J5479" s="13" t="n">
        <f aca="false">IFERROR(MIN(Eingaben!$B$18,MAX(0,F5479-I5479)),0)</f>
        <v>0</v>
      </c>
      <c r="K5479" s="13" t="n">
        <f aca="false">H5479+I5479</f>
        <v>0</v>
      </c>
      <c r="L5479" s="13" t="n">
        <f aca="false">MAX(0,D5479-K5479)</f>
        <v>0</v>
      </c>
      <c r="M5479" s="13" t="n">
        <f aca="false">MAX(0,F5479-I5479-J5479)</f>
        <v>0</v>
      </c>
      <c r="N5479" s="13" t="n">
        <f aca="false">IF(Kalender!A355="",0,J5478-H5479)</f>
        <v>0</v>
      </c>
    </row>
    <row r="5480" customFormat="false" ht="16.4" hidden="false" customHeight="false" outlineLevel="0" collapsed="false">
      <c r="A5480" s="13" t="str">
        <f aca="false">""</f>
        <v/>
      </c>
      <c r="B5480" s="13" t="n">
        <f aca="false">352</f>
        <v>352</v>
      </c>
      <c r="C5480" s="13" t="n">
        <f aca="false">IF(Szenarien!$H$25="OK",(IFERROR(SUMIF(Nutzungsprofile!$B$6:$B$11,"Schulbetrieb",Nutzungsprofile!$G$6:$G$11)*Kalender!C356/SUM(Kalender!$C$5:$C$370),0)+IFERROR(SUMIF(Nutzungsprofile!$B$6:$B$11,"Halle",Nutzungsprofile!$G$6:$G$11)*Kalender!D356/SUM(Kalender!$D$5:$D$370),0)+IFERROR(SUMIF(Nutzungsprofile!$B$6:$B$11,"Individuell",Nutzungsprofile!$G$6:$G$11)*Kalender!E356/SUM(Kalender!$E$5:$E$370),0))*Szenarien!$E$25,0)</f>
        <v>0</v>
      </c>
      <c r="D5480" s="13" t="n">
        <f aca="false">IF(Szenarien!$H$25="OK",(IFERROR(SUMIF(Nutzungsprofile!$B$17:$B$22,"Schulbetrieb",Nutzungsprofile!$G$17:$G$22)*Kalender!C356/SUM(Kalender!$C$5:$C$370),0)+IFERROR(SUMIF(Nutzungsprofile!$B$17:$B$22,"Halle",Nutzungsprofile!$G$17:$G$22)*Kalender!D356/SUM(Kalender!$D$5:$D$370),0)+IFERROR(SUMIF(Nutzungsprofile!$B$17:$B$22,"Individuell",Nutzungsprofile!$G$17:$G$22)*Kalender!E356/SUM(Kalender!$E$5:$E$370),0))*Szenarien!$D$25,0)</f>
        <v>0</v>
      </c>
      <c r="E5480" s="13" t="n">
        <f aca="false">IFERROR(MIN(C5480,Eingaben!$B$17)*Eingaben!$B$16,0)</f>
        <v>0</v>
      </c>
      <c r="F5480" s="13" t="n">
        <f aca="false">IFERROR(E5480*Eingaben!$B$15,0)</f>
        <v>0</v>
      </c>
      <c r="G5480" s="13" t="n">
        <f aca="false">IFERROR(IF(Kalender!A356="",0,J5479*(1-Eingaben!$B$20)),0)</f>
        <v>0</v>
      </c>
      <c r="H5480" s="13" t="n">
        <f aca="false">MIN(G5480,D5480)</f>
        <v>0</v>
      </c>
      <c r="I5480" s="13" t="n">
        <f aca="false">IFERROR(MIN(F5480*Eingaben!$B$19,MAX(0,D5480-H5480)),0)</f>
        <v>0</v>
      </c>
      <c r="J5480" s="13" t="n">
        <f aca="false">IFERROR(MIN(Eingaben!$B$18,MAX(0,F5480-I5480)),0)</f>
        <v>0</v>
      </c>
      <c r="K5480" s="13" t="n">
        <f aca="false">H5480+I5480</f>
        <v>0</v>
      </c>
      <c r="L5480" s="13" t="n">
        <f aca="false">MAX(0,D5480-K5480)</f>
        <v>0</v>
      </c>
      <c r="M5480" s="13" t="n">
        <f aca="false">MAX(0,F5480-I5480-J5480)</f>
        <v>0</v>
      </c>
      <c r="N5480" s="13" t="n">
        <f aca="false">IF(Kalender!A356="",0,J5479-H5480)</f>
        <v>0</v>
      </c>
    </row>
    <row r="5481" customFormat="false" ht="16.4" hidden="false" customHeight="false" outlineLevel="0" collapsed="false">
      <c r="A5481" s="13" t="str">
        <f aca="false">""</f>
        <v/>
      </c>
      <c r="B5481" s="13" t="n">
        <f aca="false">353</f>
        <v>353</v>
      </c>
      <c r="C5481" s="13" t="n">
        <f aca="false">IF(Szenarien!$H$25="OK",(IFERROR(SUMIF(Nutzungsprofile!$B$6:$B$11,"Schulbetrieb",Nutzungsprofile!$G$6:$G$11)*Kalender!C357/SUM(Kalender!$C$5:$C$370),0)+IFERROR(SUMIF(Nutzungsprofile!$B$6:$B$11,"Halle",Nutzungsprofile!$G$6:$G$11)*Kalender!D357/SUM(Kalender!$D$5:$D$370),0)+IFERROR(SUMIF(Nutzungsprofile!$B$6:$B$11,"Individuell",Nutzungsprofile!$G$6:$G$11)*Kalender!E357/SUM(Kalender!$E$5:$E$370),0))*Szenarien!$E$25,0)</f>
        <v>0</v>
      </c>
      <c r="D5481" s="13" t="n">
        <f aca="false">IF(Szenarien!$H$25="OK",(IFERROR(SUMIF(Nutzungsprofile!$B$17:$B$22,"Schulbetrieb",Nutzungsprofile!$G$17:$G$22)*Kalender!C357/SUM(Kalender!$C$5:$C$370),0)+IFERROR(SUMIF(Nutzungsprofile!$B$17:$B$22,"Halle",Nutzungsprofile!$G$17:$G$22)*Kalender!D357/SUM(Kalender!$D$5:$D$370),0)+IFERROR(SUMIF(Nutzungsprofile!$B$17:$B$22,"Individuell",Nutzungsprofile!$G$17:$G$22)*Kalender!E357/SUM(Kalender!$E$5:$E$370),0))*Szenarien!$D$25,0)</f>
        <v>0</v>
      </c>
      <c r="E5481" s="13" t="n">
        <f aca="false">IFERROR(MIN(C5481,Eingaben!$B$17)*Eingaben!$B$16,0)</f>
        <v>0</v>
      </c>
      <c r="F5481" s="13" t="n">
        <f aca="false">IFERROR(E5481*Eingaben!$B$15,0)</f>
        <v>0</v>
      </c>
      <c r="G5481" s="13" t="n">
        <f aca="false">IFERROR(IF(Kalender!A357="",0,J5480*(1-Eingaben!$B$20)),0)</f>
        <v>0</v>
      </c>
      <c r="H5481" s="13" t="n">
        <f aca="false">MIN(G5481,D5481)</f>
        <v>0</v>
      </c>
      <c r="I5481" s="13" t="n">
        <f aca="false">IFERROR(MIN(F5481*Eingaben!$B$19,MAX(0,D5481-H5481)),0)</f>
        <v>0</v>
      </c>
      <c r="J5481" s="13" t="n">
        <f aca="false">IFERROR(MIN(Eingaben!$B$18,MAX(0,F5481-I5481)),0)</f>
        <v>0</v>
      </c>
      <c r="K5481" s="13" t="n">
        <f aca="false">H5481+I5481</f>
        <v>0</v>
      </c>
      <c r="L5481" s="13" t="n">
        <f aca="false">MAX(0,D5481-K5481)</f>
        <v>0</v>
      </c>
      <c r="M5481" s="13" t="n">
        <f aca="false">MAX(0,F5481-I5481-J5481)</f>
        <v>0</v>
      </c>
      <c r="N5481" s="13" t="n">
        <f aca="false">IF(Kalender!A357="",0,J5480-H5481)</f>
        <v>0</v>
      </c>
    </row>
    <row r="5482" customFormat="false" ht="16.4" hidden="false" customHeight="false" outlineLevel="0" collapsed="false">
      <c r="A5482" s="13" t="str">
        <f aca="false">""</f>
        <v/>
      </c>
      <c r="B5482" s="13" t="n">
        <f aca="false">354</f>
        <v>354</v>
      </c>
      <c r="C5482" s="13" t="n">
        <f aca="false">IF(Szenarien!$H$25="OK",(IFERROR(SUMIF(Nutzungsprofile!$B$6:$B$11,"Schulbetrieb",Nutzungsprofile!$G$6:$G$11)*Kalender!C358/SUM(Kalender!$C$5:$C$370),0)+IFERROR(SUMIF(Nutzungsprofile!$B$6:$B$11,"Halle",Nutzungsprofile!$G$6:$G$11)*Kalender!D358/SUM(Kalender!$D$5:$D$370),0)+IFERROR(SUMIF(Nutzungsprofile!$B$6:$B$11,"Individuell",Nutzungsprofile!$G$6:$G$11)*Kalender!E358/SUM(Kalender!$E$5:$E$370),0))*Szenarien!$E$25,0)</f>
        <v>0</v>
      </c>
      <c r="D5482" s="13" t="n">
        <f aca="false">IF(Szenarien!$H$25="OK",(IFERROR(SUMIF(Nutzungsprofile!$B$17:$B$22,"Schulbetrieb",Nutzungsprofile!$G$17:$G$22)*Kalender!C358/SUM(Kalender!$C$5:$C$370),0)+IFERROR(SUMIF(Nutzungsprofile!$B$17:$B$22,"Halle",Nutzungsprofile!$G$17:$G$22)*Kalender!D358/SUM(Kalender!$D$5:$D$370),0)+IFERROR(SUMIF(Nutzungsprofile!$B$17:$B$22,"Individuell",Nutzungsprofile!$G$17:$G$22)*Kalender!E358/SUM(Kalender!$E$5:$E$370),0))*Szenarien!$D$25,0)</f>
        <v>0</v>
      </c>
      <c r="E5482" s="13" t="n">
        <f aca="false">IFERROR(MIN(C5482,Eingaben!$B$17)*Eingaben!$B$16,0)</f>
        <v>0</v>
      </c>
      <c r="F5482" s="13" t="n">
        <f aca="false">IFERROR(E5482*Eingaben!$B$15,0)</f>
        <v>0</v>
      </c>
      <c r="G5482" s="13" t="n">
        <f aca="false">IFERROR(IF(Kalender!A358="",0,J5481*(1-Eingaben!$B$20)),0)</f>
        <v>0</v>
      </c>
      <c r="H5482" s="13" t="n">
        <f aca="false">MIN(G5482,D5482)</f>
        <v>0</v>
      </c>
      <c r="I5482" s="13" t="n">
        <f aca="false">IFERROR(MIN(F5482*Eingaben!$B$19,MAX(0,D5482-H5482)),0)</f>
        <v>0</v>
      </c>
      <c r="J5482" s="13" t="n">
        <f aca="false">IFERROR(MIN(Eingaben!$B$18,MAX(0,F5482-I5482)),0)</f>
        <v>0</v>
      </c>
      <c r="K5482" s="13" t="n">
        <f aca="false">H5482+I5482</f>
        <v>0</v>
      </c>
      <c r="L5482" s="13" t="n">
        <f aca="false">MAX(0,D5482-K5482)</f>
        <v>0</v>
      </c>
      <c r="M5482" s="13" t="n">
        <f aca="false">MAX(0,F5482-I5482-J5482)</f>
        <v>0</v>
      </c>
      <c r="N5482" s="13" t="n">
        <f aca="false">IF(Kalender!A358="",0,J5481-H5482)</f>
        <v>0</v>
      </c>
    </row>
    <row r="5483" customFormat="false" ht="16.4" hidden="false" customHeight="false" outlineLevel="0" collapsed="false">
      <c r="A5483" s="13" t="str">
        <f aca="false">""</f>
        <v/>
      </c>
      <c r="B5483" s="13" t="n">
        <f aca="false">355</f>
        <v>355</v>
      </c>
      <c r="C5483" s="13" t="n">
        <f aca="false">IF(Szenarien!$H$25="OK",(IFERROR(SUMIF(Nutzungsprofile!$B$6:$B$11,"Schulbetrieb",Nutzungsprofile!$G$6:$G$11)*Kalender!C359/SUM(Kalender!$C$5:$C$370),0)+IFERROR(SUMIF(Nutzungsprofile!$B$6:$B$11,"Halle",Nutzungsprofile!$G$6:$G$11)*Kalender!D359/SUM(Kalender!$D$5:$D$370),0)+IFERROR(SUMIF(Nutzungsprofile!$B$6:$B$11,"Individuell",Nutzungsprofile!$G$6:$G$11)*Kalender!E359/SUM(Kalender!$E$5:$E$370),0))*Szenarien!$E$25,0)</f>
        <v>0</v>
      </c>
      <c r="D5483" s="13" t="n">
        <f aca="false">IF(Szenarien!$H$25="OK",(IFERROR(SUMIF(Nutzungsprofile!$B$17:$B$22,"Schulbetrieb",Nutzungsprofile!$G$17:$G$22)*Kalender!C359/SUM(Kalender!$C$5:$C$370),0)+IFERROR(SUMIF(Nutzungsprofile!$B$17:$B$22,"Halle",Nutzungsprofile!$G$17:$G$22)*Kalender!D359/SUM(Kalender!$D$5:$D$370),0)+IFERROR(SUMIF(Nutzungsprofile!$B$17:$B$22,"Individuell",Nutzungsprofile!$G$17:$G$22)*Kalender!E359/SUM(Kalender!$E$5:$E$370),0))*Szenarien!$D$25,0)</f>
        <v>0</v>
      </c>
      <c r="E5483" s="13" t="n">
        <f aca="false">IFERROR(MIN(C5483,Eingaben!$B$17)*Eingaben!$B$16,0)</f>
        <v>0</v>
      </c>
      <c r="F5483" s="13" t="n">
        <f aca="false">IFERROR(E5483*Eingaben!$B$15,0)</f>
        <v>0</v>
      </c>
      <c r="G5483" s="13" t="n">
        <f aca="false">IFERROR(IF(Kalender!A359="",0,J5482*(1-Eingaben!$B$20)),0)</f>
        <v>0</v>
      </c>
      <c r="H5483" s="13" t="n">
        <f aca="false">MIN(G5483,D5483)</f>
        <v>0</v>
      </c>
      <c r="I5483" s="13" t="n">
        <f aca="false">IFERROR(MIN(F5483*Eingaben!$B$19,MAX(0,D5483-H5483)),0)</f>
        <v>0</v>
      </c>
      <c r="J5483" s="13" t="n">
        <f aca="false">IFERROR(MIN(Eingaben!$B$18,MAX(0,F5483-I5483)),0)</f>
        <v>0</v>
      </c>
      <c r="K5483" s="13" t="n">
        <f aca="false">H5483+I5483</f>
        <v>0</v>
      </c>
      <c r="L5483" s="13" t="n">
        <f aca="false">MAX(0,D5483-K5483)</f>
        <v>0</v>
      </c>
      <c r="M5483" s="13" t="n">
        <f aca="false">MAX(0,F5483-I5483-J5483)</f>
        <v>0</v>
      </c>
      <c r="N5483" s="13" t="n">
        <f aca="false">IF(Kalender!A359="",0,J5482-H5483)</f>
        <v>0</v>
      </c>
    </row>
    <row r="5484" customFormat="false" ht="16.4" hidden="false" customHeight="false" outlineLevel="0" collapsed="false">
      <c r="A5484" s="13" t="str">
        <f aca="false">""</f>
        <v/>
      </c>
      <c r="B5484" s="13" t="n">
        <f aca="false">356</f>
        <v>356</v>
      </c>
      <c r="C5484" s="13" t="n">
        <f aca="false">IF(Szenarien!$H$25="OK",(IFERROR(SUMIF(Nutzungsprofile!$B$6:$B$11,"Schulbetrieb",Nutzungsprofile!$G$6:$G$11)*Kalender!C360/SUM(Kalender!$C$5:$C$370),0)+IFERROR(SUMIF(Nutzungsprofile!$B$6:$B$11,"Halle",Nutzungsprofile!$G$6:$G$11)*Kalender!D360/SUM(Kalender!$D$5:$D$370),0)+IFERROR(SUMIF(Nutzungsprofile!$B$6:$B$11,"Individuell",Nutzungsprofile!$G$6:$G$11)*Kalender!E360/SUM(Kalender!$E$5:$E$370),0))*Szenarien!$E$25,0)</f>
        <v>0</v>
      </c>
      <c r="D5484" s="13" t="n">
        <f aca="false">IF(Szenarien!$H$25="OK",(IFERROR(SUMIF(Nutzungsprofile!$B$17:$B$22,"Schulbetrieb",Nutzungsprofile!$G$17:$G$22)*Kalender!C360/SUM(Kalender!$C$5:$C$370),0)+IFERROR(SUMIF(Nutzungsprofile!$B$17:$B$22,"Halle",Nutzungsprofile!$G$17:$G$22)*Kalender!D360/SUM(Kalender!$D$5:$D$370),0)+IFERROR(SUMIF(Nutzungsprofile!$B$17:$B$22,"Individuell",Nutzungsprofile!$G$17:$G$22)*Kalender!E360/SUM(Kalender!$E$5:$E$370),0))*Szenarien!$D$25,0)</f>
        <v>0</v>
      </c>
      <c r="E5484" s="13" t="n">
        <f aca="false">IFERROR(MIN(C5484,Eingaben!$B$17)*Eingaben!$B$16,0)</f>
        <v>0</v>
      </c>
      <c r="F5484" s="13" t="n">
        <f aca="false">IFERROR(E5484*Eingaben!$B$15,0)</f>
        <v>0</v>
      </c>
      <c r="G5484" s="13" t="n">
        <f aca="false">IFERROR(IF(Kalender!A360="",0,J5483*(1-Eingaben!$B$20)),0)</f>
        <v>0</v>
      </c>
      <c r="H5484" s="13" t="n">
        <f aca="false">MIN(G5484,D5484)</f>
        <v>0</v>
      </c>
      <c r="I5484" s="13" t="n">
        <f aca="false">IFERROR(MIN(F5484*Eingaben!$B$19,MAX(0,D5484-H5484)),0)</f>
        <v>0</v>
      </c>
      <c r="J5484" s="13" t="n">
        <f aca="false">IFERROR(MIN(Eingaben!$B$18,MAX(0,F5484-I5484)),0)</f>
        <v>0</v>
      </c>
      <c r="K5484" s="13" t="n">
        <f aca="false">H5484+I5484</f>
        <v>0</v>
      </c>
      <c r="L5484" s="13" t="n">
        <f aca="false">MAX(0,D5484-K5484)</f>
        <v>0</v>
      </c>
      <c r="M5484" s="13" t="n">
        <f aca="false">MAX(0,F5484-I5484-J5484)</f>
        <v>0</v>
      </c>
      <c r="N5484" s="13" t="n">
        <f aca="false">IF(Kalender!A360="",0,J5483-H5484)</f>
        <v>0</v>
      </c>
    </row>
    <row r="5485" customFormat="false" ht="16.4" hidden="false" customHeight="false" outlineLevel="0" collapsed="false">
      <c r="A5485" s="13" t="str">
        <f aca="false">""</f>
        <v/>
      </c>
      <c r="B5485" s="13" t="n">
        <f aca="false">357</f>
        <v>357</v>
      </c>
      <c r="C5485" s="13" t="n">
        <f aca="false">IF(Szenarien!$H$25="OK",(IFERROR(SUMIF(Nutzungsprofile!$B$6:$B$11,"Schulbetrieb",Nutzungsprofile!$G$6:$G$11)*Kalender!C361/SUM(Kalender!$C$5:$C$370),0)+IFERROR(SUMIF(Nutzungsprofile!$B$6:$B$11,"Halle",Nutzungsprofile!$G$6:$G$11)*Kalender!D361/SUM(Kalender!$D$5:$D$370),0)+IFERROR(SUMIF(Nutzungsprofile!$B$6:$B$11,"Individuell",Nutzungsprofile!$G$6:$G$11)*Kalender!E361/SUM(Kalender!$E$5:$E$370),0))*Szenarien!$E$25,0)</f>
        <v>0</v>
      </c>
      <c r="D5485" s="13" t="n">
        <f aca="false">IF(Szenarien!$H$25="OK",(IFERROR(SUMIF(Nutzungsprofile!$B$17:$B$22,"Schulbetrieb",Nutzungsprofile!$G$17:$G$22)*Kalender!C361/SUM(Kalender!$C$5:$C$370),0)+IFERROR(SUMIF(Nutzungsprofile!$B$17:$B$22,"Halle",Nutzungsprofile!$G$17:$G$22)*Kalender!D361/SUM(Kalender!$D$5:$D$370),0)+IFERROR(SUMIF(Nutzungsprofile!$B$17:$B$22,"Individuell",Nutzungsprofile!$G$17:$G$22)*Kalender!E361/SUM(Kalender!$E$5:$E$370),0))*Szenarien!$D$25,0)</f>
        <v>0</v>
      </c>
      <c r="E5485" s="13" t="n">
        <f aca="false">IFERROR(MIN(C5485,Eingaben!$B$17)*Eingaben!$B$16,0)</f>
        <v>0</v>
      </c>
      <c r="F5485" s="13" t="n">
        <f aca="false">IFERROR(E5485*Eingaben!$B$15,0)</f>
        <v>0</v>
      </c>
      <c r="G5485" s="13" t="n">
        <f aca="false">IFERROR(IF(Kalender!A361="",0,J5484*(1-Eingaben!$B$20)),0)</f>
        <v>0</v>
      </c>
      <c r="H5485" s="13" t="n">
        <f aca="false">MIN(G5485,D5485)</f>
        <v>0</v>
      </c>
      <c r="I5485" s="13" t="n">
        <f aca="false">IFERROR(MIN(F5485*Eingaben!$B$19,MAX(0,D5485-H5485)),0)</f>
        <v>0</v>
      </c>
      <c r="J5485" s="13" t="n">
        <f aca="false">IFERROR(MIN(Eingaben!$B$18,MAX(0,F5485-I5485)),0)</f>
        <v>0</v>
      </c>
      <c r="K5485" s="13" t="n">
        <f aca="false">H5485+I5485</f>
        <v>0</v>
      </c>
      <c r="L5485" s="13" t="n">
        <f aca="false">MAX(0,D5485-K5485)</f>
        <v>0</v>
      </c>
      <c r="M5485" s="13" t="n">
        <f aca="false">MAX(0,F5485-I5485-J5485)</f>
        <v>0</v>
      </c>
      <c r="N5485" s="13" t="n">
        <f aca="false">IF(Kalender!A361="",0,J5484-H5485)</f>
        <v>0</v>
      </c>
    </row>
    <row r="5486" customFormat="false" ht="16.4" hidden="false" customHeight="false" outlineLevel="0" collapsed="false">
      <c r="A5486" s="13" t="str">
        <f aca="false">""</f>
        <v/>
      </c>
      <c r="B5486" s="13" t="n">
        <f aca="false">358</f>
        <v>358</v>
      </c>
      <c r="C5486" s="13" t="n">
        <f aca="false">IF(Szenarien!$H$25="OK",(IFERROR(SUMIF(Nutzungsprofile!$B$6:$B$11,"Schulbetrieb",Nutzungsprofile!$G$6:$G$11)*Kalender!C362/SUM(Kalender!$C$5:$C$370),0)+IFERROR(SUMIF(Nutzungsprofile!$B$6:$B$11,"Halle",Nutzungsprofile!$G$6:$G$11)*Kalender!D362/SUM(Kalender!$D$5:$D$370),0)+IFERROR(SUMIF(Nutzungsprofile!$B$6:$B$11,"Individuell",Nutzungsprofile!$G$6:$G$11)*Kalender!E362/SUM(Kalender!$E$5:$E$370),0))*Szenarien!$E$25,0)</f>
        <v>0</v>
      </c>
      <c r="D5486" s="13" t="n">
        <f aca="false">IF(Szenarien!$H$25="OK",(IFERROR(SUMIF(Nutzungsprofile!$B$17:$B$22,"Schulbetrieb",Nutzungsprofile!$G$17:$G$22)*Kalender!C362/SUM(Kalender!$C$5:$C$370),0)+IFERROR(SUMIF(Nutzungsprofile!$B$17:$B$22,"Halle",Nutzungsprofile!$G$17:$G$22)*Kalender!D362/SUM(Kalender!$D$5:$D$370),0)+IFERROR(SUMIF(Nutzungsprofile!$B$17:$B$22,"Individuell",Nutzungsprofile!$G$17:$G$22)*Kalender!E362/SUM(Kalender!$E$5:$E$370),0))*Szenarien!$D$25,0)</f>
        <v>0</v>
      </c>
      <c r="E5486" s="13" t="n">
        <f aca="false">IFERROR(MIN(C5486,Eingaben!$B$17)*Eingaben!$B$16,0)</f>
        <v>0</v>
      </c>
      <c r="F5486" s="13" t="n">
        <f aca="false">IFERROR(E5486*Eingaben!$B$15,0)</f>
        <v>0</v>
      </c>
      <c r="G5486" s="13" t="n">
        <f aca="false">IFERROR(IF(Kalender!A362="",0,J5485*(1-Eingaben!$B$20)),0)</f>
        <v>0</v>
      </c>
      <c r="H5486" s="13" t="n">
        <f aca="false">MIN(G5486,D5486)</f>
        <v>0</v>
      </c>
      <c r="I5486" s="13" t="n">
        <f aca="false">IFERROR(MIN(F5486*Eingaben!$B$19,MAX(0,D5486-H5486)),0)</f>
        <v>0</v>
      </c>
      <c r="J5486" s="13" t="n">
        <f aca="false">IFERROR(MIN(Eingaben!$B$18,MAX(0,F5486-I5486)),0)</f>
        <v>0</v>
      </c>
      <c r="K5486" s="13" t="n">
        <f aca="false">H5486+I5486</f>
        <v>0</v>
      </c>
      <c r="L5486" s="13" t="n">
        <f aca="false">MAX(0,D5486-K5486)</f>
        <v>0</v>
      </c>
      <c r="M5486" s="13" t="n">
        <f aca="false">MAX(0,F5486-I5486-J5486)</f>
        <v>0</v>
      </c>
      <c r="N5486" s="13" t="n">
        <f aca="false">IF(Kalender!A362="",0,J5485-H5486)</f>
        <v>0</v>
      </c>
    </row>
    <row r="5487" customFormat="false" ht="16.4" hidden="false" customHeight="false" outlineLevel="0" collapsed="false">
      <c r="A5487" s="13" t="str">
        <f aca="false">""</f>
        <v/>
      </c>
      <c r="B5487" s="13" t="n">
        <f aca="false">359</f>
        <v>359</v>
      </c>
      <c r="C5487" s="13" t="n">
        <f aca="false">IF(Szenarien!$H$25="OK",(IFERROR(SUMIF(Nutzungsprofile!$B$6:$B$11,"Schulbetrieb",Nutzungsprofile!$G$6:$G$11)*Kalender!C363/SUM(Kalender!$C$5:$C$370),0)+IFERROR(SUMIF(Nutzungsprofile!$B$6:$B$11,"Halle",Nutzungsprofile!$G$6:$G$11)*Kalender!D363/SUM(Kalender!$D$5:$D$370),0)+IFERROR(SUMIF(Nutzungsprofile!$B$6:$B$11,"Individuell",Nutzungsprofile!$G$6:$G$11)*Kalender!E363/SUM(Kalender!$E$5:$E$370),0))*Szenarien!$E$25,0)</f>
        <v>0</v>
      </c>
      <c r="D5487" s="13" t="n">
        <f aca="false">IF(Szenarien!$H$25="OK",(IFERROR(SUMIF(Nutzungsprofile!$B$17:$B$22,"Schulbetrieb",Nutzungsprofile!$G$17:$G$22)*Kalender!C363/SUM(Kalender!$C$5:$C$370),0)+IFERROR(SUMIF(Nutzungsprofile!$B$17:$B$22,"Halle",Nutzungsprofile!$G$17:$G$22)*Kalender!D363/SUM(Kalender!$D$5:$D$370),0)+IFERROR(SUMIF(Nutzungsprofile!$B$17:$B$22,"Individuell",Nutzungsprofile!$G$17:$G$22)*Kalender!E363/SUM(Kalender!$E$5:$E$370),0))*Szenarien!$D$25,0)</f>
        <v>0</v>
      </c>
      <c r="E5487" s="13" t="n">
        <f aca="false">IFERROR(MIN(C5487,Eingaben!$B$17)*Eingaben!$B$16,0)</f>
        <v>0</v>
      </c>
      <c r="F5487" s="13" t="n">
        <f aca="false">IFERROR(E5487*Eingaben!$B$15,0)</f>
        <v>0</v>
      </c>
      <c r="G5487" s="13" t="n">
        <f aca="false">IFERROR(IF(Kalender!A363="",0,J5486*(1-Eingaben!$B$20)),0)</f>
        <v>0</v>
      </c>
      <c r="H5487" s="13" t="n">
        <f aca="false">MIN(G5487,D5487)</f>
        <v>0</v>
      </c>
      <c r="I5487" s="13" t="n">
        <f aca="false">IFERROR(MIN(F5487*Eingaben!$B$19,MAX(0,D5487-H5487)),0)</f>
        <v>0</v>
      </c>
      <c r="J5487" s="13" t="n">
        <f aca="false">IFERROR(MIN(Eingaben!$B$18,MAX(0,F5487-I5487)),0)</f>
        <v>0</v>
      </c>
      <c r="K5487" s="13" t="n">
        <f aca="false">H5487+I5487</f>
        <v>0</v>
      </c>
      <c r="L5487" s="13" t="n">
        <f aca="false">MAX(0,D5487-K5487)</f>
        <v>0</v>
      </c>
      <c r="M5487" s="13" t="n">
        <f aca="false">MAX(0,F5487-I5487-J5487)</f>
        <v>0</v>
      </c>
      <c r="N5487" s="13" t="n">
        <f aca="false">IF(Kalender!A363="",0,J5486-H5487)</f>
        <v>0</v>
      </c>
    </row>
    <row r="5488" customFormat="false" ht="16.4" hidden="false" customHeight="false" outlineLevel="0" collapsed="false">
      <c r="A5488" s="13" t="str">
        <f aca="false">""</f>
        <v/>
      </c>
      <c r="B5488" s="13" t="n">
        <f aca="false">360</f>
        <v>360</v>
      </c>
      <c r="C5488" s="13" t="n">
        <f aca="false">IF(Szenarien!$H$25="OK",(IFERROR(SUMIF(Nutzungsprofile!$B$6:$B$11,"Schulbetrieb",Nutzungsprofile!$G$6:$G$11)*Kalender!C364/SUM(Kalender!$C$5:$C$370),0)+IFERROR(SUMIF(Nutzungsprofile!$B$6:$B$11,"Halle",Nutzungsprofile!$G$6:$G$11)*Kalender!D364/SUM(Kalender!$D$5:$D$370),0)+IFERROR(SUMIF(Nutzungsprofile!$B$6:$B$11,"Individuell",Nutzungsprofile!$G$6:$G$11)*Kalender!E364/SUM(Kalender!$E$5:$E$370),0))*Szenarien!$E$25,0)</f>
        <v>0</v>
      </c>
      <c r="D5488" s="13" t="n">
        <f aca="false">IF(Szenarien!$H$25="OK",(IFERROR(SUMIF(Nutzungsprofile!$B$17:$B$22,"Schulbetrieb",Nutzungsprofile!$G$17:$G$22)*Kalender!C364/SUM(Kalender!$C$5:$C$370),0)+IFERROR(SUMIF(Nutzungsprofile!$B$17:$B$22,"Halle",Nutzungsprofile!$G$17:$G$22)*Kalender!D364/SUM(Kalender!$D$5:$D$370),0)+IFERROR(SUMIF(Nutzungsprofile!$B$17:$B$22,"Individuell",Nutzungsprofile!$G$17:$G$22)*Kalender!E364/SUM(Kalender!$E$5:$E$370),0))*Szenarien!$D$25,0)</f>
        <v>0</v>
      </c>
      <c r="E5488" s="13" t="n">
        <f aca="false">IFERROR(MIN(C5488,Eingaben!$B$17)*Eingaben!$B$16,0)</f>
        <v>0</v>
      </c>
      <c r="F5488" s="13" t="n">
        <f aca="false">IFERROR(E5488*Eingaben!$B$15,0)</f>
        <v>0</v>
      </c>
      <c r="G5488" s="13" t="n">
        <f aca="false">IFERROR(IF(Kalender!A364="",0,J5487*(1-Eingaben!$B$20)),0)</f>
        <v>0</v>
      </c>
      <c r="H5488" s="13" t="n">
        <f aca="false">MIN(G5488,D5488)</f>
        <v>0</v>
      </c>
      <c r="I5488" s="13" t="n">
        <f aca="false">IFERROR(MIN(F5488*Eingaben!$B$19,MAX(0,D5488-H5488)),0)</f>
        <v>0</v>
      </c>
      <c r="J5488" s="13" t="n">
        <f aca="false">IFERROR(MIN(Eingaben!$B$18,MAX(0,F5488-I5488)),0)</f>
        <v>0</v>
      </c>
      <c r="K5488" s="13" t="n">
        <f aca="false">H5488+I5488</f>
        <v>0</v>
      </c>
      <c r="L5488" s="13" t="n">
        <f aca="false">MAX(0,D5488-K5488)</f>
        <v>0</v>
      </c>
      <c r="M5488" s="13" t="n">
        <f aca="false">MAX(0,F5488-I5488-J5488)</f>
        <v>0</v>
      </c>
      <c r="N5488" s="13" t="n">
        <f aca="false">IF(Kalender!A364="",0,J5487-H5488)</f>
        <v>0</v>
      </c>
    </row>
    <row r="5489" customFormat="false" ht="16.4" hidden="false" customHeight="false" outlineLevel="0" collapsed="false">
      <c r="A5489" s="13" t="str">
        <f aca="false">""</f>
        <v/>
      </c>
      <c r="B5489" s="13" t="n">
        <f aca="false">361</f>
        <v>361</v>
      </c>
      <c r="C5489" s="13" t="n">
        <f aca="false">IF(Szenarien!$H$25="OK",(IFERROR(SUMIF(Nutzungsprofile!$B$6:$B$11,"Schulbetrieb",Nutzungsprofile!$G$6:$G$11)*Kalender!C365/SUM(Kalender!$C$5:$C$370),0)+IFERROR(SUMIF(Nutzungsprofile!$B$6:$B$11,"Halle",Nutzungsprofile!$G$6:$G$11)*Kalender!D365/SUM(Kalender!$D$5:$D$370),0)+IFERROR(SUMIF(Nutzungsprofile!$B$6:$B$11,"Individuell",Nutzungsprofile!$G$6:$G$11)*Kalender!E365/SUM(Kalender!$E$5:$E$370),0))*Szenarien!$E$25,0)</f>
        <v>0</v>
      </c>
      <c r="D5489" s="13" t="n">
        <f aca="false">IF(Szenarien!$H$25="OK",(IFERROR(SUMIF(Nutzungsprofile!$B$17:$B$22,"Schulbetrieb",Nutzungsprofile!$G$17:$G$22)*Kalender!C365/SUM(Kalender!$C$5:$C$370),0)+IFERROR(SUMIF(Nutzungsprofile!$B$17:$B$22,"Halle",Nutzungsprofile!$G$17:$G$22)*Kalender!D365/SUM(Kalender!$D$5:$D$370),0)+IFERROR(SUMIF(Nutzungsprofile!$B$17:$B$22,"Individuell",Nutzungsprofile!$G$17:$G$22)*Kalender!E365/SUM(Kalender!$E$5:$E$370),0))*Szenarien!$D$25,0)</f>
        <v>0</v>
      </c>
      <c r="E5489" s="13" t="n">
        <f aca="false">IFERROR(MIN(C5489,Eingaben!$B$17)*Eingaben!$B$16,0)</f>
        <v>0</v>
      </c>
      <c r="F5489" s="13" t="n">
        <f aca="false">IFERROR(E5489*Eingaben!$B$15,0)</f>
        <v>0</v>
      </c>
      <c r="G5489" s="13" t="n">
        <f aca="false">IFERROR(IF(Kalender!A365="",0,J5488*(1-Eingaben!$B$20)),0)</f>
        <v>0</v>
      </c>
      <c r="H5489" s="13" t="n">
        <f aca="false">MIN(G5489,D5489)</f>
        <v>0</v>
      </c>
      <c r="I5489" s="13" t="n">
        <f aca="false">IFERROR(MIN(F5489*Eingaben!$B$19,MAX(0,D5489-H5489)),0)</f>
        <v>0</v>
      </c>
      <c r="J5489" s="13" t="n">
        <f aca="false">IFERROR(MIN(Eingaben!$B$18,MAX(0,F5489-I5489)),0)</f>
        <v>0</v>
      </c>
      <c r="K5489" s="13" t="n">
        <f aca="false">H5489+I5489</f>
        <v>0</v>
      </c>
      <c r="L5489" s="13" t="n">
        <f aca="false">MAX(0,D5489-K5489)</f>
        <v>0</v>
      </c>
      <c r="M5489" s="13" t="n">
        <f aca="false">MAX(0,F5489-I5489-J5489)</f>
        <v>0</v>
      </c>
      <c r="N5489" s="13" t="n">
        <f aca="false">IF(Kalender!A365="",0,J5488-H5489)</f>
        <v>0</v>
      </c>
    </row>
    <row r="5490" customFormat="false" ht="16.4" hidden="false" customHeight="false" outlineLevel="0" collapsed="false">
      <c r="A5490" s="13" t="str">
        <f aca="false">""</f>
        <v/>
      </c>
      <c r="B5490" s="13" t="n">
        <f aca="false">362</f>
        <v>362</v>
      </c>
      <c r="C5490" s="13" t="n">
        <f aca="false">IF(Szenarien!$H$25="OK",(IFERROR(SUMIF(Nutzungsprofile!$B$6:$B$11,"Schulbetrieb",Nutzungsprofile!$G$6:$G$11)*Kalender!C366/SUM(Kalender!$C$5:$C$370),0)+IFERROR(SUMIF(Nutzungsprofile!$B$6:$B$11,"Halle",Nutzungsprofile!$G$6:$G$11)*Kalender!D366/SUM(Kalender!$D$5:$D$370),0)+IFERROR(SUMIF(Nutzungsprofile!$B$6:$B$11,"Individuell",Nutzungsprofile!$G$6:$G$11)*Kalender!E366/SUM(Kalender!$E$5:$E$370),0))*Szenarien!$E$25,0)</f>
        <v>0</v>
      </c>
      <c r="D5490" s="13" t="n">
        <f aca="false">IF(Szenarien!$H$25="OK",(IFERROR(SUMIF(Nutzungsprofile!$B$17:$B$22,"Schulbetrieb",Nutzungsprofile!$G$17:$G$22)*Kalender!C366/SUM(Kalender!$C$5:$C$370),0)+IFERROR(SUMIF(Nutzungsprofile!$B$17:$B$22,"Halle",Nutzungsprofile!$G$17:$G$22)*Kalender!D366/SUM(Kalender!$D$5:$D$370),0)+IFERROR(SUMIF(Nutzungsprofile!$B$17:$B$22,"Individuell",Nutzungsprofile!$G$17:$G$22)*Kalender!E366/SUM(Kalender!$E$5:$E$370),0))*Szenarien!$D$25,0)</f>
        <v>0</v>
      </c>
      <c r="E5490" s="13" t="n">
        <f aca="false">IFERROR(MIN(C5490,Eingaben!$B$17)*Eingaben!$B$16,0)</f>
        <v>0</v>
      </c>
      <c r="F5490" s="13" t="n">
        <f aca="false">IFERROR(E5490*Eingaben!$B$15,0)</f>
        <v>0</v>
      </c>
      <c r="G5490" s="13" t="n">
        <f aca="false">IFERROR(IF(Kalender!A366="",0,J5489*(1-Eingaben!$B$20)),0)</f>
        <v>0</v>
      </c>
      <c r="H5490" s="13" t="n">
        <f aca="false">MIN(G5490,D5490)</f>
        <v>0</v>
      </c>
      <c r="I5490" s="13" t="n">
        <f aca="false">IFERROR(MIN(F5490*Eingaben!$B$19,MAX(0,D5490-H5490)),0)</f>
        <v>0</v>
      </c>
      <c r="J5490" s="13" t="n">
        <f aca="false">IFERROR(MIN(Eingaben!$B$18,MAX(0,F5490-I5490)),0)</f>
        <v>0</v>
      </c>
      <c r="K5490" s="13" t="n">
        <f aca="false">H5490+I5490</f>
        <v>0</v>
      </c>
      <c r="L5490" s="13" t="n">
        <f aca="false">MAX(0,D5490-K5490)</f>
        <v>0</v>
      </c>
      <c r="M5490" s="13" t="n">
        <f aca="false">MAX(0,F5490-I5490-J5490)</f>
        <v>0</v>
      </c>
      <c r="N5490" s="13" t="n">
        <f aca="false">IF(Kalender!A366="",0,J5489-H5490)</f>
        <v>0</v>
      </c>
    </row>
    <row r="5491" customFormat="false" ht="16.4" hidden="false" customHeight="false" outlineLevel="0" collapsed="false">
      <c r="A5491" s="13" t="str">
        <f aca="false">""</f>
        <v/>
      </c>
      <c r="B5491" s="13" t="n">
        <f aca="false">363</f>
        <v>363</v>
      </c>
      <c r="C5491" s="13" t="n">
        <f aca="false">IF(Szenarien!$H$25="OK",(IFERROR(SUMIF(Nutzungsprofile!$B$6:$B$11,"Schulbetrieb",Nutzungsprofile!$G$6:$G$11)*Kalender!C367/SUM(Kalender!$C$5:$C$370),0)+IFERROR(SUMIF(Nutzungsprofile!$B$6:$B$11,"Halle",Nutzungsprofile!$G$6:$G$11)*Kalender!D367/SUM(Kalender!$D$5:$D$370),0)+IFERROR(SUMIF(Nutzungsprofile!$B$6:$B$11,"Individuell",Nutzungsprofile!$G$6:$G$11)*Kalender!E367/SUM(Kalender!$E$5:$E$370),0))*Szenarien!$E$25,0)</f>
        <v>0</v>
      </c>
      <c r="D5491" s="13" t="n">
        <f aca="false">IF(Szenarien!$H$25="OK",(IFERROR(SUMIF(Nutzungsprofile!$B$17:$B$22,"Schulbetrieb",Nutzungsprofile!$G$17:$G$22)*Kalender!C367/SUM(Kalender!$C$5:$C$370),0)+IFERROR(SUMIF(Nutzungsprofile!$B$17:$B$22,"Halle",Nutzungsprofile!$G$17:$G$22)*Kalender!D367/SUM(Kalender!$D$5:$D$370),0)+IFERROR(SUMIF(Nutzungsprofile!$B$17:$B$22,"Individuell",Nutzungsprofile!$G$17:$G$22)*Kalender!E367/SUM(Kalender!$E$5:$E$370),0))*Szenarien!$D$25,0)</f>
        <v>0</v>
      </c>
      <c r="E5491" s="13" t="n">
        <f aca="false">IFERROR(MIN(C5491,Eingaben!$B$17)*Eingaben!$B$16,0)</f>
        <v>0</v>
      </c>
      <c r="F5491" s="13" t="n">
        <f aca="false">IFERROR(E5491*Eingaben!$B$15,0)</f>
        <v>0</v>
      </c>
      <c r="G5491" s="13" t="n">
        <f aca="false">IFERROR(IF(Kalender!A367="",0,J5490*(1-Eingaben!$B$20)),0)</f>
        <v>0</v>
      </c>
      <c r="H5491" s="13" t="n">
        <f aca="false">MIN(G5491,D5491)</f>
        <v>0</v>
      </c>
      <c r="I5491" s="13" t="n">
        <f aca="false">IFERROR(MIN(F5491*Eingaben!$B$19,MAX(0,D5491-H5491)),0)</f>
        <v>0</v>
      </c>
      <c r="J5491" s="13" t="n">
        <f aca="false">IFERROR(MIN(Eingaben!$B$18,MAX(0,F5491-I5491)),0)</f>
        <v>0</v>
      </c>
      <c r="K5491" s="13" t="n">
        <f aca="false">H5491+I5491</f>
        <v>0</v>
      </c>
      <c r="L5491" s="13" t="n">
        <f aca="false">MAX(0,D5491-K5491)</f>
        <v>0</v>
      </c>
      <c r="M5491" s="13" t="n">
        <f aca="false">MAX(0,F5491-I5491-J5491)</f>
        <v>0</v>
      </c>
      <c r="N5491" s="13" t="n">
        <f aca="false">IF(Kalender!A367="",0,J5490-H5491)</f>
        <v>0</v>
      </c>
    </row>
    <row r="5492" customFormat="false" ht="16.4" hidden="false" customHeight="false" outlineLevel="0" collapsed="false">
      <c r="A5492" s="13" t="str">
        <f aca="false">""</f>
        <v/>
      </c>
      <c r="B5492" s="13" t="n">
        <f aca="false">364</f>
        <v>364</v>
      </c>
      <c r="C5492" s="13" t="n">
        <f aca="false">IF(Szenarien!$H$25="OK",(IFERROR(SUMIF(Nutzungsprofile!$B$6:$B$11,"Schulbetrieb",Nutzungsprofile!$G$6:$G$11)*Kalender!C368/SUM(Kalender!$C$5:$C$370),0)+IFERROR(SUMIF(Nutzungsprofile!$B$6:$B$11,"Halle",Nutzungsprofile!$G$6:$G$11)*Kalender!D368/SUM(Kalender!$D$5:$D$370),0)+IFERROR(SUMIF(Nutzungsprofile!$B$6:$B$11,"Individuell",Nutzungsprofile!$G$6:$G$11)*Kalender!E368/SUM(Kalender!$E$5:$E$370),0))*Szenarien!$E$25,0)</f>
        <v>0</v>
      </c>
      <c r="D5492" s="13" t="n">
        <f aca="false">IF(Szenarien!$H$25="OK",(IFERROR(SUMIF(Nutzungsprofile!$B$17:$B$22,"Schulbetrieb",Nutzungsprofile!$G$17:$G$22)*Kalender!C368/SUM(Kalender!$C$5:$C$370),0)+IFERROR(SUMIF(Nutzungsprofile!$B$17:$B$22,"Halle",Nutzungsprofile!$G$17:$G$22)*Kalender!D368/SUM(Kalender!$D$5:$D$370),0)+IFERROR(SUMIF(Nutzungsprofile!$B$17:$B$22,"Individuell",Nutzungsprofile!$G$17:$G$22)*Kalender!E368/SUM(Kalender!$E$5:$E$370),0))*Szenarien!$D$25,0)</f>
        <v>0</v>
      </c>
      <c r="E5492" s="13" t="n">
        <f aca="false">IFERROR(MIN(C5492,Eingaben!$B$17)*Eingaben!$B$16,0)</f>
        <v>0</v>
      </c>
      <c r="F5492" s="13" t="n">
        <f aca="false">IFERROR(E5492*Eingaben!$B$15,0)</f>
        <v>0</v>
      </c>
      <c r="G5492" s="13" t="n">
        <f aca="false">IFERROR(IF(Kalender!A368="",0,J5491*(1-Eingaben!$B$20)),0)</f>
        <v>0</v>
      </c>
      <c r="H5492" s="13" t="n">
        <f aca="false">MIN(G5492,D5492)</f>
        <v>0</v>
      </c>
      <c r="I5492" s="13" t="n">
        <f aca="false">IFERROR(MIN(F5492*Eingaben!$B$19,MAX(0,D5492-H5492)),0)</f>
        <v>0</v>
      </c>
      <c r="J5492" s="13" t="n">
        <f aca="false">IFERROR(MIN(Eingaben!$B$18,MAX(0,F5492-I5492)),0)</f>
        <v>0</v>
      </c>
      <c r="K5492" s="13" t="n">
        <f aca="false">H5492+I5492</f>
        <v>0</v>
      </c>
      <c r="L5492" s="13" t="n">
        <f aca="false">MAX(0,D5492-K5492)</f>
        <v>0</v>
      </c>
      <c r="M5492" s="13" t="n">
        <f aca="false">MAX(0,F5492-I5492-J5492)</f>
        <v>0</v>
      </c>
      <c r="N5492" s="13" t="n">
        <f aca="false">IF(Kalender!A368="",0,J5491-H5492)</f>
        <v>0</v>
      </c>
    </row>
    <row r="5493" customFormat="false" ht="16.4" hidden="false" customHeight="false" outlineLevel="0" collapsed="false">
      <c r="A5493" s="13" t="str">
        <f aca="false">""</f>
        <v/>
      </c>
      <c r="B5493" s="13" t="n">
        <f aca="false">365</f>
        <v>365</v>
      </c>
      <c r="C5493" s="13" t="n">
        <f aca="false">IF(Szenarien!$H$25="OK",(IFERROR(SUMIF(Nutzungsprofile!$B$6:$B$11,"Schulbetrieb",Nutzungsprofile!$G$6:$G$11)*Kalender!C369/SUM(Kalender!$C$5:$C$370),0)+IFERROR(SUMIF(Nutzungsprofile!$B$6:$B$11,"Halle",Nutzungsprofile!$G$6:$G$11)*Kalender!D369/SUM(Kalender!$D$5:$D$370),0)+IFERROR(SUMIF(Nutzungsprofile!$B$6:$B$11,"Individuell",Nutzungsprofile!$G$6:$G$11)*Kalender!E369/SUM(Kalender!$E$5:$E$370),0))*Szenarien!$E$25,0)</f>
        <v>0</v>
      </c>
      <c r="D5493" s="13" t="n">
        <f aca="false">IF(Szenarien!$H$25="OK",(IFERROR(SUMIF(Nutzungsprofile!$B$17:$B$22,"Schulbetrieb",Nutzungsprofile!$G$17:$G$22)*Kalender!C369/SUM(Kalender!$C$5:$C$370),0)+IFERROR(SUMIF(Nutzungsprofile!$B$17:$B$22,"Halle",Nutzungsprofile!$G$17:$G$22)*Kalender!D369/SUM(Kalender!$D$5:$D$370),0)+IFERROR(SUMIF(Nutzungsprofile!$B$17:$B$22,"Individuell",Nutzungsprofile!$G$17:$G$22)*Kalender!E369/SUM(Kalender!$E$5:$E$370),0))*Szenarien!$D$25,0)</f>
        <v>0</v>
      </c>
      <c r="E5493" s="13" t="n">
        <f aca="false">IFERROR(MIN(C5493,Eingaben!$B$17)*Eingaben!$B$16,0)</f>
        <v>0</v>
      </c>
      <c r="F5493" s="13" t="n">
        <f aca="false">IFERROR(E5493*Eingaben!$B$15,0)</f>
        <v>0</v>
      </c>
      <c r="G5493" s="13" t="n">
        <f aca="false">IFERROR(IF(Kalender!A369="",0,J5492*(1-Eingaben!$B$20)),0)</f>
        <v>0</v>
      </c>
      <c r="H5493" s="13" t="n">
        <f aca="false">MIN(G5493,D5493)</f>
        <v>0</v>
      </c>
      <c r="I5493" s="13" t="n">
        <f aca="false">IFERROR(MIN(F5493*Eingaben!$B$19,MAX(0,D5493-H5493)),0)</f>
        <v>0</v>
      </c>
      <c r="J5493" s="13" t="n">
        <f aca="false">IFERROR(MIN(Eingaben!$B$18,MAX(0,F5493-I5493)),0)</f>
        <v>0</v>
      </c>
      <c r="K5493" s="13" t="n">
        <f aca="false">H5493+I5493</f>
        <v>0</v>
      </c>
      <c r="L5493" s="13" t="n">
        <f aca="false">MAX(0,D5493-K5493)</f>
        <v>0</v>
      </c>
      <c r="M5493" s="13" t="n">
        <f aca="false">MAX(0,F5493-I5493-J5493)</f>
        <v>0</v>
      </c>
      <c r="N5493" s="13" t="n">
        <f aca="false">IF(Kalender!A369="",0,J5492-H5493)</f>
        <v>0</v>
      </c>
    </row>
    <row r="5494" customFormat="false" ht="16.4" hidden="false" customHeight="false" outlineLevel="0" collapsed="false">
      <c r="A5494" s="13" t="str">
        <f aca="false">""</f>
        <v/>
      </c>
      <c r="B5494" s="13" t="n">
        <f aca="false">366</f>
        <v>366</v>
      </c>
      <c r="C5494" s="13" t="n">
        <f aca="false">IF(Szenarien!$H$25="OK",(IFERROR(SUMIF(Nutzungsprofile!$B$6:$B$11,"Schulbetrieb",Nutzungsprofile!$G$6:$G$11)*Kalender!C370/SUM(Kalender!$C$5:$C$370),0)+IFERROR(SUMIF(Nutzungsprofile!$B$6:$B$11,"Halle",Nutzungsprofile!$G$6:$G$11)*Kalender!D370/SUM(Kalender!$D$5:$D$370),0)+IFERROR(SUMIF(Nutzungsprofile!$B$6:$B$11,"Individuell",Nutzungsprofile!$G$6:$G$11)*Kalender!E370/SUM(Kalender!$E$5:$E$370),0))*Szenarien!$E$25,0)</f>
        <v>0</v>
      </c>
      <c r="D5494" s="13" t="n">
        <f aca="false">IF(Szenarien!$H$25="OK",(IFERROR(SUMIF(Nutzungsprofile!$B$17:$B$22,"Schulbetrieb",Nutzungsprofile!$G$17:$G$22)*Kalender!C370/SUM(Kalender!$C$5:$C$370),0)+IFERROR(SUMIF(Nutzungsprofile!$B$17:$B$22,"Halle",Nutzungsprofile!$G$17:$G$22)*Kalender!D370/SUM(Kalender!$D$5:$D$370),0)+IFERROR(SUMIF(Nutzungsprofile!$B$17:$B$22,"Individuell",Nutzungsprofile!$G$17:$G$22)*Kalender!E370/SUM(Kalender!$E$5:$E$370),0))*Szenarien!$D$25,0)</f>
        <v>0</v>
      </c>
      <c r="E5494" s="13" t="n">
        <f aca="false">IFERROR(MIN(C5494,Eingaben!$B$17)*Eingaben!$B$16,0)</f>
        <v>0</v>
      </c>
      <c r="F5494" s="13" t="n">
        <f aca="false">IFERROR(E5494*Eingaben!$B$15,0)</f>
        <v>0</v>
      </c>
      <c r="G5494" s="13" t="n">
        <f aca="false">IFERROR(IF(Kalender!A370="",0,J5493*(1-Eingaben!$B$20)),0)</f>
        <v>0</v>
      </c>
      <c r="H5494" s="13" t="n">
        <f aca="false">MIN(G5494,D5494)</f>
        <v>0</v>
      </c>
      <c r="I5494" s="13" t="n">
        <f aca="false">IFERROR(MIN(F5494*Eingaben!$B$19,MAX(0,D5494-H5494)),0)</f>
        <v>0</v>
      </c>
      <c r="J5494" s="13" t="n">
        <f aca="false">IFERROR(MIN(Eingaben!$B$18,MAX(0,F5494-I5494)),0)</f>
        <v>0</v>
      </c>
      <c r="K5494" s="13" t="n">
        <f aca="false">H5494+I5494</f>
        <v>0</v>
      </c>
      <c r="L5494" s="13" t="n">
        <f aca="false">MAX(0,D5494-K5494)</f>
        <v>0</v>
      </c>
      <c r="M5494" s="13" t="n">
        <f aca="false">MAX(0,F5494-I5494-J5494)</f>
        <v>0</v>
      </c>
      <c r="N5494" s="13" t="n">
        <f aca="false">IF(Kalender!A370="",0,J5493-H5494)</f>
        <v>0</v>
      </c>
    </row>
  </sheetData>
  <sheetProtection sheet="true" objects="true" sort="false" autoFilter="false"/>
  <mergeCells count="2">
    <mergeCell ref="A1:N1"/>
    <mergeCell ref="A3:N3"/>
  </mergeCells>
  <hyperlinks>
    <hyperlink ref="A2" r:id="rId1" location="'Dashboard'!A1" display="Dashboard"/>
    <hyperlink ref="B2" r:id="rId2" location="'Eingaben'!A1" display="Eingaben"/>
    <hyperlink ref="C2" r:id="rId3" location="'Nutzungsprofile'!A1" display="Profile"/>
    <hyperlink ref="D2" r:id="rId4" location="'Kalender'!A1" display="Kalender"/>
    <hyperlink ref="E2" r:id="rId5" location="'Anleitung'!A1" display="Methodik"/>
  </hyperlinks>
  <printOptions headings="false" gridLines="false" gridLinesSet="true" horizontalCentered="true" verticalCentered="false"/>
  <pageMargins left="0.25" right="0.2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Grauwasserbewertung | wissenschaftlicher Prototyp |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76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0" width="16"/>
  </cols>
  <sheetData>
    <row r="1" customFormat="false" ht="37.5" hidden="false" customHeight="true" outlineLevel="0" collapsed="false">
      <c r="A1" s="1" t="s">
        <v>355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3.75" hidden="false" customHeight="true" outlineLevel="0" collapsed="false">
      <c r="A3" s="3" t="s">
        <v>356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1.5" hidden="false" customHeight="true" outlineLevel="0" collapsed="false">
      <c r="A4" s="11" t="s">
        <v>313</v>
      </c>
      <c r="B4" s="11" t="s">
        <v>31</v>
      </c>
      <c r="C4" s="11" t="s">
        <v>357</v>
      </c>
      <c r="D4" s="11" t="s">
        <v>358</v>
      </c>
      <c r="E4" s="11" t="s">
        <v>359</v>
      </c>
      <c r="F4" s="11" t="s">
        <v>360</v>
      </c>
      <c r="G4" s="11" t="s">
        <v>361</v>
      </c>
      <c r="H4" s="11" t="s">
        <v>228</v>
      </c>
      <c r="I4" s="11" t="s">
        <v>362</v>
      </c>
      <c r="J4" s="11" t="s">
        <v>363</v>
      </c>
      <c r="K4" s="11" t="s">
        <v>364</v>
      </c>
    </row>
    <row r="5" customFormat="false" ht="16.4" hidden="false" customHeight="false" outlineLevel="0" collapsed="false">
      <c r="A5" s="12" t="s">
        <v>326</v>
      </c>
      <c r="B5" s="15" t="n">
        <v>0</v>
      </c>
      <c r="C5" s="13" t="n">
        <f aca="false">0</f>
        <v>0</v>
      </c>
      <c r="D5" s="13" t="n">
        <f aca="false">0</f>
        <v>0</v>
      </c>
      <c r="E5" s="13" t="n">
        <f aca="false">MAX(0,Berechnung!$B$13*Szenarien!$B$8-MIN(Eingaben!$B$31,Berechnung!$B$13*Szenarien!$B$8))</f>
        <v>30000</v>
      </c>
      <c r="F5" s="13" t="n">
        <f aca="false">0</f>
        <v>0</v>
      </c>
      <c r="G5" s="13" t="n">
        <f aca="false">-E5</f>
        <v>-30000</v>
      </c>
      <c r="H5" s="13" t="n">
        <f aca="false">1</f>
        <v>1</v>
      </c>
      <c r="I5" s="13" t="n">
        <f aca="false">G5</f>
        <v>-30000</v>
      </c>
      <c r="J5" s="13" t="n">
        <f aca="false">E5</f>
        <v>30000</v>
      </c>
      <c r="K5" s="13" t="n">
        <f aca="false">0</f>
        <v>0</v>
      </c>
    </row>
    <row r="6" customFormat="false" ht="16.4" hidden="false" customHeight="false" outlineLevel="0" collapsed="false">
      <c r="A6" s="12"/>
      <c r="B6" s="15" t="n">
        <v>1</v>
      </c>
      <c r="C6" s="13" t="n">
        <f aca="false">IFERROR(IF(AND(B6&lt;=Eingaben!$B$11,Szenarien!$H$8="OK"),SUM(Variantenbilanz!K5:K370)*(Eingaben!$B$36*Szenarien!$C$8*(1+Eingaben!$B$40)^(B6-1)+Eingaben!$B$37*Eingaben!$B$38*(1+Eingaben!$B$46)^(B6-1)),0),0)</f>
        <v>1024.53256296</v>
      </c>
      <c r="D6" s="13" t="n">
        <f aca="false">IFERROR(IF(AND(B6&lt;=Eingaben!$B$11,Szenarien!$H$8="OK"),((Eingaben!$B$32+Eingaben!$B$35)*(1+Eingaben!$B$41)^(B6-1)+SUM(Variantenbilanz!E5:E370)*Eingaben!$B$33*Eingaben!$B$34*(1+Eingaben!$B$42)^(B6-1))*Szenarien!$F$8,0),0)</f>
        <v>887.06592</v>
      </c>
      <c r="E6" s="13" t="n">
        <f aca="false">IFERROR(IF(AND(AND(B6&lt;=Eingaben!$B$11,Szenarien!$H$8="OK"),B6=Eingaben!$B$43),Eingaben!$B$44*Szenarien!$B$8*(1+Eingaben!$B$41)^(B6-1),0),0)</f>
        <v>0</v>
      </c>
      <c r="F6" s="13" t="n">
        <f aca="false">IFERROR(IF(AND(AND(B6&lt;=Eingaben!$B$11,Szenarien!$H$8="OK"),B6=Eingaben!$B$11),Eingaben!$B$45*Szenarien!$B$8,0),0)</f>
        <v>0</v>
      </c>
      <c r="G6" s="13" t="n">
        <f aca="false">C6-D6-E6+F6</f>
        <v>137.46664296</v>
      </c>
      <c r="H6" s="13" t="n">
        <f aca="false">IFERROR(IF(AND(B6&lt;=Eingaben!$B$11,Szenarien!$H$8="OK"),1/(1+Eingaben!$B$39+Szenarien!$G$8)^B6,0),0)</f>
        <v>0.961538461538462</v>
      </c>
      <c r="I6" s="13" t="n">
        <f aca="false">G6*H6</f>
        <v>132.179464384615</v>
      </c>
      <c r="J6" s="13" t="n">
        <f aca="false">(D6+E6-F6)*H6</f>
        <v>852.948</v>
      </c>
      <c r="K6" s="13" t="n">
        <f aca="false">IF(AND(B6&lt;=Eingaben!$B$11,Szenarien!$H$8="OK"),SUM(Variantenbilanz!K5:K370)*H6,0)</f>
        <v>437.834428615385</v>
      </c>
    </row>
    <row r="7" customFormat="false" ht="16.4" hidden="false" customHeight="false" outlineLevel="0" collapsed="false">
      <c r="A7" s="12"/>
      <c r="B7" s="15" t="n">
        <v>2</v>
      </c>
      <c r="C7" s="13" t="n">
        <f aca="false">IFERROR(IF(AND(B7&lt;=Eingaben!$B$11,Szenarien!$H$8="OK"),SUM(Variantenbilanz!K5:K370)*(Eingaben!$B$36*Szenarien!$C$8*(1+Eingaben!$B$40)^(B7-1)+Eingaben!$B$37*Eingaben!$B$38*(1+Eingaben!$B$46)^(B7-1)),0),0)</f>
        <v>1045.0232142192</v>
      </c>
      <c r="D7" s="13" t="n">
        <f aca="false">IFERROR(IF(AND(B7&lt;=Eingaben!$B$11,Szenarien!$H$8="OK"),((Eingaben!$B$32+Eingaben!$B$35)*(1+Eingaben!$B$41)^(B7-1)+SUM(Variantenbilanz!E5:E370)*Eingaben!$B$33*Eingaben!$B$34*(1+Eingaben!$B$42)^(B7-1))*Szenarien!$F$8,0),0)</f>
        <v>904.8072384</v>
      </c>
      <c r="E7" s="13" t="n">
        <f aca="false">IFERROR(IF(AND(AND(B7&lt;=Eingaben!$B$11,Szenarien!$H$8="OK"),B7=Eingaben!$B$43),Eingaben!$B$44*Szenarien!$B$8*(1+Eingaben!$B$41)^(B7-1),0),0)</f>
        <v>0</v>
      </c>
      <c r="F7" s="13" t="n">
        <f aca="false">IFERROR(IF(AND(AND(B7&lt;=Eingaben!$B$11,Szenarien!$H$8="OK"),B7=Eingaben!$B$11),Eingaben!$B$45*Szenarien!$B$8,0),0)</f>
        <v>0</v>
      </c>
      <c r="G7" s="13" t="n">
        <f aca="false">C7-D7-E7+F7</f>
        <v>140.2159758192</v>
      </c>
      <c r="H7" s="13" t="n">
        <f aca="false">IFERROR(IF(AND(B7&lt;=Eingaben!$B$11,Szenarien!$H$8="OK"),1/(1+Eingaben!$B$39+Szenarien!$G$8)^B7,0),0)</f>
        <v>0.924556213017751</v>
      </c>
      <c r="I7" s="13" t="n">
        <f aca="false">G7*H7</f>
        <v>129.637551607988</v>
      </c>
      <c r="J7" s="13" t="n">
        <f aca="false">(D7+E7-F7)*H7</f>
        <v>836.545153846154</v>
      </c>
      <c r="K7" s="13" t="n">
        <f aca="false">IF(AND(B7&lt;=Eingaben!$B$11,Szenarien!$H$8="OK"),SUM(Variantenbilanz!K5:K370)*H7,0)</f>
        <v>420.994642899408</v>
      </c>
    </row>
    <row r="8" customFormat="false" ht="16.4" hidden="false" customHeight="false" outlineLevel="0" collapsed="false">
      <c r="A8" s="12"/>
      <c r="B8" s="15" t="n">
        <v>3</v>
      </c>
      <c r="C8" s="13" t="n">
        <f aca="false">IFERROR(IF(AND(B8&lt;=Eingaben!$B$11,Szenarien!$H$8="OK"),SUM(Variantenbilanz!K5:K370)*(Eingaben!$B$36*Szenarien!$C$8*(1+Eingaben!$B$40)^(B8-1)+Eingaben!$B$37*Eingaben!$B$38*(1+Eingaben!$B$46)^(B8-1)),0),0)</f>
        <v>1065.92367850358</v>
      </c>
      <c r="D8" s="13" t="n">
        <f aca="false">IFERROR(IF(AND(B8&lt;=Eingaben!$B$11,Szenarien!$H$8="OK"),((Eingaben!$B$32+Eingaben!$B$35)*(1+Eingaben!$B$41)^(B8-1)+SUM(Variantenbilanz!E5:E370)*Eingaben!$B$33*Eingaben!$B$34*(1+Eingaben!$B$42)^(B8-1))*Szenarien!$F$8,0),0)</f>
        <v>922.903383168</v>
      </c>
      <c r="E8" s="13" t="n">
        <f aca="false">IFERROR(IF(AND(AND(B8&lt;=Eingaben!$B$11,Szenarien!$H$8="OK"),B8=Eingaben!$B$43),Eingaben!$B$44*Szenarien!$B$8*(1+Eingaben!$B$41)^(B8-1),0),0)</f>
        <v>0</v>
      </c>
      <c r="F8" s="13" t="n">
        <f aca="false">IFERROR(IF(AND(AND(B8&lt;=Eingaben!$B$11,Szenarien!$H$8="OK"),B8=Eingaben!$B$11),Eingaben!$B$45*Szenarien!$B$8,0),0)</f>
        <v>0</v>
      </c>
      <c r="G8" s="13" t="n">
        <f aca="false">C8-D8-E8+F8</f>
        <v>143.020295335584</v>
      </c>
      <c r="H8" s="13" t="n">
        <f aca="false">IFERROR(IF(AND(B8&lt;=Eingaben!$B$11,Szenarien!$H$8="OK"),1/(1+Eingaben!$B$39+Szenarien!$G$8)^B8,0),0)</f>
        <v>0.888996358670915</v>
      </c>
      <c r="I8" s="13" t="n">
        <f aca="false">G8*H8</f>
        <v>127.144521769373</v>
      </c>
      <c r="J8" s="13" t="n">
        <f aca="false">(D8+E8-F8)*H8</f>
        <v>820.45774704142</v>
      </c>
      <c r="K8" s="13" t="n">
        <f aca="false">IF(AND(B8&lt;=Eingaben!$B$11,Szenarien!$H$8="OK"),SUM(Variantenbilanz!K5:K370)*H8,0)</f>
        <v>404.802541249431</v>
      </c>
    </row>
    <row r="9" customFormat="false" ht="16.4" hidden="false" customHeight="false" outlineLevel="0" collapsed="false">
      <c r="A9" s="12"/>
      <c r="B9" s="15" t="n">
        <v>4</v>
      </c>
      <c r="C9" s="13" t="n">
        <f aca="false">IFERROR(IF(AND(B9&lt;=Eingaben!$B$11,Szenarien!$H$8="OK"),SUM(Variantenbilanz!K5:K370)*(Eingaben!$B$36*Szenarien!$C$8*(1+Eingaben!$B$40)^(B9-1)+Eingaben!$B$37*Eingaben!$B$38*(1+Eingaben!$B$46)^(B9-1)),0),0)</f>
        <v>1087.24215207366</v>
      </c>
      <c r="D9" s="13" t="n">
        <f aca="false">IFERROR(IF(AND(B9&lt;=Eingaben!$B$11,Szenarien!$H$8="OK"),((Eingaben!$B$32+Eingaben!$B$35)*(1+Eingaben!$B$41)^(B9-1)+SUM(Variantenbilanz!E5:E370)*Eingaben!$B$33*Eingaben!$B$34*(1+Eingaben!$B$42)^(B9-1))*Szenarien!$F$8,0),0)</f>
        <v>941.36145083136</v>
      </c>
      <c r="E9" s="13" t="n">
        <f aca="false">IFERROR(IF(AND(AND(B9&lt;=Eingaben!$B$11,Szenarien!$H$8="OK"),B9=Eingaben!$B$43),Eingaben!$B$44*Szenarien!$B$8*(1+Eingaben!$B$41)^(B9-1),0),0)</f>
        <v>0</v>
      </c>
      <c r="F9" s="13" t="n">
        <f aca="false">IFERROR(IF(AND(AND(B9&lt;=Eingaben!$B$11,Szenarien!$H$8="OK"),B9=Eingaben!$B$11),Eingaben!$B$45*Szenarien!$B$8,0),0)</f>
        <v>0</v>
      </c>
      <c r="G9" s="13" t="n">
        <f aca="false">C9-D9-E9+F9</f>
        <v>145.880701242296</v>
      </c>
      <c r="H9" s="13" t="n">
        <f aca="false">IFERROR(IF(AND(B9&lt;=Eingaben!$B$11,Szenarien!$H$8="OK"),1/(1+Eingaben!$B$39+Szenarien!$G$8)^B9,0),0)</f>
        <v>0.854804191029726</v>
      </c>
      <c r="I9" s="13" t="n">
        <f aca="false">G9*H9</f>
        <v>124.69943481227</v>
      </c>
      <c r="J9" s="13" t="n">
        <f aca="false">(D9+E9-F9)*H9</f>
        <v>804.67971344447</v>
      </c>
      <c r="K9" s="13" t="n">
        <f aca="false">IF(AND(B9&lt;=Eingaben!$B$11,Szenarien!$H$8="OK"),SUM(Variantenbilanz!K5:K370)*H9,0)</f>
        <v>389.233212739837</v>
      </c>
    </row>
    <row r="10" customFormat="false" ht="16.4" hidden="false" customHeight="false" outlineLevel="0" collapsed="false">
      <c r="A10" s="12"/>
      <c r="B10" s="15" t="n">
        <v>5</v>
      </c>
      <c r="C10" s="13" t="n">
        <f aca="false">IFERROR(IF(AND(B10&lt;=Eingaben!$B$11,Szenarien!$H$8="OK"),SUM(Variantenbilanz!K5:K370)*(Eingaben!$B$36*Szenarien!$C$8*(1+Eingaben!$B$40)^(B10-1)+Eingaben!$B$37*Eingaben!$B$38*(1+Eingaben!$B$46)^(B10-1)),0),0)</f>
        <v>1108.98699511513</v>
      </c>
      <c r="D10" s="13" t="n">
        <f aca="false">IFERROR(IF(AND(B10&lt;=Eingaben!$B$11,Szenarien!$H$8="OK"),((Eingaben!$B$32+Eingaben!$B$35)*(1+Eingaben!$B$41)^(B10-1)+SUM(Variantenbilanz!E5:E370)*Eingaben!$B$33*Eingaben!$B$34*(1+Eingaben!$B$42)^(B10-1))*Szenarien!$F$8,0),0)</f>
        <v>960.188679847987</v>
      </c>
      <c r="E10" s="13" t="n">
        <f aca="false">IFERROR(IF(AND(AND(B10&lt;=Eingaben!$B$11,Szenarien!$H$8="OK"),B10=Eingaben!$B$43),Eingaben!$B$44*Szenarien!$B$8*(1+Eingaben!$B$41)^(B10-1),0),0)</f>
        <v>0</v>
      </c>
      <c r="F10" s="13" t="n">
        <f aca="false">IFERROR(IF(AND(AND(B10&lt;=Eingaben!$B$11,Szenarien!$H$8="OK"),B10=Eingaben!$B$11),Eingaben!$B$45*Szenarien!$B$8,0),0)</f>
        <v>0</v>
      </c>
      <c r="G10" s="13" t="n">
        <f aca="false">C10-D10-E10+F10</f>
        <v>148.798315267141</v>
      </c>
      <c r="H10" s="13" t="n">
        <f aca="false">IFERROR(IF(AND(B10&lt;=Eingaben!$B$11,Szenarien!$H$8="OK"),1/(1+Eingaben!$B$39+Szenarien!$G$8)^B10,0),0)</f>
        <v>0.821927106759352</v>
      </c>
      <c r="I10" s="13" t="n">
        <f aca="false">G10*H10</f>
        <v>122.301368758187</v>
      </c>
      <c r="J10" s="13" t="n">
        <f aca="false">(D10+E10-F10)*H10</f>
        <v>789.205103570537</v>
      </c>
      <c r="K10" s="13" t="n">
        <f aca="false">IF(AND(B10&lt;=Eingaben!$B$11,Szenarien!$H$8="OK"),SUM(Variantenbilanz!K5:K370)*H10,0)</f>
        <v>374.262704557536</v>
      </c>
    </row>
    <row r="11" customFormat="false" ht="16.4" hidden="false" customHeight="false" outlineLevel="0" collapsed="false">
      <c r="A11" s="12"/>
      <c r="B11" s="15" t="n">
        <v>6</v>
      </c>
      <c r="C11" s="13" t="n">
        <f aca="false">IFERROR(IF(AND(B11&lt;=Eingaben!$B$11,Szenarien!$H$8="OK"),SUM(Variantenbilanz!K5:K370)*(Eingaben!$B$36*Szenarien!$C$8*(1+Eingaben!$B$40)^(B11-1)+Eingaben!$B$37*Eingaben!$B$38*(1+Eingaben!$B$46)^(B11-1)),0),0)</f>
        <v>1131.16673501743</v>
      </c>
      <c r="D11" s="13" t="n">
        <f aca="false">IFERROR(IF(AND(B11&lt;=Eingaben!$B$11,Szenarien!$H$8="OK"),((Eingaben!$B$32+Eingaben!$B$35)*(1+Eingaben!$B$41)^(B11-1)+SUM(Variantenbilanz!E5:E370)*Eingaben!$B$33*Eingaben!$B$34*(1+Eingaben!$B$42)^(B11-1))*Szenarien!$F$8,0),0)</f>
        <v>979.392453444947</v>
      </c>
      <c r="E11" s="13" t="n">
        <f aca="false">IFERROR(IF(AND(AND(B11&lt;=Eingaben!$B$11,Szenarien!$H$8="OK"),B11=Eingaben!$B$43),Eingaben!$B$44*Szenarien!$B$8*(1+Eingaben!$B$41)^(B11-1),0),0)</f>
        <v>0</v>
      </c>
      <c r="F11" s="13" t="n">
        <f aca="false">IFERROR(IF(AND(AND(B11&lt;=Eingaben!$B$11,Szenarien!$H$8="OK"),B11=Eingaben!$B$11),Eingaben!$B$45*Szenarien!$B$8,0),0)</f>
        <v>0</v>
      </c>
      <c r="G11" s="13" t="n">
        <f aca="false">C11-D11-E11+F11</f>
        <v>151.774281572484</v>
      </c>
      <c r="H11" s="13" t="n">
        <f aca="false">IFERROR(IF(AND(B11&lt;=Eingaben!$B$11,Szenarien!$H$8="OK"),1/(1+Eingaben!$B$39+Szenarien!$G$8)^B11,0),0)</f>
        <v>0.790314525730146</v>
      </c>
      <c r="I11" s="13" t="n">
        <f aca="false">G11*H11</f>
        <v>119.949419358992</v>
      </c>
      <c r="J11" s="13" t="n">
        <f aca="false">(D11+E11-F11)*H11</f>
        <v>774.028082348027</v>
      </c>
      <c r="K11" s="13" t="n">
        <f aca="false">IF(AND(B11&lt;=Eingaben!$B$11,Szenarien!$H$8="OK"),SUM(Variantenbilanz!K5:K370)*H11,0)</f>
        <v>359.867985151477</v>
      </c>
    </row>
    <row r="12" customFormat="false" ht="16.4" hidden="false" customHeight="false" outlineLevel="0" collapsed="false">
      <c r="A12" s="12"/>
      <c r="B12" s="15" t="n">
        <v>7</v>
      </c>
      <c r="C12" s="13" t="n">
        <f aca="false">IFERROR(IF(AND(B12&lt;=Eingaben!$B$11,Szenarien!$H$8="OK"),SUM(Variantenbilanz!K5:K370)*(Eingaben!$B$36*Szenarien!$C$8*(1+Eingaben!$B$40)^(B12-1)+Eingaben!$B$37*Eingaben!$B$38*(1+Eingaben!$B$46)^(B12-1)),0),0)</f>
        <v>1153.79006971778</v>
      </c>
      <c r="D12" s="13" t="n">
        <f aca="false">IFERROR(IF(AND(B12&lt;=Eingaben!$B$11,Szenarien!$H$8="OK"),((Eingaben!$B$32+Eingaben!$B$35)*(1+Eingaben!$B$41)^(B12-1)+SUM(Variantenbilanz!E5:E370)*Eingaben!$B$33*Eingaben!$B$34*(1+Eingaben!$B$42)^(B12-1))*Szenarien!$F$8,0),0)</f>
        <v>998.980302513846</v>
      </c>
      <c r="E12" s="13" t="n">
        <f aca="false">IFERROR(IF(AND(AND(B12&lt;=Eingaben!$B$11,Szenarien!$H$8="OK"),B12=Eingaben!$B$43),Eingaben!$B$44*Szenarien!$B$8*(1+Eingaben!$B$41)^(B12-1),0),0)</f>
        <v>0</v>
      </c>
      <c r="F12" s="13" t="n">
        <f aca="false">IFERROR(IF(AND(AND(B12&lt;=Eingaben!$B$11,Szenarien!$H$8="OK"),B12=Eingaben!$B$11),Eingaben!$B$45*Szenarien!$B$8,0),0)</f>
        <v>0</v>
      </c>
      <c r="G12" s="13" t="n">
        <f aca="false">C12-D12-E12+F12</f>
        <v>154.809767203934</v>
      </c>
      <c r="H12" s="13" t="n">
        <f aca="false">IFERROR(IF(AND(B12&lt;=Eingaben!$B$11,Szenarien!$H$8="OK"),1/(1+Eingaben!$B$39+Szenarien!$G$8)^B12,0),0)</f>
        <v>0.759917813202063</v>
      </c>
      <c r="I12" s="13" t="n">
        <f aca="false">G12*H12</f>
        <v>117.642699755934</v>
      </c>
      <c r="J12" s="13" t="n">
        <f aca="false">(D12+E12-F12)*H12</f>
        <v>759.142926918257</v>
      </c>
      <c r="K12" s="13" t="n">
        <f aca="false">IF(AND(B12&lt;=Eingaben!$B$11,Szenarien!$H$8="OK"),SUM(Variantenbilanz!K5:K370)*H12,0)</f>
        <v>346.026908799497</v>
      </c>
    </row>
    <row r="13" customFormat="false" ht="16.4" hidden="false" customHeight="false" outlineLevel="0" collapsed="false">
      <c r="A13" s="12"/>
      <c r="B13" s="15" t="n">
        <v>8</v>
      </c>
      <c r="C13" s="13" t="n">
        <f aca="false">IFERROR(IF(AND(B13&lt;=Eingaben!$B$11,Szenarien!$H$8="OK"),SUM(Variantenbilanz!K5:K370)*(Eingaben!$B$36*Szenarien!$C$8*(1+Eingaben!$B$40)^(B13-1)+Eingaben!$B$37*Eingaben!$B$38*(1+Eingaben!$B$46)^(B13-1)),0),0)</f>
        <v>1176.86587111214</v>
      </c>
      <c r="D13" s="13" t="n">
        <f aca="false">IFERROR(IF(AND(B13&lt;=Eingaben!$B$11,Szenarien!$H$8="OK"),((Eingaben!$B$32+Eingaben!$B$35)*(1+Eingaben!$B$41)^(B13-1)+SUM(Variantenbilanz!E5:E370)*Eingaben!$B$33*Eingaben!$B$34*(1+Eingaben!$B$42)^(B13-1))*Szenarien!$F$8,0),0)</f>
        <v>1018.95990856412</v>
      </c>
      <c r="E13" s="13" t="n">
        <f aca="false">IFERROR(IF(AND(AND(B13&lt;=Eingaben!$B$11,Szenarien!$H$8="OK"),B13=Eingaben!$B$43),Eingaben!$B$44*Szenarien!$B$8*(1+Eingaben!$B$41)^(B13-1),0),0)</f>
        <v>0</v>
      </c>
      <c r="F13" s="13" t="n">
        <f aca="false">IFERROR(IF(AND(AND(B13&lt;=Eingaben!$B$11,Szenarien!$H$8="OK"),B13=Eingaben!$B$11),Eingaben!$B$45*Szenarien!$B$8,0),0)</f>
        <v>0</v>
      </c>
      <c r="G13" s="13" t="n">
        <f aca="false">C13-D13-E13+F13</f>
        <v>157.905962548013</v>
      </c>
      <c r="H13" s="13" t="n">
        <f aca="false">IFERROR(IF(AND(B13&lt;=Eingaben!$B$11,Szenarien!$H$8="OK"),1/(1+Eingaben!$B$39+Szenarien!$G$8)^B13,0),0)</f>
        <v>0.730690205001984</v>
      </c>
      <c r="I13" s="13" t="n">
        <f aca="false">G13*H13</f>
        <v>115.380340145243</v>
      </c>
      <c r="J13" s="13" t="n">
        <f aca="false">(D13+E13-F13)*H13</f>
        <v>744.544024477522</v>
      </c>
      <c r="K13" s="13" t="n">
        <f aca="false">IF(AND(B13&lt;=Eingaben!$B$11,Szenarien!$H$8="OK"),SUM(Variantenbilanz!K5:K370)*H13,0)</f>
        <v>332.718181537978</v>
      </c>
    </row>
    <row r="14" customFormat="false" ht="16.4" hidden="false" customHeight="false" outlineLevel="0" collapsed="false">
      <c r="A14" s="12"/>
      <c r="B14" s="15" t="n">
        <v>9</v>
      </c>
      <c r="C14" s="13" t="n">
        <f aca="false">IFERROR(IF(AND(B14&lt;=Eingaben!$B$11,Szenarien!$H$8="OK"),SUM(Variantenbilanz!K5:K370)*(Eingaben!$B$36*Szenarien!$C$8*(1+Eingaben!$B$40)^(B14-1)+Eingaben!$B$37*Eingaben!$B$38*(1+Eingaben!$B$46)^(B14-1)),0),0)</f>
        <v>1200.40318853438</v>
      </c>
      <c r="D14" s="13" t="n">
        <f aca="false">IFERROR(IF(AND(B14&lt;=Eingaben!$B$11,Szenarien!$H$8="OK"),((Eingaben!$B$32+Eingaben!$B$35)*(1+Eingaben!$B$41)^(B14-1)+SUM(Variantenbilanz!E5:E370)*Eingaben!$B$33*Eingaben!$B$34*(1+Eingaben!$B$42)^(B14-1))*Szenarien!$F$8,0),0)</f>
        <v>1039.33910673541</v>
      </c>
      <c r="E14" s="13" t="n">
        <f aca="false">IFERROR(IF(AND(AND(B14&lt;=Eingaben!$B$11,Szenarien!$H$8="OK"),B14=Eingaben!$B$43),Eingaben!$B$44*Szenarien!$B$8*(1+Eingaben!$B$41)^(B14-1),0),0)</f>
        <v>0</v>
      </c>
      <c r="F14" s="13" t="n">
        <f aca="false">IFERROR(IF(AND(AND(B14&lt;=Eingaben!$B$11,Szenarien!$H$8="OK"),B14=Eingaben!$B$11),Eingaben!$B$45*Szenarien!$B$8,0),0)</f>
        <v>0</v>
      </c>
      <c r="G14" s="13" t="n">
        <f aca="false">C14-D14-E14+F14</f>
        <v>161.064081798973</v>
      </c>
      <c r="H14" s="13" t="n">
        <f aca="false">IFERROR(IF(AND(B14&lt;=Eingaben!$B$11,Szenarien!$H$8="OK"),1/(1+Eingaben!$B$39+Szenarien!$G$8)^B14,0),0)</f>
        <v>0.702586735578831</v>
      </c>
      <c r="I14" s="13" t="n">
        <f aca="false">G14*H14</f>
        <v>113.161487450142</v>
      </c>
      <c r="J14" s="13" t="n">
        <f aca="false">(D14+E14-F14)*H14</f>
        <v>730.225870160646</v>
      </c>
      <c r="K14" s="13" t="n">
        <f aca="false">IF(AND(B14&lt;=Eingaben!$B$11,Szenarien!$H$8="OK"),SUM(Variantenbilanz!K5:K370)*H14,0)</f>
        <v>319.921328401902</v>
      </c>
    </row>
    <row r="15" customFormat="false" ht="16.4" hidden="false" customHeight="false" outlineLevel="0" collapsed="false">
      <c r="A15" s="12"/>
      <c r="B15" s="15" t="n">
        <v>10</v>
      </c>
      <c r="C15" s="13" t="n">
        <f aca="false">IFERROR(IF(AND(B15&lt;=Eingaben!$B$11,Szenarien!$H$8="OK"),SUM(Variantenbilanz!K5:K370)*(Eingaben!$B$36*Szenarien!$C$8*(1+Eingaben!$B$40)^(B15-1)+Eingaben!$B$37*Eingaben!$B$38*(1+Eingaben!$B$46)^(B15-1)),0),0)</f>
        <v>1224.41125230507</v>
      </c>
      <c r="D15" s="13" t="n">
        <f aca="false">IFERROR(IF(AND(B15&lt;=Eingaben!$B$11,Szenarien!$H$8="OK"),((Eingaben!$B$32+Eingaben!$B$35)*(1+Eingaben!$B$41)^(B15-1)+SUM(Variantenbilanz!E5:E370)*Eingaben!$B$33*Eingaben!$B$34*(1+Eingaben!$B$42)^(B15-1))*Szenarien!$F$8,0),0)</f>
        <v>1060.12588887011</v>
      </c>
      <c r="E15" s="13" t="n">
        <f aca="false">IFERROR(IF(AND(AND(B15&lt;=Eingaben!$B$11,Szenarien!$H$8="OK"),B15=Eingaben!$B$43),Eingaben!$B$44*Szenarien!$B$8*(1+Eingaben!$B$41)^(B15-1),0),0)</f>
        <v>5736.44432938709</v>
      </c>
      <c r="F15" s="13" t="n">
        <f aca="false">IFERROR(IF(AND(AND(B15&lt;=Eingaben!$B$11,Szenarien!$H$8="OK"),B15=Eingaben!$B$11),Eingaben!$B$45*Szenarien!$B$8,0),0)</f>
        <v>0</v>
      </c>
      <c r="G15" s="13" t="n">
        <f aca="false">C15-D15-E15+F15</f>
        <v>-5572.15896595214</v>
      </c>
      <c r="H15" s="13" t="n">
        <f aca="false">IFERROR(IF(AND(B15&lt;=Eingaben!$B$11,Szenarien!$H$8="OK"),1/(1+Eingaben!$B$39+Szenarien!$G$8)^B15,0),0)</f>
        <v>0.675564168825799</v>
      </c>
      <c r="I15" s="13" t="n">
        <f aca="false">G15*H15</f>
        <v>-3764.35094039868</v>
      </c>
      <c r="J15" s="13" t="n">
        <f aca="false">(D15+E15-F15)*H15</f>
        <v>4591.51931036311</v>
      </c>
      <c r="K15" s="13" t="n">
        <f aca="false">IF(AND(B15&lt;=Eingaben!$B$11,Szenarien!$H$8="OK"),SUM(Variantenbilanz!K5:K370)*H15,0)</f>
        <v>307.616661924906</v>
      </c>
    </row>
    <row r="16" customFormat="false" ht="16.4" hidden="false" customHeight="false" outlineLevel="0" collapsed="false">
      <c r="A16" s="12"/>
      <c r="B16" s="15" t="n">
        <v>11</v>
      </c>
      <c r="C16" s="13" t="n">
        <f aca="false">IFERROR(IF(AND(B16&lt;=Eingaben!$B$11,Szenarien!$H$8="OK"),SUM(Variantenbilanz!K5:K370)*(Eingaben!$B$36*Szenarien!$C$8*(1+Eingaben!$B$40)^(B16-1)+Eingaben!$B$37*Eingaben!$B$38*(1+Eingaben!$B$46)^(B16-1)),0),0)</f>
        <v>1248.89947735117</v>
      </c>
      <c r="D16" s="13" t="n">
        <f aca="false">IFERROR(IF(AND(B16&lt;=Eingaben!$B$11,Szenarien!$H$8="OK"),((Eingaben!$B$32+Eingaben!$B$35)*(1+Eingaben!$B$41)^(B16-1)+SUM(Variantenbilanz!E5:E370)*Eingaben!$B$33*Eingaben!$B$34*(1+Eingaben!$B$42)^(B16-1))*Szenarien!$F$8,0),0)</f>
        <v>1081.32840664752</v>
      </c>
      <c r="E16" s="13" t="n">
        <f aca="false">IFERROR(IF(AND(AND(B16&lt;=Eingaben!$B$11,Szenarien!$H$8="OK"),B16=Eingaben!$B$43),Eingaben!$B$44*Szenarien!$B$8*(1+Eingaben!$B$41)^(B16-1),0),0)</f>
        <v>0</v>
      </c>
      <c r="F16" s="13" t="n">
        <f aca="false">IFERROR(IF(AND(AND(B16&lt;=Eingaben!$B$11,Szenarien!$H$8="OK"),B16=Eingaben!$B$11),Eingaben!$B$45*Szenarien!$B$8,0),0)</f>
        <v>0</v>
      </c>
      <c r="G16" s="13" t="n">
        <f aca="false">C16-D16-E16+F16</f>
        <v>167.571070703652</v>
      </c>
      <c r="H16" s="13" t="n">
        <f aca="false">IFERROR(IF(AND(B16&lt;=Eingaben!$B$11,Szenarien!$H$8="OK"),1/(1+Eingaben!$B$39+Szenarien!$G$8)^B16,0),0)</f>
        <v>0.649580931563268</v>
      </c>
      <c r="I16" s="13" t="n">
        <f aca="false">G16*H16</f>
        <v>108.850972210732</v>
      </c>
      <c r="J16" s="13" t="n">
        <f aca="false">(D16+E16-F16)*H16</f>
        <v>702.410313715918</v>
      </c>
      <c r="K16" s="13" t="n">
        <f aca="false">IF(AND(B16&lt;=Eingaben!$B$11,Szenarien!$H$8="OK"),SUM(Variantenbilanz!K5:K370)*H16,0)</f>
        <v>295.785251850871</v>
      </c>
    </row>
    <row r="17" customFormat="false" ht="16.4" hidden="false" customHeight="false" outlineLevel="0" collapsed="false">
      <c r="A17" s="12"/>
      <c r="B17" s="15" t="n">
        <v>12</v>
      </c>
      <c r="C17" s="13" t="n">
        <f aca="false">IFERROR(IF(AND(B17&lt;=Eingaben!$B$11,Szenarien!$H$8="OK"),SUM(Variantenbilanz!K5:K370)*(Eingaben!$B$36*Szenarien!$C$8*(1+Eingaben!$B$40)^(B17-1)+Eingaben!$B$37*Eingaben!$B$38*(1+Eingaben!$B$46)^(B17-1)),0),0)</f>
        <v>1273.87746689819</v>
      </c>
      <c r="D17" s="13" t="n">
        <f aca="false">IFERROR(IF(AND(B17&lt;=Eingaben!$B$11,Szenarien!$H$8="OK"),((Eingaben!$B$32+Eingaben!$B$35)*(1+Eingaben!$B$41)^(B17-1)+SUM(Variantenbilanz!E5:E370)*Eingaben!$B$33*Eingaben!$B$34*(1+Eingaben!$B$42)^(B17-1))*Szenarien!$F$8,0),0)</f>
        <v>1102.95497478047</v>
      </c>
      <c r="E17" s="13" t="n">
        <f aca="false">IFERROR(IF(AND(AND(B17&lt;=Eingaben!$B$11,Szenarien!$H$8="OK"),B17=Eingaben!$B$43),Eingaben!$B$44*Szenarien!$B$8*(1+Eingaben!$B$41)^(B17-1),0),0)</f>
        <v>0</v>
      </c>
      <c r="F17" s="13" t="n">
        <f aca="false">IFERROR(IF(AND(AND(B17&lt;=Eingaben!$B$11,Szenarien!$H$8="OK"),B17=Eingaben!$B$11),Eingaben!$B$45*Szenarien!$B$8,0),0)</f>
        <v>0</v>
      </c>
      <c r="G17" s="13" t="n">
        <f aca="false">C17-D17-E17+F17</f>
        <v>170.922492117725</v>
      </c>
      <c r="H17" s="13" t="n">
        <f aca="false">IFERROR(IF(AND(B17&lt;=Eingaben!$B$11,Szenarien!$H$8="OK"),1/(1+Eingaben!$B$39+Szenarien!$G$8)^B17,0),0)</f>
        <v>0.624597049580065</v>
      </c>
      <c r="I17" s="13" t="n">
        <f aca="false">G17*H17</f>
        <v>106.757684283603</v>
      </c>
      <c r="J17" s="13" t="n">
        <f aca="false">(D17+E17-F17)*H17</f>
        <v>688.902423067534</v>
      </c>
      <c r="K17" s="13" t="n">
        <f aca="false">IF(AND(B17&lt;=Eingaben!$B$11,Szenarien!$H$8="OK"),SUM(Variantenbilanz!K5:K370)*H17,0)</f>
        <v>284.408896010453</v>
      </c>
    </row>
    <row r="18" customFormat="false" ht="16.4" hidden="false" customHeight="false" outlineLevel="0" collapsed="false">
      <c r="A18" s="12"/>
      <c r="B18" s="15" t="n">
        <v>13</v>
      </c>
      <c r="C18" s="13" t="n">
        <f aca="false">IFERROR(IF(AND(B18&lt;=Eingaben!$B$11,Szenarien!$H$8="OK"),SUM(Variantenbilanz!K5:K370)*(Eingaben!$B$36*Szenarien!$C$8*(1+Eingaben!$B$40)^(B18-1)+Eingaben!$B$37*Eingaben!$B$38*(1+Eingaben!$B$46)^(B18-1)),0),0)</f>
        <v>1299.35501623615</v>
      </c>
      <c r="D18" s="13" t="n">
        <f aca="false">IFERROR(IF(AND(B18&lt;=Eingaben!$B$11,Szenarien!$H$8="OK"),((Eingaben!$B$32+Eingaben!$B$35)*(1+Eingaben!$B$41)^(B18-1)+SUM(Variantenbilanz!E5:E370)*Eingaben!$B$33*Eingaben!$B$34*(1+Eingaben!$B$42)^(B18-1))*Szenarien!$F$8,0),0)</f>
        <v>1125.01407427608</v>
      </c>
      <c r="E18" s="13" t="n">
        <f aca="false">IFERROR(IF(AND(AND(B18&lt;=Eingaben!$B$11,Szenarien!$H$8="OK"),B18=Eingaben!$B$43),Eingaben!$B$44*Szenarien!$B$8*(1+Eingaben!$B$41)^(B18-1),0),0)</f>
        <v>0</v>
      </c>
      <c r="F18" s="13" t="n">
        <f aca="false">IFERROR(IF(AND(AND(B18&lt;=Eingaben!$B$11,Szenarien!$H$8="OK"),B18=Eingaben!$B$11),Eingaben!$B$45*Szenarien!$B$8,0),0)</f>
        <v>0</v>
      </c>
      <c r="G18" s="13" t="n">
        <f aca="false">C18-D18-E18+F18</f>
        <v>174.340941960079</v>
      </c>
      <c r="H18" s="13" t="n">
        <f aca="false">IFERROR(IF(AND(B18&lt;=Eingaben!$B$11,Szenarien!$H$8="OK"),1/(1+Eingaben!$B$39+Szenarien!$G$8)^B18,0),0)</f>
        <v>0.600574086134678</v>
      </c>
      <c r="I18" s="13" t="n">
        <f aca="false">G18*H18</f>
        <v>104.704651893533</v>
      </c>
      <c r="J18" s="13" t="n">
        <f aca="false">(D18+E18-F18)*H18</f>
        <v>675.654299547005</v>
      </c>
      <c r="K18" s="13" t="n">
        <f aca="false">IF(AND(B18&lt;=Eingaben!$B$11,Szenarien!$H$8="OK"),SUM(Variantenbilanz!K5:K370)*H18,0)</f>
        <v>273.470092317743</v>
      </c>
    </row>
    <row r="19" customFormat="false" ht="16.4" hidden="false" customHeight="false" outlineLevel="0" collapsed="false">
      <c r="A19" s="12"/>
      <c r="B19" s="15" t="n">
        <v>14</v>
      </c>
      <c r="C19" s="13" t="n">
        <f aca="false">IFERROR(IF(AND(B19&lt;=Eingaben!$B$11,Szenarien!$H$8="OK"),SUM(Variantenbilanz!K5:K370)*(Eingaben!$B$36*Szenarien!$C$8*(1+Eingaben!$B$40)^(B19-1)+Eingaben!$B$37*Eingaben!$B$38*(1+Eingaben!$B$46)^(B19-1)),0),0)</f>
        <v>1325.34211656088</v>
      </c>
      <c r="D19" s="13" t="n">
        <f aca="false">IFERROR(IF(AND(B19&lt;=Eingaben!$B$11,Szenarien!$H$8="OK"),((Eingaben!$B$32+Eingaben!$B$35)*(1+Eingaben!$B$41)^(B19-1)+SUM(Variantenbilanz!E5:E370)*Eingaben!$B$33*Eingaben!$B$34*(1+Eingaben!$B$42)^(B19-1))*Szenarien!$F$8,0),0)</f>
        <v>1147.5143557616</v>
      </c>
      <c r="E19" s="13" t="n">
        <f aca="false">IFERROR(IF(AND(AND(B19&lt;=Eingaben!$B$11,Szenarien!$H$8="OK"),B19=Eingaben!$B$43),Eingaben!$B$44*Szenarien!$B$8*(1+Eingaben!$B$41)^(B19-1),0),0)</f>
        <v>0</v>
      </c>
      <c r="F19" s="13" t="n">
        <f aca="false">IFERROR(IF(AND(AND(B19&lt;=Eingaben!$B$11,Szenarien!$H$8="OK"),B19=Eingaben!$B$11),Eingaben!$B$45*Szenarien!$B$8,0),0)</f>
        <v>0</v>
      </c>
      <c r="G19" s="13" t="n">
        <f aca="false">C19-D19-E19+F19</f>
        <v>177.827760799281</v>
      </c>
      <c r="H19" s="13" t="n">
        <f aca="false">IFERROR(IF(AND(B19&lt;=Eingaben!$B$11,Szenarien!$H$8="OK"),1/(1+Eingaben!$B$39+Szenarien!$G$8)^B19,0),0)</f>
        <v>0.577475082821806</v>
      </c>
      <c r="I19" s="13" t="n">
        <f aca="false">G19*H19</f>
        <v>102.691100895581</v>
      </c>
      <c r="J19" s="13" t="n">
        <f aca="false">(D19+E19-F19)*H19</f>
        <v>662.660947632639</v>
      </c>
      <c r="K19" s="13" t="n">
        <f aca="false">IF(AND(B19&lt;=Eingaben!$B$11,Szenarien!$H$8="OK"),SUM(Variantenbilanz!K5:K370)*H19,0)</f>
        <v>262.952011843984</v>
      </c>
    </row>
    <row r="20" customFormat="false" ht="16.4" hidden="false" customHeight="false" outlineLevel="0" collapsed="false">
      <c r="A20" s="12"/>
      <c r="B20" s="15" t="n">
        <v>15</v>
      </c>
      <c r="C20" s="13" t="n">
        <f aca="false">IFERROR(IF(AND(B20&lt;=Eingaben!$B$11,Szenarien!$H$8="OK"),SUM(Variantenbilanz!K5:K370)*(Eingaben!$B$36*Szenarien!$C$8*(1+Eingaben!$B$40)^(B20-1)+Eingaben!$B$37*Eingaben!$B$38*(1+Eingaben!$B$46)^(B20-1)),0),0)</f>
        <v>1351.8489588921</v>
      </c>
      <c r="D20" s="13" t="n">
        <f aca="false">IFERROR(IF(AND(B20&lt;=Eingaben!$B$11,Szenarien!$H$8="OK"),((Eingaben!$B$32+Eingaben!$B$35)*(1+Eingaben!$B$41)^(B20-1)+SUM(Variantenbilanz!E5:E370)*Eingaben!$B$33*Eingaben!$B$34*(1+Eingaben!$B$42)^(B20-1))*Szenarien!$F$8,0),0)</f>
        <v>1170.46464287683</v>
      </c>
      <c r="E20" s="13" t="n">
        <f aca="false">IFERROR(IF(AND(AND(B20&lt;=Eingaben!$B$11,Szenarien!$H$8="OK"),B20=Eingaben!$B$43),Eingaben!$B$44*Szenarien!$B$8*(1+Eingaben!$B$41)^(B20-1),0),0)</f>
        <v>0</v>
      </c>
      <c r="F20" s="13" t="n">
        <f aca="false">IFERROR(IF(AND(AND(B20&lt;=Eingaben!$B$11,Szenarien!$H$8="OK"),B20=Eingaben!$B$11),Eingaben!$B$45*Szenarien!$B$8,0),0)</f>
        <v>0</v>
      </c>
      <c r="G20" s="13" t="n">
        <f aca="false">C20-D20-E20+F20</f>
        <v>181.384316015266</v>
      </c>
      <c r="H20" s="13" t="n">
        <f aca="false">IFERROR(IF(AND(B20&lt;=Eingaben!$B$11,Szenarien!$H$8="OK"),1/(1+Eingaben!$B$39+Szenarien!$G$8)^B20,0),0)</f>
        <v>0.555264502713275</v>
      </c>
      <c r="I20" s="13" t="n">
        <f aca="false">G20*H20</f>
        <v>100.716272032204</v>
      </c>
      <c r="J20" s="13" t="n">
        <f aca="false">(D20+E20-F20)*H20</f>
        <v>649.917467870473</v>
      </c>
      <c r="K20" s="13" t="n">
        <f aca="false">IF(AND(B20&lt;=Eingaben!$B$11,Szenarien!$H$8="OK"),SUM(Variantenbilanz!K5:K370)*H20,0)</f>
        <v>252.838472926907</v>
      </c>
    </row>
    <row r="21" customFormat="false" ht="16.4" hidden="false" customHeight="false" outlineLevel="0" collapsed="false">
      <c r="A21" s="12"/>
      <c r="B21" s="15" t="n">
        <v>16</v>
      </c>
      <c r="C21" s="13" t="n">
        <f aca="false">IFERROR(IF(AND(B21&lt;=Eingaben!$B$11,Szenarien!$H$8="OK"),SUM(Variantenbilanz!K5:K370)*(Eingaben!$B$36*Szenarien!$C$8*(1+Eingaben!$B$40)^(B21-1)+Eingaben!$B$37*Eingaben!$B$38*(1+Eingaben!$B$46)^(B21-1)),0),0)</f>
        <v>1378.88593806994</v>
      </c>
      <c r="D21" s="13" t="n">
        <f aca="false">IFERROR(IF(AND(B21&lt;=Eingaben!$B$11,Szenarien!$H$8="OK"),((Eingaben!$B$32+Eingaben!$B$35)*(1+Eingaben!$B$41)^(B21-1)+SUM(Variantenbilanz!E5:E370)*Eingaben!$B$33*Eingaben!$B$34*(1+Eingaben!$B$42)^(B21-1))*Szenarien!$F$8,0),0)</f>
        <v>1193.87393573437</v>
      </c>
      <c r="E21" s="13" t="n">
        <f aca="false">IFERROR(IF(AND(AND(B21&lt;=Eingaben!$B$11,Szenarien!$H$8="OK"),B21=Eingaben!$B$43),Eingaben!$B$44*Szenarien!$B$8*(1+Eingaben!$B$41)^(B21-1),0),0)</f>
        <v>0</v>
      </c>
      <c r="F21" s="13" t="n">
        <f aca="false">IFERROR(IF(AND(AND(B21&lt;=Eingaben!$B$11,Szenarien!$H$8="OK"),B21=Eingaben!$B$11),Eingaben!$B$45*Szenarien!$B$8,0),0)</f>
        <v>0</v>
      </c>
      <c r="G21" s="13" t="n">
        <f aca="false">C21-D21-E21+F21</f>
        <v>185.012002335572</v>
      </c>
      <c r="H21" s="13" t="n">
        <f aca="false">IFERROR(IF(AND(B21&lt;=Eingaben!$B$11,Szenarien!$H$8="OK"),1/(1+Eingaben!$B$39+Szenarien!$G$8)^B21,0),0)</f>
        <v>0.533908175685841</v>
      </c>
      <c r="I21" s="13" t="n">
        <f aca="false">G21*H21</f>
        <v>98.7794206469698</v>
      </c>
      <c r="J21" s="13" t="n">
        <f aca="false">(D21+E21-F21)*H21</f>
        <v>637.41905502681</v>
      </c>
      <c r="K21" s="13" t="n">
        <f aca="false">IF(AND(B21&lt;=Eingaben!$B$11,Szenarien!$H$8="OK"),SUM(Variantenbilanz!K5:K370)*H21,0)</f>
        <v>243.113916275872</v>
      </c>
    </row>
    <row r="22" customFormat="false" ht="16.4" hidden="false" customHeight="false" outlineLevel="0" collapsed="false">
      <c r="A22" s="12"/>
      <c r="B22" s="15" t="n">
        <v>17</v>
      </c>
      <c r="C22" s="13" t="n">
        <f aca="false">IFERROR(IF(AND(B22&lt;=Eingaben!$B$11,Szenarien!$H$8="OK"),SUM(Variantenbilanz!K5:K370)*(Eingaben!$B$36*Szenarien!$C$8*(1+Eingaben!$B$40)^(B22-1)+Eingaben!$B$37*Eingaben!$B$38*(1+Eingaben!$B$46)^(B22-1)),0),0)</f>
        <v>1406.46365683134</v>
      </c>
      <c r="D22" s="13" t="n">
        <f aca="false">IFERROR(IF(AND(B22&lt;=Eingaben!$B$11,Szenarien!$H$8="OK"),((Eingaben!$B$32+Eingaben!$B$35)*(1+Eingaben!$B$41)^(B22-1)+SUM(Variantenbilanz!E5:E370)*Eingaben!$B$33*Eingaben!$B$34*(1+Eingaben!$B$42)^(B22-1))*Szenarien!$F$8,0),0)</f>
        <v>1217.75141444905</v>
      </c>
      <c r="E22" s="13" t="n">
        <f aca="false">IFERROR(IF(AND(AND(B22&lt;=Eingaben!$B$11,Szenarien!$H$8="OK"),B22=Eingaben!$B$43),Eingaben!$B$44*Szenarien!$B$8*(1+Eingaben!$B$41)^(B22-1),0),0)</f>
        <v>0</v>
      </c>
      <c r="F22" s="13" t="n">
        <f aca="false">IFERROR(IF(AND(AND(B22&lt;=Eingaben!$B$11,Szenarien!$H$8="OK"),B22=Eingaben!$B$11),Eingaben!$B$45*Szenarien!$B$8,0),0)</f>
        <v>0</v>
      </c>
      <c r="G22" s="13" t="n">
        <f aca="false">C22-D22-E22+F22</f>
        <v>188.712242382283</v>
      </c>
      <c r="H22" s="13" t="n">
        <f aca="false">IFERROR(IF(AND(B22&lt;=Eingaben!$B$11,Szenarien!$H$8="OK"),1/(1+Eingaben!$B$39+Szenarien!$G$8)^B22,0),0)</f>
        <v>0.51337324585177</v>
      </c>
      <c r="I22" s="13" t="n">
        <f aca="false">G22*H22</f>
        <v>96.8798164037586</v>
      </c>
      <c r="J22" s="13" t="n">
        <f aca="false">(D22+E22-F22)*H22</f>
        <v>625.160996276295</v>
      </c>
      <c r="K22" s="13" t="n">
        <f aca="false">IF(AND(B22&lt;=Eingaben!$B$11,Szenarien!$H$8="OK"),SUM(Variantenbilanz!K5:K370)*H22,0)</f>
        <v>233.763381034493</v>
      </c>
    </row>
    <row r="23" customFormat="false" ht="16.4" hidden="false" customHeight="false" outlineLevel="0" collapsed="false">
      <c r="A23" s="12"/>
      <c r="B23" s="15" t="n">
        <v>18</v>
      </c>
      <c r="C23" s="13" t="n">
        <f aca="false">IFERROR(IF(AND(B23&lt;=Eingaben!$B$11,Szenarien!$H$8="OK"),SUM(Variantenbilanz!K5:K370)*(Eingaben!$B$36*Szenarien!$C$8*(1+Eingaben!$B$40)^(B23-1)+Eingaben!$B$37*Eingaben!$B$38*(1+Eingaben!$B$46)^(B23-1)),0),0)</f>
        <v>1434.59292996796</v>
      </c>
      <c r="D23" s="13" t="n">
        <f aca="false">IFERROR(IF(AND(B23&lt;=Eingaben!$B$11,Szenarien!$H$8="OK"),((Eingaben!$B$32+Eingaben!$B$35)*(1+Eingaben!$B$41)^(B23-1)+SUM(Variantenbilanz!E5:E370)*Eingaben!$B$33*Eingaben!$B$34*(1+Eingaben!$B$42)^(B23-1))*Szenarien!$F$8,0),0)</f>
        <v>1242.10644273803</v>
      </c>
      <c r="E23" s="13" t="n">
        <f aca="false">IFERROR(IF(AND(AND(B23&lt;=Eingaben!$B$11,Szenarien!$H$8="OK"),B23=Eingaben!$B$43),Eingaben!$B$44*Szenarien!$B$8*(1+Eingaben!$B$41)^(B23-1),0),0)</f>
        <v>0</v>
      </c>
      <c r="F23" s="13" t="n">
        <f aca="false">IFERROR(IF(AND(AND(B23&lt;=Eingaben!$B$11,Szenarien!$H$8="OK"),B23=Eingaben!$B$11),Eingaben!$B$45*Szenarien!$B$8,0),0)</f>
        <v>0</v>
      </c>
      <c r="G23" s="13" t="n">
        <f aca="false">C23-D23-E23+F23</f>
        <v>192.486487229929</v>
      </c>
      <c r="H23" s="13" t="n">
        <f aca="false">IFERROR(IF(AND(B23&lt;=Eingaben!$B$11,Szenarien!$H$8="OK"),1/(1+Eingaben!$B$39+Szenarien!$G$8)^B23,0),0)</f>
        <v>0.493628121011318</v>
      </c>
      <c r="I23" s="13" t="n">
        <f aca="false">G23*H23</f>
        <v>95.0167430113786</v>
      </c>
      <c r="J23" s="13" t="n">
        <f aca="false">(D23+E23-F23)*H23</f>
        <v>613.138669424828</v>
      </c>
      <c r="K23" s="13" t="n">
        <f aca="false">IF(AND(B23&lt;=Eingaben!$B$11,Szenarien!$H$8="OK"),SUM(Variantenbilanz!K5:K370)*H23,0)</f>
        <v>224.772481763935</v>
      </c>
    </row>
    <row r="24" customFormat="false" ht="16.4" hidden="false" customHeight="false" outlineLevel="0" collapsed="false">
      <c r="A24" s="12"/>
      <c r="B24" s="15" t="n">
        <v>19</v>
      </c>
      <c r="C24" s="13" t="n">
        <f aca="false">IFERROR(IF(AND(B24&lt;=Eingaben!$B$11,Szenarien!$H$8="OK"),SUM(Variantenbilanz!K5:K370)*(Eingaben!$B$36*Szenarien!$C$8*(1+Eingaben!$B$40)^(B24-1)+Eingaben!$B$37*Eingaben!$B$38*(1+Eingaben!$B$46)^(B24-1)),0),0)</f>
        <v>1463.28478856732</v>
      </c>
      <c r="D24" s="13" t="n">
        <f aca="false">IFERROR(IF(AND(B24&lt;=Eingaben!$B$11,Szenarien!$H$8="OK"),((Eingaben!$B$32+Eingaben!$B$35)*(1+Eingaben!$B$41)^(B24-1)+SUM(Variantenbilanz!E5:E370)*Eingaben!$B$33*Eingaben!$B$34*(1+Eingaben!$B$42)^(B24-1))*Szenarien!$F$8,0),0)</f>
        <v>1266.94857159279</v>
      </c>
      <c r="E24" s="13" t="n">
        <f aca="false">IFERROR(IF(AND(AND(B24&lt;=Eingaben!$B$11,Szenarien!$H$8="OK"),B24=Eingaben!$B$43),Eingaben!$B$44*Szenarien!$B$8*(1+Eingaben!$B$41)^(B24-1),0),0)</f>
        <v>0</v>
      </c>
      <c r="F24" s="13" t="n">
        <f aca="false">IFERROR(IF(AND(AND(B24&lt;=Eingaben!$B$11,Szenarien!$H$8="OK"),B24=Eingaben!$B$11),Eingaben!$B$45*Szenarien!$B$8,0),0)</f>
        <v>0</v>
      </c>
      <c r="G24" s="13" t="n">
        <f aca="false">C24-D24-E24+F24</f>
        <v>196.336216974527</v>
      </c>
      <c r="H24" s="13" t="n">
        <f aca="false">IFERROR(IF(AND(B24&lt;=Eingaben!$B$11,Szenarien!$H$8="OK"),1/(1+Eingaben!$B$39+Szenarien!$G$8)^B24,0),0)</f>
        <v>0.474642424049344</v>
      </c>
      <c r="I24" s="13" t="n">
        <f aca="false">G24*H24</f>
        <v>93.1894979534676</v>
      </c>
      <c r="J24" s="13" t="n">
        <f aca="false">(D24+E24-F24)*H24</f>
        <v>601.347541166658</v>
      </c>
      <c r="K24" s="13" t="n">
        <f aca="false">IF(AND(B24&lt;=Eingaben!$B$11,Szenarien!$H$8="OK"),SUM(Variantenbilanz!K5:K370)*H24,0)</f>
        <v>216.127386311476</v>
      </c>
    </row>
    <row r="25" customFormat="false" ht="16.4" hidden="false" customHeight="false" outlineLevel="0" collapsed="false">
      <c r="A25" s="12"/>
      <c r="B25" s="15" t="n">
        <v>20</v>
      </c>
      <c r="C25" s="13" t="n">
        <f aca="false">IFERROR(IF(AND(B25&lt;=Eingaben!$B$11,Szenarien!$H$8="OK"),SUM(Variantenbilanz!K5:K370)*(Eingaben!$B$36*Szenarien!$C$8*(1+Eingaben!$B$40)^(B25-1)+Eingaben!$B$37*Eingaben!$B$38*(1+Eingaben!$B$46)^(B25-1)),0),0)</f>
        <v>1492.55048433867</v>
      </c>
      <c r="D25" s="13" t="n">
        <f aca="false">IFERROR(IF(AND(B25&lt;=Eingaben!$B$11,Szenarien!$H$8="OK"),((Eingaben!$B$32+Eingaben!$B$35)*(1+Eingaben!$B$41)^(B25-1)+SUM(Variantenbilanz!E5:E370)*Eingaben!$B$33*Eingaben!$B$34*(1+Eingaben!$B$42)^(B25-1))*Szenarien!$F$8,0),0)</f>
        <v>1292.28754302465</v>
      </c>
      <c r="E25" s="13" t="n">
        <f aca="false">IFERROR(IF(AND(AND(B25&lt;=Eingaben!$B$11,Szenarien!$H$8="OK"),B25=Eingaben!$B$43),Eingaben!$B$44*Szenarien!$B$8*(1+Eingaben!$B$41)^(B25-1),0),0)</f>
        <v>0</v>
      </c>
      <c r="F25" s="13" t="n">
        <f aca="false">IFERROR(IF(AND(AND(B25&lt;=Eingaben!$B$11,Szenarien!$H$8="OK"),B25=Eingaben!$B$11),Eingaben!$B$45*Szenarien!$B$8,0),0)</f>
        <v>0</v>
      </c>
      <c r="G25" s="13" t="n">
        <f aca="false">C25-D25-E25+F25</f>
        <v>200.262941314018</v>
      </c>
      <c r="H25" s="13" t="n">
        <f aca="false">IFERROR(IF(AND(B25&lt;=Eingaben!$B$11,Szenarien!$H$8="OK"),1/(1+Eingaben!$B$39+Szenarien!$G$8)^B25,0),0)</f>
        <v>0.456386946201292</v>
      </c>
      <c r="I25" s="13" t="n">
        <f aca="false">G25*H25</f>
        <v>91.3973922235931</v>
      </c>
      <c r="J25" s="13" t="n">
        <f aca="false">(D25+E25-F25)*H25</f>
        <v>589.783165374991</v>
      </c>
      <c r="K25" s="13" t="n">
        <f aca="false">IF(AND(B25&lt;=Eingaben!$B$11,Szenarien!$H$8="OK"),SUM(Variantenbilanz!K5:K370)*H25,0)</f>
        <v>207.814794530266</v>
      </c>
    </row>
    <row r="26" customFormat="false" ht="16.4" hidden="false" customHeight="false" outlineLevel="0" collapsed="false">
      <c r="A26" s="12"/>
      <c r="B26" s="15" t="n">
        <v>21</v>
      </c>
      <c r="C26" s="13" t="n">
        <f aca="false">IFERROR(IF(AND(B26&lt;=Eingaben!$B$11,Szenarien!$H$8="OK"),SUM(Variantenbilanz!K5:K370)*(Eingaben!$B$36*Szenarien!$C$8*(1+Eingaben!$B$40)^(B26-1)+Eingaben!$B$37*Eingaben!$B$38*(1+Eingaben!$B$46)^(B26-1)),0),0)</f>
        <v>0</v>
      </c>
      <c r="D26" s="13" t="n">
        <f aca="false">IFERROR(IF(AND(B26&lt;=Eingaben!$B$11,Szenarien!$H$8="OK"),((Eingaben!$B$32+Eingaben!$B$35)*(1+Eingaben!$B$41)^(B26-1)+SUM(Variantenbilanz!E5:E370)*Eingaben!$B$33*Eingaben!$B$34*(1+Eingaben!$B$42)^(B26-1))*Szenarien!$F$8,0),0)</f>
        <v>0</v>
      </c>
      <c r="E26" s="13" t="n">
        <f aca="false">IFERROR(IF(AND(AND(B26&lt;=Eingaben!$B$11,Szenarien!$H$8="OK"),B26=Eingaben!$B$43),Eingaben!$B$44*Szenarien!$B$8*(1+Eingaben!$B$41)^(B26-1),0),0)</f>
        <v>0</v>
      </c>
      <c r="F26" s="13" t="n">
        <f aca="false">IFERROR(IF(AND(AND(B26&lt;=Eingaben!$B$11,Szenarien!$H$8="OK"),B26=Eingaben!$B$11),Eingaben!$B$45*Szenarien!$B$8,0),0)</f>
        <v>0</v>
      </c>
      <c r="G26" s="13" t="n">
        <f aca="false">C26-D26-E26+F26</f>
        <v>0</v>
      </c>
      <c r="H26" s="13" t="n">
        <f aca="false">IFERROR(IF(AND(B26&lt;=Eingaben!$B$11,Szenarien!$H$8="OK"),1/(1+Eingaben!$B$39+Szenarien!$G$8)^B26,0),0)</f>
        <v>0</v>
      </c>
      <c r="I26" s="13" t="n">
        <f aca="false">G26*H26</f>
        <v>0</v>
      </c>
      <c r="J26" s="13" t="n">
        <f aca="false">(D26+E26-F26)*H26</f>
        <v>0</v>
      </c>
      <c r="K26" s="13" t="n">
        <f aca="false">IF(AND(B26&lt;=Eingaben!$B$11,Szenarien!$H$8="OK"),SUM(Variantenbilanz!K5:K370)*H26,0)</f>
        <v>0</v>
      </c>
    </row>
    <row r="27" customFormat="false" ht="16.4" hidden="false" customHeight="false" outlineLevel="0" collapsed="false">
      <c r="A27" s="12"/>
      <c r="B27" s="15" t="n">
        <v>22</v>
      </c>
      <c r="C27" s="13" t="n">
        <f aca="false">IFERROR(IF(AND(B27&lt;=Eingaben!$B$11,Szenarien!$H$8="OK"),SUM(Variantenbilanz!K5:K370)*(Eingaben!$B$36*Szenarien!$C$8*(1+Eingaben!$B$40)^(B27-1)+Eingaben!$B$37*Eingaben!$B$38*(1+Eingaben!$B$46)^(B27-1)),0),0)</f>
        <v>0</v>
      </c>
      <c r="D27" s="13" t="n">
        <f aca="false">IFERROR(IF(AND(B27&lt;=Eingaben!$B$11,Szenarien!$H$8="OK"),((Eingaben!$B$32+Eingaben!$B$35)*(1+Eingaben!$B$41)^(B27-1)+SUM(Variantenbilanz!E5:E370)*Eingaben!$B$33*Eingaben!$B$34*(1+Eingaben!$B$42)^(B27-1))*Szenarien!$F$8,0),0)</f>
        <v>0</v>
      </c>
      <c r="E27" s="13" t="n">
        <f aca="false">IFERROR(IF(AND(AND(B27&lt;=Eingaben!$B$11,Szenarien!$H$8="OK"),B27=Eingaben!$B$43),Eingaben!$B$44*Szenarien!$B$8*(1+Eingaben!$B$41)^(B27-1),0),0)</f>
        <v>0</v>
      </c>
      <c r="F27" s="13" t="n">
        <f aca="false">IFERROR(IF(AND(AND(B27&lt;=Eingaben!$B$11,Szenarien!$H$8="OK"),B27=Eingaben!$B$11),Eingaben!$B$45*Szenarien!$B$8,0),0)</f>
        <v>0</v>
      </c>
      <c r="G27" s="13" t="n">
        <f aca="false">C27-D27-E27+F27</f>
        <v>0</v>
      </c>
      <c r="H27" s="13" t="n">
        <f aca="false">IFERROR(IF(AND(B27&lt;=Eingaben!$B$11,Szenarien!$H$8="OK"),1/(1+Eingaben!$B$39+Szenarien!$G$8)^B27,0),0)</f>
        <v>0</v>
      </c>
      <c r="I27" s="13" t="n">
        <f aca="false">G27*H27</f>
        <v>0</v>
      </c>
      <c r="J27" s="13" t="n">
        <f aca="false">(D27+E27-F27)*H27</f>
        <v>0</v>
      </c>
      <c r="K27" s="13" t="n">
        <f aca="false">IF(AND(B27&lt;=Eingaben!$B$11,Szenarien!$H$8="OK"),SUM(Variantenbilanz!K5:K370)*H27,0)</f>
        <v>0</v>
      </c>
    </row>
    <row r="28" customFormat="false" ht="16.4" hidden="false" customHeight="false" outlineLevel="0" collapsed="false">
      <c r="A28" s="12"/>
      <c r="B28" s="15" t="n">
        <v>23</v>
      </c>
      <c r="C28" s="13" t="n">
        <f aca="false">IFERROR(IF(AND(B28&lt;=Eingaben!$B$11,Szenarien!$H$8="OK"),SUM(Variantenbilanz!K5:K370)*(Eingaben!$B$36*Szenarien!$C$8*(1+Eingaben!$B$40)^(B28-1)+Eingaben!$B$37*Eingaben!$B$38*(1+Eingaben!$B$46)^(B28-1)),0),0)</f>
        <v>0</v>
      </c>
      <c r="D28" s="13" t="n">
        <f aca="false">IFERROR(IF(AND(B28&lt;=Eingaben!$B$11,Szenarien!$H$8="OK"),((Eingaben!$B$32+Eingaben!$B$35)*(1+Eingaben!$B$41)^(B28-1)+SUM(Variantenbilanz!E5:E370)*Eingaben!$B$33*Eingaben!$B$34*(1+Eingaben!$B$42)^(B28-1))*Szenarien!$F$8,0),0)</f>
        <v>0</v>
      </c>
      <c r="E28" s="13" t="n">
        <f aca="false">IFERROR(IF(AND(AND(B28&lt;=Eingaben!$B$11,Szenarien!$H$8="OK"),B28=Eingaben!$B$43),Eingaben!$B$44*Szenarien!$B$8*(1+Eingaben!$B$41)^(B28-1),0),0)</f>
        <v>0</v>
      </c>
      <c r="F28" s="13" t="n">
        <f aca="false">IFERROR(IF(AND(AND(B28&lt;=Eingaben!$B$11,Szenarien!$H$8="OK"),B28=Eingaben!$B$11),Eingaben!$B$45*Szenarien!$B$8,0),0)</f>
        <v>0</v>
      </c>
      <c r="G28" s="13" t="n">
        <f aca="false">C28-D28-E28+F28</f>
        <v>0</v>
      </c>
      <c r="H28" s="13" t="n">
        <f aca="false">IFERROR(IF(AND(B28&lt;=Eingaben!$B$11,Szenarien!$H$8="OK"),1/(1+Eingaben!$B$39+Szenarien!$G$8)^B28,0),0)</f>
        <v>0</v>
      </c>
      <c r="I28" s="13" t="n">
        <f aca="false">G28*H28</f>
        <v>0</v>
      </c>
      <c r="J28" s="13" t="n">
        <f aca="false">(D28+E28-F28)*H28</f>
        <v>0</v>
      </c>
      <c r="K28" s="13" t="n">
        <f aca="false">IF(AND(B28&lt;=Eingaben!$B$11,Szenarien!$H$8="OK"),SUM(Variantenbilanz!K5:K370)*H28,0)</f>
        <v>0</v>
      </c>
    </row>
    <row r="29" customFormat="false" ht="16.4" hidden="false" customHeight="false" outlineLevel="0" collapsed="false">
      <c r="A29" s="12"/>
      <c r="B29" s="15" t="n">
        <v>24</v>
      </c>
      <c r="C29" s="13" t="n">
        <f aca="false">IFERROR(IF(AND(B29&lt;=Eingaben!$B$11,Szenarien!$H$8="OK"),SUM(Variantenbilanz!K5:K370)*(Eingaben!$B$36*Szenarien!$C$8*(1+Eingaben!$B$40)^(B29-1)+Eingaben!$B$37*Eingaben!$B$38*(1+Eingaben!$B$46)^(B29-1)),0),0)</f>
        <v>0</v>
      </c>
      <c r="D29" s="13" t="n">
        <f aca="false">IFERROR(IF(AND(B29&lt;=Eingaben!$B$11,Szenarien!$H$8="OK"),((Eingaben!$B$32+Eingaben!$B$35)*(1+Eingaben!$B$41)^(B29-1)+SUM(Variantenbilanz!E5:E370)*Eingaben!$B$33*Eingaben!$B$34*(1+Eingaben!$B$42)^(B29-1))*Szenarien!$F$8,0),0)</f>
        <v>0</v>
      </c>
      <c r="E29" s="13" t="n">
        <f aca="false">IFERROR(IF(AND(AND(B29&lt;=Eingaben!$B$11,Szenarien!$H$8="OK"),B29=Eingaben!$B$43),Eingaben!$B$44*Szenarien!$B$8*(1+Eingaben!$B$41)^(B29-1),0),0)</f>
        <v>0</v>
      </c>
      <c r="F29" s="13" t="n">
        <f aca="false">IFERROR(IF(AND(AND(B29&lt;=Eingaben!$B$11,Szenarien!$H$8="OK"),B29=Eingaben!$B$11),Eingaben!$B$45*Szenarien!$B$8,0),0)</f>
        <v>0</v>
      </c>
      <c r="G29" s="13" t="n">
        <f aca="false">C29-D29-E29+F29</f>
        <v>0</v>
      </c>
      <c r="H29" s="13" t="n">
        <f aca="false">IFERROR(IF(AND(B29&lt;=Eingaben!$B$11,Szenarien!$H$8="OK"),1/(1+Eingaben!$B$39+Szenarien!$G$8)^B29,0),0)</f>
        <v>0</v>
      </c>
      <c r="I29" s="13" t="n">
        <f aca="false">G29*H29</f>
        <v>0</v>
      </c>
      <c r="J29" s="13" t="n">
        <f aca="false">(D29+E29-F29)*H29</f>
        <v>0</v>
      </c>
      <c r="K29" s="13" t="n">
        <f aca="false">IF(AND(B29&lt;=Eingaben!$B$11,Szenarien!$H$8="OK"),SUM(Variantenbilanz!K5:K370)*H29,0)</f>
        <v>0</v>
      </c>
    </row>
    <row r="30" customFormat="false" ht="16.4" hidden="false" customHeight="false" outlineLevel="0" collapsed="false">
      <c r="A30" s="12"/>
      <c r="B30" s="15" t="n">
        <v>25</v>
      </c>
      <c r="C30" s="13" t="n">
        <f aca="false">IFERROR(IF(AND(B30&lt;=Eingaben!$B$11,Szenarien!$H$8="OK"),SUM(Variantenbilanz!K5:K370)*(Eingaben!$B$36*Szenarien!$C$8*(1+Eingaben!$B$40)^(B30-1)+Eingaben!$B$37*Eingaben!$B$38*(1+Eingaben!$B$46)^(B30-1)),0),0)</f>
        <v>0</v>
      </c>
      <c r="D30" s="13" t="n">
        <f aca="false">IFERROR(IF(AND(B30&lt;=Eingaben!$B$11,Szenarien!$H$8="OK"),((Eingaben!$B$32+Eingaben!$B$35)*(1+Eingaben!$B$41)^(B30-1)+SUM(Variantenbilanz!E5:E370)*Eingaben!$B$33*Eingaben!$B$34*(1+Eingaben!$B$42)^(B30-1))*Szenarien!$F$8,0),0)</f>
        <v>0</v>
      </c>
      <c r="E30" s="13" t="n">
        <f aca="false">IFERROR(IF(AND(AND(B30&lt;=Eingaben!$B$11,Szenarien!$H$8="OK"),B30=Eingaben!$B$43),Eingaben!$B$44*Szenarien!$B$8*(1+Eingaben!$B$41)^(B30-1),0),0)</f>
        <v>0</v>
      </c>
      <c r="F30" s="13" t="n">
        <f aca="false">IFERROR(IF(AND(AND(B30&lt;=Eingaben!$B$11,Szenarien!$H$8="OK"),B30=Eingaben!$B$11),Eingaben!$B$45*Szenarien!$B$8,0),0)</f>
        <v>0</v>
      </c>
      <c r="G30" s="13" t="n">
        <f aca="false">C30-D30-E30+F30</f>
        <v>0</v>
      </c>
      <c r="H30" s="13" t="n">
        <f aca="false">IFERROR(IF(AND(B30&lt;=Eingaben!$B$11,Szenarien!$H$8="OK"),1/(1+Eingaben!$B$39+Szenarien!$G$8)^B30,0),0)</f>
        <v>0</v>
      </c>
      <c r="I30" s="13" t="n">
        <f aca="false">G30*H30</f>
        <v>0</v>
      </c>
      <c r="J30" s="13" t="n">
        <f aca="false">(D30+E30-F30)*H30</f>
        <v>0</v>
      </c>
      <c r="K30" s="13" t="n">
        <f aca="false">IF(AND(B30&lt;=Eingaben!$B$11,Szenarien!$H$8="OK"),SUM(Variantenbilanz!K5:K370)*H30,0)</f>
        <v>0</v>
      </c>
    </row>
    <row r="31" customFormat="false" ht="16.4" hidden="false" customHeight="false" outlineLevel="0" collapsed="false">
      <c r="A31" s="12"/>
      <c r="B31" s="15" t="n">
        <v>26</v>
      </c>
      <c r="C31" s="13" t="n">
        <f aca="false">IFERROR(IF(AND(B31&lt;=Eingaben!$B$11,Szenarien!$H$8="OK"),SUM(Variantenbilanz!K5:K370)*(Eingaben!$B$36*Szenarien!$C$8*(1+Eingaben!$B$40)^(B31-1)+Eingaben!$B$37*Eingaben!$B$38*(1+Eingaben!$B$46)^(B31-1)),0),0)</f>
        <v>0</v>
      </c>
      <c r="D31" s="13" t="n">
        <f aca="false">IFERROR(IF(AND(B31&lt;=Eingaben!$B$11,Szenarien!$H$8="OK"),((Eingaben!$B$32+Eingaben!$B$35)*(1+Eingaben!$B$41)^(B31-1)+SUM(Variantenbilanz!E5:E370)*Eingaben!$B$33*Eingaben!$B$34*(1+Eingaben!$B$42)^(B31-1))*Szenarien!$F$8,0),0)</f>
        <v>0</v>
      </c>
      <c r="E31" s="13" t="n">
        <f aca="false">IFERROR(IF(AND(AND(B31&lt;=Eingaben!$B$11,Szenarien!$H$8="OK"),B31=Eingaben!$B$43),Eingaben!$B$44*Szenarien!$B$8*(1+Eingaben!$B$41)^(B31-1),0),0)</f>
        <v>0</v>
      </c>
      <c r="F31" s="13" t="n">
        <f aca="false">IFERROR(IF(AND(AND(B31&lt;=Eingaben!$B$11,Szenarien!$H$8="OK"),B31=Eingaben!$B$11),Eingaben!$B$45*Szenarien!$B$8,0),0)</f>
        <v>0</v>
      </c>
      <c r="G31" s="13" t="n">
        <f aca="false">C31-D31-E31+F31</f>
        <v>0</v>
      </c>
      <c r="H31" s="13" t="n">
        <f aca="false">IFERROR(IF(AND(B31&lt;=Eingaben!$B$11,Szenarien!$H$8="OK"),1/(1+Eingaben!$B$39+Szenarien!$G$8)^B31,0),0)</f>
        <v>0</v>
      </c>
      <c r="I31" s="13" t="n">
        <f aca="false">G31*H31</f>
        <v>0</v>
      </c>
      <c r="J31" s="13" t="n">
        <f aca="false">(D31+E31-F31)*H31</f>
        <v>0</v>
      </c>
      <c r="K31" s="13" t="n">
        <f aca="false">IF(AND(B31&lt;=Eingaben!$B$11,Szenarien!$H$8="OK"),SUM(Variantenbilanz!K5:K370)*H31,0)</f>
        <v>0</v>
      </c>
    </row>
    <row r="32" customFormat="false" ht="16.4" hidden="false" customHeight="false" outlineLevel="0" collapsed="false">
      <c r="A32" s="12"/>
      <c r="B32" s="15" t="n">
        <v>27</v>
      </c>
      <c r="C32" s="13" t="n">
        <f aca="false">IFERROR(IF(AND(B32&lt;=Eingaben!$B$11,Szenarien!$H$8="OK"),SUM(Variantenbilanz!K5:K370)*(Eingaben!$B$36*Szenarien!$C$8*(1+Eingaben!$B$40)^(B32-1)+Eingaben!$B$37*Eingaben!$B$38*(1+Eingaben!$B$46)^(B32-1)),0),0)</f>
        <v>0</v>
      </c>
      <c r="D32" s="13" t="n">
        <f aca="false">IFERROR(IF(AND(B32&lt;=Eingaben!$B$11,Szenarien!$H$8="OK"),((Eingaben!$B$32+Eingaben!$B$35)*(1+Eingaben!$B$41)^(B32-1)+SUM(Variantenbilanz!E5:E370)*Eingaben!$B$33*Eingaben!$B$34*(1+Eingaben!$B$42)^(B32-1))*Szenarien!$F$8,0),0)</f>
        <v>0</v>
      </c>
      <c r="E32" s="13" t="n">
        <f aca="false">IFERROR(IF(AND(AND(B32&lt;=Eingaben!$B$11,Szenarien!$H$8="OK"),B32=Eingaben!$B$43),Eingaben!$B$44*Szenarien!$B$8*(1+Eingaben!$B$41)^(B32-1),0),0)</f>
        <v>0</v>
      </c>
      <c r="F32" s="13" t="n">
        <f aca="false">IFERROR(IF(AND(AND(B32&lt;=Eingaben!$B$11,Szenarien!$H$8="OK"),B32=Eingaben!$B$11),Eingaben!$B$45*Szenarien!$B$8,0),0)</f>
        <v>0</v>
      </c>
      <c r="G32" s="13" t="n">
        <f aca="false">C32-D32-E32+F32</f>
        <v>0</v>
      </c>
      <c r="H32" s="13" t="n">
        <f aca="false">IFERROR(IF(AND(B32&lt;=Eingaben!$B$11,Szenarien!$H$8="OK"),1/(1+Eingaben!$B$39+Szenarien!$G$8)^B32,0),0)</f>
        <v>0</v>
      </c>
      <c r="I32" s="13" t="n">
        <f aca="false">G32*H32</f>
        <v>0</v>
      </c>
      <c r="J32" s="13" t="n">
        <f aca="false">(D32+E32-F32)*H32</f>
        <v>0</v>
      </c>
      <c r="K32" s="13" t="n">
        <f aca="false">IF(AND(B32&lt;=Eingaben!$B$11,Szenarien!$H$8="OK"),SUM(Variantenbilanz!K5:K370)*H32,0)</f>
        <v>0</v>
      </c>
    </row>
    <row r="33" customFormat="false" ht="16.4" hidden="false" customHeight="false" outlineLevel="0" collapsed="false">
      <c r="A33" s="12"/>
      <c r="B33" s="15" t="n">
        <v>28</v>
      </c>
      <c r="C33" s="13" t="n">
        <f aca="false">IFERROR(IF(AND(B33&lt;=Eingaben!$B$11,Szenarien!$H$8="OK"),SUM(Variantenbilanz!K5:K370)*(Eingaben!$B$36*Szenarien!$C$8*(1+Eingaben!$B$40)^(B33-1)+Eingaben!$B$37*Eingaben!$B$38*(1+Eingaben!$B$46)^(B33-1)),0),0)</f>
        <v>0</v>
      </c>
      <c r="D33" s="13" t="n">
        <f aca="false">IFERROR(IF(AND(B33&lt;=Eingaben!$B$11,Szenarien!$H$8="OK"),((Eingaben!$B$32+Eingaben!$B$35)*(1+Eingaben!$B$41)^(B33-1)+SUM(Variantenbilanz!E5:E370)*Eingaben!$B$33*Eingaben!$B$34*(1+Eingaben!$B$42)^(B33-1))*Szenarien!$F$8,0),0)</f>
        <v>0</v>
      </c>
      <c r="E33" s="13" t="n">
        <f aca="false">IFERROR(IF(AND(AND(B33&lt;=Eingaben!$B$11,Szenarien!$H$8="OK"),B33=Eingaben!$B$43),Eingaben!$B$44*Szenarien!$B$8*(1+Eingaben!$B$41)^(B33-1),0),0)</f>
        <v>0</v>
      </c>
      <c r="F33" s="13" t="n">
        <f aca="false">IFERROR(IF(AND(AND(B33&lt;=Eingaben!$B$11,Szenarien!$H$8="OK"),B33=Eingaben!$B$11),Eingaben!$B$45*Szenarien!$B$8,0),0)</f>
        <v>0</v>
      </c>
      <c r="G33" s="13" t="n">
        <f aca="false">C33-D33-E33+F33</f>
        <v>0</v>
      </c>
      <c r="H33" s="13" t="n">
        <f aca="false">IFERROR(IF(AND(B33&lt;=Eingaben!$B$11,Szenarien!$H$8="OK"),1/(1+Eingaben!$B$39+Szenarien!$G$8)^B33,0),0)</f>
        <v>0</v>
      </c>
      <c r="I33" s="13" t="n">
        <f aca="false">G33*H33</f>
        <v>0</v>
      </c>
      <c r="J33" s="13" t="n">
        <f aca="false">(D33+E33-F33)*H33</f>
        <v>0</v>
      </c>
      <c r="K33" s="13" t="n">
        <f aca="false">IF(AND(B33&lt;=Eingaben!$B$11,Szenarien!$H$8="OK"),SUM(Variantenbilanz!K5:K370)*H33,0)</f>
        <v>0</v>
      </c>
    </row>
    <row r="34" customFormat="false" ht="16.4" hidden="false" customHeight="false" outlineLevel="0" collapsed="false">
      <c r="A34" s="12"/>
      <c r="B34" s="15" t="n">
        <v>29</v>
      </c>
      <c r="C34" s="13" t="n">
        <f aca="false">IFERROR(IF(AND(B34&lt;=Eingaben!$B$11,Szenarien!$H$8="OK"),SUM(Variantenbilanz!K5:K370)*(Eingaben!$B$36*Szenarien!$C$8*(1+Eingaben!$B$40)^(B34-1)+Eingaben!$B$37*Eingaben!$B$38*(1+Eingaben!$B$46)^(B34-1)),0),0)</f>
        <v>0</v>
      </c>
      <c r="D34" s="13" t="n">
        <f aca="false">IFERROR(IF(AND(B34&lt;=Eingaben!$B$11,Szenarien!$H$8="OK"),((Eingaben!$B$32+Eingaben!$B$35)*(1+Eingaben!$B$41)^(B34-1)+SUM(Variantenbilanz!E5:E370)*Eingaben!$B$33*Eingaben!$B$34*(1+Eingaben!$B$42)^(B34-1))*Szenarien!$F$8,0),0)</f>
        <v>0</v>
      </c>
      <c r="E34" s="13" t="n">
        <f aca="false">IFERROR(IF(AND(AND(B34&lt;=Eingaben!$B$11,Szenarien!$H$8="OK"),B34=Eingaben!$B$43),Eingaben!$B$44*Szenarien!$B$8*(1+Eingaben!$B$41)^(B34-1),0),0)</f>
        <v>0</v>
      </c>
      <c r="F34" s="13" t="n">
        <f aca="false">IFERROR(IF(AND(AND(B34&lt;=Eingaben!$B$11,Szenarien!$H$8="OK"),B34=Eingaben!$B$11),Eingaben!$B$45*Szenarien!$B$8,0),0)</f>
        <v>0</v>
      </c>
      <c r="G34" s="13" t="n">
        <f aca="false">C34-D34-E34+F34</f>
        <v>0</v>
      </c>
      <c r="H34" s="13" t="n">
        <f aca="false">IFERROR(IF(AND(B34&lt;=Eingaben!$B$11,Szenarien!$H$8="OK"),1/(1+Eingaben!$B$39+Szenarien!$G$8)^B34,0),0)</f>
        <v>0</v>
      </c>
      <c r="I34" s="13" t="n">
        <f aca="false">G34*H34</f>
        <v>0</v>
      </c>
      <c r="J34" s="13" t="n">
        <f aca="false">(D34+E34-F34)*H34</f>
        <v>0</v>
      </c>
      <c r="K34" s="13" t="n">
        <f aca="false">IF(AND(B34&lt;=Eingaben!$B$11,Szenarien!$H$8="OK"),SUM(Variantenbilanz!K5:K370)*H34,0)</f>
        <v>0</v>
      </c>
    </row>
    <row r="35" customFormat="false" ht="16.4" hidden="false" customHeight="false" outlineLevel="0" collapsed="false">
      <c r="A35" s="12"/>
      <c r="B35" s="15" t="n">
        <v>30</v>
      </c>
      <c r="C35" s="13" t="n">
        <f aca="false">IFERROR(IF(AND(B35&lt;=Eingaben!$B$11,Szenarien!$H$8="OK"),SUM(Variantenbilanz!K5:K370)*(Eingaben!$B$36*Szenarien!$C$8*(1+Eingaben!$B$40)^(B35-1)+Eingaben!$B$37*Eingaben!$B$38*(1+Eingaben!$B$46)^(B35-1)),0),0)</f>
        <v>0</v>
      </c>
      <c r="D35" s="13" t="n">
        <f aca="false">IFERROR(IF(AND(B35&lt;=Eingaben!$B$11,Szenarien!$H$8="OK"),((Eingaben!$B$32+Eingaben!$B$35)*(1+Eingaben!$B$41)^(B35-1)+SUM(Variantenbilanz!E5:E370)*Eingaben!$B$33*Eingaben!$B$34*(1+Eingaben!$B$42)^(B35-1))*Szenarien!$F$8,0),0)</f>
        <v>0</v>
      </c>
      <c r="E35" s="13" t="n">
        <f aca="false">IFERROR(IF(AND(AND(B35&lt;=Eingaben!$B$11,Szenarien!$H$8="OK"),B35=Eingaben!$B$43),Eingaben!$B$44*Szenarien!$B$8*(1+Eingaben!$B$41)^(B35-1),0),0)</f>
        <v>0</v>
      </c>
      <c r="F35" s="13" t="n">
        <f aca="false">IFERROR(IF(AND(AND(B35&lt;=Eingaben!$B$11,Szenarien!$H$8="OK"),B35=Eingaben!$B$11),Eingaben!$B$45*Szenarien!$B$8,0),0)</f>
        <v>0</v>
      </c>
      <c r="G35" s="13" t="n">
        <f aca="false">C35-D35-E35+F35</f>
        <v>0</v>
      </c>
      <c r="H35" s="13" t="n">
        <f aca="false">IFERROR(IF(AND(B35&lt;=Eingaben!$B$11,Szenarien!$H$8="OK"),1/(1+Eingaben!$B$39+Szenarien!$G$8)^B35,0),0)</f>
        <v>0</v>
      </c>
      <c r="I35" s="13" t="n">
        <f aca="false">G35*H35</f>
        <v>0</v>
      </c>
      <c r="J35" s="13" t="n">
        <f aca="false">(D35+E35-F35)*H35</f>
        <v>0</v>
      </c>
      <c r="K35" s="13" t="n">
        <f aca="false">IF(AND(B35&lt;=Eingaben!$B$11,Szenarien!$H$8="OK"),SUM(Variantenbilanz!K5:K370)*H35,0)</f>
        <v>0</v>
      </c>
    </row>
    <row r="36" customFormat="false" ht="16.4" hidden="false" customHeight="false" outlineLevel="0" collapsed="false">
      <c r="A36" s="12"/>
      <c r="B36" s="15" t="n">
        <v>31</v>
      </c>
      <c r="C36" s="13" t="n">
        <f aca="false">IFERROR(IF(AND(B36&lt;=Eingaben!$B$11,Szenarien!$H$8="OK"),SUM(Variantenbilanz!K5:K370)*(Eingaben!$B$36*Szenarien!$C$8*(1+Eingaben!$B$40)^(B36-1)+Eingaben!$B$37*Eingaben!$B$38*(1+Eingaben!$B$46)^(B36-1)),0),0)</f>
        <v>0</v>
      </c>
      <c r="D36" s="13" t="n">
        <f aca="false">IFERROR(IF(AND(B36&lt;=Eingaben!$B$11,Szenarien!$H$8="OK"),((Eingaben!$B$32+Eingaben!$B$35)*(1+Eingaben!$B$41)^(B36-1)+SUM(Variantenbilanz!E5:E370)*Eingaben!$B$33*Eingaben!$B$34*(1+Eingaben!$B$42)^(B36-1))*Szenarien!$F$8,0),0)</f>
        <v>0</v>
      </c>
      <c r="E36" s="13" t="n">
        <f aca="false">IFERROR(IF(AND(AND(B36&lt;=Eingaben!$B$11,Szenarien!$H$8="OK"),B36=Eingaben!$B$43),Eingaben!$B$44*Szenarien!$B$8*(1+Eingaben!$B$41)^(B36-1),0),0)</f>
        <v>0</v>
      </c>
      <c r="F36" s="13" t="n">
        <f aca="false">IFERROR(IF(AND(AND(B36&lt;=Eingaben!$B$11,Szenarien!$H$8="OK"),B36=Eingaben!$B$11),Eingaben!$B$45*Szenarien!$B$8,0),0)</f>
        <v>0</v>
      </c>
      <c r="G36" s="13" t="n">
        <f aca="false">C36-D36-E36+F36</f>
        <v>0</v>
      </c>
      <c r="H36" s="13" t="n">
        <f aca="false">IFERROR(IF(AND(B36&lt;=Eingaben!$B$11,Szenarien!$H$8="OK"),1/(1+Eingaben!$B$39+Szenarien!$G$8)^B36,0),0)</f>
        <v>0</v>
      </c>
      <c r="I36" s="13" t="n">
        <f aca="false">G36*H36</f>
        <v>0</v>
      </c>
      <c r="J36" s="13" t="n">
        <f aca="false">(D36+E36-F36)*H36</f>
        <v>0</v>
      </c>
      <c r="K36" s="13" t="n">
        <f aca="false">IF(AND(B36&lt;=Eingaben!$B$11,Szenarien!$H$8="OK"),SUM(Variantenbilanz!K5:K370)*H36,0)</f>
        <v>0</v>
      </c>
    </row>
    <row r="37" customFormat="false" ht="16.4" hidden="false" customHeight="false" outlineLevel="0" collapsed="false">
      <c r="A37" s="12"/>
      <c r="B37" s="15" t="n">
        <v>32</v>
      </c>
      <c r="C37" s="13" t="n">
        <f aca="false">IFERROR(IF(AND(B37&lt;=Eingaben!$B$11,Szenarien!$H$8="OK"),SUM(Variantenbilanz!K5:K370)*(Eingaben!$B$36*Szenarien!$C$8*(1+Eingaben!$B$40)^(B37-1)+Eingaben!$B$37*Eingaben!$B$38*(1+Eingaben!$B$46)^(B37-1)),0),0)</f>
        <v>0</v>
      </c>
      <c r="D37" s="13" t="n">
        <f aca="false">IFERROR(IF(AND(B37&lt;=Eingaben!$B$11,Szenarien!$H$8="OK"),((Eingaben!$B$32+Eingaben!$B$35)*(1+Eingaben!$B$41)^(B37-1)+SUM(Variantenbilanz!E5:E370)*Eingaben!$B$33*Eingaben!$B$34*(1+Eingaben!$B$42)^(B37-1))*Szenarien!$F$8,0),0)</f>
        <v>0</v>
      </c>
      <c r="E37" s="13" t="n">
        <f aca="false">IFERROR(IF(AND(AND(B37&lt;=Eingaben!$B$11,Szenarien!$H$8="OK"),B37=Eingaben!$B$43),Eingaben!$B$44*Szenarien!$B$8*(1+Eingaben!$B$41)^(B37-1),0),0)</f>
        <v>0</v>
      </c>
      <c r="F37" s="13" t="n">
        <f aca="false">IFERROR(IF(AND(AND(B37&lt;=Eingaben!$B$11,Szenarien!$H$8="OK"),B37=Eingaben!$B$11),Eingaben!$B$45*Szenarien!$B$8,0),0)</f>
        <v>0</v>
      </c>
      <c r="G37" s="13" t="n">
        <f aca="false">C37-D37-E37+F37</f>
        <v>0</v>
      </c>
      <c r="H37" s="13" t="n">
        <f aca="false">IFERROR(IF(AND(B37&lt;=Eingaben!$B$11,Szenarien!$H$8="OK"),1/(1+Eingaben!$B$39+Szenarien!$G$8)^B37,0),0)</f>
        <v>0</v>
      </c>
      <c r="I37" s="13" t="n">
        <f aca="false">G37*H37</f>
        <v>0</v>
      </c>
      <c r="J37" s="13" t="n">
        <f aca="false">(D37+E37-F37)*H37</f>
        <v>0</v>
      </c>
      <c r="K37" s="13" t="n">
        <f aca="false">IF(AND(B37&lt;=Eingaben!$B$11,Szenarien!$H$8="OK"),SUM(Variantenbilanz!K5:K370)*H37,0)</f>
        <v>0</v>
      </c>
    </row>
    <row r="38" customFormat="false" ht="16.4" hidden="false" customHeight="false" outlineLevel="0" collapsed="false">
      <c r="A38" s="12"/>
      <c r="B38" s="15" t="n">
        <v>33</v>
      </c>
      <c r="C38" s="13" t="n">
        <f aca="false">IFERROR(IF(AND(B38&lt;=Eingaben!$B$11,Szenarien!$H$8="OK"),SUM(Variantenbilanz!K5:K370)*(Eingaben!$B$36*Szenarien!$C$8*(1+Eingaben!$B$40)^(B38-1)+Eingaben!$B$37*Eingaben!$B$38*(1+Eingaben!$B$46)^(B38-1)),0),0)</f>
        <v>0</v>
      </c>
      <c r="D38" s="13" t="n">
        <f aca="false">IFERROR(IF(AND(B38&lt;=Eingaben!$B$11,Szenarien!$H$8="OK"),((Eingaben!$B$32+Eingaben!$B$35)*(1+Eingaben!$B$41)^(B38-1)+SUM(Variantenbilanz!E5:E370)*Eingaben!$B$33*Eingaben!$B$34*(1+Eingaben!$B$42)^(B38-1))*Szenarien!$F$8,0),0)</f>
        <v>0</v>
      </c>
      <c r="E38" s="13" t="n">
        <f aca="false">IFERROR(IF(AND(AND(B38&lt;=Eingaben!$B$11,Szenarien!$H$8="OK"),B38=Eingaben!$B$43),Eingaben!$B$44*Szenarien!$B$8*(1+Eingaben!$B$41)^(B38-1),0),0)</f>
        <v>0</v>
      </c>
      <c r="F38" s="13" t="n">
        <f aca="false">IFERROR(IF(AND(AND(B38&lt;=Eingaben!$B$11,Szenarien!$H$8="OK"),B38=Eingaben!$B$11),Eingaben!$B$45*Szenarien!$B$8,0),0)</f>
        <v>0</v>
      </c>
      <c r="G38" s="13" t="n">
        <f aca="false">C38-D38-E38+F38</f>
        <v>0</v>
      </c>
      <c r="H38" s="13" t="n">
        <f aca="false">IFERROR(IF(AND(B38&lt;=Eingaben!$B$11,Szenarien!$H$8="OK"),1/(1+Eingaben!$B$39+Szenarien!$G$8)^B38,0),0)</f>
        <v>0</v>
      </c>
      <c r="I38" s="13" t="n">
        <f aca="false">G38*H38</f>
        <v>0</v>
      </c>
      <c r="J38" s="13" t="n">
        <f aca="false">(D38+E38-F38)*H38</f>
        <v>0</v>
      </c>
      <c r="K38" s="13" t="n">
        <f aca="false">IF(AND(B38&lt;=Eingaben!$B$11,Szenarien!$H$8="OK"),SUM(Variantenbilanz!K5:K370)*H38,0)</f>
        <v>0</v>
      </c>
    </row>
    <row r="39" customFormat="false" ht="16.4" hidden="false" customHeight="false" outlineLevel="0" collapsed="false">
      <c r="A39" s="12"/>
      <c r="B39" s="15" t="n">
        <v>34</v>
      </c>
      <c r="C39" s="13" t="n">
        <f aca="false">IFERROR(IF(AND(B39&lt;=Eingaben!$B$11,Szenarien!$H$8="OK"),SUM(Variantenbilanz!K5:K370)*(Eingaben!$B$36*Szenarien!$C$8*(1+Eingaben!$B$40)^(B39-1)+Eingaben!$B$37*Eingaben!$B$38*(1+Eingaben!$B$46)^(B39-1)),0),0)</f>
        <v>0</v>
      </c>
      <c r="D39" s="13" t="n">
        <f aca="false">IFERROR(IF(AND(B39&lt;=Eingaben!$B$11,Szenarien!$H$8="OK"),((Eingaben!$B$32+Eingaben!$B$35)*(1+Eingaben!$B$41)^(B39-1)+SUM(Variantenbilanz!E5:E370)*Eingaben!$B$33*Eingaben!$B$34*(1+Eingaben!$B$42)^(B39-1))*Szenarien!$F$8,0),0)</f>
        <v>0</v>
      </c>
      <c r="E39" s="13" t="n">
        <f aca="false">IFERROR(IF(AND(AND(B39&lt;=Eingaben!$B$11,Szenarien!$H$8="OK"),B39=Eingaben!$B$43),Eingaben!$B$44*Szenarien!$B$8*(1+Eingaben!$B$41)^(B39-1),0),0)</f>
        <v>0</v>
      </c>
      <c r="F39" s="13" t="n">
        <f aca="false">IFERROR(IF(AND(AND(B39&lt;=Eingaben!$B$11,Szenarien!$H$8="OK"),B39=Eingaben!$B$11),Eingaben!$B$45*Szenarien!$B$8,0),0)</f>
        <v>0</v>
      </c>
      <c r="G39" s="13" t="n">
        <f aca="false">C39-D39-E39+F39</f>
        <v>0</v>
      </c>
      <c r="H39" s="13" t="n">
        <f aca="false">IFERROR(IF(AND(B39&lt;=Eingaben!$B$11,Szenarien!$H$8="OK"),1/(1+Eingaben!$B$39+Szenarien!$G$8)^B39,0),0)</f>
        <v>0</v>
      </c>
      <c r="I39" s="13" t="n">
        <f aca="false">G39*H39</f>
        <v>0</v>
      </c>
      <c r="J39" s="13" t="n">
        <f aca="false">(D39+E39-F39)*H39</f>
        <v>0</v>
      </c>
      <c r="K39" s="13" t="n">
        <f aca="false">IF(AND(B39&lt;=Eingaben!$B$11,Szenarien!$H$8="OK"),SUM(Variantenbilanz!K5:K370)*H39,0)</f>
        <v>0</v>
      </c>
    </row>
    <row r="40" customFormat="false" ht="16.4" hidden="false" customHeight="false" outlineLevel="0" collapsed="false">
      <c r="A40" s="12"/>
      <c r="B40" s="15" t="n">
        <v>35</v>
      </c>
      <c r="C40" s="13" t="n">
        <f aca="false">IFERROR(IF(AND(B40&lt;=Eingaben!$B$11,Szenarien!$H$8="OK"),SUM(Variantenbilanz!K5:K370)*(Eingaben!$B$36*Szenarien!$C$8*(1+Eingaben!$B$40)^(B40-1)+Eingaben!$B$37*Eingaben!$B$38*(1+Eingaben!$B$46)^(B40-1)),0),0)</f>
        <v>0</v>
      </c>
      <c r="D40" s="13" t="n">
        <f aca="false">IFERROR(IF(AND(B40&lt;=Eingaben!$B$11,Szenarien!$H$8="OK"),((Eingaben!$B$32+Eingaben!$B$35)*(1+Eingaben!$B$41)^(B40-1)+SUM(Variantenbilanz!E5:E370)*Eingaben!$B$33*Eingaben!$B$34*(1+Eingaben!$B$42)^(B40-1))*Szenarien!$F$8,0),0)</f>
        <v>0</v>
      </c>
      <c r="E40" s="13" t="n">
        <f aca="false">IFERROR(IF(AND(AND(B40&lt;=Eingaben!$B$11,Szenarien!$H$8="OK"),B40=Eingaben!$B$43),Eingaben!$B$44*Szenarien!$B$8*(1+Eingaben!$B$41)^(B40-1),0),0)</f>
        <v>0</v>
      </c>
      <c r="F40" s="13" t="n">
        <f aca="false">IFERROR(IF(AND(AND(B40&lt;=Eingaben!$B$11,Szenarien!$H$8="OK"),B40=Eingaben!$B$11),Eingaben!$B$45*Szenarien!$B$8,0),0)</f>
        <v>0</v>
      </c>
      <c r="G40" s="13" t="n">
        <f aca="false">C40-D40-E40+F40</f>
        <v>0</v>
      </c>
      <c r="H40" s="13" t="n">
        <f aca="false">IFERROR(IF(AND(B40&lt;=Eingaben!$B$11,Szenarien!$H$8="OK"),1/(1+Eingaben!$B$39+Szenarien!$G$8)^B40,0),0)</f>
        <v>0</v>
      </c>
      <c r="I40" s="13" t="n">
        <f aca="false">G40*H40</f>
        <v>0</v>
      </c>
      <c r="J40" s="13" t="n">
        <f aca="false">(D40+E40-F40)*H40</f>
        <v>0</v>
      </c>
      <c r="K40" s="13" t="n">
        <f aca="false">IF(AND(B40&lt;=Eingaben!$B$11,Szenarien!$H$8="OK"),SUM(Variantenbilanz!K5:K370)*H40,0)</f>
        <v>0</v>
      </c>
    </row>
    <row r="41" customFormat="false" ht="16.4" hidden="false" customHeight="false" outlineLevel="0" collapsed="false">
      <c r="A41" s="12"/>
      <c r="B41" s="15" t="n">
        <v>36</v>
      </c>
      <c r="C41" s="13" t="n">
        <f aca="false">IFERROR(IF(AND(B41&lt;=Eingaben!$B$11,Szenarien!$H$8="OK"),SUM(Variantenbilanz!K5:K370)*(Eingaben!$B$36*Szenarien!$C$8*(1+Eingaben!$B$40)^(B41-1)+Eingaben!$B$37*Eingaben!$B$38*(1+Eingaben!$B$46)^(B41-1)),0),0)</f>
        <v>0</v>
      </c>
      <c r="D41" s="13" t="n">
        <f aca="false">IFERROR(IF(AND(B41&lt;=Eingaben!$B$11,Szenarien!$H$8="OK"),((Eingaben!$B$32+Eingaben!$B$35)*(1+Eingaben!$B$41)^(B41-1)+SUM(Variantenbilanz!E5:E370)*Eingaben!$B$33*Eingaben!$B$34*(1+Eingaben!$B$42)^(B41-1))*Szenarien!$F$8,0),0)</f>
        <v>0</v>
      </c>
      <c r="E41" s="13" t="n">
        <f aca="false">IFERROR(IF(AND(AND(B41&lt;=Eingaben!$B$11,Szenarien!$H$8="OK"),B41=Eingaben!$B$43),Eingaben!$B$44*Szenarien!$B$8*(1+Eingaben!$B$41)^(B41-1),0),0)</f>
        <v>0</v>
      </c>
      <c r="F41" s="13" t="n">
        <f aca="false">IFERROR(IF(AND(AND(B41&lt;=Eingaben!$B$11,Szenarien!$H$8="OK"),B41=Eingaben!$B$11),Eingaben!$B$45*Szenarien!$B$8,0),0)</f>
        <v>0</v>
      </c>
      <c r="G41" s="13" t="n">
        <f aca="false">C41-D41-E41+F41</f>
        <v>0</v>
      </c>
      <c r="H41" s="13" t="n">
        <f aca="false">IFERROR(IF(AND(B41&lt;=Eingaben!$B$11,Szenarien!$H$8="OK"),1/(1+Eingaben!$B$39+Szenarien!$G$8)^B41,0),0)</f>
        <v>0</v>
      </c>
      <c r="I41" s="13" t="n">
        <f aca="false">G41*H41</f>
        <v>0</v>
      </c>
      <c r="J41" s="13" t="n">
        <f aca="false">(D41+E41-F41)*H41</f>
        <v>0</v>
      </c>
      <c r="K41" s="13" t="n">
        <f aca="false">IF(AND(B41&lt;=Eingaben!$B$11,Szenarien!$H$8="OK"),SUM(Variantenbilanz!K5:K370)*H41,0)</f>
        <v>0</v>
      </c>
    </row>
    <row r="42" customFormat="false" ht="16.4" hidden="false" customHeight="false" outlineLevel="0" collapsed="false">
      <c r="A42" s="12"/>
      <c r="B42" s="15" t="n">
        <v>37</v>
      </c>
      <c r="C42" s="13" t="n">
        <f aca="false">IFERROR(IF(AND(B42&lt;=Eingaben!$B$11,Szenarien!$H$8="OK"),SUM(Variantenbilanz!K5:K370)*(Eingaben!$B$36*Szenarien!$C$8*(1+Eingaben!$B$40)^(B42-1)+Eingaben!$B$37*Eingaben!$B$38*(1+Eingaben!$B$46)^(B42-1)),0),0)</f>
        <v>0</v>
      </c>
      <c r="D42" s="13" t="n">
        <f aca="false">IFERROR(IF(AND(B42&lt;=Eingaben!$B$11,Szenarien!$H$8="OK"),((Eingaben!$B$32+Eingaben!$B$35)*(1+Eingaben!$B$41)^(B42-1)+SUM(Variantenbilanz!E5:E370)*Eingaben!$B$33*Eingaben!$B$34*(1+Eingaben!$B$42)^(B42-1))*Szenarien!$F$8,0),0)</f>
        <v>0</v>
      </c>
      <c r="E42" s="13" t="n">
        <f aca="false">IFERROR(IF(AND(AND(B42&lt;=Eingaben!$B$11,Szenarien!$H$8="OK"),B42=Eingaben!$B$43),Eingaben!$B$44*Szenarien!$B$8*(1+Eingaben!$B$41)^(B42-1),0),0)</f>
        <v>0</v>
      </c>
      <c r="F42" s="13" t="n">
        <f aca="false">IFERROR(IF(AND(AND(B42&lt;=Eingaben!$B$11,Szenarien!$H$8="OK"),B42=Eingaben!$B$11),Eingaben!$B$45*Szenarien!$B$8,0),0)</f>
        <v>0</v>
      </c>
      <c r="G42" s="13" t="n">
        <f aca="false">C42-D42-E42+F42</f>
        <v>0</v>
      </c>
      <c r="H42" s="13" t="n">
        <f aca="false">IFERROR(IF(AND(B42&lt;=Eingaben!$B$11,Szenarien!$H$8="OK"),1/(1+Eingaben!$B$39+Szenarien!$G$8)^B42,0),0)</f>
        <v>0</v>
      </c>
      <c r="I42" s="13" t="n">
        <f aca="false">G42*H42</f>
        <v>0</v>
      </c>
      <c r="J42" s="13" t="n">
        <f aca="false">(D42+E42-F42)*H42</f>
        <v>0</v>
      </c>
      <c r="K42" s="13" t="n">
        <f aca="false">IF(AND(B42&lt;=Eingaben!$B$11,Szenarien!$H$8="OK"),SUM(Variantenbilanz!K5:K370)*H42,0)</f>
        <v>0</v>
      </c>
    </row>
    <row r="43" customFormat="false" ht="16.4" hidden="false" customHeight="false" outlineLevel="0" collapsed="false">
      <c r="A43" s="12"/>
      <c r="B43" s="15" t="n">
        <v>38</v>
      </c>
      <c r="C43" s="13" t="n">
        <f aca="false">IFERROR(IF(AND(B43&lt;=Eingaben!$B$11,Szenarien!$H$8="OK"),SUM(Variantenbilanz!K5:K370)*(Eingaben!$B$36*Szenarien!$C$8*(1+Eingaben!$B$40)^(B43-1)+Eingaben!$B$37*Eingaben!$B$38*(1+Eingaben!$B$46)^(B43-1)),0),0)</f>
        <v>0</v>
      </c>
      <c r="D43" s="13" t="n">
        <f aca="false">IFERROR(IF(AND(B43&lt;=Eingaben!$B$11,Szenarien!$H$8="OK"),((Eingaben!$B$32+Eingaben!$B$35)*(1+Eingaben!$B$41)^(B43-1)+SUM(Variantenbilanz!E5:E370)*Eingaben!$B$33*Eingaben!$B$34*(1+Eingaben!$B$42)^(B43-1))*Szenarien!$F$8,0),0)</f>
        <v>0</v>
      </c>
      <c r="E43" s="13" t="n">
        <f aca="false">IFERROR(IF(AND(AND(B43&lt;=Eingaben!$B$11,Szenarien!$H$8="OK"),B43=Eingaben!$B$43),Eingaben!$B$44*Szenarien!$B$8*(1+Eingaben!$B$41)^(B43-1),0),0)</f>
        <v>0</v>
      </c>
      <c r="F43" s="13" t="n">
        <f aca="false">IFERROR(IF(AND(AND(B43&lt;=Eingaben!$B$11,Szenarien!$H$8="OK"),B43=Eingaben!$B$11),Eingaben!$B$45*Szenarien!$B$8,0),0)</f>
        <v>0</v>
      </c>
      <c r="G43" s="13" t="n">
        <f aca="false">C43-D43-E43+F43</f>
        <v>0</v>
      </c>
      <c r="H43" s="13" t="n">
        <f aca="false">IFERROR(IF(AND(B43&lt;=Eingaben!$B$11,Szenarien!$H$8="OK"),1/(1+Eingaben!$B$39+Szenarien!$G$8)^B43,0),0)</f>
        <v>0</v>
      </c>
      <c r="I43" s="13" t="n">
        <f aca="false">G43*H43</f>
        <v>0</v>
      </c>
      <c r="J43" s="13" t="n">
        <f aca="false">(D43+E43-F43)*H43</f>
        <v>0</v>
      </c>
      <c r="K43" s="13" t="n">
        <f aca="false">IF(AND(B43&lt;=Eingaben!$B$11,Szenarien!$H$8="OK"),SUM(Variantenbilanz!K5:K370)*H43,0)</f>
        <v>0</v>
      </c>
    </row>
    <row r="44" customFormat="false" ht="16.4" hidden="false" customHeight="false" outlineLevel="0" collapsed="false">
      <c r="A44" s="12"/>
      <c r="B44" s="15" t="n">
        <v>39</v>
      </c>
      <c r="C44" s="13" t="n">
        <f aca="false">IFERROR(IF(AND(B44&lt;=Eingaben!$B$11,Szenarien!$H$8="OK"),SUM(Variantenbilanz!K5:K370)*(Eingaben!$B$36*Szenarien!$C$8*(1+Eingaben!$B$40)^(B44-1)+Eingaben!$B$37*Eingaben!$B$38*(1+Eingaben!$B$46)^(B44-1)),0),0)</f>
        <v>0</v>
      </c>
      <c r="D44" s="13" t="n">
        <f aca="false">IFERROR(IF(AND(B44&lt;=Eingaben!$B$11,Szenarien!$H$8="OK"),((Eingaben!$B$32+Eingaben!$B$35)*(1+Eingaben!$B$41)^(B44-1)+SUM(Variantenbilanz!E5:E370)*Eingaben!$B$33*Eingaben!$B$34*(1+Eingaben!$B$42)^(B44-1))*Szenarien!$F$8,0),0)</f>
        <v>0</v>
      </c>
      <c r="E44" s="13" t="n">
        <f aca="false">IFERROR(IF(AND(AND(B44&lt;=Eingaben!$B$11,Szenarien!$H$8="OK"),B44=Eingaben!$B$43),Eingaben!$B$44*Szenarien!$B$8*(1+Eingaben!$B$41)^(B44-1),0),0)</f>
        <v>0</v>
      </c>
      <c r="F44" s="13" t="n">
        <f aca="false">IFERROR(IF(AND(AND(B44&lt;=Eingaben!$B$11,Szenarien!$H$8="OK"),B44=Eingaben!$B$11),Eingaben!$B$45*Szenarien!$B$8,0),0)</f>
        <v>0</v>
      </c>
      <c r="G44" s="13" t="n">
        <f aca="false">C44-D44-E44+F44</f>
        <v>0</v>
      </c>
      <c r="H44" s="13" t="n">
        <f aca="false">IFERROR(IF(AND(B44&lt;=Eingaben!$B$11,Szenarien!$H$8="OK"),1/(1+Eingaben!$B$39+Szenarien!$G$8)^B44,0),0)</f>
        <v>0</v>
      </c>
      <c r="I44" s="13" t="n">
        <f aca="false">G44*H44</f>
        <v>0</v>
      </c>
      <c r="J44" s="13" t="n">
        <f aca="false">(D44+E44-F44)*H44</f>
        <v>0</v>
      </c>
      <c r="K44" s="13" t="n">
        <f aca="false">IF(AND(B44&lt;=Eingaben!$B$11,Szenarien!$H$8="OK"),SUM(Variantenbilanz!K5:K370)*H44,0)</f>
        <v>0</v>
      </c>
    </row>
    <row r="45" customFormat="false" ht="16.4" hidden="false" customHeight="false" outlineLevel="0" collapsed="false">
      <c r="A45" s="12"/>
      <c r="B45" s="15" t="n">
        <v>40</v>
      </c>
      <c r="C45" s="13" t="n">
        <f aca="false">IFERROR(IF(AND(B45&lt;=Eingaben!$B$11,Szenarien!$H$8="OK"),SUM(Variantenbilanz!K5:K370)*(Eingaben!$B$36*Szenarien!$C$8*(1+Eingaben!$B$40)^(B45-1)+Eingaben!$B$37*Eingaben!$B$38*(1+Eingaben!$B$46)^(B45-1)),0),0)</f>
        <v>0</v>
      </c>
      <c r="D45" s="13" t="n">
        <f aca="false">IFERROR(IF(AND(B45&lt;=Eingaben!$B$11,Szenarien!$H$8="OK"),((Eingaben!$B$32+Eingaben!$B$35)*(1+Eingaben!$B$41)^(B45-1)+SUM(Variantenbilanz!E5:E370)*Eingaben!$B$33*Eingaben!$B$34*(1+Eingaben!$B$42)^(B45-1))*Szenarien!$F$8,0),0)</f>
        <v>0</v>
      </c>
      <c r="E45" s="13" t="n">
        <f aca="false">IFERROR(IF(AND(AND(B45&lt;=Eingaben!$B$11,Szenarien!$H$8="OK"),B45=Eingaben!$B$43),Eingaben!$B$44*Szenarien!$B$8*(1+Eingaben!$B$41)^(B45-1),0),0)</f>
        <v>0</v>
      </c>
      <c r="F45" s="13" t="n">
        <f aca="false">IFERROR(IF(AND(AND(B45&lt;=Eingaben!$B$11,Szenarien!$H$8="OK"),B45=Eingaben!$B$11),Eingaben!$B$45*Szenarien!$B$8,0),0)</f>
        <v>0</v>
      </c>
      <c r="G45" s="13" t="n">
        <f aca="false">C45-D45-E45+F45</f>
        <v>0</v>
      </c>
      <c r="H45" s="13" t="n">
        <f aca="false">IFERROR(IF(AND(B45&lt;=Eingaben!$B$11,Szenarien!$H$8="OK"),1/(1+Eingaben!$B$39+Szenarien!$G$8)^B45,0),0)</f>
        <v>0</v>
      </c>
      <c r="I45" s="13" t="n">
        <f aca="false">G45*H45</f>
        <v>0</v>
      </c>
      <c r="J45" s="13" t="n">
        <f aca="false">(D45+E45-F45)*H45</f>
        <v>0</v>
      </c>
      <c r="K45" s="13" t="n">
        <f aca="false">IF(AND(B45&lt;=Eingaben!$B$11,Szenarien!$H$8="OK"),SUM(Variantenbilanz!K5:K370)*H45,0)</f>
        <v>0</v>
      </c>
    </row>
    <row r="46" customFormat="false" ht="16.4" hidden="false" customHeight="false" outlineLevel="0" collapsed="false">
      <c r="A46" s="12"/>
      <c r="B46" s="15" t="n">
        <v>41</v>
      </c>
      <c r="C46" s="13" t="n">
        <f aca="false">IFERROR(IF(AND(B46&lt;=Eingaben!$B$11,Szenarien!$H$8="OK"),SUM(Variantenbilanz!K5:K370)*(Eingaben!$B$36*Szenarien!$C$8*(1+Eingaben!$B$40)^(B46-1)+Eingaben!$B$37*Eingaben!$B$38*(1+Eingaben!$B$46)^(B46-1)),0),0)</f>
        <v>0</v>
      </c>
      <c r="D46" s="13" t="n">
        <f aca="false">IFERROR(IF(AND(B46&lt;=Eingaben!$B$11,Szenarien!$H$8="OK"),((Eingaben!$B$32+Eingaben!$B$35)*(1+Eingaben!$B$41)^(B46-1)+SUM(Variantenbilanz!E5:E370)*Eingaben!$B$33*Eingaben!$B$34*(1+Eingaben!$B$42)^(B46-1))*Szenarien!$F$8,0),0)</f>
        <v>0</v>
      </c>
      <c r="E46" s="13" t="n">
        <f aca="false">IFERROR(IF(AND(AND(B46&lt;=Eingaben!$B$11,Szenarien!$H$8="OK"),B46=Eingaben!$B$43),Eingaben!$B$44*Szenarien!$B$8*(1+Eingaben!$B$41)^(B46-1),0),0)</f>
        <v>0</v>
      </c>
      <c r="F46" s="13" t="n">
        <f aca="false">IFERROR(IF(AND(AND(B46&lt;=Eingaben!$B$11,Szenarien!$H$8="OK"),B46=Eingaben!$B$11),Eingaben!$B$45*Szenarien!$B$8,0),0)</f>
        <v>0</v>
      </c>
      <c r="G46" s="13" t="n">
        <f aca="false">C46-D46-E46+F46</f>
        <v>0</v>
      </c>
      <c r="H46" s="13" t="n">
        <f aca="false">IFERROR(IF(AND(B46&lt;=Eingaben!$B$11,Szenarien!$H$8="OK"),1/(1+Eingaben!$B$39+Szenarien!$G$8)^B46,0),0)</f>
        <v>0</v>
      </c>
      <c r="I46" s="13" t="n">
        <f aca="false">G46*H46</f>
        <v>0</v>
      </c>
      <c r="J46" s="13" t="n">
        <f aca="false">(D46+E46-F46)*H46</f>
        <v>0</v>
      </c>
      <c r="K46" s="13" t="n">
        <f aca="false">IF(AND(B46&lt;=Eingaben!$B$11,Szenarien!$H$8="OK"),SUM(Variantenbilanz!K5:K370)*H46,0)</f>
        <v>0</v>
      </c>
    </row>
    <row r="47" customFormat="false" ht="16.4" hidden="false" customHeight="false" outlineLevel="0" collapsed="false">
      <c r="A47" s="12"/>
      <c r="B47" s="15" t="n">
        <v>42</v>
      </c>
      <c r="C47" s="13" t="n">
        <f aca="false">IFERROR(IF(AND(B47&lt;=Eingaben!$B$11,Szenarien!$H$8="OK"),SUM(Variantenbilanz!K5:K370)*(Eingaben!$B$36*Szenarien!$C$8*(1+Eingaben!$B$40)^(B47-1)+Eingaben!$B$37*Eingaben!$B$38*(1+Eingaben!$B$46)^(B47-1)),0),0)</f>
        <v>0</v>
      </c>
      <c r="D47" s="13" t="n">
        <f aca="false">IFERROR(IF(AND(B47&lt;=Eingaben!$B$11,Szenarien!$H$8="OK"),((Eingaben!$B$32+Eingaben!$B$35)*(1+Eingaben!$B$41)^(B47-1)+SUM(Variantenbilanz!E5:E370)*Eingaben!$B$33*Eingaben!$B$34*(1+Eingaben!$B$42)^(B47-1))*Szenarien!$F$8,0),0)</f>
        <v>0</v>
      </c>
      <c r="E47" s="13" t="n">
        <f aca="false">IFERROR(IF(AND(AND(B47&lt;=Eingaben!$B$11,Szenarien!$H$8="OK"),B47=Eingaben!$B$43),Eingaben!$B$44*Szenarien!$B$8*(1+Eingaben!$B$41)^(B47-1),0),0)</f>
        <v>0</v>
      </c>
      <c r="F47" s="13" t="n">
        <f aca="false">IFERROR(IF(AND(AND(B47&lt;=Eingaben!$B$11,Szenarien!$H$8="OK"),B47=Eingaben!$B$11),Eingaben!$B$45*Szenarien!$B$8,0),0)</f>
        <v>0</v>
      </c>
      <c r="G47" s="13" t="n">
        <f aca="false">C47-D47-E47+F47</f>
        <v>0</v>
      </c>
      <c r="H47" s="13" t="n">
        <f aca="false">IFERROR(IF(AND(B47&lt;=Eingaben!$B$11,Szenarien!$H$8="OK"),1/(1+Eingaben!$B$39+Szenarien!$G$8)^B47,0),0)</f>
        <v>0</v>
      </c>
      <c r="I47" s="13" t="n">
        <f aca="false">G47*H47</f>
        <v>0</v>
      </c>
      <c r="J47" s="13" t="n">
        <f aca="false">(D47+E47-F47)*H47</f>
        <v>0</v>
      </c>
      <c r="K47" s="13" t="n">
        <f aca="false">IF(AND(B47&lt;=Eingaben!$B$11,Szenarien!$H$8="OK"),SUM(Variantenbilanz!K5:K370)*H47,0)</f>
        <v>0</v>
      </c>
    </row>
    <row r="48" customFormat="false" ht="16.4" hidden="false" customHeight="false" outlineLevel="0" collapsed="false">
      <c r="A48" s="12"/>
      <c r="B48" s="15" t="n">
        <v>43</v>
      </c>
      <c r="C48" s="13" t="n">
        <f aca="false">IFERROR(IF(AND(B48&lt;=Eingaben!$B$11,Szenarien!$H$8="OK"),SUM(Variantenbilanz!K5:K370)*(Eingaben!$B$36*Szenarien!$C$8*(1+Eingaben!$B$40)^(B48-1)+Eingaben!$B$37*Eingaben!$B$38*(1+Eingaben!$B$46)^(B48-1)),0),0)</f>
        <v>0</v>
      </c>
      <c r="D48" s="13" t="n">
        <f aca="false">IFERROR(IF(AND(B48&lt;=Eingaben!$B$11,Szenarien!$H$8="OK"),((Eingaben!$B$32+Eingaben!$B$35)*(1+Eingaben!$B$41)^(B48-1)+SUM(Variantenbilanz!E5:E370)*Eingaben!$B$33*Eingaben!$B$34*(1+Eingaben!$B$42)^(B48-1))*Szenarien!$F$8,0),0)</f>
        <v>0</v>
      </c>
      <c r="E48" s="13" t="n">
        <f aca="false">IFERROR(IF(AND(AND(B48&lt;=Eingaben!$B$11,Szenarien!$H$8="OK"),B48=Eingaben!$B$43),Eingaben!$B$44*Szenarien!$B$8*(1+Eingaben!$B$41)^(B48-1),0),0)</f>
        <v>0</v>
      </c>
      <c r="F48" s="13" t="n">
        <f aca="false">IFERROR(IF(AND(AND(B48&lt;=Eingaben!$B$11,Szenarien!$H$8="OK"),B48=Eingaben!$B$11),Eingaben!$B$45*Szenarien!$B$8,0),0)</f>
        <v>0</v>
      </c>
      <c r="G48" s="13" t="n">
        <f aca="false">C48-D48-E48+F48</f>
        <v>0</v>
      </c>
      <c r="H48" s="13" t="n">
        <f aca="false">IFERROR(IF(AND(B48&lt;=Eingaben!$B$11,Szenarien!$H$8="OK"),1/(1+Eingaben!$B$39+Szenarien!$G$8)^B48,0),0)</f>
        <v>0</v>
      </c>
      <c r="I48" s="13" t="n">
        <f aca="false">G48*H48</f>
        <v>0</v>
      </c>
      <c r="J48" s="13" t="n">
        <f aca="false">(D48+E48-F48)*H48</f>
        <v>0</v>
      </c>
      <c r="K48" s="13" t="n">
        <f aca="false">IF(AND(B48&lt;=Eingaben!$B$11,Szenarien!$H$8="OK"),SUM(Variantenbilanz!K5:K370)*H48,0)</f>
        <v>0</v>
      </c>
    </row>
    <row r="49" customFormat="false" ht="16.4" hidden="false" customHeight="false" outlineLevel="0" collapsed="false">
      <c r="A49" s="12"/>
      <c r="B49" s="15" t="n">
        <v>44</v>
      </c>
      <c r="C49" s="13" t="n">
        <f aca="false">IFERROR(IF(AND(B49&lt;=Eingaben!$B$11,Szenarien!$H$8="OK"),SUM(Variantenbilanz!K5:K370)*(Eingaben!$B$36*Szenarien!$C$8*(1+Eingaben!$B$40)^(B49-1)+Eingaben!$B$37*Eingaben!$B$38*(1+Eingaben!$B$46)^(B49-1)),0),0)</f>
        <v>0</v>
      </c>
      <c r="D49" s="13" t="n">
        <f aca="false">IFERROR(IF(AND(B49&lt;=Eingaben!$B$11,Szenarien!$H$8="OK"),((Eingaben!$B$32+Eingaben!$B$35)*(1+Eingaben!$B$41)^(B49-1)+SUM(Variantenbilanz!E5:E370)*Eingaben!$B$33*Eingaben!$B$34*(1+Eingaben!$B$42)^(B49-1))*Szenarien!$F$8,0),0)</f>
        <v>0</v>
      </c>
      <c r="E49" s="13" t="n">
        <f aca="false">IFERROR(IF(AND(AND(B49&lt;=Eingaben!$B$11,Szenarien!$H$8="OK"),B49=Eingaben!$B$43),Eingaben!$B$44*Szenarien!$B$8*(1+Eingaben!$B$41)^(B49-1),0),0)</f>
        <v>0</v>
      </c>
      <c r="F49" s="13" t="n">
        <f aca="false">IFERROR(IF(AND(AND(B49&lt;=Eingaben!$B$11,Szenarien!$H$8="OK"),B49=Eingaben!$B$11),Eingaben!$B$45*Szenarien!$B$8,0),0)</f>
        <v>0</v>
      </c>
      <c r="G49" s="13" t="n">
        <f aca="false">C49-D49-E49+F49</f>
        <v>0</v>
      </c>
      <c r="H49" s="13" t="n">
        <f aca="false">IFERROR(IF(AND(B49&lt;=Eingaben!$B$11,Szenarien!$H$8="OK"),1/(1+Eingaben!$B$39+Szenarien!$G$8)^B49,0),0)</f>
        <v>0</v>
      </c>
      <c r="I49" s="13" t="n">
        <f aca="false">G49*H49</f>
        <v>0</v>
      </c>
      <c r="J49" s="13" t="n">
        <f aca="false">(D49+E49-F49)*H49</f>
        <v>0</v>
      </c>
      <c r="K49" s="13" t="n">
        <f aca="false">IF(AND(B49&lt;=Eingaben!$B$11,Szenarien!$H$8="OK"),SUM(Variantenbilanz!K5:K370)*H49,0)</f>
        <v>0</v>
      </c>
    </row>
    <row r="50" customFormat="false" ht="16.4" hidden="false" customHeight="false" outlineLevel="0" collapsed="false">
      <c r="A50" s="12"/>
      <c r="B50" s="15" t="n">
        <v>45</v>
      </c>
      <c r="C50" s="13" t="n">
        <f aca="false">IFERROR(IF(AND(B50&lt;=Eingaben!$B$11,Szenarien!$H$8="OK"),SUM(Variantenbilanz!K5:K370)*(Eingaben!$B$36*Szenarien!$C$8*(1+Eingaben!$B$40)^(B50-1)+Eingaben!$B$37*Eingaben!$B$38*(1+Eingaben!$B$46)^(B50-1)),0),0)</f>
        <v>0</v>
      </c>
      <c r="D50" s="13" t="n">
        <f aca="false">IFERROR(IF(AND(B50&lt;=Eingaben!$B$11,Szenarien!$H$8="OK"),((Eingaben!$B$32+Eingaben!$B$35)*(1+Eingaben!$B$41)^(B50-1)+SUM(Variantenbilanz!E5:E370)*Eingaben!$B$33*Eingaben!$B$34*(1+Eingaben!$B$42)^(B50-1))*Szenarien!$F$8,0),0)</f>
        <v>0</v>
      </c>
      <c r="E50" s="13" t="n">
        <f aca="false">IFERROR(IF(AND(AND(B50&lt;=Eingaben!$B$11,Szenarien!$H$8="OK"),B50=Eingaben!$B$43),Eingaben!$B$44*Szenarien!$B$8*(1+Eingaben!$B$41)^(B50-1),0),0)</f>
        <v>0</v>
      </c>
      <c r="F50" s="13" t="n">
        <f aca="false">IFERROR(IF(AND(AND(B50&lt;=Eingaben!$B$11,Szenarien!$H$8="OK"),B50=Eingaben!$B$11),Eingaben!$B$45*Szenarien!$B$8,0),0)</f>
        <v>0</v>
      </c>
      <c r="G50" s="13" t="n">
        <f aca="false">C50-D50-E50+F50</f>
        <v>0</v>
      </c>
      <c r="H50" s="13" t="n">
        <f aca="false">IFERROR(IF(AND(B50&lt;=Eingaben!$B$11,Szenarien!$H$8="OK"),1/(1+Eingaben!$B$39+Szenarien!$G$8)^B50,0),0)</f>
        <v>0</v>
      </c>
      <c r="I50" s="13" t="n">
        <f aca="false">G50*H50</f>
        <v>0</v>
      </c>
      <c r="J50" s="13" t="n">
        <f aca="false">(D50+E50-F50)*H50</f>
        <v>0</v>
      </c>
      <c r="K50" s="13" t="n">
        <f aca="false">IF(AND(B50&lt;=Eingaben!$B$11,Szenarien!$H$8="OK"),SUM(Variantenbilanz!K5:K370)*H50,0)</f>
        <v>0</v>
      </c>
    </row>
    <row r="51" customFormat="false" ht="16.4" hidden="false" customHeight="false" outlineLevel="0" collapsed="false">
      <c r="A51" s="12"/>
      <c r="B51" s="15" t="n">
        <v>46</v>
      </c>
      <c r="C51" s="13" t="n">
        <f aca="false">IFERROR(IF(AND(B51&lt;=Eingaben!$B$11,Szenarien!$H$8="OK"),SUM(Variantenbilanz!K5:K370)*(Eingaben!$B$36*Szenarien!$C$8*(1+Eingaben!$B$40)^(B51-1)+Eingaben!$B$37*Eingaben!$B$38*(1+Eingaben!$B$46)^(B51-1)),0),0)</f>
        <v>0</v>
      </c>
      <c r="D51" s="13" t="n">
        <f aca="false">IFERROR(IF(AND(B51&lt;=Eingaben!$B$11,Szenarien!$H$8="OK"),((Eingaben!$B$32+Eingaben!$B$35)*(1+Eingaben!$B$41)^(B51-1)+SUM(Variantenbilanz!E5:E370)*Eingaben!$B$33*Eingaben!$B$34*(1+Eingaben!$B$42)^(B51-1))*Szenarien!$F$8,0),0)</f>
        <v>0</v>
      </c>
      <c r="E51" s="13" t="n">
        <f aca="false">IFERROR(IF(AND(AND(B51&lt;=Eingaben!$B$11,Szenarien!$H$8="OK"),B51=Eingaben!$B$43),Eingaben!$B$44*Szenarien!$B$8*(1+Eingaben!$B$41)^(B51-1),0),0)</f>
        <v>0</v>
      </c>
      <c r="F51" s="13" t="n">
        <f aca="false">IFERROR(IF(AND(AND(B51&lt;=Eingaben!$B$11,Szenarien!$H$8="OK"),B51=Eingaben!$B$11),Eingaben!$B$45*Szenarien!$B$8,0),0)</f>
        <v>0</v>
      </c>
      <c r="G51" s="13" t="n">
        <f aca="false">C51-D51-E51+F51</f>
        <v>0</v>
      </c>
      <c r="H51" s="13" t="n">
        <f aca="false">IFERROR(IF(AND(B51&lt;=Eingaben!$B$11,Szenarien!$H$8="OK"),1/(1+Eingaben!$B$39+Szenarien!$G$8)^B51,0),0)</f>
        <v>0</v>
      </c>
      <c r="I51" s="13" t="n">
        <f aca="false">G51*H51</f>
        <v>0</v>
      </c>
      <c r="J51" s="13" t="n">
        <f aca="false">(D51+E51-F51)*H51</f>
        <v>0</v>
      </c>
      <c r="K51" s="13" t="n">
        <f aca="false">IF(AND(B51&lt;=Eingaben!$B$11,Szenarien!$H$8="OK"),SUM(Variantenbilanz!K5:K370)*H51,0)</f>
        <v>0</v>
      </c>
    </row>
    <row r="52" customFormat="false" ht="16.4" hidden="false" customHeight="false" outlineLevel="0" collapsed="false">
      <c r="A52" s="12"/>
      <c r="B52" s="15" t="n">
        <v>47</v>
      </c>
      <c r="C52" s="13" t="n">
        <f aca="false">IFERROR(IF(AND(B52&lt;=Eingaben!$B$11,Szenarien!$H$8="OK"),SUM(Variantenbilanz!K5:K370)*(Eingaben!$B$36*Szenarien!$C$8*(1+Eingaben!$B$40)^(B52-1)+Eingaben!$B$37*Eingaben!$B$38*(1+Eingaben!$B$46)^(B52-1)),0),0)</f>
        <v>0</v>
      </c>
      <c r="D52" s="13" t="n">
        <f aca="false">IFERROR(IF(AND(B52&lt;=Eingaben!$B$11,Szenarien!$H$8="OK"),((Eingaben!$B$32+Eingaben!$B$35)*(1+Eingaben!$B$41)^(B52-1)+SUM(Variantenbilanz!E5:E370)*Eingaben!$B$33*Eingaben!$B$34*(1+Eingaben!$B$42)^(B52-1))*Szenarien!$F$8,0),0)</f>
        <v>0</v>
      </c>
      <c r="E52" s="13" t="n">
        <f aca="false">IFERROR(IF(AND(AND(B52&lt;=Eingaben!$B$11,Szenarien!$H$8="OK"),B52=Eingaben!$B$43),Eingaben!$B$44*Szenarien!$B$8*(1+Eingaben!$B$41)^(B52-1),0),0)</f>
        <v>0</v>
      </c>
      <c r="F52" s="13" t="n">
        <f aca="false">IFERROR(IF(AND(AND(B52&lt;=Eingaben!$B$11,Szenarien!$H$8="OK"),B52=Eingaben!$B$11),Eingaben!$B$45*Szenarien!$B$8,0),0)</f>
        <v>0</v>
      </c>
      <c r="G52" s="13" t="n">
        <f aca="false">C52-D52-E52+F52</f>
        <v>0</v>
      </c>
      <c r="H52" s="13" t="n">
        <f aca="false">IFERROR(IF(AND(B52&lt;=Eingaben!$B$11,Szenarien!$H$8="OK"),1/(1+Eingaben!$B$39+Szenarien!$G$8)^B52,0),0)</f>
        <v>0</v>
      </c>
      <c r="I52" s="13" t="n">
        <f aca="false">G52*H52</f>
        <v>0</v>
      </c>
      <c r="J52" s="13" t="n">
        <f aca="false">(D52+E52-F52)*H52</f>
        <v>0</v>
      </c>
      <c r="K52" s="13" t="n">
        <f aca="false">IF(AND(B52&lt;=Eingaben!$B$11,Szenarien!$H$8="OK"),SUM(Variantenbilanz!K5:K370)*H52,0)</f>
        <v>0</v>
      </c>
    </row>
    <row r="53" customFormat="false" ht="16.4" hidden="false" customHeight="false" outlineLevel="0" collapsed="false">
      <c r="A53" s="12"/>
      <c r="B53" s="15" t="n">
        <v>48</v>
      </c>
      <c r="C53" s="13" t="n">
        <f aca="false">IFERROR(IF(AND(B53&lt;=Eingaben!$B$11,Szenarien!$H$8="OK"),SUM(Variantenbilanz!K5:K370)*(Eingaben!$B$36*Szenarien!$C$8*(1+Eingaben!$B$40)^(B53-1)+Eingaben!$B$37*Eingaben!$B$38*(1+Eingaben!$B$46)^(B53-1)),0),0)</f>
        <v>0</v>
      </c>
      <c r="D53" s="13" t="n">
        <f aca="false">IFERROR(IF(AND(B53&lt;=Eingaben!$B$11,Szenarien!$H$8="OK"),((Eingaben!$B$32+Eingaben!$B$35)*(1+Eingaben!$B$41)^(B53-1)+SUM(Variantenbilanz!E5:E370)*Eingaben!$B$33*Eingaben!$B$34*(1+Eingaben!$B$42)^(B53-1))*Szenarien!$F$8,0),0)</f>
        <v>0</v>
      </c>
      <c r="E53" s="13" t="n">
        <f aca="false">IFERROR(IF(AND(AND(B53&lt;=Eingaben!$B$11,Szenarien!$H$8="OK"),B53=Eingaben!$B$43),Eingaben!$B$44*Szenarien!$B$8*(1+Eingaben!$B$41)^(B53-1),0),0)</f>
        <v>0</v>
      </c>
      <c r="F53" s="13" t="n">
        <f aca="false">IFERROR(IF(AND(AND(B53&lt;=Eingaben!$B$11,Szenarien!$H$8="OK"),B53=Eingaben!$B$11),Eingaben!$B$45*Szenarien!$B$8,0),0)</f>
        <v>0</v>
      </c>
      <c r="G53" s="13" t="n">
        <f aca="false">C53-D53-E53+F53</f>
        <v>0</v>
      </c>
      <c r="H53" s="13" t="n">
        <f aca="false">IFERROR(IF(AND(B53&lt;=Eingaben!$B$11,Szenarien!$H$8="OK"),1/(1+Eingaben!$B$39+Szenarien!$G$8)^B53,0),0)</f>
        <v>0</v>
      </c>
      <c r="I53" s="13" t="n">
        <f aca="false">G53*H53</f>
        <v>0</v>
      </c>
      <c r="J53" s="13" t="n">
        <f aca="false">(D53+E53-F53)*H53</f>
        <v>0</v>
      </c>
      <c r="K53" s="13" t="n">
        <f aca="false">IF(AND(B53&lt;=Eingaben!$B$11,Szenarien!$H$8="OK"),SUM(Variantenbilanz!K5:K370)*H53,0)</f>
        <v>0</v>
      </c>
    </row>
    <row r="54" customFormat="false" ht="16.4" hidden="false" customHeight="false" outlineLevel="0" collapsed="false">
      <c r="A54" s="12"/>
      <c r="B54" s="15" t="n">
        <v>49</v>
      </c>
      <c r="C54" s="13" t="n">
        <f aca="false">IFERROR(IF(AND(B54&lt;=Eingaben!$B$11,Szenarien!$H$8="OK"),SUM(Variantenbilanz!K5:K370)*(Eingaben!$B$36*Szenarien!$C$8*(1+Eingaben!$B$40)^(B54-1)+Eingaben!$B$37*Eingaben!$B$38*(1+Eingaben!$B$46)^(B54-1)),0),0)</f>
        <v>0</v>
      </c>
      <c r="D54" s="13" t="n">
        <f aca="false">IFERROR(IF(AND(B54&lt;=Eingaben!$B$11,Szenarien!$H$8="OK"),((Eingaben!$B$32+Eingaben!$B$35)*(1+Eingaben!$B$41)^(B54-1)+SUM(Variantenbilanz!E5:E370)*Eingaben!$B$33*Eingaben!$B$34*(1+Eingaben!$B$42)^(B54-1))*Szenarien!$F$8,0),0)</f>
        <v>0</v>
      </c>
      <c r="E54" s="13" t="n">
        <f aca="false">IFERROR(IF(AND(AND(B54&lt;=Eingaben!$B$11,Szenarien!$H$8="OK"),B54=Eingaben!$B$43),Eingaben!$B$44*Szenarien!$B$8*(1+Eingaben!$B$41)^(B54-1),0),0)</f>
        <v>0</v>
      </c>
      <c r="F54" s="13" t="n">
        <f aca="false">IFERROR(IF(AND(AND(B54&lt;=Eingaben!$B$11,Szenarien!$H$8="OK"),B54=Eingaben!$B$11),Eingaben!$B$45*Szenarien!$B$8,0),0)</f>
        <v>0</v>
      </c>
      <c r="G54" s="13" t="n">
        <f aca="false">C54-D54-E54+F54</f>
        <v>0</v>
      </c>
      <c r="H54" s="13" t="n">
        <f aca="false">IFERROR(IF(AND(B54&lt;=Eingaben!$B$11,Szenarien!$H$8="OK"),1/(1+Eingaben!$B$39+Szenarien!$G$8)^B54,0),0)</f>
        <v>0</v>
      </c>
      <c r="I54" s="13" t="n">
        <f aca="false">G54*H54</f>
        <v>0</v>
      </c>
      <c r="J54" s="13" t="n">
        <f aca="false">(D54+E54-F54)*H54</f>
        <v>0</v>
      </c>
      <c r="K54" s="13" t="n">
        <f aca="false">IF(AND(B54&lt;=Eingaben!$B$11,Szenarien!$H$8="OK"),SUM(Variantenbilanz!K5:K370)*H54,0)</f>
        <v>0</v>
      </c>
    </row>
    <row r="55" customFormat="false" ht="16.4" hidden="false" customHeight="false" outlineLevel="0" collapsed="false">
      <c r="A55" s="12"/>
      <c r="B55" s="15" t="n">
        <v>50</v>
      </c>
      <c r="C55" s="13" t="n">
        <f aca="false">IFERROR(IF(AND(B55&lt;=Eingaben!$B$11,Szenarien!$H$8="OK"),SUM(Variantenbilanz!K5:K370)*(Eingaben!$B$36*Szenarien!$C$8*(1+Eingaben!$B$40)^(B55-1)+Eingaben!$B$37*Eingaben!$B$38*(1+Eingaben!$B$46)^(B55-1)),0),0)</f>
        <v>0</v>
      </c>
      <c r="D55" s="13" t="n">
        <f aca="false">IFERROR(IF(AND(B55&lt;=Eingaben!$B$11,Szenarien!$H$8="OK"),((Eingaben!$B$32+Eingaben!$B$35)*(1+Eingaben!$B$41)^(B55-1)+SUM(Variantenbilanz!E5:E370)*Eingaben!$B$33*Eingaben!$B$34*(1+Eingaben!$B$42)^(B55-1))*Szenarien!$F$8,0),0)</f>
        <v>0</v>
      </c>
      <c r="E55" s="13" t="n">
        <f aca="false">IFERROR(IF(AND(AND(B55&lt;=Eingaben!$B$11,Szenarien!$H$8="OK"),B55=Eingaben!$B$43),Eingaben!$B$44*Szenarien!$B$8*(1+Eingaben!$B$41)^(B55-1),0),0)</f>
        <v>0</v>
      </c>
      <c r="F55" s="13" t="n">
        <f aca="false">IFERROR(IF(AND(AND(B55&lt;=Eingaben!$B$11,Szenarien!$H$8="OK"),B55=Eingaben!$B$11),Eingaben!$B$45*Szenarien!$B$8,0),0)</f>
        <v>0</v>
      </c>
      <c r="G55" s="13" t="n">
        <f aca="false">C55-D55-E55+F55</f>
        <v>0</v>
      </c>
      <c r="H55" s="13" t="n">
        <f aca="false">IFERROR(IF(AND(B55&lt;=Eingaben!$B$11,Szenarien!$H$8="OK"),1/(1+Eingaben!$B$39+Szenarien!$G$8)^B55,0),0)</f>
        <v>0</v>
      </c>
      <c r="I55" s="13" t="n">
        <f aca="false">G55*H55</f>
        <v>0</v>
      </c>
      <c r="J55" s="13" t="n">
        <f aca="false">(D55+E55-F55)*H55</f>
        <v>0</v>
      </c>
      <c r="K55" s="13" t="n">
        <f aca="false">IF(AND(B55&lt;=Eingaben!$B$11,Szenarien!$H$8="OK"),SUM(Variantenbilanz!K5:K370)*H55,0)</f>
        <v>0</v>
      </c>
    </row>
    <row r="56" customFormat="false" ht="16.4" hidden="false" customHeight="false" outlineLevel="0" collapsed="false">
      <c r="A56" s="12" t="s">
        <v>327</v>
      </c>
      <c r="B56" s="15" t="n">
        <v>0</v>
      </c>
      <c r="C56" s="13" t="n">
        <f aca="false">0</f>
        <v>0</v>
      </c>
      <c r="D56" s="13" t="n">
        <f aca="false">0</f>
        <v>0</v>
      </c>
      <c r="E56" s="13" t="n">
        <f aca="false">MAX(0,Berechnung!$B$13*Szenarien!$B$9-MIN(Eingaben!$B$31,Berechnung!$B$13*Szenarien!$B$9))</f>
        <v>25000</v>
      </c>
      <c r="F56" s="13" t="n">
        <f aca="false">0</f>
        <v>0</v>
      </c>
      <c r="G56" s="13" t="n">
        <f aca="false">-E56</f>
        <v>-25000</v>
      </c>
      <c r="H56" s="13" t="n">
        <f aca="false">1</f>
        <v>1</v>
      </c>
      <c r="I56" s="13" t="n">
        <f aca="false">G56</f>
        <v>-25000</v>
      </c>
      <c r="J56" s="13" t="n">
        <f aca="false">E56</f>
        <v>25000</v>
      </c>
      <c r="K56" s="13" t="n">
        <f aca="false">0</f>
        <v>0</v>
      </c>
    </row>
    <row r="57" customFormat="false" ht="16.4" hidden="false" customHeight="false" outlineLevel="0" collapsed="false">
      <c r="A57" s="12"/>
      <c r="B57" s="15" t="n">
        <v>1</v>
      </c>
      <c r="C57" s="13" t="n">
        <f aca="false">IFERROR(IF(AND(B57&lt;=Eingaben!$B$11,Szenarien!$H$9="OK"),SUM(Variantenbilanz!K371:K736)*(Eingaben!$B$36*Szenarien!$C$9*(1+Eingaben!$B$40)^(B57-1)+Eingaben!$B$37*Eingaben!$B$38*(1+Eingaben!$B$46)^(B57-1)),0),0)</f>
        <v>1388.474393</v>
      </c>
      <c r="D57" s="13" t="n">
        <f aca="false">IFERROR(IF(AND(B57&lt;=Eingaben!$B$11,Szenarien!$H$9="OK"),((Eingaben!$B$32+Eingaben!$B$35)*(1+Eingaben!$B$41)^(B57-1)+SUM(Variantenbilanz!E371:E736)*Eingaben!$B$33*Eingaben!$B$34*(1+Eingaben!$B$42)^(B57-1))*Szenarien!$F$9,0),0)</f>
        <v>781.527</v>
      </c>
      <c r="E57" s="13" t="n">
        <f aca="false">IFERROR(IF(AND(AND(B57&lt;=Eingaben!$B$11,Szenarien!$H$9="OK"),B57=Eingaben!$B$43),Eingaben!$B$44*Szenarien!$B$9*(1+Eingaben!$B$41)^(B57-1),0),0)</f>
        <v>0</v>
      </c>
      <c r="F57" s="13" t="n">
        <f aca="false">IFERROR(IF(AND(AND(B57&lt;=Eingaben!$B$11,Szenarien!$H$9="OK"),B57=Eingaben!$B$11),Eingaben!$B$45*Szenarien!$B$9,0),0)</f>
        <v>0</v>
      </c>
      <c r="G57" s="13" t="n">
        <f aca="false">C57-D57-E57+F57</f>
        <v>606.947393</v>
      </c>
      <c r="H57" s="13" t="n">
        <f aca="false">IFERROR(IF(AND(B57&lt;=Eingaben!$B$11,Szenarien!$H$9="OK"),1/(1+Eingaben!$B$39+Szenarien!$G$9)^B57,0),0)</f>
        <v>0.970873786407767</v>
      </c>
      <c r="I57" s="13" t="n">
        <f aca="false">G57*H57</f>
        <v>589.269313592233</v>
      </c>
      <c r="J57" s="13" t="n">
        <f aca="false">(D57+E57-F57)*H57</f>
        <v>758.764077669903</v>
      </c>
      <c r="K57" s="13" t="n">
        <f aca="false">IF(AND(B57&lt;=Eingaben!$B$11,Szenarien!$H$9="OK"),SUM(Variantenbilanz!K371:K736)*H57,0)</f>
        <v>539.213356504854</v>
      </c>
    </row>
    <row r="58" customFormat="false" ht="16.4" hidden="false" customHeight="false" outlineLevel="0" collapsed="false">
      <c r="A58" s="12"/>
      <c r="B58" s="15" t="n">
        <v>2</v>
      </c>
      <c r="C58" s="13" t="n">
        <f aca="false">IFERROR(IF(AND(B58&lt;=Eingaben!$B$11,Szenarien!$H$9="OK"),SUM(Variantenbilanz!K371:K736)*(Eingaben!$B$36*Szenarien!$C$9*(1+Eingaben!$B$40)^(B58-1)+Eingaben!$B$37*Eingaben!$B$38*(1+Eingaben!$B$46)^(B58-1)),0),0)</f>
        <v>1416.24388086</v>
      </c>
      <c r="D58" s="13" t="n">
        <f aca="false">IFERROR(IF(AND(B58&lt;=Eingaben!$B$11,Szenarien!$H$9="OK"),((Eingaben!$B$32+Eingaben!$B$35)*(1+Eingaben!$B$41)^(B58-1)+SUM(Variantenbilanz!E371:E736)*Eingaben!$B$33*Eingaben!$B$34*(1+Eingaben!$B$42)^(B58-1))*Szenarien!$F$9,0),0)</f>
        <v>797.15754</v>
      </c>
      <c r="E58" s="13" t="n">
        <f aca="false">IFERROR(IF(AND(AND(B58&lt;=Eingaben!$B$11,Szenarien!$H$9="OK"),B58=Eingaben!$B$43),Eingaben!$B$44*Szenarien!$B$9*(1+Eingaben!$B$41)^(B58-1),0),0)</f>
        <v>0</v>
      </c>
      <c r="F58" s="13" t="n">
        <f aca="false">IFERROR(IF(AND(AND(B58&lt;=Eingaben!$B$11,Szenarien!$H$9="OK"),B58=Eingaben!$B$11),Eingaben!$B$45*Szenarien!$B$9,0),0)</f>
        <v>0</v>
      </c>
      <c r="G58" s="13" t="n">
        <f aca="false">C58-D58-E58+F58</f>
        <v>619.08634086</v>
      </c>
      <c r="H58" s="13" t="n">
        <f aca="false">IFERROR(IF(AND(B58&lt;=Eingaben!$B$11,Szenarien!$H$9="OK"),1/(1+Eingaben!$B$39+Szenarien!$G$9)^B58,0),0)</f>
        <v>0.942595909133754</v>
      </c>
      <c r="I58" s="13" t="n">
        <f aca="false">G58*H58</f>
        <v>583.548252295221</v>
      </c>
      <c r="J58" s="13" t="n">
        <f aca="false">(D58+E58-F58)*H58</f>
        <v>751.397436139127</v>
      </c>
      <c r="K58" s="13" t="n">
        <f aca="false">IF(AND(B58&lt;=Eingaben!$B$11,Szenarien!$H$9="OK"),SUM(Variantenbilanz!K371:K736)*H58,0)</f>
        <v>523.508113111509</v>
      </c>
    </row>
    <row r="59" customFormat="false" ht="16.4" hidden="false" customHeight="false" outlineLevel="0" collapsed="false">
      <c r="A59" s="12"/>
      <c r="B59" s="15" t="n">
        <v>3</v>
      </c>
      <c r="C59" s="13" t="n">
        <f aca="false">IFERROR(IF(AND(B59&lt;=Eingaben!$B$11,Szenarien!$H$9="OK"),SUM(Variantenbilanz!K371:K736)*(Eingaben!$B$36*Szenarien!$C$9*(1+Eingaben!$B$40)^(B59-1)+Eingaben!$B$37*Eingaben!$B$38*(1+Eingaben!$B$46)^(B59-1)),0),0)</f>
        <v>1444.5687584772</v>
      </c>
      <c r="D59" s="13" t="n">
        <f aca="false">IFERROR(IF(AND(B59&lt;=Eingaben!$B$11,Szenarien!$H$9="OK"),((Eingaben!$B$32+Eingaben!$B$35)*(1+Eingaben!$B$41)^(B59-1)+SUM(Variantenbilanz!E371:E736)*Eingaben!$B$33*Eingaben!$B$34*(1+Eingaben!$B$42)^(B59-1))*Szenarien!$F$9,0),0)</f>
        <v>813.1006908</v>
      </c>
      <c r="E59" s="13" t="n">
        <f aca="false">IFERROR(IF(AND(AND(B59&lt;=Eingaben!$B$11,Szenarien!$H$9="OK"),B59=Eingaben!$B$43),Eingaben!$B$44*Szenarien!$B$9*(1+Eingaben!$B$41)^(B59-1),0),0)</f>
        <v>0</v>
      </c>
      <c r="F59" s="13" t="n">
        <f aca="false">IFERROR(IF(AND(AND(B59&lt;=Eingaben!$B$11,Szenarien!$H$9="OK"),B59=Eingaben!$B$11),Eingaben!$B$45*Szenarien!$B$9,0),0)</f>
        <v>0</v>
      </c>
      <c r="G59" s="13" t="n">
        <f aca="false">C59-D59-E59+F59</f>
        <v>631.4680676772</v>
      </c>
      <c r="H59" s="13" t="n">
        <f aca="false">IFERROR(IF(AND(B59&lt;=Eingaben!$B$11,Szenarien!$H$9="OK"),1/(1+Eingaben!$B$39+Szenarien!$G$9)^B59,0),0)</f>
        <v>0.91514165935316</v>
      </c>
      <c r="I59" s="13" t="n">
        <f aca="false">G59*H59</f>
        <v>577.882735282646</v>
      </c>
      <c r="J59" s="13" t="n">
        <f aca="false">(D59+E59-F59)*H59</f>
        <v>744.102315399912</v>
      </c>
      <c r="K59" s="13" t="n">
        <f aca="false">IF(AND(B59&lt;=Eingaben!$B$11,Szenarien!$H$9="OK"),SUM(Variantenbilanz!K371:K736)*H59,0)</f>
        <v>508.260303991756</v>
      </c>
    </row>
    <row r="60" customFormat="false" ht="16.4" hidden="false" customHeight="false" outlineLevel="0" collapsed="false">
      <c r="A60" s="12"/>
      <c r="B60" s="15" t="n">
        <v>4</v>
      </c>
      <c r="C60" s="13" t="n">
        <f aca="false">IFERROR(IF(AND(B60&lt;=Eingaben!$B$11,Szenarien!$H$9="OK"),SUM(Variantenbilanz!K371:K736)*(Eingaben!$B$36*Szenarien!$C$9*(1+Eingaben!$B$40)^(B60-1)+Eingaben!$B$37*Eingaben!$B$38*(1+Eingaben!$B$46)^(B60-1)),0),0)</f>
        <v>1473.46013364674</v>
      </c>
      <c r="D60" s="13" t="n">
        <f aca="false">IFERROR(IF(AND(B60&lt;=Eingaben!$B$11,Szenarien!$H$9="OK"),((Eingaben!$B$32+Eingaben!$B$35)*(1+Eingaben!$B$41)^(B60-1)+SUM(Variantenbilanz!E371:E736)*Eingaben!$B$33*Eingaben!$B$34*(1+Eingaben!$B$42)^(B60-1))*Szenarien!$F$9,0),0)</f>
        <v>829.362704616</v>
      </c>
      <c r="E60" s="13" t="n">
        <f aca="false">IFERROR(IF(AND(AND(B60&lt;=Eingaben!$B$11,Szenarien!$H$9="OK"),B60=Eingaben!$B$43),Eingaben!$B$44*Szenarien!$B$9*(1+Eingaben!$B$41)^(B60-1),0),0)</f>
        <v>0</v>
      </c>
      <c r="F60" s="13" t="n">
        <f aca="false">IFERROR(IF(AND(AND(B60&lt;=Eingaben!$B$11,Szenarien!$H$9="OK"),B60=Eingaben!$B$11),Eingaben!$B$45*Szenarien!$B$9,0),0)</f>
        <v>0</v>
      </c>
      <c r="G60" s="13" t="n">
        <f aca="false">C60-D60-E60+F60</f>
        <v>644.097429030744</v>
      </c>
      <c r="H60" s="13" t="n">
        <f aca="false">IFERROR(IF(AND(B60&lt;=Eingaben!$B$11,Szenarien!$H$9="OK"),1/(1+Eingaben!$B$39+Szenarien!$G$9)^B60,0),0)</f>
        <v>0.888487047915689</v>
      </c>
      <c r="I60" s="13" t="n">
        <f aca="false">G60*H60</f>
        <v>572.272223289611</v>
      </c>
      <c r="J60" s="13" t="n">
        <f aca="false">(D60+E60-F60)*H60</f>
        <v>736.878021075641</v>
      </c>
      <c r="K60" s="13" t="n">
        <f aca="false">IF(AND(B60&lt;=Eingaben!$B$11,Szenarien!$H$9="OK"),SUM(Variantenbilanz!K371:K736)*H60,0)</f>
        <v>493.456605817239</v>
      </c>
    </row>
    <row r="61" customFormat="false" ht="16.4" hidden="false" customHeight="false" outlineLevel="0" collapsed="false">
      <c r="A61" s="12"/>
      <c r="B61" s="15" t="n">
        <v>5</v>
      </c>
      <c r="C61" s="13" t="n">
        <f aca="false">IFERROR(IF(AND(B61&lt;=Eingaben!$B$11,Szenarien!$H$9="OK"),SUM(Variantenbilanz!K371:K736)*(Eingaben!$B$36*Szenarien!$C$9*(1+Eingaben!$B$40)^(B61-1)+Eingaben!$B$37*Eingaben!$B$38*(1+Eingaben!$B$46)^(B61-1)),0),0)</f>
        <v>1502.92933631968</v>
      </c>
      <c r="D61" s="13" t="n">
        <f aca="false">IFERROR(IF(AND(B61&lt;=Eingaben!$B$11,Szenarien!$H$9="OK"),((Eingaben!$B$32+Eingaben!$B$35)*(1+Eingaben!$B$41)^(B61-1)+SUM(Variantenbilanz!E371:E736)*Eingaben!$B$33*Eingaben!$B$34*(1+Eingaben!$B$42)^(B61-1))*Szenarien!$F$9,0),0)</f>
        <v>845.94995870832</v>
      </c>
      <c r="E61" s="13" t="n">
        <f aca="false">IFERROR(IF(AND(AND(B61&lt;=Eingaben!$B$11,Szenarien!$H$9="OK"),B61=Eingaben!$B$43),Eingaben!$B$44*Szenarien!$B$9*(1+Eingaben!$B$41)^(B61-1),0),0)</f>
        <v>0</v>
      </c>
      <c r="F61" s="13" t="n">
        <f aca="false">IFERROR(IF(AND(AND(B61&lt;=Eingaben!$B$11,Szenarien!$H$9="OK"),B61=Eingaben!$B$11),Eingaben!$B$45*Szenarien!$B$9,0),0)</f>
        <v>0</v>
      </c>
      <c r="G61" s="13" t="n">
        <f aca="false">C61-D61-E61+F61</f>
        <v>656.979377611359</v>
      </c>
      <c r="H61" s="13" t="n">
        <f aca="false">IFERROR(IF(AND(B61&lt;=Eingaben!$B$11,Szenarien!$H$9="OK"),1/(1+Eingaben!$B$39+Szenarien!$G$9)^B61,0),0)</f>
        <v>0.862608784384164</v>
      </c>
      <c r="I61" s="13" t="n">
        <f aca="false">G61*H61</f>
        <v>566.716182286799</v>
      </c>
      <c r="J61" s="13" t="n">
        <f aca="false">(D61+E61-F61)*H61</f>
        <v>729.723865531218</v>
      </c>
      <c r="K61" s="13" t="n">
        <f aca="false">IF(AND(B61&lt;=Eingaben!$B$11,Szenarien!$H$9="OK"),SUM(Variantenbilanz!K371:K736)*H61,0)</f>
        <v>479.084083317708</v>
      </c>
    </row>
    <row r="62" customFormat="false" ht="16.4" hidden="false" customHeight="false" outlineLevel="0" collapsed="false">
      <c r="A62" s="12"/>
      <c r="B62" s="15" t="n">
        <v>6</v>
      </c>
      <c r="C62" s="13" t="n">
        <f aca="false">IFERROR(IF(AND(B62&lt;=Eingaben!$B$11,Szenarien!$H$9="OK"),SUM(Variantenbilanz!K371:K736)*(Eingaben!$B$36*Szenarien!$C$9*(1+Eingaben!$B$40)^(B62-1)+Eingaben!$B$37*Eingaben!$B$38*(1+Eingaben!$B$46)^(B62-1)),0),0)</f>
        <v>1532.98792304607</v>
      </c>
      <c r="D62" s="13" t="n">
        <f aca="false">IFERROR(IF(AND(B62&lt;=Eingaben!$B$11,Szenarien!$H$9="OK"),((Eingaben!$B$32+Eingaben!$B$35)*(1+Eingaben!$B$41)^(B62-1)+SUM(Variantenbilanz!E371:E736)*Eingaben!$B$33*Eingaben!$B$34*(1+Eingaben!$B$42)^(B62-1))*Szenarien!$F$9,0),0)</f>
        <v>862.868957882486</v>
      </c>
      <c r="E62" s="13" t="n">
        <f aca="false">IFERROR(IF(AND(AND(B62&lt;=Eingaben!$B$11,Szenarien!$H$9="OK"),B62=Eingaben!$B$43),Eingaben!$B$44*Szenarien!$B$9*(1+Eingaben!$B$41)^(B62-1),0),0)</f>
        <v>0</v>
      </c>
      <c r="F62" s="13" t="n">
        <f aca="false">IFERROR(IF(AND(AND(B62&lt;=Eingaben!$B$11,Szenarien!$H$9="OK"),B62=Eingaben!$B$11),Eingaben!$B$45*Szenarien!$B$9,0),0)</f>
        <v>0</v>
      </c>
      <c r="G62" s="13" t="n">
        <f aca="false">C62-D62-E62+F62</f>
        <v>670.118965163586</v>
      </c>
      <c r="H62" s="13" t="n">
        <f aca="false">IFERROR(IF(AND(B62&lt;=Eingaben!$B$11,Szenarien!$H$9="OK"),1/(1+Eingaben!$B$39+Szenarien!$G$9)^B62,0),0)</f>
        <v>0.837484256683654</v>
      </c>
      <c r="I62" s="13" t="n">
        <f aca="false">G62*H62</f>
        <v>561.214083429646</v>
      </c>
      <c r="J62" s="13" t="n">
        <f aca="false">(D62+E62-F62)*H62</f>
        <v>722.639167807614</v>
      </c>
      <c r="K62" s="13" t="n">
        <f aca="false">IF(AND(B62&lt;=Eingaben!$B$11,Szenarien!$H$9="OK"),SUM(Variantenbilanz!K371:K736)*H62,0)</f>
        <v>465.130177978357</v>
      </c>
    </row>
    <row r="63" customFormat="false" ht="16.4" hidden="false" customHeight="false" outlineLevel="0" collapsed="false">
      <c r="A63" s="12"/>
      <c r="B63" s="15" t="n">
        <v>7</v>
      </c>
      <c r="C63" s="13" t="n">
        <f aca="false">IFERROR(IF(AND(B63&lt;=Eingaben!$B$11,Szenarien!$H$9="OK"),SUM(Variantenbilanz!K371:K736)*(Eingaben!$B$36*Szenarien!$C$9*(1+Eingaben!$B$40)^(B63-1)+Eingaben!$B$37*Eingaben!$B$38*(1+Eingaben!$B$46)^(B63-1)),0),0)</f>
        <v>1563.64768150699</v>
      </c>
      <c r="D63" s="13" t="n">
        <f aca="false">IFERROR(IF(AND(B63&lt;=Eingaben!$B$11,Szenarien!$H$9="OK"),((Eingaben!$B$32+Eingaben!$B$35)*(1+Eingaben!$B$41)^(B63-1)+SUM(Variantenbilanz!E371:E736)*Eingaben!$B$33*Eingaben!$B$34*(1+Eingaben!$B$42)^(B63-1))*Szenarien!$F$9,0),0)</f>
        <v>880.126337040136</v>
      </c>
      <c r="E63" s="13" t="n">
        <f aca="false">IFERROR(IF(AND(AND(B63&lt;=Eingaben!$B$11,Szenarien!$H$9="OK"),B63=Eingaben!$B$43),Eingaben!$B$44*Szenarien!$B$9*(1+Eingaben!$B$41)^(B63-1),0),0)</f>
        <v>0</v>
      </c>
      <c r="F63" s="13" t="n">
        <f aca="false">IFERROR(IF(AND(AND(B63&lt;=Eingaben!$B$11,Szenarien!$H$9="OK"),B63=Eingaben!$B$11),Eingaben!$B$45*Szenarien!$B$9,0),0)</f>
        <v>0</v>
      </c>
      <c r="G63" s="13" t="n">
        <f aca="false">C63-D63-E63+F63</f>
        <v>683.521344466858</v>
      </c>
      <c r="H63" s="13" t="n">
        <f aca="false">IFERROR(IF(AND(B63&lt;=Eingaben!$B$11,Szenarien!$H$9="OK"),1/(1+Eingaben!$B$39+Szenarien!$G$9)^B63,0),0)</f>
        <v>0.813091511343354</v>
      </c>
      <c r="I63" s="13" t="n">
        <f aca="false">G63*H63</f>
        <v>555.765403007998</v>
      </c>
      <c r="J63" s="13" t="n">
        <f aca="false">(D63+E63-F63)*H63</f>
        <v>715.623253557054</v>
      </c>
      <c r="K63" s="13" t="n">
        <f aca="false">IF(AND(B63&lt;=Eingaben!$B$11,Szenarien!$H$9="OK"),SUM(Variantenbilanz!K371:K736)*H63,0)</f>
        <v>451.582697066366</v>
      </c>
    </row>
    <row r="64" customFormat="false" ht="16.4" hidden="false" customHeight="false" outlineLevel="0" collapsed="false">
      <c r="A64" s="12"/>
      <c r="B64" s="15" t="n">
        <v>8</v>
      </c>
      <c r="C64" s="13" t="n">
        <f aca="false">IFERROR(IF(AND(B64&lt;=Eingaben!$B$11,Szenarien!$H$9="OK"),SUM(Variantenbilanz!K371:K736)*(Eingaben!$B$36*Szenarien!$C$9*(1+Eingaben!$B$40)^(B64-1)+Eingaben!$B$37*Eingaben!$B$38*(1+Eingaben!$B$46)^(B64-1)),0),0)</f>
        <v>1594.92063513713</v>
      </c>
      <c r="D64" s="13" t="n">
        <f aca="false">IFERROR(IF(AND(B64&lt;=Eingaben!$B$11,Szenarien!$H$9="OK"),((Eingaben!$B$32+Eingaben!$B$35)*(1+Eingaben!$B$41)^(B64-1)+SUM(Variantenbilanz!E371:E736)*Eingaben!$B$33*Eingaben!$B$34*(1+Eingaben!$B$42)^(B64-1))*Szenarien!$F$9,0),0)</f>
        <v>897.728863780939</v>
      </c>
      <c r="E64" s="13" t="n">
        <f aca="false">IFERROR(IF(AND(AND(B64&lt;=Eingaben!$B$11,Szenarien!$H$9="OK"),B64=Eingaben!$B$43),Eingaben!$B$44*Szenarien!$B$9*(1+Eingaben!$B$41)^(B64-1),0),0)</f>
        <v>0</v>
      </c>
      <c r="F64" s="13" t="n">
        <f aca="false">IFERROR(IF(AND(AND(B64&lt;=Eingaben!$B$11,Szenarien!$H$9="OK"),B64=Eingaben!$B$11),Eingaben!$B$45*Szenarien!$B$9,0),0)</f>
        <v>0</v>
      </c>
      <c r="G64" s="13" t="n">
        <f aca="false">C64-D64-E64+F64</f>
        <v>697.191771356195</v>
      </c>
      <c r="H64" s="13" t="n">
        <f aca="false">IFERROR(IF(AND(B64&lt;=Eingaben!$B$11,Szenarien!$H$9="OK"),1/(1+Eingaben!$B$39+Szenarien!$G$9)^B64,0),0)</f>
        <v>0.789409234313936</v>
      </c>
      <c r="I64" s="13" t="n">
        <f aca="false">G64*H64</f>
        <v>550.36962239627</v>
      </c>
      <c r="J64" s="13" t="n">
        <f aca="false">(D64+E64-F64)*H64</f>
        <v>708.67545497883</v>
      </c>
      <c r="K64" s="13" t="n">
        <f aca="false">IF(AND(B64&lt;=Eingaben!$B$11,Szenarien!$H$9="OK"),SUM(Variantenbilanz!K371:K736)*H64,0)</f>
        <v>438.429802977055</v>
      </c>
    </row>
    <row r="65" customFormat="false" ht="16.4" hidden="false" customHeight="false" outlineLevel="0" collapsed="false">
      <c r="A65" s="12"/>
      <c r="B65" s="15" t="n">
        <v>9</v>
      </c>
      <c r="C65" s="13" t="n">
        <f aca="false">IFERROR(IF(AND(B65&lt;=Eingaben!$B$11,Szenarien!$H$9="OK"),SUM(Variantenbilanz!K371:K736)*(Eingaben!$B$36*Szenarien!$C$9*(1+Eingaben!$B$40)^(B65-1)+Eingaben!$B$37*Eingaben!$B$38*(1+Eingaben!$B$46)^(B65-1)),0),0)</f>
        <v>1626.81904783988</v>
      </c>
      <c r="D65" s="13" t="n">
        <f aca="false">IFERROR(IF(AND(B65&lt;=Eingaben!$B$11,Szenarien!$H$9="OK"),((Eingaben!$B$32+Eingaben!$B$35)*(1+Eingaben!$B$41)^(B65-1)+SUM(Variantenbilanz!E371:E736)*Eingaben!$B$33*Eingaben!$B$34*(1+Eingaben!$B$42)^(B65-1))*Szenarien!$F$9,0),0)</f>
        <v>915.683441056558</v>
      </c>
      <c r="E65" s="13" t="n">
        <f aca="false">IFERROR(IF(AND(AND(B65&lt;=Eingaben!$B$11,Szenarien!$H$9="OK"),B65=Eingaben!$B$43),Eingaben!$B$44*Szenarien!$B$9*(1+Eingaben!$B$41)^(B65-1),0),0)</f>
        <v>0</v>
      </c>
      <c r="F65" s="13" t="n">
        <f aca="false">IFERROR(IF(AND(AND(B65&lt;=Eingaben!$B$11,Szenarien!$H$9="OK"),B65=Eingaben!$B$11),Eingaben!$B$45*Szenarien!$B$9,0),0)</f>
        <v>0</v>
      </c>
      <c r="G65" s="13" t="n">
        <f aca="false">C65-D65-E65+F65</f>
        <v>711.135606783319</v>
      </c>
      <c r="H65" s="13" t="n">
        <f aca="false">IFERROR(IF(AND(B65&lt;=Eingaben!$B$11,Szenarien!$H$9="OK"),1/(1+Eingaben!$B$39+Szenarien!$G$9)^B65,0),0)</f>
        <v>0.766416732343627</v>
      </c>
      <c r="I65" s="13" t="n">
        <f aca="false">G65*H65</f>
        <v>545.026228004074</v>
      </c>
      <c r="J65" s="13" t="n">
        <f aca="false">(D65+E65-F65)*H65</f>
        <v>701.795110755735</v>
      </c>
      <c r="K65" s="13" t="n">
        <f aca="false">IF(AND(B65&lt;=Eingaben!$B$11,Szenarien!$H$9="OK"),SUM(Variantenbilanz!K371:K736)*H65,0)</f>
        <v>425.660002890344</v>
      </c>
    </row>
    <row r="66" customFormat="false" ht="16.4" hidden="false" customHeight="false" outlineLevel="0" collapsed="false">
      <c r="A66" s="12"/>
      <c r="B66" s="15" t="n">
        <v>10</v>
      </c>
      <c r="C66" s="13" t="n">
        <f aca="false">IFERROR(IF(AND(B66&lt;=Eingaben!$B$11,Szenarien!$H$9="OK"),SUM(Variantenbilanz!K371:K736)*(Eingaben!$B$36*Szenarien!$C$9*(1+Eingaben!$B$40)^(B66-1)+Eingaben!$B$37*Eingaben!$B$38*(1+Eingaben!$B$46)^(B66-1)),0),0)</f>
        <v>1659.35542879667</v>
      </c>
      <c r="D66" s="13" t="n">
        <f aca="false">IFERROR(IF(AND(B66&lt;=Eingaben!$B$11,Szenarien!$H$9="OK"),((Eingaben!$B$32+Eingaben!$B$35)*(1+Eingaben!$B$41)^(B66-1)+SUM(Variantenbilanz!E371:E736)*Eingaben!$B$33*Eingaben!$B$34*(1+Eingaben!$B$42)^(B66-1))*Szenarien!$F$9,0),0)</f>
        <v>933.997109877689</v>
      </c>
      <c r="E66" s="13" t="n">
        <f aca="false">IFERROR(IF(AND(AND(B66&lt;=Eingaben!$B$11,Szenarien!$H$9="OK"),B66=Eingaben!$B$43),Eingaben!$B$44*Szenarien!$B$9*(1+Eingaben!$B$41)^(B66-1),0),0)</f>
        <v>4780.37027448924</v>
      </c>
      <c r="F66" s="13" t="n">
        <f aca="false">IFERROR(IF(AND(AND(B66&lt;=Eingaben!$B$11,Szenarien!$H$9="OK"),B66=Eingaben!$B$11),Eingaben!$B$45*Szenarien!$B$9,0),0)</f>
        <v>0</v>
      </c>
      <c r="G66" s="13" t="n">
        <f aca="false">C66-D66-E66+F66</f>
        <v>-4055.01195557026</v>
      </c>
      <c r="H66" s="13" t="n">
        <f aca="false">IFERROR(IF(AND(B66&lt;=Eingaben!$B$11,Szenarien!$H$9="OK"),1/(1+Eingaben!$B$39+Szenarien!$G$9)^B66,0),0)</f>
        <v>0.744093914896725</v>
      </c>
      <c r="I66" s="13" t="n">
        <f aca="false">G66*H66</f>
        <v>-3017.3097209733</v>
      </c>
      <c r="J66" s="13" t="n">
        <f aca="false">(D66+E66-F66)*H66</f>
        <v>4252.02599819175</v>
      </c>
      <c r="K66" s="13" t="n">
        <f aca="false">IF(AND(B66&lt;=Eingaben!$B$11,Szenarien!$H$9="OK"),SUM(Variantenbilanz!K371:K736)*H66,0)</f>
        <v>413.26213872849</v>
      </c>
    </row>
    <row r="67" customFormat="false" ht="16.4" hidden="false" customHeight="false" outlineLevel="0" collapsed="false">
      <c r="A67" s="12"/>
      <c r="B67" s="15" t="n">
        <v>11</v>
      </c>
      <c r="C67" s="13" t="n">
        <f aca="false">IFERROR(IF(AND(B67&lt;=Eingaben!$B$11,Szenarien!$H$9="OK"),SUM(Variantenbilanz!K371:K736)*(Eingaben!$B$36*Szenarien!$C$9*(1+Eingaben!$B$40)^(B67-1)+Eingaben!$B$37*Eingaben!$B$38*(1+Eingaben!$B$46)^(B67-1)),0),0)</f>
        <v>1692.54253737261</v>
      </c>
      <c r="D67" s="13" t="n">
        <f aca="false">IFERROR(IF(AND(B67&lt;=Eingaben!$B$11,Szenarien!$H$9="OK"),((Eingaben!$B$32+Eingaben!$B$35)*(1+Eingaben!$B$41)^(B67-1)+SUM(Variantenbilanz!E371:E736)*Eingaben!$B$33*Eingaben!$B$34*(1+Eingaben!$B$42)^(B67-1))*Szenarien!$F$9,0),0)</f>
        <v>952.677052075243</v>
      </c>
      <c r="E67" s="13" t="n">
        <f aca="false">IFERROR(IF(AND(AND(B67&lt;=Eingaben!$B$11,Szenarien!$H$9="OK"),B67=Eingaben!$B$43),Eingaben!$B$44*Szenarien!$B$9*(1+Eingaben!$B$41)^(B67-1),0),0)</f>
        <v>0</v>
      </c>
      <c r="F67" s="13" t="n">
        <f aca="false">IFERROR(IF(AND(AND(B67&lt;=Eingaben!$B$11,Szenarien!$H$9="OK"),B67=Eingaben!$B$11),Eingaben!$B$45*Szenarien!$B$9,0),0)</f>
        <v>0</v>
      </c>
      <c r="G67" s="13" t="n">
        <f aca="false">C67-D67-E67+F67</f>
        <v>739.865485297365</v>
      </c>
      <c r="H67" s="13" t="n">
        <f aca="false">IFERROR(IF(AND(B67&lt;=Eingaben!$B$11,Szenarien!$H$9="OK"),1/(1+Eingaben!$B$39+Szenarien!$G$9)^B67,0),0)</f>
        <v>0.722421276598762</v>
      </c>
      <c r="I67" s="13" t="n">
        <f aca="false">G67*H67</f>
        <v>534.494568399885</v>
      </c>
      <c r="J67" s="13" t="n">
        <f aca="false">(D67+E67-F67)*H67</f>
        <v>688.234172146542</v>
      </c>
      <c r="K67" s="13" t="n">
        <f aca="false">IF(AND(B67&lt;=Eingaben!$B$11,Szenarien!$H$9="OK"),SUM(Variantenbilanz!K371:K736)*H67,0)</f>
        <v>401.225377406301</v>
      </c>
    </row>
    <row r="68" customFormat="false" ht="16.4" hidden="false" customHeight="false" outlineLevel="0" collapsed="false">
      <c r="A68" s="12"/>
      <c r="B68" s="15" t="n">
        <v>12</v>
      </c>
      <c r="C68" s="13" t="n">
        <f aca="false">IFERROR(IF(AND(B68&lt;=Eingaben!$B$11,Szenarien!$H$9="OK"),SUM(Variantenbilanz!K371:K736)*(Eingaben!$B$36*Szenarien!$C$9*(1+Eingaben!$B$40)^(B68-1)+Eingaben!$B$37*Eingaben!$B$38*(1+Eingaben!$B$46)^(B68-1)),0),0)</f>
        <v>1726.39338812006</v>
      </c>
      <c r="D68" s="13" t="n">
        <f aca="false">IFERROR(IF(AND(B68&lt;=Eingaben!$B$11,Szenarien!$H$9="OK"),((Eingaben!$B$32+Eingaben!$B$35)*(1+Eingaben!$B$41)^(B68-1)+SUM(Variantenbilanz!E371:E736)*Eingaben!$B$33*Eingaben!$B$34*(1+Eingaben!$B$42)^(B68-1))*Szenarien!$F$9,0),0)</f>
        <v>971.730593116748</v>
      </c>
      <c r="E68" s="13" t="n">
        <f aca="false">IFERROR(IF(AND(AND(B68&lt;=Eingaben!$B$11,Szenarien!$H$9="OK"),B68=Eingaben!$B$43),Eingaben!$B$44*Szenarien!$B$9*(1+Eingaben!$B$41)^(B68-1),0),0)</f>
        <v>0</v>
      </c>
      <c r="F68" s="13" t="n">
        <f aca="false">IFERROR(IF(AND(AND(B68&lt;=Eingaben!$B$11,Szenarien!$H$9="OK"),B68=Eingaben!$B$11),Eingaben!$B$45*Szenarien!$B$9,0),0)</f>
        <v>0</v>
      </c>
      <c r="G68" s="13" t="n">
        <f aca="false">C68-D68-E68+F68</f>
        <v>754.662795003312</v>
      </c>
      <c r="H68" s="13" t="n">
        <f aca="false">IFERROR(IF(AND(B68&lt;=Eingaben!$B$11,Szenarien!$H$9="OK"),1/(1+Eingaben!$B$39+Szenarien!$G$9)^B68,0),0)</f>
        <v>0.701379880192973</v>
      </c>
      <c r="I68" s="13" t="n">
        <f aca="false">G68*H68</f>
        <v>529.305300745517</v>
      </c>
      <c r="J68" s="13" t="n">
        <f aca="false">(D68+E68-F68)*H68</f>
        <v>681.552286980071</v>
      </c>
      <c r="K68" s="13" t="n">
        <f aca="false">IF(AND(B68&lt;=Eingaben!$B$11,Szenarien!$H$9="OK"),SUM(Variantenbilanz!K371:K736)*H68,0)</f>
        <v>389.53920136534</v>
      </c>
    </row>
    <row r="69" customFormat="false" ht="16.4" hidden="false" customHeight="false" outlineLevel="0" collapsed="false">
      <c r="A69" s="12"/>
      <c r="B69" s="15" t="n">
        <v>13</v>
      </c>
      <c r="C69" s="13" t="n">
        <f aca="false">IFERROR(IF(AND(B69&lt;=Eingaben!$B$11,Szenarien!$H$9="OK"),SUM(Variantenbilanz!K371:K736)*(Eingaben!$B$36*Szenarien!$C$9*(1+Eingaben!$B$40)^(B69-1)+Eingaben!$B$37*Eingaben!$B$38*(1+Eingaben!$B$46)^(B69-1)),0),0)</f>
        <v>1760.92125588246</v>
      </c>
      <c r="D69" s="13" t="n">
        <f aca="false">IFERROR(IF(AND(B69&lt;=Eingaben!$B$11,Szenarien!$H$9="OK"),((Eingaben!$B$32+Eingaben!$B$35)*(1+Eingaben!$B$41)^(B69-1)+SUM(Variantenbilanz!E371:E736)*Eingaben!$B$33*Eingaben!$B$34*(1+Eingaben!$B$42)^(B69-1))*Szenarien!$F$9,0),0)</f>
        <v>991.165204979082</v>
      </c>
      <c r="E69" s="13" t="n">
        <f aca="false">IFERROR(IF(AND(AND(B69&lt;=Eingaben!$B$11,Szenarien!$H$9="OK"),B69=Eingaben!$B$43),Eingaben!$B$44*Szenarien!$B$9*(1+Eingaben!$B$41)^(B69-1),0),0)</f>
        <v>0</v>
      </c>
      <c r="F69" s="13" t="n">
        <f aca="false">IFERROR(IF(AND(AND(B69&lt;=Eingaben!$B$11,Szenarien!$H$9="OK"),B69=Eingaben!$B$11),Eingaben!$B$45*Szenarien!$B$9,0),0)</f>
        <v>0</v>
      </c>
      <c r="G69" s="13" t="n">
        <f aca="false">C69-D69-E69+F69</f>
        <v>769.756050903378</v>
      </c>
      <c r="H69" s="13" t="n">
        <f aca="false">IFERROR(IF(AND(B69&lt;=Eingaben!$B$11,Szenarien!$H$9="OK"),1/(1+Eingaben!$B$39+Szenarien!$G$9)^B69,0),0)</f>
        <v>0.680951339993178</v>
      </c>
      <c r="I69" s="13" t="n">
        <f aca="false">G69*H69</f>
        <v>524.166414330512</v>
      </c>
      <c r="J69" s="13" t="n">
        <f aca="false">(D69+E69-F69)*H69</f>
        <v>674.935274485119</v>
      </c>
      <c r="K69" s="13" t="n">
        <f aca="false">IF(AND(B69&lt;=Eingaben!$B$11,Szenarien!$H$9="OK"),SUM(Variantenbilanz!K371:K736)*H69,0)</f>
        <v>378.193399383825</v>
      </c>
    </row>
    <row r="70" customFormat="false" ht="16.4" hidden="false" customHeight="false" outlineLevel="0" collapsed="false">
      <c r="A70" s="12"/>
      <c r="B70" s="15" t="n">
        <v>14</v>
      </c>
      <c r="C70" s="13" t="n">
        <f aca="false">IFERROR(IF(AND(B70&lt;=Eingaben!$B$11,Szenarien!$H$9="OK"),SUM(Variantenbilanz!K371:K736)*(Eingaben!$B$36*Szenarien!$C$9*(1+Eingaben!$B$40)^(B70-1)+Eingaben!$B$37*Eingaben!$B$38*(1+Eingaben!$B$46)^(B70-1)),0),0)</f>
        <v>1796.13968100011</v>
      </c>
      <c r="D70" s="13" t="n">
        <f aca="false">IFERROR(IF(AND(B70&lt;=Eingaben!$B$11,Szenarien!$H$9="OK"),((Eingaben!$B$32+Eingaben!$B$35)*(1+Eingaben!$B$41)^(B70-1)+SUM(Variantenbilanz!E371:E736)*Eingaben!$B$33*Eingaben!$B$34*(1+Eingaben!$B$42)^(B70-1))*Szenarien!$F$9,0),0)</f>
        <v>1010.98850907866</v>
      </c>
      <c r="E70" s="13" t="n">
        <f aca="false">IFERROR(IF(AND(AND(B70&lt;=Eingaben!$B$11,Szenarien!$H$9="OK"),B70=Eingaben!$B$43),Eingaben!$B$44*Szenarien!$B$9*(1+Eingaben!$B$41)^(B70-1),0),0)</f>
        <v>0</v>
      </c>
      <c r="F70" s="13" t="n">
        <f aca="false">IFERROR(IF(AND(AND(B70&lt;=Eingaben!$B$11,Szenarien!$H$9="OK"),B70=Eingaben!$B$11),Eingaben!$B$45*Szenarien!$B$9,0),0)</f>
        <v>0</v>
      </c>
      <c r="G70" s="13" t="n">
        <f aca="false">C70-D70-E70+F70</f>
        <v>785.151171921446</v>
      </c>
      <c r="H70" s="13" t="n">
        <f aca="false">IFERROR(IF(AND(B70&lt;=Eingaben!$B$11,Szenarien!$H$9="OK"),1/(1+Eingaben!$B$39+Szenarien!$G$9)^B70,0),0)</f>
        <v>0.661117805818619</v>
      </c>
      <c r="I70" s="13" t="n">
        <f aca="false">G70*H70</f>
        <v>519.077420016624</v>
      </c>
      <c r="J70" s="13" t="n">
        <f aca="false">(D70+E70-F70)*H70</f>
        <v>668.382504829923</v>
      </c>
      <c r="K70" s="13" t="n">
        <f aca="false">IF(AND(B70&lt;=Eingaben!$B$11,Szenarien!$H$9="OK"),SUM(Variantenbilanz!K371:K736)*H70,0)</f>
        <v>367.178057654199</v>
      </c>
    </row>
    <row r="71" customFormat="false" ht="16.4" hidden="false" customHeight="false" outlineLevel="0" collapsed="false">
      <c r="A71" s="12"/>
      <c r="B71" s="15" t="n">
        <v>15</v>
      </c>
      <c r="C71" s="13" t="n">
        <f aca="false">IFERROR(IF(AND(B71&lt;=Eingaben!$B$11,Szenarien!$H$9="OK"),SUM(Variantenbilanz!K371:K736)*(Eingaben!$B$36*Szenarien!$C$9*(1+Eingaben!$B$40)^(B71-1)+Eingaben!$B$37*Eingaben!$B$38*(1+Eingaben!$B$46)^(B71-1)),0),0)</f>
        <v>1832.06247462011</v>
      </c>
      <c r="D71" s="13" t="n">
        <f aca="false">IFERROR(IF(AND(B71&lt;=Eingaben!$B$11,Szenarien!$H$9="OK"),((Eingaben!$B$32+Eingaben!$B$35)*(1+Eingaben!$B$41)^(B71-1)+SUM(Variantenbilanz!E371:E736)*Eingaben!$B$33*Eingaben!$B$34*(1+Eingaben!$B$42)^(B71-1))*Szenarien!$F$9,0),0)</f>
        <v>1031.20827926024</v>
      </c>
      <c r="E71" s="13" t="n">
        <f aca="false">IFERROR(IF(AND(AND(B71&lt;=Eingaben!$B$11,Szenarien!$H$9="OK"),B71=Eingaben!$B$43),Eingaben!$B$44*Szenarien!$B$9*(1+Eingaben!$B$41)^(B71-1),0),0)</f>
        <v>0</v>
      </c>
      <c r="F71" s="13" t="n">
        <f aca="false">IFERROR(IF(AND(AND(B71&lt;=Eingaben!$B$11,Szenarien!$H$9="OK"),B71=Eingaben!$B$11),Eingaben!$B$45*Szenarien!$B$9,0),0)</f>
        <v>0</v>
      </c>
      <c r="G71" s="13" t="n">
        <f aca="false">C71-D71-E71+F71</f>
        <v>800.854195359875</v>
      </c>
      <c r="H71" s="13" t="n">
        <f aca="false">IFERROR(IF(AND(B71&lt;=Eingaben!$B$11,Szenarien!$H$9="OK"),1/(1+Eingaben!$B$39+Szenarien!$G$9)^B71,0),0)</f>
        <v>0.641861947396717</v>
      </c>
      <c r="I71" s="13" t="n">
        <f aca="false">G71*H71</f>
        <v>514.037833414521</v>
      </c>
      <c r="J71" s="13" t="n">
        <f aca="false">(D71+E71-F71)*H71</f>
        <v>661.893354297594</v>
      </c>
      <c r="K71" s="13" t="n">
        <f aca="false">IF(AND(B71&lt;=Eingaben!$B$11,Szenarien!$H$9="OK"),SUM(Variantenbilanz!K371:K736)*H71,0)</f>
        <v>356.483551120582</v>
      </c>
    </row>
    <row r="72" customFormat="false" ht="16.4" hidden="false" customHeight="false" outlineLevel="0" collapsed="false">
      <c r="A72" s="12"/>
      <c r="B72" s="15" t="n">
        <v>16</v>
      </c>
      <c r="C72" s="13" t="n">
        <f aca="false">IFERROR(IF(AND(B72&lt;=Eingaben!$B$11,Szenarien!$H$9="OK"),SUM(Variantenbilanz!K371:K736)*(Eingaben!$B$36*Szenarien!$C$9*(1+Eingaben!$B$40)^(B72-1)+Eingaben!$B$37*Eingaben!$B$38*(1+Eingaben!$B$46)^(B72-1)),0),0)</f>
        <v>1868.70372411251</v>
      </c>
      <c r="D72" s="13" t="n">
        <f aca="false">IFERROR(IF(AND(B72&lt;=Eingaben!$B$11,Szenarien!$H$9="OK"),((Eingaben!$B$32+Eingaben!$B$35)*(1+Eingaben!$B$41)^(B72-1)+SUM(Variantenbilanz!E371:E736)*Eingaben!$B$33*Eingaben!$B$34*(1+Eingaben!$B$42)^(B72-1))*Szenarien!$F$9,0),0)</f>
        <v>1051.83244484544</v>
      </c>
      <c r="E72" s="13" t="n">
        <f aca="false">IFERROR(IF(AND(AND(B72&lt;=Eingaben!$B$11,Szenarien!$H$9="OK"),B72=Eingaben!$B$43),Eingaben!$B$44*Szenarien!$B$9*(1+Eingaben!$B$41)^(B72-1),0),0)</f>
        <v>0</v>
      </c>
      <c r="F72" s="13" t="n">
        <f aca="false">IFERROR(IF(AND(AND(B72&lt;=Eingaben!$B$11,Szenarien!$H$9="OK"),B72=Eingaben!$B$11),Eingaben!$B$45*Szenarien!$B$9,0),0)</f>
        <v>0</v>
      </c>
      <c r="G72" s="13" t="n">
        <f aca="false">C72-D72-E72+F72</f>
        <v>816.871279267072</v>
      </c>
      <c r="H72" s="13" t="n">
        <f aca="false">IFERROR(IF(AND(B72&lt;=Eingaben!$B$11,Szenarien!$H$9="OK"),1/(1+Eingaben!$B$39+Szenarien!$G$9)^B72,0),0)</f>
        <v>0.623166939220114</v>
      </c>
      <c r="I72" s="13" t="n">
        <f aca="false">G72*H72</f>
        <v>509.04717483768</v>
      </c>
      <c r="J72" s="13" t="n">
        <f aca="false">(D72+E72-F72)*H72</f>
        <v>655.467205226744</v>
      </c>
      <c r="K72" s="13" t="n">
        <f aca="false">IF(AND(B72&lt;=Eingaben!$B$11,Szenarien!$H$9="OK"),SUM(Variantenbilanz!K371:K736)*H72,0)</f>
        <v>346.100535068526</v>
      </c>
    </row>
    <row r="73" customFormat="false" ht="16.4" hidden="false" customHeight="false" outlineLevel="0" collapsed="false">
      <c r="A73" s="12"/>
      <c r="B73" s="15" t="n">
        <v>17</v>
      </c>
      <c r="C73" s="13" t="n">
        <f aca="false">IFERROR(IF(AND(B73&lt;=Eingaben!$B$11,Szenarien!$H$9="OK"),SUM(Variantenbilanz!K371:K736)*(Eingaben!$B$36*Szenarien!$C$9*(1+Eingaben!$B$40)^(B73-1)+Eingaben!$B$37*Eingaben!$B$38*(1+Eingaben!$B$46)^(B73-1)),0),0)</f>
        <v>1906.07779859477</v>
      </c>
      <c r="D73" s="13" t="n">
        <f aca="false">IFERROR(IF(AND(B73&lt;=Eingaben!$B$11,Szenarien!$H$9="OK"),((Eingaben!$B$32+Eingaben!$B$35)*(1+Eingaben!$B$41)^(B73-1)+SUM(Variantenbilanz!E371:E736)*Eingaben!$B$33*Eingaben!$B$34*(1+Eingaben!$B$42)^(B73-1))*Szenarien!$F$9,0),0)</f>
        <v>1072.86909374235</v>
      </c>
      <c r="E73" s="13" t="n">
        <f aca="false">IFERROR(IF(AND(AND(B73&lt;=Eingaben!$B$11,Szenarien!$H$9="OK"),B73=Eingaben!$B$43),Eingaben!$B$44*Szenarien!$B$9*(1+Eingaben!$B$41)^(B73-1),0),0)</f>
        <v>0</v>
      </c>
      <c r="F73" s="13" t="n">
        <f aca="false">IFERROR(IF(AND(AND(B73&lt;=Eingaben!$B$11,Szenarien!$H$9="OK"),B73=Eingaben!$B$11),Eingaben!$B$45*Szenarien!$B$9,0),0)</f>
        <v>0</v>
      </c>
      <c r="G73" s="13" t="n">
        <f aca="false">C73-D73-E73+F73</f>
        <v>833.208704852414</v>
      </c>
      <c r="H73" s="13" t="n">
        <f aca="false">IFERROR(IF(AND(B73&lt;=Eingaben!$B$11,Szenarien!$H$9="OK"),1/(1+Eingaben!$B$39+Szenarien!$G$9)^B73,0),0)</f>
        <v>0.605016445844771</v>
      </c>
      <c r="I73" s="13" t="n">
        <f aca="false">G73*H73</f>
        <v>504.104969256732</v>
      </c>
      <c r="J73" s="13" t="n">
        <f aca="false">(D73+E73-F73)*H73</f>
        <v>649.103445952698</v>
      </c>
      <c r="K73" s="13" t="n">
        <f aca="false">IF(AND(B73&lt;=Eingaben!$B$11,Szenarien!$H$9="OK"),SUM(Variantenbilanz!K371:K736)*H73,0)</f>
        <v>336.019936959734</v>
      </c>
    </row>
    <row r="74" customFormat="false" ht="16.4" hidden="false" customHeight="false" outlineLevel="0" collapsed="false">
      <c r="A74" s="12"/>
      <c r="B74" s="15" t="n">
        <v>18</v>
      </c>
      <c r="C74" s="13" t="n">
        <f aca="false">IFERROR(IF(AND(B74&lt;=Eingaben!$B$11,Szenarien!$H$9="OK"),SUM(Variantenbilanz!K371:K736)*(Eingaben!$B$36*Szenarien!$C$9*(1+Eingaben!$B$40)^(B74-1)+Eingaben!$B$37*Eingaben!$B$38*(1+Eingaben!$B$46)^(B74-1)),0),0)</f>
        <v>1944.19935456666</v>
      </c>
      <c r="D74" s="13" t="n">
        <f aca="false">IFERROR(IF(AND(B74&lt;=Eingaben!$B$11,Szenarien!$H$9="OK"),((Eingaben!$B$32+Eingaben!$B$35)*(1+Eingaben!$B$41)^(B74-1)+SUM(Variantenbilanz!E371:E736)*Eingaben!$B$33*Eingaben!$B$34*(1+Eingaben!$B$42)^(B74-1))*Szenarien!$F$9,0),0)</f>
        <v>1094.3264756172</v>
      </c>
      <c r="E74" s="13" t="n">
        <f aca="false">IFERROR(IF(AND(AND(B74&lt;=Eingaben!$B$11,Szenarien!$H$9="OK"),B74=Eingaben!$B$43),Eingaben!$B$44*Szenarien!$B$9*(1+Eingaben!$B$41)^(B74-1),0),0)</f>
        <v>0</v>
      </c>
      <c r="F74" s="13" t="n">
        <f aca="false">IFERROR(IF(AND(AND(B74&lt;=Eingaben!$B$11,Szenarien!$H$9="OK"),B74=Eingaben!$B$11),Eingaben!$B$45*Szenarien!$B$9,0),0)</f>
        <v>0</v>
      </c>
      <c r="G74" s="13" t="n">
        <f aca="false">C74-D74-E74+F74</f>
        <v>849.872878949462</v>
      </c>
      <c r="H74" s="13" t="n">
        <f aca="false">IFERROR(IF(AND(B74&lt;=Eingaben!$B$11,Szenarien!$H$9="OK"),1/(1+Eingaben!$B$39+Szenarien!$G$9)^B74,0),0)</f>
        <v>0.587394607616282</v>
      </c>
      <c r="I74" s="13" t="n">
        <f aca="false">G74*H74</f>
        <v>499.21074625424</v>
      </c>
      <c r="J74" s="13" t="n">
        <f aca="false">(D74+E74-F74)*H74</f>
        <v>642.801470749273</v>
      </c>
      <c r="K74" s="13" t="n">
        <f aca="false">IF(AND(B74&lt;=Eingaben!$B$11,Szenarien!$H$9="OK"),SUM(Variantenbilanz!K371:K736)*H74,0)</f>
        <v>326.232948504596</v>
      </c>
    </row>
    <row r="75" customFormat="false" ht="16.4" hidden="false" customHeight="false" outlineLevel="0" collapsed="false">
      <c r="A75" s="12"/>
      <c r="B75" s="15" t="n">
        <v>19</v>
      </c>
      <c r="C75" s="13" t="n">
        <f aca="false">IFERROR(IF(AND(B75&lt;=Eingaben!$B$11,Szenarien!$H$9="OK"),SUM(Variantenbilanz!K371:K736)*(Eingaben!$B$36*Szenarien!$C$9*(1+Eingaben!$B$40)^(B75-1)+Eingaben!$B$37*Eingaben!$B$38*(1+Eingaben!$B$46)^(B75-1)),0),0)</f>
        <v>1983.08334165799</v>
      </c>
      <c r="D75" s="13" t="n">
        <f aca="false">IFERROR(IF(AND(B75&lt;=Eingaben!$B$11,Szenarien!$H$9="OK"),((Eingaben!$B$32+Eingaben!$B$35)*(1+Eingaben!$B$41)^(B75-1)+SUM(Variantenbilanz!E371:E736)*Eingaben!$B$33*Eingaben!$B$34*(1+Eingaben!$B$42)^(B75-1))*Szenarien!$F$9,0),0)</f>
        <v>1116.21300512954</v>
      </c>
      <c r="E75" s="13" t="n">
        <f aca="false">IFERROR(IF(AND(AND(B75&lt;=Eingaben!$B$11,Szenarien!$H$9="OK"),B75=Eingaben!$B$43),Eingaben!$B$44*Szenarien!$B$9*(1+Eingaben!$B$41)^(B75-1),0),0)</f>
        <v>0</v>
      </c>
      <c r="F75" s="13" t="n">
        <f aca="false">IFERROR(IF(AND(AND(B75&lt;=Eingaben!$B$11,Szenarien!$H$9="OK"),B75=Eingaben!$B$11),Eingaben!$B$45*Szenarien!$B$9,0),0)</f>
        <v>0</v>
      </c>
      <c r="G75" s="13" t="n">
        <f aca="false">C75-D75-E75+F75</f>
        <v>866.870336528452</v>
      </c>
      <c r="H75" s="13" t="n">
        <f aca="false">IFERROR(IF(AND(B75&lt;=Eingaben!$B$11,Szenarien!$H$9="OK"),1/(1+Eingaben!$B$39+Szenarien!$G$9)^B75,0),0)</f>
        <v>0.570286026811925</v>
      </c>
      <c r="I75" s="13" t="n">
        <f aca="false">G75*H75</f>
        <v>494.364039979927</v>
      </c>
      <c r="J75" s="13" t="n">
        <f aca="false">(D75+E75-F75)*H75</f>
        <v>636.560679771125</v>
      </c>
      <c r="K75" s="13" t="n">
        <f aca="false">IF(AND(B75&lt;=Eingaben!$B$11,Szenarien!$H$9="OK"),SUM(Variantenbilanz!K371:K736)*H75,0)</f>
        <v>316.731017965627</v>
      </c>
    </row>
    <row r="76" customFormat="false" ht="16.4" hidden="false" customHeight="false" outlineLevel="0" collapsed="false">
      <c r="A76" s="12"/>
      <c r="B76" s="15" t="n">
        <v>20</v>
      </c>
      <c r="C76" s="13" t="n">
        <f aca="false">IFERROR(IF(AND(B76&lt;=Eingaben!$B$11,Szenarien!$H$9="OK"),SUM(Variantenbilanz!K371:K736)*(Eingaben!$B$36*Szenarien!$C$9*(1+Eingaben!$B$40)^(B76-1)+Eingaben!$B$37*Eingaben!$B$38*(1+Eingaben!$B$46)^(B76-1)),0),0)</f>
        <v>2022.74500849115</v>
      </c>
      <c r="D76" s="13" t="n">
        <f aca="false">IFERROR(IF(AND(B76&lt;=Eingaben!$B$11,Szenarien!$H$9="OK"),((Eingaben!$B$32+Eingaben!$B$35)*(1+Eingaben!$B$41)^(B76-1)+SUM(Variantenbilanz!E371:E736)*Eingaben!$B$33*Eingaben!$B$34*(1+Eingaben!$B$42)^(B76-1))*Szenarien!$F$9,0),0)</f>
        <v>1138.53726523213</v>
      </c>
      <c r="E76" s="13" t="n">
        <f aca="false">IFERROR(IF(AND(AND(B76&lt;=Eingaben!$B$11,Szenarien!$H$9="OK"),B76=Eingaben!$B$43),Eingaben!$B$44*Szenarien!$B$9*(1+Eingaben!$B$41)^(B76-1),0),0)</f>
        <v>0</v>
      </c>
      <c r="F76" s="13" t="n">
        <f aca="false">IFERROR(IF(AND(AND(B76&lt;=Eingaben!$B$11,Szenarien!$H$9="OK"),B76=Eingaben!$B$11),Eingaben!$B$45*Szenarien!$B$9,0),0)</f>
        <v>0</v>
      </c>
      <c r="G76" s="13" t="n">
        <f aca="false">C76-D76-E76+F76</f>
        <v>884.20774325902</v>
      </c>
      <c r="H76" s="13" t="n">
        <f aca="false">IFERROR(IF(AND(B76&lt;=Eingaben!$B$11,Szenarien!$H$9="OK"),1/(1+Eingaben!$B$39+Szenarien!$G$9)^B76,0),0)</f>
        <v>0.553675754186335</v>
      </c>
      <c r="I76" s="13" t="n">
        <f aca="false">G76*H76</f>
        <v>489.564389106335</v>
      </c>
      <c r="J76" s="13" t="n">
        <f aca="false">(D76+E76-F76)*H76</f>
        <v>630.380478996648</v>
      </c>
      <c r="K76" s="13" t="n">
        <f aca="false">IF(AND(B76&lt;=Eingaben!$B$11,Szenarien!$H$9="OK"),SUM(Variantenbilanz!K371:K736)*H76,0)</f>
        <v>307.505842685075</v>
      </c>
    </row>
    <row r="77" customFormat="false" ht="16.4" hidden="false" customHeight="false" outlineLevel="0" collapsed="false">
      <c r="A77" s="12"/>
      <c r="B77" s="15" t="n">
        <v>21</v>
      </c>
      <c r="C77" s="13" t="n">
        <f aca="false">IFERROR(IF(AND(B77&lt;=Eingaben!$B$11,Szenarien!$H$9="OK"),SUM(Variantenbilanz!K371:K736)*(Eingaben!$B$36*Szenarien!$C$9*(1+Eingaben!$B$40)^(B77-1)+Eingaben!$B$37*Eingaben!$B$38*(1+Eingaben!$B$46)^(B77-1)),0),0)</f>
        <v>0</v>
      </c>
      <c r="D77" s="13" t="n">
        <f aca="false">IFERROR(IF(AND(B77&lt;=Eingaben!$B$11,Szenarien!$H$9="OK"),((Eingaben!$B$32+Eingaben!$B$35)*(1+Eingaben!$B$41)^(B77-1)+SUM(Variantenbilanz!E371:E736)*Eingaben!$B$33*Eingaben!$B$34*(1+Eingaben!$B$42)^(B77-1))*Szenarien!$F$9,0),0)</f>
        <v>0</v>
      </c>
      <c r="E77" s="13" t="n">
        <f aca="false">IFERROR(IF(AND(AND(B77&lt;=Eingaben!$B$11,Szenarien!$H$9="OK"),B77=Eingaben!$B$43),Eingaben!$B$44*Szenarien!$B$9*(1+Eingaben!$B$41)^(B77-1),0),0)</f>
        <v>0</v>
      </c>
      <c r="F77" s="13" t="n">
        <f aca="false">IFERROR(IF(AND(AND(B77&lt;=Eingaben!$B$11,Szenarien!$H$9="OK"),B77=Eingaben!$B$11),Eingaben!$B$45*Szenarien!$B$9,0),0)</f>
        <v>0</v>
      </c>
      <c r="G77" s="13" t="n">
        <f aca="false">C77-D77-E77+F77</f>
        <v>0</v>
      </c>
      <c r="H77" s="13" t="n">
        <f aca="false">IFERROR(IF(AND(B77&lt;=Eingaben!$B$11,Szenarien!$H$9="OK"),1/(1+Eingaben!$B$39+Szenarien!$G$9)^B77,0),0)</f>
        <v>0</v>
      </c>
      <c r="I77" s="13" t="n">
        <f aca="false">G77*H77</f>
        <v>0</v>
      </c>
      <c r="J77" s="13" t="n">
        <f aca="false">(D77+E77-F77)*H77</f>
        <v>0</v>
      </c>
      <c r="K77" s="13" t="n">
        <f aca="false">IF(AND(B77&lt;=Eingaben!$B$11,Szenarien!$H$9="OK"),SUM(Variantenbilanz!K371:K736)*H77,0)</f>
        <v>0</v>
      </c>
    </row>
    <row r="78" customFormat="false" ht="16.4" hidden="false" customHeight="false" outlineLevel="0" collapsed="false">
      <c r="A78" s="12"/>
      <c r="B78" s="15" t="n">
        <v>22</v>
      </c>
      <c r="C78" s="13" t="n">
        <f aca="false">IFERROR(IF(AND(B78&lt;=Eingaben!$B$11,Szenarien!$H$9="OK"),SUM(Variantenbilanz!K371:K736)*(Eingaben!$B$36*Szenarien!$C$9*(1+Eingaben!$B$40)^(B78-1)+Eingaben!$B$37*Eingaben!$B$38*(1+Eingaben!$B$46)^(B78-1)),0),0)</f>
        <v>0</v>
      </c>
      <c r="D78" s="13" t="n">
        <f aca="false">IFERROR(IF(AND(B78&lt;=Eingaben!$B$11,Szenarien!$H$9="OK"),((Eingaben!$B$32+Eingaben!$B$35)*(1+Eingaben!$B$41)^(B78-1)+SUM(Variantenbilanz!E371:E736)*Eingaben!$B$33*Eingaben!$B$34*(1+Eingaben!$B$42)^(B78-1))*Szenarien!$F$9,0),0)</f>
        <v>0</v>
      </c>
      <c r="E78" s="13" t="n">
        <f aca="false">IFERROR(IF(AND(AND(B78&lt;=Eingaben!$B$11,Szenarien!$H$9="OK"),B78=Eingaben!$B$43),Eingaben!$B$44*Szenarien!$B$9*(1+Eingaben!$B$41)^(B78-1),0),0)</f>
        <v>0</v>
      </c>
      <c r="F78" s="13" t="n">
        <f aca="false">IFERROR(IF(AND(AND(B78&lt;=Eingaben!$B$11,Szenarien!$H$9="OK"),B78=Eingaben!$B$11),Eingaben!$B$45*Szenarien!$B$9,0),0)</f>
        <v>0</v>
      </c>
      <c r="G78" s="13" t="n">
        <f aca="false">C78-D78-E78+F78</f>
        <v>0</v>
      </c>
      <c r="H78" s="13" t="n">
        <f aca="false">IFERROR(IF(AND(B78&lt;=Eingaben!$B$11,Szenarien!$H$9="OK"),1/(1+Eingaben!$B$39+Szenarien!$G$9)^B78,0),0)</f>
        <v>0</v>
      </c>
      <c r="I78" s="13" t="n">
        <f aca="false">G78*H78</f>
        <v>0</v>
      </c>
      <c r="J78" s="13" t="n">
        <f aca="false">(D78+E78-F78)*H78</f>
        <v>0</v>
      </c>
      <c r="K78" s="13" t="n">
        <f aca="false">IF(AND(B78&lt;=Eingaben!$B$11,Szenarien!$H$9="OK"),SUM(Variantenbilanz!K371:K736)*H78,0)</f>
        <v>0</v>
      </c>
    </row>
    <row r="79" customFormat="false" ht="16.4" hidden="false" customHeight="false" outlineLevel="0" collapsed="false">
      <c r="A79" s="12"/>
      <c r="B79" s="15" t="n">
        <v>23</v>
      </c>
      <c r="C79" s="13" t="n">
        <f aca="false">IFERROR(IF(AND(B79&lt;=Eingaben!$B$11,Szenarien!$H$9="OK"),SUM(Variantenbilanz!K371:K736)*(Eingaben!$B$36*Szenarien!$C$9*(1+Eingaben!$B$40)^(B79-1)+Eingaben!$B$37*Eingaben!$B$38*(1+Eingaben!$B$46)^(B79-1)),0),0)</f>
        <v>0</v>
      </c>
      <c r="D79" s="13" t="n">
        <f aca="false">IFERROR(IF(AND(B79&lt;=Eingaben!$B$11,Szenarien!$H$9="OK"),((Eingaben!$B$32+Eingaben!$B$35)*(1+Eingaben!$B$41)^(B79-1)+SUM(Variantenbilanz!E371:E736)*Eingaben!$B$33*Eingaben!$B$34*(1+Eingaben!$B$42)^(B79-1))*Szenarien!$F$9,0),0)</f>
        <v>0</v>
      </c>
      <c r="E79" s="13" t="n">
        <f aca="false">IFERROR(IF(AND(AND(B79&lt;=Eingaben!$B$11,Szenarien!$H$9="OK"),B79=Eingaben!$B$43),Eingaben!$B$44*Szenarien!$B$9*(1+Eingaben!$B$41)^(B79-1),0),0)</f>
        <v>0</v>
      </c>
      <c r="F79" s="13" t="n">
        <f aca="false">IFERROR(IF(AND(AND(B79&lt;=Eingaben!$B$11,Szenarien!$H$9="OK"),B79=Eingaben!$B$11),Eingaben!$B$45*Szenarien!$B$9,0),0)</f>
        <v>0</v>
      </c>
      <c r="G79" s="13" t="n">
        <f aca="false">C79-D79-E79+F79</f>
        <v>0</v>
      </c>
      <c r="H79" s="13" t="n">
        <f aca="false">IFERROR(IF(AND(B79&lt;=Eingaben!$B$11,Szenarien!$H$9="OK"),1/(1+Eingaben!$B$39+Szenarien!$G$9)^B79,0),0)</f>
        <v>0</v>
      </c>
      <c r="I79" s="13" t="n">
        <f aca="false">G79*H79</f>
        <v>0</v>
      </c>
      <c r="J79" s="13" t="n">
        <f aca="false">(D79+E79-F79)*H79</f>
        <v>0</v>
      </c>
      <c r="K79" s="13" t="n">
        <f aca="false">IF(AND(B79&lt;=Eingaben!$B$11,Szenarien!$H$9="OK"),SUM(Variantenbilanz!K371:K736)*H79,0)</f>
        <v>0</v>
      </c>
    </row>
    <row r="80" customFormat="false" ht="16.4" hidden="false" customHeight="false" outlineLevel="0" collapsed="false">
      <c r="A80" s="12"/>
      <c r="B80" s="15" t="n">
        <v>24</v>
      </c>
      <c r="C80" s="13" t="n">
        <f aca="false">IFERROR(IF(AND(B80&lt;=Eingaben!$B$11,Szenarien!$H$9="OK"),SUM(Variantenbilanz!K371:K736)*(Eingaben!$B$36*Szenarien!$C$9*(1+Eingaben!$B$40)^(B80-1)+Eingaben!$B$37*Eingaben!$B$38*(1+Eingaben!$B$46)^(B80-1)),0),0)</f>
        <v>0</v>
      </c>
      <c r="D80" s="13" t="n">
        <f aca="false">IFERROR(IF(AND(B80&lt;=Eingaben!$B$11,Szenarien!$H$9="OK"),((Eingaben!$B$32+Eingaben!$B$35)*(1+Eingaben!$B$41)^(B80-1)+SUM(Variantenbilanz!E371:E736)*Eingaben!$B$33*Eingaben!$B$34*(1+Eingaben!$B$42)^(B80-1))*Szenarien!$F$9,0),0)</f>
        <v>0</v>
      </c>
      <c r="E80" s="13" t="n">
        <f aca="false">IFERROR(IF(AND(AND(B80&lt;=Eingaben!$B$11,Szenarien!$H$9="OK"),B80=Eingaben!$B$43),Eingaben!$B$44*Szenarien!$B$9*(1+Eingaben!$B$41)^(B80-1),0),0)</f>
        <v>0</v>
      </c>
      <c r="F80" s="13" t="n">
        <f aca="false">IFERROR(IF(AND(AND(B80&lt;=Eingaben!$B$11,Szenarien!$H$9="OK"),B80=Eingaben!$B$11),Eingaben!$B$45*Szenarien!$B$9,0),0)</f>
        <v>0</v>
      </c>
      <c r="G80" s="13" t="n">
        <f aca="false">C80-D80-E80+F80</f>
        <v>0</v>
      </c>
      <c r="H80" s="13" t="n">
        <f aca="false">IFERROR(IF(AND(B80&lt;=Eingaben!$B$11,Szenarien!$H$9="OK"),1/(1+Eingaben!$B$39+Szenarien!$G$9)^B80,0),0)</f>
        <v>0</v>
      </c>
      <c r="I80" s="13" t="n">
        <f aca="false">G80*H80</f>
        <v>0</v>
      </c>
      <c r="J80" s="13" t="n">
        <f aca="false">(D80+E80-F80)*H80</f>
        <v>0</v>
      </c>
      <c r="K80" s="13" t="n">
        <f aca="false">IF(AND(B80&lt;=Eingaben!$B$11,Szenarien!$H$9="OK"),SUM(Variantenbilanz!K371:K736)*H80,0)</f>
        <v>0</v>
      </c>
    </row>
    <row r="81" customFormat="false" ht="16.4" hidden="false" customHeight="false" outlineLevel="0" collapsed="false">
      <c r="A81" s="12"/>
      <c r="B81" s="15" t="n">
        <v>25</v>
      </c>
      <c r="C81" s="13" t="n">
        <f aca="false">IFERROR(IF(AND(B81&lt;=Eingaben!$B$11,Szenarien!$H$9="OK"),SUM(Variantenbilanz!K371:K736)*(Eingaben!$B$36*Szenarien!$C$9*(1+Eingaben!$B$40)^(B81-1)+Eingaben!$B$37*Eingaben!$B$38*(1+Eingaben!$B$46)^(B81-1)),0),0)</f>
        <v>0</v>
      </c>
      <c r="D81" s="13" t="n">
        <f aca="false">IFERROR(IF(AND(B81&lt;=Eingaben!$B$11,Szenarien!$H$9="OK"),((Eingaben!$B$32+Eingaben!$B$35)*(1+Eingaben!$B$41)^(B81-1)+SUM(Variantenbilanz!E371:E736)*Eingaben!$B$33*Eingaben!$B$34*(1+Eingaben!$B$42)^(B81-1))*Szenarien!$F$9,0),0)</f>
        <v>0</v>
      </c>
      <c r="E81" s="13" t="n">
        <f aca="false">IFERROR(IF(AND(AND(B81&lt;=Eingaben!$B$11,Szenarien!$H$9="OK"),B81=Eingaben!$B$43),Eingaben!$B$44*Szenarien!$B$9*(1+Eingaben!$B$41)^(B81-1),0),0)</f>
        <v>0</v>
      </c>
      <c r="F81" s="13" t="n">
        <f aca="false">IFERROR(IF(AND(AND(B81&lt;=Eingaben!$B$11,Szenarien!$H$9="OK"),B81=Eingaben!$B$11),Eingaben!$B$45*Szenarien!$B$9,0),0)</f>
        <v>0</v>
      </c>
      <c r="G81" s="13" t="n">
        <f aca="false">C81-D81-E81+F81</f>
        <v>0</v>
      </c>
      <c r="H81" s="13" t="n">
        <f aca="false">IFERROR(IF(AND(B81&lt;=Eingaben!$B$11,Szenarien!$H$9="OK"),1/(1+Eingaben!$B$39+Szenarien!$G$9)^B81,0),0)</f>
        <v>0</v>
      </c>
      <c r="I81" s="13" t="n">
        <f aca="false">G81*H81</f>
        <v>0</v>
      </c>
      <c r="J81" s="13" t="n">
        <f aca="false">(D81+E81-F81)*H81</f>
        <v>0</v>
      </c>
      <c r="K81" s="13" t="n">
        <f aca="false">IF(AND(B81&lt;=Eingaben!$B$11,Szenarien!$H$9="OK"),SUM(Variantenbilanz!K371:K736)*H81,0)</f>
        <v>0</v>
      </c>
    </row>
    <row r="82" customFormat="false" ht="16.4" hidden="false" customHeight="false" outlineLevel="0" collapsed="false">
      <c r="A82" s="12"/>
      <c r="B82" s="15" t="n">
        <v>26</v>
      </c>
      <c r="C82" s="13" t="n">
        <f aca="false">IFERROR(IF(AND(B82&lt;=Eingaben!$B$11,Szenarien!$H$9="OK"),SUM(Variantenbilanz!K371:K736)*(Eingaben!$B$36*Szenarien!$C$9*(1+Eingaben!$B$40)^(B82-1)+Eingaben!$B$37*Eingaben!$B$38*(1+Eingaben!$B$46)^(B82-1)),0),0)</f>
        <v>0</v>
      </c>
      <c r="D82" s="13" t="n">
        <f aca="false">IFERROR(IF(AND(B82&lt;=Eingaben!$B$11,Szenarien!$H$9="OK"),((Eingaben!$B$32+Eingaben!$B$35)*(1+Eingaben!$B$41)^(B82-1)+SUM(Variantenbilanz!E371:E736)*Eingaben!$B$33*Eingaben!$B$34*(1+Eingaben!$B$42)^(B82-1))*Szenarien!$F$9,0),0)</f>
        <v>0</v>
      </c>
      <c r="E82" s="13" t="n">
        <f aca="false">IFERROR(IF(AND(AND(B82&lt;=Eingaben!$B$11,Szenarien!$H$9="OK"),B82=Eingaben!$B$43),Eingaben!$B$44*Szenarien!$B$9*(1+Eingaben!$B$41)^(B82-1),0),0)</f>
        <v>0</v>
      </c>
      <c r="F82" s="13" t="n">
        <f aca="false">IFERROR(IF(AND(AND(B82&lt;=Eingaben!$B$11,Szenarien!$H$9="OK"),B82=Eingaben!$B$11),Eingaben!$B$45*Szenarien!$B$9,0),0)</f>
        <v>0</v>
      </c>
      <c r="G82" s="13" t="n">
        <f aca="false">C82-D82-E82+F82</f>
        <v>0</v>
      </c>
      <c r="H82" s="13" t="n">
        <f aca="false">IFERROR(IF(AND(B82&lt;=Eingaben!$B$11,Szenarien!$H$9="OK"),1/(1+Eingaben!$B$39+Szenarien!$G$9)^B82,0),0)</f>
        <v>0</v>
      </c>
      <c r="I82" s="13" t="n">
        <f aca="false">G82*H82</f>
        <v>0</v>
      </c>
      <c r="J82" s="13" t="n">
        <f aca="false">(D82+E82-F82)*H82</f>
        <v>0</v>
      </c>
      <c r="K82" s="13" t="n">
        <f aca="false">IF(AND(B82&lt;=Eingaben!$B$11,Szenarien!$H$9="OK"),SUM(Variantenbilanz!K371:K736)*H82,0)</f>
        <v>0</v>
      </c>
    </row>
    <row r="83" customFormat="false" ht="16.4" hidden="false" customHeight="false" outlineLevel="0" collapsed="false">
      <c r="A83" s="12"/>
      <c r="B83" s="15" t="n">
        <v>27</v>
      </c>
      <c r="C83" s="13" t="n">
        <f aca="false">IFERROR(IF(AND(B83&lt;=Eingaben!$B$11,Szenarien!$H$9="OK"),SUM(Variantenbilanz!K371:K736)*(Eingaben!$B$36*Szenarien!$C$9*(1+Eingaben!$B$40)^(B83-1)+Eingaben!$B$37*Eingaben!$B$38*(1+Eingaben!$B$46)^(B83-1)),0),0)</f>
        <v>0</v>
      </c>
      <c r="D83" s="13" t="n">
        <f aca="false">IFERROR(IF(AND(B83&lt;=Eingaben!$B$11,Szenarien!$H$9="OK"),((Eingaben!$B$32+Eingaben!$B$35)*(1+Eingaben!$B$41)^(B83-1)+SUM(Variantenbilanz!E371:E736)*Eingaben!$B$33*Eingaben!$B$34*(1+Eingaben!$B$42)^(B83-1))*Szenarien!$F$9,0),0)</f>
        <v>0</v>
      </c>
      <c r="E83" s="13" t="n">
        <f aca="false">IFERROR(IF(AND(AND(B83&lt;=Eingaben!$B$11,Szenarien!$H$9="OK"),B83=Eingaben!$B$43),Eingaben!$B$44*Szenarien!$B$9*(1+Eingaben!$B$41)^(B83-1),0),0)</f>
        <v>0</v>
      </c>
      <c r="F83" s="13" t="n">
        <f aca="false">IFERROR(IF(AND(AND(B83&lt;=Eingaben!$B$11,Szenarien!$H$9="OK"),B83=Eingaben!$B$11),Eingaben!$B$45*Szenarien!$B$9,0),0)</f>
        <v>0</v>
      </c>
      <c r="G83" s="13" t="n">
        <f aca="false">C83-D83-E83+F83</f>
        <v>0</v>
      </c>
      <c r="H83" s="13" t="n">
        <f aca="false">IFERROR(IF(AND(B83&lt;=Eingaben!$B$11,Szenarien!$H$9="OK"),1/(1+Eingaben!$B$39+Szenarien!$G$9)^B83,0),0)</f>
        <v>0</v>
      </c>
      <c r="I83" s="13" t="n">
        <f aca="false">G83*H83</f>
        <v>0</v>
      </c>
      <c r="J83" s="13" t="n">
        <f aca="false">(D83+E83-F83)*H83</f>
        <v>0</v>
      </c>
      <c r="K83" s="13" t="n">
        <f aca="false">IF(AND(B83&lt;=Eingaben!$B$11,Szenarien!$H$9="OK"),SUM(Variantenbilanz!K371:K736)*H83,0)</f>
        <v>0</v>
      </c>
    </row>
    <row r="84" customFormat="false" ht="16.4" hidden="false" customHeight="false" outlineLevel="0" collapsed="false">
      <c r="A84" s="12"/>
      <c r="B84" s="15" t="n">
        <v>28</v>
      </c>
      <c r="C84" s="13" t="n">
        <f aca="false">IFERROR(IF(AND(B84&lt;=Eingaben!$B$11,Szenarien!$H$9="OK"),SUM(Variantenbilanz!K371:K736)*(Eingaben!$B$36*Szenarien!$C$9*(1+Eingaben!$B$40)^(B84-1)+Eingaben!$B$37*Eingaben!$B$38*(1+Eingaben!$B$46)^(B84-1)),0),0)</f>
        <v>0</v>
      </c>
      <c r="D84" s="13" t="n">
        <f aca="false">IFERROR(IF(AND(B84&lt;=Eingaben!$B$11,Szenarien!$H$9="OK"),((Eingaben!$B$32+Eingaben!$B$35)*(1+Eingaben!$B$41)^(B84-1)+SUM(Variantenbilanz!E371:E736)*Eingaben!$B$33*Eingaben!$B$34*(1+Eingaben!$B$42)^(B84-1))*Szenarien!$F$9,0),0)</f>
        <v>0</v>
      </c>
      <c r="E84" s="13" t="n">
        <f aca="false">IFERROR(IF(AND(AND(B84&lt;=Eingaben!$B$11,Szenarien!$H$9="OK"),B84=Eingaben!$B$43),Eingaben!$B$44*Szenarien!$B$9*(1+Eingaben!$B$41)^(B84-1),0),0)</f>
        <v>0</v>
      </c>
      <c r="F84" s="13" t="n">
        <f aca="false">IFERROR(IF(AND(AND(B84&lt;=Eingaben!$B$11,Szenarien!$H$9="OK"),B84=Eingaben!$B$11),Eingaben!$B$45*Szenarien!$B$9,0),0)</f>
        <v>0</v>
      </c>
      <c r="G84" s="13" t="n">
        <f aca="false">C84-D84-E84+F84</f>
        <v>0</v>
      </c>
      <c r="H84" s="13" t="n">
        <f aca="false">IFERROR(IF(AND(B84&lt;=Eingaben!$B$11,Szenarien!$H$9="OK"),1/(1+Eingaben!$B$39+Szenarien!$G$9)^B84,0),0)</f>
        <v>0</v>
      </c>
      <c r="I84" s="13" t="n">
        <f aca="false">G84*H84</f>
        <v>0</v>
      </c>
      <c r="J84" s="13" t="n">
        <f aca="false">(D84+E84-F84)*H84</f>
        <v>0</v>
      </c>
      <c r="K84" s="13" t="n">
        <f aca="false">IF(AND(B84&lt;=Eingaben!$B$11,Szenarien!$H$9="OK"),SUM(Variantenbilanz!K371:K736)*H84,0)</f>
        <v>0</v>
      </c>
    </row>
    <row r="85" customFormat="false" ht="16.4" hidden="false" customHeight="false" outlineLevel="0" collapsed="false">
      <c r="A85" s="12"/>
      <c r="B85" s="15" t="n">
        <v>29</v>
      </c>
      <c r="C85" s="13" t="n">
        <f aca="false">IFERROR(IF(AND(B85&lt;=Eingaben!$B$11,Szenarien!$H$9="OK"),SUM(Variantenbilanz!K371:K736)*(Eingaben!$B$36*Szenarien!$C$9*(1+Eingaben!$B$40)^(B85-1)+Eingaben!$B$37*Eingaben!$B$38*(1+Eingaben!$B$46)^(B85-1)),0),0)</f>
        <v>0</v>
      </c>
      <c r="D85" s="13" t="n">
        <f aca="false">IFERROR(IF(AND(B85&lt;=Eingaben!$B$11,Szenarien!$H$9="OK"),((Eingaben!$B$32+Eingaben!$B$35)*(1+Eingaben!$B$41)^(B85-1)+SUM(Variantenbilanz!E371:E736)*Eingaben!$B$33*Eingaben!$B$34*(1+Eingaben!$B$42)^(B85-1))*Szenarien!$F$9,0),0)</f>
        <v>0</v>
      </c>
      <c r="E85" s="13" t="n">
        <f aca="false">IFERROR(IF(AND(AND(B85&lt;=Eingaben!$B$11,Szenarien!$H$9="OK"),B85=Eingaben!$B$43),Eingaben!$B$44*Szenarien!$B$9*(1+Eingaben!$B$41)^(B85-1),0),0)</f>
        <v>0</v>
      </c>
      <c r="F85" s="13" t="n">
        <f aca="false">IFERROR(IF(AND(AND(B85&lt;=Eingaben!$B$11,Szenarien!$H$9="OK"),B85=Eingaben!$B$11),Eingaben!$B$45*Szenarien!$B$9,0),0)</f>
        <v>0</v>
      </c>
      <c r="G85" s="13" t="n">
        <f aca="false">C85-D85-E85+F85</f>
        <v>0</v>
      </c>
      <c r="H85" s="13" t="n">
        <f aca="false">IFERROR(IF(AND(B85&lt;=Eingaben!$B$11,Szenarien!$H$9="OK"),1/(1+Eingaben!$B$39+Szenarien!$G$9)^B85,0),0)</f>
        <v>0</v>
      </c>
      <c r="I85" s="13" t="n">
        <f aca="false">G85*H85</f>
        <v>0</v>
      </c>
      <c r="J85" s="13" t="n">
        <f aca="false">(D85+E85-F85)*H85</f>
        <v>0</v>
      </c>
      <c r="K85" s="13" t="n">
        <f aca="false">IF(AND(B85&lt;=Eingaben!$B$11,Szenarien!$H$9="OK"),SUM(Variantenbilanz!K371:K736)*H85,0)</f>
        <v>0</v>
      </c>
    </row>
    <row r="86" customFormat="false" ht="16.4" hidden="false" customHeight="false" outlineLevel="0" collapsed="false">
      <c r="A86" s="12"/>
      <c r="B86" s="15" t="n">
        <v>30</v>
      </c>
      <c r="C86" s="13" t="n">
        <f aca="false">IFERROR(IF(AND(B86&lt;=Eingaben!$B$11,Szenarien!$H$9="OK"),SUM(Variantenbilanz!K371:K736)*(Eingaben!$B$36*Szenarien!$C$9*(1+Eingaben!$B$40)^(B86-1)+Eingaben!$B$37*Eingaben!$B$38*(1+Eingaben!$B$46)^(B86-1)),0),0)</f>
        <v>0</v>
      </c>
      <c r="D86" s="13" t="n">
        <f aca="false">IFERROR(IF(AND(B86&lt;=Eingaben!$B$11,Szenarien!$H$9="OK"),((Eingaben!$B$32+Eingaben!$B$35)*(1+Eingaben!$B$41)^(B86-1)+SUM(Variantenbilanz!E371:E736)*Eingaben!$B$33*Eingaben!$B$34*(1+Eingaben!$B$42)^(B86-1))*Szenarien!$F$9,0),0)</f>
        <v>0</v>
      </c>
      <c r="E86" s="13" t="n">
        <f aca="false">IFERROR(IF(AND(AND(B86&lt;=Eingaben!$B$11,Szenarien!$H$9="OK"),B86=Eingaben!$B$43),Eingaben!$B$44*Szenarien!$B$9*(1+Eingaben!$B$41)^(B86-1),0),0)</f>
        <v>0</v>
      </c>
      <c r="F86" s="13" t="n">
        <f aca="false">IFERROR(IF(AND(AND(B86&lt;=Eingaben!$B$11,Szenarien!$H$9="OK"),B86=Eingaben!$B$11),Eingaben!$B$45*Szenarien!$B$9,0),0)</f>
        <v>0</v>
      </c>
      <c r="G86" s="13" t="n">
        <f aca="false">C86-D86-E86+F86</f>
        <v>0</v>
      </c>
      <c r="H86" s="13" t="n">
        <f aca="false">IFERROR(IF(AND(B86&lt;=Eingaben!$B$11,Szenarien!$H$9="OK"),1/(1+Eingaben!$B$39+Szenarien!$G$9)^B86,0),0)</f>
        <v>0</v>
      </c>
      <c r="I86" s="13" t="n">
        <f aca="false">G86*H86</f>
        <v>0</v>
      </c>
      <c r="J86" s="13" t="n">
        <f aca="false">(D86+E86-F86)*H86</f>
        <v>0</v>
      </c>
      <c r="K86" s="13" t="n">
        <f aca="false">IF(AND(B86&lt;=Eingaben!$B$11,Szenarien!$H$9="OK"),SUM(Variantenbilanz!K371:K736)*H86,0)</f>
        <v>0</v>
      </c>
    </row>
    <row r="87" customFormat="false" ht="16.4" hidden="false" customHeight="false" outlineLevel="0" collapsed="false">
      <c r="A87" s="12"/>
      <c r="B87" s="15" t="n">
        <v>31</v>
      </c>
      <c r="C87" s="13" t="n">
        <f aca="false">IFERROR(IF(AND(B87&lt;=Eingaben!$B$11,Szenarien!$H$9="OK"),SUM(Variantenbilanz!K371:K736)*(Eingaben!$B$36*Szenarien!$C$9*(1+Eingaben!$B$40)^(B87-1)+Eingaben!$B$37*Eingaben!$B$38*(1+Eingaben!$B$46)^(B87-1)),0),0)</f>
        <v>0</v>
      </c>
      <c r="D87" s="13" t="n">
        <f aca="false">IFERROR(IF(AND(B87&lt;=Eingaben!$B$11,Szenarien!$H$9="OK"),((Eingaben!$B$32+Eingaben!$B$35)*(1+Eingaben!$B$41)^(B87-1)+SUM(Variantenbilanz!E371:E736)*Eingaben!$B$33*Eingaben!$B$34*(1+Eingaben!$B$42)^(B87-1))*Szenarien!$F$9,0),0)</f>
        <v>0</v>
      </c>
      <c r="E87" s="13" t="n">
        <f aca="false">IFERROR(IF(AND(AND(B87&lt;=Eingaben!$B$11,Szenarien!$H$9="OK"),B87=Eingaben!$B$43),Eingaben!$B$44*Szenarien!$B$9*(1+Eingaben!$B$41)^(B87-1),0),0)</f>
        <v>0</v>
      </c>
      <c r="F87" s="13" t="n">
        <f aca="false">IFERROR(IF(AND(AND(B87&lt;=Eingaben!$B$11,Szenarien!$H$9="OK"),B87=Eingaben!$B$11),Eingaben!$B$45*Szenarien!$B$9,0),0)</f>
        <v>0</v>
      </c>
      <c r="G87" s="13" t="n">
        <f aca="false">C87-D87-E87+F87</f>
        <v>0</v>
      </c>
      <c r="H87" s="13" t="n">
        <f aca="false">IFERROR(IF(AND(B87&lt;=Eingaben!$B$11,Szenarien!$H$9="OK"),1/(1+Eingaben!$B$39+Szenarien!$G$9)^B87,0),0)</f>
        <v>0</v>
      </c>
      <c r="I87" s="13" t="n">
        <f aca="false">G87*H87</f>
        <v>0</v>
      </c>
      <c r="J87" s="13" t="n">
        <f aca="false">(D87+E87-F87)*H87</f>
        <v>0</v>
      </c>
      <c r="K87" s="13" t="n">
        <f aca="false">IF(AND(B87&lt;=Eingaben!$B$11,Szenarien!$H$9="OK"),SUM(Variantenbilanz!K371:K736)*H87,0)</f>
        <v>0</v>
      </c>
    </row>
    <row r="88" customFormat="false" ht="16.4" hidden="false" customHeight="false" outlineLevel="0" collapsed="false">
      <c r="A88" s="12"/>
      <c r="B88" s="15" t="n">
        <v>32</v>
      </c>
      <c r="C88" s="13" t="n">
        <f aca="false">IFERROR(IF(AND(B88&lt;=Eingaben!$B$11,Szenarien!$H$9="OK"),SUM(Variantenbilanz!K371:K736)*(Eingaben!$B$36*Szenarien!$C$9*(1+Eingaben!$B$40)^(B88-1)+Eingaben!$B$37*Eingaben!$B$38*(1+Eingaben!$B$46)^(B88-1)),0),0)</f>
        <v>0</v>
      </c>
      <c r="D88" s="13" t="n">
        <f aca="false">IFERROR(IF(AND(B88&lt;=Eingaben!$B$11,Szenarien!$H$9="OK"),((Eingaben!$B$32+Eingaben!$B$35)*(1+Eingaben!$B$41)^(B88-1)+SUM(Variantenbilanz!E371:E736)*Eingaben!$B$33*Eingaben!$B$34*(1+Eingaben!$B$42)^(B88-1))*Szenarien!$F$9,0),0)</f>
        <v>0</v>
      </c>
      <c r="E88" s="13" t="n">
        <f aca="false">IFERROR(IF(AND(AND(B88&lt;=Eingaben!$B$11,Szenarien!$H$9="OK"),B88=Eingaben!$B$43),Eingaben!$B$44*Szenarien!$B$9*(1+Eingaben!$B$41)^(B88-1),0),0)</f>
        <v>0</v>
      </c>
      <c r="F88" s="13" t="n">
        <f aca="false">IFERROR(IF(AND(AND(B88&lt;=Eingaben!$B$11,Szenarien!$H$9="OK"),B88=Eingaben!$B$11),Eingaben!$B$45*Szenarien!$B$9,0),0)</f>
        <v>0</v>
      </c>
      <c r="G88" s="13" t="n">
        <f aca="false">C88-D88-E88+F88</f>
        <v>0</v>
      </c>
      <c r="H88" s="13" t="n">
        <f aca="false">IFERROR(IF(AND(B88&lt;=Eingaben!$B$11,Szenarien!$H$9="OK"),1/(1+Eingaben!$B$39+Szenarien!$G$9)^B88,0),0)</f>
        <v>0</v>
      </c>
      <c r="I88" s="13" t="n">
        <f aca="false">G88*H88</f>
        <v>0</v>
      </c>
      <c r="J88" s="13" t="n">
        <f aca="false">(D88+E88-F88)*H88</f>
        <v>0</v>
      </c>
      <c r="K88" s="13" t="n">
        <f aca="false">IF(AND(B88&lt;=Eingaben!$B$11,Szenarien!$H$9="OK"),SUM(Variantenbilanz!K371:K736)*H88,0)</f>
        <v>0</v>
      </c>
    </row>
    <row r="89" customFormat="false" ht="16.4" hidden="false" customHeight="false" outlineLevel="0" collapsed="false">
      <c r="A89" s="12"/>
      <c r="B89" s="15" t="n">
        <v>33</v>
      </c>
      <c r="C89" s="13" t="n">
        <f aca="false">IFERROR(IF(AND(B89&lt;=Eingaben!$B$11,Szenarien!$H$9="OK"),SUM(Variantenbilanz!K371:K736)*(Eingaben!$B$36*Szenarien!$C$9*(1+Eingaben!$B$40)^(B89-1)+Eingaben!$B$37*Eingaben!$B$38*(1+Eingaben!$B$46)^(B89-1)),0),0)</f>
        <v>0</v>
      </c>
      <c r="D89" s="13" t="n">
        <f aca="false">IFERROR(IF(AND(B89&lt;=Eingaben!$B$11,Szenarien!$H$9="OK"),((Eingaben!$B$32+Eingaben!$B$35)*(1+Eingaben!$B$41)^(B89-1)+SUM(Variantenbilanz!E371:E736)*Eingaben!$B$33*Eingaben!$B$34*(1+Eingaben!$B$42)^(B89-1))*Szenarien!$F$9,0),0)</f>
        <v>0</v>
      </c>
      <c r="E89" s="13" t="n">
        <f aca="false">IFERROR(IF(AND(AND(B89&lt;=Eingaben!$B$11,Szenarien!$H$9="OK"),B89=Eingaben!$B$43),Eingaben!$B$44*Szenarien!$B$9*(1+Eingaben!$B$41)^(B89-1),0),0)</f>
        <v>0</v>
      </c>
      <c r="F89" s="13" t="n">
        <f aca="false">IFERROR(IF(AND(AND(B89&lt;=Eingaben!$B$11,Szenarien!$H$9="OK"),B89=Eingaben!$B$11),Eingaben!$B$45*Szenarien!$B$9,0),0)</f>
        <v>0</v>
      </c>
      <c r="G89" s="13" t="n">
        <f aca="false">C89-D89-E89+F89</f>
        <v>0</v>
      </c>
      <c r="H89" s="13" t="n">
        <f aca="false">IFERROR(IF(AND(B89&lt;=Eingaben!$B$11,Szenarien!$H$9="OK"),1/(1+Eingaben!$B$39+Szenarien!$G$9)^B89,0),0)</f>
        <v>0</v>
      </c>
      <c r="I89" s="13" t="n">
        <f aca="false">G89*H89</f>
        <v>0</v>
      </c>
      <c r="J89" s="13" t="n">
        <f aca="false">(D89+E89-F89)*H89</f>
        <v>0</v>
      </c>
      <c r="K89" s="13" t="n">
        <f aca="false">IF(AND(B89&lt;=Eingaben!$B$11,Szenarien!$H$9="OK"),SUM(Variantenbilanz!K371:K736)*H89,0)</f>
        <v>0</v>
      </c>
    </row>
    <row r="90" customFormat="false" ht="16.4" hidden="false" customHeight="false" outlineLevel="0" collapsed="false">
      <c r="A90" s="12"/>
      <c r="B90" s="15" t="n">
        <v>34</v>
      </c>
      <c r="C90" s="13" t="n">
        <f aca="false">IFERROR(IF(AND(B90&lt;=Eingaben!$B$11,Szenarien!$H$9="OK"),SUM(Variantenbilanz!K371:K736)*(Eingaben!$B$36*Szenarien!$C$9*(1+Eingaben!$B$40)^(B90-1)+Eingaben!$B$37*Eingaben!$B$38*(1+Eingaben!$B$46)^(B90-1)),0),0)</f>
        <v>0</v>
      </c>
      <c r="D90" s="13" t="n">
        <f aca="false">IFERROR(IF(AND(B90&lt;=Eingaben!$B$11,Szenarien!$H$9="OK"),((Eingaben!$B$32+Eingaben!$B$35)*(1+Eingaben!$B$41)^(B90-1)+SUM(Variantenbilanz!E371:E736)*Eingaben!$B$33*Eingaben!$B$34*(1+Eingaben!$B$42)^(B90-1))*Szenarien!$F$9,0),0)</f>
        <v>0</v>
      </c>
      <c r="E90" s="13" t="n">
        <f aca="false">IFERROR(IF(AND(AND(B90&lt;=Eingaben!$B$11,Szenarien!$H$9="OK"),B90=Eingaben!$B$43),Eingaben!$B$44*Szenarien!$B$9*(1+Eingaben!$B$41)^(B90-1),0),0)</f>
        <v>0</v>
      </c>
      <c r="F90" s="13" t="n">
        <f aca="false">IFERROR(IF(AND(AND(B90&lt;=Eingaben!$B$11,Szenarien!$H$9="OK"),B90=Eingaben!$B$11),Eingaben!$B$45*Szenarien!$B$9,0),0)</f>
        <v>0</v>
      </c>
      <c r="G90" s="13" t="n">
        <f aca="false">C90-D90-E90+F90</f>
        <v>0</v>
      </c>
      <c r="H90" s="13" t="n">
        <f aca="false">IFERROR(IF(AND(B90&lt;=Eingaben!$B$11,Szenarien!$H$9="OK"),1/(1+Eingaben!$B$39+Szenarien!$G$9)^B90,0),0)</f>
        <v>0</v>
      </c>
      <c r="I90" s="13" t="n">
        <f aca="false">G90*H90</f>
        <v>0</v>
      </c>
      <c r="J90" s="13" t="n">
        <f aca="false">(D90+E90-F90)*H90</f>
        <v>0</v>
      </c>
      <c r="K90" s="13" t="n">
        <f aca="false">IF(AND(B90&lt;=Eingaben!$B$11,Szenarien!$H$9="OK"),SUM(Variantenbilanz!K371:K736)*H90,0)</f>
        <v>0</v>
      </c>
    </row>
    <row r="91" customFormat="false" ht="16.4" hidden="false" customHeight="false" outlineLevel="0" collapsed="false">
      <c r="A91" s="12"/>
      <c r="B91" s="15" t="n">
        <v>35</v>
      </c>
      <c r="C91" s="13" t="n">
        <f aca="false">IFERROR(IF(AND(B91&lt;=Eingaben!$B$11,Szenarien!$H$9="OK"),SUM(Variantenbilanz!K371:K736)*(Eingaben!$B$36*Szenarien!$C$9*(1+Eingaben!$B$40)^(B91-1)+Eingaben!$B$37*Eingaben!$B$38*(1+Eingaben!$B$46)^(B91-1)),0),0)</f>
        <v>0</v>
      </c>
      <c r="D91" s="13" t="n">
        <f aca="false">IFERROR(IF(AND(B91&lt;=Eingaben!$B$11,Szenarien!$H$9="OK"),((Eingaben!$B$32+Eingaben!$B$35)*(1+Eingaben!$B$41)^(B91-1)+SUM(Variantenbilanz!E371:E736)*Eingaben!$B$33*Eingaben!$B$34*(1+Eingaben!$B$42)^(B91-1))*Szenarien!$F$9,0),0)</f>
        <v>0</v>
      </c>
      <c r="E91" s="13" t="n">
        <f aca="false">IFERROR(IF(AND(AND(B91&lt;=Eingaben!$B$11,Szenarien!$H$9="OK"),B91=Eingaben!$B$43),Eingaben!$B$44*Szenarien!$B$9*(1+Eingaben!$B$41)^(B91-1),0),0)</f>
        <v>0</v>
      </c>
      <c r="F91" s="13" t="n">
        <f aca="false">IFERROR(IF(AND(AND(B91&lt;=Eingaben!$B$11,Szenarien!$H$9="OK"),B91=Eingaben!$B$11),Eingaben!$B$45*Szenarien!$B$9,0),0)</f>
        <v>0</v>
      </c>
      <c r="G91" s="13" t="n">
        <f aca="false">C91-D91-E91+F91</f>
        <v>0</v>
      </c>
      <c r="H91" s="13" t="n">
        <f aca="false">IFERROR(IF(AND(B91&lt;=Eingaben!$B$11,Szenarien!$H$9="OK"),1/(1+Eingaben!$B$39+Szenarien!$G$9)^B91,0),0)</f>
        <v>0</v>
      </c>
      <c r="I91" s="13" t="n">
        <f aca="false">G91*H91</f>
        <v>0</v>
      </c>
      <c r="J91" s="13" t="n">
        <f aca="false">(D91+E91-F91)*H91</f>
        <v>0</v>
      </c>
      <c r="K91" s="13" t="n">
        <f aca="false">IF(AND(B91&lt;=Eingaben!$B$11,Szenarien!$H$9="OK"),SUM(Variantenbilanz!K371:K736)*H91,0)</f>
        <v>0</v>
      </c>
    </row>
    <row r="92" customFormat="false" ht="16.4" hidden="false" customHeight="false" outlineLevel="0" collapsed="false">
      <c r="A92" s="12"/>
      <c r="B92" s="15" t="n">
        <v>36</v>
      </c>
      <c r="C92" s="13" t="n">
        <f aca="false">IFERROR(IF(AND(B92&lt;=Eingaben!$B$11,Szenarien!$H$9="OK"),SUM(Variantenbilanz!K371:K736)*(Eingaben!$B$36*Szenarien!$C$9*(1+Eingaben!$B$40)^(B92-1)+Eingaben!$B$37*Eingaben!$B$38*(1+Eingaben!$B$46)^(B92-1)),0),0)</f>
        <v>0</v>
      </c>
      <c r="D92" s="13" t="n">
        <f aca="false">IFERROR(IF(AND(B92&lt;=Eingaben!$B$11,Szenarien!$H$9="OK"),((Eingaben!$B$32+Eingaben!$B$35)*(1+Eingaben!$B$41)^(B92-1)+SUM(Variantenbilanz!E371:E736)*Eingaben!$B$33*Eingaben!$B$34*(1+Eingaben!$B$42)^(B92-1))*Szenarien!$F$9,0),0)</f>
        <v>0</v>
      </c>
      <c r="E92" s="13" t="n">
        <f aca="false">IFERROR(IF(AND(AND(B92&lt;=Eingaben!$B$11,Szenarien!$H$9="OK"),B92=Eingaben!$B$43),Eingaben!$B$44*Szenarien!$B$9*(1+Eingaben!$B$41)^(B92-1),0),0)</f>
        <v>0</v>
      </c>
      <c r="F92" s="13" t="n">
        <f aca="false">IFERROR(IF(AND(AND(B92&lt;=Eingaben!$B$11,Szenarien!$H$9="OK"),B92=Eingaben!$B$11),Eingaben!$B$45*Szenarien!$B$9,0),0)</f>
        <v>0</v>
      </c>
      <c r="G92" s="13" t="n">
        <f aca="false">C92-D92-E92+F92</f>
        <v>0</v>
      </c>
      <c r="H92" s="13" t="n">
        <f aca="false">IFERROR(IF(AND(B92&lt;=Eingaben!$B$11,Szenarien!$H$9="OK"),1/(1+Eingaben!$B$39+Szenarien!$G$9)^B92,0),0)</f>
        <v>0</v>
      </c>
      <c r="I92" s="13" t="n">
        <f aca="false">G92*H92</f>
        <v>0</v>
      </c>
      <c r="J92" s="13" t="n">
        <f aca="false">(D92+E92-F92)*H92</f>
        <v>0</v>
      </c>
      <c r="K92" s="13" t="n">
        <f aca="false">IF(AND(B92&lt;=Eingaben!$B$11,Szenarien!$H$9="OK"),SUM(Variantenbilanz!K371:K736)*H92,0)</f>
        <v>0</v>
      </c>
    </row>
    <row r="93" customFormat="false" ht="16.4" hidden="false" customHeight="false" outlineLevel="0" collapsed="false">
      <c r="A93" s="12"/>
      <c r="B93" s="15" t="n">
        <v>37</v>
      </c>
      <c r="C93" s="13" t="n">
        <f aca="false">IFERROR(IF(AND(B93&lt;=Eingaben!$B$11,Szenarien!$H$9="OK"),SUM(Variantenbilanz!K371:K736)*(Eingaben!$B$36*Szenarien!$C$9*(1+Eingaben!$B$40)^(B93-1)+Eingaben!$B$37*Eingaben!$B$38*(1+Eingaben!$B$46)^(B93-1)),0),0)</f>
        <v>0</v>
      </c>
      <c r="D93" s="13" t="n">
        <f aca="false">IFERROR(IF(AND(B93&lt;=Eingaben!$B$11,Szenarien!$H$9="OK"),((Eingaben!$B$32+Eingaben!$B$35)*(1+Eingaben!$B$41)^(B93-1)+SUM(Variantenbilanz!E371:E736)*Eingaben!$B$33*Eingaben!$B$34*(1+Eingaben!$B$42)^(B93-1))*Szenarien!$F$9,0),0)</f>
        <v>0</v>
      </c>
      <c r="E93" s="13" t="n">
        <f aca="false">IFERROR(IF(AND(AND(B93&lt;=Eingaben!$B$11,Szenarien!$H$9="OK"),B93=Eingaben!$B$43),Eingaben!$B$44*Szenarien!$B$9*(1+Eingaben!$B$41)^(B93-1),0),0)</f>
        <v>0</v>
      </c>
      <c r="F93" s="13" t="n">
        <f aca="false">IFERROR(IF(AND(AND(B93&lt;=Eingaben!$B$11,Szenarien!$H$9="OK"),B93=Eingaben!$B$11),Eingaben!$B$45*Szenarien!$B$9,0),0)</f>
        <v>0</v>
      </c>
      <c r="G93" s="13" t="n">
        <f aca="false">C93-D93-E93+F93</f>
        <v>0</v>
      </c>
      <c r="H93" s="13" t="n">
        <f aca="false">IFERROR(IF(AND(B93&lt;=Eingaben!$B$11,Szenarien!$H$9="OK"),1/(1+Eingaben!$B$39+Szenarien!$G$9)^B93,0),0)</f>
        <v>0</v>
      </c>
      <c r="I93" s="13" t="n">
        <f aca="false">G93*H93</f>
        <v>0</v>
      </c>
      <c r="J93" s="13" t="n">
        <f aca="false">(D93+E93-F93)*H93</f>
        <v>0</v>
      </c>
      <c r="K93" s="13" t="n">
        <f aca="false">IF(AND(B93&lt;=Eingaben!$B$11,Szenarien!$H$9="OK"),SUM(Variantenbilanz!K371:K736)*H93,0)</f>
        <v>0</v>
      </c>
    </row>
    <row r="94" customFormat="false" ht="16.4" hidden="false" customHeight="false" outlineLevel="0" collapsed="false">
      <c r="A94" s="12"/>
      <c r="B94" s="15" t="n">
        <v>38</v>
      </c>
      <c r="C94" s="13" t="n">
        <f aca="false">IFERROR(IF(AND(B94&lt;=Eingaben!$B$11,Szenarien!$H$9="OK"),SUM(Variantenbilanz!K371:K736)*(Eingaben!$B$36*Szenarien!$C$9*(1+Eingaben!$B$40)^(B94-1)+Eingaben!$B$37*Eingaben!$B$38*(1+Eingaben!$B$46)^(B94-1)),0),0)</f>
        <v>0</v>
      </c>
      <c r="D94" s="13" t="n">
        <f aca="false">IFERROR(IF(AND(B94&lt;=Eingaben!$B$11,Szenarien!$H$9="OK"),((Eingaben!$B$32+Eingaben!$B$35)*(1+Eingaben!$B$41)^(B94-1)+SUM(Variantenbilanz!E371:E736)*Eingaben!$B$33*Eingaben!$B$34*(1+Eingaben!$B$42)^(B94-1))*Szenarien!$F$9,0),0)</f>
        <v>0</v>
      </c>
      <c r="E94" s="13" t="n">
        <f aca="false">IFERROR(IF(AND(AND(B94&lt;=Eingaben!$B$11,Szenarien!$H$9="OK"),B94=Eingaben!$B$43),Eingaben!$B$44*Szenarien!$B$9*(1+Eingaben!$B$41)^(B94-1),0),0)</f>
        <v>0</v>
      </c>
      <c r="F94" s="13" t="n">
        <f aca="false">IFERROR(IF(AND(AND(B94&lt;=Eingaben!$B$11,Szenarien!$H$9="OK"),B94=Eingaben!$B$11),Eingaben!$B$45*Szenarien!$B$9,0),0)</f>
        <v>0</v>
      </c>
      <c r="G94" s="13" t="n">
        <f aca="false">C94-D94-E94+F94</f>
        <v>0</v>
      </c>
      <c r="H94" s="13" t="n">
        <f aca="false">IFERROR(IF(AND(B94&lt;=Eingaben!$B$11,Szenarien!$H$9="OK"),1/(1+Eingaben!$B$39+Szenarien!$G$9)^B94,0),0)</f>
        <v>0</v>
      </c>
      <c r="I94" s="13" t="n">
        <f aca="false">G94*H94</f>
        <v>0</v>
      </c>
      <c r="J94" s="13" t="n">
        <f aca="false">(D94+E94-F94)*H94</f>
        <v>0</v>
      </c>
      <c r="K94" s="13" t="n">
        <f aca="false">IF(AND(B94&lt;=Eingaben!$B$11,Szenarien!$H$9="OK"),SUM(Variantenbilanz!K371:K736)*H94,0)</f>
        <v>0</v>
      </c>
    </row>
    <row r="95" customFormat="false" ht="16.4" hidden="false" customHeight="false" outlineLevel="0" collapsed="false">
      <c r="A95" s="12"/>
      <c r="B95" s="15" t="n">
        <v>39</v>
      </c>
      <c r="C95" s="13" t="n">
        <f aca="false">IFERROR(IF(AND(B95&lt;=Eingaben!$B$11,Szenarien!$H$9="OK"),SUM(Variantenbilanz!K371:K736)*(Eingaben!$B$36*Szenarien!$C$9*(1+Eingaben!$B$40)^(B95-1)+Eingaben!$B$37*Eingaben!$B$38*(1+Eingaben!$B$46)^(B95-1)),0),0)</f>
        <v>0</v>
      </c>
      <c r="D95" s="13" t="n">
        <f aca="false">IFERROR(IF(AND(B95&lt;=Eingaben!$B$11,Szenarien!$H$9="OK"),((Eingaben!$B$32+Eingaben!$B$35)*(1+Eingaben!$B$41)^(B95-1)+SUM(Variantenbilanz!E371:E736)*Eingaben!$B$33*Eingaben!$B$34*(1+Eingaben!$B$42)^(B95-1))*Szenarien!$F$9,0),0)</f>
        <v>0</v>
      </c>
      <c r="E95" s="13" t="n">
        <f aca="false">IFERROR(IF(AND(AND(B95&lt;=Eingaben!$B$11,Szenarien!$H$9="OK"),B95=Eingaben!$B$43),Eingaben!$B$44*Szenarien!$B$9*(1+Eingaben!$B$41)^(B95-1),0),0)</f>
        <v>0</v>
      </c>
      <c r="F95" s="13" t="n">
        <f aca="false">IFERROR(IF(AND(AND(B95&lt;=Eingaben!$B$11,Szenarien!$H$9="OK"),B95=Eingaben!$B$11),Eingaben!$B$45*Szenarien!$B$9,0),0)</f>
        <v>0</v>
      </c>
      <c r="G95" s="13" t="n">
        <f aca="false">C95-D95-E95+F95</f>
        <v>0</v>
      </c>
      <c r="H95" s="13" t="n">
        <f aca="false">IFERROR(IF(AND(B95&lt;=Eingaben!$B$11,Szenarien!$H$9="OK"),1/(1+Eingaben!$B$39+Szenarien!$G$9)^B95,0),0)</f>
        <v>0</v>
      </c>
      <c r="I95" s="13" t="n">
        <f aca="false">G95*H95</f>
        <v>0</v>
      </c>
      <c r="J95" s="13" t="n">
        <f aca="false">(D95+E95-F95)*H95</f>
        <v>0</v>
      </c>
      <c r="K95" s="13" t="n">
        <f aca="false">IF(AND(B95&lt;=Eingaben!$B$11,Szenarien!$H$9="OK"),SUM(Variantenbilanz!K371:K736)*H95,0)</f>
        <v>0</v>
      </c>
    </row>
    <row r="96" customFormat="false" ht="16.4" hidden="false" customHeight="false" outlineLevel="0" collapsed="false">
      <c r="A96" s="12"/>
      <c r="B96" s="15" t="n">
        <v>40</v>
      </c>
      <c r="C96" s="13" t="n">
        <f aca="false">IFERROR(IF(AND(B96&lt;=Eingaben!$B$11,Szenarien!$H$9="OK"),SUM(Variantenbilanz!K371:K736)*(Eingaben!$B$36*Szenarien!$C$9*(1+Eingaben!$B$40)^(B96-1)+Eingaben!$B$37*Eingaben!$B$38*(1+Eingaben!$B$46)^(B96-1)),0),0)</f>
        <v>0</v>
      </c>
      <c r="D96" s="13" t="n">
        <f aca="false">IFERROR(IF(AND(B96&lt;=Eingaben!$B$11,Szenarien!$H$9="OK"),((Eingaben!$B$32+Eingaben!$B$35)*(1+Eingaben!$B$41)^(B96-1)+SUM(Variantenbilanz!E371:E736)*Eingaben!$B$33*Eingaben!$B$34*(1+Eingaben!$B$42)^(B96-1))*Szenarien!$F$9,0),0)</f>
        <v>0</v>
      </c>
      <c r="E96" s="13" t="n">
        <f aca="false">IFERROR(IF(AND(AND(B96&lt;=Eingaben!$B$11,Szenarien!$H$9="OK"),B96=Eingaben!$B$43),Eingaben!$B$44*Szenarien!$B$9*(1+Eingaben!$B$41)^(B96-1),0),0)</f>
        <v>0</v>
      </c>
      <c r="F96" s="13" t="n">
        <f aca="false">IFERROR(IF(AND(AND(B96&lt;=Eingaben!$B$11,Szenarien!$H$9="OK"),B96=Eingaben!$B$11),Eingaben!$B$45*Szenarien!$B$9,0),0)</f>
        <v>0</v>
      </c>
      <c r="G96" s="13" t="n">
        <f aca="false">C96-D96-E96+F96</f>
        <v>0</v>
      </c>
      <c r="H96" s="13" t="n">
        <f aca="false">IFERROR(IF(AND(B96&lt;=Eingaben!$B$11,Szenarien!$H$9="OK"),1/(1+Eingaben!$B$39+Szenarien!$G$9)^B96,0),0)</f>
        <v>0</v>
      </c>
      <c r="I96" s="13" t="n">
        <f aca="false">G96*H96</f>
        <v>0</v>
      </c>
      <c r="J96" s="13" t="n">
        <f aca="false">(D96+E96-F96)*H96</f>
        <v>0</v>
      </c>
      <c r="K96" s="13" t="n">
        <f aca="false">IF(AND(B96&lt;=Eingaben!$B$11,Szenarien!$H$9="OK"),SUM(Variantenbilanz!K371:K736)*H96,0)</f>
        <v>0</v>
      </c>
    </row>
    <row r="97" customFormat="false" ht="16.4" hidden="false" customHeight="false" outlineLevel="0" collapsed="false">
      <c r="A97" s="12"/>
      <c r="B97" s="15" t="n">
        <v>41</v>
      </c>
      <c r="C97" s="13" t="n">
        <f aca="false">IFERROR(IF(AND(B97&lt;=Eingaben!$B$11,Szenarien!$H$9="OK"),SUM(Variantenbilanz!K371:K736)*(Eingaben!$B$36*Szenarien!$C$9*(1+Eingaben!$B$40)^(B97-1)+Eingaben!$B$37*Eingaben!$B$38*(1+Eingaben!$B$46)^(B97-1)),0),0)</f>
        <v>0</v>
      </c>
      <c r="D97" s="13" t="n">
        <f aca="false">IFERROR(IF(AND(B97&lt;=Eingaben!$B$11,Szenarien!$H$9="OK"),((Eingaben!$B$32+Eingaben!$B$35)*(1+Eingaben!$B$41)^(B97-1)+SUM(Variantenbilanz!E371:E736)*Eingaben!$B$33*Eingaben!$B$34*(1+Eingaben!$B$42)^(B97-1))*Szenarien!$F$9,0),0)</f>
        <v>0</v>
      </c>
      <c r="E97" s="13" t="n">
        <f aca="false">IFERROR(IF(AND(AND(B97&lt;=Eingaben!$B$11,Szenarien!$H$9="OK"),B97=Eingaben!$B$43),Eingaben!$B$44*Szenarien!$B$9*(1+Eingaben!$B$41)^(B97-1),0),0)</f>
        <v>0</v>
      </c>
      <c r="F97" s="13" t="n">
        <f aca="false">IFERROR(IF(AND(AND(B97&lt;=Eingaben!$B$11,Szenarien!$H$9="OK"),B97=Eingaben!$B$11),Eingaben!$B$45*Szenarien!$B$9,0),0)</f>
        <v>0</v>
      </c>
      <c r="G97" s="13" t="n">
        <f aca="false">C97-D97-E97+F97</f>
        <v>0</v>
      </c>
      <c r="H97" s="13" t="n">
        <f aca="false">IFERROR(IF(AND(B97&lt;=Eingaben!$B$11,Szenarien!$H$9="OK"),1/(1+Eingaben!$B$39+Szenarien!$G$9)^B97,0),0)</f>
        <v>0</v>
      </c>
      <c r="I97" s="13" t="n">
        <f aca="false">G97*H97</f>
        <v>0</v>
      </c>
      <c r="J97" s="13" t="n">
        <f aca="false">(D97+E97-F97)*H97</f>
        <v>0</v>
      </c>
      <c r="K97" s="13" t="n">
        <f aca="false">IF(AND(B97&lt;=Eingaben!$B$11,Szenarien!$H$9="OK"),SUM(Variantenbilanz!K371:K736)*H97,0)</f>
        <v>0</v>
      </c>
    </row>
    <row r="98" customFormat="false" ht="16.4" hidden="false" customHeight="false" outlineLevel="0" collapsed="false">
      <c r="A98" s="12"/>
      <c r="B98" s="15" t="n">
        <v>42</v>
      </c>
      <c r="C98" s="13" t="n">
        <f aca="false">IFERROR(IF(AND(B98&lt;=Eingaben!$B$11,Szenarien!$H$9="OK"),SUM(Variantenbilanz!K371:K736)*(Eingaben!$B$36*Szenarien!$C$9*(1+Eingaben!$B$40)^(B98-1)+Eingaben!$B$37*Eingaben!$B$38*(1+Eingaben!$B$46)^(B98-1)),0),0)</f>
        <v>0</v>
      </c>
      <c r="D98" s="13" t="n">
        <f aca="false">IFERROR(IF(AND(B98&lt;=Eingaben!$B$11,Szenarien!$H$9="OK"),((Eingaben!$B$32+Eingaben!$B$35)*(1+Eingaben!$B$41)^(B98-1)+SUM(Variantenbilanz!E371:E736)*Eingaben!$B$33*Eingaben!$B$34*(1+Eingaben!$B$42)^(B98-1))*Szenarien!$F$9,0),0)</f>
        <v>0</v>
      </c>
      <c r="E98" s="13" t="n">
        <f aca="false">IFERROR(IF(AND(AND(B98&lt;=Eingaben!$B$11,Szenarien!$H$9="OK"),B98=Eingaben!$B$43),Eingaben!$B$44*Szenarien!$B$9*(1+Eingaben!$B$41)^(B98-1),0),0)</f>
        <v>0</v>
      </c>
      <c r="F98" s="13" t="n">
        <f aca="false">IFERROR(IF(AND(AND(B98&lt;=Eingaben!$B$11,Szenarien!$H$9="OK"),B98=Eingaben!$B$11),Eingaben!$B$45*Szenarien!$B$9,0),0)</f>
        <v>0</v>
      </c>
      <c r="G98" s="13" t="n">
        <f aca="false">C98-D98-E98+F98</f>
        <v>0</v>
      </c>
      <c r="H98" s="13" t="n">
        <f aca="false">IFERROR(IF(AND(B98&lt;=Eingaben!$B$11,Szenarien!$H$9="OK"),1/(1+Eingaben!$B$39+Szenarien!$G$9)^B98,0),0)</f>
        <v>0</v>
      </c>
      <c r="I98" s="13" t="n">
        <f aca="false">G98*H98</f>
        <v>0</v>
      </c>
      <c r="J98" s="13" t="n">
        <f aca="false">(D98+E98-F98)*H98</f>
        <v>0</v>
      </c>
      <c r="K98" s="13" t="n">
        <f aca="false">IF(AND(B98&lt;=Eingaben!$B$11,Szenarien!$H$9="OK"),SUM(Variantenbilanz!K371:K736)*H98,0)</f>
        <v>0</v>
      </c>
    </row>
    <row r="99" customFormat="false" ht="16.4" hidden="false" customHeight="false" outlineLevel="0" collapsed="false">
      <c r="A99" s="12"/>
      <c r="B99" s="15" t="n">
        <v>43</v>
      </c>
      <c r="C99" s="13" t="n">
        <f aca="false">IFERROR(IF(AND(B99&lt;=Eingaben!$B$11,Szenarien!$H$9="OK"),SUM(Variantenbilanz!K371:K736)*(Eingaben!$B$36*Szenarien!$C$9*(1+Eingaben!$B$40)^(B99-1)+Eingaben!$B$37*Eingaben!$B$38*(1+Eingaben!$B$46)^(B99-1)),0),0)</f>
        <v>0</v>
      </c>
      <c r="D99" s="13" t="n">
        <f aca="false">IFERROR(IF(AND(B99&lt;=Eingaben!$B$11,Szenarien!$H$9="OK"),((Eingaben!$B$32+Eingaben!$B$35)*(1+Eingaben!$B$41)^(B99-1)+SUM(Variantenbilanz!E371:E736)*Eingaben!$B$33*Eingaben!$B$34*(1+Eingaben!$B$42)^(B99-1))*Szenarien!$F$9,0),0)</f>
        <v>0</v>
      </c>
      <c r="E99" s="13" t="n">
        <f aca="false">IFERROR(IF(AND(AND(B99&lt;=Eingaben!$B$11,Szenarien!$H$9="OK"),B99=Eingaben!$B$43),Eingaben!$B$44*Szenarien!$B$9*(1+Eingaben!$B$41)^(B99-1),0),0)</f>
        <v>0</v>
      </c>
      <c r="F99" s="13" t="n">
        <f aca="false">IFERROR(IF(AND(AND(B99&lt;=Eingaben!$B$11,Szenarien!$H$9="OK"),B99=Eingaben!$B$11),Eingaben!$B$45*Szenarien!$B$9,0),0)</f>
        <v>0</v>
      </c>
      <c r="G99" s="13" t="n">
        <f aca="false">C99-D99-E99+F99</f>
        <v>0</v>
      </c>
      <c r="H99" s="13" t="n">
        <f aca="false">IFERROR(IF(AND(B99&lt;=Eingaben!$B$11,Szenarien!$H$9="OK"),1/(1+Eingaben!$B$39+Szenarien!$G$9)^B99,0),0)</f>
        <v>0</v>
      </c>
      <c r="I99" s="13" t="n">
        <f aca="false">G99*H99</f>
        <v>0</v>
      </c>
      <c r="J99" s="13" t="n">
        <f aca="false">(D99+E99-F99)*H99</f>
        <v>0</v>
      </c>
      <c r="K99" s="13" t="n">
        <f aca="false">IF(AND(B99&lt;=Eingaben!$B$11,Szenarien!$H$9="OK"),SUM(Variantenbilanz!K371:K736)*H99,0)</f>
        <v>0</v>
      </c>
    </row>
    <row r="100" customFormat="false" ht="16.4" hidden="false" customHeight="false" outlineLevel="0" collapsed="false">
      <c r="A100" s="12"/>
      <c r="B100" s="15" t="n">
        <v>44</v>
      </c>
      <c r="C100" s="13" t="n">
        <f aca="false">IFERROR(IF(AND(B100&lt;=Eingaben!$B$11,Szenarien!$H$9="OK"),SUM(Variantenbilanz!K371:K736)*(Eingaben!$B$36*Szenarien!$C$9*(1+Eingaben!$B$40)^(B100-1)+Eingaben!$B$37*Eingaben!$B$38*(1+Eingaben!$B$46)^(B100-1)),0),0)</f>
        <v>0</v>
      </c>
      <c r="D100" s="13" t="n">
        <f aca="false">IFERROR(IF(AND(B100&lt;=Eingaben!$B$11,Szenarien!$H$9="OK"),((Eingaben!$B$32+Eingaben!$B$35)*(1+Eingaben!$B$41)^(B100-1)+SUM(Variantenbilanz!E371:E736)*Eingaben!$B$33*Eingaben!$B$34*(1+Eingaben!$B$42)^(B100-1))*Szenarien!$F$9,0),0)</f>
        <v>0</v>
      </c>
      <c r="E100" s="13" t="n">
        <f aca="false">IFERROR(IF(AND(AND(B100&lt;=Eingaben!$B$11,Szenarien!$H$9="OK"),B100=Eingaben!$B$43),Eingaben!$B$44*Szenarien!$B$9*(1+Eingaben!$B$41)^(B100-1),0),0)</f>
        <v>0</v>
      </c>
      <c r="F100" s="13" t="n">
        <f aca="false">IFERROR(IF(AND(AND(B100&lt;=Eingaben!$B$11,Szenarien!$H$9="OK"),B100=Eingaben!$B$11),Eingaben!$B$45*Szenarien!$B$9,0),0)</f>
        <v>0</v>
      </c>
      <c r="G100" s="13" t="n">
        <f aca="false">C100-D100-E100+F100</f>
        <v>0</v>
      </c>
      <c r="H100" s="13" t="n">
        <f aca="false">IFERROR(IF(AND(B100&lt;=Eingaben!$B$11,Szenarien!$H$9="OK"),1/(1+Eingaben!$B$39+Szenarien!$G$9)^B100,0),0)</f>
        <v>0</v>
      </c>
      <c r="I100" s="13" t="n">
        <f aca="false">G100*H100</f>
        <v>0</v>
      </c>
      <c r="J100" s="13" t="n">
        <f aca="false">(D100+E100-F100)*H100</f>
        <v>0</v>
      </c>
      <c r="K100" s="13" t="n">
        <f aca="false">IF(AND(B100&lt;=Eingaben!$B$11,Szenarien!$H$9="OK"),SUM(Variantenbilanz!K371:K736)*H100,0)</f>
        <v>0</v>
      </c>
    </row>
    <row r="101" customFormat="false" ht="16.4" hidden="false" customHeight="false" outlineLevel="0" collapsed="false">
      <c r="A101" s="12"/>
      <c r="B101" s="15" t="n">
        <v>45</v>
      </c>
      <c r="C101" s="13" t="n">
        <f aca="false">IFERROR(IF(AND(B101&lt;=Eingaben!$B$11,Szenarien!$H$9="OK"),SUM(Variantenbilanz!K371:K736)*(Eingaben!$B$36*Szenarien!$C$9*(1+Eingaben!$B$40)^(B101-1)+Eingaben!$B$37*Eingaben!$B$38*(1+Eingaben!$B$46)^(B101-1)),0),0)</f>
        <v>0</v>
      </c>
      <c r="D101" s="13" t="n">
        <f aca="false">IFERROR(IF(AND(B101&lt;=Eingaben!$B$11,Szenarien!$H$9="OK"),((Eingaben!$B$32+Eingaben!$B$35)*(1+Eingaben!$B$41)^(B101-1)+SUM(Variantenbilanz!E371:E736)*Eingaben!$B$33*Eingaben!$B$34*(1+Eingaben!$B$42)^(B101-1))*Szenarien!$F$9,0),0)</f>
        <v>0</v>
      </c>
      <c r="E101" s="13" t="n">
        <f aca="false">IFERROR(IF(AND(AND(B101&lt;=Eingaben!$B$11,Szenarien!$H$9="OK"),B101=Eingaben!$B$43),Eingaben!$B$44*Szenarien!$B$9*(1+Eingaben!$B$41)^(B101-1),0),0)</f>
        <v>0</v>
      </c>
      <c r="F101" s="13" t="n">
        <f aca="false">IFERROR(IF(AND(AND(B101&lt;=Eingaben!$B$11,Szenarien!$H$9="OK"),B101=Eingaben!$B$11),Eingaben!$B$45*Szenarien!$B$9,0),0)</f>
        <v>0</v>
      </c>
      <c r="G101" s="13" t="n">
        <f aca="false">C101-D101-E101+F101</f>
        <v>0</v>
      </c>
      <c r="H101" s="13" t="n">
        <f aca="false">IFERROR(IF(AND(B101&lt;=Eingaben!$B$11,Szenarien!$H$9="OK"),1/(1+Eingaben!$B$39+Szenarien!$G$9)^B101,0),0)</f>
        <v>0</v>
      </c>
      <c r="I101" s="13" t="n">
        <f aca="false">G101*H101</f>
        <v>0</v>
      </c>
      <c r="J101" s="13" t="n">
        <f aca="false">(D101+E101-F101)*H101</f>
        <v>0</v>
      </c>
      <c r="K101" s="13" t="n">
        <f aca="false">IF(AND(B101&lt;=Eingaben!$B$11,Szenarien!$H$9="OK"),SUM(Variantenbilanz!K371:K736)*H101,0)</f>
        <v>0</v>
      </c>
    </row>
    <row r="102" customFormat="false" ht="16.4" hidden="false" customHeight="false" outlineLevel="0" collapsed="false">
      <c r="A102" s="12"/>
      <c r="B102" s="15" t="n">
        <v>46</v>
      </c>
      <c r="C102" s="13" t="n">
        <f aca="false">IFERROR(IF(AND(B102&lt;=Eingaben!$B$11,Szenarien!$H$9="OK"),SUM(Variantenbilanz!K371:K736)*(Eingaben!$B$36*Szenarien!$C$9*(1+Eingaben!$B$40)^(B102-1)+Eingaben!$B$37*Eingaben!$B$38*(1+Eingaben!$B$46)^(B102-1)),0),0)</f>
        <v>0</v>
      </c>
      <c r="D102" s="13" t="n">
        <f aca="false">IFERROR(IF(AND(B102&lt;=Eingaben!$B$11,Szenarien!$H$9="OK"),((Eingaben!$B$32+Eingaben!$B$35)*(1+Eingaben!$B$41)^(B102-1)+SUM(Variantenbilanz!E371:E736)*Eingaben!$B$33*Eingaben!$B$34*(1+Eingaben!$B$42)^(B102-1))*Szenarien!$F$9,0),0)</f>
        <v>0</v>
      </c>
      <c r="E102" s="13" t="n">
        <f aca="false">IFERROR(IF(AND(AND(B102&lt;=Eingaben!$B$11,Szenarien!$H$9="OK"),B102=Eingaben!$B$43),Eingaben!$B$44*Szenarien!$B$9*(1+Eingaben!$B$41)^(B102-1),0),0)</f>
        <v>0</v>
      </c>
      <c r="F102" s="13" t="n">
        <f aca="false">IFERROR(IF(AND(AND(B102&lt;=Eingaben!$B$11,Szenarien!$H$9="OK"),B102=Eingaben!$B$11),Eingaben!$B$45*Szenarien!$B$9,0),0)</f>
        <v>0</v>
      </c>
      <c r="G102" s="13" t="n">
        <f aca="false">C102-D102-E102+F102</f>
        <v>0</v>
      </c>
      <c r="H102" s="13" t="n">
        <f aca="false">IFERROR(IF(AND(B102&lt;=Eingaben!$B$11,Szenarien!$H$9="OK"),1/(1+Eingaben!$B$39+Szenarien!$G$9)^B102,0),0)</f>
        <v>0</v>
      </c>
      <c r="I102" s="13" t="n">
        <f aca="false">G102*H102</f>
        <v>0</v>
      </c>
      <c r="J102" s="13" t="n">
        <f aca="false">(D102+E102-F102)*H102</f>
        <v>0</v>
      </c>
      <c r="K102" s="13" t="n">
        <f aca="false">IF(AND(B102&lt;=Eingaben!$B$11,Szenarien!$H$9="OK"),SUM(Variantenbilanz!K371:K736)*H102,0)</f>
        <v>0</v>
      </c>
    </row>
    <row r="103" customFormat="false" ht="16.4" hidden="false" customHeight="false" outlineLevel="0" collapsed="false">
      <c r="A103" s="12"/>
      <c r="B103" s="15" t="n">
        <v>47</v>
      </c>
      <c r="C103" s="13" t="n">
        <f aca="false">IFERROR(IF(AND(B103&lt;=Eingaben!$B$11,Szenarien!$H$9="OK"),SUM(Variantenbilanz!K371:K736)*(Eingaben!$B$36*Szenarien!$C$9*(1+Eingaben!$B$40)^(B103-1)+Eingaben!$B$37*Eingaben!$B$38*(1+Eingaben!$B$46)^(B103-1)),0),0)</f>
        <v>0</v>
      </c>
      <c r="D103" s="13" t="n">
        <f aca="false">IFERROR(IF(AND(B103&lt;=Eingaben!$B$11,Szenarien!$H$9="OK"),((Eingaben!$B$32+Eingaben!$B$35)*(1+Eingaben!$B$41)^(B103-1)+SUM(Variantenbilanz!E371:E736)*Eingaben!$B$33*Eingaben!$B$34*(1+Eingaben!$B$42)^(B103-1))*Szenarien!$F$9,0),0)</f>
        <v>0</v>
      </c>
      <c r="E103" s="13" t="n">
        <f aca="false">IFERROR(IF(AND(AND(B103&lt;=Eingaben!$B$11,Szenarien!$H$9="OK"),B103=Eingaben!$B$43),Eingaben!$B$44*Szenarien!$B$9*(1+Eingaben!$B$41)^(B103-1),0),0)</f>
        <v>0</v>
      </c>
      <c r="F103" s="13" t="n">
        <f aca="false">IFERROR(IF(AND(AND(B103&lt;=Eingaben!$B$11,Szenarien!$H$9="OK"),B103=Eingaben!$B$11),Eingaben!$B$45*Szenarien!$B$9,0),0)</f>
        <v>0</v>
      </c>
      <c r="G103" s="13" t="n">
        <f aca="false">C103-D103-E103+F103</f>
        <v>0</v>
      </c>
      <c r="H103" s="13" t="n">
        <f aca="false">IFERROR(IF(AND(B103&lt;=Eingaben!$B$11,Szenarien!$H$9="OK"),1/(1+Eingaben!$B$39+Szenarien!$G$9)^B103,0),0)</f>
        <v>0</v>
      </c>
      <c r="I103" s="13" t="n">
        <f aca="false">G103*H103</f>
        <v>0</v>
      </c>
      <c r="J103" s="13" t="n">
        <f aca="false">(D103+E103-F103)*H103</f>
        <v>0</v>
      </c>
      <c r="K103" s="13" t="n">
        <f aca="false">IF(AND(B103&lt;=Eingaben!$B$11,Szenarien!$H$9="OK"),SUM(Variantenbilanz!K371:K736)*H103,0)</f>
        <v>0</v>
      </c>
    </row>
    <row r="104" customFormat="false" ht="16.4" hidden="false" customHeight="false" outlineLevel="0" collapsed="false">
      <c r="A104" s="12"/>
      <c r="B104" s="15" t="n">
        <v>48</v>
      </c>
      <c r="C104" s="13" t="n">
        <f aca="false">IFERROR(IF(AND(B104&lt;=Eingaben!$B$11,Szenarien!$H$9="OK"),SUM(Variantenbilanz!K371:K736)*(Eingaben!$B$36*Szenarien!$C$9*(1+Eingaben!$B$40)^(B104-1)+Eingaben!$B$37*Eingaben!$B$38*(1+Eingaben!$B$46)^(B104-1)),0),0)</f>
        <v>0</v>
      </c>
      <c r="D104" s="13" t="n">
        <f aca="false">IFERROR(IF(AND(B104&lt;=Eingaben!$B$11,Szenarien!$H$9="OK"),((Eingaben!$B$32+Eingaben!$B$35)*(1+Eingaben!$B$41)^(B104-1)+SUM(Variantenbilanz!E371:E736)*Eingaben!$B$33*Eingaben!$B$34*(1+Eingaben!$B$42)^(B104-1))*Szenarien!$F$9,0),0)</f>
        <v>0</v>
      </c>
      <c r="E104" s="13" t="n">
        <f aca="false">IFERROR(IF(AND(AND(B104&lt;=Eingaben!$B$11,Szenarien!$H$9="OK"),B104=Eingaben!$B$43),Eingaben!$B$44*Szenarien!$B$9*(1+Eingaben!$B$41)^(B104-1),0),0)</f>
        <v>0</v>
      </c>
      <c r="F104" s="13" t="n">
        <f aca="false">IFERROR(IF(AND(AND(B104&lt;=Eingaben!$B$11,Szenarien!$H$9="OK"),B104=Eingaben!$B$11),Eingaben!$B$45*Szenarien!$B$9,0),0)</f>
        <v>0</v>
      </c>
      <c r="G104" s="13" t="n">
        <f aca="false">C104-D104-E104+F104</f>
        <v>0</v>
      </c>
      <c r="H104" s="13" t="n">
        <f aca="false">IFERROR(IF(AND(B104&lt;=Eingaben!$B$11,Szenarien!$H$9="OK"),1/(1+Eingaben!$B$39+Szenarien!$G$9)^B104,0),0)</f>
        <v>0</v>
      </c>
      <c r="I104" s="13" t="n">
        <f aca="false">G104*H104</f>
        <v>0</v>
      </c>
      <c r="J104" s="13" t="n">
        <f aca="false">(D104+E104-F104)*H104</f>
        <v>0</v>
      </c>
      <c r="K104" s="13" t="n">
        <f aca="false">IF(AND(B104&lt;=Eingaben!$B$11,Szenarien!$H$9="OK"),SUM(Variantenbilanz!K371:K736)*H104,0)</f>
        <v>0</v>
      </c>
    </row>
    <row r="105" customFormat="false" ht="16.4" hidden="false" customHeight="false" outlineLevel="0" collapsed="false">
      <c r="A105" s="12"/>
      <c r="B105" s="15" t="n">
        <v>49</v>
      </c>
      <c r="C105" s="13" t="n">
        <f aca="false">IFERROR(IF(AND(B105&lt;=Eingaben!$B$11,Szenarien!$H$9="OK"),SUM(Variantenbilanz!K371:K736)*(Eingaben!$B$36*Szenarien!$C$9*(1+Eingaben!$B$40)^(B105-1)+Eingaben!$B$37*Eingaben!$B$38*(1+Eingaben!$B$46)^(B105-1)),0),0)</f>
        <v>0</v>
      </c>
      <c r="D105" s="13" t="n">
        <f aca="false">IFERROR(IF(AND(B105&lt;=Eingaben!$B$11,Szenarien!$H$9="OK"),((Eingaben!$B$32+Eingaben!$B$35)*(1+Eingaben!$B$41)^(B105-1)+SUM(Variantenbilanz!E371:E736)*Eingaben!$B$33*Eingaben!$B$34*(1+Eingaben!$B$42)^(B105-1))*Szenarien!$F$9,0),0)</f>
        <v>0</v>
      </c>
      <c r="E105" s="13" t="n">
        <f aca="false">IFERROR(IF(AND(AND(B105&lt;=Eingaben!$B$11,Szenarien!$H$9="OK"),B105=Eingaben!$B$43),Eingaben!$B$44*Szenarien!$B$9*(1+Eingaben!$B$41)^(B105-1),0),0)</f>
        <v>0</v>
      </c>
      <c r="F105" s="13" t="n">
        <f aca="false">IFERROR(IF(AND(AND(B105&lt;=Eingaben!$B$11,Szenarien!$H$9="OK"),B105=Eingaben!$B$11),Eingaben!$B$45*Szenarien!$B$9,0),0)</f>
        <v>0</v>
      </c>
      <c r="G105" s="13" t="n">
        <f aca="false">C105-D105-E105+F105</f>
        <v>0</v>
      </c>
      <c r="H105" s="13" t="n">
        <f aca="false">IFERROR(IF(AND(B105&lt;=Eingaben!$B$11,Szenarien!$H$9="OK"),1/(1+Eingaben!$B$39+Szenarien!$G$9)^B105,0),0)</f>
        <v>0</v>
      </c>
      <c r="I105" s="13" t="n">
        <f aca="false">G105*H105</f>
        <v>0</v>
      </c>
      <c r="J105" s="13" t="n">
        <f aca="false">(D105+E105-F105)*H105</f>
        <v>0</v>
      </c>
      <c r="K105" s="13" t="n">
        <f aca="false">IF(AND(B105&lt;=Eingaben!$B$11,Szenarien!$H$9="OK"),SUM(Variantenbilanz!K371:K736)*H105,0)</f>
        <v>0</v>
      </c>
    </row>
    <row r="106" customFormat="false" ht="16.4" hidden="false" customHeight="false" outlineLevel="0" collapsed="false">
      <c r="A106" s="12"/>
      <c r="B106" s="15" t="n">
        <v>50</v>
      </c>
      <c r="C106" s="13" t="n">
        <f aca="false">IFERROR(IF(AND(B106&lt;=Eingaben!$B$11,Szenarien!$H$9="OK"),SUM(Variantenbilanz!K371:K736)*(Eingaben!$B$36*Szenarien!$C$9*(1+Eingaben!$B$40)^(B106-1)+Eingaben!$B$37*Eingaben!$B$38*(1+Eingaben!$B$46)^(B106-1)),0),0)</f>
        <v>0</v>
      </c>
      <c r="D106" s="13" t="n">
        <f aca="false">IFERROR(IF(AND(B106&lt;=Eingaben!$B$11,Szenarien!$H$9="OK"),((Eingaben!$B$32+Eingaben!$B$35)*(1+Eingaben!$B$41)^(B106-1)+SUM(Variantenbilanz!E371:E736)*Eingaben!$B$33*Eingaben!$B$34*(1+Eingaben!$B$42)^(B106-1))*Szenarien!$F$9,0),0)</f>
        <v>0</v>
      </c>
      <c r="E106" s="13" t="n">
        <f aca="false">IFERROR(IF(AND(AND(B106&lt;=Eingaben!$B$11,Szenarien!$H$9="OK"),B106=Eingaben!$B$43),Eingaben!$B$44*Szenarien!$B$9*(1+Eingaben!$B$41)^(B106-1),0),0)</f>
        <v>0</v>
      </c>
      <c r="F106" s="13" t="n">
        <f aca="false">IFERROR(IF(AND(AND(B106&lt;=Eingaben!$B$11,Szenarien!$H$9="OK"),B106=Eingaben!$B$11),Eingaben!$B$45*Szenarien!$B$9,0),0)</f>
        <v>0</v>
      </c>
      <c r="G106" s="13" t="n">
        <f aca="false">C106-D106-E106+F106</f>
        <v>0</v>
      </c>
      <c r="H106" s="13" t="n">
        <f aca="false">IFERROR(IF(AND(B106&lt;=Eingaben!$B$11,Szenarien!$H$9="OK"),1/(1+Eingaben!$B$39+Szenarien!$G$9)^B106,0),0)</f>
        <v>0</v>
      </c>
      <c r="I106" s="13" t="n">
        <f aca="false">G106*H106</f>
        <v>0</v>
      </c>
      <c r="J106" s="13" t="n">
        <f aca="false">(D106+E106-F106)*H106</f>
        <v>0</v>
      </c>
      <c r="K106" s="13" t="n">
        <f aca="false">IF(AND(B106&lt;=Eingaben!$B$11,Szenarien!$H$9="OK"),SUM(Variantenbilanz!K371:K736)*H106,0)</f>
        <v>0</v>
      </c>
    </row>
    <row r="107" customFormat="false" ht="16.4" hidden="false" customHeight="false" outlineLevel="0" collapsed="false">
      <c r="A107" s="12" t="s">
        <v>328</v>
      </c>
      <c r="B107" s="15" t="n">
        <v>0</v>
      </c>
      <c r="C107" s="13" t="n">
        <f aca="false">0</f>
        <v>0</v>
      </c>
      <c r="D107" s="13" t="n">
        <f aca="false">0</f>
        <v>0</v>
      </c>
      <c r="E107" s="13" t="n">
        <f aca="false">MAX(0,Berechnung!$B$13*Szenarien!$B$10-MIN(Eingaben!$B$31,Berechnung!$B$13*Szenarien!$B$10))</f>
        <v>20000</v>
      </c>
      <c r="F107" s="13" t="n">
        <f aca="false">0</f>
        <v>0</v>
      </c>
      <c r="G107" s="13" t="n">
        <f aca="false">-E107</f>
        <v>-20000</v>
      </c>
      <c r="H107" s="13" t="n">
        <f aca="false">1</f>
        <v>1</v>
      </c>
      <c r="I107" s="13" t="n">
        <f aca="false">G107</f>
        <v>-20000</v>
      </c>
      <c r="J107" s="13" t="n">
        <f aca="false">E107</f>
        <v>20000</v>
      </c>
      <c r="K107" s="13" t="n">
        <f aca="false">0</f>
        <v>0</v>
      </c>
    </row>
    <row r="108" customFormat="false" ht="16.4" hidden="false" customHeight="false" outlineLevel="0" collapsed="false">
      <c r="A108" s="12"/>
      <c r="B108" s="15" t="n">
        <v>1</v>
      </c>
      <c r="C108" s="13" t="n">
        <f aca="false">IFERROR(IF(AND(B108&lt;=Eingaben!$B$11,Szenarien!$H$10="OK"),SUM(Variantenbilanz!K737:K1102)*(Eingaben!$B$36*Szenarien!$C$10*(1+Eingaben!$B$40)^(B108-1)+Eingaben!$B$37*Eingaben!$B$38*(1+Eingaben!$B$46)^(B108-1)),0),0)</f>
        <v>1794.41342916</v>
      </c>
      <c r="D108" s="13" t="n">
        <f aca="false">IFERROR(IF(AND(B108&lt;=Eingaben!$B$11,Szenarien!$H$10="OK"),((Eingaben!$B$32+Eingaben!$B$35)*(1+Eingaben!$B$41)^(B108-1)+SUM(Variantenbilanz!E737:E1102)*Eingaben!$B$33*Eingaben!$B$34*(1+Eingaben!$B$42)^(B108-1))*Szenarien!$F$10,0),0)</f>
        <v>659.06592</v>
      </c>
      <c r="E108" s="13" t="n">
        <f aca="false">IFERROR(IF(AND(AND(B108&lt;=Eingaben!$B$11,Szenarien!$H$10="OK"),B108=Eingaben!$B$43),Eingaben!$B$44*Szenarien!$B$10*(1+Eingaben!$B$41)^(B108-1),0),0)</f>
        <v>0</v>
      </c>
      <c r="F108" s="13" t="n">
        <f aca="false">IFERROR(IF(AND(AND(B108&lt;=Eingaben!$B$11,Szenarien!$H$10="OK"),B108=Eingaben!$B$11),Eingaben!$B$45*Szenarien!$B$10,0),0)</f>
        <v>0</v>
      </c>
      <c r="G108" s="13" t="n">
        <f aca="false">C108-D108-E108+F108</f>
        <v>1135.34750916</v>
      </c>
      <c r="H108" s="13" t="n">
        <f aca="false">IFERROR(IF(AND(B108&lt;=Eingaben!$B$11,Szenarien!$H$10="OK"),1/(1+Eingaben!$B$39+Szenarien!$G$10)^B108,0),0)</f>
        <v>0.980392156862745</v>
      </c>
      <c r="I108" s="13" t="n">
        <f aca="false">G108*H108</f>
        <v>1113.08579329412</v>
      </c>
      <c r="J108" s="13" t="n">
        <f aca="false">(D108+E108-F108)*H108</f>
        <v>646.143058823529</v>
      </c>
      <c r="K108" s="13" t="n">
        <f aca="false">IF(AND(B108&lt;=Eingaben!$B$11,Szenarien!$H$10="OK"),SUM(Variantenbilanz!K737:K1102)*H108,0)</f>
        <v>639.719582588235</v>
      </c>
    </row>
    <row r="109" customFormat="false" ht="16.4" hidden="false" customHeight="false" outlineLevel="0" collapsed="false">
      <c r="A109" s="12"/>
      <c r="B109" s="15" t="n">
        <v>2</v>
      </c>
      <c r="C109" s="13" t="n">
        <f aca="false">IFERROR(IF(AND(B109&lt;=Eingaben!$B$11,Szenarien!$H$10="OK"),SUM(Variantenbilanz!K737:K1102)*(Eingaben!$B$36*Szenarien!$C$10*(1+Eingaben!$B$40)^(B109-1)+Eingaben!$B$37*Eingaben!$B$38*(1+Eingaben!$B$46)^(B109-1)),0),0)</f>
        <v>1830.3016977432</v>
      </c>
      <c r="D109" s="13" t="n">
        <f aca="false">IFERROR(IF(AND(B109&lt;=Eingaben!$B$11,Szenarien!$H$10="OK"),((Eingaben!$B$32+Eingaben!$B$35)*(1+Eingaben!$B$41)^(B109-1)+SUM(Variantenbilanz!E737:E1102)*Eingaben!$B$33*Eingaben!$B$34*(1+Eingaben!$B$42)^(B109-1))*Szenarien!$F$10,0),0)</f>
        <v>672.2472384</v>
      </c>
      <c r="E109" s="13" t="n">
        <f aca="false">IFERROR(IF(AND(AND(B109&lt;=Eingaben!$B$11,Szenarien!$H$10="OK"),B109=Eingaben!$B$43),Eingaben!$B$44*Szenarien!$B$10*(1+Eingaben!$B$41)^(B109-1),0),0)</f>
        <v>0</v>
      </c>
      <c r="F109" s="13" t="n">
        <f aca="false">IFERROR(IF(AND(AND(B109&lt;=Eingaben!$B$11,Szenarien!$H$10="OK"),B109=Eingaben!$B$11),Eingaben!$B$45*Szenarien!$B$10,0),0)</f>
        <v>0</v>
      </c>
      <c r="G109" s="13" t="n">
        <f aca="false">C109-D109-E109+F109</f>
        <v>1158.0544593432</v>
      </c>
      <c r="H109" s="13" t="n">
        <f aca="false">IFERROR(IF(AND(B109&lt;=Eingaben!$B$11,Szenarien!$H$10="OK"),1/(1+Eingaben!$B$39+Szenarien!$G$10)^B109,0),0)</f>
        <v>0.961168781237985</v>
      </c>
      <c r="I109" s="13" t="n">
        <f aca="false">G109*H109</f>
        <v>1113.08579329412</v>
      </c>
      <c r="J109" s="13" t="n">
        <f aca="false">(D109+E109-F109)*H109</f>
        <v>646.14305882353</v>
      </c>
      <c r="K109" s="13" t="n">
        <f aca="false">IF(AND(B109&lt;=Eingaben!$B$11,Szenarien!$H$10="OK"),SUM(Variantenbilanz!K737:K1102)*H109,0)</f>
        <v>627.176061361015</v>
      </c>
    </row>
    <row r="110" customFormat="false" ht="16.4" hidden="false" customHeight="false" outlineLevel="0" collapsed="false">
      <c r="A110" s="12"/>
      <c r="B110" s="15" t="n">
        <v>3</v>
      </c>
      <c r="C110" s="13" t="n">
        <f aca="false">IFERROR(IF(AND(B110&lt;=Eingaben!$B$11,Szenarien!$H$10="OK"),SUM(Variantenbilanz!K737:K1102)*(Eingaben!$B$36*Szenarien!$C$10*(1+Eingaben!$B$40)^(B110-1)+Eingaben!$B$37*Eingaben!$B$38*(1+Eingaben!$B$46)^(B110-1)),0),0)</f>
        <v>1866.90773169806</v>
      </c>
      <c r="D110" s="13" t="n">
        <f aca="false">IFERROR(IF(AND(B110&lt;=Eingaben!$B$11,Szenarien!$H$10="OK"),((Eingaben!$B$32+Eingaben!$B$35)*(1+Eingaben!$B$41)^(B110-1)+SUM(Variantenbilanz!E737:E1102)*Eingaben!$B$33*Eingaben!$B$34*(1+Eingaben!$B$42)^(B110-1))*Szenarien!$F$10,0),0)</f>
        <v>685.692183168</v>
      </c>
      <c r="E110" s="13" t="n">
        <f aca="false">IFERROR(IF(AND(AND(B110&lt;=Eingaben!$B$11,Szenarien!$H$10="OK"),B110=Eingaben!$B$43),Eingaben!$B$44*Szenarien!$B$10*(1+Eingaben!$B$41)^(B110-1),0),0)</f>
        <v>0</v>
      </c>
      <c r="F110" s="13" t="n">
        <f aca="false">IFERROR(IF(AND(AND(B110&lt;=Eingaben!$B$11,Szenarien!$H$10="OK"),B110=Eingaben!$B$11),Eingaben!$B$45*Szenarien!$B$10,0),0)</f>
        <v>0</v>
      </c>
      <c r="G110" s="13" t="n">
        <f aca="false">C110-D110-E110+F110</f>
        <v>1181.21554853006</v>
      </c>
      <c r="H110" s="13" t="n">
        <f aca="false">IFERROR(IF(AND(B110&lt;=Eingaben!$B$11,Szenarien!$H$10="OK"),1/(1+Eingaben!$B$39+Szenarien!$G$10)^B110,0),0)</f>
        <v>0.942322334547044</v>
      </c>
      <c r="I110" s="13" t="n">
        <f aca="false">G110*H110</f>
        <v>1113.08579329412</v>
      </c>
      <c r="J110" s="13" t="n">
        <f aca="false">(D110+E110-F110)*H110</f>
        <v>646.143058823529</v>
      </c>
      <c r="K110" s="13" t="n">
        <f aca="false">IF(AND(B110&lt;=Eingaben!$B$11,Szenarien!$H$10="OK"),SUM(Variantenbilanz!K737:K1102)*H110,0)</f>
        <v>614.878491530407</v>
      </c>
    </row>
    <row r="111" customFormat="false" ht="16.4" hidden="false" customHeight="false" outlineLevel="0" collapsed="false">
      <c r="A111" s="12"/>
      <c r="B111" s="15" t="n">
        <v>4</v>
      </c>
      <c r="C111" s="13" t="n">
        <f aca="false">IFERROR(IF(AND(B111&lt;=Eingaben!$B$11,Szenarien!$H$10="OK"),SUM(Variantenbilanz!K737:K1102)*(Eingaben!$B$36*Szenarien!$C$10*(1+Eingaben!$B$40)^(B111-1)+Eingaben!$B$37*Eingaben!$B$38*(1+Eingaben!$B$46)^(B111-1)),0),0)</f>
        <v>1904.24588633203</v>
      </c>
      <c r="D111" s="13" t="n">
        <f aca="false">IFERROR(IF(AND(B111&lt;=Eingaben!$B$11,Szenarien!$H$10="OK"),((Eingaben!$B$32+Eingaben!$B$35)*(1+Eingaben!$B$41)^(B111-1)+SUM(Variantenbilanz!E737:E1102)*Eingaben!$B$33*Eingaben!$B$34*(1+Eingaben!$B$42)^(B111-1))*Szenarien!$F$10,0),0)</f>
        <v>699.40602683136</v>
      </c>
      <c r="E111" s="13" t="n">
        <f aca="false">IFERROR(IF(AND(AND(B111&lt;=Eingaben!$B$11,Szenarien!$H$10="OK"),B111=Eingaben!$B$43),Eingaben!$B$44*Szenarien!$B$10*(1+Eingaben!$B$41)^(B111-1),0),0)</f>
        <v>0</v>
      </c>
      <c r="F111" s="13" t="n">
        <f aca="false">IFERROR(IF(AND(AND(B111&lt;=Eingaben!$B$11,Szenarien!$H$10="OK"),B111=Eingaben!$B$11),Eingaben!$B$45*Szenarien!$B$10,0),0)</f>
        <v>0</v>
      </c>
      <c r="G111" s="13" t="n">
        <f aca="false">C111-D111-E111+F111</f>
        <v>1204.83985950067</v>
      </c>
      <c r="H111" s="13" t="n">
        <f aca="false">IFERROR(IF(AND(B111&lt;=Eingaben!$B$11,Szenarien!$H$10="OK"),1/(1+Eingaben!$B$39+Szenarien!$G$10)^B111,0),0)</f>
        <v>0.923845426026514</v>
      </c>
      <c r="I111" s="13" t="n">
        <f aca="false">G111*H111</f>
        <v>1113.08579329412</v>
      </c>
      <c r="J111" s="13" t="n">
        <f aca="false">(D111+E111-F111)*H111</f>
        <v>646.14305882353</v>
      </c>
      <c r="K111" s="13" t="n">
        <f aca="false">IF(AND(B111&lt;=Eingaben!$B$11,Szenarien!$H$10="OK"),SUM(Variantenbilanz!K737:K1102)*H111,0)</f>
        <v>602.822050520007</v>
      </c>
    </row>
    <row r="112" customFormat="false" ht="16.4" hidden="false" customHeight="false" outlineLevel="0" collapsed="false">
      <c r="A112" s="12"/>
      <c r="B112" s="15" t="n">
        <v>5</v>
      </c>
      <c r="C112" s="13" t="n">
        <f aca="false">IFERROR(IF(AND(B112&lt;=Eingaben!$B$11,Szenarien!$H$10="OK"),SUM(Variantenbilanz!K737:K1102)*(Eingaben!$B$36*Szenarien!$C$10*(1+Eingaben!$B$40)^(B112-1)+Eingaben!$B$37*Eingaben!$B$38*(1+Eingaben!$B$46)^(B112-1)),0),0)</f>
        <v>1942.33080405867</v>
      </c>
      <c r="D112" s="13" t="n">
        <f aca="false">IFERROR(IF(AND(B112&lt;=Eingaben!$B$11,Szenarien!$H$10="OK"),((Eingaben!$B$32+Eingaben!$B$35)*(1+Eingaben!$B$41)^(B112-1)+SUM(Variantenbilanz!E737:E1102)*Eingaben!$B$33*Eingaben!$B$34*(1+Eingaben!$B$42)^(B112-1))*Szenarien!$F$10,0),0)</f>
        <v>713.394147367987</v>
      </c>
      <c r="E112" s="13" t="n">
        <f aca="false">IFERROR(IF(AND(AND(B112&lt;=Eingaben!$B$11,Szenarien!$H$10="OK"),B112=Eingaben!$B$43),Eingaben!$B$44*Szenarien!$B$10*(1+Eingaben!$B$41)^(B112-1),0),0)</f>
        <v>0</v>
      </c>
      <c r="F112" s="13" t="n">
        <f aca="false">IFERROR(IF(AND(AND(B112&lt;=Eingaben!$B$11,Szenarien!$H$10="OK"),B112=Eingaben!$B$11),Eingaben!$B$45*Szenarien!$B$10,0),0)</f>
        <v>0</v>
      </c>
      <c r="G112" s="13" t="n">
        <f aca="false">C112-D112-E112+F112</f>
        <v>1228.93665669068</v>
      </c>
      <c r="H112" s="13" t="n">
        <f aca="false">IFERROR(IF(AND(B112&lt;=Eingaben!$B$11,Szenarien!$H$10="OK"),1/(1+Eingaben!$B$39+Szenarien!$G$10)^B112,0),0)</f>
        <v>0.905730809829916</v>
      </c>
      <c r="I112" s="13" t="n">
        <f aca="false">G112*H112</f>
        <v>1113.08579329412</v>
      </c>
      <c r="J112" s="13" t="n">
        <f aca="false">(D112+E112-F112)*H112</f>
        <v>646.14305882353</v>
      </c>
      <c r="K112" s="13" t="n">
        <f aca="false">IF(AND(B112&lt;=Eingaben!$B$11,Szenarien!$H$10="OK"),SUM(Variantenbilanz!K737:K1102)*H112,0)</f>
        <v>591.002010313732</v>
      </c>
    </row>
    <row r="113" customFormat="false" ht="16.4" hidden="false" customHeight="false" outlineLevel="0" collapsed="false">
      <c r="A113" s="12"/>
      <c r="B113" s="15" t="n">
        <v>6</v>
      </c>
      <c r="C113" s="13" t="n">
        <f aca="false">IFERROR(IF(AND(B113&lt;=Eingaben!$B$11,Szenarien!$H$10="OK"),SUM(Variantenbilanz!K737:K1102)*(Eingaben!$B$36*Szenarien!$C$10*(1+Eingaben!$B$40)^(B113-1)+Eingaben!$B$37*Eingaben!$B$38*(1+Eingaben!$B$46)^(B113-1)),0),0)</f>
        <v>1981.17742013984</v>
      </c>
      <c r="D113" s="13" t="n">
        <f aca="false">IFERROR(IF(AND(B113&lt;=Eingaben!$B$11,Szenarien!$H$10="OK"),((Eingaben!$B$32+Eingaben!$B$35)*(1+Eingaben!$B$41)^(B113-1)+SUM(Variantenbilanz!E737:E1102)*Eingaben!$B$33*Eingaben!$B$34*(1+Eingaben!$B$42)^(B113-1))*Szenarien!$F$10,0),0)</f>
        <v>727.662030315347</v>
      </c>
      <c r="E113" s="13" t="n">
        <f aca="false">IFERROR(IF(AND(AND(B113&lt;=Eingaben!$B$11,Szenarien!$H$10="OK"),B113=Eingaben!$B$43),Eingaben!$B$44*Szenarien!$B$10*(1+Eingaben!$B$41)^(B113-1),0),0)</f>
        <v>0</v>
      </c>
      <c r="F113" s="13" t="n">
        <f aca="false">IFERROR(IF(AND(AND(B113&lt;=Eingaben!$B$11,Szenarien!$H$10="OK"),B113=Eingaben!$B$11),Eingaben!$B$45*Szenarien!$B$10,0),0)</f>
        <v>0</v>
      </c>
      <c r="G113" s="13" t="n">
        <f aca="false">C113-D113-E113+F113</f>
        <v>1253.51538982449</v>
      </c>
      <c r="H113" s="13" t="n">
        <f aca="false">IFERROR(IF(AND(B113&lt;=Eingaben!$B$11,Szenarien!$H$10="OK"),1/(1+Eingaben!$B$39+Szenarien!$G$10)^B113,0),0)</f>
        <v>0.887971382186192</v>
      </c>
      <c r="I113" s="13" t="n">
        <f aca="false">G113*H113</f>
        <v>1113.08579329412</v>
      </c>
      <c r="J113" s="13" t="n">
        <f aca="false">(D113+E113-F113)*H113</f>
        <v>646.143058823529</v>
      </c>
      <c r="K113" s="13" t="n">
        <f aca="false">IF(AND(B113&lt;=Eingaben!$B$11,Szenarien!$H$10="OK"),SUM(Variantenbilanz!K737:K1102)*H113,0)</f>
        <v>579.413735601698</v>
      </c>
    </row>
    <row r="114" customFormat="false" ht="16.4" hidden="false" customHeight="false" outlineLevel="0" collapsed="false">
      <c r="A114" s="12"/>
      <c r="B114" s="15" t="n">
        <v>7</v>
      </c>
      <c r="C114" s="13" t="n">
        <f aca="false">IFERROR(IF(AND(B114&lt;=Eingaben!$B$11,Szenarien!$H$10="OK"),SUM(Variantenbilanz!K737:K1102)*(Eingaben!$B$36*Szenarien!$C$10*(1+Eingaben!$B$40)^(B114-1)+Eingaben!$B$37*Eingaben!$B$38*(1+Eingaben!$B$46)^(B114-1)),0),0)</f>
        <v>2020.80096854264</v>
      </c>
      <c r="D114" s="13" t="n">
        <f aca="false">IFERROR(IF(AND(B114&lt;=Eingaben!$B$11,Szenarien!$H$10="OK"),((Eingaben!$B$32+Eingaben!$B$35)*(1+Eingaben!$B$41)^(B114-1)+SUM(Variantenbilanz!E737:E1102)*Eingaben!$B$33*Eingaben!$B$34*(1+Eingaben!$B$42)^(B114-1))*Szenarien!$F$10,0),0)</f>
        <v>742.215270921654</v>
      </c>
      <c r="E114" s="13" t="n">
        <f aca="false">IFERROR(IF(AND(AND(B114&lt;=Eingaben!$B$11,Szenarien!$H$10="OK"),B114=Eingaben!$B$43),Eingaben!$B$44*Szenarien!$B$10*(1+Eingaben!$B$41)^(B114-1),0),0)</f>
        <v>0</v>
      </c>
      <c r="F114" s="13" t="n">
        <f aca="false">IFERROR(IF(AND(AND(B114&lt;=Eingaben!$B$11,Szenarien!$H$10="OK"),B114=Eingaben!$B$11),Eingaben!$B$45*Szenarien!$B$10,0),0)</f>
        <v>0</v>
      </c>
      <c r="G114" s="13" t="n">
        <f aca="false">C114-D114-E114+F114</f>
        <v>1278.58569762098</v>
      </c>
      <c r="H114" s="13" t="n">
        <f aca="false">IFERROR(IF(AND(B114&lt;=Eingaben!$B$11,Szenarien!$H$10="OK"),1/(1+Eingaben!$B$39+Szenarien!$G$10)^B114,0),0)</f>
        <v>0.870560178613914</v>
      </c>
      <c r="I114" s="13" t="n">
        <f aca="false">G114*H114</f>
        <v>1113.08579329412</v>
      </c>
      <c r="J114" s="13" t="n">
        <f aca="false">(D114+E114-F114)*H114</f>
        <v>646.143058823529</v>
      </c>
      <c r="K114" s="13" t="n">
        <f aca="false">IF(AND(B114&lt;=Eingaben!$B$11,Szenarien!$H$10="OK"),SUM(Variantenbilanz!K737:K1102)*H114,0)</f>
        <v>568.052681962449</v>
      </c>
    </row>
    <row r="115" customFormat="false" ht="16.4" hidden="false" customHeight="false" outlineLevel="0" collapsed="false">
      <c r="A115" s="12"/>
      <c r="B115" s="15" t="n">
        <v>8</v>
      </c>
      <c r="C115" s="13" t="n">
        <f aca="false">IFERROR(IF(AND(B115&lt;=Eingaben!$B$11,Szenarien!$H$10="OK"),SUM(Variantenbilanz!K737:K1102)*(Eingaben!$B$36*Szenarien!$C$10*(1+Eingaben!$B$40)^(B115-1)+Eingaben!$B$37*Eingaben!$B$38*(1+Eingaben!$B$46)^(B115-1)),0),0)</f>
        <v>2061.21698791349</v>
      </c>
      <c r="D115" s="13" t="n">
        <f aca="false">IFERROR(IF(AND(B115&lt;=Eingaben!$B$11,Szenarien!$H$10="OK"),((Eingaben!$B$32+Eingaben!$B$35)*(1+Eingaben!$B$41)^(B115-1)+SUM(Variantenbilanz!E737:E1102)*Eingaben!$B$33*Eingaben!$B$34*(1+Eingaben!$B$42)^(B115-1))*Szenarien!$F$10,0),0)</f>
        <v>757.059576340087</v>
      </c>
      <c r="E115" s="13" t="n">
        <f aca="false">IFERROR(IF(AND(AND(B115&lt;=Eingaben!$B$11,Szenarien!$H$10="OK"),B115=Eingaben!$B$43),Eingaben!$B$44*Szenarien!$B$10*(1+Eingaben!$B$41)^(B115-1),0),0)</f>
        <v>0</v>
      </c>
      <c r="F115" s="13" t="n">
        <f aca="false">IFERROR(IF(AND(AND(B115&lt;=Eingaben!$B$11,Szenarien!$H$10="OK"),B115=Eingaben!$B$11),Eingaben!$B$45*Szenarien!$B$10,0),0)</f>
        <v>0</v>
      </c>
      <c r="G115" s="13" t="n">
        <f aca="false">C115-D115-E115+F115</f>
        <v>1304.1574115734</v>
      </c>
      <c r="H115" s="13" t="n">
        <f aca="false">IFERROR(IF(AND(B115&lt;=Eingaben!$B$11,Szenarien!$H$10="OK"),1/(1+Eingaben!$B$39+Szenarien!$G$10)^B115,0),0)</f>
        <v>0.853490371190111</v>
      </c>
      <c r="I115" s="13" t="n">
        <f aca="false">G115*H115</f>
        <v>1113.08579329412</v>
      </c>
      <c r="J115" s="13" t="n">
        <f aca="false">(D115+E115-F115)*H115</f>
        <v>646.143058823529</v>
      </c>
      <c r="K115" s="13" t="n">
        <f aca="false">IF(AND(B115&lt;=Eingaben!$B$11,Szenarien!$H$10="OK"),SUM(Variantenbilanz!K737:K1102)*H115,0)</f>
        <v>556.914394080832</v>
      </c>
    </row>
    <row r="116" customFormat="false" ht="16.4" hidden="false" customHeight="false" outlineLevel="0" collapsed="false">
      <c r="A116" s="12"/>
      <c r="B116" s="15" t="n">
        <v>9</v>
      </c>
      <c r="C116" s="13" t="n">
        <f aca="false">IFERROR(IF(AND(B116&lt;=Eingaben!$B$11,Szenarien!$H$10="OK"),SUM(Variantenbilanz!K737:K1102)*(Eingaben!$B$36*Szenarien!$C$10*(1+Eingaben!$B$40)^(B116-1)+Eingaben!$B$37*Eingaben!$B$38*(1+Eingaben!$B$46)^(B116-1)),0),0)</f>
        <v>2102.44132767176</v>
      </c>
      <c r="D116" s="13" t="n">
        <f aca="false">IFERROR(IF(AND(B116&lt;=Eingaben!$B$11,Szenarien!$H$10="OK"),((Eingaben!$B$32+Eingaben!$B$35)*(1+Eingaben!$B$41)^(B116-1)+SUM(Variantenbilanz!E737:E1102)*Eingaben!$B$33*Eingaben!$B$34*(1+Eingaben!$B$42)^(B116-1))*Szenarien!$F$10,0),0)</f>
        <v>772.200767866889</v>
      </c>
      <c r="E116" s="13" t="n">
        <f aca="false">IFERROR(IF(AND(AND(B116&lt;=Eingaben!$B$11,Szenarien!$H$10="OK"),B116=Eingaben!$B$43),Eingaben!$B$44*Szenarien!$B$10*(1+Eingaben!$B$41)^(B116-1),0),0)</f>
        <v>0</v>
      </c>
      <c r="F116" s="13" t="n">
        <f aca="false">IFERROR(IF(AND(AND(B116&lt;=Eingaben!$B$11,Szenarien!$H$10="OK"),B116=Eingaben!$B$11),Eingaben!$B$45*Szenarien!$B$10,0),0)</f>
        <v>0</v>
      </c>
      <c r="G116" s="13" t="n">
        <f aca="false">C116-D116-E116+F116</f>
        <v>1330.24055980487</v>
      </c>
      <c r="H116" s="13" t="n">
        <f aca="false">IFERROR(IF(AND(B116&lt;=Eingaben!$B$11,Szenarien!$H$10="OK"),1/(1+Eingaben!$B$39+Szenarien!$G$10)^B116,0),0)</f>
        <v>0.836755265872658</v>
      </c>
      <c r="I116" s="13" t="n">
        <f aca="false">G116*H116</f>
        <v>1113.08579329412</v>
      </c>
      <c r="J116" s="13" t="n">
        <f aca="false">(D116+E116-F116)*H116</f>
        <v>646.143058823529</v>
      </c>
      <c r="K116" s="13" t="n">
        <f aca="false">IF(AND(B116&lt;=Eingaben!$B$11,Szenarien!$H$10="OK"),SUM(Variantenbilanz!K737:K1102)*H116,0)</f>
        <v>545.994504000816</v>
      </c>
    </row>
    <row r="117" customFormat="false" ht="16.4" hidden="false" customHeight="false" outlineLevel="0" collapsed="false">
      <c r="A117" s="12"/>
      <c r="B117" s="15" t="n">
        <v>10</v>
      </c>
      <c r="C117" s="13" t="n">
        <f aca="false">IFERROR(IF(AND(B117&lt;=Eingaben!$B$11,Szenarien!$H$10="OK"),SUM(Variantenbilanz!K737:K1102)*(Eingaben!$B$36*Szenarien!$C$10*(1+Eingaben!$B$40)^(B117-1)+Eingaben!$B$37*Eingaben!$B$38*(1+Eingaben!$B$46)^(B117-1)),0),0)</f>
        <v>2144.49015422519</v>
      </c>
      <c r="D117" s="13" t="n">
        <f aca="false">IFERROR(IF(AND(B117&lt;=Eingaben!$B$11,Szenarien!$H$10="OK"),((Eingaben!$B$32+Eingaben!$B$35)*(1+Eingaben!$B$41)^(B117-1)+SUM(Variantenbilanz!E737:E1102)*Eingaben!$B$33*Eingaben!$B$34*(1+Eingaben!$B$42)^(B117-1))*Szenarien!$F$10,0),0)</f>
        <v>787.644783224227</v>
      </c>
      <c r="E117" s="13" t="n">
        <f aca="false">IFERROR(IF(AND(AND(B117&lt;=Eingaben!$B$11,Szenarien!$H$10="OK"),B117=Eingaben!$B$43),Eingaben!$B$44*Szenarien!$B$10*(1+Eingaben!$B$41)^(B117-1),0),0)</f>
        <v>3824.2962195914</v>
      </c>
      <c r="F117" s="13" t="n">
        <f aca="false">IFERROR(IF(AND(AND(B117&lt;=Eingaben!$B$11,Szenarien!$H$10="OK"),B117=Eingaben!$B$11),Eingaben!$B$45*Szenarien!$B$10,0),0)</f>
        <v>0</v>
      </c>
      <c r="G117" s="13" t="n">
        <f aca="false">C117-D117-E117+F117</f>
        <v>-2467.45084859043</v>
      </c>
      <c r="H117" s="13" t="n">
        <f aca="false">IFERROR(IF(AND(B117&lt;=Eingaben!$B$11,Szenarien!$H$10="OK"),1/(1+Eingaben!$B$39+Szenarien!$G$10)^B117,0),0)</f>
        <v>0.820348299875155</v>
      </c>
      <c r="I117" s="13" t="n">
        <f aca="false">G117*H117</f>
        <v>-2024.16910866667</v>
      </c>
      <c r="J117" s="13" t="n">
        <f aca="false">(D117+E117-F117)*H117</f>
        <v>3783.39796078431</v>
      </c>
      <c r="K117" s="13" t="n">
        <f aca="false">IF(AND(B117&lt;=Eingaben!$B$11,Szenarien!$H$10="OK"),SUM(Variantenbilanz!K737:K1102)*H117,0)</f>
        <v>535.288729412565</v>
      </c>
    </row>
    <row r="118" customFormat="false" ht="16.4" hidden="false" customHeight="false" outlineLevel="0" collapsed="false">
      <c r="A118" s="12"/>
      <c r="B118" s="15" t="n">
        <v>11</v>
      </c>
      <c r="C118" s="13" t="n">
        <f aca="false">IFERROR(IF(AND(B118&lt;=Eingaben!$B$11,Szenarien!$H$10="OK"),SUM(Variantenbilanz!K737:K1102)*(Eingaben!$B$36*Szenarien!$C$10*(1+Eingaben!$B$40)^(B118-1)+Eingaben!$B$37*Eingaben!$B$38*(1+Eingaben!$B$46)^(B118-1)),0),0)</f>
        <v>2187.3799573097</v>
      </c>
      <c r="D118" s="13" t="n">
        <f aca="false">IFERROR(IF(AND(B118&lt;=Eingaben!$B$11,Szenarien!$H$10="OK"),((Eingaben!$B$32+Eingaben!$B$35)*(1+Eingaben!$B$41)^(B118-1)+SUM(Variantenbilanz!E737:E1102)*Eingaben!$B$33*Eingaben!$B$34*(1+Eingaben!$B$42)^(B118-1))*Szenarien!$F$10,0),0)</f>
        <v>803.397678888711</v>
      </c>
      <c r="E118" s="13" t="n">
        <f aca="false">IFERROR(IF(AND(AND(B118&lt;=Eingaben!$B$11,Szenarien!$H$10="OK"),B118=Eingaben!$B$43),Eingaben!$B$44*Szenarien!$B$10*(1+Eingaben!$B$41)^(B118-1),0),0)</f>
        <v>0</v>
      </c>
      <c r="F118" s="13" t="n">
        <f aca="false">IFERROR(IF(AND(AND(B118&lt;=Eingaben!$B$11,Szenarien!$H$10="OK"),B118=Eingaben!$B$11),Eingaben!$B$45*Szenarien!$B$10,0),0)</f>
        <v>0</v>
      </c>
      <c r="G118" s="13" t="n">
        <f aca="false">C118-D118-E118+F118</f>
        <v>1383.98227842099</v>
      </c>
      <c r="H118" s="13" t="n">
        <f aca="false">IFERROR(IF(AND(B118&lt;=Eingaben!$B$11,Szenarien!$H$10="OK"),1/(1+Eingaben!$B$39+Szenarien!$G$10)^B118,0),0)</f>
        <v>0.804263039093289</v>
      </c>
      <c r="I118" s="13" t="n">
        <f aca="false">G118*H118</f>
        <v>1113.08579329412</v>
      </c>
      <c r="J118" s="13" t="n">
        <f aca="false">(D118+E118-F118)*H118</f>
        <v>646.14305882353</v>
      </c>
      <c r="K118" s="13" t="n">
        <f aca="false">IF(AND(B118&lt;=Eingaben!$B$11,Szenarien!$H$10="OK"),SUM(Variantenbilanz!K737:K1102)*H118,0)</f>
        <v>524.792871973103</v>
      </c>
    </row>
    <row r="119" customFormat="false" ht="16.4" hidden="false" customHeight="false" outlineLevel="0" collapsed="false">
      <c r="A119" s="12"/>
      <c r="B119" s="15" t="n">
        <v>12</v>
      </c>
      <c r="C119" s="13" t="n">
        <f aca="false">IFERROR(IF(AND(B119&lt;=Eingaben!$B$11,Szenarien!$H$10="OK"),SUM(Variantenbilanz!K737:K1102)*(Eingaben!$B$36*Szenarien!$C$10*(1+Eingaben!$B$40)^(B119-1)+Eingaben!$B$37*Eingaben!$B$38*(1+Eingaben!$B$46)^(B119-1)),0),0)</f>
        <v>2231.12755645589</v>
      </c>
      <c r="D119" s="13" t="n">
        <f aca="false">IFERROR(IF(AND(B119&lt;=Eingaben!$B$11,Szenarien!$H$10="OK"),((Eingaben!$B$32+Eingaben!$B$35)*(1+Eingaben!$B$41)^(B119-1)+SUM(Variantenbilanz!E737:E1102)*Eingaben!$B$33*Eingaben!$B$34*(1+Eingaben!$B$42)^(B119-1))*Szenarien!$F$10,0),0)</f>
        <v>819.465632466485</v>
      </c>
      <c r="E119" s="13" t="n">
        <f aca="false">IFERROR(IF(AND(AND(B119&lt;=Eingaben!$B$11,Szenarien!$H$10="OK"),B119=Eingaben!$B$43),Eingaben!$B$44*Szenarien!$B$10*(1+Eingaben!$B$41)^(B119-1),0),0)</f>
        <v>0</v>
      </c>
      <c r="F119" s="13" t="n">
        <f aca="false">IFERROR(IF(AND(AND(B119&lt;=Eingaben!$B$11,Szenarien!$H$10="OK"),B119=Eingaben!$B$11),Eingaben!$B$45*Szenarien!$B$10,0),0)</f>
        <v>0</v>
      </c>
      <c r="G119" s="13" t="n">
        <f aca="false">C119-D119-E119+F119</f>
        <v>1411.66192398941</v>
      </c>
      <c r="H119" s="13" t="n">
        <f aca="false">IFERROR(IF(AND(B119&lt;=Eingaben!$B$11,Szenarien!$H$10="OK"),1/(1+Eingaben!$B$39+Szenarien!$G$10)^B119,0),0)</f>
        <v>0.788493175581656</v>
      </c>
      <c r="I119" s="13" t="n">
        <f aca="false">G119*H119</f>
        <v>1113.08579329412</v>
      </c>
      <c r="J119" s="13" t="n">
        <f aca="false">(D119+E119-F119)*H119</f>
        <v>646.143058823529</v>
      </c>
      <c r="K119" s="13" t="n">
        <f aca="false">IF(AND(B119&lt;=Eingaben!$B$11,Szenarien!$H$10="OK"),SUM(Variantenbilanz!K737:K1102)*H119,0)</f>
        <v>514.502815659905</v>
      </c>
    </row>
    <row r="120" customFormat="false" ht="16.4" hidden="false" customHeight="false" outlineLevel="0" collapsed="false">
      <c r="A120" s="12"/>
      <c r="B120" s="15" t="n">
        <v>13</v>
      </c>
      <c r="C120" s="13" t="n">
        <f aca="false">IFERROR(IF(AND(B120&lt;=Eingaben!$B$11,Szenarien!$H$10="OK"),SUM(Variantenbilanz!K737:K1102)*(Eingaben!$B$36*Szenarien!$C$10*(1+Eingaben!$B$40)^(B120-1)+Eingaben!$B$37*Eingaben!$B$38*(1+Eingaben!$B$46)^(B120-1)),0),0)</f>
        <v>2275.75010758501</v>
      </c>
      <c r="D120" s="13" t="n">
        <f aca="false">IFERROR(IF(AND(B120&lt;=Eingaben!$B$11,Szenarien!$H$10="OK"),((Eingaben!$B$32+Eingaben!$B$35)*(1+Eingaben!$B$41)^(B120-1)+SUM(Variantenbilanz!E737:E1102)*Eingaben!$B$33*Eingaben!$B$34*(1+Eingaben!$B$42)^(B120-1))*Szenarien!$F$10,0),0)</f>
        <v>835.854945115815</v>
      </c>
      <c r="E120" s="13" t="n">
        <f aca="false">IFERROR(IF(AND(AND(B120&lt;=Eingaben!$B$11,Szenarien!$H$10="OK"),B120=Eingaben!$B$43),Eingaben!$B$44*Szenarien!$B$10*(1+Eingaben!$B$41)^(B120-1),0),0)</f>
        <v>0</v>
      </c>
      <c r="F120" s="13" t="n">
        <f aca="false">IFERROR(IF(AND(AND(B120&lt;=Eingaben!$B$11,Szenarien!$H$10="OK"),B120=Eingaben!$B$11),Eingaben!$B$45*Szenarien!$B$10,0),0)</f>
        <v>0</v>
      </c>
      <c r="G120" s="13" t="n">
        <f aca="false">C120-D120-E120+F120</f>
        <v>1439.89516246919</v>
      </c>
      <c r="H120" s="13" t="n">
        <f aca="false">IFERROR(IF(AND(B120&lt;=Eingaben!$B$11,Szenarien!$H$10="OK"),1/(1+Eingaben!$B$39+Szenarien!$G$10)^B120,0),0)</f>
        <v>0.773032525080055</v>
      </c>
      <c r="I120" s="13" t="n">
        <f aca="false">G120*H120</f>
        <v>1113.08579329412</v>
      </c>
      <c r="J120" s="13" t="n">
        <f aca="false">(D120+E120-F120)*H120</f>
        <v>646.143058823529</v>
      </c>
      <c r="K120" s="13" t="n">
        <f aca="false">IF(AND(B120&lt;=Eingaben!$B$11,Szenarien!$H$10="OK"),SUM(Variantenbilanz!K737:K1102)*H120,0)</f>
        <v>504.414525156769</v>
      </c>
    </row>
    <row r="121" customFormat="false" ht="16.4" hidden="false" customHeight="false" outlineLevel="0" collapsed="false">
      <c r="A121" s="12"/>
      <c r="B121" s="15" t="n">
        <v>14</v>
      </c>
      <c r="C121" s="13" t="n">
        <f aca="false">IFERROR(IF(AND(B121&lt;=Eingaben!$B$11,Szenarien!$H$10="OK"),SUM(Variantenbilanz!K737:K1102)*(Eingaben!$B$36*Szenarien!$C$10*(1+Eingaben!$B$40)^(B121-1)+Eingaben!$B$37*Eingaben!$B$38*(1+Eingaben!$B$46)^(B121-1)),0),0)</f>
        <v>2321.26510973671</v>
      </c>
      <c r="D121" s="13" t="n">
        <f aca="false">IFERROR(IF(AND(B121&lt;=Eingaben!$B$11,Szenarien!$H$10="OK"),((Eingaben!$B$32+Eingaben!$B$35)*(1+Eingaben!$B$41)^(B121-1)+SUM(Variantenbilanz!E737:E1102)*Eingaben!$B$33*Eingaben!$B$34*(1+Eingaben!$B$42)^(B121-1))*Szenarien!$F$10,0),0)</f>
        <v>852.572044018132</v>
      </c>
      <c r="E121" s="13" t="n">
        <f aca="false">IFERROR(IF(AND(AND(B121&lt;=Eingaben!$B$11,Szenarien!$H$10="OK"),B121=Eingaben!$B$43),Eingaben!$B$44*Szenarien!$B$10*(1+Eingaben!$B$41)^(B121-1),0),0)</f>
        <v>0</v>
      </c>
      <c r="F121" s="13" t="n">
        <f aca="false">IFERROR(IF(AND(AND(B121&lt;=Eingaben!$B$11,Szenarien!$H$10="OK"),B121=Eingaben!$B$11),Eingaben!$B$45*Szenarien!$B$10,0),0)</f>
        <v>0</v>
      </c>
      <c r="G121" s="13" t="n">
        <f aca="false">C121-D121-E121+F121</f>
        <v>1468.69306571858</v>
      </c>
      <c r="H121" s="13" t="n">
        <f aca="false">IFERROR(IF(AND(B121&lt;=Eingaben!$B$11,Szenarien!$H$10="OK"),1/(1+Eingaben!$B$39+Szenarien!$G$10)^B121,0),0)</f>
        <v>0.757875024588289</v>
      </c>
      <c r="I121" s="13" t="n">
        <f aca="false">G121*H121</f>
        <v>1113.08579329412</v>
      </c>
      <c r="J121" s="13" t="n">
        <f aca="false">(D121+E121-F121)*H121</f>
        <v>646.14305882353</v>
      </c>
      <c r="K121" s="13" t="n">
        <f aca="false">IF(AND(B121&lt;=Eingaben!$B$11,Szenarien!$H$10="OK"),SUM(Variantenbilanz!K737:K1102)*H121,0)</f>
        <v>494.524044271342</v>
      </c>
    </row>
    <row r="122" customFormat="false" ht="16.4" hidden="false" customHeight="false" outlineLevel="0" collapsed="false">
      <c r="A122" s="12"/>
      <c r="B122" s="15" t="n">
        <v>15</v>
      </c>
      <c r="C122" s="13" t="n">
        <f aca="false">IFERROR(IF(AND(B122&lt;=Eingaben!$B$11,Szenarien!$H$10="OK"),SUM(Variantenbilanz!K737:K1102)*(Eingaben!$B$36*Szenarien!$C$10*(1+Eingaben!$B$40)^(B122-1)+Eingaben!$B$37*Eingaben!$B$38*(1+Eingaben!$B$46)^(B122-1)),0),0)</f>
        <v>2367.69041193144</v>
      </c>
      <c r="D122" s="13" t="n">
        <f aca="false">IFERROR(IF(AND(B122&lt;=Eingaben!$B$11,Szenarien!$H$10="OK"),((Eingaben!$B$32+Eingaben!$B$35)*(1+Eingaben!$B$41)^(B122-1)+SUM(Variantenbilanz!E737:E1102)*Eingaben!$B$33*Eingaben!$B$34*(1+Eingaben!$B$42)^(B122-1))*Szenarien!$F$10,0),0)</f>
        <v>869.623484898494</v>
      </c>
      <c r="E122" s="13" t="n">
        <f aca="false">IFERROR(IF(AND(AND(B122&lt;=Eingaben!$B$11,Szenarien!$H$10="OK"),B122=Eingaben!$B$43),Eingaben!$B$44*Szenarien!$B$10*(1+Eingaben!$B$41)^(B122-1),0),0)</f>
        <v>0</v>
      </c>
      <c r="F122" s="13" t="n">
        <f aca="false">IFERROR(IF(AND(AND(B122&lt;=Eingaben!$B$11,Szenarien!$H$10="OK"),B122=Eingaben!$B$11),Eingaben!$B$45*Szenarien!$B$10,0),0)</f>
        <v>0</v>
      </c>
      <c r="G122" s="13" t="n">
        <f aca="false">C122-D122-E122+F122</f>
        <v>1498.06692703295</v>
      </c>
      <c r="H122" s="13" t="n">
        <f aca="false">IFERROR(IF(AND(B122&lt;=Eingaben!$B$11,Szenarien!$H$10="OK"),1/(1+Eingaben!$B$39+Szenarien!$G$10)^B122,0),0)</f>
        <v>0.743014729988519</v>
      </c>
      <c r="I122" s="13" t="n">
        <f aca="false">G122*H122</f>
        <v>1113.08579329412</v>
      </c>
      <c r="J122" s="13" t="n">
        <f aca="false">(D122+E122-F122)*H122</f>
        <v>646.143058823529</v>
      </c>
      <c r="K122" s="13" t="n">
        <f aca="false">IF(AND(B122&lt;=Eingaben!$B$11,Szenarien!$H$10="OK"),SUM(Variantenbilanz!K737:K1102)*H122,0)</f>
        <v>484.827494383669</v>
      </c>
    </row>
    <row r="123" customFormat="false" ht="16.4" hidden="false" customHeight="false" outlineLevel="0" collapsed="false">
      <c r="A123" s="12"/>
      <c r="B123" s="15" t="n">
        <v>16</v>
      </c>
      <c r="C123" s="13" t="n">
        <f aca="false">IFERROR(IF(AND(B123&lt;=Eingaben!$B$11,Szenarien!$H$10="OK"),SUM(Variantenbilanz!K737:K1102)*(Eingaben!$B$36*Szenarien!$C$10*(1+Eingaben!$B$40)^(B123-1)+Eingaben!$B$37*Eingaben!$B$38*(1+Eingaben!$B$46)^(B123-1)),0),0)</f>
        <v>2415.04422017007</v>
      </c>
      <c r="D123" s="13" t="n">
        <f aca="false">IFERROR(IF(AND(B123&lt;=Eingaben!$B$11,Szenarien!$H$10="OK"),((Eingaben!$B$32+Eingaben!$B$35)*(1+Eingaben!$B$41)^(B123-1)+SUM(Variantenbilanz!E737:E1102)*Eingaben!$B$33*Eingaben!$B$34*(1+Eingaben!$B$42)^(B123-1))*Szenarien!$F$10,0),0)</f>
        <v>887.015954596464</v>
      </c>
      <c r="E123" s="13" t="n">
        <f aca="false">IFERROR(IF(AND(AND(B123&lt;=Eingaben!$B$11,Szenarien!$H$10="OK"),B123=Eingaben!$B$43),Eingaben!$B$44*Szenarien!$B$10*(1+Eingaben!$B$41)^(B123-1),0),0)</f>
        <v>0</v>
      </c>
      <c r="F123" s="13" t="n">
        <f aca="false">IFERROR(IF(AND(AND(B123&lt;=Eingaben!$B$11,Szenarien!$H$10="OK"),B123=Eingaben!$B$11),Eingaben!$B$45*Szenarien!$B$10,0),0)</f>
        <v>0</v>
      </c>
      <c r="G123" s="13" t="n">
        <f aca="false">C123-D123-E123+F123</f>
        <v>1528.02826557361</v>
      </c>
      <c r="H123" s="13" t="n">
        <f aca="false">IFERROR(IF(AND(B123&lt;=Eingaben!$B$11,Szenarien!$H$10="OK"),1/(1+Eingaben!$B$39+Szenarien!$G$10)^B123,0),0)</f>
        <v>0.728445813714234</v>
      </c>
      <c r="I123" s="13" t="n">
        <f aca="false">G123*H123</f>
        <v>1113.08579329412</v>
      </c>
      <c r="J123" s="13" t="n">
        <f aca="false">(D123+E123-F123)*H123</f>
        <v>646.143058823529</v>
      </c>
      <c r="K123" s="13" t="n">
        <f aca="false">IF(AND(B123&lt;=Eingaben!$B$11,Szenarien!$H$10="OK"),SUM(Variantenbilanz!K737:K1102)*H123,0)</f>
        <v>475.321072925166</v>
      </c>
    </row>
    <row r="124" customFormat="false" ht="16.4" hidden="false" customHeight="false" outlineLevel="0" collapsed="false">
      <c r="A124" s="12"/>
      <c r="B124" s="15" t="n">
        <v>17</v>
      </c>
      <c r="C124" s="13" t="n">
        <f aca="false">IFERROR(IF(AND(B124&lt;=Eingaben!$B$11,Szenarien!$H$10="OK"),SUM(Variantenbilanz!K737:K1102)*(Eingaben!$B$36*Szenarien!$C$10*(1+Eingaben!$B$40)^(B124-1)+Eingaben!$B$37*Eingaben!$B$38*(1+Eingaben!$B$46)^(B124-1)),0),0)</f>
        <v>2463.34510457347</v>
      </c>
      <c r="D124" s="13" t="n">
        <f aca="false">IFERROR(IF(AND(B124&lt;=Eingaben!$B$11,Szenarien!$H$10="OK"),((Eingaben!$B$32+Eingaben!$B$35)*(1+Eingaben!$B$41)^(B124-1)+SUM(Variantenbilanz!E737:E1102)*Eingaben!$B$33*Eingaben!$B$34*(1+Eingaben!$B$42)^(B124-1))*Szenarien!$F$10,0),0)</f>
        <v>904.756273688393</v>
      </c>
      <c r="E124" s="13" t="n">
        <f aca="false">IFERROR(IF(AND(AND(B124&lt;=Eingaben!$B$11,Szenarien!$H$10="OK"),B124=Eingaben!$B$43),Eingaben!$B$44*Szenarien!$B$10*(1+Eingaben!$B$41)^(B124-1),0),0)</f>
        <v>0</v>
      </c>
      <c r="F124" s="13" t="n">
        <f aca="false">IFERROR(IF(AND(AND(B124&lt;=Eingaben!$B$11,Szenarien!$H$10="OK"),B124=Eingaben!$B$11),Eingaben!$B$45*Szenarien!$B$10,0),0)</f>
        <v>0</v>
      </c>
      <c r="G124" s="13" t="n">
        <f aca="false">C124-D124-E124+F124</f>
        <v>1558.58883088508</v>
      </c>
      <c r="H124" s="13" t="n">
        <f aca="false">IFERROR(IF(AND(B124&lt;=Eingaben!$B$11,Szenarien!$H$10="OK"),1/(1+Eingaben!$B$39+Szenarien!$G$10)^B124,0),0)</f>
        <v>0.714162562464936</v>
      </c>
      <c r="I124" s="13" t="n">
        <f aca="false">G124*H124</f>
        <v>1113.08579329412</v>
      </c>
      <c r="J124" s="13" t="n">
        <f aca="false">(D124+E124-F124)*H124</f>
        <v>646.14305882353</v>
      </c>
      <c r="K124" s="13" t="n">
        <f aca="false">IF(AND(B124&lt;=Eingaben!$B$11,Szenarien!$H$10="OK"),SUM(Variantenbilanz!K737:K1102)*H124,0)</f>
        <v>466.001051887417</v>
      </c>
    </row>
    <row r="125" customFormat="false" ht="16.4" hidden="false" customHeight="false" outlineLevel="0" collapsed="false">
      <c r="A125" s="12"/>
      <c r="B125" s="15" t="n">
        <v>18</v>
      </c>
      <c r="C125" s="13" t="n">
        <f aca="false">IFERROR(IF(AND(B125&lt;=Eingaben!$B$11,Szenarien!$H$10="OK"),SUM(Variantenbilanz!K737:K1102)*(Eingaben!$B$36*Szenarien!$C$10*(1+Eingaben!$B$40)^(B125-1)+Eingaben!$B$37*Eingaben!$B$38*(1+Eingaben!$B$46)^(B125-1)),0),0)</f>
        <v>2512.61200666494</v>
      </c>
      <c r="D125" s="13" t="n">
        <f aca="false">IFERROR(IF(AND(B125&lt;=Eingaben!$B$11,Szenarien!$H$10="OK"),((Eingaben!$B$32+Eingaben!$B$35)*(1+Eingaben!$B$41)^(B125-1)+SUM(Variantenbilanz!E737:E1102)*Eingaben!$B$33*Eingaben!$B$34*(1+Eingaben!$B$42)^(B125-1))*Szenarien!$F$10,0),0)</f>
        <v>922.851399162161</v>
      </c>
      <c r="E125" s="13" t="n">
        <f aca="false">IFERROR(IF(AND(AND(B125&lt;=Eingaben!$B$11,Szenarien!$H$10="OK"),B125=Eingaben!$B$43),Eingaben!$B$44*Szenarien!$B$10*(1+Eingaben!$B$41)^(B125-1),0),0)</f>
        <v>0</v>
      </c>
      <c r="F125" s="13" t="n">
        <f aca="false">IFERROR(IF(AND(AND(B125&lt;=Eingaben!$B$11,Szenarien!$H$10="OK"),B125=Eingaben!$B$11),Eingaben!$B$45*Szenarien!$B$10,0),0)</f>
        <v>0</v>
      </c>
      <c r="G125" s="13" t="n">
        <f aca="false">C125-D125-E125+F125</f>
        <v>1589.76060750278</v>
      </c>
      <c r="H125" s="13" t="n">
        <f aca="false">IFERROR(IF(AND(B125&lt;=Eingaben!$B$11,Szenarien!$H$10="OK"),1/(1+Eingaben!$B$39+Szenarien!$G$10)^B125,0),0)</f>
        <v>0.700159374965623</v>
      </c>
      <c r="I125" s="13" t="n">
        <f aca="false">G125*H125</f>
        <v>1113.08579329412</v>
      </c>
      <c r="J125" s="13" t="n">
        <f aca="false">(D125+E125-F125)*H125</f>
        <v>646.143058823529</v>
      </c>
      <c r="K125" s="13" t="n">
        <f aca="false">IF(AND(B125&lt;=Eingaben!$B$11,Szenarien!$H$10="OK"),SUM(Variantenbilanz!K737:K1102)*H125,0)</f>
        <v>456.863776360213</v>
      </c>
    </row>
    <row r="126" customFormat="false" ht="16.4" hidden="false" customHeight="false" outlineLevel="0" collapsed="false">
      <c r="A126" s="12"/>
      <c r="B126" s="15" t="n">
        <v>19</v>
      </c>
      <c r="C126" s="13" t="n">
        <f aca="false">IFERROR(IF(AND(B126&lt;=Eingaben!$B$11,Szenarien!$H$10="OK"),SUM(Variantenbilanz!K737:K1102)*(Eingaben!$B$36*Szenarien!$C$10*(1+Eingaben!$B$40)^(B126-1)+Eingaben!$B$37*Eingaben!$B$38*(1+Eingaben!$B$46)^(B126-1)),0),0)</f>
        <v>2562.86424679824</v>
      </c>
      <c r="D126" s="13" t="n">
        <f aca="false">IFERROR(IF(AND(B126&lt;=Eingaben!$B$11,Szenarien!$H$10="OK"),((Eingaben!$B$32+Eingaben!$B$35)*(1+Eingaben!$B$41)^(B126-1)+SUM(Variantenbilanz!E737:E1102)*Eingaben!$B$33*Eingaben!$B$34*(1+Eingaben!$B$42)^(B126-1))*Szenarien!$F$10,0),0)</f>
        <v>941.308427145404</v>
      </c>
      <c r="E126" s="13" t="n">
        <f aca="false">IFERROR(IF(AND(AND(B126&lt;=Eingaben!$B$11,Szenarien!$H$10="OK"),B126=Eingaben!$B$43),Eingaben!$B$44*Szenarien!$B$10*(1+Eingaben!$B$41)^(B126-1),0),0)</f>
        <v>0</v>
      </c>
      <c r="F126" s="13" t="n">
        <f aca="false">IFERROR(IF(AND(AND(B126&lt;=Eingaben!$B$11,Szenarien!$H$10="OK"),B126=Eingaben!$B$11),Eingaben!$B$45*Szenarien!$B$10,0),0)</f>
        <v>0</v>
      </c>
      <c r="G126" s="13" t="n">
        <f aca="false">C126-D126-E126+F126</f>
        <v>1621.55581965284</v>
      </c>
      <c r="H126" s="13" t="n">
        <f aca="false">IFERROR(IF(AND(B126&lt;=Eingaben!$B$11,Szenarien!$H$10="OK"),1/(1+Eingaben!$B$39+Szenarien!$G$10)^B126,0),0)</f>
        <v>0.686430759770219</v>
      </c>
      <c r="I126" s="13" t="n">
        <f aca="false">G126*H126</f>
        <v>1113.08579329412</v>
      </c>
      <c r="J126" s="13" t="n">
        <f aca="false">(D126+E126-F126)*H126</f>
        <v>646.143058823529</v>
      </c>
      <c r="K126" s="13" t="n">
        <f aca="false">IF(AND(B126&lt;=Eingaben!$B$11,Szenarien!$H$10="OK"),SUM(Variantenbilanz!K737:K1102)*H126,0)</f>
        <v>447.905663098248</v>
      </c>
    </row>
    <row r="127" customFormat="false" ht="16.4" hidden="false" customHeight="false" outlineLevel="0" collapsed="false">
      <c r="A127" s="12"/>
      <c r="B127" s="15" t="n">
        <v>20</v>
      </c>
      <c r="C127" s="13" t="n">
        <f aca="false">IFERROR(IF(AND(B127&lt;=Eingaben!$B$11,Szenarien!$H$10="OK"),SUM(Variantenbilanz!K737:K1102)*(Eingaben!$B$36*Szenarien!$C$10*(1+Eingaben!$B$40)^(B127-1)+Eingaben!$B$37*Eingaben!$B$38*(1+Eingaben!$B$46)^(B127-1)),0),0)</f>
        <v>2614.12153173421</v>
      </c>
      <c r="D127" s="13" t="n">
        <f aca="false">IFERROR(IF(AND(B127&lt;=Eingaben!$B$11,Szenarien!$H$10="OK"),((Eingaben!$B$32+Eingaben!$B$35)*(1+Eingaben!$B$41)^(B127-1)+SUM(Variantenbilanz!E737:E1102)*Eingaben!$B$33*Eingaben!$B$34*(1+Eingaben!$B$42)^(B127-1))*Szenarien!$F$10,0),0)</f>
        <v>960.134595688312</v>
      </c>
      <c r="E127" s="13" t="n">
        <f aca="false">IFERROR(IF(AND(AND(B127&lt;=Eingaben!$B$11,Szenarien!$H$10="OK"),B127=Eingaben!$B$43),Eingaben!$B$44*Szenarien!$B$10*(1+Eingaben!$B$41)^(B127-1),0),0)</f>
        <v>0</v>
      </c>
      <c r="F127" s="13" t="n">
        <f aca="false">IFERROR(IF(AND(AND(B127&lt;=Eingaben!$B$11,Szenarien!$H$10="OK"),B127=Eingaben!$B$11),Eingaben!$B$45*Szenarien!$B$10,0),0)</f>
        <v>0</v>
      </c>
      <c r="G127" s="13" t="n">
        <f aca="false">C127-D127-E127+F127</f>
        <v>1653.9869360459</v>
      </c>
      <c r="H127" s="13" t="n">
        <f aca="false">IFERROR(IF(AND(B127&lt;=Eingaben!$B$11,Szenarien!$H$10="OK"),1/(1+Eingaben!$B$39+Szenarien!$G$10)^B127,0),0)</f>
        <v>0.672971333108058</v>
      </c>
      <c r="I127" s="13" t="n">
        <f aca="false">G127*H127</f>
        <v>1113.08579329412</v>
      </c>
      <c r="J127" s="13" t="n">
        <f aca="false">(D127+E127-F127)*H127</f>
        <v>646.143058823529</v>
      </c>
      <c r="K127" s="13" t="n">
        <f aca="false">IF(AND(B127&lt;=Eingaben!$B$11,Szenarien!$H$10="OK"),SUM(Variantenbilanz!K737:K1102)*H127,0)</f>
        <v>439.12319911593</v>
      </c>
    </row>
    <row r="128" customFormat="false" ht="16.4" hidden="false" customHeight="false" outlineLevel="0" collapsed="false">
      <c r="A128" s="12"/>
      <c r="B128" s="15" t="n">
        <v>21</v>
      </c>
      <c r="C128" s="13" t="n">
        <f aca="false">IFERROR(IF(AND(B128&lt;=Eingaben!$B$11,Szenarien!$H$10="OK"),SUM(Variantenbilanz!K737:K1102)*(Eingaben!$B$36*Szenarien!$C$10*(1+Eingaben!$B$40)^(B128-1)+Eingaben!$B$37*Eingaben!$B$38*(1+Eingaben!$B$46)^(B128-1)),0),0)</f>
        <v>0</v>
      </c>
      <c r="D128" s="13" t="n">
        <f aca="false">IFERROR(IF(AND(B128&lt;=Eingaben!$B$11,Szenarien!$H$10="OK"),((Eingaben!$B$32+Eingaben!$B$35)*(1+Eingaben!$B$41)^(B128-1)+SUM(Variantenbilanz!E737:E1102)*Eingaben!$B$33*Eingaben!$B$34*(1+Eingaben!$B$42)^(B128-1))*Szenarien!$F$10,0),0)</f>
        <v>0</v>
      </c>
      <c r="E128" s="13" t="n">
        <f aca="false">IFERROR(IF(AND(AND(B128&lt;=Eingaben!$B$11,Szenarien!$H$10="OK"),B128=Eingaben!$B$43),Eingaben!$B$44*Szenarien!$B$10*(1+Eingaben!$B$41)^(B128-1),0),0)</f>
        <v>0</v>
      </c>
      <c r="F128" s="13" t="n">
        <f aca="false">IFERROR(IF(AND(AND(B128&lt;=Eingaben!$B$11,Szenarien!$H$10="OK"),B128=Eingaben!$B$11),Eingaben!$B$45*Szenarien!$B$10,0),0)</f>
        <v>0</v>
      </c>
      <c r="G128" s="13" t="n">
        <f aca="false">C128-D128-E128+F128</f>
        <v>0</v>
      </c>
      <c r="H128" s="13" t="n">
        <f aca="false">IFERROR(IF(AND(B128&lt;=Eingaben!$B$11,Szenarien!$H$10="OK"),1/(1+Eingaben!$B$39+Szenarien!$G$10)^B128,0),0)</f>
        <v>0</v>
      </c>
      <c r="I128" s="13" t="n">
        <f aca="false">G128*H128</f>
        <v>0</v>
      </c>
      <c r="J128" s="13" t="n">
        <f aca="false">(D128+E128-F128)*H128</f>
        <v>0</v>
      </c>
      <c r="K128" s="13" t="n">
        <f aca="false">IF(AND(B128&lt;=Eingaben!$B$11,Szenarien!$H$10="OK"),SUM(Variantenbilanz!K737:K1102)*H128,0)</f>
        <v>0</v>
      </c>
    </row>
    <row r="129" customFormat="false" ht="16.4" hidden="false" customHeight="false" outlineLevel="0" collapsed="false">
      <c r="A129" s="12"/>
      <c r="B129" s="15" t="n">
        <v>22</v>
      </c>
      <c r="C129" s="13" t="n">
        <f aca="false">IFERROR(IF(AND(B129&lt;=Eingaben!$B$11,Szenarien!$H$10="OK"),SUM(Variantenbilanz!K737:K1102)*(Eingaben!$B$36*Szenarien!$C$10*(1+Eingaben!$B$40)^(B129-1)+Eingaben!$B$37*Eingaben!$B$38*(1+Eingaben!$B$46)^(B129-1)),0),0)</f>
        <v>0</v>
      </c>
      <c r="D129" s="13" t="n">
        <f aca="false">IFERROR(IF(AND(B129&lt;=Eingaben!$B$11,Szenarien!$H$10="OK"),((Eingaben!$B$32+Eingaben!$B$35)*(1+Eingaben!$B$41)^(B129-1)+SUM(Variantenbilanz!E737:E1102)*Eingaben!$B$33*Eingaben!$B$34*(1+Eingaben!$B$42)^(B129-1))*Szenarien!$F$10,0),0)</f>
        <v>0</v>
      </c>
      <c r="E129" s="13" t="n">
        <f aca="false">IFERROR(IF(AND(AND(B129&lt;=Eingaben!$B$11,Szenarien!$H$10="OK"),B129=Eingaben!$B$43),Eingaben!$B$44*Szenarien!$B$10*(1+Eingaben!$B$41)^(B129-1),0),0)</f>
        <v>0</v>
      </c>
      <c r="F129" s="13" t="n">
        <f aca="false">IFERROR(IF(AND(AND(B129&lt;=Eingaben!$B$11,Szenarien!$H$10="OK"),B129=Eingaben!$B$11),Eingaben!$B$45*Szenarien!$B$10,0),0)</f>
        <v>0</v>
      </c>
      <c r="G129" s="13" t="n">
        <f aca="false">C129-D129-E129+F129</f>
        <v>0</v>
      </c>
      <c r="H129" s="13" t="n">
        <f aca="false">IFERROR(IF(AND(B129&lt;=Eingaben!$B$11,Szenarien!$H$10="OK"),1/(1+Eingaben!$B$39+Szenarien!$G$10)^B129,0),0)</f>
        <v>0</v>
      </c>
      <c r="I129" s="13" t="n">
        <f aca="false">G129*H129</f>
        <v>0</v>
      </c>
      <c r="J129" s="13" t="n">
        <f aca="false">(D129+E129-F129)*H129</f>
        <v>0</v>
      </c>
      <c r="K129" s="13" t="n">
        <f aca="false">IF(AND(B129&lt;=Eingaben!$B$11,Szenarien!$H$10="OK"),SUM(Variantenbilanz!K737:K1102)*H129,0)</f>
        <v>0</v>
      </c>
    </row>
    <row r="130" customFormat="false" ht="16.4" hidden="false" customHeight="false" outlineLevel="0" collapsed="false">
      <c r="A130" s="12"/>
      <c r="B130" s="15" t="n">
        <v>23</v>
      </c>
      <c r="C130" s="13" t="n">
        <f aca="false">IFERROR(IF(AND(B130&lt;=Eingaben!$B$11,Szenarien!$H$10="OK"),SUM(Variantenbilanz!K737:K1102)*(Eingaben!$B$36*Szenarien!$C$10*(1+Eingaben!$B$40)^(B130-1)+Eingaben!$B$37*Eingaben!$B$38*(1+Eingaben!$B$46)^(B130-1)),0),0)</f>
        <v>0</v>
      </c>
      <c r="D130" s="13" t="n">
        <f aca="false">IFERROR(IF(AND(B130&lt;=Eingaben!$B$11,Szenarien!$H$10="OK"),((Eingaben!$B$32+Eingaben!$B$35)*(1+Eingaben!$B$41)^(B130-1)+SUM(Variantenbilanz!E737:E1102)*Eingaben!$B$33*Eingaben!$B$34*(1+Eingaben!$B$42)^(B130-1))*Szenarien!$F$10,0),0)</f>
        <v>0</v>
      </c>
      <c r="E130" s="13" t="n">
        <f aca="false">IFERROR(IF(AND(AND(B130&lt;=Eingaben!$B$11,Szenarien!$H$10="OK"),B130=Eingaben!$B$43),Eingaben!$B$44*Szenarien!$B$10*(1+Eingaben!$B$41)^(B130-1),0),0)</f>
        <v>0</v>
      </c>
      <c r="F130" s="13" t="n">
        <f aca="false">IFERROR(IF(AND(AND(B130&lt;=Eingaben!$B$11,Szenarien!$H$10="OK"),B130=Eingaben!$B$11),Eingaben!$B$45*Szenarien!$B$10,0),0)</f>
        <v>0</v>
      </c>
      <c r="G130" s="13" t="n">
        <f aca="false">C130-D130-E130+F130</f>
        <v>0</v>
      </c>
      <c r="H130" s="13" t="n">
        <f aca="false">IFERROR(IF(AND(B130&lt;=Eingaben!$B$11,Szenarien!$H$10="OK"),1/(1+Eingaben!$B$39+Szenarien!$G$10)^B130,0),0)</f>
        <v>0</v>
      </c>
      <c r="I130" s="13" t="n">
        <f aca="false">G130*H130</f>
        <v>0</v>
      </c>
      <c r="J130" s="13" t="n">
        <f aca="false">(D130+E130-F130)*H130</f>
        <v>0</v>
      </c>
      <c r="K130" s="13" t="n">
        <f aca="false">IF(AND(B130&lt;=Eingaben!$B$11,Szenarien!$H$10="OK"),SUM(Variantenbilanz!K737:K1102)*H130,0)</f>
        <v>0</v>
      </c>
    </row>
    <row r="131" customFormat="false" ht="16.4" hidden="false" customHeight="false" outlineLevel="0" collapsed="false">
      <c r="A131" s="12"/>
      <c r="B131" s="15" t="n">
        <v>24</v>
      </c>
      <c r="C131" s="13" t="n">
        <f aca="false">IFERROR(IF(AND(B131&lt;=Eingaben!$B$11,Szenarien!$H$10="OK"),SUM(Variantenbilanz!K737:K1102)*(Eingaben!$B$36*Szenarien!$C$10*(1+Eingaben!$B$40)^(B131-1)+Eingaben!$B$37*Eingaben!$B$38*(1+Eingaben!$B$46)^(B131-1)),0),0)</f>
        <v>0</v>
      </c>
      <c r="D131" s="13" t="n">
        <f aca="false">IFERROR(IF(AND(B131&lt;=Eingaben!$B$11,Szenarien!$H$10="OK"),((Eingaben!$B$32+Eingaben!$B$35)*(1+Eingaben!$B$41)^(B131-1)+SUM(Variantenbilanz!E737:E1102)*Eingaben!$B$33*Eingaben!$B$34*(1+Eingaben!$B$42)^(B131-1))*Szenarien!$F$10,0),0)</f>
        <v>0</v>
      </c>
      <c r="E131" s="13" t="n">
        <f aca="false">IFERROR(IF(AND(AND(B131&lt;=Eingaben!$B$11,Szenarien!$H$10="OK"),B131=Eingaben!$B$43),Eingaben!$B$44*Szenarien!$B$10*(1+Eingaben!$B$41)^(B131-1),0),0)</f>
        <v>0</v>
      </c>
      <c r="F131" s="13" t="n">
        <f aca="false">IFERROR(IF(AND(AND(B131&lt;=Eingaben!$B$11,Szenarien!$H$10="OK"),B131=Eingaben!$B$11),Eingaben!$B$45*Szenarien!$B$10,0),0)</f>
        <v>0</v>
      </c>
      <c r="G131" s="13" t="n">
        <f aca="false">C131-D131-E131+F131</f>
        <v>0</v>
      </c>
      <c r="H131" s="13" t="n">
        <f aca="false">IFERROR(IF(AND(B131&lt;=Eingaben!$B$11,Szenarien!$H$10="OK"),1/(1+Eingaben!$B$39+Szenarien!$G$10)^B131,0),0)</f>
        <v>0</v>
      </c>
      <c r="I131" s="13" t="n">
        <f aca="false">G131*H131</f>
        <v>0</v>
      </c>
      <c r="J131" s="13" t="n">
        <f aca="false">(D131+E131-F131)*H131</f>
        <v>0</v>
      </c>
      <c r="K131" s="13" t="n">
        <f aca="false">IF(AND(B131&lt;=Eingaben!$B$11,Szenarien!$H$10="OK"),SUM(Variantenbilanz!K737:K1102)*H131,0)</f>
        <v>0</v>
      </c>
    </row>
    <row r="132" customFormat="false" ht="16.4" hidden="false" customHeight="false" outlineLevel="0" collapsed="false">
      <c r="A132" s="12"/>
      <c r="B132" s="15" t="n">
        <v>25</v>
      </c>
      <c r="C132" s="13" t="n">
        <f aca="false">IFERROR(IF(AND(B132&lt;=Eingaben!$B$11,Szenarien!$H$10="OK"),SUM(Variantenbilanz!K737:K1102)*(Eingaben!$B$36*Szenarien!$C$10*(1+Eingaben!$B$40)^(B132-1)+Eingaben!$B$37*Eingaben!$B$38*(1+Eingaben!$B$46)^(B132-1)),0),0)</f>
        <v>0</v>
      </c>
      <c r="D132" s="13" t="n">
        <f aca="false">IFERROR(IF(AND(B132&lt;=Eingaben!$B$11,Szenarien!$H$10="OK"),((Eingaben!$B$32+Eingaben!$B$35)*(1+Eingaben!$B$41)^(B132-1)+SUM(Variantenbilanz!E737:E1102)*Eingaben!$B$33*Eingaben!$B$34*(1+Eingaben!$B$42)^(B132-1))*Szenarien!$F$10,0),0)</f>
        <v>0</v>
      </c>
      <c r="E132" s="13" t="n">
        <f aca="false">IFERROR(IF(AND(AND(B132&lt;=Eingaben!$B$11,Szenarien!$H$10="OK"),B132=Eingaben!$B$43),Eingaben!$B$44*Szenarien!$B$10*(1+Eingaben!$B$41)^(B132-1),0),0)</f>
        <v>0</v>
      </c>
      <c r="F132" s="13" t="n">
        <f aca="false">IFERROR(IF(AND(AND(B132&lt;=Eingaben!$B$11,Szenarien!$H$10="OK"),B132=Eingaben!$B$11),Eingaben!$B$45*Szenarien!$B$10,0),0)</f>
        <v>0</v>
      </c>
      <c r="G132" s="13" t="n">
        <f aca="false">C132-D132-E132+F132</f>
        <v>0</v>
      </c>
      <c r="H132" s="13" t="n">
        <f aca="false">IFERROR(IF(AND(B132&lt;=Eingaben!$B$11,Szenarien!$H$10="OK"),1/(1+Eingaben!$B$39+Szenarien!$G$10)^B132,0),0)</f>
        <v>0</v>
      </c>
      <c r="I132" s="13" t="n">
        <f aca="false">G132*H132</f>
        <v>0</v>
      </c>
      <c r="J132" s="13" t="n">
        <f aca="false">(D132+E132-F132)*H132</f>
        <v>0</v>
      </c>
      <c r="K132" s="13" t="n">
        <f aca="false">IF(AND(B132&lt;=Eingaben!$B$11,Szenarien!$H$10="OK"),SUM(Variantenbilanz!K737:K1102)*H132,0)</f>
        <v>0</v>
      </c>
    </row>
    <row r="133" customFormat="false" ht="16.4" hidden="false" customHeight="false" outlineLevel="0" collapsed="false">
      <c r="A133" s="12"/>
      <c r="B133" s="15" t="n">
        <v>26</v>
      </c>
      <c r="C133" s="13" t="n">
        <f aca="false">IFERROR(IF(AND(B133&lt;=Eingaben!$B$11,Szenarien!$H$10="OK"),SUM(Variantenbilanz!K737:K1102)*(Eingaben!$B$36*Szenarien!$C$10*(1+Eingaben!$B$40)^(B133-1)+Eingaben!$B$37*Eingaben!$B$38*(1+Eingaben!$B$46)^(B133-1)),0),0)</f>
        <v>0</v>
      </c>
      <c r="D133" s="13" t="n">
        <f aca="false">IFERROR(IF(AND(B133&lt;=Eingaben!$B$11,Szenarien!$H$10="OK"),((Eingaben!$B$32+Eingaben!$B$35)*(1+Eingaben!$B$41)^(B133-1)+SUM(Variantenbilanz!E737:E1102)*Eingaben!$B$33*Eingaben!$B$34*(1+Eingaben!$B$42)^(B133-1))*Szenarien!$F$10,0),0)</f>
        <v>0</v>
      </c>
      <c r="E133" s="13" t="n">
        <f aca="false">IFERROR(IF(AND(AND(B133&lt;=Eingaben!$B$11,Szenarien!$H$10="OK"),B133=Eingaben!$B$43),Eingaben!$B$44*Szenarien!$B$10*(1+Eingaben!$B$41)^(B133-1),0),0)</f>
        <v>0</v>
      </c>
      <c r="F133" s="13" t="n">
        <f aca="false">IFERROR(IF(AND(AND(B133&lt;=Eingaben!$B$11,Szenarien!$H$10="OK"),B133=Eingaben!$B$11),Eingaben!$B$45*Szenarien!$B$10,0),0)</f>
        <v>0</v>
      </c>
      <c r="G133" s="13" t="n">
        <f aca="false">C133-D133-E133+F133</f>
        <v>0</v>
      </c>
      <c r="H133" s="13" t="n">
        <f aca="false">IFERROR(IF(AND(B133&lt;=Eingaben!$B$11,Szenarien!$H$10="OK"),1/(1+Eingaben!$B$39+Szenarien!$G$10)^B133,0),0)</f>
        <v>0</v>
      </c>
      <c r="I133" s="13" t="n">
        <f aca="false">G133*H133</f>
        <v>0</v>
      </c>
      <c r="J133" s="13" t="n">
        <f aca="false">(D133+E133-F133)*H133</f>
        <v>0</v>
      </c>
      <c r="K133" s="13" t="n">
        <f aca="false">IF(AND(B133&lt;=Eingaben!$B$11,Szenarien!$H$10="OK"),SUM(Variantenbilanz!K737:K1102)*H133,0)</f>
        <v>0</v>
      </c>
    </row>
    <row r="134" customFormat="false" ht="16.4" hidden="false" customHeight="false" outlineLevel="0" collapsed="false">
      <c r="A134" s="12"/>
      <c r="B134" s="15" t="n">
        <v>27</v>
      </c>
      <c r="C134" s="13" t="n">
        <f aca="false">IFERROR(IF(AND(B134&lt;=Eingaben!$B$11,Szenarien!$H$10="OK"),SUM(Variantenbilanz!K737:K1102)*(Eingaben!$B$36*Szenarien!$C$10*(1+Eingaben!$B$40)^(B134-1)+Eingaben!$B$37*Eingaben!$B$38*(1+Eingaben!$B$46)^(B134-1)),0),0)</f>
        <v>0</v>
      </c>
      <c r="D134" s="13" t="n">
        <f aca="false">IFERROR(IF(AND(B134&lt;=Eingaben!$B$11,Szenarien!$H$10="OK"),((Eingaben!$B$32+Eingaben!$B$35)*(1+Eingaben!$B$41)^(B134-1)+SUM(Variantenbilanz!E737:E1102)*Eingaben!$B$33*Eingaben!$B$34*(1+Eingaben!$B$42)^(B134-1))*Szenarien!$F$10,0),0)</f>
        <v>0</v>
      </c>
      <c r="E134" s="13" t="n">
        <f aca="false">IFERROR(IF(AND(AND(B134&lt;=Eingaben!$B$11,Szenarien!$H$10="OK"),B134=Eingaben!$B$43),Eingaben!$B$44*Szenarien!$B$10*(1+Eingaben!$B$41)^(B134-1),0),0)</f>
        <v>0</v>
      </c>
      <c r="F134" s="13" t="n">
        <f aca="false">IFERROR(IF(AND(AND(B134&lt;=Eingaben!$B$11,Szenarien!$H$10="OK"),B134=Eingaben!$B$11),Eingaben!$B$45*Szenarien!$B$10,0),0)</f>
        <v>0</v>
      </c>
      <c r="G134" s="13" t="n">
        <f aca="false">C134-D134-E134+F134</f>
        <v>0</v>
      </c>
      <c r="H134" s="13" t="n">
        <f aca="false">IFERROR(IF(AND(B134&lt;=Eingaben!$B$11,Szenarien!$H$10="OK"),1/(1+Eingaben!$B$39+Szenarien!$G$10)^B134,0),0)</f>
        <v>0</v>
      </c>
      <c r="I134" s="13" t="n">
        <f aca="false">G134*H134</f>
        <v>0</v>
      </c>
      <c r="J134" s="13" t="n">
        <f aca="false">(D134+E134-F134)*H134</f>
        <v>0</v>
      </c>
      <c r="K134" s="13" t="n">
        <f aca="false">IF(AND(B134&lt;=Eingaben!$B$11,Szenarien!$H$10="OK"),SUM(Variantenbilanz!K737:K1102)*H134,0)</f>
        <v>0</v>
      </c>
    </row>
    <row r="135" customFormat="false" ht="16.4" hidden="false" customHeight="false" outlineLevel="0" collapsed="false">
      <c r="A135" s="12"/>
      <c r="B135" s="15" t="n">
        <v>28</v>
      </c>
      <c r="C135" s="13" t="n">
        <f aca="false">IFERROR(IF(AND(B135&lt;=Eingaben!$B$11,Szenarien!$H$10="OK"),SUM(Variantenbilanz!K737:K1102)*(Eingaben!$B$36*Szenarien!$C$10*(1+Eingaben!$B$40)^(B135-1)+Eingaben!$B$37*Eingaben!$B$38*(1+Eingaben!$B$46)^(B135-1)),0),0)</f>
        <v>0</v>
      </c>
      <c r="D135" s="13" t="n">
        <f aca="false">IFERROR(IF(AND(B135&lt;=Eingaben!$B$11,Szenarien!$H$10="OK"),((Eingaben!$B$32+Eingaben!$B$35)*(1+Eingaben!$B$41)^(B135-1)+SUM(Variantenbilanz!E737:E1102)*Eingaben!$B$33*Eingaben!$B$34*(1+Eingaben!$B$42)^(B135-1))*Szenarien!$F$10,0),0)</f>
        <v>0</v>
      </c>
      <c r="E135" s="13" t="n">
        <f aca="false">IFERROR(IF(AND(AND(B135&lt;=Eingaben!$B$11,Szenarien!$H$10="OK"),B135=Eingaben!$B$43),Eingaben!$B$44*Szenarien!$B$10*(1+Eingaben!$B$41)^(B135-1),0),0)</f>
        <v>0</v>
      </c>
      <c r="F135" s="13" t="n">
        <f aca="false">IFERROR(IF(AND(AND(B135&lt;=Eingaben!$B$11,Szenarien!$H$10="OK"),B135=Eingaben!$B$11),Eingaben!$B$45*Szenarien!$B$10,0),0)</f>
        <v>0</v>
      </c>
      <c r="G135" s="13" t="n">
        <f aca="false">C135-D135-E135+F135</f>
        <v>0</v>
      </c>
      <c r="H135" s="13" t="n">
        <f aca="false">IFERROR(IF(AND(B135&lt;=Eingaben!$B$11,Szenarien!$H$10="OK"),1/(1+Eingaben!$B$39+Szenarien!$G$10)^B135,0),0)</f>
        <v>0</v>
      </c>
      <c r="I135" s="13" t="n">
        <f aca="false">G135*H135</f>
        <v>0</v>
      </c>
      <c r="J135" s="13" t="n">
        <f aca="false">(D135+E135-F135)*H135</f>
        <v>0</v>
      </c>
      <c r="K135" s="13" t="n">
        <f aca="false">IF(AND(B135&lt;=Eingaben!$B$11,Szenarien!$H$10="OK"),SUM(Variantenbilanz!K737:K1102)*H135,0)</f>
        <v>0</v>
      </c>
    </row>
    <row r="136" customFormat="false" ht="16.4" hidden="false" customHeight="false" outlineLevel="0" collapsed="false">
      <c r="A136" s="12"/>
      <c r="B136" s="15" t="n">
        <v>29</v>
      </c>
      <c r="C136" s="13" t="n">
        <f aca="false">IFERROR(IF(AND(B136&lt;=Eingaben!$B$11,Szenarien!$H$10="OK"),SUM(Variantenbilanz!K737:K1102)*(Eingaben!$B$36*Szenarien!$C$10*(1+Eingaben!$B$40)^(B136-1)+Eingaben!$B$37*Eingaben!$B$38*(1+Eingaben!$B$46)^(B136-1)),0),0)</f>
        <v>0</v>
      </c>
      <c r="D136" s="13" t="n">
        <f aca="false">IFERROR(IF(AND(B136&lt;=Eingaben!$B$11,Szenarien!$H$10="OK"),((Eingaben!$B$32+Eingaben!$B$35)*(1+Eingaben!$B$41)^(B136-1)+SUM(Variantenbilanz!E737:E1102)*Eingaben!$B$33*Eingaben!$B$34*(1+Eingaben!$B$42)^(B136-1))*Szenarien!$F$10,0),0)</f>
        <v>0</v>
      </c>
      <c r="E136" s="13" t="n">
        <f aca="false">IFERROR(IF(AND(AND(B136&lt;=Eingaben!$B$11,Szenarien!$H$10="OK"),B136=Eingaben!$B$43),Eingaben!$B$44*Szenarien!$B$10*(1+Eingaben!$B$41)^(B136-1),0),0)</f>
        <v>0</v>
      </c>
      <c r="F136" s="13" t="n">
        <f aca="false">IFERROR(IF(AND(AND(B136&lt;=Eingaben!$B$11,Szenarien!$H$10="OK"),B136=Eingaben!$B$11),Eingaben!$B$45*Szenarien!$B$10,0),0)</f>
        <v>0</v>
      </c>
      <c r="G136" s="13" t="n">
        <f aca="false">C136-D136-E136+F136</f>
        <v>0</v>
      </c>
      <c r="H136" s="13" t="n">
        <f aca="false">IFERROR(IF(AND(B136&lt;=Eingaben!$B$11,Szenarien!$H$10="OK"),1/(1+Eingaben!$B$39+Szenarien!$G$10)^B136,0),0)</f>
        <v>0</v>
      </c>
      <c r="I136" s="13" t="n">
        <f aca="false">G136*H136</f>
        <v>0</v>
      </c>
      <c r="J136" s="13" t="n">
        <f aca="false">(D136+E136-F136)*H136</f>
        <v>0</v>
      </c>
      <c r="K136" s="13" t="n">
        <f aca="false">IF(AND(B136&lt;=Eingaben!$B$11,Szenarien!$H$10="OK"),SUM(Variantenbilanz!K737:K1102)*H136,0)</f>
        <v>0</v>
      </c>
    </row>
    <row r="137" customFormat="false" ht="16.4" hidden="false" customHeight="false" outlineLevel="0" collapsed="false">
      <c r="A137" s="12"/>
      <c r="B137" s="15" t="n">
        <v>30</v>
      </c>
      <c r="C137" s="13" t="n">
        <f aca="false">IFERROR(IF(AND(B137&lt;=Eingaben!$B$11,Szenarien!$H$10="OK"),SUM(Variantenbilanz!K737:K1102)*(Eingaben!$B$36*Szenarien!$C$10*(1+Eingaben!$B$40)^(B137-1)+Eingaben!$B$37*Eingaben!$B$38*(1+Eingaben!$B$46)^(B137-1)),0),0)</f>
        <v>0</v>
      </c>
      <c r="D137" s="13" t="n">
        <f aca="false">IFERROR(IF(AND(B137&lt;=Eingaben!$B$11,Szenarien!$H$10="OK"),((Eingaben!$B$32+Eingaben!$B$35)*(1+Eingaben!$B$41)^(B137-1)+SUM(Variantenbilanz!E737:E1102)*Eingaben!$B$33*Eingaben!$B$34*(1+Eingaben!$B$42)^(B137-1))*Szenarien!$F$10,0),0)</f>
        <v>0</v>
      </c>
      <c r="E137" s="13" t="n">
        <f aca="false">IFERROR(IF(AND(AND(B137&lt;=Eingaben!$B$11,Szenarien!$H$10="OK"),B137=Eingaben!$B$43),Eingaben!$B$44*Szenarien!$B$10*(1+Eingaben!$B$41)^(B137-1),0),0)</f>
        <v>0</v>
      </c>
      <c r="F137" s="13" t="n">
        <f aca="false">IFERROR(IF(AND(AND(B137&lt;=Eingaben!$B$11,Szenarien!$H$10="OK"),B137=Eingaben!$B$11),Eingaben!$B$45*Szenarien!$B$10,0),0)</f>
        <v>0</v>
      </c>
      <c r="G137" s="13" t="n">
        <f aca="false">C137-D137-E137+F137</f>
        <v>0</v>
      </c>
      <c r="H137" s="13" t="n">
        <f aca="false">IFERROR(IF(AND(B137&lt;=Eingaben!$B$11,Szenarien!$H$10="OK"),1/(1+Eingaben!$B$39+Szenarien!$G$10)^B137,0),0)</f>
        <v>0</v>
      </c>
      <c r="I137" s="13" t="n">
        <f aca="false">G137*H137</f>
        <v>0</v>
      </c>
      <c r="J137" s="13" t="n">
        <f aca="false">(D137+E137-F137)*H137</f>
        <v>0</v>
      </c>
      <c r="K137" s="13" t="n">
        <f aca="false">IF(AND(B137&lt;=Eingaben!$B$11,Szenarien!$H$10="OK"),SUM(Variantenbilanz!K737:K1102)*H137,0)</f>
        <v>0</v>
      </c>
    </row>
    <row r="138" customFormat="false" ht="16.4" hidden="false" customHeight="false" outlineLevel="0" collapsed="false">
      <c r="A138" s="12"/>
      <c r="B138" s="15" t="n">
        <v>31</v>
      </c>
      <c r="C138" s="13" t="n">
        <f aca="false">IFERROR(IF(AND(B138&lt;=Eingaben!$B$11,Szenarien!$H$10="OK"),SUM(Variantenbilanz!K737:K1102)*(Eingaben!$B$36*Szenarien!$C$10*(1+Eingaben!$B$40)^(B138-1)+Eingaben!$B$37*Eingaben!$B$38*(1+Eingaben!$B$46)^(B138-1)),0),0)</f>
        <v>0</v>
      </c>
      <c r="D138" s="13" t="n">
        <f aca="false">IFERROR(IF(AND(B138&lt;=Eingaben!$B$11,Szenarien!$H$10="OK"),((Eingaben!$B$32+Eingaben!$B$35)*(1+Eingaben!$B$41)^(B138-1)+SUM(Variantenbilanz!E737:E1102)*Eingaben!$B$33*Eingaben!$B$34*(1+Eingaben!$B$42)^(B138-1))*Szenarien!$F$10,0),0)</f>
        <v>0</v>
      </c>
      <c r="E138" s="13" t="n">
        <f aca="false">IFERROR(IF(AND(AND(B138&lt;=Eingaben!$B$11,Szenarien!$H$10="OK"),B138=Eingaben!$B$43),Eingaben!$B$44*Szenarien!$B$10*(1+Eingaben!$B$41)^(B138-1),0),0)</f>
        <v>0</v>
      </c>
      <c r="F138" s="13" t="n">
        <f aca="false">IFERROR(IF(AND(AND(B138&lt;=Eingaben!$B$11,Szenarien!$H$10="OK"),B138=Eingaben!$B$11),Eingaben!$B$45*Szenarien!$B$10,0),0)</f>
        <v>0</v>
      </c>
      <c r="G138" s="13" t="n">
        <f aca="false">C138-D138-E138+F138</f>
        <v>0</v>
      </c>
      <c r="H138" s="13" t="n">
        <f aca="false">IFERROR(IF(AND(B138&lt;=Eingaben!$B$11,Szenarien!$H$10="OK"),1/(1+Eingaben!$B$39+Szenarien!$G$10)^B138,0),0)</f>
        <v>0</v>
      </c>
      <c r="I138" s="13" t="n">
        <f aca="false">G138*H138</f>
        <v>0</v>
      </c>
      <c r="J138" s="13" t="n">
        <f aca="false">(D138+E138-F138)*H138</f>
        <v>0</v>
      </c>
      <c r="K138" s="13" t="n">
        <f aca="false">IF(AND(B138&lt;=Eingaben!$B$11,Szenarien!$H$10="OK"),SUM(Variantenbilanz!K737:K1102)*H138,0)</f>
        <v>0</v>
      </c>
    </row>
    <row r="139" customFormat="false" ht="16.4" hidden="false" customHeight="false" outlineLevel="0" collapsed="false">
      <c r="A139" s="12"/>
      <c r="B139" s="15" t="n">
        <v>32</v>
      </c>
      <c r="C139" s="13" t="n">
        <f aca="false">IFERROR(IF(AND(B139&lt;=Eingaben!$B$11,Szenarien!$H$10="OK"),SUM(Variantenbilanz!K737:K1102)*(Eingaben!$B$36*Szenarien!$C$10*(1+Eingaben!$B$40)^(B139-1)+Eingaben!$B$37*Eingaben!$B$38*(1+Eingaben!$B$46)^(B139-1)),0),0)</f>
        <v>0</v>
      </c>
      <c r="D139" s="13" t="n">
        <f aca="false">IFERROR(IF(AND(B139&lt;=Eingaben!$B$11,Szenarien!$H$10="OK"),((Eingaben!$B$32+Eingaben!$B$35)*(1+Eingaben!$B$41)^(B139-1)+SUM(Variantenbilanz!E737:E1102)*Eingaben!$B$33*Eingaben!$B$34*(1+Eingaben!$B$42)^(B139-1))*Szenarien!$F$10,0),0)</f>
        <v>0</v>
      </c>
      <c r="E139" s="13" t="n">
        <f aca="false">IFERROR(IF(AND(AND(B139&lt;=Eingaben!$B$11,Szenarien!$H$10="OK"),B139=Eingaben!$B$43),Eingaben!$B$44*Szenarien!$B$10*(1+Eingaben!$B$41)^(B139-1),0),0)</f>
        <v>0</v>
      </c>
      <c r="F139" s="13" t="n">
        <f aca="false">IFERROR(IF(AND(AND(B139&lt;=Eingaben!$B$11,Szenarien!$H$10="OK"),B139=Eingaben!$B$11),Eingaben!$B$45*Szenarien!$B$10,0),0)</f>
        <v>0</v>
      </c>
      <c r="G139" s="13" t="n">
        <f aca="false">C139-D139-E139+F139</f>
        <v>0</v>
      </c>
      <c r="H139" s="13" t="n">
        <f aca="false">IFERROR(IF(AND(B139&lt;=Eingaben!$B$11,Szenarien!$H$10="OK"),1/(1+Eingaben!$B$39+Szenarien!$G$10)^B139,0),0)</f>
        <v>0</v>
      </c>
      <c r="I139" s="13" t="n">
        <f aca="false">G139*H139</f>
        <v>0</v>
      </c>
      <c r="J139" s="13" t="n">
        <f aca="false">(D139+E139-F139)*H139</f>
        <v>0</v>
      </c>
      <c r="K139" s="13" t="n">
        <f aca="false">IF(AND(B139&lt;=Eingaben!$B$11,Szenarien!$H$10="OK"),SUM(Variantenbilanz!K737:K1102)*H139,0)</f>
        <v>0</v>
      </c>
    </row>
    <row r="140" customFormat="false" ht="16.4" hidden="false" customHeight="false" outlineLevel="0" collapsed="false">
      <c r="A140" s="12"/>
      <c r="B140" s="15" t="n">
        <v>33</v>
      </c>
      <c r="C140" s="13" t="n">
        <f aca="false">IFERROR(IF(AND(B140&lt;=Eingaben!$B$11,Szenarien!$H$10="OK"),SUM(Variantenbilanz!K737:K1102)*(Eingaben!$B$36*Szenarien!$C$10*(1+Eingaben!$B$40)^(B140-1)+Eingaben!$B$37*Eingaben!$B$38*(1+Eingaben!$B$46)^(B140-1)),0),0)</f>
        <v>0</v>
      </c>
      <c r="D140" s="13" t="n">
        <f aca="false">IFERROR(IF(AND(B140&lt;=Eingaben!$B$11,Szenarien!$H$10="OK"),((Eingaben!$B$32+Eingaben!$B$35)*(1+Eingaben!$B$41)^(B140-1)+SUM(Variantenbilanz!E737:E1102)*Eingaben!$B$33*Eingaben!$B$34*(1+Eingaben!$B$42)^(B140-1))*Szenarien!$F$10,0),0)</f>
        <v>0</v>
      </c>
      <c r="E140" s="13" t="n">
        <f aca="false">IFERROR(IF(AND(AND(B140&lt;=Eingaben!$B$11,Szenarien!$H$10="OK"),B140=Eingaben!$B$43),Eingaben!$B$44*Szenarien!$B$10*(1+Eingaben!$B$41)^(B140-1),0),0)</f>
        <v>0</v>
      </c>
      <c r="F140" s="13" t="n">
        <f aca="false">IFERROR(IF(AND(AND(B140&lt;=Eingaben!$B$11,Szenarien!$H$10="OK"),B140=Eingaben!$B$11),Eingaben!$B$45*Szenarien!$B$10,0),0)</f>
        <v>0</v>
      </c>
      <c r="G140" s="13" t="n">
        <f aca="false">C140-D140-E140+F140</f>
        <v>0</v>
      </c>
      <c r="H140" s="13" t="n">
        <f aca="false">IFERROR(IF(AND(B140&lt;=Eingaben!$B$11,Szenarien!$H$10="OK"),1/(1+Eingaben!$B$39+Szenarien!$G$10)^B140,0),0)</f>
        <v>0</v>
      </c>
      <c r="I140" s="13" t="n">
        <f aca="false">G140*H140</f>
        <v>0</v>
      </c>
      <c r="J140" s="13" t="n">
        <f aca="false">(D140+E140-F140)*H140</f>
        <v>0</v>
      </c>
      <c r="K140" s="13" t="n">
        <f aca="false">IF(AND(B140&lt;=Eingaben!$B$11,Szenarien!$H$10="OK"),SUM(Variantenbilanz!K737:K1102)*H140,0)</f>
        <v>0</v>
      </c>
    </row>
    <row r="141" customFormat="false" ht="16.4" hidden="false" customHeight="false" outlineLevel="0" collapsed="false">
      <c r="A141" s="12"/>
      <c r="B141" s="15" t="n">
        <v>34</v>
      </c>
      <c r="C141" s="13" t="n">
        <f aca="false">IFERROR(IF(AND(B141&lt;=Eingaben!$B$11,Szenarien!$H$10="OK"),SUM(Variantenbilanz!K737:K1102)*(Eingaben!$B$36*Szenarien!$C$10*(1+Eingaben!$B$40)^(B141-1)+Eingaben!$B$37*Eingaben!$B$38*(1+Eingaben!$B$46)^(B141-1)),0),0)</f>
        <v>0</v>
      </c>
      <c r="D141" s="13" t="n">
        <f aca="false">IFERROR(IF(AND(B141&lt;=Eingaben!$B$11,Szenarien!$H$10="OK"),((Eingaben!$B$32+Eingaben!$B$35)*(1+Eingaben!$B$41)^(B141-1)+SUM(Variantenbilanz!E737:E1102)*Eingaben!$B$33*Eingaben!$B$34*(1+Eingaben!$B$42)^(B141-1))*Szenarien!$F$10,0),0)</f>
        <v>0</v>
      </c>
      <c r="E141" s="13" t="n">
        <f aca="false">IFERROR(IF(AND(AND(B141&lt;=Eingaben!$B$11,Szenarien!$H$10="OK"),B141=Eingaben!$B$43),Eingaben!$B$44*Szenarien!$B$10*(1+Eingaben!$B$41)^(B141-1),0),0)</f>
        <v>0</v>
      </c>
      <c r="F141" s="13" t="n">
        <f aca="false">IFERROR(IF(AND(AND(B141&lt;=Eingaben!$B$11,Szenarien!$H$10="OK"),B141=Eingaben!$B$11),Eingaben!$B$45*Szenarien!$B$10,0),0)</f>
        <v>0</v>
      </c>
      <c r="G141" s="13" t="n">
        <f aca="false">C141-D141-E141+F141</f>
        <v>0</v>
      </c>
      <c r="H141" s="13" t="n">
        <f aca="false">IFERROR(IF(AND(B141&lt;=Eingaben!$B$11,Szenarien!$H$10="OK"),1/(1+Eingaben!$B$39+Szenarien!$G$10)^B141,0),0)</f>
        <v>0</v>
      </c>
      <c r="I141" s="13" t="n">
        <f aca="false">G141*H141</f>
        <v>0</v>
      </c>
      <c r="J141" s="13" t="n">
        <f aca="false">(D141+E141-F141)*H141</f>
        <v>0</v>
      </c>
      <c r="K141" s="13" t="n">
        <f aca="false">IF(AND(B141&lt;=Eingaben!$B$11,Szenarien!$H$10="OK"),SUM(Variantenbilanz!K737:K1102)*H141,0)</f>
        <v>0</v>
      </c>
    </row>
    <row r="142" customFormat="false" ht="16.4" hidden="false" customHeight="false" outlineLevel="0" collapsed="false">
      <c r="A142" s="12"/>
      <c r="B142" s="15" t="n">
        <v>35</v>
      </c>
      <c r="C142" s="13" t="n">
        <f aca="false">IFERROR(IF(AND(B142&lt;=Eingaben!$B$11,Szenarien!$H$10="OK"),SUM(Variantenbilanz!K737:K1102)*(Eingaben!$B$36*Szenarien!$C$10*(1+Eingaben!$B$40)^(B142-1)+Eingaben!$B$37*Eingaben!$B$38*(1+Eingaben!$B$46)^(B142-1)),0),0)</f>
        <v>0</v>
      </c>
      <c r="D142" s="13" t="n">
        <f aca="false">IFERROR(IF(AND(B142&lt;=Eingaben!$B$11,Szenarien!$H$10="OK"),((Eingaben!$B$32+Eingaben!$B$35)*(1+Eingaben!$B$41)^(B142-1)+SUM(Variantenbilanz!E737:E1102)*Eingaben!$B$33*Eingaben!$B$34*(1+Eingaben!$B$42)^(B142-1))*Szenarien!$F$10,0),0)</f>
        <v>0</v>
      </c>
      <c r="E142" s="13" t="n">
        <f aca="false">IFERROR(IF(AND(AND(B142&lt;=Eingaben!$B$11,Szenarien!$H$10="OK"),B142=Eingaben!$B$43),Eingaben!$B$44*Szenarien!$B$10*(1+Eingaben!$B$41)^(B142-1),0),0)</f>
        <v>0</v>
      </c>
      <c r="F142" s="13" t="n">
        <f aca="false">IFERROR(IF(AND(AND(B142&lt;=Eingaben!$B$11,Szenarien!$H$10="OK"),B142=Eingaben!$B$11),Eingaben!$B$45*Szenarien!$B$10,0),0)</f>
        <v>0</v>
      </c>
      <c r="G142" s="13" t="n">
        <f aca="false">C142-D142-E142+F142</f>
        <v>0</v>
      </c>
      <c r="H142" s="13" t="n">
        <f aca="false">IFERROR(IF(AND(B142&lt;=Eingaben!$B$11,Szenarien!$H$10="OK"),1/(1+Eingaben!$B$39+Szenarien!$G$10)^B142,0),0)</f>
        <v>0</v>
      </c>
      <c r="I142" s="13" t="n">
        <f aca="false">G142*H142</f>
        <v>0</v>
      </c>
      <c r="J142" s="13" t="n">
        <f aca="false">(D142+E142-F142)*H142</f>
        <v>0</v>
      </c>
      <c r="K142" s="13" t="n">
        <f aca="false">IF(AND(B142&lt;=Eingaben!$B$11,Szenarien!$H$10="OK"),SUM(Variantenbilanz!K737:K1102)*H142,0)</f>
        <v>0</v>
      </c>
    </row>
    <row r="143" customFormat="false" ht="16.4" hidden="false" customHeight="false" outlineLevel="0" collapsed="false">
      <c r="A143" s="12"/>
      <c r="B143" s="15" t="n">
        <v>36</v>
      </c>
      <c r="C143" s="13" t="n">
        <f aca="false">IFERROR(IF(AND(B143&lt;=Eingaben!$B$11,Szenarien!$H$10="OK"),SUM(Variantenbilanz!K737:K1102)*(Eingaben!$B$36*Szenarien!$C$10*(1+Eingaben!$B$40)^(B143-1)+Eingaben!$B$37*Eingaben!$B$38*(1+Eingaben!$B$46)^(B143-1)),0),0)</f>
        <v>0</v>
      </c>
      <c r="D143" s="13" t="n">
        <f aca="false">IFERROR(IF(AND(B143&lt;=Eingaben!$B$11,Szenarien!$H$10="OK"),((Eingaben!$B$32+Eingaben!$B$35)*(1+Eingaben!$B$41)^(B143-1)+SUM(Variantenbilanz!E737:E1102)*Eingaben!$B$33*Eingaben!$B$34*(1+Eingaben!$B$42)^(B143-1))*Szenarien!$F$10,0),0)</f>
        <v>0</v>
      </c>
      <c r="E143" s="13" t="n">
        <f aca="false">IFERROR(IF(AND(AND(B143&lt;=Eingaben!$B$11,Szenarien!$H$10="OK"),B143=Eingaben!$B$43),Eingaben!$B$44*Szenarien!$B$10*(1+Eingaben!$B$41)^(B143-1),0),0)</f>
        <v>0</v>
      </c>
      <c r="F143" s="13" t="n">
        <f aca="false">IFERROR(IF(AND(AND(B143&lt;=Eingaben!$B$11,Szenarien!$H$10="OK"),B143=Eingaben!$B$11),Eingaben!$B$45*Szenarien!$B$10,0),0)</f>
        <v>0</v>
      </c>
      <c r="G143" s="13" t="n">
        <f aca="false">C143-D143-E143+F143</f>
        <v>0</v>
      </c>
      <c r="H143" s="13" t="n">
        <f aca="false">IFERROR(IF(AND(B143&lt;=Eingaben!$B$11,Szenarien!$H$10="OK"),1/(1+Eingaben!$B$39+Szenarien!$G$10)^B143,0),0)</f>
        <v>0</v>
      </c>
      <c r="I143" s="13" t="n">
        <f aca="false">G143*H143</f>
        <v>0</v>
      </c>
      <c r="J143" s="13" t="n">
        <f aca="false">(D143+E143-F143)*H143</f>
        <v>0</v>
      </c>
      <c r="K143" s="13" t="n">
        <f aca="false">IF(AND(B143&lt;=Eingaben!$B$11,Szenarien!$H$10="OK"),SUM(Variantenbilanz!K737:K1102)*H143,0)</f>
        <v>0</v>
      </c>
    </row>
    <row r="144" customFormat="false" ht="16.4" hidden="false" customHeight="false" outlineLevel="0" collapsed="false">
      <c r="A144" s="12"/>
      <c r="B144" s="15" t="n">
        <v>37</v>
      </c>
      <c r="C144" s="13" t="n">
        <f aca="false">IFERROR(IF(AND(B144&lt;=Eingaben!$B$11,Szenarien!$H$10="OK"),SUM(Variantenbilanz!K737:K1102)*(Eingaben!$B$36*Szenarien!$C$10*(1+Eingaben!$B$40)^(B144-1)+Eingaben!$B$37*Eingaben!$B$38*(1+Eingaben!$B$46)^(B144-1)),0),0)</f>
        <v>0</v>
      </c>
      <c r="D144" s="13" t="n">
        <f aca="false">IFERROR(IF(AND(B144&lt;=Eingaben!$B$11,Szenarien!$H$10="OK"),((Eingaben!$B$32+Eingaben!$B$35)*(1+Eingaben!$B$41)^(B144-1)+SUM(Variantenbilanz!E737:E1102)*Eingaben!$B$33*Eingaben!$B$34*(1+Eingaben!$B$42)^(B144-1))*Szenarien!$F$10,0),0)</f>
        <v>0</v>
      </c>
      <c r="E144" s="13" t="n">
        <f aca="false">IFERROR(IF(AND(AND(B144&lt;=Eingaben!$B$11,Szenarien!$H$10="OK"),B144=Eingaben!$B$43),Eingaben!$B$44*Szenarien!$B$10*(1+Eingaben!$B$41)^(B144-1),0),0)</f>
        <v>0</v>
      </c>
      <c r="F144" s="13" t="n">
        <f aca="false">IFERROR(IF(AND(AND(B144&lt;=Eingaben!$B$11,Szenarien!$H$10="OK"),B144=Eingaben!$B$11),Eingaben!$B$45*Szenarien!$B$10,0),0)</f>
        <v>0</v>
      </c>
      <c r="G144" s="13" t="n">
        <f aca="false">C144-D144-E144+F144</f>
        <v>0</v>
      </c>
      <c r="H144" s="13" t="n">
        <f aca="false">IFERROR(IF(AND(B144&lt;=Eingaben!$B$11,Szenarien!$H$10="OK"),1/(1+Eingaben!$B$39+Szenarien!$G$10)^B144,0),0)</f>
        <v>0</v>
      </c>
      <c r="I144" s="13" t="n">
        <f aca="false">G144*H144</f>
        <v>0</v>
      </c>
      <c r="J144" s="13" t="n">
        <f aca="false">(D144+E144-F144)*H144</f>
        <v>0</v>
      </c>
      <c r="K144" s="13" t="n">
        <f aca="false">IF(AND(B144&lt;=Eingaben!$B$11,Szenarien!$H$10="OK"),SUM(Variantenbilanz!K737:K1102)*H144,0)</f>
        <v>0</v>
      </c>
    </row>
    <row r="145" customFormat="false" ht="16.4" hidden="false" customHeight="false" outlineLevel="0" collapsed="false">
      <c r="A145" s="12"/>
      <c r="B145" s="15" t="n">
        <v>38</v>
      </c>
      <c r="C145" s="13" t="n">
        <f aca="false">IFERROR(IF(AND(B145&lt;=Eingaben!$B$11,Szenarien!$H$10="OK"),SUM(Variantenbilanz!K737:K1102)*(Eingaben!$B$36*Szenarien!$C$10*(1+Eingaben!$B$40)^(B145-1)+Eingaben!$B$37*Eingaben!$B$38*(1+Eingaben!$B$46)^(B145-1)),0),0)</f>
        <v>0</v>
      </c>
      <c r="D145" s="13" t="n">
        <f aca="false">IFERROR(IF(AND(B145&lt;=Eingaben!$B$11,Szenarien!$H$10="OK"),((Eingaben!$B$32+Eingaben!$B$35)*(1+Eingaben!$B$41)^(B145-1)+SUM(Variantenbilanz!E737:E1102)*Eingaben!$B$33*Eingaben!$B$34*(1+Eingaben!$B$42)^(B145-1))*Szenarien!$F$10,0),0)</f>
        <v>0</v>
      </c>
      <c r="E145" s="13" t="n">
        <f aca="false">IFERROR(IF(AND(AND(B145&lt;=Eingaben!$B$11,Szenarien!$H$10="OK"),B145=Eingaben!$B$43),Eingaben!$B$44*Szenarien!$B$10*(1+Eingaben!$B$41)^(B145-1),0),0)</f>
        <v>0</v>
      </c>
      <c r="F145" s="13" t="n">
        <f aca="false">IFERROR(IF(AND(AND(B145&lt;=Eingaben!$B$11,Szenarien!$H$10="OK"),B145=Eingaben!$B$11),Eingaben!$B$45*Szenarien!$B$10,0),0)</f>
        <v>0</v>
      </c>
      <c r="G145" s="13" t="n">
        <f aca="false">C145-D145-E145+F145</f>
        <v>0</v>
      </c>
      <c r="H145" s="13" t="n">
        <f aca="false">IFERROR(IF(AND(B145&lt;=Eingaben!$B$11,Szenarien!$H$10="OK"),1/(1+Eingaben!$B$39+Szenarien!$G$10)^B145,0),0)</f>
        <v>0</v>
      </c>
      <c r="I145" s="13" t="n">
        <f aca="false">G145*H145</f>
        <v>0</v>
      </c>
      <c r="J145" s="13" t="n">
        <f aca="false">(D145+E145-F145)*H145</f>
        <v>0</v>
      </c>
      <c r="K145" s="13" t="n">
        <f aca="false">IF(AND(B145&lt;=Eingaben!$B$11,Szenarien!$H$10="OK"),SUM(Variantenbilanz!K737:K1102)*H145,0)</f>
        <v>0</v>
      </c>
    </row>
    <row r="146" customFormat="false" ht="16.4" hidden="false" customHeight="false" outlineLevel="0" collapsed="false">
      <c r="A146" s="12"/>
      <c r="B146" s="15" t="n">
        <v>39</v>
      </c>
      <c r="C146" s="13" t="n">
        <f aca="false">IFERROR(IF(AND(B146&lt;=Eingaben!$B$11,Szenarien!$H$10="OK"),SUM(Variantenbilanz!K737:K1102)*(Eingaben!$B$36*Szenarien!$C$10*(1+Eingaben!$B$40)^(B146-1)+Eingaben!$B$37*Eingaben!$B$38*(1+Eingaben!$B$46)^(B146-1)),0),0)</f>
        <v>0</v>
      </c>
      <c r="D146" s="13" t="n">
        <f aca="false">IFERROR(IF(AND(B146&lt;=Eingaben!$B$11,Szenarien!$H$10="OK"),((Eingaben!$B$32+Eingaben!$B$35)*(1+Eingaben!$B$41)^(B146-1)+SUM(Variantenbilanz!E737:E1102)*Eingaben!$B$33*Eingaben!$B$34*(1+Eingaben!$B$42)^(B146-1))*Szenarien!$F$10,0),0)</f>
        <v>0</v>
      </c>
      <c r="E146" s="13" t="n">
        <f aca="false">IFERROR(IF(AND(AND(B146&lt;=Eingaben!$B$11,Szenarien!$H$10="OK"),B146=Eingaben!$B$43),Eingaben!$B$44*Szenarien!$B$10*(1+Eingaben!$B$41)^(B146-1),0),0)</f>
        <v>0</v>
      </c>
      <c r="F146" s="13" t="n">
        <f aca="false">IFERROR(IF(AND(AND(B146&lt;=Eingaben!$B$11,Szenarien!$H$10="OK"),B146=Eingaben!$B$11),Eingaben!$B$45*Szenarien!$B$10,0),0)</f>
        <v>0</v>
      </c>
      <c r="G146" s="13" t="n">
        <f aca="false">C146-D146-E146+F146</f>
        <v>0</v>
      </c>
      <c r="H146" s="13" t="n">
        <f aca="false">IFERROR(IF(AND(B146&lt;=Eingaben!$B$11,Szenarien!$H$10="OK"),1/(1+Eingaben!$B$39+Szenarien!$G$10)^B146,0),0)</f>
        <v>0</v>
      </c>
      <c r="I146" s="13" t="n">
        <f aca="false">G146*H146</f>
        <v>0</v>
      </c>
      <c r="J146" s="13" t="n">
        <f aca="false">(D146+E146-F146)*H146</f>
        <v>0</v>
      </c>
      <c r="K146" s="13" t="n">
        <f aca="false">IF(AND(B146&lt;=Eingaben!$B$11,Szenarien!$H$10="OK"),SUM(Variantenbilanz!K737:K1102)*H146,0)</f>
        <v>0</v>
      </c>
    </row>
    <row r="147" customFormat="false" ht="16.4" hidden="false" customHeight="false" outlineLevel="0" collapsed="false">
      <c r="A147" s="12"/>
      <c r="B147" s="15" t="n">
        <v>40</v>
      </c>
      <c r="C147" s="13" t="n">
        <f aca="false">IFERROR(IF(AND(B147&lt;=Eingaben!$B$11,Szenarien!$H$10="OK"),SUM(Variantenbilanz!K737:K1102)*(Eingaben!$B$36*Szenarien!$C$10*(1+Eingaben!$B$40)^(B147-1)+Eingaben!$B$37*Eingaben!$B$38*(1+Eingaben!$B$46)^(B147-1)),0),0)</f>
        <v>0</v>
      </c>
      <c r="D147" s="13" t="n">
        <f aca="false">IFERROR(IF(AND(B147&lt;=Eingaben!$B$11,Szenarien!$H$10="OK"),((Eingaben!$B$32+Eingaben!$B$35)*(1+Eingaben!$B$41)^(B147-1)+SUM(Variantenbilanz!E737:E1102)*Eingaben!$B$33*Eingaben!$B$34*(1+Eingaben!$B$42)^(B147-1))*Szenarien!$F$10,0),0)</f>
        <v>0</v>
      </c>
      <c r="E147" s="13" t="n">
        <f aca="false">IFERROR(IF(AND(AND(B147&lt;=Eingaben!$B$11,Szenarien!$H$10="OK"),B147=Eingaben!$B$43),Eingaben!$B$44*Szenarien!$B$10*(1+Eingaben!$B$41)^(B147-1),0),0)</f>
        <v>0</v>
      </c>
      <c r="F147" s="13" t="n">
        <f aca="false">IFERROR(IF(AND(AND(B147&lt;=Eingaben!$B$11,Szenarien!$H$10="OK"),B147=Eingaben!$B$11),Eingaben!$B$45*Szenarien!$B$10,0),0)</f>
        <v>0</v>
      </c>
      <c r="G147" s="13" t="n">
        <f aca="false">C147-D147-E147+F147</f>
        <v>0</v>
      </c>
      <c r="H147" s="13" t="n">
        <f aca="false">IFERROR(IF(AND(B147&lt;=Eingaben!$B$11,Szenarien!$H$10="OK"),1/(1+Eingaben!$B$39+Szenarien!$G$10)^B147,0),0)</f>
        <v>0</v>
      </c>
      <c r="I147" s="13" t="n">
        <f aca="false">G147*H147</f>
        <v>0</v>
      </c>
      <c r="J147" s="13" t="n">
        <f aca="false">(D147+E147-F147)*H147</f>
        <v>0</v>
      </c>
      <c r="K147" s="13" t="n">
        <f aca="false">IF(AND(B147&lt;=Eingaben!$B$11,Szenarien!$H$10="OK"),SUM(Variantenbilanz!K737:K1102)*H147,0)</f>
        <v>0</v>
      </c>
    </row>
    <row r="148" customFormat="false" ht="16.4" hidden="false" customHeight="false" outlineLevel="0" collapsed="false">
      <c r="A148" s="12"/>
      <c r="B148" s="15" t="n">
        <v>41</v>
      </c>
      <c r="C148" s="13" t="n">
        <f aca="false">IFERROR(IF(AND(B148&lt;=Eingaben!$B$11,Szenarien!$H$10="OK"),SUM(Variantenbilanz!K737:K1102)*(Eingaben!$B$36*Szenarien!$C$10*(1+Eingaben!$B$40)^(B148-1)+Eingaben!$B$37*Eingaben!$B$38*(1+Eingaben!$B$46)^(B148-1)),0),0)</f>
        <v>0</v>
      </c>
      <c r="D148" s="13" t="n">
        <f aca="false">IFERROR(IF(AND(B148&lt;=Eingaben!$B$11,Szenarien!$H$10="OK"),((Eingaben!$B$32+Eingaben!$B$35)*(1+Eingaben!$B$41)^(B148-1)+SUM(Variantenbilanz!E737:E1102)*Eingaben!$B$33*Eingaben!$B$34*(1+Eingaben!$B$42)^(B148-1))*Szenarien!$F$10,0),0)</f>
        <v>0</v>
      </c>
      <c r="E148" s="13" t="n">
        <f aca="false">IFERROR(IF(AND(AND(B148&lt;=Eingaben!$B$11,Szenarien!$H$10="OK"),B148=Eingaben!$B$43),Eingaben!$B$44*Szenarien!$B$10*(1+Eingaben!$B$41)^(B148-1),0),0)</f>
        <v>0</v>
      </c>
      <c r="F148" s="13" t="n">
        <f aca="false">IFERROR(IF(AND(AND(B148&lt;=Eingaben!$B$11,Szenarien!$H$10="OK"),B148=Eingaben!$B$11),Eingaben!$B$45*Szenarien!$B$10,0),0)</f>
        <v>0</v>
      </c>
      <c r="G148" s="13" t="n">
        <f aca="false">C148-D148-E148+F148</f>
        <v>0</v>
      </c>
      <c r="H148" s="13" t="n">
        <f aca="false">IFERROR(IF(AND(B148&lt;=Eingaben!$B$11,Szenarien!$H$10="OK"),1/(1+Eingaben!$B$39+Szenarien!$G$10)^B148,0),0)</f>
        <v>0</v>
      </c>
      <c r="I148" s="13" t="n">
        <f aca="false">G148*H148</f>
        <v>0</v>
      </c>
      <c r="J148" s="13" t="n">
        <f aca="false">(D148+E148-F148)*H148</f>
        <v>0</v>
      </c>
      <c r="K148" s="13" t="n">
        <f aca="false">IF(AND(B148&lt;=Eingaben!$B$11,Szenarien!$H$10="OK"),SUM(Variantenbilanz!K737:K1102)*H148,0)</f>
        <v>0</v>
      </c>
    </row>
    <row r="149" customFormat="false" ht="16.4" hidden="false" customHeight="false" outlineLevel="0" collapsed="false">
      <c r="A149" s="12"/>
      <c r="B149" s="15" t="n">
        <v>42</v>
      </c>
      <c r="C149" s="13" t="n">
        <f aca="false">IFERROR(IF(AND(B149&lt;=Eingaben!$B$11,Szenarien!$H$10="OK"),SUM(Variantenbilanz!K737:K1102)*(Eingaben!$B$36*Szenarien!$C$10*(1+Eingaben!$B$40)^(B149-1)+Eingaben!$B$37*Eingaben!$B$38*(1+Eingaben!$B$46)^(B149-1)),0),0)</f>
        <v>0</v>
      </c>
      <c r="D149" s="13" t="n">
        <f aca="false">IFERROR(IF(AND(B149&lt;=Eingaben!$B$11,Szenarien!$H$10="OK"),((Eingaben!$B$32+Eingaben!$B$35)*(1+Eingaben!$B$41)^(B149-1)+SUM(Variantenbilanz!E737:E1102)*Eingaben!$B$33*Eingaben!$B$34*(1+Eingaben!$B$42)^(B149-1))*Szenarien!$F$10,0),0)</f>
        <v>0</v>
      </c>
      <c r="E149" s="13" t="n">
        <f aca="false">IFERROR(IF(AND(AND(B149&lt;=Eingaben!$B$11,Szenarien!$H$10="OK"),B149=Eingaben!$B$43),Eingaben!$B$44*Szenarien!$B$10*(1+Eingaben!$B$41)^(B149-1),0),0)</f>
        <v>0</v>
      </c>
      <c r="F149" s="13" t="n">
        <f aca="false">IFERROR(IF(AND(AND(B149&lt;=Eingaben!$B$11,Szenarien!$H$10="OK"),B149=Eingaben!$B$11),Eingaben!$B$45*Szenarien!$B$10,0),0)</f>
        <v>0</v>
      </c>
      <c r="G149" s="13" t="n">
        <f aca="false">C149-D149-E149+F149</f>
        <v>0</v>
      </c>
      <c r="H149" s="13" t="n">
        <f aca="false">IFERROR(IF(AND(B149&lt;=Eingaben!$B$11,Szenarien!$H$10="OK"),1/(1+Eingaben!$B$39+Szenarien!$G$10)^B149,0),0)</f>
        <v>0</v>
      </c>
      <c r="I149" s="13" t="n">
        <f aca="false">G149*H149</f>
        <v>0</v>
      </c>
      <c r="J149" s="13" t="n">
        <f aca="false">(D149+E149-F149)*H149</f>
        <v>0</v>
      </c>
      <c r="K149" s="13" t="n">
        <f aca="false">IF(AND(B149&lt;=Eingaben!$B$11,Szenarien!$H$10="OK"),SUM(Variantenbilanz!K737:K1102)*H149,0)</f>
        <v>0</v>
      </c>
    </row>
    <row r="150" customFormat="false" ht="16.4" hidden="false" customHeight="false" outlineLevel="0" collapsed="false">
      <c r="A150" s="12"/>
      <c r="B150" s="15" t="n">
        <v>43</v>
      </c>
      <c r="C150" s="13" t="n">
        <f aca="false">IFERROR(IF(AND(B150&lt;=Eingaben!$B$11,Szenarien!$H$10="OK"),SUM(Variantenbilanz!K737:K1102)*(Eingaben!$B$36*Szenarien!$C$10*(1+Eingaben!$B$40)^(B150-1)+Eingaben!$B$37*Eingaben!$B$38*(1+Eingaben!$B$46)^(B150-1)),0),0)</f>
        <v>0</v>
      </c>
      <c r="D150" s="13" t="n">
        <f aca="false">IFERROR(IF(AND(B150&lt;=Eingaben!$B$11,Szenarien!$H$10="OK"),((Eingaben!$B$32+Eingaben!$B$35)*(1+Eingaben!$B$41)^(B150-1)+SUM(Variantenbilanz!E737:E1102)*Eingaben!$B$33*Eingaben!$B$34*(1+Eingaben!$B$42)^(B150-1))*Szenarien!$F$10,0),0)</f>
        <v>0</v>
      </c>
      <c r="E150" s="13" t="n">
        <f aca="false">IFERROR(IF(AND(AND(B150&lt;=Eingaben!$B$11,Szenarien!$H$10="OK"),B150=Eingaben!$B$43),Eingaben!$B$44*Szenarien!$B$10*(1+Eingaben!$B$41)^(B150-1),0),0)</f>
        <v>0</v>
      </c>
      <c r="F150" s="13" t="n">
        <f aca="false">IFERROR(IF(AND(AND(B150&lt;=Eingaben!$B$11,Szenarien!$H$10="OK"),B150=Eingaben!$B$11),Eingaben!$B$45*Szenarien!$B$10,0),0)</f>
        <v>0</v>
      </c>
      <c r="G150" s="13" t="n">
        <f aca="false">C150-D150-E150+F150</f>
        <v>0</v>
      </c>
      <c r="H150" s="13" t="n">
        <f aca="false">IFERROR(IF(AND(B150&lt;=Eingaben!$B$11,Szenarien!$H$10="OK"),1/(1+Eingaben!$B$39+Szenarien!$G$10)^B150,0),0)</f>
        <v>0</v>
      </c>
      <c r="I150" s="13" t="n">
        <f aca="false">G150*H150</f>
        <v>0</v>
      </c>
      <c r="J150" s="13" t="n">
        <f aca="false">(D150+E150-F150)*H150</f>
        <v>0</v>
      </c>
      <c r="K150" s="13" t="n">
        <f aca="false">IF(AND(B150&lt;=Eingaben!$B$11,Szenarien!$H$10="OK"),SUM(Variantenbilanz!K737:K1102)*H150,0)</f>
        <v>0</v>
      </c>
    </row>
    <row r="151" customFormat="false" ht="16.4" hidden="false" customHeight="false" outlineLevel="0" collapsed="false">
      <c r="A151" s="12"/>
      <c r="B151" s="15" t="n">
        <v>44</v>
      </c>
      <c r="C151" s="13" t="n">
        <f aca="false">IFERROR(IF(AND(B151&lt;=Eingaben!$B$11,Szenarien!$H$10="OK"),SUM(Variantenbilanz!K737:K1102)*(Eingaben!$B$36*Szenarien!$C$10*(1+Eingaben!$B$40)^(B151-1)+Eingaben!$B$37*Eingaben!$B$38*(1+Eingaben!$B$46)^(B151-1)),0),0)</f>
        <v>0</v>
      </c>
      <c r="D151" s="13" t="n">
        <f aca="false">IFERROR(IF(AND(B151&lt;=Eingaben!$B$11,Szenarien!$H$10="OK"),((Eingaben!$B$32+Eingaben!$B$35)*(1+Eingaben!$B$41)^(B151-1)+SUM(Variantenbilanz!E737:E1102)*Eingaben!$B$33*Eingaben!$B$34*(1+Eingaben!$B$42)^(B151-1))*Szenarien!$F$10,0),0)</f>
        <v>0</v>
      </c>
      <c r="E151" s="13" t="n">
        <f aca="false">IFERROR(IF(AND(AND(B151&lt;=Eingaben!$B$11,Szenarien!$H$10="OK"),B151=Eingaben!$B$43),Eingaben!$B$44*Szenarien!$B$10*(1+Eingaben!$B$41)^(B151-1),0),0)</f>
        <v>0</v>
      </c>
      <c r="F151" s="13" t="n">
        <f aca="false">IFERROR(IF(AND(AND(B151&lt;=Eingaben!$B$11,Szenarien!$H$10="OK"),B151=Eingaben!$B$11),Eingaben!$B$45*Szenarien!$B$10,0),0)</f>
        <v>0</v>
      </c>
      <c r="G151" s="13" t="n">
        <f aca="false">C151-D151-E151+F151</f>
        <v>0</v>
      </c>
      <c r="H151" s="13" t="n">
        <f aca="false">IFERROR(IF(AND(B151&lt;=Eingaben!$B$11,Szenarien!$H$10="OK"),1/(1+Eingaben!$B$39+Szenarien!$G$10)^B151,0),0)</f>
        <v>0</v>
      </c>
      <c r="I151" s="13" t="n">
        <f aca="false">G151*H151</f>
        <v>0</v>
      </c>
      <c r="J151" s="13" t="n">
        <f aca="false">(D151+E151-F151)*H151</f>
        <v>0</v>
      </c>
      <c r="K151" s="13" t="n">
        <f aca="false">IF(AND(B151&lt;=Eingaben!$B$11,Szenarien!$H$10="OK"),SUM(Variantenbilanz!K737:K1102)*H151,0)</f>
        <v>0</v>
      </c>
    </row>
    <row r="152" customFormat="false" ht="16.4" hidden="false" customHeight="false" outlineLevel="0" collapsed="false">
      <c r="A152" s="12"/>
      <c r="B152" s="15" t="n">
        <v>45</v>
      </c>
      <c r="C152" s="13" t="n">
        <f aca="false">IFERROR(IF(AND(B152&lt;=Eingaben!$B$11,Szenarien!$H$10="OK"),SUM(Variantenbilanz!K737:K1102)*(Eingaben!$B$36*Szenarien!$C$10*(1+Eingaben!$B$40)^(B152-1)+Eingaben!$B$37*Eingaben!$B$38*(1+Eingaben!$B$46)^(B152-1)),0),0)</f>
        <v>0</v>
      </c>
      <c r="D152" s="13" t="n">
        <f aca="false">IFERROR(IF(AND(B152&lt;=Eingaben!$B$11,Szenarien!$H$10="OK"),((Eingaben!$B$32+Eingaben!$B$35)*(1+Eingaben!$B$41)^(B152-1)+SUM(Variantenbilanz!E737:E1102)*Eingaben!$B$33*Eingaben!$B$34*(1+Eingaben!$B$42)^(B152-1))*Szenarien!$F$10,0),0)</f>
        <v>0</v>
      </c>
      <c r="E152" s="13" t="n">
        <f aca="false">IFERROR(IF(AND(AND(B152&lt;=Eingaben!$B$11,Szenarien!$H$10="OK"),B152=Eingaben!$B$43),Eingaben!$B$44*Szenarien!$B$10*(1+Eingaben!$B$41)^(B152-1),0),0)</f>
        <v>0</v>
      </c>
      <c r="F152" s="13" t="n">
        <f aca="false">IFERROR(IF(AND(AND(B152&lt;=Eingaben!$B$11,Szenarien!$H$10="OK"),B152=Eingaben!$B$11),Eingaben!$B$45*Szenarien!$B$10,0),0)</f>
        <v>0</v>
      </c>
      <c r="G152" s="13" t="n">
        <f aca="false">C152-D152-E152+F152</f>
        <v>0</v>
      </c>
      <c r="H152" s="13" t="n">
        <f aca="false">IFERROR(IF(AND(B152&lt;=Eingaben!$B$11,Szenarien!$H$10="OK"),1/(1+Eingaben!$B$39+Szenarien!$G$10)^B152,0),0)</f>
        <v>0</v>
      </c>
      <c r="I152" s="13" t="n">
        <f aca="false">G152*H152</f>
        <v>0</v>
      </c>
      <c r="J152" s="13" t="n">
        <f aca="false">(D152+E152-F152)*H152</f>
        <v>0</v>
      </c>
      <c r="K152" s="13" t="n">
        <f aca="false">IF(AND(B152&lt;=Eingaben!$B$11,Szenarien!$H$10="OK"),SUM(Variantenbilanz!K737:K1102)*H152,0)</f>
        <v>0</v>
      </c>
    </row>
    <row r="153" customFormat="false" ht="16.4" hidden="false" customHeight="false" outlineLevel="0" collapsed="false">
      <c r="A153" s="12"/>
      <c r="B153" s="15" t="n">
        <v>46</v>
      </c>
      <c r="C153" s="13" t="n">
        <f aca="false">IFERROR(IF(AND(B153&lt;=Eingaben!$B$11,Szenarien!$H$10="OK"),SUM(Variantenbilanz!K737:K1102)*(Eingaben!$B$36*Szenarien!$C$10*(1+Eingaben!$B$40)^(B153-1)+Eingaben!$B$37*Eingaben!$B$38*(1+Eingaben!$B$46)^(B153-1)),0),0)</f>
        <v>0</v>
      </c>
      <c r="D153" s="13" t="n">
        <f aca="false">IFERROR(IF(AND(B153&lt;=Eingaben!$B$11,Szenarien!$H$10="OK"),((Eingaben!$B$32+Eingaben!$B$35)*(1+Eingaben!$B$41)^(B153-1)+SUM(Variantenbilanz!E737:E1102)*Eingaben!$B$33*Eingaben!$B$34*(1+Eingaben!$B$42)^(B153-1))*Szenarien!$F$10,0),0)</f>
        <v>0</v>
      </c>
      <c r="E153" s="13" t="n">
        <f aca="false">IFERROR(IF(AND(AND(B153&lt;=Eingaben!$B$11,Szenarien!$H$10="OK"),B153=Eingaben!$B$43),Eingaben!$B$44*Szenarien!$B$10*(1+Eingaben!$B$41)^(B153-1),0),0)</f>
        <v>0</v>
      </c>
      <c r="F153" s="13" t="n">
        <f aca="false">IFERROR(IF(AND(AND(B153&lt;=Eingaben!$B$11,Szenarien!$H$10="OK"),B153=Eingaben!$B$11),Eingaben!$B$45*Szenarien!$B$10,0),0)</f>
        <v>0</v>
      </c>
      <c r="G153" s="13" t="n">
        <f aca="false">C153-D153-E153+F153</f>
        <v>0</v>
      </c>
      <c r="H153" s="13" t="n">
        <f aca="false">IFERROR(IF(AND(B153&lt;=Eingaben!$B$11,Szenarien!$H$10="OK"),1/(1+Eingaben!$B$39+Szenarien!$G$10)^B153,0),0)</f>
        <v>0</v>
      </c>
      <c r="I153" s="13" t="n">
        <f aca="false">G153*H153</f>
        <v>0</v>
      </c>
      <c r="J153" s="13" t="n">
        <f aca="false">(D153+E153-F153)*H153</f>
        <v>0</v>
      </c>
      <c r="K153" s="13" t="n">
        <f aca="false">IF(AND(B153&lt;=Eingaben!$B$11,Szenarien!$H$10="OK"),SUM(Variantenbilanz!K737:K1102)*H153,0)</f>
        <v>0</v>
      </c>
    </row>
    <row r="154" customFormat="false" ht="16.4" hidden="false" customHeight="false" outlineLevel="0" collapsed="false">
      <c r="A154" s="12"/>
      <c r="B154" s="15" t="n">
        <v>47</v>
      </c>
      <c r="C154" s="13" t="n">
        <f aca="false">IFERROR(IF(AND(B154&lt;=Eingaben!$B$11,Szenarien!$H$10="OK"),SUM(Variantenbilanz!K737:K1102)*(Eingaben!$B$36*Szenarien!$C$10*(1+Eingaben!$B$40)^(B154-1)+Eingaben!$B$37*Eingaben!$B$38*(1+Eingaben!$B$46)^(B154-1)),0),0)</f>
        <v>0</v>
      </c>
      <c r="D154" s="13" t="n">
        <f aca="false">IFERROR(IF(AND(B154&lt;=Eingaben!$B$11,Szenarien!$H$10="OK"),((Eingaben!$B$32+Eingaben!$B$35)*(1+Eingaben!$B$41)^(B154-1)+SUM(Variantenbilanz!E737:E1102)*Eingaben!$B$33*Eingaben!$B$34*(1+Eingaben!$B$42)^(B154-1))*Szenarien!$F$10,0),0)</f>
        <v>0</v>
      </c>
      <c r="E154" s="13" t="n">
        <f aca="false">IFERROR(IF(AND(AND(B154&lt;=Eingaben!$B$11,Szenarien!$H$10="OK"),B154=Eingaben!$B$43),Eingaben!$B$44*Szenarien!$B$10*(1+Eingaben!$B$41)^(B154-1),0),0)</f>
        <v>0</v>
      </c>
      <c r="F154" s="13" t="n">
        <f aca="false">IFERROR(IF(AND(AND(B154&lt;=Eingaben!$B$11,Szenarien!$H$10="OK"),B154=Eingaben!$B$11),Eingaben!$B$45*Szenarien!$B$10,0),0)</f>
        <v>0</v>
      </c>
      <c r="G154" s="13" t="n">
        <f aca="false">C154-D154-E154+F154</f>
        <v>0</v>
      </c>
      <c r="H154" s="13" t="n">
        <f aca="false">IFERROR(IF(AND(B154&lt;=Eingaben!$B$11,Szenarien!$H$10="OK"),1/(1+Eingaben!$B$39+Szenarien!$G$10)^B154,0),0)</f>
        <v>0</v>
      </c>
      <c r="I154" s="13" t="n">
        <f aca="false">G154*H154</f>
        <v>0</v>
      </c>
      <c r="J154" s="13" t="n">
        <f aca="false">(D154+E154-F154)*H154</f>
        <v>0</v>
      </c>
      <c r="K154" s="13" t="n">
        <f aca="false">IF(AND(B154&lt;=Eingaben!$B$11,Szenarien!$H$10="OK"),SUM(Variantenbilanz!K737:K1102)*H154,0)</f>
        <v>0</v>
      </c>
    </row>
    <row r="155" customFormat="false" ht="16.4" hidden="false" customHeight="false" outlineLevel="0" collapsed="false">
      <c r="A155" s="12"/>
      <c r="B155" s="15" t="n">
        <v>48</v>
      </c>
      <c r="C155" s="13" t="n">
        <f aca="false">IFERROR(IF(AND(B155&lt;=Eingaben!$B$11,Szenarien!$H$10="OK"),SUM(Variantenbilanz!K737:K1102)*(Eingaben!$B$36*Szenarien!$C$10*(1+Eingaben!$B$40)^(B155-1)+Eingaben!$B$37*Eingaben!$B$38*(1+Eingaben!$B$46)^(B155-1)),0),0)</f>
        <v>0</v>
      </c>
      <c r="D155" s="13" t="n">
        <f aca="false">IFERROR(IF(AND(B155&lt;=Eingaben!$B$11,Szenarien!$H$10="OK"),((Eingaben!$B$32+Eingaben!$B$35)*(1+Eingaben!$B$41)^(B155-1)+SUM(Variantenbilanz!E737:E1102)*Eingaben!$B$33*Eingaben!$B$34*(1+Eingaben!$B$42)^(B155-1))*Szenarien!$F$10,0),0)</f>
        <v>0</v>
      </c>
      <c r="E155" s="13" t="n">
        <f aca="false">IFERROR(IF(AND(AND(B155&lt;=Eingaben!$B$11,Szenarien!$H$10="OK"),B155=Eingaben!$B$43),Eingaben!$B$44*Szenarien!$B$10*(1+Eingaben!$B$41)^(B155-1),0),0)</f>
        <v>0</v>
      </c>
      <c r="F155" s="13" t="n">
        <f aca="false">IFERROR(IF(AND(AND(B155&lt;=Eingaben!$B$11,Szenarien!$H$10="OK"),B155=Eingaben!$B$11),Eingaben!$B$45*Szenarien!$B$10,0),0)</f>
        <v>0</v>
      </c>
      <c r="G155" s="13" t="n">
        <f aca="false">C155-D155-E155+F155</f>
        <v>0</v>
      </c>
      <c r="H155" s="13" t="n">
        <f aca="false">IFERROR(IF(AND(B155&lt;=Eingaben!$B$11,Szenarien!$H$10="OK"),1/(1+Eingaben!$B$39+Szenarien!$G$10)^B155,0),0)</f>
        <v>0</v>
      </c>
      <c r="I155" s="13" t="n">
        <f aca="false">G155*H155</f>
        <v>0</v>
      </c>
      <c r="J155" s="13" t="n">
        <f aca="false">(D155+E155-F155)*H155</f>
        <v>0</v>
      </c>
      <c r="K155" s="13" t="n">
        <f aca="false">IF(AND(B155&lt;=Eingaben!$B$11,Szenarien!$H$10="OK"),SUM(Variantenbilanz!K737:K1102)*H155,0)</f>
        <v>0</v>
      </c>
    </row>
    <row r="156" customFormat="false" ht="16.4" hidden="false" customHeight="false" outlineLevel="0" collapsed="false">
      <c r="A156" s="12"/>
      <c r="B156" s="15" t="n">
        <v>49</v>
      </c>
      <c r="C156" s="13" t="n">
        <f aca="false">IFERROR(IF(AND(B156&lt;=Eingaben!$B$11,Szenarien!$H$10="OK"),SUM(Variantenbilanz!K737:K1102)*(Eingaben!$B$36*Szenarien!$C$10*(1+Eingaben!$B$40)^(B156-1)+Eingaben!$B$37*Eingaben!$B$38*(1+Eingaben!$B$46)^(B156-1)),0),0)</f>
        <v>0</v>
      </c>
      <c r="D156" s="13" t="n">
        <f aca="false">IFERROR(IF(AND(B156&lt;=Eingaben!$B$11,Szenarien!$H$10="OK"),((Eingaben!$B$32+Eingaben!$B$35)*(1+Eingaben!$B$41)^(B156-1)+SUM(Variantenbilanz!E737:E1102)*Eingaben!$B$33*Eingaben!$B$34*(1+Eingaben!$B$42)^(B156-1))*Szenarien!$F$10,0),0)</f>
        <v>0</v>
      </c>
      <c r="E156" s="13" t="n">
        <f aca="false">IFERROR(IF(AND(AND(B156&lt;=Eingaben!$B$11,Szenarien!$H$10="OK"),B156=Eingaben!$B$43),Eingaben!$B$44*Szenarien!$B$10*(1+Eingaben!$B$41)^(B156-1),0),0)</f>
        <v>0</v>
      </c>
      <c r="F156" s="13" t="n">
        <f aca="false">IFERROR(IF(AND(AND(B156&lt;=Eingaben!$B$11,Szenarien!$H$10="OK"),B156=Eingaben!$B$11),Eingaben!$B$45*Szenarien!$B$10,0),0)</f>
        <v>0</v>
      </c>
      <c r="G156" s="13" t="n">
        <f aca="false">C156-D156-E156+F156</f>
        <v>0</v>
      </c>
      <c r="H156" s="13" t="n">
        <f aca="false">IFERROR(IF(AND(B156&lt;=Eingaben!$B$11,Szenarien!$H$10="OK"),1/(1+Eingaben!$B$39+Szenarien!$G$10)^B156,0),0)</f>
        <v>0</v>
      </c>
      <c r="I156" s="13" t="n">
        <f aca="false">G156*H156</f>
        <v>0</v>
      </c>
      <c r="J156" s="13" t="n">
        <f aca="false">(D156+E156-F156)*H156</f>
        <v>0</v>
      </c>
      <c r="K156" s="13" t="n">
        <f aca="false">IF(AND(B156&lt;=Eingaben!$B$11,Szenarien!$H$10="OK"),SUM(Variantenbilanz!K737:K1102)*H156,0)</f>
        <v>0</v>
      </c>
    </row>
    <row r="157" customFormat="false" ht="16.4" hidden="false" customHeight="false" outlineLevel="0" collapsed="false">
      <c r="A157" s="12"/>
      <c r="B157" s="15" t="n">
        <v>50</v>
      </c>
      <c r="C157" s="13" t="n">
        <f aca="false">IFERROR(IF(AND(B157&lt;=Eingaben!$B$11,Szenarien!$H$10="OK"),SUM(Variantenbilanz!K737:K1102)*(Eingaben!$B$36*Szenarien!$C$10*(1+Eingaben!$B$40)^(B157-1)+Eingaben!$B$37*Eingaben!$B$38*(1+Eingaben!$B$46)^(B157-1)),0),0)</f>
        <v>0</v>
      </c>
      <c r="D157" s="13" t="n">
        <f aca="false">IFERROR(IF(AND(B157&lt;=Eingaben!$B$11,Szenarien!$H$10="OK"),((Eingaben!$B$32+Eingaben!$B$35)*(1+Eingaben!$B$41)^(B157-1)+SUM(Variantenbilanz!E737:E1102)*Eingaben!$B$33*Eingaben!$B$34*(1+Eingaben!$B$42)^(B157-1))*Szenarien!$F$10,0),0)</f>
        <v>0</v>
      </c>
      <c r="E157" s="13" t="n">
        <f aca="false">IFERROR(IF(AND(AND(B157&lt;=Eingaben!$B$11,Szenarien!$H$10="OK"),B157=Eingaben!$B$43),Eingaben!$B$44*Szenarien!$B$10*(1+Eingaben!$B$41)^(B157-1),0),0)</f>
        <v>0</v>
      </c>
      <c r="F157" s="13" t="n">
        <f aca="false">IFERROR(IF(AND(AND(B157&lt;=Eingaben!$B$11,Szenarien!$H$10="OK"),B157=Eingaben!$B$11),Eingaben!$B$45*Szenarien!$B$10,0),0)</f>
        <v>0</v>
      </c>
      <c r="G157" s="13" t="n">
        <f aca="false">C157-D157-E157+F157</f>
        <v>0</v>
      </c>
      <c r="H157" s="13" t="n">
        <f aca="false">IFERROR(IF(AND(B157&lt;=Eingaben!$B$11,Szenarien!$H$10="OK"),1/(1+Eingaben!$B$39+Szenarien!$G$10)^B157,0),0)</f>
        <v>0</v>
      </c>
      <c r="I157" s="13" t="n">
        <f aca="false">G157*H157</f>
        <v>0</v>
      </c>
      <c r="J157" s="13" t="n">
        <f aca="false">(D157+E157-F157)*H157</f>
        <v>0</v>
      </c>
      <c r="K157" s="13" t="n">
        <f aca="false">IF(AND(B157&lt;=Eingaben!$B$11,Szenarien!$H$10="OK"),SUM(Variantenbilanz!K737:K1102)*H157,0)</f>
        <v>0</v>
      </c>
    </row>
    <row r="158" customFormat="false" ht="31.3" hidden="false" customHeight="false" outlineLevel="0" collapsed="false">
      <c r="A158" s="12" t="s">
        <v>330</v>
      </c>
      <c r="B158" s="15" t="n">
        <v>0</v>
      </c>
      <c r="C158" s="13" t="n">
        <f aca="false">0</f>
        <v>0</v>
      </c>
      <c r="D158" s="13" t="n">
        <f aca="false">0</f>
        <v>0</v>
      </c>
      <c r="E158" s="13" t="n">
        <f aca="false">MAX(0,Berechnung!$B$13*Szenarien!$B$14-MIN(Eingaben!$B$31,Berechnung!$B$13*Szenarien!$B$14))</f>
        <v>20000</v>
      </c>
      <c r="F158" s="13" t="n">
        <f aca="false">0</f>
        <v>0</v>
      </c>
      <c r="G158" s="13" t="n">
        <f aca="false">-E158</f>
        <v>-20000</v>
      </c>
      <c r="H158" s="13" t="n">
        <f aca="false">1</f>
        <v>1</v>
      </c>
      <c r="I158" s="13" t="n">
        <f aca="false">G158</f>
        <v>-20000</v>
      </c>
      <c r="J158" s="13" t="n">
        <f aca="false">E158</f>
        <v>20000</v>
      </c>
      <c r="K158" s="13" t="n">
        <f aca="false">0</f>
        <v>0</v>
      </c>
    </row>
    <row r="159" customFormat="false" ht="16.4" hidden="false" customHeight="false" outlineLevel="0" collapsed="false">
      <c r="A159" s="12"/>
      <c r="B159" s="15" t="n">
        <v>1</v>
      </c>
      <c r="C159" s="13" t="n">
        <f aca="false">IFERROR(IF(AND(B159&lt;=Eingaben!$B$11,Szenarien!$H$14="OK"),SUM(Variantenbilanz!K1103:K1468)*(Eingaben!$B$36*Szenarien!$C$14*(1+Eingaben!$B$40)^(B159-1)+Eingaben!$B$37*Eingaben!$B$38*(1+Eingaben!$B$46)^(B159-1)),0),0)</f>
        <v>1388.474393</v>
      </c>
      <c r="D159" s="13" t="n">
        <f aca="false">IFERROR(IF(AND(B159&lt;=Eingaben!$B$11,Szenarien!$H$14="OK"),((Eingaben!$B$32+Eingaben!$B$35)*(1+Eingaben!$B$41)^(B159-1)+SUM(Variantenbilanz!E1103:E1468)*Eingaben!$B$33*Eingaben!$B$34*(1+Eingaben!$B$42)^(B159-1))*Szenarien!$F$14,0),0)</f>
        <v>781.527</v>
      </c>
      <c r="E159" s="13" t="n">
        <f aca="false">IFERROR(IF(AND(AND(B159&lt;=Eingaben!$B$11,Szenarien!$H$14="OK"),B159=Eingaben!$B$43),Eingaben!$B$44*Szenarien!$B$14*(1+Eingaben!$B$41)^(B159-1),0),0)</f>
        <v>0</v>
      </c>
      <c r="F159" s="13" t="n">
        <f aca="false">IFERROR(IF(AND(AND(B159&lt;=Eingaben!$B$11,Szenarien!$H$14="OK"),B159=Eingaben!$B$11),Eingaben!$B$45*Szenarien!$B$14,0),0)</f>
        <v>0</v>
      </c>
      <c r="G159" s="13" t="n">
        <f aca="false">C159-D159-E159+F159</f>
        <v>606.947393</v>
      </c>
      <c r="H159" s="13" t="n">
        <f aca="false">IFERROR(IF(AND(B159&lt;=Eingaben!$B$11,Szenarien!$H$14="OK"),1/(1+Eingaben!$B$39+Szenarien!$G$14)^B159,0),0)</f>
        <v>0.970873786407767</v>
      </c>
      <c r="I159" s="13" t="n">
        <f aca="false">G159*H159</f>
        <v>589.269313592233</v>
      </c>
      <c r="J159" s="13" t="n">
        <f aca="false">(D159+E159-F159)*H159</f>
        <v>758.764077669903</v>
      </c>
      <c r="K159" s="13" t="n">
        <f aca="false">IF(AND(B159&lt;=Eingaben!$B$11,Szenarien!$H$14="OK"),SUM(Variantenbilanz!K1103:K1468)*H159,0)</f>
        <v>539.213356504854</v>
      </c>
    </row>
    <row r="160" customFormat="false" ht="16.4" hidden="false" customHeight="false" outlineLevel="0" collapsed="false">
      <c r="A160" s="12"/>
      <c r="B160" s="15" t="n">
        <v>2</v>
      </c>
      <c r="C160" s="13" t="n">
        <f aca="false">IFERROR(IF(AND(B160&lt;=Eingaben!$B$11,Szenarien!$H$14="OK"),SUM(Variantenbilanz!K1103:K1468)*(Eingaben!$B$36*Szenarien!$C$14*(1+Eingaben!$B$40)^(B160-1)+Eingaben!$B$37*Eingaben!$B$38*(1+Eingaben!$B$46)^(B160-1)),0),0)</f>
        <v>1416.24388086</v>
      </c>
      <c r="D160" s="13" t="n">
        <f aca="false">IFERROR(IF(AND(B160&lt;=Eingaben!$B$11,Szenarien!$H$14="OK"),((Eingaben!$B$32+Eingaben!$B$35)*(1+Eingaben!$B$41)^(B160-1)+SUM(Variantenbilanz!E1103:E1468)*Eingaben!$B$33*Eingaben!$B$34*(1+Eingaben!$B$42)^(B160-1))*Szenarien!$F$14,0),0)</f>
        <v>797.15754</v>
      </c>
      <c r="E160" s="13" t="n">
        <f aca="false">IFERROR(IF(AND(AND(B160&lt;=Eingaben!$B$11,Szenarien!$H$14="OK"),B160=Eingaben!$B$43),Eingaben!$B$44*Szenarien!$B$14*(1+Eingaben!$B$41)^(B160-1),0),0)</f>
        <v>0</v>
      </c>
      <c r="F160" s="13" t="n">
        <f aca="false">IFERROR(IF(AND(AND(B160&lt;=Eingaben!$B$11,Szenarien!$H$14="OK"),B160=Eingaben!$B$11),Eingaben!$B$45*Szenarien!$B$14,0),0)</f>
        <v>0</v>
      </c>
      <c r="G160" s="13" t="n">
        <f aca="false">C160-D160-E160+F160</f>
        <v>619.08634086</v>
      </c>
      <c r="H160" s="13" t="n">
        <f aca="false">IFERROR(IF(AND(B160&lt;=Eingaben!$B$11,Szenarien!$H$14="OK"),1/(1+Eingaben!$B$39+Szenarien!$G$14)^B160,0),0)</f>
        <v>0.942595909133754</v>
      </c>
      <c r="I160" s="13" t="n">
        <f aca="false">G160*H160</f>
        <v>583.548252295221</v>
      </c>
      <c r="J160" s="13" t="n">
        <f aca="false">(D160+E160-F160)*H160</f>
        <v>751.397436139127</v>
      </c>
      <c r="K160" s="13" t="n">
        <f aca="false">IF(AND(B160&lt;=Eingaben!$B$11,Szenarien!$H$14="OK"),SUM(Variantenbilanz!K1103:K1468)*H160,0)</f>
        <v>523.508113111509</v>
      </c>
    </row>
    <row r="161" customFormat="false" ht="16.4" hidden="false" customHeight="false" outlineLevel="0" collapsed="false">
      <c r="A161" s="12"/>
      <c r="B161" s="15" t="n">
        <v>3</v>
      </c>
      <c r="C161" s="13" t="n">
        <f aca="false">IFERROR(IF(AND(B161&lt;=Eingaben!$B$11,Szenarien!$H$14="OK"),SUM(Variantenbilanz!K1103:K1468)*(Eingaben!$B$36*Szenarien!$C$14*(1+Eingaben!$B$40)^(B161-1)+Eingaben!$B$37*Eingaben!$B$38*(1+Eingaben!$B$46)^(B161-1)),0),0)</f>
        <v>1444.5687584772</v>
      </c>
      <c r="D161" s="13" t="n">
        <f aca="false">IFERROR(IF(AND(B161&lt;=Eingaben!$B$11,Szenarien!$H$14="OK"),((Eingaben!$B$32+Eingaben!$B$35)*(1+Eingaben!$B$41)^(B161-1)+SUM(Variantenbilanz!E1103:E1468)*Eingaben!$B$33*Eingaben!$B$34*(1+Eingaben!$B$42)^(B161-1))*Szenarien!$F$14,0),0)</f>
        <v>813.1006908</v>
      </c>
      <c r="E161" s="13" t="n">
        <f aca="false">IFERROR(IF(AND(AND(B161&lt;=Eingaben!$B$11,Szenarien!$H$14="OK"),B161=Eingaben!$B$43),Eingaben!$B$44*Szenarien!$B$14*(1+Eingaben!$B$41)^(B161-1),0),0)</f>
        <v>0</v>
      </c>
      <c r="F161" s="13" t="n">
        <f aca="false">IFERROR(IF(AND(AND(B161&lt;=Eingaben!$B$11,Szenarien!$H$14="OK"),B161=Eingaben!$B$11),Eingaben!$B$45*Szenarien!$B$14,0),0)</f>
        <v>0</v>
      </c>
      <c r="G161" s="13" t="n">
        <f aca="false">C161-D161-E161+F161</f>
        <v>631.4680676772</v>
      </c>
      <c r="H161" s="13" t="n">
        <f aca="false">IFERROR(IF(AND(B161&lt;=Eingaben!$B$11,Szenarien!$H$14="OK"),1/(1+Eingaben!$B$39+Szenarien!$G$14)^B161,0),0)</f>
        <v>0.91514165935316</v>
      </c>
      <c r="I161" s="13" t="n">
        <f aca="false">G161*H161</f>
        <v>577.882735282646</v>
      </c>
      <c r="J161" s="13" t="n">
        <f aca="false">(D161+E161-F161)*H161</f>
        <v>744.102315399912</v>
      </c>
      <c r="K161" s="13" t="n">
        <f aca="false">IF(AND(B161&lt;=Eingaben!$B$11,Szenarien!$H$14="OK"),SUM(Variantenbilanz!K1103:K1468)*H161,0)</f>
        <v>508.260303991756</v>
      </c>
    </row>
    <row r="162" customFormat="false" ht="16.4" hidden="false" customHeight="false" outlineLevel="0" collapsed="false">
      <c r="A162" s="12"/>
      <c r="B162" s="15" t="n">
        <v>4</v>
      </c>
      <c r="C162" s="13" t="n">
        <f aca="false">IFERROR(IF(AND(B162&lt;=Eingaben!$B$11,Szenarien!$H$14="OK"),SUM(Variantenbilanz!K1103:K1468)*(Eingaben!$B$36*Szenarien!$C$14*(1+Eingaben!$B$40)^(B162-1)+Eingaben!$B$37*Eingaben!$B$38*(1+Eingaben!$B$46)^(B162-1)),0),0)</f>
        <v>1473.46013364674</v>
      </c>
      <c r="D162" s="13" t="n">
        <f aca="false">IFERROR(IF(AND(B162&lt;=Eingaben!$B$11,Szenarien!$H$14="OK"),((Eingaben!$B$32+Eingaben!$B$35)*(1+Eingaben!$B$41)^(B162-1)+SUM(Variantenbilanz!E1103:E1468)*Eingaben!$B$33*Eingaben!$B$34*(1+Eingaben!$B$42)^(B162-1))*Szenarien!$F$14,0),0)</f>
        <v>829.362704616</v>
      </c>
      <c r="E162" s="13" t="n">
        <f aca="false">IFERROR(IF(AND(AND(B162&lt;=Eingaben!$B$11,Szenarien!$H$14="OK"),B162=Eingaben!$B$43),Eingaben!$B$44*Szenarien!$B$14*(1+Eingaben!$B$41)^(B162-1),0),0)</f>
        <v>0</v>
      </c>
      <c r="F162" s="13" t="n">
        <f aca="false">IFERROR(IF(AND(AND(B162&lt;=Eingaben!$B$11,Szenarien!$H$14="OK"),B162=Eingaben!$B$11),Eingaben!$B$45*Szenarien!$B$14,0),0)</f>
        <v>0</v>
      </c>
      <c r="G162" s="13" t="n">
        <f aca="false">C162-D162-E162+F162</f>
        <v>644.097429030744</v>
      </c>
      <c r="H162" s="13" t="n">
        <f aca="false">IFERROR(IF(AND(B162&lt;=Eingaben!$B$11,Szenarien!$H$14="OK"),1/(1+Eingaben!$B$39+Szenarien!$G$14)^B162,0),0)</f>
        <v>0.888487047915689</v>
      </c>
      <c r="I162" s="13" t="n">
        <f aca="false">G162*H162</f>
        <v>572.272223289611</v>
      </c>
      <c r="J162" s="13" t="n">
        <f aca="false">(D162+E162-F162)*H162</f>
        <v>736.878021075641</v>
      </c>
      <c r="K162" s="13" t="n">
        <f aca="false">IF(AND(B162&lt;=Eingaben!$B$11,Szenarien!$H$14="OK"),SUM(Variantenbilanz!K1103:K1468)*H162,0)</f>
        <v>493.456605817239</v>
      </c>
    </row>
    <row r="163" customFormat="false" ht="16.4" hidden="false" customHeight="false" outlineLevel="0" collapsed="false">
      <c r="A163" s="12"/>
      <c r="B163" s="15" t="n">
        <v>5</v>
      </c>
      <c r="C163" s="13" t="n">
        <f aca="false">IFERROR(IF(AND(B163&lt;=Eingaben!$B$11,Szenarien!$H$14="OK"),SUM(Variantenbilanz!K1103:K1468)*(Eingaben!$B$36*Szenarien!$C$14*(1+Eingaben!$B$40)^(B163-1)+Eingaben!$B$37*Eingaben!$B$38*(1+Eingaben!$B$46)^(B163-1)),0),0)</f>
        <v>1502.92933631968</v>
      </c>
      <c r="D163" s="13" t="n">
        <f aca="false">IFERROR(IF(AND(B163&lt;=Eingaben!$B$11,Szenarien!$H$14="OK"),((Eingaben!$B$32+Eingaben!$B$35)*(1+Eingaben!$B$41)^(B163-1)+SUM(Variantenbilanz!E1103:E1468)*Eingaben!$B$33*Eingaben!$B$34*(1+Eingaben!$B$42)^(B163-1))*Szenarien!$F$14,0),0)</f>
        <v>845.94995870832</v>
      </c>
      <c r="E163" s="13" t="n">
        <f aca="false">IFERROR(IF(AND(AND(B163&lt;=Eingaben!$B$11,Szenarien!$H$14="OK"),B163=Eingaben!$B$43),Eingaben!$B$44*Szenarien!$B$14*(1+Eingaben!$B$41)^(B163-1),0),0)</f>
        <v>0</v>
      </c>
      <c r="F163" s="13" t="n">
        <f aca="false">IFERROR(IF(AND(AND(B163&lt;=Eingaben!$B$11,Szenarien!$H$14="OK"),B163=Eingaben!$B$11),Eingaben!$B$45*Szenarien!$B$14,0),0)</f>
        <v>0</v>
      </c>
      <c r="G163" s="13" t="n">
        <f aca="false">C163-D163-E163+F163</f>
        <v>656.979377611359</v>
      </c>
      <c r="H163" s="13" t="n">
        <f aca="false">IFERROR(IF(AND(B163&lt;=Eingaben!$B$11,Szenarien!$H$14="OK"),1/(1+Eingaben!$B$39+Szenarien!$G$14)^B163,0),0)</f>
        <v>0.862608784384164</v>
      </c>
      <c r="I163" s="13" t="n">
        <f aca="false">G163*H163</f>
        <v>566.716182286799</v>
      </c>
      <c r="J163" s="13" t="n">
        <f aca="false">(D163+E163-F163)*H163</f>
        <v>729.723865531218</v>
      </c>
      <c r="K163" s="13" t="n">
        <f aca="false">IF(AND(B163&lt;=Eingaben!$B$11,Szenarien!$H$14="OK"),SUM(Variantenbilanz!K1103:K1468)*H163,0)</f>
        <v>479.084083317708</v>
      </c>
    </row>
    <row r="164" customFormat="false" ht="16.4" hidden="false" customHeight="false" outlineLevel="0" collapsed="false">
      <c r="A164" s="12"/>
      <c r="B164" s="15" t="n">
        <v>6</v>
      </c>
      <c r="C164" s="13" t="n">
        <f aca="false">IFERROR(IF(AND(B164&lt;=Eingaben!$B$11,Szenarien!$H$14="OK"),SUM(Variantenbilanz!K1103:K1468)*(Eingaben!$B$36*Szenarien!$C$14*(1+Eingaben!$B$40)^(B164-1)+Eingaben!$B$37*Eingaben!$B$38*(1+Eingaben!$B$46)^(B164-1)),0),0)</f>
        <v>1532.98792304607</v>
      </c>
      <c r="D164" s="13" t="n">
        <f aca="false">IFERROR(IF(AND(B164&lt;=Eingaben!$B$11,Szenarien!$H$14="OK"),((Eingaben!$B$32+Eingaben!$B$35)*(1+Eingaben!$B$41)^(B164-1)+SUM(Variantenbilanz!E1103:E1468)*Eingaben!$B$33*Eingaben!$B$34*(1+Eingaben!$B$42)^(B164-1))*Szenarien!$F$14,0),0)</f>
        <v>862.868957882486</v>
      </c>
      <c r="E164" s="13" t="n">
        <f aca="false">IFERROR(IF(AND(AND(B164&lt;=Eingaben!$B$11,Szenarien!$H$14="OK"),B164=Eingaben!$B$43),Eingaben!$B$44*Szenarien!$B$14*(1+Eingaben!$B$41)^(B164-1),0),0)</f>
        <v>0</v>
      </c>
      <c r="F164" s="13" t="n">
        <f aca="false">IFERROR(IF(AND(AND(B164&lt;=Eingaben!$B$11,Szenarien!$H$14="OK"),B164=Eingaben!$B$11),Eingaben!$B$45*Szenarien!$B$14,0),0)</f>
        <v>0</v>
      </c>
      <c r="G164" s="13" t="n">
        <f aca="false">C164-D164-E164+F164</f>
        <v>670.118965163586</v>
      </c>
      <c r="H164" s="13" t="n">
        <f aca="false">IFERROR(IF(AND(B164&lt;=Eingaben!$B$11,Szenarien!$H$14="OK"),1/(1+Eingaben!$B$39+Szenarien!$G$14)^B164,0),0)</f>
        <v>0.837484256683654</v>
      </c>
      <c r="I164" s="13" t="n">
        <f aca="false">G164*H164</f>
        <v>561.214083429646</v>
      </c>
      <c r="J164" s="13" t="n">
        <f aca="false">(D164+E164-F164)*H164</f>
        <v>722.639167807614</v>
      </c>
      <c r="K164" s="13" t="n">
        <f aca="false">IF(AND(B164&lt;=Eingaben!$B$11,Szenarien!$H$14="OK"),SUM(Variantenbilanz!K1103:K1468)*H164,0)</f>
        <v>465.130177978357</v>
      </c>
    </row>
    <row r="165" customFormat="false" ht="16.4" hidden="false" customHeight="false" outlineLevel="0" collapsed="false">
      <c r="A165" s="12"/>
      <c r="B165" s="15" t="n">
        <v>7</v>
      </c>
      <c r="C165" s="13" t="n">
        <f aca="false">IFERROR(IF(AND(B165&lt;=Eingaben!$B$11,Szenarien!$H$14="OK"),SUM(Variantenbilanz!K1103:K1468)*(Eingaben!$B$36*Szenarien!$C$14*(1+Eingaben!$B$40)^(B165-1)+Eingaben!$B$37*Eingaben!$B$38*(1+Eingaben!$B$46)^(B165-1)),0),0)</f>
        <v>1563.64768150699</v>
      </c>
      <c r="D165" s="13" t="n">
        <f aca="false">IFERROR(IF(AND(B165&lt;=Eingaben!$B$11,Szenarien!$H$14="OK"),((Eingaben!$B$32+Eingaben!$B$35)*(1+Eingaben!$B$41)^(B165-1)+SUM(Variantenbilanz!E1103:E1468)*Eingaben!$B$33*Eingaben!$B$34*(1+Eingaben!$B$42)^(B165-1))*Szenarien!$F$14,0),0)</f>
        <v>880.126337040136</v>
      </c>
      <c r="E165" s="13" t="n">
        <f aca="false">IFERROR(IF(AND(AND(B165&lt;=Eingaben!$B$11,Szenarien!$H$14="OK"),B165=Eingaben!$B$43),Eingaben!$B$44*Szenarien!$B$14*(1+Eingaben!$B$41)^(B165-1),0),0)</f>
        <v>0</v>
      </c>
      <c r="F165" s="13" t="n">
        <f aca="false">IFERROR(IF(AND(AND(B165&lt;=Eingaben!$B$11,Szenarien!$H$14="OK"),B165=Eingaben!$B$11),Eingaben!$B$45*Szenarien!$B$14,0),0)</f>
        <v>0</v>
      </c>
      <c r="G165" s="13" t="n">
        <f aca="false">C165-D165-E165+F165</f>
        <v>683.521344466858</v>
      </c>
      <c r="H165" s="13" t="n">
        <f aca="false">IFERROR(IF(AND(B165&lt;=Eingaben!$B$11,Szenarien!$H$14="OK"),1/(1+Eingaben!$B$39+Szenarien!$G$14)^B165,0),0)</f>
        <v>0.813091511343354</v>
      </c>
      <c r="I165" s="13" t="n">
        <f aca="false">G165*H165</f>
        <v>555.765403007998</v>
      </c>
      <c r="J165" s="13" t="n">
        <f aca="false">(D165+E165-F165)*H165</f>
        <v>715.623253557054</v>
      </c>
      <c r="K165" s="13" t="n">
        <f aca="false">IF(AND(B165&lt;=Eingaben!$B$11,Szenarien!$H$14="OK"),SUM(Variantenbilanz!K1103:K1468)*H165,0)</f>
        <v>451.582697066366</v>
      </c>
    </row>
    <row r="166" customFormat="false" ht="16.4" hidden="false" customHeight="false" outlineLevel="0" collapsed="false">
      <c r="A166" s="12"/>
      <c r="B166" s="15" t="n">
        <v>8</v>
      </c>
      <c r="C166" s="13" t="n">
        <f aca="false">IFERROR(IF(AND(B166&lt;=Eingaben!$B$11,Szenarien!$H$14="OK"),SUM(Variantenbilanz!K1103:K1468)*(Eingaben!$B$36*Szenarien!$C$14*(1+Eingaben!$B$40)^(B166-1)+Eingaben!$B$37*Eingaben!$B$38*(1+Eingaben!$B$46)^(B166-1)),0),0)</f>
        <v>1594.92063513713</v>
      </c>
      <c r="D166" s="13" t="n">
        <f aca="false">IFERROR(IF(AND(B166&lt;=Eingaben!$B$11,Szenarien!$H$14="OK"),((Eingaben!$B$32+Eingaben!$B$35)*(1+Eingaben!$B$41)^(B166-1)+SUM(Variantenbilanz!E1103:E1468)*Eingaben!$B$33*Eingaben!$B$34*(1+Eingaben!$B$42)^(B166-1))*Szenarien!$F$14,0),0)</f>
        <v>897.728863780939</v>
      </c>
      <c r="E166" s="13" t="n">
        <f aca="false">IFERROR(IF(AND(AND(B166&lt;=Eingaben!$B$11,Szenarien!$H$14="OK"),B166=Eingaben!$B$43),Eingaben!$B$44*Szenarien!$B$14*(1+Eingaben!$B$41)^(B166-1),0),0)</f>
        <v>0</v>
      </c>
      <c r="F166" s="13" t="n">
        <f aca="false">IFERROR(IF(AND(AND(B166&lt;=Eingaben!$B$11,Szenarien!$H$14="OK"),B166=Eingaben!$B$11),Eingaben!$B$45*Szenarien!$B$14,0),0)</f>
        <v>0</v>
      </c>
      <c r="G166" s="13" t="n">
        <f aca="false">C166-D166-E166+F166</f>
        <v>697.191771356195</v>
      </c>
      <c r="H166" s="13" t="n">
        <f aca="false">IFERROR(IF(AND(B166&lt;=Eingaben!$B$11,Szenarien!$H$14="OK"),1/(1+Eingaben!$B$39+Szenarien!$G$14)^B166,0),0)</f>
        <v>0.789409234313936</v>
      </c>
      <c r="I166" s="13" t="n">
        <f aca="false">G166*H166</f>
        <v>550.36962239627</v>
      </c>
      <c r="J166" s="13" t="n">
        <f aca="false">(D166+E166-F166)*H166</f>
        <v>708.67545497883</v>
      </c>
      <c r="K166" s="13" t="n">
        <f aca="false">IF(AND(B166&lt;=Eingaben!$B$11,Szenarien!$H$14="OK"),SUM(Variantenbilanz!K1103:K1468)*H166,0)</f>
        <v>438.429802977055</v>
      </c>
    </row>
    <row r="167" customFormat="false" ht="16.4" hidden="false" customHeight="false" outlineLevel="0" collapsed="false">
      <c r="A167" s="12"/>
      <c r="B167" s="15" t="n">
        <v>9</v>
      </c>
      <c r="C167" s="13" t="n">
        <f aca="false">IFERROR(IF(AND(B167&lt;=Eingaben!$B$11,Szenarien!$H$14="OK"),SUM(Variantenbilanz!K1103:K1468)*(Eingaben!$B$36*Szenarien!$C$14*(1+Eingaben!$B$40)^(B167-1)+Eingaben!$B$37*Eingaben!$B$38*(1+Eingaben!$B$46)^(B167-1)),0),0)</f>
        <v>1626.81904783988</v>
      </c>
      <c r="D167" s="13" t="n">
        <f aca="false">IFERROR(IF(AND(B167&lt;=Eingaben!$B$11,Szenarien!$H$14="OK"),((Eingaben!$B$32+Eingaben!$B$35)*(1+Eingaben!$B$41)^(B167-1)+SUM(Variantenbilanz!E1103:E1468)*Eingaben!$B$33*Eingaben!$B$34*(1+Eingaben!$B$42)^(B167-1))*Szenarien!$F$14,0),0)</f>
        <v>915.683441056558</v>
      </c>
      <c r="E167" s="13" t="n">
        <f aca="false">IFERROR(IF(AND(AND(B167&lt;=Eingaben!$B$11,Szenarien!$H$14="OK"),B167=Eingaben!$B$43),Eingaben!$B$44*Szenarien!$B$14*(1+Eingaben!$B$41)^(B167-1),0),0)</f>
        <v>0</v>
      </c>
      <c r="F167" s="13" t="n">
        <f aca="false">IFERROR(IF(AND(AND(B167&lt;=Eingaben!$B$11,Szenarien!$H$14="OK"),B167=Eingaben!$B$11),Eingaben!$B$45*Szenarien!$B$14,0),0)</f>
        <v>0</v>
      </c>
      <c r="G167" s="13" t="n">
        <f aca="false">C167-D167-E167+F167</f>
        <v>711.135606783319</v>
      </c>
      <c r="H167" s="13" t="n">
        <f aca="false">IFERROR(IF(AND(B167&lt;=Eingaben!$B$11,Szenarien!$H$14="OK"),1/(1+Eingaben!$B$39+Szenarien!$G$14)^B167,0),0)</f>
        <v>0.766416732343627</v>
      </c>
      <c r="I167" s="13" t="n">
        <f aca="false">G167*H167</f>
        <v>545.026228004074</v>
      </c>
      <c r="J167" s="13" t="n">
        <f aca="false">(D167+E167-F167)*H167</f>
        <v>701.795110755735</v>
      </c>
      <c r="K167" s="13" t="n">
        <f aca="false">IF(AND(B167&lt;=Eingaben!$B$11,Szenarien!$H$14="OK"),SUM(Variantenbilanz!K1103:K1468)*H167,0)</f>
        <v>425.660002890344</v>
      </c>
    </row>
    <row r="168" customFormat="false" ht="16.4" hidden="false" customHeight="false" outlineLevel="0" collapsed="false">
      <c r="A168" s="12"/>
      <c r="B168" s="15" t="n">
        <v>10</v>
      </c>
      <c r="C168" s="13" t="n">
        <f aca="false">IFERROR(IF(AND(B168&lt;=Eingaben!$B$11,Szenarien!$H$14="OK"),SUM(Variantenbilanz!K1103:K1468)*(Eingaben!$B$36*Szenarien!$C$14*(1+Eingaben!$B$40)^(B168-1)+Eingaben!$B$37*Eingaben!$B$38*(1+Eingaben!$B$46)^(B168-1)),0),0)</f>
        <v>1659.35542879667</v>
      </c>
      <c r="D168" s="13" t="n">
        <f aca="false">IFERROR(IF(AND(B168&lt;=Eingaben!$B$11,Szenarien!$H$14="OK"),((Eingaben!$B$32+Eingaben!$B$35)*(1+Eingaben!$B$41)^(B168-1)+SUM(Variantenbilanz!E1103:E1468)*Eingaben!$B$33*Eingaben!$B$34*(1+Eingaben!$B$42)^(B168-1))*Szenarien!$F$14,0),0)</f>
        <v>933.997109877689</v>
      </c>
      <c r="E168" s="13" t="n">
        <f aca="false">IFERROR(IF(AND(AND(B168&lt;=Eingaben!$B$11,Szenarien!$H$14="OK"),B168=Eingaben!$B$43),Eingaben!$B$44*Szenarien!$B$14*(1+Eingaben!$B$41)^(B168-1),0),0)</f>
        <v>3824.2962195914</v>
      </c>
      <c r="F168" s="13" t="n">
        <f aca="false">IFERROR(IF(AND(AND(B168&lt;=Eingaben!$B$11,Szenarien!$H$14="OK"),B168=Eingaben!$B$11),Eingaben!$B$45*Szenarien!$B$14,0),0)</f>
        <v>0</v>
      </c>
      <c r="G168" s="13" t="n">
        <f aca="false">C168-D168-E168+F168</f>
        <v>-3098.93790067241</v>
      </c>
      <c r="H168" s="13" t="n">
        <f aca="false">IFERROR(IF(AND(B168&lt;=Eingaben!$B$11,Szenarien!$H$14="OK"),1/(1+Eingaben!$B$39+Szenarien!$G$14)^B168,0),0)</f>
        <v>0.744093914896725</v>
      </c>
      <c r="I168" s="13" t="n">
        <f aca="false">G168*H168</f>
        <v>-2305.90083453317</v>
      </c>
      <c r="J168" s="13" t="n">
        <f aca="false">(D168+E168-F168)*H168</f>
        <v>3540.61711175162</v>
      </c>
      <c r="K168" s="13" t="n">
        <f aca="false">IF(AND(B168&lt;=Eingaben!$B$11,Szenarien!$H$14="OK"),SUM(Variantenbilanz!K1103:K1468)*H168,0)</f>
        <v>413.26213872849</v>
      </c>
    </row>
    <row r="169" customFormat="false" ht="16.4" hidden="false" customHeight="false" outlineLevel="0" collapsed="false">
      <c r="A169" s="12"/>
      <c r="B169" s="15" t="n">
        <v>11</v>
      </c>
      <c r="C169" s="13" t="n">
        <f aca="false">IFERROR(IF(AND(B169&lt;=Eingaben!$B$11,Szenarien!$H$14="OK"),SUM(Variantenbilanz!K1103:K1468)*(Eingaben!$B$36*Szenarien!$C$14*(1+Eingaben!$B$40)^(B169-1)+Eingaben!$B$37*Eingaben!$B$38*(1+Eingaben!$B$46)^(B169-1)),0),0)</f>
        <v>1692.54253737261</v>
      </c>
      <c r="D169" s="13" t="n">
        <f aca="false">IFERROR(IF(AND(B169&lt;=Eingaben!$B$11,Szenarien!$H$14="OK"),((Eingaben!$B$32+Eingaben!$B$35)*(1+Eingaben!$B$41)^(B169-1)+SUM(Variantenbilanz!E1103:E1468)*Eingaben!$B$33*Eingaben!$B$34*(1+Eingaben!$B$42)^(B169-1))*Szenarien!$F$14,0),0)</f>
        <v>952.677052075243</v>
      </c>
      <c r="E169" s="13" t="n">
        <f aca="false">IFERROR(IF(AND(AND(B169&lt;=Eingaben!$B$11,Szenarien!$H$14="OK"),B169=Eingaben!$B$43),Eingaben!$B$44*Szenarien!$B$14*(1+Eingaben!$B$41)^(B169-1),0),0)</f>
        <v>0</v>
      </c>
      <c r="F169" s="13" t="n">
        <f aca="false">IFERROR(IF(AND(AND(B169&lt;=Eingaben!$B$11,Szenarien!$H$14="OK"),B169=Eingaben!$B$11),Eingaben!$B$45*Szenarien!$B$14,0),0)</f>
        <v>0</v>
      </c>
      <c r="G169" s="13" t="n">
        <f aca="false">C169-D169-E169+F169</f>
        <v>739.865485297365</v>
      </c>
      <c r="H169" s="13" t="n">
        <f aca="false">IFERROR(IF(AND(B169&lt;=Eingaben!$B$11,Szenarien!$H$14="OK"),1/(1+Eingaben!$B$39+Szenarien!$G$14)^B169,0),0)</f>
        <v>0.722421276598762</v>
      </c>
      <c r="I169" s="13" t="n">
        <f aca="false">G169*H169</f>
        <v>534.494568399885</v>
      </c>
      <c r="J169" s="13" t="n">
        <f aca="false">(D169+E169-F169)*H169</f>
        <v>688.234172146542</v>
      </c>
      <c r="K169" s="13" t="n">
        <f aca="false">IF(AND(B169&lt;=Eingaben!$B$11,Szenarien!$H$14="OK"),SUM(Variantenbilanz!K1103:K1468)*H169,0)</f>
        <v>401.225377406301</v>
      </c>
    </row>
    <row r="170" customFormat="false" ht="16.4" hidden="false" customHeight="false" outlineLevel="0" collapsed="false">
      <c r="A170" s="12"/>
      <c r="B170" s="15" t="n">
        <v>12</v>
      </c>
      <c r="C170" s="13" t="n">
        <f aca="false">IFERROR(IF(AND(B170&lt;=Eingaben!$B$11,Szenarien!$H$14="OK"),SUM(Variantenbilanz!K1103:K1468)*(Eingaben!$B$36*Szenarien!$C$14*(1+Eingaben!$B$40)^(B170-1)+Eingaben!$B$37*Eingaben!$B$38*(1+Eingaben!$B$46)^(B170-1)),0),0)</f>
        <v>1726.39338812006</v>
      </c>
      <c r="D170" s="13" t="n">
        <f aca="false">IFERROR(IF(AND(B170&lt;=Eingaben!$B$11,Szenarien!$H$14="OK"),((Eingaben!$B$32+Eingaben!$B$35)*(1+Eingaben!$B$41)^(B170-1)+SUM(Variantenbilanz!E1103:E1468)*Eingaben!$B$33*Eingaben!$B$34*(1+Eingaben!$B$42)^(B170-1))*Szenarien!$F$14,0),0)</f>
        <v>971.730593116748</v>
      </c>
      <c r="E170" s="13" t="n">
        <f aca="false">IFERROR(IF(AND(AND(B170&lt;=Eingaben!$B$11,Szenarien!$H$14="OK"),B170=Eingaben!$B$43),Eingaben!$B$44*Szenarien!$B$14*(1+Eingaben!$B$41)^(B170-1),0),0)</f>
        <v>0</v>
      </c>
      <c r="F170" s="13" t="n">
        <f aca="false">IFERROR(IF(AND(AND(B170&lt;=Eingaben!$B$11,Szenarien!$H$14="OK"),B170=Eingaben!$B$11),Eingaben!$B$45*Szenarien!$B$14,0),0)</f>
        <v>0</v>
      </c>
      <c r="G170" s="13" t="n">
        <f aca="false">C170-D170-E170+F170</f>
        <v>754.662795003312</v>
      </c>
      <c r="H170" s="13" t="n">
        <f aca="false">IFERROR(IF(AND(B170&lt;=Eingaben!$B$11,Szenarien!$H$14="OK"),1/(1+Eingaben!$B$39+Szenarien!$G$14)^B170,0),0)</f>
        <v>0.701379880192973</v>
      </c>
      <c r="I170" s="13" t="n">
        <f aca="false">G170*H170</f>
        <v>529.305300745517</v>
      </c>
      <c r="J170" s="13" t="n">
        <f aca="false">(D170+E170-F170)*H170</f>
        <v>681.552286980071</v>
      </c>
      <c r="K170" s="13" t="n">
        <f aca="false">IF(AND(B170&lt;=Eingaben!$B$11,Szenarien!$H$14="OK"),SUM(Variantenbilanz!K1103:K1468)*H170,0)</f>
        <v>389.53920136534</v>
      </c>
    </row>
    <row r="171" customFormat="false" ht="16.4" hidden="false" customHeight="false" outlineLevel="0" collapsed="false">
      <c r="A171" s="12"/>
      <c r="B171" s="15" t="n">
        <v>13</v>
      </c>
      <c r="C171" s="13" t="n">
        <f aca="false">IFERROR(IF(AND(B171&lt;=Eingaben!$B$11,Szenarien!$H$14="OK"),SUM(Variantenbilanz!K1103:K1468)*(Eingaben!$B$36*Szenarien!$C$14*(1+Eingaben!$B$40)^(B171-1)+Eingaben!$B$37*Eingaben!$B$38*(1+Eingaben!$B$46)^(B171-1)),0),0)</f>
        <v>1760.92125588246</v>
      </c>
      <c r="D171" s="13" t="n">
        <f aca="false">IFERROR(IF(AND(B171&lt;=Eingaben!$B$11,Szenarien!$H$14="OK"),((Eingaben!$B$32+Eingaben!$B$35)*(1+Eingaben!$B$41)^(B171-1)+SUM(Variantenbilanz!E1103:E1468)*Eingaben!$B$33*Eingaben!$B$34*(1+Eingaben!$B$42)^(B171-1))*Szenarien!$F$14,0),0)</f>
        <v>991.165204979082</v>
      </c>
      <c r="E171" s="13" t="n">
        <f aca="false">IFERROR(IF(AND(AND(B171&lt;=Eingaben!$B$11,Szenarien!$H$14="OK"),B171=Eingaben!$B$43),Eingaben!$B$44*Szenarien!$B$14*(1+Eingaben!$B$41)^(B171-1),0),0)</f>
        <v>0</v>
      </c>
      <c r="F171" s="13" t="n">
        <f aca="false">IFERROR(IF(AND(AND(B171&lt;=Eingaben!$B$11,Szenarien!$H$14="OK"),B171=Eingaben!$B$11),Eingaben!$B$45*Szenarien!$B$14,0),0)</f>
        <v>0</v>
      </c>
      <c r="G171" s="13" t="n">
        <f aca="false">C171-D171-E171+F171</f>
        <v>769.756050903378</v>
      </c>
      <c r="H171" s="13" t="n">
        <f aca="false">IFERROR(IF(AND(B171&lt;=Eingaben!$B$11,Szenarien!$H$14="OK"),1/(1+Eingaben!$B$39+Szenarien!$G$14)^B171,0),0)</f>
        <v>0.680951339993178</v>
      </c>
      <c r="I171" s="13" t="n">
        <f aca="false">G171*H171</f>
        <v>524.166414330512</v>
      </c>
      <c r="J171" s="13" t="n">
        <f aca="false">(D171+E171-F171)*H171</f>
        <v>674.935274485119</v>
      </c>
      <c r="K171" s="13" t="n">
        <f aca="false">IF(AND(B171&lt;=Eingaben!$B$11,Szenarien!$H$14="OK"),SUM(Variantenbilanz!K1103:K1468)*H171,0)</f>
        <v>378.193399383825</v>
      </c>
    </row>
    <row r="172" customFormat="false" ht="16.4" hidden="false" customHeight="false" outlineLevel="0" collapsed="false">
      <c r="A172" s="12"/>
      <c r="B172" s="15" t="n">
        <v>14</v>
      </c>
      <c r="C172" s="13" t="n">
        <f aca="false">IFERROR(IF(AND(B172&lt;=Eingaben!$B$11,Szenarien!$H$14="OK"),SUM(Variantenbilanz!K1103:K1468)*(Eingaben!$B$36*Szenarien!$C$14*(1+Eingaben!$B$40)^(B172-1)+Eingaben!$B$37*Eingaben!$B$38*(1+Eingaben!$B$46)^(B172-1)),0),0)</f>
        <v>1796.13968100011</v>
      </c>
      <c r="D172" s="13" t="n">
        <f aca="false">IFERROR(IF(AND(B172&lt;=Eingaben!$B$11,Szenarien!$H$14="OK"),((Eingaben!$B$32+Eingaben!$B$35)*(1+Eingaben!$B$41)^(B172-1)+SUM(Variantenbilanz!E1103:E1468)*Eingaben!$B$33*Eingaben!$B$34*(1+Eingaben!$B$42)^(B172-1))*Szenarien!$F$14,0),0)</f>
        <v>1010.98850907866</v>
      </c>
      <c r="E172" s="13" t="n">
        <f aca="false">IFERROR(IF(AND(AND(B172&lt;=Eingaben!$B$11,Szenarien!$H$14="OK"),B172=Eingaben!$B$43),Eingaben!$B$44*Szenarien!$B$14*(1+Eingaben!$B$41)^(B172-1),0),0)</f>
        <v>0</v>
      </c>
      <c r="F172" s="13" t="n">
        <f aca="false">IFERROR(IF(AND(AND(B172&lt;=Eingaben!$B$11,Szenarien!$H$14="OK"),B172=Eingaben!$B$11),Eingaben!$B$45*Szenarien!$B$14,0),0)</f>
        <v>0</v>
      </c>
      <c r="G172" s="13" t="n">
        <f aca="false">C172-D172-E172+F172</f>
        <v>785.151171921446</v>
      </c>
      <c r="H172" s="13" t="n">
        <f aca="false">IFERROR(IF(AND(B172&lt;=Eingaben!$B$11,Szenarien!$H$14="OK"),1/(1+Eingaben!$B$39+Szenarien!$G$14)^B172,0),0)</f>
        <v>0.661117805818619</v>
      </c>
      <c r="I172" s="13" t="n">
        <f aca="false">G172*H172</f>
        <v>519.077420016624</v>
      </c>
      <c r="J172" s="13" t="n">
        <f aca="false">(D172+E172-F172)*H172</f>
        <v>668.382504829923</v>
      </c>
      <c r="K172" s="13" t="n">
        <f aca="false">IF(AND(B172&lt;=Eingaben!$B$11,Szenarien!$H$14="OK"),SUM(Variantenbilanz!K1103:K1468)*H172,0)</f>
        <v>367.178057654199</v>
      </c>
    </row>
    <row r="173" customFormat="false" ht="16.4" hidden="false" customHeight="false" outlineLevel="0" collapsed="false">
      <c r="A173" s="12"/>
      <c r="B173" s="15" t="n">
        <v>15</v>
      </c>
      <c r="C173" s="13" t="n">
        <f aca="false">IFERROR(IF(AND(B173&lt;=Eingaben!$B$11,Szenarien!$H$14="OK"),SUM(Variantenbilanz!K1103:K1468)*(Eingaben!$B$36*Szenarien!$C$14*(1+Eingaben!$B$40)^(B173-1)+Eingaben!$B$37*Eingaben!$B$38*(1+Eingaben!$B$46)^(B173-1)),0),0)</f>
        <v>1832.06247462011</v>
      </c>
      <c r="D173" s="13" t="n">
        <f aca="false">IFERROR(IF(AND(B173&lt;=Eingaben!$B$11,Szenarien!$H$14="OK"),((Eingaben!$B$32+Eingaben!$B$35)*(1+Eingaben!$B$41)^(B173-1)+SUM(Variantenbilanz!E1103:E1468)*Eingaben!$B$33*Eingaben!$B$34*(1+Eingaben!$B$42)^(B173-1))*Szenarien!$F$14,0),0)</f>
        <v>1031.20827926024</v>
      </c>
      <c r="E173" s="13" t="n">
        <f aca="false">IFERROR(IF(AND(AND(B173&lt;=Eingaben!$B$11,Szenarien!$H$14="OK"),B173=Eingaben!$B$43),Eingaben!$B$44*Szenarien!$B$14*(1+Eingaben!$B$41)^(B173-1),0),0)</f>
        <v>0</v>
      </c>
      <c r="F173" s="13" t="n">
        <f aca="false">IFERROR(IF(AND(AND(B173&lt;=Eingaben!$B$11,Szenarien!$H$14="OK"),B173=Eingaben!$B$11),Eingaben!$B$45*Szenarien!$B$14,0),0)</f>
        <v>0</v>
      </c>
      <c r="G173" s="13" t="n">
        <f aca="false">C173-D173-E173+F173</f>
        <v>800.854195359875</v>
      </c>
      <c r="H173" s="13" t="n">
        <f aca="false">IFERROR(IF(AND(B173&lt;=Eingaben!$B$11,Szenarien!$H$14="OK"),1/(1+Eingaben!$B$39+Szenarien!$G$14)^B173,0),0)</f>
        <v>0.641861947396717</v>
      </c>
      <c r="I173" s="13" t="n">
        <f aca="false">G173*H173</f>
        <v>514.037833414521</v>
      </c>
      <c r="J173" s="13" t="n">
        <f aca="false">(D173+E173-F173)*H173</f>
        <v>661.893354297594</v>
      </c>
      <c r="K173" s="13" t="n">
        <f aca="false">IF(AND(B173&lt;=Eingaben!$B$11,Szenarien!$H$14="OK"),SUM(Variantenbilanz!K1103:K1468)*H173,0)</f>
        <v>356.483551120582</v>
      </c>
    </row>
    <row r="174" customFormat="false" ht="16.4" hidden="false" customHeight="false" outlineLevel="0" collapsed="false">
      <c r="A174" s="12"/>
      <c r="B174" s="15" t="n">
        <v>16</v>
      </c>
      <c r="C174" s="13" t="n">
        <f aca="false">IFERROR(IF(AND(B174&lt;=Eingaben!$B$11,Szenarien!$H$14="OK"),SUM(Variantenbilanz!K1103:K1468)*(Eingaben!$B$36*Szenarien!$C$14*(1+Eingaben!$B$40)^(B174-1)+Eingaben!$B$37*Eingaben!$B$38*(1+Eingaben!$B$46)^(B174-1)),0),0)</f>
        <v>1868.70372411251</v>
      </c>
      <c r="D174" s="13" t="n">
        <f aca="false">IFERROR(IF(AND(B174&lt;=Eingaben!$B$11,Szenarien!$H$14="OK"),((Eingaben!$B$32+Eingaben!$B$35)*(1+Eingaben!$B$41)^(B174-1)+SUM(Variantenbilanz!E1103:E1468)*Eingaben!$B$33*Eingaben!$B$34*(1+Eingaben!$B$42)^(B174-1))*Szenarien!$F$14,0),0)</f>
        <v>1051.83244484544</v>
      </c>
      <c r="E174" s="13" t="n">
        <f aca="false">IFERROR(IF(AND(AND(B174&lt;=Eingaben!$B$11,Szenarien!$H$14="OK"),B174=Eingaben!$B$43),Eingaben!$B$44*Szenarien!$B$14*(1+Eingaben!$B$41)^(B174-1),0),0)</f>
        <v>0</v>
      </c>
      <c r="F174" s="13" t="n">
        <f aca="false">IFERROR(IF(AND(AND(B174&lt;=Eingaben!$B$11,Szenarien!$H$14="OK"),B174=Eingaben!$B$11),Eingaben!$B$45*Szenarien!$B$14,0),0)</f>
        <v>0</v>
      </c>
      <c r="G174" s="13" t="n">
        <f aca="false">C174-D174-E174+F174</f>
        <v>816.871279267072</v>
      </c>
      <c r="H174" s="13" t="n">
        <f aca="false">IFERROR(IF(AND(B174&lt;=Eingaben!$B$11,Szenarien!$H$14="OK"),1/(1+Eingaben!$B$39+Szenarien!$G$14)^B174,0),0)</f>
        <v>0.623166939220114</v>
      </c>
      <c r="I174" s="13" t="n">
        <f aca="false">G174*H174</f>
        <v>509.04717483768</v>
      </c>
      <c r="J174" s="13" t="n">
        <f aca="false">(D174+E174-F174)*H174</f>
        <v>655.467205226744</v>
      </c>
      <c r="K174" s="13" t="n">
        <f aca="false">IF(AND(B174&lt;=Eingaben!$B$11,Szenarien!$H$14="OK"),SUM(Variantenbilanz!K1103:K1468)*H174,0)</f>
        <v>346.100535068526</v>
      </c>
    </row>
    <row r="175" customFormat="false" ht="16.4" hidden="false" customHeight="false" outlineLevel="0" collapsed="false">
      <c r="A175" s="12"/>
      <c r="B175" s="15" t="n">
        <v>17</v>
      </c>
      <c r="C175" s="13" t="n">
        <f aca="false">IFERROR(IF(AND(B175&lt;=Eingaben!$B$11,Szenarien!$H$14="OK"),SUM(Variantenbilanz!K1103:K1468)*(Eingaben!$B$36*Szenarien!$C$14*(1+Eingaben!$B$40)^(B175-1)+Eingaben!$B$37*Eingaben!$B$38*(1+Eingaben!$B$46)^(B175-1)),0),0)</f>
        <v>1906.07779859477</v>
      </c>
      <c r="D175" s="13" t="n">
        <f aca="false">IFERROR(IF(AND(B175&lt;=Eingaben!$B$11,Szenarien!$H$14="OK"),((Eingaben!$B$32+Eingaben!$B$35)*(1+Eingaben!$B$41)^(B175-1)+SUM(Variantenbilanz!E1103:E1468)*Eingaben!$B$33*Eingaben!$B$34*(1+Eingaben!$B$42)^(B175-1))*Szenarien!$F$14,0),0)</f>
        <v>1072.86909374235</v>
      </c>
      <c r="E175" s="13" t="n">
        <f aca="false">IFERROR(IF(AND(AND(B175&lt;=Eingaben!$B$11,Szenarien!$H$14="OK"),B175=Eingaben!$B$43),Eingaben!$B$44*Szenarien!$B$14*(1+Eingaben!$B$41)^(B175-1),0),0)</f>
        <v>0</v>
      </c>
      <c r="F175" s="13" t="n">
        <f aca="false">IFERROR(IF(AND(AND(B175&lt;=Eingaben!$B$11,Szenarien!$H$14="OK"),B175=Eingaben!$B$11),Eingaben!$B$45*Szenarien!$B$14,0),0)</f>
        <v>0</v>
      </c>
      <c r="G175" s="13" t="n">
        <f aca="false">C175-D175-E175+F175</f>
        <v>833.208704852414</v>
      </c>
      <c r="H175" s="13" t="n">
        <f aca="false">IFERROR(IF(AND(B175&lt;=Eingaben!$B$11,Szenarien!$H$14="OK"),1/(1+Eingaben!$B$39+Szenarien!$G$14)^B175,0),0)</f>
        <v>0.605016445844771</v>
      </c>
      <c r="I175" s="13" t="n">
        <f aca="false">G175*H175</f>
        <v>504.104969256732</v>
      </c>
      <c r="J175" s="13" t="n">
        <f aca="false">(D175+E175-F175)*H175</f>
        <v>649.103445952698</v>
      </c>
      <c r="K175" s="13" t="n">
        <f aca="false">IF(AND(B175&lt;=Eingaben!$B$11,Szenarien!$H$14="OK"),SUM(Variantenbilanz!K1103:K1468)*H175,0)</f>
        <v>336.019936959734</v>
      </c>
    </row>
    <row r="176" customFormat="false" ht="16.4" hidden="false" customHeight="false" outlineLevel="0" collapsed="false">
      <c r="A176" s="12"/>
      <c r="B176" s="15" t="n">
        <v>18</v>
      </c>
      <c r="C176" s="13" t="n">
        <f aca="false">IFERROR(IF(AND(B176&lt;=Eingaben!$B$11,Szenarien!$H$14="OK"),SUM(Variantenbilanz!K1103:K1468)*(Eingaben!$B$36*Szenarien!$C$14*(1+Eingaben!$B$40)^(B176-1)+Eingaben!$B$37*Eingaben!$B$38*(1+Eingaben!$B$46)^(B176-1)),0),0)</f>
        <v>1944.19935456666</v>
      </c>
      <c r="D176" s="13" t="n">
        <f aca="false">IFERROR(IF(AND(B176&lt;=Eingaben!$B$11,Szenarien!$H$14="OK"),((Eingaben!$B$32+Eingaben!$B$35)*(1+Eingaben!$B$41)^(B176-1)+SUM(Variantenbilanz!E1103:E1468)*Eingaben!$B$33*Eingaben!$B$34*(1+Eingaben!$B$42)^(B176-1))*Szenarien!$F$14,0),0)</f>
        <v>1094.3264756172</v>
      </c>
      <c r="E176" s="13" t="n">
        <f aca="false">IFERROR(IF(AND(AND(B176&lt;=Eingaben!$B$11,Szenarien!$H$14="OK"),B176=Eingaben!$B$43),Eingaben!$B$44*Szenarien!$B$14*(1+Eingaben!$B$41)^(B176-1),0),0)</f>
        <v>0</v>
      </c>
      <c r="F176" s="13" t="n">
        <f aca="false">IFERROR(IF(AND(AND(B176&lt;=Eingaben!$B$11,Szenarien!$H$14="OK"),B176=Eingaben!$B$11),Eingaben!$B$45*Szenarien!$B$14,0),0)</f>
        <v>0</v>
      </c>
      <c r="G176" s="13" t="n">
        <f aca="false">C176-D176-E176+F176</f>
        <v>849.872878949462</v>
      </c>
      <c r="H176" s="13" t="n">
        <f aca="false">IFERROR(IF(AND(B176&lt;=Eingaben!$B$11,Szenarien!$H$14="OK"),1/(1+Eingaben!$B$39+Szenarien!$G$14)^B176,0),0)</f>
        <v>0.587394607616282</v>
      </c>
      <c r="I176" s="13" t="n">
        <f aca="false">G176*H176</f>
        <v>499.21074625424</v>
      </c>
      <c r="J176" s="13" t="n">
        <f aca="false">(D176+E176-F176)*H176</f>
        <v>642.801470749273</v>
      </c>
      <c r="K176" s="13" t="n">
        <f aca="false">IF(AND(B176&lt;=Eingaben!$B$11,Szenarien!$H$14="OK"),SUM(Variantenbilanz!K1103:K1468)*H176,0)</f>
        <v>326.232948504596</v>
      </c>
    </row>
    <row r="177" customFormat="false" ht="16.4" hidden="false" customHeight="false" outlineLevel="0" collapsed="false">
      <c r="A177" s="12"/>
      <c r="B177" s="15" t="n">
        <v>19</v>
      </c>
      <c r="C177" s="13" t="n">
        <f aca="false">IFERROR(IF(AND(B177&lt;=Eingaben!$B$11,Szenarien!$H$14="OK"),SUM(Variantenbilanz!K1103:K1468)*(Eingaben!$B$36*Szenarien!$C$14*(1+Eingaben!$B$40)^(B177-1)+Eingaben!$B$37*Eingaben!$B$38*(1+Eingaben!$B$46)^(B177-1)),0),0)</f>
        <v>1983.08334165799</v>
      </c>
      <c r="D177" s="13" t="n">
        <f aca="false">IFERROR(IF(AND(B177&lt;=Eingaben!$B$11,Szenarien!$H$14="OK"),((Eingaben!$B$32+Eingaben!$B$35)*(1+Eingaben!$B$41)^(B177-1)+SUM(Variantenbilanz!E1103:E1468)*Eingaben!$B$33*Eingaben!$B$34*(1+Eingaben!$B$42)^(B177-1))*Szenarien!$F$14,0),0)</f>
        <v>1116.21300512954</v>
      </c>
      <c r="E177" s="13" t="n">
        <f aca="false">IFERROR(IF(AND(AND(B177&lt;=Eingaben!$B$11,Szenarien!$H$14="OK"),B177=Eingaben!$B$43),Eingaben!$B$44*Szenarien!$B$14*(1+Eingaben!$B$41)^(B177-1),0),0)</f>
        <v>0</v>
      </c>
      <c r="F177" s="13" t="n">
        <f aca="false">IFERROR(IF(AND(AND(B177&lt;=Eingaben!$B$11,Szenarien!$H$14="OK"),B177=Eingaben!$B$11),Eingaben!$B$45*Szenarien!$B$14,0),0)</f>
        <v>0</v>
      </c>
      <c r="G177" s="13" t="n">
        <f aca="false">C177-D177-E177+F177</f>
        <v>866.870336528452</v>
      </c>
      <c r="H177" s="13" t="n">
        <f aca="false">IFERROR(IF(AND(B177&lt;=Eingaben!$B$11,Szenarien!$H$14="OK"),1/(1+Eingaben!$B$39+Szenarien!$G$14)^B177,0),0)</f>
        <v>0.570286026811925</v>
      </c>
      <c r="I177" s="13" t="n">
        <f aca="false">G177*H177</f>
        <v>494.364039979927</v>
      </c>
      <c r="J177" s="13" t="n">
        <f aca="false">(D177+E177-F177)*H177</f>
        <v>636.560679771125</v>
      </c>
      <c r="K177" s="13" t="n">
        <f aca="false">IF(AND(B177&lt;=Eingaben!$B$11,Szenarien!$H$14="OK"),SUM(Variantenbilanz!K1103:K1468)*H177,0)</f>
        <v>316.731017965627</v>
      </c>
    </row>
    <row r="178" customFormat="false" ht="16.4" hidden="false" customHeight="false" outlineLevel="0" collapsed="false">
      <c r="A178" s="12"/>
      <c r="B178" s="15" t="n">
        <v>20</v>
      </c>
      <c r="C178" s="13" t="n">
        <f aca="false">IFERROR(IF(AND(B178&lt;=Eingaben!$B$11,Szenarien!$H$14="OK"),SUM(Variantenbilanz!K1103:K1468)*(Eingaben!$B$36*Szenarien!$C$14*(1+Eingaben!$B$40)^(B178-1)+Eingaben!$B$37*Eingaben!$B$38*(1+Eingaben!$B$46)^(B178-1)),0),0)</f>
        <v>2022.74500849115</v>
      </c>
      <c r="D178" s="13" t="n">
        <f aca="false">IFERROR(IF(AND(B178&lt;=Eingaben!$B$11,Szenarien!$H$14="OK"),((Eingaben!$B$32+Eingaben!$B$35)*(1+Eingaben!$B$41)^(B178-1)+SUM(Variantenbilanz!E1103:E1468)*Eingaben!$B$33*Eingaben!$B$34*(1+Eingaben!$B$42)^(B178-1))*Szenarien!$F$14,0),0)</f>
        <v>1138.53726523213</v>
      </c>
      <c r="E178" s="13" t="n">
        <f aca="false">IFERROR(IF(AND(AND(B178&lt;=Eingaben!$B$11,Szenarien!$H$14="OK"),B178=Eingaben!$B$43),Eingaben!$B$44*Szenarien!$B$14*(1+Eingaben!$B$41)^(B178-1),0),0)</f>
        <v>0</v>
      </c>
      <c r="F178" s="13" t="n">
        <f aca="false">IFERROR(IF(AND(AND(B178&lt;=Eingaben!$B$11,Szenarien!$H$14="OK"),B178=Eingaben!$B$11),Eingaben!$B$45*Szenarien!$B$14,0),0)</f>
        <v>0</v>
      </c>
      <c r="G178" s="13" t="n">
        <f aca="false">C178-D178-E178+F178</f>
        <v>884.20774325902</v>
      </c>
      <c r="H178" s="13" t="n">
        <f aca="false">IFERROR(IF(AND(B178&lt;=Eingaben!$B$11,Szenarien!$H$14="OK"),1/(1+Eingaben!$B$39+Szenarien!$G$14)^B178,0),0)</f>
        <v>0.553675754186335</v>
      </c>
      <c r="I178" s="13" t="n">
        <f aca="false">G178*H178</f>
        <v>489.564389106335</v>
      </c>
      <c r="J178" s="13" t="n">
        <f aca="false">(D178+E178-F178)*H178</f>
        <v>630.380478996648</v>
      </c>
      <c r="K178" s="13" t="n">
        <f aca="false">IF(AND(B178&lt;=Eingaben!$B$11,Szenarien!$H$14="OK"),SUM(Variantenbilanz!K1103:K1468)*H178,0)</f>
        <v>307.505842685075</v>
      </c>
    </row>
    <row r="179" customFormat="false" ht="16.4" hidden="false" customHeight="false" outlineLevel="0" collapsed="false">
      <c r="A179" s="12"/>
      <c r="B179" s="15" t="n">
        <v>21</v>
      </c>
      <c r="C179" s="13" t="n">
        <f aca="false">IFERROR(IF(AND(B179&lt;=Eingaben!$B$11,Szenarien!$H$14="OK"),SUM(Variantenbilanz!K1103:K1468)*(Eingaben!$B$36*Szenarien!$C$14*(1+Eingaben!$B$40)^(B179-1)+Eingaben!$B$37*Eingaben!$B$38*(1+Eingaben!$B$46)^(B179-1)),0),0)</f>
        <v>0</v>
      </c>
      <c r="D179" s="13" t="n">
        <f aca="false">IFERROR(IF(AND(B179&lt;=Eingaben!$B$11,Szenarien!$H$14="OK"),((Eingaben!$B$32+Eingaben!$B$35)*(1+Eingaben!$B$41)^(B179-1)+SUM(Variantenbilanz!E1103:E1468)*Eingaben!$B$33*Eingaben!$B$34*(1+Eingaben!$B$42)^(B179-1))*Szenarien!$F$14,0),0)</f>
        <v>0</v>
      </c>
      <c r="E179" s="13" t="n">
        <f aca="false">IFERROR(IF(AND(AND(B179&lt;=Eingaben!$B$11,Szenarien!$H$14="OK"),B179=Eingaben!$B$43),Eingaben!$B$44*Szenarien!$B$14*(1+Eingaben!$B$41)^(B179-1),0),0)</f>
        <v>0</v>
      </c>
      <c r="F179" s="13" t="n">
        <f aca="false">IFERROR(IF(AND(AND(B179&lt;=Eingaben!$B$11,Szenarien!$H$14="OK"),B179=Eingaben!$B$11),Eingaben!$B$45*Szenarien!$B$14,0),0)</f>
        <v>0</v>
      </c>
      <c r="G179" s="13" t="n">
        <f aca="false">C179-D179-E179+F179</f>
        <v>0</v>
      </c>
      <c r="H179" s="13" t="n">
        <f aca="false">IFERROR(IF(AND(B179&lt;=Eingaben!$B$11,Szenarien!$H$14="OK"),1/(1+Eingaben!$B$39+Szenarien!$G$14)^B179,0),0)</f>
        <v>0</v>
      </c>
      <c r="I179" s="13" t="n">
        <f aca="false">G179*H179</f>
        <v>0</v>
      </c>
      <c r="J179" s="13" t="n">
        <f aca="false">(D179+E179-F179)*H179</f>
        <v>0</v>
      </c>
      <c r="K179" s="13" t="n">
        <f aca="false">IF(AND(B179&lt;=Eingaben!$B$11,Szenarien!$H$14="OK"),SUM(Variantenbilanz!K1103:K1468)*H179,0)</f>
        <v>0</v>
      </c>
    </row>
    <row r="180" customFormat="false" ht="16.4" hidden="false" customHeight="false" outlineLevel="0" collapsed="false">
      <c r="A180" s="12"/>
      <c r="B180" s="15" t="n">
        <v>22</v>
      </c>
      <c r="C180" s="13" t="n">
        <f aca="false">IFERROR(IF(AND(B180&lt;=Eingaben!$B$11,Szenarien!$H$14="OK"),SUM(Variantenbilanz!K1103:K1468)*(Eingaben!$B$36*Szenarien!$C$14*(1+Eingaben!$B$40)^(B180-1)+Eingaben!$B$37*Eingaben!$B$38*(1+Eingaben!$B$46)^(B180-1)),0),0)</f>
        <v>0</v>
      </c>
      <c r="D180" s="13" t="n">
        <f aca="false">IFERROR(IF(AND(B180&lt;=Eingaben!$B$11,Szenarien!$H$14="OK"),((Eingaben!$B$32+Eingaben!$B$35)*(1+Eingaben!$B$41)^(B180-1)+SUM(Variantenbilanz!E1103:E1468)*Eingaben!$B$33*Eingaben!$B$34*(1+Eingaben!$B$42)^(B180-1))*Szenarien!$F$14,0),0)</f>
        <v>0</v>
      </c>
      <c r="E180" s="13" t="n">
        <f aca="false">IFERROR(IF(AND(AND(B180&lt;=Eingaben!$B$11,Szenarien!$H$14="OK"),B180=Eingaben!$B$43),Eingaben!$B$44*Szenarien!$B$14*(1+Eingaben!$B$41)^(B180-1),0),0)</f>
        <v>0</v>
      </c>
      <c r="F180" s="13" t="n">
        <f aca="false">IFERROR(IF(AND(AND(B180&lt;=Eingaben!$B$11,Szenarien!$H$14="OK"),B180=Eingaben!$B$11),Eingaben!$B$45*Szenarien!$B$14,0),0)</f>
        <v>0</v>
      </c>
      <c r="G180" s="13" t="n">
        <f aca="false">C180-D180-E180+F180</f>
        <v>0</v>
      </c>
      <c r="H180" s="13" t="n">
        <f aca="false">IFERROR(IF(AND(B180&lt;=Eingaben!$B$11,Szenarien!$H$14="OK"),1/(1+Eingaben!$B$39+Szenarien!$G$14)^B180,0),0)</f>
        <v>0</v>
      </c>
      <c r="I180" s="13" t="n">
        <f aca="false">G180*H180</f>
        <v>0</v>
      </c>
      <c r="J180" s="13" t="n">
        <f aca="false">(D180+E180-F180)*H180</f>
        <v>0</v>
      </c>
      <c r="K180" s="13" t="n">
        <f aca="false">IF(AND(B180&lt;=Eingaben!$B$11,Szenarien!$H$14="OK"),SUM(Variantenbilanz!K1103:K1468)*H180,0)</f>
        <v>0</v>
      </c>
    </row>
    <row r="181" customFormat="false" ht="16.4" hidden="false" customHeight="false" outlineLevel="0" collapsed="false">
      <c r="A181" s="12"/>
      <c r="B181" s="15" t="n">
        <v>23</v>
      </c>
      <c r="C181" s="13" t="n">
        <f aca="false">IFERROR(IF(AND(B181&lt;=Eingaben!$B$11,Szenarien!$H$14="OK"),SUM(Variantenbilanz!K1103:K1468)*(Eingaben!$B$36*Szenarien!$C$14*(1+Eingaben!$B$40)^(B181-1)+Eingaben!$B$37*Eingaben!$B$38*(1+Eingaben!$B$46)^(B181-1)),0),0)</f>
        <v>0</v>
      </c>
      <c r="D181" s="13" t="n">
        <f aca="false">IFERROR(IF(AND(B181&lt;=Eingaben!$B$11,Szenarien!$H$14="OK"),((Eingaben!$B$32+Eingaben!$B$35)*(1+Eingaben!$B$41)^(B181-1)+SUM(Variantenbilanz!E1103:E1468)*Eingaben!$B$33*Eingaben!$B$34*(1+Eingaben!$B$42)^(B181-1))*Szenarien!$F$14,0),0)</f>
        <v>0</v>
      </c>
      <c r="E181" s="13" t="n">
        <f aca="false">IFERROR(IF(AND(AND(B181&lt;=Eingaben!$B$11,Szenarien!$H$14="OK"),B181=Eingaben!$B$43),Eingaben!$B$44*Szenarien!$B$14*(1+Eingaben!$B$41)^(B181-1),0),0)</f>
        <v>0</v>
      </c>
      <c r="F181" s="13" t="n">
        <f aca="false">IFERROR(IF(AND(AND(B181&lt;=Eingaben!$B$11,Szenarien!$H$14="OK"),B181=Eingaben!$B$11),Eingaben!$B$45*Szenarien!$B$14,0),0)</f>
        <v>0</v>
      </c>
      <c r="G181" s="13" t="n">
        <f aca="false">C181-D181-E181+F181</f>
        <v>0</v>
      </c>
      <c r="H181" s="13" t="n">
        <f aca="false">IFERROR(IF(AND(B181&lt;=Eingaben!$B$11,Szenarien!$H$14="OK"),1/(1+Eingaben!$B$39+Szenarien!$G$14)^B181,0),0)</f>
        <v>0</v>
      </c>
      <c r="I181" s="13" t="n">
        <f aca="false">G181*H181</f>
        <v>0</v>
      </c>
      <c r="J181" s="13" t="n">
        <f aca="false">(D181+E181-F181)*H181</f>
        <v>0</v>
      </c>
      <c r="K181" s="13" t="n">
        <f aca="false">IF(AND(B181&lt;=Eingaben!$B$11,Szenarien!$H$14="OK"),SUM(Variantenbilanz!K1103:K1468)*H181,0)</f>
        <v>0</v>
      </c>
    </row>
    <row r="182" customFormat="false" ht="16.4" hidden="false" customHeight="false" outlineLevel="0" collapsed="false">
      <c r="A182" s="12"/>
      <c r="B182" s="15" t="n">
        <v>24</v>
      </c>
      <c r="C182" s="13" t="n">
        <f aca="false">IFERROR(IF(AND(B182&lt;=Eingaben!$B$11,Szenarien!$H$14="OK"),SUM(Variantenbilanz!K1103:K1468)*(Eingaben!$B$36*Szenarien!$C$14*(1+Eingaben!$B$40)^(B182-1)+Eingaben!$B$37*Eingaben!$B$38*(1+Eingaben!$B$46)^(B182-1)),0),0)</f>
        <v>0</v>
      </c>
      <c r="D182" s="13" t="n">
        <f aca="false">IFERROR(IF(AND(B182&lt;=Eingaben!$B$11,Szenarien!$H$14="OK"),((Eingaben!$B$32+Eingaben!$B$35)*(1+Eingaben!$B$41)^(B182-1)+SUM(Variantenbilanz!E1103:E1468)*Eingaben!$B$33*Eingaben!$B$34*(1+Eingaben!$B$42)^(B182-1))*Szenarien!$F$14,0),0)</f>
        <v>0</v>
      </c>
      <c r="E182" s="13" t="n">
        <f aca="false">IFERROR(IF(AND(AND(B182&lt;=Eingaben!$B$11,Szenarien!$H$14="OK"),B182=Eingaben!$B$43),Eingaben!$B$44*Szenarien!$B$14*(1+Eingaben!$B$41)^(B182-1),0),0)</f>
        <v>0</v>
      </c>
      <c r="F182" s="13" t="n">
        <f aca="false">IFERROR(IF(AND(AND(B182&lt;=Eingaben!$B$11,Szenarien!$H$14="OK"),B182=Eingaben!$B$11),Eingaben!$B$45*Szenarien!$B$14,0),0)</f>
        <v>0</v>
      </c>
      <c r="G182" s="13" t="n">
        <f aca="false">C182-D182-E182+F182</f>
        <v>0</v>
      </c>
      <c r="H182" s="13" t="n">
        <f aca="false">IFERROR(IF(AND(B182&lt;=Eingaben!$B$11,Szenarien!$H$14="OK"),1/(1+Eingaben!$B$39+Szenarien!$G$14)^B182,0),0)</f>
        <v>0</v>
      </c>
      <c r="I182" s="13" t="n">
        <f aca="false">G182*H182</f>
        <v>0</v>
      </c>
      <c r="J182" s="13" t="n">
        <f aca="false">(D182+E182-F182)*H182</f>
        <v>0</v>
      </c>
      <c r="K182" s="13" t="n">
        <f aca="false">IF(AND(B182&lt;=Eingaben!$B$11,Szenarien!$H$14="OK"),SUM(Variantenbilanz!K1103:K1468)*H182,0)</f>
        <v>0</v>
      </c>
    </row>
    <row r="183" customFormat="false" ht="16.4" hidden="false" customHeight="false" outlineLevel="0" collapsed="false">
      <c r="A183" s="12"/>
      <c r="B183" s="15" t="n">
        <v>25</v>
      </c>
      <c r="C183" s="13" t="n">
        <f aca="false">IFERROR(IF(AND(B183&lt;=Eingaben!$B$11,Szenarien!$H$14="OK"),SUM(Variantenbilanz!K1103:K1468)*(Eingaben!$B$36*Szenarien!$C$14*(1+Eingaben!$B$40)^(B183-1)+Eingaben!$B$37*Eingaben!$B$38*(1+Eingaben!$B$46)^(B183-1)),0),0)</f>
        <v>0</v>
      </c>
      <c r="D183" s="13" t="n">
        <f aca="false">IFERROR(IF(AND(B183&lt;=Eingaben!$B$11,Szenarien!$H$14="OK"),((Eingaben!$B$32+Eingaben!$B$35)*(1+Eingaben!$B$41)^(B183-1)+SUM(Variantenbilanz!E1103:E1468)*Eingaben!$B$33*Eingaben!$B$34*(1+Eingaben!$B$42)^(B183-1))*Szenarien!$F$14,0),0)</f>
        <v>0</v>
      </c>
      <c r="E183" s="13" t="n">
        <f aca="false">IFERROR(IF(AND(AND(B183&lt;=Eingaben!$B$11,Szenarien!$H$14="OK"),B183=Eingaben!$B$43),Eingaben!$B$44*Szenarien!$B$14*(1+Eingaben!$B$41)^(B183-1),0),0)</f>
        <v>0</v>
      </c>
      <c r="F183" s="13" t="n">
        <f aca="false">IFERROR(IF(AND(AND(B183&lt;=Eingaben!$B$11,Szenarien!$H$14="OK"),B183=Eingaben!$B$11),Eingaben!$B$45*Szenarien!$B$14,0),0)</f>
        <v>0</v>
      </c>
      <c r="G183" s="13" t="n">
        <f aca="false">C183-D183-E183+F183</f>
        <v>0</v>
      </c>
      <c r="H183" s="13" t="n">
        <f aca="false">IFERROR(IF(AND(B183&lt;=Eingaben!$B$11,Szenarien!$H$14="OK"),1/(1+Eingaben!$B$39+Szenarien!$G$14)^B183,0),0)</f>
        <v>0</v>
      </c>
      <c r="I183" s="13" t="n">
        <f aca="false">G183*H183</f>
        <v>0</v>
      </c>
      <c r="J183" s="13" t="n">
        <f aca="false">(D183+E183-F183)*H183</f>
        <v>0</v>
      </c>
      <c r="K183" s="13" t="n">
        <f aca="false">IF(AND(B183&lt;=Eingaben!$B$11,Szenarien!$H$14="OK"),SUM(Variantenbilanz!K1103:K1468)*H183,0)</f>
        <v>0</v>
      </c>
    </row>
    <row r="184" customFormat="false" ht="16.4" hidden="false" customHeight="false" outlineLevel="0" collapsed="false">
      <c r="A184" s="12"/>
      <c r="B184" s="15" t="n">
        <v>26</v>
      </c>
      <c r="C184" s="13" t="n">
        <f aca="false">IFERROR(IF(AND(B184&lt;=Eingaben!$B$11,Szenarien!$H$14="OK"),SUM(Variantenbilanz!K1103:K1468)*(Eingaben!$B$36*Szenarien!$C$14*(1+Eingaben!$B$40)^(B184-1)+Eingaben!$B$37*Eingaben!$B$38*(1+Eingaben!$B$46)^(B184-1)),0),0)</f>
        <v>0</v>
      </c>
      <c r="D184" s="13" t="n">
        <f aca="false">IFERROR(IF(AND(B184&lt;=Eingaben!$B$11,Szenarien!$H$14="OK"),((Eingaben!$B$32+Eingaben!$B$35)*(1+Eingaben!$B$41)^(B184-1)+SUM(Variantenbilanz!E1103:E1468)*Eingaben!$B$33*Eingaben!$B$34*(1+Eingaben!$B$42)^(B184-1))*Szenarien!$F$14,0),0)</f>
        <v>0</v>
      </c>
      <c r="E184" s="13" t="n">
        <f aca="false">IFERROR(IF(AND(AND(B184&lt;=Eingaben!$B$11,Szenarien!$H$14="OK"),B184=Eingaben!$B$43),Eingaben!$B$44*Szenarien!$B$14*(1+Eingaben!$B$41)^(B184-1),0),0)</f>
        <v>0</v>
      </c>
      <c r="F184" s="13" t="n">
        <f aca="false">IFERROR(IF(AND(AND(B184&lt;=Eingaben!$B$11,Szenarien!$H$14="OK"),B184=Eingaben!$B$11),Eingaben!$B$45*Szenarien!$B$14,0),0)</f>
        <v>0</v>
      </c>
      <c r="G184" s="13" t="n">
        <f aca="false">C184-D184-E184+F184</f>
        <v>0</v>
      </c>
      <c r="H184" s="13" t="n">
        <f aca="false">IFERROR(IF(AND(B184&lt;=Eingaben!$B$11,Szenarien!$H$14="OK"),1/(1+Eingaben!$B$39+Szenarien!$G$14)^B184,0),0)</f>
        <v>0</v>
      </c>
      <c r="I184" s="13" t="n">
        <f aca="false">G184*H184</f>
        <v>0</v>
      </c>
      <c r="J184" s="13" t="n">
        <f aca="false">(D184+E184-F184)*H184</f>
        <v>0</v>
      </c>
      <c r="K184" s="13" t="n">
        <f aca="false">IF(AND(B184&lt;=Eingaben!$B$11,Szenarien!$H$14="OK"),SUM(Variantenbilanz!K1103:K1468)*H184,0)</f>
        <v>0</v>
      </c>
    </row>
    <row r="185" customFormat="false" ht="16.4" hidden="false" customHeight="false" outlineLevel="0" collapsed="false">
      <c r="A185" s="12"/>
      <c r="B185" s="15" t="n">
        <v>27</v>
      </c>
      <c r="C185" s="13" t="n">
        <f aca="false">IFERROR(IF(AND(B185&lt;=Eingaben!$B$11,Szenarien!$H$14="OK"),SUM(Variantenbilanz!K1103:K1468)*(Eingaben!$B$36*Szenarien!$C$14*(1+Eingaben!$B$40)^(B185-1)+Eingaben!$B$37*Eingaben!$B$38*(1+Eingaben!$B$46)^(B185-1)),0),0)</f>
        <v>0</v>
      </c>
      <c r="D185" s="13" t="n">
        <f aca="false">IFERROR(IF(AND(B185&lt;=Eingaben!$B$11,Szenarien!$H$14="OK"),((Eingaben!$B$32+Eingaben!$B$35)*(1+Eingaben!$B$41)^(B185-1)+SUM(Variantenbilanz!E1103:E1468)*Eingaben!$B$33*Eingaben!$B$34*(1+Eingaben!$B$42)^(B185-1))*Szenarien!$F$14,0),0)</f>
        <v>0</v>
      </c>
      <c r="E185" s="13" t="n">
        <f aca="false">IFERROR(IF(AND(AND(B185&lt;=Eingaben!$B$11,Szenarien!$H$14="OK"),B185=Eingaben!$B$43),Eingaben!$B$44*Szenarien!$B$14*(1+Eingaben!$B$41)^(B185-1),0),0)</f>
        <v>0</v>
      </c>
      <c r="F185" s="13" t="n">
        <f aca="false">IFERROR(IF(AND(AND(B185&lt;=Eingaben!$B$11,Szenarien!$H$14="OK"),B185=Eingaben!$B$11),Eingaben!$B$45*Szenarien!$B$14,0),0)</f>
        <v>0</v>
      </c>
      <c r="G185" s="13" t="n">
        <f aca="false">C185-D185-E185+F185</f>
        <v>0</v>
      </c>
      <c r="H185" s="13" t="n">
        <f aca="false">IFERROR(IF(AND(B185&lt;=Eingaben!$B$11,Szenarien!$H$14="OK"),1/(1+Eingaben!$B$39+Szenarien!$G$14)^B185,0),0)</f>
        <v>0</v>
      </c>
      <c r="I185" s="13" t="n">
        <f aca="false">G185*H185</f>
        <v>0</v>
      </c>
      <c r="J185" s="13" t="n">
        <f aca="false">(D185+E185-F185)*H185</f>
        <v>0</v>
      </c>
      <c r="K185" s="13" t="n">
        <f aca="false">IF(AND(B185&lt;=Eingaben!$B$11,Szenarien!$H$14="OK"),SUM(Variantenbilanz!K1103:K1468)*H185,0)</f>
        <v>0</v>
      </c>
    </row>
    <row r="186" customFormat="false" ht="16.4" hidden="false" customHeight="false" outlineLevel="0" collapsed="false">
      <c r="A186" s="12"/>
      <c r="B186" s="15" t="n">
        <v>28</v>
      </c>
      <c r="C186" s="13" t="n">
        <f aca="false">IFERROR(IF(AND(B186&lt;=Eingaben!$B$11,Szenarien!$H$14="OK"),SUM(Variantenbilanz!K1103:K1468)*(Eingaben!$B$36*Szenarien!$C$14*(1+Eingaben!$B$40)^(B186-1)+Eingaben!$B$37*Eingaben!$B$38*(1+Eingaben!$B$46)^(B186-1)),0),0)</f>
        <v>0</v>
      </c>
      <c r="D186" s="13" t="n">
        <f aca="false">IFERROR(IF(AND(B186&lt;=Eingaben!$B$11,Szenarien!$H$14="OK"),((Eingaben!$B$32+Eingaben!$B$35)*(1+Eingaben!$B$41)^(B186-1)+SUM(Variantenbilanz!E1103:E1468)*Eingaben!$B$33*Eingaben!$B$34*(1+Eingaben!$B$42)^(B186-1))*Szenarien!$F$14,0),0)</f>
        <v>0</v>
      </c>
      <c r="E186" s="13" t="n">
        <f aca="false">IFERROR(IF(AND(AND(B186&lt;=Eingaben!$B$11,Szenarien!$H$14="OK"),B186=Eingaben!$B$43),Eingaben!$B$44*Szenarien!$B$14*(1+Eingaben!$B$41)^(B186-1),0),0)</f>
        <v>0</v>
      </c>
      <c r="F186" s="13" t="n">
        <f aca="false">IFERROR(IF(AND(AND(B186&lt;=Eingaben!$B$11,Szenarien!$H$14="OK"),B186=Eingaben!$B$11),Eingaben!$B$45*Szenarien!$B$14,0),0)</f>
        <v>0</v>
      </c>
      <c r="G186" s="13" t="n">
        <f aca="false">C186-D186-E186+F186</f>
        <v>0</v>
      </c>
      <c r="H186" s="13" t="n">
        <f aca="false">IFERROR(IF(AND(B186&lt;=Eingaben!$B$11,Szenarien!$H$14="OK"),1/(1+Eingaben!$B$39+Szenarien!$G$14)^B186,0),0)</f>
        <v>0</v>
      </c>
      <c r="I186" s="13" t="n">
        <f aca="false">G186*H186</f>
        <v>0</v>
      </c>
      <c r="J186" s="13" t="n">
        <f aca="false">(D186+E186-F186)*H186</f>
        <v>0</v>
      </c>
      <c r="K186" s="13" t="n">
        <f aca="false">IF(AND(B186&lt;=Eingaben!$B$11,Szenarien!$H$14="OK"),SUM(Variantenbilanz!K1103:K1468)*H186,0)</f>
        <v>0</v>
      </c>
    </row>
    <row r="187" customFormat="false" ht="16.4" hidden="false" customHeight="false" outlineLevel="0" collapsed="false">
      <c r="A187" s="12"/>
      <c r="B187" s="15" t="n">
        <v>29</v>
      </c>
      <c r="C187" s="13" t="n">
        <f aca="false">IFERROR(IF(AND(B187&lt;=Eingaben!$B$11,Szenarien!$H$14="OK"),SUM(Variantenbilanz!K1103:K1468)*(Eingaben!$B$36*Szenarien!$C$14*(1+Eingaben!$B$40)^(B187-1)+Eingaben!$B$37*Eingaben!$B$38*(1+Eingaben!$B$46)^(B187-1)),0),0)</f>
        <v>0</v>
      </c>
      <c r="D187" s="13" t="n">
        <f aca="false">IFERROR(IF(AND(B187&lt;=Eingaben!$B$11,Szenarien!$H$14="OK"),((Eingaben!$B$32+Eingaben!$B$35)*(1+Eingaben!$B$41)^(B187-1)+SUM(Variantenbilanz!E1103:E1468)*Eingaben!$B$33*Eingaben!$B$34*(1+Eingaben!$B$42)^(B187-1))*Szenarien!$F$14,0),0)</f>
        <v>0</v>
      </c>
      <c r="E187" s="13" t="n">
        <f aca="false">IFERROR(IF(AND(AND(B187&lt;=Eingaben!$B$11,Szenarien!$H$14="OK"),B187=Eingaben!$B$43),Eingaben!$B$44*Szenarien!$B$14*(1+Eingaben!$B$41)^(B187-1),0),0)</f>
        <v>0</v>
      </c>
      <c r="F187" s="13" t="n">
        <f aca="false">IFERROR(IF(AND(AND(B187&lt;=Eingaben!$B$11,Szenarien!$H$14="OK"),B187=Eingaben!$B$11),Eingaben!$B$45*Szenarien!$B$14,0),0)</f>
        <v>0</v>
      </c>
      <c r="G187" s="13" t="n">
        <f aca="false">C187-D187-E187+F187</f>
        <v>0</v>
      </c>
      <c r="H187" s="13" t="n">
        <f aca="false">IFERROR(IF(AND(B187&lt;=Eingaben!$B$11,Szenarien!$H$14="OK"),1/(1+Eingaben!$B$39+Szenarien!$G$14)^B187,0),0)</f>
        <v>0</v>
      </c>
      <c r="I187" s="13" t="n">
        <f aca="false">G187*H187</f>
        <v>0</v>
      </c>
      <c r="J187" s="13" t="n">
        <f aca="false">(D187+E187-F187)*H187</f>
        <v>0</v>
      </c>
      <c r="K187" s="13" t="n">
        <f aca="false">IF(AND(B187&lt;=Eingaben!$B$11,Szenarien!$H$14="OK"),SUM(Variantenbilanz!K1103:K1468)*H187,0)</f>
        <v>0</v>
      </c>
    </row>
    <row r="188" customFormat="false" ht="16.4" hidden="false" customHeight="false" outlineLevel="0" collapsed="false">
      <c r="A188" s="12"/>
      <c r="B188" s="15" t="n">
        <v>30</v>
      </c>
      <c r="C188" s="13" t="n">
        <f aca="false">IFERROR(IF(AND(B188&lt;=Eingaben!$B$11,Szenarien!$H$14="OK"),SUM(Variantenbilanz!K1103:K1468)*(Eingaben!$B$36*Szenarien!$C$14*(1+Eingaben!$B$40)^(B188-1)+Eingaben!$B$37*Eingaben!$B$38*(1+Eingaben!$B$46)^(B188-1)),0),0)</f>
        <v>0</v>
      </c>
      <c r="D188" s="13" t="n">
        <f aca="false">IFERROR(IF(AND(B188&lt;=Eingaben!$B$11,Szenarien!$H$14="OK"),((Eingaben!$B$32+Eingaben!$B$35)*(1+Eingaben!$B$41)^(B188-1)+SUM(Variantenbilanz!E1103:E1468)*Eingaben!$B$33*Eingaben!$B$34*(1+Eingaben!$B$42)^(B188-1))*Szenarien!$F$14,0),0)</f>
        <v>0</v>
      </c>
      <c r="E188" s="13" t="n">
        <f aca="false">IFERROR(IF(AND(AND(B188&lt;=Eingaben!$B$11,Szenarien!$H$14="OK"),B188=Eingaben!$B$43),Eingaben!$B$44*Szenarien!$B$14*(1+Eingaben!$B$41)^(B188-1),0),0)</f>
        <v>0</v>
      </c>
      <c r="F188" s="13" t="n">
        <f aca="false">IFERROR(IF(AND(AND(B188&lt;=Eingaben!$B$11,Szenarien!$H$14="OK"),B188=Eingaben!$B$11),Eingaben!$B$45*Szenarien!$B$14,0),0)</f>
        <v>0</v>
      </c>
      <c r="G188" s="13" t="n">
        <f aca="false">C188-D188-E188+F188</f>
        <v>0</v>
      </c>
      <c r="H188" s="13" t="n">
        <f aca="false">IFERROR(IF(AND(B188&lt;=Eingaben!$B$11,Szenarien!$H$14="OK"),1/(1+Eingaben!$B$39+Szenarien!$G$14)^B188,0),0)</f>
        <v>0</v>
      </c>
      <c r="I188" s="13" t="n">
        <f aca="false">G188*H188</f>
        <v>0</v>
      </c>
      <c r="J188" s="13" t="n">
        <f aca="false">(D188+E188-F188)*H188</f>
        <v>0</v>
      </c>
      <c r="K188" s="13" t="n">
        <f aca="false">IF(AND(B188&lt;=Eingaben!$B$11,Szenarien!$H$14="OK"),SUM(Variantenbilanz!K1103:K1468)*H188,0)</f>
        <v>0</v>
      </c>
    </row>
    <row r="189" customFormat="false" ht="16.4" hidden="false" customHeight="false" outlineLevel="0" collapsed="false">
      <c r="A189" s="12"/>
      <c r="B189" s="15" t="n">
        <v>31</v>
      </c>
      <c r="C189" s="13" t="n">
        <f aca="false">IFERROR(IF(AND(B189&lt;=Eingaben!$B$11,Szenarien!$H$14="OK"),SUM(Variantenbilanz!K1103:K1468)*(Eingaben!$B$36*Szenarien!$C$14*(1+Eingaben!$B$40)^(B189-1)+Eingaben!$B$37*Eingaben!$B$38*(1+Eingaben!$B$46)^(B189-1)),0),0)</f>
        <v>0</v>
      </c>
      <c r="D189" s="13" t="n">
        <f aca="false">IFERROR(IF(AND(B189&lt;=Eingaben!$B$11,Szenarien!$H$14="OK"),((Eingaben!$B$32+Eingaben!$B$35)*(1+Eingaben!$B$41)^(B189-1)+SUM(Variantenbilanz!E1103:E1468)*Eingaben!$B$33*Eingaben!$B$34*(1+Eingaben!$B$42)^(B189-1))*Szenarien!$F$14,0),0)</f>
        <v>0</v>
      </c>
      <c r="E189" s="13" t="n">
        <f aca="false">IFERROR(IF(AND(AND(B189&lt;=Eingaben!$B$11,Szenarien!$H$14="OK"),B189=Eingaben!$B$43),Eingaben!$B$44*Szenarien!$B$14*(1+Eingaben!$B$41)^(B189-1),0),0)</f>
        <v>0</v>
      </c>
      <c r="F189" s="13" t="n">
        <f aca="false">IFERROR(IF(AND(AND(B189&lt;=Eingaben!$B$11,Szenarien!$H$14="OK"),B189=Eingaben!$B$11),Eingaben!$B$45*Szenarien!$B$14,0),0)</f>
        <v>0</v>
      </c>
      <c r="G189" s="13" t="n">
        <f aca="false">C189-D189-E189+F189</f>
        <v>0</v>
      </c>
      <c r="H189" s="13" t="n">
        <f aca="false">IFERROR(IF(AND(B189&lt;=Eingaben!$B$11,Szenarien!$H$14="OK"),1/(1+Eingaben!$B$39+Szenarien!$G$14)^B189,0),0)</f>
        <v>0</v>
      </c>
      <c r="I189" s="13" t="n">
        <f aca="false">G189*H189</f>
        <v>0</v>
      </c>
      <c r="J189" s="13" t="n">
        <f aca="false">(D189+E189-F189)*H189</f>
        <v>0</v>
      </c>
      <c r="K189" s="13" t="n">
        <f aca="false">IF(AND(B189&lt;=Eingaben!$B$11,Szenarien!$H$14="OK"),SUM(Variantenbilanz!K1103:K1468)*H189,0)</f>
        <v>0</v>
      </c>
    </row>
    <row r="190" customFormat="false" ht="16.4" hidden="false" customHeight="false" outlineLevel="0" collapsed="false">
      <c r="A190" s="12"/>
      <c r="B190" s="15" t="n">
        <v>32</v>
      </c>
      <c r="C190" s="13" t="n">
        <f aca="false">IFERROR(IF(AND(B190&lt;=Eingaben!$B$11,Szenarien!$H$14="OK"),SUM(Variantenbilanz!K1103:K1468)*(Eingaben!$B$36*Szenarien!$C$14*(1+Eingaben!$B$40)^(B190-1)+Eingaben!$B$37*Eingaben!$B$38*(1+Eingaben!$B$46)^(B190-1)),0),0)</f>
        <v>0</v>
      </c>
      <c r="D190" s="13" t="n">
        <f aca="false">IFERROR(IF(AND(B190&lt;=Eingaben!$B$11,Szenarien!$H$14="OK"),((Eingaben!$B$32+Eingaben!$B$35)*(1+Eingaben!$B$41)^(B190-1)+SUM(Variantenbilanz!E1103:E1468)*Eingaben!$B$33*Eingaben!$B$34*(1+Eingaben!$B$42)^(B190-1))*Szenarien!$F$14,0),0)</f>
        <v>0</v>
      </c>
      <c r="E190" s="13" t="n">
        <f aca="false">IFERROR(IF(AND(AND(B190&lt;=Eingaben!$B$11,Szenarien!$H$14="OK"),B190=Eingaben!$B$43),Eingaben!$B$44*Szenarien!$B$14*(1+Eingaben!$B$41)^(B190-1),0),0)</f>
        <v>0</v>
      </c>
      <c r="F190" s="13" t="n">
        <f aca="false">IFERROR(IF(AND(AND(B190&lt;=Eingaben!$B$11,Szenarien!$H$14="OK"),B190=Eingaben!$B$11),Eingaben!$B$45*Szenarien!$B$14,0),0)</f>
        <v>0</v>
      </c>
      <c r="G190" s="13" t="n">
        <f aca="false">C190-D190-E190+F190</f>
        <v>0</v>
      </c>
      <c r="H190" s="13" t="n">
        <f aca="false">IFERROR(IF(AND(B190&lt;=Eingaben!$B$11,Szenarien!$H$14="OK"),1/(1+Eingaben!$B$39+Szenarien!$G$14)^B190,0),0)</f>
        <v>0</v>
      </c>
      <c r="I190" s="13" t="n">
        <f aca="false">G190*H190</f>
        <v>0</v>
      </c>
      <c r="J190" s="13" t="n">
        <f aca="false">(D190+E190-F190)*H190</f>
        <v>0</v>
      </c>
      <c r="K190" s="13" t="n">
        <f aca="false">IF(AND(B190&lt;=Eingaben!$B$11,Szenarien!$H$14="OK"),SUM(Variantenbilanz!K1103:K1468)*H190,0)</f>
        <v>0</v>
      </c>
    </row>
    <row r="191" customFormat="false" ht="16.4" hidden="false" customHeight="false" outlineLevel="0" collapsed="false">
      <c r="A191" s="12"/>
      <c r="B191" s="15" t="n">
        <v>33</v>
      </c>
      <c r="C191" s="13" t="n">
        <f aca="false">IFERROR(IF(AND(B191&lt;=Eingaben!$B$11,Szenarien!$H$14="OK"),SUM(Variantenbilanz!K1103:K1468)*(Eingaben!$B$36*Szenarien!$C$14*(1+Eingaben!$B$40)^(B191-1)+Eingaben!$B$37*Eingaben!$B$38*(1+Eingaben!$B$46)^(B191-1)),0),0)</f>
        <v>0</v>
      </c>
      <c r="D191" s="13" t="n">
        <f aca="false">IFERROR(IF(AND(B191&lt;=Eingaben!$B$11,Szenarien!$H$14="OK"),((Eingaben!$B$32+Eingaben!$B$35)*(1+Eingaben!$B$41)^(B191-1)+SUM(Variantenbilanz!E1103:E1468)*Eingaben!$B$33*Eingaben!$B$34*(1+Eingaben!$B$42)^(B191-1))*Szenarien!$F$14,0),0)</f>
        <v>0</v>
      </c>
      <c r="E191" s="13" t="n">
        <f aca="false">IFERROR(IF(AND(AND(B191&lt;=Eingaben!$B$11,Szenarien!$H$14="OK"),B191=Eingaben!$B$43),Eingaben!$B$44*Szenarien!$B$14*(1+Eingaben!$B$41)^(B191-1),0),0)</f>
        <v>0</v>
      </c>
      <c r="F191" s="13" t="n">
        <f aca="false">IFERROR(IF(AND(AND(B191&lt;=Eingaben!$B$11,Szenarien!$H$14="OK"),B191=Eingaben!$B$11),Eingaben!$B$45*Szenarien!$B$14,0),0)</f>
        <v>0</v>
      </c>
      <c r="G191" s="13" t="n">
        <f aca="false">C191-D191-E191+F191</f>
        <v>0</v>
      </c>
      <c r="H191" s="13" t="n">
        <f aca="false">IFERROR(IF(AND(B191&lt;=Eingaben!$B$11,Szenarien!$H$14="OK"),1/(1+Eingaben!$B$39+Szenarien!$G$14)^B191,0),0)</f>
        <v>0</v>
      </c>
      <c r="I191" s="13" t="n">
        <f aca="false">G191*H191</f>
        <v>0</v>
      </c>
      <c r="J191" s="13" t="n">
        <f aca="false">(D191+E191-F191)*H191</f>
        <v>0</v>
      </c>
      <c r="K191" s="13" t="n">
        <f aca="false">IF(AND(B191&lt;=Eingaben!$B$11,Szenarien!$H$14="OK"),SUM(Variantenbilanz!K1103:K1468)*H191,0)</f>
        <v>0</v>
      </c>
    </row>
    <row r="192" customFormat="false" ht="16.4" hidden="false" customHeight="false" outlineLevel="0" collapsed="false">
      <c r="A192" s="12"/>
      <c r="B192" s="15" t="n">
        <v>34</v>
      </c>
      <c r="C192" s="13" t="n">
        <f aca="false">IFERROR(IF(AND(B192&lt;=Eingaben!$B$11,Szenarien!$H$14="OK"),SUM(Variantenbilanz!K1103:K1468)*(Eingaben!$B$36*Szenarien!$C$14*(1+Eingaben!$B$40)^(B192-1)+Eingaben!$B$37*Eingaben!$B$38*(1+Eingaben!$B$46)^(B192-1)),0),0)</f>
        <v>0</v>
      </c>
      <c r="D192" s="13" t="n">
        <f aca="false">IFERROR(IF(AND(B192&lt;=Eingaben!$B$11,Szenarien!$H$14="OK"),((Eingaben!$B$32+Eingaben!$B$35)*(1+Eingaben!$B$41)^(B192-1)+SUM(Variantenbilanz!E1103:E1468)*Eingaben!$B$33*Eingaben!$B$34*(1+Eingaben!$B$42)^(B192-1))*Szenarien!$F$14,0),0)</f>
        <v>0</v>
      </c>
      <c r="E192" s="13" t="n">
        <f aca="false">IFERROR(IF(AND(AND(B192&lt;=Eingaben!$B$11,Szenarien!$H$14="OK"),B192=Eingaben!$B$43),Eingaben!$B$44*Szenarien!$B$14*(1+Eingaben!$B$41)^(B192-1),0),0)</f>
        <v>0</v>
      </c>
      <c r="F192" s="13" t="n">
        <f aca="false">IFERROR(IF(AND(AND(B192&lt;=Eingaben!$B$11,Szenarien!$H$14="OK"),B192=Eingaben!$B$11),Eingaben!$B$45*Szenarien!$B$14,0),0)</f>
        <v>0</v>
      </c>
      <c r="G192" s="13" t="n">
        <f aca="false">C192-D192-E192+F192</f>
        <v>0</v>
      </c>
      <c r="H192" s="13" t="n">
        <f aca="false">IFERROR(IF(AND(B192&lt;=Eingaben!$B$11,Szenarien!$H$14="OK"),1/(1+Eingaben!$B$39+Szenarien!$G$14)^B192,0),0)</f>
        <v>0</v>
      </c>
      <c r="I192" s="13" t="n">
        <f aca="false">G192*H192</f>
        <v>0</v>
      </c>
      <c r="J192" s="13" t="n">
        <f aca="false">(D192+E192-F192)*H192</f>
        <v>0</v>
      </c>
      <c r="K192" s="13" t="n">
        <f aca="false">IF(AND(B192&lt;=Eingaben!$B$11,Szenarien!$H$14="OK"),SUM(Variantenbilanz!K1103:K1468)*H192,0)</f>
        <v>0</v>
      </c>
    </row>
    <row r="193" customFormat="false" ht="16.4" hidden="false" customHeight="false" outlineLevel="0" collapsed="false">
      <c r="A193" s="12"/>
      <c r="B193" s="15" t="n">
        <v>35</v>
      </c>
      <c r="C193" s="13" t="n">
        <f aca="false">IFERROR(IF(AND(B193&lt;=Eingaben!$B$11,Szenarien!$H$14="OK"),SUM(Variantenbilanz!K1103:K1468)*(Eingaben!$B$36*Szenarien!$C$14*(1+Eingaben!$B$40)^(B193-1)+Eingaben!$B$37*Eingaben!$B$38*(1+Eingaben!$B$46)^(B193-1)),0),0)</f>
        <v>0</v>
      </c>
      <c r="D193" s="13" t="n">
        <f aca="false">IFERROR(IF(AND(B193&lt;=Eingaben!$B$11,Szenarien!$H$14="OK"),((Eingaben!$B$32+Eingaben!$B$35)*(1+Eingaben!$B$41)^(B193-1)+SUM(Variantenbilanz!E1103:E1468)*Eingaben!$B$33*Eingaben!$B$34*(1+Eingaben!$B$42)^(B193-1))*Szenarien!$F$14,0),0)</f>
        <v>0</v>
      </c>
      <c r="E193" s="13" t="n">
        <f aca="false">IFERROR(IF(AND(AND(B193&lt;=Eingaben!$B$11,Szenarien!$H$14="OK"),B193=Eingaben!$B$43),Eingaben!$B$44*Szenarien!$B$14*(1+Eingaben!$B$41)^(B193-1),0),0)</f>
        <v>0</v>
      </c>
      <c r="F193" s="13" t="n">
        <f aca="false">IFERROR(IF(AND(AND(B193&lt;=Eingaben!$B$11,Szenarien!$H$14="OK"),B193=Eingaben!$B$11),Eingaben!$B$45*Szenarien!$B$14,0),0)</f>
        <v>0</v>
      </c>
      <c r="G193" s="13" t="n">
        <f aca="false">C193-D193-E193+F193</f>
        <v>0</v>
      </c>
      <c r="H193" s="13" t="n">
        <f aca="false">IFERROR(IF(AND(B193&lt;=Eingaben!$B$11,Szenarien!$H$14="OK"),1/(1+Eingaben!$B$39+Szenarien!$G$14)^B193,0),0)</f>
        <v>0</v>
      </c>
      <c r="I193" s="13" t="n">
        <f aca="false">G193*H193</f>
        <v>0</v>
      </c>
      <c r="J193" s="13" t="n">
        <f aca="false">(D193+E193-F193)*H193</f>
        <v>0</v>
      </c>
      <c r="K193" s="13" t="n">
        <f aca="false">IF(AND(B193&lt;=Eingaben!$B$11,Szenarien!$H$14="OK"),SUM(Variantenbilanz!K1103:K1468)*H193,0)</f>
        <v>0</v>
      </c>
    </row>
    <row r="194" customFormat="false" ht="16.4" hidden="false" customHeight="false" outlineLevel="0" collapsed="false">
      <c r="A194" s="12"/>
      <c r="B194" s="15" t="n">
        <v>36</v>
      </c>
      <c r="C194" s="13" t="n">
        <f aca="false">IFERROR(IF(AND(B194&lt;=Eingaben!$B$11,Szenarien!$H$14="OK"),SUM(Variantenbilanz!K1103:K1468)*(Eingaben!$B$36*Szenarien!$C$14*(1+Eingaben!$B$40)^(B194-1)+Eingaben!$B$37*Eingaben!$B$38*(1+Eingaben!$B$46)^(B194-1)),0),0)</f>
        <v>0</v>
      </c>
      <c r="D194" s="13" t="n">
        <f aca="false">IFERROR(IF(AND(B194&lt;=Eingaben!$B$11,Szenarien!$H$14="OK"),((Eingaben!$B$32+Eingaben!$B$35)*(1+Eingaben!$B$41)^(B194-1)+SUM(Variantenbilanz!E1103:E1468)*Eingaben!$B$33*Eingaben!$B$34*(1+Eingaben!$B$42)^(B194-1))*Szenarien!$F$14,0),0)</f>
        <v>0</v>
      </c>
      <c r="E194" s="13" t="n">
        <f aca="false">IFERROR(IF(AND(AND(B194&lt;=Eingaben!$B$11,Szenarien!$H$14="OK"),B194=Eingaben!$B$43),Eingaben!$B$44*Szenarien!$B$14*(1+Eingaben!$B$41)^(B194-1),0),0)</f>
        <v>0</v>
      </c>
      <c r="F194" s="13" t="n">
        <f aca="false">IFERROR(IF(AND(AND(B194&lt;=Eingaben!$B$11,Szenarien!$H$14="OK"),B194=Eingaben!$B$11),Eingaben!$B$45*Szenarien!$B$14,0),0)</f>
        <v>0</v>
      </c>
      <c r="G194" s="13" t="n">
        <f aca="false">C194-D194-E194+F194</f>
        <v>0</v>
      </c>
      <c r="H194" s="13" t="n">
        <f aca="false">IFERROR(IF(AND(B194&lt;=Eingaben!$B$11,Szenarien!$H$14="OK"),1/(1+Eingaben!$B$39+Szenarien!$G$14)^B194,0),0)</f>
        <v>0</v>
      </c>
      <c r="I194" s="13" t="n">
        <f aca="false">G194*H194</f>
        <v>0</v>
      </c>
      <c r="J194" s="13" t="n">
        <f aca="false">(D194+E194-F194)*H194</f>
        <v>0</v>
      </c>
      <c r="K194" s="13" t="n">
        <f aca="false">IF(AND(B194&lt;=Eingaben!$B$11,Szenarien!$H$14="OK"),SUM(Variantenbilanz!K1103:K1468)*H194,0)</f>
        <v>0</v>
      </c>
    </row>
    <row r="195" customFormat="false" ht="16.4" hidden="false" customHeight="false" outlineLevel="0" collapsed="false">
      <c r="A195" s="12"/>
      <c r="B195" s="15" t="n">
        <v>37</v>
      </c>
      <c r="C195" s="13" t="n">
        <f aca="false">IFERROR(IF(AND(B195&lt;=Eingaben!$B$11,Szenarien!$H$14="OK"),SUM(Variantenbilanz!K1103:K1468)*(Eingaben!$B$36*Szenarien!$C$14*(1+Eingaben!$B$40)^(B195-1)+Eingaben!$B$37*Eingaben!$B$38*(1+Eingaben!$B$46)^(B195-1)),0),0)</f>
        <v>0</v>
      </c>
      <c r="D195" s="13" t="n">
        <f aca="false">IFERROR(IF(AND(B195&lt;=Eingaben!$B$11,Szenarien!$H$14="OK"),((Eingaben!$B$32+Eingaben!$B$35)*(1+Eingaben!$B$41)^(B195-1)+SUM(Variantenbilanz!E1103:E1468)*Eingaben!$B$33*Eingaben!$B$34*(1+Eingaben!$B$42)^(B195-1))*Szenarien!$F$14,0),0)</f>
        <v>0</v>
      </c>
      <c r="E195" s="13" t="n">
        <f aca="false">IFERROR(IF(AND(AND(B195&lt;=Eingaben!$B$11,Szenarien!$H$14="OK"),B195=Eingaben!$B$43),Eingaben!$B$44*Szenarien!$B$14*(1+Eingaben!$B$41)^(B195-1),0),0)</f>
        <v>0</v>
      </c>
      <c r="F195" s="13" t="n">
        <f aca="false">IFERROR(IF(AND(AND(B195&lt;=Eingaben!$B$11,Szenarien!$H$14="OK"),B195=Eingaben!$B$11),Eingaben!$B$45*Szenarien!$B$14,0),0)</f>
        <v>0</v>
      </c>
      <c r="G195" s="13" t="n">
        <f aca="false">C195-D195-E195+F195</f>
        <v>0</v>
      </c>
      <c r="H195" s="13" t="n">
        <f aca="false">IFERROR(IF(AND(B195&lt;=Eingaben!$B$11,Szenarien!$H$14="OK"),1/(1+Eingaben!$B$39+Szenarien!$G$14)^B195,0),0)</f>
        <v>0</v>
      </c>
      <c r="I195" s="13" t="n">
        <f aca="false">G195*H195</f>
        <v>0</v>
      </c>
      <c r="J195" s="13" t="n">
        <f aca="false">(D195+E195-F195)*H195</f>
        <v>0</v>
      </c>
      <c r="K195" s="13" t="n">
        <f aca="false">IF(AND(B195&lt;=Eingaben!$B$11,Szenarien!$H$14="OK"),SUM(Variantenbilanz!K1103:K1468)*H195,0)</f>
        <v>0</v>
      </c>
    </row>
    <row r="196" customFormat="false" ht="16.4" hidden="false" customHeight="false" outlineLevel="0" collapsed="false">
      <c r="A196" s="12"/>
      <c r="B196" s="15" t="n">
        <v>38</v>
      </c>
      <c r="C196" s="13" t="n">
        <f aca="false">IFERROR(IF(AND(B196&lt;=Eingaben!$B$11,Szenarien!$H$14="OK"),SUM(Variantenbilanz!K1103:K1468)*(Eingaben!$B$36*Szenarien!$C$14*(1+Eingaben!$B$40)^(B196-1)+Eingaben!$B$37*Eingaben!$B$38*(1+Eingaben!$B$46)^(B196-1)),0),0)</f>
        <v>0</v>
      </c>
      <c r="D196" s="13" t="n">
        <f aca="false">IFERROR(IF(AND(B196&lt;=Eingaben!$B$11,Szenarien!$H$14="OK"),((Eingaben!$B$32+Eingaben!$B$35)*(1+Eingaben!$B$41)^(B196-1)+SUM(Variantenbilanz!E1103:E1468)*Eingaben!$B$33*Eingaben!$B$34*(1+Eingaben!$B$42)^(B196-1))*Szenarien!$F$14,0),0)</f>
        <v>0</v>
      </c>
      <c r="E196" s="13" t="n">
        <f aca="false">IFERROR(IF(AND(AND(B196&lt;=Eingaben!$B$11,Szenarien!$H$14="OK"),B196=Eingaben!$B$43),Eingaben!$B$44*Szenarien!$B$14*(1+Eingaben!$B$41)^(B196-1),0),0)</f>
        <v>0</v>
      </c>
      <c r="F196" s="13" t="n">
        <f aca="false">IFERROR(IF(AND(AND(B196&lt;=Eingaben!$B$11,Szenarien!$H$14="OK"),B196=Eingaben!$B$11),Eingaben!$B$45*Szenarien!$B$14,0),0)</f>
        <v>0</v>
      </c>
      <c r="G196" s="13" t="n">
        <f aca="false">C196-D196-E196+F196</f>
        <v>0</v>
      </c>
      <c r="H196" s="13" t="n">
        <f aca="false">IFERROR(IF(AND(B196&lt;=Eingaben!$B$11,Szenarien!$H$14="OK"),1/(1+Eingaben!$B$39+Szenarien!$G$14)^B196,0),0)</f>
        <v>0</v>
      </c>
      <c r="I196" s="13" t="n">
        <f aca="false">G196*H196</f>
        <v>0</v>
      </c>
      <c r="J196" s="13" t="n">
        <f aca="false">(D196+E196-F196)*H196</f>
        <v>0</v>
      </c>
      <c r="K196" s="13" t="n">
        <f aca="false">IF(AND(B196&lt;=Eingaben!$B$11,Szenarien!$H$14="OK"),SUM(Variantenbilanz!K1103:K1468)*H196,0)</f>
        <v>0</v>
      </c>
    </row>
    <row r="197" customFormat="false" ht="16.4" hidden="false" customHeight="false" outlineLevel="0" collapsed="false">
      <c r="A197" s="12"/>
      <c r="B197" s="15" t="n">
        <v>39</v>
      </c>
      <c r="C197" s="13" t="n">
        <f aca="false">IFERROR(IF(AND(B197&lt;=Eingaben!$B$11,Szenarien!$H$14="OK"),SUM(Variantenbilanz!K1103:K1468)*(Eingaben!$B$36*Szenarien!$C$14*(1+Eingaben!$B$40)^(B197-1)+Eingaben!$B$37*Eingaben!$B$38*(1+Eingaben!$B$46)^(B197-1)),0),0)</f>
        <v>0</v>
      </c>
      <c r="D197" s="13" t="n">
        <f aca="false">IFERROR(IF(AND(B197&lt;=Eingaben!$B$11,Szenarien!$H$14="OK"),((Eingaben!$B$32+Eingaben!$B$35)*(1+Eingaben!$B$41)^(B197-1)+SUM(Variantenbilanz!E1103:E1468)*Eingaben!$B$33*Eingaben!$B$34*(1+Eingaben!$B$42)^(B197-1))*Szenarien!$F$14,0),0)</f>
        <v>0</v>
      </c>
      <c r="E197" s="13" t="n">
        <f aca="false">IFERROR(IF(AND(AND(B197&lt;=Eingaben!$B$11,Szenarien!$H$14="OK"),B197=Eingaben!$B$43),Eingaben!$B$44*Szenarien!$B$14*(1+Eingaben!$B$41)^(B197-1),0),0)</f>
        <v>0</v>
      </c>
      <c r="F197" s="13" t="n">
        <f aca="false">IFERROR(IF(AND(AND(B197&lt;=Eingaben!$B$11,Szenarien!$H$14="OK"),B197=Eingaben!$B$11),Eingaben!$B$45*Szenarien!$B$14,0),0)</f>
        <v>0</v>
      </c>
      <c r="G197" s="13" t="n">
        <f aca="false">C197-D197-E197+F197</f>
        <v>0</v>
      </c>
      <c r="H197" s="13" t="n">
        <f aca="false">IFERROR(IF(AND(B197&lt;=Eingaben!$B$11,Szenarien!$H$14="OK"),1/(1+Eingaben!$B$39+Szenarien!$G$14)^B197,0),0)</f>
        <v>0</v>
      </c>
      <c r="I197" s="13" t="n">
        <f aca="false">G197*H197</f>
        <v>0</v>
      </c>
      <c r="J197" s="13" t="n">
        <f aca="false">(D197+E197-F197)*H197</f>
        <v>0</v>
      </c>
      <c r="K197" s="13" t="n">
        <f aca="false">IF(AND(B197&lt;=Eingaben!$B$11,Szenarien!$H$14="OK"),SUM(Variantenbilanz!K1103:K1468)*H197,0)</f>
        <v>0</v>
      </c>
    </row>
    <row r="198" customFormat="false" ht="16.4" hidden="false" customHeight="false" outlineLevel="0" collapsed="false">
      <c r="A198" s="12"/>
      <c r="B198" s="15" t="n">
        <v>40</v>
      </c>
      <c r="C198" s="13" t="n">
        <f aca="false">IFERROR(IF(AND(B198&lt;=Eingaben!$B$11,Szenarien!$H$14="OK"),SUM(Variantenbilanz!K1103:K1468)*(Eingaben!$B$36*Szenarien!$C$14*(1+Eingaben!$B$40)^(B198-1)+Eingaben!$B$37*Eingaben!$B$38*(1+Eingaben!$B$46)^(B198-1)),0),0)</f>
        <v>0</v>
      </c>
      <c r="D198" s="13" t="n">
        <f aca="false">IFERROR(IF(AND(B198&lt;=Eingaben!$B$11,Szenarien!$H$14="OK"),((Eingaben!$B$32+Eingaben!$B$35)*(1+Eingaben!$B$41)^(B198-1)+SUM(Variantenbilanz!E1103:E1468)*Eingaben!$B$33*Eingaben!$B$34*(1+Eingaben!$B$42)^(B198-1))*Szenarien!$F$14,0),0)</f>
        <v>0</v>
      </c>
      <c r="E198" s="13" t="n">
        <f aca="false">IFERROR(IF(AND(AND(B198&lt;=Eingaben!$B$11,Szenarien!$H$14="OK"),B198=Eingaben!$B$43),Eingaben!$B$44*Szenarien!$B$14*(1+Eingaben!$B$41)^(B198-1),0),0)</f>
        <v>0</v>
      </c>
      <c r="F198" s="13" t="n">
        <f aca="false">IFERROR(IF(AND(AND(B198&lt;=Eingaben!$B$11,Szenarien!$H$14="OK"),B198=Eingaben!$B$11),Eingaben!$B$45*Szenarien!$B$14,0),0)</f>
        <v>0</v>
      </c>
      <c r="G198" s="13" t="n">
        <f aca="false">C198-D198-E198+F198</f>
        <v>0</v>
      </c>
      <c r="H198" s="13" t="n">
        <f aca="false">IFERROR(IF(AND(B198&lt;=Eingaben!$B$11,Szenarien!$H$14="OK"),1/(1+Eingaben!$B$39+Szenarien!$G$14)^B198,0),0)</f>
        <v>0</v>
      </c>
      <c r="I198" s="13" t="n">
        <f aca="false">G198*H198</f>
        <v>0</v>
      </c>
      <c r="J198" s="13" t="n">
        <f aca="false">(D198+E198-F198)*H198</f>
        <v>0</v>
      </c>
      <c r="K198" s="13" t="n">
        <f aca="false">IF(AND(B198&lt;=Eingaben!$B$11,Szenarien!$H$14="OK"),SUM(Variantenbilanz!K1103:K1468)*H198,0)</f>
        <v>0</v>
      </c>
    </row>
    <row r="199" customFormat="false" ht="16.4" hidden="false" customHeight="false" outlineLevel="0" collapsed="false">
      <c r="A199" s="12"/>
      <c r="B199" s="15" t="n">
        <v>41</v>
      </c>
      <c r="C199" s="13" t="n">
        <f aca="false">IFERROR(IF(AND(B199&lt;=Eingaben!$B$11,Szenarien!$H$14="OK"),SUM(Variantenbilanz!K1103:K1468)*(Eingaben!$B$36*Szenarien!$C$14*(1+Eingaben!$B$40)^(B199-1)+Eingaben!$B$37*Eingaben!$B$38*(1+Eingaben!$B$46)^(B199-1)),0),0)</f>
        <v>0</v>
      </c>
      <c r="D199" s="13" t="n">
        <f aca="false">IFERROR(IF(AND(B199&lt;=Eingaben!$B$11,Szenarien!$H$14="OK"),((Eingaben!$B$32+Eingaben!$B$35)*(1+Eingaben!$B$41)^(B199-1)+SUM(Variantenbilanz!E1103:E1468)*Eingaben!$B$33*Eingaben!$B$34*(1+Eingaben!$B$42)^(B199-1))*Szenarien!$F$14,0),0)</f>
        <v>0</v>
      </c>
      <c r="E199" s="13" t="n">
        <f aca="false">IFERROR(IF(AND(AND(B199&lt;=Eingaben!$B$11,Szenarien!$H$14="OK"),B199=Eingaben!$B$43),Eingaben!$B$44*Szenarien!$B$14*(1+Eingaben!$B$41)^(B199-1),0),0)</f>
        <v>0</v>
      </c>
      <c r="F199" s="13" t="n">
        <f aca="false">IFERROR(IF(AND(AND(B199&lt;=Eingaben!$B$11,Szenarien!$H$14="OK"),B199=Eingaben!$B$11),Eingaben!$B$45*Szenarien!$B$14,0),0)</f>
        <v>0</v>
      </c>
      <c r="G199" s="13" t="n">
        <f aca="false">C199-D199-E199+F199</f>
        <v>0</v>
      </c>
      <c r="H199" s="13" t="n">
        <f aca="false">IFERROR(IF(AND(B199&lt;=Eingaben!$B$11,Szenarien!$H$14="OK"),1/(1+Eingaben!$B$39+Szenarien!$G$14)^B199,0),0)</f>
        <v>0</v>
      </c>
      <c r="I199" s="13" t="n">
        <f aca="false">G199*H199</f>
        <v>0</v>
      </c>
      <c r="J199" s="13" t="n">
        <f aca="false">(D199+E199-F199)*H199</f>
        <v>0</v>
      </c>
      <c r="K199" s="13" t="n">
        <f aca="false">IF(AND(B199&lt;=Eingaben!$B$11,Szenarien!$H$14="OK"),SUM(Variantenbilanz!K1103:K1468)*H199,0)</f>
        <v>0</v>
      </c>
    </row>
    <row r="200" customFormat="false" ht="16.4" hidden="false" customHeight="false" outlineLevel="0" collapsed="false">
      <c r="A200" s="12"/>
      <c r="B200" s="15" t="n">
        <v>42</v>
      </c>
      <c r="C200" s="13" t="n">
        <f aca="false">IFERROR(IF(AND(B200&lt;=Eingaben!$B$11,Szenarien!$H$14="OK"),SUM(Variantenbilanz!K1103:K1468)*(Eingaben!$B$36*Szenarien!$C$14*(1+Eingaben!$B$40)^(B200-1)+Eingaben!$B$37*Eingaben!$B$38*(1+Eingaben!$B$46)^(B200-1)),0),0)</f>
        <v>0</v>
      </c>
      <c r="D200" s="13" t="n">
        <f aca="false">IFERROR(IF(AND(B200&lt;=Eingaben!$B$11,Szenarien!$H$14="OK"),((Eingaben!$B$32+Eingaben!$B$35)*(1+Eingaben!$B$41)^(B200-1)+SUM(Variantenbilanz!E1103:E1468)*Eingaben!$B$33*Eingaben!$B$34*(1+Eingaben!$B$42)^(B200-1))*Szenarien!$F$14,0),0)</f>
        <v>0</v>
      </c>
      <c r="E200" s="13" t="n">
        <f aca="false">IFERROR(IF(AND(AND(B200&lt;=Eingaben!$B$11,Szenarien!$H$14="OK"),B200=Eingaben!$B$43),Eingaben!$B$44*Szenarien!$B$14*(1+Eingaben!$B$41)^(B200-1),0),0)</f>
        <v>0</v>
      </c>
      <c r="F200" s="13" t="n">
        <f aca="false">IFERROR(IF(AND(AND(B200&lt;=Eingaben!$B$11,Szenarien!$H$14="OK"),B200=Eingaben!$B$11),Eingaben!$B$45*Szenarien!$B$14,0),0)</f>
        <v>0</v>
      </c>
      <c r="G200" s="13" t="n">
        <f aca="false">C200-D200-E200+F200</f>
        <v>0</v>
      </c>
      <c r="H200" s="13" t="n">
        <f aca="false">IFERROR(IF(AND(B200&lt;=Eingaben!$B$11,Szenarien!$H$14="OK"),1/(1+Eingaben!$B$39+Szenarien!$G$14)^B200,0),0)</f>
        <v>0</v>
      </c>
      <c r="I200" s="13" t="n">
        <f aca="false">G200*H200</f>
        <v>0</v>
      </c>
      <c r="J200" s="13" t="n">
        <f aca="false">(D200+E200-F200)*H200</f>
        <v>0</v>
      </c>
      <c r="K200" s="13" t="n">
        <f aca="false">IF(AND(B200&lt;=Eingaben!$B$11,Szenarien!$H$14="OK"),SUM(Variantenbilanz!K1103:K1468)*H200,0)</f>
        <v>0</v>
      </c>
    </row>
    <row r="201" customFormat="false" ht="16.4" hidden="false" customHeight="false" outlineLevel="0" collapsed="false">
      <c r="A201" s="12"/>
      <c r="B201" s="15" t="n">
        <v>43</v>
      </c>
      <c r="C201" s="13" t="n">
        <f aca="false">IFERROR(IF(AND(B201&lt;=Eingaben!$B$11,Szenarien!$H$14="OK"),SUM(Variantenbilanz!K1103:K1468)*(Eingaben!$B$36*Szenarien!$C$14*(1+Eingaben!$B$40)^(B201-1)+Eingaben!$B$37*Eingaben!$B$38*(1+Eingaben!$B$46)^(B201-1)),0),0)</f>
        <v>0</v>
      </c>
      <c r="D201" s="13" t="n">
        <f aca="false">IFERROR(IF(AND(B201&lt;=Eingaben!$B$11,Szenarien!$H$14="OK"),((Eingaben!$B$32+Eingaben!$B$35)*(1+Eingaben!$B$41)^(B201-1)+SUM(Variantenbilanz!E1103:E1468)*Eingaben!$B$33*Eingaben!$B$34*(1+Eingaben!$B$42)^(B201-1))*Szenarien!$F$14,0),0)</f>
        <v>0</v>
      </c>
      <c r="E201" s="13" t="n">
        <f aca="false">IFERROR(IF(AND(AND(B201&lt;=Eingaben!$B$11,Szenarien!$H$14="OK"),B201=Eingaben!$B$43),Eingaben!$B$44*Szenarien!$B$14*(1+Eingaben!$B$41)^(B201-1),0),0)</f>
        <v>0</v>
      </c>
      <c r="F201" s="13" t="n">
        <f aca="false">IFERROR(IF(AND(AND(B201&lt;=Eingaben!$B$11,Szenarien!$H$14="OK"),B201=Eingaben!$B$11),Eingaben!$B$45*Szenarien!$B$14,0),0)</f>
        <v>0</v>
      </c>
      <c r="G201" s="13" t="n">
        <f aca="false">C201-D201-E201+F201</f>
        <v>0</v>
      </c>
      <c r="H201" s="13" t="n">
        <f aca="false">IFERROR(IF(AND(B201&lt;=Eingaben!$B$11,Szenarien!$H$14="OK"),1/(1+Eingaben!$B$39+Szenarien!$G$14)^B201,0),0)</f>
        <v>0</v>
      </c>
      <c r="I201" s="13" t="n">
        <f aca="false">G201*H201</f>
        <v>0</v>
      </c>
      <c r="J201" s="13" t="n">
        <f aca="false">(D201+E201-F201)*H201</f>
        <v>0</v>
      </c>
      <c r="K201" s="13" t="n">
        <f aca="false">IF(AND(B201&lt;=Eingaben!$B$11,Szenarien!$H$14="OK"),SUM(Variantenbilanz!K1103:K1468)*H201,0)</f>
        <v>0</v>
      </c>
    </row>
    <row r="202" customFormat="false" ht="16.4" hidden="false" customHeight="false" outlineLevel="0" collapsed="false">
      <c r="A202" s="12"/>
      <c r="B202" s="15" t="n">
        <v>44</v>
      </c>
      <c r="C202" s="13" t="n">
        <f aca="false">IFERROR(IF(AND(B202&lt;=Eingaben!$B$11,Szenarien!$H$14="OK"),SUM(Variantenbilanz!K1103:K1468)*(Eingaben!$B$36*Szenarien!$C$14*(1+Eingaben!$B$40)^(B202-1)+Eingaben!$B$37*Eingaben!$B$38*(1+Eingaben!$B$46)^(B202-1)),0),0)</f>
        <v>0</v>
      </c>
      <c r="D202" s="13" t="n">
        <f aca="false">IFERROR(IF(AND(B202&lt;=Eingaben!$B$11,Szenarien!$H$14="OK"),((Eingaben!$B$32+Eingaben!$B$35)*(1+Eingaben!$B$41)^(B202-1)+SUM(Variantenbilanz!E1103:E1468)*Eingaben!$B$33*Eingaben!$B$34*(1+Eingaben!$B$42)^(B202-1))*Szenarien!$F$14,0),0)</f>
        <v>0</v>
      </c>
      <c r="E202" s="13" t="n">
        <f aca="false">IFERROR(IF(AND(AND(B202&lt;=Eingaben!$B$11,Szenarien!$H$14="OK"),B202=Eingaben!$B$43),Eingaben!$B$44*Szenarien!$B$14*(1+Eingaben!$B$41)^(B202-1),0),0)</f>
        <v>0</v>
      </c>
      <c r="F202" s="13" t="n">
        <f aca="false">IFERROR(IF(AND(AND(B202&lt;=Eingaben!$B$11,Szenarien!$H$14="OK"),B202=Eingaben!$B$11),Eingaben!$B$45*Szenarien!$B$14,0),0)</f>
        <v>0</v>
      </c>
      <c r="G202" s="13" t="n">
        <f aca="false">C202-D202-E202+F202</f>
        <v>0</v>
      </c>
      <c r="H202" s="13" t="n">
        <f aca="false">IFERROR(IF(AND(B202&lt;=Eingaben!$B$11,Szenarien!$H$14="OK"),1/(1+Eingaben!$B$39+Szenarien!$G$14)^B202,0),0)</f>
        <v>0</v>
      </c>
      <c r="I202" s="13" t="n">
        <f aca="false">G202*H202</f>
        <v>0</v>
      </c>
      <c r="J202" s="13" t="n">
        <f aca="false">(D202+E202-F202)*H202</f>
        <v>0</v>
      </c>
      <c r="K202" s="13" t="n">
        <f aca="false">IF(AND(B202&lt;=Eingaben!$B$11,Szenarien!$H$14="OK"),SUM(Variantenbilanz!K1103:K1468)*H202,0)</f>
        <v>0</v>
      </c>
    </row>
    <row r="203" customFormat="false" ht="16.4" hidden="false" customHeight="false" outlineLevel="0" collapsed="false">
      <c r="A203" s="12"/>
      <c r="B203" s="15" t="n">
        <v>45</v>
      </c>
      <c r="C203" s="13" t="n">
        <f aca="false">IFERROR(IF(AND(B203&lt;=Eingaben!$B$11,Szenarien!$H$14="OK"),SUM(Variantenbilanz!K1103:K1468)*(Eingaben!$B$36*Szenarien!$C$14*(1+Eingaben!$B$40)^(B203-1)+Eingaben!$B$37*Eingaben!$B$38*(1+Eingaben!$B$46)^(B203-1)),0),0)</f>
        <v>0</v>
      </c>
      <c r="D203" s="13" t="n">
        <f aca="false">IFERROR(IF(AND(B203&lt;=Eingaben!$B$11,Szenarien!$H$14="OK"),((Eingaben!$B$32+Eingaben!$B$35)*(1+Eingaben!$B$41)^(B203-1)+SUM(Variantenbilanz!E1103:E1468)*Eingaben!$B$33*Eingaben!$B$34*(1+Eingaben!$B$42)^(B203-1))*Szenarien!$F$14,0),0)</f>
        <v>0</v>
      </c>
      <c r="E203" s="13" t="n">
        <f aca="false">IFERROR(IF(AND(AND(B203&lt;=Eingaben!$B$11,Szenarien!$H$14="OK"),B203=Eingaben!$B$43),Eingaben!$B$44*Szenarien!$B$14*(1+Eingaben!$B$41)^(B203-1),0),0)</f>
        <v>0</v>
      </c>
      <c r="F203" s="13" t="n">
        <f aca="false">IFERROR(IF(AND(AND(B203&lt;=Eingaben!$B$11,Szenarien!$H$14="OK"),B203=Eingaben!$B$11),Eingaben!$B$45*Szenarien!$B$14,0),0)</f>
        <v>0</v>
      </c>
      <c r="G203" s="13" t="n">
        <f aca="false">C203-D203-E203+F203</f>
        <v>0</v>
      </c>
      <c r="H203" s="13" t="n">
        <f aca="false">IFERROR(IF(AND(B203&lt;=Eingaben!$B$11,Szenarien!$H$14="OK"),1/(1+Eingaben!$B$39+Szenarien!$G$14)^B203,0),0)</f>
        <v>0</v>
      </c>
      <c r="I203" s="13" t="n">
        <f aca="false">G203*H203</f>
        <v>0</v>
      </c>
      <c r="J203" s="13" t="n">
        <f aca="false">(D203+E203-F203)*H203</f>
        <v>0</v>
      </c>
      <c r="K203" s="13" t="n">
        <f aca="false">IF(AND(B203&lt;=Eingaben!$B$11,Szenarien!$H$14="OK"),SUM(Variantenbilanz!K1103:K1468)*H203,0)</f>
        <v>0</v>
      </c>
    </row>
    <row r="204" customFormat="false" ht="16.4" hidden="false" customHeight="false" outlineLevel="0" collapsed="false">
      <c r="A204" s="12"/>
      <c r="B204" s="15" t="n">
        <v>46</v>
      </c>
      <c r="C204" s="13" t="n">
        <f aca="false">IFERROR(IF(AND(B204&lt;=Eingaben!$B$11,Szenarien!$H$14="OK"),SUM(Variantenbilanz!K1103:K1468)*(Eingaben!$B$36*Szenarien!$C$14*(1+Eingaben!$B$40)^(B204-1)+Eingaben!$B$37*Eingaben!$B$38*(1+Eingaben!$B$46)^(B204-1)),0),0)</f>
        <v>0</v>
      </c>
      <c r="D204" s="13" t="n">
        <f aca="false">IFERROR(IF(AND(B204&lt;=Eingaben!$B$11,Szenarien!$H$14="OK"),((Eingaben!$B$32+Eingaben!$B$35)*(1+Eingaben!$B$41)^(B204-1)+SUM(Variantenbilanz!E1103:E1468)*Eingaben!$B$33*Eingaben!$B$34*(1+Eingaben!$B$42)^(B204-1))*Szenarien!$F$14,0),0)</f>
        <v>0</v>
      </c>
      <c r="E204" s="13" t="n">
        <f aca="false">IFERROR(IF(AND(AND(B204&lt;=Eingaben!$B$11,Szenarien!$H$14="OK"),B204=Eingaben!$B$43),Eingaben!$B$44*Szenarien!$B$14*(1+Eingaben!$B$41)^(B204-1),0),0)</f>
        <v>0</v>
      </c>
      <c r="F204" s="13" t="n">
        <f aca="false">IFERROR(IF(AND(AND(B204&lt;=Eingaben!$B$11,Szenarien!$H$14="OK"),B204=Eingaben!$B$11),Eingaben!$B$45*Szenarien!$B$14,0),0)</f>
        <v>0</v>
      </c>
      <c r="G204" s="13" t="n">
        <f aca="false">C204-D204-E204+F204</f>
        <v>0</v>
      </c>
      <c r="H204" s="13" t="n">
        <f aca="false">IFERROR(IF(AND(B204&lt;=Eingaben!$B$11,Szenarien!$H$14="OK"),1/(1+Eingaben!$B$39+Szenarien!$G$14)^B204,0),0)</f>
        <v>0</v>
      </c>
      <c r="I204" s="13" t="n">
        <f aca="false">G204*H204</f>
        <v>0</v>
      </c>
      <c r="J204" s="13" t="n">
        <f aca="false">(D204+E204-F204)*H204</f>
        <v>0</v>
      </c>
      <c r="K204" s="13" t="n">
        <f aca="false">IF(AND(B204&lt;=Eingaben!$B$11,Szenarien!$H$14="OK"),SUM(Variantenbilanz!K1103:K1468)*H204,0)</f>
        <v>0</v>
      </c>
    </row>
    <row r="205" customFormat="false" ht="16.4" hidden="false" customHeight="false" outlineLevel="0" collapsed="false">
      <c r="A205" s="12"/>
      <c r="B205" s="15" t="n">
        <v>47</v>
      </c>
      <c r="C205" s="13" t="n">
        <f aca="false">IFERROR(IF(AND(B205&lt;=Eingaben!$B$11,Szenarien!$H$14="OK"),SUM(Variantenbilanz!K1103:K1468)*(Eingaben!$B$36*Szenarien!$C$14*(1+Eingaben!$B$40)^(B205-1)+Eingaben!$B$37*Eingaben!$B$38*(1+Eingaben!$B$46)^(B205-1)),0),0)</f>
        <v>0</v>
      </c>
      <c r="D205" s="13" t="n">
        <f aca="false">IFERROR(IF(AND(B205&lt;=Eingaben!$B$11,Szenarien!$H$14="OK"),((Eingaben!$B$32+Eingaben!$B$35)*(1+Eingaben!$B$41)^(B205-1)+SUM(Variantenbilanz!E1103:E1468)*Eingaben!$B$33*Eingaben!$B$34*(1+Eingaben!$B$42)^(B205-1))*Szenarien!$F$14,0),0)</f>
        <v>0</v>
      </c>
      <c r="E205" s="13" t="n">
        <f aca="false">IFERROR(IF(AND(AND(B205&lt;=Eingaben!$B$11,Szenarien!$H$14="OK"),B205=Eingaben!$B$43),Eingaben!$B$44*Szenarien!$B$14*(1+Eingaben!$B$41)^(B205-1),0),0)</f>
        <v>0</v>
      </c>
      <c r="F205" s="13" t="n">
        <f aca="false">IFERROR(IF(AND(AND(B205&lt;=Eingaben!$B$11,Szenarien!$H$14="OK"),B205=Eingaben!$B$11),Eingaben!$B$45*Szenarien!$B$14,0),0)</f>
        <v>0</v>
      </c>
      <c r="G205" s="13" t="n">
        <f aca="false">C205-D205-E205+F205</f>
        <v>0</v>
      </c>
      <c r="H205" s="13" t="n">
        <f aca="false">IFERROR(IF(AND(B205&lt;=Eingaben!$B$11,Szenarien!$H$14="OK"),1/(1+Eingaben!$B$39+Szenarien!$G$14)^B205,0),0)</f>
        <v>0</v>
      </c>
      <c r="I205" s="13" t="n">
        <f aca="false">G205*H205</f>
        <v>0</v>
      </c>
      <c r="J205" s="13" t="n">
        <f aca="false">(D205+E205-F205)*H205</f>
        <v>0</v>
      </c>
      <c r="K205" s="13" t="n">
        <f aca="false">IF(AND(B205&lt;=Eingaben!$B$11,Szenarien!$H$14="OK"),SUM(Variantenbilanz!K1103:K1468)*H205,0)</f>
        <v>0</v>
      </c>
    </row>
    <row r="206" customFormat="false" ht="16.4" hidden="false" customHeight="false" outlineLevel="0" collapsed="false">
      <c r="A206" s="12"/>
      <c r="B206" s="15" t="n">
        <v>48</v>
      </c>
      <c r="C206" s="13" t="n">
        <f aca="false">IFERROR(IF(AND(B206&lt;=Eingaben!$B$11,Szenarien!$H$14="OK"),SUM(Variantenbilanz!K1103:K1468)*(Eingaben!$B$36*Szenarien!$C$14*(1+Eingaben!$B$40)^(B206-1)+Eingaben!$B$37*Eingaben!$B$38*(1+Eingaben!$B$46)^(B206-1)),0),0)</f>
        <v>0</v>
      </c>
      <c r="D206" s="13" t="n">
        <f aca="false">IFERROR(IF(AND(B206&lt;=Eingaben!$B$11,Szenarien!$H$14="OK"),((Eingaben!$B$32+Eingaben!$B$35)*(1+Eingaben!$B$41)^(B206-1)+SUM(Variantenbilanz!E1103:E1468)*Eingaben!$B$33*Eingaben!$B$34*(1+Eingaben!$B$42)^(B206-1))*Szenarien!$F$14,0),0)</f>
        <v>0</v>
      </c>
      <c r="E206" s="13" t="n">
        <f aca="false">IFERROR(IF(AND(AND(B206&lt;=Eingaben!$B$11,Szenarien!$H$14="OK"),B206=Eingaben!$B$43),Eingaben!$B$44*Szenarien!$B$14*(1+Eingaben!$B$41)^(B206-1),0),0)</f>
        <v>0</v>
      </c>
      <c r="F206" s="13" t="n">
        <f aca="false">IFERROR(IF(AND(AND(B206&lt;=Eingaben!$B$11,Szenarien!$H$14="OK"),B206=Eingaben!$B$11),Eingaben!$B$45*Szenarien!$B$14,0),0)</f>
        <v>0</v>
      </c>
      <c r="G206" s="13" t="n">
        <f aca="false">C206-D206-E206+F206</f>
        <v>0</v>
      </c>
      <c r="H206" s="13" t="n">
        <f aca="false">IFERROR(IF(AND(B206&lt;=Eingaben!$B$11,Szenarien!$H$14="OK"),1/(1+Eingaben!$B$39+Szenarien!$G$14)^B206,0),0)</f>
        <v>0</v>
      </c>
      <c r="I206" s="13" t="n">
        <f aca="false">G206*H206</f>
        <v>0</v>
      </c>
      <c r="J206" s="13" t="n">
        <f aca="false">(D206+E206-F206)*H206</f>
        <v>0</v>
      </c>
      <c r="K206" s="13" t="n">
        <f aca="false">IF(AND(B206&lt;=Eingaben!$B$11,Szenarien!$H$14="OK"),SUM(Variantenbilanz!K1103:K1468)*H206,0)</f>
        <v>0</v>
      </c>
    </row>
    <row r="207" customFormat="false" ht="16.4" hidden="false" customHeight="false" outlineLevel="0" collapsed="false">
      <c r="A207" s="12"/>
      <c r="B207" s="15" t="n">
        <v>49</v>
      </c>
      <c r="C207" s="13" t="n">
        <f aca="false">IFERROR(IF(AND(B207&lt;=Eingaben!$B$11,Szenarien!$H$14="OK"),SUM(Variantenbilanz!K1103:K1468)*(Eingaben!$B$36*Szenarien!$C$14*(1+Eingaben!$B$40)^(B207-1)+Eingaben!$B$37*Eingaben!$B$38*(1+Eingaben!$B$46)^(B207-1)),0),0)</f>
        <v>0</v>
      </c>
      <c r="D207" s="13" t="n">
        <f aca="false">IFERROR(IF(AND(B207&lt;=Eingaben!$B$11,Szenarien!$H$14="OK"),((Eingaben!$B$32+Eingaben!$B$35)*(1+Eingaben!$B$41)^(B207-1)+SUM(Variantenbilanz!E1103:E1468)*Eingaben!$B$33*Eingaben!$B$34*(1+Eingaben!$B$42)^(B207-1))*Szenarien!$F$14,0),0)</f>
        <v>0</v>
      </c>
      <c r="E207" s="13" t="n">
        <f aca="false">IFERROR(IF(AND(AND(B207&lt;=Eingaben!$B$11,Szenarien!$H$14="OK"),B207=Eingaben!$B$43),Eingaben!$B$44*Szenarien!$B$14*(1+Eingaben!$B$41)^(B207-1),0),0)</f>
        <v>0</v>
      </c>
      <c r="F207" s="13" t="n">
        <f aca="false">IFERROR(IF(AND(AND(B207&lt;=Eingaben!$B$11,Szenarien!$H$14="OK"),B207=Eingaben!$B$11),Eingaben!$B$45*Szenarien!$B$14,0),0)</f>
        <v>0</v>
      </c>
      <c r="G207" s="13" t="n">
        <f aca="false">C207-D207-E207+F207</f>
        <v>0</v>
      </c>
      <c r="H207" s="13" t="n">
        <f aca="false">IFERROR(IF(AND(B207&lt;=Eingaben!$B$11,Szenarien!$H$14="OK"),1/(1+Eingaben!$B$39+Szenarien!$G$14)^B207,0),0)</f>
        <v>0</v>
      </c>
      <c r="I207" s="13" t="n">
        <f aca="false">G207*H207</f>
        <v>0</v>
      </c>
      <c r="J207" s="13" t="n">
        <f aca="false">(D207+E207-F207)*H207</f>
        <v>0</v>
      </c>
      <c r="K207" s="13" t="n">
        <f aca="false">IF(AND(B207&lt;=Eingaben!$B$11,Szenarien!$H$14="OK"),SUM(Variantenbilanz!K1103:K1468)*H207,0)</f>
        <v>0</v>
      </c>
    </row>
    <row r="208" customFormat="false" ht="16.4" hidden="false" customHeight="false" outlineLevel="0" collapsed="false">
      <c r="A208" s="12"/>
      <c r="B208" s="15" t="n">
        <v>50</v>
      </c>
      <c r="C208" s="13" t="n">
        <f aca="false">IFERROR(IF(AND(B208&lt;=Eingaben!$B$11,Szenarien!$H$14="OK"),SUM(Variantenbilanz!K1103:K1468)*(Eingaben!$B$36*Szenarien!$C$14*(1+Eingaben!$B$40)^(B208-1)+Eingaben!$B$37*Eingaben!$B$38*(1+Eingaben!$B$46)^(B208-1)),0),0)</f>
        <v>0</v>
      </c>
      <c r="D208" s="13" t="n">
        <f aca="false">IFERROR(IF(AND(B208&lt;=Eingaben!$B$11,Szenarien!$H$14="OK"),((Eingaben!$B$32+Eingaben!$B$35)*(1+Eingaben!$B$41)^(B208-1)+SUM(Variantenbilanz!E1103:E1468)*Eingaben!$B$33*Eingaben!$B$34*(1+Eingaben!$B$42)^(B208-1))*Szenarien!$F$14,0),0)</f>
        <v>0</v>
      </c>
      <c r="E208" s="13" t="n">
        <f aca="false">IFERROR(IF(AND(AND(B208&lt;=Eingaben!$B$11,Szenarien!$H$14="OK"),B208=Eingaben!$B$43),Eingaben!$B$44*Szenarien!$B$14*(1+Eingaben!$B$41)^(B208-1),0),0)</f>
        <v>0</v>
      </c>
      <c r="F208" s="13" t="n">
        <f aca="false">IFERROR(IF(AND(AND(B208&lt;=Eingaben!$B$11,Szenarien!$H$14="OK"),B208=Eingaben!$B$11),Eingaben!$B$45*Szenarien!$B$14,0),0)</f>
        <v>0</v>
      </c>
      <c r="G208" s="13" t="n">
        <f aca="false">C208-D208-E208+F208</f>
        <v>0</v>
      </c>
      <c r="H208" s="13" t="n">
        <f aca="false">IFERROR(IF(AND(B208&lt;=Eingaben!$B$11,Szenarien!$H$14="OK"),1/(1+Eingaben!$B$39+Szenarien!$G$14)^B208,0),0)</f>
        <v>0</v>
      </c>
      <c r="I208" s="13" t="n">
        <f aca="false">G208*H208</f>
        <v>0</v>
      </c>
      <c r="J208" s="13" t="n">
        <f aca="false">(D208+E208-F208)*H208</f>
        <v>0</v>
      </c>
      <c r="K208" s="13" t="n">
        <f aca="false">IF(AND(B208&lt;=Eingaben!$B$11,Szenarien!$H$14="OK"),SUM(Variantenbilanz!K1103:K1468)*H208,0)</f>
        <v>0</v>
      </c>
    </row>
    <row r="209" customFormat="false" ht="31.3" hidden="false" customHeight="false" outlineLevel="0" collapsed="false">
      <c r="A209" s="12" t="s">
        <v>331</v>
      </c>
      <c r="B209" s="15" t="n">
        <v>0</v>
      </c>
      <c r="C209" s="13" t="n">
        <f aca="false">0</f>
        <v>0</v>
      </c>
      <c r="D209" s="13" t="n">
        <f aca="false">0</f>
        <v>0</v>
      </c>
      <c r="E209" s="13" t="n">
        <f aca="false">MAX(0,Berechnung!$B$13*Szenarien!$B$15-MIN(Eingaben!$B$31,Berechnung!$B$13*Szenarien!$B$15))</f>
        <v>30000</v>
      </c>
      <c r="F209" s="13" t="n">
        <f aca="false">0</f>
        <v>0</v>
      </c>
      <c r="G209" s="13" t="n">
        <f aca="false">-E209</f>
        <v>-30000</v>
      </c>
      <c r="H209" s="13" t="n">
        <f aca="false">1</f>
        <v>1</v>
      </c>
      <c r="I209" s="13" t="n">
        <f aca="false">G209</f>
        <v>-30000</v>
      </c>
      <c r="J209" s="13" t="n">
        <f aca="false">E209</f>
        <v>30000</v>
      </c>
      <c r="K209" s="13" t="n">
        <f aca="false">0</f>
        <v>0</v>
      </c>
    </row>
    <row r="210" customFormat="false" ht="16.4" hidden="false" customHeight="false" outlineLevel="0" collapsed="false">
      <c r="A210" s="12"/>
      <c r="B210" s="15" t="n">
        <v>1</v>
      </c>
      <c r="C210" s="13" t="n">
        <f aca="false">IFERROR(IF(AND(B210&lt;=Eingaben!$B$11,Szenarien!$H$15="OK"),SUM(Variantenbilanz!K1469:K1834)*(Eingaben!$B$36*Szenarien!$C$15*(1+Eingaben!$B$40)^(B210-1)+Eingaben!$B$37*Eingaben!$B$38*(1+Eingaben!$B$46)^(B210-1)),0),0)</f>
        <v>1388.474393</v>
      </c>
      <c r="D210" s="13" t="n">
        <f aca="false">IFERROR(IF(AND(B210&lt;=Eingaben!$B$11,Szenarien!$H$15="OK"),((Eingaben!$B$32+Eingaben!$B$35)*(1+Eingaben!$B$41)^(B210-1)+SUM(Variantenbilanz!E1469:E1834)*Eingaben!$B$33*Eingaben!$B$34*(1+Eingaben!$B$42)^(B210-1))*Szenarien!$F$15,0),0)</f>
        <v>781.527</v>
      </c>
      <c r="E210" s="13" t="n">
        <f aca="false">IFERROR(IF(AND(AND(B210&lt;=Eingaben!$B$11,Szenarien!$H$15="OK"),B210=Eingaben!$B$43),Eingaben!$B$44*Szenarien!$B$15*(1+Eingaben!$B$41)^(B210-1),0),0)</f>
        <v>0</v>
      </c>
      <c r="F210" s="13" t="n">
        <f aca="false">IFERROR(IF(AND(AND(B210&lt;=Eingaben!$B$11,Szenarien!$H$15="OK"),B210=Eingaben!$B$11),Eingaben!$B$45*Szenarien!$B$15,0),0)</f>
        <v>0</v>
      </c>
      <c r="G210" s="13" t="n">
        <f aca="false">C210-D210-E210+F210</f>
        <v>606.947393</v>
      </c>
      <c r="H210" s="13" t="n">
        <f aca="false">IFERROR(IF(AND(B210&lt;=Eingaben!$B$11,Szenarien!$H$15="OK"),1/(1+Eingaben!$B$39+Szenarien!$G$15)^B210,0),0)</f>
        <v>0.970873786407767</v>
      </c>
      <c r="I210" s="13" t="n">
        <f aca="false">G210*H210</f>
        <v>589.269313592233</v>
      </c>
      <c r="J210" s="13" t="n">
        <f aca="false">(D210+E210-F210)*H210</f>
        <v>758.764077669903</v>
      </c>
      <c r="K210" s="13" t="n">
        <f aca="false">IF(AND(B210&lt;=Eingaben!$B$11,Szenarien!$H$15="OK"),SUM(Variantenbilanz!K1469:K1834)*H210,0)</f>
        <v>539.213356504854</v>
      </c>
    </row>
    <row r="211" customFormat="false" ht="16.4" hidden="false" customHeight="false" outlineLevel="0" collapsed="false">
      <c r="A211" s="12"/>
      <c r="B211" s="15" t="n">
        <v>2</v>
      </c>
      <c r="C211" s="13" t="n">
        <f aca="false">IFERROR(IF(AND(B211&lt;=Eingaben!$B$11,Szenarien!$H$15="OK"),SUM(Variantenbilanz!K1469:K1834)*(Eingaben!$B$36*Szenarien!$C$15*(1+Eingaben!$B$40)^(B211-1)+Eingaben!$B$37*Eingaben!$B$38*(1+Eingaben!$B$46)^(B211-1)),0),0)</f>
        <v>1416.24388086</v>
      </c>
      <c r="D211" s="13" t="n">
        <f aca="false">IFERROR(IF(AND(B211&lt;=Eingaben!$B$11,Szenarien!$H$15="OK"),((Eingaben!$B$32+Eingaben!$B$35)*(1+Eingaben!$B$41)^(B211-1)+SUM(Variantenbilanz!E1469:E1834)*Eingaben!$B$33*Eingaben!$B$34*(1+Eingaben!$B$42)^(B211-1))*Szenarien!$F$15,0),0)</f>
        <v>797.15754</v>
      </c>
      <c r="E211" s="13" t="n">
        <f aca="false">IFERROR(IF(AND(AND(B211&lt;=Eingaben!$B$11,Szenarien!$H$15="OK"),B211=Eingaben!$B$43),Eingaben!$B$44*Szenarien!$B$15*(1+Eingaben!$B$41)^(B211-1),0),0)</f>
        <v>0</v>
      </c>
      <c r="F211" s="13" t="n">
        <f aca="false">IFERROR(IF(AND(AND(B211&lt;=Eingaben!$B$11,Szenarien!$H$15="OK"),B211=Eingaben!$B$11),Eingaben!$B$45*Szenarien!$B$15,0),0)</f>
        <v>0</v>
      </c>
      <c r="G211" s="13" t="n">
        <f aca="false">C211-D211-E211+F211</f>
        <v>619.08634086</v>
      </c>
      <c r="H211" s="13" t="n">
        <f aca="false">IFERROR(IF(AND(B211&lt;=Eingaben!$B$11,Szenarien!$H$15="OK"),1/(1+Eingaben!$B$39+Szenarien!$G$15)^B211,0),0)</f>
        <v>0.942595909133754</v>
      </c>
      <c r="I211" s="13" t="n">
        <f aca="false">G211*H211</f>
        <v>583.548252295221</v>
      </c>
      <c r="J211" s="13" t="n">
        <f aca="false">(D211+E211-F211)*H211</f>
        <v>751.397436139127</v>
      </c>
      <c r="K211" s="13" t="n">
        <f aca="false">IF(AND(B211&lt;=Eingaben!$B$11,Szenarien!$H$15="OK"),SUM(Variantenbilanz!K1469:K1834)*H211,0)</f>
        <v>523.508113111509</v>
      </c>
    </row>
    <row r="212" customFormat="false" ht="16.4" hidden="false" customHeight="false" outlineLevel="0" collapsed="false">
      <c r="A212" s="12"/>
      <c r="B212" s="15" t="n">
        <v>3</v>
      </c>
      <c r="C212" s="13" t="n">
        <f aca="false">IFERROR(IF(AND(B212&lt;=Eingaben!$B$11,Szenarien!$H$15="OK"),SUM(Variantenbilanz!K1469:K1834)*(Eingaben!$B$36*Szenarien!$C$15*(1+Eingaben!$B$40)^(B212-1)+Eingaben!$B$37*Eingaben!$B$38*(1+Eingaben!$B$46)^(B212-1)),0),0)</f>
        <v>1444.5687584772</v>
      </c>
      <c r="D212" s="13" t="n">
        <f aca="false">IFERROR(IF(AND(B212&lt;=Eingaben!$B$11,Szenarien!$H$15="OK"),((Eingaben!$B$32+Eingaben!$B$35)*(1+Eingaben!$B$41)^(B212-1)+SUM(Variantenbilanz!E1469:E1834)*Eingaben!$B$33*Eingaben!$B$34*(1+Eingaben!$B$42)^(B212-1))*Szenarien!$F$15,0),0)</f>
        <v>813.1006908</v>
      </c>
      <c r="E212" s="13" t="n">
        <f aca="false">IFERROR(IF(AND(AND(B212&lt;=Eingaben!$B$11,Szenarien!$H$15="OK"),B212=Eingaben!$B$43),Eingaben!$B$44*Szenarien!$B$15*(1+Eingaben!$B$41)^(B212-1),0),0)</f>
        <v>0</v>
      </c>
      <c r="F212" s="13" t="n">
        <f aca="false">IFERROR(IF(AND(AND(B212&lt;=Eingaben!$B$11,Szenarien!$H$15="OK"),B212=Eingaben!$B$11),Eingaben!$B$45*Szenarien!$B$15,0),0)</f>
        <v>0</v>
      </c>
      <c r="G212" s="13" t="n">
        <f aca="false">C212-D212-E212+F212</f>
        <v>631.4680676772</v>
      </c>
      <c r="H212" s="13" t="n">
        <f aca="false">IFERROR(IF(AND(B212&lt;=Eingaben!$B$11,Szenarien!$H$15="OK"),1/(1+Eingaben!$B$39+Szenarien!$G$15)^B212,0),0)</f>
        <v>0.91514165935316</v>
      </c>
      <c r="I212" s="13" t="n">
        <f aca="false">G212*H212</f>
        <v>577.882735282646</v>
      </c>
      <c r="J212" s="13" t="n">
        <f aca="false">(D212+E212-F212)*H212</f>
        <v>744.102315399912</v>
      </c>
      <c r="K212" s="13" t="n">
        <f aca="false">IF(AND(B212&lt;=Eingaben!$B$11,Szenarien!$H$15="OK"),SUM(Variantenbilanz!K1469:K1834)*H212,0)</f>
        <v>508.260303991756</v>
      </c>
    </row>
    <row r="213" customFormat="false" ht="16.4" hidden="false" customHeight="false" outlineLevel="0" collapsed="false">
      <c r="A213" s="12"/>
      <c r="B213" s="15" t="n">
        <v>4</v>
      </c>
      <c r="C213" s="13" t="n">
        <f aca="false">IFERROR(IF(AND(B213&lt;=Eingaben!$B$11,Szenarien!$H$15="OK"),SUM(Variantenbilanz!K1469:K1834)*(Eingaben!$B$36*Szenarien!$C$15*(1+Eingaben!$B$40)^(B213-1)+Eingaben!$B$37*Eingaben!$B$38*(1+Eingaben!$B$46)^(B213-1)),0),0)</f>
        <v>1473.46013364674</v>
      </c>
      <c r="D213" s="13" t="n">
        <f aca="false">IFERROR(IF(AND(B213&lt;=Eingaben!$B$11,Szenarien!$H$15="OK"),((Eingaben!$B$32+Eingaben!$B$35)*(1+Eingaben!$B$41)^(B213-1)+SUM(Variantenbilanz!E1469:E1834)*Eingaben!$B$33*Eingaben!$B$34*(1+Eingaben!$B$42)^(B213-1))*Szenarien!$F$15,0),0)</f>
        <v>829.362704616</v>
      </c>
      <c r="E213" s="13" t="n">
        <f aca="false">IFERROR(IF(AND(AND(B213&lt;=Eingaben!$B$11,Szenarien!$H$15="OK"),B213=Eingaben!$B$43),Eingaben!$B$44*Szenarien!$B$15*(1+Eingaben!$B$41)^(B213-1),0),0)</f>
        <v>0</v>
      </c>
      <c r="F213" s="13" t="n">
        <f aca="false">IFERROR(IF(AND(AND(B213&lt;=Eingaben!$B$11,Szenarien!$H$15="OK"),B213=Eingaben!$B$11),Eingaben!$B$45*Szenarien!$B$15,0),0)</f>
        <v>0</v>
      </c>
      <c r="G213" s="13" t="n">
        <f aca="false">C213-D213-E213+F213</f>
        <v>644.097429030744</v>
      </c>
      <c r="H213" s="13" t="n">
        <f aca="false">IFERROR(IF(AND(B213&lt;=Eingaben!$B$11,Szenarien!$H$15="OK"),1/(1+Eingaben!$B$39+Szenarien!$G$15)^B213,0),0)</f>
        <v>0.888487047915689</v>
      </c>
      <c r="I213" s="13" t="n">
        <f aca="false">G213*H213</f>
        <v>572.272223289611</v>
      </c>
      <c r="J213" s="13" t="n">
        <f aca="false">(D213+E213-F213)*H213</f>
        <v>736.878021075641</v>
      </c>
      <c r="K213" s="13" t="n">
        <f aca="false">IF(AND(B213&lt;=Eingaben!$B$11,Szenarien!$H$15="OK"),SUM(Variantenbilanz!K1469:K1834)*H213,0)</f>
        <v>493.456605817239</v>
      </c>
    </row>
    <row r="214" customFormat="false" ht="16.4" hidden="false" customHeight="false" outlineLevel="0" collapsed="false">
      <c r="A214" s="12"/>
      <c r="B214" s="15" t="n">
        <v>5</v>
      </c>
      <c r="C214" s="13" t="n">
        <f aca="false">IFERROR(IF(AND(B214&lt;=Eingaben!$B$11,Szenarien!$H$15="OK"),SUM(Variantenbilanz!K1469:K1834)*(Eingaben!$B$36*Szenarien!$C$15*(1+Eingaben!$B$40)^(B214-1)+Eingaben!$B$37*Eingaben!$B$38*(1+Eingaben!$B$46)^(B214-1)),0),0)</f>
        <v>1502.92933631968</v>
      </c>
      <c r="D214" s="13" t="n">
        <f aca="false">IFERROR(IF(AND(B214&lt;=Eingaben!$B$11,Szenarien!$H$15="OK"),((Eingaben!$B$32+Eingaben!$B$35)*(1+Eingaben!$B$41)^(B214-1)+SUM(Variantenbilanz!E1469:E1834)*Eingaben!$B$33*Eingaben!$B$34*(1+Eingaben!$B$42)^(B214-1))*Szenarien!$F$15,0),0)</f>
        <v>845.94995870832</v>
      </c>
      <c r="E214" s="13" t="n">
        <f aca="false">IFERROR(IF(AND(AND(B214&lt;=Eingaben!$B$11,Szenarien!$H$15="OK"),B214=Eingaben!$B$43),Eingaben!$B$44*Szenarien!$B$15*(1+Eingaben!$B$41)^(B214-1),0),0)</f>
        <v>0</v>
      </c>
      <c r="F214" s="13" t="n">
        <f aca="false">IFERROR(IF(AND(AND(B214&lt;=Eingaben!$B$11,Szenarien!$H$15="OK"),B214=Eingaben!$B$11),Eingaben!$B$45*Szenarien!$B$15,0),0)</f>
        <v>0</v>
      </c>
      <c r="G214" s="13" t="n">
        <f aca="false">C214-D214-E214+F214</f>
        <v>656.979377611359</v>
      </c>
      <c r="H214" s="13" t="n">
        <f aca="false">IFERROR(IF(AND(B214&lt;=Eingaben!$B$11,Szenarien!$H$15="OK"),1/(1+Eingaben!$B$39+Szenarien!$G$15)^B214,0),0)</f>
        <v>0.862608784384164</v>
      </c>
      <c r="I214" s="13" t="n">
        <f aca="false">G214*H214</f>
        <v>566.716182286799</v>
      </c>
      <c r="J214" s="13" t="n">
        <f aca="false">(D214+E214-F214)*H214</f>
        <v>729.723865531218</v>
      </c>
      <c r="K214" s="13" t="n">
        <f aca="false">IF(AND(B214&lt;=Eingaben!$B$11,Szenarien!$H$15="OK"),SUM(Variantenbilanz!K1469:K1834)*H214,0)</f>
        <v>479.084083317708</v>
      </c>
    </row>
    <row r="215" customFormat="false" ht="16.4" hidden="false" customHeight="false" outlineLevel="0" collapsed="false">
      <c r="A215" s="12"/>
      <c r="B215" s="15" t="n">
        <v>6</v>
      </c>
      <c r="C215" s="13" t="n">
        <f aca="false">IFERROR(IF(AND(B215&lt;=Eingaben!$B$11,Szenarien!$H$15="OK"),SUM(Variantenbilanz!K1469:K1834)*(Eingaben!$B$36*Szenarien!$C$15*(1+Eingaben!$B$40)^(B215-1)+Eingaben!$B$37*Eingaben!$B$38*(1+Eingaben!$B$46)^(B215-1)),0),0)</f>
        <v>1532.98792304607</v>
      </c>
      <c r="D215" s="13" t="n">
        <f aca="false">IFERROR(IF(AND(B215&lt;=Eingaben!$B$11,Szenarien!$H$15="OK"),((Eingaben!$B$32+Eingaben!$B$35)*(1+Eingaben!$B$41)^(B215-1)+SUM(Variantenbilanz!E1469:E1834)*Eingaben!$B$33*Eingaben!$B$34*(1+Eingaben!$B$42)^(B215-1))*Szenarien!$F$15,0),0)</f>
        <v>862.868957882486</v>
      </c>
      <c r="E215" s="13" t="n">
        <f aca="false">IFERROR(IF(AND(AND(B215&lt;=Eingaben!$B$11,Szenarien!$H$15="OK"),B215=Eingaben!$B$43),Eingaben!$B$44*Szenarien!$B$15*(1+Eingaben!$B$41)^(B215-1),0),0)</f>
        <v>0</v>
      </c>
      <c r="F215" s="13" t="n">
        <f aca="false">IFERROR(IF(AND(AND(B215&lt;=Eingaben!$B$11,Szenarien!$H$15="OK"),B215=Eingaben!$B$11),Eingaben!$B$45*Szenarien!$B$15,0),0)</f>
        <v>0</v>
      </c>
      <c r="G215" s="13" t="n">
        <f aca="false">C215-D215-E215+F215</f>
        <v>670.118965163586</v>
      </c>
      <c r="H215" s="13" t="n">
        <f aca="false">IFERROR(IF(AND(B215&lt;=Eingaben!$B$11,Szenarien!$H$15="OK"),1/(1+Eingaben!$B$39+Szenarien!$G$15)^B215,0),0)</f>
        <v>0.837484256683654</v>
      </c>
      <c r="I215" s="13" t="n">
        <f aca="false">G215*H215</f>
        <v>561.214083429646</v>
      </c>
      <c r="J215" s="13" t="n">
        <f aca="false">(D215+E215-F215)*H215</f>
        <v>722.639167807614</v>
      </c>
      <c r="K215" s="13" t="n">
        <f aca="false">IF(AND(B215&lt;=Eingaben!$B$11,Szenarien!$H$15="OK"),SUM(Variantenbilanz!K1469:K1834)*H215,0)</f>
        <v>465.130177978357</v>
      </c>
    </row>
    <row r="216" customFormat="false" ht="16.4" hidden="false" customHeight="false" outlineLevel="0" collapsed="false">
      <c r="A216" s="12"/>
      <c r="B216" s="15" t="n">
        <v>7</v>
      </c>
      <c r="C216" s="13" t="n">
        <f aca="false">IFERROR(IF(AND(B216&lt;=Eingaben!$B$11,Szenarien!$H$15="OK"),SUM(Variantenbilanz!K1469:K1834)*(Eingaben!$B$36*Szenarien!$C$15*(1+Eingaben!$B$40)^(B216-1)+Eingaben!$B$37*Eingaben!$B$38*(1+Eingaben!$B$46)^(B216-1)),0),0)</f>
        <v>1563.64768150699</v>
      </c>
      <c r="D216" s="13" t="n">
        <f aca="false">IFERROR(IF(AND(B216&lt;=Eingaben!$B$11,Szenarien!$H$15="OK"),((Eingaben!$B$32+Eingaben!$B$35)*(1+Eingaben!$B$41)^(B216-1)+SUM(Variantenbilanz!E1469:E1834)*Eingaben!$B$33*Eingaben!$B$34*(1+Eingaben!$B$42)^(B216-1))*Szenarien!$F$15,0),0)</f>
        <v>880.126337040136</v>
      </c>
      <c r="E216" s="13" t="n">
        <f aca="false">IFERROR(IF(AND(AND(B216&lt;=Eingaben!$B$11,Szenarien!$H$15="OK"),B216=Eingaben!$B$43),Eingaben!$B$44*Szenarien!$B$15*(1+Eingaben!$B$41)^(B216-1),0),0)</f>
        <v>0</v>
      </c>
      <c r="F216" s="13" t="n">
        <f aca="false">IFERROR(IF(AND(AND(B216&lt;=Eingaben!$B$11,Szenarien!$H$15="OK"),B216=Eingaben!$B$11),Eingaben!$B$45*Szenarien!$B$15,0),0)</f>
        <v>0</v>
      </c>
      <c r="G216" s="13" t="n">
        <f aca="false">C216-D216-E216+F216</f>
        <v>683.521344466858</v>
      </c>
      <c r="H216" s="13" t="n">
        <f aca="false">IFERROR(IF(AND(B216&lt;=Eingaben!$B$11,Szenarien!$H$15="OK"),1/(1+Eingaben!$B$39+Szenarien!$G$15)^B216,0),0)</f>
        <v>0.813091511343354</v>
      </c>
      <c r="I216" s="13" t="n">
        <f aca="false">G216*H216</f>
        <v>555.765403007998</v>
      </c>
      <c r="J216" s="13" t="n">
        <f aca="false">(D216+E216-F216)*H216</f>
        <v>715.623253557054</v>
      </c>
      <c r="K216" s="13" t="n">
        <f aca="false">IF(AND(B216&lt;=Eingaben!$B$11,Szenarien!$H$15="OK"),SUM(Variantenbilanz!K1469:K1834)*H216,0)</f>
        <v>451.582697066366</v>
      </c>
    </row>
    <row r="217" customFormat="false" ht="16.4" hidden="false" customHeight="false" outlineLevel="0" collapsed="false">
      <c r="A217" s="12"/>
      <c r="B217" s="15" t="n">
        <v>8</v>
      </c>
      <c r="C217" s="13" t="n">
        <f aca="false">IFERROR(IF(AND(B217&lt;=Eingaben!$B$11,Szenarien!$H$15="OK"),SUM(Variantenbilanz!K1469:K1834)*(Eingaben!$B$36*Szenarien!$C$15*(1+Eingaben!$B$40)^(B217-1)+Eingaben!$B$37*Eingaben!$B$38*(1+Eingaben!$B$46)^(B217-1)),0),0)</f>
        <v>1594.92063513713</v>
      </c>
      <c r="D217" s="13" t="n">
        <f aca="false">IFERROR(IF(AND(B217&lt;=Eingaben!$B$11,Szenarien!$H$15="OK"),((Eingaben!$B$32+Eingaben!$B$35)*(1+Eingaben!$B$41)^(B217-1)+SUM(Variantenbilanz!E1469:E1834)*Eingaben!$B$33*Eingaben!$B$34*(1+Eingaben!$B$42)^(B217-1))*Szenarien!$F$15,0),0)</f>
        <v>897.728863780939</v>
      </c>
      <c r="E217" s="13" t="n">
        <f aca="false">IFERROR(IF(AND(AND(B217&lt;=Eingaben!$B$11,Szenarien!$H$15="OK"),B217=Eingaben!$B$43),Eingaben!$B$44*Szenarien!$B$15*(1+Eingaben!$B$41)^(B217-1),0),0)</f>
        <v>0</v>
      </c>
      <c r="F217" s="13" t="n">
        <f aca="false">IFERROR(IF(AND(AND(B217&lt;=Eingaben!$B$11,Szenarien!$H$15="OK"),B217=Eingaben!$B$11),Eingaben!$B$45*Szenarien!$B$15,0),0)</f>
        <v>0</v>
      </c>
      <c r="G217" s="13" t="n">
        <f aca="false">C217-D217-E217+F217</f>
        <v>697.191771356195</v>
      </c>
      <c r="H217" s="13" t="n">
        <f aca="false">IFERROR(IF(AND(B217&lt;=Eingaben!$B$11,Szenarien!$H$15="OK"),1/(1+Eingaben!$B$39+Szenarien!$G$15)^B217,0),0)</f>
        <v>0.789409234313936</v>
      </c>
      <c r="I217" s="13" t="n">
        <f aca="false">G217*H217</f>
        <v>550.36962239627</v>
      </c>
      <c r="J217" s="13" t="n">
        <f aca="false">(D217+E217-F217)*H217</f>
        <v>708.67545497883</v>
      </c>
      <c r="K217" s="13" t="n">
        <f aca="false">IF(AND(B217&lt;=Eingaben!$B$11,Szenarien!$H$15="OK"),SUM(Variantenbilanz!K1469:K1834)*H217,0)</f>
        <v>438.429802977055</v>
      </c>
    </row>
    <row r="218" customFormat="false" ht="16.4" hidden="false" customHeight="false" outlineLevel="0" collapsed="false">
      <c r="A218" s="12"/>
      <c r="B218" s="15" t="n">
        <v>9</v>
      </c>
      <c r="C218" s="13" t="n">
        <f aca="false">IFERROR(IF(AND(B218&lt;=Eingaben!$B$11,Szenarien!$H$15="OK"),SUM(Variantenbilanz!K1469:K1834)*(Eingaben!$B$36*Szenarien!$C$15*(1+Eingaben!$B$40)^(B218-1)+Eingaben!$B$37*Eingaben!$B$38*(1+Eingaben!$B$46)^(B218-1)),0),0)</f>
        <v>1626.81904783988</v>
      </c>
      <c r="D218" s="13" t="n">
        <f aca="false">IFERROR(IF(AND(B218&lt;=Eingaben!$B$11,Szenarien!$H$15="OK"),((Eingaben!$B$32+Eingaben!$B$35)*(1+Eingaben!$B$41)^(B218-1)+SUM(Variantenbilanz!E1469:E1834)*Eingaben!$B$33*Eingaben!$B$34*(1+Eingaben!$B$42)^(B218-1))*Szenarien!$F$15,0),0)</f>
        <v>915.683441056558</v>
      </c>
      <c r="E218" s="13" t="n">
        <f aca="false">IFERROR(IF(AND(AND(B218&lt;=Eingaben!$B$11,Szenarien!$H$15="OK"),B218=Eingaben!$B$43),Eingaben!$B$44*Szenarien!$B$15*(1+Eingaben!$B$41)^(B218-1),0),0)</f>
        <v>0</v>
      </c>
      <c r="F218" s="13" t="n">
        <f aca="false">IFERROR(IF(AND(AND(B218&lt;=Eingaben!$B$11,Szenarien!$H$15="OK"),B218=Eingaben!$B$11),Eingaben!$B$45*Szenarien!$B$15,0),0)</f>
        <v>0</v>
      </c>
      <c r="G218" s="13" t="n">
        <f aca="false">C218-D218-E218+F218</f>
        <v>711.135606783319</v>
      </c>
      <c r="H218" s="13" t="n">
        <f aca="false">IFERROR(IF(AND(B218&lt;=Eingaben!$B$11,Szenarien!$H$15="OK"),1/(1+Eingaben!$B$39+Szenarien!$G$15)^B218,0),0)</f>
        <v>0.766416732343627</v>
      </c>
      <c r="I218" s="13" t="n">
        <f aca="false">G218*H218</f>
        <v>545.026228004074</v>
      </c>
      <c r="J218" s="13" t="n">
        <f aca="false">(D218+E218-F218)*H218</f>
        <v>701.795110755735</v>
      </c>
      <c r="K218" s="13" t="n">
        <f aca="false">IF(AND(B218&lt;=Eingaben!$B$11,Szenarien!$H$15="OK"),SUM(Variantenbilanz!K1469:K1834)*H218,0)</f>
        <v>425.660002890344</v>
      </c>
    </row>
    <row r="219" customFormat="false" ht="16.4" hidden="false" customHeight="false" outlineLevel="0" collapsed="false">
      <c r="A219" s="12"/>
      <c r="B219" s="15" t="n">
        <v>10</v>
      </c>
      <c r="C219" s="13" t="n">
        <f aca="false">IFERROR(IF(AND(B219&lt;=Eingaben!$B$11,Szenarien!$H$15="OK"),SUM(Variantenbilanz!K1469:K1834)*(Eingaben!$B$36*Szenarien!$C$15*(1+Eingaben!$B$40)^(B219-1)+Eingaben!$B$37*Eingaben!$B$38*(1+Eingaben!$B$46)^(B219-1)),0),0)</f>
        <v>1659.35542879667</v>
      </c>
      <c r="D219" s="13" t="n">
        <f aca="false">IFERROR(IF(AND(B219&lt;=Eingaben!$B$11,Szenarien!$H$15="OK"),((Eingaben!$B$32+Eingaben!$B$35)*(1+Eingaben!$B$41)^(B219-1)+SUM(Variantenbilanz!E1469:E1834)*Eingaben!$B$33*Eingaben!$B$34*(1+Eingaben!$B$42)^(B219-1))*Szenarien!$F$15,0),0)</f>
        <v>933.997109877689</v>
      </c>
      <c r="E219" s="13" t="n">
        <f aca="false">IFERROR(IF(AND(AND(B219&lt;=Eingaben!$B$11,Szenarien!$H$15="OK"),B219=Eingaben!$B$43),Eingaben!$B$44*Szenarien!$B$15*(1+Eingaben!$B$41)^(B219-1),0),0)</f>
        <v>5736.44432938709</v>
      </c>
      <c r="F219" s="13" t="n">
        <f aca="false">IFERROR(IF(AND(AND(B219&lt;=Eingaben!$B$11,Szenarien!$H$15="OK"),B219=Eingaben!$B$11),Eingaben!$B$45*Szenarien!$B$15,0),0)</f>
        <v>0</v>
      </c>
      <c r="G219" s="13" t="n">
        <f aca="false">C219-D219-E219+F219</f>
        <v>-5011.08601046811</v>
      </c>
      <c r="H219" s="13" t="n">
        <f aca="false">IFERROR(IF(AND(B219&lt;=Eingaben!$B$11,Szenarien!$H$15="OK"),1/(1+Eingaben!$B$39+Szenarien!$G$15)^B219,0),0)</f>
        <v>0.744093914896725</v>
      </c>
      <c r="I219" s="13" t="n">
        <f aca="false">G219*H219</f>
        <v>-3728.71860741343</v>
      </c>
      <c r="J219" s="13" t="n">
        <f aca="false">(D219+E219-F219)*H219</f>
        <v>4963.43488463188</v>
      </c>
      <c r="K219" s="13" t="n">
        <f aca="false">IF(AND(B219&lt;=Eingaben!$B$11,Szenarien!$H$15="OK"),SUM(Variantenbilanz!K1469:K1834)*H219,0)</f>
        <v>413.26213872849</v>
      </c>
    </row>
    <row r="220" customFormat="false" ht="16.4" hidden="false" customHeight="false" outlineLevel="0" collapsed="false">
      <c r="A220" s="12"/>
      <c r="B220" s="15" t="n">
        <v>11</v>
      </c>
      <c r="C220" s="13" t="n">
        <f aca="false">IFERROR(IF(AND(B220&lt;=Eingaben!$B$11,Szenarien!$H$15="OK"),SUM(Variantenbilanz!K1469:K1834)*(Eingaben!$B$36*Szenarien!$C$15*(1+Eingaben!$B$40)^(B220-1)+Eingaben!$B$37*Eingaben!$B$38*(1+Eingaben!$B$46)^(B220-1)),0),0)</f>
        <v>1692.54253737261</v>
      </c>
      <c r="D220" s="13" t="n">
        <f aca="false">IFERROR(IF(AND(B220&lt;=Eingaben!$B$11,Szenarien!$H$15="OK"),((Eingaben!$B$32+Eingaben!$B$35)*(1+Eingaben!$B$41)^(B220-1)+SUM(Variantenbilanz!E1469:E1834)*Eingaben!$B$33*Eingaben!$B$34*(1+Eingaben!$B$42)^(B220-1))*Szenarien!$F$15,0),0)</f>
        <v>952.677052075243</v>
      </c>
      <c r="E220" s="13" t="n">
        <f aca="false">IFERROR(IF(AND(AND(B220&lt;=Eingaben!$B$11,Szenarien!$H$15="OK"),B220=Eingaben!$B$43),Eingaben!$B$44*Szenarien!$B$15*(1+Eingaben!$B$41)^(B220-1),0),0)</f>
        <v>0</v>
      </c>
      <c r="F220" s="13" t="n">
        <f aca="false">IFERROR(IF(AND(AND(B220&lt;=Eingaben!$B$11,Szenarien!$H$15="OK"),B220=Eingaben!$B$11),Eingaben!$B$45*Szenarien!$B$15,0),0)</f>
        <v>0</v>
      </c>
      <c r="G220" s="13" t="n">
        <f aca="false">C220-D220-E220+F220</f>
        <v>739.865485297365</v>
      </c>
      <c r="H220" s="13" t="n">
        <f aca="false">IFERROR(IF(AND(B220&lt;=Eingaben!$B$11,Szenarien!$H$15="OK"),1/(1+Eingaben!$B$39+Szenarien!$G$15)^B220,0),0)</f>
        <v>0.722421276598762</v>
      </c>
      <c r="I220" s="13" t="n">
        <f aca="false">G220*H220</f>
        <v>534.494568399885</v>
      </c>
      <c r="J220" s="13" t="n">
        <f aca="false">(D220+E220-F220)*H220</f>
        <v>688.234172146542</v>
      </c>
      <c r="K220" s="13" t="n">
        <f aca="false">IF(AND(B220&lt;=Eingaben!$B$11,Szenarien!$H$15="OK"),SUM(Variantenbilanz!K1469:K1834)*H220,0)</f>
        <v>401.225377406301</v>
      </c>
    </row>
    <row r="221" customFormat="false" ht="16.4" hidden="false" customHeight="false" outlineLevel="0" collapsed="false">
      <c r="A221" s="12"/>
      <c r="B221" s="15" t="n">
        <v>12</v>
      </c>
      <c r="C221" s="13" t="n">
        <f aca="false">IFERROR(IF(AND(B221&lt;=Eingaben!$B$11,Szenarien!$H$15="OK"),SUM(Variantenbilanz!K1469:K1834)*(Eingaben!$B$36*Szenarien!$C$15*(1+Eingaben!$B$40)^(B221-1)+Eingaben!$B$37*Eingaben!$B$38*(1+Eingaben!$B$46)^(B221-1)),0),0)</f>
        <v>1726.39338812006</v>
      </c>
      <c r="D221" s="13" t="n">
        <f aca="false">IFERROR(IF(AND(B221&lt;=Eingaben!$B$11,Szenarien!$H$15="OK"),((Eingaben!$B$32+Eingaben!$B$35)*(1+Eingaben!$B$41)^(B221-1)+SUM(Variantenbilanz!E1469:E1834)*Eingaben!$B$33*Eingaben!$B$34*(1+Eingaben!$B$42)^(B221-1))*Szenarien!$F$15,0),0)</f>
        <v>971.730593116748</v>
      </c>
      <c r="E221" s="13" t="n">
        <f aca="false">IFERROR(IF(AND(AND(B221&lt;=Eingaben!$B$11,Szenarien!$H$15="OK"),B221=Eingaben!$B$43),Eingaben!$B$44*Szenarien!$B$15*(1+Eingaben!$B$41)^(B221-1),0),0)</f>
        <v>0</v>
      </c>
      <c r="F221" s="13" t="n">
        <f aca="false">IFERROR(IF(AND(AND(B221&lt;=Eingaben!$B$11,Szenarien!$H$15="OK"),B221=Eingaben!$B$11),Eingaben!$B$45*Szenarien!$B$15,0),0)</f>
        <v>0</v>
      </c>
      <c r="G221" s="13" t="n">
        <f aca="false">C221-D221-E221+F221</f>
        <v>754.662795003312</v>
      </c>
      <c r="H221" s="13" t="n">
        <f aca="false">IFERROR(IF(AND(B221&lt;=Eingaben!$B$11,Szenarien!$H$15="OK"),1/(1+Eingaben!$B$39+Szenarien!$G$15)^B221,0),0)</f>
        <v>0.701379880192973</v>
      </c>
      <c r="I221" s="13" t="n">
        <f aca="false">G221*H221</f>
        <v>529.305300745517</v>
      </c>
      <c r="J221" s="13" t="n">
        <f aca="false">(D221+E221-F221)*H221</f>
        <v>681.552286980071</v>
      </c>
      <c r="K221" s="13" t="n">
        <f aca="false">IF(AND(B221&lt;=Eingaben!$B$11,Szenarien!$H$15="OK"),SUM(Variantenbilanz!K1469:K1834)*H221,0)</f>
        <v>389.53920136534</v>
      </c>
    </row>
    <row r="222" customFormat="false" ht="16.4" hidden="false" customHeight="false" outlineLevel="0" collapsed="false">
      <c r="A222" s="12"/>
      <c r="B222" s="15" t="n">
        <v>13</v>
      </c>
      <c r="C222" s="13" t="n">
        <f aca="false">IFERROR(IF(AND(B222&lt;=Eingaben!$B$11,Szenarien!$H$15="OK"),SUM(Variantenbilanz!K1469:K1834)*(Eingaben!$B$36*Szenarien!$C$15*(1+Eingaben!$B$40)^(B222-1)+Eingaben!$B$37*Eingaben!$B$38*(1+Eingaben!$B$46)^(B222-1)),0),0)</f>
        <v>1760.92125588246</v>
      </c>
      <c r="D222" s="13" t="n">
        <f aca="false">IFERROR(IF(AND(B222&lt;=Eingaben!$B$11,Szenarien!$H$15="OK"),((Eingaben!$B$32+Eingaben!$B$35)*(1+Eingaben!$B$41)^(B222-1)+SUM(Variantenbilanz!E1469:E1834)*Eingaben!$B$33*Eingaben!$B$34*(1+Eingaben!$B$42)^(B222-1))*Szenarien!$F$15,0),0)</f>
        <v>991.165204979082</v>
      </c>
      <c r="E222" s="13" t="n">
        <f aca="false">IFERROR(IF(AND(AND(B222&lt;=Eingaben!$B$11,Szenarien!$H$15="OK"),B222=Eingaben!$B$43),Eingaben!$B$44*Szenarien!$B$15*(1+Eingaben!$B$41)^(B222-1),0),0)</f>
        <v>0</v>
      </c>
      <c r="F222" s="13" t="n">
        <f aca="false">IFERROR(IF(AND(AND(B222&lt;=Eingaben!$B$11,Szenarien!$H$15="OK"),B222=Eingaben!$B$11),Eingaben!$B$45*Szenarien!$B$15,0),0)</f>
        <v>0</v>
      </c>
      <c r="G222" s="13" t="n">
        <f aca="false">C222-D222-E222+F222</f>
        <v>769.756050903378</v>
      </c>
      <c r="H222" s="13" t="n">
        <f aca="false">IFERROR(IF(AND(B222&lt;=Eingaben!$B$11,Szenarien!$H$15="OK"),1/(1+Eingaben!$B$39+Szenarien!$G$15)^B222,0),0)</f>
        <v>0.680951339993178</v>
      </c>
      <c r="I222" s="13" t="n">
        <f aca="false">G222*H222</f>
        <v>524.166414330512</v>
      </c>
      <c r="J222" s="13" t="n">
        <f aca="false">(D222+E222-F222)*H222</f>
        <v>674.935274485119</v>
      </c>
      <c r="K222" s="13" t="n">
        <f aca="false">IF(AND(B222&lt;=Eingaben!$B$11,Szenarien!$H$15="OK"),SUM(Variantenbilanz!K1469:K1834)*H222,0)</f>
        <v>378.193399383825</v>
      </c>
    </row>
    <row r="223" customFormat="false" ht="16.4" hidden="false" customHeight="false" outlineLevel="0" collapsed="false">
      <c r="A223" s="12"/>
      <c r="B223" s="15" t="n">
        <v>14</v>
      </c>
      <c r="C223" s="13" t="n">
        <f aca="false">IFERROR(IF(AND(B223&lt;=Eingaben!$B$11,Szenarien!$H$15="OK"),SUM(Variantenbilanz!K1469:K1834)*(Eingaben!$B$36*Szenarien!$C$15*(1+Eingaben!$B$40)^(B223-1)+Eingaben!$B$37*Eingaben!$B$38*(1+Eingaben!$B$46)^(B223-1)),0),0)</f>
        <v>1796.13968100011</v>
      </c>
      <c r="D223" s="13" t="n">
        <f aca="false">IFERROR(IF(AND(B223&lt;=Eingaben!$B$11,Szenarien!$H$15="OK"),((Eingaben!$B$32+Eingaben!$B$35)*(1+Eingaben!$B$41)^(B223-1)+SUM(Variantenbilanz!E1469:E1834)*Eingaben!$B$33*Eingaben!$B$34*(1+Eingaben!$B$42)^(B223-1))*Szenarien!$F$15,0),0)</f>
        <v>1010.98850907866</v>
      </c>
      <c r="E223" s="13" t="n">
        <f aca="false">IFERROR(IF(AND(AND(B223&lt;=Eingaben!$B$11,Szenarien!$H$15="OK"),B223=Eingaben!$B$43),Eingaben!$B$44*Szenarien!$B$15*(1+Eingaben!$B$41)^(B223-1),0),0)</f>
        <v>0</v>
      </c>
      <c r="F223" s="13" t="n">
        <f aca="false">IFERROR(IF(AND(AND(B223&lt;=Eingaben!$B$11,Szenarien!$H$15="OK"),B223=Eingaben!$B$11),Eingaben!$B$45*Szenarien!$B$15,0),0)</f>
        <v>0</v>
      </c>
      <c r="G223" s="13" t="n">
        <f aca="false">C223-D223-E223+F223</f>
        <v>785.151171921446</v>
      </c>
      <c r="H223" s="13" t="n">
        <f aca="false">IFERROR(IF(AND(B223&lt;=Eingaben!$B$11,Szenarien!$H$15="OK"),1/(1+Eingaben!$B$39+Szenarien!$G$15)^B223,0),0)</f>
        <v>0.661117805818619</v>
      </c>
      <c r="I223" s="13" t="n">
        <f aca="false">G223*H223</f>
        <v>519.077420016624</v>
      </c>
      <c r="J223" s="13" t="n">
        <f aca="false">(D223+E223-F223)*H223</f>
        <v>668.382504829923</v>
      </c>
      <c r="K223" s="13" t="n">
        <f aca="false">IF(AND(B223&lt;=Eingaben!$B$11,Szenarien!$H$15="OK"),SUM(Variantenbilanz!K1469:K1834)*H223,0)</f>
        <v>367.178057654199</v>
      </c>
    </row>
    <row r="224" customFormat="false" ht="16.4" hidden="false" customHeight="false" outlineLevel="0" collapsed="false">
      <c r="A224" s="12"/>
      <c r="B224" s="15" t="n">
        <v>15</v>
      </c>
      <c r="C224" s="13" t="n">
        <f aca="false">IFERROR(IF(AND(B224&lt;=Eingaben!$B$11,Szenarien!$H$15="OK"),SUM(Variantenbilanz!K1469:K1834)*(Eingaben!$B$36*Szenarien!$C$15*(1+Eingaben!$B$40)^(B224-1)+Eingaben!$B$37*Eingaben!$B$38*(1+Eingaben!$B$46)^(B224-1)),0),0)</f>
        <v>1832.06247462011</v>
      </c>
      <c r="D224" s="13" t="n">
        <f aca="false">IFERROR(IF(AND(B224&lt;=Eingaben!$B$11,Szenarien!$H$15="OK"),((Eingaben!$B$32+Eingaben!$B$35)*(1+Eingaben!$B$41)^(B224-1)+SUM(Variantenbilanz!E1469:E1834)*Eingaben!$B$33*Eingaben!$B$34*(1+Eingaben!$B$42)^(B224-1))*Szenarien!$F$15,0),0)</f>
        <v>1031.20827926024</v>
      </c>
      <c r="E224" s="13" t="n">
        <f aca="false">IFERROR(IF(AND(AND(B224&lt;=Eingaben!$B$11,Szenarien!$H$15="OK"),B224=Eingaben!$B$43),Eingaben!$B$44*Szenarien!$B$15*(1+Eingaben!$B$41)^(B224-1),0),0)</f>
        <v>0</v>
      </c>
      <c r="F224" s="13" t="n">
        <f aca="false">IFERROR(IF(AND(AND(B224&lt;=Eingaben!$B$11,Szenarien!$H$15="OK"),B224=Eingaben!$B$11),Eingaben!$B$45*Szenarien!$B$15,0),0)</f>
        <v>0</v>
      </c>
      <c r="G224" s="13" t="n">
        <f aca="false">C224-D224-E224+F224</f>
        <v>800.854195359875</v>
      </c>
      <c r="H224" s="13" t="n">
        <f aca="false">IFERROR(IF(AND(B224&lt;=Eingaben!$B$11,Szenarien!$H$15="OK"),1/(1+Eingaben!$B$39+Szenarien!$G$15)^B224,0),0)</f>
        <v>0.641861947396717</v>
      </c>
      <c r="I224" s="13" t="n">
        <f aca="false">G224*H224</f>
        <v>514.037833414521</v>
      </c>
      <c r="J224" s="13" t="n">
        <f aca="false">(D224+E224-F224)*H224</f>
        <v>661.893354297594</v>
      </c>
      <c r="K224" s="13" t="n">
        <f aca="false">IF(AND(B224&lt;=Eingaben!$B$11,Szenarien!$H$15="OK"),SUM(Variantenbilanz!K1469:K1834)*H224,0)</f>
        <v>356.483551120582</v>
      </c>
    </row>
    <row r="225" customFormat="false" ht="16.4" hidden="false" customHeight="false" outlineLevel="0" collapsed="false">
      <c r="A225" s="12"/>
      <c r="B225" s="15" t="n">
        <v>16</v>
      </c>
      <c r="C225" s="13" t="n">
        <f aca="false">IFERROR(IF(AND(B225&lt;=Eingaben!$B$11,Szenarien!$H$15="OK"),SUM(Variantenbilanz!K1469:K1834)*(Eingaben!$B$36*Szenarien!$C$15*(1+Eingaben!$B$40)^(B225-1)+Eingaben!$B$37*Eingaben!$B$38*(1+Eingaben!$B$46)^(B225-1)),0),0)</f>
        <v>1868.70372411251</v>
      </c>
      <c r="D225" s="13" t="n">
        <f aca="false">IFERROR(IF(AND(B225&lt;=Eingaben!$B$11,Szenarien!$H$15="OK"),((Eingaben!$B$32+Eingaben!$B$35)*(1+Eingaben!$B$41)^(B225-1)+SUM(Variantenbilanz!E1469:E1834)*Eingaben!$B$33*Eingaben!$B$34*(1+Eingaben!$B$42)^(B225-1))*Szenarien!$F$15,0),0)</f>
        <v>1051.83244484544</v>
      </c>
      <c r="E225" s="13" t="n">
        <f aca="false">IFERROR(IF(AND(AND(B225&lt;=Eingaben!$B$11,Szenarien!$H$15="OK"),B225=Eingaben!$B$43),Eingaben!$B$44*Szenarien!$B$15*(1+Eingaben!$B$41)^(B225-1),0),0)</f>
        <v>0</v>
      </c>
      <c r="F225" s="13" t="n">
        <f aca="false">IFERROR(IF(AND(AND(B225&lt;=Eingaben!$B$11,Szenarien!$H$15="OK"),B225=Eingaben!$B$11),Eingaben!$B$45*Szenarien!$B$15,0),0)</f>
        <v>0</v>
      </c>
      <c r="G225" s="13" t="n">
        <f aca="false">C225-D225-E225+F225</f>
        <v>816.871279267072</v>
      </c>
      <c r="H225" s="13" t="n">
        <f aca="false">IFERROR(IF(AND(B225&lt;=Eingaben!$B$11,Szenarien!$H$15="OK"),1/(1+Eingaben!$B$39+Szenarien!$G$15)^B225,0),0)</f>
        <v>0.623166939220114</v>
      </c>
      <c r="I225" s="13" t="n">
        <f aca="false">G225*H225</f>
        <v>509.04717483768</v>
      </c>
      <c r="J225" s="13" t="n">
        <f aca="false">(D225+E225-F225)*H225</f>
        <v>655.467205226744</v>
      </c>
      <c r="K225" s="13" t="n">
        <f aca="false">IF(AND(B225&lt;=Eingaben!$B$11,Szenarien!$H$15="OK"),SUM(Variantenbilanz!K1469:K1834)*H225,0)</f>
        <v>346.100535068526</v>
      </c>
    </row>
    <row r="226" customFormat="false" ht="16.4" hidden="false" customHeight="false" outlineLevel="0" collapsed="false">
      <c r="A226" s="12"/>
      <c r="B226" s="15" t="n">
        <v>17</v>
      </c>
      <c r="C226" s="13" t="n">
        <f aca="false">IFERROR(IF(AND(B226&lt;=Eingaben!$B$11,Szenarien!$H$15="OK"),SUM(Variantenbilanz!K1469:K1834)*(Eingaben!$B$36*Szenarien!$C$15*(1+Eingaben!$B$40)^(B226-1)+Eingaben!$B$37*Eingaben!$B$38*(1+Eingaben!$B$46)^(B226-1)),0),0)</f>
        <v>1906.07779859477</v>
      </c>
      <c r="D226" s="13" t="n">
        <f aca="false">IFERROR(IF(AND(B226&lt;=Eingaben!$B$11,Szenarien!$H$15="OK"),((Eingaben!$B$32+Eingaben!$B$35)*(1+Eingaben!$B$41)^(B226-1)+SUM(Variantenbilanz!E1469:E1834)*Eingaben!$B$33*Eingaben!$B$34*(1+Eingaben!$B$42)^(B226-1))*Szenarien!$F$15,0),0)</f>
        <v>1072.86909374235</v>
      </c>
      <c r="E226" s="13" t="n">
        <f aca="false">IFERROR(IF(AND(AND(B226&lt;=Eingaben!$B$11,Szenarien!$H$15="OK"),B226=Eingaben!$B$43),Eingaben!$B$44*Szenarien!$B$15*(1+Eingaben!$B$41)^(B226-1),0),0)</f>
        <v>0</v>
      </c>
      <c r="F226" s="13" t="n">
        <f aca="false">IFERROR(IF(AND(AND(B226&lt;=Eingaben!$B$11,Szenarien!$H$15="OK"),B226=Eingaben!$B$11),Eingaben!$B$45*Szenarien!$B$15,0),0)</f>
        <v>0</v>
      </c>
      <c r="G226" s="13" t="n">
        <f aca="false">C226-D226-E226+F226</f>
        <v>833.208704852414</v>
      </c>
      <c r="H226" s="13" t="n">
        <f aca="false">IFERROR(IF(AND(B226&lt;=Eingaben!$B$11,Szenarien!$H$15="OK"),1/(1+Eingaben!$B$39+Szenarien!$G$15)^B226,0),0)</f>
        <v>0.605016445844771</v>
      </c>
      <c r="I226" s="13" t="n">
        <f aca="false">G226*H226</f>
        <v>504.104969256732</v>
      </c>
      <c r="J226" s="13" t="n">
        <f aca="false">(D226+E226-F226)*H226</f>
        <v>649.103445952698</v>
      </c>
      <c r="K226" s="13" t="n">
        <f aca="false">IF(AND(B226&lt;=Eingaben!$B$11,Szenarien!$H$15="OK"),SUM(Variantenbilanz!K1469:K1834)*H226,0)</f>
        <v>336.019936959734</v>
      </c>
    </row>
    <row r="227" customFormat="false" ht="16.4" hidden="false" customHeight="false" outlineLevel="0" collapsed="false">
      <c r="A227" s="12"/>
      <c r="B227" s="15" t="n">
        <v>18</v>
      </c>
      <c r="C227" s="13" t="n">
        <f aca="false">IFERROR(IF(AND(B227&lt;=Eingaben!$B$11,Szenarien!$H$15="OK"),SUM(Variantenbilanz!K1469:K1834)*(Eingaben!$B$36*Szenarien!$C$15*(1+Eingaben!$B$40)^(B227-1)+Eingaben!$B$37*Eingaben!$B$38*(1+Eingaben!$B$46)^(B227-1)),0),0)</f>
        <v>1944.19935456666</v>
      </c>
      <c r="D227" s="13" t="n">
        <f aca="false">IFERROR(IF(AND(B227&lt;=Eingaben!$B$11,Szenarien!$H$15="OK"),((Eingaben!$B$32+Eingaben!$B$35)*(1+Eingaben!$B$41)^(B227-1)+SUM(Variantenbilanz!E1469:E1834)*Eingaben!$B$33*Eingaben!$B$34*(1+Eingaben!$B$42)^(B227-1))*Szenarien!$F$15,0),0)</f>
        <v>1094.3264756172</v>
      </c>
      <c r="E227" s="13" t="n">
        <f aca="false">IFERROR(IF(AND(AND(B227&lt;=Eingaben!$B$11,Szenarien!$H$15="OK"),B227=Eingaben!$B$43),Eingaben!$B$44*Szenarien!$B$15*(1+Eingaben!$B$41)^(B227-1),0),0)</f>
        <v>0</v>
      </c>
      <c r="F227" s="13" t="n">
        <f aca="false">IFERROR(IF(AND(AND(B227&lt;=Eingaben!$B$11,Szenarien!$H$15="OK"),B227=Eingaben!$B$11),Eingaben!$B$45*Szenarien!$B$15,0),0)</f>
        <v>0</v>
      </c>
      <c r="G227" s="13" t="n">
        <f aca="false">C227-D227-E227+F227</f>
        <v>849.872878949462</v>
      </c>
      <c r="H227" s="13" t="n">
        <f aca="false">IFERROR(IF(AND(B227&lt;=Eingaben!$B$11,Szenarien!$H$15="OK"),1/(1+Eingaben!$B$39+Szenarien!$G$15)^B227,0),0)</f>
        <v>0.587394607616282</v>
      </c>
      <c r="I227" s="13" t="n">
        <f aca="false">G227*H227</f>
        <v>499.21074625424</v>
      </c>
      <c r="J227" s="13" t="n">
        <f aca="false">(D227+E227-F227)*H227</f>
        <v>642.801470749273</v>
      </c>
      <c r="K227" s="13" t="n">
        <f aca="false">IF(AND(B227&lt;=Eingaben!$B$11,Szenarien!$H$15="OK"),SUM(Variantenbilanz!K1469:K1834)*H227,0)</f>
        <v>326.232948504596</v>
      </c>
    </row>
    <row r="228" customFormat="false" ht="16.4" hidden="false" customHeight="false" outlineLevel="0" collapsed="false">
      <c r="A228" s="12"/>
      <c r="B228" s="15" t="n">
        <v>19</v>
      </c>
      <c r="C228" s="13" t="n">
        <f aca="false">IFERROR(IF(AND(B228&lt;=Eingaben!$B$11,Szenarien!$H$15="OK"),SUM(Variantenbilanz!K1469:K1834)*(Eingaben!$B$36*Szenarien!$C$15*(1+Eingaben!$B$40)^(B228-1)+Eingaben!$B$37*Eingaben!$B$38*(1+Eingaben!$B$46)^(B228-1)),0),0)</f>
        <v>1983.08334165799</v>
      </c>
      <c r="D228" s="13" t="n">
        <f aca="false">IFERROR(IF(AND(B228&lt;=Eingaben!$B$11,Szenarien!$H$15="OK"),((Eingaben!$B$32+Eingaben!$B$35)*(1+Eingaben!$B$41)^(B228-1)+SUM(Variantenbilanz!E1469:E1834)*Eingaben!$B$33*Eingaben!$B$34*(1+Eingaben!$B$42)^(B228-1))*Szenarien!$F$15,0),0)</f>
        <v>1116.21300512954</v>
      </c>
      <c r="E228" s="13" t="n">
        <f aca="false">IFERROR(IF(AND(AND(B228&lt;=Eingaben!$B$11,Szenarien!$H$15="OK"),B228=Eingaben!$B$43),Eingaben!$B$44*Szenarien!$B$15*(1+Eingaben!$B$41)^(B228-1),0),0)</f>
        <v>0</v>
      </c>
      <c r="F228" s="13" t="n">
        <f aca="false">IFERROR(IF(AND(AND(B228&lt;=Eingaben!$B$11,Szenarien!$H$15="OK"),B228=Eingaben!$B$11),Eingaben!$B$45*Szenarien!$B$15,0),0)</f>
        <v>0</v>
      </c>
      <c r="G228" s="13" t="n">
        <f aca="false">C228-D228-E228+F228</f>
        <v>866.870336528452</v>
      </c>
      <c r="H228" s="13" t="n">
        <f aca="false">IFERROR(IF(AND(B228&lt;=Eingaben!$B$11,Szenarien!$H$15="OK"),1/(1+Eingaben!$B$39+Szenarien!$G$15)^B228,0),0)</f>
        <v>0.570286026811925</v>
      </c>
      <c r="I228" s="13" t="n">
        <f aca="false">G228*H228</f>
        <v>494.364039979927</v>
      </c>
      <c r="J228" s="13" t="n">
        <f aca="false">(D228+E228-F228)*H228</f>
        <v>636.560679771125</v>
      </c>
      <c r="K228" s="13" t="n">
        <f aca="false">IF(AND(B228&lt;=Eingaben!$B$11,Szenarien!$H$15="OK"),SUM(Variantenbilanz!K1469:K1834)*H228,0)</f>
        <v>316.731017965627</v>
      </c>
    </row>
    <row r="229" customFormat="false" ht="16.4" hidden="false" customHeight="false" outlineLevel="0" collapsed="false">
      <c r="A229" s="12"/>
      <c r="B229" s="15" t="n">
        <v>20</v>
      </c>
      <c r="C229" s="13" t="n">
        <f aca="false">IFERROR(IF(AND(B229&lt;=Eingaben!$B$11,Szenarien!$H$15="OK"),SUM(Variantenbilanz!K1469:K1834)*(Eingaben!$B$36*Szenarien!$C$15*(1+Eingaben!$B$40)^(B229-1)+Eingaben!$B$37*Eingaben!$B$38*(1+Eingaben!$B$46)^(B229-1)),0),0)</f>
        <v>2022.74500849115</v>
      </c>
      <c r="D229" s="13" t="n">
        <f aca="false">IFERROR(IF(AND(B229&lt;=Eingaben!$B$11,Szenarien!$H$15="OK"),((Eingaben!$B$32+Eingaben!$B$35)*(1+Eingaben!$B$41)^(B229-1)+SUM(Variantenbilanz!E1469:E1834)*Eingaben!$B$33*Eingaben!$B$34*(1+Eingaben!$B$42)^(B229-1))*Szenarien!$F$15,0),0)</f>
        <v>1138.53726523213</v>
      </c>
      <c r="E229" s="13" t="n">
        <f aca="false">IFERROR(IF(AND(AND(B229&lt;=Eingaben!$B$11,Szenarien!$H$15="OK"),B229=Eingaben!$B$43),Eingaben!$B$44*Szenarien!$B$15*(1+Eingaben!$B$41)^(B229-1),0),0)</f>
        <v>0</v>
      </c>
      <c r="F229" s="13" t="n">
        <f aca="false">IFERROR(IF(AND(AND(B229&lt;=Eingaben!$B$11,Szenarien!$H$15="OK"),B229=Eingaben!$B$11),Eingaben!$B$45*Szenarien!$B$15,0),0)</f>
        <v>0</v>
      </c>
      <c r="G229" s="13" t="n">
        <f aca="false">C229-D229-E229+F229</f>
        <v>884.20774325902</v>
      </c>
      <c r="H229" s="13" t="n">
        <f aca="false">IFERROR(IF(AND(B229&lt;=Eingaben!$B$11,Szenarien!$H$15="OK"),1/(1+Eingaben!$B$39+Szenarien!$G$15)^B229,0),0)</f>
        <v>0.553675754186335</v>
      </c>
      <c r="I229" s="13" t="n">
        <f aca="false">G229*H229</f>
        <v>489.564389106335</v>
      </c>
      <c r="J229" s="13" t="n">
        <f aca="false">(D229+E229-F229)*H229</f>
        <v>630.380478996648</v>
      </c>
      <c r="K229" s="13" t="n">
        <f aca="false">IF(AND(B229&lt;=Eingaben!$B$11,Szenarien!$H$15="OK"),SUM(Variantenbilanz!K1469:K1834)*H229,0)</f>
        <v>307.505842685075</v>
      </c>
    </row>
    <row r="230" customFormat="false" ht="16.4" hidden="false" customHeight="false" outlineLevel="0" collapsed="false">
      <c r="A230" s="12"/>
      <c r="B230" s="15" t="n">
        <v>21</v>
      </c>
      <c r="C230" s="13" t="n">
        <f aca="false">IFERROR(IF(AND(B230&lt;=Eingaben!$B$11,Szenarien!$H$15="OK"),SUM(Variantenbilanz!K1469:K1834)*(Eingaben!$B$36*Szenarien!$C$15*(1+Eingaben!$B$40)^(B230-1)+Eingaben!$B$37*Eingaben!$B$38*(1+Eingaben!$B$46)^(B230-1)),0),0)</f>
        <v>0</v>
      </c>
      <c r="D230" s="13" t="n">
        <f aca="false">IFERROR(IF(AND(B230&lt;=Eingaben!$B$11,Szenarien!$H$15="OK"),((Eingaben!$B$32+Eingaben!$B$35)*(1+Eingaben!$B$41)^(B230-1)+SUM(Variantenbilanz!E1469:E1834)*Eingaben!$B$33*Eingaben!$B$34*(1+Eingaben!$B$42)^(B230-1))*Szenarien!$F$15,0),0)</f>
        <v>0</v>
      </c>
      <c r="E230" s="13" t="n">
        <f aca="false">IFERROR(IF(AND(AND(B230&lt;=Eingaben!$B$11,Szenarien!$H$15="OK"),B230=Eingaben!$B$43),Eingaben!$B$44*Szenarien!$B$15*(1+Eingaben!$B$41)^(B230-1),0),0)</f>
        <v>0</v>
      </c>
      <c r="F230" s="13" t="n">
        <f aca="false">IFERROR(IF(AND(AND(B230&lt;=Eingaben!$B$11,Szenarien!$H$15="OK"),B230=Eingaben!$B$11),Eingaben!$B$45*Szenarien!$B$15,0),0)</f>
        <v>0</v>
      </c>
      <c r="G230" s="13" t="n">
        <f aca="false">C230-D230-E230+F230</f>
        <v>0</v>
      </c>
      <c r="H230" s="13" t="n">
        <f aca="false">IFERROR(IF(AND(B230&lt;=Eingaben!$B$11,Szenarien!$H$15="OK"),1/(1+Eingaben!$B$39+Szenarien!$G$15)^B230,0),0)</f>
        <v>0</v>
      </c>
      <c r="I230" s="13" t="n">
        <f aca="false">G230*H230</f>
        <v>0</v>
      </c>
      <c r="J230" s="13" t="n">
        <f aca="false">(D230+E230-F230)*H230</f>
        <v>0</v>
      </c>
      <c r="K230" s="13" t="n">
        <f aca="false">IF(AND(B230&lt;=Eingaben!$B$11,Szenarien!$H$15="OK"),SUM(Variantenbilanz!K1469:K1834)*H230,0)</f>
        <v>0</v>
      </c>
    </row>
    <row r="231" customFormat="false" ht="16.4" hidden="false" customHeight="false" outlineLevel="0" collapsed="false">
      <c r="A231" s="12"/>
      <c r="B231" s="15" t="n">
        <v>22</v>
      </c>
      <c r="C231" s="13" t="n">
        <f aca="false">IFERROR(IF(AND(B231&lt;=Eingaben!$B$11,Szenarien!$H$15="OK"),SUM(Variantenbilanz!K1469:K1834)*(Eingaben!$B$36*Szenarien!$C$15*(1+Eingaben!$B$40)^(B231-1)+Eingaben!$B$37*Eingaben!$B$38*(1+Eingaben!$B$46)^(B231-1)),0),0)</f>
        <v>0</v>
      </c>
      <c r="D231" s="13" t="n">
        <f aca="false">IFERROR(IF(AND(B231&lt;=Eingaben!$B$11,Szenarien!$H$15="OK"),((Eingaben!$B$32+Eingaben!$B$35)*(1+Eingaben!$B$41)^(B231-1)+SUM(Variantenbilanz!E1469:E1834)*Eingaben!$B$33*Eingaben!$B$34*(1+Eingaben!$B$42)^(B231-1))*Szenarien!$F$15,0),0)</f>
        <v>0</v>
      </c>
      <c r="E231" s="13" t="n">
        <f aca="false">IFERROR(IF(AND(AND(B231&lt;=Eingaben!$B$11,Szenarien!$H$15="OK"),B231=Eingaben!$B$43),Eingaben!$B$44*Szenarien!$B$15*(1+Eingaben!$B$41)^(B231-1),0),0)</f>
        <v>0</v>
      </c>
      <c r="F231" s="13" t="n">
        <f aca="false">IFERROR(IF(AND(AND(B231&lt;=Eingaben!$B$11,Szenarien!$H$15="OK"),B231=Eingaben!$B$11),Eingaben!$B$45*Szenarien!$B$15,0),0)</f>
        <v>0</v>
      </c>
      <c r="G231" s="13" t="n">
        <f aca="false">C231-D231-E231+F231</f>
        <v>0</v>
      </c>
      <c r="H231" s="13" t="n">
        <f aca="false">IFERROR(IF(AND(B231&lt;=Eingaben!$B$11,Szenarien!$H$15="OK"),1/(1+Eingaben!$B$39+Szenarien!$G$15)^B231,0),0)</f>
        <v>0</v>
      </c>
      <c r="I231" s="13" t="n">
        <f aca="false">G231*H231</f>
        <v>0</v>
      </c>
      <c r="J231" s="13" t="n">
        <f aca="false">(D231+E231-F231)*H231</f>
        <v>0</v>
      </c>
      <c r="K231" s="13" t="n">
        <f aca="false">IF(AND(B231&lt;=Eingaben!$B$11,Szenarien!$H$15="OK"),SUM(Variantenbilanz!K1469:K1834)*H231,0)</f>
        <v>0</v>
      </c>
    </row>
    <row r="232" customFormat="false" ht="16.4" hidden="false" customHeight="false" outlineLevel="0" collapsed="false">
      <c r="A232" s="12"/>
      <c r="B232" s="15" t="n">
        <v>23</v>
      </c>
      <c r="C232" s="13" t="n">
        <f aca="false">IFERROR(IF(AND(B232&lt;=Eingaben!$B$11,Szenarien!$H$15="OK"),SUM(Variantenbilanz!K1469:K1834)*(Eingaben!$B$36*Szenarien!$C$15*(1+Eingaben!$B$40)^(B232-1)+Eingaben!$B$37*Eingaben!$B$38*(1+Eingaben!$B$46)^(B232-1)),0),0)</f>
        <v>0</v>
      </c>
      <c r="D232" s="13" t="n">
        <f aca="false">IFERROR(IF(AND(B232&lt;=Eingaben!$B$11,Szenarien!$H$15="OK"),((Eingaben!$B$32+Eingaben!$B$35)*(1+Eingaben!$B$41)^(B232-1)+SUM(Variantenbilanz!E1469:E1834)*Eingaben!$B$33*Eingaben!$B$34*(1+Eingaben!$B$42)^(B232-1))*Szenarien!$F$15,0),0)</f>
        <v>0</v>
      </c>
      <c r="E232" s="13" t="n">
        <f aca="false">IFERROR(IF(AND(AND(B232&lt;=Eingaben!$B$11,Szenarien!$H$15="OK"),B232=Eingaben!$B$43),Eingaben!$B$44*Szenarien!$B$15*(1+Eingaben!$B$41)^(B232-1),0),0)</f>
        <v>0</v>
      </c>
      <c r="F232" s="13" t="n">
        <f aca="false">IFERROR(IF(AND(AND(B232&lt;=Eingaben!$B$11,Szenarien!$H$15="OK"),B232=Eingaben!$B$11),Eingaben!$B$45*Szenarien!$B$15,0),0)</f>
        <v>0</v>
      </c>
      <c r="G232" s="13" t="n">
        <f aca="false">C232-D232-E232+F232</f>
        <v>0</v>
      </c>
      <c r="H232" s="13" t="n">
        <f aca="false">IFERROR(IF(AND(B232&lt;=Eingaben!$B$11,Szenarien!$H$15="OK"),1/(1+Eingaben!$B$39+Szenarien!$G$15)^B232,0),0)</f>
        <v>0</v>
      </c>
      <c r="I232" s="13" t="n">
        <f aca="false">G232*H232</f>
        <v>0</v>
      </c>
      <c r="J232" s="13" t="n">
        <f aca="false">(D232+E232-F232)*H232</f>
        <v>0</v>
      </c>
      <c r="K232" s="13" t="n">
        <f aca="false">IF(AND(B232&lt;=Eingaben!$B$11,Szenarien!$H$15="OK"),SUM(Variantenbilanz!K1469:K1834)*H232,0)</f>
        <v>0</v>
      </c>
    </row>
    <row r="233" customFormat="false" ht="16.4" hidden="false" customHeight="false" outlineLevel="0" collapsed="false">
      <c r="A233" s="12"/>
      <c r="B233" s="15" t="n">
        <v>24</v>
      </c>
      <c r="C233" s="13" t="n">
        <f aca="false">IFERROR(IF(AND(B233&lt;=Eingaben!$B$11,Szenarien!$H$15="OK"),SUM(Variantenbilanz!K1469:K1834)*(Eingaben!$B$36*Szenarien!$C$15*(1+Eingaben!$B$40)^(B233-1)+Eingaben!$B$37*Eingaben!$B$38*(1+Eingaben!$B$46)^(B233-1)),0),0)</f>
        <v>0</v>
      </c>
      <c r="D233" s="13" t="n">
        <f aca="false">IFERROR(IF(AND(B233&lt;=Eingaben!$B$11,Szenarien!$H$15="OK"),((Eingaben!$B$32+Eingaben!$B$35)*(1+Eingaben!$B$41)^(B233-1)+SUM(Variantenbilanz!E1469:E1834)*Eingaben!$B$33*Eingaben!$B$34*(1+Eingaben!$B$42)^(B233-1))*Szenarien!$F$15,0),0)</f>
        <v>0</v>
      </c>
      <c r="E233" s="13" t="n">
        <f aca="false">IFERROR(IF(AND(AND(B233&lt;=Eingaben!$B$11,Szenarien!$H$15="OK"),B233=Eingaben!$B$43),Eingaben!$B$44*Szenarien!$B$15*(1+Eingaben!$B$41)^(B233-1),0),0)</f>
        <v>0</v>
      </c>
      <c r="F233" s="13" t="n">
        <f aca="false">IFERROR(IF(AND(AND(B233&lt;=Eingaben!$B$11,Szenarien!$H$15="OK"),B233=Eingaben!$B$11),Eingaben!$B$45*Szenarien!$B$15,0),0)</f>
        <v>0</v>
      </c>
      <c r="G233" s="13" t="n">
        <f aca="false">C233-D233-E233+F233</f>
        <v>0</v>
      </c>
      <c r="H233" s="13" t="n">
        <f aca="false">IFERROR(IF(AND(B233&lt;=Eingaben!$B$11,Szenarien!$H$15="OK"),1/(1+Eingaben!$B$39+Szenarien!$G$15)^B233,0),0)</f>
        <v>0</v>
      </c>
      <c r="I233" s="13" t="n">
        <f aca="false">G233*H233</f>
        <v>0</v>
      </c>
      <c r="J233" s="13" t="n">
        <f aca="false">(D233+E233-F233)*H233</f>
        <v>0</v>
      </c>
      <c r="K233" s="13" t="n">
        <f aca="false">IF(AND(B233&lt;=Eingaben!$B$11,Szenarien!$H$15="OK"),SUM(Variantenbilanz!K1469:K1834)*H233,0)</f>
        <v>0</v>
      </c>
    </row>
    <row r="234" customFormat="false" ht="16.4" hidden="false" customHeight="false" outlineLevel="0" collapsed="false">
      <c r="A234" s="12"/>
      <c r="B234" s="15" t="n">
        <v>25</v>
      </c>
      <c r="C234" s="13" t="n">
        <f aca="false">IFERROR(IF(AND(B234&lt;=Eingaben!$B$11,Szenarien!$H$15="OK"),SUM(Variantenbilanz!K1469:K1834)*(Eingaben!$B$36*Szenarien!$C$15*(1+Eingaben!$B$40)^(B234-1)+Eingaben!$B$37*Eingaben!$B$38*(1+Eingaben!$B$46)^(B234-1)),0),0)</f>
        <v>0</v>
      </c>
      <c r="D234" s="13" t="n">
        <f aca="false">IFERROR(IF(AND(B234&lt;=Eingaben!$B$11,Szenarien!$H$15="OK"),((Eingaben!$B$32+Eingaben!$B$35)*(1+Eingaben!$B$41)^(B234-1)+SUM(Variantenbilanz!E1469:E1834)*Eingaben!$B$33*Eingaben!$B$34*(1+Eingaben!$B$42)^(B234-1))*Szenarien!$F$15,0),0)</f>
        <v>0</v>
      </c>
      <c r="E234" s="13" t="n">
        <f aca="false">IFERROR(IF(AND(AND(B234&lt;=Eingaben!$B$11,Szenarien!$H$15="OK"),B234=Eingaben!$B$43),Eingaben!$B$44*Szenarien!$B$15*(1+Eingaben!$B$41)^(B234-1),0),0)</f>
        <v>0</v>
      </c>
      <c r="F234" s="13" t="n">
        <f aca="false">IFERROR(IF(AND(AND(B234&lt;=Eingaben!$B$11,Szenarien!$H$15="OK"),B234=Eingaben!$B$11),Eingaben!$B$45*Szenarien!$B$15,0),0)</f>
        <v>0</v>
      </c>
      <c r="G234" s="13" t="n">
        <f aca="false">C234-D234-E234+F234</f>
        <v>0</v>
      </c>
      <c r="H234" s="13" t="n">
        <f aca="false">IFERROR(IF(AND(B234&lt;=Eingaben!$B$11,Szenarien!$H$15="OK"),1/(1+Eingaben!$B$39+Szenarien!$G$15)^B234,0),0)</f>
        <v>0</v>
      </c>
      <c r="I234" s="13" t="n">
        <f aca="false">G234*H234</f>
        <v>0</v>
      </c>
      <c r="J234" s="13" t="n">
        <f aca="false">(D234+E234-F234)*H234</f>
        <v>0</v>
      </c>
      <c r="K234" s="13" t="n">
        <f aca="false">IF(AND(B234&lt;=Eingaben!$B$11,Szenarien!$H$15="OK"),SUM(Variantenbilanz!K1469:K1834)*H234,0)</f>
        <v>0</v>
      </c>
    </row>
    <row r="235" customFormat="false" ht="16.4" hidden="false" customHeight="false" outlineLevel="0" collapsed="false">
      <c r="A235" s="12"/>
      <c r="B235" s="15" t="n">
        <v>26</v>
      </c>
      <c r="C235" s="13" t="n">
        <f aca="false">IFERROR(IF(AND(B235&lt;=Eingaben!$B$11,Szenarien!$H$15="OK"),SUM(Variantenbilanz!K1469:K1834)*(Eingaben!$B$36*Szenarien!$C$15*(1+Eingaben!$B$40)^(B235-1)+Eingaben!$B$37*Eingaben!$B$38*(1+Eingaben!$B$46)^(B235-1)),0),0)</f>
        <v>0</v>
      </c>
      <c r="D235" s="13" t="n">
        <f aca="false">IFERROR(IF(AND(B235&lt;=Eingaben!$B$11,Szenarien!$H$15="OK"),((Eingaben!$B$32+Eingaben!$B$35)*(1+Eingaben!$B$41)^(B235-1)+SUM(Variantenbilanz!E1469:E1834)*Eingaben!$B$33*Eingaben!$B$34*(1+Eingaben!$B$42)^(B235-1))*Szenarien!$F$15,0),0)</f>
        <v>0</v>
      </c>
      <c r="E235" s="13" t="n">
        <f aca="false">IFERROR(IF(AND(AND(B235&lt;=Eingaben!$B$11,Szenarien!$H$15="OK"),B235=Eingaben!$B$43),Eingaben!$B$44*Szenarien!$B$15*(1+Eingaben!$B$41)^(B235-1),0),0)</f>
        <v>0</v>
      </c>
      <c r="F235" s="13" t="n">
        <f aca="false">IFERROR(IF(AND(AND(B235&lt;=Eingaben!$B$11,Szenarien!$H$15="OK"),B235=Eingaben!$B$11),Eingaben!$B$45*Szenarien!$B$15,0),0)</f>
        <v>0</v>
      </c>
      <c r="G235" s="13" t="n">
        <f aca="false">C235-D235-E235+F235</f>
        <v>0</v>
      </c>
      <c r="H235" s="13" t="n">
        <f aca="false">IFERROR(IF(AND(B235&lt;=Eingaben!$B$11,Szenarien!$H$15="OK"),1/(1+Eingaben!$B$39+Szenarien!$G$15)^B235,0),0)</f>
        <v>0</v>
      </c>
      <c r="I235" s="13" t="n">
        <f aca="false">G235*H235</f>
        <v>0</v>
      </c>
      <c r="J235" s="13" t="n">
        <f aca="false">(D235+E235-F235)*H235</f>
        <v>0</v>
      </c>
      <c r="K235" s="13" t="n">
        <f aca="false">IF(AND(B235&lt;=Eingaben!$B$11,Szenarien!$H$15="OK"),SUM(Variantenbilanz!K1469:K1834)*H235,0)</f>
        <v>0</v>
      </c>
    </row>
    <row r="236" customFormat="false" ht="16.4" hidden="false" customHeight="false" outlineLevel="0" collapsed="false">
      <c r="A236" s="12"/>
      <c r="B236" s="15" t="n">
        <v>27</v>
      </c>
      <c r="C236" s="13" t="n">
        <f aca="false">IFERROR(IF(AND(B236&lt;=Eingaben!$B$11,Szenarien!$H$15="OK"),SUM(Variantenbilanz!K1469:K1834)*(Eingaben!$B$36*Szenarien!$C$15*(1+Eingaben!$B$40)^(B236-1)+Eingaben!$B$37*Eingaben!$B$38*(1+Eingaben!$B$46)^(B236-1)),0),0)</f>
        <v>0</v>
      </c>
      <c r="D236" s="13" t="n">
        <f aca="false">IFERROR(IF(AND(B236&lt;=Eingaben!$B$11,Szenarien!$H$15="OK"),((Eingaben!$B$32+Eingaben!$B$35)*(1+Eingaben!$B$41)^(B236-1)+SUM(Variantenbilanz!E1469:E1834)*Eingaben!$B$33*Eingaben!$B$34*(1+Eingaben!$B$42)^(B236-1))*Szenarien!$F$15,0),0)</f>
        <v>0</v>
      </c>
      <c r="E236" s="13" t="n">
        <f aca="false">IFERROR(IF(AND(AND(B236&lt;=Eingaben!$B$11,Szenarien!$H$15="OK"),B236=Eingaben!$B$43),Eingaben!$B$44*Szenarien!$B$15*(1+Eingaben!$B$41)^(B236-1),0),0)</f>
        <v>0</v>
      </c>
      <c r="F236" s="13" t="n">
        <f aca="false">IFERROR(IF(AND(AND(B236&lt;=Eingaben!$B$11,Szenarien!$H$15="OK"),B236=Eingaben!$B$11),Eingaben!$B$45*Szenarien!$B$15,0),0)</f>
        <v>0</v>
      </c>
      <c r="G236" s="13" t="n">
        <f aca="false">C236-D236-E236+F236</f>
        <v>0</v>
      </c>
      <c r="H236" s="13" t="n">
        <f aca="false">IFERROR(IF(AND(B236&lt;=Eingaben!$B$11,Szenarien!$H$15="OK"),1/(1+Eingaben!$B$39+Szenarien!$G$15)^B236,0),0)</f>
        <v>0</v>
      </c>
      <c r="I236" s="13" t="n">
        <f aca="false">G236*H236</f>
        <v>0</v>
      </c>
      <c r="J236" s="13" t="n">
        <f aca="false">(D236+E236-F236)*H236</f>
        <v>0</v>
      </c>
      <c r="K236" s="13" t="n">
        <f aca="false">IF(AND(B236&lt;=Eingaben!$B$11,Szenarien!$H$15="OK"),SUM(Variantenbilanz!K1469:K1834)*H236,0)</f>
        <v>0</v>
      </c>
    </row>
    <row r="237" customFormat="false" ht="16.4" hidden="false" customHeight="false" outlineLevel="0" collapsed="false">
      <c r="A237" s="12"/>
      <c r="B237" s="15" t="n">
        <v>28</v>
      </c>
      <c r="C237" s="13" t="n">
        <f aca="false">IFERROR(IF(AND(B237&lt;=Eingaben!$B$11,Szenarien!$H$15="OK"),SUM(Variantenbilanz!K1469:K1834)*(Eingaben!$B$36*Szenarien!$C$15*(1+Eingaben!$B$40)^(B237-1)+Eingaben!$B$37*Eingaben!$B$38*(1+Eingaben!$B$46)^(B237-1)),0),0)</f>
        <v>0</v>
      </c>
      <c r="D237" s="13" t="n">
        <f aca="false">IFERROR(IF(AND(B237&lt;=Eingaben!$B$11,Szenarien!$H$15="OK"),((Eingaben!$B$32+Eingaben!$B$35)*(1+Eingaben!$B$41)^(B237-1)+SUM(Variantenbilanz!E1469:E1834)*Eingaben!$B$33*Eingaben!$B$34*(1+Eingaben!$B$42)^(B237-1))*Szenarien!$F$15,0),0)</f>
        <v>0</v>
      </c>
      <c r="E237" s="13" t="n">
        <f aca="false">IFERROR(IF(AND(AND(B237&lt;=Eingaben!$B$11,Szenarien!$H$15="OK"),B237=Eingaben!$B$43),Eingaben!$B$44*Szenarien!$B$15*(1+Eingaben!$B$41)^(B237-1),0),0)</f>
        <v>0</v>
      </c>
      <c r="F237" s="13" t="n">
        <f aca="false">IFERROR(IF(AND(AND(B237&lt;=Eingaben!$B$11,Szenarien!$H$15="OK"),B237=Eingaben!$B$11),Eingaben!$B$45*Szenarien!$B$15,0),0)</f>
        <v>0</v>
      </c>
      <c r="G237" s="13" t="n">
        <f aca="false">C237-D237-E237+F237</f>
        <v>0</v>
      </c>
      <c r="H237" s="13" t="n">
        <f aca="false">IFERROR(IF(AND(B237&lt;=Eingaben!$B$11,Szenarien!$H$15="OK"),1/(1+Eingaben!$B$39+Szenarien!$G$15)^B237,0),0)</f>
        <v>0</v>
      </c>
      <c r="I237" s="13" t="n">
        <f aca="false">G237*H237</f>
        <v>0</v>
      </c>
      <c r="J237" s="13" t="n">
        <f aca="false">(D237+E237-F237)*H237</f>
        <v>0</v>
      </c>
      <c r="K237" s="13" t="n">
        <f aca="false">IF(AND(B237&lt;=Eingaben!$B$11,Szenarien!$H$15="OK"),SUM(Variantenbilanz!K1469:K1834)*H237,0)</f>
        <v>0</v>
      </c>
    </row>
    <row r="238" customFormat="false" ht="16.4" hidden="false" customHeight="false" outlineLevel="0" collapsed="false">
      <c r="A238" s="12"/>
      <c r="B238" s="15" t="n">
        <v>29</v>
      </c>
      <c r="C238" s="13" t="n">
        <f aca="false">IFERROR(IF(AND(B238&lt;=Eingaben!$B$11,Szenarien!$H$15="OK"),SUM(Variantenbilanz!K1469:K1834)*(Eingaben!$B$36*Szenarien!$C$15*(1+Eingaben!$B$40)^(B238-1)+Eingaben!$B$37*Eingaben!$B$38*(1+Eingaben!$B$46)^(B238-1)),0),0)</f>
        <v>0</v>
      </c>
      <c r="D238" s="13" t="n">
        <f aca="false">IFERROR(IF(AND(B238&lt;=Eingaben!$B$11,Szenarien!$H$15="OK"),((Eingaben!$B$32+Eingaben!$B$35)*(1+Eingaben!$B$41)^(B238-1)+SUM(Variantenbilanz!E1469:E1834)*Eingaben!$B$33*Eingaben!$B$34*(1+Eingaben!$B$42)^(B238-1))*Szenarien!$F$15,0),0)</f>
        <v>0</v>
      </c>
      <c r="E238" s="13" t="n">
        <f aca="false">IFERROR(IF(AND(AND(B238&lt;=Eingaben!$B$11,Szenarien!$H$15="OK"),B238=Eingaben!$B$43),Eingaben!$B$44*Szenarien!$B$15*(1+Eingaben!$B$41)^(B238-1),0),0)</f>
        <v>0</v>
      </c>
      <c r="F238" s="13" t="n">
        <f aca="false">IFERROR(IF(AND(AND(B238&lt;=Eingaben!$B$11,Szenarien!$H$15="OK"),B238=Eingaben!$B$11),Eingaben!$B$45*Szenarien!$B$15,0),0)</f>
        <v>0</v>
      </c>
      <c r="G238" s="13" t="n">
        <f aca="false">C238-D238-E238+F238</f>
        <v>0</v>
      </c>
      <c r="H238" s="13" t="n">
        <f aca="false">IFERROR(IF(AND(B238&lt;=Eingaben!$B$11,Szenarien!$H$15="OK"),1/(1+Eingaben!$B$39+Szenarien!$G$15)^B238,0),0)</f>
        <v>0</v>
      </c>
      <c r="I238" s="13" t="n">
        <f aca="false">G238*H238</f>
        <v>0</v>
      </c>
      <c r="J238" s="13" t="n">
        <f aca="false">(D238+E238-F238)*H238</f>
        <v>0</v>
      </c>
      <c r="K238" s="13" t="n">
        <f aca="false">IF(AND(B238&lt;=Eingaben!$B$11,Szenarien!$H$15="OK"),SUM(Variantenbilanz!K1469:K1834)*H238,0)</f>
        <v>0</v>
      </c>
    </row>
    <row r="239" customFormat="false" ht="16.4" hidden="false" customHeight="false" outlineLevel="0" collapsed="false">
      <c r="A239" s="12"/>
      <c r="B239" s="15" t="n">
        <v>30</v>
      </c>
      <c r="C239" s="13" t="n">
        <f aca="false">IFERROR(IF(AND(B239&lt;=Eingaben!$B$11,Szenarien!$H$15="OK"),SUM(Variantenbilanz!K1469:K1834)*(Eingaben!$B$36*Szenarien!$C$15*(1+Eingaben!$B$40)^(B239-1)+Eingaben!$B$37*Eingaben!$B$38*(1+Eingaben!$B$46)^(B239-1)),0),0)</f>
        <v>0</v>
      </c>
      <c r="D239" s="13" t="n">
        <f aca="false">IFERROR(IF(AND(B239&lt;=Eingaben!$B$11,Szenarien!$H$15="OK"),((Eingaben!$B$32+Eingaben!$B$35)*(1+Eingaben!$B$41)^(B239-1)+SUM(Variantenbilanz!E1469:E1834)*Eingaben!$B$33*Eingaben!$B$34*(1+Eingaben!$B$42)^(B239-1))*Szenarien!$F$15,0),0)</f>
        <v>0</v>
      </c>
      <c r="E239" s="13" t="n">
        <f aca="false">IFERROR(IF(AND(AND(B239&lt;=Eingaben!$B$11,Szenarien!$H$15="OK"),B239=Eingaben!$B$43),Eingaben!$B$44*Szenarien!$B$15*(1+Eingaben!$B$41)^(B239-1),0),0)</f>
        <v>0</v>
      </c>
      <c r="F239" s="13" t="n">
        <f aca="false">IFERROR(IF(AND(AND(B239&lt;=Eingaben!$B$11,Szenarien!$H$15="OK"),B239=Eingaben!$B$11),Eingaben!$B$45*Szenarien!$B$15,0),0)</f>
        <v>0</v>
      </c>
      <c r="G239" s="13" t="n">
        <f aca="false">C239-D239-E239+F239</f>
        <v>0</v>
      </c>
      <c r="H239" s="13" t="n">
        <f aca="false">IFERROR(IF(AND(B239&lt;=Eingaben!$B$11,Szenarien!$H$15="OK"),1/(1+Eingaben!$B$39+Szenarien!$G$15)^B239,0),0)</f>
        <v>0</v>
      </c>
      <c r="I239" s="13" t="n">
        <f aca="false">G239*H239</f>
        <v>0</v>
      </c>
      <c r="J239" s="13" t="n">
        <f aca="false">(D239+E239-F239)*H239</f>
        <v>0</v>
      </c>
      <c r="K239" s="13" t="n">
        <f aca="false">IF(AND(B239&lt;=Eingaben!$B$11,Szenarien!$H$15="OK"),SUM(Variantenbilanz!K1469:K1834)*H239,0)</f>
        <v>0</v>
      </c>
    </row>
    <row r="240" customFormat="false" ht="16.4" hidden="false" customHeight="false" outlineLevel="0" collapsed="false">
      <c r="A240" s="12"/>
      <c r="B240" s="15" t="n">
        <v>31</v>
      </c>
      <c r="C240" s="13" t="n">
        <f aca="false">IFERROR(IF(AND(B240&lt;=Eingaben!$B$11,Szenarien!$H$15="OK"),SUM(Variantenbilanz!K1469:K1834)*(Eingaben!$B$36*Szenarien!$C$15*(1+Eingaben!$B$40)^(B240-1)+Eingaben!$B$37*Eingaben!$B$38*(1+Eingaben!$B$46)^(B240-1)),0),0)</f>
        <v>0</v>
      </c>
      <c r="D240" s="13" t="n">
        <f aca="false">IFERROR(IF(AND(B240&lt;=Eingaben!$B$11,Szenarien!$H$15="OK"),((Eingaben!$B$32+Eingaben!$B$35)*(1+Eingaben!$B$41)^(B240-1)+SUM(Variantenbilanz!E1469:E1834)*Eingaben!$B$33*Eingaben!$B$34*(1+Eingaben!$B$42)^(B240-1))*Szenarien!$F$15,0),0)</f>
        <v>0</v>
      </c>
      <c r="E240" s="13" t="n">
        <f aca="false">IFERROR(IF(AND(AND(B240&lt;=Eingaben!$B$11,Szenarien!$H$15="OK"),B240=Eingaben!$B$43),Eingaben!$B$44*Szenarien!$B$15*(1+Eingaben!$B$41)^(B240-1),0),0)</f>
        <v>0</v>
      </c>
      <c r="F240" s="13" t="n">
        <f aca="false">IFERROR(IF(AND(AND(B240&lt;=Eingaben!$B$11,Szenarien!$H$15="OK"),B240=Eingaben!$B$11),Eingaben!$B$45*Szenarien!$B$15,0),0)</f>
        <v>0</v>
      </c>
      <c r="G240" s="13" t="n">
        <f aca="false">C240-D240-E240+F240</f>
        <v>0</v>
      </c>
      <c r="H240" s="13" t="n">
        <f aca="false">IFERROR(IF(AND(B240&lt;=Eingaben!$B$11,Szenarien!$H$15="OK"),1/(1+Eingaben!$B$39+Szenarien!$G$15)^B240,0),0)</f>
        <v>0</v>
      </c>
      <c r="I240" s="13" t="n">
        <f aca="false">G240*H240</f>
        <v>0</v>
      </c>
      <c r="J240" s="13" t="n">
        <f aca="false">(D240+E240-F240)*H240</f>
        <v>0</v>
      </c>
      <c r="K240" s="13" t="n">
        <f aca="false">IF(AND(B240&lt;=Eingaben!$B$11,Szenarien!$H$15="OK"),SUM(Variantenbilanz!K1469:K1834)*H240,0)</f>
        <v>0</v>
      </c>
    </row>
    <row r="241" customFormat="false" ht="16.4" hidden="false" customHeight="false" outlineLevel="0" collapsed="false">
      <c r="A241" s="12"/>
      <c r="B241" s="15" t="n">
        <v>32</v>
      </c>
      <c r="C241" s="13" t="n">
        <f aca="false">IFERROR(IF(AND(B241&lt;=Eingaben!$B$11,Szenarien!$H$15="OK"),SUM(Variantenbilanz!K1469:K1834)*(Eingaben!$B$36*Szenarien!$C$15*(1+Eingaben!$B$40)^(B241-1)+Eingaben!$B$37*Eingaben!$B$38*(1+Eingaben!$B$46)^(B241-1)),0),0)</f>
        <v>0</v>
      </c>
      <c r="D241" s="13" t="n">
        <f aca="false">IFERROR(IF(AND(B241&lt;=Eingaben!$B$11,Szenarien!$H$15="OK"),((Eingaben!$B$32+Eingaben!$B$35)*(1+Eingaben!$B$41)^(B241-1)+SUM(Variantenbilanz!E1469:E1834)*Eingaben!$B$33*Eingaben!$B$34*(1+Eingaben!$B$42)^(B241-1))*Szenarien!$F$15,0),0)</f>
        <v>0</v>
      </c>
      <c r="E241" s="13" t="n">
        <f aca="false">IFERROR(IF(AND(AND(B241&lt;=Eingaben!$B$11,Szenarien!$H$15="OK"),B241=Eingaben!$B$43),Eingaben!$B$44*Szenarien!$B$15*(1+Eingaben!$B$41)^(B241-1),0),0)</f>
        <v>0</v>
      </c>
      <c r="F241" s="13" t="n">
        <f aca="false">IFERROR(IF(AND(AND(B241&lt;=Eingaben!$B$11,Szenarien!$H$15="OK"),B241=Eingaben!$B$11),Eingaben!$B$45*Szenarien!$B$15,0),0)</f>
        <v>0</v>
      </c>
      <c r="G241" s="13" t="n">
        <f aca="false">C241-D241-E241+F241</f>
        <v>0</v>
      </c>
      <c r="H241" s="13" t="n">
        <f aca="false">IFERROR(IF(AND(B241&lt;=Eingaben!$B$11,Szenarien!$H$15="OK"),1/(1+Eingaben!$B$39+Szenarien!$G$15)^B241,0),0)</f>
        <v>0</v>
      </c>
      <c r="I241" s="13" t="n">
        <f aca="false">G241*H241</f>
        <v>0</v>
      </c>
      <c r="J241" s="13" t="n">
        <f aca="false">(D241+E241-F241)*H241</f>
        <v>0</v>
      </c>
      <c r="K241" s="13" t="n">
        <f aca="false">IF(AND(B241&lt;=Eingaben!$B$11,Szenarien!$H$15="OK"),SUM(Variantenbilanz!K1469:K1834)*H241,0)</f>
        <v>0</v>
      </c>
    </row>
    <row r="242" customFormat="false" ht="16.4" hidden="false" customHeight="false" outlineLevel="0" collapsed="false">
      <c r="A242" s="12"/>
      <c r="B242" s="15" t="n">
        <v>33</v>
      </c>
      <c r="C242" s="13" t="n">
        <f aca="false">IFERROR(IF(AND(B242&lt;=Eingaben!$B$11,Szenarien!$H$15="OK"),SUM(Variantenbilanz!K1469:K1834)*(Eingaben!$B$36*Szenarien!$C$15*(1+Eingaben!$B$40)^(B242-1)+Eingaben!$B$37*Eingaben!$B$38*(1+Eingaben!$B$46)^(B242-1)),0),0)</f>
        <v>0</v>
      </c>
      <c r="D242" s="13" t="n">
        <f aca="false">IFERROR(IF(AND(B242&lt;=Eingaben!$B$11,Szenarien!$H$15="OK"),((Eingaben!$B$32+Eingaben!$B$35)*(1+Eingaben!$B$41)^(B242-1)+SUM(Variantenbilanz!E1469:E1834)*Eingaben!$B$33*Eingaben!$B$34*(1+Eingaben!$B$42)^(B242-1))*Szenarien!$F$15,0),0)</f>
        <v>0</v>
      </c>
      <c r="E242" s="13" t="n">
        <f aca="false">IFERROR(IF(AND(AND(B242&lt;=Eingaben!$B$11,Szenarien!$H$15="OK"),B242=Eingaben!$B$43),Eingaben!$B$44*Szenarien!$B$15*(1+Eingaben!$B$41)^(B242-1),0),0)</f>
        <v>0</v>
      </c>
      <c r="F242" s="13" t="n">
        <f aca="false">IFERROR(IF(AND(AND(B242&lt;=Eingaben!$B$11,Szenarien!$H$15="OK"),B242=Eingaben!$B$11),Eingaben!$B$45*Szenarien!$B$15,0),0)</f>
        <v>0</v>
      </c>
      <c r="G242" s="13" t="n">
        <f aca="false">C242-D242-E242+F242</f>
        <v>0</v>
      </c>
      <c r="H242" s="13" t="n">
        <f aca="false">IFERROR(IF(AND(B242&lt;=Eingaben!$B$11,Szenarien!$H$15="OK"),1/(1+Eingaben!$B$39+Szenarien!$G$15)^B242,0),0)</f>
        <v>0</v>
      </c>
      <c r="I242" s="13" t="n">
        <f aca="false">G242*H242</f>
        <v>0</v>
      </c>
      <c r="J242" s="13" t="n">
        <f aca="false">(D242+E242-F242)*H242</f>
        <v>0</v>
      </c>
      <c r="K242" s="13" t="n">
        <f aca="false">IF(AND(B242&lt;=Eingaben!$B$11,Szenarien!$H$15="OK"),SUM(Variantenbilanz!K1469:K1834)*H242,0)</f>
        <v>0</v>
      </c>
    </row>
    <row r="243" customFormat="false" ht="16.4" hidden="false" customHeight="false" outlineLevel="0" collapsed="false">
      <c r="A243" s="12"/>
      <c r="B243" s="15" t="n">
        <v>34</v>
      </c>
      <c r="C243" s="13" t="n">
        <f aca="false">IFERROR(IF(AND(B243&lt;=Eingaben!$B$11,Szenarien!$H$15="OK"),SUM(Variantenbilanz!K1469:K1834)*(Eingaben!$B$36*Szenarien!$C$15*(1+Eingaben!$B$40)^(B243-1)+Eingaben!$B$37*Eingaben!$B$38*(1+Eingaben!$B$46)^(B243-1)),0),0)</f>
        <v>0</v>
      </c>
      <c r="D243" s="13" t="n">
        <f aca="false">IFERROR(IF(AND(B243&lt;=Eingaben!$B$11,Szenarien!$H$15="OK"),((Eingaben!$B$32+Eingaben!$B$35)*(1+Eingaben!$B$41)^(B243-1)+SUM(Variantenbilanz!E1469:E1834)*Eingaben!$B$33*Eingaben!$B$34*(1+Eingaben!$B$42)^(B243-1))*Szenarien!$F$15,0),0)</f>
        <v>0</v>
      </c>
      <c r="E243" s="13" t="n">
        <f aca="false">IFERROR(IF(AND(AND(B243&lt;=Eingaben!$B$11,Szenarien!$H$15="OK"),B243=Eingaben!$B$43),Eingaben!$B$44*Szenarien!$B$15*(1+Eingaben!$B$41)^(B243-1),0),0)</f>
        <v>0</v>
      </c>
      <c r="F243" s="13" t="n">
        <f aca="false">IFERROR(IF(AND(AND(B243&lt;=Eingaben!$B$11,Szenarien!$H$15="OK"),B243=Eingaben!$B$11),Eingaben!$B$45*Szenarien!$B$15,0),0)</f>
        <v>0</v>
      </c>
      <c r="G243" s="13" t="n">
        <f aca="false">C243-D243-E243+F243</f>
        <v>0</v>
      </c>
      <c r="H243" s="13" t="n">
        <f aca="false">IFERROR(IF(AND(B243&lt;=Eingaben!$B$11,Szenarien!$H$15="OK"),1/(1+Eingaben!$B$39+Szenarien!$G$15)^B243,0),0)</f>
        <v>0</v>
      </c>
      <c r="I243" s="13" t="n">
        <f aca="false">G243*H243</f>
        <v>0</v>
      </c>
      <c r="J243" s="13" t="n">
        <f aca="false">(D243+E243-F243)*H243</f>
        <v>0</v>
      </c>
      <c r="K243" s="13" t="n">
        <f aca="false">IF(AND(B243&lt;=Eingaben!$B$11,Szenarien!$H$15="OK"),SUM(Variantenbilanz!K1469:K1834)*H243,0)</f>
        <v>0</v>
      </c>
    </row>
    <row r="244" customFormat="false" ht="16.4" hidden="false" customHeight="false" outlineLevel="0" collapsed="false">
      <c r="A244" s="12"/>
      <c r="B244" s="15" t="n">
        <v>35</v>
      </c>
      <c r="C244" s="13" t="n">
        <f aca="false">IFERROR(IF(AND(B244&lt;=Eingaben!$B$11,Szenarien!$H$15="OK"),SUM(Variantenbilanz!K1469:K1834)*(Eingaben!$B$36*Szenarien!$C$15*(1+Eingaben!$B$40)^(B244-1)+Eingaben!$B$37*Eingaben!$B$38*(1+Eingaben!$B$46)^(B244-1)),0),0)</f>
        <v>0</v>
      </c>
      <c r="D244" s="13" t="n">
        <f aca="false">IFERROR(IF(AND(B244&lt;=Eingaben!$B$11,Szenarien!$H$15="OK"),((Eingaben!$B$32+Eingaben!$B$35)*(1+Eingaben!$B$41)^(B244-1)+SUM(Variantenbilanz!E1469:E1834)*Eingaben!$B$33*Eingaben!$B$34*(1+Eingaben!$B$42)^(B244-1))*Szenarien!$F$15,0),0)</f>
        <v>0</v>
      </c>
      <c r="E244" s="13" t="n">
        <f aca="false">IFERROR(IF(AND(AND(B244&lt;=Eingaben!$B$11,Szenarien!$H$15="OK"),B244=Eingaben!$B$43),Eingaben!$B$44*Szenarien!$B$15*(1+Eingaben!$B$41)^(B244-1),0),0)</f>
        <v>0</v>
      </c>
      <c r="F244" s="13" t="n">
        <f aca="false">IFERROR(IF(AND(AND(B244&lt;=Eingaben!$B$11,Szenarien!$H$15="OK"),B244=Eingaben!$B$11),Eingaben!$B$45*Szenarien!$B$15,0),0)</f>
        <v>0</v>
      </c>
      <c r="G244" s="13" t="n">
        <f aca="false">C244-D244-E244+F244</f>
        <v>0</v>
      </c>
      <c r="H244" s="13" t="n">
        <f aca="false">IFERROR(IF(AND(B244&lt;=Eingaben!$B$11,Szenarien!$H$15="OK"),1/(1+Eingaben!$B$39+Szenarien!$G$15)^B244,0),0)</f>
        <v>0</v>
      </c>
      <c r="I244" s="13" t="n">
        <f aca="false">G244*H244</f>
        <v>0</v>
      </c>
      <c r="J244" s="13" t="n">
        <f aca="false">(D244+E244-F244)*H244</f>
        <v>0</v>
      </c>
      <c r="K244" s="13" t="n">
        <f aca="false">IF(AND(B244&lt;=Eingaben!$B$11,Szenarien!$H$15="OK"),SUM(Variantenbilanz!K1469:K1834)*H244,0)</f>
        <v>0</v>
      </c>
    </row>
    <row r="245" customFormat="false" ht="16.4" hidden="false" customHeight="false" outlineLevel="0" collapsed="false">
      <c r="A245" s="12"/>
      <c r="B245" s="15" t="n">
        <v>36</v>
      </c>
      <c r="C245" s="13" t="n">
        <f aca="false">IFERROR(IF(AND(B245&lt;=Eingaben!$B$11,Szenarien!$H$15="OK"),SUM(Variantenbilanz!K1469:K1834)*(Eingaben!$B$36*Szenarien!$C$15*(1+Eingaben!$B$40)^(B245-1)+Eingaben!$B$37*Eingaben!$B$38*(1+Eingaben!$B$46)^(B245-1)),0),0)</f>
        <v>0</v>
      </c>
      <c r="D245" s="13" t="n">
        <f aca="false">IFERROR(IF(AND(B245&lt;=Eingaben!$B$11,Szenarien!$H$15="OK"),((Eingaben!$B$32+Eingaben!$B$35)*(1+Eingaben!$B$41)^(B245-1)+SUM(Variantenbilanz!E1469:E1834)*Eingaben!$B$33*Eingaben!$B$34*(1+Eingaben!$B$42)^(B245-1))*Szenarien!$F$15,0),0)</f>
        <v>0</v>
      </c>
      <c r="E245" s="13" t="n">
        <f aca="false">IFERROR(IF(AND(AND(B245&lt;=Eingaben!$B$11,Szenarien!$H$15="OK"),B245=Eingaben!$B$43),Eingaben!$B$44*Szenarien!$B$15*(1+Eingaben!$B$41)^(B245-1),0),0)</f>
        <v>0</v>
      </c>
      <c r="F245" s="13" t="n">
        <f aca="false">IFERROR(IF(AND(AND(B245&lt;=Eingaben!$B$11,Szenarien!$H$15="OK"),B245=Eingaben!$B$11),Eingaben!$B$45*Szenarien!$B$15,0),0)</f>
        <v>0</v>
      </c>
      <c r="G245" s="13" t="n">
        <f aca="false">C245-D245-E245+F245</f>
        <v>0</v>
      </c>
      <c r="H245" s="13" t="n">
        <f aca="false">IFERROR(IF(AND(B245&lt;=Eingaben!$B$11,Szenarien!$H$15="OK"),1/(1+Eingaben!$B$39+Szenarien!$G$15)^B245,0),0)</f>
        <v>0</v>
      </c>
      <c r="I245" s="13" t="n">
        <f aca="false">G245*H245</f>
        <v>0</v>
      </c>
      <c r="J245" s="13" t="n">
        <f aca="false">(D245+E245-F245)*H245</f>
        <v>0</v>
      </c>
      <c r="K245" s="13" t="n">
        <f aca="false">IF(AND(B245&lt;=Eingaben!$B$11,Szenarien!$H$15="OK"),SUM(Variantenbilanz!K1469:K1834)*H245,0)</f>
        <v>0</v>
      </c>
    </row>
    <row r="246" customFormat="false" ht="16.4" hidden="false" customHeight="false" outlineLevel="0" collapsed="false">
      <c r="A246" s="12"/>
      <c r="B246" s="15" t="n">
        <v>37</v>
      </c>
      <c r="C246" s="13" t="n">
        <f aca="false">IFERROR(IF(AND(B246&lt;=Eingaben!$B$11,Szenarien!$H$15="OK"),SUM(Variantenbilanz!K1469:K1834)*(Eingaben!$B$36*Szenarien!$C$15*(1+Eingaben!$B$40)^(B246-1)+Eingaben!$B$37*Eingaben!$B$38*(1+Eingaben!$B$46)^(B246-1)),0),0)</f>
        <v>0</v>
      </c>
      <c r="D246" s="13" t="n">
        <f aca="false">IFERROR(IF(AND(B246&lt;=Eingaben!$B$11,Szenarien!$H$15="OK"),((Eingaben!$B$32+Eingaben!$B$35)*(1+Eingaben!$B$41)^(B246-1)+SUM(Variantenbilanz!E1469:E1834)*Eingaben!$B$33*Eingaben!$B$34*(1+Eingaben!$B$42)^(B246-1))*Szenarien!$F$15,0),0)</f>
        <v>0</v>
      </c>
      <c r="E246" s="13" t="n">
        <f aca="false">IFERROR(IF(AND(AND(B246&lt;=Eingaben!$B$11,Szenarien!$H$15="OK"),B246=Eingaben!$B$43),Eingaben!$B$44*Szenarien!$B$15*(1+Eingaben!$B$41)^(B246-1),0),0)</f>
        <v>0</v>
      </c>
      <c r="F246" s="13" t="n">
        <f aca="false">IFERROR(IF(AND(AND(B246&lt;=Eingaben!$B$11,Szenarien!$H$15="OK"),B246=Eingaben!$B$11),Eingaben!$B$45*Szenarien!$B$15,0),0)</f>
        <v>0</v>
      </c>
      <c r="G246" s="13" t="n">
        <f aca="false">C246-D246-E246+F246</f>
        <v>0</v>
      </c>
      <c r="H246" s="13" t="n">
        <f aca="false">IFERROR(IF(AND(B246&lt;=Eingaben!$B$11,Szenarien!$H$15="OK"),1/(1+Eingaben!$B$39+Szenarien!$G$15)^B246,0),0)</f>
        <v>0</v>
      </c>
      <c r="I246" s="13" t="n">
        <f aca="false">G246*H246</f>
        <v>0</v>
      </c>
      <c r="J246" s="13" t="n">
        <f aca="false">(D246+E246-F246)*H246</f>
        <v>0</v>
      </c>
      <c r="K246" s="13" t="n">
        <f aca="false">IF(AND(B246&lt;=Eingaben!$B$11,Szenarien!$H$15="OK"),SUM(Variantenbilanz!K1469:K1834)*H246,0)</f>
        <v>0</v>
      </c>
    </row>
    <row r="247" customFormat="false" ht="16.4" hidden="false" customHeight="false" outlineLevel="0" collapsed="false">
      <c r="A247" s="12"/>
      <c r="B247" s="15" t="n">
        <v>38</v>
      </c>
      <c r="C247" s="13" t="n">
        <f aca="false">IFERROR(IF(AND(B247&lt;=Eingaben!$B$11,Szenarien!$H$15="OK"),SUM(Variantenbilanz!K1469:K1834)*(Eingaben!$B$36*Szenarien!$C$15*(1+Eingaben!$B$40)^(B247-1)+Eingaben!$B$37*Eingaben!$B$38*(1+Eingaben!$B$46)^(B247-1)),0),0)</f>
        <v>0</v>
      </c>
      <c r="D247" s="13" t="n">
        <f aca="false">IFERROR(IF(AND(B247&lt;=Eingaben!$B$11,Szenarien!$H$15="OK"),((Eingaben!$B$32+Eingaben!$B$35)*(1+Eingaben!$B$41)^(B247-1)+SUM(Variantenbilanz!E1469:E1834)*Eingaben!$B$33*Eingaben!$B$34*(1+Eingaben!$B$42)^(B247-1))*Szenarien!$F$15,0),0)</f>
        <v>0</v>
      </c>
      <c r="E247" s="13" t="n">
        <f aca="false">IFERROR(IF(AND(AND(B247&lt;=Eingaben!$B$11,Szenarien!$H$15="OK"),B247=Eingaben!$B$43),Eingaben!$B$44*Szenarien!$B$15*(1+Eingaben!$B$41)^(B247-1),0),0)</f>
        <v>0</v>
      </c>
      <c r="F247" s="13" t="n">
        <f aca="false">IFERROR(IF(AND(AND(B247&lt;=Eingaben!$B$11,Szenarien!$H$15="OK"),B247=Eingaben!$B$11),Eingaben!$B$45*Szenarien!$B$15,0),0)</f>
        <v>0</v>
      </c>
      <c r="G247" s="13" t="n">
        <f aca="false">C247-D247-E247+F247</f>
        <v>0</v>
      </c>
      <c r="H247" s="13" t="n">
        <f aca="false">IFERROR(IF(AND(B247&lt;=Eingaben!$B$11,Szenarien!$H$15="OK"),1/(1+Eingaben!$B$39+Szenarien!$G$15)^B247,0),0)</f>
        <v>0</v>
      </c>
      <c r="I247" s="13" t="n">
        <f aca="false">G247*H247</f>
        <v>0</v>
      </c>
      <c r="J247" s="13" t="n">
        <f aca="false">(D247+E247-F247)*H247</f>
        <v>0</v>
      </c>
      <c r="K247" s="13" t="n">
        <f aca="false">IF(AND(B247&lt;=Eingaben!$B$11,Szenarien!$H$15="OK"),SUM(Variantenbilanz!K1469:K1834)*H247,0)</f>
        <v>0</v>
      </c>
    </row>
    <row r="248" customFormat="false" ht="16.4" hidden="false" customHeight="false" outlineLevel="0" collapsed="false">
      <c r="A248" s="12"/>
      <c r="B248" s="15" t="n">
        <v>39</v>
      </c>
      <c r="C248" s="13" t="n">
        <f aca="false">IFERROR(IF(AND(B248&lt;=Eingaben!$B$11,Szenarien!$H$15="OK"),SUM(Variantenbilanz!K1469:K1834)*(Eingaben!$B$36*Szenarien!$C$15*(1+Eingaben!$B$40)^(B248-1)+Eingaben!$B$37*Eingaben!$B$38*(1+Eingaben!$B$46)^(B248-1)),0),0)</f>
        <v>0</v>
      </c>
      <c r="D248" s="13" t="n">
        <f aca="false">IFERROR(IF(AND(B248&lt;=Eingaben!$B$11,Szenarien!$H$15="OK"),((Eingaben!$B$32+Eingaben!$B$35)*(1+Eingaben!$B$41)^(B248-1)+SUM(Variantenbilanz!E1469:E1834)*Eingaben!$B$33*Eingaben!$B$34*(1+Eingaben!$B$42)^(B248-1))*Szenarien!$F$15,0),0)</f>
        <v>0</v>
      </c>
      <c r="E248" s="13" t="n">
        <f aca="false">IFERROR(IF(AND(AND(B248&lt;=Eingaben!$B$11,Szenarien!$H$15="OK"),B248=Eingaben!$B$43),Eingaben!$B$44*Szenarien!$B$15*(1+Eingaben!$B$41)^(B248-1),0),0)</f>
        <v>0</v>
      </c>
      <c r="F248" s="13" t="n">
        <f aca="false">IFERROR(IF(AND(AND(B248&lt;=Eingaben!$B$11,Szenarien!$H$15="OK"),B248=Eingaben!$B$11),Eingaben!$B$45*Szenarien!$B$15,0),0)</f>
        <v>0</v>
      </c>
      <c r="G248" s="13" t="n">
        <f aca="false">C248-D248-E248+F248</f>
        <v>0</v>
      </c>
      <c r="H248" s="13" t="n">
        <f aca="false">IFERROR(IF(AND(B248&lt;=Eingaben!$B$11,Szenarien!$H$15="OK"),1/(1+Eingaben!$B$39+Szenarien!$G$15)^B248,0),0)</f>
        <v>0</v>
      </c>
      <c r="I248" s="13" t="n">
        <f aca="false">G248*H248</f>
        <v>0</v>
      </c>
      <c r="J248" s="13" t="n">
        <f aca="false">(D248+E248-F248)*H248</f>
        <v>0</v>
      </c>
      <c r="K248" s="13" t="n">
        <f aca="false">IF(AND(B248&lt;=Eingaben!$B$11,Szenarien!$H$15="OK"),SUM(Variantenbilanz!K1469:K1834)*H248,0)</f>
        <v>0</v>
      </c>
    </row>
    <row r="249" customFormat="false" ht="16.4" hidden="false" customHeight="false" outlineLevel="0" collapsed="false">
      <c r="A249" s="12"/>
      <c r="B249" s="15" t="n">
        <v>40</v>
      </c>
      <c r="C249" s="13" t="n">
        <f aca="false">IFERROR(IF(AND(B249&lt;=Eingaben!$B$11,Szenarien!$H$15="OK"),SUM(Variantenbilanz!K1469:K1834)*(Eingaben!$B$36*Szenarien!$C$15*(1+Eingaben!$B$40)^(B249-1)+Eingaben!$B$37*Eingaben!$B$38*(1+Eingaben!$B$46)^(B249-1)),0),0)</f>
        <v>0</v>
      </c>
      <c r="D249" s="13" t="n">
        <f aca="false">IFERROR(IF(AND(B249&lt;=Eingaben!$B$11,Szenarien!$H$15="OK"),((Eingaben!$B$32+Eingaben!$B$35)*(1+Eingaben!$B$41)^(B249-1)+SUM(Variantenbilanz!E1469:E1834)*Eingaben!$B$33*Eingaben!$B$34*(1+Eingaben!$B$42)^(B249-1))*Szenarien!$F$15,0),0)</f>
        <v>0</v>
      </c>
      <c r="E249" s="13" t="n">
        <f aca="false">IFERROR(IF(AND(AND(B249&lt;=Eingaben!$B$11,Szenarien!$H$15="OK"),B249=Eingaben!$B$43),Eingaben!$B$44*Szenarien!$B$15*(1+Eingaben!$B$41)^(B249-1),0),0)</f>
        <v>0</v>
      </c>
      <c r="F249" s="13" t="n">
        <f aca="false">IFERROR(IF(AND(AND(B249&lt;=Eingaben!$B$11,Szenarien!$H$15="OK"),B249=Eingaben!$B$11),Eingaben!$B$45*Szenarien!$B$15,0),0)</f>
        <v>0</v>
      </c>
      <c r="G249" s="13" t="n">
        <f aca="false">C249-D249-E249+F249</f>
        <v>0</v>
      </c>
      <c r="H249" s="13" t="n">
        <f aca="false">IFERROR(IF(AND(B249&lt;=Eingaben!$B$11,Szenarien!$H$15="OK"),1/(1+Eingaben!$B$39+Szenarien!$G$15)^B249,0),0)</f>
        <v>0</v>
      </c>
      <c r="I249" s="13" t="n">
        <f aca="false">G249*H249</f>
        <v>0</v>
      </c>
      <c r="J249" s="13" t="n">
        <f aca="false">(D249+E249-F249)*H249</f>
        <v>0</v>
      </c>
      <c r="K249" s="13" t="n">
        <f aca="false">IF(AND(B249&lt;=Eingaben!$B$11,Szenarien!$H$15="OK"),SUM(Variantenbilanz!K1469:K1834)*H249,0)</f>
        <v>0</v>
      </c>
    </row>
    <row r="250" customFormat="false" ht="16.4" hidden="false" customHeight="false" outlineLevel="0" collapsed="false">
      <c r="A250" s="12"/>
      <c r="B250" s="15" t="n">
        <v>41</v>
      </c>
      <c r="C250" s="13" t="n">
        <f aca="false">IFERROR(IF(AND(B250&lt;=Eingaben!$B$11,Szenarien!$H$15="OK"),SUM(Variantenbilanz!K1469:K1834)*(Eingaben!$B$36*Szenarien!$C$15*(1+Eingaben!$B$40)^(B250-1)+Eingaben!$B$37*Eingaben!$B$38*(1+Eingaben!$B$46)^(B250-1)),0),0)</f>
        <v>0</v>
      </c>
      <c r="D250" s="13" t="n">
        <f aca="false">IFERROR(IF(AND(B250&lt;=Eingaben!$B$11,Szenarien!$H$15="OK"),((Eingaben!$B$32+Eingaben!$B$35)*(1+Eingaben!$B$41)^(B250-1)+SUM(Variantenbilanz!E1469:E1834)*Eingaben!$B$33*Eingaben!$B$34*(1+Eingaben!$B$42)^(B250-1))*Szenarien!$F$15,0),0)</f>
        <v>0</v>
      </c>
      <c r="E250" s="13" t="n">
        <f aca="false">IFERROR(IF(AND(AND(B250&lt;=Eingaben!$B$11,Szenarien!$H$15="OK"),B250=Eingaben!$B$43),Eingaben!$B$44*Szenarien!$B$15*(1+Eingaben!$B$41)^(B250-1),0),0)</f>
        <v>0</v>
      </c>
      <c r="F250" s="13" t="n">
        <f aca="false">IFERROR(IF(AND(AND(B250&lt;=Eingaben!$B$11,Szenarien!$H$15="OK"),B250=Eingaben!$B$11),Eingaben!$B$45*Szenarien!$B$15,0),0)</f>
        <v>0</v>
      </c>
      <c r="G250" s="13" t="n">
        <f aca="false">C250-D250-E250+F250</f>
        <v>0</v>
      </c>
      <c r="H250" s="13" t="n">
        <f aca="false">IFERROR(IF(AND(B250&lt;=Eingaben!$B$11,Szenarien!$H$15="OK"),1/(1+Eingaben!$B$39+Szenarien!$G$15)^B250,0),0)</f>
        <v>0</v>
      </c>
      <c r="I250" s="13" t="n">
        <f aca="false">G250*H250</f>
        <v>0</v>
      </c>
      <c r="J250" s="13" t="n">
        <f aca="false">(D250+E250-F250)*H250</f>
        <v>0</v>
      </c>
      <c r="K250" s="13" t="n">
        <f aca="false">IF(AND(B250&lt;=Eingaben!$B$11,Szenarien!$H$15="OK"),SUM(Variantenbilanz!K1469:K1834)*H250,0)</f>
        <v>0</v>
      </c>
    </row>
    <row r="251" customFormat="false" ht="16.4" hidden="false" customHeight="false" outlineLevel="0" collapsed="false">
      <c r="A251" s="12"/>
      <c r="B251" s="15" t="n">
        <v>42</v>
      </c>
      <c r="C251" s="13" t="n">
        <f aca="false">IFERROR(IF(AND(B251&lt;=Eingaben!$B$11,Szenarien!$H$15="OK"),SUM(Variantenbilanz!K1469:K1834)*(Eingaben!$B$36*Szenarien!$C$15*(1+Eingaben!$B$40)^(B251-1)+Eingaben!$B$37*Eingaben!$B$38*(1+Eingaben!$B$46)^(B251-1)),0),0)</f>
        <v>0</v>
      </c>
      <c r="D251" s="13" t="n">
        <f aca="false">IFERROR(IF(AND(B251&lt;=Eingaben!$B$11,Szenarien!$H$15="OK"),((Eingaben!$B$32+Eingaben!$B$35)*(1+Eingaben!$B$41)^(B251-1)+SUM(Variantenbilanz!E1469:E1834)*Eingaben!$B$33*Eingaben!$B$34*(1+Eingaben!$B$42)^(B251-1))*Szenarien!$F$15,0),0)</f>
        <v>0</v>
      </c>
      <c r="E251" s="13" t="n">
        <f aca="false">IFERROR(IF(AND(AND(B251&lt;=Eingaben!$B$11,Szenarien!$H$15="OK"),B251=Eingaben!$B$43),Eingaben!$B$44*Szenarien!$B$15*(1+Eingaben!$B$41)^(B251-1),0),0)</f>
        <v>0</v>
      </c>
      <c r="F251" s="13" t="n">
        <f aca="false">IFERROR(IF(AND(AND(B251&lt;=Eingaben!$B$11,Szenarien!$H$15="OK"),B251=Eingaben!$B$11),Eingaben!$B$45*Szenarien!$B$15,0),0)</f>
        <v>0</v>
      </c>
      <c r="G251" s="13" t="n">
        <f aca="false">C251-D251-E251+F251</f>
        <v>0</v>
      </c>
      <c r="H251" s="13" t="n">
        <f aca="false">IFERROR(IF(AND(B251&lt;=Eingaben!$B$11,Szenarien!$H$15="OK"),1/(1+Eingaben!$B$39+Szenarien!$G$15)^B251,0),0)</f>
        <v>0</v>
      </c>
      <c r="I251" s="13" t="n">
        <f aca="false">G251*H251</f>
        <v>0</v>
      </c>
      <c r="J251" s="13" t="n">
        <f aca="false">(D251+E251-F251)*H251</f>
        <v>0</v>
      </c>
      <c r="K251" s="13" t="n">
        <f aca="false">IF(AND(B251&lt;=Eingaben!$B$11,Szenarien!$H$15="OK"),SUM(Variantenbilanz!K1469:K1834)*H251,0)</f>
        <v>0</v>
      </c>
    </row>
    <row r="252" customFormat="false" ht="16.4" hidden="false" customHeight="false" outlineLevel="0" collapsed="false">
      <c r="A252" s="12"/>
      <c r="B252" s="15" t="n">
        <v>43</v>
      </c>
      <c r="C252" s="13" t="n">
        <f aca="false">IFERROR(IF(AND(B252&lt;=Eingaben!$B$11,Szenarien!$H$15="OK"),SUM(Variantenbilanz!K1469:K1834)*(Eingaben!$B$36*Szenarien!$C$15*(1+Eingaben!$B$40)^(B252-1)+Eingaben!$B$37*Eingaben!$B$38*(1+Eingaben!$B$46)^(B252-1)),0),0)</f>
        <v>0</v>
      </c>
      <c r="D252" s="13" t="n">
        <f aca="false">IFERROR(IF(AND(B252&lt;=Eingaben!$B$11,Szenarien!$H$15="OK"),((Eingaben!$B$32+Eingaben!$B$35)*(1+Eingaben!$B$41)^(B252-1)+SUM(Variantenbilanz!E1469:E1834)*Eingaben!$B$33*Eingaben!$B$34*(1+Eingaben!$B$42)^(B252-1))*Szenarien!$F$15,0),0)</f>
        <v>0</v>
      </c>
      <c r="E252" s="13" t="n">
        <f aca="false">IFERROR(IF(AND(AND(B252&lt;=Eingaben!$B$11,Szenarien!$H$15="OK"),B252=Eingaben!$B$43),Eingaben!$B$44*Szenarien!$B$15*(1+Eingaben!$B$41)^(B252-1),0),0)</f>
        <v>0</v>
      </c>
      <c r="F252" s="13" t="n">
        <f aca="false">IFERROR(IF(AND(AND(B252&lt;=Eingaben!$B$11,Szenarien!$H$15="OK"),B252=Eingaben!$B$11),Eingaben!$B$45*Szenarien!$B$15,0),0)</f>
        <v>0</v>
      </c>
      <c r="G252" s="13" t="n">
        <f aca="false">C252-D252-E252+F252</f>
        <v>0</v>
      </c>
      <c r="H252" s="13" t="n">
        <f aca="false">IFERROR(IF(AND(B252&lt;=Eingaben!$B$11,Szenarien!$H$15="OK"),1/(1+Eingaben!$B$39+Szenarien!$G$15)^B252,0),0)</f>
        <v>0</v>
      </c>
      <c r="I252" s="13" t="n">
        <f aca="false">G252*H252</f>
        <v>0</v>
      </c>
      <c r="J252" s="13" t="n">
        <f aca="false">(D252+E252-F252)*H252</f>
        <v>0</v>
      </c>
      <c r="K252" s="13" t="n">
        <f aca="false">IF(AND(B252&lt;=Eingaben!$B$11,Szenarien!$H$15="OK"),SUM(Variantenbilanz!K1469:K1834)*H252,0)</f>
        <v>0</v>
      </c>
    </row>
    <row r="253" customFormat="false" ht="16.4" hidden="false" customHeight="false" outlineLevel="0" collapsed="false">
      <c r="A253" s="12"/>
      <c r="B253" s="15" t="n">
        <v>44</v>
      </c>
      <c r="C253" s="13" t="n">
        <f aca="false">IFERROR(IF(AND(B253&lt;=Eingaben!$B$11,Szenarien!$H$15="OK"),SUM(Variantenbilanz!K1469:K1834)*(Eingaben!$B$36*Szenarien!$C$15*(1+Eingaben!$B$40)^(B253-1)+Eingaben!$B$37*Eingaben!$B$38*(1+Eingaben!$B$46)^(B253-1)),0),0)</f>
        <v>0</v>
      </c>
      <c r="D253" s="13" t="n">
        <f aca="false">IFERROR(IF(AND(B253&lt;=Eingaben!$B$11,Szenarien!$H$15="OK"),((Eingaben!$B$32+Eingaben!$B$35)*(1+Eingaben!$B$41)^(B253-1)+SUM(Variantenbilanz!E1469:E1834)*Eingaben!$B$33*Eingaben!$B$34*(1+Eingaben!$B$42)^(B253-1))*Szenarien!$F$15,0),0)</f>
        <v>0</v>
      </c>
      <c r="E253" s="13" t="n">
        <f aca="false">IFERROR(IF(AND(AND(B253&lt;=Eingaben!$B$11,Szenarien!$H$15="OK"),B253=Eingaben!$B$43),Eingaben!$B$44*Szenarien!$B$15*(1+Eingaben!$B$41)^(B253-1),0),0)</f>
        <v>0</v>
      </c>
      <c r="F253" s="13" t="n">
        <f aca="false">IFERROR(IF(AND(AND(B253&lt;=Eingaben!$B$11,Szenarien!$H$15="OK"),B253=Eingaben!$B$11),Eingaben!$B$45*Szenarien!$B$15,0),0)</f>
        <v>0</v>
      </c>
      <c r="G253" s="13" t="n">
        <f aca="false">C253-D253-E253+F253</f>
        <v>0</v>
      </c>
      <c r="H253" s="13" t="n">
        <f aca="false">IFERROR(IF(AND(B253&lt;=Eingaben!$B$11,Szenarien!$H$15="OK"),1/(1+Eingaben!$B$39+Szenarien!$G$15)^B253,0),0)</f>
        <v>0</v>
      </c>
      <c r="I253" s="13" t="n">
        <f aca="false">G253*H253</f>
        <v>0</v>
      </c>
      <c r="J253" s="13" t="n">
        <f aca="false">(D253+E253-F253)*H253</f>
        <v>0</v>
      </c>
      <c r="K253" s="13" t="n">
        <f aca="false">IF(AND(B253&lt;=Eingaben!$B$11,Szenarien!$H$15="OK"),SUM(Variantenbilanz!K1469:K1834)*H253,0)</f>
        <v>0</v>
      </c>
    </row>
    <row r="254" customFormat="false" ht="16.4" hidden="false" customHeight="false" outlineLevel="0" collapsed="false">
      <c r="A254" s="12"/>
      <c r="B254" s="15" t="n">
        <v>45</v>
      </c>
      <c r="C254" s="13" t="n">
        <f aca="false">IFERROR(IF(AND(B254&lt;=Eingaben!$B$11,Szenarien!$H$15="OK"),SUM(Variantenbilanz!K1469:K1834)*(Eingaben!$B$36*Szenarien!$C$15*(1+Eingaben!$B$40)^(B254-1)+Eingaben!$B$37*Eingaben!$B$38*(1+Eingaben!$B$46)^(B254-1)),0),0)</f>
        <v>0</v>
      </c>
      <c r="D254" s="13" t="n">
        <f aca="false">IFERROR(IF(AND(B254&lt;=Eingaben!$B$11,Szenarien!$H$15="OK"),((Eingaben!$B$32+Eingaben!$B$35)*(1+Eingaben!$B$41)^(B254-1)+SUM(Variantenbilanz!E1469:E1834)*Eingaben!$B$33*Eingaben!$B$34*(1+Eingaben!$B$42)^(B254-1))*Szenarien!$F$15,0),0)</f>
        <v>0</v>
      </c>
      <c r="E254" s="13" t="n">
        <f aca="false">IFERROR(IF(AND(AND(B254&lt;=Eingaben!$B$11,Szenarien!$H$15="OK"),B254=Eingaben!$B$43),Eingaben!$B$44*Szenarien!$B$15*(1+Eingaben!$B$41)^(B254-1),0),0)</f>
        <v>0</v>
      </c>
      <c r="F254" s="13" t="n">
        <f aca="false">IFERROR(IF(AND(AND(B254&lt;=Eingaben!$B$11,Szenarien!$H$15="OK"),B254=Eingaben!$B$11),Eingaben!$B$45*Szenarien!$B$15,0),0)</f>
        <v>0</v>
      </c>
      <c r="G254" s="13" t="n">
        <f aca="false">C254-D254-E254+F254</f>
        <v>0</v>
      </c>
      <c r="H254" s="13" t="n">
        <f aca="false">IFERROR(IF(AND(B254&lt;=Eingaben!$B$11,Szenarien!$H$15="OK"),1/(1+Eingaben!$B$39+Szenarien!$G$15)^B254,0),0)</f>
        <v>0</v>
      </c>
      <c r="I254" s="13" t="n">
        <f aca="false">G254*H254</f>
        <v>0</v>
      </c>
      <c r="J254" s="13" t="n">
        <f aca="false">(D254+E254-F254)*H254</f>
        <v>0</v>
      </c>
      <c r="K254" s="13" t="n">
        <f aca="false">IF(AND(B254&lt;=Eingaben!$B$11,Szenarien!$H$15="OK"),SUM(Variantenbilanz!K1469:K1834)*H254,0)</f>
        <v>0</v>
      </c>
    </row>
    <row r="255" customFormat="false" ht="16.4" hidden="false" customHeight="false" outlineLevel="0" collapsed="false">
      <c r="A255" s="12"/>
      <c r="B255" s="15" t="n">
        <v>46</v>
      </c>
      <c r="C255" s="13" t="n">
        <f aca="false">IFERROR(IF(AND(B255&lt;=Eingaben!$B$11,Szenarien!$H$15="OK"),SUM(Variantenbilanz!K1469:K1834)*(Eingaben!$B$36*Szenarien!$C$15*(1+Eingaben!$B$40)^(B255-1)+Eingaben!$B$37*Eingaben!$B$38*(1+Eingaben!$B$46)^(B255-1)),0),0)</f>
        <v>0</v>
      </c>
      <c r="D255" s="13" t="n">
        <f aca="false">IFERROR(IF(AND(B255&lt;=Eingaben!$B$11,Szenarien!$H$15="OK"),((Eingaben!$B$32+Eingaben!$B$35)*(1+Eingaben!$B$41)^(B255-1)+SUM(Variantenbilanz!E1469:E1834)*Eingaben!$B$33*Eingaben!$B$34*(1+Eingaben!$B$42)^(B255-1))*Szenarien!$F$15,0),0)</f>
        <v>0</v>
      </c>
      <c r="E255" s="13" t="n">
        <f aca="false">IFERROR(IF(AND(AND(B255&lt;=Eingaben!$B$11,Szenarien!$H$15="OK"),B255=Eingaben!$B$43),Eingaben!$B$44*Szenarien!$B$15*(1+Eingaben!$B$41)^(B255-1),0),0)</f>
        <v>0</v>
      </c>
      <c r="F255" s="13" t="n">
        <f aca="false">IFERROR(IF(AND(AND(B255&lt;=Eingaben!$B$11,Szenarien!$H$15="OK"),B255=Eingaben!$B$11),Eingaben!$B$45*Szenarien!$B$15,0),0)</f>
        <v>0</v>
      </c>
      <c r="G255" s="13" t="n">
        <f aca="false">C255-D255-E255+F255</f>
        <v>0</v>
      </c>
      <c r="H255" s="13" t="n">
        <f aca="false">IFERROR(IF(AND(B255&lt;=Eingaben!$B$11,Szenarien!$H$15="OK"),1/(1+Eingaben!$B$39+Szenarien!$G$15)^B255,0),0)</f>
        <v>0</v>
      </c>
      <c r="I255" s="13" t="n">
        <f aca="false">G255*H255</f>
        <v>0</v>
      </c>
      <c r="J255" s="13" t="n">
        <f aca="false">(D255+E255-F255)*H255</f>
        <v>0</v>
      </c>
      <c r="K255" s="13" t="n">
        <f aca="false">IF(AND(B255&lt;=Eingaben!$B$11,Szenarien!$H$15="OK"),SUM(Variantenbilanz!K1469:K1834)*H255,0)</f>
        <v>0</v>
      </c>
    </row>
    <row r="256" customFormat="false" ht="16.4" hidden="false" customHeight="false" outlineLevel="0" collapsed="false">
      <c r="A256" s="12"/>
      <c r="B256" s="15" t="n">
        <v>47</v>
      </c>
      <c r="C256" s="13" t="n">
        <f aca="false">IFERROR(IF(AND(B256&lt;=Eingaben!$B$11,Szenarien!$H$15="OK"),SUM(Variantenbilanz!K1469:K1834)*(Eingaben!$B$36*Szenarien!$C$15*(1+Eingaben!$B$40)^(B256-1)+Eingaben!$B$37*Eingaben!$B$38*(1+Eingaben!$B$46)^(B256-1)),0),0)</f>
        <v>0</v>
      </c>
      <c r="D256" s="13" t="n">
        <f aca="false">IFERROR(IF(AND(B256&lt;=Eingaben!$B$11,Szenarien!$H$15="OK"),((Eingaben!$B$32+Eingaben!$B$35)*(1+Eingaben!$B$41)^(B256-1)+SUM(Variantenbilanz!E1469:E1834)*Eingaben!$B$33*Eingaben!$B$34*(1+Eingaben!$B$42)^(B256-1))*Szenarien!$F$15,0),0)</f>
        <v>0</v>
      </c>
      <c r="E256" s="13" t="n">
        <f aca="false">IFERROR(IF(AND(AND(B256&lt;=Eingaben!$B$11,Szenarien!$H$15="OK"),B256=Eingaben!$B$43),Eingaben!$B$44*Szenarien!$B$15*(1+Eingaben!$B$41)^(B256-1),0),0)</f>
        <v>0</v>
      </c>
      <c r="F256" s="13" t="n">
        <f aca="false">IFERROR(IF(AND(AND(B256&lt;=Eingaben!$B$11,Szenarien!$H$15="OK"),B256=Eingaben!$B$11),Eingaben!$B$45*Szenarien!$B$15,0),0)</f>
        <v>0</v>
      </c>
      <c r="G256" s="13" t="n">
        <f aca="false">C256-D256-E256+F256</f>
        <v>0</v>
      </c>
      <c r="H256" s="13" t="n">
        <f aca="false">IFERROR(IF(AND(B256&lt;=Eingaben!$B$11,Szenarien!$H$15="OK"),1/(1+Eingaben!$B$39+Szenarien!$G$15)^B256,0),0)</f>
        <v>0</v>
      </c>
      <c r="I256" s="13" t="n">
        <f aca="false">G256*H256</f>
        <v>0</v>
      </c>
      <c r="J256" s="13" t="n">
        <f aca="false">(D256+E256-F256)*H256</f>
        <v>0</v>
      </c>
      <c r="K256" s="13" t="n">
        <f aca="false">IF(AND(B256&lt;=Eingaben!$B$11,Szenarien!$H$15="OK"),SUM(Variantenbilanz!K1469:K1834)*H256,0)</f>
        <v>0</v>
      </c>
    </row>
    <row r="257" customFormat="false" ht="16.4" hidden="false" customHeight="false" outlineLevel="0" collapsed="false">
      <c r="A257" s="12"/>
      <c r="B257" s="15" t="n">
        <v>48</v>
      </c>
      <c r="C257" s="13" t="n">
        <f aca="false">IFERROR(IF(AND(B257&lt;=Eingaben!$B$11,Szenarien!$H$15="OK"),SUM(Variantenbilanz!K1469:K1834)*(Eingaben!$B$36*Szenarien!$C$15*(1+Eingaben!$B$40)^(B257-1)+Eingaben!$B$37*Eingaben!$B$38*(1+Eingaben!$B$46)^(B257-1)),0),0)</f>
        <v>0</v>
      </c>
      <c r="D257" s="13" t="n">
        <f aca="false">IFERROR(IF(AND(B257&lt;=Eingaben!$B$11,Szenarien!$H$15="OK"),((Eingaben!$B$32+Eingaben!$B$35)*(1+Eingaben!$B$41)^(B257-1)+SUM(Variantenbilanz!E1469:E1834)*Eingaben!$B$33*Eingaben!$B$34*(1+Eingaben!$B$42)^(B257-1))*Szenarien!$F$15,0),0)</f>
        <v>0</v>
      </c>
      <c r="E257" s="13" t="n">
        <f aca="false">IFERROR(IF(AND(AND(B257&lt;=Eingaben!$B$11,Szenarien!$H$15="OK"),B257=Eingaben!$B$43),Eingaben!$B$44*Szenarien!$B$15*(1+Eingaben!$B$41)^(B257-1),0),0)</f>
        <v>0</v>
      </c>
      <c r="F257" s="13" t="n">
        <f aca="false">IFERROR(IF(AND(AND(B257&lt;=Eingaben!$B$11,Szenarien!$H$15="OK"),B257=Eingaben!$B$11),Eingaben!$B$45*Szenarien!$B$15,0),0)</f>
        <v>0</v>
      </c>
      <c r="G257" s="13" t="n">
        <f aca="false">C257-D257-E257+F257</f>
        <v>0</v>
      </c>
      <c r="H257" s="13" t="n">
        <f aca="false">IFERROR(IF(AND(B257&lt;=Eingaben!$B$11,Szenarien!$H$15="OK"),1/(1+Eingaben!$B$39+Szenarien!$G$15)^B257,0),0)</f>
        <v>0</v>
      </c>
      <c r="I257" s="13" t="n">
        <f aca="false">G257*H257</f>
        <v>0</v>
      </c>
      <c r="J257" s="13" t="n">
        <f aca="false">(D257+E257-F257)*H257</f>
        <v>0</v>
      </c>
      <c r="K257" s="13" t="n">
        <f aca="false">IF(AND(B257&lt;=Eingaben!$B$11,Szenarien!$H$15="OK"),SUM(Variantenbilanz!K1469:K1834)*H257,0)</f>
        <v>0</v>
      </c>
    </row>
    <row r="258" customFormat="false" ht="16.4" hidden="false" customHeight="false" outlineLevel="0" collapsed="false">
      <c r="A258" s="12"/>
      <c r="B258" s="15" t="n">
        <v>49</v>
      </c>
      <c r="C258" s="13" t="n">
        <f aca="false">IFERROR(IF(AND(B258&lt;=Eingaben!$B$11,Szenarien!$H$15="OK"),SUM(Variantenbilanz!K1469:K1834)*(Eingaben!$B$36*Szenarien!$C$15*(1+Eingaben!$B$40)^(B258-1)+Eingaben!$B$37*Eingaben!$B$38*(1+Eingaben!$B$46)^(B258-1)),0),0)</f>
        <v>0</v>
      </c>
      <c r="D258" s="13" t="n">
        <f aca="false">IFERROR(IF(AND(B258&lt;=Eingaben!$B$11,Szenarien!$H$15="OK"),((Eingaben!$B$32+Eingaben!$B$35)*(1+Eingaben!$B$41)^(B258-1)+SUM(Variantenbilanz!E1469:E1834)*Eingaben!$B$33*Eingaben!$B$34*(1+Eingaben!$B$42)^(B258-1))*Szenarien!$F$15,0),0)</f>
        <v>0</v>
      </c>
      <c r="E258" s="13" t="n">
        <f aca="false">IFERROR(IF(AND(AND(B258&lt;=Eingaben!$B$11,Szenarien!$H$15="OK"),B258=Eingaben!$B$43),Eingaben!$B$44*Szenarien!$B$15*(1+Eingaben!$B$41)^(B258-1),0),0)</f>
        <v>0</v>
      </c>
      <c r="F258" s="13" t="n">
        <f aca="false">IFERROR(IF(AND(AND(B258&lt;=Eingaben!$B$11,Szenarien!$H$15="OK"),B258=Eingaben!$B$11),Eingaben!$B$45*Szenarien!$B$15,0),0)</f>
        <v>0</v>
      </c>
      <c r="G258" s="13" t="n">
        <f aca="false">C258-D258-E258+F258</f>
        <v>0</v>
      </c>
      <c r="H258" s="13" t="n">
        <f aca="false">IFERROR(IF(AND(B258&lt;=Eingaben!$B$11,Szenarien!$H$15="OK"),1/(1+Eingaben!$B$39+Szenarien!$G$15)^B258,0),0)</f>
        <v>0</v>
      </c>
      <c r="I258" s="13" t="n">
        <f aca="false">G258*H258</f>
        <v>0</v>
      </c>
      <c r="J258" s="13" t="n">
        <f aca="false">(D258+E258-F258)*H258</f>
        <v>0</v>
      </c>
      <c r="K258" s="13" t="n">
        <f aca="false">IF(AND(B258&lt;=Eingaben!$B$11,Szenarien!$H$15="OK"),SUM(Variantenbilanz!K1469:K1834)*H258,0)</f>
        <v>0</v>
      </c>
    </row>
    <row r="259" customFormat="false" ht="16.4" hidden="false" customHeight="false" outlineLevel="0" collapsed="false">
      <c r="A259" s="12"/>
      <c r="B259" s="15" t="n">
        <v>50</v>
      </c>
      <c r="C259" s="13" t="n">
        <f aca="false">IFERROR(IF(AND(B259&lt;=Eingaben!$B$11,Szenarien!$H$15="OK"),SUM(Variantenbilanz!K1469:K1834)*(Eingaben!$B$36*Szenarien!$C$15*(1+Eingaben!$B$40)^(B259-1)+Eingaben!$B$37*Eingaben!$B$38*(1+Eingaben!$B$46)^(B259-1)),0),0)</f>
        <v>0</v>
      </c>
      <c r="D259" s="13" t="n">
        <f aca="false">IFERROR(IF(AND(B259&lt;=Eingaben!$B$11,Szenarien!$H$15="OK"),((Eingaben!$B$32+Eingaben!$B$35)*(1+Eingaben!$B$41)^(B259-1)+SUM(Variantenbilanz!E1469:E1834)*Eingaben!$B$33*Eingaben!$B$34*(1+Eingaben!$B$42)^(B259-1))*Szenarien!$F$15,0),0)</f>
        <v>0</v>
      </c>
      <c r="E259" s="13" t="n">
        <f aca="false">IFERROR(IF(AND(AND(B259&lt;=Eingaben!$B$11,Szenarien!$H$15="OK"),B259=Eingaben!$B$43),Eingaben!$B$44*Szenarien!$B$15*(1+Eingaben!$B$41)^(B259-1),0),0)</f>
        <v>0</v>
      </c>
      <c r="F259" s="13" t="n">
        <f aca="false">IFERROR(IF(AND(AND(B259&lt;=Eingaben!$B$11,Szenarien!$H$15="OK"),B259=Eingaben!$B$11),Eingaben!$B$45*Szenarien!$B$15,0),0)</f>
        <v>0</v>
      </c>
      <c r="G259" s="13" t="n">
        <f aca="false">C259-D259-E259+F259</f>
        <v>0</v>
      </c>
      <c r="H259" s="13" t="n">
        <f aca="false">IFERROR(IF(AND(B259&lt;=Eingaben!$B$11,Szenarien!$H$15="OK"),1/(1+Eingaben!$B$39+Szenarien!$G$15)^B259,0),0)</f>
        <v>0</v>
      </c>
      <c r="I259" s="13" t="n">
        <f aca="false">G259*H259</f>
        <v>0</v>
      </c>
      <c r="J259" s="13" t="n">
        <f aca="false">(D259+E259-F259)*H259</f>
        <v>0</v>
      </c>
      <c r="K259" s="13" t="n">
        <f aca="false">IF(AND(B259&lt;=Eingaben!$B$11,Szenarien!$H$15="OK"),SUM(Variantenbilanz!K1469:K1834)*H259,0)</f>
        <v>0</v>
      </c>
    </row>
    <row r="260" customFormat="false" ht="31.3" hidden="false" customHeight="false" outlineLevel="0" collapsed="false">
      <c r="A260" s="12" t="s">
        <v>332</v>
      </c>
      <c r="B260" s="15" t="n">
        <v>0</v>
      </c>
      <c r="C260" s="13" t="n">
        <f aca="false">0</f>
        <v>0</v>
      </c>
      <c r="D260" s="13" t="n">
        <f aca="false">0</f>
        <v>0</v>
      </c>
      <c r="E260" s="13" t="n">
        <f aca="false">MAX(0,Berechnung!$B$13*Szenarien!$B$16-MIN(Eingaben!$B$31,Berechnung!$B$13*Szenarien!$B$16))</f>
        <v>25000</v>
      </c>
      <c r="F260" s="13" t="n">
        <f aca="false">0</f>
        <v>0</v>
      </c>
      <c r="G260" s="13" t="n">
        <f aca="false">-E260</f>
        <v>-25000</v>
      </c>
      <c r="H260" s="13" t="n">
        <f aca="false">1</f>
        <v>1</v>
      </c>
      <c r="I260" s="13" t="n">
        <f aca="false">G260</f>
        <v>-25000</v>
      </c>
      <c r="J260" s="13" t="n">
        <f aca="false">E260</f>
        <v>25000</v>
      </c>
      <c r="K260" s="13" t="n">
        <f aca="false">0</f>
        <v>0</v>
      </c>
    </row>
    <row r="261" customFormat="false" ht="16.4" hidden="false" customHeight="false" outlineLevel="0" collapsed="false">
      <c r="A261" s="12"/>
      <c r="B261" s="15" t="n">
        <v>1</v>
      </c>
      <c r="C261" s="13" t="n">
        <f aca="false">IFERROR(IF(AND(B261&lt;=Eingaben!$B$11,Szenarien!$H$16="OK"),SUM(Variantenbilanz!K1835:K2200)*(Eingaben!$B$36*Szenarien!$C$16*(1+Eingaben!$B$40)^(B261-1)+Eingaben!$B$37*Eingaben!$B$38*(1+Eingaben!$B$46)^(B261-1)),0),0)</f>
        <v>1110.7795144</v>
      </c>
      <c r="D261" s="13" t="n">
        <f aca="false">IFERROR(IF(AND(B261&lt;=Eingaben!$B$11,Szenarien!$H$16="OK"),((Eingaben!$B$32+Eingaben!$B$35)*(1+Eingaben!$B$41)^(B261-1)+SUM(Variantenbilanz!E1835:E2200)*Eingaben!$B$33*Eingaben!$B$34*(1+Eingaben!$B$42)^(B261-1))*Szenarien!$F$16,0),0)</f>
        <v>781.527</v>
      </c>
      <c r="E261" s="13" t="n">
        <f aca="false">IFERROR(IF(AND(AND(B261&lt;=Eingaben!$B$11,Szenarien!$H$16="OK"),B261=Eingaben!$B$43),Eingaben!$B$44*Szenarien!$B$16*(1+Eingaben!$B$41)^(B261-1),0),0)</f>
        <v>0</v>
      </c>
      <c r="F261" s="13" t="n">
        <f aca="false">IFERROR(IF(AND(AND(B261&lt;=Eingaben!$B$11,Szenarien!$H$16="OK"),B261=Eingaben!$B$11),Eingaben!$B$45*Szenarien!$B$16,0),0)</f>
        <v>0</v>
      </c>
      <c r="G261" s="13" t="n">
        <f aca="false">C261-D261-E261+F261</f>
        <v>329.2525144</v>
      </c>
      <c r="H261" s="13" t="n">
        <f aca="false">IFERROR(IF(AND(B261&lt;=Eingaben!$B$11,Szenarien!$H$16="OK"),1/(1+Eingaben!$B$39+Szenarien!$G$16)^B261,0),0)</f>
        <v>0.970873786407767</v>
      </c>
      <c r="I261" s="13" t="n">
        <f aca="false">G261*H261</f>
        <v>319.662635339806</v>
      </c>
      <c r="J261" s="13" t="n">
        <f aca="false">(D261+E261-F261)*H261</f>
        <v>758.764077669903</v>
      </c>
      <c r="K261" s="13" t="n">
        <f aca="false">IF(AND(B261&lt;=Eingaben!$B$11,Szenarien!$H$16="OK"),SUM(Variantenbilanz!K1835:K2200)*H261,0)</f>
        <v>539.213356504854</v>
      </c>
    </row>
    <row r="262" customFormat="false" ht="16.4" hidden="false" customHeight="false" outlineLevel="0" collapsed="false">
      <c r="A262" s="12"/>
      <c r="B262" s="15" t="n">
        <v>2</v>
      </c>
      <c r="C262" s="13" t="n">
        <f aca="false">IFERROR(IF(AND(B262&lt;=Eingaben!$B$11,Szenarien!$H$16="OK"),SUM(Variantenbilanz!K1835:K2200)*(Eingaben!$B$36*Szenarien!$C$16*(1+Eingaben!$B$40)^(B262-1)+Eingaben!$B$37*Eingaben!$B$38*(1+Eingaben!$B$46)^(B262-1)),0),0)</f>
        <v>1132.995104688</v>
      </c>
      <c r="D262" s="13" t="n">
        <f aca="false">IFERROR(IF(AND(B262&lt;=Eingaben!$B$11,Szenarien!$H$16="OK"),((Eingaben!$B$32+Eingaben!$B$35)*(1+Eingaben!$B$41)^(B262-1)+SUM(Variantenbilanz!E1835:E2200)*Eingaben!$B$33*Eingaben!$B$34*(1+Eingaben!$B$42)^(B262-1))*Szenarien!$F$16,0),0)</f>
        <v>797.15754</v>
      </c>
      <c r="E262" s="13" t="n">
        <f aca="false">IFERROR(IF(AND(AND(B262&lt;=Eingaben!$B$11,Szenarien!$H$16="OK"),B262=Eingaben!$B$43),Eingaben!$B$44*Szenarien!$B$16*(1+Eingaben!$B$41)^(B262-1),0),0)</f>
        <v>0</v>
      </c>
      <c r="F262" s="13" t="n">
        <f aca="false">IFERROR(IF(AND(AND(B262&lt;=Eingaben!$B$11,Szenarien!$H$16="OK"),B262=Eingaben!$B$11),Eingaben!$B$45*Szenarien!$B$16,0),0)</f>
        <v>0</v>
      </c>
      <c r="G262" s="13" t="n">
        <f aca="false">C262-D262-E262+F262</f>
        <v>335.837564688</v>
      </c>
      <c r="H262" s="13" t="n">
        <f aca="false">IFERROR(IF(AND(B262&lt;=Eingaben!$B$11,Szenarien!$H$16="OK"),1/(1+Eingaben!$B$39+Szenarien!$G$16)^B262,0),0)</f>
        <v>0.942595909133754</v>
      </c>
      <c r="I262" s="13" t="n">
        <f aca="false">G262*H262</f>
        <v>316.559114608351</v>
      </c>
      <c r="J262" s="13" t="n">
        <f aca="false">(D262+E262-F262)*H262</f>
        <v>751.397436139127</v>
      </c>
      <c r="K262" s="13" t="n">
        <f aca="false">IF(AND(B262&lt;=Eingaben!$B$11,Szenarien!$H$16="OK"),SUM(Variantenbilanz!K1835:K2200)*H262,0)</f>
        <v>523.508113111509</v>
      </c>
    </row>
    <row r="263" customFormat="false" ht="16.4" hidden="false" customHeight="false" outlineLevel="0" collapsed="false">
      <c r="A263" s="12"/>
      <c r="B263" s="15" t="n">
        <v>3</v>
      </c>
      <c r="C263" s="13" t="n">
        <f aca="false">IFERROR(IF(AND(B263&lt;=Eingaben!$B$11,Szenarien!$H$16="OK"),SUM(Variantenbilanz!K1835:K2200)*(Eingaben!$B$36*Szenarien!$C$16*(1+Eingaben!$B$40)^(B263-1)+Eingaben!$B$37*Eingaben!$B$38*(1+Eingaben!$B$46)^(B263-1)),0),0)</f>
        <v>1155.65500678176</v>
      </c>
      <c r="D263" s="13" t="n">
        <f aca="false">IFERROR(IF(AND(B263&lt;=Eingaben!$B$11,Szenarien!$H$16="OK"),((Eingaben!$B$32+Eingaben!$B$35)*(1+Eingaben!$B$41)^(B263-1)+SUM(Variantenbilanz!E1835:E2200)*Eingaben!$B$33*Eingaben!$B$34*(1+Eingaben!$B$42)^(B263-1))*Szenarien!$F$16,0),0)</f>
        <v>813.1006908</v>
      </c>
      <c r="E263" s="13" t="n">
        <f aca="false">IFERROR(IF(AND(AND(B263&lt;=Eingaben!$B$11,Szenarien!$H$16="OK"),B263=Eingaben!$B$43),Eingaben!$B$44*Szenarien!$B$16*(1+Eingaben!$B$41)^(B263-1),0),0)</f>
        <v>0</v>
      </c>
      <c r="F263" s="13" t="n">
        <f aca="false">IFERROR(IF(AND(AND(B263&lt;=Eingaben!$B$11,Szenarien!$H$16="OK"),B263=Eingaben!$B$11),Eingaben!$B$45*Szenarien!$B$16,0),0)</f>
        <v>0</v>
      </c>
      <c r="G263" s="13" t="n">
        <f aca="false">C263-D263-E263+F263</f>
        <v>342.55431598176</v>
      </c>
      <c r="H263" s="13" t="n">
        <f aca="false">IFERROR(IF(AND(B263&lt;=Eingaben!$B$11,Szenarien!$H$16="OK"),1/(1+Eingaben!$B$39+Szenarien!$G$16)^B263,0),0)</f>
        <v>0.91514165935316</v>
      </c>
      <c r="I263" s="13" t="n">
        <f aca="false">G263*H263</f>
        <v>313.485725146135</v>
      </c>
      <c r="J263" s="13" t="n">
        <f aca="false">(D263+E263-F263)*H263</f>
        <v>744.102315399912</v>
      </c>
      <c r="K263" s="13" t="n">
        <f aca="false">IF(AND(B263&lt;=Eingaben!$B$11,Szenarien!$H$16="OK"),SUM(Variantenbilanz!K1835:K2200)*H263,0)</f>
        <v>508.260303991756</v>
      </c>
    </row>
    <row r="264" customFormat="false" ht="16.4" hidden="false" customHeight="false" outlineLevel="0" collapsed="false">
      <c r="A264" s="12"/>
      <c r="B264" s="15" t="n">
        <v>4</v>
      </c>
      <c r="C264" s="13" t="n">
        <f aca="false">IFERROR(IF(AND(B264&lt;=Eingaben!$B$11,Szenarien!$H$16="OK"),SUM(Variantenbilanz!K1835:K2200)*(Eingaben!$B$36*Szenarien!$C$16*(1+Eingaben!$B$40)^(B264-1)+Eingaben!$B$37*Eingaben!$B$38*(1+Eingaben!$B$46)^(B264-1)),0),0)</f>
        <v>1178.7681069174</v>
      </c>
      <c r="D264" s="13" t="n">
        <f aca="false">IFERROR(IF(AND(B264&lt;=Eingaben!$B$11,Szenarien!$H$16="OK"),((Eingaben!$B$32+Eingaben!$B$35)*(1+Eingaben!$B$41)^(B264-1)+SUM(Variantenbilanz!E1835:E2200)*Eingaben!$B$33*Eingaben!$B$34*(1+Eingaben!$B$42)^(B264-1))*Szenarien!$F$16,0),0)</f>
        <v>829.362704616</v>
      </c>
      <c r="E264" s="13" t="n">
        <f aca="false">IFERROR(IF(AND(AND(B264&lt;=Eingaben!$B$11,Szenarien!$H$16="OK"),B264=Eingaben!$B$43),Eingaben!$B$44*Szenarien!$B$16*(1+Eingaben!$B$41)^(B264-1),0),0)</f>
        <v>0</v>
      </c>
      <c r="F264" s="13" t="n">
        <f aca="false">IFERROR(IF(AND(AND(B264&lt;=Eingaben!$B$11,Szenarien!$H$16="OK"),B264=Eingaben!$B$11),Eingaben!$B$45*Szenarien!$B$16,0),0)</f>
        <v>0</v>
      </c>
      <c r="G264" s="13" t="n">
        <f aca="false">C264-D264-E264+F264</f>
        <v>349.405402301395</v>
      </c>
      <c r="H264" s="13" t="n">
        <f aca="false">IFERROR(IF(AND(B264&lt;=Eingaben!$B$11,Szenarien!$H$16="OK"),1/(1+Eingaben!$B$39+Szenarien!$G$16)^B264,0),0)</f>
        <v>0.888487047915689</v>
      </c>
      <c r="I264" s="13" t="n">
        <f aca="false">G264*H264</f>
        <v>310.44217441656</v>
      </c>
      <c r="J264" s="13" t="n">
        <f aca="false">(D264+E264-F264)*H264</f>
        <v>736.878021075641</v>
      </c>
      <c r="K264" s="13" t="n">
        <f aca="false">IF(AND(B264&lt;=Eingaben!$B$11,Szenarien!$H$16="OK"),SUM(Variantenbilanz!K1835:K2200)*H264,0)</f>
        <v>493.456605817239</v>
      </c>
    </row>
    <row r="265" customFormat="false" ht="16.4" hidden="false" customHeight="false" outlineLevel="0" collapsed="false">
      <c r="A265" s="12"/>
      <c r="B265" s="15" t="n">
        <v>5</v>
      </c>
      <c r="C265" s="13" t="n">
        <f aca="false">IFERROR(IF(AND(B265&lt;=Eingaben!$B$11,Szenarien!$H$16="OK"),SUM(Variantenbilanz!K1835:K2200)*(Eingaben!$B$36*Szenarien!$C$16*(1+Eingaben!$B$40)^(B265-1)+Eingaben!$B$37*Eingaben!$B$38*(1+Eingaben!$B$46)^(B265-1)),0),0)</f>
        <v>1202.34346905574</v>
      </c>
      <c r="D265" s="13" t="n">
        <f aca="false">IFERROR(IF(AND(B265&lt;=Eingaben!$B$11,Szenarien!$H$16="OK"),((Eingaben!$B$32+Eingaben!$B$35)*(1+Eingaben!$B$41)^(B265-1)+SUM(Variantenbilanz!E1835:E2200)*Eingaben!$B$33*Eingaben!$B$34*(1+Eingaben!$B$42)^(B265-1))*Szenarien!$F$16,0),0)</f>
        <v>845.94995870832</v>
      </c>
      <c r="E265" s="13" t="n">
        <f aca="false">IFERROR(IF(AND(AND(B265&lt;=Eingaben!$B$11,Szenarien!$H$16="OK"),B265=Eingaben!$B$43),Eingaben!$B$44*Szenarien!$B$16*(1+Eingaben!$B$41)^(B265-1),0),0)</f>
        <v>0</v>
      </c>
      <c r="F265" s="13" t="n">
        <f aca="false">IFERROR(IF(AND(AND(B265&lt;=Eingaben!$B$11,Szenarien!$H$16="OK"),B265=Eingaben!$B$11),Eingaben!$B$45*Szenarien!$B$16,0),0)</f>
        <v>0</v>
      </c>
      <c r="G265" s="13" t="n">
        <f aca="false">C265-D265-E265+F265</f>
        <v>356.393510347423</v>
      </c>
      <c r="H265" s="13" t="n">
        <f aca="false">IFERROR(IF(AND(B265&lt;=Eingaben!$B$11,Szenarien!$H$16="OK"),1/(1+Eingaben!$B$39+Szenarien!$G$16)^B265,0),0)</f>
        <v>0.862608784384164</v>
      </c>
      <c r="I265" s="13" t="n">
        <f aca="false">G265*H265</f>
        <v>307.428172723196</v>
      </c>
      <c r="J265" s="13" t="n">
        <f aca="false">(D265+E265-F265)*H265</f>
        <v>729.723865531218</v>
      </c>
      <c r="K265" s="13" t="n">
        <f aca="false">IF(AND(B265&lt;=Eingaben!$B$11,Szenarien!$H$16="OK"),SUM(Variantenbilanz!K1835:K2200)*H265,0)</f>
        <v>479.084083317708</v>
      </c>
    </row>
    <row r="266" customFormat="false" ht="16.4" hidden="false" customHeight="false" outlineLevel="0" collapsed="false">
      <c r="A266" s="12"/>
      <c r="B266" s="15" t="n">
        <v>6</v>
      </c>
      <c r="C266" s="13" t="n">
        <f aca="false">IFERROR(IF(AND(B266&lt;=Eingaben!$B$11,Szenarien!$H$16="OK"),SUM(Variantenbilanz!K1835:K2200)*(Eingaben!$B$36*Szenarien!$C$16*(1+Eingaben!$B$40)^(B266-1)+Eingaben!$B$37*Eingaben!$B$38*(1+Eingaben!$B$46)^(B266-1)),0),0)</f>
        <v>1226.39033843686</v>
      </c>
      <c r="D266" s="13" t="n">
        <f aca="false">IFERROR(IF(AND(B266&lt;=Eingaben!$B$11,Szenarien!$H$16="OK"),((Eingaben!$B$32+Eingaben!$B$35)*(1+Eingaben!$B$41)^(B266-1)+SUM(Variantenbilanz!E1835:E2200)*Eingaben!$B$33*Eingaben!$B$34*(1+Eingaben!$B$42)^(B266-1))*Szenarien!$F$16,0),0)</f>
        <v>862.868957882486</v>
      </c>
      <c r="E266" s="13" t="n">
        <f aca="false">IFERROR(IF(AND(AND(B266&lt;=Eingaben!$B$11,Szenarien!$H$16="OK"),B266=Eingaben!$B$43),Eingaben!$B$44*Szenarien!$B$16*(1+Eingaben!$B$41)^(B266-1),0),0)</f>
        <v>0</v>
      </c>
      <c r="F266" s="13" t="n">
        <f aca="false">IFERROR(IF(AND(AND(B266&lt;=Eingaben!$B$11,Szenarien!$H$16="OK"),B266=Eingaben!$B$11),Eingaben!$B$45*Szenarien!$B$16,0),0)</f>
        <v>0</v>
      </c>
      <c r="G266" s="13" t="n">
        <f aca="false">C266-D266-E266+F266</f>
        <v>363.521380554372</v>
      </c>
      <c r="H266" s="13" t="n">
        <f aca="false">IFERROR(IF(AND(B266&lt;=Eingaben!$B$11,Szenarien!$H$16="OK"),1/(1+Eingaben!$B$39+Szenarien!$G$16)^B266,0),0)</f>
        <v>0.837484256683654</v>
      </c>
      <c r="I266" s="13" t="n">
        <f aca="false">G266*H266</f>
        <v>304.443433182194</v>
      </c>
      <c r="J266" s="13" t="n">
        <f aca="false">(D266+E266-F266)*H266</f>
        <v>722.639167807614</v>
      </c>
      <c r="K266" s="13" t="n">
        <f aca="false">IF(AND(B266&lt;=Eingaben!$B$11,Szenarien!$H$16="OK"),SUM(Variantenbilanz!K1835:K2200)*H266,0)</f>
        <v>465.130177978357</v>
      </c>
    </row>
    <row r="267" customFormat="false" ht="16.4" hidden="false" customHeight="false" outlineLevel="0" collapsed="false">
      <c r="A267" s="12"/>
      <c r="B267" s="15" t="n">
        <v>7</v>
      </c>
      <c r="C267" s="13" t="n">
        <f aca="false">IFERROR(IF(AND(B267&lt;=Eingaben!$B$11,Szenarien!$H$16="OK"),SUM(Variantenbilanz!K1835:K2200)*(Eingaben!$B$36*Szenarien!$C$16*(1+Eingaben!$B$40)^(B267-1)+Eingaben!$B$37*Eingaben!$B$38*(1+Eingaben!$B$46)^(B267-1)),0),0)</f>
        <v>1250.9181452056</v>
      </c>
      <c r="D267" s="13" t="n">
        <f aca="false">IFERROR(IF(AND(B267&lt;=Eingaben!$B$11,Szenarien!$H$16="OK"),((Eingaben!$B$32+Eingaben!$B$35)*(1+Eingaben!$B$41)^(B267-1)+SUM(Variantenbilanz!E1835:E2200)*Eingaben!$B$33*Eingaben!$B$34*(1+Eingaben!$B$42)^(B267-1))*Szenarien!$F$16,0),0)</f>
        <v>880.126337040136</v>
      </c>
      <c r="E267" s="13" t="n">
        <f aca="false">IFERROR(IF(AND(AND(B267&lt;=Eingaben!$B$11,Szenarien!$H$16="OK"),B267=Eingaben!$B$43),Eingaben!$B$44*Szenarien!$B$16*(1+Eingaben!$B$41)^(B267-1),0),0)</f>
        <v>0</v>
      </c>
      <c r="F267" s="13" t="n">
        <f aca="false">IFERROR(IF(AND(AND(B267&lt;=Eingaben!$B$11,Szenarien!$H$16="OK"),B267=Eingaben!$B$11),Eingaben!$B$45*Szenarien!$B$16,0),0)</f>
        <v>0</v>
      </c>
      <c r="G267" s="13" t="n">
        <f aca="false">C267-D267-E267+F267</f>
        <v>370.791808165459</v>
      </c>
      <c r="H267" s="13" t="n">
        <f aca="false">IFERROR(IF(AND(B267&lt;=Eingaben!$B$11,Szenarien!$H$16="OK"),1/(1+Eingaben!$B$39+Szenarien!$G$16)^B267,0),0)</f>
        <v>0.813091511343354</v>
      </c>
      <c r="I267" s="13" t="n">
        <f aca="false">G267*H267</f>
        <v>301.487671694988</v>
      </c>
      <c r="J267" s="13" t="n">
        <f aca="false">(D267+E267-F267)*H267</f>
        <v>715.623253557054</v>
      </c>
      <c r="K267" s="13" t="n">
        <f aca="false">IF(AND(B267&lt;=Eingaben!$B$11,Szenarien!$H$16="OK"),SUM(Variantenbilanz!K1835:K2200)*H267,0)</f>
        <v>451.582697066366</v>
      </c>
    </row>
    <row r="268" customFormat="false" ht="16.4" hidden="false" customHeight="false" outlineLevel="0" collapsed="false">
      <c r="A268" s="12"/>
      <c r="B268" s="15" t="n">
        <v>8</v>
      </c>
      <c r="C268" s="13" t="n">
        <f aca="false">IFERROR(IF(AND(B268&lt;=Eingaben!$B$11,Szenarien!$H$16="OK"),SUM(Variantenbilanz!K1835:K2200)*(Eingaben!$B$36*Szenarien!$C$16*(1+Eingaben!$B$40)^(B268-1)+Eingaben!$B$37*Eingaben!$B$38*(1+Eingaben!$B$46)^(B268-1)),0),0)</f>
        <v>1275.93650810971</v>
      </c>
      <c r="D268" s="13" t="n">
        <f aca="false">IFERROR(IF(AND(B268&lt;=Eingaben!$B$11,Szenarien!$H$16="OK"),((Eingaben!$B$32+Eingaben!$B$35)*(1+Eingaben!$B$41)^(B268-1)+SUM(Variantenbilanz!E1835:E2200)*Eingaben!$B$33*Eingaben!$B$34*(1+Eingaben!$B$42)^(B268-1))*Szenarien!$F$16,0),0)</f>
        <v>897.728863780939</v>
      </c>
      <c r="E268" s="13" t="n">
        <f aca="false">IFERROR(IF(AND(AND(B268&lt;=Eingaben!$B$11,Szenarien!$H$16="OK"),B268=Eingaben!$B$43),Eingaben!$B$44*Szenarien!$B$16*(1+Eingaben!$B$41)^(B268-1),0),0)</f>
        <v>0</v>
      </c>
      <c r="F268" s="13" t="n">
        <f aca="false">IFERROR(IF(AND(AND(B268&lt;=Eingaben!$B$11,Szenarien!$H$16="OK"),B268=Eingaben!$B$11),Eingaben!$B$45*Szenarien!$B$16,0),0)</f>
        <v>0</v>
      </c>
      <c r="G268" s="13" t="n">
        <f aca="false">C268-D268-E268+F268</f>
        <v>378.207644328768</v>
      </c>
      <c r="H268" s="13" t="n">
        <f aca="false">IFERROR(IF(AND(B268&lt;=Eingaben!$B$11,Szenarien!$H$16="OK"),1/(1+Eingaben!$B$39+Szenarien!$G$16)^B268,0),0)</f>
        <v>0.789409234313936</v>
      </c>
      <c r="I268" s="13" t="n">
        <f aca="false">G268*H268</f>
        <v>298.56060692125</v>
      </c>
      <c r="J268" s="13" t="n">
        <f aca="false">(D268+E268-F268)*H268</f>
        <v>708.67545497883</v>
      </c>
      <c r="K268" s="13" t="n">
        <f aca="false">IF(AND(B268&lt;=Eingaben!$B$11,Szenarien!$H$16="OK"),SUM(Variantenbilanz!K1835:K2200)*H268,0)</f>
        <v>438.429802977055</v>
      </c>
    </row>
    <row r="269" customFormat="false" ht="16.4" hidden="false" customHeight="false" outlineLevel="0" collapsed="false">
      <c r="A269" s="12"/>
      <c r="B269" s="15" t="n">
        <v>9</v>
      </c>
      <c r="C269" s="13" t="n">
        <f aca="false">IFERROR(IF(AND(B269&lt;=Eingaben!$B$11,Szenarien!$H$16="OK"),SUM(Variantenbilanz!K1835:K2200)*(Eingaben!$B$36*Szenarien!$C$16*(1+Eingaben!$B$40)^(B269-1)+Eingaben!$B$37*Eingaben!$B$38*(1+Eingaben!$B$46)^(B269-1)),0),0)</f>
        <v>1301.4552382719</v>
      </c>
      <c r="D269" s="13" t="n">
        <f aca="false">IFERROR(IF(AND(B269&lt;=Eingaben!$B$11,Szenarien!$H$16="OK"),((Eingaben!$B$32+Eingaben!$B$35)*(1+Eingaben!$B$41)^(B269-1)+SUM(Variantenbilanz!E1835:E2200)*Eingaben!$B$33*Eingaben!$B$34*(1+Eingaben!$B$42)^(B269-1))*Szenarien!$F$16,0),0)</f>
        <v>915.683441056558</v>
      </c>
      <c r="E269" s="13" t="n">
        <f aca="false">IFERROR(IF(AND(AND(B269&lt;=Eingaben!$B$11,Szenarien!$H$16="OK"),B269=Eingaben!$B$43),Eingaben!$B$44*Szenarien!$B$16*(1+Eingaben!$B$41)^(B269-1),0),0)</f>
        <v>0</v>
      </c>
      <c r="F269" s="13" t="n">
        <f aca="false">IFERROR(IF(AND(AND(B269&lt;=Eingaben!$B$11,Szenarien!$H$16="OK"),B269=Eingaben!$B$11),Eingaben!$B$45*Szenarien!$B$16,0),0)</f>
        <v>0</v>
      </c>
      <c r="G269" s="13" t="n">
        <f aca="false">C269-D269-E269+F269</f>
        <v>385.771797215344</v>
      </c>
      <c r="H269" s="13" t="n">
        <f aca="false">IFERROR(IF(AND(B269&lt;=Eingaben!$B$11,Szenarien!$H$16="OK"),1/(1+Eingaben!$B$39+Szenarien!$G$16)^B269,0),0)</f>
        <v>0.766416732343627</v>
      </c>
      <c r="I269" s="13" t="n">
        <f aca="false">G269*H269</f>
        <v>295.661960252112</v>
      </c>
      <c r="J269" s="13" t="n">
        <f aca="false">(D269+E269-F269)*H269</f>
        <v>701.795110755735</v>
      </c>
      <c r="K269" s="13" t="n">
        <f aca="false">IF(AND(B269&lt;=Eingaben!$B$11,Szenarien!$H$16="OK"),SUM(Variantenbilanz!K1835:K2200)*H269,0)</f>
        <v>425.660002890344</v>
      </c>
    </row>
    <row r="270" customFormat="false" ht="16.4" hidden="false" customHeight="false" outlineLevel="0" collapsed="false">
      <c r="A270" s="12"/>
      <c r="B270" s="15" t="n">
        <v>10</v>
      </c>
      <c r="C270" s="13" t="n">
        <f aca="false">IFERROR(IF(AND(B270&lt;=Eingaben!$B$11,Szenarien!$H$16="OK"),SUM(Variantenbilanz!K1835:K2200)*(Eingaben!$B$36*Szenarien!$C$16*(1+Eingaben!$B$40)^(B270-1)+Eingaben!$B$37*Eingaben!$B$38*(1+Eingaben!$B$46)^(B270-1)),0),0)</f>
        <v>1327.48434303734</v>
      </c>
      <c r="D270" s="13" t="n">
        <f aca="false">IFERROR(IF(AND(B270&lt;=Eingaben!$B$11,Szenarien!$H$16="OK"),((Eingaben!$B$32+Eingaben!$B$35)*(1+Eingaben!$B$41)^(B270-1)+SUM(Variantenbilanz!E1835:E2200)*Eingaben!$B$33*Eingaben!$B$34*(1+Eingaben!$B$42)^(B270-1))*Szenarien!$F$16,0),0)</f>
        <v>933.997109877689</v>
      </c>
      <c r="E270" s="13" t="n">
        <f aca="false">IFERROR(IF(AND(AND(B270&lt;=Eingaben!$B$11,Szenarien!$H$16="OK"),B270=Eingaben!$B$43),Eingaben!$B$44*Szenarien!$B$16*(1+Eingaben!$B$41)^(B270-1),0),0)</f>
        <v>4780.37027448924</v>
      </c>
      <c r="F270" s="13" t="n">
        <f aca="false">IFERROR(IF(AND(AND(B270&lt;=Eingaben!$B$11,Szenarien!$H$16="OK"),B270=Eingaben!$B$11),Eingaben!$B$45*Szenarien!$B$16,0),0)</f>
        <v>0</v>
      </c>
      <c r="G270" s="13" t="n">
        <f aca="false">C270-D270-E270+F270</f>
        <v>-4386.8830413296</v>
      </c>
      <c r="H270" s="13" t="n">
        <f aca="false">IFERROR(IF(AND(B270&lt;=Eingaben!$B$11,Szenarien!$H$16="OK"),1/(1+Eingaben!$B$39+Szenarien!$G$16)^B270,0),0)</f>
        <v>0.744093914896725</v>
      </c>
      <c r="I270" s="13" t="n">
        <f aca="false">G270*H270</f>
        <v>-3264.25297641699</v>
      </c>
      <c r="J270" s="13" t="n">
        <f aca="false">(D270+E270-F270)*H270</f>
        <v>4252.02599819175</v>
      </c>
      <c r="K270" s="13" t="n">
        <f aca="false">IF(AND(B270&lt;=Eingaben!$B$11,Szenarien!$H$16="OK"),SUM(Variantenbilanz!K1835:K2200)*H270,0)</f>
        <v>413.26213872849</v>
      </c>
    </row>
    <row r="271" customFormat="false" ht="16.4" hidden="false" customHeight="false" outlineLevel="0" collapsed="false">
      <c r="A271" s="12"/>
      <c r="B271" s="15" t="n">
        <v>11</v>
      </c>
      <c r="C271" s="13" t="n">
        <f aca="false">IFERROR(IF(AND(B271&lt;=Eingaben!$B$11,Szenarien!$H$16="OK"),SUM(Variantenbilanz!K1835:K2200)*(Eingaben!$B$36*Szenarien!$C$16*(1+Eingaben!$B$40)^(B271-1)+Eingaben!$B$37*Eingaben!$B$38*(1+Eingaben!$B$46)^(B271-1)),0),0)</f>
        <v>1354.03402989809</v>
      </c>
      <c r="D271" s="13" t="n">
        <f aca="false">IFERROR(IF(AND(B271&lt;=Eingaben!$B$11,Szenarien!$H$16="OK"),((Eingaben!$B$32+Eingaben!$B$35)*(1+Eingaben!$B$41)^(B271-1)+SUM(Variantenbilanz!E1835:E2200)*Eingaben!$B$33*Eingaben!$B$34*(1+Eingaben!$B$42)^(B271-1))*Szenarien!$F$16,0),0)</f>
        <v>952.677052075243</v>
      </c>
      <c r="E271" s="13" t="n">
        <f aca="false">IFERROR(IF(AND(AND(B271&lt;=Eingaben!$B$11,Szenarien!$H$16="OK"),B271=Eingaben!$B$43),Eingaben!$B$44*Szenarien!$B$16*(1+Eingaben!$B$41)^(B271-1),0),0)</f>
        <v>0</v>
      </c>
      <c r="F271" s="13" t="n">
        <f aca="false">IFERROR(IF(AND(AND(B271&lt;=Eingaben!$B$11,Szenarien!$H$16="OK"),B271=Eingaben!$B$11),Eingaben!$B$45*Szenarien!$B$16,0),0)</f>
        <v>0</v>
      </c>
      <c r="G271" s="13" t="n">
        <f aca="false">C271-D271-E271+F271</f>
        <v>401.356977822843</v>
      </c>
      <c r="H271" s="13" t="n">
        <f aca="false">IFERROR(IF(AND(B271&lt;=Eingaben!$B$11,Szenarien!$H$16="OK"),1/(1+Eingaben!$B$39+Szenarien!$G$16)^B271,0),0)</f>
        <v>0.722421276598762</v>
      </c>
      <c r="I271" s="13" t="n">
        <f aca="false">G271*H271</f>
        <v>289.9488202906</v>
      </c>
      <c r="J271" s="13" t="n">
        <f aca="false">(D271+E271-F271)*H271</f>
        <v>688.234172146542</v>
      </c>
      <c r="K271" s="13" t="n">
        <f aca="false">IF(AND(B271&lt;=Eingaben!$B$11,Szenarien!$H$16="OK"),SUM(Variantenbilanz!K1835:K2200)*H271,0)</f>
        <v>401.225377406301</v>
      </c>
    </row>
    <row r="272" customFormat="false" ht="16.4" hidden="false" customHeight="false" outlineLevel="0" collapsed="false">
      <c r="A272" s="12"/>
      <c r="B272" s="15" t="n">
        <v>12</v>
      </c>
      <c r="C272" s="13" t="n">
        <f aca="false">IFERROR(IF(AND(B272&lt;=Eingaben!$B$11,Szenarien!$H$16="OK"),SUM(Variantenbilanz!K1835:K2200)*(Eingaben!$B$36*Szenarien!$C$16*(1+Eingaben!$B$40)^(B272-1)+Eingaben!$B$37*Eingaben!$B$38*(1+Eingaben!$B$46)^(B272-1)),0),0)</f>
        <v>1381.11471049605</v>
      </c>
      <c r="D272" s="13" t="n">
        <f aca="false">IFERROR(IF(AND(B272&lt;=Eingaben!$B$11,Szenarien!$H$16="OK"),((Eingaben!$B$32+Eingaben!$B$35)*(1+Eingaben!$B$41)^(B272-1)+SUM(Variantenbilanz!E1835:E2200)*Eingaben!$B$33*Eingaben!$B$34*(1+Eingaben!$B$42)^(B272-1))*Szenarien!$F$16,0),0)</f>
        <v>971.730593116748</v>
      </c>
      <c r="E272" s="13" t="n">
        <f aca="false">IFERROR(IF(AND(AND(B272&lt;=Eingaben!$B$11,Szenarien!$H$16="OK"),B272=Eingaben!$B$43),Eingaben!$B$44*Szenarien!$B$16*(1+Eingaben!$B$41)^(B272-1),0),0)</f>
        <v>0</v>
      </c>
      <c r="F272" s="13" t="n">
        <f aca="false">IFERROR(IF(AND(AND(B272&lt;=Eingaben!$B$11,Szenarien!$H$16="OK"),B272=Eingaben!$B$11),Eingaben!$B$45*Szenarien!$B$16,0),0)</f>
        <v>0</v>
      </c>
      <c r="G272" s="13" t="n">
        <f aca="false">C272-D272-E272+F272</f>
        <v>409.3841173793</v>
      </c>
      <c r="H272" s="13" t="n">
        <f aca="false">IFERROR(IF(AND(B272&lt;=Eingaben!$B$11,Szenarien!$H$16="OK"),1/(1+Eingaben!$B$39+Szenarien!$G$16)^B272,0),0)</f>
        <v>0.701379880192973</v>
      </c>
      <c r="I272" s="13" t="n">
        <f aca="false">G272*H272</f>
        <v>287.1337832004</v>
      </c>
      <c r="J272" s="13" t="n">
        <f aca="false">(D272+E272-F272)*H272</f>
        <v>681.552286980071</v>
      </c>
      <c r="K272" s="13" t="n">
        <f aca="false">IF(AND(B272&lt;=Eingaben!$B$11,Szenarien!$H$16="OK"),SUM(Variantenbilanz!K1835:K2200)*H272,0)</f>
        <v>389.53920136534</v>
      </c>
    </row>
    <row r="273" customFormat="false" ht="16.4" hidden="false" customHeight="false" outlineLevel="0" collapsed="false">
      <c r="A273" s="12"/>
      <c r="B273" s="15" t="n">
        <v>13</v>
      </c>
      <c r="C273" s="13" t="n">
        <f aca="false">IFERROR(IF(AND(B273&lt;=Eingaben!$B$11,Szenarien!$H$16="OK"),SUM(Variantenbilanz!K1835:K2200)*(Eingaben!$B$36*Szenarien!$C$16*(1+Eingaben!$B$40)^(B273-1)+Eingaben!$B$37*Eingaben!$B$38*(1+Eingaben!$B$46)^(B273-1)),0),0)</f>
        <v>1408.73700470597</v>
      </c>
      <c r="D273" s="13" t="n">
        <f aca="false">IFERROR(IF(AND(B273&lt;=Eingaben!$B$11,Szenarien!$H$16="OK"),((Eingaben!$B$32+Eingaben!$B$35)*(1+Eingaben!$B$41)^(B273-1)+SUM(Variantenbilanz!E1835:E2200)*Eingaben!$B$33*Eingaben!$B$34*(1+Eingaben!$B$42)^(B273-1))*Szenarien!$F$16,0),0)</f>
        <v>991.165204979082</v>
      </c>
      <c r="E273" s="13" t="n">
        <f aca="false">IFERROR(IF(AND(AND(B273&lt;=Eingaben!$B$11,Szenarien!$H$16="OK"),B273=Eingaben!$B$43),Eingaben!$B$44*Szenarien!$B$16*(1+Eingaben!$B$41)^(B273-1),0),0)</f>
        <v>0</v>
      </c>
      <c r="F273" s="13" t="n">
        <f aca="false">IFERROR(IF(AND(AND(B273&lt;=Eingaben!$B$11,Szenarien!$H$16="OK"),B273=Eingaben!$B$11),Eingaben!$B$45*Szenarien!$B$16,0),0)</f>
        <v>0</v>
      </c>
      <c r="G273" s="13" t="n">
        <f aca="false">C273-D273-E273+F273</f>
        <v>417.571799726886</v>
      </c>
      <c r="H273" s="13" t="n">
        <f aca="false">IFERROR(IF(AND(B273&lt;=Eingaben!$B$11,Szenarien!$H$16="OK"),1/(1+Eingaben!$B$39+Szenarien!$G$16)^B273,0),0)</f>
        <v>0.680951339993178</v>
      </c>
      <c r="I273" s="13" t="n">
        <f aca="false">G273*H273</f>
        <v>284.346076567386</v>
      </c>
      <c r="J273" s="13" t="n">
        <f aca="false">(D273+E273-F273)*H273</f>
        <v>674.935274485119</v>
      </c>
      <c r="K273" s="13" t="n">
        <f aca="false">IF(AND(B273&lt;=Eingaben!$B$11,Szenarien!$H$16="OK"),SUM(Variantenbilanz!K1835:K2200)*H273,0)</f>
        <v>378.193399383825</v>
      </c>
    </row>
    <row r="274" customFormat="false" ht="16.4" hidden="false" customHeight="false" outlineLevel="0" collapsed="false">
      <c r="A274" s="12"/>
      <c r="B274" s="15" t="n">
        <v>14</v>
      </c>
      <c r="C274" s="13" t="n">
        <f aca="false">IFERROR(IF(AND(B274&lt;=Eingaben!$B$11,Szenarien!$H$16="OK"),SUM(Variantenbilanz!K1835:K2200)*(Eingaben!$B$36*Szenarien!$C$16*(1+Eingaben!$B$40)^(B274-1)+Eingaben!$B$37*Eingaben!$B$38*(1+Eingaben!$B$46)^(B274-1)),0),0)</f>
        <v>1436.91174480009</v>
      </c>
      <c r="D274" s="13" t="n">
        <f aca="false">IFERROR(IF(AND(B274&lt;=Eingaben!$B$11,Szenarien!$H$16="OK"),((Eingaben!$B$32+Eingaben!$B$35)*(1+Eingaben!$B$41)^(B274-1)+SUM(Variantenbilanz!E1835:E2200)*Eingaben!$B$33*Eingaben!$B$34*(1+Eingaben!$B$42)^(B274-1))*Szenarien!$F$16,0),0)</f>
        <v>1010.98850907866</v>
      </c>
      <c r="E274" s="13" t="n">
        <f aca="false">IFERROR(IF(AND(AND(B274&lt;=Eingaben!$B$11,Szenarien!$H$16="OK"),B274=Eingaben!$B$43),Eingaben!$B$44*Szenarien!$B$16*(1+Eingaben!$B$41)^(B274-1),0),0)</f>
        <v>0</v>
      </c>
      <c r="F274" s="13" t="n">
        <f aca="false">IFERROR(IF(AND(AND(B274&lt;=Eingaben!$B$11,Szenarien!$H$16="OK"),B274=Eingaben!$B$11),Eingaben!$B$45*Szenarien!$B$16,0),0)</f>
        <v>0</v>
      </c>
      <c r="G274" s="13" t="n">
        <f aca="false">C274-D274-E274+F274</f>
        <v>425.923235721424</v>
      </c>
      <c r="H274" s="13" t="n">
        <f aca="false">IFERROR(IF(AND(B274&lt;=Eingaben!$B$11,Szenarien!$H$16="OK"),1/(1+Eingaben!$B$39+Szenarien!$G$16)^B274,0),0)</f>
        <v>0.661117805818619</v>
      </c>
      <c r="I274" s="13" t="n">
        <f aca="false">G274*H274</f>
        <v>281.585435047314</v>
      </c>
      <c r="J274" s="13" t="n">
        <f aca="false">(D274+E274-F274)*H274</f>
        <v>668.382504829923</v>
      </c>
      <c r="K274" s="13" t="n">
        <f aca="false">IF(AND(B274&lt;=Eingaben!$B$11,Szenarien!$H$16="OK"),SUM(Variantenbilanz!K1835:K2200)*H274,0)</f>
        <v>367.178057654199</v>
      </c>
    </row>
    <row r="275" customFormat="false" ht="16.4" hidden="false" customHeight="false" outlineLevel="0" collapsed="false">
      <c r="A275" s="12"/>
      <c r="B275" s="15" t="n">
        <v>15</v>
      </c>
      <c r="C275" s="13" t="n">
        <f aca="false">IFERROR(IF(AND(B275&lt;=Eingaben!$B$11,Szenarien!$H$16="OK"),SUM(Variantenbilanz!K1835:K2200)*(Eingaben!$B$36*Szenarien!$C$16*(1+Eingaben!$B$40)^(B275-1)+Eingaben!$B$37*Eingaben!$B$38*(1+Eingaben!$B$46)^(B275-1)),0),0)</f>
        <v>1465.64997969609</v>
      </c>
      <c r="D275" s="13" t="n">
        <f aca="false">IFERROR(IF(AND(B275&lt;=Eingaben!$B$11,Szenarien!$H$16="OK"),((Eingaben!$B$32+Eingaben!$B$35)*(1+Eingaben!$B$41)^(B275-1)+SUM(Variantenbilanz!E1835:E2200)*Eingaben!$B$33*Eingaben!$B$34*(1+Eingaben!$B$42)^(B275-1))*Szenarien!$F$16,0),0)</f>
        <v>1031.20827926024</v>
      </c>
      <c r="E275" s="13" t="n">
        <f aca="false">IFERROR(IF(AND(AND(B275&lt;=Eingaben!$B$11,Szenarien!$H$16="OK"),B275=Eingaben!$B$43),Eingaben!$B$44*Szenarien!$B$16*(1+Eingaben!$B$41)^(B275-1),0),0)</f>
        <v>0</v>
      </c>
      <c r="F275" s="13" t="n">
        <f aca="false">IFERROR(IF(AND(AND(B275&lt;=Eingaben!$B$11,Szenarien!$H$16="OK"),B275=Eingaben!$B$11),Eingaben!$B$45*Szenarien!$B$16,0),0)</f>
        <v>0</v>
      </c>
      <c r="G275" s="13" t="n">
        <f aca="false">C275-D275-E275+F275</f>
        <v>434.441700435852</v>
      </c>
      <c r="H275" s="13" t="n">
        <f aca="false">IFERROR(IF(AND(B275&lt;=Eingaben!$B$11,Szenarien!$H$16="OK"),1/(1+Eingaben!$B$39+Szenarien!$G$16)^B275,0),0)</f>
        <v>0.641861947396717</v>
      </c>
      <c r="I275" s="13" t="n">
        <f aca="false">G275*H275</f>
        <v>278.851595872098</v>
      </c>
      <c r="J275" s="13" t="n">
        <f aca="false">(D275+E275-F275)*H275</f>
        <v>661.893354297594</v>
      </c>
      <c r="K275" s="13" t="n">
        <f aca="false">IF(AND(B275&lt;=Eingaben!$B$11,Szenarien!$H$16="OK"),SUM(Variantenbilanz!K1835:K2200)*H275,0)</f>
        <v>356.483551120582</v>
      </c>
    </row>
    <row r="276" customFormat="false" ht="16.4" hidden="false" customHeight="false" outlineLevel="0" collapsed="false">
      <c r="A276" s="12"/>
      <c r="B276" s="15" t="n">
        <v>16</v>
      </c>
      <c r="C276" s="13" t="n">
        <f aca="false">IFERROR(IF(AND(B276&lt;=Eingaben!$B$11,Szenarien!$H$16="OK"),SUM(Variantenbilanz!K1835:K2200)*(Eingaben!$B$36*Szenarien!$C$16*(1+Eingaben!$B$40)^(B276-1)+Eingaben!$B$37*Eingaben!$B$38*(1+Eingaben!$B$46)^(B276-1)),0),0)</f>
        <v>1494.96297929001</v>
      </c>
      <c r="D276" s="13" t="n">
        <f aca="false">IFERROR(IF(AND(B276&lt;=Eingaben!$B$11,Szenarien!$H$16="OK"),((Eingaben!$B$32+Eingaben!$B$35)*(1+Eingaben!$B$41)^(B276-1)+SUM(Variantenbilanz!E1835:E2200)*Eingaben!$B$33*Eingaben!$B$34*(1+Eingaben!$B$42)^(B276-1))*Szenarien!$F$16,0),0)</f>
        <v>1051.83244484544</v>
      </c>
      <c r="E276" s="13" t="n">
        <f aca="false">IFERROR(IF(AND(AND(B276&lt;=Eingaben!$B$11,Szenarien!$H$16="OK"),B276=Eingaben!$B$43),Eingaben!$B$44*Szenarien!$B$16*(1+Eingaben!$B$41)^(B276-1),0),0)</f>
        <v>0</v>
      </c>
      <c r="F276" s="13" t="n">
        <f aca="false">IFERROR(IF(AND(AND(B276&lt;=Eingaben!$B$11,Szenarien!$H$16="OK"),B276=Eingaben!$B$11),Eingaben!$B$45*Szenarien!$B$16,0),0)</f>
        <v>0</v>
      </c>
      <c r="G276" s="13" t="n">
        <f aca="false">C276-D276-E276+F276</f>
        <v>443.13053444457</v>
      </c>
      <c r="H276" s="13" t="n">
        <f aca="false">IFERROR(IF(AND(B276&lt;=Eingaben!$B$11,Szenarien!$H$16="OK"),1/(1+Eingaben!$B$39+Szenarien!$G$16)^B276,0),0)</f>
        <v>0.623166939220114</v>
      </c>
      <c r="I276" s="13" t="n">
        <f aca="false">G276*H276</f>
        <v>276.144298824796</v>
      </c>
      <c r="J276" s="13" t="n">
        <f aca="false">(D276+E276-F276)*H276</f>
        <v>655.467205226744</v>
      </c>
      <c r="K276" s="13" t="n">
        <f aca="false">IF(AND(B276&lt;=Eingaben!$B$11,Szenarien!$H$16="OK"),SUM(Variantenbilanz!K1835:K2200)*H276,0)</f>
        <v>346.100535068526</v>
      </c>
    </row>
    <row r="277" customFormat="false" ht="16.4" hidden="false" customHeight="false" outlineLevel="0" collapsed="false">
      <c r="A277" s="12"/>
      <c r="B277" s="15" t="n">
        <v>17</v>
      </c>
      <c r="C277" s="13" t="n">
        <f aca="false">IFERROR(IF(AND(B277&lt;=Eingaben!$B$11,Szenarien!$H$16="OK"),SUM(Variantenbilanz!K1835:K2200)*(Eingaben!$B$36*Szenarien!$C$16*(1+Eingaben!$B$40)^(B277-1)+Eingaben!$B$37*Eingaben!$B$38*(1+Eingaben!$B$46)^(B277-1)),0),0)</f>
        <v>1524.86223887581</v>
      </c>
      <c r="D277" s="13" t="n">
        <f aca="false">IFERROR(IF(AND(B277&lt;=Eingaben!$B$11,Szenarien!$H$16="OK"),((Eingaben!$B$32+Eingaben!$B$35)*(1+Eingaben!$B$41)^(B277-1)+SUM(Variantenbilanz!E1835:E2200)*Eingaben!$B$33*Eingaben!$B$34*(1+Eingaben!$B$42)^(B277-1))*Szenarien!$F$16,0),0)</f>
        <v>1072.86909374235</v>
      </c>
      <c r="E277" s="13" t="n">
        <f aca="false">IFERROR(IF(AND(AND(B277&lt;=Eingaben!$B$11,Szenarien!$H$16="OK"),B277=Eingaben!$B$43),Eingaben!$B$44*Szenarien!$B$16*(1+Eingaben!$B$41)^(B277-1),0),0)</f>
        <v>0</v>
      </c>
      <c r="F277" s="13" t="n">
        <f aca="false">IFERROR(IF(AND(AND(B277&lt;=Eingaben!$B$11,Szenarien!$H$16="OK"),B277=Eingaben!$B$11),Eingaben!$B$45*Szenarien!$B$16,0),0)</f>
        <v>0</v>
      </c>
      <c r="G277" s="13" t="n">
        <f aca="false">C277-D277-E277+F277</f>
        <v>451.993145133461</v>
      </c>
      <c r="H277" s="13" t="n">
        <f aca="false">IFERROR(IF(AND(B277&lt;=Eingaben!$B$11,Szenarien!$H$16="OK"),1/(1+Eingaben!$B$39+Szenarien!$G$16)^B277,0),0)</f>
        <v>0.605016445844771</v>
      </c>
      <c r="I277" s="13" t="n">
        <f aca="false">G277*H277</f>
        <v>273.463286214846</v>
      </c>
      <c r="J277" s="13" t="n">
        <f aca="false">(D277+E277-F277)*H277</f>
        <v>649.103445952698</v>
      </c>
      <c r="K277" s="13" t="n">
        <f aca="false">IF(AND(B277&lt;=Eingaben!$B$11,Szenarien!$H$16="OK"),SUM(Variantenbilanz!K1835:K2200)*H277,0)</f>
        <v>336.019936959734</v>
      </c>
    </row>
    <row r="278" customFormat="false" ht="16.4" hidden="false" customHeight="false" outlineLevel="0" collapsed="false">
      <c r="A278" s="12"/>
      <c r="B278" s="15" t="n">
        <v>18</v>
      </c>
      <c r="C278" s="13" t="n">
        <f aca="false">IFERROR(IF(AND(B278&lt;=Eingaben!$B$11,Szenarien!$H$16="OK"),SUM(Variantenbilanz!K1835:K2200)*(Eingaben!$B$36*Szenarien!$C$16*(1+Eingaben!$B$40)^(B278-1)+Eingaben!$B$37*Eingaben!$B$38*(1+Eingaben!$B$46)^(B278-1)),0),0)</f>
        <v>1555.35948365333</v>
      </c>
      <c r="D278" s="13" t="n">
        <f aca="false">IFERROR(IF(AND(B278&lt;=Eingaben!$B$11,Szenarien!$H$16="OK"),((Eingaben!$B$32+Eingaben!$B$35)*(1+Eingaben!$B$41)^(B278-1)+SUM(Variantenbilanz!E1835:E2200)*Eingaben!$B$33*Eingaben!$B$34*(1+Eingaben!$B$42)^(B278-1))*Szenarien!$F$16,0),0)</f>
        <v>1094.3264756172</v>
      </c>
      <c r="E278" s="13" t="n">
        <f aca="false">IFERROR(IF(AND(AND(B278&lt;=Eingaben!$B$11,Szenarien!$H$16="OK"),B278=Eingaben!$B$43),Eingaben!$B$44*Szenarien!$B$16*(1+Eingaben!$B$41)^(B278-1),0),0)</f>
        <v>0</v>
      </c>
      <c r="F278" s="13" t="n">
        <f aca="false">IFERROR(IF(AND(AND(B278&lt;=Eingaben!$B$11,Szenarien!$H$16="OK"),B278=Eingaben!$B$11),Eingaben!$B$45*Szenarien!$B$16,0),0)</f>
        <v>0</v>
      </c>
      <c r="G278" s="13" t="n">
        <f aca="false">C278-D278-E278+F278</f>
        <v>461.03300803613</v>
      </c>
      <c r="H278" s="13" t="n">
        <f aca="false">IFERROR(IF(AND(B278&lt;=Eingaben!$B$11,Szenarien!$H$16="OK"),1/(1+Eingaben!$B$39+Szenarien!$G$16)^B278,0),0)</f>
        <v>0.587394607616282</v>
      </c>
      <c r="I278" s="13" t="n">
        <f aca="false">G278*H278</f>
        <v>270.808302853537</v>
      </c>
      <c r="J278" s="13" t="n">
        <f aca="false">(D278+E278-F278)*H278</f>
        <v>642.801470749273</v>
      </c>
      <c r="K278" s="13" t="n">
        <f aca="false">IF(AND(B278&lt;=Eingaben!$B$11,Szenarien!$H$16="OK"),SUM(Variantenbilanz!K1835:K2200)*H278,0)</f>
        <v>326.232948504596</v>
      </c>
    </row>
    <row r="279" customFormat="false" ht="16.4" hidden="false" customHeight="false" outlineLevel="0" collapsed="false">
      <c r="A279" s="12"/>
      <c r="B279" s="15" t="n">
        <v>19</v>
      </c>
      <c r="C279" s="13" t="n">
        <f aca="false">IFERROR(IF(AND(B279&lt;=Eingaben!$B$11,Szenarien!$H$16="OK"),SUM(Variantenbilanz!K1835:K2200)*(Eingaben!$B$36*Szenarien!$C$16*(1+Eingaben!$B$40)^(B279-1)+Eingaben!$B$37*Eingaben!$B$38*(1+Eingaben!$B$46)^(B279-1)),0),0)</f>
        <v>1586.4666733264</v>
      </c>
      <c r="D279" s="13" t="n">
        <f aca="false">IFERROR(IF(AND(B279&lt;=Eingaben!$B$11,Szenarien!$H$16="OK"),((Eingaben!$B$32+Eingaben!$B$35)*(1+Eingaben!$B$41)^(B279-1)+SUM(Variantenbilanz!E1835:E2200)*Eingaben!$B$33*Eingaben!$B$34*(1+Eingaben!$B$42)^(B279-1))*Szenarien!$F$16,0),0)</f>
        <v>1116.21300512954</v>
      </c>
      <c r="E279" s="13" t="n">
        <f aca="false">IFERROR(IF(AND(AND(B279&lt;=Eingaben!$B$11,Szenarien!$H$16="OK"),B279=Eingaben!$B$43),Eingaben!$B$44*Szenarien!$B$16*(1+Eingaben!$B$41)^(B279-1),0),0)</f>
        <v>0</v>
      </c>
      <c r="F279" s="13" t="n">
        <f aca="false">IFERROR(IF(AND(AND(B279&lt;=Eingaben!$B$11,Szenarien!$H$16="OK"),B279=Eingaben!$B$11),Eingaben!$B$45*Szenarien!$B$16,0),0)</f>
        <v>0</v>
      </c>
      <c r="G279" s="13" t="n">
        <f aca="false">C279-D279-E279+F279</f>
        <v>470.253668196853</v>
      </c>
      <c r="H279" s="13" t="n">
        <f aca="false">IFERROR(IF(AND(B279&lt;=Eingaben!$B$11,Szenarien!$H$16="OK"),1/(1+Eingaben!$B$39+Szenarien!$G$16)^B279,0),0)</f>
        <v>0.570286026811925</v>
      </c>
      <c r="I279" s="13" t="n">
        <f aca="false">G279*H279</f>
        <v>268.179096029716</v>
      </c>
      <c r="J279" s="13" t="n">
        <f aca="false">(D279+E279-F279)*H279</f>
        <v>636.560679771125</v>
      </c>
      <c r="K279" s="13" t="n">
        <f aca="false">IF(AND(B279&lt;=Eingaben!$B$11,Szenarien!$H$16="OK"),SUM(Variantenbilanz!K1835:K2200)*H279,0)</f>
        <v>316.731017965627</v>
      </c>
    </row>
    <row r="280" customFormat="false" ht="16.4" hidden="false" customHeight="false" outlineLevel="0" collapsed="false">
      <c r="A280" s="12"/>
      <c r="B280" s="15" t="n">
        <v>20</v>
      </c>
      <c r="C280" s="13" t="n">
        <f aca="false">IFERROR(IF(AND(B280&lt;=Eingaben!$B$11,Szenarien!$H$16="OK"),SUM(Variantenbilanz!K1835:K2200)*(Eingaben!$B$36*Szenarien!$C$16*(1+Eingaben!$B$40)^(B280-1)+Eingaben!$B$37*Eingaben!$B$38*(1+Eingaben!$B$46)^(B280-1)),0),0)</f>
        <v>1618.19600679292</v>
      </c>
      <c r="D280" s="13" t="n">
        <f aca="false">IFERROR(IF(AND(B280&lt;=Eingaben!$B$11,Szenarien!$H$16="OK"),((Eingaben!$B$32+Eingaben!$B$35)*(1+Eingaben!$B$41)^(B280-1)+SUM(Variantenbilanz!E1835:E2200)*Eingaben!$B$33*Eingaben!$B$34*(1+Eingaben!$B$42)^(B280-1))*Szenarien!$F$16,0),0)</f>
        <v>1138.53726523213</v>
      </c>
      <c r="E280" s="13" t="n">
        <f aca="false">IFERROR(IF(AND(AND(B280&lt;=Eingaben!$B$11,Szenarien!$H$16="OK"),B280=Eingaben!$B$43),Eingaben!$B$44*Szenarien!$B$16*(1+Eingaben!$B$41)^(B280-1),0),0)</f>
        <v>0</v>
      </c>
      <c r="F280" s="13" t="n">
        <f aca="false">IFERROR(IF(AND(AND(B280&lt;=Eingaben!$B$11,Szenarien!$H$16="OK"),B280=Eingaben!$B$11),Eingaben!$B$45*Szenarien!$B$16,0),0)</f>
        <v>0</v>
      </c>
      <c r="G280" s="13" t="n">
        <f aca="false">C280-D280-E280+F280</f>
        <v>479.65874156079</v>
      </c>
      <c r="H280" s="13" t="n">
        <f aca="false">IFERROR(IF(AND(B280&lt;=Eingaben!$B$11,Szenarien!$H$16="OK"),1/(1+Eingaben!$B$39+Szenarien!$G$16)^B280,0),0)</f>
        <v>0.553675754186335</v>
      </c>
      <c r="I280" s="13" t="n">
        <f aca="false">G280*H280</f>
        <v>265.575415485738</v>
      </c>
      <c r="J280" s="13" t="n">
        <f aca="false">(D280+E280-F280)*H280</f>
        <v>630.380478996648</v>
      </c>
      <c r="K280" s="13" t="n">
        <f aca="false">IF(AND(B280&lt;=Eingaben!$B$11,Szenarien!$H$16="OK"),SUM(Variantenbilanz!K1835:K2200)*H280,0)</f>
        <v>307.505842685075</v>
      </c>
    </row>
    <row r="281" customFormat="false" ht="16.4" hidden="false" customHeight="false" outlineLevel="0" collapsed="false">
      <c r="A281" s="12"/>
      <c r="B281" s="15" t="n">
        <v>21</v>
      </c>
      <c r="C281" s="13" t="n">
        <f aca="false">IFERROR(IF(AND(B281&lt;=Eingaben!$B$11,Szenarien!$H$16="OK"),SUM(Variantenbilanz!K1835:K2200)*(Eingaben!$B$36*Szenarien!$C$16*(1+Eingaben!$B$40)^(B281-1)+Eingaben!$B$37*Eingaben!$B$38*(1+Eingaben!$B$46)^(B281-1)),0),0)</f>
        <v>0</v>
      </c>
      <c r="D281" s="13" t="n">
        <f aca="false">IFERROR(IF(AND(B281&lt;=Eingaben!$B$11,Szenarien!$H$16="OK"),((Eingaben!$B$32+Eingaben!$B$35)*(1+Eingaben!$B$41)^(B281-1)+SUM(Variantenbilanz!E1835:E2200)*Eingaben!$B$33*Eingaben!$B$34*(1+Eingaben!$B$42)^(B281-1))*Szenarien!$F$16,0),0)</f>
        <v>0</v>
      </c>
      <c r="E281" s="13" t="n">
        <f aca="false">IFERROR(IF(AND(AND(B281&lt;=Eingaben!$B$11,Szenarien!$H$16="OK"),B281=Eingaben!$B$43),Eingaben!$B$44*Szenarien!$B$16*(1+Eingaben!$B$41)^(B281-1),0),0)</f>
        <v>0</v>
      </c>
      <c r="F281" s="13" t="n">
        <f aca="false">IFERROR(IF(AND(AND(B281&lt;=Eingaben!$B$11,Szenarien!$H$16="OK"),B281=Eingaben!$B$11),Eingaben!$B$45*Szenarien!$B$16,0),0)</f>
        <v>0</v>
      </c>
      <c r="G281" s="13" t="n">
        <f aca="false">C281-D281-E281+F281</f>
        <v>0</v>
      </c>
      <c r="H281" s="13" t="n">
        <f aca="false">IFERROR(IF(AND(B281&lt;=Eingaben!$B$11,Szenarien!$H$16="OK"),1/(1+Eingaben!$B$39+Szenarien!$G$16)^B281,0),0)</f>
        <v>0</v>
      </c>
      <c r="I281" s="13" t="n">
        <f aca="false">G281*H281</f>
        <v>0</v>
      </c>
      <c r="J281" s="13" t="n">
        <f aca="false">(D281+E281-F281)*H281</f>
        <v>0</v>
      </c>
      <c r="K281" s="13" t="n">
        <f aca="false">IF(AND(B281&lt;=Eingaben!$B$11,Szenarien!$H$16="OK"),SUM(Variantenbilanz!K1835:K2200)*H281,0)</f>
        <v>0</v>
      </c>
    </row>
    <row r="282" customFormat="false" ht="16.4" hidden="false" customHeight="false" outlineLevel="0" collapsed="false">
      <c r="A282" s="12"/>
      <c r="B282" s="15" t="n">
        <v>22</v>
      </c>
      <c r="C282" s="13" t="n">
        <f aca="false">IFERROR(IF(AND(B282&lt;=Eingaben!$B$11,Szenarien!$H$16="OK"),SUM(Variantenbilanz!K1835:K2200)*(Eingaben!$B$36*Szenarien!$C$16*(1+Eingaben!$B$40)^(B282-1)+Eingaben!$B$37*Eingaben!$B$38*(1+Eingaben!$B$46)^(B282-1)),0),0)</f>
        <v>0</v>
      </c>
      <c r="D282" s="13" t="n">
        <f aca="false">IFERROR(IF(AND(B282&lt;=Eingaben!$B$11,Szenarien!$H$16="OK"),((Eingaben!$B$32+Eingaben!$B$35)*(1+Eingaben!$B$41)^(B282-1)+SUM(Variantenbilanz!E1835:E2200)*Eingaben!$B$33*Eingaben!$B$34*(1+Eingaben!$B$42)^(B282-1))*Szenarien!$F$16,0),0)</f>
        <v>0</v>
      </c>
      <c r="E282" s="13" t="n">
        <f aca="false">IFERROR(IF(AND(AND(B282&lt;=Eingaben!$B$11,Szenarien!$H$16="OK"),B282=Eingaben!$B$43),Eingaben!$B$44*Szenarien!$B$16*(1+Eingaben!$B$41)^(B282-1),0),0)</f>
        <v>0</v>
      </c>
      <c r="F282" s="13" t="n">
        <f aca="false">IFERROR(IF(AND(AND(B282&lt;=Eingaben!$B$11,Szenarien!$H$16="OK"),B282=Eingaben!$B$11),Eingaben!$B$45*Szenarien!$B$16,0),0)</f>
        <v>0</v>
      </c>
      <c r="G282" s="13" t="n">
        <f aca="false">C282-D282-E282+F282</f>
        <v>0</v>
      </c>
      <c r="H282" s="13" t="n">
        <f aca="false">IFERROR(IF(AND(B282&lt;=Eingaben!$B$11,Szenarien!$H$16="OK"),1/(1+Eingaben!$B$39+Szenarien!$G$16)^B282,0),0)</f>
        <v>0</v>
      </c>
      <c r="I282" s="13" t="n">
        <f aca="false">G282*H282</f>
        <v>0</v>
      </c>
      <c r="J282" s="13" t="n">
        <f aca="false">(D282+E282-F282)*H282</f>
        <v>0</v>
      </c>
      <c r="K282" s="13" t="n">
        <f aca="false">IF(AND(B282&lt;=Eingaben!$B$11,Szenarien!$H$16="OK"),SUM(Variantenbilanz!K1835:K2200)*H282,0)</f>
        <v>0</v>
      </c>
    </row>
    <row r="283" customFormat="false" ht="16.4" hidden="false" customHeight="false" outlineLevel="0" collapsed="false">
      <c r="A283" s="12"/>
      <c r="B283" s="15" t="n">
        <v>23</v>
      </c>
      <c r="C283" s="13" t="n">
        <f aca="false">IFERROR(IF(AND(B283&lt;=Eingaben!$B$11,Szenarien!$H$16="OK"),SUM(Variantenbilanz!K1835:K2200)*(Eingaben!$B$36*Szenarien!$C$16*(1+Eingaben!$B$40)^(B283-1)+Eingaben!$B$37*Eingaben!$B$38*(1+Eingaben!$B$46)^(B283-1)),0),0)</f>
        <v>0</v>
      </c>
      <c r="D283" s="13" t="n">
        <f aca="false">IFERROR(IF(AND(B283&lt;=Eingaben!$B$11,Szenarien!$H$16="OK"),((Eingaben!$B$32+Eingaben!$B$35)*(1+Eingaben!$B$41)^(B283-1)+SUM(Variantenbilanz!E1835:E2200)*Eingaben!$B$33*Eingaben!$B$34*(1+Eingaben!$B$42)^(B283-1))*Szenarien!$F$16,0),0)</f>
        <v>0</v>
      </c>
      <c r="E283" s="13" t="n">
        <f aca="false">IFERROR(IF(AND(AND(B283&lt;=Eingaben!$B$11,Szenarien!$H$16="OK"),B283=Eingaben!$B$43),Eingaben!$B$44*Szenarien!$B$16*(1+Eingaben!$B$41)^(B283-1),0),0)</f>
        <v>0</v>
      </c>
      <c r="F283" s="13" t="n">
        <f aca="false">IFERROR(IF(AND(AND(B283&lt;=Eingaben!$B$11,Szenarien!$H$16="OK"),B283=Eingaben!$B$11),Eingaben!$B$45*Szenarien!$B$16,0),0)</f>
        <v>0</v>
      </c>
      <c r="G283" s="13" t="n">
        <f aca="false">C283-D283-E283+F283</f>
        <v>0</v>
      </c>
      <c r="H283" s="13" t="n">
        <f aca="false">IFERROR(IF(AND(B283&lt;=Eingaben!$B$11,Szenarien!$H$16="OK"),1/(1+Eingaben!$B$39+Szenarien!$G$16)^B283,0),0)</f>
        <v>0</v>
      </c>
      <c r="I283" s="13" t="n">
        <f aca="false">G283*H283</f>
        <v>0</v>
      </c>
      <c r="J283" s="13" t="n">
        <f aca="false">(D283+E283-F283)*H283</f>
        <v>0</v>
      </c>
      <c r="K283" s="13" t="n">
        <f aca="false">IF(AND(B283&lt;=Eingaben!$B$11,Szenarien!$H$16="OK"),SUM(Variantenbilanz!K1835:K2200)*H283,0)</f>
        <v>0</v>
      </c>
    </row>
    <row r="284" customFormat="false" ht="16.4" hidden="false" customHeight="false" outlineLevel="0" collapsed="false">
      <c r="A284" s="12"/>
      <c r="B284" s="15" t="n">
        <v>24</v>
      </c>
      <c r="C284" s="13" t="n">
        <f aca="false">IFERROR(IF(AND(B284&lt;=Eingaben!$B$11,Szenarien!$H$16="OK"),SUM(Variantenbilanz!K1835:K2200)*(Eingaben!$B$36*Szenarien!$C$16*(1+Eingaben!$B$40)^(B284-1)+Eingaben!$B$37*Eingaben!$B$38*(1+Eingaben!$B$46)^(B284-1)),0),0)</f>
        <v>0</v>
      </c>
      <c r="D284" s="13" t="n">
        <f aca="false">IFERROR(IF(AND(B284&lt;=Eingaben!$B$11,Szenarien!$H$16="OK"),((Eingaben!$B$32+Eingaben!$B$35)*(1+Eingaben!$B$41)^(B284-1)+SUM(Variantenbilanz!E1835:E2200)*Eingaben!$B$33*Eingaben!$B$34*(1+Eingaben!$B$42)^(B284-1))*Szenarien!$F$16,0),0)</f>
        <v>0</v>
      </c>
      <c r="E284" s="13" t="n">
        <f aca="false">IFERROR(IF(AND(AND(B284&lt;=Eingaben!$B$11,Szenarien!$H$16="OK"),B284=Eingaben!$B$43),Eingaben!$B$44*Szenarien!$B$16*(1+Eingaben!$B$41)^(B284-1),0),0)</f>
        <v>0</v>
      </c>
      <c r="F284" s="13" t="n">
        <f aca="false">IFERROR(IF(AND(AND(B284&lt;=Eingaben!$B$11,Szenarien!$H$16="OK"),B284=Eingaben!$B$11),Eingaben!$B$45*Szenarien!$B$16,0),0)</f>
        <v>0</v>
      </c>
      <c r="G284" s="13" t="n">
        <f aca="false">C284-D284-E284+F284</f>
        <v>0</v>
      </c>
      <c r="H284" s="13" t="n">
        <f aca="false">IFERROR(IF(AND(B284&lt;=Eingaben!$B$11,Szenarien!$H$16="OK"),1/(1+Eingaben!$B$39+Szenarien!$G$16)^B284,0),0)</f>
        <v>0</v>
      </c>
      <c r="I284" s="13" t="n">
        <f aca="false">G284*H284</f>
        <v>0</v>
      </c>
      <c r="J284" s="13" t="n">
        <f aca="false">(D284+E284-F284)*H284</f>
        <v>0</v>
      </c>
      <c r="K284" s="13" t="n">
        <f aca="false">IF(AND(B284&lt;=Eingaben!$B$11,Szenarien!$H$16="OK"),SUM(Variantenbilanz!K1835:K2200)*H284,0)</f>
        <v>0</v>
      </c>
    </row>
    <row r="285" customFormat="false" ht="16.4" hidden="false" customHeight="false" outlineLevel="0" collapsed="false">
      <c r="A285" s="12"/>
      <c r="B285" s="15" t="n">
        <v>25</v>
      </c>
      <c r="C285" s="13" t="n">
        <f aca="false">IFERROR(IF(AND(B285&lt;=Eingaben!$B$11,Szenarien!$H$16="OK"),SUM(Variantenbilanz!K1835:K2200)*(Eingaben!$B$36*Szenarien!$C$16*(1+Eingaben!$B$40)^(B285-1)+Eingaben!$B$37*Eingaben!$B$38*(1+Eingaben!$B$46)^(B285-1)),0),0)</f>
        <v>0</v>
      </c>
      <c r="D285" s="13" t="n">
        <f aca="false">IFERROR(IF(AND(B285&lt;=Eingaben!$B$11,Szenarien!$H$16="OK"),((Eingaben!$B$32+Eingaben!$B$35)*(1+Eingaben!$B$41)^(B285-1)+SUM(Variantenbilanz!E1835:E2200)*Eingaben!$B$33*Eingaben!$B$34*(1+Eingaben!$B$42)^(B285-1))*Szenarien!$F$16,0),0)</f>
        <v>0</v>
      </c>
      <c r="E285" s="13" t="n">
        <f aca="false">IFERROR(IF(AND(AND(B285&lt;=Eingaben!$B$11,Szenarien!$H$16="OK"),B285=Eingaben!$B$43),Eingaben!$B$44*Szenarien!$B$16*(1+Eingaben!$B$41)^(B285-1),0),0)</f>
        <v>0</v>
      </c>
      <c r="F285" s="13" t="n">
        <f aca="false">IFERROR(IF(AND(AND(B285&lt;=Eingaben!$B$11,Szenarien!$H$16="OK"),B285=Eingaben!$B$11),Eingaben!$B$45*Szenarien!$B$16,0),0)</f>
        <v>0</v>
      </c>
      <c r="G285" s="13" t="n">
        <f aca="false">C285-D285-E285+F285</f>
        <v>0</v>
      </c>
      <c r="H285" s="13" t="n">
        <f aca="false">IFERROR(IF(AND(B285&lt;=Eingaben!$B$11,Szenarien!$H$16="OK"),1/(1+Eingaben!$B$39+Szenarien!$G$16)^B285,0),0)</f>
        <v>0</v>
      </c>
      <c r="I285" s="13" t="n">
        <f aca="false">G285*H285</f>
        <v>0</v>
      </c>
      <c r="J285" s="13" t="n">
        <f aca="false">(D285+E285-F285)*H285</f>
        <v>0</v>
      </c>
      <c r="K285" s="13" t="n">
        <f aca="false">IF(AND(B285&lt;=Eingaben!$B$11,Szenarien!$H$16="OK"),SUM(Variantenbilanz!K1835:K2200)*H285,0)</f>
        <v>0</v>
      </c>
    </row>
    <row r="286" customFormat="false" ht="16.4" hidden="false" customHeight="false" outlineLevel="0" collapsed="false">
      <c r="A286" s="12"/>
      <c r="B286" s="15" t="n">
        <v>26</v>
      </c>
      <c r="C286" s="13" t="n">
        <f aca="false">IFERROR(IF(AND(B286&lt;=Eingaben!$B$11,Szenarien!$H$16="OK"),SUM(Variantenbilanz!K1835:K2200)*(Eingaben!$B$36*Szenarien!$C$16*(1+Eingaben!$B$40)^(B286-1)+Eingaben!$B$37*Eingaben!$B$38*(1+Eingaben!$B$46)^(B286-1)),0),0)</f>
        <v>0</v>
      </c>
      <c r="D286" s="13" t="n">
        <f aca="false">IFERROR(IF(AND(B286&lt;=Eingaben!$B$11,Szenarien!$H$16="OK"),((Eingaben!$B$32+Eingaben!$B$35)*(1+Eingaben!$B$41)^(B286-1)+SUM(Variantenbilanz!E1835:E2200)*Eingaben!$B$33*Eingaben!$B$34*(1+Eingaben!$B$42)^(B286-1))*Szenarien!$F$16,0),0)</f>
        <v>0</v>
      </c>
      <c r="E286" s="13" t="n">
        <f aca="false">IFERROR(IF(AND(AND(B286&lt;=Eingaben!$B$11,Szenarien!$H$16="OK"),B286=Eingaben!$B$43),Eingaben!$B$44*Szenarien!$B$16*(1+Eingaben!$B$41)^(B286-1),0),0)</f>
        <v>0</v>
      </c>
      <c r="F286" s="13" t="n">
        <f aca="false">IFERROR(IF(AND(AND(B286&lt;=Eingaben!$B$11,Szenarien!$H$16="OK"),B286=Eingaben!$B$11),Eingaben!$B$45*Szenarien!$B$16,0),0)</f>
        <v>0</v>
      </c>
      <c r="G286" s="13" t="n">
        <f aca="false">C286-D286-E286+F286</f>
        <v>0</v>
      </c>
      <c r="H286" s="13" t="n">
        <f aca="false">IFERROR(IF(AND(B286&lt;=Eingaben!$B$11,Szenarien!$H$16="OK"),1/(1+Eingaben!$B$39+Szenarien!$G$16)^B286,0),0)</f>
        <v>0</v>
      </c>
      <c r="I286" s="13" t="n">
        <f aca="false">G286*H286</f>
        <v>0</v>
      </c>
      <c r="J286" s="13" t="n">
        <f aca="false">(D286+E286-F286)*H286</f>
        <v>0</v>
      </c>
      <c r="K286" s="13" t="n">
        <f aca="false">IF(AND(B286&lt;=Eingaben!$B$11,Szenarien!$H$16="OK"),SUM(Variantenbilanz!K1835:K2200)*H286,0)</f>
        <v>0</v>
      </c>
    </row>
    <row r="287" customFormat="false" ht="16.4" hidden="false" customHeight="false" outlineLevel="0" collapsed="false">
      <c r="A287" s="12"/>
      <c r="B287" s="15" t="n">
        <v>27</v>
      </c>
      <c r="C287" s="13" t="n">
        <f aca="false">IFERROR(IF(AND(B287&lt;=Eingaben!$B$11,Szenarien!$H$16="OK"),SUM(Variantenbilanz!K1835:K2200)*(Eingaben!$B$36*Szenarien!$C$16*(1+Eingaben!$B$40)^(B287-1)+Eingaben!$B$37*Eingaben!$B$38*(1+Eingaben!$B$46)^(B287-1)),0),0)</f>
        <v>0</v>
      </c>
      <c r="D287" s="13" t="n">
        <f aca="false">IFERROR(IF(AND(B287&lt;=Eingaben!$B$11,Szenarien!$H$16="OK"),((Eingaben!$B$32+Eingaben!$B$35)*(1+Eingaben!$B$41)^(B287-1)+SUM(Variantenbilanz!E1835:E2200)*Eingaben!$B$33*Eingaben!$B$34*(1+Eingaben!$B$42)^(B287-1))*Szenarien!$F$16,0),0)</f>
        <v>0</v>
      </c>
      <c r="E287" s="13" t="n">
        <f aca="false">IFERROR(IF(AND(AND(B287&lt;=Eingaben!$B$11,Szenarien!$H$16="OK"),B287=Eingaben!$B$43),Eingaben!$B$44*Szenarien!$B$16*(1+Eingaben!$B$41)^(B287-1),0),0)</f>
        <v>0</v>
      </c>
      <c r="F287" s="13" t="n">
        <f aca="false">IFERROR(IF(AND(AND(B287&lt;=Eingaben!$B$11,Szenarien!$H$16="OK"),B287=Eingaben!$B$11),Eingaben!$B$45*Szenarien!$B$16,0),0)</f>
        <v>0</v>
      </c>
      <c r="G287" s="13" t="n">
        <f aca="false">C287-D287-E287+F287</f>
        <v>0</v>
      </c>
      <c r="H287" s="13" t="n">
        <f aca="false">IFERROR(IF(AND(B287&lt;=Eingaben!$B$11,Szenarien!$H$16="OK"),1/(1+Eingaben!$B$39+Szenarien!$G$16)^B287,0),0)</f>
        <v>0</v>
      </c>
      <c r="I287" s="13" t="n">
        <f aca="false">G287*H287</f>
        <v>0</v>
      </c>
      <c r="J287" s="13" t="n">
        <f aca="false">(D287+E287-F287)*H287</f>
        <v>0</v>
      </c>
      <c r="K287" s="13" t="n">
        <f aca="false">IF(AND(B287&lt;=Eingaben!$B$11,Szenarien!$H$16="OK"),SUM(Variantenbilanz!K1835:K2200)*H287,0)</f>
        <v>0</v>
      </c>
    </row>
    <row r="288" customFormat="false" ht="16.4" hidden="false" customHeight="false" outlineLevel="0" collapsed="false">
      <c r="A288" s="12"/>
      <c r="B288" s="15" t="n">
        <v>28</v>
      </c>
      <c r="C288" s="13" t="n">
        <f aca="false">IFERROR(IF(AND(B288&lt;=Eingaben!$B$11,Szenarien!$H$16="OK"),SUM(Variantenbilanz!K1835:K2200)*(Eingaben!$B$36*Szenarien!$C$16*(1+Eingaben!$B$40)^(B288-1)+Eingaben!$B$37*Eingaben!$B$38*(1+Eingaben!$B$46)^(B288-1)),0),0)</f>
        <v>0</v>
      </c>
      <c r="D288" s="13" t="n">
        <f aca="false">IFERROR(IF(AND(B288&lt;=Eingaben!$B$11,Szenarien!$H$16="OK"),((Eingaben!$B$32+Eingaben!$B$35)*(1+Eingaben!$B$41)^(B288-1)+SUM(Variantenbilanz!E1835:E2200)*Eingaben!$B$33*Eingaben!$B$34*(1+Eingaben!$B$42)^(B288-1))*Szenarien!$F$16,0),0)</f>
        <v>0</v>
      </c>
      <c r="E288" s="13" t="n">
        <f aca="false">IFERROR(IF(AND(AND(B288&lt;=Eingaben!$B$11,Szenarien!$H$16="OK"),B288=Eingaben!$B$43),Eingaben!$B$44*Szenarien!$B$16*(1+Eingaben!$B$41)^(B288-1),0),0)</f>
        <v>0</v>
      </c>
      <c r="F288" s="13" t="n">
        <f aca="false">IFERROR(IF(AND(AND(B288&lt;=Eingaben!$B$11,Szenarien!$H$16="OK"),B288=Eingaben!$B$11),Eingaben!$B$45*Szenarien!$B$16,0),0)</f>
        <v>0</v>
      </c>
      <c r="G288" s="13" t="n">
        <f aca="false">C288-D288-E288+F288</f>
        <v>0</v>
      </c>
      <c r="H288" s="13" t="n">
        <f aca="false">IFERROR(IF(AND(B288&lt;=Eingaben!$B$11,Szenarien!$H$16="OK"),1/(1+Eingaben!$B$39+Szenarien!$G$16)^B288,0),0)</f>
        <v>0</v>
      </c>
      <c r="I288" s="13" t="n">
        <f aca="false">G288*H288</f>
        <v>0</v>
      </c>
      <c r="J288" s="13" t="n">
        <f aca="false">(D288+E288-F288)*H288</f>
        <v>0</v>
      </c>
      <c r="K288" s="13" t="n">
        <f aca="false">IF(AND(B288&lt;=Eingaben!$B$11,Szenarien!$H$16="OK"),SUM(Variantenbilanz!K1835:K2200)*H288,0)</f>
        <v>0</v>
      </c>
    </row>
    <row r="289" customFormat="false" ht="16.4" hidden="false" customHeight="false" outlineLevel="0" collapsed="false">
      <c r="A289" s="12"/>
      <c r="B289" s="15" t="n">
        <v>29</v>
      </c>
      <c r="C289" s="13" t="n">
        <f aca="false">IFERROR(IF(AND(B289&lt;=Eingaben!$B$11,Szenarien!$H$16="OK"),SUM(Variantenbilanz!K1835:K2200)*(Eingaben!$B$36*Szenarien!$C$16*(1+Eingaben!$B$40)^(B289-1)+Eingaben!$B$37*Eingaben!$B$38*(1+Eingaben!$B$46)^(B289-1)),0),0)</f>
        <v>0</v>
      </c>
      <c r="D289" s="13" t="n">
        <f aca="false">IFERROR(IF(AND(B289&lt;=Eingaben!$B$11,Szenarien!$H$16="OK"),((Eingaben!$B$32+Eingaben!$B$35)*(1+Eingaben!$B$41)^(B289-1)+SUM(Variantenbilanz!E1835:E2200)*Eingaben!$B$33*Eingaben!$B$34*(1+Eingaben!$B$42)^(B289-1))*Szenarien!$F$16,0),0)</f>
        <v>0</v>
      </c>
      <c r="E289" s="13" t="n">
        <f aca="false">IFERROR(IF(AND(AND(B289&lt;=Eingaben!$B$11,Szenarien!$H$16="OK"),B289=Eingaben!$B$43),Eingaben!$B$44*Szenarien!$B$16*(1+Eingaben!$B$41)^(B289-1),0),0)</f>
        <v>0</v>
      </c>
      <c r="F289" s="13" t="n">
        <f aca="false">IFERROR(IF(AND(AND(B289&lt;=Eingaben!$B$11,Szenarien!$H$16="OK"),B289=Eingaben!$B$11),Eingaben!$B$45*Szenarien!$B$16,0),0)</f>
        <v>0</v>
      </c>
      <c r="G289" s="13" t="n">
        <f aca="false">C289-D289-E289+F289</f>
        <v>0</v>
      </c>
      <c r="H289" s="13" t="n">
        <f aca="false">IFERROR(IF(AND(B289&lt;=Eingaben!$B$11,Szenarien!$H$16="OK"),1/(1+Eingaben!$B$39+Szenarien!$G$16)^B289,0),0)</f>
        <v>0</v>
      </c>
      <c r="I289" s="13" t="n">
        <f aca="false">G289*H289</f>
        <v>0</v>
      </c>
      <c r="J289" s="13" t="n">
        <f aca="false">(D289+E289-F289)*H289</f>
        <v>0</v>
      </c>
      <c r="K289" s="13" t="n">
        <f aca="false">IF(AND(B289&lt;=Eingaben!$B$11,Szenarien!$H$16="OK"),SUM(Variantenbilanz!K1835:K2200)*H289,0)</f>
        <v>0</v>
      </c>
    </row>
    <row r="290" customFormat="false" ht="16.4" hidden="false" customHeight="false" outlineLevel="0" collapsed="false">
      <c r="A290" s="12"/>
      <c r="B290" s="15" t="n">
        <v>30</v>
      </c>
      <c r="C290" s="13" t="n">
        <f aca="false">IFERROR(IF(AND(B290&lt;=Eingaben!$B$11,Szenarien!$H$16="OK"),SUM(Variantenbilanz!K1835:K2200)*(Eingaben!$B$36*Szenarien!$C$16*(1+Eingaben!$B$40)^(B290-1)+Eingaben!$B$37*Eingaben!$B$38*(1+Eingaben!$B$46)^(B290-1)),0),0)</f>
        <v>0</v>
      </c>
      <c r="D290" s="13" t="n">
        <f aca="false">IFERROR(IF(AND(B290&lt;=Eingaben!$B$11,Szenarien!$H$16="OK"),((Eingaben!$B$32+Eingaben!$B$35)*(1+Eingaben!$B$41)^(B290-1)+SUM(Variantenbilanz!E1835:E2200)*Eingaben!$B$33*Eingaben!$B$34*(1+Eingaben!$B$42)^(B290-1))*Szenarien!$F$16,0),0)</f>
        <v>0</v>
      </c>
      <c r="E290" s="13" t="n">
        <f aca="false">IFERROR(IF(AND(AND(B290&lt;=Eingaben!$B$11,Szenarien!$H$16="OK"),B290=Eingaben!$B$43),Eingaben!$B$44*Szenarien!$B$16*(1+Eingaben!$B$41)^(B290-1),0),0)</f>
        <v>0</v>
      </c>
      <c r="F290" s="13" t="n">
        <f aca="false">IFERROR(IF(AND(AND(B290&lt;=Eingaben!$B$11,Szenarien!$H$16="OK"),B290=Eingaben!$B$11),Eingaben!$B$45*Szenarien!$B$16,0),0)</f>
        <v>0</v>
      </c>
      <c r="G290" s="13" t="n">
        <f aca="false">C290-D290-E290+F290</f>
        <v>0</v>
      </c>
      <c r="H290" s="13" t="n">
        <f aca="false">IFERROR(IF(AND(B290&lt;=Eingaben!$B$11,Szenarien!$H$16="OK"),1/(1+Eingaben!$B$39+Szenarien!$G$16)^B290,0),0)</f>
        <v>0</v>
      </c>
      <c r="I290" s="13" t="n">
        <f aca="false">G290*H290</f>
        <v>0</v>
      </c>
      <c r="J290" s="13" t="n">
        <f aca="false">(D290+E290-F290)*H290</f>
        <v>0</v>
      </c>
      <c r="K290" s="13" t="n">
        <f aca="false">IF(AND(B290&lt;=Eingaben!$B$11,Szenarien!$H$16="OK"),SUM(Variantenbilanz!K1835:K2200)*H290,0)</f>
        <v>0</v>
      </c>
    </row>
    <row r="291" customFormat="false" ht="16.4" hidden="false" customHeight="false" outlineLevel="0" collapsed="false">
      <c r="A291" s="12"/>
      <c r="B291" s="15" t="n">
        <v>31</v>
      </c>
      <c r="C291" s="13" t="n">
        <f aca="false">IFERROR(IF(AND(B291&lt;=Eingaben!$B$11,Szenarien!$H$16="OK"),SUM(Variantenbilanz!K1835:K2200)*(Eingaben!$B$36*Szenarien!$C$16*(1+Eingaben!$B$40)^(B291-1)+Eingaben!$B$37*Eingaben!$B$38*(1+Eingaben!$B$46)^(B291-1)),0),0)</f>
        <v>0</v>
      </c>
      <c r="D291" s="13" t="n">
        <f aca="false">IFERROR(IF(AND(B291&lt;=Eingaben!$B$11,Szenarien!$H$16="OK"),((Eingaben!$B$32+Eingaben!$B$35)*(1+Eingaben!$B$41)^(B291-1)+SUM(Variantenbilanz!E1835:E2200)*Eingaben!$B$33*Eingaben!$B$34*(1+Eingaben!$B$42)^(B291-1))*Szenarien!$F$16,0),0)</f>
        <v>0</v>
      </c>
      <c r="E291" s="13" t="n">
        <f aca="false">IFERROR(IF(AND(AND(B291&lt;=Eingaben!$B$11,Szenarien!$H$16="OK"),B291=Eingaben!$B$43),Eingaben!$B$44*Szenarien!$B$16*(1+Eingaben!$B$41)^(B291-1),0),0)</f>
        <v>0</v>
      </c>
      <c r="F291" s="13" t="n">
        <f aca="false">IFERROR(IF(AND(AND(B291&lt;=Eingaben!$B$11,Szenarien!$H$16="OK"),B291=Eingaben!$B$11),Eingaben!$B$45*Szenarien!$B$16,0),0)</f>
        <v>0</v>
      </c>
      <c r="G291" s="13" t="n">
        <f aca="false">C291-D291-E291+F291</f>
        <v>0</v>
      </c>
      <c r="H291" s="13" t="n">
        <f aca="false">IFERROR(IF(AND(B291&lt;=Eingaben!$B$11,Szenarien!$H$16="OK"),1/(1+Eingaben!$B$39+Szenarien!$G$16)^B291,0),0)</f>
        <v>0</v>
      </c>
      <c r="I291" s="13" t="n">
        <f aca="false">G291*H291</f>
        <v>0</v>
      </c>
      <c r="J291" s="13" t="n">
        <f aca="false">(D291+E291-F291)*H291</f>
        <v>0</v>
      </c>
      <c r="K291" s="13" t="n">
        <f aca="false">IF(AND(B291&lt;=Eingaben!$B$11,Szenarien!$H$16="OK"),SUM(Variantenbilanz!K1835:K2200)*H291,0)</f>
        <v>0</v>
      </c>
    </row>
    <row r="292" customFormat="false" ht="16.4" hidden="false" customHeight="false" outlineLevel="0" collapsed="false">
      <c r="A292" s="12"/>
      <c r="B292" s="15" t="n">
        <v>32</v>
      </c>
      <c r="C292" s="13" t="n">
        <f aca="false">IFERROR(IF(AND(B292&lt;=Eingaben!$B$11,Szenarien!$H$16="OK"),SUM(Variantenbilanz!K1835:K2200)*(Eingaben!$B$36*Szenarien!$C$16*(1+Eingaben!$B$40)^(B292-1)+Eingaben!$B$37*Eingaben!$B$38*(1+Eingaben!$B$46)^(B292-1)),0),0)</f>
        <v>0</v>
      </c>
      <c r="D292" s="13" t="n">
        <f aca="false">IFERROR(IF(AND(B292&lt;=Eingaben!$B$11,Szenarien!$H$16="OK"),((Eingaben!$B$32+Eingaben!$B$35)*(1+Eingaben!$B$41)^(B292-1)+SUM(Variantenbilanz!E1835:E2200)*Eingaben!$B$33*Eingaben!$B$34*(1+Eingaben!$B$42)^(B292-1))*Szenarien!$F$16,0),0)</f>
        <v>0</v>
      </c>
      <c r="E292" s="13" t="n">
        <f aca="false">IFERROR(IF(AND(AND(B292&lt;=Eingaben!$B$11,Szenarien!$H$16="OK"),B292=Eingaben!$B$43),Eingaben!$B$44*Szenarien!$B$16*(1+Eingaben!$B$41)^(B292-1),0),0)</f>
        <v>0</v>
      </c>
      <c r="F292" s="13" t="n">
        <f aca="false">IFERROR(IF(AND(AND(B292&lt;=Eingaben!$B$11,Szenarien!$H$16="OK"),B292=Eingaben!$B$11),Eingaben!$B$45*Szenarien!$B$16,0),0)</f>
        <v>0</v>
      </c>
      <c r="G292" s="13" t="n">
        <f aca="false">C292-D292-E292+F292</f>
        <v>0</v>
      </c>
      <c r="H292" s="13" t="n">
        <f aca="false">IFERROR(IF(AND(B292&lt;=Eingaben!$B$11,Szenarien!$H$16="OK"),1/(1+Eingaben!$B$39+Szenarien!$G$16)^B292,0),0)</f>
        <v>0</v>
      </c>
      <c r="I292" s="13" t="n">
        <f aca="false">G292*H292</f>
        <v>0</v>
      </c>
      <c r="J292" s="13" t="n">
        <f aca="false">(D292+E292-F292)*H292</f>
        <v>0</v>
      </c>
      <c r="K292" s="13" t="n">
        <f aca="false">IF(AND(B292&lt;=Eingaben!$B$11,Szenarien!$H$16="OK"),SUM(Variantenbilanz!K1835:K2200)*H292,0)</f>
        <v>0</v>
      </c>
    </row>
    <row r="293" customFormat="false" ht="16.4" hidden="false" customHeight="false" outlineLevel="0" collapsed="false">
      <c r="A293" s="12"/>
      <c r="B293" s="15" t="n">
        <v>33</v>
      </c>
      <c r="C293" s="13" t="n">
        <f aca="false">IFERROR(IF(AND(B293&lt;=Eingaben!$B$11,Szenarien!$H$16="OK"),SUM(Variantenbilanz!K1835:K2200)*(Eingaben!$B$36*Szenarien!$C$16*(1+Eingaben!$B$40)^(B293-1)+Eingaben!$B$37*Eingaben!$B$38*(1+Eingaben!$B$46)^(B293-1)),0),0)</f>
        <v>0</v>
      </c>
      <c r="D293" s="13" t="n">
        <f aca="false">IFERROR(IF(AND(B293&lt;=Eingaben!$B$11,Szenarien!$H$16="OK"),((Eingaben!$B$32+Eingaben!$B$35)*(1+Eingaben!$B$41)^(B293-1)+SUM(Variantenbilanz!E1835:E2200)*Eingaben!$B$33*Eingaben!$B$34*(1+Eingaben!$B$42)^(B293-1))*Szenarien!$F$16,0),0)</f>
        <v>0</v>
      </c>
      <c r="E293" s="13" t="n">
        <f aca="false">IFERROR(IF(AND(AND(B293&lt;=Eingaben!$B$11,Szenarien!$H$16="OK"),B293=Eingaben!$B$43),Eingaben!$B$44*Szenarien!$B$16*(1+Eingaben!$B$41)^(B293-1),0),0)</f>
        <v>0</v>
      </c>
      <c r="F293" s="13" t="n">
        <f aca="false">IFERROR(IF(AND(AND(B293&lt;=Eingaben!$B$11,Szenarien!$H$16="OK"),B293=Eingaben!$B$11),Eingaben!$B$45*Szenarien!$B$16,0),0)</f>
        <v>0</v>
      </c>
      <c r="G293" s="13" t="n">
        <f aca="false">C293-D293-E293+F293</f>
        <v>0</v>
      </c>
      <c r="H293" s="13" t="n">
        <f aca="false">IFERROR(IF(AND(B293&lt;=Eingaben!$B$11,Szenarien!$H$16="OK"),1/(1+Eingaben!$B$39+Szenarien!$G$16)^B293,0),0)</f>
        <v>0</v>
      </c>
      <c r="I293" s="13" t="n">
        <f aca="false">G293*H293</f>
        <v>0</v>
      </c>
      <c r="J293" s="13" t="n">
        <f aca="false">(D293+E293-F293)*H293</f>
        <v>0</v>
      </c>
      <c r="K293" s="13" t="n">
        <f aca="false">IF(AND(B293&lt;=Eingaben!$B$11,Szenarien!$H$16="OK"),SUM(Variantenbilanz!K1835:K2200)*H293,0)</f>
        <v>0</v>
      </c>
    </row>
    <row r="294" customFormat="false" ht="16.4" hidden="false" customHeight="false" outlineLevel="0" collapsed="false">
      <c r="A294" s="12"/>
      <c r="B294" s="15" t="n">
        <v>34</v>
      </c>
      <c r="C294" s="13" t="n">
        <f aca="false">IFERROR(IF(AND(B294&lt;=Eingaben!$B$11,Szenarien!$H$16="OK"),SUM(Variantenbilanz!K1835:K2200)*(Eingaben!$B$36*Szenarien!$C$16*(1+Eingaben!$B$40)^(B294-1)+Eingaben!$B$37*Eingaben!$B$38*(1+Eingaben!$B$46)^(B294-1)),0),0)</f>
        <v>0</v>
      </c>
      <c r="D294" s="13" t="n">
        <f aca="false">IFERROR(IF(AND(B294&lt;=Eingaben!$B$11,Szenarien!$H$16="OK"),((Eingaben!$B$32+Eingaben!$B$35)*(1+Eingaben!$B$41)^(B294-1)+SUM(Variantenbilanz!E1835:E2200)*Eingaben!$B$33*Eingaben!$B$34*(1+Eingaben!$B$42)^(B294-1))*Szenarien!$F$16,0),0)</f>
        <v>0</v>
      </c>
      <c r="E294" s="13" t="n">
        <f aca="false">IFERROR(IF(AND(AND(B294&lt;=Eingaben!$B$11,Szenarien!$H$16="OK"),B294=Eingaben!$B$43),Eingaben!$B$44*Szenarien!$B$16*(1+Eingaben!$B$41)^(B294-1),0),0)</f>
        <v>0</v>
      </c>
      <c r="F294" s="13" t="n">
        <f aca="false">IFERROR(IF(AND(AND(B294&lt;=Eingaben!$B$11,Szenarien!$H$16="OK"),B294=Eingaben!$B$11),Eingaben!$B$45*Szenarien!$B$16,0),0)</f>
        <v>0</v>
      </c>
      <c r="G294" s="13" t="n">
        <f aca="false">C294-D294-E294+F294</f>
        <v>0</v>
      </c>
      <c r="H294" s="13" t="n">
        <f aca="false">IFERROR(IF(AND(B294&lt;=Eingaben!$B$11,Szenarien!$H$16="OK"),1/(1+Eingaben!$B$39+Szenarien!$G$16)^B294,0),0)</f>
        <v>0</v>
      </c>
      <c r="I294" s="13" t="n">
        <f aca="false">G294*H294</f>
        <v>0</v>
      </c>
      <c r="J294" s="13" t="n">
        <f aca="false">(D294+E294-F294)*H294</f>
        <v>0</v>
      </c>
      <c r="K294" s="13" t="n">
        <f aca="false">IF(AND(B294&lt;=Eingaben!$B$11,Szenarien!$H$16="OK"),SUM(Variantenbilanz!K1835:K2200)*H294,0)</f>
        <v>0</v>
      </c>
    </row>
    <row r="295" customFormat="false" ht="16.4" hidden="false" customHeight="false" outlineLevel="0" collapsed="false">
      <c r="A295" s="12"/>
      <c r="B295" s="15" t="n">
        <v>35</v>
      </c>
      <c r="C295" s="13" t="n">
        <f aca="false">IFERROR(IF(AND(B295&lt;=Eingaben!$B$11,Szenarien!$H$16="OK"),SUM(Variantenbilanz!K1835:K2200)*(Eingaben!$B$36*Szenarien!$C$16*(1+Eingaben!$B$40)^(B295-1)+Eingaben!$B$37*Eingaben!$B$38*(1+Eingaben!$B$46)^(B295-1)),0),0)</f>
        <v>0</v>
      </c>
      <c r="D295" s="13" t="n">
        <f aca="false">IFERROR(IF(AND(B295&lt;=Eingaben!$B$11,Szenarien!$H$16="OK"),((Eingaben!$B$32+Eingaben!$B$35)*(1+Eingaben!$B$41)^(B295-1)+SUM(Variantenbilanz!E1835:E2200)*Eingaben!$B$33*Eingaben!$B$34*(1+Eingaben!$B$42)^(B295-1))*Szenarien!$F$16,0),0)</f>
        <v>0</v>
      </c>
      <c r="E295" s="13" t="n">
        <f aca="false">IFERROR(IF(AND(AND(B295&lt;=Eingaben!$B$11,Szenarien!$H$16="OK"),B295=Eingaben!$B$43),Eingaben!$B$44*Szenarien!$B$16*(1+Eingaben!$B$41)^(B295-1),0),0)</f>
        <v>0</v>
      </c>
      <c r="F295" s="13" t="n">
        <f aca="false">IFERROR(IF(AND(AND(B295&lt;=Eingaben!$B$11,Szenarien!$H$16="OK"),B295=Eingaben!$B$11),Eingaben!$B$45*Szenarien!$B$16,0),0)</f>
        <v>0</v>
      </c>
      <c r="G295" s="13" t="n">
        <f aca="false">C295-D295-E295+F295</f>
        <v>0</v>
      </c>
      <c r="H295" s="13" t="n">
        <f aca="false">IFERROR(IF(AND(B295&lt;=Eingaben!$B$11,Szenarien!$H$16="OK"),1/(1+Eingaben!$B$39+Szenarien!$G$16)^B295,0),0)</f>
        <v>0</v>
      </c>
      <c r="I295" s="13" t="n">
        <f aca="false">G295*H295</f>
        <v>0</v>
      </c>
      <c r="J295" s="13" t="n">
        <f aca="false">(D295+E295-F295)*H295</f>
        <v>0</v>
      </c>
      <c r="K295" s="13" t="n">
        <f aca="false">IF(AND(B295&lt;=Eingaben!$B$11,Szenarien!$H$16="OK"),SUM(Variantenbilanz!K1835:K2200)*H295,0)</f>
        <v>0</v>
      </c>
    </row>
    <row r="296" customFormat="false" ht="16.4" hidden="false" customHeight="false" outlineLevel="0" collapsed="false">
      <c r="A296" s="12"/>
      <c r="B296" s="15" t="n">
        <v>36</v>
      </c>
      <c r="C296" s="13" t="n">
        <f aca="false">IFERROR(IF(AND(B296&lt;=Eingaben!$B$11,Szenarien!$H$16="OK"),SUM(Variantenbilanz!K1835:K2200)*(Eingaben!$B$36*Szenarien!$C$16*(1+Eingaben!$B$40)^(B296-1)+Eingaben!$B$37*Eingaben!$B$38*(1+Eingaben!$B$46)^(B296-1)),0),0)</f>
        <v>0</v>
      </c>
      <c r="D296" s="13" t="n">
        <f aca="false">IFERROR(IF(AND(B296&lt;=Eingaben!$B$11,Szenarien!$H$16="OK"),((Eingaben!$B$32+Eingaben!$B$35)*(1+Eingaben!$B$41)^(B296-1)+SUM(Variantenbilanz!E1835:E2200)*Eingaben!$B$33*Eingaben!$B$34*(1+Eingaben!$B$42)^(B296-1))*Szenarien!$F$16,0),0)</f>
        <v>0</v>
      </c>
      <c r="E296" s="13" t="n">
        <f aca="false">IFERROR(IF(AND(AND(B296&lt;=Eingaben!$B$11,Szenarien!$H$16="OK"),B296=Eingaben!$B$43),Eingaben!$B$44*Szenarien!$B$16*(1+Eingaben!$B$41)^(B296-1),0),0)</f>
        <v>0</v>
      </c>
      <c r="F296" s="13" t="n">
        <f aca="false">IFERROR(IF(AND(AND(B296&lt;=Eingaben!$B$11,Szenarien!$H$16="OK"),B296=Eingaben!$B$11),Eingaben!$B$45*Szenarien!$B$16,0),0)</f>
        <v>0</v>
      </c>
      <c r="G296" s="13" t="n">
        <f aca="false">C296-D296-E296+F296</f>
        <v>0</v>
      </c>
      <c r="H296" s="13" t="n">
        <f aca="false">IFERROR(IF(AND(B296&lt;=Eingaben!$B$11,Szenarien!$H$16="OK"),1/(1+Eingaben!$B$39+Szenarien!$G$16)^B296,0),0)</f>
        <v>0</v>
      </c>
      <c r="I296" s="13" t="n">
        <f aca="false">G296*H296</f>
        <v>0</v>
      </c>
      <c r="J296" s="13" t="n">
        <f aca="false">(D296+E296-F296)*H296</f>
        <v>0</v>
      </c>
      <c r="K296" s="13" t="n">
        <f aca="false">IF(AND(B296&lt;=Eingaben!$B$11,Szenarien!$H$16="OK"),SUM(Variantenbilanz!K1835:K2200)*H296,0)</f>
        <v>0</v>
      </c>
    </row>
    <row r="297" customFormat="false" ht="16.4" hidden="false" customHeight="false" outlineLevel="0" collapsed="false">
      <c r="A297" s="12"/>
      <c r="B297" s="15" t="n">
        <v>37</v>
      </c>
      <c r="C297" s="13" t="n">
        <f aca="false">IFERROR(IF(AND(B297&lt;=Eingaben!$B$11,Szenarien!$H$16="OK"),SUM(Variantenbilanz!K1835:K2200)*(Eingaben!$B$36*Szenarien!$C$16*(1+Eingaben!$B$40)^(B297-1)+Eingaben!$B$37*Eingaben!$B$38*(1+Eingaben!$B$46)^(B297-1)),0),0)</f>
        <v>0</v>
      </c>
      <c r="D297" s="13" t="n">
        <f aca="false">IFERROR(IF(AND(B297&lt;=Eingaben!$B$11,Szenarien!$H$16="OK"),((Eingaben!$B$32+Eingaben!$B$35)*(1+Eingaben!$B$41)^(B297-1)+SUM(Variantenbilanz!E1835:E2200)*Eingaben!$B$33*Eingaben!$B$34*(1+Eingaben!$B$42)^(B297-1))*Szenarien!$F$16,0),0)</f>
        <v>0</v>
      </c>
      <c r="E297" s="13" t="n">
        <f aca="false">IFERROR(IF(AND(AND(B297&lt;=Eingaben!$B$11,Szenarien!$H$16="OK"),B297=Eingaben!$B$43),Eingaben!$B$44*Szenarien!$B$16*(1+Eingaben!$B$41)^(B297-1),0),0)</f>
        <v>0</v>
      </c>
      <c r="F297" s="13" t="n">
        <f aca="false">IFERROR(IF(AND(AND(B297&lt;=Eingaben!$B$11,Szenarien!$H$16="OK"),B297=Eingaben!$B$11),Eingaben!$B$45*Szenarien!$B$16,0),0)</f>
        <v>0</v>
      </c>
      <c r="G297" s="13" t="n">
        <f aca="false">C297-D297-E297+F297</f>
        <v>0</v>
      </c>
      <c r="H297" s="13" t="n">
        <f aca="false">IFERROR(IF(AND(B297&lt;=Eingaben!$B$11,Szenarien!$H$16="OK"),1/(1+Eingaben!$B$39+Szenarien!$G$16)^B297,0),0)</f>
        <v>0</v>
      </c>
      <c r="I297" s="13" t="n">
        <f aca="false">G297*H297</f>
        <v>0</v>
      </c>
      <c r="J297" s="13" t="n">
        <f aca="false">(D297+E297-F297)*H297</f>
        <v>0</v>
      </c>
      <c r="K297" s="13" t="n">
        <f aca="false">IF(AND(B297&lt;=Eingaben!$B$11,Szenarien!$H$16="OK"),SUM(Variantenbilanz!K1835:K2200)*H297,0)</f>
        <v>0</v>
      </c>
    </row>
    <row r="298" customFormat="false" ht="16.4" hidden="false" customHeight="false" outlineLevel="0" collapsed="false">
      <c r="A298" s="12"/>
      <c r="B298" s="15" t="n">
        <v>38</v>
      </c>
      <c r="C298" s="13" t="n">
        <f aca="false">IFERROR(IF(AND(B298&lt;=Eingaben!$B$11,Szenarien!$H$16="OK"),SUM(Variantenbilanz!K1835:K2200)*(Eingaben!$B$36*Szenarien!$C$16*(1+Eingaben!$B$40)^(B298-1)+Eingaben!$B$37*Eingaben!$B$38*(1+Eingaben!$B$46)^(B298-1)),0),0)</f>
        <v>0</v>
      </c>
      <c r="D298" s="13" t="n">
        <f aca="false">IFERROR(IF(AND(B298&lt;=Eingaben!$B$11,Szenarien!$H$16="OK"),((Eingaben!$B$32+Eingaben!$B$35)*(1+Eingaben!$B$41)^(B298-1)+SUM(Variantenbilanz!E1835:E2200)*Eingaben!$B$33*Eingaben!$B$34*(1+Eingaben!$B$42)^(B298-1))*Szenarien!$F$16,0),0)</f>
        <v>0</v>
      </c>
      <c r="E298" s="13" t="n">
        <f aca="false">IFERROR(IF(AND(AND(B298&lt;=Eingaben!$B$11,Szenarien!$H$16="OK"),B298=Eingaben!$B$43),Eingaben!$B$44*Szenarien!$B$16*(1+Eingaben!$B$41)^(B298-1),0),0)</f>
        <v>0</v>
      </c>
      <c r="F298" s="13" t="n">
        <f aca="false">IFERROR(IF(AND(AND(B298&lt;=Eingaben!$B$11,Szenarien!$H$16="OK"),B298=Eingaben!$B$11),Eingaben!$B$45*Szenarien!$B$16,0),0)</f>
        <v>0</v>
      </c>
      <c r="G298" s="13" t="n">
        <f aca="false">C298-D298-E298+F298</f>
        <v>0</v>
      </c>
      <c r="H298" s="13" t="n">
        <f aca="false">IFERROR(IF(AND(B298&lt;=Eingaben!$B$11,Szenarien!$H$16="OK"),1/(1+Eingaben!$B$39+Szenarien!$G$16)^B298,0),0)</f>
        <v>0</v>
      </c>
      <c r="I298" s="13" t="n">
        <f aca="false">G298*H298</f>
        <v>0</v>
      </c>
      <c r="J298" s="13" t="n">
        <f aca="false">(D298+E298-F298)*H298</f>
        <v>0</v>
      </c>
      <c r="K298" s="13" t="n">
        <f aca="false">IF(AND(B298&lt;=Eingaben!$B$11,Szenarien!$H$16="OK"),SUM(Variantenbilanz!K1835:K2200)*H298,0)</f>
        <v>0</v>
      </c>
    </row>
    <row r="299" customFormat="false" ht="16.4" hidden="false" customHeight="false" outlineLevel="0" collapsed="false">
      <c r="A299" s="12"/>
      <c r="B299" s="15" t="n">
        <v>39</v>
      </c>
      <c r="C299" s="13" t="n">
        <f aca="false">IFERROR(IF(AND(B299&lt;=Eingaben!$B$11,Szenarien!$H$16="OK"),SUM(Variantenbilanz!K1835:K2200)*(Eingaben!$B$36*Szenarien!$C$16*(1+Eingaben!$B$40)^(B299-1)+Eingaben!$B$37*Eingaben!$B$38*(1+Eingaben!$B$46)^(B299-1)),0),0)</f>
        <v>0</v>
      </c>
      <c r="D299" s="13" t="n">
        <f aca="false">IFERROR(IF(AND(B299&lt;=Eingaben!$B$11,Szenarien!$H$16="OK"),((Eingaben!$B$32+Eingaben!$B$35)*(1+Eingaben!$B$41)^(B299-1)+SUM(Variantenbilanz!E1835:E2200)*Eingaben!$B$33*Eingaben!$B$34*(1+Eingaben!$B$42)^(B299-1))*Szenarien!$F$16,0),0)</f>
        <v>0</v>
      </c>
      <c r="E299" s="13" t="n">
        <f aca="false">IFERROR(IF(AND(AND(B299&lt;=Eingaben!$B$11,Szenarien!$H$16="OK"),B299=Eingaben!$B$43),Eingaben!$B$44*Szenarien!$B$16*(1+Eingaben!$B$41)^(B299-1),0),0)</f>
        <v>0</v>
      </c>
      <c r="F299" s="13" t="n">
        <f aca="false">IFERROR(IF(AND(AND(B299&lt;=Eingaben!$B$11,Szenarien!$H$16="OK"),B299=Eingaben!$B$11),Eingaben!$B$45*Szenarien!$B$16,0),0)</f>
        <v>0</v>
      </c>
      <c r="G299" s="13" t="n">
        <f aca="false">C299-D299-E299+F299</f>
        <v>0</v>
      </c>
      <c r="H299" s="13" t="n">
        <f aca="false">IFERROR(IF(AND(B299&lt;=Eingaben!$B$11,Szenarien!$H$16="OK"),1/(1+Eingaben!$B$39+Szenarien!$G$16)^B299,0),0)</f>
        <v>0</v>
      </c>
      <c r="I299" s="13" t="n">
        <f aca="false">G299*H299</f>
        <v>0</v>
      </c>
      <c r="J299" s="13" t="n">
        <f aca="false">(D299+E299-F299)*H299</f>
        <v>0</v>
      </c>
      <c r="K299" s="13" t="n">
        <f aca="false">IF(AND(B299&lt;=Eingaben!$B$11,Szenarien!$H$16="OK"),SUM(Variantenbilanz!K1835:K2200)*H299,0)</f>
        <v>0</v>
      </c>
    </row>
    <row r="300" customFormat="false" ht="16.4" hidden="false" customHeight="false" outlineLevel="0" collapsed="false">
      <c r="A300" s="12"/>
      <c r="B300" s="15" t="n">
        <v>40</v>
      </c>
      <c r="C300" s="13" t="n">
        <f aca="false">IFERROR(IF(AND(B300&lt;=Eingaben!$B$11,Szenarien!$H$16="OK"),SUM(Variantenbilanz!K1835:K2200)*(Eingaben!$B$36*Szenarien!$C$16*(1+Eingaben!$B$40)^(B300-1)+Eingaben!$B$37*Eingaben!$B$38*(1+Eingaben!$B$46)^(B300-1)),0),0)</f>
        <v>0</v>
      </c>
      <c r="D300" s="13" t="n">
        <f aca="false">IFERROR(IF(AND(B300&lt;=Eingaben!$B$11,Szenarien!$H$16="OK"),((Eingaben!$B$32+Eingaben!$B$35)*(1+Eingaben!$B$41)^(B300-1)+SUM(Variantenbilanz!E1835:E2200)*Eingaben!$B$33*Eingaben!$B$34*(1+Eingaben!$B$42)^(B300-1))*Szenarien!$F$16,0),0)</f>
        <v>0</v>
      </c>
      <c r="E300" s="13" t="n">
        <f aca="false">IFERROR(IF(AND(AND(B300&lt;=Eingaben!$B$11,Szenarien!$H$16="OK"),B300=Eingaben!$B$43),Eingaben!$B$44*Szenarien!$B$16*(1+Eingaben!$B$41)^(B300-1),0),0)</f>
        <v>0</v>
      </c>
      <c r="F300" s="13" t="n">
        <f aca="false">IFERROR(IF(AND(AND(B300&lt;=Eingaben!$B$11,Szenarien!$H$16="OK"),B300=Eingaben!$B$11),Eingaben!$B$45*Szenarien!$B$16,0),0)</f>
        <v>0</v>
      </c>
      <c r="G300" s="13" t="n">
        <f aca="false">C300-D300-E300+F300</f>
        <v>0</v>
      </c>
      <c r="H300" s="13" t="n">
        <f aca="false">IFERROR(IF(AND(B300&lt;=Eingaben!$B$11,Szenarien!$H$16="OK"),1/(1+Eingaben!$B$39+Szenarien!$G$16)^B300,0),0)</f>
        <v>0</v>
      </c>
      <c r="I300" s="13" t="n">
        <f aca="false">G300*H300</f>
        <v>0</v>
      </c>
      <c r="J300" s="13" t="n">
        <f aca="false">(D300+E300-F300)*H300</f>
        <v>0</v>
      </c>
      <c r="K300" s="13" t="n">
        <f aca="false">IF(AND(B300&lt;=Eingaben!$B$11,Szenarien!$H$16="OK"),SUM(Variantenbilanz!K1835:K2200)*H300,0)</f>
        <v>0</v>
      </c>
    </row>
    <row r="301" customFormat="false" ht="16.4" hidden="false" customHeight="false" outlineLevel="0" collapsed="false">
      <c r="A301" s="12"/>
      <c r="B301" s="15" t="n">
        <v>41</v>
      </c>
      <c r="C301" s="13" t="n">
        <f aca="false">IFERROR(IF(AND(B301&lt;=Eingaben!$B$11,Szenarien!$H$16="OK"),SUM(Variantenbilanz!K1835:K2200)*(Eingaben!$B$36*Szenarien!$C$16*(1+Eingaben!$B$40)^(B301-1)+Eingaben!$B$37*Eingaben!$B$38*(1+Eingaben!$B$46)^(B301-1)),0),0)</f>
        <v>0</v>
      </c>
      <c r="D301" s="13" t="n">
        <f aca="false">IFERROR(IF(AND(B301&lt;=Eingaben!$B$11,Szenarien!$H$16="OK"),((Eingaben!$B$32+Eingaben!$B$35)*(1+Eingaben!$B$41)^(B301-1)+SUM(Variantenbilanz!E1835:E2200)*Eingaben!$B$33*Eingaben!$B$34*(1+Eingaben!$B$42)^(B301-1))*Szenarien!$F$16,0),0)</f>
        <v>0</v>
      </c>
      <c r="E301" s="13" t="n">
        <f aca="false">IFERROR(IF(AND(AND(B301&lt;=Eingaben!$B$11,Szenarien!$H$16="OK"),B301=Eingaben!$B$43),Eingaben!$B$44*Szenarien!$B$16*(1+Eingaben!$B$41)^(B301-1),0),0)</f>
        <v>0</v>
      </c>
      <c r="F301" s="13" t="n">
        <f aca="false">IFERROR(IF(AND(AND(B301&lt;=Eingaben!$B$11,Szenarien!$H$16="OK"),B301=Eingaben!$B$11),Eingaben!$B$45*Szenarien!$B$16,0),0)</f>
        <v>0</v>
      </c>
      <c r="G301" s="13" t="n">
        <f aca="false">C301-D301-E301+F301</f>
        <v>0</v>
      </c>
      <c r="H301" s="13" t="n">
        <f aca="false">IFERROR(IF(AND(B301&lt;=Eingaben!$B$11,Szenarien!$H$16="OK"),1/(1+Eingaben!$B$39+Szenarien!$G$16)^B301,0),0)</f>
        <v>0</v>
      </c>
      <c r="I301" s="13" t="n">
        <f aca="false">G301*H301</f>
        <v>0</v>
      </c>
      <c r="J301" s="13" t="n">
        <f aca="false">(D301+E301-F301)*H301</f>
        <v>0</v>
      </c>
      <c r="K301" s="13" t="n">
        <f aca="false">IF(AND(B301&lt;=Eingaben!$B$11,Szenarien!$H$16="OK"),SUM(Variantenbilanz!K1835:K2200)*H301,0)</f>
        <v>0</v>
      </c>
    </row>
    <row r="302" customFormat="false" ht="16.4" hidden="false" customHeight="false" outlineLevel="0" collapsed="false">
      <c r="A302" s="12"/>
      <c r="B302" s="15" t="n">
        <v>42</v>
      </c>
      <c r="C302" s="13" t="n">
        <f aca="false">IFERROR(IF(AND(B302&lt;=Eingaben!$B$11,Szenarien!$H$16="OK"),SUM(Variantenbilanz!K1835:K2200)*(Eingaben!$B$36*Szenarien!$C$16*(1+Eingaben!$B$40)^(B302-1)+Eingaben!$B$37*Eingaben!$B$38*(1+Eingaben!$B$46)^(B302-1)),0),0)</f>
        <v>0</v>
      </c>
      <c r="D302" s="13" t="n">
        <f aca="false">IFERROR(IF(AND(B302&lt;=Eingaben!$B$11,Szenarien!$H$16="OK"),((Eingaben!$B$32+Eingaben!$B$35)*(1+Eingaben!$B$41)^(B302-1)+SUM(Variantenbilanz!E1835:E2200)*Eingaben!$B$33*Eingaben!$B$34*(1+Eingaben!$B$42)^(B302-1))*Szenarien!$F$16,0),0)</f>
        <v>0</v>
      </c>
      <c r="E302" s="13" t="n">
        <f aca="false">IFERROR(IF(AND(AND(B302&lt;=Eingaben!$B$11,Szenarien!$H$16="OK"),B302=Eingaben!$B$43),Eingaben!$B$44*Szenarien!$B$16*(1+Eingaben!$B$41)^(B302-1),0),0)</f>
        <v>0</v>
      </c>
      <c r="F302" s="13" t="n">
        <f aca="false">IFERROR(IF(AND(AND(B302&lt;=Eingaben!$B$11,Szenarien!$H$16="OK"),B302=Eingaben!$B$11),Eingaben!$B$45*Szenarien!$B$16,0),0)</f>
        <v>0</v>
      </c>
      <c r="G302" s="13" t="n">
        <f aca="false">C302-D302-E302+F302</f>
        <v>0</v>
      </c>
      <c r="H302" s="13" t="n">
        <f aca="false">IFERROR(IF(AND(B302&lt;=Eingaben!$B$11,Szenarien!$H$16="OK"),1/(1+Eingaben!$B$39+Szenarien!$G$16)^B302,0),0)</f>
        <v>0</v>
      </c>
      <c r="I302" s="13" t="n">
        <f aca="false">G302*H302</f>
        <v>0</v>
      </c>
      <c r="J302" s="13" t="n">
        <f aca="false">(D302+E302-F302)*H302</f>
        <v>0</v>
      </c>
      <c r="K302" s="13" t="n">
        <f aca="false">IF(AND(B302&lt;=Eingaben!$B$11,Szenarien!$H$16="OK"),SUM(Variantenbilanz!K1835:K2200)*H302,0)</f>
        <v>0</v>
      </c>
    </row>
    <row r="303" customFormat="false" ht="16.4" hidden="false" customHeight="false" outlineLevel="0" collapsed="false">
      <c r="A303" s="12"/>
      <c r="B303" s="15" t="n">
        <v>43</v>
      </c>
      <c r="C303" s="13" t="n">
        <f aca="false">IFERROR(IF(AND(B303&lt;=Eingaben!$B$11,Szenarien!$H$16="OK"),SUM(Variantenbilanz!K1835:K2200)*(Eingaben!$B$36*Szenarien!$C$16*(1+Eingaben!$B$40)^(B303-1)+Eingaben!$B$37*Eingaben!$B$38*(1+Eingaben!$B$46)^(B303-1)),0),0)</f>
        <v>0</v>
      </c>
      <c r="D303" s="13" t="n">
        <f aca="false">IFERROR(IF(AND(B303&lt;=Eingaben!$B$11,Szenarien!$H$16="OK"),((Eingaben!$B$32+Eingaben!$B$35)*(1+Eingaben!$B$41)^(B303-1)+SUM(Variantenbilanz!E1835:E2200)*Eingaben!$B$33*Eingaben!$B$34*(1+Eingaben!$B$42)^(B303-1))*Szenarien!$F$16,0),0)</f>
        <v>0</v>
      </c>
      <c r="E303" s="13" t="n">
        <f aca="false">IFERROR(IF(AND(AND(B303&lt;=Eingaben!$B$11,Szenarien!$H$16="OK"),B303=Eingaben!$B$43),Eingaben!$B$44*Szenarien!$B$16*(1+Eingaben!$B$41)^(B303-1),0),0)</f>
        <v>0</v>
      </c>
      <c r="F303" s="13" t="n">
        <f aca="false">IFERROR(IF(AND(AND(B303&lt;=Eingaben!$B$11,Szenarien!$H$16="OK"),B303=Eingaben!$B$11),Eingaben!$B$45*Szenarien!$B$16,0),0)</f>
        <v>0</v>
      </c>
      <c r="G303" s="13" t="n">
        <f aca="false">C303-D303-E303+F303</f>
        <v>0</v>
      </c>
      <c r="H303" s="13" t="n">
        <f aca="false">IFERROR(IF(AND(B303&lt;=Eingaben!$B$11,Szenarien!$H$16="OK"),1/(1+Eingaben!$B$39+Szenarien!$G$16)^B303,0),0)</f>
        <v>0</v>
      </c>
      <c r="I303" s="13" t="n">
        <f aca="false">G303*H303</f>
        <v>0</v>
      </c>
      <c r="J303" s="13" t="n">
        <f aca="false">(D303+E303-F303)*H303</f>
        <v>0</v>
      </c>
      <c r="K303" s="13" t="n">
        <f aca="false">IF(AND(B303&lt;=Eingaben!$B$11,Szenarien!$H$16="OK"),SUM(Variantenbilanz!K1835:K2200)*H303,0)</f>
        <v>0</v>
      </c>
    </row>
    <row r="304" customFormat="false" ht="16.4" hidden="false" customHeight="false" outlineLevel="0" collapsed="false">
      <c r="A304" s="12"/>
      <c r="B304" s="15" t="n">
        <v>44</v>
      </c>
      <c r="C304" s="13" t="n">
        <f aca="false">IFERROR(IF(AND(B304&lt;=Eingaben!$B$11,Szenarien!$H$16="OK"),SUM(Variantenbilanz!K1835:K2200)*(Eingaben!$B$36*Szenarien!$C$16*(1+Eingaben!$B$40)^(B304-1)+Eingaben!$B$37*Eingaben!$B$38*(1+Eingaben!$B$46)^(B304-1)),0),0)</f>
        <v>0</v>
      </c>
      <c r="D304" s="13" t="n">
        <f aca="false">IFERROR(IF(AND(B304&lt;=Eingaben!$B$11,Szenarien!$H$16="OK"),((Eingaben!$B$32+Eingaben!$B$35)*(1+Eingaben!$B$41)^(B304-1)+SUM(Variantenbilanz!E1835:E2200)*Eingaben!$B$33*Eingaben!$B$34*(1+Eingaben!$B$42)^(B304-1))*Szenarien!$F$16,0),0)</f>
        <v>0</v>
      </c>
      <c r="E304" s="13" t="n">
        <f aca="false">IFERROR(IF(AND(AND(B304&lt;=Eingaben!$B$11,Szenarien!$H$16="OK"),B304=Eingaben!$B$43),Eingaben!$B$44*Szenarien!$B$16*(1+Eingaben!$B$41)^(B304-1),0),0)</f>
        <v>0</v>
      </c>
      <c r="F304" s="13" t="n">
        <f aca="false">IFERROR(IF(AND(AND(B304&lt;=Eingaben!$B$11,Szenarien!$H$16="OK"),B304=Eingaben!$B$11),Eingaben!$B$45*Szenarien!$B$16,0),0)</f>
        <v>0</v>
      </c>
      <c r="G304" s="13" t="n">
        <f aca="false">C304-D304-E304+F304</f>
        <v>0</v>
      </c>
      <c r="H304" s="13" t="n">
        <f aca="false">IFERROR(IF(AND(B304&lt;=Eingaben!$B$11,Szenarien!$H$16="OK"),1/(1+Eingaben!$B$39+Szenarien!$G$16)^B304,0),0)</f>
        <v>0</v>
      </c>
      <c r="I304" s="13" t="n">
        <f aca="false">G304*H304</f>
        <v>0</v>
      </c>
      <c r="J304" s="13" t="n">
        <f aca="false">(D304+E304-F304)*H304</f>
        <v>0</v>
      </c>
      <c r="K304" s="13" t="n">
        <f aca="false">IF(AND(B304&lt;=Eingaben!$B$11,Szenarien!$H$16="OK"),SUM(Variantenbilanz!K1835:K2200)*H304,0)</f>
        <v>0</v>
      </c>
    </row>
    <row r="305" customFormat="false" ht="16.4" hidden="false" customHeight="false" outlineLevel="0" collapsed="false">
      <c r="A305" s="12"/>
      <c r="B305" s="15" t="n">
        <v>45</v>
      </c>
      <c r="C305" s="13" t="n">
        <f aca="false">IFERROR(IF(AND(B305&lt;=Eingaben!$B$11,Szenarien!$H$16="OK"),SUM(Variantenbilanz!K1835:K2200)*(Eingaben!$B$36*Szenarien!$C$16*(1+Eingaben!$B$40)^(B305-1)+Eingaben!$B$37*Eingaben!$B$38*(1+Eingaben!$B$46)^(B305-1)),0),0)</f>
        <v>0</v>
      </c>
      <c r="D305" s="13" t="n">
        <f aca="false">IFERROR(IF(AND(B305&lt;=Eingaben!$B$11,Szenarien!$H$16="OK"),((Eingaben!$B$32+Eingaben!$B$35)*(1+Eingaben!$B$41)^(B305-1)+SUM(Variantenbilanz!E1835:E2200)*Eingaben!$B$33*Eingaben!$B$34*(1+Eingaben!$B$42)^(B305-1))*Szenarien!$F$16,0),0)</f>
        <v>0</v>
      </c>
      <c r="E305" s="13" t="n">
        <f aca="false">IFERROR(IF(AND(AND(B305&lt;=Eingaben!$B$11,Szenarien!$H$16="OK"),B305=Eingaben!$B$43),Eingaben!$B$44*Szenarien!$B$16*(1+Eingaben!$B$41)^(B305-1),0),0)</f>
        <v>0</v>
      </c>
      <c r="F305" s="13" t="n">
        <f aca="false">IFERROR(IF(AND(AND(B305&lt;=Eingaben!$B$11,Szenarien!$H$16="OK"),B305=Eingaben!$B$11),Eingaben!$B$45*Szenarien!$B$16,0),0)</f>
        <v>0</v>
      </c>
      <c r="G305" s="13" t="n">
        <f aca="false">C305-D305-E305+F305</f>
        <v>0</v>
      </c>
      <c r="H305" s="13" t="n">
        <f aca="false">IFERROR(IF(AND(B305&lt;=Eingaben!$B$11,Szenarien!$H$16="OK"),1/(1+Eingaben!$B$39+Szenarien!$G$16)^B305,0),0)</f>
        <v>0</v>
      </c>
      <c r="I305" s="13" t="n">
        <f aca="false">G305*H305</f>
        <v>0</v>
      </c>
      <c r="J305" s="13" t="n">
        <f aca="false">(D305+E305-F305)*H305</f>
        <v>0</v>
      </c>
      <c r="K305" s="13" t="n">
        <f aca="false">IF(AND(B305&lt;=Eingaben!$B$11,Szenarien!$H$16="OK"),SUM(Variantenbilanz!K1835:K2200)*H305,0)</f>
        <v>0</v>
      </c>
    </row>
    <row r="306" customFormat="false" ht="16.4" hidden="false" customHeight="false" outlineLevel="0" collapsed="false">
      <c r="A306" s="12"/>
      <c r="B306" s="15" t="n">
        <v>46</v>
      </c>
      <c r="C306" s="13" t="n">
        <f aca="false">IFERROR(IF(AND(B306&lt;=Eingaben!$B$11,Szenarien!$H$16="OK"),SUM(Variantenbilanz!K1835:K2200)*(Eingaben!$B$36*Szenarien!$C$16*(1+Eingaben!$B$40)^(B306-1)+Eingaben!$B$37*Eingaben!$B$38*(1+Eingaben!$B$46)^(B306-1)),0),0)</f>
        <v>0</v>
      </c>
      <c r="D306" s="13" t="n">
        <f aca="false">IFERROR(IF(AND(B306&lt;=Eingaben!$B$11,Szenarien!$H$16="OK"),((Eingaben!$B$32+Eingaben!$B$35)*(1+Eingaben!$B$41)^(B306-1)+SUM(Variantenbilanz!E1835:E2200)*Eingaben!$B$33*Eingaben!$B$34*(1+Eingaben!$B$42)^(B306-1))*Szenarien!$F$16,0),0)</f>
        <v>0</v>
      </c>
      <c r="E306" s="13" t="n">
        <f aca="false">IFERROR(IF(AND(AND(B306&lt;=Eingaben!$B$11,Szenarien!$H$16="OK"),B306=Eingaben!$B$43),Eingaben!$B$44*Szenarien!$B$16*(1+Eingaben!$B$41)^(B306-1),0),0)</f>
        <v>0</v>
      </c>
      <c r="F306" s="13" t="n">
        <f aca="false">IFERROR(IF(AND(AND(B306&lt;=Eingaben!$B$11,Szenarien!$H$16="OK"),B306=Eingaben!$B$11),Eingaben!$B$45*Szenarien!$B$16,0),0)</f>
        <v>0</v>
      </c>
      <c r="G306" s="13" t="n">
        <f aca="false">C306-D306-E306+F306</f>
        <v>0</v>
      </c>
      <c r="H306" s="13" t="n">
        <f aca="false">IFERROR(IF(AND(B306&lt;=Eingaben!$B$11,Szenarien!$H$16="OK"),1/(1+Eingaben!$B$39+Szenarien!$G$16)^B306,0),0)</f>
        <v>0</v>
      </c>
      <c r="I306" s="13" t="n">
        <f aca="false">G306*H306</f>
        <v>0</v>
      </c>
      <c r="J306" s="13" t="n">
        <f aca="false">(D306+E306-F306)*H306</f>
        <v>0</v>
      </c>
      <c r="K306" s="13" t="n">
        <f aca="false">IF(AND(B306&lt;=Eingaben!$B$11,Szenarien!$H$16="OK"),SUM(Variantenbilanz!K1835:K2200)*H306,0)</f>
        <v>0</v>
      </c>
    </row>
    <row r="307" customFormat="false" ht="16.4" hidden="false" customHeight="false" outlineLevel="0" collapsed="false">
      <c r="A307" s="12"/>
      <c r="B307" s="15" t="n">
        <v>47</v>
      </c>
      <c r="C307" s="13" t="n">
        <f aca="false">IFERROR(IF(AND(B307&lt;=Eingaben!$B$11,Szenarien!$H$16="OK"),SUM(Variantenbilanz!K1835:K2200)*(Eingaben!$B$36*Szenarien!$C$16*(1+Eingaben!$B$40)^(B307-1)+Eingaben!$B$37*Eingaben!$B$38*(1+Eingaben!$B$46)^(B307-1)),0),0)</f>
        <v>0</v>
      </c>
      <c r="D307" s="13" t="n">
        <f aca="false">IFERROR(IF(AND(B307&lt;=Eingaben!$B$11,Szenarien!$H$16="OK"),((Eingaben!$B$32+Eingaben!$B$35)*(1+Eingaben!$B$41)^(B307-1)+SUM(Variantenbilanz!E1835:E2200)*Eingaben!$B$33*Eingaben!$B$34*(1+Eingaben!$B$42)^(B307-1))*Szenarien!$F$16,0),0)</f>
        <v>0</v>
      </c>
      <c r="E307" s="13" t="n">
        <f aca="false">IFERROR(IF(AND(AND(B307&lt;=Eingaben!$B$11,Szenarien!$H$16="OK"),B307=Eingaben!$B$43),Eingaben!$B$44*Szenarien!$B$16*(1+Eingaben!$B$41)^(B307-1),0),0)</f>
        <v>0</v>
      </c>
      <c r="F307" s="13" t="n">
        <f aca="false">IFERROR(IF(AND(AND(B307&lt;=Eingaben!$B$11,Szenarien!$H$16="OK"),B307=Eingaben!$B$11),Eingaben!$B$45*Szenarien!$B$16,0),0)</f>
        <v>0</v>
      </c>
      <c r="G307" s="13" t="n">
        <f aca="false">C307-D307-E307+F307</f>
        <v>0</v>
      </c>
      <c r="H307" s="13" t="n">
        <f aca="false">IFERROR(IF(AND(B307&lt;=Eingaben!$B$11,Szenarien!$H$16="OK"),1/(1+Eingaben!$B$39+Szenarien!$G$16)^B307,0),0)</f>
        <v>0</v>
      </c>
      <c r="I307" s="13" t="n">
        <f aca="false">G307*H307</f>
        <v>0</v>
      </c>
      <c r="J307" s="13" t="n">
        <f aca="false">(D307+E307-F307)*H307</f>
        <v>0</v>
      </c>
      <c r="K307" s="13" t="n">
        <f aca="false">IF(AND(B307&lt;=Eingaben!$B$11,Szenarien!$H$16="OK"),SUM(Variantenbilanz!K1835:K2200)*H307,0)</f>
        <v>0</v>
      </c>
    </row>
    <row r="308" customFormat="false" ht="16.4" hidden="false" customHeight="false" outlineLevel="0" collapsed="false">
      <c r="A308" s="12"/>
      <c r="B308" s="15" t="n">
        <v>48</v>
      </c>
      <c r="C308" s="13" t="n">
        <f aca="false">IFERROR(IF(AND(B308&lt;=Eingaben!$B$11,Szenarien!$H$16="OK"),SUM(Variantenbilanz!K1835:K2200)*(Eingaben!$B$36*Szenarien!$C$16*(1+Eingaben!$B$40)^(B308-1)+Eingaben!$B$37*Eingaben!$B$38*(1+Eingaben!$B$46)^(B308-1)),0),0)</f>
        <v>0</v>
      </c>
      <c r="D308" s="13" t="n">
        <f aca="false">IFERROR(IF(AND(B308&lt;=Eingaben!$B$11,Szenarien!$H$16="OK"),((Eingaben!$B$32+Eingaben!$B$35)*(1+Eingaben!$B$41)^(B308-1)+SUM(Variantenbilanz!E1835:E2200)*Eingaben!$B$33*Eingaben!$B$34*(1+Eingaben!$B$42)^(B308-1))*Szenarien!$F$16,0),0)</f>
        <v>0</v>
      </c>
      <c r="E308" s="13" t="n">
        <f aca="false">IFERROR(IF(AND(AND(B308&lt;=Eingaben!$B$11,Szenarien!$H$16="OK"),B308=Eingaben!$B$43),Eingaben!$B$44*Szenarien!$B$16*(1+Eingaben!$B$41)^(B308-1),0),0)</f>
        <v>0</v>
      </c>
      <c r="F308" s="13" t="n">
        <f aca="false">IFERROR(IF(AND(AND(B308&lt;=Eingaben!$B$11,Szenarien!$H$16="OK"),B308=Eingaben!$B$11),Eingaben!$B$45*Szenarien!$B$16,0),0)</f>
        <v>0</v>
      </c>
      <c r="G308" s="13" t="n">
        <f aca="false">C308-D308-E308+F308</f>
        <v>0</v>
      </c>
      <c r="H308" s="13" t="n">
        <f aca="false">IFERROR(IF(AND(B308&lt;=Eingaben!$B$11,Szenarien!$H$16="OK"),1/(1+Eingaben!$B$39+Szenarien!$G$16)^B308,0),0)</f>
        <v>0</v>
      </c>
      <c r="I308" s="13" t="n">
        <f aca="false">G308*H308</f>
        <v>0</v>
      </c>
      <c r="J308" s="13" t="n">
        <f aca="false">(D308+E308-F308)*H308</f>
        <v>0</v>
      </c>
      <c r="K308" s="13" t="n">
        <f aca="false">IF(AND(B308&lt;=Eingaben!$B$11,Szenarien!$H$16="OK"),SUM(Variantenbilanz!K1835:K2200)*H308,0)</f>
        <v>0</v>
      </c>
    </row>
    <row r="309" customFormat="false" ht="16.4" hidden="false" customHeight="false" outlineLevel="0" collapsed="false">
      <c r="A309" s="12"/>
      <c r="B309" s="15" t="n">
        <v>49</v>
      </c>
      <c r="C309" s="13" t="n">
        <f aca="false">IFERROR(IF(AND(B309&lt;=Eingaben!$B$11,Szenarien!$H$16="OK"),SUM(Variantenbilanz!K1835:K2200)*(Eingaben!$B$36*Szenarien!$C$16*(1+Eingaben!$B$40)^(B309-1)+Eingaben!$B$37*Eingaben!$B$38*(1+Eingaben!$B$46)^(B309-1)),0),0)</f>
        <v>0</v>
      </c>
      <c r="D309" s="13" t="n">
        <f aca="false">IFERROR(IF(AND(B309&lt;=Eingaben!$B$11,Szenarien!$H$16="OK"),((Eingaben!$B$32+Eingaben!$B$35)*(1+Eingaben!$B$41)^(B309-1)+SUM(Variantenbilanz!E1835:E2200)*Eingaben!$B$33*Eingaben!$B$34*(1+Eingaben!$B$42)^(B309-1))*Szenarien!$F$16,0),0)</f>
        <v>0</v>
      </c>
      <c r="E309" s="13" t="n">
        <f aca="false">IFERROR(IF(AND(AND(B309&lt;=Eingaben!$B$11,Szenarien!$H$16="OK"),B309=Eingaben!$B$43),Eingaben!$B$44*Szenarien!$B$16*(1+Eingaben!$B$41)^(B309-1),0),0)</f>
        <v>0</v>
      </c>
      <c r="F309" s="13" t="n">
        <f aca="false">IFERROR(IF(AND(AND(B309&lt;=Eingaben!$B$11,Szenarien!$H$16="OK"),B309=Eingaben!$B$11),Eingaben!$B$45*Szenarien!$B$16,0),0)</f>
        <v>0</v>
      </c>
      <c r="G309" s="13" t="n">
        <f aca="false">C309-D309-E309+F309</f>
        <v>0</v>
      </c>
      <c r="H309" s="13" t="n">
        <f aca="false">IFERROR(IF(AND(B309&lt;=Eingaben!$B$11,Szenarien!$H$16="OK"),1/(1+Eingaben!$B$39+Szenarien!$G$16)^B309,0),0)</f>
        <v>0</v>
      </c>
      <c r="I309" s="13" t="n">
        <f aca="false">G309*H309</f>
        <v>0</v>
      </c>
      <c r="J309" s="13" t="n">
        <f aca="false">(D309+E309-F309)*H309</f>
        <v>0</v>
      </c>
      <c r="K309" s="13" t="n">
        <f aca="false">IF(AND(B309&lt;=Eingaben!$B$11,Szenarien!$H$16="OK"),SUM(Variantenbilanz!K1835:K2200)*H309,0)</f>
        <v>0</v>
      </c>
    </row>
    <row r="310" customFormat="false" ht="16.4" hidden="false" customHeight="false" outlineLevel="0" collapsed="false">
      <c r="A310" s="12"/>
      <c r="B310" s="15" t="n">
        <v>50</v>
      </c>
      <c r="C310" s="13" t="n">
        <f aca="false">IFERROR(IF(AND(B310&lt;=Eingaben!$B$11,Szenarien!$H$16="OK"),SUM(Variantenbilanz!K1835:K2200)*(Eingaben!$B$36*Szenarien!$C$16*(1+Eingaben!$B$40)^(B310-1)+Eingaben!$B$37*Eingaben!$B$38*(1+Eingaben!$B$46)^(B310-1)),0),0)</f>
        <v>0</v>
      </c>
      <c r="D310" s="13" t="n">
        <f aca="false">IFERROR(IF(AND(B310&lt;=Eingaben!$B$11,Szenarien!$H$16="OK"),((Eingaben!$B$32+Eingaben!$B$35)*(1+Eingaben!$B$41)^(B310-1)+SUM(Variantenbilanz!E1835:E2200)*Eingaben!$B$33*Eingaben!$B$34*(1+Eingaben!$B$42)^(B310-1))*Szenarien!$F$16,0),0)</f>
        <v>0</v>
      </c>
      <c r="E310" s="13" t="n">
        <f aca="false">IFERROR(IF(AND(AND(B310&lt;=Eingaben!$B$11,Szenarien!$H$16="OK"),B310=Eingaben!$B$43),Eingaben!$B$44*Szenarien!$B$16*(1+Eingaben!$B$41)^(B310-1),0),0)</f>
        <v>0</v>
      </c>
      <c r="F310" s="13" t="n">
        <f aca="false">IFERROR(IF(AND(AND(B310&lt;=Eingaben!$B$11,Szenarien!$H$16="OK"),B310=Eingaben!$B$11),Eingaben!$B$45*Szenarien!$B$16,0),0)</f>
        <v>0</v>
      </c>
      <c r="G310" s="13" t="n">
        <f aca="false">C310-D310-E310+F310</f>
        <v>0</v>
      </c>
      <c r="H310" s="13" t="n">
        <f aca="false">IFERROR(IF(AND(B310&lt;=Eingaben!$B$11,Szenarien!$H$16="OK"),1/(1+Eingaben!$B$39+Szenarien!$G$16)^B310,0),0)</f>
        <v>0</v>
      </c>
      <c r="I310" s="13" t="n">
        <f aca="false">G310*H310</f>
        <v>0</v>
      </c>
      <c r="J310" s="13" t="n">
        <f aca="false">(D310+E310-F310)*H310</f>
        <v>0</v>
      </c>
      <c r="K310" s="13" t="n">
        <f aca="false">IF(AND(B310&lt;=Eingaben!$B$11,Szenarien!$H$16="OK"),SUM(Variantenbilanz!K1835:K2200)*H310,0)</f>
        <v>0</v>
      </c>
    </row>
    <row r="311" customFormat="false" ht="31.3" hidden="false" customHeight="false" outlineLevel="0" collapsed="false">
      <c r="A311" s="12" t="s">
        <v>333</v>
      </c>
      <c r="B311" s="15" t="n">
        <v>0</v>
      </c>
      <c r="C311" s="13" t="n">
        <f aca="false">0</f>
        <v>0</v>
      </c>
      <c r="D311" s="13" t="n">
        <f aca="false">0</f>
        <v>0</v>
      </c>
      <c r="E311" s="13" t="n">
        <f aca="false">MAX(0,Berechnung!$B$13*Szenarien!$B$17-MIN(Eingaben!$B$31,Berechnung!$B$13*Szenarien!$B$17))</f>
        <v>25000</v>
      </c>
      <c r="F311" s="13" t="n">
        <f aca="false">0</f>
        <v>0</v>
      </c>
      <c r="G311" s="13" t="n">
        <f aca="false">-E311</f>
        <v>-25000</v>
      </c>
      <c r="H311" s="13" t="n">
        <f aca="false">1</f>
        <v>1</v>
      </c>
      <c r="I311" s="13" t="n">
        <f aca="false">G311</f>
        <v>-25000</v>
      </c>
      <c r="J311" s="13" t="n">
        <f aca="false">E311</f>
        <v>25000</v>
      </c>
      <c r="K311" s="13" t="n">
        <f aca="false">0</f>
        <v>0</v>
      </c>
    </row>
    <row r="312" customFormat="false" ht="16.4" hidden="false" customHeight="false" outlineLevel="0" collapsed="false">
      <c r="A312" s="12"/>
      <c r="B312" s="15" t="n">
        <v>1</v>
      </c>
      <c r="C312" s="13" t="n">
        <f aca="false">IFERROR(IF(AND(B312&lt;=Eingaben!$B$11,Szenarien!$H$17="OK"),SUM(Variantenbilanz!K2201:K2566)*(Eingaben!$B$36*Szenarien!$C$17*(1+Eingaben!$B$40)^(B312-1)+Eingaben!$B$37*Eingaben!$B$38*(1+Eingaben!$B$46)^(B312-1)),0),0)</f>
        <v>1666.1692716</v>
      </c>
      <c r="D312" s="13" t="n">
        <f aca="false">IFERROR(IF(AND(B312&lt;=Eingaben!$B$11,Szenarien!$H$17="OK"),((Eingaben!$B$32+Eingaben!$B$35)*(1+Eingaben!$B$41)^(B312-1)+SUM(Variantenbilanz!E2201:E2566)*Eingaben!$B$33*Eingaben!$B$34*(1+Eingaben!$B$42)^(B312-1))*Szenarien!$F$17,0),0)</f>
        <v>781.527</v>
      </c>
      <c r="E312" s="13" t="n">
        <f aca="false">IFERROR(IF(AND(AND(B312&lt;=Eingaben!$B$11,Szenarien!$H$17="OK"),B312=Eingaben!$B$43),Eingaben!$B$44*Szenarien!$B$17*(1+Eingaben!$B$41)^(B312-1),0),0)</f>
        <v>0</v>
      </c>
      <c r="F312" s="13" t="n">
        <f aca="false">IFERROR(IF(AND(AND(B312&lt;=Eingaben!$B$11,Szenarien!$H$17="OK"),B312=Eingaben!$B$11),Eingaben!$B$45*Szenarien!$B$17,0),0)</f>
        <v>0</v>
      </c>
      <c r="G312" s="13" t="n">
        <f aca="false">C312-D312-E312+F312</f>
        <v>884.6422716</v>
      </c>
      <c r="H312" s="13" t="n">
        <f aca="false">IFERROR(IF(AND(B312&lt;=Eingaben!$B$11,Szenarien!$H$17="OK"),1/(1+Eingaben!$B$39+Szenarien!$G$17)^B312,0),0)</f>
        <v>0.970873786407767</v>
      </c>
      <c r="I312" s="13" t="n">
        <f aca="false">G312*H312</f>
        <v>858.87599184466</v>
      </c>
      <c r="J312" s="13" t="n">
        <f aca="false">(D312+E312-F312)*H312</f>
        <v>758.764077669903</v>
      </c>
      <c r="K312" s="13" t="n">
        <f aca="false">IF(AND(B312&lt;=Eingaben!$B$11,Szenarien!$H$17="OK"),SUM(Variantenbilanz!K2201:K2566)*H312,0)</f>
        <v>539.213356504854</v>
      </c>
    </row>
    <row r="313" customFormat="false" ht="16.4" hidden="false" customHeight="false" outlineLevel="0" collapsed="false">
      <c r="A313" s="12"/>
      <c r="B313" s="15" t="n">
        <v>2</v>
      </c>
      <c r="C313" s="13" t="n">
        <f aca="false">IFERROR(IF(AND(B313&lt;=Eingaben!$B$11,Szenarien!$H$17="OK"),SUM(Variantenbilanz!K2201:K2566)*(Eingaben!$B$36*Szenarien!$C$17*(1+Eingaben!$B$40)^(B313-1)+Eingaben!$B$37*Eingaben!$B$38*(1+Eingaben!$B$46)^(B313-1)),0),0)</f>
        <v>1699.492657032</v>
      </c>
      <c r="D313" s="13" t="n">
        <f aca="false">IFERROR(IF(AND(B313&lt;=Eingaben!$B$11,Szenarien!$H$17="OK"),((Eingaben!$B$32+Eingaben!$B$35)*(1+Eingaben!$B$41)^(B313-1)+SUM(Variantenbilanz!E2201:E2566)*Eingaben!$B$33*Eingaben!$B$34*(1+Eingaben!$B$42)^(B313-1))*Szenarien!$F$17,0),0)</f>
        <v>797.15754</v>
      </c>
      <c r="E313" s="13" t="n">
        <f aca="false">IFERROR(IF(AND(AND(B313&lt;=Eingaben!$B$11,Szenarien!$H$17="OK"),B313=Eingaben!$B$43),Eingaben!$B$44*Szenarien!$B$17*(1+Eingaben!$B$41)^(B313-1),0),0)</f>
        <v>0</v>
      </c>
      <c r="F313" s="13" t="n">
        <f aca="false">IFERROR(IF(AND(AND(B313&lt;=Eingaben!$B$11,Szenarien!$H$17="OK"),B313=Eingaben!$B$11),Eingaben!$B$45*Szenarien!$B$17,0),0)</f>
        <v>0</v>
      </c>
      <c r="G313" s="13" t="n">
        <f aca="false">C313-D313-E313+F313</f>
        <v>902.335117032</v>
      </c>
      <c r="H313" s="13" t="n">
        <f aca="false">IFERROR(IF(AND(B313&lt;=Eingaben!$B$11,Szenarien!$H$17="OK"),1/(1+Eingaben!$B$39+Szenarien!$G$17)^B313,0),0)</f>
        <v>0.942595909133754</v>
      </c>
      <c r="I313" s="13" t="n">
        <f aca="false">G313*H313</f>
        <v>850.537389982091</v>
      </c>
      <c r="J313" s="13" t="n">
        <f aca="false">(D313+E313-F313)*H313</f>
        <v>751.397436139127</v>
      </c>
      <c r="K313" s="13" t="n">
        <f aca="false">IF(AND(B313&lt;=Eingaben!$B$11,Szenarien!$H$17="OK"),SUM(Variantenbilanz!K2201:K2566)*H313,0)</f>
        <v>523.508113111509</v>
      </c>
    </row>
    <row r="314" customFormat="false" ht="16.4" hidden="false" customHeight="false" outlineLevel="0" collapsed="false">
      <c r="A314" s="12"/>
      <c r="B314" s="15" t="n">
        <v>3</v>
      </c>
      <c r="C314" s="13" t="n">
        <f aca="false">IFERROR(IF(AND(B314&lt;=Eingaben!$B$11,Szenarien!$H$17="OK"),SUM(Variantenbilanz!K2201:K2566)*(Eingaben!$B$36*Szenarien!$C$17*(1+Eingaben!$B$40)^(B314-1)+Eingaben!$B$37*Eingaben!$B$38*(1+Eingaben!$B$46)^(B314-1)),0),0)</f>
        <v>1733.48251017264</v>
      </c>
      <c r="D314" s="13" t="n">
        <f aca="false">IFERROR(IF(AND(B314&lt;=Eingaben!$B$11,Szenarien!$H$17="OK"),((Eingaben!$B$32+Eingaben!$B$35)*(1+Eingaben!$B$41)^(B314-1)+SUM(Variantenbilanz!E2201:E2566)*Eingaben!$B$33*Eingaben!$B$34*(1+Eingaben!$B$42)^(B314-1))*Szenarien!$F$17,0),0)</f>
        <v>813.1006908</v>
      </c>
      <c r="E314" s="13" t="n">
        <f aca="false">IFERROR(IF(AND(AND(B314&lt;=Eingaben!$B$11,Szenarien!$H$17="OK"),B314=Eingaben!$B$43),Eingaben!$B$44*Szenarien!$B$17*(1+Eingaben!$B$41)^(B314-1),0),0)</f>
        <v>0</v>
      </c>
      <c r="F314" s="13" t="n">
        <f aca="false">IFERROR(IF(AND(AND(B314&lt;=Eingaben!$B$11,Szenarien!$H$17="OK"),B314=Eingaben!$B$11),Eingaben!$B$45*Szenarien!$B$17,0),0)</f>
        <v>0</v>
      </c>
      <c r="G314" s="13" t="n">
        <f aca="false">C314-D314-E314+F314</f>
        <v>920.38181937264</v>
      </c>
      <c r="H314" s="13" t="n">
        <f aca="false">IFERROR(IF(AND(B314&lt;=Eingaben!$B$11,Szenarien!$H$17="OK"),1/(1+Eingaben!$B$39+Szenarien!$G$17)^B314,0),0)</f>
        <v>0.91514165935316</v>
      </c>
      <c r="I314" s="13" t="n">
        <f aca="false">G314*H314</f>
        <v>842.279745419158</v>
      </c>
      <c r="J314" s="13" t="n">
        <f aca="false">(D314+E314-F314)*H314</f>
        <v>744.102315399912</v>
      </c>
      <c r="K314" s="13" t="n">
        <f aca="false">IF(AND(B314&lt;=Eingaben!$B$11,Szenarien!$H$17="OK"),SUM(Variantenbilanz!K2201:K2566)*H314,0)</f>
        <v>508.260303991756</v>
      </c>
    </row>
    <row r="315" customFormat="false" ht="16.4" hidden="false" customHeight="false" outlineLevel="0" collapsed="false">
      <c r="A315" s="12"/>
      <c r="B315" s="15" t="n">
        <v>4</v>
      </c>
      <c r="C315" s="13" t="n">
        <f aca="false">IFERROR(IF(AND(B315&lt;=Eingaben!$B$11,Szenarien!$H$17="OK"),SUM(Variantenbilanz!K2201:K2566)*(Eingaben!$B$36*Szenarien!$C$17*(1+Eingaben!$B$40)^(B315-1)+Eingaben!$B$37*Eingaben!$B$38*(1+Eingaben!$B$46)^(B315-1)),0),0)</f>
        <v>1768.15216037609</v>
      </c>
      <c r="D315" s="13" t="n">
        <f aca="false">IFERROR(IF(AND(B315&lt;=Eingaben!$B$11,Szenarien!$H$17="OK"),((Eingaben!$B$32+Eingaben!$B$35)*(1+Eingaben!$B$41)^(B315-1)+SUM(Variantenbilanz!E2201:E2566)*Eingaben!$B$33*Eingaben!$B$34*(1+Eingaben!$B$42)^(B315-1))*Szenarien!$F$17,0),0)</f>
        <v>829.362704616</v>
      </c>
      <c r="E315" s="13" t="n">
        <f aca="false">IFERROR(IF(AND(AND(B315&lt;=Eingaben!$B$11,Szenarien!$H$17="OK"),B315=Eingaben!$B$43),Eingaben!$B$44*Szenarien!$B$17*(1+Eingaben!$B$41)^(B315-1),0),0)</f>
        <v>0</v>
      </c>
      <c r="F315" s="13" t="n">
        <f aca="false">IFERROR(IF(AND(AND(B315&lt;=Eingaben!$B$11,Szenarien!$H$17="OK"),B315=Eingaben!$B$11),Eingaben!$B$45*Szenarien!$B$17,0),0)</f>
        <v>0</v>
      </c>
      <c r="G315" s="13" t="n">
        <f aca="false">C315-D315-E315+F315</f>
        <v>938.789455760093</v>
      </c>
      <c r="H315" s="13" t="n">
        <f aca="false">IFERROR(IF(AND(B315&lt;=Eingaben!$B$11,Szenarien!$H$17="OK"),1/(1+Eingaben!$B$39+Szenarien!$G$17)^B315,0),0)</f>
        <v>0.888487047915689</v>
      </c>
      <c r="I315" s="13" t="n">
        <f aca="false">G315*H315</f>
        <v>834.102272162661</v>
      </c>
      <c r="J315" s="13" t="n">
        <f aca="false">(D315+E315-F315)*H315</f>
        <v>736.878021075641</v>
      </c>
      <c r="K315" s="13" t="n">
        <f aca="false">IF(AND(B315&lt;=Eingaben!$B$11,Szenarien!$H$17="OK"),SUM(Variantenbilanz!K2201:K2566)*H315,0)</f>
        <v>493.456605817239</v>
      </c>
    </row>
    <row r="316" customFormat="false" ht="16.4" hidden="false" customHeight="false" outlineLevel="0" collapsed="false">
      <c r="A316" s="12"/>
      <c r="B316" s="15" t="n">
        <v>5</v>
      </c>
      <c r="C316" s="13" t="n">
        <f aca="false">IFERROR(IF(AND(B316&lt;=Eingaben!$B$11,Szenarien!$H$17="OK"),SUM(Variantenbilanz!K2201:K2566)*(Eingaben!$B$36*Szenarien!$C$17*(1+Eingaben!$B$40)^(B316-1)+Eingaben!$B$37*Eingaben!$B$38*(1+Eingaben!$B$46)^(B316-1)),0),0)</f>
        <v>1803.51520358361</v>
      </c>
      <c r="D316" s="13" t="n">
        <f aca="false">IFERROR(IF(AND(B316&lt;=Eingaben!$B$11,Szenarien!$H$17="OK"),((Eingaben!$B$32+Eingaben!$B$35)*(1+Eingaben!$B$41)^(B316-1)+SUM(Variantenbilanz!E2201:E2566)*Eingaben!$B$33*Eingaben!$B$34*(1+Eingaben!$B$42)^(B316-1))*Szenarien!$F$17,0),0)</f>
        <v>845.94995870832</v>
      </c>
      <c r="E316" s="13" t="n">
        <f aca="false">IFERROR(IF(AND(AND(B316&lt;=Eingaben!$B$11,Szenarien!$H$17="OK"),B316=Eingaben!$B$43),Eingaben!$B$44*Szenarien!$B$17*(1+Eingaben!$B$41)^(B316-1),0),0)</f>
        <v>0</v>
      </c>
      <c r="F316" s="13" t="n">
        <f aca="false">IFERROR(IF(AND(AND(B316&lt;=Eingaben!$B$11,Szenarien!$H$17="OK"),B316=Eingaben!$B$11),Eingaben!$B$45*Szenarien!$B$17,0),0)</f>
        <v>0</v>
      </c>
      <c r="G316" s="13" t="n">
        <f aca="false">C316-D316-E316+F316</f>
        <v>957.565244875295</v>
      </c>
      <c r="H316" s="13" t="n">
        <f aca="false">IFERROR(IF(AND(B316&lt;=Eingaben!$B$11,Szenarien!$H$17="OK"),1/(1+Eingaben!$B$39+Szenarien!$G$17)^B316,0),0)</f>
        <v>0.862608784384164</v>
      </c>
      <c r="I316" s="13" t="n">
        <f aca="false">G316*H316</f>
        <v>826.004191850402</v>
      </c>
      <c r="J316" s="13" t="n">
        <f aca="false">(D316+E316-F316)*H316</f>
        <v>729.723865531218</v>
      </c>
      <c r="K316" s="13" t="n">
        <f aca="false">IF(AND(B316&lt;=Eingaben!$B$11,Szenarien!$H$17="OK"),SUM(Variantenbilanz!K2201:K2566)*H316,0)</f>
        <v>479.084083317708</v>
      </c>
    </row>
    <row r="317" customFormat="false" ht="16.4" hidden="false" customHeight="false" outlineLevel="0" collapsed="false">
      <c r="A317" s="12"/>
      <c r="B317" s="15" t="n">
        <v>6</v>
      </c>
      <c r="C317" s="13" t="n">
        <f aca="false">IFERROR(IF(AND(B317&lt;=Eingaben!$B$11,Szenarien!$H$17="OK"),SUM(Variantenbilanz!K2201:K2566)*(Eingaben!$B$36*Szenarien!$C$17*(1+Eingaben!$B$40)^(B317-1)+Eingaben!$B$37*Eingaben!$B$38*(1+Eingaben!$B$46)^(B317-1)),0),0)</f>
        <v>1839.58550765529</v>
      </c>
      <c r="D317" s="13" t="n">
        <f aca="false">IFERROR(IF(AND(B317&lt;=Eingaben!$B$11,Szenarien!$H$17="OK"),((Eingaben!$B$32+Eingaben!$B$35)*(1+Eingaben!$B$41)^(B317-1)+SUM(Variantenbilanz!E2201:E2566)*Eingaben!$B$33*Eingaben!$B$34*(1+Eingaben!$B$42)^(B317-1))*Szenarien!$F$17,0),0)</f>
        <v>862.868957882486</v>
      </c>
      <c r="E317" s="13" t="n">
        <f aca="false">IFERROR(IF(AND(AND(B317&lt;=Eingaben!$B$11,Szenarien!$H$17="OK"),B317=Eingaben!$B$43),Eingaben!$B$44*Szenarien!$B$17*(1+Eingaben!$B$41)^(B317-1),0),0)</f>
        <v>0</v>
      </c>
      <c r="F317" s="13" t="n">
        <f aca="false">IFERROR(IF(AND(AND(B317&lt;=Eingaben!$B$11,Szenarien!$H$17="OK"),B317=Eingaben!$B$11),Eingaben!$B$45*Szenarien!$B$17,0),0)</f>
        <v>0</v>
      </c>
      <c r="G317" s="13" t="n">
        <f aca="false">C317-D317-E317+F317</f>
        <v>976.716549772801</v>
      </c>
      <c r="H317" s="13" t="n">
        <f aca="false">IFERROR(IF(AND(B317&lt;=Eingaben!$B$11,Szenarien!$H$17="OK"),1/(1+Eingaben!$B$39+Szenarien!$G$17)^B317,0),0)</f>
        <v>0.837484256683654</v>
      </c>
      <c r="I317" s="13" t="n">
        <f aca="false">G317*H317</f>
        <v>817.984733677097</v>
      </c>
      <c r="J317" s="13" t="n">
        <f aca="false">(D317+E317-F317)*H317</f>
        <v>722.639167807614</v>
      </c>
      <c r="K317" s="13" t="n">
        <f aca="false">IF(AND(B317&lt;=Eingaben!$B$11,Szenarien!$H$17="OK"),SUM(Variantenbilanz!K2201:K2566)*H317,0)</f>
        <v>465.130177978357</v>
      </c>
    </row>
    <row r="318" customFormat="false" ht="16.4" hidden="false" customHeight="false" outlineLevel="0" collapsed="false">
      <c r="A318" s="12"/>
      <c r="B318" s="15" t="n">
        <v>7</v>
      </c>
      <c r="C318" s="13" t="n">
        <f aca="false">IFERROR(IF(AND(B318&lt;=Eingaben!$B$11,Szenarien!$H$17="OK"),SUM(Variantenbilanz!K2201:K2566)*(Eingaben!$B$36*Szenarien!$C$17*(1+Eingaben!$B$40)^(B318-1)+Eingaben!$B$37*Eingaben!$B$38*(1+Eingaben!$B$46)^(B318-1)),0),0)</f>
        <v>1876.37721780839</v>
      </c>
      <c r="D318" s="13" t="n">
        <f aca="false">IFERROR(IF(AND(B318&lt;=Eingaben!$B$11,Szenarien!$H$17="OK"),((Eingaben!$B$32+Eingaben!$B$35)*(1+Eingaben!$B$41)^(B318-1)+SUM(Variantenbilanz!E2201:E2566)*Eingaben!$B$33*Eingaben!$B$34*(1+Eingaben!$B$42)^(B318-1))*Szenarien!$F$17,0),0)</f>
        <v>880.126337040136</v>
      </c>
      <c r="E318" s="13" t="n">
        <f aca="false">IFERROR(IF(AND(AND(B318&lt;=Eingaben!$B$11,Szenarien!$H$17="OK"),B318=Eingaben!$B$43),Eingaben!$B$44*Szenarien!$B$17*(1+Eingaben!$B$41)^(B318-1),0),0)</f>
        <v>0</v>
      </c>
      <c r="F318" s="13" t="n">
        <f aca="false">IFERROR(IF(AND(AND(B318&lt;=Eingaben!$B$11,Szenarien!$H$17="OK"),B318=Eingaben!$B$11),Eingaben!$B$45*Szenarien!$B$17,0),0)</f>
        <v>0</v>
      </c>
      <c r="G318" s="13" t="n">
        <f aca="false">C318-D318-E318+F318</f>
        <v>996.250880768256</v>
      </c>
      <c r="H318" s="13" t="n">
        <f aca="false">IFERROR(IF(AND(B318&lt;=Eingaben!$B$11,Szenarien!$H$17="OK"),1/(1+Eingaben!$B$39+Szenarien!$G$17)^B318,0),0)</f>
        <v>0.813091511343354</v>
      </c>
      <c r="I318" s="13" t="n">
        <f aca="false">G318*H318</f>
        <v>810.043134321009</v>
      </c>
      <c r="J318" s="13" t="n">
        <f aca="false">(D318+E318-F318)*H318</f>
        <v>715.623253557054</v>
      </c>
      <c r="K318" s="13" t="n">
        <f aca="false">IF(AND(B318&lt;=Eingaben!$B$11,Szenarien!$H$17="OK"),SUM(Variantenbilanz!K2201:K2566)*H318,0)</f>
        <v>451.582697066366</v>
      </c>
    </row>
    <row r="319" customFormat="false" ht="16.4" hidden="false" customHeight="false" outlineLevel="0" collapsed="false">
      <c r="A319" s="12"/>
      <c r="B319" s="15" t="n">
        <v>8</v>
      </c>
      <c r="C319" s="13" t="n">
        <f aca="false">IFERROR(IF(AND(B319&lt;=Eingaben!$B$11,Szenarien!$H$17="OK"),SUM(Variantenbilanz!K2201:K2566)*(Eingaben!$B$36*Szenarien!$C$17*(1+Eingaben!$B$40)^(B319-1)+Eingaben!$B$37*Eingaben!$B$38*(1+Eingaben!$B$46)^(B319-1)),0),0)</f>
        <v>1913.90476216456</v>
      </c>
      <c r="D319" s="13" t="n">
        <f aca="false">IFERROR(IF(AND(B319&lt;=Eingaben!$B$11,Szenarien!$H$17="OK"),((Eingaben!$B$32+Eingaben!$B$35)*(1+Eingaben!$B$41)^(B319-1)+SUM(Variantenbilanz!E2201:E2566)*Eingaben!$B$33*Eingaben!$B$34*(1+Eingaben!$B$42)^(B319-1))*Szenarien!$F$17,0),0)</f>
        <v>897.728863780939</v>
      </c>
      <c r="E319" s="13" t="n">
        <f aca="false">IFERROR(IF(AND(AND(B319&lt;=Eingaben!$B$11,Szenarien!$H$17="OK"),B319=Eingaben!$B$43),Eingaben!$B$44*Szenarien!$B$17*(1+Eingaben!$B$41)^(B319-1),0),0)</f>
        <v>0</v>
      </c>
      <c r="F319" s="13" t="n">
        <f aca="false">IFERROR(IF(AND(AND(B319&lt;=Eingaben!$B$11,Szenarien!$H$17="OK"),B319=Eingaben!$B$11),Eingaben!$B$45*Szenarien!$B$17,0),0)</f>
        <v>0</v>
      </c>
      <c r="G319" s="13" t="n">
        <f aca="false">C319-D319-E319+F319</f>
        <v>1016.17589838362</v>
      </c>
      <c r="H319" s="13" t="n">
        <f aca="false">IFERROR(IF(AND(B319&lt;=Eingaben!$B$11,Szenarien!$H$17="OK"),1/(1+Eingaben!$B$39+Szenarien!$G$17)^B319,0),0)</f>
        <v>0.789409234313936</v>
      </c>
      <c r="I319" s="13" t="n">
        <f aca="false">G319*H319</f>
        <v>802.17863787129</v>
      </c>
      <c r="J319" s="13" t="n">
        <f aca="false">(D319+E319-F319)*H319</f>
        <v>708.67545497883</v>
      </c>
      <c r="K319" s="13" t="n">
        <f aca="false">IF(AND(B319&lt;=Eingaben!$B$11,Szenarien!$H$17="OK"),SUM(Variantenbilanz!K2201:K2566)*H319,0)</f>
        <v>438.429802977055</v>
      </c>
    </row>
    <row r="320" customFormat="false" ht="16.4" hidden="false" customHeight="false" outlineLevel="0" collapsed="false">
      <c r="A320" s="12"/>
      <c r="B320" s="15" t="n">
        <v>9</v>
      </c>
      <c r="C320" s="13" t="n">
        <f aca="false">IFERROR(IF(AND(B320&lt;=Eingaben!$B$11,Szenarien!$H$17="OK"),SUM(Variantenbilanz!K2201:K2566)*(Eingaben!$B$36*Szenarien!$C$17*(1+Eingaben!$B$40)^(B320-1)+Eingaben!$B$37*Eingaben!$B$38*(1+Eingaben!$B$46)^(B320-1)),0),0)</f>
        <v>1952.18285740785</v>
      </c>
      <c r="D320" s="13" t="n">
        <f aca="false">IFERROR(IF(AND(B320&lt;=Eingaben!$B$11,Szenarien!$H$17="OK"),((Eingaben!$B$32+Eingaben!$B$35)*(1+Eingaben!$B$41)^(B320-1)+SUM(Variantenbilanz!E2201:E2566)*Eingaben!$B$33*Eingaben!$B$34*(1+Eingaben!$B$42)^(B320-1))*Szenarien!$F$17,0),0)</f>
        <v>915.683441056558</v>
      </c>
      <c r="E320" s="13" t="n">
        <f aca="false">IFERROR(IF(AND(AND(B320&lt;=Eingaben!$B$11,Szenarien!$H$17="OK"),B320=Eingaben!$B$43),Eingaben!$B$44*Szenarien!$B$17*(1+Eingaben!$B$41)^(B320-1),0),0)</f>
        <v>0</v>
      </c>
      <c r="F320" s="13" t="n">
        <f aca="false">IFERROR(IF(AND(AND(B320&lt;=Eingaben!$B$11,Szenarien!$H$17="OK"),B320=Eingaben!$B$11),Eingaben!$B$45*Szenarien!$B$17,0),0)</f>
        <v>0</v>
      </c>
      <c r="G320" s="13" t="n">
        <f aca="false">C320-D320-E320+F320</f>
        <v>1036.49941635129</v>
      </c>
      <c r="H320" s="13" t="n">
        <f aca="false">IFERROR(IF(AND(B320&lt;=Eingaben!$B$11,Szenarien!$H$17="OK"),1/(1+Eingaben!$B$39+Szenarien!$G$17)^B320,0),0)</f>
        <v>0.766416732343627</v>
      </c>
      <c r="I320" s="13" t="n">
        <f aca="false">G320*H320</f>
        <v>794.390495756035</v>
      </c>
      <c r="J320" s="13" t="n">
        <f aca="false">(D320+E320-F320)*H320</f>
        <v>701.795110755735</v>
      </c>
      <c r="K320" s="13" t="n">
        <f aca="false">IF(AND(B320&lt;=Eingaben!$B$11,Szenarien!$H$17="OK"),SUM(Variantenbilanz!K2201:K2566)*H320,0)</f>
        <v>425.660002890344</v>
      </c>
    </row>
    <row r="321" customFormat="false" ht="16.4" hidden="false" customHeight="false" outlineLevel="0" collapsed="false">
      <c r="A321" s="12"/>
      <c r="B321" s="15" t="n">
        <v>10</v>
      </c>
      <c r="C321" s="13" t="n">
        <f aca="false">IFERROR(IF(AND(B321&lt;=Eingaben!$B$11,Szenarien!$H$17="OK"),SUM(Variantenbilanz!K2201:K2566)*(Eingaben!$B$36*Szenarien!$C$17*(1+Eingaben!$B$40)^(B321-1)+Eingaben!$B$37*Eingaben!$B$38*(1+Eingaben!$B$46)^(B321-1)),0),0)</f>
        <v>1991.22651455601</v>
      </c>
      <c r="D321" s="13" t="n">
        <f aca="false">IFERROR(IF(AND(B321&lt;=Eingaben!$B$11,Szenarien!$H$17="OK"),((Eingaben!$B$32+Eingaben!$B$35)*(1+Eingaben!$B$41)^(B321-1)+SUM(Variantenbilanz!E2201:E2566)*Eingaben!$B$33*Eingaben!$B$34*(1+Eingaben!$B$42)^(B321-1))*Szenarien!$F$17,0),0)</f>
        <v>933.997109877689</v>
      </c>
      <c r="E321" s="13" t="n">
        <f aca="false">IFERROR(IF(AND(AND(B321&lt;=Eingaben!$B$11,Szenarien!$H$17="OK"),B321=Eingaben!$B$43),Eingaben!$B$44*Szenarien!$B$17*(1+Eingaben!$B$41)^(B321-1),0),0)</f>
        <v>4780.37027448924</v>
      </c>
      <c r="F321" s="13" t="n">
        <f aca="false">IFERROR(IF(AND(AND(B321&lt;=Eingaben!$B$11,Szenarien!$H$17="OK"),B321=Eingaben!$B$11),Eingaben!$B$45*Szenarien!$B$17,0),0)</f>
        <v>0</v>
      </c>
      <c r="G321" s="13" t="n">
        <f aca="false">C321-D321-E321+F321</f>
        <v>-3723.14086981092</v>
      </c>
      <c r="H321" s="13" t="n">
        <f aca="false">IFERROR(IF(AND(B321&lt;=Eingaben!$B$11,Szenarien!$H$17="OK"),1/(1+Eingaben!$B$39+Szenarien!$G$17)^B321,0),0)</f>
        <v>0.744093914896725</v>
      </c>
      <c r="I321" s="13" t="n">
        <f aca="false">G321*H321</f>
        <v>-2770.36646552961</v>
      </c>
      <c r="J321" s="13" t="n">
        <f aca="false">(D321+E321-F321)*H321</f>
        <v>4252.02599819175</v>
      </c>
      <c r="K321" s="13" t="n">
        <f aca="false">IF(AND(B321&lt;=Eingaben!$B$11,Szenarien!$H$17="OK"),SUM(Variantenbilanz!K2201:K2566)*H321,0)</f>
        <v>413.26213872849</v>
      </c>
    </row>
    <row r="322" customFormat="false" ht="16.4" hidden="false" customHeight="false" outlineLevel="0" collapsed="false">
      <c r="A322" s="12"/>
      <c r="B322" s="15" t="n">
        <v>11</v>
      </c>
      <c r="C322" s="13" t="n">
        <f aca="false">IFERROR(IF(AND(B322&lt;=Eingaben!$B$11,Szenarien!$H$17="OK"),SUM(Variantenbilanz!K2201:K2566)*(Eingaben!$B$36*Szenarien!$C$17*(1+Eingaben!$B$40)^(B322-1)+Eingaben!$B$37*Eingaben!$B$38*(1+Eingaben!$B$46)^(B322-1)),0),0)</f>
        <v>2031.05104484713</v>
      </c>
      <c r="D322" s="13" t="n">
        <f aca="false">IFERROR(IF(AND(B322&lt;=Eingaben!$B$11,Szenarien!$H$17="OK"),((Eingaben!$B$32+Eingaben!$B$35)*(1+Eingaben!$B$41)^(B322-1)+SUM(Variantenbilanz!E2201:E2566)*Eingaben!$B$33*Eingaben!$B$34*(1+Eingaben!$B$42)^(B322-1))*Szenarien!$F$17,0),0)</f>
        <v>952.677052075243</v>
      </c>
      <c r="E322" s="13" t="n">
        <f aca="false">IFERROR(IF(AND(AND(B322&lt;=Eingaben!$B$11,Szenarien!$H$17="OK"),B322=Eingaben!$B$43),Eingaben!$B$44*Szenarien!$B$17*(1+Eingaben!$B$41)^(B322-1),0),0)</f>
        <v>0</v>
      </c>
      <c r="F322" s="13" t="n">
        <f aca="false">IFERROR(IF(AND(AND(B322&lt;=Eingaben!$B$11,Szenarien!$H$17="OK"),B322=Eingaben!$B$11),Eingaben!$B$45*Szenarien!$B$17,0),0)</f>
        <v>0</v>
      </c>
      <c r="G322" s="13" t="n">
        <f aca="false">C322-D322-E322+F322</f>
        <v>1078.37399277189</v>
      </c>
      <c r="H322" s="13" t="n">
        <f aca="false">IFERROR(IF(AND(B322&lt;=Eingaben!$B$11,Szenarien!$H$17="OK"),1/(1+Eingaben!$B$39+Szenarien!$G$17)^B322,0),0)</f>
        <v>0.722421276598762</v>
      </c>
      <c r="I322" s="13" t="n">
        <f aca="false">G322*H322</f>
        <v>779.040316509171</v>
      </c>
      <c r="J322" s="13" t="n">
        <f aca="false">(D322+E322-F322)*H322</f>
        <v>688.234172146542</v>
      </c>
      <c r="K322" s="13" t="n">
        <f aca="false">IF(AND(B322&lt;=Eingaben!$B$11,Szenarien!$H$17="OK"),SUM(Variantenbilanz!K2201:K2566)*H322,0)</f>
        <v>401.225377406301</v>
      </c>
    </row>
    <row r="323" customFormat="false" ht="16.4" hidden="false" customHeight="false" outlineLevel="0" collapsed="false">
      <c r="A323" s="12"/>
      <c r="B323" s="15" t="n">
        <v>12</v>
      </c>
      <c r="C323" s="13" t="n">
        <f aca="false">IFERROR(IF(AND(B323&lt;=Eingaben!$B$11,Szenarien!$H$17="OK"),SUM(Variantenbilanz!K2201:K2566)*(Eingaben!$B$36*Szenarien!$C$17*(1+Eingaben!$B$40)^(B323-1)+Eingaben!$B$37*Eingaben!$B$38*(1+Eingaben!$B$46)^(B323-1)),0),0)</f>
        <v>2071.67206574407</v>
      </c>
      <c r="D323" s="13" t="n">
        <f aca="false">IFERROR(IF(AND(B323&lt;=Eingaben!$B$11,Szenarien!$H$17="OK"),((Eingaben!$B$32+Eingaben!$B$35)*(1+Eingaben!$B$41)^(B323-1)+SUM(Variantenbilanz!E2201:E2566)*Eingaben!$B$33*Eingaben!$B$34*(1+Eingaben!$B$42)^(B323-1))*Szenarien!$F$17,0),0)</f>
        <v>971.730593116748</v>
      </c>
      <c r="E323" s="13" t="n">
        <f aca="false">IFERROR(IF(AND(AND(B323&lt;=Eingaben!$B$11,Szenarien!$H$17="OK"),B323=Eingaben!$B$43),Eingaben!$B$44*Szenarien!$B$17*(1+Eingaben!$B$41)^(B323-1),0),0)</f>
        <v>0</v>
      </c>
      <c r="F323" s="13" t="n">
        <f aca="false">IFERROR(IF(AND(AND(B323&lt;=Eingaben!$B$11,Szenarien!$H$17="OK"),B323=Eingaben!$B$11),Eingaben!$B$45*Szenarien!$B$17,0),0)</f>
        <v>0</v>
      </c>
      <c r="G323" s="13" t="n">
        <f aca="false">C323-D323-E323+F323</f>
        <v>1099.94147262732</v>
      </c>
      <c r="H323" s="13" t="n">
        <f aca="false">IFERROR(IF(AND(B323&lt;=Eingaben!$B$11,Szenarien!$H$17="OK"),1/(1+Eingaben!$B$39+Szenarien!$G$17)^B323,0),0)</f>
        <v>0.701379880192973</v>
      </c>
      <c r="I323" s="13" t="n">
        <f aca="false">G323*H323</f>
        <v>771.476818290635</v>
      </c>
      <c r="J323" s="13" t="n">
        <f aca="false">(D323+E323-F323)*H323</f>
        <v>681.552286980071</v>
      </c>
      <c r="K323" s="13" t="n">
        <f aca="false">IF(AND(B323&lt;=Eingaben!$B$11,Szenarien!$H$17="OK"),SUM(Variantenbilanz!K2201:K2566)*H323,0)</f>
        <v>389.53920136534</v>
      </c>
    </row>
    <row r="324" customFormat="false" ht="16.4" hidden="false" customHeight="false" outlineLevel="0" collapsed="false">
      <c r="A324" s="12"/>
      <c r="B324" s="15" t="n">
        <v>13</v>
      </c>
      <c r="C324" s="13" t="n">
        <f aca="false">IFERROR(IF(AND(B324&lt;=Eingaben!$B$11,Szenarien!$H$17="OK"),SUM(Variantenbilanz!K2201:K2566)*(Eingaben!$B$36*Szenarien!$C$17*(1+Eingaben!$B$40)^(B324-1)+Eingaben!$B$37*Eingaben!$B$38*(1+Eingaben!$B$46)^(B324-1)),0),0)</f>
        <v>2113.10550705895</v>
      </c>
      <c r="D324" s="13" t="n">
        <f aca="false">IFERROR(IF(AND(B324&lt;=Eingaben!$B$11,Szenarien!$H$17="OK"),((Eingaben!$B$32+Eingaben!$B$35)*(1+Eingaben!$B$41)^(B324-1)+SUM(Variantenbilanz!E2201:E2566)*Eingaben!$B$33*Eingaben!$B$34*(1+Eingaben!$B$42)^(B324-1))*Szenarien!$F$17,0),0)</f>
        <v>991.165204979082</v>
      </c>
      <c r="E324" s="13" t="n">
        <f aca="false">IFERROR(IF(AND(AND(B324&lt;=Eingaben!$B$11,Szenarien!$H$17="OK"),B324=Eingaben!$B$43),Eingaben!$B$44*Szenarien!$B$17*(1+Eingaben!$B$41)^(B324-1),0),0)</f>
        <v>0</v>
      </c>
      <c r="F324" s="13" t="n">
        <f aca="false">IFERROR(IF(AND(AND(B324&lt;=Eingaben!$B$11,Szenarien!$H$17="OK"),B324=Eingaben!$B$11),Eingaben!$B$45*Szenarien!$B$17,0),0)</f>
        <v>0</v>
      </c>
      <c r="G324" s="13" t="n">
        <f aca="false">C324-D324-E324+F324</f>
        <v>1121.94030207987</v>
      </c>
      <c r="H324" s="13" t="n">
        <f aca="false">IFERROR(IF(AND(B324&lt;=Eingaben!$B$11,Szenarien!$H$17="OK"),1/(1+Eingaben!$B$39+Szenarien!$G$17)^B324,0),0)</f>
        <v>0.680951339993178</v>
      </c>
      <c r="I324" s="13" t="n">
        <f aca="false">G324*H324</f>
        <v>763.986752093638</v>
      </c>
      <c r="J324" s="13" t="n">
        <f aca="false">(D324+E324-F324)*H324</f>
        <v>674.935274485119</v>
      </c>
      <c r="K324" s="13" t="n">
        <f aca="false">IF(AND(B324&lt;=Eingaben!$B$11,Szenarien!$H$17="OK"),SUM(Variantenbilanz!K2201:K2566)*H324,0)</f>
        <v>378.193399383825</v>
      </c>
    </row>
    <row r="325" customFormat="false" ht="16.4" hidden="false" customHeight="false" outlineLevel="0" collapsed="false">
      <c r="A325" s="12"/>
      <c r="B325" s="15" t="n">
        <v>14</v>
      </c>
      <c r="C325" s="13" t="n">
        <f aca="false">IFERROR(IF(AND(B325&lt;=Eingaben!$B$11,Szenarien!$H$17="OK"),SUM(Variantenbilanz!K2201:K2566)*(Eingaben!$B$36*Szenarien!$C$17*(1+Eingaben!$B$40)^(B325-1)+Eingaben!$B$37*Eingaben!$B$38*(1+Eingaben!$B$46)^(B325-1)),0),0)</f>
        <v>2155.36761720013</v>
      </c>
      <c r="D325" s="13" t="n">
        <f aca="false">IFERROR(IF(AND(B325&lt;=Eingaben!$B$11,Szenarien!$H$17="OK"),((Eingaben!$B$32+Eingaben!$B$35)*(1+Eingaben!$B$41)^(B325-1)+SUM(Variantenbilanz!E2201:E2566)*Eingaben!$B$33*Eingaben!$B$34*(1+Eingaben!$B$42)^(B325-1))*Szenarien!$F$17,0),0)</f>
        <v>1010.98850907866</v>
      </c>
      <c r="E325" s="13" t="n">
        <f aca="false">IFERROR(IF(AND(AND(B325&lt;=Eingaben!$B$11,Szenarien!$H$17="OK"),B325=Eingaben!$B$43),Eingaben!$B$44*Szenarien!$B$17*(1+Eingaben!$B$41)^(B325-1),0),0)</f>
        <v>0</v>
      </c>
      <c r="F325" s="13" t="n">
        <f aca="false">IFERROR(IF(AND(AND(B325&lt;=Eingaben!$B$11,Szenarien!$H$17="OK"),B325=Eingaben!$B$11),Eingaben!$B$45*Szenarien!$B$17,0),0)</f>
        <v>0</v>
      </c>
      <c r="G325" s="13" t="n">
        <f aca="false">C325-D325-E325+F325</f>
        <v>1144.37910812147</v>
      </c>
      <c r="H325" s="13" t="n">
        <f aca="false">IFERROR(IF(AND(B325&lt;=Eingaben!$B$11,Szenarien!$H$17="OK"),1/(1+Eingaben!$B$39+Szenarien!$G$17)^B325,0),0)</f>
        <v>0.661117805818619</v>
      </c>
      <c r="I325" s="13" t="n">
        <f aca="false">G325*H325</f>
        <v>756.569404985933</v>
      </c>
      <c r="J325" s="13" t="n">
        <f aca="false">(D325+E325-F325)*H325</f>
        <v>668.382504829923</v>
      </c>
      <c r="K325" s="13" t="n">
        <f aca="false">IF(AND(B325&lt;=Eingaben!$B$11,Szenarien!$H$17="OK"),SUM(Variantenbilanz!K2201:K2566)*H325,0)</f>
        <v>367.178057654199</v>
      </c>
    </row>
    <row r="326" customFormat="false" ht="16.4" hidden="false" customHeight="false" outlineLevel="0" collapsed="false">
      <c r="A326" s="12"/>
      <c r="B326" s="15" t="n">
        <v>15</v>
      </c>
      <c r="C326" s="13" t="n">
        <f aca="false">IFERROR(IF(AND(B326&lt;=Eingaben!$B$11,Szenarien!$H$17="OK"),SUM(Variantenbilanz!K2201:K2566)*(Eingaben!$B$36*Szenarien!$C$17*(1+Eingaben!$B$40)^(B326-1)+Eingaben!$B$37*Eingaben!$B$38*(1+Eingaben!$B$46)^(B326-1)),0),0)</f>
        <v>2198.47496954413</v>
      </c>
      <c r="D326" s="13" t="n">
        <f aca="false">IFERROR(IF(AND(B326&lt;=Eingaben!$B$11,Szenarien!$H$17="OK"),((Eingaben!$B$32+Eingaben!$B$35)*(1+Eingaben!$B$41)^(B326-1)+SUM(Variantenbilanz!E2201:E2566)*Eingaben!$B$33*Eingaben!$B$34*(1+Eingaben!$B$42)^(B326-1))*Szenarien!$F$17,0),0)</f>
        <v>1031.20827926024</v>
      </c>
      <c r="E326" s="13" t="n">
        <f aca="false">IFERROR(IF(AND(AND(B326&lt;=Eingaben!$B$11,Szenarien!$H$17="OK"),B326=Eingaben!$B$43),Eingaben!$B$44*Szenarien!$B$17*(1+Eingaben!$B$41)^(B326-1),0),0)</f>
        <v>0</v>
      </c>
      <c r="F326" s="13" t="n">
        <f aca="false">IFERROR(IF(AND(AND(B326&lt;=Eingaben!$B$11,Szenarien!$H$17="OK"),B326=Eingaben!$B$11),Eingaben!$B$45*Szenarien!$B$17,0),0)</f>
        <v>0</v>
      </c>
      <c r="G326" s="13" t="n">
        <f aca="false">C326-D326-E326+F326</f>
        <v>1167.2666902839</v>
      </c>
      <c r="H326" s="13" t="n">
        <f aca="false">IFERROR(IF(AND(B326&lt;=Eingaben!$B$11,Szenarien!$H$17="OK"),1/(1+Eingaben!$B$39+Szenarien!$G$17)^B326,0),0)</f>
        <v>0.641861947396717</v>
      </c>
      <c r="I326" s="13" t="n">
        <f aca="false">G326*H326</f>
        <v>749.224070956943</v>
      </c>
      <c r="J326" s="13" t="n">
        <f aca="false">(D326+E326-F326)*H326</f>
        <v>661.893354297594</v>
      </c>
      <c r="K326" s="13" t="n">
        <f aca="false">IF(AND(B326&lt;=Eingaben!$B$11,Szenarien!$H$17="OK"),SUM(Variantenbilanz!K2201:K2566)*H326,0)</f>
        <v>356.483551120582</v>
      </c>
    </row>
    <row r="327" customFormat="false" ht="16.4" hidden="false" customHeight="false" outlineLevel="0" collapsed="false">
      <c r="A327" s="12"/>
      <c r="B327" s="15" t="n">
        <v>16</v>
      </c>
      <c r="C327" s="13" t="n">
        <f aca="false">IFERROR(IF(AND(B327&lt;=Eingaben!$B$11,Szenarien!$H$17="OK"),SUM(Variantenbilanz!K2201:K2566)*(Eingaben!$B$36*Szenarien!$C$17*(1+Eingaben!$B$40)^(B327-1)+Eingaben!$B$37*Eingaben!$B$38*(1+Eingaben!$B$46)^(B327-1)),0),0)</f>
        <v>2242.44446893502</v>
      </c>
      <c r="D327" s="13" t="n">
        <f aca="false">IFERROR(IF(AND(B327&lt;=Eingaben!$B$11,Szenarien!$H$17="OK"),((Eingaben!$B$32+Eingaben!$B$35)*(1+Eingaben!$B$41)^(B327-1)+SUM(Variantenbilanz!E2201:E2566)*Eingaben!$B$33*Eingaben!$B$34*(1+Eingaben!$B$42)^(B327-1))*Szenarien!$F$17,0),0)</f>
        <v>1051.83244484544</v>
      </c>
      <c r="E327" s="13" t="n">
        <f aca="false">IFERROR(IF(AND(AND(B327&lt;=Eingaben!$B$11,Szenarien!$H$17="OK"),B327=Eingaben!$B$43),Eingaben!$B$44*Szenarien!$B$17*(1+Eingaben!$B$41)^(B327-1),0),0)</f>
        <v>0</v>
      </c>
      <c r="F327" s="13" t="n">
        <f aca="false">IFERROR(IF(AND(AND(B327&lt;=Eingaben!$B$11,Szenarien!$H$17="OK"),B327=Eingaben!$B$11),Eingaben!$B$45*Szenarien!$B$17,0),0)</f>
        <v>0</v>
      </c>
      <c r="G327" s="13" t="n">
        <f aca="false">C327-D327-E327+F327</f>
        <v>1190.61202408958</v>
      </c>
      <c r="H327" s="13" t="n">
        <f aca="false">IFERROR(IF(AND(B327&lt;=Eingaben!$B$11,Szenarien!$H$17="OK"),1/(1+Eingaben!$B$39+Szenarien!$G$17)^B327,0),0)</f>
        <v>0.623166939220114</v>
      </c>
      <c r="I327" s="13" t="n">
        <f aca="false">G327*H327</f>
        <v>741.950050850565</v>
      </c>
      <c r="J327" s="13" t="n">
        <f aca="false">(D327+E327-F327)*H327</f>
        <v>655.467205226744</v>
      </c>
      <c r="K327" s="13" t="n">
        <f aca="false">IF(AND(B327&lt;=Eingaben!$B$11,Szenarien!$H$17="OK"),SUM(Variantenbilanz!K2201:K2566)*H327,0)</f>
        <v>346.100535068526</v>
      </c>
    </row>
    <row r="328" customFormat="false" ht="16.4" hidden="false" customHeight="false" outlineLevel="0" collapsed="false">
      <c r="A328" s="12"/>
      <c r="B328" s="15" t="n">
        <v>17</v>
      </c>
      <c r="C328" s="13" t="n">
        <f aca="false">IFERROR(IF(AND(B328&lt;=Eingaben!$B$11,Szenarien!$H$17="OK"),SUM(Variantenbilanz!K2201:K2566)*(Eingaben!$B$36*Szenarien!$C$17*(1+Eingaben!$B$40)^(B328-1)+Eingaben!$B$37*Eingaben!$B$38*(1+Eingaben!$B$46)^(B328-1)),0),0)</f>
        <v>2287.29335831372</v>
      </c>
      <c r="D328" s="13" t="n">
        <f aca="false">IFERROR(IF(AND(B328&lt;=Eingaben!$B$11,Szenarien!$H$17="OK"),((Eingaben!$B$32+Eingaben!$B$35)*(1+Eingaben!$B$41)^(B328-1)+SUM(Variantenbilanz!E2201:E2566)*Eingaben!$B$33*Eingaben!$B$34*(1+Eingaben!$B$42)^(B328-1))*Szenarien!$F$17,0),0)</f>
        <v>1072.86909374235</v>
      </c>
      <c r="E328" s="13" t="n">
        <f aca="false">IFERROR(IF(AND(AND(B328&lt;=Eingaben!$B$11,Szenarien!$H$17="OK"),B328=Eingaben!$B$43),Eingaben!$B$44*Szenarien!$B$17*(1+Eingaben!$B$41)^(B328-1),0),0)</f>
        <v>0</v>
      </c>
      <c r="F328" s="13" t="n">
        <f aca="false">IFERROR(IF(AND(AND(B328&lt;=Eingaben!$B$11,Szenarien!$H$17="OK"),B328=Eingaben!$B$11),Eingaben!$B$45*Szenarien!$B$17,0),0)</f>
        <v>0</v>
      </c>
      <c r="G328" s="13" t="n">
        <f aca="false">C328-D328-E328+F328</f>
        <v>1214.42426457137</v>
      </c>
      <c r="H328" s="13" t="n">
        <f aca="false">IFERROR(IF(AND(B328&lt;=Eingaben!$B$11,Szenarien!$H$17="OK"),1/(1+Eingaben!$B$39+Szenarien!$G$17)^B328,0),0)</f>
        <v>0.605016445844771</v>
      </c>
      <c r="I328" s="13" t="n">
        <f aca="false">G328*H328</f>
        <v>734.746652298618</v>
      </c>
      <c r="J328" s="13" t="n">
        <f aca="false">(D328+E328-F328)*H328</f>
        <v>649.103445952698</v>
      </c>
      <c r="K328" s="13" t="n">
        <f aca="false">IF(AND(B328&lt;=Eingaben!$B$11,Szenarien!$H$17="OK"),SUM(Variantenbilanz!K2201:K2566)*H328,0)</f>
        <v>336.019936959734</v>
      </c>
    </row>
    <row r="329" customFormat="false" ht="16.4" hidden="false" customHeight="false" outlineLevel="0" collapsed="false">
      <c r="A329" s="12"/>
      <c r="B329" s="15" t="n">
        <v>18</v>
      </c>
      <c r="C329" s="13" t="n">
        <f aca="false">IFERROR(IF(AND(B329&lt;=Eingaben!$B$11,Szenarien!$H$17="OK"),SUM(Variantenbilanz!K2201:K2566)*(Eingaben!$B$36*Szenarien!$C$17*(1+Eingaben!$B$40)^(B329-1)+Eingaben!$B$37*Eingaben!$B$38*(1+Eingaben!$B$46)^(B329-1)),0),0)</f>
        <v>2333.03922547999</v>
      </c>
      <c r="D329" s="13" t="n">
        <f aca="false">IFERROR(IF(AND(B329&lt;=Eingaben!$B$11,Szenarien!$H$17="OK"),((Eingaben!$B$32+Eingaben!$B$35)*(1+Eingaben!$B$41)^(B329-1)+SUM(Variantenbilanz!E2201:E2566)*Eingaben!$B$33*Eingaben!$B$34*(1+Eingaben!$B$42)^(B329-1))*Szenarien!$F$17,0),0)</f>
        <v>1094.3264756172</v>
      </c>
      <c r="E329" s="13" t="n">
        <f aca="false">IFERROR(IF(AND(AND(B329&lt;=Eingaben!$B$11,Szenarien!$H$17="OK"),B329=Eingaben!$B$43),Eingaben!$B$44*Szenarien!$B$17*(1+Eingaben!$B$41)^(B329-1),0),0)</f>
        <v>0</v>
      </c>
      <c r="F329" s="13" t="n">
        <f aca="false">IFERROR(IF(AND(AND(B329&lt;=Eingaben!$B$11,Szenarien!$H$17="OK"),B329=Eingaben!$B$11),Eingaben!$B$45*Szenarien!$B$17,0),0)</f>
        <v>0</v>
      </c>
      <c r="G329" s="13" t="n">
        <f aca="false">C329-D329-E329+F329</f>
        <v>1238.71274986279</v>
      </c>
      <c r="H329" s="13" t="n">
        <f aca="false">IFERROR(IF(AND(B329&lt;=Eingaben!$B$11,Szenarien!$H$17="OK"),1/(1+Eingaben!$B$39+Szenarien!$G$17)^B329,0),0)</f>
        <v>0.587394607616282</v>
      </c>
      <c r="I329" s="13" t="n">
        <f aca="false">G329*H329</f>
        <v>727.613189654942</v>
      </c>
      <c r="J329" s="13" t="n">
        <f aca="false">(D329+E329-F329)*H329</f>
        <v>642.801470749273</v>
      </c>
      <c r="K329" s="13" t="n">
        <f aca="false">IF(AND(B329&lt;=Eingaben!$B$11,Szenarien!$H$17="OK"),SUM(Variantenbilanz!K2201:K2566)*H329,0)</f>
        <v>326.232948504596</v>
      </c>
    </row>
    <row r="330" customFormat="false" ht="16.4" hidden="false" customHeight="false" outlineLevel="0" collapsed="false">
      <c r="A330" s="12"/>
      <c r="B330" s="15" t="n">
        <v>19</v>
      </c>
      <c r="C330" s="13" t="n">
        <f aca="false">IFERROR(IF(AND(B330&lt;=Eingaben!$B$11,Szenarien!$H$17="OK"),SUM(Variantenbilanz!K2201:K2566)*(Eingaben!$B$36*Szenarien!$C$17*(1+Eingaben!$B$40)^(B330-1)+Eingaben!$B$37*Eingaben!$B$38*(1+Eingaben!$B$46)^(B330-1)),0),0)</f>
        <v>2379.70000998959</v>
      </c>
      <c r="D330" s="13" t="n">
        <f aca="false">IFERROR(IF(AND(B330&lt;=Eingaben!$B$11,Szenarien!$H$17="OK"),((Eingaben!$B$32+Eingaben!$B$35)*(1+Eingaben!$B$41)^(B330-1)+SUM(Variantenbilanz!E2201:E2566)*Eingaben!$B$33*Eingaben!$B$34*(1+Eingaben!$B$42)^(B330-1))*Szenarien!$F$17,0),0)</f>
        <v>1116.21300512954</v>
      </c>
      <c r="E330" s="13" t="n">
        <f aca="false">IFERROR(IF(AND(AND(B330&lt;=Eingaben!$B$11,Szenarien!$H$17="OK"),B330=Eingaben!$B$43),Eingaben!$B$44*Szenarien!$B$17*(1+Eingaben!$B$41)^(B330-1),0),0)</f>
        <v>0</v>
      </c>
      <c r="F330" s="13" t="n">
        <f aca="false">IFERROR(IF(AND(AND(B330&lt;=Eingaben!$B$11,Szenarien!$H$17="OK"),B330=Eingaben!$B$11),Eingaben!$B$45*Szenarien!$B$17,0),0)</f>
        <v>0</v>
      </c>
      <c r="G330" s="13" t="n">
        <f aca="false">C330-D330-E330+F330</f>
        <v>1263.48700486005</v>
      </c>
      <c r="H330" s="13" t="n">
        <f aca="false">IFERROR(IF(AND(B330&lt;=Eingaben!$B$11,Szenarien!$H$17="OK"),1/(1+Eingaben!$B$39+Szenarien!$G$17)^B330,0),0)</f>
        <v>0.570286026811925</v>
      </c>
      <c r="I330" s="13" t="n">
        <f aca="false">G330*H330</f>
        <v>720.548983930137</v>
      </c>
      <c r="J330" s="13" t="n">
        <f aca="false">(D330+E330-F330)*H330</f>
        <v>636.560679771125</v>
      </c>
      <c r="K330" s="13" t="n">
        <f aca="false">IF(AND(B330&lt;=Eingaben!$B$11,Szenarien!$H$17="OK"),SUM(Variantenbilanz!K2201:K2566)*H330,0)</f>
        <v>316.731017965627</v>
      </c>
    </row>
    <row r="331" customFormat="false" ht="16.4" hidden="false" customHeight="false" outlineLevel="0" collapsed="false">
      <c r="A331" s="12"/>
      <c r="B331" s="15" t="n">
        <v>20</v>
      </c>
      <c r="C331" s="13" t="n">
        <f aca="false">IFERROR(IF(AND(B331&lt;=Eingaben!$B$11,Szenarien!$H$17="OK"),SUM(Variantenbilanz!K2201:K2566)*(Eingaben!$B$36*Szenarien!$C$17*(1+Eingaben!$B$40)^(B331-1)+Eingaben!$B$37*Eingaben!$B$38*(1+Eingaben!$B$46)^(B331-1)),0),0)</f>
        <v>2427.29401018938</v>
      </c>
      <c r="D331" s="13" t="n">
        <f aca="false">IFERROR(IF(AND(B331&lt;=Eingaben!$B$11,Szenarien!$H$17="OK"),((Eingaben!$B$32+Eingaben!$B$35)*(1+Eingaben!$B$41)^(B331-1)+SUM(Variantenbilanz!E2201:E2566)*Eingaben!$B$33*Eingaben!$B$34*(1+Eingaben!$B$42)^(B331-1))*Szenarien!$F$17,0),0)</f>
        <v>1138.53726523213</v>
      </c>
      <c r="E331" s="13" t="n">
        <f aca="false">IFERROR(IF(AND(AND(B331&lt;=Eingaben!$B$11,Szenarien!$H$17="OK"),B331=Eingaben!$B$43),Eingaben!$B$44*Szenarien!$B$17*(1+Eingaben!$B$41)^(B331-1),0),0)</f>
        <v>0</v>
      </c>
      <c r="F331" s="13" t="n">
        <f aca="false">IFERROR(IF(AND(AND(B331&lt;=Eingaben!$B$11,Szenarien!$H$17="OK"),B331=Eingaben!$B$11),Eingaben!$B$45*Szenarien!$B$17,0),0)</f>
        <v>0</v>
      </c>
      <c r="G331" s="13" t="n">
        <f aca="false">C331-D331-E331+F331</f>
        <v>1288.75674495725</v>
      </c>
      <c r="H331" s="13" t="n">
        <f aca="false">IFERROR(IF(AND(B331&lt;=Eingaben!$B$11,Szenarien!$H$17="OK"),1/(1+Eingaben!$B$39+Szenarien!$G$17)^B331,0),0)</f>
        <v>0.553675754186335</v>
      </c>
      <c r="I331" s="13" t="n">
        <f aca="false">G331*H331</f>
        <v>713.553362726932</v>
      </c>
      <c r="J331" s="13" t="n">
        <f aca="false">(D331+E331-F331)*H331</f>
        <v>630.380478996648</v>
      </c>
      <c r="K331" s="13" t="n">
        <f aca="false">IF(AND(B331&lt;=Eingaben!$B$11,Szenarien!$H$17="OK"),SUM(Variantenbilanz!K2201:K2566)*H331,0)</f>
        <v>307.505842685075</v>
      </c>
    </row>
    <row r="332" customFormat="false" ht="16.4" hidden="false" customHeight="false" outlineLevel="0" collapsed="false">
      <c r="A332" s="12"/>
      <c r="B332" s="15" t="n">
        <v>21</v>
      </c>
      <c r="C332" s="13" t="n">
        <f aca="false">IFERROR(IF(AND(B332&lt;=Eingaben!$B$11,Szenarien!$H$17="OK"),SUM(Variantenbilanz!K2201:K2566)*(Eingaben!$B$36*Szenarien!$C$17*(1+Eingaben!$B$40)^(B332-1)+Eingaben!$B$37*Eingaben!$B$38*(1+Eingaben!$B$46)^(B332-1)),0),0)</f>
        <v>0</v>
      </c>
      <c r="D332" s="13" t="n">
        <f aca="false">IFERROR(IF(AND(B332&lt;=Eingaben!$B$11,Szenarien!$H$17="OK"),((Eingaben!$B$32+Eingaben!$B$35)*(1+Eingaben!$B$41)^(B332-1)+SUM(Variantenbilanz!E2201:E2566)*Eingaben!$B$33*Eingaben!$B$34*(1+Eingaben!$B$42)^(B332-1))*Szenarien!$F$17,0),0)</f>
        <v>0</v>
      </c>
      <c r="E332" s="13" t="n">
        <f aca="false">IFERROR(IF(AND(AND(B332&lt;=Eingaben!$B$11,Szenarien!$H$17="OK"),B332=Eingaben!$B$43),Eingaben!$B$44*Szenarien!$B$17*(1+Eingaben!$B$41)^(B332-1),0),0)</f>
        <v>0</v>
      </c>
      <c r="F332" s="13" t="n">
        <f aca="false">IFERROR(IF(AND(AND(B332&lt;=Eingaben!$B$11,Szenarien!$H$17="OK"),B332=Eingaben!$B$11),Eingaben!$B$45*Szenarien!$B$17,0),0)</f>
        <v>0</v>
      </c>
      <c r="G332" s="13" t="n">
        <f aca="false">C332-D332-E332+F332</f>
        <v>0</v>
      </c>
      <c r="H332" s="13" t="n">
        <f aca="false">IFERROR(IF(AND(B332&lt;=Eingaben!$B$11,Szenarien!$H$17="OK"),1/(1+Eingaben!$B$39+Szenarien!$G$17)^B332,0),0)</f>
        <v>0</v>
      </c>
      <c r="I332" s="13" t="n">
        <f aca="false">G332*H332</f>
        <v>0</v>
      </c>
      <c r="J332" s="13" t="n">
        <f aca="false">(D332+E332-F332)*H332</f>
        <v>0</v>
      </c>
      <c r="K332" s="13" t="n">
        <f aca="false">IF(AND(B332&lt;=Eingaben!$B$11,Szenarien!$H$17="OK"),SUM(Variantenbilanz!K2201:K2566)*H332,0)</f>
        <v>0</v>
      </c>
    </row>
    <row r="333" customFormat="false" ht="16.4" hidden="false" customHeight="false" outlineLevel="0" collapsed="false">
      <c r="A333" s="12"/>
      <c r="B333" s="15" t="n">
        <v>22</v>
      </c>
      <c r="C333" s="13" t="n">
        <f aca="false">IFERROR(IF(AND(B333&lt;=Eingaben!$B$11,Szenarien!$H$17="OK"),SUM(Variantenbilanz!K2201:K2566)*(Eingaben!$B$36*Szenarien!$C$17*(1+Eingaben!$B$40)^(B333-1)+Eingaben!$B$37*Eingaben!$B$38*(1+Eingaben!$B$46)^(B333-1)),0),0)</f>
        <v>0</v>
      </c>
      <c r="D333" s="13" t="n">
        <f aca="false">IFERROR(IF(AND(B333&lt;=Eingaben!$B$11,Szenarien!$H$17="OK"),((Eingaben!$B$32+Eingaben!$B$35)*(1+Eingaben!$B$41)^(B333-1)+SUM(Variantenbilanz!E2201:E2566)*Eingaben!$B$33*Eingaben!$B$34*(1+Eingaben!$B$42)^(B333-1))*Szenarien!$F$17,0),0)</f>
        <v>0</v>
      </c>
      <c r="E333" s="13" t="n">
        <f aca="false">IFERROR(IF(AND(AND(B333&lt;=Eingaben!$B$11,Szenarien!$H$17="OK"),B333=Eingaben!$B$43),Eingaben!$B$44*Szenarien!$B$17*(1+Eingaben!$B$41)^(B333-1),0),0)</f>
        <v>0</v>
      </c>
      <c r="F333" s="13" t="n">
        <f aca="false">IFERROR(IF(AND(AND(B333&lt;=Eingaben!$B$11,Szenarien!$H$17="OK"),B333=Eingaben!$B$11),Eingaben!$B$45*Szenarien!$B$17,0),0)</f>
        <v>0</v>
      </c>
      <c r="G333" s="13" t="n">
        <f aca="false">C333-D333-E333+F333</f>
        <v>0</v>
      </c>
      <c r="H333" s="13" t="n">
        <f aca="false">IFERROR(IF(AND(B333&lt;=Eingaben!$B$11,Szenarien!$H$17="OK"),1/(1+Eingaben!$B$39+Szenarien!$G$17)^B333,0),0)</f>
        <v>0</v>
      </c>
      <c r="I333" s="13" t="n">
        <f aca="false">G333*H333</f>
        <v>0</v>
      </c>
      <c r="J333" s="13" t="n">
        <f aca="false">(D333+E333-F333)*H333</f>
        <v>0</v>
      </c>
      <c r="K333" s="13" t="n">
        <f aca="false">IF(AND(B333&lt;=Eingaben!$B$11,Szenarien!$H$17="OK"),SUM(Variantenbilanz!K2201:K2566)*H333,0)</f>
        <v>0</v>
      </c>
    </row>
    <row r="334" customFormat="false" ht="16.4" hidden="false" customHeight="false" outlineLevel="0" collapsed="false">
      <c r="A334" s="12"/>
      <c r="B334" s="15" t="n">
        <v>23</v>
      </c>
      <c r="C334" s="13" t="n">
        <f aca="false">IFERROR(IF(AND(B334&lt;=Eingaben!$B$11,Szenarien!$H$17="OK"),SUM(Variantenbilanz!K2201:K2566)*(Eingaben!$B$36*Szenarien!$C$17*(1+Eingaben!$B$40)^(B334-1)+Eingaben!$B$37*Eingaben!$B$38*(1+Eingaben!$B$46)^(B334-1)),0),0)</f>
        <v>0</v>
      </c>
      <c r="D334" s="13" t="n">
        <f aca="false">IFERROR(IF(AND(B334&lt;=Eingaben!$B$11,Szenarien!$H$17="OK"),((Eingaben!$B$32+Eingaben!$B$35)*(1+Eingaben!$B$41)^(B334-1)+SUM(Variantenbilanz!E2201:E2566)*Eingaben!$B$33*Eingaben!$B$34*(1+Eingaben!$B$42)^(B334-1))*Szenarien!$F$17,0),0)</f>
        <v>0</v>
      </c>
      <c r="E334" s="13" t="n">
        <f aca="false">IFERROR(IF(AND(AND(B334&lt;=Eingaben!$B$11,Szenarien!$H$17="OK"),B334=Eingaben!$B$43),Eingaben!$B$44*Szenarien!$B$17*(1+Eingaben!$B$41)^(B334-1),0),0)</f>
        <v>0</v>
      </c>
      <c r="F334" s="13" t="n">
        <f aca="false">IFERROR(IF(AND(AND(B334&lt;=Eingaben!$B$11,Szenarien!$H$17="OK"),B334=Eingaben!$B$11),Eingaben!$B$45*Szenarien!$B$17,0),0)</f>
        <v>0</v>
      </c>
      <c r="G334" s="13" t="n">
        <f aca="false">C334-D334-E334+F334</f>
        <v>0</v>
      </c>
      <c r="H334" s="13" t="n">
        <f aca="false">IFERROR(IF(AND(B334&lt;=Eingaben!$B$11,Szenarien!$H$17="OK"),1/(1+Eingaben!$B$39+Szenarien!$G$17)^B334,0),0)</f>
        <v>0</v>
      </c>
      <c r="I334" s="13" t="n">
        <f aca="false">G334*H334</f>
        <v>0</v>
      </c>
      <c r="J334" s="13" t="n">
        <f aca="false">(D334+E334-F334)*H334</f>
        <v>0</v>
      </c>
      <c r="K334" s="13" t="n">
        <f aca="false">IF(AND(B334&lt;=Eingaben!$B$11,Szenarien!$H$17="OK"),SUM(Variantenbilanz!K2201:K2566)*H334,0)</f>
        <v>0</v>
      </c>
    </row>
    <row r="335" customFormat="false" ht="16.4" hidden="false" customHeight="false" outlineLevel="0" collapsed="false">
      <c r="A335" s="12"/>
      <c r="B335" s="15" t="n">
        <v>24</v>
      </c>
      <c r="C335" s="13" t="n">
        <f aca="false">IFERROR(IF(AND(B335&lt;=Eingaben!$B$11,Szenarien!$H$17="OK"),SUM(Variantenbilanz!K2201:K2566)*(Eingaben!$B$36*Szenarien!$C$17*(1+Eingaben!$B$40)^(B335-1)+Eingaben!$B$37*Eingaben!$B$38*(1+Eingaben!$B$46)^(B335-1)),0),0)</f>
        <v>0</v>
      </c>
      <c r="D335" s="13" t="n">
        <f aca="false">IFERROR(IF(AND(B335&lt;=Eingaben!$B$11,Szenarien!$H$17="OK"),((Eingaben!$B$32+Eingaben!$B$35)*(1+Eingaben!$B$41)^(B335-1)+SUM(Variantenbilanz!E2201:E2566)*Eingaben!$B$33*Eingaben!$B$34*(1+Eingaben!$B$42)^(B335-1))*Szenarien!$F$17,0),0)</f>
        <v>0</v>
      </c>
      <c r="E335" s="13" t="n">
        <f aca="false">IFERROR(IF(AND(AND(B335&lt;=Eingaben!$B$11,Szenarien!$H$17="OK"),B335=Eingaben!$B$43),Eingaben!$B$44*Szenarien!$B$17*(1+Eingaben!$B$41)^(B335-1),0),0)</f>
        <v>0</v>
      </c>
      <c r="F335" s="13" t="n">
        <f aca="false">IFERROR(IF(AND(AND(B335&lt;=Eingaben!$B$11,Szenarien!$H$17="OK"),B335=Eingaben!$B$11),Eingaben!$B$45*Szenarien!$B$17,0),0)</f>
        <v>0</v>
      </c>
      <c r="G335" s="13" t="n">
        <f aca="false">C335-D335-E335+F335</f>
        <v>0</v>
      </c>
      <c r="H335" s="13" t="n">
        <f aca="false">IFERROR(IF(AND(B335&lt;=Eingaben!$B$11,Szenarien!$H$17="OK"),1/(1+Eingaben!$B$39+Szenarien!$G$17)^B335,0),0)</f>
        <v>0</v>
      </c>
      <c r="I335" s="13" t="n">
        <f aca="false">G335*H335</f>
        <v>0</v>
      </c>
      <c r="J335" s="13" t="n">
        <f aca="false">(D335+E335-F335)*H335</f>
        <v>0</v>
      </c>
      <c r="K335" s="13" t="n">
        <f aca="false">IF(AND(B335&lt;=Eingaben!$B$11,Szenarien!$H$17="OK"),SUM(Variantenbilanz!K2201:K2566)*H335,0)</f>
        <v>0</v>
      </c>
    </row>
    <row r="336" customFormat="false" ht="16.4" hidden="false" customHeight="false" outlineLevel="0" collapsed="false">
      <c r="A336" s="12"/>
      <c r="B336" s="15" t="n">
        <v>25</v>
      </c>
      <c r="C336" s="13" t="n">
        <f aca="false">IFERROR(IF(AND(B336&lt;=Eingaben!$B$11,Szenarien!$H$17="OK"),SUM(Variantenbilanz!K2201:K2566)*(Eingaben!$B$36*Szenarien!$C$17*(1+Eingaben!$B$40)^(B336-1)+Eingaben!$B$37*Eingaben!$B$38*(1+Eingaben!$B$46)^(B336-1)),0),0)</f>
        <v>0</v>
      </c>
      <c r="D336" s="13" t="n">
        <f aca="false">IFERROR(IF(AND(B336&lt;=Eingaben!$B$11,Szenarien!$H$17="OK"),((Eingaben!$B$32+Eingaben!$B$35)*(1+Eingaben!$B$41)^(B336-1)+SUM(Variantenbilanz!E2201:E2566)*Eingaben!$B$33*Eingaben!$B$34*(1+Eingaben!$B$42)^(B336-1))*Szenarien!$F$17,0),0)</f>
        <v>0</v>
      </c>
      <c r="E336" s="13" t="n">
        <f aca="false">IFERROR(IF(AND(AND(B336&lt;=Eingaben!$B$11,Szenarien!$H$17="OK"),B336=Eingaben!$B$43),Eingaben!$B$44*Szenarien!$B$17*(1+Eingaben!$B$41)^(B336-1),0),0)</f>
        <v>0</v>
      </c>
      <c r="F336" s="13" t="n">
        <f aca="false">IFERROR(IF(AND(AND(B336&lt;=Eingaben!$B$11,Szenarien!$H$17="OK"),B336=Eingaben!$B$11),Eingaben!$B$45*Szenarien!$B$17,0),0)</f>
        <v>0</v>
      </c>
      <c r="G336" s="13" t="n">
        <f aca="false">C336-D336-E336+F336</f>
        <v>0</v>
      </c>
      <c r="H336" s="13" t="n">
        <f aca="false">IFERROR(IF(AND(B336&lt;=Eingaben!$B$11,Szenarien!$H$17="OK"),1/(1+Eingaben!$B$39+Szenarien!$G$17)^B336,0),0)</f>
        <v>0</v>
      </c>
      <c r="I336" s="13" t="n">
        <f aca="false">G336*H336</f>
        <v>0</v>
      </c>
      <c r="J336" s="13" t="n">
        <f aca="false">(D336+E336-F336)*H336</f>
        <v>0</v>
      </c>
      <c r="K336" s="13" t="n">
        <f aca="false">IF(AND(B336&lt;=Eingaben!$B$11,Szenarien!$H$17="OK"),SUM(Variantenbilanz!K2201:K2566)*H336,0)</f>
        <v>0</v>
      </c>
    </row>
    <row r="337" customFormat="false" ht="16.4" hidden="false" customHeight="false" outlineLevel="0" collapsed="false">
      <c r="A337" s="12"/>
      <c r="B337" s="15" t="n">
        <v>26</v>
      </c>
      <c r="C337" s="13" t="n">
        <f aca="false">IFERROR(IF(AND(B337&lt;=Eingaben!$B$11,Szenarien!$H$17="OK"),SUM(Variantenbilanz!K2201:K2566)*(Eingaben!$B$36*Szenarien!$C$17*(1+Eingaben!$B$40)^(B337-1)+Eingaben!$B$37*Eingaben!$B$38*(1+Eingaben!$B$46)^(B337-1)),0),0)</f>
        <v>0</v>
      </c>
      <c r="D337" s="13" t="n">
        <f aca="false">IFERROR(IF(AND(B337&lt;=Eingaben!$B$11,Szenarien!$H$17="OK"),((Eingaben!$B$32+Eingaben!$B$35)*(1+Eingaben!$B$41)^(B337-1)+SUM(Variantenbilanz!E2201:E2566)*Eingaben!$B$33*Eingaben!$B$34*(1+Eingaben!$B$42)^(B337-1))*Szenarien!$F$17,0),0)</f>
        <v>0</v>
      </c>
      <c r="E337" s="13" t="n">
        <f aca="false">IFERROR(IF(AND(AND(B337&lt;=Eingaben!$B$11,Szenarien!$H$17="OK"),B337=Eingaben!$B$43),Eingaben!$B$44*Szenarien!$B$17*(1+Eingaben!$B$41)^(B337-1),0),0)</f>
        <v>0</v>
      </c>
      <c r="F337" s="13" t="n">
        <f aca="false">IFERROR(IF(AND(AND(B337&lt;=Eingaben!$B$11,Szenarien!$H$17="OK"),B337=Eingaben!$B$11),Eingaben!$B$45*Szenarien!$B$17,0),0)</f>
        <v>0</v>
      </c>
      <c r="G337" s="13" t="n">
        <f aca="false">C337-D337-E337+F337</f>
        <v>0</v>
      </c>
      <c r="H337" s="13" t="n">
        <f aca="false">IFERROR(IF(AND(B337&lt;=Eingaben!$B$11,Szenarien!$H$17="OK"),1/(1+Eingaben!$B$39+Szenarien!$G$17)^B337,0),0)</f>
        <v>0</v>
      </c>
      <c r="I337" s="13" t="n">
        <f aca="false">G337*H337</f>
        <v>0</v>
      </c>
      <c r="J337" s="13" t="n">
        <f aca="false">(D337+E337-F337)*H337</f>
        <v>0</v>
      </c>
      <c r="K337" s="13" t="n">
        <f aca="false">IF(AND(B337&lt;=Eingaben!$B$11,Szenarien!$H$17="OK"),SUM(Variantenbilanz!K2201:K2566)*H337,0)</f>
        <v>0</v>
      </c>
    </row>
    <row r="338" customFormat="false" ht="16.4" hidden="false" customHeight="false" outlineLevel="0" collapsed="false">
      <c r="A338" s="12"/>
      <c r="B338" s="15" t="n">
        <v>27</v>
      </c>
      <c r="C338" s="13" t="n">
        <f aca="false">IFERROR(IF(AND(B338&lt;=Eingaben!$B$11,Szenarien!$H$17="OK"),SUM(Variantenbilanz!K2201:K2566)*(Eingaben!$B$36*Szenarien!$C$17*(1+Eingaben!$B$40)^(B338-1)+Eingaben!$B$37*Eingaben!$B$38*(1+Eingaben!$B$46)^(B338-1)),0),0)</f>
        <v>0</v>
      </c>
      <c r="D338" s="13" t="n">
        <f aca="false">IFERROR(IF(AND(B338&lt;=Eingaben!$B$11,Szenarien!$H$17="OK"),((Eingaben!$B$32+Eingaben!$B$35)*(1+Eingaben!$B$41)^(B338-1)+SUM(Variantenbilanz!E2201:E2566)*Eingaben!$B$33*Eingaben!$B$34*(1+Eingaben!$B$42)^(B338-1))*Szenarien!$F$17,0),0)</f>
        <v>0</v>
      </c>
      <c r="E338" s="13" t="n">
        <f aca="false">IFERROR(IF(AND(AND(B338&lt;=Eingaben!$B$11,Szenarien!$H$17="OK"),B338=Eingaben!$B$43),Eingaben!$B$44*Szenarien!$B$17*(1+Eingaben!$B$41)^(B338-1),0),0)</f>
        <v>0</v>
      </c>
      <c r="F338" s="13" t="n">
        <f aca="false">IFERROR(IF(AND(AND(B338&lt;=Eingaben!$B$11,Szenarien!$H$17="OK"),B338=Eingaben!$B$11),Eingaben!$B$45*Szenarien!$B$17,0),0)</f>
        <v>0</v>
      </c>
      <c r="G338" s="13" t="n">
        <f aca="false">C338-D338-E338+F338</f>
        <v>0</v>
      </c>
      <c r="H338" s="13" t="n">
        <f aca="false">IFERROR(IF(AND(B338&lt;=Eingaben!$B$11,Szenarien!$H$17="OK"),1/(1+Eingaben!$B$39+Szenarien!$G$17)^B338,0),0)</f>
        <v>0</v>
      </c>
      <c r="I338" s="13" t="n">
        <f aca="false">G338*H338</f>
        <v>0</v>
      </c>
      <c r="J338" s="13" t="n">
        <f aca="false">(D338+E338-F338)*H338</f>
        <v>0</v>
      </c>
      <c r="K338" s="13" t="n">
        <f aca="false">IF(AND(B338&lt;=Eingaben!$B$11,Szenarien!$H$17="OK"),SUM(Variantenbilanz!K2201:K2566)*H338,0)</f>
        <v>0</v>
      </c>
    </row>
    <row r="339" customFormat="false" ht="16.4" hidden="false" customHeight="false" outlineLevel="0" collapsed="false">
      <c r="A339" s="12"/>
      <c r="B339" s="15" t="n">
        <v>28</v>
      </c>
      <c r="C339" s="13" t="n">
        <f aca="false">IFERROR(IF(AND(B339&lt;=Eingaben!$B$11,Szenarien!$H$17="OK"),SUM(Variantenbilanz!K2201:K2566)*(Eingaben!$B$36*Szenarien!$C$17*(1+Eingaben!$B$40)^(B339-1)+Eingaben!$B$37*Eingaben!$B$38*(1+Eingaben!$B$46)^(B339-1)),0),0)</f>
        <v>0</v>
      </c>
      <c r="D339" s="13" t="n">
        <f aca="false">IFERROR(IF(AND(B339&lt;=Eingaben!$B$11,Szenarien!$H$17="OK"),((Eingaben!$B$32+Eingaben!$B$35)*(1+Eingaben!$B$41)^(B339-1)+SUM(Variantenbilanz!E2201:E2566)*Eingaben!$B$33*Eingaben!$B$34*(1+Eingaben!$B$42)^(B339-1))*Szenarien!$F$17,0),0)</f>
        <v>0</v>
      </c>
      <c r="E339" s="13" t="n">
        <f aca="false">IFERROR(IF(AND(AND(B339&lt;=Eingaben!$B$11,Szenarien!$H$17="OK"),B339=Eingaben!$B$43),Eingaben!$B$44*Szenarien!$B$17*(1+Eingaben!$B$41)^(B339-1),0),0)</f>
        <v>0</v>
      </c>
      <c r="F339" s="13" t="n">
        <f aca="false">IFERROR(IF(AND(AND(B339&lt;=Eingaben!$B$11,Szenarien!$H$17="OK"),B339=Eingaben!$B$11),Eingaben!$B$45*Szenarien!$B$17,0),0)</f>
        <v>0</v>
      </c>
      <c r="G339" s="13" t="n">
        <f aca="false">C339-D339-E339+F339</f>
        <v>0</v>
      </c>
      <c r="H339" s="13" t="n">
        <f aca="false">IFERROR(IF(AND(B339&lt;=Eingaben!$B$11,Szenarien!$H$17="OK"),1/(1+Eingaben!$B$39+Szenarien!$G$17)^B339,0),0)</f>
        <v>0</v>
      </c>
      <c r="I339" s="13" t="n">
        <f aca="false">G339*H339</f>
        <v>0</v>
      </c>
      <c r="J339" s="13" t="n">
        <f aca="false">(D339+E339-F339)*H339</f>
        <v>0</v>
      </c>
      <c r="K339" s="13" t="n">
        <f aca="false">IF(AND(B339&lt;=Eingaben!$B$11,Szenarien!$H$17="OK"),SUM(Variantenbilanz!K2201:K2566)*H339,0)</f>
        <v>0</v>
      </c>
    </row>
    <row r="340" customFormat="false" ht="16.4" hidden="false" customHeight="false" outlineLevel="0" collapsed="false">
      <c r="A340" s="12"/>
      <c r="B340" s="15" t="n">
        <v>29</v>
      </c>
      <c r="C340" s="13" t="n">
        <f aca="false">IFERROR(IF(AND(B340&lt;=Eingaben!$B$11,Szenarien!$H$17="OK"),SUM(Variantenbilanz!K2201:K2566)*(Eingaben!$B$36*Szenarien!$C$17*(1+Eingaben!$B$40)^(B340-1)+Eingaben!$B$37*Eingaben!$B$38*(1+Eingaben!$B$46)^(B340-1)),0),0)</f>
        <v>0</v>
      </c>
      <c r="D340" s="13" t="n">
        <f aca="false">IFERROR(IF(AND(B340&lt;=Eingaben!$B$11,Szenarien!$H$17="OK"),((Eingaben!$B$32+Eingaben!$B$35)*(1+Eingaben!$B$41)^(B340-1)+SUM(Variantenbilanz!E2201:E2566)*Eingaben!$B$33*Eingaben!$B$34*(1+Eingaben!$B$42)^(B340-1))*Szenarien!$F$17,0),0)</f>
        <v>0</v>
      </c>
      <c r="E340" s="13" t="n">
        <f aca="false">IFERROR(IF(AND(AND(B340&lt;=Eingaben!$B$11,Szenarien!$H$17="OK"),B340=Eingaben!$B$43),Eingaben!$B$44*Szenarien!$B$17*(1+Eingaben!$B$41)^(B340-1),0),0)</f>
        <v>0</v>
      </c>
      <c r="F340" s="13" t="n">
        <f aca="false">IFERROR(IF(AND(AND(B340&lt;=Eingaben!$B$11,Szenarien!$H$17="OK"),B340=Eingaben!$B$11),Eingaben!$B$45*Szenarien!$B$17,0),0)</f>
        <v>0</v>
      </c>
      <c r="G340" s="13" t="n">
        <f aca="false">C340-D340-E340+F340</f>
        <v>0</v>
      </c>
      <c r="H340" s="13" t="n">
        <f aca="false">IFERROR(IF(AND(B340&lt;=Eingaben!$B$11,Szenarien!$H$17="OK"),1/(1+Eingaben!$B$39+Szenarien!$G$17)^B340,0),0)</f>
        <v>0</v>
      </c>
      <c r="I340" s="13" t="n">
        <f aca="false">G340*H340</f>
        <v>0</v>
      </c>
      <c r="J340" s="13" t="n">
        <f aca="false">(D340+E340-F340)*H340</f>
        <v>0</v>
      </c>
      <c r="K340" s="13" t="n">
        <f aca="false">IF(AND(B340&lt;=Eingaben!$B$11,Szenarien!$H$17="OK"),SUM(Variantenbilanz!K2201:K2566)*H340,0)</f>
        <v>0</v>
      </c>
    </row>
    <row r="341" customFormat="false" ht="16.4" hidden="false" customHeight="false" outlineLevel="0" collapsed="false">
      <c r="A341" s="12"/>
      <c r="B341" s="15" t="n">
        <v>30</v>
      </c>
      <c r="C341" s="13" t="n">
        <f aca="false">IFERROR(IF(AND(B341&lt;=Eingaben!$B$11,Szenarien!$H$17="OK"),SUM(Variantenbilanz!K2201:K2566)*(Eingaben!$B$36*Szenarien!$C$17*(1+Eingaben!$B$40)^(B341-1)+Eingaben!$B$37*Eingaben!$B$38*(1+Eingaben!$B$46)^(B341-1)),0),0)</f>
        <v>0</v>
      </c>
      <c r="D341" s="13" t="n">
        <f aca="false">IFERROR(IF(AND(B341&lt;=Eingaben!$B$11,Szenarien!$H$17="OK"),((Eingaben!$B$32+Eingaben!$B$35)*(1+Eingaben!$B$41)^(B341-1)+SUM(Variantenbilanz!E2201:E2566)*Eingaben!$B$33*Eingaben!$B$34*(1+Eingaben!$B$42)^(B341-1))*Szenarien!$F$17,0),0)</f>
        <v>0</v>
      </c>
      <c r="E341" s="13" t="n">
        <f aca="false">IFERROR(IF(AND(AND(B341&lt;=Eingaben!$B$11,Szenarien!$H$17="OK"),B341=Eingaben!$B$43),Eingaben!$B$44*Szenarien!$B$17*(1+Eingaben!$B$41)^(B341-1),0),0)</f>
        <v>0</v>
      </c>
      <c r="F341" s="13" t="n">
        <f aca="false">IFERROR(IF(AND(AND(B341&lt;=Eingaben!$B$11,Szenarien!$H$17="OK"),B341=Eingaben!$B$11),Eingaben!$B$45*Szenarien!$B$17,0),0)</f>
        <v>0</v>
      </c>
      <c r="G341" s="13" t="n">
        <f aca="false">C341-D341-E341+F341</f>
        <v>0</v>
      </c>
      <c r="H341" s="13" t="n">
        <f aca="false">IFERROR(IF(AND(B341&lt;=Eingaben!$B$11,Szenarien!$H$17="OK"),1/(1+Eingaben!$B$39+Szenarien!$G$17)^B341,0),0)</f>
        <v>0</v>
      </c>
      <c r="I341" s="13" t="n">
        <f aca="false">G341*H341</f>
        <v>0</v>
      </c>
      <c r="J341" s="13" t="n">
        <f aca="false">(D341+E341-F341)*H341</f>
        <v>0</v>
      </c>
      <c r="K341" s="13" t="n">
        <f aca="false">IF(AND(B341&lt;=Eingaben!$B$11,Szenarien!$H$17="OK"),SUM(Variantenbilanz!K2201:K2566)*H341,0)</f>
        <v>0</v>
      </c>
    </row>
    <row r="342" customFormat="false" ht="16.4" hidden="false" customHeight="false" outlineLevel="0" collapsed="false">
      <c r="A342" s="12"/>
      <c r="B342" s="15" t="n">
        <v>31</v>
      </c>
      <c r="C342" s="13" t="n">
        <f aca="false">IFERROR(IF(AND(B342&lt;=Eingaben!$B$11,Szenarien!$H$17="OK"),SUM(Variantenbilanz!K2201:K2566)*(Eingaben!$B$36*Szenarien!$C$17*(1+Eingaben!$B$40)^(B342-1)+Eingaben!$B$37*Eingaben!$B$38*(1+Eingaben!$B$46)^(B342-1)),0),0)</f>
        <v>0</v>
      </c>
      <c r="D342" s="13" t="n">
        <f aca="false">IFERROR(IF(AND(B342&lt;=Eingaben!$B$11,Szenarien!$H$17="OK"),((Eingaben!$B$32+Eingaben!$B$35)*(1+Eingaben!$B$41)^(B342-1)+SUM(Variantenbilanz!E2201:E2566)*Eingaben!$B$33*Eingaben!$B$34*(1+Eingaben!$B$42)^(B342-1))*Szenarien!$F$17,0),0)</f>
        <v>0</v>
      </c>
      <c r="E342" s="13" t="n">
        <f aca="false">IFERROR(IF(AND(AND(B342&lt;=Eingaben!$B$11,Szenarien!$H$17="OK"),B342=Eingaben!$B$43),Eingaben!$B$44*Szenarien!$B$17*(1+Eingaben!$B$41)^(B342-1),0),0)</f>
        <v>0</v>
      </c>
      <c r="F342" s="13" t="n">
        <f aca="false">IFERROR(IF(AND(AND(B342&lt;=Eingaben!$B$11,Szenarien!$H$17="OK"),B342=Eingaben!$B$11),Eingaben!$B$45*Szenarien!$B$17,0),0)</f>
        <v>0</v>
      </c>
      <c r="G342" s="13" t="n">
        <f aca="false">C342-D342-E342+F342</f>
        <v>0</v>
      </c>
      <c r="H342" s="13" t="n">
        <f aca="false">IFERROR(IF(AND(B342&lt;=Eingaben!$B$11,Szenarien!$H$17="OK"),1/(1+Eingaben!$B$39+Szenarien!$G$17)^B342,0),0)</f>
        <v>0</v>
      </c>
      <c r="I342" s="13" t="n">
        <f aca="false">G342*H342</f>
        <v>0</v>
      </c>
      <c r="J342" s="13" t="n">
        <f aca="false">(D342+E342-F342)*H342</f>
        <v>0</v>
      </c>
      <c r="K342" s="13" t="n">
        <f aca="false">IF(AND(B342&lt;=Eingaben!$B$11,Szenarien!$H$17="OK"),SUM(Variantenbilanz!K2201:K2566)*H342,0)</f>
        <v>0</v>
      </c>
    </row>
    <row r="343" customFormat="false" ht="16.4" hidden="false" customHeight="false" outlineLevel="0" collapsed="false">
      <c r="A343" s="12"/>
      <c r="B343" s="15" t="n">
        <v>32</v>
      </c>
      <c r="C343" s="13" t="n">
        <f aca="false">IFERROR(IF(AND(B343&lt;=Eingaben!$B$11,Szenarien!$H$17="OK"),SUM(Variantenbilanz!K2201:K2566)*(Eingaben!$B$36*Szenarien!$C$17*(1+Eingaben!$B$40)^(B343-1)+Eingaben!$B$37*Eingaben!$B$38*(1+Eingaben!$B$46)^(B343-1)),0),0)</f>
        <v>0</v>
      </c>
      <c r="D343" s="13" t="n">
        <f aca="false">IFERROR(IF(AND(B343&lt;=Eingaben!$B$11,Szenarien!$H$17="OK"),((Eingaben!$B$32+Eingaben!$B$35)*(1+Eingaben!$B$41)^(B343-1)+SUM(Variantenbilanz!E2201:E2566)*Eingaben!$B$33*Eingaben!$B$34*(1+Eingaben!$B$42)^(B343-1))*Szenarien!$F$17,0),0)</f>
        <v>0</v>
      </c>
      <c r="E343" s="13" t="n">
        <f aca="false">IFERROR(IF(AND(AND(B343&lt;=Eingaben!$B$11,Szenarien!$H$17="OK"),B343=Eingaben!$B$43),Eingaben!$B$44*Szenarien!$B$17*(1+Eingaben!$B$41)^(B343-1),0),0)</f>
        <v>0</v>
      </c>
      <c r="F343" s="13" t="n">
        <f aca="false">IFERROR(IF(AND(AND(B343&lt;=Eingaben!$B$11,Szenarien!$H$17="OK"),B343=Eingaben!$B$11),Eingaben!$B$45*Szenarien!$B$17,0),0)</f>
        <v>0</v>
      </c>
      <c r="G343" s="13" t="n">
        <f aca="false">C343-D343-E343+F343</f>
        <v>0</v>
      </c>
      <c r="H343" s="13" t="n">
        <f aca="false">IFERROR(IF(AND(B343&lt;=Eingaben!$B$11,Szenarien!$H$17="OK"),1/(1+Eingaben!$B$39+Szenarien!$G$17)^B343,0),0)</f>
        <v>0</v>
      </c>
      <c r="I343" s="13" t="n">
        <f aca="false">G343*H343</f>
        <v>0</v>
      </c>
      <c r="J343" s="13" t="n">
        <f aca="false">(D343+E343-F343)*H343</f>
        <v>0</v>
      </c>
      <c r="K343" s="13" t="n">
        <f aca="false">IF(AND(B343&lt;=Eingaben!$B$11,Szenarien!$H$17="OK"),SUM(Variantenbilanz!K2201:K2566)*H343,0)</f>
        <v>0</v>
      </c>
    </row>
    <row r="344" customFormat="false" ht="16.4" hidden="false" customHeight="false" outlineLevel="0" collapsed="false">
      <c r="A344" s="12"/>
      <c r="B344" s="15" t="n">
        <v>33</v>
      </c>
      <c r="C344" s="13" t="n">
        <f aca="false">IFERROR(IF(AND(B344&lt;=Eingaben!$B$11,Szenarien!$H$17="OK"),SUM(Variantenbilanz!K2201:K2566)*(Eingaben!$B$36*Szenarien!$C$17*(1+Eingaben!$B$40)^(B344-1)+Eingaben!$B$37*Eingaben!$B$38*(1+Eingaben!$B$46)^(B344-1)),0),0)</f>
        <v>0</v>
      </c>
      <c r="D344" s="13" t="n">
        <f aca="false">IFERROR(IF(AND(B344&lt;=Eingaben!$B$11,Szenarien!$H$17="OK"),((Eingaben!$B$32+Eingaben!$B$35)*(1+Eingaben!$B$41)^(B344-1)+SUM(Variantenbilanz!E2201:E2566)*Eingaben!$B$33*Eingaben!$B$34*(1+Eingaben!$B$42)^(B344-1))*Szenarien!$F$17,0),0)</f>
        <v>0</v>
      </c>
      <c r="E344" s="13" t="n">
        <f aca="false">IFERROR(IF(AND(AND(B344&lt;=Eingaben!$B$11,Szenarien!$H$17="OK"),B344=Eingaben!$B$43),Eingaben!$B$44*Szenarien!$B$17*(1+Eingaben!$B$41)^(B344-1),0),0)</f>
        <v>0</v>
      </c>
      <c r="F344" s="13" t="n">
        <f aca="false">IFERROR(IF(AND(AND(B344&lt;=Eingaben!$B$11,Szenarien!$H$17="OK"),B344=Eingaben!$B$11),Eingaben!$B$45*Szenarien!$B$17,0),0)</f>
        <v>0</v>
      </c>
      <c r="G344" s="13" t="n">
        <f aca="false">C344-D344-E344+F344</f>
        <v>0</v>
      </c>
      <c r="H344" s="13" t="n">
        <f aca="false">IFERROR(IF(AND(B344&lt;=Eingaben!$B$11,Szenarien!$H$17="OK"),1/(1+Eingaben!$B$39+Szenarien!$G$17)^B344,0),0)</f>
        <v>0</v>
      </c>
      <c r="I344" s="13" t="n">
        <f aca="false">G344*H344</f>
        <v>0</v>
      </c>
      <c r="J344" s="13" t="n">
        <f aca="false">(D344+E344-F344)*H344</f>
        <v>0</v>
      </c>
      <c r="K344" s="13" t="n">
        <f aca="false">IF(AND(B344&lt;=Eingaben!$B$11,Szenarien!$H$17="OK"),SUM(Variantenbilanz!K2201:K2566)*H344,0)</f>
        <v>0</v>
      </c>
    </row>
    <row r="345" customFormat="false" ht="16.4" hidden="false" customHeight="false" outlineLevel="0" collapsed="false">
      <c r="A345" s="12"/>
      <c r="B345" s="15" t="n">
        <v>34</v>
      </c>
      <c r="C345" s="13" t="n">
        <f aca="false">IFERROR(IF(AND(B345&lt;=Eingaben!$B$11,Szenarien!$H$17="OK"),SUM(Variantenbilanz!K2201:K2566)*(Eingaben!$B$36*Szenarien!$C$17*(1+Eingaben!$B$40)^(B345-1)+Eingaben!$B$37*Eingaben!$B$38*(1+Eingaben!$B$46)^(B345-1)),0),0)</f>
        <v>0</v>
      </c>
      <c r="D345" s="13" t="n">
        <f aca="false">IFERROR(IF(AND(B345&lt;=Eingaben!$B$11,Szenarien!$H$17="OK"),((Eingaben!$B$32+Eingaben!$B$35)*(1+Eingaben!$B$41)^(B345-1)+SUM(Variantenbilanz!E2201:E2566)*Eingaben!$B$33*Eingaben!$B$34*(1+Eingaben!$B$42)^(B345-1))*Szenarien!$F$17,0),0)</f>
        <v>0</v>
      </c>
      <c r="E345" s="13" t="n">
        <f aca="false">IFERROR(IF(AND(AND(B345&lt;=Eingaben!$B$11,Szenarien!$H$17="OK"),B345=Eingaben!$B$43),Eingaben!$B$44*Szenarien!$B$17*(1+Eingaben!$B$41)^(B345-1),0),0)</f>
        <v>0</v>
      </c>
      <c r="F345" s="13" t="n">
        <f aca="false">IFERROR(IF(AND(AND(B345&lt;=Eingaben!$B$11,Szenarien!$H$17="OK"),B345=Eingaben!$B$11),Eingaben!$B$45*Szenarien!$B$17,0),0)</f>
        <v>0</v>
      </c>
      <c r="G345" s="13" t="n">
        <f aca="false">C345-D345-E345+F345</f>
        <v>0</v>
      </c>
      <c r="H345" s="13" t="n">
        <f aca="false">IFERROR(IF(AND(B345&lt;=Eingaben!$B$11,Szenarien!$H$17="OK"),1/(1+Eingaben!$B$39+Szenarien!$G$17)^B345,0),0)</f>
        <v>0</v>
      </c>
      <c r="I345" s="13" t="n">
        <f aca="false">G345*H345</f>
        <v>0</v>
      </c>
      <c r="J345" s="13" t="n">
        <f aca="false">(D345+E345-F345)*H345</f>
        <v>0</v>
      </c>
      <c r="K345" s="13" t="n">
        <f aca="false">IF(AND(B345&lt;=Eingaben!$B$11,Szenarien!$H$17="OK"),SUM(Variantenbilanz!K2201:K2566)*H345,0)</f>
        <v>0</v>
      </c>
    </row>
    <row r="346" customFormat="false" ht="16.4" hidden="false" customHeight="false" outlineLevel="0" collapsed="false">
      <c r="A346" s="12"/>
      <c r="B346" s="15" t="n">
        <v>35</v>
      </c>
      <c r="C346" s="13" t="n">
        <f aca="false">IFERROR(IF(AND(B346&lt;=Eingaben!$B$11,Szenarien!$H$17="OK"),SUM(Variantenbilanz!K2201:K2566)*(Eingaben!$B$36*Szenarien!$C$17*(1+Eingaben!$B$40)^(B346-1)+Eingaben!$B$37*Eingaben!$B$38*(1+Eingaben!$B$46)^(B346-1)),0),0)</f>
        <v>0</v>
      </c>
      <c r="D346" s="13" t="n">
        <f aca="false">IFERROR(IF(AND(B346&lt;=Eingaben!$B$11,Szenarien!$H$17="OK"),((Eingaben!$B$32+Eingaben!$B$35)*(1+Eingaben!$B$41)^(B346-1)+SUM(Variantenbilanz!E2201:E2566)*Eingaben!$B$33*Eingaben!$B$34*(1+Eingaben!$B$42)^(B346-1))*Szenarien!$F$17,0),0)</f>
        <v>0</v>
      </c>
      <c r="E346" s="13" t="n">
        <f aca="false">IFERROR(IF(AND(AND(B346&lt;=Eingaben!$B$11,Szenarien!$H$17="OK"),B346=Eingaben!$B$43),Eingaben!$B$44*Szenarien!$B$17*(1+Eingaben!$B$41)^(B346-1),0),0)</f>
        <v>0</v>
      </c>
      <c r="F346" s="13" t="n">
        <f aca="false">IFERROR(IF(AND(AND(B346&lt;=Eingaben!$B$11,Szenarien!$H$17="OK"),B346=Eingaben!$B$11),Eingaben!$B$45*Szenarien!$B$17,0),0)</f>
        <v>0</v>
      </c>
      <c r="G346" s="13" t="n">
        <f aca="false">C346-D346-E346+F346</f>
        <v>0</v>
      </c>
      <c r="H346" s="13" t="n">
        <f aca="false">IFERROR(IF(AND(B346&lt;=Eingaben!$B$11,Szenarien!$H$17="OK"),1/(1+Eingaben!$B$39+Szenarien!$G$17)^B346,0),0)</f>
        <v>0</v>
      </c>
      <c r="I346" s="13" t="n">
        <f aca="false">G346*H346</f>
        <v>0</v>
      </c>
      <c r="J346" s="13" t="n">
        <f aca="false">(D346+E346-F346)*H346</f>
        <v>0</v>
      </c>
      <c r="K346" s="13" t="n">
        <f aca="false">IF(AND(B346&lt;=Eingaben!$B$11,Szenarien!$H$17="OK"),SUM(Variantenbilanz!K2201:K2566)*H346,0)</f>
        <v>0</v>
      </c>
    </row>
    <row r="347" customFormat="false" ht="16.4" hidden="false" customHeight="false" outlineLevel="0" collapsed="false">
      <c r="A347" s="12"/>
      <c r="B347" s="15" t="n">
        <v>36</v>
      </c>
      <c r="C347" s="13" t="n">
        <f aca="false">IFERROR(IF(AND(B347&lt;=Eingaben!$B$11,Szenarien!$H$17="OK"),SUM(Variantenbilanz!K2201:K2566)*(Eingaben!$B$36*Szenarien!$C$17*(1+Eingaben!$B$40)^(B347-1)+Eingaben!$B$37*Eingaben!$B$38*(1+Eingaben!$B$46)^(B347-1)),0),0)</f>
        <v>0</v>
      </c>
      <c r="D347" s="13" t="n">
        <f aca="false">IFERROR(IF(AND(B347&lt;=Eingaben!$B$11,Szenarien!$H$17="OK"),((Eingaben!$B$32+Eingaben!$B$35)*(1+Eingaben!$B$41)^(B347-1)+SUM(Variantenbilanz!E2201:E2566)*Eingaben!$B$33*Eingaben!$B$34*(1+Eingaben!$B$42)^(B347-1))*Szenarien!$F$17,0),0)</f>
        <v>0</v>
      </c>
      <c r="E347" s="13" t="n">
        <f aca="false">IFERROR(IF(AND(AND(B347&lt;=Eingaben!$B$11,Szenarien!$H$17="OK"),B347=Eingaben!$B$43),Eingaben!$B$44*Szenarien!$B$17*(1+Eingaben!$B$41)^(B347-1),0),0)</f>
        <v>0</v>
      </c>
      <c r="F347" s="13" t="n">
        <f aca="false">IFERROR(IF(AND(AND(B347&lt;=Eingaben!$B$11,Szenarien!$H$17="OK"),B347=Eingaben!$B$11),Eingaben!$B$45*Szenarien!$B$17,0),0)</f>
        <v>0</v>
      </c>
      <c r="G347" s="13" t="n">
        <f aca="false">C347-D347-E347+F347</f>
        <v>0</v>
      </c>
      <c r="H347" s="13" t="n">
        <f aca="false">IFERROR(IF(AND(B347&lt;=Eingaben!$B$11,Szenarien!$H$17="OK"),1/(1+Eingaben!$B$39+Szenarien!$G$17)^B347,0),0)</f>
        <v>0</v>
      </c>
      <c r="I347" s="13" t="n">
        <f aca="false">G347*H347</f>
        <v>0</v>
      </c>
      <c r="J347" s="13" t="n">
        <f aca="false">(D347+E347-F347)*H347</f>
        <v>0</v>
      </c>
      <c r="K347" s="13" t="n">
        <f aca="false">IF(AND(B347&lt;=Eingaben!$B$11,Szenarien!$H$17="OK"),SUM(Variantenbilanz!K2201:K2566)*H347,0)</f>
        <v>0</v>
      </c>
    </row>
    <row r="348" customFormat="false" ht="16.4" hidden="false" customHeight="false" outlineLevel="0" collapsed="false">
      <c r="A348" s="12"/>
      <c r="B348" s="15" t="n">
        <v>37</v>
      </c>
      <c r="C348" s="13" t="n">
        <f aca="false">IFERROR(IF(AND(B348&lt;=Eingaben!$B$11,Szenarien!$H$17="OK"),SUM(Variantenbilanz!K2201:K2566)*(Eingaben!$B$36*Szenarien!$C$17*(1+Eingaben!$B$40)^(B348-1)+Eingaben!$B$37*Eingaben!$B$38*(1+Eingaben!$B$46)^(B348-1)),0),0)</f>
        <v>0</v>
      </c>
      <c r="D348" s="13" t="n">
        <f aca="false">IFERROR(IF(AND(B348&lt;=Eingaben!$B$11,Szenarien!$H$17="OK"),((Eingaben!$B$32+Eingaben!$B$35)*(1+Eingaben!$B$41)^(B348-1)+SUM(Variantenbilanz!E2201:E2566)*Eingaben!$B$33*Eingaben!$B$34*(1+Eingaben!$B$42)^(B348-1))*Szenarien!$F$17,0),0)</f>
        <v>0</v>
      </c>
      <c r="E348" s="13" t="n">
        <f aca="false">IFERROR(IF(AND(AND(B348&lt;=Eingaben!$B$11,Szenarien!$H$17="OK"),B348=Eingaben!$B$43),Eingaben!$B$44*Szenarien!$B$17*(1+Eingaben!$B$41)^(B348-1),0),0)</f>
        <v>0</v>
      </c>
      <c r="F348" s="13" t="n">
        <f aca="false">IFERROR(IF(AND(AND(B348&lt;=Eingaben!$B$11,Szenarien!$H$17="OK"),B348=Eingaben!$B$11),Eingaben!$B$45*Szenarien!$B$17,0),0)</f>
        <v>0</v>
      </c>
      <c r="G348" s="13" t="n">
        <f aca="false">C348-D348-E348+F348</f>
        <v>0</v>
      </c>
      <c r="H348" s="13" t="n">
        <f aca="false">IFERROR(IF(AND(B348&lt;=Eingaben!$B$11,Szenarien!$H$17="OK"),1/(1+Eingaben!$B$39+Szenarien!$G$17)^B348,0),0)</f>
        <v>0</v>
      </c>
      <c r="I348" s="13" t="n">
        <f aca="false">G348*H348</f>
        <v>0</v>
      </c>
      <c r="J348" s="13" t="n">
        <f aca="false">(D348+E348-F348)*H348</f>
        <v>0</v>
      </c>
      <c r="K348" s="13" t="n">
        <f aca="false">IF(AND(B348&lt;=Eingaben!$B$11,Szenarien!$H$17="OK"),SUM(Variantenbilanz!K2201:K2566)*H348,0)</f>
        <v>0</v>
      </c>
    </row>
    <row r="349" customFormat="false" ht="16.4" hidden="false" customHeight="false" outlineLevel="0" collapsed="false">
      <c r="A349" s="12"/>
      <c r="B349" s="15" t="n">
        <v>38</v>
      </c>
      <c r="C349" s="13" t="n">
        <f aca="false">IFERROR(IF(AND(B349&lt;=Eingaben!$B$11,Szenarien!$H$17="OK"),SUM(Variantenbilanz!K2201:K2566)*(Eingaben!$B$36*Szenarien!$C$17*(1+Eingaben!$B$40)^(B349-1)+Eingaben!$B$37*Eingaben!$B$38*(1+Eingaben!$B$46)^(B349-1)),0),0)</f>
        <v>0</v>
      </c>
      <c r="D349" s="13" t="n">
        <f aca="false">IFERROR(IF(AND(B349&lt;=Eingaben!$B$11,Szenarien!$H$17="OK"),((Eingaben!$B$32+Eingaben!$B$35)*(1+Eingaben!$B$41)^(B349-1)+SUM(Variantenbilanz!E2201:E2566)*Eingaben!$B$33*Eingaben!$B$34*(1+Eingaben!$B$42)^(B349-1))*Szenarien!$F$17,0),0)</f>
        <v>0</v>
      </c>
      <c r="E349" s="13" t="n">
        <f aca="false">IFERROR(IF(AND(AND(B349&lt;=Eingaben!$B$11,Szenarien!$H$17="OK"),B349=Eingaben!$B$43),Eingaben!$B$44*Szenarien!$B$17*(1+Eingaben!$B$41)^(B349-1),0),0)</f>
        <v>0</v>
      </c>
      <c r="F349" s="13" t="n">
        <f aca="false">IFERROR(IF(AND(AND(B349&lt;=Eingaben!$B$11,Szenarien!$H$17="OK"),B349=Eingaben!$B$11),Eingaben!$B$45*Szenarien!$B$17,0),0)</f>
        <v>0</v>
      </c>
      <c r="G349" s="13" t="n">
        <f aca="false">C349-D349-E349+F349</f>
        <v>0</v>
      </c>
      <c r="H349" s="13" t="n">
        <f aca="false">IFERROR(IF(AND(B349&lt;=Eingaben!$B$11,Szenarien!$H$17="OK"),1/(1+Eingaben!$B$39+Szenarien!$G$17)^B349,0),0)</f>
        <v>0</v>
      </c>
      <c r="I349" s="13" t="n">
        <f aca="false">G349*H349</f>
        <v>0</v>
      </c>
      <c r="J349" s="13" t="n">
        <f aca="false">(D349+E349-F349)*H349</f>
        <v>0</v>
      </c>
      <c r="K349" s="13" t="n">
        <f aca="false">IF(AND(B349&lt;=Eingaben!$B$11,Szenarien!$H$17="OK"),SUM(Variantenbilanz!K2201:K2566)*H349,0)</f>
        <v>0</v>
      </c>
    </row>
    <row r="350" customFormat="false" ht="16.4" hidden="false" customHeight="false" outlineLevel="0" collapsed="false">
      <c r="A350" s="12"/>
      <c r="B350" s="15" t="n">
        <v>39</v>
      </c>
      <c r="C350" s="13" t="n">
        <f aca="false">IFERROR(IF(AND(B350&lt;=Eingaben!$B$11,Szenarien!$H$17="OK"),SUM(Variantenbilanz!K2201:K2566)*(Eingaben!$B$36*Szenarien!$C$17*(1+Eingaben!$B$40)^(B350-1)+Eingaben!$B$37*Eingaben!$B$38*(1+Eingaben!$B$46)^(B350-1)),0),0)</f>
        <v>0</v>
      </c>
      <c r="D350" s="13" t="n">
        <f aca="false">IFERROR(IF(AND(B350&lt;=Eingaben!$B$11,Szenarien!$H$17="OK"),((Eingaben!$B$32+Eingaben!$B$35)*(1+Eingaben!$B$41)^(B350-1)+SUM(Variantenbilanz!E2201:E2566)*Eingaben!$B$33*Eingaben!$B$34*(1+Eingaben!$B$42)^(B350-1))*Szenarien!$F$17,0),0)</f>
        <v>0</v>
      </c>
      <c r="E350" s="13" t="n">
        <f aca="false">IFERROR(IF(AND(AND(B350&lt;=Eingaben!$B$11,Szenarien!$H$17="OK"),B350=Eingaben!$B$43),Eingaben!$B$44*Szenarien!$B$17*(1+Eingaben!$B$41)^(B350-1),0),0)</f>
        <v>0</v>
      </c>
      <c r="F350" s="13" t="n">
        <f aca="false">IFERROR(IF(AND(AND(B350&lt;=Eingaben!$B$11,Szenarien!$H$17="OK"),B350=Eingaben!$B$11),Eingaben!$B$45*Szenarien!$B$17,0),0)</f>
        <v>0</v>
      </c>
      <c r="G350" s="13" t="n">
        <f aca="false">C350-D350-E350+F350</f>
        <v>0</v>
      </c>
      <c r="H350" s="13" t="n">
        <f aca="false">IFERROR(IF(AND(B350&lt;=Eingaben!$B$11,Szenarien!$H$17="OK"),1/(1+Eingaben!$B$39+Szenarien!$G$17)^B350,0),0)</f>
        <v>0</v>
      </c>
      <c r="I350" s="13" t="n">
        <f aca="false">G350*H350</f>
        <v>0</v>
      </c>
      <c r="J350" s="13" t="n">
        <f aca="false">(D350+E350-F350)*H350</f>
        <v>0</v>
      </c>
      <c r="K350" s="13" t="n">
        <f aca="false">IF(AND(B350&lt;=Eingaben!$B$11,Szenarien!$H$17="OK"),SUM(Variantenbilanz!K2201:K2566)*H350,0)</f>
        <v>0</v>
      </c>
    </row>
    <row r="351" customFormat="false" ht="16.4" hidden="false" customHeight="false" outlineLevel="0" collapsed="false">
      <c r="A351" s="12"/>
      <c r="B351" s="15" t="n">
        <v>40</v>
      </c>
      <c r="C351" s="13" t="n">
        <f aca="false">IFERROR(IF(AND(B351&lt;=Eingaben!$B$11,Szenarien!$H$17="OK"),SUM(Variantenbilanz!K2201:K2566)*(Eingaben!$B$36*Szenarien!$C$17*(1+Eingaben!$B$40)^(B351-1)+Eingaben!$B$37*Eingaben!$B$38*(1+Eingaben!$B$46)^(B351-1)),0),0)</f>
        <v>0</v>
      </c>
      <c r="D351" s="13" t="n">
        <f aca="false">IFERROR(IF(AND(B351&lt;=Eingaben!$B$11,Szenarien!$H$17="OK"),((Eingaben!$B$32+Eingaben!$B$35)*(1+Eingaben!$B$41)^(B351-1)+SUM(Variantenbilanz!E2201:E2566)*Eingaben!$B$33*Eingaben!$B$34*(1+Eingaben!$B$42)^(B351-1))*Szenarien!$F$17,0),0)</f>
        <v>0</v>
      </c>
      <c r="E351" s="13" t="n">
        <f aca="false">IFERROR(IF(AND(AND(B351&lt;=Eingaben!$B$11,Szenarien!$H$17="OK"),B351=Eingaben!$B$43),Eingaben!$B$44*Szenarien!$B$17*(1+Eingaben!$B$41)^(B351-1),0),0)</f>
        <v>0</v>
      </c>
      <c r="F351" s="13" t="n">
        <f aca="false">IFERROR(IF(AND(AND(B351&lt;=Eingaben!$B$11,Szenarien!$H$17="OK"),B351=Eingaben!$B$11),Eingaben!$B$45*Szenarien!$B$17,0),0)</f>
        <v>0</v>
      </c>
      <c r="G351" s="13" t="n">
        <f aca="false">C351-D351-E351+F351</f>
        <v>0</v>
      </c>
      <c r="H351" s="13" t="n">
        <f aca="false">IFERROR(IF(AND(B351&lt;=Eingaben!$B$11,Szenarien!$H$17="OK"),1/(1+Eingaben!$B$39+Szenarien!$G$17)^B351,0),0)</f>
        <v>0</v>
      </c>
      <c r="I351" s="13" t="n">
        <f aca="false">G351*H351</f>
        <v>0</v>
      </c>
      <c r="J351" s="13" t="n">
        <f aca="false">(D351+E351-F351)*H351</f>
        <v>0</v>
      </c>
      <c r="K351" s="13" t="n">
        <f aca="false">IF(AND(B351&lt;=Eingaben!$B$11,Szenarien!$H$17="OK"),SUM(Variantenbilanz!K2201:K2566)*H351,0)</f>
        <v>0</v>
      </c>
    </row>
    <row r="352" customFormat="false" ht="16.4" hidden="false" customHeight="false" outlineLevel="0" collapsed="false">
      <c r="A352" s="12"/>
      <c r="B352" s="15" t="n">
        <v>41</v>
      </c>
      <c r="C352" s="13" t="n">
        <f aca="false">IFERROR(IF(AND(B352&lt;=Eingaben!$B$11,Szenarien!$H$17="OK"),SUM(Variantenbilanz!K2201:K2566)*(Eingaben!$B$36*Szenarien!$C$17*(1+Eingaben!$B$40)^(B352-1)+Eingaben!$B$37*Eingaben!$B$38*(1+Eingaben!$B$46)^(B352-1)),0),0)</f>
        <v>0</v>
      </c>
      <c r="D352" s="13" t="n">
        <f aca="false">IFERROR(IF(AND(B352&lt;=Eingaben!$B$11,Szenarien!$H$17="OK"),((Eingaben!$B$32+Eingaben!$B$35)*(1+Eingaben!$B$41)^(B352-1)+SUM(Variantenbilanz!E2201:E2566)*Eingaben!$B$33*Eingaben!$B$34*(1+Eingaben!$B$42)^(B352-1))*Szenarien!$F$17,0),0)</f>
        <v>0</v>
      </c>
      <c r="E352" s="13" t="n">
        <f aca="false">IFERROR(IF(AND(AND(B352&lt;=Eingaben!$B$11,Szenarien!$H$17="OK"),B352=Eingaben!$B$43),Eingaben!$B$44*Szenarien!$B$17*(1+Eingaben!$B$41)^(B352-1),0),0)</f>
        <v>0</v>
      </c>
      <c r="F352" s="13" t="n">
        <f aca="false">IFERROR(IF(AND(AND(B352&lt;=Eingaben!$B$11,Szenarien!$H$17="OK"),B352=Eingaben!$B$11),Eingaben!$B$45*Szenarien!$B$17,0),0)</f>
        <v>0</v>
      </c>
      <c r="G352" s="13" t="n">
        <f aca="false">C352-D352-E352+F352</f>
        <v>0</v>
      </c>
      <c r="H352" s="13" t="n">
        <f aca="false">IFERROR(IF(AND(B352&lt;=Eingaben!$B$11,Szenarien!$H$17="OK"),1/(1+Eingaben!$B$39+Szenarien!$G$17)^B352,0),0)</f>
        <v>0</v>
      </c>
      <c r="I352" s="13" t="n">
        <f aca="false">G352*H352</f>
        <v>0</v>
      </c>
      <c r="J352" s="13" t="n">
        <f aca="false">(D352+E352-F352)*H352</f>
        <v>0</v>
      </c>
      <c r="K352" s="13" t="n">
        <f aca="false">IF(AND(B352&lt;=Eingaben!$B$11,Szenarien!$H$17="OK"),SUM(Variantenbilanz!K2201:K2566)*H352,0)</f>
        <v>0</v>
      </c>
    </row>
    <row r="353" customFormat="false" ht="16.4" hidden="false" customHeight="false" outlineLevel="0" collapsed="false">
      <c r="A353" s="12"/>
      <c r="B353" s="15" t="n">
        <v>42</v>
      </c>
      <c r="C353" s="13" t="n">
        <f aca="false">IFERROR(IF(AND(B353&lt;=Eingaben!$B$11,Szenarien!$H$17="OK"),SUM(Variantenbilanz!K2201:K2566)*(Eingaben!$B$36*Szenarien!$C$17*(1+Eingaben!$B$40)^(B353-1)+Eingaben!$B$37*Eingaben!$B$38*(1+Eingaben!$B$46)^(B353-1)),0),0)</f>
        <v>0</v>
      </c>
      <c r="D353" s="13" t="n">
        <f aca="false">IFERROR(IF(AND(B353&lt;=Eingaben!$B$11,Szenarien!$H$17="OK"),((Eingaben!$B$32+Eingaben!$B$35)*(1+Eingaben!$B$41)^(B353-1)+SUM(Variantenbilanz!E2201:E2566)*Eingaben!$B$33*Eingaben!$B$34*(1+Eingaben!$B$42)^(B353-1))*Szenarien!$F$17,0),0)</f>
        <v>0</v>
      </c>
      <c r="E353" s="13" t="n">
        <f aca="false">IFERROR(IF(AND(AND(B353&lt;=Eingaben!$B$11,Szenarien!$H$17="OK"),B353=Eingaben!$B$43),Eingaben!$B$44*Szenarien!$B$17*(1+Eingaben!$B$41)^(B353-1),0),0)</f>
        <v>0</v>
      </c>
      <c r="F353" s="13" t="n">
        <f aca="false">IFERROR(IF(AND(AND(B353&lt;=Eingaben!$B$11,Szenarien!$H$17="OK"),B353=Eingaben!$B$11),Eingaben!$B$45*Szenarien!$B$17,0),0)</f>
        <v>0</v>
      </c>
      <c r="G353" s="13" t="n">
        <f aca="false">C353-D353-E353+F353</f>
        <v>0</v>
      </c>
      <c r="H353" s="13" t="n">
        <f aca="false">IFERROR(IF(AND(B353&lt;=Eingaben!$B$11,Szenarien!$H$17="OK"),1/(1+Eingaben!$B$39+Szenarien!$G$17)^B353,0),0)</f>
        <v>0</v>
      </c>
      <c r="I353" s="13" t="n">
        <f aca="false">G353*H353</f>
        <v>0</v>
      </c>
      <c r="J353" s="13" t="n">
        <f aca="false">(D353+E353-F353)*H353</f>
        <v>0</v>
      </c>
      <c r="K353" s="13" t="n">
        <f aca="false">IF(AND(B353&lt;=Eingaben!$B$11,Szenarien!$H$17="OK"),SUM(Variantenbilanz!K2201:K2566)*H353,0)</f>
        <v>0</v>
      </c>
    </row>
    <row r="354" customFormat="false" ht="16.4" hidden="false" customHeight="false" outlineLevel="0" collapsed="false">
      <c r="A354" s="12"/>
      <c r="B354" s="15" t="n">
        <v>43</v>
      </c>
      <c r="C354" s="13" t="n">
        <f aca="false">IFERROR(IF(AND(B354&lt;=Eingaben!$B$11,Szenarien!$H$17="OK"),SUM(Variantenbilanz!K2201:K2566)*(Eingaben!$B$36*Szenarien!$C$17*(1+Eingaben!$B$40)^(B354-1)+Eingaben!$B$37*Eingaben!$B$38*(1+Eingaben!$B$46)^(B354-1)),0),0)</f>
        <v>0</v>
      </c>
      <c r="D354" s="13" t="n">
        <f aca="false">IFERROR(IF(AND(B354&lt;=Eingaben!$B$11,Szenarien!$H$17="OK"),((Eingaben!$B$32+Eingaben!$B$35)*(1+Eingaben!$B$41)^(B354-1)+SUM(Variantenbilanz!E2201:E2566)*Eingaben!$B$33*Eingaben!$B$34*(1+Eingaben!$B$42)^(B354-1))*Szenarien!$F$17,0),0)</f>
        <v>0</v>
      </c>
      <c r="E354" s="13" t="n">
        <f aca="false">IFERROR(IF(AND(AND(B354&lt;=Eingaben!$B$11,Szenarien!$H$17="OK"),B354=Eingaben!$B$43),Eingaben!$B$44*Szenarien!$B$17*(1+Eingaben!$B$41)^(B354-1),0),0)</f>
        <v>0</v>
      </c>
      <c r="F354" s="13" t="n">
        <f aca="false">IFERROR(IF(AND(AND(B354&lt;=Eingaben!$B$11,Szenarien!$H$17="OK"),B354=Eingaben!$B$11),Eingaben!$B$45*Szenarien!$B$17,0),0)</f>
        <v>0</v>
      </c>
      <c r="G354" s="13" t="n">
        <f aca="false">C354-D354-E354+F354</f>
        <v>0</v>
      </c>
      <c r="H354" s="13" t="n">
        <f aca="false">IFERROR(IF(AND(B354&lt;=Eingaben!$B$11,Szenarien!$H$17="OK"),1/(1+Eingaben!$B$39+Szenarien!$G$17)^B354,0),0)</f>
        <v>0</v>
      </c>
      <c r="I354" s="13" t="n">
        <f aca="false">G354*H354</f>
        <v>0</v>
      </c>
      <c r="J354" s="13" t="n">
        <f aca="false">(D354+E354-F354)*H354</f>
        <v>0</v>
      </c>
      <c r="K354" s="13" t="n">
        <f aca="false">IF(AND(B354&lt;=Eingaben!$B$11,Szenarien!$H$17="OK"),SUM(Variantenbilanz!K2201:K2566)*H354,0)</f>
        <v>0</v>
      </c>
    </row>
    <row r="355" customFormat="false" ht="16.4" hidden="false" customHeight="false" outlineLevel="0" collapsed="false">
      <c r="A355" s="12"/>
      <c r="B355" s="15" t="n">
        <v>44</v>
      </c>
      <c r="C355" s="13" t="n">
        <f aca="false">IFERROR(IF(AND(B355&lt;=Eingaben!$B$11,Szenarien!$H$17="OK"),SUM(Variantenbilanz!K2201:K2566)*(Eingaben!$B$36*Szenarien!$C$17*(1+Eingaben!$B$40)^(B355-1)+Eingaben!$B$37*Eingaben!$B$38*(1+Eingaben!$B$46)^(B355-1)),0),0)</f>
        <v>0</v>
      </c>
      <c r="D355" s="13" t="n">
        <f aca="false">IFERROR(IF(AND(B355&lt;=Eingaben!$B$11,Szenarien!$H$17="OK"),((Eingaben!$B$32+Eingaben!$B$35)*(1+Eingaben!$B$41)^(B355-1)+SUM(Variantenbilanz!E2201:E2566)*Eingaben!$B$33*Eingaben!$B$34*(1+Eingaben!$B$42)^(B355-1))*Szenarien!$F$17,0),0)</f>
        <v>0</v>
      </c>
      <c r="E355" s="13" t="n">
        <f aca="false">IFERROR(IF(AND(AND(B355&lt;=Eingaben!$B$11,Szenarien!$H$17="OK"),B355=Eingaben!$B$43),Eingaben!$B$44*Szenarien!$B$17*(1+Eingaben!$B$41)^(B355-1),0),0)</f>
        <v>0</v>
      </c>
      <c r="F355" s="13" t="n">
        <f aca="false">IFERROR(IF(AND(AND(B355&lt;=Eingaben!$B$11,Szenarien!$H$17="OK"),B355=Eingaben!$B$11),Eingaben!$B$45*Szenarien!$B$17,0),0)</f>
        <v>0</v>
      </c>
      <c r="G355" s="13" t="n">
        <f aca="false">C355-D355-E355+F355</f>
        <v>0</v>
      </c>
      <c r="H355" s="13" t="n">
        <f aca="false">IFERROR(IF(AND(B355&lt;=Eingaben!$B$11,Szenarien!$H$17="OK"),1/(1+Eingaben!$B$39+Szenarien!$G$17)^B355,0),0)</f>
        <v>0</v>
      </c>
      <c r="I355" s="13" t="n">
        <f aca="false">G355*H355</f>
        <v>0</v>
      </c>
      <c r="J355" s="13" t="n">
        <f aca="false">(D355+E355-F355)*H355</f>
        <v>0</v>
      </c>
      <c r="K355" s="13" t="n">
        <f aca="false">IF(AND(B355&lt;=Eingaben!$B$11,Szenarien!$H$17="OK"),SUM(Variantenbilanz!K2201:K2566)*H355,0)</f>
        <v>0</v>
      </c>
    </row>
    <row r="356" customFormat="false" ht="16.4" hidden="false" customHeight="false" outlineLevel="0" collapsed="false">
      <c r="A356" s="12"/>
      <c r="B356" s="15" t="n">
        <v>45</v>
      </c>
      <c r="C356" s="13" t="n">
        <f aca="false">IFERROR(IF(AND(B356&lt;=Eingaben!$B$11,Szenarien!$H$17="OK"),SUM(Variantenbilanz!K2201:K2566)*(Eingaben!$B$36*Szenarien!$C$17*(1+Eingaben!$B$40)^(B356-1)+Eingaben!$B$37*Eingaben!$B$38*(1+Eingaben!$B$46)^(B356-1)),0),0)</f>
        <v>0</v>
      </c>
      <c r="D356" s="13" t="n">
        <f aca="false">IFERROR(IF(AND(B356&lt;=Eingaben!$B$11,Szenarien!$H$17="OK"),((Eingaben!$B$32+Eingaben!$B$35)*(1+Eingaben!$B$41)^(B356-1)+SUM(Variantenbilanz!E2201:E2566)*Eingaben!$B$33*Eingaben!$B$34*(1+Eingaben!$B$42)^(B356-1))*Szenarien!$F$17,0),0)</f>
        <v>0</v>
      </c>
      <c r="E356" s="13" t="n">
        <f aca="false">IFERROR(IF(AND(AND(B356&lt;=Eingaben!$B$11,Szenarien!$H$17="OK"),B356=Eingaben!$B$43),Eingaben!$B$44*Szenarien!$B$17*(1+Eingaben!$B$41)^(B356-1),0),0)</f>
        <v>0</v>
      </c>
      <c r="F356" s="13" t="n">
        <f aca="false">IFERROR(IF(AND(AND(B356&lt;=Eingaben!$B$11,Szenarien!$H$17="OK"),B356=Eingaben!$B$11),Eingaben!$B$45*Szenarien!$B$17,0),0)</f>
        <v>0</v>
      </c>
      <c r="G356" s="13" t="n">
        <f aca="false">C356-D356-E356+F356</f>
        <v>0</v>
      </c>
      <c r="H356" s="13" t="n">
        <f aca="false">IFERROR(IF(AND(B356&lt;=Eingaben!$B$11,Szenarien!$H$17="OK"),1/(1+Eingaben!$B$39+Szenarien!$G$17)^B356,0),0)</f>
        <v>0</v>
      </c>
      <c r="I356" s="13" t="n">
        <f aca="false">G356*H356</f>
        <v>0</v>
      </c>
      <c r="J356" s="13" t="n">
        <f aca="false">(D356+E356-F356)*H356</f>
        <v>0</v>
      </c>
      <c r="K356" s="13" t="n">
        <f aca="false">IF(AND(B356&lt;=Eingaben!$B$11,Szenarien!$H$17="OK"),SUM(Variantenbilanz!K2201:K2566)*H356,0)</f>
        <v>0</v>
      </c>
    </row>
    <row r="357" customFormat="false" ht="16.4" hidden="false" customHeight="false" outlineLevel="0" collapsed="false">
      <c r="A357" s="12"/>
      <c r="B357" s="15" t="n">
        <v>46</v>
      </c>
      <c r="C357" s="13" t="n">
        <f aca="false">IFERROR(IF(AND(B357&lt;=Eingaben!$B$11,Szenarien!$H$17="OK"),SUM(Variantenbilanz!K2201:K2566)*(Eingaben!$B$36*Szenarien!$C$17*(1+Eingaben!$B$40)^(B357-1)+Eingaben!$B$37*Eingaben!$B$38*(1+Eingaben!$B$46)^(B357-1)),0),0)</f>
        <v>0</v>
      </c>
      <c r="D357" s="13" t="n">
        <f aca="false">IFERROR(IF(AND(B357&lt;=Eingaben!$B$11,Szenarien!$H$17="OK"),((Eingaben!$B$32+Eingaben!$B$35)*(1+Eingaben!$B$41)^(B357-1)+SUM(Variantenbilanz!E2201:E2566)*Eingaben!$B$33*Eingaben!$B$34*(1+Eingaben!$B$42)^(B357-1))*Szenarien!$F$17,0),0)</f>
        <v>0</v>
      </c>
      <c r="E357" s="13" t="n">
        <f aca="false">IFERROR(IF(AND(AND(B357&lt;=Eingaben!$B$11,Szenarien!$H$17="OK"),B357=Eingaben!$B$43),Eingaben!$B$44*Szenarien!$B$17*(1+Eingaben!$B$41)^(B357-1),0),0)</f>
        <v>0</v>
      </c>
      <c r="F357" s="13" t="n">
        <f aca="false">IFERROR(IF(AND(AND(B357&lt;=Eingaben!$B$11,Szenarien!$H$17="OK"),B357=Eingaben!$B$11),Eingaben!$B$45*Szenarien!$B$17,0),0)</f>
        <v>0</v>
      </c>
      <c r="G357" s="13" t="n">
        <f aca="false">C357-D357-E357+F357</f>
        <v>0</v>
      </c>
      <c r="H357" s="13" t="n">
        <f aca="false">IFERROR(IF(AND(B357&lt;=Eingaben!$B$11,Szenarien!$H$17="OK"),1/(1+Eingaben!$B$39+Szenarien!$G$17)^B357,0),0)</f>
        <v>0</v>
      </c>
      <c r="I357" s="13" t="n">
        <f aca="false">G357*H357</f>
        <v>0</v>
      </c>
      <c r="J357" s="13" t="n">
        <f aca="false">(D357+E357-F357)*H357</f>
        <v>0</v>
      </c>
      <c r="K357" s="13" t="n">
        <f aca="false">IF(AND(B357&lt;=Eingaben!$B$11,Szenarien!$H$17="OK"),SUM(Variantenbilanz!K2201:K2566)*H357,0)</f>
        <v>0</v>
      </c>
    </row>
    <row r="358" customFormat="false" ht="16.4" hidden="false" customHeight="false" outlineLevel="0" collapsed="false">
      <c r="A358" s="12"/>
      <c r="B358" s="15" t="n">
        <v>47</v>
      </c>
      <c r="C358" s="13" t="n">
        <f aca="false">IFERROR(IF(AND(B358&lt;=Eingaben!$B$11,Szenarien!$H$17="OK"),SUM(Variantenbilanz!K2201:K2566)*(Eingaben!$B$36*Szenarien!$C$17*(1+Eingaben!$B$40)^(B358-1)+Eingaben!$B$37*Eingaben!$B$38*(1+Eingaben!$B$46)^(B358-1)),0),0)</f>
        <v>0</v>
      </c>
      <c r="D358" s="13" t="n">
        <f aca="false">IFERROR(IF(AND(B358&lt;=Eingaben!$B$11,Szenarien!$H$17="OK"),((Eingaben!$B$32+Eingaben!$B$35)*(1+Eingaben!$B$41)^(B358-1)+SUM(Variantenbilanz!E2201:E2566)*Eingaben!$B$33*Eingaben!$B$34*(1+Eingaben!$B$42)^(B358-1))*Szenarien!$F$17,0),0)</f>
        <v>0</v>
      </c>
      <c r="E358" s="13" t="n">
        <f aca="false">IFERROR(IF(AND(AND(B358&lt;=Eingaben!$B$11,Szenarien!$H$17="OK"),B358=Eingaben!$B$43),Eingaben!$B$44*Szenarien!$B$17*(1+Eingaben!$B$41)^(B358-1),0),0)</f>
        <v>0</v>
      </c>
      <c r="F358" s="13" t="n">
        <f aca="false">IFERROR(IF(AND(AND(B358&lt;=Eingaben!$B$11,Szenarien!$H$17="OK"),B358=Eingaben!$B$11),Eingaben!$B$45*Szenarien!$B$17,0),0)</f>
        <v>0</v>
      </c>
      <c r="G358" s="13" t="n">
        <f aca="false">C358-D358-E358+F358</f>
        <v>0</v>
      </c>
      <c r="H358" s="13" t="n">
        <f aca="false">IFERROR(IF(AND(B358&lt;=Eingaben!$B$11,Szenarien!$H$17="OK"),1/(1+Eingaben!$B$39+Szenarien!$G$17)^B358,0),0)</f>
        <v>0</v>
      </c>
      <c r="I358" s="13" t="n">
        <f aca="false">G358*H358</f>
        <v>0</v>
      </c>
      <c r="J358" s="13" t="n">
        <f aca="false">(D358+E358-F358)*H358</f>
        <v>0</v>
      </c>
      <c r="K358" s="13" t="n">
        <f aca="false">IF(AND(B358&lt;=Eingaben!$B$11,Szenarien!$H$17="OK"),SUM(Variantenbilanz!K2201:K2566)*H358,0)</f>
        <v>0</v>
      </c>
    </row>
    <row r="359" customFormat="false" ht="16.4" hidden="false" customHeight="false" outlineLevel="0" collapsed="false">
      <c r="A359" s="12"/>
      <c r="B359" s="15" t="n">
        <v>48</v>
      </c>
      <c r="C359" s="13" t="n">
        <f aca="false">IFERROR(IF(AND(B359&lt;=Eingaben!$B$11,Szenarien!$H$17="OK"),SUM(Variantenbilanz!K2201:K2566)*(Eingaben!$B$36*Szenarien!$C$17*(1+Eingaben!$B$40)^(B359-1)+Eingaben!$B$37*Eingaben!$B$38*(1+Eingaben!$B$46)^(B359-1)),0),0)</f>
        <v>0</v>
      </c>
      <c r="D359" s="13" t="n">
        <f aca="false">IFERROR(IF(AND(B359&lt;=Eingaben!$B$11,Szenarien!$H$17="OK"),((Eingaben!$B$32+Eingaben!$B$35)*(1+Eingaben!$B$41)^(B359-1)+SUM(Variantenbilanz!E2201:E2566)*Eingaben!$B$33*Eingaben!$B$34*(1+Eingaben!$B$42)^(B359-1))*Szenarien!$F$17,0),0)</f>
        <v>0</v>
      </c>
      <c r="E359" s="13" t="n">
        <f aca="false">IFERROR(IF(AND(AND(B359&lt;=Eingaben!$B$11,Szenarien!$H$17="OK"),B359=Eingaben!$B$43),Eingaben!$B$44*Szenarien!$B$17*(1+Eingaben!$B$41)^(B359-1),0),0)</f>
        <v>0</v>
      </c>
      <c r="F359" s="13" t="n">
        <f aca="false">IFERROR(IF(AND(AND(B359&lt;=Eingaben!$B$11,Szenarien!$H$17="OK"),B359=Eingaben!$B$11),Eingaben!$B$45*Szenarien!$B$17,0),0)</f>
        <v>0</v>
      </c>
      <c r="G359" s="13" t="n">
        <f aca="false">C359-D359-E359+F359</f>
        <v>0</v>
      </c>
      <c r="H359" s="13" t="n">
        <f aca="false">IFERROR(IF(AND(B359&lt;=Eingaben!$B$11,Szenarien!$H$17="OK"),1/(1+Eingaben!$B$39+Szenarien!$G$17)^B359,0),0)</f>
        <v>0</v>
      </c>
      <c r="I359" s="13" t="n">
        <f aca="false">G359*H359</f>
        <v>0</v>
      </c>
      <c r="J359" s="13" t="n">
        <f aca="false">(D359+E359-F359)*H359</f>
        <v>0</v>
      </c>
      <c r="K359" s="13" t="n">
        <f aca="false">IF(AND(B359&lt;=Eingaben!$B$11,Szenarien!$H$17="OK"),SUM(Variantenbilanz!K2201:K2566)*H359,0)</f>
        <v>0</v>
      </c>
    </row>
    <row r="360" customFormat="false" ht="16.4" hidden="false" customHeight="false" outlineLevel="0" collapsed="false">
      <c r="A360" s="12"/>
      <c r="B360" s="15" t="n">
        <v>49</v>
      </c>
      <c r="C360" s="13" t="n">
        <f aca="false">IFERROR(IF(AND(B360&lt;=Eingaben!$B$11,Szenarien!$H$17="OK"),SUM(Variantenbilanz!K2201:K2566)*(Eingaben!$B$36*Szenarien!$C$17*(1+Eingaben!$B$40)^(B360-1)+Eingaben!$B$37*Eingaben!$B$38*(1+Eingaben!$B$46)^(B360-1)),0),0)</f>
        <v>0</v>
      </c>
      <c r="D360" s="13" t="n">
        <f aca="false">IFERROR(IF(AND(B360&lt;=Eingaben!$B$11,Szenarien!$H$17="OK"),((Eingaben!$B$32+Eingaben!$B$35)*(1+Eingaben!$B$41)^(B360-1)+SUM(Variantenbilanz!E2201:E2566)*Eingaben!$B$33*Eingaben!$B$34*(1+Eingaben!$B$42)^(B360-1))*Szenarien!$F$17,0),0)</f>
        <v>0</v>
      </c>
      <c r="E360" s="13" t="n">
        <f aca="false">IFERROR(IF(AND(AND(B360&lt;=Eingaben!$B$11,Szenarien!$H$17="OK"),B360=Eingaben!$B$43),Eingaben!$B$44*Szenarien!$B$17*(1+Eingaben!$B$41)^(B360-1),0),0)</f>
        <v>0</v>
      </c>
      <c r="F360" s="13" t="n">
        <f aca="false">IFERROR(IF(AND(AND(B360&lt;=Eingaben!$B$11,Szenarien!$H$17="OK"),B360=Eingaben!$B$11),Eingaben!$B$45*Szenarien!$B$17,0),0)</f>
        <v>0</v>
      </c>
      <c r="G360" s="13" t="n">
        <f aca="false">C360-D360-E360+F360</f>
        <v>0</v>
      </c>
      <c r="H360" s="13" t="n">
        <f aca="false">IFERROR(IF(AND(B360&lt;=Eingaben!$B$11,Szenarien!$H$17="OK"),1/(1+Eingaben!$B$39+Szenarien!$G$17)^B360,0),0)</f>
        <v>0</v>
      </c>
      <c r="I360" s="13" t="n">
        <f aca="false">G360*H360</f>
        <v>0</v>
      </c>
      <c r="J360" s="13" t="n">
        <f aca="false">(D360+E360-F360)*H360</f>
        <v>0</v>
      </c>
      <c r="K360" s="13" t="n">
        <f aca="false">IF(AND(B360&lt;=Eingaben!$B$11,Szenarien!$H$17="OK"),SUM(Variantenbilanz!K2201:K2566)*H360,0)</f>
        <v>0</v>
      </c>
    </row>
    <row r="361" customFormat="false" ht="16.4" hidden="false" customHeight="false" outlineLevel="0" collapsed="false">
      <c r="A361" s="12"/>
      <c r="B361" s="15" t="n">
        <v>50</v>
      </c>
      <c r="C361" s="13" t="n">
        <f aca="false">IFERROR(IF(AND(B361&lt;=Eingaben!$B$11,Szenarien!$H$17="OK"),SUM(Variantenbilanz!K2201:K2566)*(Eingaben!$B$36*Szenarien!$C$17*(1+Eingaben!$B$40)^(B361-1)+Eingaben!$B$37*Eingaben!$B$38*(1+Eingaben!$B$46)^(B361-1)),0),0)</f>
        <v>0</v>
      </c>
      <c r="D361" s="13" t="n">
        <f aca="false">IFERROR(IF(AND(B361&lt;=Eingaben!$B$11,Szenarien!$H$17="OK"),((Eingaben!$B$32+Eingaben!$B$35)*(1+Eingaben!$B$41)^(B361-1)+SUM(Variantenbilanz!E2201:E2566)*Eingaben!$B$33*Eingaben!$B$34*(1+Eingaben!$B$42)^(B361-1))*Szenarien!$F$17,0),0)</f>
        <v>0</v>
      </c>
      <c r="E361" s="13" t="n">
        <f aca="false">IFERROR(IF(AND(AND(B361&lt;=Eingaben!$B$11,Szenarien!$H$17="OK"),B361=Eingaben!$B$43),Eingaben!$B$44*Szenarien!$B$17*(1+Eingaben!$B$41)^(B361-1),0),0)</f>
        <v>0</v>
      </c>
      <c r="F361" s="13" t="n">
        <f aca="false">IFERROR(IF(AND(AND(B361&lt;=Eingaben!$B$11,Szenarien!$H$17="OK"),B361=Eingaben!$B$11),Eingaben!$B$45*Szenarien!$B$17,0),0)</f>
        <v>0</v>
      </c>
      <c r="G361" s="13" t="n">
        <f aca="false">C361-D361-E361+F361</f>
        <v>0</v>
      </c>
      <c r="H361" s="13" t="n">
        <f aca="false">IFERROR(IF(AND(B361&lt;=Eingaben!$B$11,Szenarien!$H$17="OK"),1/(1+Eingaben!$B$39+Szenarien!$G$17)^B361,0),0)</f>
        <v>0</v>
      </c>
      <c r="I361" s="13" t="n">
        <f aca="false">G361*H361</f>
        <v>0</v>
      </c>
      <c r="J361" s="13" t="n">
        <f aca="false">(D361+E361-F361)*H361</f>
        <v>0</v>
      </c>
      <c r="K361" s="13" t="n">
        <f aca="false">IF(AND(B361&lt;=Eingaben!$B$11,Szenarien!$H$17="OK"),SUM(Variantenbilanz!K2201:K2566)*H361,0)</f>
        <v>0</v>
      </c>
    </row>
    <row r="362" customFormat="false" ht="31.3" hidden="false" customHeight="false" outlineLevel="0" collapsed="false">
      <c r="A362" s="12" t="s">
        <v>334</v>
      </c>
      <c r="B362" s="15" t="n">
        <v>0</v>
      </c>
      <c r="C362" s="13" t="n">
        <f aca="false">0</f>
        <v>0</v>
      </c>
      <c r="D362" s="13" t="n">
        <f aca="false">0</f>
        <v>0</v>
      </c>
      <c r="E362" s="13" t="n">
        <f aca="false">MAX(0,Berechnung!$B$13*Szenarien!$B$18-MIN(Eingaben!$B$31,Berechnung!$B$13*Szenarien!$B$18))</f>
        <v>25000</v>
      </c>
      <c r="F362" s="13" t="n">
        <f aca="false">0</f>
        <v>0</v>
      </c>
      <c r="G362" s="13" t="n">
        <f aca="false">-E362</f>
        <v>-25000</v>
      </c>
      <c r="H362" s="13" t="n">
        <f aca="false">1</f>
        <v>1</v>
      </c>
      <c r="I362" s="13" t="n">
        <f aca="false">G362</f>
        <v>-25000</v>
      </c>
      <c r="J362" s="13" t="n">
        <f aca="false">E362</f>
        <v>25000</v>
      </c>
      <c r="K362" s="13" t="n">
        <f aca="false">0</f>
        <v>0</v>
      </c>
    </row>
    <row r="363" customFormat="false" ht="16.4" hidden="false" customHeight="false" outlineLevel="0" collapsed="false">
      <c r="A363" s="12"/>
      <c r="B363" s="15" t="n">
        <v>1</v>
      </c>
      <c r="C363" s="13" t="n">
        <f aca="false">IFERROR(IF(AND(B363&lt;=Eingaben!$B$11,Szenarien!$H$18="OK"),SUM(Variantenbilanz!K2567:K2932)*(Eingaben!$B$36*Szenarien!$C$18*(1+Eingaben!$B$40)^(B363-1)+Eingaben!$B$37*Eingaben!$B$38*(1+Eingaben!$B$46)^(B363-1)),0),0)</f>
        <v>1333.294393</v>
      </c>
      <c r="D363" s="13" t="n">
        <f aca="false">IFERROR(IF(AND(B363&lt;=Eingaben!$B$11,Szenarien!$H$18="OK"),((Eingaben!$B$32+Eingaben!$B$35)*(1+Eingaben!$B$41)^(B363-1)+SUM(Variantenbilanz!E2567:E2932)*Eingaben!$B$33*Eingaben!$B$34*(1+Eingaben!$B$42)^(B363-1))*Szenarien!$F$18,0),0)</f>
        <v>781.527</v>
      </c>
      <c r="E363" s="13" t="n">
        <f aca="false">IFERROR(IF(AND(AND(B363&lt;=Eingaben!$B$11,Szenarien!$H$18="OK"),B363=Eingaben!$B$43),Eingaben!$B$44*Szenarien!$B$18*(1+Eingaben!$B$41)^(B363-1),0),0)</f>
        <v>0</v>
      </c>
      <c r="F363" s="13" t="n">
        <f aca="false">IFERROR(IF(AND(AND(B363&lt;=Eingaben!$B$11,Szenarien!$H$18="OK"),B363=Eingaben!$B$11),Eingaben!$B$45*Szenarien!$B$18,0),0)</f>
        <v>0</v>
      </c>
      <c r="G363" s="13" t="n">
        <f aca="false">C363-D363-E363+F363</f>
        <v>551.767393</v>
      </c>
      <c r="H363" s="13" t="n">
        <f aca="false">IFERROR(IF(AND(B363&lt;=Eingaben!$B$11,Szenarien!$H$18="OK"),1/(1+Eingaben!$B$39+Szenarien!$G$18)^B363,0),0)</f>
        <v>0.970873786407767</v>
      </c>
      <c r="I363" s="13" t="n">
        <f aca="false">G363*H363</f>
        <v>535.696498058252</v>
      </c>
      <c r="J363" s="13" t="n">
        <f aca="false">(D363+E363-F363)*H363</f>
        <v>758.764077669903</v>
      </c>
      <c r="K363" s="13" t="n">
        <f aca="false">IF(AND(B363&lt;=Eingaben!$B$11,Szenarien!$H$18="OK"),SUM(Variantenbilanz!K2567:K2932)*H363,0)</f>
        <v>517.784230291262</v>
      </c>
    </row>
    <row r="364" customFormat="false" ht="16.4" hidden="false" customHeight="false" outlineLevel="0" collapsed="false">
      <c r="A364" s="12"/>
      <c r="B364" s="15" t="n">
        <v>2</v>
      </c>
      <c r="C364" s="13" t="n">
        <f aca="false">IFERROR(IF(AND(B364&lt;=Eingaben!$B$11,Szenarien!$H$18="OK"),SUM(Variantenbilanz!K2567:K2932)*(Eingaben!$B$36*Szenarien!$C$18*(1+Eingaben!$B$40)^(B364-1)+Eingaben!$B$37*Eingaben!$B$38*(1+Eingaben!$B$46)^(B364-1)),0),0)</f>
        <v>1359.96028086</v>
      </c>
      <c r="D364" s="13" t="n">
        <f aca="false">IFERROR(IF(AND(B364&lt;=Eingaben!$B$11,Szenarien!$H$18="OK"),((Eingaben!$B$32+Eingaben!$B$35)*(1+Eingaben!$B$41)^(B364-1)+SUM(Variantenbilanz!E2567:E2932)*Eingaben!$B$33*Eingaben!$B$34*(1+Eingaben!$B$42)^(B364-1))*Szenarien!$F$18,0),0)</f>
        <v>797.15754</v>
      </c>
      <c r="E364" s="13" t="n">
        <f aca="false">IFERROR(IF(AND(AND(B364&lt;=Eingaben!$B$11,Szenarien!$H$18="OK"),B364=Eingaben!$B$43),Eingaben!$B$44*Szenarien!$B$18*(1+Eingaben!$B$41)^(B364-1),0),0)</f>
        <v>0</v>
      </c>
      <c r="F364" s="13" t="n">
        <f aca="false">IFERROR(IF(AND(AND(B364&lt;=Eingaben!$B$11,Szenarien!$H$18="OK"),B364=Eingaben!$B$11),Eingaben!$B$45*Szenarien!$B$18,0),0)</f>
        <v>0</v>
      </c>
      <c r="G364" s="13" t="n">
        <f aca="false">C364-D364-E364+F364</f>
        <v>562.80274086</v>
      </c>
      <c r="H364" s="13" t="n">
        <f aca="false">IFERROR(IF(AND(B364&lt;=Eingaben!$B$11,Szenarien!$H$18="OK"),1/(1+Eingaben!$B$39+Szenarien!$G$18)^B364,0),0)</f>
        <v>0.942595909133754</v>
      </c>
      <c r="I364" s="13" t="n">
        <f aca="false">G364*H364</f>
        <v>530.4955611839</v>
      </c>
      <c r="J364" s="13" t="n">
        <f aca="false">(D364+E364-F364)*H364</f>
        <v>751.397436139127</v>
      </c>
      <c r="K364" s="13" t="n">
        <f aca="false">IF(AND(B364&lt;=Eingaben!$B$11,Szenarien!$H$18="OK"),SUM(Variantenbilanz!K2567:K2932)*H364,0)</f>
        <v>502.703136205109</v>
      </c>
    </row>
    <row r="365" customFormat="false" ht="16.4" hidden="false" customHeight="false" outlineLevel="0" collapsed="false">
      <c r="A365" s="12"/>
      <c r="B365" s="15" t="n">
        <v>3</v>
      </c>
      <c r="C365" s="13" t="n">
        <f aca="false">IFERROR(IF(AND(B365&lt;=Eingaben!$B$11,Szenarien!$H$18="OK"),SUM(Variantenbilanz!K2567:K2932)*(Eingaben!$B$36*Szenarien!$C$18*(1+Eingaben!$B$40)^(B365-1)+Eingaben!$B$37*Eingaben!$B$38*(1+Eingaben!$B$46)^(B365-1)),0),0)</f>
        <v>1387.1594864772</v>
      </c>
      <c r="D365" s="13" t="n">
        <f aca="false">IFERROR(IF(AND(B365&lt;=Eingaben!$B$11,Szenarien!$H$18="OK"),((Eingaben!$B$32+Eingaben!$B$35)*(1+Eingaben!$B$41)^(B365-1)+SUM(Variantenbilanz!E2567:E2932)*Eingaben!$B$33*Eingaben!$B$34*(1+Eingaben!$B$42)^(B365-1))*Szenarien!$F$18,0),0)</f>
        <v>813.1006908</v>
      </c>
      <c r="E365" s="13" t="n">
        <f aca="false">IFERROR(IF(AND(AND(B365&lt;=Eingaben!$B$11,Szenarien!$H$18="OK"),B365=Eingaben!$B$43),Eingaben!$B$44*Szenarien!$B$18*(1+Eingaben!$B$41)^(B365-1),0),0)</f>
        <v>0</v>
      </c>
      <c r="F365" s="13" t="n">
        <f aca="false">IFERROR(IF(AND(AND(B365&lt;=Eingaben!$B$11,Szenarien!$H$18="OK"),B365=Eingaben!$B$11),Eingaben!$B$45*Szenarien!$B$18,0),0)</f>
        <v>0</v>
      </c>
      <c r="G365" s="13" t="n">
        <f aca="false">C365-D365-E365+F365</f>
        <v>574.0587956772</v>
      </c>
      <c r="H365" s="13" t="n">
        <f aca="false">IFERROR(IF(AND(B365&lt;=Eingaben!$B$11,Szenarien!$H$18="OK"),1/(1+Eingaben!$B$39+Szenarien!$G$18)^B365,0),0)</f>
        <v>0.91514165935316</v>
      </c>
      <c r="I365" s="13" t="n">
        <f aca="false">G365*H365</f>
        <v>525.345118842309</v>
      </c>
      <c r="J365" s="13" t="n">
        <f aca="false">(D365+E365-F365)*H365</f>
        <v>744.102315399912</v>
      </c>
      <c r="K365" s="13" t="n">
        <f aca="false">IF(AND(B365&lt;=Eingaben!$B$11,Szenarien!$H$18="OK"),SUM(Variantenbilanz!K2567:K2932)*H365,0)</f>
        <v>488.061297286513</v>
      </c>
    </row>
    <row r="366" customFormat="false" ht="16.4" hidden="false" customHeight="false" outlineLevel="0" collapsed="false">
      <c r="A366" s="12"/>
      <c r="B366" s="15" t="n">
        <v>4</v>
      </c>
      <c r="C366" s="13" t="n">
        <f aca="false">IFERROR(IF(AND(B366&lt;=Eingaben!$B$11,Szenarien!$H$18="OK"),SUM(Variantenbilanz!K2567:K2932)*(Eingaben!$B$36*Szenarien!$C$18*(1+Eingaben!$B$40)^(B366-1)+Eingaben!$B$37*Eingaben!$B$38*(1+Eingaben!$B$46)^(B366-1)),0),0)</f>
        <v>1414.90267620674</v>
      </c>
      <c r="D366" s="13" t="n">
        <f aca="false">IFERROR(IF(AND(B366&lt;=Eingaben!$B$11,Szenarien!$H$18="OK"),((Eingaben!$B$32+Eingaben!$B$35)*(1+Eingaben!$B$41)^(B366-1)+SUM(Variantenbilanz!E2567:E2932)*Eingaben!$B$33*Eingaben!$B$34*(1+Eingaben!$B$42)^(B366-1))*Szenarien!$F$18,0),0)</f>
        <v>829.362704616</v>
      </c>
      <c r="E366" s="13" t="n">
        <f aca="false">IFERROR(IF(AND(AND(B366&lt;=Eingaben!$B$11,Szenarien!$H$18="OK"),B366=Eingaben!$B$43),Eingaben!$B$44*Szenarien!$B$18*(1+Eingaben!$B$41)^(B366-1),0),0)</f>
        <v>0</v>
      </c>
      <c r="F366" s="13" t="n">
        <f aca="false">IFERROR(IF(AND(AND(B366&lt;=Eingaben!$B$11,Szenarien!$H$18="OK"),B366=Eingaben!$B$11),Eingaben!$B$45*Szenarien!$B$18,0),0)</f>
        <v>0</v>
      </c>
      <c r="G366" s="13" t="n">
        <f aca="false">C366-D366-E366+F366</f>
        <v>585.539971590744</v>
      </c>
      <c r="H366" s="13" t="n">
        <f aca="false">IFERROR(IF(AND(B366&lt;=Eingaben!$B$11,Szenarien!$H$18="OK"),1/(1+Eingaben!$B$39+Szenarien!$G$18)^B366,0),0)</f>
        <v>0.888487047915689</v>
      </c>
      <c r="I366" s="13" t="n">
        <f aca="false">G366*H366</f>
        <v>520.244680795297</v>
      </c>
      <c r="J366" s="13" t="n">
        <f aca="false">(D366+E366-F366)*H366</f>
        <v>736.878021075641</v>
      </c>
      <c r="K366" s="13" t="n">
        <f aca="false">IF(AND(B366&lt;=Eingaben!$B$11,Szenarien!$H$18="OK"),SUM(Variantenbilanz!K2567:K2932)*H366,0)</f>
        <v>473.845919695644</v>
      </c>
    </row>
    <row r="367" customFormat="false" ht="16.4" hidden="false" customHeight="false" outlineLevel="0" collapsed="false">
      <c r="A367" s="12"/>
      <c r="B367" s="15" t="n">
        <v>5</v>
      </c>
      <c r="C367" s="13" t="n">
        <f aca="false">IFERROR(IF(AND(B367&lt;=Eingaben!$B$11,Szenarien!$H$18="OK"),SUM(Variantenbilanz!K2567:K2932)*(Eingaben!$B$36*Szenarien!$C$18*(1+Eingaben!$B$40)^(B367-1)+Eingaben!$B$37*Eingaben!$B$38*(1+Eingaben!$B$46)^(B367-1)),0),0)</f>
        <v>1443.20072973088</v>
      </c>
      <c r="D367" s="13" t="n">
        <f aca="false">IFERROR(IF(AND(B367&lt;=Eingaben!$B$11,Szenarien!$H$18="OK"),((Eingaben!$B$32+Eingaben!$B$35)*(1+Eingaben!$B$41)^(B367-1)+SUM(Variantenbilanz!E2567:E2932)*Eingaben!$B$33*Eingaben!$B$34*(1+Eingaben!$B$42)^(B367-1))*Szenarien!$F$18,0),0)</f>
        <v>845.94995870832</v>
      </c>
      <c r="E367" s="13" t="n">
        <f aca="false">IFERROR(IF(AND(AND(B367&lt;=Eingaben!$B$11,Szenarien!$H$18="OK"),B367=Eingaben!$B$43),Eingaben!$B$44*Szenarien!$B$18*(1+Eingaben!$B$41)^(B367-1),0),0)</f>
        <v>0</v>
      </c>
      <c r="F367" s="13" t="n">
        <f aca="false">IFERROR(IF(AND(AND(B367&lt;=Eingaben!$B$11,Szenarien!$H$18="OK"),B367=Eingaben!$B$11),Eingaben!$B$45*Szenarien!$B$18,0),0)</f>
        <v>0</v>
      </c>
      <c r="G367" s="13" t="n">
        <f aca="false">C367-D367-E367+F367</f>
        <v>597.250771022559</v>
      </c>
      <c r="H367" s="13" t="n">
        <f aca="false">IFERROR(IF(AND(B367&lt;=Eingaben!$B$11,Szenarien!$H$18="OK"),1/(1+Eingaben!$B$39+Szenarien!$G$18)^B367,0),0)</f>
        <v>0.862608784384164</v>
      </c>
      <c r="I367" s="13" t="n">
        <f aca="false">G367*H367</f>
        <v>515.193761564274</v>
      </c>
      <c r="J367" s="13" t="n">
        <f aca="false">(D367+E367-F367)*H367</f>
        <v>729.723865531218</v>
      </c>
      <c r="K367" s="13" t="n">
        <f aca="false">IF(AND(B367&lt;=Eingaben!$B$11,Szenarien!$H$18="OK"),SUM(Variantenbilanz!K2567:K2932)*H367,0)</f>
        <v>460.044582228781</v>
      </c>
    </row>
    <row r="368" customFormat="false" ht="16.4" hidden="false" customHeight="false" outlineLevel="0" collapsed="false">
      <c r="A368" s="12"/>
      <c r="B368" s="15" t="n">
        <v>6</v>
      </c>
      <c r="C368" s="13" t="n">
        <f aca="false">IFERROR(IF(AND(B368&lt;=Eingaben!$B$11,Szenarien!$H$18="OK"),SUM(Variantenbilanz!K2567:K2932)*(Eingaben!$B$36*Szenarien!$C$18*(1+Eingaben!$B$40)^(B368-1)+Eingaben!$B$37*Eingaben!$B$38*(1+Eingaben!$B$46)^(B368-1)),0),0)</f>
        <v>1472.0647443255</v>
      </c>
      <c r="D368" s="13" t="n">
        <f aca="false">IFERROR(IF(AND(B368&lt;=Eingaben!$B$11,Szenarien!$H$18="OK"),((Eingaben!$B$32+Eingaben!$B$35)*(1+Eingaben!$B$41)^(B368-1)+SUM(Variantenbilanz!E2567:E2932)*Eingaben!$B$33*Eingaben!$B$34*(1+Eingaben!$B$42)^(B368-1))*Szenarien!$F$18,0),0)</f>
        <v>862.868957882486</v>
      </c>
      <c r="E368" s="13" t="n">
        <f aca="false">IFERROR(IF(AND(AND(B368&lt;=Eingaben!$B$11,Szenarien!$H$18="OK"),B368=Eingaben!$B$43),Eingaben!$B$44*Szenarien!$B$18*(1+Eingaben!$B$41)^(B368-1),0),0)</f>
        <v>0</v>
      </c>
      <c r="F368" s="13" t="n">
        <f aca="false">IFERROR(IF(AND(AND(B368&lt;=Eingaben!$B$11,Szenarien!$H$18="OK"),B368=Eingaben!$B$11),Eingaben!$B$45*Szenarien!$B$18,0),0)</f>
        <v>0</v>
      </c>
      <c r="G368" s="13" t="n">
        <f aca="false">C368-D368-E368+F368</f>
        <v>609.19578644301</v>
      </c>
      <c r="H368" s="13" t="n">
        <f aca="false">IFERROR(IF(AND(B368&lt;=Eingaben!$B$11,Szenarien!$H$18="OK"),1/(1+Eingaben!$B$39+Szenarien!$G$18)^B368,0),0)</f>
        <v>0.837484256683654</v>
      </c>
      <c r="I368" s="13" t="n">
        <f aca="false">G368*H368</f>
        <v>510.191880384039</v>
      </c>
      <c r="J368" s="13" t="n">
        <f aca="false">(D368+E368-F368)*H368</f>
        <v>722.639167807614</v>
      </c>
      <c r="K368" s="13" t="n">
        <f aca="false">IF(AND(B368&lt;=Eingaben!$B$11,Szenarien!$H$18="OK"),SUM(Variantenbilanz!K2567:K2932)*H368,0)</f>
        <v>446.645225464836</v>
      </c>
    </row>
    <row r="369" customFormat="false" ht="16.4" hidden="false" customHeight="false" outlineLevel="0" collapsed="false">
      <c r="A369" s="12"/>
      <c r="B369" s="15" t="n">
        <v>7</v>
      </c>
      <c r="C369" s="13" t="n">
        <f aca="false">IFERROR(IF(AND(B369&lt;=Eingaben!$B$11,Szenarien!$H$18="OK"),SUM(Variantenbilanz!K2567:K2932)*(Eingaben!$B$36*Szenarien!$C$18*(1+Eingaben!$B$40)^(B369-1)+Eingaben!$B$37*Eingaben!$B$38*(1+Eingaben!$B$46)^(B369-1)),0),0)</f>
        <v>1501.50603921201</v>
      </c>
      <c r="D369" s="13" t="n">
        <f aca="false">IFERROR(IF(AND(B369&lt;=Eingaben!$B$11,Szenarien!$H$18="OK"),((Eingaben!$B$32+Eingaben!$B$35)*(1+Eingaben!$B$41)^(B369-1)+SUM(Variantenbilanz!E2567:E2932)*Eingaben!$B$33*Eingaben!$B$34*(1+Eingaben!$B$42)^(B369-1))*Szenarien!$F$18,0),0)</f>
        <v>880.126337040136</v>
      </c>
      <c r="E369" s="13" t="n">
        <f aca="false">IFERROR(IF(AND(AND(B369&lt;=Eingaben!$B$11,Szenarien!$H$18="OK"),B369=Eingaben!$B$43),Eingaben!$B$44*Szenarien!$B$18*(1+Eingaben!$B$41)^(B369-1),0),0)</f>
        <v>0</v>
      </c>
      <c r="F369" s="13" t="n">
        <f aca="false">IFERROR(IF(AND(AND(B369&lt;=Eingaben!$B$11,Szenarien!$H$18="OK"),B369=Eingaben!$B$11),Eingaben!$B$45*Szenarien!$B$18,0),0)</f>
        <v>0</v>
      </c>
      <c r="G369" s="13" t="n">
        <f aca="false">C369-D369-E369+F369</f>
        <v>621.37970217187</v>
      </c>
      <c r="H369" s="13" t="n">
        <f aca="false">IFERROR(IF(AND(B369&lt;=Eingaben!$B$11,Szenarien!$H$18="OK"),1/(1+Eingaben!$B$39+Szenarien!$G$18)^B369,0),0)</f>
        <v>0.813091511343354</v>
      </c>
      <c r="I369" s="13" t="n">
        <f aca="false">G369*H369</f>
        <v>505.238561157009</v>
      </c>
      <c r="J369" s="13" t="n">
        <f aca="false">(D369+E369-F369)*H369</f>
        <v>715.623253557054</v>
      </c>
      <c r="K369" s="13" t="n">
        <f aca="false">IF(AND(B369&lt;=Eingaben!$B$11,Szenarien!$H$18="OK"),SUM(Variantenbilanz!K2567:K2932)*H369,0)</f>
        <v>433.636141227996</v>
      </c>
    </row>
    <row r="370" customFormat="false" ht="16.4" hidden="false" customHeight="false" outlineLevel="0" collapsed="false">
      <c r="A370" s="12"/>
      <c r="B370" s="15" t="n">
        <v>8</v>
      </c>
      <c r="C370" s="13" t="n">
        <f aca="false">IFERROR(IF(AND(B370&lt;=Eingaben!$B$11,Szenarien!$H$18="OK"),SUM(Variantenbilanz!K2567:K2932)*(Eingaben!$B$36*Szenarien!$C$18*(1+Eingaben!$B$40)^(B370-1)+Eingaben!$B$37*Eingaben!$B$38*(1+Eingaben!$B$46)^(B370-1)),0),0)</f>
        <v>1531.53615999625</v>
      </c>
      <c r="D370" s="13" t="n">
        <f aca="false">IFERROR(IF(AND(B370&lt;=Eingaben!$B$11,Szenarien!$H$18="OK"),((Eingaben!$B$32+Eingaben!$B$35)*(1+Eingaben!$B$41)^(B370-1)+SUM(Variantenbilanz!E2567:E2932)*Eingaben!$B$33*Eingaben!$B$34*(1+Eingaben!$B$42)^(B370-1))*Szenarien!$F$18,0),0)</f>
        <v>897.728863780939</v>
      </c>
      <c r="E370" s="13" t="n">
        <f aca="false">IFERROR(IF(AND(AND(B370&lt;=Eingaben!$B$11,Szenarien!$H$18="OK"),B370=Eingaben!$B$43),Eingaben!$B$44*Szenarien!$B$18*(1+Eingaben!$B$41)^(B370-1),0),0)</f>
        <v>0</v>
      </c>
      <c r="F370" s="13" t="n">
        <f aca="false">IFERROR(IF(AND(AND(B370&lt;=Eingaben!$B$11,Szenarien!$H$18="OK"),B370=Eingaben!$B$11),Eingaben!$B$45*Szenarien!$B$18,0),0)</f>
        <v>0</v>
      </c>
      <c r="G370" s="13" t="n">
        <f aca="false">C370-D370-E370+F370</f>
        <v>633.807296215308</v>
      </c>
      <c r="H370" s="13" t="n">
        <f aca="false">IFERROR(IF(AND(B370&lt;=Eingaben!$B$11,Szenarien!$H$18="OK"),1/(1+Eingaben!$B$39+Szenarien!$G$18)^B370,0),0)</f>
        <v>0.789409234313936</v>
      </c>
      <c r="I370" s="13" t="n">
        <f aca="false">G370*H370</f>
        <v>500.333332407912</v>
      </c>
      <c r="J370" s="13" t="n">
        <f aca="false">(D370+E370-F370)*H370</f>
        <v>708.67545497883</v>
      </c>
      <c r="K370" s="13" t="n">
        <f aca="false">IF(AND(B370&lt;=Eingaben!$B$11,Szenarien!$H$18="OK"),SUM(Variantenbilanz!K2567:K2932)*H370,0)</f>
        <v>421.005962357277</v>
      </c>
    </row>
    <row r="371" customFormat="false" ht="16.4" hidden="false" customHeight="false" outlineLevel="0" collapsed="false">
      <c r="A371" s="12"/>
      <c r="B371" s="15" t="n">
        <v>9</v>
      </c>
      <c r="C371" s="13" t="n">
        <f aca="false">IFERROR(IF(AND(B371&lt;=Eingaben!$B$11,Szenarien!$H$18="OK"),SUM(Variantenbilanz!K2567:K2932)*(Eingaben!$B$36*Szenarien!$C$18*(1+Eingaben!$B$40)^(B371-1)+Eingaben!$B$37*Eingaben!$B$38*(1+Eingaben!$B$46)^(B371-1)),0),0)</f>
        <v>1562.16688319617</v>
      </c>
      <c r="D371" s="13" t="n">
        <f aca="false">IFERROR(IF(AND(B371&lt;=Eingaben!$B$11,Szenarien!$H$18="OK"),((Eingaben!$B$32+Eingaben!$B$35)*(1+Eingaben!$B$41)^(B371-1)+SUM(Variantenbilanz!E2567:E2932)*Eingaben!$B$33*Eingaben!$B$34*(1+Eingaben!$B$42)^(B371-1))*Szenarien!$F$18,0),0)</f>
        <v>915.683441056558</v>
      </c>
      <c r="E371" s="13" t="n">
        <f aca="false">IFERROR(IF(AND(AND(B371&lt;=Eingaben!$B$11,Szenarien!$H$18="OK"),B371=Eingaben!$B$43),Eingaben!$B$44*Szenarien!$B$18*(1+Eingaben!$B$41)^(B371-1),0),0)</f>
        <v>0</v>
      </c>
      <c r="F371" s="13" t="n">
        <f aca="false">IFERROR(IF(AND(AND(B371&lt;=Eingaben!$B$11,Szenarien!$H$18="OK"),B371=Eingaben!$B$11),Eingaben!$B$45*Szenarien!$B$18,0),0)</f>
        <v>0</v>
      </c>
      <c r="G371" s="13" t="n">
        <f aca="false">C371-D371-E371+F371</f>
        <v>646.483442139614</v>
      </c>
      <c r="H371" s="13" t="n">
        <f aca="false">IFERROR(IF(AND(B371&lt;=Eingaben!$B$11,Szenarien!$H$18="OK"),1/(1+Eingaben!$B$39+Szenarien!$G$18)^B371,0),0)</f>
        <v>0.766416732343627</v>
      </c>
      <c r="I371" s="13" t="n">
        <f aca="false">G371*H371</f>
        <v>495.475727238903</v>
      </c>
      <c r="J371" s="13" t="n">
        <f aca="false">(D371+E371-F371)*H371</f>
        <v>701.795110755735</v>
      </c>
      <c r="K371" s="13" t="n">
        <f aca="false">IF(AND(B371&lt;=Eingaben!$B$11,Szenarien!$H$18="OK"),SUM(Variantenbilanz!K2567:K2932)*H371,0)</f>
        <v>408.743652774056</v>
      </c>
    </row>
    <row r="372" customFormat="false" ht="16.4" hidden="false" customHeight="false" outlineLevel="0" collapsed="false">
      <c r="A372" s="12"/>
      <c r="B372" s="15" t="n">
        <v>10</v>
      </c>
      <c r="C372" s="13" t="n">
        <f aca="false">IFERROR(IF(AND(B372&lt;=Eingaben!$B$11,Szenarien!$H$18="OK"),SUM(Variantenbilanz!K2567:K2932)*(Eingaben!$B$36*Szenarien!$C$18*(1+Eingaben!$B$40)^(B372-1)+Eingaben!$B$37*Eingaben!$B$38*(1+Eingaben!$B$46)^(B372-1)),0),0)</f>
        <v>1593.41022086009</v>
      </c>
      <c r="D372" s="13" t="n">
        <f aca="false">IFERROR(IF(AND(B372&lt;=Eingaben!$B$11,Szenarien!$H$18="OK"),((Eingaben!$B$32+Eingaben!$B$35)*(1+Eingaben!$B$41)^(B372-1)+SUM(Variantenbilanz!E2567:E2932)*Eingaben!$B$33*Eingaben!$B$34*(1+Eingaben!$B$42)^(B372-1))*Szenarien!$F$18,0),0)</f>
        <v>933.997109877689</v>
      </c>
      <c r="E372" s="13" t="n">
        <f aca="false">IFERROR(IF(AND(AND(B372&lt;=Eingaben!$B$11,Szenarien!$H$18="OK"),B372=Eingaben!$B$43),Eingaben!$B$44*Szenarien!$B$18*(1+Eingaben!$B$41)^(B372-1),0),0)</f>
        <v>4780.37027448924</v>
      </c>
      <c r="F372" s="13" t="n">
        <f aca="false">IFERROR(IF(AND(AND(B372&lt;=Eingaben!$B$11,Szenarien!$H$18="OK"),B372=Eingaben!$B$11),Eingaben!$B$45*Szenarien!$B$18,0),0)</f>
        <v>0</v>
      </c>
      <c r="G372" s="13" t="n">
        <f aca="false">C372-D372-E372+F372</f>
        <v>-4120.95716350684</v>
      </c>
      <c r="H372" s="13" t="n">
        <f aca="false">IFERROR(IF(AND(B372&lt;=Eingaben!$B$11,Szenarien!$H$18="OK"),1/(1+Eingaben!$B$39+Szenarien!$G$18)^B372,0),0)</f>
        <v>0.744093914896725</v>
      </c>
      <c r="I372" s="13" t="n">
        <f aca="false">G372*H372</f>
        <v>-3066.37914891551</v>
      </c>
      <c r="J372" s="13" t="n">
        <f aca="false">(D372+E372-F372)*H372</f>
        <v>4252.02599819175</v>
      </c>
      <c r="K372" s="13" t="n">
        <f aca="false">IF(AND(B372&lt;=Eingaben!$B$11,Szenarien!$H$18="OK"),SUM(Variantenbilanz!K2567:K2932)*H372,0)</f>
        <v>396.838497838889</v>
      </c>
    </row>
    <row r="373" customFormat="false" ht="16.4" hidden="false" customHeight="false" outlineLevel="0" collapsed="false">
      <c r="A373" s="12"/>
      <c r="B373" s="15" t="n">
        <v>11</v>
      </c>
      <c r="C373" s="13" t="n">
        <f aca="false">IFERROR(IF(AND(B373&lt;=Eingaben!$B$11,Szenarien!$H$18="OK"),SUM(Variantenbilanz!K2567:K2932)*(Eingaben!$B$36*Szenarien!$C$18*(1+Eingaben!$B$40)^(B373-1)+Eingaben!$B$37*Eingaben!$B$38*(1+Eingaben!$B$46)^(B373-1)),0),0)</f>
        <v>1625.2784252773</v>
      </c>
      <c r="D373" s="13" t="n">
        <f aca="false">IFERROR(IF(AND(B373&lt;=Eingaben!$B$11,Szenarien!$H$18="OK"),((Eingaben!$B$32+Eingaben!$B$35)*(1+Eingaben!$B$41)^(B373-1)+SUM(Variantenbilanz!E2567:E2932)*Eingaben!$B$33*Eingaben!$B$34*(1+Eingaben!$B$42)^(B373-1))*Szenarien!$F$18,0),0)</f>
        <v>952.677052075243</v>
      </c>
      <c r="E373" s="13" t="n">
        <f aca="false">IFERROR(IF(AND(AND(B373&lt;=Eingaben!$B$11,Szenarien!$H$18="OK"),B373=Eingaben!$B$43),Eingaben!$B$44*Szenarien!$B$18*(1+Eingaben!$B$41)^(B373-1),0),0)</f>
        <v>0</v>
      </c>
      <c r="F373" s="13" t="n">
        <f aca="false">IFERROR(IF(AND(AND(B373&lt;=Eingaben!$B$11,Szenarien!$H$18="OK"),B373=Eingaben!$B$11),Eingaben!$B$45*Szenarien!$B$18,0),0)</f>
        <v>0</v>
      </c>
      <c r="G373" s="13" t="n">
        <f aca="false">C373-D373-E373+F373</f>
        <v>672.601373202054</v>
      </c>
      <c r="H373" s="13" t="n">
        <f aca="false">IFERROR(IF(AND(B373&lt;=Eingaben!$B$11,Szenarien!$H$18="OK"),1/(1+Eingaben!$B$39+Szenarien!$G$18)^B373,0),0)</f>
        <v>0.722421276598762</v>
      </c>
      <c r="I373" s="13" t="n">
        <f aca="false">G373*H373</f>
        <v>485.901542670708</v>
      </c>
      <c r="J373" s="13" t="n">
        <f aca="false">(D373+E373-F373)*H373</f>
        <v>688.234172146542</v>
      </c>
      <c r="K373" s="13" t="n">
        <f aca="false">IF(AND(B373&lt;=Eingaben!$B$11,Szenarien!$H$18="OK"),SUM(Variantenbilanz!K2567:K2932)*H373,0)</f>
        <v>385.280094989213</v>
      </c>
    </row>
    <row r="374" customFormat="false" ht="16.4" hidden="false" customHeight="false" outlineLevel="0" collapsed="false">
      <c r="A374" s="12"/>
      <c r="B374" s="15" t="n">
        <v>12</v>
      </c>
      <c r="C374" s="13" t="n">
        <f aca="false">IFERROR(IF(AND(B374&lt;=Eingaben!$B$11,Szenarien!$H$18="OK"),SUM(Variantenbilanz!K2567:K2932)*(Eingaben!$B$36*Szenarien!$C$18*(1+Eingaben!$B$40)^(B374-1)+Eingaben!$B$37*Eingaben!$B$38*(1+Eingaben!$B$46)^(B374-1)),0),0)</f>
        <v>1657.78399378284</v>
      </c>
      <c r="D374" s="13" t="n">
        <f aca="false">IFERROR(IF(AND(B374&lt;=Eingaben!$B$11,Szenarien!$H$18="OK"),((Eingaben!$B$32+Eingaben!$B$35)*(1+Eingaben!$B$41)^(B374-1)+SUM(Variantenbilanz!E2567:E2932)*Eingaben!$B$33*Eingaben!$B$34*(1+Eingaben!$B$42)^(B374-1))*Szenarien!$F$18,0),0)</f>
        <v>971.730593116748</v>
      </c>
      <c r="E374" s="13" t="n">
        <f aca="false">IFERROR(IF(AND(AND(B374&lt;=Eingaben!$B$11,Szenarien!$H$18="OK"),B374=Eingaben!$B$43),Eingaben!$B$44*Szenarien!$B$18*(1+Eingaben!$B$41)^(B374-1),0),0)</f>
        <v>0</v>
      </c>
      <c r="F374" s="13" t="n">
        <f aca="false">IFERROR(IF(AND(AND(B374&lt;=Eingaben!$B$11,Szenarien!$H$18="OK"),B374=Eingaben!$B$11),Eingaben!$B$45*Szenarien!$B$18,0),0)</f>
        <v>0</v>
      </c>
      <c r="G374" s="13" t="n">
        <f aca="false">C374-D374-E374+F374</f>
        <v>686.053400666095</v>
      </c>
      <c r="H374" s="13" t="n">
        <f aca="false">IFERROR(IF(AND(B374&lt;=Eingaben!$B$11,Szenarien!$H$18="OK"),1/(1+Eingaben!$B$39+Szenarien!$G$18)^B374,0),0)</f>
        <v>0.701379880192973</v>
      </c>
      <c r="I374" s="13" t="n">
        <f aca="false">G374*H374</f>
        <v>481.184051965168</v>
      </c>
      <c r="J374" s="13" t="n">
        <f aca="false">(D374+E374-F374)*H374</f>
        <v>681.552286980071</v>
      </c>
      <c r="K374" s="13" t="n">
        <f aca="false">IF(AND(B374&lt;=Eingaben!$B$11,Szenarien!$H$18="OK"),SUM(Variantenbilanz!K2567:K2932)*H374,0)</f>
        <v>374.058344649721</v>
      </c>
    </row>
    <row r="375" customFormat="false" ht="16.4" hidden="false" customHeight="false" outlineLevel="0" collapsed="false">
      <c r="A375" s="12"/>
      <c r="B375" s="15" t="n">
        <v>13</v>
      </c>
      <c r="C375" s="13" t="n">
        <f aca="false">IFERROR(IF(AND(B375&lt;=Eingaben!$B$11,Szenarien!$H$18="OK"),SUM(Variantenbilanz!K2567:K2932)*(Eingaben!$B$36*Szenarien!$C$18*(1+Eingaben!$B$40)^(B375-1)+Eingaben!$B$37*Eingaben!$B$38*(1+Eingaben!$B$46)^(B375-1)),0),0)</f>
        <v>1690.9396736585</v>
      </c>
      <c r="D375" s="13" t="n">
        <f aca="false">IFERROR(IF(AND(B375&lt;=Eingaben!$B$11,Szenarien!$H$18="OK"),((Eingaben!$B$32+Eingaben!$B$35)*(1+Eingaben!$B$41)^(B375-1)+SUM(Variantenbilanz!E2567:E2932)*Eingaben!$B$33*Eingaben!$B$34*(1+Eingaben!$B$42)^(B375-1))*Szenarien!$F$18,0),0)</f>
        <v>991.165204979082</v>
      </c>
      <c r="E375" s="13" t="n">
        <f aca="false">IFERROR(IF(AND(AND(B375&lt;=Eingaben!$B$11,Szenarien!$H$18="OK"),B375=Eingaben!$B$43),Eingaben!$B$44*Szenarien!$B$18*(1+Eingaben!$B$41)^(B375-1),0),0)</f>
        <v>0</v>
      </c>
      <c r="F375" s="13" t="n">
        <f aca="false">IFERROR(IF(AND(AND(B375&lt;=Eingaben!$B$11,Szenarien!$H$18="OK"),B375=Eingaben!$B$11),Eingaben!$B$45*Szenarien!$B$18,0),0)</f>
        <v>0</v>
      </c>
      <c r="G375" s="13" t="n">
        <f aca="false">C375-D375-E375+F375</f>
        <v>699.774468679417</v>
      </c>
      <c r="H375" s="13" t="n">
        <f aca="false">IFERROR(IF(AND(B375&lt;=Eingaben!$B$11,Szenarien!$H$18="OK"),1/(1+Eingaben!$B$39+Szenarien!$G$18)^B375,0),0)</f>
        <v>0.680951339993178</v>
      </c>
      <c r="I375" s="13" t="n">
        <f aca="false">G375*H375</f>
        <v>476.512362140263</v>
      </c>
      <c r="J375" s="13" t="n">
        <f aca="false">(D375+E375-F375)*H375</f>
        <v>674.935274485119</v>
      </c>
      <c r="K375" s="13" t="n">
        <f aca="false">IF(AND(B375&lt;=Eingaben!$B$11,Szenarien!$H$18="OK"),SUM(Variantenbilanz!K2567:K2932)*H375,0)</f>
        <v>363.163441407496</v>
      </c>
    </row>
    <row r="376" customFormat="false" ht="16.4" hidden="false" customHeight="false" outlineLevel="0" collapsed="false">
      <c r="A376" s="12"/>
      <c r="B376" s="15" t="n">
        <v>14</v>
      </c>
      <c r="C376" s="13" t="n">
        <f aca="false">IFERROR(IF(AND(B376&lt;=Eingaben!$B$11,Szenarien!$H$18="OK"),SUM(Variantenbilanz!K2567:K2932)*(Eingaben!$B$36*Szenarien!$C$18*(1+Eingaben!$B$40)^(B376-1)+Eingaben!$B$37*Eingaben!$B$38*(1+Eingaben!$B$46)^(B376-1)),0),0)</f>
        <v>1724.75846713167</v>
      </c>
      <c r="D376" s="13" t="n">
        <f aca="false">IFERROR(IF(AND(B376&lt;=Eingaben!$B$11,Szenarien!$H$18="OK"),((Eingaben!$B$32+Eingaben!$B$35)*(1+Eingaben!$B$41)^(B376-1)+SUM(Variantenbilanz!E2567:E2932)*Eingaben!$B$33*Eingaben!$B$34*(1+Eingaben!$B$42)^(B376-1))*Szenarien!$F$18,0),0)</f>
        <v>1010.98850907866</v>
      </c>
      <c r="E376" s="13" t="n">
        <f aca="false">IFERROR(IF(AND(AND(B376&lt;=Eingaben!$B$11,Szenarien!$H$18="OK"),B376=Eingaben!$B$43),Eingaben!$B$44*Szenarien!$B$18*(1+Eingaben!$B$41)^(B376-1),0),0)</f>
        <v>0</v>
      </c>
      <c r="F376" s="13" t="n">
        <f aca="false">IFERROR(IF(AND(AND(B376&lt;=Eingaben!$B$11,Szenarien!$H$18="OK"),B376=Eingaben!$B$11),Eingaben!$B$45*Szenarien!$B$18,0),0)</f>
        <v>0</v>
      </c>
      <c r="G376" s="13" t="n">
        <f aca="false">C376-D376-E376+F376</f>
        <v>713.769958053006</v>
      </c>
      <c r="H376" s="13" t="n">
        <f aca="false">IFERROR(IF(AND(B376&lt;=Eingaben!$B$11,Szenarien!$H$18="OK"),1/(1+Eingaben!$B$39+Szenarien!$G$18)^B376,0),0)</f>
        <v>0.661117805818619</v>
      </c>
      <c r="I376" s="13" t="n">
        <f aca="false">G376*H376</f>
        <v>471.886028527251</v>
      </c>
      <c r="J376" s="13" t="n">
        <f aca="false">(D376+E376-F376)*H376</f>
        <v>668.382504829923</v>
      </c>
      <c r="K376" s="13" t="n">
        <f aca="false">IF(AND(B376&lt;=Eingaben!$B$11,Szenarien!$H$18="OK"),SUM(Variantenbilanz!K2567:K2932)*H376,0)</f>
        <v>352.585865444171</v>
      </c>
    </row>
    <row r="377" customFormat="false" ht="16.4" hidden="false" customHeight="false" outlineLevel="0" collapsed="false">
      <c r="A377" s="12"/>
      <c r="B377" s="15" t="n">
        <v>15</v>
      </c>
      <c r="C377" s="13" t="n">
        <f aca="false">IFERROR(IF(AND(B377&lt;=Eingaben!$B$11,Szenarien!$H$18="OK"),SUM(Variantenbilanz!K2567:K2932)*(Eingaben!$B$36*Szenarien!$C$18*(1+Eingaben!$B$40)^(B377-1)+Eingaben!$B$37*Eingaben!$B$38*(1+Eingaben!$B$46)^(B377-1)),0),0)</f>
        <v>1759.2536364743</v>
      </c>
      <c r="D377" s="13" t="n">
        <f aca="false">IFERROR(IF(AND(B377&lt;=Eingaben!$B$11,Szenarien!$H$18="OK"),((Eingaben!$B$32+Eingaben!$B$35)*(1+Eingaben!$B$41)^(B377-1)+SUM(Variantenbilanz!E2567:E2932)*Eingaben!$B$33*Eingaben!$B$34*(1+Eingaben!$B$42)^(B377-1))*Szenarien!$F$18,0),0)</f>
        <v>1031.20827926024</v>
      </c>
      <c r="E377" s="13" t="n">
        <f aca="false">IFERROR(IF(AND(AND(B377&lt;=Eingaben!$B$11,Szenarien!$H$18="OK"),B377=Eingaben!$B$43),Eingaben!$B$44*Szenarien!$B$18*(1+Eingaben!$B$41)^(B377-1),0),0)</f>
        <v>0</v>
      </c>
      <c r="F377" s="13" t="n">
        <f aca="false">IFERROR(IF(AND(AND(B377&lt;=Eingaben!$B$11,Szenarien!$H$18="OK"),B377=Eingaben!$B$11),Eingaben!$B$45*Szenarien!$B$18,0),0)</f>
        <v>0</v>
      </c>
      <c r="G377" s="13" t="n">
        <f aca="false">C377-D377-E377+F377</f>
        <v>728.045357214066</v>
      </c>
      <c r="H377" s="13" t="n">
        <f aca="false">IFERROR(IF(AND(B377&lt;=Eingaben!$B$11,Szenarien!$H$18="OK"),1/(1+Eingaben!$B$39+Szenarien!$G$18)^B377,0),0)</f>
        <v>0.641861947396717</v>
      </c>
      <c r="I377" s="13" t="n">
        <f aca="false">G377*H377</f>
        <v>467.304610774559</v>
      </c>
      <c r="J377" s="13" t="n">
        <f aca="false">(D377+E377-F377)*H377</f>
        <v>661.893354297594</v>
      </c>
      <c r="K377" s="13" t="n">
        <f aca="false">IF(AND(B377&lt;=Eingaben!$B$11,Szenarien!$H$18="OK"),SUM(Variantenbilanz!K2567:K2932)*H377,0)</f>
        <v>342.316374217642</v>
      </c>
    </row>
    <row r="378" customFormat="false" ht="16.4" hidden="false" customHeight="false" outlineLevel="0" collapsed="false">
      <c r="A378" s="12"/>
      <c r="B378" s="15" t="n">
        <v>16</v>
      </c>
      <c r="C378" s="13" t="n">
        <f aca="false">IFERROR(IF(AND(B378&lt;=Eingaben!$B$11,Szenarien!$H$18="OK"),SUM(Variantenbilanz!K2567:K2932)*(Eingaben!$B$36*Szenarien!$C$18*(1+Eingaben!$B$40)^(B378-1)+Eingaben!$B$37*Eingaben!$B$38*(1+Eingaben!$B$46)^(B378-1)),0),0)</f>
        <v>1794.43870920379</v>
      </c>
      <c r="D378" s="13" t="n">
        <f aca="false">IFERROR(IF(AND(B378&lt;=Eingaben!$B$11,Szenarien!$H$18="OK"),((Eingaben!$B$32+Eingaben!$B$35)*(1+Eingaben!$B$41)^(B378-1)+SUM(Variantenbilanz!E2567:E2932)*Eingaben!$B$33*Eingaben!$B$34*(1+Eingaben!$B$42)^(B378-1))*Szenarien!$F$18,0),0)</f>
        <v>1051.83244484544</v>
      </c>
      <c r="E378" s="13" t="n">
        <f aca="false">IFERROR(IF(AND(AND(B378&lt;=Eingaben!$B$11,Szenarien!$H$18="OK"),B378=Eingaben!$B$43),Eingaben!$B$44*Szenarien!$B$18*(1+Eingaben!$B$41)^(B378-1),0),0)</f>
        <v>0</v>
      </c>
      <c r="F378" s="13" t="n">
        <f aca="false">IFERROR(IF(AND(AND(B378&lt;=Eingaben!$B$11,Szenarien!$H$18="OK"),B378=Eingaben!$B$11),Eingaben!$B$45*Szenarien!$B$18,0),0)</f>
        <v>0</v>
      </c>
      <c r="G378" s="13" t="n">
        <f aca="false">C378-D378-E378+F378</f>
        <v>742.606264358347</v>
      </c>
      <c r="H378" s="13" t="n">
        <f aca="false">IFERROR(IF(AND(B378&lt;=Eingaben!$B$11,Szenarien!$H$18="OK"),1/(1+Eingaben!$B$39+Szenarien!$G$18)^B378,0),0)</f>
        <v>0.623166939220114</v>
      </c>
      <c r="I378" s="13" t="n">
        <f aca="false">G378*H378</f>
        <v>462.767672805874</v>
      </c>
      <c r="J378" s="13" t="n">
        <f aca="false">(D378+E378-F378)*H378</f>
        <v>655.467205226744</v>
      </c>
      <c r="K378" s="13" t="n">
        <f aca="false">IF(AND(B378&lt;=Eingaben!$B$11,Szenarien!$H$18="OK"),SUM(Variantenbilanz!K2567:K2932)*H378,0)</f>
        <v>332.34599438606</v>
      </c>
    </row>
    <row r="379" customFormat="false" ht="16.4" hidden="false" customHeight="false" outlineLevel="0" collapsed="false">
      <c r="A379" s="12"/>
      <c r="B379" s="15" t="n">
        <v>17</v>
      </c>
      <c r="C379" s="13" t="n">
        <f aca="false">IFERROR(IF(AND(B379&lt;=Eingaben!$B$11,Szenarien!$H$18="OK"),SUM(Variantenbilanz!K2567:K2932)*(Eingaben!$B$36*Szenarien!$C$18*(1+Eingaben!$B$40)^(B379-1)+Eingaben!$B$37*Eingaben!$B$38*(1+Eingaben!$B$46)^(B379-1)),0),0)</f>
        <v>1830.32748338787</v>
      </c>
      <c r="D379" s="13" t="n">
        <f aca="false">IFERROR(IF(AND(B379&lt;=Eingaben!$B$11,Szenarien!$H$18="OK"),((Eingaben!$B$32+Eingaben!$B$35)*(1+Eingaben!$B$41)^(B379-1)+SUM(Variantenbilanz!E2567:E2932)*Eingaben!$B$33*Eingaben!$B$34*(1+Eingaben!$B$42)^(B379-1))*Szenarien!$F$18,0),0)</f>
        <v>1072.86909374235</v>
      </c>
      <c r="E379" s="13" t="n">
        <f aca="false">IFERROR(IF(AND(AND(B379&lt;=Eingaben!$B$11,Szenarien!$H$18="OK"),B379=Eingaben!$B$43),Eingaben!$B$44*Szenarien!$B$18*(1+Eingaben!$B$41)^(B379-1),0),0)</f>
        <v>0</v>
      </c>
      <c r="F379" s="13" t="n">
        <f aca="false">IFERROR(IF(AND(AND(B379&lt;=Eingaben!$B$11,Szenarien!$H$18="OK"),B379=Eingaben!$B$11),Eingaben!$B$45*Szenarien!$B$18,0),0)</f>
        <v>0</v>
      </c>
      <c r="G379" s="13" t="n">
        <f aca="false">C379-D379-E379+F379</f>
        <v>757.458389645514</v>
      </c>
      <c r="H379" s="13" t="n">
        <f aca="false">IFERROR(IF(AND(B379&lt;=Eingaben!$B$11,Szenarien!$H$18="OK"),1/(1+Eingaben!$B$39+Szenarien!$G$18)^B379,0),0)</f>
        <v>0.605016445844771</v>
      </c>
      <c r="I379" s="13" t="n">
        <f aca="false">G379*H379</f>
        <v>458.274782778632</v>
      </c>
      <c r="J379" s="13" t="n">
        <f aca="false">(D379+E379-F379)*H379</f>
        <v>649.103445952698</v>
      </c>
      <c r="K379" s="13" t="n">
        <f aca="false">IF(AND(B379&lt;=Eingaben!$B$11,Szenarien!$H$18="OK"),SUM(Variantenbilanz!K2567:K2932)*H379,0)</f>
        <v>322.666013967048</v>
      </c>
    </row>
    <row r="380" customFormat="false" ht="16.4" hidden="false" customHeight="false" outlineLevel="0" collapsed="false">
      <c r="A380" s="12"/>
      <c r="B380" s="15" t="n">
        <v>18</v>
      </c>
      <c r="C380" s="13" t="n">
        <f aca="false">IFERROR(IF(AND(B380&lt;=Eingaben!$B$11,Szenarien!$H$18="OK"),SUM(Variantenbilanz!K2567:K2932)*(Eingaben!$B$36*Szenarien!$C$18*(1+Eingaben!$B$40)^(B380-1)+Eingaben!$B$37*Eingaben!$B$38*(1+Eingaben!$B$46)^(B380-1)),0),0)</f>
        <v>1866.93403305562</v>
      </c>
      <c r="D380" s="13" t="n">
        <f aca="false">IFERROR(IF(AND(B380&lt;=Eingaben!$B$11,Szenarien!$H$18="OK"),((Eingaben!$B$32+Eingaben!$B$35)*(1+Eingaben!$B$41)^(B380-1)+SUM(Variantenbilanz!E2567:E2932)*Eingaben!$B$33*Eingaben!$B$34*(1+Eingaben!$B$42)^(B380-1))*Szenarien!$F$18,0),0)</f>
        <v>1094.3264756172</v>
      </c>
      <c r="E380" s="13" t="n">
        <f aca="false">IFERROR(IF(AND(AND(B380&lt;=Eingaben!$B$11,Szenarien!$H$18="OK"),B380=Eingaben!$B$43),Eingaben!$B$44*Szenarien!$B$18*(1+Eingaben!$B$41)^(B380-1),0),0)</f>
        <v>0</v>
      </c>
      <c r="F380" s="13" t="n">
        <f aca="false">IFERROR(IF(AND(AND(B380&lt;=Eingaben!$B$11,Szenarien!$H$18="OK"),B380=Eingaben!$B$11),Eingaben!$B$45*Szenarien!$B$18,0),0)</f>
        <v>0</v>
      </c>
      <c r="G380" s="13" t="n">
        <f aca="false">C380-D380-E380+F380</f>
        <v>772.607557438425</v>
      </c>
      <c r="H380" s="13" t="n">
        <f aca="false">IFERROR(IF(AND(B380&lt;=Eingaben!$B$11,Szenarien!$H$18="OK"),1/(1+Eingaben!$B$39+Szenarien!$G$18)^B380,0),0)</f>
        <v>0.587394607616282</v>
      </c>
      <c r="I380" s="13" t="n">
        <f aca="false">G380*H380</f>
        <v>453.825513042918</v>
      </c>
      <c r="J380" s="13" t="n">
        <f aca="false">(D380+E380-F380)*H380</f>
        <v>642.801470749273</v>
      </c>
      <c r="K380" s="13" t="n">
        <f aca="false">IF(AND(B380&lt;=Eingaben!$B$11,Szenarien!$H$18="OK"),SUM(Variantenbilanz!K2567:K2932)*H380,0)</f>
        <v>313.26797472529</v>
      </c>
    </row>
    <row r="381" customFormat="false" ht="16.4" hidden="false" customHeight="false" outlineLevel="0" collapsed="false">
      <c r="A381" s="12"/>
      <c r="B381" s="15" t="n">
        <v>19</v>
      </c>
      <c r="C381" s="13" t="n">
        <f aca="false">IFERROR(IF(AND(B381&lt;=Eingaben!$B$11,Szenarien!$H$18="OK"),SUM(Variantenbilanz!K2567:K2932)*(Eingaben!$B$36*Szenarien!$C$18*(1+Eingaben!$B$40)^(B381-1)+Eingaben!$B$37*Eingaben!$B$38*(1+Eingaben!$B$46)^(B381-1)),0),0)</f>
        <v>1904.27271371674</v>
      </c>
      <c r="D381" s="13" t="n">
        <f aca="false">IFERROR(IF(AND(B381&lt;=Eingaben!$B$11,Szenarien!$H$18="OK"),((Eingaben!$B$32+Eingaben!$B$35)*(1+Eingaben!$B$41)^(B381-1)+SUM(Variantenbilanz!E2567:E2932)*Eingaben!$B$33*Eingaben!$B$34*(1+Eingaben!$B$42)^(B381-1))*Szenarien!$F$18,0),0)</f>
        <v>1116.21300512954</v>
      </c>
      <c r="E381" s="13" t="n">
        <f aca="false">IFERROR(IF(AND(AND(B381&lt;=Eingaben!$B$11,Szenarien!$H$18="OK"),B381=Eingaben!$B$43),Eingaben!$B$44*Szenarien!$B$18*(1+Eingaben!$B$41)^(B381-1),0),0)</f>
        <v>0</v>
      </c>
      <c r="F381" s="13" t="n">
        <f aca="false">IFERROR(IF(AND(AND(B381&lt;=Eingaben!$B$11,Szenarien!$H$18="OK"),B381=Eingaben!$B$11),Eingaben!$B$45*Szenarien!$B$18,0),0)</f>
        <v>0</v>
      </c>
      <c r="G381" s="13" t="n">
        <f aca="false">C381-D381-E381+F381</f>
        <v>788.059708587193</v>
      </c>
      <c r="H381" s="13" t="n">
        <f aca="false">IFERROR(IF(AND(B381&lt;=Eingaben!$B$11,Szenarien!$H$18="OK"),1/(1+Eingaben!$B$39+Szenarien!$G$18)^B381,0),0)</f>
        <v>0.570286026811925</v>
      </c>
      <c r="I381" s="13" t="n">
        <f aca="false">G381*H381</f>
        <v>449.419440100753</v>
      </c>
      <c r="J381" s="13" t="n">
        <f aca="false">(D381+E381-F381)*H381</f>
        <v>636.560679771125</v>
      </c>
      <c r="K381" s="13" t="n">
        <f aca="false">IF(AND(B381&lt;=Eingaben!$B$11,Szenarien!$H$18="OK"),SUM(Variantenbilanz!K2567:K2932)*H381,0)</f>
        <v>304.143664781835</v>
      </c>
    </row>
    <row r="382" customFormat="false" ht="16.4" hidden="false" customHeight="false" outlineLevel="0" collapsed="false">
      <c r="A382" s="12"/>
      <c r="B382" s="15" t="n">
        <v>20</v>
      </c>
      <c r="C382" s="13" t="n">
        <f aca="false">IFERROR(IF(AND(B382&lt;=Eingaben!$B$11,Szenarien!$H$18="OK"),SUM(Variantenbilanz!K2567:K2932)*(Eingaben!$B$36*Szenarien!$C$18*(1+Eingaben!$B$40)^(B382-1)+Eingaben!$B$37*Eingaben!$B$38*(1+Eingaben!$B$46)^(B382-1)),0),0)</f>
        <v>1942.35816799107</v>
      </c>
      <c r="D382" s="13" t="n">
        <f aca="false">IFERROR(IF(AND(B382&lt;=Eingaben!$B$11,Szenarien!$H$18="OK"),((Eingaben!$B$32+Eingaben!$B$35)*(1+Eingaben!$B$41)^(B382-1)+SUM(Variantenbilanz!E2567:E2932)*Eingaben!$B$33*Eingaben!$B$34*(1+Eingaben!$B$42)^(B382-1))*Szenarien!$F$18,0),0)</f>
        <v>1138.53726523213</v>
      </c>
      <c r="E382" s="13" t="n">
        <f aca="false">IFERROR(IF(AND(AND(B382&lt;=Eingaben!$B$11,Szenarien!$H$18="OK"),B382=Eingaben!$B$43),Eingaben!$B$44*Szenarien!$B$18*(1+Eingaben!$B$41)^(B382-1),0),0)</f>
        <v>0</v>
      </c>
      <c r="F382" s="13" t="n">
        <f aca="false">IFERROR(IF(AND(AND(B382&lt;=Eingaben!$B$11,Szenarien!$H$18="OK"),B382=Eingaben!$B$11),Eingaben!$B$45*Szenarien!$B$18,0),0)</f>
        <v>0</v>
      </c>
      <c r="G382" s="13" t="n">
        <f aca="false">C382-D382-E382+F382</f>
        <v>803.820902758936</v>
      </c>
      <c r="H382" s="13" t="n">
        <f aca="false">IFERROR(IF(AND(B382&lt;=Eingaben!$B$11,Szenarien!$H$18="OK"),1/(1+Eingaben!$B$39+Szenarien!$G$18)^B382,0),0)</f>
        <v>0.553675754186335</v>
      </c>
      <c r="I382" s="13" t="n">
        <f aca="false">G382*H382</f>
        <v>445.056144565794</v>
      </c>
      <c r="J382" s="13" t="n">
        <f aca="false">(D382+E382-F382)*H382</f>
        <v>630.380478996648</v>
      </c>
      <c r="K382" s="13" t="n">
        <f aca="false">IF(AND(B382&lt;=Eingaben!$B$11,Szenarien!$H$18="OK"),SUM(Variantenbilanz!K2567:K2932)*H382,0)</f>
        <v>295.285111438674</v>
      </c>
    </row>
    <row r="383" customFormat="false" ht="16.4" hidden="false" customHeight="false" outlineLevel="0" collapsed="false">
      <c r="A383" s="12"/>
      <c r="B383" s="15" t="n">
        <v>21</v>
      </c>
      <c r="C383" s="13" t="n">
        <f aca="false">IFERROR(IF(AND(B383&lt;=Eingaben!$B$11,Szenarien!$H$18="OK"),SUM(Variantenbilanz!K2567:K2932)*(Eingaben!$B$36*Szenarien!$C$18*(1+Eingaben!$B$40)^(B383-1)+Eingaben!$B$37*Eingaben!$B$38*(1+Eingaben!$B$46)^(B383-1)),0),0)</f>
        <v>0</v>
      </c>
      <c r="D383" s="13" t="n">
        <f aca="false">IFERROR(IF(AND(B383&lt;=Eingaben!$B$11,Szenarien!$H$18="OK"),((Eingaben!$B$32+Eingaben!$B$35)*(1+Eingaben!$B$41)^(B383-1)+SUM(Variantenbilanz!E2567:E2932)*Eingaben!$B$33*Eingaben!$B$34*(1+Eingaben!$B$42)^(B383-1))*Szenarien!$F$18,0),0)</f>
        <v>0</v>
      </c>
      <c r="E383" s="13" t="n">
        <f aca="false">IFERROR(IF(AND(AND(B383&lt;=Eingaben!$B$11,Szenarien!$H$18="OK"),B383=Eingaben!$B$43),Eingaben!$B$44*Szenarien!$B$18*(1+Eingaben!$B$41)^(B383-1),0),0)</f>
        <v>0</v>
      </c>
      <c r="F383" s="13" t="n">
        <f aca="false">IFERROR(IF(AND(AND(B383&lt;=Eingaben!$B$11,Szenarien!$H$18="OK"),B383=Eingaben!$B$11),Eingaben!$B$45*Szenarien!$B$18,0),0)</f>
        <v>0</v>
      </c>
      <c r="G383" s="13" t="n">
        <f aca="false">C383-D383-E383+F383</f>
        <v>0</v>
      </c>
      <c r="H383" s="13" t="n">
        <f aca="false">IFERROR(IF(AND(B383&lt;=Eingaben!$B$11,Szenarien!$H$18="OK"),1/(1+Eingaben!$B$39+Szenarien!$G$18)^B383,0),0)</f>
        <v>0</v>
      </c>
      <c r="I383" s="13" t="n">
        <f aca="false">G383*H383</f>
        <v>0</v>
      </c>
      <c r="J383" s="13" t="n">
        <f aca="false">(D383+E383-F383)*H383</f>
        <v>0</v>
      </c>
      <c r="K383" s="13" t="n">
        <f aca="false">IF(AND(B383&lt;=Eingaben!$B$11,Szenarien!$H$18="OK"),SUM(Variantenbilanz!K2567:K2932)*H383,0)</f>
        <v>0</v>
      </c>
    </row>
    <row r="384" customFormat="false" ht="16.4" hidden="false" customHeight="false" outlineLevel="0" collapsed="false">
      <c r="A384" s="12"/>
      <c r="B384" s="15" t="n">
        <v>22</v>
      </c>
      <c r="C384" s="13" t="n">
        <f aca="false">IFERROR(IF(AND(B384&lt;=Eingaben!$B$11,Szenarien!$H$18="OK"),SUM(Variantenbilanz!K2567:K2932)*(Eingaben!$B$36*Szenarien!$C$18*(1+Eingaben!$B$40)^(B384-1)+Eingaben!$B$37*Eingaben!$B$38*(1+Eingaben!$B$46)^(B384-1)),0),0)</f>
        <v>0</v>
      </c>
      <c r="D384" s="13" t="n">
        <f aca="false">IFERROR(IF(AND(B384&lt;=Eingaben!$B$11,Szenarien!$H$18="OK"),((Eingaben!$B$32+Eingaben!$B$35)*(1+Eingaben!$B$41)^(B384-1)+SUM(Variantenbilanz!E2567:E2932)*Eingaben!$B$33*Eingaben!$B$34*(1+Eingaben!$B$42)^(B384-1))*Szenarien!$F$18,0),0)</f>
        <v>0</v>
      </c>
      <c r="E384" s="13" t="n">
        <f aca="false">IFERROR(IF(AND(AND(B384&lt;=Eingaben!$B$11,Szenarien!$H$18="OK"),B384=Eingaben!$B$43),Eingaben!$B$44*Szenarien!$B$18*(1+Eingaben!$B$41)^(B384-1),0),0)</f>
        <v>0</v>
      </c>
      <c r="F384" s="13" t="n">
        <f aca="false">IFERROR(IF(AND(AND(B384&lt;=Eingaben!$B$11,Szenarien!$H$18="OK"),B384=Eingaben!$B$11),Eingaben!$B$45*Szenarien!$B$18,0),0)</f>
        <v>0</v>
      </c>
      <c r="G384" s="13" t="n">
        <f aca="false">C384-D384-E384+F384</f>
        <v>0</v>
      </c>
      <c r="H384" s="13" t="n">
        <f aca="false">IFERROR(IF(AND(B384&lt;=Eingaben!$B$11,Szenarien!$H$18="OK"),1/(1+Eingaben!$B$39+Szenarien!$G$18)^B384,0),0)</f>
        <v>0</v>
      </c>
      <c r="I384" s="13" t="n">
        <f aca="false">G384*H384</f>
        <v>0</v>
      </c>
      <c r="J384" s="13" t="n">
        <f aca="false">(D384+E384-F384)*H384</f>
        <v>0</v>
      </c>
      <c r="K384" s="13" t="n">
        <f aca="false">IF(AND(B384&lt;=Eingaben!$B$11,Szenarien!$H$18="OK"),SUM(Variantenbilanz!K2567:K2932)*H384,0)</f>
        <v>0</v>
      </c>
    </row>
    <row r="385" customFormat="false" ht="16.4" hidden="false" customHeight="false" outlineLevel="0" collapsed="false">
      <c r="A385" s="12"/>
      <c r="B385" s="15" t="n">
        <v>23</v>
      </c>
      <c r="C385" s="13" t="n">
        <f aca="false">IFERROR(IF(AND(B385&lt;=Eingaben!$B$11,Szenarien!$H$18="OK"),SUM(Variantenbilanz!K2567:K2932)*(Eingaben!$B$36*Szenarien!$C$18*(1+Eingaben!$B$40)^(B385-1)+Eingaben!$B$37*Eingaben!$B$38*(1+Eingaben!$B$46)^(B385-1)),0),0)</f>
        <v>0</v>
      </c>
      <c r="D385" s="13" t="n">
        <f aca="false">IFERROR(IF(AND(B385&lt;=Eingaben!$B$11,Szenarien!$H$18="OK"),((Eingaben!$B$32+Eingaben!$B$35)*(1+Eingaben!$B$41)^(B385-1)+SUM(Variantenbilanz!E2567:E2932)*Eingaben!$B$33*Eingaben!$B$34*(1+Eingaben!$B$42)^(B385-1))*Szenarien!$F$18,0),0)</f>
        <v>0</v>
      </c>
      <c r="E385" s="13" t="n">
        <f aca="false">IFERROR(IF(AND(AND(B385&lt;=Eingaben!$B$11,Szenarien!$H$18="OK"),B385=Eingaben!$B$43),Eingaben!$B$44*Szenarien!$B$18*(1+Eingaben!$B$41)^(B385-1),0),0)</f>
        <v>0</v>
      </c>
      <c r="F385" s="13" t="n">
        <f aca="false">IFERROR(IF(AND(AND(B385&lt;=Eingaben!$B$11,Szenarien!$H$18="OK"),B385=Eingaben!$B$11),Eingaben!$B$45*Szenarien!$B$18,0),0)</f>
        <v>0</v>
      </c>
      <c r="G385" s="13" t="n">
        <f aca="false">C385-D385-E385+F385</f>
        <v>0</v>
      </c>
      <c r="H385" s="13" t="n">
        <f aca="false">IFERROR(IF(AND(B385&lt;=Eingaben!$B$11,Szenarien!$H$18="OK"),1/(1+Eingaben!$B$39+Szenarien!$G$18)^B385,0),0)</f>
        <v>0</v>
      </c>
      <c r="I385" s="13" t="n">
        <f aca="false">G385*H385</f>
        <v>0</v>
      </c>
      <c r="J385" s="13" t="n">
        <f aca="false">(D385+E385-F385)*H385</f>
        <v>0</v>
      </c>
      <c r="K385" s="13" t="n">
        <f aca="false">IF(AND(B385&lt;=Eingaben!$B$11,Szenarien!$H$18="OK"),SUM(Variantenbilanz!K2567:K2932)*H385,0)</f>
        <v>0</v>
      </c>
    </row>
    <row r="386" customFormat="false" ht="16.4" hidden="false" customHeight="false" outlineLevel="0" collapsed="false">
      <c r="A386" s="12"/>
      <c r="B386" s="15" t="n">
        <v>24</v>
      </c>
      <c r="C386" s="13" t="n">
        <f aca="false">IFERROR(IF(AND(B386&lt;=Eingaben!$B$11,Szenarien!$H$18="OK"),SUM(Variantenbilanz!K2567:K2932)*(Eingaben!$B$36*Szenarien!$C$18*(1+Eingaben!$B$40)^(B386-1)+Eingaben!$B$37*Eingaben!$B$38*(1+Eingaben!$B$46)^(B386-1)),0),0)</f>
        <v>0</v>
      </c>
      <c r="D386" s="13" t="n">
        <f aca="false">IFERROR(IF(AND(B386&lt;=Eingaben!$B$11,Szenarien!$H$18="OK"),((Eingaben!$B$32+Eingaben!$B$35)*(1+Eingaben!$B$41)^(B386-1)+SUM(Variantenbilanz!E2567:E2932)*Eingaben!$B$33*Eingaben!$B$34*(1+Eingaben!$B$42)^(B386-1))*Szenarien!$F$18,0),0)</f>
        <v>0</v>
      </c>
      <c r="E386" s="13" t="n">
        <f aca="false">IFERROR(IF(AND(AND(B386&lt;=Eingaben!$B$11,Szenarien!$H$18="OK"),B386=Eingaben!$B$43),Eingaben!$B$44*Szenarien!$B$18*(1+Eingaben!$B$41)^(B386-1),0),0)</f>
        <v>0</v>
      </c>
      <c r="F386" s="13" t="n">
        <f aca="false">IFERROR(IF(AND(AND(B386&lt;=Eingaben!$B$11,Szenarien!$H$18="OK"),B386=Eingaben!$B$11),Eingaben!$B$45*Szenarien!$B$18,0),0)</f>
        <v>0</v>
      </c>
      <c r="G386" s="13" t="n">
        <f aca="false">C386-D386-E386+F386</f>
        <v>0</v>
      </c>
      <c r="H386" s="13" t="n">
        <f aca="false">IFERROR(IF(AND(B386&lt;=Eingaben!$B$11,Szenarien!$H$18="OK"),1/(1+Eingaben!$B$39+Szenarien!$G$18)^B386,0),0)</f>
        <v>0</v>
      </c>
      <c r="I386" s="13" t="n">
        <f aca="false">G386*H386</f>
        <v>0</v>
      </c>
      <c r="J386" s="13" t="n">
        <f aca="false">(D386+E386-F386)*H386</f>
        <v>0</v>
      </c>
      <c r="K386" s="13" t="n">
        <f aca="false">IF(AND(B386&lt;=Eingaben!$B$11,Szenarien!$H$18="OK"),SUM(Variantenbilanz!K2567:K2932)*H386,0)</f>
        <v>0</v>
      </c>
    </row>
    <row r="387" customFormat="false" ht="16.4" hidden="false" customHeight="false" outlineLevel="0" collapsed="false">
      <c r="A387" s="12"/>
      <c r="B387" s="15" t="n">
        <v>25</v>
      </c>
      <c r="C387" s="13" t="n">
        <f aca="false">IFERROR(IF(AND(B387&lt;=Eingaben!$B$11,Szenarien!$H$18="OK"),SUM(Variantenbilanz!K2567:K2932)*(Eingaben!$B$36*Szenarien!$C$18*(1+Eingaben!$B$40)^(B387-1)+Eingaben!$B$37*Eingaben!$B$38*(1+Eingaben!$B$46)^(B387-1)),0),0)</f>
        <v>0</v>
      </c>
      <c r="D387" s="13" t="n">
        <f aca="false">IFERROR(IF(AND(B387&lt;=Eingaben!$B$11,Szenarien!$H$18="OK"),((Eingaben!$B$32+Eingaben!$B$35)*(1+Eingaben!$B$41)^(B387-1)+SUM(Variantenbilanz!E2567:E2932)*Eingaben!$B$33*Eingaben!$B$34*(1+Eingaben!$B$42)^(B387-1))*Szenarien!$F$18,0),0)</f>
        <v>0</v>
      </c>
      <c r="E387" s="13" t="n">
        <f aca="false">IFERROR(IF(AND(AND(B387&lt;=Eingaben!$B$11,Szenarien!$H$18="OK"),B387=Eingaben!$B$43),Eingaben!$B$44*Szenarien!$B$18*(1+Eingaben!$B$41)^(B387-1),0),0)</f>
        <v>0</v>
      </c>
      <c r="F387" s="13" t="n">
        <f aca="false">IFERROR(IF(AND(AND(B387&lt;=Eingaben!$B$11,Szenarien!$H$18="OK"),B387=Eingaben!$B$11),Eingaben!$B$45*Szenarien!$B$18,0),0)</f>
        <v>0</v>
      </c>
      <c r="G387" s="13" t="n">
        <f aca="false">C387-D387-E387+F387</f>
        <v>0</v>
      </c>
      <c r="H387" s="13" t="n">
        <f aca="false">IFERROR(IF(AND(B387&lt;=Eingaben!$B$11,Szenarien!$H$18="OK"),1/(1+Eingaben!$B$39+Szenarien!$G$18)^B387,0),0)</f>
        <v>0</v>
      </c>
      <c r="I387" s="13" t="n">
        <f aca="false">G387*H387</f>
        <v>0</v>
      </c>
      <c r="J387" s="13" t="n">
        <f aca="false">(D387+E387-F387)*H387</f>
        <v>0</v>
      </c>
      <c r="K387" s="13" t="n">
        <f aca="false">IF(AND(B387&lt;=Eingaben!$B$11,Szenarien!$H$18="OK"),SUM(Variantenbilanz!K2567:K2932)*H387,0)</f>
        <v>0</v>
      </c>
    </row>
    <row r="388" customFormat="false" ht="16.4" hidden="false" customHeight="false" outlineLevel="0" collapsed="false">
      <c r="A388" s="12"/>
      <c r="B388" s="15" t="n">
        <v>26</v>
      </c>
      <c r="C388" s="13" t="n">
        <f aca="false">IFERROR(IF(AND(B388&lt;=Eingaben!$B$11,Szenarien!$H$18="OK"),SUM(Variantenbilanz!K2567:K2932)*(Eingaben!$B$36*Szenarien!$C$18*(1+Eingaben!$B$40)^(B388-1)+Eingaben!$B$37*Eingaben!$B$38*(1+Eingaben!$B$46)^(B388-1)),0),0)</f>
        <v>0</v>
      </c>
      <c r="D388" s="13" t="n">
        <f aca="false">IFERROR(IF(AND(B388&lt;=Eingaben!$B$11,Szenarien!$H$18="OK"),((Eingaben!$B$32+Eingaben!$B$35)*(1+Eingaben!$B$41)^(B388-1)+SUM(Variantenbilanz!E2567:E2932)*Eingaben!$B$33*Eingaben!$B$34*(1+Eingaben!$B$42)^(B388-1))*Szenarien!$F$18,0),0)</f>
        <v>0</v>
      </c>
      <c r="E388" s="13" t="n">
        <f aca="false">IFERROR(IF(AND(AND(B388&lt;=Eingaben!$B$11,Szenarien!$H$18="OK"),B388=Eingaben!$B$43),Eingaben!$B$44*Szenarien!$B$18*(1+Eingaben!$B$41)^(B388-1),0),0)</f>
        <v>0</v>
      </c>
      <c r="F388" s="13" t="n">
        <f aca="false">IFERROR(IF(AND(AND(B388&lt;=Eingaben!$B$11,Szenarien!$H$18="OK"),B388=Eingaben!$B$11),Eingaben!$B$45*Szenarien!$B$18,0),0)</f>
        <v>0</v>
      </c>
      <c r="G388" s="13" t="n">
        <f aca="false">C388-D388-E388+F388</f>
        <v>0</v>
      </c>
      <c r="H388" s="13" t="n">
        <f aca="false">IFERROR(IF(AND(B388&lt;=Eingaben!$B$11,Szenarien!$H$18="OK"),1/(1+Eingaben!$B$39+Szenarien!$G$18)^B388,0),0)</f>
        <v>0</v>
      </c>
      <c r="I388" s="13" t="n">
        <f aca="false">G388*H388</f>
        <v>0</v>
      </c>
      <c r="J388" s="13" t="n">
        <f aca="false">(D388+E388-F388)*H388</f>
        <v>0</v>
      </c>
      <c r="K388" s="13" t="n">
        <f aca="false">IF(AND(B388&lt;=Eingaben!$B$11,Szenarien!$H$18="OK"),SUM(Variantenbilanz!K2567:K2932)*H388,0)</f>
        <v>0</v>
      </c>
    </row>
    <row r="389" customFormat="false" ht="16.4" hidden="false" customHeight="false" outlineLevel="0" collapsed="false">
      <c r="A389" s="12"/>
      <c r="B389" s="15" t="n">
        <v>27</v>
      </c>
      <c r="C389" s="13" t="n">
        <f aca="false">IFERROR(IF(AND(B389&lt;=Eingaben!$B$11,Szenarien!$H$18="OK"),SUM(Variantenbilanz!K2567:K2932)*(Eingaben!$B$36*Szenarien!$C$18*(1+Eingaben!$B$40)^(B389-1)+Eingaben!$B$37*Eingaben!$B$38*(1+Eingaben!$B$46)^(B389-1)),0),0)</f>
        <v>0</v>
      </c>
      <c r="D389" s="13" t="n">
        <f aca="false">IFERROR(IF(AND(B389&lt;=Eingaben!$B$11,Szenarien!$H$18="OK"),((Eingaben!$B$32+Eingaben!$B$35)*(1+Eingaben!$B$41)^(B389-1)+SUM(Variantenbilanz!E2567:E2932)*Eingaben!$B$33*Eingaben!$B$34*(1+Eingaben!$B$42)^(B389-1))*Szenarien!$F$18,0),0)</f>
        <v>0</v>
      </c>
      <c r="E389" s="13" t="n">
        <f aca="false">IFERROR(IF(AND(AND(B389&lt;=Eingaben!$B$11,Szenarien!$H$18="OK"),B389=Eingaben!$B$43),Eingaben!$B$44*Szenarien!$B$18*(1+Eingaben!$B$41)^(B389-1),0),0)</f>
        <v>0</v>
      </c>
      <c r="F389" s="13" t="n">
        <f aca="false">IFERROR(IF(AND(AND(B389&lt;=Eingaben!$B$11,Szenarien!$H$18="OK"),B389=Eingaben!$B$11),Eingaben!$B$45*Szenarien!$B$18,0),0)</f>
        <v>0</v>
      </c>
      <c r="G389" s="13" t="n">
        <f aca="false">C389-D389-E389+F389</f>
        <v>0</v>
      </c>
      <c r="H389" s="13" t="n">
        <f aca="false">IFERROR(IF(AND(B389&lt;=Eingaben!$B$11,Szenarien!$H$18="OK"),1/(1+Eingaben!$B$39+Szenarien!$G$18)^B389,0),0)</f>
        <v>0</v>
      </c>
      <c r="I389" s="13" t="n">
        <f aca="false">G389*H389</f>
        <v>0</v>
      </c>
      <c r="J389" s="13" t="n">
        <f aca="false">(D389+E389-F389)*H389</f>
        <v>0</v>
      </c>
      <c r="K389" s="13" t="n">
        <f aca="false">IF(AND(B389&lt;=Eingaben!$B$11,Szenarien!$H$18="OK"),SUM(Variantenbilanz!K2567:K2932)*H389,0)</f>
        <v>0</v>
      </c>
    </row>
    <row r="390" customFormat="false" ht="16.4" hidden="false" customHeight="false" outlineLevel="0" collapsed="false">
      <c r="A390" s="12"/>
      <c r="B390" s="15" t="n">
        <v>28</v>
      </c>
      <c r="C390" s="13" t="n">
        <f aca="false">IFERROR(IF(AND(B390&lt;=Eingaben!$B$11,Szenarien!$H$18="OK"),SUM(Variantenbilanz!K2567:K2932)*(Eingaben!$B$36*Szenarien!$C$18*(1+Eingaben!$B$40)^(B390-1)+Eingaben!$B$37*Eingaben!$B$38*(1+Eingaben!$B$46)^(B390-1)),0),0)</f>
        <v>0</v>
      </c>
      <c r="D390" s="13" t="n">
        <f aca="false">IFERROR(IF(AND(B390&lt;=Eingaben!$B$11,Szenarien!$H$18="OK"),((Eingaben!$B$32+Eingaben!$B$35)*(1+Eingaben!$B$41)^(B390-1)+SUM(Variantenbilanz!E2567:E2932)*Eingaben!$B$33*Eingaben!$B$34*(1+Eingaben!$B$42)^(B390-1))*Szenarien!$F$18,0),0)</f>
        <v>0</v>
      </c>
      <c r="E390" s="13" t="n">
        <f aca="false">IFERROR(IF(AND(AND(B390&lt;=Eingaben!$B$11,Szenarien!$H$18="OK"),B390=Eingaben!$B$43),Eingaben!$B$44*Szenarien!$B$18*(1+Eingaben!$B$41)^(B390-1),0),0)</f>
        <v>0</v>
      </c>
      <c r="F390" s="13" t="n">
        <f aca="false">IFERROR(IF(AND(AND(B390&lt;=Eingaben!$B$11,Szenarien!$H$18="OK"),B390=Eingaben!$B$11),Eingaben!$B$45*Szenarien!$B$18,0),0)</f>
        <v>0</v>
      </c>
      <c r="G390" s="13" t="n">
        <f aca="false">C390-D390-E390+F390</f>
        <v>0</v>
      </c>
      <c r="H390" s="13" t="n">
        <f aca="false">IFERROR(IF(AND(B390&lt;=Eingaben!$B$11,Szenarien!$H$18="OK"),1/(1+Eingaben!$B$39+Szenarien!$G$18)^B390,0),0)</f>
        <v>0</v>
      </c>
      <c r="I390" s="13" t="n">
        <f aca="false">G390*H390</f>
        <v>0</v>
      </c>
      <c r="J390" s="13" t="n">
        <f aca="false">(D390+E390-F390)*H390</f>
        <v>0</v>
      </c>
      <c r="K390" s="13" t="n">
        <f aca="false">IF(AND(B390&lt;=Eingaben!$B$11,Szenarien!$H$18="OK"),SUM(Variantenbilanz!K2567:K2932)*H390,0)</f>
        <v>0</v>
      </c>
    </row>
    <row r="391" customFormat="false" ht="16.4" hidden="false" customHeight="false" outlineLevel="0" collapsed="false">
      <c r="A391" s="12"/>
      <c r="B391" s="15" t="n">
        <v>29</v>
      </c>
      <c r="C391" s="13" t="n">
        <f aca="false">IFERROR(IF(AND(B391&lt;=Eingaben!$B$11,Szenarien!$H$18="OK"),SUM(Variantenbilanz!K2567:K2932)*(Eingaben!$B$36*Szenarien!$C$18*(1+Eingaben!$B$40)^(B391-1)+Eingaben!$B$37*Eingaben!$B$38*(1+Eingaben!$B$46)^(B391-1)),0),0)</f>
        <v>0</v>
      </c>
      <c r="D391" s="13" t="n">
        <f aca="false">IFERROR(IF(AND(B391&lt;=Eingaben!$B$11,Szenarien!$H$18="OK"),((Eingaben!$B$32+Eingaben!$B$35)*(1+Eingaben!$B$41)^(B391-1)+SUM(Variantenbilanz!E2567:E2932)*Eingaben!$B$33*Eingaben!$B$34*(1+Eingaben!$B$42)^(B391-1))*Szenarien!$F$18,0),0)</f>
        <v>0</v>
      </c>
      <c r="E391" s="13" t="n">
        <f aca="false">IFERROR(IF(AND(AND(B391&lt;=Eingaben!$B$11,Szenarien!$H$18="OK"),B391=Eingaben!$B$43),Eingaben!$B$44*Szenarien!$B$18*(1+Eingaben!$B$41)^(B391-1),0),0)</f>
        <v>0</v>
      </c>
      <c r="F391" s="13" t="n">
        <f aca="false">IFERROR(IF(AND(AND(B391&lt;=Eingaben!$B$11,Szenarien!$H$18="OK"),B391=Eingaben!$B$11),Eingaben!$B$45*Szenarien!$B$18,0),0)</f>
        <v>0</v>
      </c>
      <c r="G391" s="13" t="n">
        <f aca="false">C391-D391-E391+F391</f>
        <v>0</v>
      </c>
      <c r="H391" s="13" t="n">
        <f aca="false">IFERROR(IF(AND(B391&lt;=Eingaben!$B$11,Szenarien!$H$18="OK"),1/(1+Eingaben!$B$39+Szenarien!$G$18)^B391,0),0)</f>
        <v>0</v>
      </c>
      <c r="I391" s="13" t="n">
        <f aca="false">G391*H391</f>
        <v>0</v>
      </c>
      <c r="J391" s="13" t="n">
        <f aca="false">(D391+E391-F391)*H391</f>
        <v>0</v>
      </c>
      <c r="K391" s="13" t="n">
        <f aca="false">IF(AND(B391&lt;=Eingaben!$B$11,Szenarien!$H$18="OK"),SUM(Variantenbilanz!K2567:K2932)*H391,0)</f>
        <v>0</v>
      </c>
    </row>
    <row r="392" customFormat="false" ht="16.4" hidden="false" customHeight="false" outlineLevel="0" collapsed="false">
      <c r="A392" s="12"/>
      <c r="B392" s="15" t="n">
        <v>30</v>
      </c>
      <c r="C392" s="13" t="n">
        <f aca="false">IFERROR(IF(AND(B392&lt;=Eingaben!$B$11,Szenarien!$H$18="OK"),SUM(Variantenbilanz!K2567:K2932)*(Eingaben!$B$36*Szenarien!$C$18*(1+Eingaben!$B$40)^(B392-1)+Eingaben!$B$37*Eingaben!$B$38*(1+Eingaben!$B$46)^(B392-1)),0),0)</f>
        <v>0</v>
      </c>
      <c r="D392" s="13" t="n">
        <f aca="false">IFERROR(IF(AND(B392&lt;=Eingaben!$B$11,Szenarien!$H$18="OK"),((Eingaben!$B$32+Eingaben!$B$35)*(1+Eingaben!$B$41)^(B392-1)+SUM(Variantenbilanz!E2567:E2932)*Eingaben!$B$33*Eingaben!$B$34*(1+Eingaben!$B$42)^(B392-1))*Szenarien!$F$18,0),0)</f>
        <v>0</v>
      </c>
      <c r="E392" s="13" t="n">
        <f aca="false">IFERROR(IF(AND(AND(B392&lt;=Eingaben!$B$11,Szenarien!$H$18="OK"),B392=Eingaben!$B$43),Eingaben!$B$44*Szenarien!$B$18*(1+Eingaben!$B$41)^(B392-1),0),0)</f>
        <v>0</v>
      </c>
      <c r="F392" s="13" t="n">
        <f aca="false">IFERROR(IF(AND(AND(B392&lt;=Eingaben!$B$11,Szenarien!$H$18="OK"),B392=Eingaben!$B$11),Eingaben!$B$45*Szenarien!$B$18,0),0)</f>
        <v>0</v>
      </c>
      <c r="G392" s="13" t="n">
        <f aca="false">C392-D392-E392+F392</f>
        <v>0</v>
      </c>
      <c r="H392" s="13" t="n">
        <f aca="false">IFERROR(IF(AND(B392&lt;=Eingaben!$B$11,Szenarien!$H$18="OK"),1/(1+Eingaben!$B$39+Szenarien!$G$18)^B392,0),0)</f>
        <v>0</v>
      </c>
      <c r="I392" s="13" t="n">
        <f aca="false">G392*H392</f>
        <v>0</v>
      </c>
      <c r="J392" s="13" t="n">
        <f aca="false">(D392+E392-F392)*H392</f>
        <v>0</v>
      </c>
      <c r="K392" s="13" t="n">
        <f aca="false">IF(AND(B392&lt;=Eingaben!$B$11,Szenarien!$H$18="OK"),SUM(Variantenbilanz!K2567:K2932)*H392,0)</f>
        <v>0</v>
      </c>
    </row>
    <row r="393" customFormat="false" ht="16.4" hidden="false" customHeight="false" outlineLevel="0" collapsed="false">
      <c r="A393" s="12"/>
      <c r="B393" s="15" t="n">
        <v>31</v>
      </c>
      <c r="C393" s="13" t="n">
        <f aca="false">IFERROR(IF(AND(B393&lt;=Eingaben!$B$11,Szenarien!$H$18="OK"),SUM(Variantenbilanz!K2567:K2932)*(Eingaben!$B$36*Szenarien!$C$18*(1+Eingaben!$B$40)^(B393-1)+Eingaben!$B$37*Eingaben!$B$38*(1+Eingaben!$B$46)^(B393-1)),0),0)</f>
        <v>0</v>
      </c>
      <c r="D393" s="13" t="n">
        <f aca="false">IFERROR(IF(AND(B393&lt;=Eingaben!$B$11,Szenarien!$H$18="OK"),((Eingaben!$B$32+Eingaben!$B$35)*(1+Eingaben!$B$41)^(B393-1)+SUM(Variantenbilanz!E2567:E2932)*Eingaben!$B$33*Eingaben!$B$34*(1+Eingaben!$B$42)^(B393-1))*Szenarien!$F$18,0),0)</f>
        <v>0</v>
      </c>
      <c r="E393" s="13" t="n">
        <f aca="false">IFERROR(IF(AND(AND(B393&lt;=Eingaben!$B$11,Szenarien!$H$18="OK"),B393=Eingaben!$B$43),Eingaben!$B$44*Szenarien!$B$18*(1+Eingaben!$B$41)^(B393-1),0),0)</f>
        <v>0</v>
      </c>
      <c r="F393" s="13" t="n">
        <f aca="false">IFERROR(IF(AND(AND(B393&lt;=Eingaben!$B$11,Szenarien!$H$18="OK"),B393=Eingaben!$B$11),Eingaben!$B$45*Szenarien!$B$18,0),0)</f>
        <v>0</v>
      </c>
      <c r="G393" s="13" t="n">
        <f aca="false">C393-D393-E393+F393</f>
        <v>0</v>
      </c>
      <c r="H393" s="13" t="n">
        <f aca="false">IFERROR(IF(AND(B393&lt;=Eingaben!$B$11,Szenarien!$H$18="OK"),1/(1+Eingaben!$B$39+Szenarien!$G$18)^B393,0),0)</f>
        <v>0</v>
      </c>
      <c r="I393" s="13" t="n">
        <f aca="false">G393*H393</f>
        <v>0</v>
      </c>
      <c r="J393" s="13" t="n">
        <f aca="false">(D393+E393-F393)*H393</f>
        <v>0</v>
      </c>
      <c r="K393" s="13" t="n">
        <f aca="false">IF(AND(B393&lt;=Eingaben!$B$11,Szenarien!$H$18="OK"),SUM(Variantenbilanz!K2567:K2932)*H393,0)</f>
        <v>0</v>
      </c>
    </row>
    <row r="394" customFormat="false" ht="16.4" hidden="false" customHeight="false" outlineLevel="0" collapsed="false">
      <c r="A394" s="12"/>
      <c r="B394" s="15" t="n">
        <v>32</v>
      </c>
      <c r="C394" s="13" t="n">
        <f aca="false">IFERROR(IF(AND(B394&lt;=Eingaben!$B$11,Szenarien!$H$18="OK"),SUM(Variantenbilanz!K2567:K2932)*(Eingaben!$B$36*Szenarien!$C$18*(1+Eingaben!$B$40)^(B394-1)+Eingaben!$B$37*Eingaben!$B$38*(1+Eingaben!$B$46)^(B394-1)),0),0)</f>
        <v>0</v>
      </c>
      <c r="D394" s="13" t="n">
        <f aca="false">IFERROR(IF(AND(B394&lt;=Eingaben!$B$11,Szenarien!$H$18="OK"),((Eingaben!$B$32+Eingaben!$B$35)*(1+Eingaben!$B$41)^(B394-1)+SUM(Variantenbilanz!E2567:E2932)*Eingaben!$B$33*Eingaben!$B$34*(1+Eingaben!$B$42)^(B394-1))*Szenarien!$F$18,0),0)</f>
        <v>0</v>
      </c>
      <c r="E394" s="13" t="n">
        <f aca="false">IFERROR(IF(AND(AND(B394&lt;=Eingaben!$B$11,Szenarien!$H$18="OK"),B394=Eingaben!$B$43),Eingaben!$B$44*Szenarien!$B$18*(1+Eingaben!$B$41)^(B394-1),0),0)</f>
        <v>0</v>
      </c>
      <c r="F394" s="13" t="n">
        <f aca="false">IFERROR(IF(AND(AND(B394&lt;=Eingaben!$B$11,Szenarien!$H$18="OK"),B394=Eingaben!$B$11),Eingaben!$B$45*Szenarien!$B$18,0),0)</f>
        <v>0</v>
      </c>
      <c r="G394" s="13" t="n">
        <f aca="false">C394-D394-E394+F394</f>
        <v>0</v>
      </c>
      <c r="H394" s="13" t="n">
        <f aca="false">IFERROR(IF(AND(B394&lt;=Eingaben!$B$11,Szenarien!$H$18="OK"),1/(1+Eingaben!$B$39+Szenarien!$G$18)^B394,0),0)</f>
        <v>0</v>
      </c>
      <c r="I394" s="13" t="n">
        <f aca="false">G394*H394</f>
        <v>0</v>
      </c>
      <c r="J394" s="13" t="n">
        <f aca="false">(D394+E394-F394)*H394</f>
        <v>0</v>
      </c>
      <c r="K394" s="13" t="n">
        <f aca="false">IF(AND(B394&lt;=Eingaben!$B$11,Szenarien!$H$18="OK"),SUM(Variantenbilanz!K2567:K2932)*H394,0)</f>
        <v>0</v>
      </c>
    </row>
    <row r="395" customFormat="false" ht="16.4" hidden="false" customHeight="false" outlineLevel="0" collapsed="false">
      <c r="A395" s="12"/>
      <c r="B395" s="15" t="n">
        <v>33</v>
      </c>
      <c r="C395" s="13" t="n">
        <f aca="false">IFERROR(IF(AND(B395&lt;=Eingaben!$B$11,Szenarien!$H$18="OK"),SUM(Variantenbilanz!K2567:K2932)*(Eingaben!$B$36*Szenarien!$C$18*(1+Eingaben!$B$40)^(B395-1)+Eingaben!$B$37*Eingaben!$B$38*(1+Eingaben!$B$46)^(B395-1)),0),0)</f>
        <v>0</v>
      </c>
      <c r="D395" s="13" t="n">
        <f aca="false">IFERROR(IF(AND(B395&lt;=Eingaben!$B$11,Szenarien!$H$18="OK"),((Eingaben!$B$32+Eingaben!$B$35)*(1+Eingaben!$B$41)^(B395-1)+SUM(Variantenbilanz!E2567:E2932)*Eingaben!$B$33*Eingaben!$B$34*(1+Eingaben!$B$42)^(B395-1))*Szenarien!$F$18,0),0)</f>
        <v>0</v>
      </c>
      <c r="E395" s="13" t="n">
        <f aca="false">IFERROR(IF(AND(AND(B395&lt;=Eingaben!$B$11,Szenarien!$H$18="OK"),B395=Eingaben!$B$43),Eingaben!$B$44*Szenarien!$B$18*(1+Eingaben!$B$41)^(B395-1),0),0)</f>
        <v>0</v>
      </c>
      <c r="F395" s="13" t="n">
        <f aca="false">IFERROR(IF(AND(AND(B395&lt;=Eingaben!$B$11,Szenarien!$H$18="OK"),B395=Eingaben!$B$11),Eingaben!$B$45*Szenarien!$B$18,0),0)</f>
        <v>0</v>
      </c>
      <c r="G395" s="13" t="n">
        <f aca="false">C395-D395-E395+F395</f>
        <v>0</v>
      </c>
      <c r="H395" s="13" t="n">
        <f aca="false">IFERROR(IF(AND(B395&lt;=Eingaben!$B$11,Szenarien!$H$18="OK"),1/(1+Eingaben!$B$39+Szenarien!$G$18)^B395,0),0)</f>
        <v>0</v>
      </c>
      <c r="I395" s="13" t="n">
        <f aca="false">G395*H395</f>
        <v>0</v>
      </c>
      <c r="J395" s="13" t="n">
        <f aca="false">(D395+E395-F395)*H395</f>
        <v>0</v>
      </c>
      <c r="K395" s="13" t="n">
        <f aca="false">IF(AND(B395&lt;=Eingaben!$B$11,Szenarien!$H$18="OK"),SUM(Variantenbilanz!K2567:K2932)*H395,0)</f>
        <v>0</v>
      </c>
    </row>
    <row r="396" customFormat="false" ht="16.4" hidden="false" customHeight="false" outlineLevel="0" collapsed="false">
      <c r="A396" s="12"/>
      <c r="B396" s="15" t="n">
        <v>34</v>
      </c>
      <c r="C396" s="13" t="n">
        <f aca="false">IFERROR(IF(AND(B396&lt;=Eingaben!$B$11,Szenarien!$H$18="OK"),SUM(Variantenbilanz!K2567:K2932)*(Eingaben!$B$36*Szenarien!$C$18*(1+Eingaben!$B$40)^(B396-1)+Eingaben!$B$37*Eingaben!$B$38*(1+Eingaben!$B$46)^(B396-1)),0),0)</f>
        <v>0</v>
      </c>
      <c r="D396" s="13" t="n">
        <f aca="false">IFERROR(IF(AND(B396&lt;=Eingaben!$B$11,Szenarien!$H$18="OK"),((Eingaben!$B$32+Eingaben!$B$35)*(1+Eingaben!$B$41)^(B396-1)+SUM(Variantenbilanz!E2567:E2932)*Eingaben!$B$33*Eingaben!$B$34*(1+Eingaben!$B$42)^(B396-1))*Szenarien!$F$18,0),0)</f>
        <v>0</v>
      </c>
      <c r="E396" s="13" t="n">
        <f aca="false">IFERROR(IF(AND(AND(B396&lt;=Eingaben!$B$11,Szenarien!$H$18="OK"),B396=Eingaben!$B$43),Eingaben!$B$44*Szenarien!$B$18*(1+Eingaben!$B$41)^(B396-1),0),0)</f>
        <v>0</v>
      </c>
      <c r="F396" s="13" t="n">
        <f aca="false">IFERROR(IF(AND(AND(B396&lt;=Eingaben!$B$11,Szenarien!$H$18="OK"),B396=Eingaben!$B$11),Eingaben!$B$45*Szenarien!$B$18,0),0)</f>
        <v>0</v>
      </c>
      <c r="G396" s="13" t="n">
        <f aca="false">C396-D396-E396+F396</f>
        <v>0</v>
      </c>
      <c r="H396" s="13" t="n">
        <f aca="false">IFERROR(IF(AND(B396&lt;=Eingaben!$B$11,Szenarien!$H$18="OK"),1/(1+Eingaben!$B$39+Szenarien!$G$18)^B396,0),0)</f>
        <v>0</v>
      </c>
      <c r="I396" s="13" t="n">
        <f aca="false">G396*H396</f>
        <v>0</v>
      </c>
      <c r="J396" s="13" t="n">
        <f aca="false">(D396+E396-F396)*H396</f>
        <v>0</v>
      </c>
      <c r="K396" s="13" t="n">
        <f aca="false">IF(AND(B396&lt;=Eingaben!$B$11,Szenarien!$H$18="OK"),SUM(Variantenbilanz!K2567:K2932)*H396,0)</f>
        <v>0</v>
      </c>
    </row>
    <row r="397" customFormat="false" ht="16.4" hidden="false" customHeight="false" outlineLevel="0" collapsed="false">
      <c r="A397" s="12"/>
      <c r="B397" s="15" t="n">
        <v>35</v>
      </c>
      <c r="C397" s="13" t="n">
        <f aca="false">IFERROR(IF(AND(B397&lt;=Eingaben!$B$11,Szenarien!$H$18="OK"),SUM(Variantenbilanz!K2567:K2932)*(Eingaben!$B$36*Szenarien!$C$18*(1+Eingaben!$B$40)^(B397-1)+Eingaben!$B$37*Eingaben!$B$38*(1+Eingaben!$B$46)^(B397-1)),0),0)</f>
        <v>0</v>
      </c>
      <c r="D397" s="13" t="n">
        <f aca="false">IFERROR(IF(AND(B397&lt;=Eingaben!$B$11,Szenarien!$H$18="OK"),((Eingaben!$B$32+Eingaben!$B$35)*(1+Eingaben!$B$41)^(B397-1)+SUM(Variantenbilanz!E2567:E2932)*Eingaben!$B$33*Eingaben!$B$34*(1+Eingaben!$B$42)^(B397-1))*Szenarien!$F$18,0),0)</f>
        <v>0</v>
      </c>
      <c r="E397" s="13" t="n">
        <f aca="false">IFERROR(IF(AND(AND(B397&lt;=Eingaben!$B$11,Szenarien!$H$18="OK"),B397=Eingaben!$B$43),Eingaben!$B$44*Szenarien!$B$18*(1+Eingaben!$B$41)^(B397-1),0),0)</f>
        <v>0</v>
      </c>
      <c r="F397" s="13" t="n">
        <f aca="false">IFERROR(IF(AND(AND(B397&lt;=Eingaben!$B$11,Szenarien!$H$18="OK"),B397=Eingaben!$B$11),Eingaben!$B$45*Szenarien!$B$18,0),0)</f>
        <v>0</v>
      </c>
      <c r="G397" s="13" t="n">
        <f aca="false">C397-D397-E397+F397</f>
        <v>0</v>
      </c>
      <c r="H397" s="13" t="n">
        <f aca="false">IFERROR(IF(AND(B397&lt;=Eingaben!$B$11,Szenarien!$H$18="OK"),1/(1+Eingaben!$B$39+Szenarien!$G$18)^B397,0),0)</f>
        <v>0</v>
      </c>
      <c r="I397" s="13" t="n">
        <f aca="false">G397*H397</f>
        <v>0</v>
      </c>
      <c r="J397" s="13" t="n">
        <f aca="false">(D397+E397-F397)*H397</f>
        <v>0</v>
      </c>
      <c r="K397" s="13" t="n">
        <f aca="false">IF(AND(B397&lt;=Eingaben!$B$11,Szenarien!$H$18="OK"),SUM(Variantenbilanz!K2567:K2932)*H397,0)</f>
        <v>0</v>
      </c>
    </row>
    <row r="398" customFormat="false" ht="16.4" hidden="false" customHeight="false" outlineLevel="0" collapsed="false">
      <c r="A398" s="12"/>
      <c r="B398" s="15" t="n">
        <v>36</v>
      </c>
      <c r="C398" s="13" t="n">
        <f aca="false">IFERROR(IF(AND(B398&lt;=Eingaben!$B$11,Szenarien!$H$18="OK"),SUM(Variantenbilanz!K2567:K2932)*(Eingaben!$B$36*Szenarien!$C$18*(1+Eingaben!$B$40)^(B398-1)+Eingaben!$B$37*Eingaben!$B$38*(1+Eingaben!$B$46)^(B398-1)),0),0)</f>
        <v>0</v>
      </c>
      <c r="D398" s="13" t="n">
        <f aca="false">IFERROR(IF(AND(B398&lt;=Eingaben!$B$11,Szenarien!$H$18="OK"),((Eingaben!$B$32+Eingaben!$B$35)*(1+Eingaben!$B$41)^(B398-1)+SUM(Variantenbilanz!E2567:E2932)*Eingaben!$B$33*Eingaben!$B$34*(1+Eingaben!$B$42)^(B398-1))*Szenarien!$F$18,0),0)</f>
        <v>0</v>
      </c>
      <c r="E398" s="13" t="n">
        <f aca="false">IFERROR(IF(AND(AND(B398&lt;=Eingaben!$B$11,Szenarien!$H$18="OK"),B398=Eingaben!$B$43),Eingaben!$B$44*Szenarien!$B$18*(1+Eingaben!$B$41)^(B398-1),0),0)</f>
        <v>0</v>
      </c>
      <c r="F398" s="13" t="n">
        <f aca="false">IFERROR(IF(AND(AND(B398&lt;=Eingaben!$B$11,Szenarien!$H$18="OK"),B398=Eingaben!$B$11),Eingaben!$B$45*Szenarien!$B$18,0),0)</f>
        <v>0</v>
      </c>
      <c r="G398" s="13" t="n">
        <f aca="false">C398-D398-E398+F398</f>
        <v>0</v>
      </c>
      <c r="H398" s="13" t="n">
        <f aca="false">IFERROR(IF(AND(B398&lt;=Eingaben!$B$11,Szenarien!$H$18="OK"),1/(1+Eingaben!$B$39+Szenarien!$G$18)^B398,0),0)</f>
        <v>0</v>
      </c>
      <c r="I398" s="13" t="n">
        <f aca="false">G398*H398</f>
        <v>0</v>
      </c>
      <c r="J398" s="13" t="n">
        <f aca="false">(D398+E398-F398)*H398</f>
        <v>0</v>
      </c>
      <c r="K398" s="13" t="n">
        <f aca="false">IF(AND(B398&lt;=Eingaben!$B$11,Szenarien!$H$18="OK"),SUM(Variantenbilanz!K2567:K2932)*H398,0)</f>
        <v>0</v>
      </c>
    </row>
    <row r="399" customFormat="false" ht="16.4" hidden="false" customHeight="false" outlineLevel="0" collapsed="false">
      <c r="A399" s="12"/>
      <c r="B399" s="15" t="n">
        <v>37</v>
      </c>
      <c r="C399" s="13" t="n">
        <f aca="false">IFERROR(IF(AND(B399&lt;=Eingaben!$B$11,Szenarien!$H$18="OK"),SUM(Variantenbilanz!K2567:K2932)*(Eingaben!$B$36*Szenarien!$C$18*(1+Eingaben!$B$40)^(B399-1)+Eingaben!$B$37*Eingaben!$B$38*(1+Eingaben!$B$46)^(B399-1)),0),0)</f>
        <v>0</v>
      </c>
      <c r="D399" s="13" t="n">
        <f aca="false">IFERROR(IF(AND(B399&lt;=Eingaben!$B$11,Szenarien!$H$18="OK"),((Eingaben!$B$32+Eingaben!$B$35)*(1+Eingaben!$B$41)^(B399-1)+SUM(Variantenbilanz!E2567:E2932)*Eingaben!$B$33*Eingaben!$B$34*(1+Eingaben!$B$42)^(B399-1))*Szenarien!$F$18,0),0)</f>
        <v>0</v>
      </c>
      <c r="E399" s="13" t="n">
        <f aca="false">IFERROR(IF(AND(AND(B399&lt;=Eingaben!$B$11,Szenarien!$H$18="OK"),B399=Eingaben!$B$43),Eingaben!$B$44*Szenarien!$B$18*(1+Eingaben!$B$41)^(B399-1),0),0)</f>
        <v>0</v>
      </c>
      <c r="F399" s="13" t="n">
        <f aca="false">IFERROR(IF(AND(AND(B399&lt;=Eingaben!$B$11,Szenarien!$H$18="OK"),B399=Eingaben!$B$11),Eingaben!$B$45*Szenarien!$B$18,0),0)</f>
        <v>0</v>
      </c>
      <c r="G399" s="13" t="n">
        <f aca="false">C399-D399-E399+F399</f>
        <v>0</v>
      </c>
      <c r="H399" s="13" t="n">
        <f aca="false">IFERROR(IF(AND(B399&lt;=Eingaben!$B$11,Szenarien!$H$18="OK"),1/(1+Eingaben!$B$39+Szenarien!$G$18)^B399,0),0)</f>
        <v>0</v>
      </c>
      <c r="I399" s="13" t="n">
        <f aca="false">G399*H399</f>
        <v>0</v>
      </c>
      <c r="J399" s="13" t="n">
        <f aca="false">(D399+E399-F399)*H399</f>
        <v>0</v>
      </c>
      <c r="K399" s="13" t="n">
        <f aca="false">IF(AND(B399&lt;=Eingaben!$B$11,Szenarien!$H$18="OK"),SUM(Variantenbilanz!K2567:K2932)*H399,0)</f>
        <v>0</v>
      </c>
    </row>
    <row r="400" customFormat="false" ht="16.4" hidden="false" customHeight="false" outlineLevel="0" collapsed="false">
      <c r="A400" s="12"/>
      <c r="B400" s="15" t="n">
        <v>38</v>
      </c>
      <c r="C400" s="13" t="n">
        <f aca="false">IFERROR(IF(AND(B400&lt;=Eingaben!$B$11,Szenarien!$H$18="OK"),SUM(Variantenbilanz!K2567:K2932)*(Eingaben!$B$36*Szenarien!$C$18*(1+Eingaben!$B$40)^(B400-1)+Eingaben!$B$37*Eingaben!$B$38*(1+Eingaben!$B$46)^(B400-1)),0),0)</f>
        <v>0</v>
      </c>
      <c r="D400" s="13" t="n">
        <f aca="false">IFERROR(IF(AND(B400&lt;=Eingaben!$B$11,Szenarien!$H$18="OK"),((Eingaben!$B$32+Eingaben!$B$35)*(1+Eingaben!$B$41)^(B400-1)+SUM(Variantenbilanz!E2567:E2932)*Eingaben!$B$33*Eingaben!$B$34*(1+Eingaben!$B$42)^(B400-1))*Szenarien!$F$18,0),0)</f>
        <v>0</v>
      </c>
      <c r="E400" s="13" t="n">
        <f aca="false">IFERROR(IF(AND(AND(B400&lt;=Eingaben!$B$11,Szenarien!$H$18="OK"),B400=Eingaben!$B$43),Eingaben!$B$44*Szenarien!$B$18*(1+Eingaben!$B$41)^(B400-1),0),0)</f>
        <v>0</v>
      </c>
      <c r="F400" s="13" t="n">
        <f aca="false">IFERROR(IF(AND(AND(B400&lt;=Eingaben!$B$11,Szenarien!$H$18="OK"),B400=Eingaben!$B$11),Eingaben!$B$45*Szenarien!$B$18,0),0)</f>
        <v>0</v>
      </c>
      <c r="G400" s="13" t="n">
        <f aca="false">C400-D400-E400+F400</f>
        <v>0</v>
      </c>
      <c r="H400" s="13" t="n">
        <f aca="false">IFERROR(IF(AND(B400&lt;=Eingaben!$B$11,Szenarien!$H$18="OK"),1/(1+Eingaben!$B$39+Szenarien!$G$18)^B400,0),0)</f>
        <v>0</v>
      </c>
      <c r="I400" s="13" t="n">
        <f aca="false">G400*H400</f>
        <v>0</v>
      </c>
      <c r="J400" s="13" t="n">
        <f aca="false">(D400+E400-F400)*H400</f>
        <v>0</v>
      </c>
      <c r="K400" s="13" t="n">
        <f aca="false">IF(AND(B400&lt;=Eingaben!$B$11,Szenarien!$H$18="OK"),SUM(Variantenbilanz!K2567:K2932)*H400,0)</f>
        <v>0</v>
      </c>
    </row>
    <row r="401" customFormat="false" ht="16.4" hidden="false" customHeight="false" outlineLevel="0" collapsed="false">
      <c r="A401" s="12"/>
      <c r="B401" s="15" t="n">
        <v>39</v>
      </c>
      <c r="C401" s="13" t="n">
        <f aca="false">IFERROR(IF(AND(B401&lt;=Eingaben!$B$11,Szenarien!$H$18="OK"),SUM(Variantenbilanz!K2567:K2932)*(Eingaben!$B$36*Szenarien!$C$18*(1+Eingaben!$B$40)^(B401-1)+Eingaben!$B$37*Eingaben!$B$38*(1+Eingaben!$B$46)^(B401-1)),0),0)</f>
        <v>0</v>
      </c>
      <c r="D401" s="13" t="n">
        <f aca="false">IFERROR(IF(AND(B401&lt;=Eingaben!$B$11,Szenarien!$H$18="OK"),((Eingaben!$B$32+Eingaben!$B$35)*(1+Eingaben!$B$41)^(B401-1)+SUM(Variantenbilanz!E2567:E2932)*Eingaben!$B$33*Eingaben!$B$34*(1+Eingaben!$B$42)^(B401-1))*Szenarien!$F$18,0),0)</f>
        <v>0</v>
      </c>
      <c r="E401" s="13" t="n">
        <f aca="false">IFERROR(IF(AND(AND(B401&lt;=Eingaben!$B$11,Szenarien!$H$18="OK"),B401=Eingaben!$B$43),Eingaben!$B$44*Szenarien!$B$18*(1+Eingaben!$B$41)^(B401-1),0),0)</f>
        <v>0</v>
      </c>
      <c r="F401" s="13" t="n">
        <f aca="false">IFERROR(IF(AND(AND(B401&lt;=Eingaben!$B$11,Szenarien!$H$18="OK"),B401=Eingaben!$B$11),Eingaben!$B$45*Szenarien!$B$18,0),0)</f>
        <v>0</v>
      </c>
      <c r="G401" s="13" t="n">
        <f aca="false">C401-D401-E401+F401</f>
        <v>0</v>
      </c>
      <c r="H401" s="13" t="n">
        <f aca="false">IFERROR(IF(AND(B401&lt;=Eingaben!$B$11,Szenarien!$H$18="OK"),1/(1+Eingaben!$B$39+Szenarien!$G$18)^B401,0),0)</f>
        <v>0</v>
      </c>
      <c r="I401" s="13" t="n">
        <f aca="false">G401*H401</f>
        <v>0</v>
      </c>
      <c r="J401" s="13" t="n">
        <f aca="false">(D401+E401-F401)*H401</f>
        <v>0</v>
      </c>
      <c r="K401" s="13" t="n">
        <f aca="false">IF(AND(B401&lt;=Eingaben!$B$11,Szenarien!$H$18="OK"),SUM(Variantenbilanz!K2567:K2932)*H401,0)</f>
        <v>0</v>
      </c>
    </row>
    <row r="402" customFormat="false" ht="16.4" hidden="false" customHeight="false" outlineLevel="0" collapsed="false">
      <c r="A402" s="12"/>
      <c r="B402" s="15" t="n">
        <v>40</v>
      </c>
      <c r="C402" s="13" t="n">
        <f aca="false">IFERROR(IF(AND(B402&lt;=Eingaben!$B$11,Szenarien!$H$18="OK"),SUM(Variantenbilanz!K2567:K2932)*(Eingaben!$B$36*Szenarien!$C$18*(1+Eingaben!$B$40)^(B402-1)+Eingaben!$B$37*Eingaben!$B$38*(1+Eingaben!$B$46)^(B402-1)),0),0)</f>
        <v>0</v>
      </c>
      <c r="D402" s="13" t="n">
        <f aca="false">IFERROR(IF(AND(B402&lt;=Eingaben!$B$11,Szenarien!$H$18="OK"),((Eingaben!$B$32+Eingaben!$B$35)*(1+Eingaben!$B$41)^(B402-1)+SUM(Variantenbilanz!E2567:E2932)*Eingaben!$B$33*Eingaben!$B$34*(1+Eingaben!$B$42)^(B402-1))*Szenarien!$F$18,0),0)</f>
        <v>0</v>
      </c>
      <c r="E402" s="13" t="n">
        <f aca="false">IFERROR(IF(AND(AND(B402&lt;=Eingaben!$B$11,Szenarien!$H$18="OK"),B402=Eingaben!$B$43),Eingaben!$B$44*Szenarien!$B$18*(1+Eingaben!$B$41)^(B402-1),0),0)</f>
        <v>0</v>
      </c>
      <c r="F402" s="13" t="n">
        <f aca="false">IFERROR(IF(AND(AND(B402&lt;=Eingaben!$B$11,Szenarien!$H$18="OK"),B402=Eingaben!$B$11),Eingaben!$B$45*Szenarien!$B$18,0),0)</f>
        <v>0</v>
      </c>
      <c r="G402" s="13" t="n">
        <f aca="false">C402-D402-E402+F402</f>
        <v>0</v>
      </c>
      <c r="H402" s="13" t="n">
        <f aca="false">IFERROR(IF(AND(B402&lt;=Eingaben!$B$11,Szenarien!$H$18="OK"),1/(1+Eingaben!$B$39+Szenarien!$G$18)^B402,0),0)</f>
        <v>0</v>
      </c>
      <c r="I402" s="13" t="n">
        <f aca="false">G402*H402</f>
        <v>0</v>
      </c>
      <c r="J402" s="13" t="n">
        <f aca="false">(D402+E402-F402)*H402</f>
        <v>0</v>
      </c>
      <c r="K402" s="13" t="n">
        <f aca="false">IF(AND(B402&lt;=Eingaben!$B$11,Szenarien!$H$18="OK"),SUM(Variantenbilanz!K2567:K2932)*H402,0)</f>
        <v>0</v>
      </c>
    </row>
    <row r="403" customFormat="false" ht="16.4" hidden="false" customHeight="false" outlineLevel="0" collapsed="false">
      <c r="A403" s="12"/>
      <c r="B403" s="15" t="n">
        <v>41</v>
      </c>
      <c r="C403" s="13" t="n">
        <f aca="false">IFERROR(IF(AND(B403&lt;=Eingaben!$B$11,Szenarien!$H$18="OK"),SUM(Variantenbilanz!K2567:K2932)*(Eingaben!$B$36*Szenarien!$C$18*(1+Eingaben!$B$40)^(B403-1)+Eingaben!$B$37*Eingaben!$B$38*(1+Eingaben!$B$46)^(B403-1)),0),0)</f>
        <v>0</v>
      </c>
      <c r="D403" s="13" t="n">
        <f aca="false">IFERROR(IF(AND(B403&lt;=Eingaben!$B$11,Szenarien!$H$18="OK"),((Eingaben!$B$32+Eingaben!$B$35)*(1+Eingaben!$B$41)^(B403-1)+SUM(Variantenbilanz!E2567:E2932)*Eingaben!$B$33*Eingaben!$B$34*(1+Eingaben!$B$42)^(B403-1))*Szenarien!$F$18,0),0)</f>
        <v>0</v>
      </c>
      <c r="E403" s="13" t="n">
        <f aca="false">IFERROR(IF(AND(AND(B403&lt;=Eingaben!$B$11,Szenarien!$H$18="OK"),B403=Eingaben!$B$43),Eingaben!$B$44*Szenarien!$B$18*(1+Eingaben!$B$41)^(B403-1),0),0)</f>
        <v>0</v>
      </c>
      <c r="F403" s="13" t="n">
        <f aca="false">IFERROR(IF(AND(AND(B403&lt;=Eingaben!$B$11,Szenarien!$H$18="OK"),B403=Eingaben!$B$11),Eingaben!$B$45*Szenarien!$B$18,0),0)</f>
        <v>0</v>
      </c>
      <c r="G403" s="13" t="n">
        <f aca="false">C403-D403-E403+F403</f>
        <v>0</v>
      </c>
      <c r="H403" s="13" t="n">
        <f aca="false">IFERROR(IF(AND(B403&lt;=Eingaben!$B$11,Szenarien!$H$18="OK"),1/(1+Eingaben!$B$39+Szenarien!$G$18)^B403,0),0)</f>
        <v>0</v>
      </c>
      <c r="I403" s="13" t="n">
        <f aca="false">G403*H403</f>
        <v>0</v>
      </c>
      <c r="J403" s="13" t="n">
        <f aca="false">(D403+E403-F403)*H403</f>
        <v>0</v>
      </c>
      <c r="K403" s="13" t="n">
        <f aca="false">IF(AND(B403&lt;=Eingaben!$B$11,Szenarien!$H$18="OK"),SUM(Variantenbilanz!K2567:K2932)*H403,0)</f>
        <v>0</v>
      </c>
    </row>
    <row r="404" customFormat="false" ht="16.4" hidden="false" customHeight="false" outlineLevel="0" collapsed="false">
      <c r="A404" s="12"/>
      <c r="B404" s="15" t="n">
        <v>42</v>
      </c>
      <c r="C404" s="13" t="n">
        <f aca="false">IFERROR(IF(AND(B404&lt;=Eingaben!$B$11,Szenarien!$H$18="OK"),SUM(Variantenbilanz!K2567:K2932)*(Eingaben!$B$36*Szenarien!$C$18*(1+Eingaben!$B$40)^(B404-1)+Eingaben!$B$37*Eingaben!$B$38*(1+Eingaben!$B$46)^(B404-1)),0),0)</f>
        <v>0</v>
      </c>
      <c r="D404" s="13" t="n">
        <f aca="false">IFERROR(IF(AND(B404&lt;=Eingaben!$B$11,Szenarien!$H$18="OK"),((Eingaben!$B$32+Eingaben!$B$35)*(1+Eingaben!$B$41)^(B404-1)+SUM(Variantenbilanz!E2567:E2932)*Eingaben!$B$33*Eingaben!$B$34*(1+Eingaben!$B$42)^(B404-1))*Szenarien!$F$18,0),0)</f>
        <v>0</v>
      </c>
      <c r="E404" s="13" t="n">
        <f aca="false">IFERROR(IF(AND(AND(B404&lt;=Eingaben!$B$11,Szenarien!$H$18="OK"),B404=Eingaben!$B$43),Eingaben!$B$44*Szenarien!$B$18*(1+Eingaben!$B$41)^(B404-1),0),0)</f>
        <v>0</v>
      </c>
      <c r="F404" s="13" t="n">
        <f aca="false">IFERROR(IF(AND(AND(B404&lt;=Eingaben!$B$11,Szenarien!$H$18="OK"),B404=Eingaben!$B$11),Eingaben!$B$45*Szenarien!$B$18,0),0)</f>
        <v>0</v>
      </c>
      <c r="G404" s="13" t="n">
        <f aca="false">C404-D404-E404+F404</f>
        <v>0</v>
      </c>
      <c r="H404" s="13" t="n">
        <f aca="false">IFERROR(IF(AND(B404&lt;=Eingaben!$B$11,Szenarien!$H$18="OK"),1/(1+Eingaben!$B$39+Szenarien!$G$18)^B404,0),0)</f>
        <v>0</v>
      </c>
      <c r="I404" s="13" t="n">
        <f aca="false">G404*H404</f>
        <v>0</v>
      </c>
      <c r="J404" s="13" t="n">
        <f aca="false">(D404+E404-F404)*H404</f>
        <v>0</v>
      </c>
      <c r="K404" s="13" t="n">
        <f aca="false">IF(AND(B404&lt;=Eingaben!$B$11,Szenarien!$H$18="OK"),SUM(Variantenbilanz!K2567:K2932)*H404,0)</f>
        <v>0</v>
      </c>
    </row>
    <row r="405" customFormat="false" ht="16.4" hidden="false" customHeight="false" outlineLevel="0" collapsed="false">
      <c r="A405" s="12"/>
      <c r="B405" s="15" t="n">
        <v>43</v>
      </c>
      <c r="C405" s="13" t="n">
        <f aca="false">IFERROR(IF(AND(B405&lt;=Eingaben!$B$11,Szenarien!$H$18="OK"),SUM(Variantenbilanz!K2567:K2932)*(Eingaben!$B$36*Szenarien!$C$18*(1+Eingaben!$B$40)^(B405-1)+Eingaben!$B$37*Eingaben!$B$38*(1+Eingaben!$B$46)^(B405-1)),0),0)</f>
        <v>0</v>
      </c>
      <c r="D405" s="13" t="n">
        <f aca="false">IFERROR(IF(AND(B405&lt;=Eingaben!$B$11,Szenarien!$H$18="OK"),((Eingaben!$B$32+Eingaben!$B$35)*(1+Eingaben!$B$41)^(B405-1)+SUM(Variantenbilanz!E2567:E2932)*Eingaben!$B$33*Eingaben!$B$34*(1+Eingaben!$B$42)^(B405-1))*Szenarien!$F$18,0),0)</f>
        <v>0</v>
      </c>
      <c r="E405" s="13" t="n">
        <f aca="false">IFERROR(IF(AND(AND(B405&lt;=Eingaben!$B$11,Szenarien!$H$18="OK"),B405=Eingaben!$B$43),Eingaben!$B$44*Szenarien!$B$18*(1+Eingaben!$B$41)^(B405-1),0),0)</f>
        <v>0</v>
      </c>
      <c r="F405" s="13" t="n">
        <f aca="false">IFERROR(IF(AND(AND(B405&lt;=Eingaben!$B$11,Szenarien!$H$18="OK"),B405=Eingaben!$B$11),Eingaben!$B$45*Szenarien!$B$18,0),0)</f>
        <v>0</v>
      </c>
      <c r="G405" s="13" t="n">
        <f aca="false">C405-D405-E405+F405</f>
        <v>0</v>
      </c>
      <c r="H405" s="13" t="n">
        <f aca="false">IFERROR(IF(AND(B405&lt;=Eingaben!$B$11,Szenarien!$H$18="OK"),1/(1+Eingaben!$B$39+Szenarien!$G$18)^B405,0),0)</f>
        <v>0</v>
      </c>
      <c r="I405" s="13" t="n">
        <f aca="false">G405*H405</f>
        <v>0</v>
      </c>
      <c r="J405" s="13" t="n">
        <f aca="false">(D405+E405-F405)*H405</f>
        <v>0</v>
      </c>
      <c r="K405" s="13" t="n">
        <f aca="false">IF(AND(B405&lt;=Eingaben!$B$11,Szenarien!$H$18="OK"),SUM(Variantenbilanz!K2567:K2932)*H405,0)</f>
        <v>0</v>
      </c>
    </row>
    <row r="406" customFormat="false" ht="16.4" hidden="false" customHeight="false" outlineLevel="0" collapsed="false">
      <c r="A406" s="12"/>
      <c r="B406" s="15" t="n">
        <v>44</v>
      </c>
      <c r="C406" s="13" t="n">
        <f aca="false">IFERROR(IF(AND(B406&lt;=Eingaben!$B$11,Szenarien!$H$18="OK"),SUM(Variantenbilanz!K2567:K2932)*(Eingaben!$B$36*Szenarien!$C$18*(1+Eingaben!$B$40)^(B406-1)+Eingaben!$B$37*Eingaben!$B$38*(1+Eingaben!$B$46)^(B406-1)),0),0)</f>
        <v>0</v>
      </c>
      <c r="D406" s="13" t="n">
        <f aca="false">IFERROR(IF(AND(B406&lt;=Eingaben!$B$11,Szenarien!$H$18="OK"),((Eingaben!$B$32+Eingaben!$B$35)*(1+Eingaben!$B$41)^(B406-1)+SUM(Variantenbilanz!E2567:E2932)*Eingaben!$B$33*Eingaben!$B$34*(1+Eingaben!$B$42)^(B406-1))*Szenarien!$F$18,0),0)</f>
        <v>0</v>
      </c>
      <c r="E406" s="13" t="n">
        <f aca="false">IFERROR(IF(AND(AND(B406&lt;=Eingaben!$B$11,Szenarien!$H$18="OK"),B406=Eingaben!$B$43),Eingaben!$B$44*Szenarien!$B$18*(1+Eingaben!$B$41)^(B406-1),0),0)</f>
        <v>0</v>
      </c>
      <c r="F406" s="13" t="n">
        <f aca="false">IFERROR(IF(AND(AND(B406&lt;=Eingaben!$B$11,Szenarien!$H$18="OK"),B406=Eingaben!$B$11),Eingaben!$B$45*Szenarien!$B$18,0),0)</f>
        <v>0</v>
      </c>
      <c r="G406" s="13" t="n">
        <f aca="false">C406-D406-E406+F406</f>
        <v>0</v>
      </c>
      <c r="H406" s="13" t="n">
        <f aca="false">IFERROR(IF(AND(B406&lt;=Eingaben!$B$11,Szenarien!$H$18="OK"),1/(1+Eingaben!$B$39+Szenarien!$G$18)^B406,0),0)</f>
        <v>0</v>
      </c>
      <c r="I406" s="13" t="n">
        <f aca="false">G406*H406</f>
        <v>0</v>
      </c>
      <c r="J406" s="13" t="n">
        <f aca="false">(D406+E406-F406)*H406</f>
        <v>0</v>
      </c>
      <c r="K406" s="13" t="n">
        <f aca="false">IF(AND(B406&lt;=Eingaben!$B$11,Szenarien!$H$18="OK"),SUM(Variantenbilanz!K2567:K2932)*H406,0)</f>
        <v>0</v>
      </c>
    </row>
    <row r="407" customFormat="false" ht="16.4" hidden="false" customHeight="false" outlineLevel="0" collapsed="false">
      <c r="A407" s="12"/>
      <c r="B407" s="15" t="n">
        <v>45</v>
      </c>
      <c r="C407" s="13" t="n">
        <f aca="false">IFERROR(IF(AND(B407&lt;=Eingaben!$B$11,Szenarien!$H$18="OK"),SUM(Variantenbilanz!K2567:K2932)*(Eingaben!$B$36*Szenarien!$C$18*(1+Eingaben!$B$40)^(B407-1)+Eingaben!$B$37*Eingaben!$B$38*(1+Eingaben!$B$46)^(B407-1)),0),0)</f>
        <v>0</v>
      </c>
      <c r="D407" s="13" t="n">
        <f aca="false">IFERROR(IF(AND(B407&lt;=Eingaben!$B$11,Szenarien!$H$18="OK"),((Eingaben!$B$32+Eingaben!$B$35)*(1+Eingaben!$B$41)^(B407-1)+SUM(Variantenbilanz!E2567:E2932)*Eingaben!$B$33*Eingaben!$B$34*(1+Eingaben!$B$42)^(B407-1))*Szenarien!$F$18,0),0)</f>
        <v>0</v>
      </c>
      <c r="E407" s="13" t="n">
        <f aca="false">IFERROR(IF(AND(AND(B407&lt;=Eingaben!$B$11,Szenarien!$H$18="OK"),B407=Eingaben!$B$43),Eingaben!$B$44*Szenarien!$B$18*(1+Eingaben!$B$41)^(B407-1),0),0)</f>
        <v>0</v>
      </c>
      <c r="F407" s="13" t="n">
        <f aca="false">IFERROR(IF(AND(AND(B407&lt;=Eingaben!$B$11,Szenarien!$H$18="OK"),B407=Eingaben!$B$11),Eingaben!$B$45*Szenarien!$B$18,0),0)</f>
        <v>0</v>
      </c>
      <c r="G407" s="13" t="n">
        <f aca="false">C407-D407-E407+F407</f>
        <v>0</v>
      </c>
      <c r="H407" s="13" t="n">
        <f aca="false">IFERROR(IF(AND(B407&lt;=Eingaben!$B$11,Szenarien!$H$18="OK"),1/(1+Eingaben!$B$39+Szenarien!$G$18)^B407,0),0)</f>
        <v>0</v>
      </c>
      <c r="I407" s="13" t="n">
        <f aca="false">G407*H407</f>
        <v>0</v>
      </c>
      <c r="J407" s="13" t="n">
        <f aca="false">(D407+E407-F407)*H407</f>
        <v>0</v>
      </c>
      <c r="K407" s="13" t="n">
        <f aca="false">IF(AND(B407&lt;=Eingaben!$B$11,Szenarien!$H$18="OK"),SUM(Variantenbilanz!K2567:K2932)*H407,0)</f>
        <v>0</v>
      </c>
    </row>
    <row r="408" customFormat="false" ht="16.4" hidden="false" customHeight="false" outlineLevel="0" collapsed="false">
      <c r="A408" s="12"/>
      <c r="B408" s="15" t="n">
        <v>46</v>
      </c>
      <c r="C408" s="13" t="n">
        <f aca="false">IFERROR(IF(AND(B408&lt;=Eingaben!$B$11,Szenarien!$H$18="OK"),SUM(Variantenbilanz!K2567:K2932)*(Eingaben!$B$36*Szenarien!$C$18*(1+Eingaben!$B$40)^(B408-1)+Eingaben!$B$37*Eingaben!$B$38*(1+Eingaben!$B$46)^(B408-1)),0),0)</f>
        <v>0</v>
      </c>
      <c r="D408" s="13" t="n">
        <f aca="false">IFERROR(IF(AND(B408&lt;=Eingaben!$B$11,Szenarien!$H$18="OK"),((Eingaben!$B$32+Eingaben!$B$35)*(1+Eingaben!$B$41)^(B408-1)+SUM(Variantenbilanz!E2567:E2932)*Eingaben!$B$33*Eingaben!$B$34*(1+Eingaben!$B$42)^(B408-1))*Szenarien!$F$18,0),0)</f>
        <v>0</v>
      </c>
      <c r="E408" s="13" t="n">
        <f aca="false">IFERROR(IF(AND(AND(B408&lt;=Eingaben!$B$11,Szenarien!$H$18="OK"),B408=Eingaben!$B$43),Eingaben!$B$44*Szenarien!$B$18*(1+Eingaben!$B$41)^(B408-1),0),0)</f>
        <v>0</v>
      </c>
      <c r="F408" s="13" t="n">
        <f aca="false">IFERROR(IF(AND(AND(B408&lt;=Eingaben!$B$11,Szenarien!$H$18="OK"),B408=Eingaben!$B$11),Eingaben!$B$45*Szenarien!$B$18,0),0)</f>
        <v>0</v>
      </c>
      <c r="G408" s="13" t="n">
        <f aca="false">C408-D408-E408+F408</f>
        <v>0</v>
      </c>
      <c r="H408" s="13" t="n">
        <f aca="false">IFERROR(IF(AND(B408&lt;=Eingaben!$B$11,Szenarien!$H$18="OK"),1/(1+Eingaben!$B$39+Szenarien!$G$18)^B408,0),0)</f>
        <v>0</v>
      </c>
      <c r="I408" s="13" t="n">
        <f aca="false">G408*H408</f>
        <v>0</v>
      </c>
      <c r="J408" s="13" t="n">
        <f aca="false">(D408+E408-F408)*H408</f>
        <v>0</v>
      </c>
      <c r="K408" s="13" t="n">
        <f aca="false">IF(AND(B408&lt;=Eingaben!$B$11,Szenarien!$H$18="OK"),SUM(Variantenbilanz!K2567:K2932)*H408,0)</f>
        <v>0</v>
      </c>
    </row>
    <row r="409" customFormat="false" ht="16.4" hidden="false" customHeight="false" outlineLevel="0" collapsed="false">
      <c r="A409" s="12"/>
      <c r="B409" s="15" t="n">
        <v>47</v>
      </c>
      <c r="C409" s="13" t="n">
        <f aca="false">IFERROR(IF(AND(B409&lt;=Eingaben!$B$11,Szenarien!$H$18="OK"),SUM(Variantenbilanz!K2567:K2932)*(Eingaben!$B$36*Szenarien!$C$18*(1+Eingaben!$B$40)^(B409-1)+Eingaben!$B$37*Eingaben!$B$38*(1+Eingaben!$B$46)^(B409-1)),0),0)</f>
        <v>0</v>
      </c>
      <c r="D409" s="13" t="n">
        <f aca="false">IFERROR(IF(AND(B409&lt;=Eingaben!$B$11,Szenarien!$H$18="OK"),((Eingaben!$B$32+Eingaben!$B$35)*(1+Eingaben!$B$41)^(B409-1)+SUM(Variantenbilanz!E2567:E2932)*Eingaben!$B$33*Eingaben!$B$34*(1+Eingaben!$B$42)^(B409-1))*Szenarien!$F$18,0),0)</f>
        <v>0</v>
      </c>
      <c r="E409" s="13" t="n">
        <f aca="false">IFERROR(IF(AND(AND(B409&lt;=Eingaben!$B$11,Szenarien!$H$18="OK"),B409=Eingaben!$B$43),Eingaben!$B$44*Szenarien!$B$18*(1+Eingaben!$B$41)^(B409-1),0),0)</f>
        <v>0</v>
      </c>
      <c r="F409" s="13" t="n">
        <f aca="false">IFERROR(IF(AND(AND(B409&lt;=Eingaben!$B$11,Szenarien!$H$18="OK"),B409=Eingaben!$B$11),Eingaben!$B$45*Szenarien!$B$18,0),0)</f>
        <v>0</v>
      </c>
      <c r="G409" s="13" t="n">
        <f aca="false">C409-D409-E409+F409</f>
        <v>0</v>
      </c>
      <c r="H409" s="13" t="n">
        <f aca="false">IFERROR(IF(AND(B409&lt;=Eingaben!$B$11,Szenarien!$H$18="OK"),1/(1+Eingaben!$B$39+Szenarien!$G$18)^B409,0),0)</f>
        <v>0</v>
      </c>
      <c r="I409" s="13" t="n">
        <f aca="false">G409*H409</f>
        <v>0</v>
      </c>
      <c r="J409" s="13" t="n">
        <f aca="false">(D409+E409-F409)*H409</f>
        <v>0</v>
      </c>
      <c r="K409" s="13" t="n">
        <f aca="false">IF(AND(B409&lt;=Eingaben!$B$11,Szenarien!$H$18="OK"),SUM(Variantenbilanz!K2567:K2932)*H409,0)</f>
        <v>0</v>
      </c>
    </row>
    <row r="410" customFormat="false" ht="16.4" hidden="false" customHeight="false" outlineLevel="0" collapsed="false">
      <c r="A410" s="12"/>
      <c r="B410" s="15" t="n">
        <v>48</v>
      </c>
      <c r="C410" s="13" t="n">
        <f aca="false">IFERROR(IF(AND(B410&lt;=Eingaben!$B$11,Szenarien!$H$18="OK"),SUM(Variantenbilanz!K2567:K2932)*(Eingaben!$B$36*Szenarien!$C$18*(1+Eingaben!$B$40)^(B410-1)+Eingaben!$B$37*Eingaben!$B$38*(1+Eingaben!$B$46)^(B410-1)),0),0)</f>
        <v>0</v>
      </c>
      <c r="D410" s="13" t="n">
        <f aca="false">IFERROR(IF(AND(B410&lt;=Eingaben!$B$11,Szenarien!$H$18="OK"),((Eingaben!$B$32+Eingaben!$B$35)*(1+Eingaben!$B$41)^(B410-1)+SUM(Variantenbilanz!E2567:E2932)*Eingaben!$B$33*Eingaben!$B$34*(1+Eingaben!$B$42)^(B410-1))*Szenarien!$F$18,0),0)</f>
        <v>0</v>
      </c>
      <c r="E410" s="13" t="n">
        <f aca="false">IFERROR(IF(AND(AND(B410&lt;=Eingaben!$B$11,Szenarien!$H$18="OK"),B410=Eingaben!$B$43),Eingaben!$B$44*Szenarien!$B$18*(1+Eingaben!$B$41)^(B410-1),0),0)</f>
        <v>0</v>
      </c>
      <c r="F410" s="13" t="n">
        <f aca="false">IFERROR(IF(AND(AND(B410&lt;=Eingaben!$B$11,Szenarien!$H$18="OK"),B410=Eingaben!$B$11),Eingaben!$B$45*Szenarien!$B$18,0),0)</f>
        <v>0</v>
      </c>
      <c r="G410" s="13" t="n">
        <f aca="false">C410-D410-E410+F410</f>
        <v>0</v>
      </c>
      <c r="H410" s="13" t="n">
        <f aca="false">IFERROR(IF(AND(B410&lt;=Eingaben!$B$11,Szenarien!$H$18="OK"),1/(1+Eingaben!$B$39+Szenarien!$G$18)^B410,0),0)</f>
        <v>0</v>
      </c>
      <c r="I410" s="13" t="n">
        <f aca="false">G410*H410</f>
        <v>0</v>
      </c>
      <c r="J410" s="13" t="n">
        <f aca="false">(D410+E410-F410)*H410</f>
        <v>0</v>
      </c>
      <c r="K410" s="13" t="n">
        <f aca="false">IF(AND(B410&lt;=Eingaben!$B$11,Szenarien!$H$18="OK"),SUM(Variantenbilanz!K2567:K2932)*H410,0)</f>
        <v>0</v>
      </c>
    </row>
    <row r="411" customFormat="false" ht="16.4" hidden="false" customHeight="false" outlineLevel="0" collapsed="false">
      <c r="A411" s="12"/>
      <c r="B411" s="15" t="n">
        <v>49</v>
      </c>
      <c r="C411" s="13" t="n">
        <f aca="false">IFERROR(IF(AND(B411&lt;=Eingaben!$B$11,Szenarien!$H$18="OK"),SUM(Variantenbilanz!K2567:K2932)*(Eingaben!$B$36*Szenarien!$C$18*(1+Eingaben!$B$40)^(B411-1)+Eingaben!$B$37*Eingaben!$B$38*(1+Eingaben!$B$46)^(B411-1)),0),0)</f>
        <v>0</v>
      </c>
      <c r="D411" s="13" t="n">
        <f aca="false">IFERROR(IF(AND(B411&lt;=Eingaben!$B$11,Szenarien!$H$18="OK"),((Eingaben!$B$32+Eingaben!$B$35)*(1+Eingaben!$B$41)^(B411-1)+SUM(Variantenbilanz!E2567:E2932)*Eingaben!$B$33*Eingaben!$B$34*(1+Eingaben!$B$42)^(B411-1))*Szenarien!$F$18,0),0)</f>
        <v>0</v>
      </c>
      <c r="E411" s="13" t="n">
        <f aca="false">IFERROR(IF(AND(AND(B411&lt;=Eingaben!$B$11,Szenarien!$H$18="OK"),B411=Eingaben!$B$43),Eingaben!$B$44*Szenarien!$B$18*(1+Eingaben!$B$41)^(B411-1),0),0)</f>
        <v>0</v>
      </c>
      <c r="F411" s="13" t="n">
        <f aca="false">IFERROR(IF(AND(AND(B411&lt;=Eingaben!$B$11,Szenarien!$H$18="OK"),B411=Eingaben!$B$11),Eingaben!$B$45*Szenarien!$B$18,0),0)</f>
        <v>0</v>
      </c>
      <c r="G411" s="13" t="n">
        <f aca="false">C411-D411-E411+F411</f>
        <v>0</v>
      </c>
      <c r="H411" s="13" t="n">
        <f aca="false">IFERROR(IF(AND(B411&lt;=Eingaben!$B$11,Szenarien!$H$18="OK"),1/(1+Eingaben!$B$39+Szenarien!$G$18)^B411,0),0)</f>
        <v>0</v>
      </c>
      <c r="I411" s="13" t="n">
        <f aca="false">G411*H411</f>
        <v>0</v>
      </c>
      <c r="J411" s="13" t="n">
        <f aca="false">(D411+E411-F411)*H411</f>
        <v>0</v>
      </c>
      <c r="K411" s="13" t="n">
        <f aca="false">IF(AND(B411&lt;=Eingaben!$B$11,Szenarien!$H$18="OK"),SUM(Variantenbilanz!K2567:K2932)*H411,0)</f>
        <v>0</v>
      </c>
    </row>
    <row r="412" customFormat="false" ht="16.4" hidden="false" customHeight="false" outlineLevel="0" collapsed="false">
      <c r="A412" s="12"/>
      <c r="B412" s="15" t="n">
        <v>50</v>
      </c>
      <c r="C412" s="13" t="n">
        <f aca="false">IFERROR(IF(AND(B412&lt;=Eingaben!$B$11,Szenarien!$H$18="OK"),SUM(Variantenbilanz!K2567:K2932)*(Eingaben!$B$36*Szenarien!$C$18*(1+Eingaben!$B$40)^(B412-1)+Eingaben!$B$37*Eingaben!$B$38*(1+Eingaben!$B$46)^(B412-1)),0),0)</f>
        <v>0</v>
      </c>
      <c r="D412" s="13" t="n">
        <f aca="false">IFERROR(IF(AND(B412&lt;=Eingaben!$B$11,Szenarien!$H$18="OK"),((Eingaben!$B$32+Eingaben!$B$35)*(1+Eingaben!$B$41)^(B412-1)+SUM(Variantenbilanz!E2567:E2932)*Eingaben!$B$33*Eingaben!$B$34*(1+Eingaben!$B$42)^(B412-1))*Szenarien!$F$18,0),0)</f>
        <v>0</v>
      </c>
      <c r="E412" s="13" t="n">
        <f aca="false">IFERROR(IF(AND(AND(B412&lt;=Eingaben!$B$11,Szenarien!$H$18="OK"),B412=Eingaben!$B$43),Eingaben!$B$44*Szenarien!$B$18*(1+Eingaben!$B$41)^(B412-1),0),0)</f>
        <v>0</v>
      </c>
      <c r="F412" s="13" t="n">
        <f aca="false">IFERROR(IF(AND(AND(B412&lt;=Eingaben!$B$11,Szenarien!$H$18="OK"),B412=Eingaben!$B$11),Eingaben!$B$45*Szenarien!$B$18,0),0)</f>
        <v>0</v>
      </c>
      <c r="G412" s="13" t="n">
        <f aca="false">C412-D412-E412+F412</f>
        <v>0</v>
      </c>
      <c r="H412" s="13" t="n">
        <f aca="false">IFERROR(IF(AND(B412&lt;=Eingaben!$B$11,Szenarien!$H$18="OK"),1/(1+Eingaben!$B$39+Szenarien!$G$18)^B412,0),0)</f>
        <v>0</v>
      </c>
      <c r="I412" s="13" t="n">
        <f aca="false">G412*H412</f>
        <v>0</v>
      </c>
      <c r="J412" s="13" t="n">
        <f aca="false">(D412+E412-F412)*H412</f>
        <v>0</v>
      </c>
      <c r="K412" s="13" t="n">
        <f aca="false">IF(AND(B412&lt;=Eingaben!$B$11,Szenarien!$H$18="OK"),SUM(Variantenbilanz!K2567:K2932)*H412,0)</f>
        <v>0</v>
      </c>
    </row>
    <row r="413" customFormat="false" ht="31.3" hidden="false" customHeight="false" outlineLevel="0" collapsed="false">
      <c r="A413" s="12" t="s">
        <v>335</v>
      </c>
      <c r="B413" s="15" t="n">
        <v>0</v>
      </c>
      <c r="C413" s="13" t="n">
        <f aca="false">0</f>
        <v>0</v>
      </c>
      <c r="D413" s="13" t="n">
        <f aca="false">0</f>
        <v>0</v>
      </c>
      <c r="E413" s="13" t="n">
        <f aca="false">MAX(0,Berechnung!$B$13*Szenarien!$B$19-MIN(Eingaben!$B$31,Berechnung!$B$13*Szenarien!$B$19))</f>
        <v>25000</v>
      </c>
      <c r="F413" s="13" t="n">
        <f aca="false">0</f>
        <v>0</v>
      </c>
      <c r="G413" s="13" t="n">
        <f aca="false">-E413</f>
        <v>-25000</v>
      </c>
      <c r="H413" s="13" t="n">
        <f aca="false">1</f>
        <v>1</v>
      </c>
      <c r="I413" s="13" t="n">
        <f aca="false">G413</f>
        <v>-25000</v>
      </c>
      <c r="J413" s="13" t="n">
        <f aca="false">E413</f>
        <v>25000</v>
      </c>
      <c r="K413" s="13" t="n">
        <f aca="false">0</f>
        <v>0</v>
      </c>
    </row>
    <row r="414" customFormat="false" ht="16.4" hidden="false" customHeight="false" outlineLevel="0" collapsed="false">
      <c r="A414" s="12"/>
      <c r="B414" s="15" t="n">
        <v>1</v>
      </c>
      <c r="C414" s="13" t="n">
        <f aca="false">IFERROR(IF(AND(B414&lt;=Eingaben!$B$11,Szenarien!$H$19="OK"),SUM(Variantenbilanz!K2933:K3298)*(Eingaben!$B$36*Szenarien!$C$19*(1+Eingaben!$B$40)^(B414-1)+Eingaben!$B$37*Eingaben!$B$38*(1+Eingaben!$B$46)^(B414-1)),0),0)</f>
        <v>1443.654393</v>
      </c>
      <c r="D414" s="13" t="n">
        <f aca="false">IFERROR(IF(AND(B414&lt;=Eingaben!$B$11,Szenarien!$H$19="OK"),((Eingaben!$B$32+Eingaben!$B$35)*(1+Eingaben!$B$41)^(B414-1)+SUM(Variantenbilanz!E2933:E3298)*Eingaben!$B$33*Eingaben!$B$34*(1+Eingaben!$B$42)^(B414-1))*Szenarien!$F$19,0),0)</f>
        <v>781.527</v>
      </c>
      <c r="E414" s="13" t="n">
        <f aca="false">IFERROR(IF(AND(AND(B414&lt;=Eingaben!$B$11,Szenarien!$H$19="OK"),B414=Eingaben!$B$43),Eingaben!$B$44*Szenarien!$B$19*(1+Eingaben!$B$41)^(B414-1),0),0)</f>
        <v>0</v>
      </c>
      <c r="F414" s="13" t="n">
        <f aca="false">IFERROR(IF(AND(AND(B414&lt;=Eingaben!$B$11,Szenarien!$H$19="OK"),B414=Eingaben!$B$11),Eingaben!$B$45*Szenarien!$B$19,0),0)</f>
        <v>0</v>
      </c>
      <c r="G414" s="13" t="n">
        <f aca="false">C414-D414-E414+F414</f>
        <v>662.127393</v>
      </c>
      <c r="H414" s="13" t="n">
        <f aca="false">IFERROR(IF(AND(B414&lt;=Eingaben!$B$11,Szenarien!$H$19="OK"),1/(1+Eingaben!$B$39+Szenarien!$G$19)^B414,0),0)</f>
        <v>0.970873786407767</v>
      </c>
      <c r="I414" s="13" t="n">
        <f aca="false">G414*H414</f>
        <v>642.842129126213</v>
      </c>
      <c r="J414" s="13" t="n">
        <f aca="false">(D414+E414-F414)*H414</f>
        <v>758.764077669903</v>
      </c>
      <c r="K414" s="13" t="n">
        <f aca="false">IF(AND(B414&lt;=Eingaben!$B$11,Szenarien!$H$19="OK"),SUM(Variantenbilanz!K2933:K3298)*H414,0)</f>
        <v>560.642482718447</v>
      </c>
    </row>
    <row r="415" customFormat="false" ht="16.4" hidden="false" customHeight="false" outlineLevel="0" collapsed="false">
      <c r="A415" s="12"/>
      <c r="B415" s="15" t="n">
        <v>2</v>
      </c>
      <c r="C415" s="13" t="n">
        <f aca="false">IFERROR(IF(AND(B415&lt;=Eingaben!$B$11,Szenarien!$H$19="OK"),SUM(Variantenbilanz!K2933:K3298)*(Eingaben!$B$36*Szenarien!$C$19*(1+Eingaben!$B$40)^(B415-1)+Eingaben!$B$37*Eingaben!$B$38*(1+Eingaben!$B$46)^(B415-1)),0),0)</f>
        <v>1472.52748086</v>
      </c>
      <c r="D415" s="13" t="n">
        <f aca="false">IFERROR(IF(AND(B415&lt;=Eingaben!$B$11,Szenarien!$H$19="OK"),((Eingaben!$B$32+Eingaben!$B$35)*(1+Eingaben!$B$41)^(B415-1)+SUM(Variantenbilanz!E2933:E3298)*Eingaben!$B$33*Eingaben!$B$34*(1+Eingaben!$B$42)^(B415-1))*Szenarien!$F$19,0),0)</f>
        <v>797.15754</v>
      </c>
      <c r="E415" s="13" t="n">
        <f aca="false">IFERROR(IF(AND(AND(B415&lt;=Eingaben!$B$11,Szenarien!$H$19="OK"),B415=Eingaben!$B$43),Eingaben!$B$44*Szenarien!$B$19*(1+Eingaben!$B$41)^(B415-1),0),0)</f>
        <v>0</v>
      </c>
      <c r="F415" s="13" t="n">
        <f aca="false">IFERROR(IF(AND(AND(B415&lt;=Eingaben!$B$11,Szenarien!$H$19="OK"),B415=Eingaben!$B$11),Eingaben!$B$45*Szenarien!$B$19,0),0)</f>
        <v>0</v>
      </c>
      <c r="G415" s="13" t="n">
        <f aca="false">C415-D415-E415+F415</f>
        <v>675.36994086</v>
      </c>
      <c r="H415" s="13" t="n">
        <f aca="false">IFERROR(IF(AND(B415&lt;=Eingaben!$B$11,Szenarien!$H$19="OK"),1/(1+Eingaben!$B$39+Szenarien!$G$19)^B415,0),0)</f>
        <v>0.942595909133754</v>
      </c>
      <c r="I415" s="13" t="n">
        <f aca="false">G415*H415</f>
        <v>636.600943406541</v>
      </c>
      <c r="J415" s="13" t="n">
        <f aca="false">(D415+E415-F415)*H415</f>
        <v>751.397436139127</v>
      </c>
      <c r="K415" s="13" t="n">
        <f aca="false">IF(AND(B415&lt;=Eingaben!$B$11,Szenarien!$H$19="OK"),SUM(Variantenbilanz!K2933:K3298)*H415,0)</f>
        <v>544.313090017909</v>
      </c>
    </row>
    <row r="416" customFormat="false" ht="16.4" hidden="false" customHeight="false" outlineLevel="0" collapsed="false">
      <c r="A416" s="12"/>
      <c r="B416" s="15" t="n">
        <v>3</v>
      </c>
      <c r="C416" s="13" t="n">
        <f aca="false">IFERROR(IF(AND(B416&lt;=Eingaben!$B$11,Szenarien!$H$19="OK"),SUM(Variantenbilanz!K2933:K3298)*(Eingaben!$B$36*Szenarien!$C$19*(1+Eingaben!$B$40)^(B416-1)+Eingaben!$B$37*Eingaben!$B$38*(1+Eingaben!$B$46)^(B416-1)),0),0)</f>
        <v>1501.9780304772</v>
      </c>
      <c r="D416" s="13" t="n">
        <f aca="false">IFERROR(IF(AND(B416&lt;=Eingaben!$B$11,Szenarien!$H$19="OK"),((Eingaben!$B$32+Eingaben!$B$35)*(1+Eingaben!$B$41)^(B416-1)+SUM(Variantenbilanz!E2933:E3298)*Eingaben!$B$33*Eingaben!$B$34*(1+Eingaben!$B$42)^(B416-1))*Szenarien!$F$19,0),0)</f>
        <v>813.1006908</v>
      </c>
      <c r="E416" s="13" t="n">
        <f aca="false">IFERROR(IF(AND(AND(B416&lt;=Eingaben!$B$11,Szenarien!$H$19="OK"),B416=Eingaben!$B$43),Eingaben!$B$44*Szenarien!$B$19*(1+Eingaben!$B$41)^(B416-1),0),0)</f>
        <v>0</v>
      </c>
      <c r="F416" s="13" t="n">
        <f aca="false">IFERROR(IF(AND(AND(B416&lt;=Eingaben!$B$11,Szenarien!$H$19="OK"),B416=Eingaben!$B$11),Eingaben!$B$45*Szenarien!$B$19,0),0)</f>
        <v>0</v>
      </c>
      <c r="G416" s="13" t="n">
        <f aca="false">C416-D416-E416+F416</f>
        <v>688.8773396772</v>
      </c>
      <c r="H416" s="13" t="n">
        <f aca="false">IFERROR(IF(AND(B416&lt;=Eingaben!$B$11,Szenarien!$H$19="OK"),1/(1+Eingaben!$B$39+Szenarien!$G$19)^B416,0),0)</f>
        <v>0.91514165935316</v>
      </c>
      <c r="I416" s="13" t="n">
        <f aca="false">G416*H416</f>
        <v>630.420351722983</v>
      </c>
      <c r="J416" s="13" t="n">
        <f aca="false">(D416+E416-F416)*H416</f>
        <v>744.102315399912</v>
      </c>
      <c r="K416" s="13" t="n">
        <f aca="false">IF(AND(B416&lt;=Eingaben!$B$11,Szenarien!$H$19="OK"),SUM(Variantenbilanz!K2933:K3298)*H416,0)</f>
        <v>528.459310696999</v>
      </c>
    </row>
    <row r="417" customFormat="false" ht="16.4" hidden="false" customHeight="false" outlineLevel="0" collapsed="false">
      <c r="A417" s="12"/>
      <c r="B417" s="15" t="n">
        <v>4</v>
      </c>
      <c r="C417" s="13" t="n">
        <f aca="false">IFERROR(IF(AND(B417&lt;=Eingaben!$B$11,Szenarien!$H$19="OK"),SUM(Variantenbilanz!K2933:K3298)*(Eingaben!$B$36*Szenarien!$C$19*(1+Eingaben!$B$40)^(B417-1)+Eingaben!$B$37*Eingaben!$B$38*(1+Eingaben!$B$46)^(B417-1)),0),0)</f>
        <v>1532.01759108674</v>
      </c>
      <c r="D417" s="13" t="n">
        <f aca="false">IFERROR(IF(AND(B417&lt;=Eingaben!$B$11,Szenarien!$H$19="OK"),((Eingaben!$B$32+Eingaben!$B$35)*(1+Eingaben!$B$41)^(B417-1)+SUM(Variantenbilanz!E2933:E3298)*Eingaben!$B$33*Eingaben!$B$34*(1+Eingaben!$B$42)^(B417-1))*Szenarien!$F$19,0),0)</f>
        <v>829.362704616</v>
      </c>
      <c r="E417" s="13" t="n">
        <f aca="false">IFERROR(IF(AND(AND(B417&lt;=Eingaben!$B$11,Szenarien!$H$19="OK"),B417=Eingaben!$B$43),Eingaben!$B$44*Szenarien!$B$19*(1+Eingaben!$B$41)^(B417-1),0),0)</f>
        <v>0</v>
      </c>
      <c r="F417" s="13" t="n">
        <f aca="false">IFERROR(IF(AND(AND(B417&lt;=Eingaben!$B$11,Szenarien!$H$19="OK"),B417=Eingaben!$B$11),Eingaben!$B$45*Szenarien!$B$19,0),0)</f>
        <v>0</v>
      </c>
      <c r="G417" s="13" t="n">
        <f aca="false">C417-D417-E417+F417</f>
        <v>702.654886470744</v>
      </c>
      <c r="H417" s="13" t="n">
        <f aca="false">IFERROR(IF(AND(B417&lt;=Eingaben!$B$11,Szenarien!$H$19="OK"),1/(1+Eingaben!$B$39+Szenarien!$G$19)^B417,0),0)</f>
        <v>0.888487047915689</v>
      </c>
      <c r="I417" s="13" t="n">
        <f aca="false">G417*H417</f>
        <v>624.299765783925</v>
      </c>
      <c r="J417" s="13" t="n">
        <f aca="false">(D417+E417-F417)*H417</f>
        <v>736.878021075641</v>
      </c>
      <c r="K417" s="13" t="n">
        <f aca="false">IF(AND(B417&lt;=Eingaben!$B$11,Szenarien!$H$19="OK"),SUM(Variantenbilanz!K2933:K3298)*H417,0)</f>
        <v>513.067291938834</v>
      </c>
    </row>
    <row r="418" customFormat="false" ht="16.4" hidden="false" customHeight="false" outlineLevel="0" collapsed="false">
      <c r="A418" s="12"/>
      <c r="B418" s="15" t="n">
        <v>5</v>
      </c>
      <c r="C418" s="13" t="n">
        <f aca="false">IFERROR(IF(AND(B418&lt;=Eingaben!$B$11,Szenarien!$H$19="OK"),SUM(Variantenbilanz!K2933:K3298)*(Eingaben!$B$36*Szenarien!$C$19*(1+Eingaben!$B$40)^(B418-1)+Eingaben!$B$37*Eingaben!$B$38*(1+Eingaben!$B$46)^(B418-1)),0),0)</f>
        <v>1562.65794290848</v>
      </c>
      <c r="D418" s="13" t="n">
        <f aca="false">IFERROR(IF(AND(B418&lt;=Eingaben!$B$11,Szenarien!$H$19="OK"),((Eingaben!$B$32+Eingaben!$B$35)*(1+Eingaben!$B$41)^(B418-1)+SUM(Variantenbilanz!E2933:E3298)*Eingaben!$B$33*Eingaben!$B$34*(1+Eingaben!$B$42)^(B418-1))*Szenarien!$F$19,0),0)</f>
        <v>845.94995870832</v>
      </c>
      <c r="E418" s="13" t="n">
        <f aca="false">IFERROR(IF(AND(AND(B418&lt;=Eingaben!$B$11,Szenarien!$H$19="OK"),B418=Eingaben!$B$43),Eingaben!$B$44*Szenarien!$B$19*(1+Eingaben!$B$41)^(B418-1),0),0)</f>
        <v>0</v>
      </c>
      <c r="F418" s="13" t="n">
        <f aca="false">IFERROR(IF(AND(AND(B418&lt;=Eingaben!$B$11,Szenarien!$H$19="OK"),B418=Eingaben!$B$11),Eingaben!$B$45*Szenarien!$B$19,0),0)</f>
        <v>0</v>
      </c>
      <c r="G418" s="13" t="n">
        <f aca="false">C418-D418-E418+F418</f>
        <v>716.707984200159</v>
      </c>
      <c r="H418" s="13" t="n">
        <f aca="false">IFERROR(IF(AND(B418&lt;=Eingaben!$B$11,Szenarien!$H$19="OK"),1/(1+Eingaben!$B$39+Szenarien!$G$19)^B418,0),0)</f>
        <v>0.862608784384164</v>
      </c>
      <c r="I418" s="13" t="n">
        <f aca="false">G418*H418</f>
        <v>618.238603009323</v>
      </c>
      <c r="J418" s="13" t="n">
        <f aca="false">(D418+E418-F418)*H418</f>
        <v>729.723865531218</v>
      </c>
      <c r="K418" s="13" t="n">
        <f aca="false">IF(AND(B418&lt;=Eingaben!$B$11,Szenarien!$H$19="OK"),SUM(Variantenbilanz!K2933:K3298)*H418,0)</f>
        <v>498.123584406635</v>
      </c>
    </row>
    <row r="419" customFormat="false" ht="16.4" hidden="false" customHeight="false" outlineLevel="0" collapsed="false">
      <c r="A419" s="12"/>
      <c r="B419" s="15" t="n">
        <v>6</v>
      </c>
      <c r="C419" s="13" t="n">
        <f aca="false">IFERROR(IF(AND(B419&lt;=Eingaben!$B$11,Szenarien!$H$19="OK"),SUM(Variantenbilanz!K2933:K3298)*(Eingaben!$B$36*Szenarien!$C$19*(1+Eingaben!$B$40)^(B419-1)+Eingaben!$B$37*Eingaben!$B$38*(1+Eingaben!$B$46)^(B419-1)),0),0)</f>
        <v>1593.91110176665</v>
      </c>
      <c r="D419" s="13" t="n">
        <f aca="false">IFERROR(IF(AND(B419&lt;=Eingaben!$B$11,Szenarien!$H$19="OK"),((Eingaben!$B$32+Eingaben!$B$35)*(1+Eingaben!$B$41)^(B419-1)+SUM(Variantenbilanz!E2933:E3298)*Eingaben!$B$33*Eingaben!$B$34*(1+Eingaben!$B$42)^(B419-1))*Szenarien!$F$19,0),0)</f>
        <v>862.868957882486</v>
      </c>
      <c r="E419" s="13" t="n">
        <f aca="false">IFERROR(IF(AND(AND(B419&lt;=Eingaben!$B$11,Szenarien!$H$19="OK"),B419=Eingaben!$B$43),Eingaben!$B$44*Szenarien!$B$19*(1+Eingaben!$B$41)^(B419-1),0),0)</f>
        <v>0</v>
      </c>
      <c r="F419" s="13" t="n">
        <f aca="false">IFERROR(IF(AND(AND(B419&lt;=Eingaben!$B$11,Szenarien!$H$19="OK"),B419=Eingaben!$B$11),Eingaben!$B$45*Szenarien!$B$19,0),0)</f>
        <v>0</v>
      </c>
      <c r="G419" s="13" t="n">
        <f aca="false">C419-D419-E419+F419</f>
        <v>731.042143884162</v>
      </c>
      <c r="H419" s="13" t="n">
        <f aca="false">IFERROR(IF(AND(B419&lt;=Eingaben!$B$11,Szenarien!$H$19="OK"),1/(1+Eingaben!$B$39+Szenarien!$G$19)^B419,0),0)</f>
        <v>0.837484256683654</v>
      </c>
      <c r="I419" s="13" t="n">
        <f aca="false">G419*H419</f>
        <v>612.236286475253</v>
      </c>
      <c r="J419" s="13" t="n">
        <f aca="false">(D419+E419-F419)*H419</f>
        <v>722.639167807614</v>
      </c>
      <c r="K419" s="13" t="n">
        <f aca="false">IF(AND(B419&lt;=Eingaben!$B$11,Szenarien!$H$19="OK"),SUM(Variantenbilanz!K2933:K3298)*H419,0)</f>
        <v>483.615130491879</v>
      </c>
    </row>
    <row r="420" customFormat="false" ht="16.4" hidden="false" customHeight="false" outlineLevel="0" collapsed="false">
      <c r="A420" s="12"/>
      <c r="B420" s="15" t="n">
        <v>7</v>
      </c>
      <c r="C420" s="13" t="n">
        <f aca="false">IFERROR(IF(AND(B420&lt;=Eingaben!$B$11,Szenarien!$H$19="OK"),SUM(Variantenbilanz!K2933:K3298)*(Eingaben!$B$36*Szenarien!$C$19*(1+Eingaben!$B$40)^(B420-1)+Eingaben!$B$37*Eingaben!$B$38*(1+Eingaben!$B$46)^(B420-1)),0),0)</f>
        <v>1625.78932380198</v>
      </c>
      <c r="D420" s="13" t="n">
        <f aca="false">IFERROR(IF(AND(B420&lt;=Eingaben!$B$11,Szenarien!$H$19="OK"),((Eingaben!$B$32+Eingaben!$B$35)*(1+Eingaben!$B$41)^(B420-1)+SUM(Variantenbilanz!E2933:E3298)*Eingaben!$B$33*Eingaben!$B$34*(1+Eingaben!$B$42)^(B420-1))*Szenarien!$F$19,0),0)</f>
        <v>880.126337040136</v>
      </c>
      <c r="E420" s="13" t="n">
        <f aca="false">IFERROR(IF(AND(AND(B420&lt;=Eingaben!$B$11,Szenarien!$H$19="OK"),B420=Eingaben!$B$43),Eingaben!$B$44*Szenarien!$B$19*(1+Eingaben!$B$41)^(B420-1),0),0)</f>
        <v>0</v>
      </c>
      <c r="F420" s="13" t="n">
        <f aca="false">IFERROR(IF(AND(AND(B420&lt;=Eingaben!$B$11,Szenarien!$H$19="OK"),B420=Eingaben!$B$11),Eingaben!$B$45*Szenarien!$B$19,0),0)</f>
        <v>0</v>
      </c>
      <c r="G420" s="13" t="n">
        <f aca="false">C420-D420-E420+F420</f>
        <v>745.662986761845</v>
      </c>
      <c r="H420" s="13" t="n">
        <f aca="false">IFERROR(IF(AND(B420&lt;=Eingaben!$B$11,Szenarien!$H$19="OK"),1/(1+Eingaben!$B$39+Szenarien!$G$19)^B420,0),0)</f>
        <v>0.813091511343354</v>
      </c>
      <c r="I420" s="13" t="n">
        <f aca="false">G420*H420</f>
        <v>606.292244858988</v>
      </c>
      <c r="J420" s="13" t="n">
        <f aca="false">(D420+E420-F420)*H420</f>
        <v>715.623253557054</v>
      </c>
      <c r="K420" s="13" t="n">
        <f aca="false">IF(AND(B420&lt;=Eingaben!$B$11,Szenarien!$H$19="OK"),SUM(Variantenbilanz!K2933:K3298)*H420,0)</f>
        <v>469.529252904737</v>
      </c>
    </row>
    <row r="421" customFormat="false" ht="16.4" hidden="false" customHeight="false" outlineLevel="0" collapsed="false">
      <c r="A421" s="12"/>
      <c r="B421" s="15" t="n">
        <v>8</v>
      </c>
      <c r="C421" s="13" t="n">
        <f aca="false">IFERROR(IF(AND(B421&lt;=Eingaben!$B$11,Szenarien!$H$19="OK"),SUM(Variantenbilanz!K2933:K3298)*(Eingaben!$B$36*Szenarien!$C$19*(1+Eingaben!$B$40)^(B421-1)+Eingaben!$B$37*Eingaben!$B$38*(1+Eingaben!$B$46)^(B421-1)),0),0)</f>
        <v>1658.30511027802</v>
      </c>
      <c r="D421" s="13" t="n">
        <f aca="false">IFERROR(IF(AND(B421&lt;=Eingaben!$B$11,Szenarien!$H$19="OK"),((Eingaben!$B$32+Eingaben!$B$35)*(1+Eingaben!$B$41)^(B421-1)+SUM(Variantenbilanz!E2933:E3298)*Eingaben!$B$33*Eingaben!$B$34*(1+Eingaben!$B$42)^(B421-1))*Szenarien!$F$19,0),0)</f>
        <v>897.728863780939</v>
      </c>
      <c r="E421" s="13" t="n">
        <f aca="false">IFERROR(IF(AND(AND(B421&lt;=Eingaben!$B$11,Szenarien!$H$19="OK"),B421=Eingaben!$B$43),Eingaben!$B$44*Szenarien!$B$19*(1+Eingaben!$B$41)^(B421-1),0),0)</f>
        <v>0</v>
      </c>
      <c r="F421" s="13" t="n">
        <f aca="false">IFERROR(IF(AND(AND(B421&lt;=Eingaben!$B$11,Szenarien!$H$19="OK"),B421=Eingaben!$B$11),Eingaben!$B$45*Szenarien!$B$19,0),0)</f>
        <v>0</v>
      </c>
      <c r="G421" s="13" t="n">
        <f aca="false">C421-D421-E421+F421</f>
        <v>760.576246497082</v>
      </c>
      <c r="H421" s="13" t="n">
        <f aca="false">IFERROR(IF(AND(B421&lt;=Eingaben!$B$11,Szenarien!$H$19="OK"),1/(1+Eingaben!$B$39+Szenarien!$G$19)^B421,0),0)</f>
        <v>0.789409234313936</v>
      </c>
      <c r="I421" s="13" t="n">
        <f aca="false">G421*H421</f>
        <v>600.405912384629</v>
      </c>
      <c r="J421" s="13" t="n">
        <f aca="false">(D421+E421-F421)*H421</f>
        <v>708.67545497883</v>
      </c>
      <c r="K421" s="13" t="n">
        <f aca="false">IF(AND(B421&lt;=Eingaben!$B$11,Szenarien!$H$19="OK"),SUM(Variantenbilanz!K2933:K3298)*H421,0)</f>
        <v>455.853643596832</v>
      </c>
    </row>
    <row r="422" customFormat="false" ht="16.4" hidden="false" customHeight="false" outlineLevel="0" collapsed="false">
      <c r="A422" s="12"/>
      <c r="B422" s="15" t="n">
        <v>9</v>
      </c>
      <c r="C422" s="13" t="n">
        <f aca="false">IFERROR(IF(AND(B422&lt;=Eingaben!$B$11,Szenarien!$H$19="OK"),SUM(Variantenbilanz!K2933:K3298)*(Eingaben!$B$36*Szenarien!$C$19*(1+Eingaben!$B$40)^(B422-1)+Eingaben!$B$37*Eingaben!$B$38*(1+Eingaben!$B$46)^(B422-1)),0),0)</f>
        <v>1691.47121248358</v>
      </c>
      <c r="D422" s="13" t="n">
        <f aca="false">IFERROR(IF(AND(B422&lt;=Eingaben!$B$11,Szenarien!$H$19="OK"),((Eingaben!$B$32+Eingaben!$B$35)*(1+Eingaben!$B$41)^(B422-1)+SUM(Variantenbilanz!E2933:E3298)*Eingaben!$B$33*Eingaben!$B$34*(1+Eingaben!$B$42)^(B422-1))*Szenarien!$F$19,0),0)</f>
        <v>915.683441056558</v>
      </c>
      <c r="E422" s="13" t="n">
        <f aca="false">IFERROR(IF(AND(AND(B422&lt;=Eingaben!$B$11,Szenarien!$H$19="OK"),B422=Eingaben!$B$43),Eingaben!$B$44*Szenarien!$B$19*(1+Eingaben!$B$41)^(B422-1),0),0)</f>
        <v>0</v>
      </c>
      <c r="F422" s="13" t="n">
        <f aca="false">IFERROR(IF(AND(AND(B422&lt;=Eingaben!$B$11,Szenarien!$H$19="OK"),B422=Eingaben!$B$11),Eingaben!$B$45*Szenarien!$B$19,0),0)</f>
        <v>0</v>
      </c>
      <c r="G422" s="13" t="n">
        <f aca="false">C422-D422-E422+F422</f>
        <v>775.787771427024</v>
      </c>
      <c r="H422" s="13" t="n">
        <f aca="false">IFERROR(IF(AND(B422&lt;=Eingaben!$B$11,Szenarien!$H$19="OK"),1/(1+Eingaben!$B$39+Szenarien!$G$19)^B422,0),0)</f>
        <v>0.766416732343627</v>
      </c>
      <c r="I422" s="13" t="n">
        <f aca="false">G422*H422</f>
        <v>594.576728769244</v>
      </c>
      <c r="J422" s="13" t="n">
        <f aca="false">(D422+E422-F422)*H422</f>
        <v>701.795110755735</v>
      </c>
      <c r="K422" s="13" t="n">
        <f aca="false">IF(AND(B422&lt;=Eingaben!$B$11,Szenarien!$H$19="OK"),SUM(Variantenbilanz!K2933:K3298)*H422,0)</f>
        <v>442.576353006633</v>
      </c>
    </row>
    <row r="423" customFormat="false" ht="16.4" hidden="false" customHeight="false" outlineLevel="0" collapsed="false">
      <c r="A423" s="12"/>
      <c r="B423" s="15" t="n">
        <v>10</v>
      </c>
      <c r="C423" s="13" t="n">
        <f aca="false">IFERROR(IF(AND(B423&lt;=Eingaben!$B$11,Szenarien!$H$19="OK"),SUM(Variantenbilanz!K2933:K3298)*(Eingaben!$B$36*Szenarien!$C$19*(1+Eingaben!$B$40)^(B423-1)+Eingaben!$B$37*Eingaben!$B$38*(1+Eingaben!$B$46)^(B423-1)),0),0)</f>
        <v>1725.30063673325</v>
      </c>
      <c r="D423" s="13" t="n">
        <f aca="false">IFERROR(IF(AND(B423&lt;=Eingaben!$B$11,Szenarien!$H$19="OK"),((Eingaben!$B$32+Eingaben!$B$35)*(1+Eingaben!$B$41)^(B423-1)+SUM(Variantenbilanz!E2933:E3298)*Eingaben!$B$33*Eingaben!$B$34*(1+Eingaben!$B$42)^(B423-1))*Szenarien!$F$19,0),0)</f>
        <v>933.997109877689</v>
      </c>
      <c r="E423" s="13" t="n">
        <f aca="false">IFERROR(IF(AND(AND(B423&lt;=Eingaben!$B$11,Szenarien!$H$19="OK"),B423=Eingaben!$B$43),Eingaben!$B$44*Szenarien!$B$19*(1+Eingaben!$B$41)^(B423-1),0),0)</f>
        <v>4780.37027448924</v>
      </c>
      <c r="F423" s="13" t="n">
        <f aca="false">IFERROR(IF(AND(AND(B423&lt;=Eingaben!$B$11,Szenarien!$H$19="OK"),B423=Eingaben!$B$11),Eingaben!$B$45*Szenarien!$B$19,0),0)</f>
        <v>0</v>
      </c>
      <c r="G423" s="13" t="n">
        <f aca="false">C423-D423-E423+F423</f>
        <v>-3989.06674763368</v>
      </c>
      <c r="H423" s="13" t="n">
        <f aca="false">IFERROR(IF(AND(B423&lt;=Eingaben!$B$11,Szenarien!$H$19="OK"),1/(1+Eingaben!$B$39+Szenarien!$G$19)^B423,0),0)</f>
        <v>0.744093914896725</v>
      </c>
      <c r="I423" s="13" t="n">
        <f aca="false">G423*H423</f>
        <v>-2968.24029303109</v>
      </c>
      <c r="J423" s="13" t="n">
        <f aca="false">(D423+E423-F423)*H423</f>
        <v>4252.02599819175</v>
      </c>
      <c r="K423" s="13" t="n">
        <f aca="false">IF(AND(B423&lt;=Eingaben!$B$11,Szenarien!$H$19="OK"),SUM(Variantenbilanz!K2933:K3298)*H423,0)</f>
        <v>429.68577961809</v>
      </c>
    </row>
    <row r="424" customFormat="false" ht="16.4" hidden="false" customHeight="false" outlineLevel="0" collapsed="false">
      <c r="A424" s="12"/>
      <c r="B424" s="15" t="n">
        <v>11</v>
      </c>
      <c r="C424" s="13" t="n">
        <f aca="false">IFERROR(IF(AND(B424&lt;=Eingaben!$B$11,Szenarien!$H$19="OK"),SUM(Variantenbilanz!K2933:K3298)*(Eingaben!$B$36*Szenarien!$C$19*(1+Eingaben!$B$40)^(B424-1)+Eingaben!$B$37*Eingaben!$B$38*(1+Eingaben!$B$46)^(B424-1)),0),0)</f>
        <v>1759.80664946792</v>
      </c>
      <c r="D424" s="13" t="n">
        <f aca="false">IFERROR(IF(AND(B424&lt;=Eingaben!$B$11,Szenarien!$H$19="OK"),((Eingaben!$B$32+Eingaben!$B$35)*(1+Eingaben!$B$41)^(B424-1)+SUM(Variantenbilanz!E2933:E3298)*Eingaben!$B$33*Eingaben!$B$34*(1+Eingaben!$B$42)^(B424-1))*Szenarien!$F$19,0),0)</f>
        <v>952.677052075243</v>
      </c>
      <c r="E424" s="13" t="n">
        <f aca="false">IFERROR(IF(AND(AND(B424&lt;=Eingaben!$B$11,Szenarien!$H$19="OK"),B424=Eingaben!$B$43),Eingaben!$B$44*Szenarien!$B$19*(1+Eingaben!$B$41)^(B424-1),0),0)</f>
        <v>0</v>
      </c>
      <c r="F424" s="13" t="n">
        <f aca="false">IFERROR(IF(AND(AND(B424&lt;=Eingaben!$B$11,Szenarien!$H$19="OK"),B424=Eingaben!$B$11),Eingaben!$B$45*Szenarien!$B$19,0),0)</f>
        <v>0</v>
      </c>
      <c r="G424" s="13" t="n">
        <f aca="false">C424-D424-E424+F424</f>
        <v>807.129597392676</v>
      </c>
      <c r="H424" s="13" t="n">
        <f aca="false">IFERROR(IF(AND(B424&lt;=Eingaben!$B$11,Szenarien!$H$19="OK"),1/(1+Eingaben!$B$39+Szenarien!$G$19)^B424,0),0)</f>
        <v>0.722421276598762</v>
      </c>
      <c r="I424" s="13" t="n">
        <f aca="false">G424*H424</f>
        <v>583.087594129062</v>
      </c>
      <c r="J424" s="13" t="n">
        <f aca="false">(D424+E424-F424)*H424</f>
        <v>688.234172146542</v>
      </c>
      <c r="K424" s="13" t="n">
        <f aca="false">IF(AND(B424&lt;=Eingaben!$B$11,Szenarien!$H$19="OK"),SUM(Variantenbilanz!K2933:K3298)*H424,0)</f>
        <v>417.170659823388</v>
      </c>
    </row>
    <row r="425" customFormat="false" ht="16.4" hidden="false" customHeight="false" outlineLevel="0" collapsed="false">
      <c r="A425" s="12"/>
      <c r="B425" s="15" t="n">
        <v>12</v>
      </c>
      <c r="C425" s="13" t="n">
        <f aca="false">IFERROR(IF(AND(B425&lt;=Eingaben!$B$11,Szenarien!$H$19="OK"),SUM(Variantenbilanz!K2933:K3298)*(Eingaben!$B$36*Szenarien!$C$19*(1+Eingaben!$B$40)^(B425-1)+Eingaben!$B$37*Eingaben!$B$38*(1+Eingaben!$B$46)^(B425-1)),0),0)</f>
        <v>1795.00278245728</v>
      </c>
      <c r="D425" s="13" t="n">
        <f aca="false">IFERROR(IF(AND(B425&lt;=Eingaben!$B$11,Szenarien!$H$19="OK"),((Eingaben!$B$32+Eingaben!$B$35)*(1+Eingaben!$B$41)^(B425-1)+SUM(Variantenbilanz!E2933:E3298)*Eingaben!$B$33*Eingaben!$B$34*(1+Eingaben!$B$42)^(B425-1))*Szenarien!$F$19,0),0)</f>
        <v>971.730593116748</v>
      </c>
      <c r="E425" s="13" t="n">
        <f aca="false">IFERROR(IF(AND(AND(B425&lt;=Eingaben!$B$11,Szenarien!$H$19="OK"),B425=Eingaben!$B$43),Eingaben!$B$44*Szenarien!$B$19*(1+Eingaben!$B$41)^(B425-1),0),0)</f>
        <v>0</v>
      </c>
      <c r="F425" s="13" t="n">
        <f aca="false">IFERROR(IF(AND(AND(B425&lt;=Eingaben!$B$11,Szenarien!$H$19="OK"),B425=Eingaben!$B$11),Eingaben!$B$45*Szenarien!$B$19,0),0)</f>
        <v>0</v>
      </c>
      <c r="G425" s="13" t="n">
        <f aca="false">C425-D425-E425+F425</f>
        <v>823.272189340529</v>
      </c>
      <c r="H425" s="13" t="n">
        <f aca="false">IFERROR(IF(AND(B425&lt;=Eingaben!$B$11,Szenarien!$H$19="OK"),1/(1+Eingaben!$B$39+Szenarien!$G$19)^B425,0),0)</f>
        <v>0.701379880192973</v>
      </c>
      <c r="I425" s="13" t="n">
        <f aca="false">G425*H425</f>
        <v>577.426549525867</v>
      </c>
      <c r="J425" s="13" t="n">
        <f aca="false">(D425+E425-F425)*H425</f>
        <v>681.552286980071</v>
      </c>
      <c r="K425" s="13" t="n">
        <f aca="false">IF(AND(B425&lt;=Eingaben!$B$11,Szenarien!$H$19="OK"),SUM(Variantenbilanz!K2933:K3298)*H425,0)</f>
        <v>405.02005808096</v>
      </c>
    </row>
    <row r="426" customFormat="false" ht="16.4" hidden="false" customHeight="false" outlineLevel="0" collapsed="false">
      <c r="A426" s="12"/>
      <c r="B426" s="15" t="n">
        <v>13</v>
      </c>
      <c r="C426" s="13" t="n">
        <f aca="false">IFERROR(IF(AND(B426&lt;=Eingaben!$B$11,Szenarien!$H$19="OK"),SUM(Variantenbilanz!K2933:K3298)*(Eingaben!$B$36*Szenarien!$C$19*(1+Eingaben!$B$40)^(B426-1)+Eingaben!$B$37*Eingaben!$B$38*(1+Eingaben!$B$46)^(B426-1)),0),0)</f>
        <v>1830.90283810642</v>
      </c>
      <c r="D426" s="13" t="n">
        <f aca="false">IFERROR(IF(AND(B426&lt;=Eingaben!$B$11,Szenarien!$H$19="OK"),((Eingaben!$B$32+Eingaben!$B$35)*(1+Eingaben!$B$41)^(B426-1)+SUM(Variantenbilanz!E2933:E3298)*Eingaben!$B$33*Eingaben!$B$34*(1+Eingaben!$B$42)^(B426-1))*Szenarien!$F$19,0),0)</f>
        <v>991.165204979082</v>
      </c>
      <c r="E426" s="13" t="n">
        <f aca="false">IFERROR(IF(AND(AND(B426&lt;=Eingaben!$B$11,Szenarien!$H$19="OK"),B426=Eingaben!$B$43),Eingaben!$B$44*Szenarien!$B$19*(1+Eingaben!$B$41)^(B426-1),0),0)</f>
        <v>0</v>
      </c>
      <c r="F426" s="13" t="n">
        <f aca="false">IFERROR(IF(AND(AND(B426&lt;=Eingaben!$B$11,Szenarien!$H$19="OK"),B426=Eingaben!$B$11),Eingaben!$B$45*Szenarien!$B$19,0),0)</f>
        <v>0</v>
      </c>
      <c r="G426" s="13" t="n">
        <f aca="false">C426-D426-E426+F426</f>
        <v>839.73763312734</v>
      </c>
      <c r="H426" s="13" t="n">
        <f aca="false">IFERROR(IF(AND(B426&lt;=Eingaben!$B$11,Szenarien!$H$19="OK"),1/(1+Eingaben!$B$39+Szenarien!$G$19)^B426,0),0)</f>
        <v>0.680951339993178</v>
      </c>
      <c r="I426" s="13" t="n">
        <f aca="false">G426*H426</f>
        <v>571.820466520761</v>
      </c>
      <c r="J426" s="13" t="n">
        <f aca="false">(D426+E426-F426)*H426</f>
        <v>674.935274485119</v>
      </c>
      <c r="K426" s="13" t="n">
        <f aca="false">IF(AND(B426&lt;=Eingaben!$B$11,Szenarien!$H$19="OK"),SUM(Variantenbilanz!K2933:K3298)*H426,0)</f>
        <v>393.223357360155</v>
      </c>
    </row>
    <row r="427" customFormat="false" ht="16.4" hidden="false" customHeight="false" outlineLevel="0" collapsed="false">
      <c r="A427" s="12"/>
      <c r="B427" s="15" t="n">
        <v>14</v>
      </c>
      <c r="C427" s="13" t="n">
        <f aca="false">IFERROR(IF(AND(B427&lt;=Eingaben!$B$11,Szenarien!$H$19="OK"),SUM(Variantenbilanz!K2933:K3298)*(Eingaben!$B$36*Szenarien!$C$19*(1+Eingaben!$B$40)^(B427-1)+Eingaben!$B$37*Eingaben!$B$38*(1+Eingaben!$B$46)^(B427-1)),0),0)</f>
        <v>1867.52089486855</v>
      </c>
      <c r="D427" s="13" t="n">
        <f aca="false">IFERROR(IF(AND(B427&lt;=Eingaben!$B$11,Szenarien!$H$19="OK"),((Eingaben!$B$32+Eingaben!$B$35)*(1+Eingaben!$B$41)^(B427-1)+SUM(Variantenbilanz!E2933:E3298)*Eingaben!$B$33*Eingaben!$B$34*(1+Eingaben!$B$42)^(B427-1))*Szenarien!$F$19,0),0)</f>
        <v>1010.98850907866</v>
      </c>
      <c r="E427" s="13" t="n">
        <f aca="false">IFERROR(IF(AND(AND(B427&lt;=Eingaben!$B$11,Szenarien!$H$19="OK"),B427=Eingaben!$B$43),Eingaben!$B$44*Szenarien!$B$19*(1+Eingaben!$B$41)^(B427-1),0),0)</f>
        <v>0</v>
      </c>
      <c r="F427" s="13" t="n">
        <f aca="false">IFERROR(IF(AND(AND(B427&lt;=Eingaben!$B$11,Szenarien!$H$19="OK"),B427=Eingaben!$B$11),Eingaben!$B$45*Szenarien!$B$19,0),0)</f>
        <v>0</v>
      </c>
      <c r="G427" s="13" t="n">
        <f aca="false">C427-D427-E427+F427</f>
        <v>856.532385789887</v>
      </c>
      <c r="H427" s="13" t="n">
        <f aca="false">IFERROR(IF(AND(B427&lt;=Eingaben!$B$11,Szenarien!$H$19="OK"),1/(1+Eingaben!$B$39+Szenarien!$G$19)^B427,0),0)</f>
        <v>0.661117805818619</v>
      </c>
      <c r="I427" s="13" t="n">
        <f aca="false">G427*H427</f>
        <v>566.268811505997</v>
      </c>
      <c r="J427" s="13" t="n">
        <f aca="false">(D427+E427-F427)*H427</f>
        <v>668.382504829923</v>
      </c>
      <c r="K427" s="13" t="n">
        <f aca="false">IF(AND(B427&lt;=Eingaben!$B$11,Szenarien!$H$19="OK"),SUM(Variantenbilanz!K2933:K3298)*H427,0)</f>
        <v>381.770249864228</v>
      </c>
    </row>
    <row r="428" customFormat="false" ht="16.4" hidden="false" customHeight="false" outlineLevel="0" collapsed="false">
      <c r="A428" s="12"/>
      <c r="B428" s="15" t="n">
        <v>15</v>
      </c>
      <c r="C428" s="13" t="n">
        <f aca="false">IFERROR(IF(AND(B428&lt;=Eingaben!$B$11,Szenarien!$H$19="OK"),SUM(Variantenbilanz!K2933:K3298)*(Eingaben!$B$36*Szenarien!$C$19*(1+Eingaben!$B$40)^(B428-1)+Eingaben!$B$37*Eingaben!$B$38*(1+Eingaben!$B$46)^(B428-1)),0),0)</f>
        <v>1904.87131276592</v>
      </c>
      <c r="D428" s="13" t="n">
        <f aca="false">IFERROR(IF(AND(B428&lt;=Eingaben!$B$11,Szenarien!$H$19="OK"),((Eingaben!$B$32+Eingaben!$B$35)*(1+Eingaben!$B$41)^(B428-1)+SUM(Variantenbilanz!E2933:E3298)*Eingaben!$B$33*Eingaben!$B$34*(1+Eingaben!$B$42)^(B428-1))*Szenarien!$F$19,0),0)</f>
        <v>1031.20827926024</v>
      </c>
      <c r="E428" s="13" t="n">
        <f aca="false">IFERROR(IF(AND(AND(B428&lt;=Eingaben!$B$11,Szenarien!$H$19="OK"),B428=Eingaben!$B$43),Eingaben!$B$44*Szenarien!$B$19*(1+Eingaben!$B$41)^(B428-1),0),0)</f>
        <v>0</v>
      </c>
      <c r="F428" s="13" t="n">
        <f aca="false">IFERROR(IF(AND(AND(B428&lt;=Eingaben!$B$11,Szenarien!$H$19="OK"),B428=Eingaben!$B$11),Eingaben!$B$45*Szenarien!$B$19,0),0)</f>
        <v>0</v>
      </c>
      <c r="G428" s="13" t="n">
        <f aca="false">C428-D428-E428+F428</f>
        <v>873.663033505684</v>
      </c>
      <c r="H428" s="13" t="n">
        <f aca="false">IFERROR(IF(AND(B428&lt;=Eingaben!$B$11,Szenarien!$H$19="OK"),1/(1+Eingaben!$B$39+Szenarien!$G$19)^B428,0),0)</f>
        <v>0.641861947396717</v>
      </c>
      <c r="I428" s="13" t="n">
        <f aca="false">G428*H428</f>
        <v>560.771056054482</v>
      </c>
      <c r="J428" s="13" t="n">
        <f aca="false">(D428+E428-F428)*H428</f>
        <v>661.893354297594</v>
      </c>
      <c r="K428" s="13" t="n">
        <f aca="false">IF(AND(B428&lt;=Eingaben!$B$11,Szenarien!$H$19="OK"),SUM(Variantenbilanz!K2933:K3298)*H428,0)</f>
        <v>370.650728023522</v>
      </c>
    </row>
    <row r="429" customFormat="false" ht="16.4" hidden="false" customHeight="false" outlineLevel="0" collapsed="false">
      <c r="A429" s="12"/>
      <c r="B429" s="15" t="n">
        <v>16</v>
      </c>
      <c r="C429" s="13" t="n">
        <f aca="false">IFERROR(IF(AND(B429&lt;=Eingaben!$B$11,Szenarien!$H$19="OK"),SUM(Variantenbilanz!K2933:K3298)*(Eingaben!$B$36*Szenarien!$C$19*(1+Eingaben!$B$40)^(B429-1)+Eingaben!$B$37*Eingaben!$B$38*(1+Eingaben!$B$46)^(B429-1)),0),0)</f>
        <v>1942.96873902124</v>
      </c>
      <c r="D429" s="13" t="n">
        <f aca="false">IFERROR(IF(AND(B429&lt;=Eingaben!$B$11,Szenarien!$H$19="OK"),((Eingaben!$B$32+Eingaben!$B$35)*(1+Eingaben!$B$41)^(B429-1)+SUM(Variantenbilanz!E2933:E3298)*Eingaben!$B$33*Eingaben!$B$34*(1+Eingaben!$B$42)^(B429-1))*Szenarien!$F$19,0),0)</f>
        <v>1051.83244484544</v>
      </c>
      <c r="E429" s="13" t="n">
        <f aca="false">IFERROR(IF(AND(AND(B429&lt;=Eingaben!$B$11,Szenarien!$H$19="OK"),B429=Eingaben!$B$43),Eingaben!$B$44*Szenarien!$B$19*(1+Eingaben!$B$41)^(B429-1),0),0)</f>
        <v>0</v>
      </c>
      <c r="F429" s="13" t="n">
        <f aca="false">IFERROR(IF(AND(AND(B429&lt;=Eingaben!$B$11,Szenarien!$H$19="OK"),B429=Eingaben!$B$11),Eingaben!$B$45*Szenarien!$B$19,0),0)</f>
        <v>0</v>
      </c>
      <c r="G429" s="13" t="n">
        <f aca="false">C429-D429-E429+F429</f>
        <v>891.136294175798</v>
      </c>
      <c r="H429" s="13" t="n">
        <f aca="false">IFERROR(IF(AND(B429&lt;=Eingaben!$B$11,Szenarien!$H$19="OK"),1/(1+Eingaben!$B$39+Szenarien!$G$19)^B429,0),0)</f>
        <v>0.623166939220114</v>
      </c>
      <c r="I429" s="13" t="n">
        <f aca="false">G429*H429</f>
        <v>555.326676869487</v>
      </c>
      <c r="J429" s="13" t="n">
        <f aca="false">(D429+E429-F429)*H429</f>
        <v>655.467205226744</v>
      </c>
      <c r="K429" s="13" t="n">
        <f aca="false">IF(AND(B429&lt;=Eingaben!$B$11,Szenarien!$H$19="OK"),SUM(Variantenbilanz!K2933:K3298)*H429,0)</f>
        <v>359.855075750993</v>
      </c>
    </row>
    <row r="430" customFormat="false" ht="16.4" hidden="false" customHeight="false" outlineLevel="0" collapsed="false">
      <c r="A430" s="12"/>
      <c r="B430" s="15" t="n">
        <v>17</v>
      </c>
      <c r="C430" s="13" t="n">
        <f aca="false">IFERROR(IF(AND(B430&lt;=Eingaben!$B$11,Szenarien!$H$19="OK"),SUM(Variantenbilanz!K2933:K3298)*(Eingaben!$B$36*Szenarien!$C$19*(1+Eingaben!$B$40)^(B430-1)+Eingaben!$B$37*Eingaben!$B$38*(1+Eingaben!$B$46)^(B430-1)),0),0)</f>
        <v>1981.82811380167</v>
      </c>
      <c r="D430" s="13" t="n">
        <f aca="false">IFERROR(IF(AND(B430&lt;=Eingaben!$B$11,Szenarien!$H$19="OK"),((Eingaben!$B$32+Eingaben!$B$35)*(1+Eingaben!$B$41)^(B430-1)+SUM(Variantenbilanz!E2933:E3298)*Eingaben!$B$33*Eingaben!$B$34*(1+Eingaben!$B$42)^(B430-1))*Szenarien!$F$19,0),0)</f>
        <v>1072.86909374235</v>
      </c>
      <c r="E430" s="13" t="n">
        <f aca="false">IFERROR(IF(AND(AND(B430&lt;=Eingaben!$B$11,Szenarien!$H$19="OK"),B430=Eingaben!$B$43),Eingaben!$B$44*Szenarien!$B$19*(1+Eingaben!$B$41)^(B430-1),0),0)</f>
        <v>0</v>
      </c>
      <c r="F430" s="13" t="n">
        <f aca="false">IFERROR(IF(AND(AND(B430&lt;=Eingaben!$B$11,Szenarien!$H$19="OK"),B430=Eingaben!$B$11),Eingaben!$B$45*Szenarien!$B$19,0),0)</f>
        <v>0</v>
      </c>
      <c r="G430" s="13" t="n">
        <f aca="false">C430-D430-E430+F430</f>
        <v>908.959020059314</v>
      </c>
      <c r="H430" s="13" t="n">
        <f aca="false">IFERROR(IF(AND(B430&lt;=Eingaben!$B$11,Szenarien!$H$19="OK"),1/(1+Eingaben!$B$39+Szenarien!$G$19)^B430,0),0)</f>
        <v>0.605016445844771</v>
      </c>
      <c r="I430" s="13" t="n">
        <f aca="false">G430*H430</f>
        <v>549.935155734832</v>
      </c>
      <c r="J430" s="13" t="n">
        <f aca="false">(D430+E430-F430)*H430</f>
        <v>649.103445952698</v>
      </c>
      <c r="K430" s="13" t="n">
        <f aca="false">IF(AND(B430&lt;=Eingaben!$B$11,Szenarien!$H$19="OK"),SUM(Variantenbilanz!K2933:K3298)*H430,0)</f>
        <v>349.37385995242</v>
      </c>
    </row>
    <row r="431" customFormat="false" ht="16.4" hidden="false" customHeight="false" outlineLevel="0" collapsed="false">
      <c r="A431" s="12"/>
      <c r="B431" s="15" t="n">
        <v>18</v>
      </c>
      <c r="C431" s="13" t="n">
        <f aca="false">IFERROR(IF(AND(B431&lt;=Eingaben!$B$11,Szenarien!$H$19="OK"),SUM(Variantenbilanz!K2933:K3298)*(Eingaben!$B$36*Szenarien!$C$19*(1+Eingaben!$B$40)^(B431-1)+Eingaben!$B$37*Eingaben!$B$38*(1+Eingaben!$B$46)^(B431-1)),0),0)</f>
        <v>2021.4646760777</v>
      </c>
      <c r="D431" s="13" t="n">
        <f aca="false">IFERROR(IF(AND(B431&lt;=Eingaben!$B$11,Szenarien!$H$19="OK"),((Eingaben!$B$32+Eingaben!$B$35)*(1+Eingaben!$B$41)^(B431-1)+SUM(Variantenbilanz!E2933:E3298)*Eingaben!$B$33*Eingaben!$B$34*(1+Eingaben!$B$42)^(B431-1))*Szenarien!$F$19,0),0)</f>
        <v>1094.3264756172</v>
      </c>
      <c r="E431" s="13" t="n">
        <f aca="false">IFERROR(IF(AND(AND(B431&lt;=Eingaben!$B$11,Szenarien!$H$19="OK"),B431=Eingaben!$B$43),Eingaben!$B$44*Szenarien!$B$19*(1+Eingaben!$B$41)^(B431-1),0),0)</f>
        <v>0</v>
      </c>
      <c r="F431" s="13" t="n">
        <f aca="false">IFERROR(IF(AND(AND(B431&lt;=Eingaben!$B$11,Szenarien!$H$19="OK"),B431=Eingaben!$B$11),Eingaben!$B$45*Szenarien!$B$19,0),0)</f>
        <v>0</v>
      </c>
      <c r="G431" s="13" t="n">
        <f aca="false">C431-D431-E431+F431</f>
        <v>927.138200460501</v>
      </c>
      <c r="H431" s="13" t="n">
        <f aca="false">IFERROR(IF(AND(B431&lt;=Eingaben!$B$11,Szenarien!$H$19="OK"),1/(1+Eingaben!$B$39+Szenarien!$G$19)^B431,0),0)</f>
        <v>0.587394607616282</v>
      </c>
      <c r="I431" s="13" t="n">
        <f aca="false">G431*H431</f>
        <v>544.595979465562</v>
      </c>
      <c r="J431" s="13" t="n">
        <f aca="false">(D431+E431-F431)*H431</f>
        <v>642.801470749273</v>
      </c>
      <c r="K431" s="13" t="n">
        <f aca="false">IF(AND(B431&lt;=Eingaben!$B$11,Szenarien!$H$19="OK"),SUM(Variantenbilanz!K2933:K3298)*H431,0)</f>
        <v>339.197922283903</v>
      </c>
    </row>
    <row r="432" customFormat="false" ht="16.4" hidden="false" customHeight="false" outlineLevel="0" collapsed="false">
      <c r="A432" s="12"/>
      <c r="B432" s="15" t="n">
        <v>19</v>
      </c>
      <c r="C432" s="13" t="n">
        <f aca="false">IFERROR(IF(AND(B432&lt;=Eingaben!$B$11,Szenarien!$H$19="OK"),SUM(Variantenbilanz!K2933:K3298)*(Eingaben!$B$36*Szenarien!$C$19*(1+Eingaben!$B$40)^(B432-1)+Eingaben!$B$37*Eingaben!$B$38*(1+Eingaben!$B$46)^(B432-1)),0),0)</f>
        <v>2061.89396959925</v>
      </c>
      <c r="D432" s="13" t="n">
        <f aca="false">IFERROR(IF(AND(B432&lt;=Eingaben!$B$11,Szenarien!$H$19="OK"),((Eingaben!$B$32+Eingaben!$B$35)*(1+Eingaben!$B$41)^(B432-1)+SUM(Variantenbilanz!E2933:E3298)*Eingaben!$B$33*Eingaben!$B$34*(1+Eingaben!$B$42)^(B432-1))*Szenarien!$F$19,0),0)</f>
        <v>1116.21300512954</v>
      </c>
      <c r="E432" s="13" t="n">
        <f aca="false">IFERROR(IF(AND(AND(B432&lt;=Eingaben!$B$11,Szenarien!$H$19="OK"),B432=Eingaben!$B$43),Eingaben!$B$44*Szenarien!$B$19*(1+Eingaben!$B$41)^(B432-1),0),0)</f>
        <v>0</v>
      </c>
      <c r="F432" s="13" t="n">
        <f aca="false">IFERROR(IF(AND(AND(B432&lt;=Eingaben!$B$11,Szenarien!$H$19="OK"),B432=Eingaben!$B$11),Eingaben!$B$45*Szenarien!$B$19,0),0)</f>
        <v>0</v>
      </c>
      <c r="G432" s="13" t="n">
        <f aca="false">C432-D432-E432+F432</f>
        <v>945.680964469711</v>
      </c>
      <c r="H432" s="13" t="n">
        <f aca="false">IFERROR(IF(AND(B432&lt;=Eingaben!$B$11,Szenarien!$H$19="OK"),1/(1+Eingaben!$B$39+Szenarien!$G$19)^B432,0),0)</f>
        <v>0.570286026811925</v>
      </c>
      <c r="I432" s="13" t="n">
        <f aca="false">G432*H432</f>
        <v>539.3086398591</v>
      </c>
      <c r="J432" s="13" t="n">
        <f aca="false">(D432+E432-F432)*H432</f>
        <v>636.560679771125</v>
      </c>
      <c r="K432" s="13" t="n">
        <f aca="false">IF(AND(B432&lt;=Eingaben!$B$11,Szenarien!$H$19="OK"),SUM(Variantenbilanz!K2933:K3298)*H432,0)</f>
        <v>329.31837114942</v>
      </c>
    </row>
    <row r="433" customFormat="false" ht="16.4" hidden="false" customHeight="false" outlineLevel="0" collapsed="false">
      <c r="A433" s="12"/>
      <c r="B433" s="15" t="n">
        <v>20</v>
      </c>
      <c r="C433" s="13" t="n">
        <f aca="false">IFERROR(IF(AND(B433&lt;=Eingaben!$B$11,Szenarien!$H$19="OK"),SUM(Variantenbilanz!K2933:K3298)*(Eingaben!$B$36*Szenarien!$C$19*(1+Eingaben!$B$40)^(B433-1)+Eingaben!$B$37*Eingaben!$B$38*(1+Eingaben!$B$46)^(B433-1)),0),0)</f>
        <v>2103.13184899124</v>
      </c>
      <c r="D433" s="13" t="n">
        <f aca="false">IFERROR(IF(AND(B433&lt;=Eingaben!$B$11,Szenarien!$H$19="OK"),((Eingaben!$B$32+Eingaben!$B$35)*(1+Eingaben!$B$41)^(B433-1)+SUM(Variantenbilanz!E2933:E3298)*Eingaben!$B$33*Eingaben!$B$34*(1+Eingaben!$B$42)^(B433-1))*Szenarien!$F$19,0),0)</f>
        <v>1138.53726523213</v>
      </c>
      <c r="E433" s="13" t="n">
        <f aca="false">IFERROR(IF(AND(AND(B433&lt;=Eingaben!$B$11,Szenarien!$H$19="OK"),B433=Eingaben!$B$43),Eingaben!$B$44*Szenarien!$B$19*(1+Eingaben!$B$41)^(B433-1),0),0)</f>
        <v>0</v>
      </c>
      <c r="F433" s="13" t="n">
        <f aca="false">IFERROR(IF(AND(AND(B433&lt;=Eingaben!$B$11,Szenarien!$H$19="OK"),B433=Eingaben!$B$11),Eingaben!$B$45*Szenarien!$B$19,0),0)</f>
        <v>0</v>
      </c>
      <c r="G433" s="13" t="n">
        <f aca="false">C433-D433-E433+F433</f>
        <v>964.594583759104</v>
      </c>
      <c r="H433" s="13" t="n">
        <f aca="false">IFERROR(IF(AND(B433&lt;=Eingaben!$B$11,Szenarien!$H$19="OK"),1/(1+Eingaben!$B$39+Szenarien!$G$19)^B433,0),0)</f>
        <v>0.553675754186335</v>
      </c>
      <c r="I433" s="13" t="n">
        <f aca="false">G433*H433</f>
        <v>534.072633646876</v>
      </c>
      <c r="J433" s="13" t="n">
        <f aca="false">(D433+E433-F433)*H433</f>
        <v>630.380478996648</v>
      </c>
      <c r="K433" s="13" t="n">
        <f aca="false">IF(AND(B433&lt;=Eingaben!$B$11,Szenarien!$H$19="OK"),SUM(Variantenbilanz!K2933:K3298)*H433,0)</f>
        <v>319.726573931476</v>
      </c>
    </row>
    <row r="434" customFormat="false" ht="16.4" hidden="false" customHeight="false" outlineLevel="0" collapsed="false">
      <c r="A434" s="12"/>
      <c r="B434" s="15" t="n">
        <v>21</v>
      </c>
      <c r="C434" s="13" t="n">
        <f aca="false">IFERROR(IF(AND(B434&lt;=Eingaben!$B$11,Szenarien!$H$19="OK"),SUM(Variantenbilanz!K2933:K3298)*(Eingaben!$B$36*Szenarien!$C$19*(1+Eingaben!$B$40)^(B434-1)+Eingaben!$B$37*Eingaben!$B$38*(1+Eingaben!$B$46)^(B434-1)),0),0)</f>
        <v>0</v>
      </c>
      <c r="D434" s="13" t="n">
        <f aca="false">IFERROR(IF(AND(B434&lt;=Eingaben!$B$11,Szenarien!$H$19="OK"),((Eingaben!$B$32+Eingaben!$B$35)*(1+Eingaben!$B$41)^(B434-1)+SUM(Variantenbilanz!E2933:E3298)*Eingaben!$B$33*Eingaben!$B$34*(1+Eingaben!$B$42)^(B434-1))*Szenarien!$F$19,0),0)</f>
        <v>0</v>
      </c>
      <c r="E434" s="13" t="n">
        <f aca="false">IFERROR(IF(AND(AND(B434&lt;=Eingaben!$B$11,Szenarien!$H$19="OK"),B434=Eingaben!$B$43),Eingaben!$B$44*Szenarien!$B$19*(1+Eingaben!$B$41)^(B434-1),0),0)</f>
        <v>0</v>
      </c>
      <c r="F434" s="13" t="n">
        <f aca="false">IFERROR(IF(AND(AND(B434&lt;=Eingaben!$B$11,Szenarien!$H$19="OK"),B434=Eingaben!$B$11),Eingaben!$B$45*Szenarien!$B$19,0),0)</f>
        <v>0</v>
      </c>
      <c r="G434" s="13" t="n">
        <f aca="false">C434-D434-E434+F434</f>
        <v>0</v>
      </c>
      <c r="H434" s="13" t="n">
        <f aca="false">IFERROR(IF(AND(B434&lt;=Eingaben!$B$11,Szenarien!$H$19="OK"),1/(1+Eingaben!$B$39+Szenarien!$G$19)^B434,0),0)</f>
        <v>0</v>
      </c>
      <c r="I434" s="13" t="n">
        <f aca="false">G434*H434</f>
        <v>0</v>
      </c>
      <c r="J434" s="13" t="n">
        <f aca="false">(D434+E434-F434)*H434</f>
        <v>0</v>
      </c>
      <c r="K434" s="13" t="n">
        <f aca="false">IF(AND(B434&lt;=Eingaben!$B$11,Szenarien!$H$19="OK"),SUM(Variantenbilanz!K2933:K3298)*H434,0)</f>
        <v>0</v>
      </c>
    </row>
    <row r="435" customFormat="false" ht="16.4" hidden="false" customHeight="false" outlineLevel="0" collapsed="false">
      <c r="A435" s="12"/>
      <c r="B435" s="15" t="n">
        <v>22</v>
      </c>
      <c r="C435" s="13" t="n">
        <f aca="false">IFERROR(IF(AND(B435&lt;=Eingaben!$B$11,Szenarien!$H$19="OK"),SUM(Variantenbilanz!K2933:K3298)*(Eingaben!$B$36*Szenarien!$C$19*(1+Eingaben!$B$40)^(B435-1)+Eingaben!$B$37*Eingaben!$B$38*(1+Eingaben!$B$46)^(B435-1)),0),0)</f>
        <v>0</v>
      </c>
      <c r="D435" s="13" t="n">
        <f aca="false">IFERROR(IF(AND(B435&lt;=Eingaben!$B$11,Szenarien!$H$19="OK"),((Eingaben!$B$32+Eingaben!$B$35)*(1+Eingaben!$B$41)^(B435-1)+SUM(Variantenbilanz!E2933:E3298)*Eingaben!$B$33*Eingaben!$B$34*(1+Eingaben!$B$42)^(B435-1))*Szenarien!$F$19,0),0)</f>
        <v>0</v>
      </c>
      <c r="E435" s="13" t="n">
        <f aca="false">IFERROR(IF(AND(AND(B435&lt;=Eingaben!$B$11,Szenarien!$H$19="OK"),B435=Eingaben!$B$43),Eingaben!$B$44*Szenarien!$B$19*(1+Eingaben!$B$41)^(B435-1),0),0)</f>
        <v>0</v>
      </c>
      <c r="F435" s="13" t="n">
        <f aca="false">IFERROR(IF(AND(AND(B435&lt;=Eingaben!$B$11,Szenarien!$H$19="OK"),B435=Eingaben!$B$11),Eingaben!$B$45*Szenarien!$B$19,0),0)</f>
        <v>0</v>
      </c>
      <c r="G435" s="13" t="n">
        <f aca="false">C435-D435-E435+F435</f>
        <v>0</v>
      </c>
      <c r="H435" s="13" t="n">
        <f aca="false">IFERROR(IF(AND(B435&lt;=Eingaben!$B$11,Szenarien!$H$19="OK"),1/(1+Eingaben!$B$39+Szenarien!$G$19)^B435,0),0)</f>
        <v>0</v>
      </c>
      <c r="I435" s="13" t="n">
        <f aca="false">G435*H435</f>
        <v>0</v>
      </c>
      <c r="J435" s="13" t="n">
        <f aca="false">(D435+E435-F435)*H435</f>
        <v>0</v>
      </c>
      <c r="K435" s="13" t="n">
        <f aca="false">IF(AND(B435&lt;=Eingaben!$B$11,Szenarien!$H$19="OK"),SUM(Variantenbilanz!K2933:K3298)*H435,0)</f>
        <v>0</v>
      </c>
    </row>
    <row r="436" customFormat="false" ht="16.4" hidden="false" customHeight="false" outlineLevel="0" collapsed="false">
      <c r="A436" s="12"/>
      <c r="B436" s="15" t="n">
        <v>23</v>
      </c>
      <c r="C436" s="13" t="n">
        <f aca="false">IFERROR(IF(AND(B436&lt;=Eingaben!$B$11,Szenarien!$H$19="OK"),SUM(Variantenbilanz!K2933:K3298)*(Eingaben!$B$36*Szenarien!$C$19*(1+Eingaben!$B$40)^(B436-1)+Eingaben!$B$37*Eingaben!$B$38*(1+Eingaben!$B$46)^(B436-1)),0),0)</f>
        <v>0</v>
      </c>
      <c r="D436" s="13" t="n">
        <f aca="false">IFERROR(IF(AND(B436&lt;=Eingaben!$B$11,Szenarien!$H$19="OK"),((Eingaben!$B$32+Eingaben!$B$35)*(1+Eingaben!$B$41)^(B436-1)+SUM(Variantenbilanz!E2933:E3298)*Eingaben!$B$33*Eingaben!$B$34*(1+Eingaben!$B$42)^(B436-1))*Szenarien!$F$19,0),0)</f>
        <v>0</v>
      </c>
      <c r="E436" s="13" t="n">
        <f aca="false">IFERROR(IF(AND(AND(B436&lt;=Eingaben!$B$11,Szenarien!$H$19="OK"),B436=Eingaben!$B$43),Eingaben!$B$44*Szenarien!$B$19*(1+Eingaben!$B$41)^(B436-1),0),0)</f>
        <v>0</v>
      </c>
      <c r="F436" s="13" t="n">
        <f aca="false">IFERROR(IF(AND(AND(B436&lt;=Eingaben!$B$11,Szenarien!$H$19="OK"),B436=Eingaben!$B$11),Eingaben!$B$45*Szenarien!$B$19,0),0)</f>
        <v>0</v>
      </c>
      <c r="G436" s="13" t="n">
        <f aca="false">C436-D436-E436+F436</f>
        <v>0</v>
      </c>
      <c r="H436" s="13" t="n">
        <f aca="false">IFERROR(IF(AND(B436&lt;=Eingaben!$B$11,Szenarien!$H$19="OK"),1/(1+Eingaben!$B$39+Szenarien!$G$19)^B436,0),0)</f>
        <v>0</v>
      </c>
      <c r="I436" s="13" t="n">
        <f aca="false">G436*H436</f>
        <v>0</v>
      </c>
      <c r="J436" s="13" t="n">
        <f aca="false">(D436+E436-F436)*H436</f>
        <v>0</v>
      </c>
      <c r="K436" s="13" t="n">
        <f aca="false">IF(AND(B436&lt;=Eingaben!$B$11,Szenarien!$H$19="OK"),SUM(Variantenbilanz!K2933:K3298)*H436,0)</f>
        <v>0</v>
      </c>
    </row>
    <row r="437" customFormat="false" ht="16.4" hidden="false" customHeight="false" outlineLevel="0" collapsed="false">
      <c r="A437" s="12"/>
      <c r="B437" s="15" t="n">
        <v>24</v>
      </c>
      <c r="C437" s="13" t="n">
        <f aca="false">IFERROR(IF(AND(B437&lt;=Eingaben!$B$11,Szenarien!$H$19="OK"),SUM(Variantenbilanz!K2933:K3298)*(Eingaben!$B$36*Szenarien!$C$19*(1+Eingaben!$B$40)^(B437-1)+Eingaben!$B$37*Eingaben!$B$38*(1+Eingaben!$B$46)^(B437-1)),0),0)</f>
        <v>0</v>
      </c>
      <c r="D437" s="13" t="n">
        <f aca="false">IFERROR(IF(AND(B437&lt;=Eingaben!$B$11,Szenarien!$H$19="OK"),((Eingaben!$B$32+Eingaben!$B$35)*(1+Eingaben!$B$41)^(B437-1)+SUM(Variantenbilanz!E2933:E3298)*Eingaben!$B$33*Eingaben!$B$34*(1+Eingaben!$B$42)^(B437-1))*Szenarien!$F$19,0),0)</f>
        <v>0</v>
      </c>
      <c r="E437" s="13" t="n">
        <f aca="false">IFERROR(IF(AND(AND(B437&lt;=Eingaben!$B$11,Szenarien!$H$19="OK"),B437=Eingaben!$B$43),Eingaben!$B$44*Szenarien!$B$19*(1+Eingaben!$B$41)^(B437-1),0),0)</f>
        <v>0</v>
      </c>
      <c r="F437" s="13" t="n">
        <f aca="false">IFERROR(IF(AND(AND(B437&lt;=Eingaben!$B$11,Szenarien!$H$19="OK"),B437=Eingaben!$B$11),Eingaben!$B$45*Szenarien!$B$19,0),0)</f>
        <v>0</v>
      </c>
      <c r="G437" s="13" t="n">
        <f aca="false">C437-D437-E437+F437</f>
        <v>0</v>
      </c>
      <c r="H437" s="13" t="n">
        <f aca="false">IFERROR(IF(AND(B437&lt;=Eingaben!$B$11,Szenarien!$H$19="OK"),1/(1+Eingaben!$B$39+Szenarien!$G$19)^B437,0),0)</f>
        <v>0</v>
      </c>
      <c r="I437" s="13" t="n">
        <f aca="false">G437*H437</f>
        <v>0</v>
      </c>
      <c r="J437" s="13" t="n">
        <f aca="false">(D437+E437-F437)*H437</f>
        <v>0</v>
      </c>
      <c r="K437" s="13" t="n">
        <f aca="false">IF(AND(B437&lt;=Eingaben!$B$11,Szenarien!$H$19="OK"),SUM(Variantenbilanz!K2933:K3298)*H437,0)</f>
        <v>0</v>
      </c>
    </row>
    <row r="438" customFormat="false" ht="16.4" hidden="false" customHeight="false" outlineLevel="0" collapsed="false">
      <c r="A438" s="12"/>
      <c r="B438" s="15" t="n">
        <v>25</v>
      </c>
      <c r="C438" s="13" t="n">
        <f aca="false">IFERROR(IF(AND(B438&lt;=Eingaben!$B$11,Szenarien!$H$19="OK"),SUM(Variantenbilanz!K2933:K3298)*(Eingaben!$B$36*Szenarien!$C$19*(1+Eingaben!$B$40)^(B438-1)+Eingaben!$B$37*Eingaben!$B$38*(1+Eingaben!$B$46)^(B438-1)),0),0)</f>
        <v>0</v>
      </c>
      <c r="D438" s="13" t="n">
        <f aca="false">IFERROR(IF(AND(B438&lt;=Eingaben!$B$11,Szenarien!$H$19="OK"),((Eingaben!$B$32+Eingaben!$B$35)*(1+Eingaben!$B$41)^(B438-1)+SUM(Variantenbilanz!E2933:E3298)*Eingaben!$B$33*Eingaben!$B$34*(1+Eingaben!$B$42)^(B438-1))*Szenarien!$F$19,0),0)</f>
        <v>0</v>
      </c>
      <c r="E438" s="13" t="n">
        <f aca="false">IFERROR(IF(AND(AND(B438&lt;=Eingaben!$B$11,Szenarien!$H$19="OK"),B438=Eingaben!$B$43),Eingaben!$B$44*Szenarien!$B$19*(1+Eingaben!$B$41)^(B438-1),0),0)</f>
        <v>0</v>
      </c>
      <c r="F438" s="13" t="n">
        <f aca="false">IFERROR(IF(AND(AND(B438&lt;=Eingaben!$B$11,Szenarien!$H$19="OK"),B438=Eingaben!$B$11),Eingaben!$B$45*Szenarien!$B$19,0),0)</f>
        <v>0</v>
      </c>
      <c r="G438" s="13" t="n">
        <f aca="false">C438-D438-E438+F438</f>
        <v>0</v>
      </c>
      <c r="H438" s="13" t="n">
        <f aca="false">IFERROR(IF(AND(B438&lt;=Eingaben!$B$11,Szenarien!$H$19="OK"),1/(1+Eingaben!$B$39+Szenarien!$G$19)^B438,0),0)</f>
        <v>0</v>
      </c>
      <c r="I438" s="13" t="n">
        <f aca="false">G438*H438</f>
        <v>0</v>
      </c>
      <c r="J438" s="13" t="n">
        <f aca="false">(D438+E438-F438)*H438</f>
        <v>0</v>
      </c>
      <c r="K438" s="13" t="n">
        <f aca="false">IF(AND(B438&lt;=Eingaben!$B$11,Szenarien!$H$19="OK"),SUM(Variantenbilanz!K2933:K3298)*H438,0)</f>
        <v>0</v>
      </c>
    </row>
    <row r="439" customFormat="false" ht="16.4" hidden="false" customHeight="false" outlineLevel="0" collapsed="false">
      <c r="A439" s="12"/>
      <c r="B439" s="15" t="n">
        <v>26</v>
      </c>
      <c r="C439" s="13" t="n">
        <f aca="false">IFERROR(IF(AND(B439&lt;=Eingaben!$B$11,Szenarien!$H$19="OK"),SUM(Variantenbilanz!K2933:K3298)*(Eingaben!$B$36*Szenarien!$C$19*(1+Eingaben!$B$40)^(B439-1)+Eingaben!$B$37*Eingaben!$B$38*(1+Eingaben!$B$46)^(B439-1)),0),0)</f>
        <v>0</v>
      </c>
      <c r="D439" s="13" t="n">
        <f aca="false">IFERROR(IF(AND(B439&lt;=Eingaben!$B$11,Szenarien!$H$19="OK"),((Eingaben!$B$32+Eingaben!$B$35)*(1+Eingaben!$B$41)^(B439-1)+SUM(Variantenbilanz!E2933:E3298)*Eingaben!$B$33*Eingaben!$B$34*(1+Eingaben!$B$42)^(B439-1))*Szenarien!$F$19,0),0)</f>
        <v>0</v>
      </c>
      <c r="E439" s="13" t="n">
        <f aca="false">IFERROR(IF(AND(AND(B439&lt;=Eingaben!$B$11,Szenarien!$H$19="OK"),B439=Eingaben!$B$43),Eingaben!$B$44*Szenarien!$B$19*(1+Eingaben!$B$41)^(B439-1),0),0)</f>
        <v>0</v>
      </c>
      <c r="F439" s="13" t="n">
        <f aca="false">IFERROR(IF(AND(AND(B439&lt;=Eingaben!$B$11,Szenarien!$H$19="OK"),B439=Eingaben!$B$11),Eingaben!$B$45*Szenarien!$B$19,0),0)</f>
        <v>0</v>
      </c>
      <c r="G439" s="13" t="n">
        <f aca="false">C439-D439-E439+F439</f>
        <v>0</v>
      </c>
      <c r="H439" s="13" t="n">
        <f aca="false">IFERROR(IF(AND(B439&lt;=Eingaben!$B$11,Szenarien!$H$19="OK"),1/(1+Eingaben!$B$39+Szenarien!$G$19)^B439,0),0)</f>
        <v>0</v>
      </c>
      <c r="I439" s="13" t="n">
        <f aca="false">G439*H439</f>
        <v>0</v>
      </c>
      <c r="J439" s="13" t="n">
        <f aca="false">(D439+E439-F439)*H439</f>
        <v>0</v>
      </c>
      <c r="K439" s="13" t="n">
        <f aca="false">IF(AND(B439&lt;=Eingaben!$B$11,Szenarien!$H$19="OK"),SUM(Variantenbilanz!K2933:K3298)*H439,0)</f>
        <v>0</v>
      </c>
    </row>
    <row r="440" customFormat="false" ht="16.4" hidden="false" customHeight="false" outlineLevel="0" collapsed="false">
      <c r="A440" s="12"/>
      <c r="B440" s="15" t="n">
        <v>27</v>
      </c>
      <c r="C440" s="13" t="n">
        <f aca="false">IFERROR(IF(AND(B440&lt;=Eingaben!$B$11,Szenarien!$H$19="OK"),SUM(Variantenbilanz!K2933:K3298)*(Eingaben!$B$36*Szenarien!$C$19*(1+Eingaben!$B$40)^(B440-1)+Eingaben!$B$37*Eingaben!$B$38*(1+Eingaben!$B$46)^(B440-1)),0),0)</f>
        <v>0</v>
      </c>
      <c r="D440" s="13" t="n">
        <f aca="false">IFERROR(IF(AND(B440&lt;=Eingaben!$B$11,Szenarien!$H$19="OK"),((Eingaben!$B$32+Eingaben!$B$35)*(1+Eingaben!$B$41)^(B440-1)+SUM(Variantenbilanz!E2933:E3298)*Eingaben!$B$33*Eingaben!$B$34*(1+Eingaben!$B$42)^(B440-1))*Szenarien!$F$19,0),0)</f>
        <v>0</v>
      </c>
      <c r="E440" s="13" t="n">
        <f aca="false">IFERROR(IF(AND(AND(B440&lt;=Eingaben!$B$11,Szenarien!$H$19="OK"),B440=Eingaben!$B$43),Eingaben!$B$44*Szenarien!$B$19*(1+Eingaben!$B$41)^(B440-1),0),0)</f>
        <v>0</v>
      </c>
      <c r="F440" s="13" t="n">
        <f aca="false">IFERROR(IF(AND(AND(B440&lt;=Eingaben!$B$11,Szenarien!$H$19="OK"),B440=Eingaben!$B$11),Eingaben!$B$45*Szenarien!$B$19,0),0)</f>
        <v>0</v>
      </c>
      <c r="G440" s="13" t="n">
        <f aca="false">C440-D440-E440+F440</f>
        <v>0</v>
      </c>
      <c r="H440" s="13" t="n">
        <f aca="false">IFERROR(IF(AND(B440&lt;=Eingaben!$B$11,Szenarien!$H$19="OK"),1/(1+Eingaben!$B$39+Szenarien!$G$19)^B440,0),0)</f>
        <v>0</v>
      </c>
      <c r="I440" s="13" t="n">
        <f aca="false">G440*H440</f>
        <v>0</v>
      </c>
      <c r="J440" s="13" t="n">
        <f aca="false">(D440+E440-F440)*H440</f>
        <v>0</v>
      </c>
      <c r="K440" s="13" t="n">
        <f aca="false">IF(AND(B440&lt;=Eingaben!$B$11,Szenarien!$H$19="OK"),SUM(Variantenbilanz!K2933:K3298)*H440,0)</f>
        <v>0</v>
      </c>
    </row>
    <row r="441" customFormat="false" ht="16.4" hidden="false" customHeight="false" outlineLevel="0" collapsed="false">
      <c r="A441" s="12"/>
      <c r="B441" s="15" t="n">
        <v>28</v>
      </c>
      <c r="C441" s="13" t="n">
        <f aca="false">IFERROR(IF(AND(B441&lt;=Eingaben!$B$11,Szenarien!$H$19="OK"),SUM(Variantenbilanz!K2933:K3298)*(Eingaben!$B$36*Szenarien!$C$19*(1+Eingaben!$B$40)^(B441-1)+Eingaben!$B$37*Eingaben!$B$38*(1+Eingaben!$B$46)^(B441-1)),0),0)</f>
        <v>0</v>
      </c>
      <c r="D441" s="13" t="n">
        <f aca="false">IFERROR(IF(AND(B441&lt;=Eingaben!$B$11,Szenarien!$H$19="OK"),((Eingaben!$B$32+Eingaben!$B$35)*(1+Eingaben!$B$41)^(B441-1)+SUM(Variantenbilanz!E2933:E3298)*Eingaben!$B$33*Eingaben!$B$34*(1+Eingaben!$B$42)^(B441-1))*Szenarien!$F$19,0),0)</f>
        <v>0</v>
      </c>
      <c r="E441" s="13" t="n">
        <f aca="false">IFERROR(IF(AND(AND(B441&lt;=Eingaben!$B$11,Szenarien!$H$19="OK"),B441=Eingaben!$B$43),Eingaben!$B$44*Szenarien!$B$19*(1+Eingaben!$B$41)^(B441-1),0),0)</f>
        <v>0</v>
      </c>
      <c r="F441" s="13" t="n">
        <f aca="false">IFERROR(IF(AND(AND(B441&lt;=Eingaben!$B$11,Szenarien!$H$19="OK"),B441=Eingaben!$B$11),Eingaben!$B$45*Szenarien!$B$19,0),0)</f>
        <v>0</v>
      </c>
      <c r="G441" s="13" t="n">
        <f aca="false">C441-D441-E441+F441</f>
        <v>0</v>
      </c>
      <c r="H441" s="13" t="n">
        <f aca="false">IFERROR(IF(AND(B441&lt;=Eingaben!$B$11,Szenarien!$H$19="OK"),1/(1+Eingaben!$B$39+Szenarien!$G$19)^B441,0),0)</f>
        <v>0</v>
      </c>
      <c r="I441" s="13" t="n">
        <f aca="false">G441*H441</f>
        <v>0</v>
      </c>
      <c r="J441" s="13" t="n">
        <f aca="false">(D441+E441-F441)*H441</f>
        <v>0</v>
      </c>
      <c r="K441" s="13" t="n">
        <f aca="false">IF(AND(B441&lt;=Eingaben!$B$11,Szenarien!$H$19="OK"),SUM(Variantenbilanz!K2933:K3298)*H441,0)</f>
        <v>0</v>
      </c>
    </row>
    <row r="442" customFormat="false" ht="16.4" hidden="false" customHeight="false" outlineLevel="0" collapsed="false">
      <c r="A442" s="12"/>
      <c r="B442" s="15" t="n">
        <v>29</v>
      </c>
      <c r="C442" s="13" t="n">
        <f aca="false">IFERROR(IF(AND(B442&lt;=Eingaben!$B$11,Szenarien!$H$19="OK"),SUM(Variantenbilanz!K2933:K3298)*(Eingaben!$B$36*Szenarien!$C$19*(1+Eingaben!$B$40)^(B442-1)+Eingaben!$B$37*Eingaben!$B$38*(1+Eingaben!$B$46)^(B442-1)),0),0)</f>
        <v>0</v>
      </c>
      <c r="D442" s="13" t="n">
        <f aca="false">IFERROR(IF(AND(B442&lt;=Eingaben!$B$11,Szenarien!$H$19="OK"),((Eingaben!$B$32+Eingaben!$B$35)*(1+Eingaben!$B$41)^(B442-1)+SUM(Variantenbilanz!E2933:E3298)*Eingaben!$B$33*Eingaben!$B$34*(1+Eingaben!$B$42)^(B442-1))*Szenarien!$F$19,0),0)</f>
        <v>0</v>
      </c>
      <c r="E442" s="13" t="n">
        <f aca="false">IFERROR(IF(AND(AND(B442&lt;=Eingaben!$B$11,Szenarien!$H$19="OK"),B442=Eingaben!$B$43),Eingaben!$B$44*Szenarien!$B$19*(1+Eingaben!$B$41)^(B442-1),0),0)</f>
        <v>0</v>
      </c>
      <c r="F442" s="13" t="n">
        <f aca="false">IFERROR(IF(AND(AND(B442&lt;=Eingaben!$B$11,Szenarien!$H$19="OK"),B442=Eingaben!$B$11),Eingaben!$B$45*Szenarien!$B$19,0),0)</f>
        <v>0</v>
      </c>
      <c r="G442" s="13" t="n">
        <f aca="false">C442-D442-E442+F442</f>
        <v>0</v>
      </c>
      <c r="H442" s="13" t="n">
        <f aca="false">IFERROR(IF(AND(B442&lt;=Eingaben!$B$11,Szenarien!$H$19="OK"),1/(1+Eingaben!$B$39+Szenarien!$G$19)^B442,0),0)</f>
        <v>0</v>
      </c>
      <c r="I442" s="13" t="n">
        <f aca="false">G442*H442</f>
        <v>0</v>
      </c>
      <c r="J442" s="13" t="n">
        <f aca="false">(D442+E442-F442)*H442</f>
        <v>0</v>
      </c>
      <c r="K442" s="13" t="n">
        <f aca="false">IF(AND(B442&lt;=Eingaben!$B$11,Szenarien!$H$19="OK"),SUM(Variantenbilanz!K2933:K3298)*H442,0)</f>
        <v>0</v>
      </c>
    </row>
    <row r="443" customFormat="false" ht="16.4" hidden="false" customHeight="false" outlineLevel="0" collapsed="false">
      <c r="A443" s="12"/>
      <c r="B443" s="15" t="n">
        <v>30</v>
      </c>
      <c r="C443" s="13" t="n">
        <f aca="false">IFERROR(IF(AND(B443&lt;=Eingaben!$B$11,Szenarien!$H$19="OK"),SUM(Variantenbilanz!K2933:K3298)*(Eingaben!$B$36*Szenarien!$C$19*(1+Eingaben!$B$40)^(B443-1)+Eingaben!$B$37*Eingaben!$B$38*(1+Eingaben!$B$46)^(B443-1)),0),0)</f>
        <v>0</v>
      </c>
      <c r="D443" s="13" t="n">
        <f aca="false">IFERROR(IF(AND(B443&lt;=Eingaben!$B$11,Szenarien!$H$19="OK"),((Eingaben!$B$32+Eingaben!$B$35)*(1+Eingaben!$B$41)^(B443-1)+SUM(Variantenbilanz!E2933:E3298)*Eingaben!$B$33*Eingaben!$B$34*(1+Eingaben!$B$42)^(B443-1))*Szenarien!$F$19,0),0)</f>
        <v>0</v>
      </c>
      <c r="E443" s="13" t="n">
        <f aca="false">IFERROR(IF(AND(AND(B443&lt;=Eingaben!$B$11,Szenarien!$H$19="OK"),B443=Eingaben!$B$43),Eingaben!$B$44*Szenarien!$B$19*(1+Eingaben!$B$41)^(B443-1),0),0)</f>
        <v>0</v>
      </c>
      <c r="F443" s="13" t="n">
        <f aca="false">IFERROR(IF(AND(AND(B443&lt;=Eingaben!$B$11,Szenarien!$H$19="OK"),B443=Eingaben!$B$11),Eingaben!$B$45*Szenarien!$B$19,0),0)</f>
        <v>0</v>
      </c>
      <c r="G443" s="13" t="n">
        <f aca="false">C443-D443-E443+F443</f>
        <v>0</v>
      </c>
      <c r="H443" s="13" t="n">
        <f aca="false">IFERROR(IF(AND(B443&lt;=Eingaben!$B$11,Szenarien!$H$19="OK"),1/(1+Eingaben!$B$39+Szenarien!$G$19)^B443,0),0)</f>
        <v>0</v>
      </c>
      <c r="I443" s="13" t="n">
        <f aca="false">G443*H443</f>
        <v>0</v>
      </c>
      <c r="J443" s="13" t="n">
        <f aca="false">(D443+E443-F443)*H443</f>
        <v>0</v>
      </c>
      <c r="K443" s="13" t="n">
        <f aca="false">IF(AND(B443&lt;=Eingaben!$B$11,Szenarien!$H$19="OK"),SUM(Variantenbilanz!K2933:K3298)*H443,0)</f>
        <v>0</v>
      </c>
    </row>
    <row r="444" customFormat="false" ht="16.4" hidden="false" customHeight="false" outlineLevel="0" collapsed="false">
      <c r="A444" s="12"/>
      <c r="B444" s="15" t="n">
        <v>31</v>
      </c>
      <c r="C444" s="13" t="n">
        <f aca="false">IFERROR(IF(AND(B444&lt;=Eingaben!$B$11,Szenarien!$H$19="OK"),SUM(Variantenbilanz!K2933:K3298)*(Eingaben!$B$36*Szenarien!$C$19*(1+Eingaben!$B$40)^(B444-1)+Eingaben!$B$37*Eingaben!$B$38*(1+Eingaben!$B$46)^(B444-1)),0),0)</f>
        <v>0</v>
      </c>
      <c r="D444" s="13" t="n">
        <f aca="false">IFERROR(IF(AND(B444&lt;=Eingaben!$B$11,Szenarien!$H$19="OK"),((Eingaben!$B$32+Eingaben!$B$35)*(1+Eingaben!$B$41)^(B444-1)+SUM(Variantenbilanz!E2933:E3298)*Eingaben!$B$33*Eingaben!$B$34*(1+Eingaben!$B$42)^(B444-1))*Szenarien!$F$19,0),0)</f>
        <v>0</v>
      </c>
      <c r="E444" s="13" t="n">
        <f aca="false">IFERROR(IF(AND(AND(B444&lt;=Eingaben!$B$11,Szenarien!$H$19="OK"),B444=Eingaben!$B$43),Eingaben!$B$44*Szenarien!$B$19*(1+Eingaben!$B$41)^(B444-1),0),0)</f>
        <v>0</v>
      </c>
      <c r="F444" s="13" t="n">
        <f aca="false">IFERROR(IF(AND(AND(B444&lt;=Eingaben!$B$11,Szenarien!$H$19="OK"),B444=Eingaben!$B$11),Eingaben!$B$45*Szenarien!$B$19,0),0)</f>
        <v>0</v>
      </c>
      <c r="G444" s="13" t="n">
        <f aca="false">C444-D444-E444+F444</f>
        <v>0</v>
      </c>
      <c r="H444" s="13" t="n">
        <f aca="false">IFERROR(IF(AND(B444&lt;=Eingaben!$B$11,Szenarien!$H$19="OK"),1/(1+Eingaben!$B$39+Szenarien!$G$19)^B444,0),0)</f>
        <v>0</v>
      </c>
      <c r="I444" s="13" t="n">
        <f aca="false">G444*H444</f>
        <v>0</v>
      </c>
      <c r="J444" s="13" t="n">
        <f aca="false">(D444+E444-F444)*H444</f>
        <v>0</v>
      </c>
      <c r="K444" s="13" t="n">
        <f aca="false">IF(AND(B444&lt;=Eingaben!$B$11,Szenarien!$H$19="OK"),SUM(Variantenbilanz!K2933:K3298)*H444,0)</f>
        <v>0</v>
      </c>
    </row>
    <row r="445" customFormat="false" ht="16.4" hidden="false" customHeight="false" outlineLevel="0" collapsed="false">
      <c r="A445" s="12"/>
      <c r="B445" s="15" t="n">
        <v>32</v>
      </c>
      <c r="C445" s="13" t="n">
        <f aca="false">IFERROR(IF(AND(B445&lt;=Eingaben!$B$11,Szenarien!$H$19="OK"),SUM(Variantenbilanz!K2933:K3298)*(Eingaben!$B$36*Szenarien!$C$19*(1+Eingaben!$B$40)^(B445-1)+Eingaben!$B$37*Eingaben!$B$38*(1+Eingaben!$B$46)^(B445-1)),0),0)</f>
        <v>0</v>
      </c>
      <c r="D445" s="13" t="n">
        <f aca="false">IFERROR(IF(AND(B445&lt;=Eingaben!$B$11,Szenarien!$H$19="OK"),((Eingaben!$B$32+Eingaben!$B$35)*(1+Eingaben!$B$41)^(B445-1)+SUM(Variantenbilanz!E2933:E3298)*Eingaben!$B$33*Eingaben!$B$34*(1+Eingaben!$B$42)^(B445-1))*Szenarien!$F$19,0),0)</f>
        <v>0</v>
      </c>
      <c r="E445" s="13" t="n">
        <f aca="false">IFERROR(IF(AND(AND(B445&lt;=Eingaben!$B$11,Szenarien!$H$19="OK"),B445=Eingaben!$B$43),Eingaben!$B$44*Szenarien!$B$19*(1+Eingaben!$B$41)^(B445-1),0),0)</f>
        <v>0</v>
      </c>
      <c r="F445" s="13" t="n">
        <f aca="false">IFERROR(IF(AND(AND(B445&lt;=Eingaben!$B$11,Szenarien!$H$19="OK"),B445=Eingaben!$B$11),Eingaben!$B$45*Szenarien!$B$19,0),0)</f>
        <v>0</v>
      </c>
      <c r="G445" s="13" t="n">
        <f aca="false">C445-D445-E445+F445</f>
        <v>0</v>
      </c>
      <c r="H445" s="13" t="n">
        <f aca="false">IFERROR(IF(AND(B445&lt;=Eingaben!$B$11,Szenarien!$H$19="OK"),1/(1+Eingaben!$B$39+Szenarien!$G$19)^B445,0),0)</f>
        <v>0</v>
      </c>
      <c r="I445" s="13" t="n">
        <f aca="false">G445*H445</f>
        <v>0</v>
      </c>
      <c r="J445" s="13" t="n">
        <f aca="false">(D445+E445-F445)*H445</f>
        <v>0</v>
      </c>
      <c r="K445" s="13" t="n">
        <f aca="false">IF(AND(B445&lt;=Eingaben!$B$11,Szenarien!$H$19="OK"),SUM(Variantenbilanz!K2933:K3298)*H445,0)</f>
        <v>0</v>
      </c>
    </row>
    <row r="446" customFormat="false" ht="16.4" hidden="false" customHeight="false" outlineLevel="0" collapsed="false">
      <c r="A446" s="12"/>
      <c r="B446" s="15" t="n">
        <v>33</v>
      </c>
      <c r="C446" s="13" t="n">
        <f aca="false">IFERROR(IF(AND(B446&lt;=Eingaben!$B$11,Szenarien!$H$19="OK"),SUM(Variantenbilanz!K2933:K3298)*(Eingaben!$B$36*Szenarien!$C$19*(1+Eingaben!$B$40)^(B446-1)+Eingaben!$B$37*Eingaben!$B$38*(1+Eingaben!$B$46)^(B446-1)),0),0)</f>
        <v>0</v>
      </c>
      <c r="D446" s="13" t="n">
        <f aca="false">IFERROR(IF(AND(B446&lt;=Eingaben!$B$11,Szenarien!$H$19="OK"),((Eingaben!$B$32+Eingaben!$B$35)*(1+Eingaben!$B$41)^(B446-1)+SUM(Variantenbilanz!E2933:E3298)*Eingaben!$B$33*Eingaben!$B$34*(1+Eingaben!$B$42)^(B446-1))*Szenarien!$F$19,0),0)</f>
        <v>0</v>
      </c>
      <c r="E446" s="13" t="n">
        <f aca="false">IFERROR(IF(AND(AND(B446&lt;=Eingaben!$B$11,Szenarien!$H$19="OK"),B446=Eingaben!$B$43),Eingaben!$B$44*Szenarien!$B$19*(1+Eingaben!$B$41)^(B446-1),0),0)</f>
        <v>0</v>
      </c>
      <c r="F446" s="13" t="n">
        <f aca="false">IFERROR(IF(AND(AND(B446&lt;=Eingaben!$B$11,Szenarien!$H$19="OK"),B446=Eingaben!$B$11),Eingaben!$B$45*Szenarien!$B$19,0),0)</f>
        <v>0</v>
      </c>
      <c r="G446" s="13" t="n">
        <f aca="false">C446-D446-E446+F446</f>
        <v>0</v>
      </c>
      <c r="H446" s="13" t="n">
        <f aca="false">IFERROR(IF(AND(B446&lt;=Eingaben!$B$11,Szenarien!$H$19="OK"),1/(1+Eingaben!$B$39+Szenarien!$G$19)^B446,0),0)</f>
        <v>0</v>
      </c>
      <c r="I446" s="13" t="n">
        <f aca="false">G446*H446</f>
        <v>0</v>
      </c>
      <c r="J446" s="13" t="n">
        <f aca="false">(D446+E446-F446)*H446</f>
        <v>0</v>
      </c>
      <c r="K446" s="13" t="n">
        <f aca="false">IF(AND(B446&lt;=Eingaben!$B$11,Szenarien!$H$19="OK"),SUM(Variantenbilanz!K2933:K3298)*H446,0)</f>
        <v>0</v>
      </c>
    </row>
    <row r="447" customFormat="false" ht="16.4" hidden="false" customHeight="false" outlineLevel="0" collapsed="false">
      <c r="A447" s="12"/>
      <c r="B447" s="15" t="n">
        <v>34</v>
      </c>
      <c r="C447" s="13" t="n">
        <f aca="false">IFERROR(IF(AND(B447&lt;=Eingaben!$B$11,Szenarien!$H$19="OK"),SUM(Variantenbilanz!K2933:K3298)*(Eingaben!$B$36*Szenarien!$C$19*(1+Eingaben!$B$40)^(B447-1)+Eingaben!$B$37*Eingaben!$B$38*(1+Eingaben!$B$46)^(B447-1)),0),0)</f>
        <v>0</v>
      </c>
      <c r="D447" s="13" t="n">
        <f aca="false">IFERROR(IF(AND(B447&lt;=Eingaben!$B$11,Szenarien!$H$19="OK"),((Eingaben!$B$32+Eingaben!$B$35)*(1+Eingaben!$B$41)^(B447-1)+SUM(Variantenbilanz!E2933:E3298)*Eingaben!$B$33*Eingaben!$B$34*(1+Eingaben!$B$42)^(B447-1))*Szenarien!$F$19,0),0)</f>
        <v>0</v>
      </c>
      <c r="E447" s="13" t="n">
        <f aca="false">IFERROR(IF(AND(AND(B447&lt;=Eingaben!$B$11,Szenarien!$H$19="OK"),B447=Eingaben!$B$43),Eingaben!$B$44*Szenarien!$B$19*(1+Eingaben!$B$41)^(B447-1),0),0)</f>
        <v>0</v>
      </c>
      <c r="F447" s="13" t="n">
        <f aca="false">IFERROR(IF(AND(AND(B447&lt;=Eingaben!$B$11,Szenarien!$H$19="OK"),B447=Eingaben!$B$11),Eingaben!$B$45*Szenarien!$B$19,0),0)</f>
        <v>0</v>
      </c>
      <c r="G447" s="13" t="n">
        <f aca="false">C447-D447-E447+F447</f>
        <v>0</v>
      </c>
      <c r="H447" s="13" t="n">
        <f aca="false">IFERROR(IF(AND(B447&lt;=Eingaben!$B$11,Szenarien!$H$19="OK"),1/(1+Eingaben!$B$39+Szenarien!$G$19)^B447,0),0)</f>
        <v>0</v>
      </c>
      <c r="I447" s="13" t="n">
        <f aca="false">G447*H447</f>
        <v>0</v>
      </c>
      <c r="J447" s="13" t="n">
        <f aca="false">(D447+E447-F447)*H447</f>
        <v>0</v>
      </c>
      <c r="K447" s="13" t="n">
        <f aca="false">IF(AND(B447&lt;=Eingaben!$B$11,Szenarien!$H$19="OK"),SUM(Variantenbilanz!K2933:K3298)*H447,0)</f>
        <v>0</v>
      </c>
    </row>
    <row r="448" customFormat="false" ht="16.4" hidden="false" customHeight="false" outlineLevel="0" collapsed="false">
      <c r="A448" s="12"/>
      <c r="B448" s="15" t="n">
        <v>35</v>
      </c>
      <c r="C448" s="13" t="n">
        <f aca="false">IFERROR(IF(AND(B448&lt;=Eingaben!$B$11,Szenarien!$H$19="OK"),SUM(Variantenbilanz!K2933:K3298)*(Eingaben!$B$36*Szenarien!$C$19*(1+Eingaben!$B$40)^(B448-1)+Eingaben!$B$37*Eingaben!$B$38*(1+Eingaben!$B$46)^(B448-1)),0),0)</f>
        <v>0</v>
      </c>
      <c r="D448" s="13" t="n">
        <f aca="false">IFERROR(IF(AND(B448&lt;=Eingaben!$B$11,Szenarien!$H$19="OK"),((Eingaben!$B$32+Eingaben!$B$35)*(1+Eingaben!$B$41)^(B448-1)+SUM(Variantenbilanz!E2933:E3298)*Eingaben!$B$33*Eingaben!$B$34*(1+Eingaben!$B$42)^(B448-1))*Szenarien!$F$19,0),0)</f>
        <v>0</v>
      </c>
      <c r="E448" s="13" t="n">
        <f aca="false">IFERROR(IF(AND(AND(B448&lt;=Eingaben!$B$11,Szenarien!$H$19="OK"),B448=Eingaben!$B$43),Eingaben!$B$44*Szenarien!$B$19*(1+Eingaben!$B$41)^(B448-1),0),0)</f>
        <v>0</v>
      </c>
      <c r="F448" s="13" t="n">
        <f aca="false">IFERROR(IF(AND(AND(B448&lt;=Eingaben!$B$11,Szenarien!$H$19="OK"),B448=Eingaben!$B$11),Eingaben!$B$45*Szenarien!$B$19,0),0)</f>
        <v>0</v>
      </c>
      <c r="G448" s="13" t="n">
        <f aca="false">C448-D448-E448+F448</f>
        <v>0</v>
      </c>
      <c r="H448" s="13" t="n">
        <f aca="false">IFERROR(IF(AND(B448&lt;=Eingaben!$B$11,Szenarien!$H$19="OK"),1/(1+Eingaben!$B$39+Szenarien!$G$19)^B448,0),0)</f>
        <v>0</v>
      </c>
      <c r="I448" s="13" t="n">
        <f aca="false">G448*H448</f>
        <v>0</v>
      </c>
      <c r="J448" s="13" t="n">
        <f aca="false">(D448+E448-F448)*H448</f>
        <v>0</v>
      </c>
      <c r="K448" s="13" t="n">
        <f aca="false">IF(AND(B448&lt;=Eingaben!$B$11,Szenarien!$H$19="OK"),SUM(Variantenbilanz!K2933:K3298)*H448,0)</f>
        <v>0</v>
      </c>
    </row>
    <row r="449" customFormat="false" ht="16.4" hidden="false" customHeight="false" outlineLevel="0" collapsed="false">
      <c r="A449" s="12"/>
      <c r="B449" s="15" t="n">
        <v>36</v>
      </c>
      <c r="C449" s="13" t="n">
        <f aca="false">IFERROR(IF(AND(B449&lt;=Eingaben!$B$11,Szenarien!$H$19="OK"),SUM(Variantenbilanz!K2933:K3298)*(Eingaben!$B$36*Szenarien!$C$19*(1+Eingaben!$B$40)^(B449-1)+Eingaben!$B$37*Eingaben!$B$38*(1+Eingaben!$B$46)^(B449-1)),0),0)</f>
        <v>0</v>
      </c>
      <c r="D449" s="13" t="n">
        <f aca="false">IFERROR(IF(AND(B449&lt;=Eingaben!$B$11,Szenarien!$H$19="OK"),((Eingaben!$B$32+Eingaben!$B$35)*(1+Eingaben!$B$41)^(B449-1)+SUM(Variantenbilanz!E2933:E3298)*Eingaben!$B$33*Eingaben!$B$34*(1+Eingaben!$B$42)^(B449-1))*Szenarien!$F$19,0),0)</f>
        <v>0</v>
      </c>
      <c r="E449" s="13" t="n">
        <f aca="false">IFERROR(IF(AND(AND(B449&lt;=Eingaben!$B$11,Szenarien!$H$19="OK"),B449=Eingaben!$B$43),Eingaben!$B$44*Szenarien!$B$19*(1+Eingaben!$B$41)^(B449-1),0),0)</f>
        <v>0</v>
      </c>
      <c r="F449" s="13" t="n">
        <f aca="false">IFERROR(IF(AND(AND(B449&lt;=Eingaben!$B$11,Szenarien!$H$19="OK"),B449=Eingaben!$B$11),Eingaben!$B$45*Szenarien!$B$19,0),0)</f>
        <v>0</v>
      </c>
      <c r="G449" s="13" t="n">
        <f aca="false">C449-D449-E449+F449</f>
        <v>0</v>
      </c>
      <c r="H449" s="13" t="n">
        <f aca="false">IFERROR(IF(AND(B449&lt;=Eingaben!$B$11,Szenarien!$H$19="OK"),1/(1+Eingaben!$B$39+Szenarien!$G$19)^B449,0),0)</f>
        <v>0</v>
      </c>
      <c r="I449" s="13" t="n">
        <f aca="false">G449*H449</f>
        <v>0</v>
      </c>
      <c r="J449" s="13" t="n">
        <f aca="false">(D449+E449-F449)*H449</f>
        <v>0</v>
      </c>
      <c r="K449" s="13" t="n">
        <f aca="false">IF(AND(B449&lt;=Eingaben!$B$11,Szenarien!$H$19="OK"),SUM(Variantenbilanz!K2933:K3298)*H449,0)</f>
        <v>0</v>
      </c>
    </row>
    <row r="450" customFormat="false" ht="16.4" hidden="false" customHeight="false" outlineLevel="0" collapsed="false">
      <c r="A450" s="12"/>
      <c r="B450" s="15" t="n">
        <v>37</v>
      </c>
      <c r="C450" s="13" t="n">
        <f aca="false">IFERROR(IF(AND(B450&lt;=Eingaben!$B$11,Szenarien!$H$19="OK"),SUM(Variantenbilanz!K2933:K3298)*(Eingaben!$B$36*Szenarien!$C$19*(1+Eingaben!$B$40)^(B450-1)+Eingaben!$B$37*Eingaben!$B$38*(1+Eingaben!$B$46)^(B450-1)),0),0)</f>
        <v>0</v>
      </c>
      <c r="D450" s="13" t="n">
        <f aca="false">IFERROR(IF(AND(B450&lt;=Eingaben!$B$11,Szenarien!$H$19="OK"),((Eingaben!$B$32+Eingaben!$B$35)*(1+Eingaben!$B$41)^(B450-1)+SUM(Variantenbilanz!E2933:E3298)*Eingaben!$B$33*Eingaben!$B$34*(1+Eingaben!$B$42)^(B450-1))*Szenarien!$F$19,0),0)</f>
        <v>0</v>
      </c>
      <c r="E450" s="13" t="n">
        <f aca="false">IFERROR(IF(AND(AND(B450&lt;=Eingaben!$B$11,Szenarien!$H$19="OK"),B450=Eingaben!$B$43),Eingaben!$B$44*Szenarien!$B$19*(1+Eingaben!$B$41)^(B450-1),0),0)</f>
        <v>0</v>
      </c>
      <c r="F450" s="13" t="n">
        <f aca="false">IFERROR(IF(AND(AND(B450&lt;=Eingaben!$B$11,Szenarien!$H$19="OK"),B450=Eingaben!$B$11),Eingaben!$B$45*Szenarien!$B$19,0),0)</f>
        <v>0</v>
      </c>
      <c r="G450" s="13" t="n">
        <f aca="false">C450-D450-E450+F450</f>
        <v>0</v>
      </c>
      <c r="H450" s="13" t="n">
        <f aca="false">IFERROR(IF(AND(B450&lt;=Eingaben!$B$11,Szenarien!$H$19="OK"),1/(1+Eingaben!$B$39+Szenarien!$G$19)^B450,0),0)</f>
        <v>0</v>
      </c>
      <c r="I450" s="13" t="n">
        <f aca="false">G450*H450</f>
        <v>0</v>
      </c>
      <c r="J450" s="13" t="n">
        <f aca="false">(D450+E450-F450)*H450</f>
        <v>0</v>
      </c>
      <c r="K450" s="13" t="n">
        <f aca="false">IF(AND(B450&lt;=Eingaben!$B$11,Szenarien!$H$19="OK"),SUM(Variantenbilanz!K2933:K3298)*H450,0)</f>
        <v>0</v>
      </c>
    </row>
    <row r="451" customFormat="false" ht="16.4" hidden="false" customHeight="false" outlineLevel="0" collapsed="false">
      <c r="A451" s="12"/>
      <c r="B451" s="15" t="n">
        <v>38</v>
      </c>
      <c r="C451" s="13" t="n">
        <f aca="false">IFERROR(IF(AND(B451&lt;=Eingaben!$B$11,Szenarien!$H$19="OK"),SUM(Variantenbilanz!K2933:K3298)*(Eingaben!$B$36*Szenarien!$C$19*(1+Eingaben!$B$40)^(B451-1)+Eingaben!$B$37*Eingaben!$B$38*(1+Eingaben!$B$46)^(B451-1)),0),0)</f>
        <v>0</v>
      </c>
      <c r="D451" s="13" t="n">
        <f aca="false">IFERROR(IF(AND(B451&lt;=Eingaben!$B$11,Szenarien!$H$19="OK"),((Eingaben!$B$32+Eingaben!$B$35)*(1+Eingaben!$B$41)^(B451-1)+SUM(Variantenbilanz!E2933:E3298)*Eingaben!$B$33*Eingaben!$B$34*(1+Eingaben!$B$42)^(B451-1))*Szenarien!$F$19,0),0)</f>
        <v>0</v>
      </c>
      <c r="E451" s="13" t="n">
        <f aca="false">IFERROR(IF(AND(AND(B451&lt;=Eingaben!$B$11,Szenarien!$H$19="OK"),B451=Eingaben!$B$43),Eingaben!$B$44*Szenarien!$B$19*(1+Eingaben!$B$41)^(B451-1),0),0)</f>
        <v>0</v>
      </c>
      <c r="F451" s="13" t="n">
        <f aca="false">IFERROR(IF(AND(AND(B451&lt;=Eingaben!$B$11,Szenarien!$H$19="OK"),B451=Eingaben!$B$11),Eingaben!$B$45*Szenarien!$B$19,0),0)</f>
        <v>0</v>
      </c>
      <c r="G451" s="13" t="n">
        <f aca="false">C451-D451-E451+F451</f>
        <v>0</v>
      </c>
      <c r="H451" s="13" t="n">
        <f aca="false">IFERROR(IF(AND(B451&lt;=Eingaben!$B$11,Szenarien!$H$19="OK"),1/(1+Eingaben!$B$39+Szenarien!$G$19)^B451,0),0)</f>
        <v>0</v>
      </c>
      <c r="I451" s="13" t="n">
        <f aca="false">G451*H451</f>
        <v>0</v>
      </c>
      <c r="J451" s="13" t="n">
        <f aca="false">(D451+E451-F451)*H451</f>
        <v>0</v>
      </c>
      <c r="K451" s="13" t="n">
        <f aca="false">IF(AND(B451&lt;=Eingaben!$B$11,Szenarien!$H$19="OK"),SUM(Variantenbilanz!K2933:K3298)*H451,0)</f>
        <v>0</v>
      </c>
    </row>
    <row r="452" customFormat="false" ht="16.4" hidden="false" customHeight="false" outlineLevel="0" collapsed="false">
      <c r="A452" s="12"/>
      <c r="B452" s="15" t="n">
        <v>39</v>
      </c>
      <c r="C452" s="13" t="n">
        <f aca="false">IFERROR(IF(AND(B452&lt;=Eingaben!$B$11,Szenarien!$H$19="OK"),SUM(Variantenbilanz!K2933:K3298)*(Eingaben!$B$36*Szenarien!$C$19*(1+Eingaben!$B$40)^(B452-1)+Eingaben!$B$37*Eingaben!$B$38*(1+Eingaben!$B$46)^(B452-1)),0),0)</f>
        <v>0</v>
      </c>
      <c r="D452" s="13" t="n">
        <f aca="false">IFERROR(IF(AND(B452&lt;=Eingaben!$B$11,Szenarien!$H$19="OK"),((Eingaben!$B$32+Eingaben!$B$35)*(1+Eingaben!$B$41)^(B452-1)+SUM(Variantenbilanz!E2933:E3298)*Eingaben!$B$33*Eingaben!$B$34*(1+Eingaben!$B$42)^(B452-1))*Szenarien!$F$19,0),0)</f>
        <v>0</v>
      </c>
      <c r="E452" s="13" t="n">
        <f aca="false">IFERROR(IF(AND(AND(B452&lt;=Eingaben!$B$11,Szenarien!$H$19="OK"),B452=Eingaben!$B$43),Eingaben!$B$44*Szenarien!$B$19*(1+Eingaben!$B$41)^(B452-1),0),0)</f>
        <v>0</v>
      </c>
      <c r="F452" s="13" t="n">
        <f aca="false">IFERROR(IF(AND(AND(B452&lt;=Eingaben!$B$11,Szenarien!$H$19="OK"),B452=Eingaben!$B$11),Eingaben!$B$45*Szenarien!$B$19,0),0)</f>
        <v>0</v>
      </c>
      <c r="G452" s="13" t="n">
        <f aca="false">C452-D452-E452+F452</f>
        <v>0</v>
      </c>
      <c r="H452" s="13" t="n">
        <f aca="false">IFERROR(IF(AND(B452&lt;=Eingaben!$B$11,Szenarien!$H$19="OK"),1/(1+Eingaben!$B$39+Szenarien!$G$19)^B452,0),0)</f>
        <v>0</v>
      </c>
      <c r="I452" s="13" t="n">
        <f aca="false">G452*H452</f>
        <v>0</v>
      </c>
      <c r="J452" s="13" t="n">
        <f aca="false">(D452+E452-F452)*H452</f>
        <v>0</v>
      </c>
      <c r="K452" s="13" t="n">
        <f aca="false">IF(AND(B452&lt;=Eingaben!$B$11,Szenarien!$H$19="OK"),SUM(Variantenbilanz!K2933:K3298)*H452,0)</f>
        <v>0</v>
      </c>
    </row>
    <row r="453" customFormat="false" ht="16.4" hidden="false" customHeight="false" outlineLevel="0" collapsed="false">
      <c r="A453" s="12"/>
      <c r="B453" s="15" t="n">
        <v>40</v>
      </c>
      <c r="C453" s="13" t="n">
        <f aca="false">IFERROR(IF(AND(B453&lt;=Eingaben!$B$11,Szenarien!$H$19="OK"),SUM(Variantenbilanz!K2933:K3298)*(Eingaben!$B$36*Szenarien!$C$19*(1+Eingaben!$B$40)^(B453-1)+Eingaben!$B$37*Eingaben!$B$38*(1+Eingaben!$B$46)^(B453-1)),0),0)</f>
        <v>0</v>
      </c>
      <c r="D453" s="13" t="n">
        <f aca="false">IFERROR(IF(AND(B453&lt;=Eingaben!$B$11,Szenarien!$H$19="OK"),((Eingaben!$B$32+Eingaben!$B$35)*(1+Eingaben!$B$41)^(B453-1)+SUM(Variantenbilanz!E2933:E3298)*Eingaben!$B$33*Eingaben!$B$34*(1+Eingaben!$B$42)^(B453-1))*Szenarien!$F$19,0),0)</f>
        <v>0</v>
      </c>
      <c r="E453" s="13" t="n">
        <f aca="false">IFERROR(IF(AND(AND(B453&lt;=Eingaben!$B$11,Szenarien!$H$19="OK"),B453=Eingaben!$B$43),Eingaben!$B$44*Szenarien!$B$19*(1+Eingaben!$B$41)^(B453-1),0),0)</f>
        <v>0</v>
      </c>
      <c r="F453" s="13" t="n">
        <f aca="false">IFERROR(IF(AND(AND(B453&lt;=Eingaben!$B$11,Szenarien!$H$19="OK"),B453=Eingaben!$B$11),Eingaben!$B$45*Szenarien!$B$19,0),0)</f>
        <v>0</v>
      </c>
      <c r="G453" s="13" t="n">
        <f aca="false">C453-D453-E453+F453</f>
        <v>0</v>
      </c>
      <c r="H453" s="13" t="n">
        <f aca="false">IFERROR(IF(AND(B453&lt;=Eingaben!$B$11,Szenarien!$H$19="OK"),1/(1+Eingaben!$B$39+Szenarien!$G$19)^B453,0),0)</f>
        <v>0</v>
      </c>
      <c r="I453" s="13" t="n">
        <f aca="false">G453*H453</f>
        <v>0</v>
      </c>
      <c r="J453" s="13" t="n">
        <f aca="false">(D453+E453-F453)*H453</f>
        <v>0</v>
      </c>
      <c r="K453" s="13" t="n">
        <f aca="false">IF(AND(B453&lt;=Eingaben!$B$11,Szenarien!$H$19="OK"),SUM(Variantenbilanz!K2933:K3298)*H453,0)</f>
        <v>0</v>
      </c>
    </row>
    <row r="454" customFormat="false" ht="16.4" hidden="false" customHeight="false" outlineLevel="0" collapsed="false">
      <c r="A454" s="12"/>
      <c r="B454" s="15" t="n">
        <v>41</v>
      </c>
      <c r="C454" s="13" t="n">
        <f aca="false">IFERROR(IF(AND(B454&lt;=Eingaben!$B$11,Szenarien!$H$19="OK"),SUM(Variantenbilanz!K2933:K3298)*(Eingaben!$B$36*Szenarien!$C$19*(1+Eingaben!$B$40)^(B454-1)+Eingaben!$B$37*Eingaben!$B$38*(1+Eingaben!$B$46)^(B454-1)),0),0)</f>
        <v>0</v>
      </c>
      <c r="D454" s="13" t="n">
        <f aca="false">IFERROR(IF(AND(B454&lt;=Eingaben!$B$11,Szenarien!$H$19="OK"),((Eingaben!$B$32+Eingaben!$B$35)*(1+Eingaben!$B$41)^(B454-1)+SUM(Variantenbilanz!E2933:E3298)*Eingaben!$B$33*Eingaben!$B$34*(1+Eingaben!$B$42)^(B454-1))*Szenarien!$F$19,0),0)</f>
        <v>0</v>
      </c>
      <c r="E454" s="13" t="n">
        <f aca="false">IFERROR(IF(AND(AND(B454&lt;=Eingaben!$B$11,Szenarien!$H$19="OK"),B454=Eingaben!$B$43),Eingaben!$B$44*Szenarien!$B$19*(1+Eingaben!$B$41)^(B454-1),0),0)</f>
        <v>0</v>
      </c>
      <c r="F454" s="13" t="n">
        <f aca="false">IFERROR(IF(AND(AND(B454&lt;=Eingaben!$B$11,Szenarien!$H$19="OK"),B454=Eingaben!$B$11),Eingaben!$B$45*Szenarien!$B$19,0),0)</f>
        <v>0</v>
      </c>
      <c r="G454" s="13" t="n">
        <f aca="false">C454-D454-E454+F454</f>
        <v>0</v>
      </c>
      <c r="H454" s="13" t="n">
        <f aca="false">IFERROR(IF(AND(B454&lt;=Eingaben!$B$11,Szenarien!$H$19="OK"),1/(1+Eingaben!$B$39+Szenarien!$G$19)^B454,0),0)</f>
        <v>0</v>
      </c>
      <c r="I454" s="13" t="n">
        <f aca="false">G454*H454</f>
        <v>0</v>
      </c>
      <c r="J454" s="13" t="n">
        <f aca="false">(D454+E454-F454)*H454</f>
        <v>0</v>
      </c>
      <c r="K454" s="13" t="n">
        <f aca="false">IF(AND(B454&lt;=Eingaben!$B$11,Szenarien!$H$19="OK"),SUM(Variantenbilanz!K2933:K3298)*H454,0)</f>
        <v>0</v>
      </c>
    </row>
    <row r="455" customFormat="false" ht="16.4" hidden="false" customHeight="false" outlineLevel="0" collapsed="false">
      <c r="A455" s="12"/>
      <c r="B455" s="15" t="n">
        <v>42</v>
      </c>
      <c r="C455" s="13" t="n">
        <f aca="false">IFERROR(IF(AND(B455&lt;=Eingaben!$B$11,Szenarien!$H$19="OK"),SUM(Variantenbilanz!K2933:K3298)*(Eingaben!$B$36*Szenarien!$C$19*(1+Eingaben!$B$40)^(B455-1)+Eingaben!$B$37*Eingaben!$B$38*(1+Eingaben!$B$46)^(B455-1)),0),0)</f>
        <v>0</v>
      </c>
      <c r="D455" s="13" t="n">
        <f aca="false">IFERROR(IF(AND(B455&lt;=Eingaben!$B$11,Szenarien!$H$19="OK"),((Eingaben!$B$32+Eingaben!$B$35)*(1+Eingaben!$B$41)^(B455-1)+SUM(Variantenbilanz!E2933:E3298)*Eingaben!$B$33*Eingaben!$B$34*(1+Eingaben!$B$42)^(B455-1))*Szenarien!$F$19,0),0)</f>
        <v>0</v>
      </c>
      <c r="E455" s="13" t="n">
        <f aca="false">IFERROR(IF(AND(AND(B455&lt;=Eingaben!$B$11,Szenarien!$H$19="OK"),B455=Eingaben!$B$43),Eingaben!$B$44*Szenarien!$B$19*(1+Eingaben!$B$41)^(B455-1),0),0)</f>
        <v>0</v>
      </c>
      <c r="F455" s="13" t="n">
        <f aca="false">IFERROR(IF(AND(AND(B455&lt;=Eingaben!$B$11,Szenarien!$H$19="OK"),B455=Eingaben!$B$11),Eingaben!$B$45*Szenarien!$B$19,0),0)</f>
        <v>0</v>
      </c>
      <c r="G455" s="13" t="n">
        <f aca="false">C455-D455-E455+F455</f>
        <v>0</v>
      </c>
      <c r="H455" s="13" t="n">
        <f aca="false">IFERROR(IF(AND(B455&lt;=Eingaben!$B$11,Szenarien!$H$19="OK"),1/(1+Eingaben!$B$39+Szenarien!$G$19)^B455,0),0)</f>
        <v>0</v>
      </c>
      <c r="I455" s="13" t="n">
        <f aca="false">G455*H455</f>
        <v>0</v>
      </c>
      <c r="J455" s="13" t="n">
        <f aca="false">(D455+E455-F455)*H455</f>
        <v>0</v>
      </c>
      <c r="K455" s="13" t="n">
        <f aca="false">IF(AND(B455&lt;=Eingaben!$B$11,Szenarien!$H$19="OK"),SUM(Variantenbilanz!K2933:K3298)*H455,0)</f>
        <v>0</v>
      </c>
    </row>
    <row r="456" customFormat="false" ht="16.4" hidden="false" customHeight="false" outlineLevel="0" collapsed="false">
      <c r="A456" s="12"/>
      <c r="B456" s="15" t="n">
        <v>43</v>
      </c>
      <c r="C456" s="13" t="n">
        <f aca="false">IFERROR(IF(AND(B456&lt;=Eingaben!$B$11,Szenarien!$H$19="OK"),SUM(Variantenbilanz!K2933:K3298)*(Eingaben!$B$36*Szenarien!$C$19*(1+Eingaben!$B$40)^(B456-1)+Eingaben!$B$37*Eingaben!$B$38*(1+Eingaben!$B$46)^(B456-1)),0),0)</f>
        <v>0</v>
      </c>
      <c r="D456" s="13" t="n">
        <f aca="false">IFERROR(IF(AND(B456&lt;=Eingaben!$B$11,Szenarien!$H$19="OK"),((Eingaben!$B$32+Eingaben!$B$35)*(1+Eingaben!$B$41)^(B456-1)+SUM(Variantenbilanz!E2933:E3298)*Eingaben!$B$33*Eingaben!$B$34*(1+Eingaben!$B$42)^(B456-1))*Szenarien!$F$19,0),0)</f>
        <v>0</v>
      </c>
      <c r="E456" s="13" t="n">
        <f aca="false">IFERROR(IF(AND(AND(B456&lt;=Eingaben!$B$11,Szenarien!$H$19="OK"),B456=Eingaben!$B$43),Eingaben!$B$44*Szenarien!$B$19*(1+Eingaben!$B$41)^(B456-1),0),0)</f>
        <v>0</v>
      </c>
      <c r="F456" s="13" t="n">
        <f aca="false">IFERROR(IF(AND(AND(B456&lt;=Eingaben!$B$11,Szenarien!$H$19="OK"),B456=Eingaben!$B$11),Eingaben!$B$45*Szenarien!$B$19,0),0)</f>
        <v>0</v>
      </c>
      <c r="G456" s="13" t="n">
        <f aca="false">C456-D456-E456+F456</f>
        <v>0</v>
      </c>
      <c r="H456" s="13" t="n">
        <f aca="false">IFERROR(IF(AND(B456&lt;=Eingaben!$B$11,Szenarien!$H$19="OK"),1/(1+Eingaben!$B$39+Szenarien!$G$19)^B456,0),0)</f>
        <v>0</v>
      </c>
      <c r="I456" s="13" t="n">
        <f aca="false">G456*H456</f>
        <v>0</v>
      </c>
      <c r="J456" s="13" t="n">
        <f aca="false">(D456+E456-F456)*H456</f>
        <v>0</v>
      </c>
      <c r="K456" s="13" t="n">
        <f aca="false">IF(AND(B456&lt;=Eingaben!$B$11,Szenarien!$H$19="OK"),SUM(Variantenbilanz!K2933:K3298)*H456,0)</f>
        <v>0</v>
      </c>
    </row>
    <row r="457" customFormat="false" ht="16.4" hidden="false" customHeight="false" outlineLevel="0" collapsed="false">
      <c r="A457" s="12"/>
      <c r="B457" s="15" t="n">
        <v>44</v>
      </c>
      <c r="C457" s="13" t="n">
        <f aca="false">IFERROR(IF(AND(B457&lt;=Eingaben!$B$11,Szenarien!$H$19="OK"),SUM(Variantenbilanz!K2933:K3298)*(Eingaben!$B$36*Szenarien!$C$19*(1+Eingaben!$B$40)^(B457-1)+Eingaben!$B$37*Eingaben!$B$38*(1+Eingaben!$B$46)^(B457-1)),0),0)</f>
        <v>0</v>
      </c>
      <c r="D457" s="13" t="n">
        <f aca="false">IFERROR(IF(AND(B457&lt;=Eingaben!$B$11,Szenarien!$H$19="OK"),((Eingaben!$B$32+Eingaben!$B$35)*(1+Eingaben!$B$41)^(B457-1)+SUM(Variantenbilanz!E2933:E3298)*Eingaben!$B$33*Eingaben!$B$34*(1+Eingaben!$B$42)^(B457-1))*Szenarien!$F$19,0),0)</f>
        <v>0</v>
      </c>
      <c r="E457" s="13" t="n">
        <f aca="false">IFERROR(IF(AND(AND(B457&lt;=Eingaben!$B$11,Szenarien!$H$19="OK"),B457=Eingaben!$B$43),Eingaben!$B$44*Szenarien!$B$19*(1+Eingaben!$B$41)^(B457-1),0),0)</f>
        <v>0</v>
      </c>
      <c r="F457" s="13" t="n">
        <f aca="false">IFERROR(IF(AND(AND(B457&lt;=Eingaben!$B$11,Szenarien!$H$19="OK"),B457=Eingaben!$B$11),Eingaben!$B$45*Szenarien!$B$19,0),0)</f>
        <v>0</v>
      </c>
      <c r="G457" s="13" t="n">
        <f aca="false">C457-D457-E457+F457</f>
        <v>0</v>
      </c>
      <c r="H457" s="13" t="n">
        <f aca="false">IFERROR(IF(AND(B457&lt;=Eingaben!$B$11,Szenarien!$H$19="OK"),1/(1+Eingaben!$B$39+Szenarien!$G$19)^B457,0),0)</f>
        <v>0</v>
      </c>
      <c r="I457" s="13" t="n">
        <f aca="false">G457*H457</f>
        <v>0</v>
      </c>
      <c r="J457" s="13" t="n">
        <f aca="false">(D457+E457-F457)*H457</f>
        <v>0</v>
      </c>
      <c r="K457" s="13" t="n">
        <f aca="false">IF(AND(B457&lt;=Eingaben!$B$11,Szenarien!$H$19="OK"),SUM(Variantenbilanz!K2933:K3298)*H457,0)</f>
        <v>0</v>
      </c>
    </row>
    <row r="458" customFormat="false" ht="16.4" hidden="false" customHeight="false" outlineLevel="0" collapsed="false">
      <c r="A458" s="12"/>
      <c r="B458" s="15" t="n">
        <v>45</v>
      </c>
      <c r="C458" s="13" t="n">
        <f aca="false">IFERROR(IF(AND(B458&lt;=Eingaben!$B$11,Szenarien!$H$19="OK"),SUM(Variantenbilanz!K2933:K3298)*(Eingaben!$B$36*Szenarien!$C$19*(1+Eingaben!$B$40)^(B458-1)+Eingaben!$B$37*Eingaben!$B$38*(1+Eingaben!$B$46)^(B458-1)),0),0)</f>
        <v>0</v>
      </c>
      <c r="D458" s="13" t="n">
        <f aca="false">IFERROR(IF(AND(B458&lt;=Eingaben!$B$11,Szenarien!$H$19="OK"),((Eingaben!$B$32+Eingaben!$B$35)*(1+Eingaben!$B$41)^(B458-1)+SUM(Variantenbilanz!E2933:E3298)*Eingaben!$B$33*Eingaben!$B$34*(1+Eingaben!$B$42)^(B458-1))*Szenarien!$F$19,0),0)</f>
        <v>0</v>
      </c>
      <c r="E458" s="13" t="n">
        <f aca="false">IFERROR(IF(AND(AND(B458&lt;=Eingaben!$B$11,Szenarien!$H$19="OK"),B458=Eingaben!$B$43),Eingaben!$B$44*Szenarien!$B$19*(1+Eingaben!$B$41)^(B458-1),0),0)</f>
        <v>0</v>
      </c>
      <c r="F458" s="13" t="n">
        <f aca="false">IFERROR(IF(AND(AND(B458&lt;=Eingaben!$B$11,Szenarien!$H$19="OK"),B458=Eingaben!$B$11),Eingaben!$B$45*Szenarien!$B$19,0),0)</f>
        <v>0</v>
      </c>
      <c r="G458" s="13" t="n">
        <f aca="false">C458-D458-E458+F458</f>
        <v>0</v>
      </c>
      <c r="H458" s="13" t="n">
        <f aca="false">IFERROR(IF(AND(B458&lt;=Eingaben!$B$11,Szenarien!$H$19="OK"),1/(1+Eingaben!$B$39+Szenarien!$G$19)^B458,0),0)</f>
        <v>0</v>
      </c>
      <c r="I458" s="13" t="n">
        <f aca="false">G458*H458</f>
        <v>0</v>
      </c>
      <c r="J458" s="13" t="n">
        <f aca="false">(D458+E458-F458)*H458</f>
        <v>0</v>
      </c>
      <c r="K458" s="13" t="n">
        <f aca="false">IF(AND(B458&lt;=Eingaben!$B$11,Szenarien!$H$19="OK"),SUM(Variantenbilanz!K2933:K3298)*H458,0)</f>
        <v>0</v>
      </c>
    </row>
    <row r="459" customFormat="false" ht="16.4" hidden="false" customHeight="false" outlineLevel="0" collapsed="false">
      <c r="A459" s="12"/>
      <c r="B459" s="15" t="n">
        <v>46</v>
      </c>
      <c r="C459" s="13" t="n">
        <f aca="false">IFERROR(IF(AND(B459&lt;=Eingaben!$B$11,Szenarien!$H$19="OK"),SUM(Variantenbilanz!K2933:K3298)*(Eingaben!$B$36*Szenarien!$C$19*(1+Eingaben!$B$40)^(B459-1)+Eingaben!$B$37*Eingaben!$B$38*(1+Eingaben!$B$46)^(B459-1)),0),0)</f>
        <v>0</v>
      </c>
      <c r="D459" s="13" t="n">
        <f aca="false">IFERROR(IF(AND(B459&lt;=Eingaben!$B$11,Szenarien!$H$19="OK"),((Eingaben!$B$32+Eingaben!$B$35)*(1+Eingaben!$B$41)^(B459-1)+SUM(Variantenbilanz!E2933:E3298)*Eingaben!$B$33*Eingaben!$B$34*(1+Eingaben!$B$42)^(B459-1))*Szenarien!$F$19,0),0)</f>
        <v>0</v>
      </c>
      <c r="E459" s="13" t="n">
        <f aca="false">IFERROR(IF(AND(AND(B459&lt;=Eingaben!$B$11,Szenarien!$H$19="OK"),B459=Eingaben!$B$43),Eingaben!$B$44*Szenarien!$B$19*(1+Eingaben!$B$41)^(B459-1),0),0)</f>
        <v>0</v>
      </c>
      <c r="F459" s="13" t="n">
        <f aca="false">IFERROR(IF(AND(AND(B459&lt;=Eingaben!$B$11,Szenarien!$H$19="OK"),B459=Eingaben!$B$11),Eingaben!$B$45*Szenarien!$B$19,0),0)</f>
        <v>0</v>
      </c>
      <c r="G459" s="13" t="n">
        <f aca="false">C459-D459-E459+F459</f>
        <v>0</v>
      </c>
      <c r="H459" s="13" t="n">
        <f aca="false">IFERROR(IF(AND(B459&lt;=Eingaben!$B$11,Szenarien!$H$19="OK"),1/(1+Eingaben!$B$39+Szenarien!$G$19)^B459,0),0)</f>
        <v>0</v>
      </c>
      <c r="I459" s="13" t="n">
        <f aca="false">G459*H459</f>
        <v>0</v>
      </c>
      <c r="J459" s="13" t="n">
        <f aca="false">(D459+E459-F459)*H459</f>
        <v>0</v>
      </c>
      <c r="K459" s="13" t="n">
        <f aca="false">IF(AND(B459&lt;=Eingaben!$B$11,Szenarien!$H$19="OK"),SUM(Variantenbilanz!K2933:K3298)*H459,0)</f>
        <v>0</v>
      </c>
    </row>
    <row r="460" customFormat="false" ht="16.4" hidden="false" customHeight="false" outlineLevel="0" collapsed="false">
      <c r="A460" s="12"/>
      <c r="B460" s="15" t="n">
        <v>47</v>
      </c>
      <c r="C460" s="13" t="n">
        <f aca="false">IFERROR(IF(AND(B460&lt;=Eingaben!$B$11,Szenarien!$H$19="OK"),SUM(Variantenbilanz!K2933:K3298)*(Eingaben!$B$36*Szenarien!$C$19*(1+Eingaben!$B$40)^(B460-1)+Eingaben!$B$37*Eingaben!$B$38*(1+Eingaben!$B$46)^(B460-1)),0),0)</f>
        <v>0</v>
      </c>
      <c r="D460" s="13" t="n">
        <f aca="false">IFERROR(IF(AND(B460&lt;=Eingaben!$B$11,Szenarien!$H$19="OK"),((Eingaben!$B$32+Eingaben!$B$35)*(1+Eingaben!$B$41)^(B460-1)+SUM(Variantenbilanz!E2933:E3298)*Eingaben!$B$33*Eingaben!$B$34*(1+Eingaben!$B$42)^(B460-1))*Szenarien!$F$19,0),0)</f>
        <v>0</v>
      </c>
      <c r="E460" s="13" t="n">
        <f aca="false">IFERROR(IF(AND(AND(B460&lt;=Eingaben!$B$11,Szenarien!$H$19="OK"),B460=Eingaben!$B$43),Eingaben!$B$44*Szenarien!$B$19*(1+Eingaben!$B$41)^(B460-1),0),0)</f>
        <v>0</v>
      </c>
      <c r="F460" s="13" t="n">
        <f aca="false">IFERROR(IF(AND(AND(B460&lt;=Eingaben!$B$11,Szenarien!$H$19="OK"),B460=Eingaben!$B$11),Eingaben!$B$45*Szenarien!$B$19,0),0)</f>
        <v>0</v>
      </c>
      <c r="G460" s="13" t="n">
        <f aca="false">C460-D460-E460+F460</f>
        <v>0</v>
      </c>
      <c r="H460" s="13" t="n">
        <f aca="false">IFERROR(IF(AND(B460&lt;=Eingaben!$B$11,Szenarien!$H$19="OK"),1/(1+Eingaben!$B$39+Szenarien!$G$19)^B460,0),0)</f>
        <v>0</v>
      </c>
      <c r="I460" s="13" t="n">
        <f aca="false">G460*H460</f>
        <v>0</v>
      </c>
      <c r="J460" s="13" t="n">
        <f aca="false">(D460+E460-F460)*H460</f>
        <v>0</v>
      </c>
      <c r="K460" s="13" t="n">
        <f aca="false">IF(AND(B460&lt;=Eingaben!$B$11,Szenarien!$H$19="OK"),SUM(Variantenbilanz!K2933:K3298)*H460,0)</f>
        <v>0</v>
      </c>
    </row>
    <row r="461" customFormat="false" ht="16.4" hidden="false" customHeight="false" outlineLevel="0" collapsed="false">
      <c r="A461" s="12"/>
      <c r="B461" s="15" t="n">
        <v>48</v>
      </c>
      <c r="C461" s="13" t="n">
        <f aca="false">IFERROR(IF(AND(B461&lt;=Eingaben!$B$11,Szenarien!$H$19="OK"),SUM(Variantenbilanz!K2933:K3298)*(Eingaben!$B$36*Szenarien!$C$19*(1+Eingaben!$B$40)^(B461-1)+Eingaben!$B$37*Eingaben!$B$38*(1+Eingaben!$B$46)^(B461-1)),0),0)</f>
        <v>0</v>
      </c>
      <c r="D461" s="13" t="n">
        <f aca="false">IFERROR(IF(AND(B461&lt;=Eingaben!$B$11,Szenarien!$H$19="OK"),((Eingaben!$B$32+Eingaben!$B$35)*(1+Eingaben!$B$41)^(B461-1)+SUM(Variantenbilanz!E2933:E3298)*Eingaben!$B$33*Eingaben!$B$34*(1+Eingaben!$B$42)^(B461-1))*Szenarien!$F$19,0),0)</f>
        <v>0</v>
      </c>
      <c r="E461" s="13" t="n">
        <f aca="false">IFERROR(IF(AND(AND(B461&lt;=Eingaben!$B$11,Szenarien!$H$19="OK"),B461=Eingaben!$B$43),Eingaben!$B$44*Szenarien!$B$19*(1+Eingaben!$B$41)^(B461-1),0),0)</f>
        <v>0</v>
      </c>
      <c r="F461" s="13" t="n">
        <f aca="false">IFERROR(IF(AND(AND(B461&lt;=Eingaben!$B$11,Szenarien!$H$19="OK"),B461=Eingaben!$B$11),Eingaben!$B$45*Szenarien!$B$19,0),0)</f>
        <v>0</v>
      </c>
      <c r="G461" s="13" t="n">
        <f aca="false">C461-D461-E461+F461</f>
        <v>0</v>
      </c>
      <c r="H461" s="13" t="n">
        <f aca="false">IFERROR(IF(AND(B461&lt;=Eingaben!$B$11,Szenarien!$H$19="OK"),1/(1+Eingaben!$B$39+Szenarien!$G$19)^B461,0),0)</f>
        <v>0</v>
      </c>
      <c r="I461" s="13" t="n">
        <f aca="false">G461*H461</f>
        <v>0</v>
      </c>
      <c r="J461" s="13" t="n">
        <f aca="false">(D461+E461-F461)*H461</f>
        <v>0</v>
      </c>
      <c r="K461" s="13" t="n">
        <f aca="false">IF(AND(B461&lt;=Eingaben!$B$11,Szenarien!$H$19="OK"),SUM(Variantenbilanz!K2933:K3298)*H461,0)</f>
        <v>0</v>
      </c>
    </row>
    <row r="462" customFormat="false" ht="16.4" hidden="false" customHeight="false" outlineLevel="0" collapsed="false">
      <c r="A462" s="12"/>
      <c r="B462" s="15" t="n">
        <v>49</v>
      </c>
      <c r="C462" s="13" t="n">
        <f aca="false">IFERROR(IF(AND(B462&lt;=Eingaben!$B$11,Szenarien!$H$19="OK"),SUM(Variantenbilanz!K2933:K3298)*(Eingaben!$B$36*Szenarien!$C$19*(1+Eingaben!$B$40)^(B462-1)+Eingaben!$B$37*Eingaben!$B$38*(1+Eingaben!$B$46)^(B462-1)),0),0)</f>
        <v>0</v>
      </c>
      <c r="D462" s="13" t="n">
        <f aca="false">IFERROR(IF(AND(B462&lt;=Eingaben!$B$11,Szenarien!$H$19="OK"),((Eingaben!$B$32+Eingaben!$B$35)*(1+Eingaben!$B$41)^(B462-1)+SUM(Variantenbilanz!E2933:E3298)*Eingaben!$B$33*Eingaben!$B$34*(1+Eingaben!$B$42)^(B462-1))*Szenarien!$F$19,0),0)</f>
        <v>0</v>
      </c>
      <c r="E462" s="13" t="n">
        <f aca="false">IFERROR(IF(AND(AND(B462&lt;=Eingaben!$B$11,Szenarien!$H$19="OK"),B462=Eingaben!$B$43),Eingaben!$B$44*Szenarien!$B$19*(1+Eingaben!$B$41)^(B462-1),0),0)</f>
        <v>0</v>
      </c>
      <c r="F462" s="13" t="n">
        <f aca="false">IFERROR(IF(AND(AND(B462&lt;=Eingaben!$B$11,Szenarien!$H$19="OK"),B462=Eingaben!$B$11),Eingaben!$B$45*Szenarien!$B$19,0),0)</f>
        <v>0</v>
      </c>
      <c r="G462" s="13" t="n">
        <f aca="false">C462-D462-E462+F462</f>
        <v>0</v>
      </c>
      <c r="H462" s="13" t="n">
        <f aca="false">IFERROR(IF(AND(B462&lt;=Eingaben!$B$11,Szenarien!$H$19="OK"),1/(1+Eingaben!$B$39+Szenarien!$G$19)^B462,0),0)</f>
        <v>0</v>
      </c>
      <c r="I462" s="13" t="n">
        <f aca="false">G462*H462</f>
        <v>0</v>
      </c>
      <c r="J462" s="13" t="n">
        <f aca="false">(D462+E462-F462)*H462</f>
        <v>0</v>
      </c>
      <c r="K462" s="13" t="n">
        <f aca="false">IF(AND(B462&lt;=Eingaben!$B$11,Szenarien!$H$19="OK"),SUM(Variantenbilanz!K2933:K3298)*H462,0)</f>
        <v>0</v>
      </c>
    </row>
    <row r="463" customFormat="false" ht="16.4" hidden="false" customHeight="false" outlineLevel="0" collapsed="false">
      <c r="A463" s="12"/>
      <c r="B463" s="15" t="n">
        <v>50</v>
      </c>
      <c r="C463" s="13" t="n">
        <f aca="false">IFERROR(IF(AND(B463&lt;=Eingaben!$B$11,Szenarien!$H$19="OK"),SUM(Variantenbilanz!K2933:K3298)*(Eingaben!$B$36*Szenarien!$C$19*(1+Eingaben!$B$40)^(B463-1)+Eingaben!$B$37*Eingaben!$B$38*(1+Eingaben!$B$46)^(B463-1)),0),0)</f>
        <v>0</v>
      </c>
      <c r="D463" s="13" t="n">
        <f aca="false">IFERROR(IF(AND(B463&lt;=Eingaben!$B$11,Szenarien!$H$19="OK"),((Eingaben!$B$32+Eingaben!$B$35)*(1+Eingaben!$B$41)^(B463-1)+SUM(Variantenbilanz!E2933:E3298)*Eingaben!$B$33*Eingaben!$B$34*(1+Eingaben!$B$42)^(B463-1))*Szenarien!$F$19,0),0)</f>
        <v>0</v>
      </c>
      <c r="E463" s="13" t="n">
        <f aca="false">IFERROR(IF(AND(AND(B463&lt;=Eingaben!$B$11,Szenarien!$H$19="OK"),B463=Eingaben!$B$43),Eingaben!$B$44*Szenarien!$B$19*(1+Eingaben!$B$41)^(B463-1),0),0)</f>
        <v>0</v>
      </c>
      <c r="F463" s="13" t="n">
        <f aca="false">IFERROR(IF(AND(AND(B463&lt;=Eingaben!$B$11,Szenarien!$H$19="OK"),B463=Eingaben!$B$11),Eingaben!$B$45*Szenarien!$B$19,0),0)</f>
        <v>0</v>
      </c>
      <c r="G463" s="13" t="n">
        <f aca="false">C463-D463-E463+F463</f>
        <v>0</v>
      </c>
      <c r="H463" s="13" t="n">
        <f aca="false">IFERROR(IF(AND(B463&lt;=Eingaben!$B$11,Szenarien!$H$19="OK"),1/(1+Eingaben!$B$39+Szenarien!$G$19)^B463,0),0)</f>
        <v>0</v>
      </c>
      <c r="I463" s="13" t="n">
        <f aca="false">G463*H463</f>
        <v>0</v>
      </c>
      <c r="J463" s="13" t="n">
        <f aca="false">(D463+E463-F463)*H463</f>
        <v>0</v>
      </c>
      <c r="K463" s="13" t="n">
        <f aca="false">IF(AND(B463&lt;=Eingaben!$B$11,Szenarien!$H$19="OK"),SUM(Variantenbilanz!K2933:K3298)*H463,0)</f>
        <v>0</v>
      </c>
    </row>
    <row r="464" customFormat="false" ht="31.3" hidden="false" customHeight="false" outlineLevel="0" collapsed="false">
      <c r="A464" s="12" t="s">
        <v>336</v>
      </c>
      <c r="B464" s="15" t="n">
        <v>0</v>
      </c>
      <c r="C464" s="13" t="n">
        <f aca="false">0</f>
        <v>0</v>
      </c>
      <c r="D464" s="13" t="n">
        <f aca="false">0</f>
        <v>0</v>
      </c>
      <c r="E464" s="13" t="n">
        <f aca="false">MAX(0,Berechnung!$B$13*Szenarien!$B$20-MIN(Eingaben!$B$31,Berechnung!$B$13*Szenarien!$B$20))</f>
        <v>25000</v>
      </c>
      <c r="F464" s="13" t="n">
        <f aca="false">0</f>
        <v>0</v>
      </c>
      <c r="G464" s="13" t="n">
        <f aca="false">-E464</f>
        <v>-25000</v>
      </c>
      <c r="H464" s="13" t="n">
        <f aca="false">1</f>
        <v>1</v>
      </c>
      <c r="I464" s="13" t="n">
        <f aca="false">G464</f>
        <v>-25000</v>
      </c>
      <c r="J464" s="13" t="n">
        <f aca="false">E464</f>
        <v>25000</v>
      </c>
      <c r="K464" s="13" t="n">
        <f aca="false">0</f>
        <v>0</v>
      </c>
    </row>
    <row r="465" customFormat="false" ht="16.4" hidden="false" customHeight="false" outlineLevel="0" collapsed="false">
      <c r="A465" s="12"/>
      <c r="B465" s="15" t="n">
        <v>1</v>
      </c>
      <c r="C465" s="13" t="n">
        <f aca="false">IFERROR(IF(AND(B465&lt;=Eingaben!$B$11,Szenarien!$H$20="OK"),SUM(Variantenbilanz!K3299:K3664)*(Eingaben!$B$36*Szenarien!$C$20*(1+Eingaben!$B$40)^(B465-1)+Eingaben!$B$37*Eingaben!$B$38*(1+Eingaben!$B$46)^(B465-1)),0),0)</f>
        <v>1165.9595144</v>
      </c>
      <c r="D465" s="13" t="n">
        <f aca="false">IFERROR(IF(AND(B465&lt;=Eingaben!$B$11,Szenarien!$H$20="OK"),((Eingaben!$B$32+Eingaben!$B$35)*(1+Eingaben!$B$41)^(B465-1)+SUM(Variantenbilanz!E3299:E3664)*Eingaben!$B$33*Eingaben!$B$34*(1+Eingaben!$B$42)^(B465-1))*Szenarien!$F$20,0),0)</f>
        <v>739.2216</v>
      </c>
      <c r="E465" s="13" t="n">
        <f aca="false">IFERROR(IF(AND(AND(B465&lt;=Eingaben!$B$11,Szenarien!$H$20="OK"),B465=Eingaben!$B$43),Eingaben!$B$44*Szenarien!$B$20*(1+Eingaben!$B$41)^(B465-1),0),0)</f>
        <v>0</v>
      </c>
      <c r="F465" s="13" t="n">
        <f aca="false">IFERROR(IF(AND(AND(B465&lt;=Eingaben!$B$11,Szenarien!$H$20="OK"),B465=Eingaben!$B$11),Eingaben!$B$45*Szenarien!$B$20,0),0)</f>
        <v>0</v>
      </c>
      <c r="G465" s="13" t="n">
        <f aca="false">C465-D465-E465+F465</f>
        <v>426.7379144</v>
      </c>
      <c r="H465" s="13" t="n">
        <f aca="false">IFERROR(IF(AND(B465&lt;=Eingaben!$B$11,Szenarien!$H$20="OK"),1/(1+Eingaben!$B$39+Szenarien!$G$20)^B465,0),0)</f>
        <v>0.970873786407767</v>
      </c>
      <c r="I465" s="13" t="n">
        <f aca="false">G465*H465</f>
        <v>414.308654757282</v>
      </c>
      <c r="J465" s="13" t="n">
        <f aca="false">(D465+E465-F465)*H465</f>
        <v>717.690873786408</v>
      </c>
      <c r="K465" s="13" t="n">
        <f aca="false">IF(AND(B465&lt;=Eingaben!$B$11,Szenarien!$H$20="OK"),SUM(Variantenbilanz!K3299:K3664)*H465,0)</f>
        <v>452.799811417476</v>
      </c>
    </row>
    <row r="466" customFormat="false" ht="16.4" hidden="false" customHeight="false" outlineLevel="0" collapsed="false">
      <c r="A466" s="12"/>
      <c r="B466" s="15" t="n">
        <v>2</v>
      </c>
      <c r="C466" s="13" t="n">
        <f aca="false">IFERROR(IF(AND(B466&lt;=Eingaben!$B$11,Szenarien!$H$20="OK"),SUM(Variantenbilanz!K3299:K3664)*(Eingaben!$B$36*Szenarien!$C$20*(1+Eingaben!$B$40)^(B466-1)+Eingaben!$B$37*Eingaben!$B$38*(1+Eingaben!$B$46)^(B466-1)),0),0)</f>
        <v>1189.278704688</v>
      </c>
      <c r="D466" s="13" t="n">
        <f aca="false">IFERROR(IF(AND(B466&lt;=Eingaben!$B$11,Szenarien!$H$20="OK"),((Eingaben!$B$32+Eingaben!$B$35)*(1+Eingaben!$B$41)^(B466-1)+SUM(Variantenbilanz!E3299:E3664)*Eingaben!$B$33*Eingaben!$B$34*(1+Eingaben!$B$42)^(B466-1))*Szenarien!$F$20,0),0)</f>
        <v>754.006032</v>
      </c>
      <c r="E466" s="13" t="n">
        <f aca="false">IFERROR(IF(AND(AND(B466&lt;=Eingaben!$B$11,Szenarien!$H$20="OK"),B466=Eingaben!$B$43),Eingaben!$B$44*Szenarien!$B$20*(1+Eingaben!$B$41)^(B466-1),0),0)</f>
        <v>0</v>
      </c>
      <c r="F466" s="13" t="n">
        <f aca="false">IFERROR(IF(AND(AND(B466&lt;=Eingaben!$B$11,Szenarien!$H$20="OK"),B466=Eingaben!$B$11),Eingaben!$B$45*Szenarien!$B$20,0),0)</f>
        <v>0</v>
      </c>
      <c r="G466" s="13" t="n">
        <f aca="false">C466-D466-E466+F466</f>
        <v>435.272672688</v>
      </c>
      <c r="H466" s="13" t="n">
        <f aca="false">IFERROR(IF(AND(B466&lt;=Eingaben!$B$11,Szenarien!$H$20="OK"),1/(1+Eingaben!$B$39+Szenarien!$G$20)^B466,0),0)</f>
        <v>0.942595909133754</v>
      </c>
      <c r="I466" s="13" t="n">
        <f aca="false">G466*H466</f>
        <v>410.286240633424</v>
      </c>
      <c r="J466" s="13" t="n">
        <f aca="false">(D466+E466-F466)*H466</f>
        <v>710.723001225375</v>
      </c>
      <c r="K466" s="13" t="n">
        <f aca="false">IF(AND(B466&lt;=Eingaben!$B$11,Szenarien!$H$20="OK"),SUM(Variantenbilanz!K3299:K3664)*H466,0)</f>
        <v>439.611467395607</v>
      </c>
    </row>
    <row r="467" customFormat="false" ht="16.4" hidden="false" customHeight="false" outlineLevel="0" collapsed="false">
      <c r="A467" s="12"/>
      <c r="B467" s="15" t="n">
        <v>3</v>
      </c>
      <c r="C467" s="13" t="n">
        <f aca="false">IFERROR(IF(AND(B467&lt;=Eingaben!$B$11,Szenarien!$H$20="OK"),SUM(Variantenbilanz!K3299:K3664)*(Eingaben!$B$36*Szenarien!$C$20*(1+Eingaben!$B$40)^(B467-1)+Eingaben!$B$37*Eingaben!$B$38*(1+Eingaben!$B$46)^(B467-1)),0),0)</f>
        <v>1213.06427878176</v>
      </c>
      <c r="D467" s="13" t="n">
        <f aca="false">IFERROR(IF(AND(B467&lt;=Eingaben!$B$11,Szenarien!$H$20="OK"),((Eingaben!$B$32+Eingaben!$B$35)*(1+Eingaben!$B$41)^(B467-1)+SUM(Variantenbilanz!E3299:E3664)*Eingaben!$B$33*Eingaben!$B$34*(1+Eingaben!$B$42)^(B467-1))*Szenarien!$F$20,0),0)</f>
        <v>769.08615264</v>
      </c>
      <c r="E467" s="13" t="n">
        <f aca="false">IFERROR(IF(AND(AND(B467&lt;=Eingaben!$B$11,Szenarien!$H$20="OK"),B467=Eingaben!$B$43),Eingaben!$B$44*Szenarien!$B$20*(1+Eingaben!$B$41)^(B467-1),0),0)</f>
        <v>0</v>
      </c>
      <c r="F467" s="13" t="n">
        <f aca="false">IFERROR(IF(AND(AND(B467&lt;=Eingaben!$B$11,Szenarien!$H$20="OK"),B467=Eingaben!$B$11),Eingaben!$B$45*Szenarien!$B$20,0),0)</f>
        <v>0</v>
      </c>
      <c r="G467" s="13" t="n">
        <f aca="false">C467-D467-E467+F467</f>
        <v>443.97812614176</v>
      </c>
      <c r="H467" s="13" t="n">
        <f aca="false">IFERROR(IF(AND(B467&lt;=Eingaben!$B$11,Szenarien!$H$20="OK"),1/(1+Eingaben!$B$39+Szenarien!$G$20)^B467,0),0)</f>
        <v>0.91514165935316</v>
      </c>
      <c r="I467" s="13" t="n">
        <f aca="false">G467*H467</f>
        <v>406.302879073877</v>
      </c>
      <c r="J467" s="13" t="n">
        <f aca="false">(D467+E467-F467)*H467</f>
        <v>703.822777912507</v>
      </c>
      <c r="K467" s="13" t="n">
        <f aca="false">IF(AND(B467&lt;=Eingaben!$B$11,Szenarien!$H$20="OK"),SUM(Variantenbilanz!K3299:K3664)*H467,0)</f>
        <v>426.807249898648</v>
      </c>
    </row>
    <row r="468" customFormat="false" ht="16.4" hidden="false" customHeight="false" outlineLevel="0" collapsed="false">
      <c r="A468" s="12"/>
      <c r="B468" s="15" t="n">
        <v>4</v>
      </c>
      <c r="C468" s="13" t="n">
        <f aca="false">IFERROR(IF(AND(B468&lt;=Eingaben!$B$11,Szenarien!$H$20="OK"),SUM(Variantenbilanz!K3299:K3664)*(Eingaben!$B$36*Szenarien!$C$20*(1+Eingaben!$B$40)^(B468-1)+Eingaben!$B$37*Eingaben!$B$38*(1+Eingaben!$B$46)^(B468-1)),0),0)</f>
        <v>1237.3255643574</v>
      </c>
      <c r="D468" s="13" t="n">
        <f aca="false">IFERROR(IF(AND(B468&lt;=Eingaben!$B$11,Szenarien!$H$20="OK"),((Eingaben!$B$32+Eingaben!$B$35)*(1+Eingaben!$B$41)^(B468-1)+SUM(Variantenbilanz!E3299:E3664)*Eingaben!$B$33*Eingaben!$B$34*(1+Eingaben!$B$42)^(B468-1))*Szenarien!$F$20,0),0)</f>
        <v>784.4678756928</v>
      </c>
      <c r="E468" s="13" t="n">
        <f aca="false">IFERROR(IF(AND(AND(B468&lt;=Eingaben!$B$11,Szenarien!$H$20="OK"),B468=Eingaben!$B$43),Eingaben!$B$44*Szenarien!$B$20*(1+Eingaben!$B$41)^(B468-1),0),0)</f>
        <v>0</v>
      </c>
      <c r="F468" s="13" t="n">
        <f aca="false">IFERROR(IF(AND(AND(B468&lt;=Eingaben!$B$11,Szenarien!$H$20="OK"),B468=Eingaben!$B$11),Eingaben!$B$45*Szenarien!$B$20,0),0)</f>
        <v>0</v>
      </c>
      <c r="G468" s="13" t="n">
        <f aca="false">C468-D468-E468+F468</f>
        <v>452.857688664595</v>
      </c>
      <c r="H468" s="13" t="n">
        <f aca="false">IFERROR(IF(AND(B468&lt;=Eingaben!$B$11,Szenarien!$H$20="OK"),1/(1+Eingaben!$B$39+Szenarien!$G$20)^B468,0),0)</f>
        <v>0.888487047915689</v>
      </c>
      <c r="I468" s="13" t="n">
        <f aca="false">G468*H468</f>
        <v>402.358190927528</v>
      </c>
      <c r="J468" s="13" t="n">
        <f aca="false">(D468+E468-F468)*H468</f>
        <v>696.989547058988</v>
      </c>
      <c r="K468" s="13" t="n">
        <f aca="false">IF(AND(B468&lt;=Eingaben!$B$11,Szenarien!$H$20="OK"),SUM(Variantenbilanz!K3299:K3664)*H468,0)</f>
        <v>414.375970775386</v>
      </c>
    </row>
    <row r="469" customFormat="false" ht="16.4" hidden="false" customHeight="false" outlineLevel="0" collapsed="false">
      <c r="A469" s="12"/>
      <c r="B469" s="15" t="n">
        <v>5</v>
      </c>
      <c r="C469" s="13" t="n">
        <f aca="false">IFERROR(IF(AND(B469&lt;=Eingaben!$B$11,Szenarien!$H$20="OK"),SUM(Variantenbilanz!K3299:K3664)*(Eingaben!$B$36*Szenarien!$C$20*(1+Eingaben!$B$40)^(B469-1)+Eingaben!$B$37*Eingaben!$B$38*(1+Eingaben!$B$46)^(B469-1)),0),0)</f>
        <v>1262.07207564454</v>
      </c>
      <c r="D469" s="13" t="n">
        <f aca="false">IFERROR(IF(AND(B469&lt;=Eingaben!$B$11,Szenarien!$H$20="OK"),((Eingaben!$B$32+Eingaben!$B$35)*(1+Eingaben!$B$41)^(B469-1)+SUM(Variantenbilanz!E3299:E3664)*Eingaben!$B$33*Eingaben!$B$34*(1+Eingaben!$B$42)^(B469-1))*Szenarien!$F$20,0),0)</f>
        <v>800.157233206656</v>
      </c>
      <c r="E469" s="13" t="n">
        <f aca="false">IFERROR(IF(AND(AND(B469&lt;=Eingaben!$B$11,Szenarien!$H$20="OK"),B469=Eingaben!$B$43),Eingaben!$B$44*Szenarien!$B$20*(1+Eingaben!$B$41)^(B469-1),0),0)</f>
        <v>0</v>
      </c>
      <c r="F469" s="13" t="n">
        <f aca="false">IFERROR(IF(AND(AND(B469&lt;=Eingaben!$B$11,Szenarien!$H$20="OK"),B469=Eingaben!$B$11),Eingaben!$B$45*Szenarien!$B$20,0),0)</f>
        <v>0</v>
      </c>
      <c r="G469" s="13" t="n">
        <f aca="false">C469-D469-E469+F469</f>
        <v>461.914842437887</v>
      </c>
      <c r="H469" s="13" t="n">
        <f aca="false">IFERROR(IF(AND(B469&lt;=Eingaben!$B$11,Szenarien!$H$20="OK"),1/(1+Eingaben!$B$39+Szenarien!$G$20)^B469,0),0)</f>
        <v>0.862608784384164</v>
      </c>
      <c r="I469" s="13" t="n">
        <f aca="false">G469*H469</f>
        <v>398.451800724348</v>
      </c>
      <c r="J469" s="13" t="n">
        <f aca="false">(D469+E469-F469)*H469</f>
        <v>690.222658252589</v>
      </c>
      <c r="K469" s="13" t="n">
        <f aca="false">IF(AND(B469&lt;=Eingaben!$B$11,Szenarien!$H$20="OK"),SUM(Variantenbilanz!K3299:K3664)*H469,0)</f>
        <v>402.306767743094</v>
      </c>
    </row>
    <row r="470" customFormat="false" ht="16.4" hidden="false" customHeight="false" outlineLevel="0" collapsed="false">
      <c r="A470" s="12"/>
      <c r="B470" s="15" t="n">
        <v>6</v>
      </c>
      <c r="C470" s="13" t="n">
        <f aca="false">IFERROR(IF(AND(B470&lt;=Eingaben!$B$11,Szenarien!$H$20="OK"),SUM(Variantenbilanz!K3299:K3664)*(Eingaben!$B$36*Szenarien!$C$20*(1+Eingaben!$B$40)^(B470-1)+Eingaben!$B$37*Eingaben!$B$38*(1+Eingaben!$B$46)^(B470-1)),0),0)</f>
        <v>1287.31351715743</v>
      </c>
      <c r="D470" s="13" t="n">
        <f aca="false">IFERROR(IF(AND(B470&lt;=Eingaben!$B$11,Szenarien!$H$20="OK"),((Eingaben!$B$32+Eingaben!$B$35)*(1+Eingaben!$B$41)^(B470-1)+SUM(Variantenbilanz!E3299:E3664)*Eingaben!$B$33*Eingaben!$B$34*(1+Eingaben!$B$42)^(B470-1))*Szenarien!$F$20,0),0)</f>
        <v>816.160377870789</v>
      </c>
      <c r="E470" s="13" t="n">
        <f aca="false">IFERROR(IF(AND(AND(B470&lt;=Eingaben!$B$11,Szenarien!$H$20="OK"),B470=Eingaben!$B$43),Eingaben!$B$44*Szenarien!$B$20*(1+Eingaben!$B$41)^(B470-1),0),0)</f>
        <v>0</v>
      </c>
      <c r="F470" s="13" t="n">
        <f aca="false">IFERROR(IF(AND(AND(B470&lt;=Eingaben!$B$11,Szenarien!$H$20="OK"),B470=Eingaben!$B$11),Eingaben!$B$45*Szenarien!$B$20,0),0)</f>
        <v>0</v>
      </c>
      <c r="G470" s="13" t="n">
        <f aca="false">C470-D470-E470+F470</f>
        <v>471.153139286645</v>
      </c>
      <c r="H470" s="13" t="n">
        <f aca="false">IFERROR(IF(AND(B470&lt;=Eingaben!$B$11,Szenarien!$H$20="OK"),1/(1+Eingaben!$B$39+Szenarien!$G$20)^B470,0),0)</f>
        <v>0.837484256683654</v>
      </c>
      <c r="I470" s="13" t="n">
        <f aca="false">G470*H470</f>
        <v>394.583336639646</v>
      </c>
      <c r="J470" s="13" t="n">
        <f aca="false">(D470+E470-F470)*H470</f>
        <v>683.521467395768</v>
      </c>
      <c r="K470" s="13" t="n">
        <f aca="false">IF(AND(B470&lt;=Eingaben!$B$11,Szenarien!$H$20="OK"),SUM(Variantenbilanz!K3299:K3664)*H470,0)</f>
        <v>390.589094896207</v>
      </c>
    </row>
    <row r="471" customFormat="false" ht="16.4" hidden="false" customHeight="false" outlineLevel="0" collapsed="false">
      <c r="A471" s="12"/>
      <c r="B471" s="15" t="n">
        <v>7</v>
      </c>
      <c r="C471" s="13" t="n">
        <f aca="false">IFERROR(IF(AND(B471&lt;=Eingaben!$B$11,Szenarien!$H$20="OK"),SUM(Variantenbilanz!K3299:K3664)*(Eingaben!$B$36*Szenarien!$C$20*(1+Eingaben!$B$40)^(B471-1)+Eingaben!$B$37*Eingaben!$B$38*(1+Eingaben!$B$46)^(B471-1)),0),0)</f>
        <v>1313.05978750058</v>
      </c>
      <c r="D471" s="13" t="n">
        <f aca="false">IFERROR(IF(AND(B471&lt;=Eingaben!$B$11,Szenarien!$H$20="OK"),((Eingaben!$B$32+Eingaben!$B$35)*(1+Eingaben!$B$41)^(B471-1)+SUM(Variantenbilanz!E3299:E3664)*Eingaben!$B$33*Eingaben!$B$34*(1+Eingaben!$B$42)^(B471-1))*Szenarien!$F$20,0),0)</f>
        <v>832.483585428205</v>
      </c>
      <c r="E471" s="13" t="n">
        <f aca="false">IFERROR(IF(AND(AND(B471&lt;=Eingaben!$B$11,Szenarien!$H$20="OK"),B471=Eingaben!$B$43),Eingaben!$B$44*Szenarien!$B$20*(1+Eingaben!$B$41)^(B471-1),0),0)</f>
        <v>0</v>
      </c>
      <c r="F471" s="13" t="n">
        <f aca="false">IFERROR(IF(AND(AND(B471&lt;=Eingaben!$B$11,Szenarien!$H$20="OK"),B471=Eingaben!$B$11),Eingaben!$B$45*Szenarien!$B$20,0),0)</f>
        <v>0</v>
      </c>
      <c r="G471" s="13" t="n">
        <f aca="false">C471-D471-E471+F471</f>
        <v>480.576202072378</v>
      </c>
      <c r="H471" s="13" t="n">
        <f aca="false">IFERROR(IF(AND(B471&lt;=Eingaben!$B$11,Szenarien!$H$20="OK"),1/(1+Eingaben!$B$39+Szenarien!$G$20)^B471,0),0)</f>
        <v>0.813091511343354</v>
      </c>
      <c r="I471" s="13" t="n">
        <f aca="false">G471*H471</f>
        <v>390.752430458678</v>
      </c>
      <c r="J471" s="13" t="n">
        <f aca="false">(D471+E471-F471)*H471</f>
        <v>676.885336644353</v>
      </c>
      <c r="K471" s="13" t="n">
        <f aca="false">IF(AND(B471&lt;=Eingaben!$B$11,Szenarien!$H$20="OK"),SUM(Variantenbilanz!K3299:K3664)*H471,0)</f>
        <v>379.212713491463</v>
      </c>
    </row>
    <row r="472" customFormat="false" ht="16.4" hidden="false" customHeight="false" outlineLevel="0" collapsed="false">
      <c r="A472" s="12"/>
      <c r="B472" s="15" t="n">
        <v>8</v>
      </c>
      <c r="C472" s="13" t="n">
        <f aca="false">IFERROR(IF(AND(B472&lt;=Eingaben!$B$11,Szenarien!$H$20="OK"),SUM(Variantenbilanz!K3299:K3664)*(Eingaben!$B$36*Szenarien!$C$20*(1+Eingaben!$B$40)^(B472-1)+Eingaben!$B$37*Eingaben!$B$38*(1+Eingaben!$B$46)^(B472-1)),0),0)</f>
        <v>1339.32098325059</v>
      </c>
      <c r="D472" s="13" t="n">
        <f aca="false">IFERROR(IF(AND(B472&lt;=Eingaben!$B$11,Szenarien!$H$20="OK"),((Eingaben!$B$32+Eingaben!$B$35)*(1+Eingaben!$B$41)^(B472-1)+SUM(Variantenbilanz!E3299:E3664)*Eingaben!$B$33*Eingaben!$B$34*(1+Eingaben!$B$42)^(B472-1))*Szenarien!$F$20,0),0)</f>
        <v>849.133257136769</v>
      </c>
      <c r="E472" s="13" t="n">
        <f aca="false">IFERROR(IF(AND(AND(B472&lt;=Eingaben!$B$11,Szenarien!$H$20="OK"),B472=Eingaben!$B$43),Eingaben!$B$44*Szenarien!$B$20*(1+Eingaben!$B$41)^(B472-1),0),0)</f>
        <v>0</v>
      </c>
      <c r="F472" s="13" t="n">
        <f aca="false">IFERROR(IF(AND(AND(B472&lt;=Eingaben!$B$11,Szenarien!$H$20="OK"),B472=Eingaben!$B$11),Eingaben!$B$45*Szenarien!$B$20,0),0)</f>
        <v>0</v>
      </c>
      <c r="G472" s="13" t="n">
        <f aca="false">C472-D472-E472+F472</f>
        <v>490.187726113825</v>
      </c>
      <c r="H472" s="13" t="n">
        <f aca="false">IFERROR(IF(AND(B472&lt;=Eingaben!$B$11,Szenarien!$H$20="OK"),1/(1+Eingaben!$B$39+Szenarien!$G$20)^B472,0),0)</f>
        <v>0.789409234313936</v>
      </c>
      <c r="I472" s="13" t="n">
        <f aca="false">G472*H472</f>
        <v>386.958717541604</v>
      </c>
      <c r="J472" s="13" t="n">
        <f aca="false">(D472+E472-F472)*H472</f>
        <v>670.313634346835</v>
      </c>
      <c r="K472" s="13" t="n">
        <f aca="false">IF(AND(B472&lt;=Eingaben!$B$11,Szenarien!$H$20="OK"),SUM(Variantenbilanz!K3299:K3664)*H472,0)</f>
        <v>368.167683001421</v>
      </c>
    </row>
    <row r="473" customFormat="false" ht="16.4" hidden="false" customHeight="false" outlineLevel="0" collapsed="false">
      <c r="A473" s="12"/>
      <c r="B473" s="15" t="n">
        <v>9</v>
      </c>
      <c r="C473" s="13" t="n">
        <f aca="false">IFERROR(IF(AND(B473&lt;=Eingaben!$B$11,Szenarien!$H$20="OK"),SUM(Variantenbilanz!K3299:K3664)*(Eingaben!$B$36*Szenarien!$C$20*(1+Eingaben!$B$40)^(B473-1)+Eingaben!$B$37*Eingaben!$B$38*(1+Eingaben!$B$46)^(B473-1)),0),0)</f>
        <v>1366.10740291561</v>
      </c>
      <c r="D473" s="13" t="n">
        <f aca="false">IFERROR(IF(AND(B473&lt;=Eingaben!$B$11,Szenarien!$H$20="OK"),((Eingaben!$B$32+Eingaben!$B$35)*(1+Eingaben!$B$41)^(B473-1)+SUM(Variantenbilanz!E3299:E3664)*Eingaben!$B$33*Eingaben!$B$34*(1+Eingaben!$B$42)^(B473-1))*Szenarien!$F$20,0),0)</f>
        <v>866.115922279505</v>
      </c>
      <c r="E473" s="13" t="n">
        <f aca="false">IFERROR(IF(AND(AND(B473&lt;=Eingaben!$B$11,Szenarien!$H$20="OK"),B473=Eingaben!$B$43),Eingaben!$B$44*Szenarien!$B$20*(1+Eingaben!$B$41)^(B473-1),0),0)</f>
        <v>0</v>
      </c>
      <c r="F473" s="13" t="n">
        <f aca="false">IFERROR(IF(AND(AND(B473&lt;=Eingaben!$B$11,Szenarien!$H$20="OK"),B473=Eingaben!$B$11),Eingaben!$B$45*Szenarien!$B$20,0),0)</f>
        <v>0</v>
      </c>
      <c r="G473" s="13" t="n">
        <f aca="false">C473-D473-E473+F473</f>
        <v>499.991480636102</v>
      </c>
      <c r="H473" s="13" t="n">
        <f aca="false">IFERROR(IF(AND(B473&lt;=Eingaben!$B$11,Szenarien!$H$20="OK"),1/(1+Eingaben!$B$39+Szenarien!$G$20)^B473,0),0)</f>
        <v>0.766416732343627</v>
      </c>
      <c r="I473" s="13" t="n">
        <f aca="false">G473*H473</f>
        <v>383.201836788773</v>
      </c>
      <c r="J473" s="13" t="n">
        <f aca="false">(D473+E473-F473)*H473</f>
        <v>663.805734984244</v>
      </c>
      <c r="K473" s="13" t="n">
        <f aca="false">IF(AND(B473&lt;=Eingaben!$B$11,Szenarien!$H$20="OK"),SUM(Variantenbilanz!K3299:K3664)*H473,0)</f>
        <v>357.444352428564</v>
      </c>
    </row>
    <row r="474" customFormat="false" ht="16.4" hidden="false" customHeight="false" outlineLevel="0" collapsed="false">
      <c r="A474" s="12"/>
      <c r="B474" s="15" t="n">
        <v>10</v>
      </c>
      <c r="C474" s="13" t="n">
        <f aca="false">IFERROR(IF(AND(B474&lt;=Eingaben!$B$11,Szenarien!$H$20="OK"),SUM(Variantenbilanz!K3299:K3664)*(Eingaben!$B$36*Szenarien!$C$20*(1+Eingaben!$B$40)^(B474-1)+Eingaben!$B$37*Eingaben!$B$38*(1+Eingaben!$B$46)^(B474-1)),0),0)</f>
        <v>1393.42955097392</v>
      </c>
      <c r="D474" s="13" t="n">
        <f aca="false">IFERROR(IF(AND(B474&lt;=Eingaben!$B$11,Szenarien!$H$20="OK"),((Eingaben!$B$32+Eingaben!$B$35)*(1+Eingaben!$B$41)^(B474-1)+SUM(Variantenbilanz!E3299:E3664)*Eingaben!$B$33*Eingaben!$B$34*(1+Eingaben!$B$42)^(B474-1))*Szenarien!$F$20,0),0)</f>
        <v>883.438240725095</v>
      </c>
      <c r="E474" s="13" t="n">
        <f aca="false">IFERROR(IF(AND(AND(B474&lt;=Eingaben!$B$11,Szenarien!$H$20="OK"),B474=Eingaben!$B$43),Eingaben!$B$44*Szenarien!$B$20*(1+Eingaben!$B$41)^(B474-1),0),0)</f>
        <v>4780.37027448924</v>
      </c>
      <c r="F474" s="13" t="n">
        <f aca="false">IFERROR(IF(AND(AND(B474&lt;=Eingaben!$B$11,Szenarien!$H$20="OK"),B474=Eingaben!$B$11),Eingaben!$B$45*Szenarien!$B$20,0),0)</f>
        <v>0</v>
      </c>
      <c r="G474" s="13" t="n">
        <f aca="false">C474-D474-E474+F474</f>
        <v>-4270.37896424042</v>
      </c>
      <c r="H474" s="13" t="n">
        <f aca="false">IFERROR(IF(AND(B474&lt;=Eingaben!$B$11,Szenarien!$H$20="OK"),1/(1+Eingaben!$B$39+Szenarien!$G$20)^B474,0),0)</f>
        <v>0.744093914896725</v>
      </c>
      <c r="I474" s="13" t="n">
        <f aca="false">G474*H474</f>
        <v>-3177.56300159428</v>
      </c>
      <c r="J474" s="13" t="n">
        <f aca="false">(D474+E474-F474)*H474</f>
        <v>4214.40545131125</v>
      </c>
      <c r="K474" s="13" t="n">
        <f aca="false">IF(AND(B474&lt;=Eingaben!$B$11,Szenarien!$H$20="OK"),SUM(Variantenbilanz!K3299:K3664)*H474,0)</f>
        <v>347.033351872392</v>
      </c>
    </row>
    <row r="475" customFormat="false" ht="16.4" hidden="false" customHeight="false" outlineLevel="0" collapsed="false">
      <c r="A475" s="12"/>
      <c r="B475" s="15" t="n">
        <v>11</v>
      </c>
      <c r="C475" s="13" t="n">
        <f aca="false">IFERROR(IF(AND(B475&lt;=Eingaben!$B$11,Szenarien!$H$20="OK"),SUM(Variantenbilanz!K3299:K3664)*(Eingaben!$B$36*Szenarien!$C$20*(1+Eingaben!$B$40)^(B475-1)+Eingaben!$B$37*Eingaben!$B$38*(1+Eingaben!$B$46)^(B475-1)),0),0)</f>
        <v>1421.2981419934</v>
      </c>
      <c r="D475" s="13" t="n">
        <f aca="false">IFERROR(IF(AND(B475&lt;=Eingaben!$B$11,Szenarien!$H$20="OK"),((Eingaben!$B$32+Eingaben!$B$35)*(1+Eingaben!$B$41)^(B475-1)+SUM(Variantenbilanz!E3299:E3664)*Eingaben!$B$33*Eingaben!$B$34*(1+Eingaben!$B$42)^(B475-1))*Szenarien!$F$20,0),0)</f>
        <v>901.107005539597</v>
      </c>
      <c r="E475" s="13" t="n">
        <f aca="false">IFERROR(IF(AND(AND(B475&lt;=Eingaben!$B$11,Szenarien!$H$20="OK"),B475=Eingaben!$B$43),Eingaben!$B$44*Szenarien!$B$20*(1+Eingaben!$B$41)^(B475-1),0),0)</f>
        <v>0</v>
      </c>
      <c r="F475" s="13" t="n">
        <f aca="false">IFERROR(IF(AND(AND(B475&lt;=Eingaben!$B$11,Szenarien!$H$20="OK"),B475=Eingaben!$B$11),Eingaben!$B$45*Szenarien!$B$20,0),0)</f>
        <v>0</v>
      </c>
      <c r="G475" s="13" t="n">
        <f aca="false">C475-D475-E475+F475</f>
        <v>520.1911364538</v>
      </c>
      <c r="H475" s="13" t="n">
        <f aca="false">IFERROR(IF(AND(B475&lt;=Eingaben!$B$11,Szenarien!$H$20="OK"),1/(1+Eingaben!$B$39+Szenarien!$G$20)^B475,0),0)</f>
        <v>0.722421276598762</v>
      </c>
      <c r="I475" s="13" t="n">
        <f aca="false">G475*H475</f>
        <v>375.797144872315</v>
      </c>
      <c r="J475" s="13" t="n">
        <f aca="false">(D475+E475-F475)*H475</f>
        <v>650.978873294003</v>
      </c>
      <c r="K475" s="13" t="n">
        <f aca="false">IF(AND(B475&lt;=Eingaben!$B$11,Szenarien!$H$20="OK"),SUM(Variantenbilanz!K3299:K3664)*H475,0)</f>
        <v>336.925584342128</v>
      </c>
    </row>
    <row r="476" customFormat="false" ht="16.4" hidden="false" customHeight="false" outlineLevel="0" collapsed="false">
      <c r="A476" s="12"/>
      <c r="B476" s="15" t="n">
        <v>12</v>
      </c>
      <c r="C476" s="13" t="n">
        <f aca="false">IFERROR(IF(AND(B476&lt;=Eingaben!$B$11,Szenarien!$H$20="OK"),SUM(Variantenbilanz!K3299:K3664)*(Eingaben!$B$36*Szenarien!$C$20*(1+Eingaben!$B$40)^(B476-1)+Eingaben!$B$37*Eingaben!$B$38*(1+Eingaben!$B$46)^(B476-1)),0),0)</f>
        <v>1449.72410483326</v>
      </c>
      <c r="D476" s="13" t="n">
        <f aca="false">IFERROR(IF(AND(B476&lt;=Eingaben!$B$11,Szenarien!$H$20="OK"),((Eingaben!$B$32+Eingaben!$B$35)*(1+Eingaben!$B$41)^(B476-1)+SUM(Variantenbilanz!E3299:E3664)*Eingaben!$B$33*Eingaben!$B$34*(1+Eingaben!$B$42)^(B476-1))*Szenarien!$F$20,0),0)</f>
        <v>919.129145650388</v>
      </c>
      <c r="E476" s="13" t="n">
        <f aca="false">IFERROR(IF(AND(AND(B476&lt;=Eingaben!$B$11,Szenarien!$H$20="OK"),B476=Eingaben!$B$43),Eingaben!$B$44*Szenarien!$B$20*(1+Eingaben!$B$41)^(B476-1),0),0)</f>
        <v>0</v>
      </c>
      <c r="F476" s="13" t="n">
        <f aca="false">IFERROR(IF(AND(AND(B476&lt;=Eingaben!$B$11,Szenarien!$H$20="OK"),B476=Eingaben!$B$11),Eingaben!$B$45*Szenarien!$B$20,0),0)</f>
        <v>0</v>
      </c>
      <c r="G476" s="13" t="n">
        <f aca="false">C476-D476-E476+F476</f>
        <v>530.594959182876</v>
      </c>
      <c r="H476" s="13" t="n">
        <f aca="false">IFERROR(IF(AND(B476&lt;=Eingaben!$B$11,Szenarien!$H$20="OK"),1/(1+Eingaben!$B$39+Szenarien!$G$20)^B476,0),0)</f>
        <v>0.701379880192973</v>
      </c>
      <c r="I476" s="13" t="n">
        <f aca="false">G476*H476</f>
        <v>372.148628902681</v>
      </c>
      <c r="J476" s="13" t="n">
        <f aca="false">(D476+E476-F476)*H476</f>
        <v>644.658690058139</v>
      </c>
      <c r="K476" s="13" t="n">
        <f aca="false">IF(AND(B476&lt;=Eingaben!$B$11,Szenarien!$H$20="OK"),SUM(Variantenbilanz!K3299:K3664)*H476,0)</f>
        <v>327.112217807892</v>
      </c>
    </row>
    <row r="477" customFormat="false" ht="16.4" hidden="false" customHeight="false" outlineLevel="0" collapsed="false">
      <c r="A477" s="12"/>
      <c r="B477" s="15" t="n">
        <v>13</v>
      </c>
      <c r="C477" s="13" t="n">
        <f aca="false">IFERROR(IF(AND(B477&lt;=Eingaben!$B$11,Szenarien!$H$20="OK"),SUM(Variantenbilanz!K3299:K3664)*(Eingaben!$B$36*Szenarien!$C$20*(1+Eingaben!$B$40)^(B477-1)+Eingaben!$B$37*Eingaben!$B$38*(1+Eingaben!$B$46)^(B477-1)),0),0)</f>
        <v>1478.71858692993</v>
      </c>
      <c r="D477" s="13" t="n">
        <f aca="false">IFERROR(IF(AND(B477&lt;=Eingaben!$B$11,Szenarien!$H$20="OK"),((Eingaben!$B$32+Eingaben!$B$35)*(1+Eingaben!$B$41)^(B477-1)+SUM(Variantenbilanz!E3299:E3664)*Eingaben!$B$33*Eingaben!$B$34*(1+Eingaben!$B$42)^(B477-1))*Szenarien!$F$20,0),0)</f>
        <v>937.511728563396</v>
      </c>
      <c r="E477" s="13" t="n">
        <f aca="false">IFERROR(IF(AND(AND(B477&lt;=Eingaben!$B$11,Szenarien!$H$20="OK"),B477=Eingaben!$B$43),Eingaben!$B$44*Szenarien!$B$20*(1+Eingaben!$B$41)^(B477-1),0),0)</f>
        <v>0</v>
      </c>
      <c r="F477" s="13" t="n">
        <f aca="false">IFERROR(IF(AND(AND(B477&lt;=Eingaben!$B$11,Szenarien!$H$20="OK"),B477=Eingaben!$B$11),Eingaben!$B$45*Szenarien!$B$20,0),0)</f>
        <v>0</v>
      </c>
      <c r="G477" s="13" t="n">
        <f aca="false">C477-D477-E477+F477</f>
        <v>541.206858366534</v>
      </c>
      <c r="H477" s="13" t="n">
        <f aca="false">IFERROR(IF(AND(B477&lt;=Eingaben!$B$11,Szenarien!$H$20="OK"),1/(1+Eingaben!$B$39+Szenarien!$G$20)^B477,0),0)</f>
        <v>0.680951339993178</v>
      </c>
      <c r="I477" s="13" t="n">
        <f aca="false">G477*H477</f>
        <v>368.535535418189</v>
      </c>
      <c r="J477" s="13" t="n">
        <f aca="false">(D477+E477-F477)*H477</f>
        <v>638.399867824565</v>
      </c>
      <c r="K477" s="13" t="n">
        <f aca="false">IF(AND(B477&lt;=Eingaben!$B$11,Szenarien!$H$20="OK"),SUM(Variantenbilanz!K3299:K3664)*H477,0)</f>
        <v>317.58467748339</v>
      </c>
    </row>
    <row r="478" customFormat="false" ht="16.4" hidden="false" customHeight="false" outlineLevel="0" collapsed="false">
      <c r="A478" s="12"/>
      <c r="B478" s="15" t="n">
        <v>14</v>
      </c>
      <c r="C478" s="13" t="n">
        <f aca="false">IFERROR(IF(AND(B478&lt;=Eingaben!$B$11,Szenarien!$H$20="OK"),SUM(Variantenbilanz!K3299:K3664)*(Eingaben!$B$36*Szenarien!$C$20*(1+Eingaben!$B$40)^(B478-1)+Eingaben!$B$37*Eingaben!$B$38*(1+Eingaben!$B$46)^(B478-1)),0),0)</f>
        <v>1508.29295866853</v>
      </c>
      <c r="D478" s="13" t="n">
        <f aca="false">IFERROR(IF(AND(B478&lt;=Eingaben!$B$11,Szenarien!$H$20="OK"),((Eingaben!$B$32+Eingaben!$B$35)*(1+Eingaben!$B$41)^(B478-1)+SUM(Variantenbilanz!E3299:E3664)*Eingaben!$B$33*Eingaben!$B$34*(1+Eingaben!$B$42)^(B478-1))*Szenarien!$F$20,0),0)</f>
        <v>956.261963134664</v>
      </c>
      <c r="E478" s="13" t="n">
        <f aca="false">IFERROR(IF(AND(AND(B478&lt;=Eingaben!$B$11,Szenarien!$H$20="OK"),B478=Eingaben!$B$43),Eingaben!$B$44*Szenarien!$B$20*(1+Eingaben!$B$41)^(B478-1),0),0)</f>
        <v>0</v>
      </c>
      <c r="F478" s="13" t="n">
        <f aca="false">IFERROR(IF(AND(AND(B478&lt;=Eingaben!$B$11,Szenarien!$H$20="OK"),B478=Eingaben!$B$11),Eingaben!$B$45*Szenarien!$B$20,0),0)</f>
        <v>0</v>
      </c>
      <c r="G478" s="13" t="n">
        <f aca="false">C478-D478-E478+F478</f>
        <v>552.030995533865</v>
      </c>
      <c r="H478" s="13" t="n">
        <f aca="false">IFERROR(IF(AND(B478&lt;=Eingaben!$B$11,Szenarien!$H$20="OK"),1/(1+Eingaben!$B$39+Szenarien!$G$20)^B478,0),0)</f>
        <v>0.661117805818619</v>
      </c>
      <c r="I478" s="13" t="n">
        <f aca="false">G478*H478</f>
        <v>364.957520511216</v>
      </c>
      <c r="J478" s="13" t="n">
        <f aca="false">(D478+E478-F478)*H478</f>
        <v>632.201810855394</v>
      </c>
      <c r="K478" s="13" t="n">
        <f aca="false">IF(AND(B478&lt;=Eingaben!$B$11,Szenarien!$H$20="OK"),SUM(Variantenbilanz!K3299:K3664)*H478,0)</f>
        <v>308.334638333388</v>
      </c>
    </row>
    <row r="479" customFormat="false" ht="16.4" hidden="false" customHeight="false" outlineLevel="0" collapsed="false">
      <c r="A479" s="12"/>
      <c r="B479" s="15" t="n">
        <v>15</v>
      </c>
      <c r="C479" s="13" t="n">
        <f aca="false">IFERROR(IF(AND(B479&lt;=Eingaben!$B$11,Szenarien!$H$20="OK"),SUM(Variantenbilanz!K3299:K3664)*(Eingaben!$B$36*Szenarien!$C$20*(1+Eingaben!$B$40)^(B479-1)+Eingaben!$B$37*Eingaben!$B$38*(1+Eingaben!$B$46)^(B479-1)),0),0)</f>
        <v>1538.4588178419</v>
      </c>
      <c r="D479" s="13" t="n">
        <f aca="false">IFERROR(IF(AND(B479&lt;=Eingaben!$B$11,Szenarien!$H$20="OK"),((Eingaben!$B$32+Eingaben!$B$35)*(1+Eingaben!$B$41)^(B479-1)+SUM(Variantenbilanz!E3299:E3664)*Eingaben!$B$33*Eingaben!$B$34*(1+Eingaben!$B$42)^(B479-1))*Szenarien!$F$20,0),0)</f>
        <v>975.387202397357</v>
      </c>
      <c r="E479" s="13" t="n">
        <f aca="false">IFERROR(IF(AND(AND(B479&lt;=Eingaben!$B$11,Szenarien!$H$20="OK"),B479=Eingaben!$B$43),Eingaben!$B$44*Szenarien!$B$20*(1+Eingaben!$B$41)^(B479-1),0),0)</f>
        <v>0</v>
      </c>
      <c r="F479" s="13" t="n">
        <f aca="false">IFERROR(IF(AND(AND(B479&lt;=Eingaben!$B$11,Szenarien!$H$20="OK"),B479=Eingaben!$B$11),Eingaben!$B$45*Szenarien!$B$20,0),0)</f>
        <v>0</v>
      </c>
      <c r="G479" s="13" t="n">
        <f aca="false">C479-D479-E479+F479</f>
        <v>563.071615444542</v>
      </c>
      <c r="H479" s="13" t="n">
        <f aca="false">IFERROR(IF(AND(B479&lt;=Eingaben!$B$11,Szenarien!$H$20="OK"),1/(1+Eingaben!$B$39+Szenarien!$G$20)^B479,0),0)</f>
        <v>0.641861947396717</v>
      </c>
      <c r="I479" s="13" t="n">
        <f aca="false">G479*H479</f>
        <v>361.414243613049</v>
      </c>
      <c r="J479" s="13" t="n">
        <f aca="false">(D479+E479-F479)*H479</f>
        <v>626.063929196604</v>
      </c>
      <c r="K479" s="13" t="n">
        <f aca="false">IF(AND(B479&lt;=Eingaben!$B$11,Szenarien!$H$20="OK"),SUM(Variantenbilanz!K3299:K3664)*H479,0)</f>
        <v>299.354017799406</v>
      </c>
    </row>
    <row r="480" customFormat="false" ht="16.4" hidden="false" customHeight="false" outlineLevel="0" collapsed="false">
      <c r="A480" s="12"/>
      <c r="B480" s="15" t="n">
        <v>16</v>
      </c>
      <c r="C480" s="13" t="n">
        <f aca="false">IFERROR(IF(AND(B480&lt;=Eingaben!$B$11,Szenarien!$H$20="OK"),SUM(Variantenbilanz!K3299:K3664)*(Eingaben!$B$36*Szenarien!$C$20*(1+Eingaben!$B$40)^(B480-1)+Eingaben!$B$37*Eingaben!$B$38*(1+Eingaben!$B$46)^(B480-1)),0),0)</f>
        <v>1569.22799419874</v>
      </c>
      <c r="D480" s="13" t="n">
        <f aca="false">IFERROR(IF(AND(B480&lt;=Eingaben!$B$11,Szenarien!$H$20="OK"),((Eingaben!$B$32+Eingaben!$B$35)*(1+Eingaben!$B$41)^(B480-1)+SUM(Variantenbilanz!E3299:E3664)*Eingaben!$B$33*Eingaben!$B$34*(1+Eingaben!$B$42)^(B480-1))*Szenarien!$F$20,0),0)</f>
        <v>994.894946445305</v>
      </c>
      <c r="E480" s="13" t="n">
        <f aca="false">IFERROR(IF(AND(AND(B480&lt;=Eingaben!$B$11,Szenarien!$H$20="OK"),B480=Eingaben!$B$43),Eingaben!$B$44*Szenarien!$B$20*(1+Eingaben!$B$41)^(B480-1),0),0)</f>
        <v>0</v>
      </c>
      <c r="F480" s="13" t="n">
        <f aca="false">IFERROR(IF(AND(AND(B480&lt;=Eingaben!$B$11,Szenarien!$H$20="OK"),B480=Eingaben!$B$11),Eingaben!$B$45*Szenarien!$B$20,0),0)</f>
        <v>0</v>
      </c>
      <c r="G480" s="13" t="n">
        <f aca="false">C480-D480-E480+F480</f>
        <v>574.333047753433</v>
      </c>
      <c r="H480" s="13" t="n">
        <f aca="false">IFERROR(IF(AND(B480&lt;=Eingaben!$B$11,Szenarien!$H$20="OK"),1/(1+Eingaben!$B$39+Szenarien!$G$20)^B480,0),0)</f>
        <v>0.623166939220114</v>
      </c>
      <c r="I480" s="13" t="n">
        <f aca="false">G480*H480</f>
        <v>357.905367461466</v>
      </c>
      <c r="J480" s="13" t="n">
        <f aca="false">(D480+E480-F480)*H480</f>
        <v>619.98563862188</v>
      </c>
      <c r="K480" s="13" t="n">
        <f aca="false">IF(AND(B480&lt;=Eingaben!$B$11,Szenarien!$H$20="OK"),SUM(Variantenbilanz!K3299:K3664)*H480,0)</f>
        <v>290.634968737287</v>
      </c>
    </row>
    <row r="481" customFormat="false" ht="16.4" hidden="false" customHeight="false" outlineLevel="0" collapsed="false">
      <c r="A481" s="12"/>
      <c r="B481" s="15" t="n">
        <v>17</v>
      </c>
      <c r="C481" s="13" t="n">
        <f aca="false">IFERROR(IF(AND(B481&lt;=Eingaben!$B$11,Szenarien!$H$20="OK"),SUM(Variantenbilanz!K3299:K3664)*(Eingaben!$B$36*Szenarien!$C$20*(1+Eingaben!$B$40)^(B481-1)+Eingaben!$B$37*Eingaben!$B$38*(1+Eingaben!$B$46)^(B481-1)),0),0)</f>
        <v>1600.61255408271</v>
      </c>
      <c r="D481" s="13" t="n">
        <f aca="false">IFERROR(IF(AND(B481&lt;=Eingaben!$B$11,Szenarien!$H$20="OK"),((Eingaben!$B$32+Eingaben!$B$35)*(1+Eingaben!$B$41)^(B481-1)+SUM(Variantenbilanz!E3299:E3664)*Eingaben!$B$33*Eingaben!$B$34*(1+Eingaben!$B$42)^(B481-1))*Szenarien!$F$20,0),0)</f>
        <v>1014.79284537421</v>
      </c>
      <c r="E481" s="13" t="n">
        <f aca="false">IFERROR(IF(AND(AND(B481&lt;=Eingaben!$B$11,Szenarien!$H$20="OK"),B481=Eingaben!$B$43),Eingaben!$B$44*Szenarien!$B$20*(1+Eingaben!$B$41)^(B481-1),0),0)</f>
        <v>0</v>
      </c>
      <c r="F481" s="13" t="n">
        <f aca="false">IFERROR(IF(AND(AND(B481&lt;=Eingaben!$B$11,Szenarien!$H$20="OK"),B481=Eingaben!$B$11),Eingaben!$B$45*Szenarien!$B$20,0),0)</f>
        <v>0</v>
      </c>
      <c r="G481" s="13" t="n">
        <f aca="false">C481-D481-E481+F481</f>
        <v>585.819708708501</v>
      </c>
      <c r="H481" s="13" t="n">
        <f aca="false">IFERROR(IF(AND(B481&lt;=Eingaben!$B$11,Szenarien!$H$20="OK"),1/(1+Eingaben!$B$39+Szenarien!$G$20)^B481,0),0)</f>
        <v>0.605016445844771</v>
      </c>
      <c r="I481" s="13" t="n">
        <f aca="false">G481*H481</f>
        <v>354.430558068636</v>
      </c>
      <c r="J481" s="13" t="n">
        <f aca="false">(D481+E481-F481)*H481</f>
        <v>613.966360577007</v>
      </c>
      <c r="K481" s="13" t="n">
        <f aca="false">IF(AND(B481&lt;=Eingaben!$B$11,Szenarien!$H$20="OK"),SUM(Variantenbilanz!K3299:K3664)*H481,0)</f>
        <v>282.169872560473</v>
      </c>
    </row>
    <row r="482" customFormat="false" ht="16.4" hidden="false" customHeight="false" outlineLevel="0" collapsed="false">
      <c r="A482" s="12"/>
      <c r="B482" s="15" t="n">
        <v>18</v>
      </c>
      <c r="C482" s="13" t="n">
        <f aca="false">IFERROR(IF(AND(B482&lt;=Eingaben!$B$11,Szenarien!$H$20="OK"),SUM(Variantenbilanz!K3299:K3664)*(Eingaben!$B$36*Szenarien!$C$20*(1+Eingaben!$B$40)^(B482-1)+Eingaben!$B$37*Eingaben!$B$38*(1+Eingaben!$B$46)^(B482-1)),0),0)</f>
        <v>1632.62480516437</v>
      </c>
      <c r="D482" s="13" t="n">
        <f aca="false">IFERROR(IF(AND(B482&lt;=Eingaben!$B$11,Szenarien!$H$20="OK"),((Eingaben!$B$32+Eingaben!$B$35)*(1+Eingaben!$B$41)^(B482-1)+SUM(Variantenbilanz!E3299:E3664)*Eingaben!$B$33*Eingaben!$B$34*(1+Eingaben!$B$42)^(B482-1))*Szenarien!$F$20,0),0)</f>
        <v>1035.0887022817</v>
      </c>
      <c r="E482" s="13" t="n">
        <f aca="false">IFERROR(IF(AND(AND(B482&lt;=Eingaben!$B$11,Szenarien!$H$20="OK"),B482=Eingaben!$B$43),Eingaben!$B$44*Szenarien!$B$20*(1+Eingaben!$B$41)^(B482-1),0),0)</f>
        <v>0</v>
      </c>
      <c r="F482" s="13" t="n">
        <f aca="false">IFERROR(IF(AND(AND(B482&lt;=Eingaben!$B$11,Szenarien!$H$20="OK"),B482=Eingaben!$B$11),Eingaben!$B$45*Szenarien!$B$20,0),0)</f>
        <v>0</v>
      </c>
      <c r="G482" s="13" t="n">
        <f aca="false">C482-D482-E482+F482</f>
        <v>597.536102882672</v>
      </c>
      <c r="H482" s="13" t="n">
        <f aca="false">IFERROR(IF(AND(B482&lt;=Eingaben!$B$11,Szenarien!$H$20="OK"),1/(1+Eingaben!$B$39+Szenarien!$G$20)^B482,0),0)</f>
        <v>0.587394607616282</v>
      </c>
      <c r="I482" s="13" t="n">
        <f aca="false">G482*H482</f>
        <v>350.989484689329</v>
      </c>
      <c r="J482" s="13" t="n">
        <f aca="false">(D482+E482-F482)*H482</f>
        <v>608.005522124803</v>
      </c>
      <c r="K482" s="13" t="n">
        <f aca="false">IF(AND(B482&lt;=Eingaben!$B$11,Szenarien!$H$20="OK"),SUM(Variantenbilanz!K3299:K3664)*H482,0)</f>
        <v>273.951332582984</v>
      </c>
    </row>
    <row r="483" customFormat="false" ht="16.4" hidden="false" customHeight="false" outlineLevel="0" collapsed="false">
      <c r="A483" s="12"/>
      <c r="B483" s="15" t="n">
        <v>19</v>
      </c>
      <c r="C483" s="13" t="n">
        <f aca="false">IFERROR(IF(AND(B483&lt;=Eingaben!$B$11,Szenarien!$H$20="OK"),SUM(Variantenbilanz!K3299:K3664)*(Eingaben!$B$36*Szenarien!$C$20*(1+Eingaben!$B$40)^(B483-1)+Eingaben!$B$37*Eingaben!$B$38*(1+Eingaben!$B$46)^(B483-1)),0),0)</f>
        <v>1665.27730126765</v>
      </c>
      <c r="D483" s="13" t="n">
        <f aca="false">IFERROR(IF(AND(B483&lt;=Eingaben!$B$11,Szenarien!$H$20="OK"),((Eingaben!$B$32+Eingaben!$B$35)*(1+Eingaben!$B$41)^(B483-1)+SUM(Variantenbilanz!E3299:E3664)*Eingaben!$B$33*Eingaben!$B$34*(1+Eingaben!$B$42)^(B483-1))*Szenarien!$F$20,0),0)</f>
        <v>1055.79047632733</v>
      </c>
      <c r="E483" s="13" t="n">
        <f aca="false">IFERROR(IF(AND(AND(B483&lt;=Eingaben!$B$11,Szenarien!$H$20="OK"),B483=Eingaben!$B$43),Eingaben!$B$44*Szenarien!$B$20*(1+Eingaben!$B$41)^(B483-1),0),0)</f>
        <v>0</v>
      </c>
      <c r="F483" s="13" t="n">
        <f aca="false">IFERROR(IF(AND(AND(B483&lt;=Eingaben!$B$11,Szenarien!$H$20="OK"),B483=Eingaben!$B$11),Eingaben!$B$45*Szenarien!$B$20,0),0)</f>
        <v>0</v>
      </c>
      <c r="G483" s="13" t="n">
        <f aca="false">C483-D483-E483+F483</f>
        <v>609.486824940325</v>
      </c>
      <c r="H483" s="13" t="n">
        <f aca="false">IFERROR(IF(AND(B483&lt;=Eingaben!$B$11,Szenarien!$H$20="OK"),1/(1+Eingaben!$B$39+Szenarien!$G$20)^B483,0),0)</f>
        <v>0.570286026811925</v>
      </c>
      <c r="I483" s="13" t="n">
        <f aca="false">G483*H483</f>
        <v>347.581819789433</v>
      </c>
      <c r="J483" s="13" t="n">
        <f aca="false">(D483+E483-F483)*H483</f>
        <v>602.102555890582</v>
      </c>
      <c r="K483" s="13" t="n">
        <f aca="false">IF(AND(B483&lt;=Eingaben!$B$11,Szenarien!$H$20="OK"),SUM(Variantenbilanz!K3299:K3664)*H483,0)</f>
        <v>265.972167556295</v>
      </c>
    </row>
    <row r="484" customFormat="false" ht="16.4" hidden="false" customHeight="false" outlineLevel="0" collapsed="false">
      <c r="A484" s="12"/>
      <c r="B484" s="15" t="n">
        <v>20</v>
      </c>
      <c r="C484" s="13" t="n">
        <f aca="false">IFERROR(IF(AND(B484&lt;=Eingaben!$B$11,Szenarien!$H$20="OK"),SUM(Variantenbilanz!K3299:K3664)*(Eingaben!$B$36*Szenarien!$C$20*(1+Eingaben!$B$40)^(B484-1)+Eingaben!$B$37*Eingaben!$B$38*(1+Eingaben!$B$46)^(B484-1)),0),0)</f>
        <v>1698.58284729301</v>
      </c>
      <c r="D484" s="13" t="n">
        <f aca="false">IFERROR(IF(AND(B484&lt;=Eingaben!$B$11,Szenarien!$H$20="OK"),((Eingaben!$B$32+Eingaben!$B$35)*(1+Eingaben!$B$41)^(B484-1)+SUM(Variantenbilanz!E3299:E3664)*Eingaben!$B$33*Eingaben!$B$34*(1+Eingaben!$B$42)^(B484-1))*Szenarien!$F$20,0),0)</f>
        <v>1076.90628585388</v>
      </c>
      <c r="E484" s="13" t="n">
        <f aca="false">IFERROR(IF(AND(AND(B484&lt;=Eingaben!$B$11,Szenarien!$H$20="OK"),B484=Eingaben!$B$43),Eingaben!$B$44*Szenarien!$B$20*(1+Eingaben!$B$41)^(B484-1),0),0)</f>
        <v>0</v>
      </c>
      <c r="F484" s="13" t="n">
        <f aca="false">IFERROR(IF(AND(AND(B484&lt;=Eingaben!$B$11,Szenarien!$H$20="OK"),B484=Eingaben!$B$11),Eingaben!$B$45*Szenarien!$B$20,0),0)</f>
        <v>0</v>
      </c>
      <c r="G484" s="13" t="n">
        <f aca="false">C484-D484-E484+F484</f>
        <v>621.676561439131</v>
      </c>
      <c r="H484" s="13" t="n">
        <f aca="false">IFERROR(IF(AND(B484&lt;=Eingaben!$B$11,Szenarien!$H$20="OK"),1/(1+Eingaben!$B$39+Szenarien!$G$20)^B484,0),0)</f>
        <v>0.553675754186335</v>
      </c>
      <c r="I484" s="13" t="n">
        <f aca="false">G484*H484</f>
        <v>344.207239014778</v>
      </c>
      <c r="J484" s="13" t="n">
        <f aca="false">(D484+E484-F484)*H484</f>
        <v>596.256900008149</v>
      </c>
      <c r="K484" s="13" t="n">
        <f aca="false">IF(AND(B484&lt;=Eingaben!$B$11,Szenarien!$H$20="OK"),SUM(Variantenbilanz!K3299:K3664)*H484,0)</f>
        <v>258.225405394461</v>
      </c>
    </row>
    <row r="485" customFormat="false" ht="16.4" hidden="false" customHeight="false" outlineLevel="0" collapsed="false">
      <c r="A485" s="12"/>
      <c r="B485" s="15" t="n">
        <v>21</v>
      </c>
      <c r="C485" s="13" t="n">
        <f aca="false">IFERROR(IF(AND(B485&lt;=Eingaben!$B$11,Szenarien!$H$20="OK"),SUM(Variantenbilanz!K3299:K3664)*(Eingaben!$B$36*Szenarien!$C$20*(1+Eingaben!$B$40)^(B485-1)+Eingaben!$B$37*Eingaben!$B$38*(1+Eingaben!$B$46)^(B485-1)),0),0)</f>
        <v>0</v>
      </c>
      <c r="D485" s="13" t="n">
        <f aca="false">IFERROR(IF(AND(B485&lt;=Eingaben!$B$11,Szenarien!$H$20="OK"),((Eingaben!$B$32+Eingaben!$B$35)*(1+Eingaben!$B$41)^(B485-1)+SUM(Variantenbilanz!E3299:E3664)*Eingaben!$B$33*Eingaben!$B$34*(1+Eingaben!$B$42)^(B485-1))*Szenarien!$F$20,0),0)</f>
        <v>0</v>
      </c>
      <c r="E485" s="13" t="n">
        <f aca="false">IFERROR(IF(AND(AND(B485&lt;=Eingaben!$B$11,Szenarien!$H$20="OK"),B485=Eingaben!$B$43),Eingaben!$B$44*Szenarien!$B$20*(1+Eingaben!$B$41)^(B485-1),0),0)</f>
        <v>0</v>
      </c>
      <c r="F485" s="13" t="n">
        <f aca="false">IFERROR(IF(AND(AND(B485&lt;=Eingaben!$B$11,Szenarien!$H$20="OK"),B485=Eingaben!$B$11),Eingaben!$B$45*Szenarien!$B$20,0),0)</f>
        <v>0</v>
      </c>
      <c r="G485" s="13" t="n">
        <f aca="false">C485-D485-E485+F485</f>
        <v>0</v>
      </c>
      <c r="H485" s="13" t="n">
        <f aca="false">IFERROR(IF(AND(B485&lt;=Eingaben!$B$11,Szenarien!$H$20="OK"),1/(1+Eingaben!$B$39+Szenarien!$G$20)^B485,0),0)</f>
        <v>0</v>
      </c>
      <c r="I485" s="13" t="n">
        <f aca="false">G485*H485</f>
        <v>0</v>
      </c>
      <c r="J485" s="13" t="n">
        <f aca="false">(D485+E485-F485)*H485</f>
        <v>0</v>
      </c>
      <c r="K485" s="13" t="n">
        <f aca="false">IF(AND(B485&lt;=Eingaben!$B$11,Szenarien!$H$20="OK"),SUM(Variantenbilanz!K3299:K3664)*H485,0)</f>
        <v>0</v>
      </c>
    </row>
    <row r="486" customFormat="false" ht="16.4" hidden="false" customHeight="false" outlineLevel="0" collapsed="false">
      <c r="A486" s="12"/>
      <c r="B486" s="15" t="n">
        <v>22</v>
      </c>
      <c r="C486" s="13" t="n">
        <f aca="false">IFERROR(IF(AND(B486&lt;=Eingaben!$B$11,Szenarien!$H$20="OK"),SUM(Variantenbilanz!K3299:K3664)*(Eingaben!$B$36*Szenarien!$C$20*(1+Eingaben!$B$40)^(B486-1)+Eingaben!$B$37*Eingaben!$B$38*(1+Eingaben!$B$46)^(B486-1)),0),0)</f>
        <v>0</v>
      </c>
      <c r="D486" s="13" t="n">
        <f aca="false">IFERROR(IF(AND(B486&lt;=Eingaben!$B$11,Szenarien!$H$20="OK"),((Eingaben!$B$32+Eingaben!$B$35)*(1+Eingaben!$B$41)^(B486-1)+SUM(Variantenbilanz!E3299:E3664)*Eingaben!$B$33*Eingaben!$B$34*(1+Eingaben!$B$42)^(B486-1))*Szenarien!$F$20,0),0)</f>
        <v>0</v>
      </c>
      <c r="E486" s="13" t="n">
        <f aca="false">IFERROR(IF(AND(AND(B486&lt;=Eingaben!$B$11,Szenarien!$H$20="OK"),B486=Eingaben!$B$43),Eingaben!$B$44*Szenarien!$B$20*(1+Eingaben!$B$41)^(B486-1),0),0)</f>
        <v>0</v>
      </c>
      <c r="F486" s="13" t="n">
        <f aca="false">IFERROR(IF(AND(AND(B486&lt;=Eingaben!$B$11,Szenarien!$H$20="OK"),B486=Eingaben!$B$11),Eingaben!$B$45*Szenarien!$B$20,0),0)</f>
        <v>0</v>
      </c>
      <c r="G486" s="13" t="n">
        <f aca="false">C486-D486-E486+F486</f>
        <v>0</v>
      </c>
      <c r="H486" s="13" t="n">
        <f aca="false">IFERROR(IF(AND(B486&lt;=Eingaben!$B$11,Szenarien!$H$20="OK"),1/(1+Eingaben!$B$39+Szenarien!$G$20)^B486,0),0)</f>
        <v>0</v>
      </c>
      <c r="I486" s="13" t="n">
        <f aca="false">G486*H486</f>
        <v>0</v>
      </c>
      <c r="J486" s="13" t="n">
        <f aca="false">(D486+E486-F486)*H486</f>
        <v>0</v>
      </c>
      <c r="K486" s="13" t="n">
        <f aca="false">IF(AND(B486&lt;=Eingaben!$B$11,Szenarien!$H$20="OK"),SUM(Variantenbilanz!K3299:K3664)*H486,0)</f>
        <v>0</v>
      </c>
    </row>
    <row r="487" customFormat="false" ht="16.4" hidden="false" customHeight="false" outlineLevel="0" collapsed="false">
      <c r="A487" s="12"/>
      <c r="B487" s="15" t="n">
        <v>23</v>
      </c>
      <c r="C487" s="13" t="n">
        <f aca="false">IFERROR(IF(AND(B487&lt;=Eingaben!$B$11,Szenarien!$H$20="OK"),SUM(Variantenbilanz!K3299:K3664)*(Eingaben!$B$36*Szenarien!$C$20*(1+Eingaben!$B$40)^(B487-1)+Eingaben!$B$37*Eingaben!$B$38*(1+Eingaben!$B$46)^(B487-1)),0),0)</f>
        <v>0</v>
      </c>
      <c r="D487" s="13" t="n">
        <f aca="false">IFERROR(IF(AND(B487&lt;=Eingaben!$B$11,Szenarien!$H$20="OK"),((Eingaben!$B$32+Eingaben!$B$35)*(1+Eingaben!$B$41)^(B487-1)+SUM(Variantenbilanz!E3299:E3664)*Eingaben!$B$33*Eingaben!$B$34*(1+Eingaben!$B$42)^(B487-1))*Szenarien!$F$20,0),0)</f>
        <v>0</v>
      </c>
      <c r="E487" s="13" t="n">
        <f aca="false">IFERROR(IF(AND(AND(B487&lt;=Eingaben!$B$11,Szenarien!$H$20="OK"),B487=Eingaben!$B$43),Eingaben!$B$44*Szenarien!$B$20*(1+Eingaben!$B$41)^(B487-1),0),0)</f>
        <v>0</v>
      </c>
      <c r="F487" s="13" t="n">
        <f aca="false">IFERROR(IF(AND(AND(B487&lt;=Eingaben!$B$11,Szenarien!$H$20="OK"),B487=Eingaben!$B$11),Eingaben!$B$45*Szenarien!$B$20,0),0)</f>
        <v>0</v>
      </c>
      <c r="G487" s="13" t="n">
        <f aca="false">C487-D487-E487+F487</f>
        <v>0</v>
      </c>
      <c r="H487" s="13" t="n">
        <f aca="false">IFERROR(IF(AND(B487&lt;=Eingaben!$B$11,Szenarien!$H$20="OK"),1/(1+Eingaben!$B$39+Szenarien!$G$20)^B487,0),0)</f>
        <v>0</v>
      </c>
      <c r="I487" s="13" t="n">
        <f aca="false">G487*H487</f>
        <v>0</v>
      </c>
      <c r="J487" s="13" t="n">
        <f aca="false">(D487+E487-F487)*H487</f>
        <v>0</v>
      </c>
      <c r="K487" s="13" t="n">
        <f aca="false">IF(AND(B487&lt;=Eingaben!$B$11,Szenarien!$H$20="OK"),SUM(Variantenbilanz!K3299:K3664)*H487,0)</f>
        <v>0</v>
      </c>
    </row>
    <row r="488" customFormat="false" ht="16.4" hidden="false" customHeight="false" outlineLevel="0" collapsed="false">
      <c r="A488" s="12"/>
      <c r="B488" s="15" t="n">
        <v>24</v>
      </c>
      <c r="C488" s="13" t="n">
        <f aca="false">IFERROR(IF(AND(B488&lt;=Eingaben!$B$11,Szenarien!$H$20="OK"),SUM(Variantenbilanz!K3299:K3664)*(Eingaben!$B$36*Szenarien!$C$20*(1+Eingaben!$B$40)^(B488-1)+Eingaben!$B$37*Eingaben!$B$38*(1+Eingaben!$B$46)^(B488-1)),0),0)</f>
        <v>0</v>
      </c>
      <c r="D488" s="13" t="n">
        <f aca="false">IFERROR(IF(AND(B488&lt;=Eingaben!$B$11,Szenarien!$H$20="OK"),((Eingaben!$B$32+Eingaben!$B$35)*(1+Eingaben!$B$41)^(B488-1)+SUM(Variantenbilanz!E3299:E3664)*Eingaben!$B$33*Eingaben!$B$34*(1+Eingaben!$B$42)^(B488-1))*Szenarien!$F$20,0),0)</f>
        <v>0</v>
      </c>
      <c r="E488" s="13" t="n">
        <f aca="false">IFERROR(IF(AND(AND(B488&lt;=Eingaben!$B$11,Szenarien!$H$20="OK"),B488=Eingaben!$B$43),Eingaben!$B$44*Szenarien!$B$20*(1+Eingaben!$B$41)^(B488-1),0),0)</f>
        <v>0</v>
      </c>
      <c r="F488" s="13" t="n">
        <f aca="false">IFERROR(IF(AND(AND(B488&lt;=Eingaben!$B$11,Szenarien!$H$20="OK"),B488=Eingaben!$B$11),Eingaben!$B$45*Szenarien!$B$20,0),0)</f>
        <v>0</v>
      </c>
      <c r="G488" s="13" t="n">
        <f aca="false">C488-D488-E488+F488</f>
        <v>0</v>
      </c>
      <c r="H488" s="13" t="n">
        <f aca="false">IFERROR(IF(AND(B488&lt;=Eingaben!$B$11,Szenarien!$H$20="OK"),1/(1+Eingaben!$B$39+Szenarien!$G$20)^B488,0),0)</f>
        <v>0</v>
      </c>
      <c r="I488" s="13" t="n">
        <f aca="false">G488*H488</f>
        <v>0</v>
      </c>
      <c r="J488" s="13" t="n">
        <f aca="false">(D488+E488-F488)*H488</f>
        <v>0</v>
      </c>
      <c r="K488" s="13" t="n">
        <f aca="false">IF(AND(B488&lt;=Eingaben!$B$11,Szenarien!$H$20="OK"),SUM(Variantenbilanz!K3299:K3664)*H488,0)</f>
        <v>0</v>
      </c>
    </row>
    <row r="489" customFormat="false" ht="16.4" hidden="false" customHeight="false" outlineLevel="0" collapsed="false">
      <c r="A489" s="12"/>
      <c r="B489" s="15" t="n">
        <v>25</v>
      </c>
      <c r="C489" s="13" t="n">
        <f aca="false">IFERROR(IF(AND(B489&lt;=Eingaben!$B$11,Szenarien!$H$20="OK"),SUM(Variantenbilanz!K3299:K3664)*(Eingaben!$B$36*Szenarien!$C$20*(1+Eingaben!$B$40)^(B489-1)+Eingaben!$B$37*Eingaben!$B$38*(1+Eingaben!$B$46)^(B489-1)),0),0)</f>
        <v>0</v>
      </c>
      <c r="D489" s="13" t="n">
        <f aca="false">IFERROR(IF(AND(B489&lt;=Eingaben!$B$11,Szenarien!$H$20="OK"),((Eingaben!$B$32+Eingaben!$B$35)*(1+Eingaben!$B$41)^(B489-1)+SUM(Variantenbilanz!E3299:E3664)*Eingaben!$B$33*Eingaben!$B$34*(1+Eingaben!$B$42)^(B489-1))*Szenarien!$F$20,0),0)</f>
        <v>0</v>
      </c>
      <c r="E489" s="13" t="n">
        <f aca="false">IFERROR(IF(AND(AND(B489&lt;=Eingaben!$B$11,Szenarien!$H$20="OK"),B489=Eingaben!$B$43),Eingaben!$B$44*Szenarien!$B$20*(1+Eingaben!$B$41)^(B489-1),0),0)</f>
        <v>0</v>
      </c>
      <c r="F489" s="13" t="n">
        <f aca="false">IFERROR(IF(AND(AND(B489&lt;=Eingaben!$B$11,Szenarien!$H$20="OK"),B489=Eingaben!$B$11),Eingaben!$B$45*Szenarien!$B$20,0),0)</f>
        <v>0</v>
      </c>
      <c r="G489" s="13" t="n">
        <f aca="false">C489-D489-E489+F489</f>
        <v>0</v>
      </c>
      <c r="H489" s="13" t="n">
        <f aca="false">IFERROR(IF(AND(B489&lt;=Eingaben!$B$11,Szenarien!$H$20="OK"),1/(1+Eingaben!$B$39+Szenarien!$G$20)^B489,0),0)</f>
        <v>0</v>
      </c>
      <c r="I489" s="13" t="n">
        <f aca="false">G489*H489</f>
        <v>0</v>
      </c>
      <c r="J489" s="13" t="n">
        <f aca="false">(D489+E489-F489)*H489</f>
        <v>0</v>
      </c>
      <c r="K489" s="13" t="n">
        <f aca="false">IF(AND(B489&lt;=Eingaben!$B$11,Szenarien!$H$20="OK"),SUM(Variantenbilanz!K3299:K3664)*H489,0)</f>
        <v>0</v>
      </c>
    </row>
    <row r="490" customFormat="false" ht="16.4" hidden="false" customHeight="false" outlineLevel="0" collapsed="false">
      <c r="A490" s="12"/>
      <c r="B490" s="15" t="n">
        <v>26</v>
      </c>
      <c r="C490" s="13" t="n">
        <f aca="false">IFERROR(IF(AND(B490&lt;=Eingaben!$B$11,Szenarien!$H$20="OK"),SUM(Variantenbilanz!K3299:K3664)*(Eingaben!$B$36*Szenarien!$C$20*(1+Eingaben!$B$40)^(B490-1)+Eingaben!$B$37*Eingaben!$B$38*(1+Eingaben!$B$46)^(B490-1)),0),0)</f>
        <v>0</v>
      </c>
      <c r="D490" s="13" t="n">
        <f aca="false">IFERROR(IF(AND(B490&lt;=Eingaben!$B$11,Szenarien!$H$20="OK"),((Eingaben!$B$32+Eingaben!$B$35)*(1+Eingaben!$B$41)^(B490-1)+SUM(Variantenbilanz!E3299:E3664)*Eingaben!$B$33*Eingaben!$B$34*(1+Eingaben!$B$42)^(B490-1))*Szenarien!$F$20,0),0)</f>
        <v>0</v>
      </c>
      <c r="E490" s="13" t="n">
        <f aca="false">IFERROR(IF(AND(AND(B490&lt;=Eingaben!$B$11,Szenarien!$H$20="OK"),B490=Eingaben!$B$43),Eingaben!$B$44*Szenarien!$B$20*(1+Eingaben!$B$41)^(B490-1),0),0)</f>
        <v>0</v>
      </c>
      <c r="F490" s="13" t="n">
        <f aca="false">IFERROR(IF(AND(AND(B490&lt;=Eingaben!$B$11,Szenarien!$H$20="OK"),B490=Eingaben!$B$11),Eingaben!$B$45*Szenarien!$B$20,0),0)</f>
        <v>0</v>
      </c>
      <c r="G490" s="13" t="n">
        <f aca="false">C490-D490-E490+F490</f>
        <v>0</v>
      </c>
      <c r="H490" s="13" t="n">
        <f aca="false">IFERROR(IF(AND(B490&lt;=Eingaben!$B$11,Szenarien!$H$20="OK"),1/(1+Eingaben!$B$39+Szenarien!$G$20)^B490,0),0)</f>
        <v>0</v>
      </c>
      <c r="I490" s="13" t="n">
        <f aca="false">G490*H490</f>
        <v>0</v>
      </c>
      <c r="J490" s="13" t="n">
        <f aca="false">(D490+E490-F490)*H490</f>
        <v>0</v>
      </c>
      <c r="K490" s="13" t="n">
        <f aca="false">IF(AND(B490&lt;=Eingaben!$B$11,Szenarien!$H$20="OK"),SUM(Variantenbilanz!K3299:K3664)*H490,0)</f>
        <v>0</v>
      </c>
    </row>
    <row r="491" customFormat="false" ht="16.4" hidden="false" customHeight="false" outlineLevel="0" collapsed="false">
      <c r="A491" s="12"/>
      <c r="B491" s="15" t="n">
        <v>27</v>
      </c>
      <c r="C491" s="13" t="n">
        <f aca="false">IFERROR(IF(AND(B491&lt;=Eingaben!$B$11,Szenarien!$H$20="OK"),SUM(Variantenbilanz!K3299:K3664)*(Eingaben!$B$36*Szenarien!$C$20*(1+Eingaben!$B$40)^(B491-1)+Eingaben!$B$37*Eingaben!$B$38*(1+Eingaben!$B$46)^(B491-1)),0),0)</f>
        <v>0</v>
      </c>
      <c r="D491" s="13" t="n">
        <f aca="false">IFERROR(IF(AND(B491&lt;=Eingaben!$B$11,Szenarien!$H$20="OK"),((Eingaben!$B$32+Eingaben!$B$35)*(1+Eingaben!$B$41)^(B491-1)+SUM(Variantenbilanz!E3299:E3664)*Eingaben!$B$33*Eingaben!$B$34*(1+Eingaben!$B$42)^(B491-1))*Szenarien!$F$20,0),0)</f>
        <v>0</v>
      </c>
      <c r="E491" s="13" t="n">
        <f aca="false">IFERROR(IF(AND(AND(B491&lt;=Eingaben!$B$11,Szenarien!$H$20="OK"),B491=Eingaben!$B$43),Eingaben!$B$44*Szenarien!$B$20*(1+Eingaben!$B$41)^(B491-1),0),0)</f>
        <v>0</v>
      </c>
      <c r="F491" s="13" t="n">
        <f aca="false">IFERROR(IF(AND(AND(B491&lt;=Eingaben!$B$11,Szenarien!$H$20="OK"),B491=Eingaben!$B$11),Eingaben!$B$45*Szenarien!$B$20,0),0)</f>
        <v>0</v>
      </c>
      <c r="G491" s="13" t="n">
        <f aca="false">C491-D491-E491+F491</f>
        <v>0</v>
      </c>
      <c r="H491" s="13" t="n">
        <f aca="false">IFERROR(IF(AND(B491&lt;=Eingaben!$B$11,Szenarien!$H$20="OK"),1/(1+Eingaben!$B$39+Szenarien!$G$20)^B491,0),0)</f>
        <v>0</v>
      </c>
      <c r="I491" s="13" t="n">
        <f aca="false">G491*H491</f>
        <v>0</v>
      </c>
      <c r="J491" s="13" t="n">
        <f aca="false">(D491+E491-F491)*H491</f>
        <v>0</v>
      </c>
      <c r="K491" s="13" t="n">
        <f aca="false">IF(AND(B491&lt;=Eingaben!$B$11,Szenarien!$H$20="OK"),SUM(Variantenbilanz!K3299:K3664)*H491,0)</f>
        <v>0</v>
      </c>
    </row>
    <row r="492" customFormat="false" ht="16.4" hidden="false" customHeight="false" outlineLevel="0" collapsed="false">
      <c r="A492" s="12"/>
      <c r="B492" s="15" t="n">
        <v>28</v>
      </c>
      <c r="C492" s="13" t="n">
        <f aca="false">IFERROR(IF(AND(B492&lt;=Eingaben!$B$11,Szenarien!$H$20="OK"),SUM(Variantenbilanz!K3299:K3664)*(Eingaben!$B$36*Szenarien!$C$20*(1+Eingaben!$B$40)^(B492-1)+Eingaben!$B$37*Eingaben!$B$38*(1+Eingaben!$B$46)^(B492-1)),0),0)</f>
        <v>0</v>
      </c>
      <c r="D492" s="13" t="n">
        <f aca="false">IFERROR(IF(AND(B492&lt;=Eingaben!$B$11,Szenarien!$H$20="OK"),((Eingaben!$B$32+Eingaben!$B$35)*(1+Eingaben!$B$41)^(B492-1)+SUM(Variantenbilanz!E3299:E3664)*Eingaben!$B$33*Eingaben!$B$34*(1+Eingaben!$B$42)^(B492-1))*Szenarien!$F$20,0),0)</f>
        <v>0</v>
      </c>
      <c r="E492" s="13" t="n">
        <f aca="false">IFERROR(IF(AND(AND(B492&lt;=Eingaben!$B$11,Szenarien!$H$20="OK"),B492=Eingaben!$B$43),Eingaben!$B$44*Szenarien!$B$20*(1+Eingaben!$B$41)^(B492-1),0),0)</f>
        <v>0</v>
      </c>
      <c r="F492" s="13" t="n">
        <f aca="false">IFERROR(IF(AND(AND(B492&lt;=Eingaben!$B$11,Szenarien!$H$20="OK"),B492=Eingaben!$B$11),Eingaben!$B$45*Szenarien!$B$20,0),0)</f>
        <v>0</v>
      </c>
      <c r="G492" s="13" t="n">
        <f aca="false">C492-D492-E492+F492</f>
        <v>0</v>
      </c>
      <c r="H492" s="13" t="n">
        <f aca="false">IFERROR(IF(AND(B492&lt;=Eingaben!$B$11,Szenarien!$H$20="OK"),1/(1+Eingaben!$B$39+Szenarien!$G$20)^B492,0),0)</f>
        <v>0</v>
      </c>
      <c r="I492" s="13" t="n">
        <f aca="false">G492*H492</f>
        <v>0</v>
      </c>
      <c r="J492" s="13" t="n">
        <f aca="false">(D492+E492-F492)*H492</f>
        <v>0</v>
      </c>
      <c r="K492" s="13" t="n">
        <f aca="false">IF(AND(B492&lt;=Eingaben!$B$11,Szenarien!$H$20="OK"),SUM(Variantenbilanz!K3299:K3664)*H492,0)</f>
        <v>0</v>
      </c>
    </row>
    <row r="493" customFormat="false" ht="16.4" hidden="false" customHeight="false" outlineLevel="0" collapsed="false">
      <c r="A493" s="12"/>
      <c r="B493" s="15" t="n">
        <v>29</v>
      </c>
      <c r="C493" s="13" t="n">
        <f aca="false">IFERROR(IF(AND(B493&lt;=Eingaben!$B$11,Szenarien!$H$20="OK"),SUM(Variantenbilanz!K3299:K3664)*(Eingaben!$B$36*Szenarien!$C$20*(1+Eingaben!$B$40)^(B493-1)+Eingaben!$B$37*Eingaben!$B$38*(1+Eingaben!$B$46)^(B493-1)),0),0)</f>
        <v>0</v>
      </c>
      <c r="D493" s="13" t="n">
        <f aca="false">IFERROR(IF(AND(B493&lt;=Eingaben!$B$11,Szenarien!$H$20="OK"),((Eingaben!$B$32+Eingaben!$B$35)*(1+Eingaben!$B$41)^(B493-1)+SUM(Variantenbilanz!E3299:E3664)*Eingaben!$B$33*Eingaben!$B$34*(1+Eingaben!$B$42)^(B493-1))*Szenarien!$F$20,0),0)</f>
        <v>0</v>
      </c>
      <c r="E493" s="13" t="n">
        <f aca="false">IFERROR(IF(AND(AND(B493&lt;=Eingaben!$B$11,Szenarien!$H$20="OK"),B493=Eingaben!$B$43),Eingaben!$B$44*Szenarien!$B$20*(1+Eingaben!$B$41)^(B493-1),0),0)</f>
        <v>0</v>
      </c>
      <c r="F493" s="13" t="n">
        <f aca="false">IFERROR(IF(AND(AND(B493&lt;=Eingaben!$B$11,Szenarien!$H$20="OK"),B493=Eingaben!$B$11),Eingaben!$B$45*Szenarien!$B$20,0),0)</f>
        <v>0</v>
      </c>
      <c r="G493" s="13" t="n">
        <f aca="false">C493-D493-E493+F493</f>
        <v>0</v>
      </c>
      <c r="H493" s="13" t="n">
        <f aca="false">IFERROR(IF(AND(B493&lt;=Eingaben!$B$11,Szenarien!$H$20="OK"),1/(1+Eingaben!$B$39+Szenarien!$G$20)^B493,0),0)</f>
        <v>0</v>
      </c>
      <c r="I493" s="13" t="n">
        <f aca="false">G493*H493</f>
        <v>0</v>
      </c>
      <c r="J493" s="13" t="n">
        <f aca="false">(D493+E493-F493)*H493</f>
        <v>0</v>
      </c>
      <c r="K493" s="13" t="n">
        <f aca="false">IF(AND(B493&lt;=Eingaben!$B$11,Szenarien!$H$20="OK"),SUM(Variantenbilanz!K3299:K3664)*H493,0)</f>
        <v>0</v>
      </c>
    </row>
    <row r="494" customFormat="false" ht="16.4" hidden="false" customHeight="false" outlineLevel="0" collapsed="false">
      <c r="A494" s="12"/>
      <c r="B494" s="15" t="n">
        <v>30</v>
      </c>
      <c r="C494" s="13" t="n">
        <f aca="false">IFERROR(IF(AND(B494&lt;=Eingaben!$B$11,Szenarien!$H$20="OK"),SUM(Variantenbilanz!K3299:K3664)*(Eingaben!$B$36*Szenarien!$C$20*(1+Eingaben!$B$40)^(B494-1)+Eingaben!$B$37*Eingaben!$B$38*(1+Eingaben!$B$46)^(B494-1)),0),0)</f>
        <v>0</v>
      </c>
      <c r="D494" s="13" t="n">
        <f aca="false">IFERROR(IF(AND(B494&lt;=Eingaben!$B$11,Szenarien!$H$20="OK"),((Eingaben!$B$32+Eingaben!$B$35)*(1+Eingaben!$B$41)^(B494-1)+SUM(Variantenbilanz!E3299:E3664)*Eingaben!$B$33*Eingaben!$B$34*(1+Eingaben!$B$42)^(B494-1))*Szenarien!$F$20,0),0)</f>
        <v>0</v>
      </c>
      <c r="E494" s="13" t="n">
        <f aca="false">IFERROR(IF(AND(AND(B494&lt;=Eingaben!$B$11,Szenarien!$H$20="OK"),B494=Eingaben!$B$43),Eingaben!$B$44*Szenarien!$B$20*(1+Eingaben!$B$41)^(B494-1),0),0)</f>
        <v>0</v>
      </c>
      <c r="F494" s="13" t="n">
        <f aca="false">IFERROR(IF(AND(AND(B494&lt;=Eingaben!$B$11,Szenarien!$H$20="OK"),B494=Eingaben!$B$11),Eingaben!$B$45*Szenarien!$B$20,0),0)</f>
        <v>0</v>
      </c>
      <c r="G494" s="13" t="n">
        <f aca="false">C494-D494-E494+F494</f>
        <v>0</v>
      </c>
      <c r="H494" s="13" t="n">
        <f aca="false">IFERROR(IF(AND(B494&lt;=Eingaben!$B$11,Szenarien!$H$20="OK"),1/(1+Eingaben!$B$39+Szenarien!$G$20)^B494,0),0)</f>
        <v>0</v>
      </c>
      <c r="I494" s="13" t="n">
        <f aca="false">G494*H494</f>
        <v>0</v>
      </c>
      <c r="J494" s="13" t="n">
        <f aca="false">(D494+E494-F494)*H494</f>
        <v>0</v>
      </c>
      <c r="K494" s="13" t="n">
        <f aca="false">IF(AND(B494&lt;=Eingaben!$B$11,Szenarien!$H$20="OK"),SUM(Variantenbilanz!K3299:K3664)*H494,0)</f>
        <v>0</v>
      </c>
    </row>
    <row r="495" customFormat="false" ht="16.4" hidden="false" customHeight="false" outlineLevel="0" collapsed="false">
      <c r="A495" s="12"/>
      <c r="B495" s="15" t="n">
        <v>31</v>
      </c>
      <c r="C495" s="13" t="n">
        <f aca="false">IFERROR(IF(AND(B495&lt;=Eingaben!$B$11,Szenarien!$H$20="OK"),SUM(Variantenbilanz!K3299:K3664)*(Eingaben!$B$36*Szenarien!$C$20*(1+Eingaben!$B$40)^(B495-1)+Eingaben!$B$37*Eingaben!$B$38*(1+Eingaben!$B$46)^(B495-1)),0),0)</f>
        <v>0</v>
      </c>
      <c r="D495" s="13" t="n">
        <f aca="false">IFERROR(IF(AND(B495&lt;=Eingaben!$B$11,Szenarien!$H$20="OK"),((Eingaben!$B$32+Eingaben!$B$35)*(1+Eingaben!$B$41)^(B495-1)+SUM(Variantenbilanz!E3299:E3664)*Eingaben!$B$33*Eingaben!$B$34*(1+Eingaben!$B$42)^(B495-1))*Szenarien!$F$20,0),0)</f>
        <v>0</v>
      </c>
      <c r="E495" s="13" t="n">
        <f aca="false">IFERROR(IF(AND(AND(B495&lt;=Eingaben!$B$11,Szenarien!$H$20="OK"),B495=Eingaben!$B$43),Eingaben!$B$44*Szenarien!$B$20*(1+Eingaben!$B$41)^(B495-1),0),0)</f>
        <v>0</v>
      </c>
      <c r="F495" s="13" t="n">
        <f aca="false">IFERROR(IF(AND(AND(B495&lt;=Eingaben!$B$11,Szenarien!$H$20="OK"),B495=Eingaben!$B$11),Eingaben!$B$45*Szenarien!$B$20,0),0)</f>
        <v>0</v>
      </c>
      <c r="G495" s="13" t="n">
        <f aca="false">C495-D495-E495+F495</f>
        <v>0</v>
      </c>
      <c r="H495" s="13" t="n">
        <f aca="false">IFERROR(IF(AND(B495&lt;=Eingaben!$B$11,Szenarien!$H$20="OK"),1/(1+Eingaben!$B$39+Szenarien!$G$20)^B495,0),0)</f>
        <v>0</v>
      </c>
      <c r="I495" s="13" t="n">
        <f aca="false">G495*H495</f>
        <v>0</v>
      </c>
      <c r="J495" s="13" t="n">
        <f aca="false">(D495+E495-F495)*H495</f>
        <v>0</v>
      </c>
      <c r="K495" s="13" t="n">
        <f aca="false">IF(AND(B495&lt;=Eingaben!$B$11,Szenarien!$H$20="OK"),SUM(Variantenbilanz!K3299:K3664)*H495,0)</f>
        <v>0</v>
      </c>
    </row>
    <row r="496" customFormat="false" ht="16.4" hidden="false" customHeight="false" outlineLevel="0" collapsed="false">
      <c r="A496" s="12"/>
      <c r="B496" s="15" t="n">
        <v>32</v>
      </c>
      <c r="C496" s="13" t="n">
        <f aca="false">IFERROR(IF(AND(B496&lt;=Eingaben!$B$11,Szenarien!$H$20="OK"),SUM(Variantenbilanz!K3299:K3664)*(Eingaben!$B$36*Szenarien!$C$20*(1+Eingaben!$B$40)^(B496-1)+Eingaben!$B$37*Eingaben!$B$38*(1+Eingaben!$B$46)^(B496-1)),0),0)</f>
        <v>0</v>
      </c>
      <c r="D496" s="13" t="n">
        <f aca="false">IFERROR(IF(AND(B496&lt;=Eingaben!$B$11,Szenarien!$H$20="OK"),((Eingaben!$B$32+Eingaben!$B$35)*(1+Eingaben!$B$41)^(B496-1)+SUM(Variantenbilanz!E3299:E3664)*Eingaben!$B$33*Eingaben!$B$34*(1+Eingaben!$B$42)^(B496-1))*Szenarien!$F$20,0),0)</f>
        <v>0</v>
      </c>
      <c r="E496" s="13" t="n">
        <f aca="false">IFERROR(IF(AND(AND(B496&lt;=Eingaben!$B$11,Szenarien!$H$20="OK"),B496=Eingaben!$B$43),Eingaben!$B$44*Szenarien!$B$20*(1+Eingaben!$B$41)^(B496-1),0),0)</f>
        <v>0</v>
      </c>
      <c r="F496" s="13" t="n">
        <f aca="false">IFERROR(IF(AND(AND(B496&lt;=Eingaben!$B$11,Szenarien!$H$20="OK"),B496=Eingaben!$B$11),Eingaben!$B$45*Szenarien!$B$20,0),0)</f>
        <v>0</v>
      </c>
      <c r="G496" s="13" t="n">
        <f aca="false">C496-D496-E496+F496</f>
        <v>0</v>
      </c>
      <c r="H496" s="13" t="n">
        <f aca="false">IFERROR(IF(AND(B496&lt;=Eingaben!$B$11,Szenarien!$H$20="OK"),1/(1+Eingaben!$B$39+Szenarien!$G$20)^B496,0),0)</f>
        <v>0</v>
      </c>
      <c r="I496" s="13" t="n">
        <f aca="false">G496*H496</f>
        <v>0</v>
      </c>
      <c r="J496" s="13" t="n">
        <f aca="false">(D496+E496-F496)*H496</f>
        <v>0</v>
      </c>
      <c r="K496" s="13" t="n">
        <f aca="false">IF(AND(B496&lt;=Eingaben!$B$11,Szenarien!$H$20="OK"),SUM(Variantenbilanz!K3299:K3664)*H496,0)</f>
        <v>0</v>
      </c>
    </row>
    <row r="497" customFormat="false" ht="16.4" hidden="false" customHeight="false" outlineLevel="0" collapsed="false">
      <c r="A497" s="12"/>
      <c r="B497" s="15" t="n">
        <v>33</v>
      </c>
      <c r="C497" s="13" t="n">
        <f aca="false">IFERROR(IF(AND(B497&lt;=Eingaben!$B$11,Szenarien!$H$20="OK"),SUM(Variantenbilanz!K3299:K3664)*(Eingaben!$B$36*Szenarien!$C$20*(1+Eingaben!$B$40)^(B497-1)+Eingaben!$B$37*Eingaben!$B$38*(1+Eingaben!$B$46)^(B497-1)),0),0)</f>
        <v>0</v>
      </c>
      <c r="D497" s="13" t="n">
        <f aca="false">IFERROR(IF(AND(B497&lt;=Eingaben!$B$11,Szenarien!$H$20="OK"),((Eingaben!$B$32+Eingaben!$B$35)*(1+Eingaben!$B$41)^(B497-1)+SUM(Variantenbilanz!E3299:E3664)*Eingaben!$B$33*Eingaben!$B$34*(1+Eingaben!$B$42)^(B497-1))*Szenarien!$F$20,0),0)</f>
        <v>0</v>
      </c>
      <c r="E497" s="13" t="n">
        <f aca="false">IFERROR(IF(AND(AND(B497&lt;=Eingaben!$B$11,Szenarien!$H$20="OK"),B497=Eingaben!$B$43),Eingaben!$B$44*Szenarien!$B$20*(1+Eingaben!$B$41)^(B497-1),0),0)</f>
        <v>0</v>
      </c>
      <c r="F497" s="13" t="n">
        <f aca="false">IFERROR(IF(AND(AND(B497&lt;=Eingaben!$B$11,Szenarien!$H$20="OK"),B497=Eingaben!$B$11),Eingaben!$B$45*Szenarien!$B$20,0),0)</f>
        <v>0</v>
      </c>
      <c r="G497" s="13" t="n">
        <f aca="false">C497-D497-E497+F497</f>
        <v>0</v>
      </c>
      <c r="H497" s="13" t="n">
        <f aca="false">IFERROR(IF(AND(B497&lt;=Eingaben!$B$11,Szenarien!$H$20="OK"),1/(1+Eingaben!$B$39+Szenarien!$G$20)^B497,0),0)</f>
        <v>0</v>
      </c>
      <c r="I497" s="13" t="n">
        <f aca="false">G497*H497</f>
        <v>0</v>
      </c>
      <c r="J497" s="13" t="n">
        <f aca="false">(D497+E497-F497)*H497</f>
        <v>0</v>
      </c>
      <c r="K497" s="13" t="n">
        <f aca="false">IF(AND(B497&lt;=Eingaben!$B$11,Szenarien!$H$20="OK"),SUM(Variantenbilanz!K3299:K3664)*H497,0)</f>
        <v>0</v>
      </c>
    </row>
    <row r="498" customFormat="false" ht="16.4" hidden="false" customHeight="false" outlineLevel="0" collapsed="false">
      <c r="A498" s="12"/>
      <c r="B498" s="15" t="n">
        <v>34</v>
      </c>
      <c r="C498" s="13" t="n">
        <f aca="false">IFERROR(IF(AND(B498&lt;=Eingaben!$B$11,Szenarien!$H$20="OK"),SUM(Variantenbilanz!K3299:K3664)*(Eingaben!$B$36*Szenarien!$C$20*(1+Eingaben!$B$40)^(B498-1)+Eingaben!$B$37*Eingaben!$B$38*(1+Eingaben!$B$46)^(B498-1)),0),0)</f>
        <v>0</v>
      </c>
      <c r="D498" s="13" t="n">
        <f aca="false">IFERROR(IF(AND(B498&lt;=Eingaben!$B$11,Szenarien!$H$20="OK"),((Eingaben!$B$32+Eingaben!$B$35)*(1+Eingaben!$B$41)^(B498-1)+SUM(Variantenbilanz!E3299:E3664)*Eingaben!$B$33*Eingaben!$B$34*(1+Eingaben!$B$42)^(B498-1))*Szenarien!$F$20,0),0)</f>
        <v>0</v>
      </c>
      <c r="E498" s="13" t="n">
        <f aca="false">IFERROR(IF(AND(AND(B498&lt;=Eingaben!$B$11,Szenarien!$H$20="OK"),B498=Eingaben!$B$43),Eingaben!$B$44*Szenarien!$B$20*(1+Eingaben!$B$41)^(B498-1),0),0)</f>
        <v>0</v>
      </c>
      <c r="F498" s="13" t="n">
        <f aca="false">IFERROR(IF(AND(AND(B498&lt;=Eingaben!$B$11,Szenarien!$H$20="OK"),B498=Eingaben!$B$11),Eingaben!$B$45*Szenarien!$B$20,0),0)</f>
        <v>0</v>
      </c>
      <c r="G498" s="13" t="n">
        <f aca="false">C498-D498-E498+F498</f>
        <v>0</v>
      </c>
      <c r="H498" s="13" t="n">
        <f aca="false">IFERROR(IF(AND(B498&lt;=Eingaben!$B$11,Szenarien!$H$20="OK"),1/(1+Eingaben!$B$39+Szenarien!$G$20)^B498,0),0)</f>
        <v>0</v>
      </c>
      <c r="I498" s="13" t="n">
        <f aca="false">G498*H498</f>
        <v>0</v>
      </c>
      <c r="J498" s="13" t="n">
        <f aca="false">(D498+E498-F498)*H498</f>
        <v>0</v>
      </c>
      <c r="K498" s="13" t="n">
        <f aca="false">IF(AND(B498&lt;=Eingaben!$B$11,Szenarien!$H$20="OK"),SUM(Variantenbilanz!K3299:K3664)*H498,0)</f>
        <v>0</v>
      </c>
    </row>
    <row r="499" customFormat="false" ht="16.4" hidden="false" customHeight="false" outlineLevel="0" collapsed="false">
      <c r="A499" s="12"/>
      <c r="B499" s="15" t="n">
        <v>35</v>
      </c>
      <c r="C499" s="13" t="n">
        <f aca="false">IFERROR(IF(AND(B499&lt;=Eingaben!$B$11,Szenarien!$H$20="OK"),SUM(Variantenbilanz!K3299:K3664)*(Eingaben!$B$36*Szenarien!$C$20*(1+Eingaben!$B$40)^(B499-1)+Eingaben!$B$37*Eingaben!$B$38*(1+Eingaben!$B$46)^(B499-1)),0),0)</f>
        <v>0</v>
      </c>
      <c r="D499" s="13" t="n">
        <f aca="false">IFERROR(IF(AND(B499&lt;=Eingaben!$B$11,Szenarien!$H$20="OK"),((Eingaben!$B$32+Eingaben!$B$35)*(1+Eingaben!$B$41)^(B499-1)+SUM(Variantenbilanz!E3299:E3664)*Eingaben!$B$33*Eingaben!$B$34*(1+Eingaben!$B$42)^(B499-1))*Szenarien!$F$20,0),0)</f>
        <v>0</v>
      </c>
      <c r="E499" s="13" t="n">
        <f aca="false">IFERROR(IF(AND(AND(B499&lt;=Eingaben!$B$11,Szenarien!$H$20="OK"),B499=Eingaben!$B$43),Eingaben!$B$44*Szenarien!$B$20*(1+Eingaben!$B$41)^(B499-1),0),0)</f>
        <v>0</v>
      </c>
      <c r="F499" s="13" t="n">
        <f aca="false">IFERROR(IF(AND(AND(B499&lt;=Eingaben!$B$11,Szenarien!$H$20="OK"),B499=Eingaben!$B$11),Eingaben!$B$45*Szenarien!$B$20,0),0)</f>
        <v>0</v>
      </c>
      <c r="G499" s="13" t="n">
        <f aca="false">C499-D499-E499+F499</f>
        <v>0</v>
      </c>
      <c r="H499" s="13" t="n">
        <f aca="false">IFERROR(IF(AND(B499&lt;=Eingaben!$B$11,Szenarien!$H$20="OK"),1/(1+Eingaben!$B$39+Szenarien!$G$20)^B499,0),0)</f>
        <v>0</v>
      </c>
      <c r="I499" s="13" t="n">
        <f aca="false">G499*H499</f>
        <v>0</v>
      </c>
      <c r="J499" s="13" t="n">
        <f aca="false">(D499+E499-F499)*H499</f>
        <v>0</v>
      </c>
      <c r="K499" s="13" t="n">
        <f aca="false">IF(AND(B499&lt;=Eingaben!$B$11,Szenarien!$H$20="OK"),SUM(Variantenbilanz!K3299:K3664)*H499,0)</f>
        <v>0</v>
      </c>
    </row>
    <row r="500" customFormat="false" ht="16.4" hidden="false" customHeight="false" outlineLevel="0" collapsed="false">
      <c r="A500" s="12"/>
      <c r="B500" s="15" t="n">
        <v>36</v>
      </c>
      <c r="C500" s="13" t="n">
        <f aca="false">IFERROR(IF(AND(B500&lt;=Eingaben!$B$11,Szenarien!$H$20="OK"),SUM(Variantenbilanz!K3299:K3664)*(Eingaben!$B$36*Szenarien!$C$20*(1+Eingaben!$B$40)^(B500-1)+Eingaben!$B$37*Eingaben!$B$38*(1+Eingaben!$B$46)^(B500-1)),0),0)</f>
        <v>0</v>
      </c>
      <c r="D500" s="13" t="n">
        <f aca="false">IFERROR(IF(AND(B500&lt;=Eingaben!$B$11,Szenarien!$H$20="OK"),((Eingaben!$B$32+Eingaben!$B$35)*(1+Eingaben!$B$41)^(B500-1)+SUM(Variantenbilanz!E3299:E3664)*Eingaben!$B$33*Eingaben!$B$34*(1+Eingaben!$B$42)^(B500-1))*Szenarien!$F$20,0),0)</f>
        <v>0</v>
      </c>
      <c r="E500" s="13" t="n">
        <f aca="false">IFERROR(IF(AND(AND(B500&lt;=Eingaben!$B$11,Szenarien!$H$20="OK"),B500=Eingaben!$B$43),Eingaben!$B$44*Szenarien!$B$20*(1+Eingaben!$B$41)^(B500-1),0),0)</f>
        <v>0</v>
      </c>
      <c r="F500" s="13" t="n">
        <f aca="false">IFERROR(IF(AND(AND(B500&lt;=Eingaben!$B$11,Szenarien!$H$20="OK"),B500=Eingaben!$B$11),Eingaben!$B$45*Szenarien!$B$20,0),0)</f>
        <v>0</v>
      </c>
      <c r="G500" s="13" t="n">
        <f aca="false">C500-D500-E500+F500</f>
        <v>0</v>
      </c>
      <c r="H500" s="13" t="n">
        <f aca="false">IFERROR(IF(AND(B500&lt;=Eingaben!$B$11,Szenarien!$H$20="OK"),1/(1+Eingaben!$B$39+Szenarien!$G$20)^B500,0),0)</f>
        <v>0</v>
      </c>
      <c r="I500" s="13" t="n">
        <f aca="false">G500*H500</f>
        <v>0</v>
      </c>
      <c r="J500" s="13" t="n">
        <f aca="false">(D500+E500-F500)*H500</f>
        <v>0</v>
      </c>
      <c r="K500" s="13" t="n">
        <f aca="false">IF(AND(B500&lt;=Eingaben!$B$11,Szenarien!$H$20="OK"),SUM(Variantenbilanz!K3299:K3664)*H500,0)</f>
        <v>0</v>
      </c>
    </row>
    <row r="501" customFormat="false" ht="16.4" hidden="false" customHeight="false" outlineLevel="0" collapsed="false">
      <c r="A501" s="12"/>
      <c r="B501" s="15" t="n">
        <v>37</v>
      </c>
      <c r="C501" s="13" t="n">
        <f aca="false">IFERROR(IF(AND(B501&lt;=Eingaben!$B$11,Szenarien!$H$20="OK"),SUM(Variantenbilanz!K3299:K3664)*(Eingaben!$B$36*Szenarien!$C$20*(1+Eingaben!$B$40)^(B501-1)+Eingaben!$B$37*Eingaben!$B$38*(1+Eingaben!$B$46)^(B501-1)),0),0)</f>
        <v>0</v>
      </c>
      <c r="D501" s="13" t="n">
        <f aca="false">IFERROR(IF(AND(B501&lt;=Eingaben!$B$11,Szenarien!$H$20="OK"),((Eingaben!$B$32+Eingaben!$B$35)*(1+Eingaben!$B$41)^(B501-1)+SUM(Variantenbilanz!E3299:E3664)*Eingaben!$B$33*Eingaben!$B$34*(1+Eingaben!$B$42)^(B501-1))*Szenarien!$F$20,0),0)</f>
        <v>0</v>
      </c>
      <c r="E501" s="13" t="n">
        <f aca="false">IFERROR(IF(AND(AND(B501&lt;=Eingaben!$B$11,Szenarien!$H$20="OK"),B501=Eingaben!$B$43),Eingaben!$B$44*Szenarien!$B$20*(1+Eingaben!$B$41)^(B501-1),0),0)</f>
        <v>0</v>
      </c>
      <c r="F501" s="13" t="n">
        <f aca="false">IFERROR(IF(AND(AND(B501&lt;=Eingaben!$B$11,Szenarien!$H$20="OK"),B501=Eingaben!$B$11),Eingaben!$B$45*Szenarien!$B$20,0),0)</f>
        <v>0</v>
      </c>
      <c r="G501" s="13" t="n">
        <f aca="false">C501-D501-E501+F501</f>
        <v>0</v>
      </c>
      <c r="H501" s="13" t="n">
        <f aca="false">IFERROR(IF(AND(B501&lt;=Eingaben!$B$11,Szenarien!$H$20="OK"),1/(1+Eingaben!$B$39+Szenarien!$G$20)^B501,0),0)</f>
        <v>0</v>
      </c>
      <c r="I501" s="13" t="n">
        <f aca="false">G501*H501</f>
        <v>0</v>
      </c>
      <c r="J501" s="13" t="n">
        <f aca="false">(D501+E501-F501)*H501</f>
        <v>0</v>
      </c>
      <c r="K501" s="13" t="n">
        <f aca="false">IF(AND(B501&lt;=Eingaben!$B$11,Szenarien!$H$20="OK"),SUM(Variantenbilanz!K3299:K3664)*H501,0)</f>
        <v>0</v>
      </c>
    </row>
    <row r="502" customFormat="false" ht="16.4" hidden="false" customHeight="false" outlineLevel="0" collapsed="false">
      <c r="A502" s="12"/>
      <c r="B502" s="15" t="n">
        <v>38</v>
      </c>
      <c r="C502" s="13" t="n">
        <f aca="false">IFERROR(IF(AND(B502&lt;=Eingaben!$B$11,Szenarien!$H$20="OK"),SUM(Variantenbilanz!K3299:K3664)*(Eingaben!$B$36*Szenarien!$C$20*(1+Eingaben!$B$40)^(B502-1)+Eingaben!$B$37*Eingaben!$B$38*(1+Eingaben!$B$46)^(B502-1)),0),0)</f>
        <v>0</v>
      </c>
      <c r="D502" s="13" t="n">
        <f aca="false">IFERROR(IF(AND(B502&lt;=Eingaben!$B$11,Szenarien!$H$20="OK"),((Eingaben!$B$32+Eingaben!$B$35)*(1+Eingaben!$B$41)^(B502-1)+SUM(Variantenbilanz!E3299:E3664)*Eingaben!$B$33*Eingaben!$B$34*(1+Eingaben!$B$42)^(B502-1))*Szenarien!$F$20,0),0)</f>
        <v>0</v>
      </c>
      <c r="E502" s="13" t="n">
        <f aca="false">IFERROR(IF(AND(AND(B502&lt;=Eingaben!$B$11,Szenarien!$H$20="OK"),B502=Eingaben!$B$43),Eingaben!$B$44*Szenarien!$B$20*(1+Eingaben!$B$41)^(B502-1),0),0)</f>
        <v>0</v>
      </c>
      <c r="F502" s="13" t="n">
        <f aca="false">IFERROR(IF(AND(AND(B502&lt;=Eingaben!$B$11,Szenarien!$H$20="OK"),B502=Eingaben!$B$11),Eingaben!$B$45*Szenarien!$B$20,0),0)</f>
        <v>0</v>
      </c>
      <c r="G502" s="13" t="n">
        <f aca="false">C502-D502-E502+F502</f>
        <v>0</v>
      </c>
      <c r="H502" s="13" t="n">
        <f aca="false">IFERROR(IF(AND(B502&lt;=Eingaben!$B$11,Szenarien!$H$20="OK"),1/(1+Eingaben!$B$39+Szenarien!$G$20)^B502,0),0)</f>
        <v>0</v>
      </c>
      <c r="I502" s="13" t="n">
        <f aca="false">G502*H502</f>
        <v>0</v>
      </c>
      <c r="J502" s="13" t="n">
        <f aca="false">(D502+E502-F502)*H502</f>
        <v>0</v>
      </c>
      <c r="K502" s="13" t="n">
        <f aca="false">IF(AND(B502&lt;=Eingaben!$B$11,Szenarien!$H$20="OK"),SUM(Variantenbilanz!K3299:K3664)*H502,0)</f>
        <v>0</v>
      </c>
    </row>
    <row r="503" customFormat="false" ht="16.4" hidden="false" customHeight="false" outlineLevel="0" collapsed="false">
      <c r="A503" s="12"/>
      <c r="B503" s="15" t="n">
        <v>39</v>
      </c>
      <c r="C503" s="13" t="n">
        <f aca="false">IFERROR(IF(AND(B503&lt;=Eingaben!$B$11,Szenarien!$H$20="OK"),SUM(Variantenbilanz!K3299:K3664)*(Eingaben!$B$36*Szenarien!$C$20*(1+Eingaben!$B$40)^(B503-1)+Eingaben!$B$37*Eingaben!$B$38*(1+Eingaben!$B$46)^(B503-1)),0),0)</f>
        <v>0</v>
      </c>
      <c r="D503" s="13" t="n">
        <f aca="false">IFERROR(IF(AND(B503&lt;=Eingaben!$B$11,Szenarien!$H$20="OK"),((Eingaben!$B$32+Eingaben!$B$35)*(1+Eingaben!$B$41)^(B503-1)+SUM(Variantenbilanz!E3299:E3664)*Eingaben!$B$33*Eingaben!$B$34*(1+Eingaben!$B$42)^(B503-1))*Szenarien!$F$20,0),0)</f>
        <v>0</v>
      </c>
      <c r="E503" s="13" t="n">
        <f aca="false">IFERROR(IF(AND(AND(B503&lt;=Eingaben!$B$11,Szenarien!$H$20="OK"),B503=Eingaben!$B$43),Eingaben!$B$44*Szenarien!$B$20*(1+Eingaben!$B$41)^(B503-1),0),0)</f>
        <v>0</v>
      </c>
      <c r="F503" s="13" t="n">
        <f aca="false">IFERROR(IF(AND(AND(B503&lt;=Eingaben!$B$11,Szenarien!$H$20="OK"),B503=Eingaben!$B$11),Eingaben!$B$45*Szenarien!$B$20,0),0)</f>
        <v>0</v>
      </c>
      <c r="G503" s="13" t="n">
        <f aca="false">C503-D503-E503+F503</f>
        <v>0</v>
      </c>
      <c r="H503" s="13" t="n">
        <f aca="false">IFERROR(IF(AND(B503&lt;=Eingaben!$B$11,Szenarien!$H$20="OK"),1/(1+Eingaben!$B$39+Szenarien!$G$20)^B503,0),0)</f>
        <v>0</v>
      </c>
      <c r="I503" s="13" t="n">
        <f aca="false">G503*H503</f>
        <v>0</v>
      </c>
      <c r="J503" s="13" t="n">
        <f aca="false">(D503+E503-F503)*H503</f>
        <v>0</v>
      </c>
      <c r="K503" s="13" t="n">
        <f aca="false">IF(AND(B503&lt;=Eingaben!$B$11,Szenarien!$H$20="OK"),SUM(Variantenbilanz!K3299:K3664)*H503,0)</f>
        <v>0</v>
      </c>
    </row>
    <row r="504" customFormat="false" ht="16.4" hidden="false" customHeight="false" outlineLevel="0" collapsed="false">
      <c r="A504" s="12"/>
      <c r="B504" s="15" t="n">
        <v>40</v>
      </c>
      <c r="C504" s="13" t="n">
        <f aca="false">IFERROR(IF(AND(B504&lt;=Eingaben!$B$11,Szenarien!$H$20="OK"),SUM(Variantenbilanz!K3299:K3664)*(Eingaben!$B$36*Szenarien!$C$20*(1+Eingaben!$B$40)^(B504-1)+Eingaben!$B$37*Eingaben!$B$38*(1+Eingaben!$B$46)^(B504-1)),0),0)</f>
        <v>0</v>
      </c>
      <c r="D504" s="13" t="n">
        <f aca="false">IFERROR(IF(AND(B504&lt;=Eingaben!$B$11,Szenarien!$H$20="OK"),((Eingaben!$B$32+Eingaben!$B$35)*(1+Eingaben!$B$41)^(B504-1)+SUM(Variantenbilanz!E3299:E3664)*Eingaben!$B$33*Eingaben!$B$34*(1+Eingaben!$B$42)^(B504-1))*Szenarien!$F$20,0),0)</f>
        <v>0</v>
      </c>
      <c r="E504" s="13" t="n">
        <f aca="false">IFERROR(IF(AND(AND(B504&lt;=Eingaben!$B$11,Szenarien!$H$20="OK"),B504=Eingaben!$B$43),Eingaben!$B$44*Szenarien!$B$20*(1+Eingaben!$B$41)^(B504-1),0),0)</f>
        <v>0</v>
      </c>
      <c r="F504" s="13" t="n">
        <f aca="false">IFERROR(IF(AND(AND(B504&lt;=Eingaben!$B$11,Szenarien!$H$20="OK"),B504=Eingaben!$B$11),Eingaben!$B$45*Szenarien!$B$20,0),0)</f>
        <v>0</v>
      </c>
      <c r="G504" s="13" t="n">
        <f aca="false">C504-D504-E504+F504</f>
        <v>0</v>
      </c>
      <c r="H504" s="13" t="n">
        <f aca="false">IFERROR(IF(AND(B504&lt;=Eingaben!$B$11,Szenarien!$H$20="OK"),1/(1+Eingaben!$B$39+Szenarien!$G$20)^B504,0),0)</f>
        <v>0</v>
      </c>
      <c r="I504" s="13" t="n">
        <f aca="false">G504*H504</f>
        <v>0</v>
      </c>
      <c r="J504" s="13" t="n">
        <f aca="false">(D504+E504-F504)*H504</f>
        <v>0</v>
      </c>
      <c r="K504" s="13" t="n">
        <f aca="false">IF(AND(B504&lt;=Eingaben!$B$11,Szenarien!$H$20="OK"),SUM(Variantenbilanz!K3299:K3664)*H504,0)</f>
        <v>0</v>
      </c>
    </row>
    <row r="505" customFormat="false" ht="16.4" hidden="false" customHeight="false" outlineLevel="0" collapsed="false">
      <c r="A505" s="12"/>
      <c r="B505" s="15" t="n">
        <v>41</v>
      </c>
      <c r="C505" s="13" t="n">
        <f aca="false">IFERROR(IF(AND(B505&lt;=Eingaben!$B$11,Szenarien!$H$20="OK"),SUM(Variantenbilanz!K3299:K3664)*(Eingaben!$B$36*Szenarien!$C$20*(1+Eingaben!$B$40)^(B505-1)+Eingaben!$B$37*Eingaben!$B$38*(1+Eingaben!$B$46)^(B505-1)),0),0)</f>
        <v>0</v>
      </c>
      <c r="D505" s="13" t="n">
        <f aca="false">IFERROR(IF(AND(B505&lt;=Eingaben!$B$11,Szenarien!$H$20="OK"),((Eingaben!$B$32+Eingaben!$B$35)*(1+Eingaben!$B$41)^(B505-1)+SUM(Variantenbilanz!E3299:E3664)*Eingaben!$B$33*Eingaben!$B$34*(1+Eingaben!$B$42)^(B505-1))*Szenarien!$F$20,0),0)</f>
        <v>0</v>
      </c>
      <c r="E505" s="13" t="n">
        <f aca="false">IFERROR(IF(AND(AND(B505&lt;=Eingaben!$B$11,Szenarien!$H$20="OK"),B505=Eingaben!$B$43),Eingaben!$B$44*Szenarien!$B$20*(1+Eingaben!$B$41)^(B505-1),0),0)</f>
        <v>0</v>
      </c>
      <c r="F505" s="13" t="n">
        <f aca="false">IFERROR(IF(AND(AND(B505&lt;=Eingaben!$B$11,Szenarien!$H$20="OK"),B505=Eingaben!$B$11),Eingaben!$B$45*Szenarien!$B$20,0),0)</f>
        <v>0</v>
      </c>
      <c r="G505" s="13" t="n">
        <f aca="false">C505-D505-E505+F505</f>
        <v>0</v>
      </c>
      <c r="H505" s="13" t="n">
        <f aca="false">IFERROR(IF(AND(B505&lt;=Eingaben!$B$11,Szenarien!$H$20="OK"),1/(1+Eingaben!$B$39+Szenarien!$G$20)^B505,0),0)</f>
        <v>0</v>
      </c>
      <c r="I505" s="13" t="n">
        <f aca="false">G505*H505</f>
        <v>0</v>
      </c>
      <c r="J505" s="13" t="n">
        <f aca="false">(D505+E505-F505)*H505</f>
        <v>0</v>
      </c>
      <c r="K505" s="13" t="n">
        <f aca="false">IF(AND(B505&lt;=Eingaben!$B$11,Szenarien!$H$20="OK"),SUM(Variantenbilanz!K3299:K3664)*H505,0)</f>
        <v>0</v>
      </c>
    </row>
    <row r="506" customFormat="false" ht="16.4" hidden="false" customHeight="false" outlineLevel="0" collapsed="false">
      <c r="A506" s="12"/>
      <c r="B506" s="15" t="n">
        <v>42</v>
      </c>
      <c r="C506" s="13" t="n">
        <f aca="false">IFERROR(IF(AND(B506&lt;=Eingaben!$B$11,Szenarien!$H$20="OK"),SUM(Variantenbilanz!K3299:K3664)*(Eingaben!$B$36*Szenarien!$C$20*(1+Eingaben!$B$40)^(B506-1)+Eingaben!$B$37*Eingaben!$B$38*(1+Eingaben!$B$46)^(B506-1)),0),0)</f>
        <v>0</v>
      </c>
      <c r="D506" s="13" t="n">
        <f aca="false">IFERROR(IF(AND(B506&lt;=Eingaben!$B$11,Szenarien!$H$20="OK"),((Eingaben!$B$32+Eingaben!$B$35)*(1+Eingaben!$B$41)^(B506-1)+SUM(Variantenbilanz!E3299:E3664)*Eingaben!$B$33*Eingaben!$B$34*(1+Eingaben!$B$42)^(B506-1))*Szenarien!$F$20,0),0)</f>
        <v>0</v>
      </c>
      <c r="E506" s="13" t="n">
        <f aca="false">IFERROR(IF(AND(AND(B506&lt;=Eingaben!$B$11,Szenarien!$H$20="OK"),B506=Eingaben!$B$43),Eingaben!$B$44*Szenarien!$B$20*(1+Eingaben!$B$41)^(B506-1),0),0)</f>
        <v>0</v>
      </c>
      <c r="F506" s="13" t="n">
        <f aca="false">IFERROR(IF(AND(AND(B506&lt;=Eingaben!$B$11,Szenarien!$H$20="OK"),B506=Eingaben!$B$11),Eingaben!$B$45*Szenarien!$B$20,0),0)</f>
        <v>0</v>
      </c>
      <c r="G506" s="13" t="n">
        <f aca="false">C506-D506-E506+F506</f>
        <v>0</v>
      </c>
      <c r="H506" s="13" t="n">
        <f aca="false">IFERROR(IF(AND(B506&lt;=Eingaben!$B$11,Szenarien!$H$20="OK"),1/(1+Eingaben!$B$39+Szenarien!$G$20)^B506,0),0)</f>
        <v>0</v>
      </c>
      <c r="I506" s="13" t="n">
        <f aca="false">G506*H506</f>
        <v>0</v>
      </c>
      <c r="J506" s="13" t="n">
        <f aca="false">(D506+E506-F506)*H506</f>
        <v>0</v>
      </c>
      <c r="K506" s="13" t="n">
        <f aca="false">IF(AND(B506&lt;=Eingaben!$B$11,Szenarien!$H$20="OK"),SUM(Variantenbilanz!K3299:K3664)*H506,0)</f>
        <v>0</v>
      </c>
    </row>
    <row r="507" customFormat="false" ht="16.4" hidden="false" customHeight="false" outlineLevel="0" collapsed="false">
      <c r="A507" s="12"/>
      <c r="B507" s="15" t="n">
        <v>43</v>
      </c>
      <c r="C507" s="13" t="n">
        <f aca="false">IFERROR(IF(AND(B507&lt;=Eingaben!$B$11,Szenarien!$H$20="OK"),SUM(Variantenbilanz!K3299:K3664)*(Eingaben!$B$36*Szenarien!$C$20*(1+Eingaben!$B$40)^(B507-1)+Eingaben!$B$37*Eingaben!$B$38*(1+Eingaben!$B$46)^(B507-1)),0),0)</f>
        <v>0</v>
      </c>
      <c r="D507" s="13" t="n">
        <f aca="false">IFERROR(IF(AND(B507&lt;=Eingaben!$B$11,Szenarien!$H$20="OK"),((Eingaben!$B$32+Eingaben!$B$35)*(1+Eingaben!$B$41)^(B507-1)+SUM(Variantenbilanz!E3299:E3664)*Eingaben!$B$33*Eingaben!$B$34*(1+Eingaben!$B$42)^(B507-1))*Szenarien!$F$20,0),0)</f>
        <v>0</v>
      </c>
      <c r="E507" s="13" t="n">
        <f aca="false">IFERROR(IF(AND(AND(B507&lt;=Eingaben!$B$11,Szenarien!$H$20="OK"),B507=Eingaben!$B$43),Eingaben!$B$44*Szenarien!$B$20*(1+Eingaben!$B$41)^(B507-1),0),0)</f>
        <v>0</v>
      </c>
      <c r="F507" s="13" t="n">
        <f aca="false">IFERROR(IF(AND(AND(B507&lt;=Eingaben!$B$11,Szenarien!$H$20="OK"),B507=Eingaben!$B$11),Eingaben!$B$45*Szenarien!$B$20,0),0)</f>
        <v>0</v>
      </c>
      <c r="G507" s="13" t="n">
        <f aca="false">C507-D507-E507+F507</f>
        <v>0</v>
      </c>
      <c r="H507" s="13" t="n">
        <f aca="false">IFERROR(IF(AND(B507&lt;=Eingaben!$B$11,Szenarien!$H$20="OK"),1/(1+Eingaben!$B$39+Szenarien!$G$20)^B507,0),0)</f>
        <v>0</v>
      </c>
      <c r="I507" s="13" t="n">
        <f aca="false">G507*H507</f>
        <v>0</v>
      </c>
      <c r="J507" s="13" t="n">
        <f aca="false">(D507+E507-F507)*H507</f>
        <v>0</v>
      </c>
      <c r="K507" s="13" t="n">
        <f aca="false">IF(AND(B507&lt;=Eingaben!$B$11,Szenarien!$H$20="OK"),SUM(Variantenbilanz!K3299:K3664)*H507,0)</f>
        <v>0</v>
      </c>
    </row>
    <row r="508" customFormat="false" ht="16.4" hidden="false" customHeight="false" outlineLevel="0" collapsed="false">
      <c r="A508" s="12"/>
      <c r="B508" s="15" t="n">
        <v>44</v>
      </c>
      <c r="C508" s="13" t="n">
        <f aca="false">IFERROR(IF(AND(B508&lt;=Eingaben!$B$11,Szenarien!$H$20="OK"),SUM(Variantenbilanz!K3299:K3664)*(Eingaben!$B$36*Szenarien!$C$20*(1+Eingaben!$B$40)^(B508-1)+Eingaben!$B$37*Eingaben!$B$38*(1+Eingaben!$B$46)^(B508-1)),0),0)</f>
        <v>0</v>
      </c>
      <c r="D508" s="13" t="n">
        <f aca="false">IFERROR(IF(AND(B508&lt;=Eingaben!$B$11,Szenarien!$H$20="OK"),((Eingaben!$B$32+Eingaben!$B$35)*(1+Eingaben!$B$41)^(B508-1)+SUM(Variantenbilanz!E3299:E3664)*Eingaben!$B$33*Eingaben!$B$34*(1+Eingaben!$B$42)^(B508-1))*Szenarien!$F$20,0),0)</f>
        <v>0</v>
      </c>
      <c r="E508" s="13" t="n">
        <f aca="false">IFERROR(IF(AND(AND(B508&lt;=Eingaben!$B$11,Szenarien!$H$20="OK"),B508=Eingaben!$B$43),Eingaben!$B$44*Szenarien!$B$20*(1+Eingaben!$B$41)^(B508-1),0),0)</f>
        <v>0</v>
      </c>
      <c r="F508" s="13" t="n">
        <f aca="false">IFERROR(IF(AND(AND(B508&lt;=Eingaben!$B$11,Szenarien!$H$20="OK"),B508=Eingaben!$B$11),Eingaben!$B$45*Szenarien!$B$20,0),0)</f>
        <v>0</v>
      </c>
      <c r="G508" s="13" t="n">
        <f aca="false">C508-D508-E508+F508</f>
        <v>0</v>
      </c>
      <c r="H508" s="13" t="n">
        <f aca="false">IFERROR(IF(AND(B508&lt;=Eingaben!$B$11,Szenarien!$H$20="OK"),1/(1+Eingaben!$B$39+Szenarien!$G$20)^B508,0),0)</f>
        <v>0</v>
      </c>
      <c r="I508" s="13" t="n">
        <f aca="false">G508*H508</f>
        <v>0</v>
      </c>
      <c r="J508" s="13" t="n">
        <f aca="false">(D508+E508-F508)*H508</f>
        <v>0</v>
      </c>
      <c r="K508" s="13" t="n">
        <f aca="false">IF(AND(B508&lt;=Eingaben!$B$11,Szenarien!$H$20="OK"),SUM(Variantenbilanz!K3299:K3664)*H508,0)</f>
        <v>0</v>
      </c>
    </row>
    <row r="509" customFormat="false" ht="16.4" hidden="false" customHeight="false" outlineLevel="0" collapsed="false">
      <c r="A509" s="12"/>
      <c r="B509" s="15" t="n">
        <v>45</v>
      </c>
      <c r="C509" s="13" t="n">
        <f aca="false">IFERROR(IF(AND(B509&lt;=Eingaben!$B$11,Szenarien!$H$20="OK"),SUM(Variantenbilanz!K3299:K3664)*(Eingaben!$B$36*Szenarien!$C$20*(1+Eingaben!$B$40)^(B509-1)+Eingaben!$B$37*Eingaben!$B$38*(1+Eingaben!$B$46)^(B509-1)),0),0)</f>
        <v>0</v>
      </c>
      <c r="D509" s="13" t="n">
        <f aca="false">IFERROR(IF(AND(B509&lt;=Eingaben!$B$11,Szenarien!$H$20="OK"),((Eingaben!$B$32+Eingaben!$B$35)*(1+Eingaben!$B$41)^(B509-1)+SUM(Variantenbilanz!E3299:E3664)*Eingaben!$B$33*Eingaben!$B$34*(1+Eingaben!$B$42)^(B509-1))*Szenarien!$F$20,0),0)</f>
        <v>0</v>
      </c>
      <c r="E509" s="13" t="n">
        <f aca="false">IFERROR(IF(AND(AND(B509&lt;=Eingaben!$B$11,Szenarien!$H$20="OK"),B509=Eingaben!$B$43),Eingaben!$B$44*Szenarien!$B$20*(1+Eingaben!$B$41)^(B509-1),0),0)</f>
        <v>0</v>
      </c>
      <c r="F509" s="13" t="n">
        <f aca="false">IFERROR(IF(AND(AND(B509&lt;=Eingaben!$B$11,Szenarien!$H$20="OK"),B509=Eingaben!$B$11),Eingaben!$B$45*Szenarien!$B$20,0),0)</f>
        <v>0</v>
      </c>
      <c r="G509" s="13" t="n">
        <f aca="false">C509-D509-E509+F509</f>
        <v>0</v>
      </c>
      <c r="H509" s="13" t="n">
        <f aca="false">IFERROR(IF(AND(B509&lt;=Eingaben!$B$11,Szenarien!$H$20="OK"),1/(1+Eingaben!$B$39+Szenarien!$G$20)^B509,0),0)</f>
        <v>0</v>
      </c>
      <c r="I509" s="13" t="n">
        <f aca="false">G509*H509</f>
        <v>0</v>
      </c>
      <c r="J509" s="13" t="n">
        <f aca="false">(D509+E509-F509)*H509</f>
        <v>0</v>
      </c>
      <c r="K509" s="13" t="n">
        <f aca="false">IF(AND(B509&lt;=Eingaben!$B$11,Szenarien!$H$20="OK"),SUM(Variantenbilanz!K3299:K3664)*H509,0)</f>
        <v>0</v>
      </c>
    </row>
    <row r="510" customFormat="false" ht="16.4" hidden="false" customHeight="false" outlineLevel="0" collapsed="false">
      <c r="A510" s="12"/>
      <c r="B510" s="15" t="n">
        <v>46</v>
      </c>
      <c r="C510" s="13" t="n">
        <f aca="false">IFERROR(IF(AND(B510&lt;=Eingaben!$B$11,Szenarien!$H$20="OK"),SUM(Variantenbilanz!K3299:K3664)*(Eingaben!$B$36*Szenarien!$C$20*(1+Eingaben!$B$40)^(B510-1)+Eingaben!$B$37*Eingaben!$B$38*(1+Eingaben!$B$46)^(B510-1)),0),0)</f>
        <v>0</v>
      </c>
      <c r="D510" s="13" t="n">
        <f aca="false">IFERROR(IF(AND(B510&lt;=Eingaben!$B$11,Szenarien!$H$20="OK"),((Eingaben!$B$32+Eingaben!$B$35)*(1+Eingaben!$B$41)^(B510-1)+SUM(Variantenbilanz!E3299:E3664)*Eingaben!$B$33*Eingaben!$B$34*(1+Eingaben!$B$42)^(B510-1))*Szenarien!$F$20,0),0)</f>
        <v>0</v>
      </c>
      <c r="E510" s="13" t="n">
        <f aca="false">IFERROR(IF(AND(AND(B510&lt;=Eingaben!$B$11,Szenarien!$H$20="OK"),B510=Eingaben!$B$43),Eingaben!$B$44*Szenarien!$B$20*(1+Eingaben!$B$41)^(B510-1),0),0)</f>
        <v>0</v>
      </c>
      <c r="F510" s="13" t="n">
        <f aca="false">IFERROR(IF(AND(AND(B510&lt;=Eingaben!$B$11,Szenarien!$H$20="OK"),B510=Eingaben!$B$11),Eingaben!$B$45*Szenarien!$B$20,0),0)</f>
        <v>0</v>
      </c>
      <c r="G510" s="13" t="n">
        <f aca="false">C510-D510-E510+F510</f>
        <v>0</v>
      </c>
      <c r="H510" s="13" t="n">
        <f aca="false">IFERROR(IF(AND(B510&lt;=Eingaben!$B$11,Szenarien!$H$20="OK"),1/(1+Eingaben!$B$39+Szenarien!$G$20)^B510,0),0)</f>
        <v>0</v>
      </c>
      <c r="I510" s="13" t="n">
        <f aca="false">G510*H510</f>
        <v>0</v>
      </c>
      <c r="J510" s="13" t="n">
        <f aca="false">(D510+E510-F510)*H510</f>
        <v>0</v>
      </c>
      <c r="K510" s="13" t="n">
        <f aca="false">IF(AND(B510&lt;=Eingaben!$B$11,Szenarien!$H$20="OK"),SUM(Variantenbilanz!K3299:K3664)*H510,0)</f>
        <v>0</v>
      </c>
    </row>
    <row r="511" customFormat="false" ht="16.4" hidden="false" customHeight="false" outlineLevel="0" collapsed="false">
      <c r="A511" s="12"/>
      <c r="B511" s="15" t="n">
        <v>47</v>
      </c>
      <c r="C511" s="13" t="n">
        <f aca="false">IFERROR(IF(AND(B511&lt;=Eingaben!$B$11,Szenarien!$H$20="OK"),SUM(Variantenbilanz!K3299:K3664)*(Eingaben!$B$36*Szenarien!$C$20*(1+Eingaben!$B$40)^(B511-1)+Eingaben!$B$37*Eingaben!$B$38*(1+Eingaben!$B$46)^(B511-1)),0),0)</f>
        <v>0</v>
      </c>
      <c r="D511" s="13" t="n">
        <f aca="false">IFERROR(IF(AND(B511&lt;=Eingaben!$B$11,Szenarien!$H$20="OK"),((Eingaben!$B$32+Eingaben!$B$35)*(1+Eingaben!$B$41)^(B511-1)+SUM(Variantenbilanz!E3299:E3664)*Eingaben!$B$33*Eingaben!$B$34*(1+Eingaben!$B$42)^(B511-1))*Szenarien!$F$20,0),0)</f>
        <v>0</v>
      </c>
      <c r="E511" s="13" t="n">
        <f aca="false">IFERROR(IF(AND(AND(B511&lt;=Eingaben!$B$11,Szenarien!$H$20="OK"),B511=Eingaben!$B$43),Eingaben!$B$44*Szenarien!$B$20*(1+Eingaben!$B$41)^(B511-1),0),0)</f>
        <v>0</v>
      </c>
      <c r="F511" s="13" t="n">
        <f aca="false">IFERROR(IF(AND(AND(B511&lt;=Eingaben!$B$11,Szenarien!$H$20="OK"),B511=Eingaben!$B$11),Eingaben!$B$45*Szenarien!$B$20,0),0)</f>
        <v>0</v>
      </c>
      <c r="G511" s="13" t="n">
        <f aca="false">C511-D511-E511+F511</f>
        <v>0</v>
      </c>
      <c r="H511" s="13" t="n">
        <f aca="false">IFERROR(IF(AND(B511&lt;=Eingaben!$B$11,Szenarien!$H$20="OK"),1/(1+Eingaben!$B$39+Szenarien!$G$20)^B511,0),0)</f>
        <v>0</v>
      </c>
      <c r="I511" s="13" t="n">
        <f aca="false">G511*H511</f>
        <v>0</v>
      </c>
      <c r="J511" s="13" t="n">
        <f aca="false">(D511+E511-F511)*H511</f>
        <v>0</v>
      </c>
      <c r="K511" s="13" t="n">
        <f aca="false">IF(AND(B511&lt;=Eingaben!$B$11,Szenarien!$H$20="OK"),SUM(Variantenbilanz!K3299:K3664)*H511,0)</f>
        <v>0</v>
      </c>
    </row>
    <row r="512" customFormat="false" ht="16.4" hidden="false" customHeight="false" outlineLevel="0" collapsed="false">
      <c r="A512" s="12"/>
      <c r="B512" s="15" t="n">
        <v>48</v>
      </c>
      <c r="C512" s="13" t="n">
        <f aca="false">IFERROR(IF(AND(B512&lt;=Eingaben!$B$11,Szenarien!$H$20="OK"),SUM(Variantenbilanz!K3299:K3664)*(Eingaben!$B$36*Szenarien!$C$20*(1+Eingaben!$B$40)^(B512-1)+Eingaben!$B$37*Eingaben!$B$38*(1+Eingaben!$B$46)^(B512-1)),0),0)</f>
        <v>0</v>
      </c>
      <c r="D512" s="13" t="n">
        <f aca="false">IFERROR(IF(AND(B512&lt;=Eingaben!$B$11,Szenarien!$H$20="OK"),((Eingaben!$B$32+Eingaben!$B$35)*(1+Eingaben!$B$41)^(B512-1)+SUM(Variantenbilanz!E3299:E3664)*Eingaben!$B$33*Eingaben!$B$34*(1+Eingaben!$B$42)^(B512-1))*Szenarien!$F$20,0),0)</f>
        <v>0</v>
      </c>
      <c r="E512" s="13" t="n">
        <f aca="false">IFERROR(IF(AND(AND(B512&lt;=Eingaben!$B$11,Szenarien!$H$20="OK"),B512=Eingaben!$B$43),Eingaben!$B$44*Szenarien!$B$20*(1+Eingaben!$B$41)^(B512-1),0),0)</f>
        <v>0</v>
      </c>
      <c r="F512" s="13" t="n">
        <f aca="false">IFERROR(IF(AND(AND(B512&lt;=Eingaben!$B$11,Szenarien!$H$20="OK"),B512=Eingaben!$B$11),Eingaben!$B$45*Szenarien!$B$20,0),0)</f>
        <v>0</v>
      </c>
      <c r="G512" s="13" t="n">
        <f aca="false">C512-D512-E512+F512</f>
        <v>0</v>
      </c>
      <c r="H512" s="13" t="n">
        <f aca="false">IFERROR(IF(AND(B512&lt;=Eingaben!$B$11,Szenarien!$H$20="OK"),1/(1+Eingaben!$B$39+Szenarien!$G$20)^B512,0),0)</f>
        <v>0</v>
      </c>
      <c r="I512" s="13" t="n">
        <f aca="false">G512*H512</f>
        <v>0</v>
      </c>
      <c r="J512" s="13" t="n">
        <f aca="false">(D512+E512-F512)*H512</f>
        <v>0</v>
      </c>
      <c r="K512" s="13" t="n">
        <f aca="false">IF(AND(B512&lt;=Eingaben!$B$11,Szenarien!$H$20="OK"),SUM(Variantenbilanz!K3299:K3664)*H512,0)</f>
        <v>0</v>
      </c>
    </row>
    <row r="513" customFormat="false" ht="16.4" hidden="false" customHeight="false" outlineLevel="0" collapsed="false">
      <c r="A513" s="12"/>
      <c r="B513" s="15" t="n">
        <v>49</v>
      </c>
      <c r="C513" s="13" t="n">
        <f aca="false">IFERROR(IF(AND(B513&lt;=Eingaben!$B$11,Szenarien!$H$20="OK"),SUM(Variantenbilanz!K3299:K3664)*(Eingaben!$B$36*Szenarien!$C$20*(1+Eingaben!$B$40)^(B513-1)+Eingaben!$B$37*Eingaben!$B$38*(1+Eingaben!$B$46)^(B513-1)),0),0)</f>
        <v>0</v>
      </c>
      <c r="D513" s="13" t="n">
        <f aca="false">IFERROR(IF(AND(B513&lt;=Eingaben!$B$11,Szenarien!$H$20="OK"),((Eingaben!$B$32+Eingaben!$B$35)*(1+Eingaben!$B$41)^(B513-1)+SUM(Variantenbilanz!E3299:E3664)*Eingaben!$B$33*Eingaben!$B$34*(1+Eingaben!$B$42)^(B513-1))*Szenarien!$F$20,0),0)</f>
        <v>0</v>
      </c>
      <c r="E513" s="13" t="n">
        <f aca="false">IFERROR(IF(AND(AND(B513&lt;=Eingaben!$B$11,Szenarien!$H$20="OK"),B513=Eingaben!$B$43),Eingaben!$B$44*Szenarien!$B$20*(1+Eingaben!$B$41)^(B513-1),0),0)</f>
        <v>0</v>
      </c>
      <c r="F513" s="13" t="n">
        <f aca="false">IFERROR(IF(AND(AND(B513&lt;=Eingaben!$B$11,Szenarien!$H$20="OK"),B513=Eingaben!$B$11),Eingaben!$B$45*Szenarien!$B$20,0),0)</f>
        <v>0</v>
      </c>
      <c r="G513" s="13" t="n">
        <f aca="false">C513-D513-E513+F513</f>
        <v>0</v>
      </c>
      <c r="H513" s="13" t="n">
        <f aca="false">IFERROR(IF(AND(B513&lt;=Eingaben!$B$11,Szenarien!$H$20="OK"),1/(1+Eingaben!$B$39+Szenarien!$G$20)^B513,0),0)</f>
        <v>0</v>
      </c>
      <c r="I513" s="13" t="n">
        <f aca="false">G513*H513</f>
        <v>0</v>
      </c>
      <c r="J513" s="13" t="n">
        <f aca="false">(D513+E513-F513)*H513</f>
        <v>0</v>
      </c>
      <c r="K513" s="13" t="n">
        <f aca="false">IF(AND(B513&lt;=Eingaben!$B$11,Szenarien!$H$20="OK"),SUM(Variantenbilanz!K3299:K3664)*H513,0)</f>
        <v>0</v>
      </c>
    </row>
    <row r="514" customFormat="false" ht="16.4" hidden="false" customHeight="false" outlineLevel="0" collapsed="false">
      <c r="A514" s="12"/>
      <c r="B514" s="15" t="n">
        <v>50</v>
      </c>
      <c r="C514" s="13" t="n">
        <f aca="false">IFERROR(IF(AND(B514&lt;=Eingaben!$B$11,Szenarien!$H$20="OK"),SUM(Variantenbilanz!K3299:K3664)*(Eingaben!$B$36*Szenarien!$C$20*(1+Eingaben!$B$40)^(B514-1)+Eingaben!$B$37*Eingaben!$B$38*(1+Eingaben!$B$46)^(B514-1)),0),0)</f>
        <v>0</v>
      </c>
      <c r="D514" s="13" t="n">
        <f aca="false">IFERROR(IF(AND(B514&lt;=Eingaben!$B$11,Szenarien!$H$20="OK"),((Eingaben!$B$32+Eingaben!$B$35)*(1+Eingaben!$B$41)^(B514-1)+SUM(Variantenbilanz!E3299:E3664)*Eingaben!$B$33*Eingaben!$B$34*(1+Eingaben!$B$42)^(B514-1))*Szenarien!$F$20,0),0)</f>
        <v>0</v>
      </c>
      <c r="E514" s="13" t="n">
        <f aca="false">IFERROR(IF(AND(AND(B514&lt;=Eingaben!$B$11,Szenarien!$H$20="OK"),B514=Eingaben!$B$43),Eingaben!$B$44*Szenarien!$B$20*(1+Eingaben!$B$41)^(B514-1),0),0)</f>
        <v>0</v>
      </c>
      <c r="F514" s="13" t="n">
        <f aca="false">IFERROR(IF(AND(AND(B514&lt;=Eingaben!$B$11,Szenarien!$H$20="OK"),B514=Eingaben!$B$11),Eingaben!$B$45*Szenarien!$B$20,0),0)</f>
        <v>0</v>
      </c>
      <c r="G514" s="13" t="n">
        <f aca="false">C514-D514-E514+F514</f>
        <v>0</v>
      </c>
      <c r="H514" s="13" t="n">
        <f aca="false">IFERROR(IF(AND(B514&lt;=Eingaben!$B$11,Szenarien!$H$20="OK"),1/(1+Eingaben!$B$39+Szenarien!$G$20)^B514,0),0)</f>
        <v>0</v>
      </c>
      <c r="I514" s="13" t="n">
        <f aca="false">G514*H514</f>
        <v>0</v>
      </c>
      <c r="J514" s="13" t="n">
        <f aca="false">(D514+E514-F514)*H514</f>
        <v>0</v>
      </c>
      <c r="K514" s="13" t="n">
        <f aca="false">IF(AND(B514&lt;=Eingaben!$B$11,Szenarien!$H$20="OK"),SUM(Variantenbilanz!K3299:K3664)*H514,0)</f>
        <v>0</v>
      </c>
    </row>
    <row r="515" customFormat="false" ht="31.3" hidden="false" customHeight="false" outlineLevel="0" collapsed="false">
      <c r="A515" s="12" t="s">
        <v>337</v>
      </c>
      <c r="B515" s="15" t="n">
        <v>0</v>
      </c>
      <c r="C515" s="13" t="n">
        <f aca="false">0</f>
        <v>0</v>
      </c>
      <c r="D515" s="13" t="n">
        <f aca="false">0</f>
        <v>0</v>
      </c>
      <c r="E515" s="13" t="n">
        <f aca="false">MAX(0,Berechnung!$B$13*Szenarien!$B$21-MIN(Eingaben!$B$31,Berechnung!$B$13*Szenarien!$B$21))</f>
        <v>25000</v>
      </c>
      <c r="F515" s="13" t="n">
        <f aca="false">0</f>
        <v>0</v>
      </c>
      <c r="G515" s="13" t="n">
        <f aca="false">-E515</f>
        <v>-25000</v>
      </c>
      <c r="H515" s="13" t="n">
        <f aca="false">1</f>
        <v>1</v>
      </c>
      <c r="I515" s="13" t="n">
        <f aca="false">G515</f>
        <v>-25000</v>
      </c>
      <c r="J515" s="13" t="n">
        <f aca="false">E515</f>
        <v>25000</v>
      </c>
      <c r="K515" s="13" t="n">
        <f aca="false">0</f>
        <v>0</v>
      </c>
    </row>
    <row r="516" customFormat="false" ht="16.4" hidden="false" customHeight="false" outlineLevel="0" collapsed="false">
      <c r="A516" s="12"/>
      <c r="B516" s="15" t="n">
        <v>1</v>
      </c>
      <c r="C516" s="13" t="n">
        <f aca="false">IFERROR(IF(AND(B516&lt;=Eingaben!$B$11,Szenarien!$H$21="OK"),SUM(Variantenbilanz!K3665:K4030)*(Eingaben!$B$36*Szenarien!$C$21*(1+Eingaben!$B$40)^(B516-1)+Eingaben!$B$37*Eingaben!$B$38*(1+Eingaben!$B$46)^(B516-1)),0),0)</f>
        <v>1603.6949356</v>
      </c>
      <c r="D516" s="13" t="n">
        <f aca="false">IFERROR(IF(AND(B516&lt;=Eingaben!$B$11,Szenarien!$H$21="OK"),((Eingaben!$B$32+Eingaben!$B$35)*(1+Eingaben!$B$41)^(B516-1)+SUM(Variantenbilanz!E3665:E4030)*Eingaben!$B$33*Eingaben!$B$34*(1+Eingaben!$B$42)^(B516-1))*Szenarien!$F$21,0),0)</f>
        <v>823.8324</v>
      </c>
      <c r="E516" s="13" t="n">
        <f aca="false">IFERROR(IF(AND(AND(B516&lt;=Eingaben!$B$11,Szenarien!$H$21="OK"),B516=Eingaben!$B$43),Eingaben!$B$44*Szenarien!$B$21*(1+Eingaben!$B$41)^(B516-1),0),0)</f>
        <v>0</v>
      </c>
      <c r="F516" s="13" t="n">
        <f aca="false">IFERROR(IF(AND(AND(B516&lt;=Eingaben!$B$11,Szenarien!$H$21="OK"),B516=Eingaben!$B$11),Eingaben!$B$45*Szenarien!$B$21,0),0)</f>
        <v>0</v>
      </c>
      <c r="G516" s="13" t="n">
        <f aca="false">C516-D516-E516+F516</f>
        <v>779.8625356</v>
      </c>
      <c r="H516" s="13" t="n">
        <f aca="false">IFERROR(IF(AND(B516&lt;=Eingaben!$B$11,Szenarien!$H$21="OK"),1/(1+Eingaben!$B$39+Szenarien!$G$21)^B516,0),0)</f>
        <v>0.970873786407767</v>
      </c>
      <c r="I516" s="13" t="n">
        <f aca="false">G516*H516</f>
        <v>757.148092815534</v>
      </c>
      <c r="J516" s="13" t="n">
        <f aca="false">(D516+E516-F516)*H516</f>
        <v>799.837281553398</v>
      </c>
      <c r="K516" s="13" t="n">
        <f aca="false">IF(AND(B516&lt;=Eingaben!$B$11,Szenarien!$H$21="OK"),SUM(Variantenbilanz!K3665:K4030)*H516,0)</f>
        <v>622.794149747573</v>
      </c>
    </row>
    <row r="517" customFormat="false" ht="16.4" hidden="false" customHeight="false" outlineLevel="0" collapsed="false">
      <c r="A517" s="12"/>
      <c r="B517" s="15" t="n">
        <v>2</v>
      </c>
      <c r="C517" s="13" t="n">
        <f aca="false">IFERROR(IF(AND(B517&lt;=Eingaben!$B$11,Szenarien!$H$21="OK"),SUM(Variantenbilanz!K3665:K4030)*(Eingaben!$B$36*Szenarien!$C$21*(1+Eingaben!$B$40)^(B517-1)+Eingaben!$B$37*Eingaben!$B$38*(1+Eingaben!$B$46)^(B517-1)),0),0)</f>
        <v>1635.768834312</v>
      </c>
      <c r="D517" s="13" t="n">
        <f aca="false">IFERROR(IF(AND(B517&lt;=Eingaben!$B$11,Szenarien!$H$21="OK"),((Eingaben!$B$32+Eingaben!$B$35)*(1+Eingaben!$B$41)^(B517-1)+SUM(Variantenbilanz!E3665:E4030)*Eingaben!$B$33*Eingaben!$B$34*(1+Eingaben!$B$42)^(B517-1))*Szenarien!$F$21,0),0)</f>
        <v>840.309048</v>
      </c>
      <c r="E517" s="13" t="n">
        <f aca="false">IFERROR(IF(AND(AND(B517&lt;=Eingaben!$B$11,Szenarien!$H$21="OK"),B517=Eingaben!$B$43),Eingaben!$B$44*Szenarien!$B$21*(1+Eingaben!$B$41)^(B517-1),0),0)</f>
        <v>0</v>
      </c>
      <c r="F517" s="13" t="n">
        <f aca="false">IFERROR(IF(AND(AND(B517&lt;=Eingaben!$B$11,Szenarien!$H$21="OK"),B517=Eingaben!$B$11),Eingaben!$B$45*Szenarien!$B$21,0),0)</f>
        <v>0</v>
      </c>
      <c r="G517" s="13" t="n">
        <f aca="false">C517-D517-E517+F517</f>
        <v>795.459786312</v>
      </c>
      <c r="H517" s="13" t="n">
        <f aca="false">IFERROR(IF(AND(B517&lt;=Eingaben!$B$11,Szenarien!$H$21="OK"),1/(1+Eingaben!$B$39+Szenarien!$G$21)^B517,0),0)</f>
        <v>0.942595909133754</v>
      </c>
      <c r="I517" s="13" t="n">
        <f aca="false">G517*H517</f>
        <v>749.797140458102</v>
      </c>
      <c r="J517" s="13" t="n">
        <f aca="false">(D517+E517-F517)*H517</f>
        <v>792.07187105288</v>
      </c>
      <c r="K517" s="13" t="n">
        <f aca="false">IF(AND(B517&lt;=Eingaben!$B$11,Szenarien!$H$21="OK"),SUM(Variantenbilanz!K3665:K4030)*H517,0)</f>
        <v>604.654514318032</v>
      </c>
    </row>
    <row r="518" customFormat="false" ht="16.4" hidden="false" customHeight="false" outlineLevel="0" collapsed="false">
      <c r="A518" s="12"/>
      <c r="B518" s="15" t="n">
        <v>3</v>
      </c>
      <c r="C518" s="13" t="n">
        <f aca="false">IFERROR(IF(AND(B518&lt;=Eingaben!$B$11,Szenarien!$H$21="OK"),SUM(Variantenbilanz!K3665:K4030)*(Eingaben!$B$36*Szenarien!$C$21*(1+Eingaben!$B$40)^(B518-1)+Eingaben!$B$37*Eingaben!$B$38*(1+Eingaben!$B$46)^(B518-1)),0),0)</f>
        <v>1668.48421099824</v>
      </c>
      <c r="D518" s="13" t="n">
        <f aca="false">IFERROR(IF(AND(B518&lt;=Eingaben!$B$11,Szenarien!$H$21="OK"),((Eingaben!$B$32+Eingaben!$B$35)*(1+Eingaben!$B$41)^(B518-1)+SUM(Variantenbilanz!E3665:E4030)*Eingaben!$B$33*Eingaben!$B$34*(1+Eingaben!$B$42)^(B518-1))*Szenarien!$F$21,0),0)</f>
        <v>857.11522896</v>
      </c>
      <c r="E518" s="13" t="n">
        <f aca="false">IFERROR(IF(AND(AND(B518&lt;=Eingaben!$B$11,Szenarien!$H$21="OK"),B518=Eingaben!$B$43),Eingaben!$B$44*Szenarien!$B$21*(1+Eingaben!$B$41)^(B518-1),0),0)</f>
        <v>0</v>
      </c>
      <c r="F518" s="13" t="n">
        <f aca="false">IFERROR(IF(AND(AND(B518&lt;=Eingaben!$B$11,Szenarien!$H$21="OK"),B518=Eingaben!$B$11),Eingaben!$B$45*Szenarien!$B$21,0),0)</f>
        <v>0</v>
      </c>
      <c r="G518" s="13" t="n">
        <f aca="false">C518-D518-E518+F518</f>
        <v>811.36898203824</v>
      </c>
      <c r="H518" s="13" t="n">
        <f aca="false">IFERROR(IF(AND(B518&lt;=Eingaben!$B$11,Szenarien!$H$21="OK"),1/(1+Eingaben!$B$39+Szenarien!$G$21)^B518,0),0)</f>
        <v>0.91514165935316</v>
      </c>
      <c r="I518" s="13" t="n">
        <f aca="false">G518*H518</f>
        <v>742.517556570159</v>
      </c>
      <c r="J518" s="13" t="n">
        <f aca="false">(D518+E518-F518)*H518</f>
        <v>784.381852887318</v>
      </c>
      <c r="K518" s="13" t="n">
        <f aca="false">IF(AND(B518&lt;=Eingaben!$B$11,Szenarien!$H$21="OK"),SUM(Variantenbilanz!K3665:K4030)*H518,0)</f>
        <v>587.043217784497</v>
      </c>
    </row>
    <row r="519" customFormat="false" ht="16.4" hidden="false" customHeight="false" outlineLevel="0" collapsed="false">
      <c r="A519" s="12"/>
      <c r="B519" s="15" t="n">
        <v>4</v>
      </c>
      <c r="C519" s="13" t="n">
        <f aca="false">IFERROR(IF(AND(B519&lt;=Eingaben!$B$11,Szenarien!$H$21="OK"),SUM(Variantenbilanz!K3665:K4030)*(Eingaben!$B$36*Szenarien!$C$21*(1+Eingaben!$B$40)^(B519-1)+Eingaben!$B$37*Eingaben!$B$38*(1+Eingaben!$B$46)^(B519-1)),0),0)</f>
        <v>1701.85389521821</v>
      </c>
      <c r="D519" s="13" t="n">
        <f aca="false">IFERROR(IF(AND(B519&lt;=Eingaben!$B$11,Szenarien!$H$21="OK"),((Eingaben!$B$32+Eingaben!$B$35)*(1+Eingaben!$B$41)^(B519-1)+SUM(Variantenbilanz!E3665:E4030)*Eingaben!$B$33*Eingaben!$B$34*(1+Eingaben!$B$42)^(B519-1))*Szenarien!$F$21,0),0)</f>
        <v>874.2575335392</v>
      </c>
      <c r="E519" s="13" t="n">
        <f aca="false">IFERROR(IF(AND(AND(B519&lt;=Eingaben!$B$11,Szenarien!$H$21="OK"),B519=Eingaben!$B$43),Eingaben!$B$44*Szenarien!$B$21*(1+Eingaben!$B$41)^(B519-1),0),0)</f>
        <v>0</v>
      </c>
      <c r="F519" s="13" t="n">
        <f aca="false">IFERROR(IF(AND(AND(B519&lt;=Eingaben!$B$11,Szenarien!$H$21="OK"),B519=Eingaben!$B$11),Eingaben!$B$45*Szenarien!$B$21,0),0)</f>
        <v>0</v>
      </c>
      <c r="G519" s="13" t="n">
        <f aca="false">C519-D519-E519+F519</f>
        <v>827.596361679005</v>
      </c>
      <c r="H519" s="13" t="n">
        <f aca="false">IFERROR(IF(AND(B519&lt;=Eingaben!$B$11,Szenarien!$H$21="OK"),1/(1+Eingaben!$B$39+Szenarien!$G$21)^B519,0),0)</f>
        <v>0.888487047915689</v>
      </c>
      <c r="I519" s="13" t="n">
        <f aca="false">G519*H519</f>
        <v>735.308648253944</v>
      </c>
      <c r="J519" s="13" t="n">
        <f aca="false">(D519+E519-F519)*H519</f>
        <v>776.766495092295</v>
      </c>
      <c r="K519" s="13" t="n">
        <f aca="false">IF(AND(B519&lt;=Eingaben!$B$11,Szenarien!$H$21="OK"),SUM(Variantenbilanz!K3665:K4030)*H519,0)</f>
        <v>569.944871635434</v>
      </c>
    </row>
    <row r="520" customFormat="false" ht="16.4" hidden="false" customHeight="false" outlineLevel="0" collapsed="false">
      <c r="A520" s="12"/>
      <c r="B520" s="15" t="n">
        <v>5</v>
      </c>
      <c r="C520" s="13" t="n">
        <f aca="false">IFERROR(IF(AND(B520&lt;=Eingaben!$B$11,Szenarien!$H$21="OK"),SUM(Variantenbilanz!K3665:K4030)*(Eingaben!$B$36*Szenarien!$C$21*(1+Eingaben!$B$40)^(B520-1)+Eingaben!$B$37*Eingaben!$B$38*(1+Eingaben!$B$46)^(B520-1)),0),0)</f>
        <v>1735.89097312257</v>
      </c>
      <c r="D520" s="13" t="n">
        <f aca="false">IFERROR(IF(AND(B520&lt;=Eingaben!$B$11,Szenarien!$H$21="OK"),((Eingaben!$B$32+Eingaben!$B$35)*(1+Eingaben!$B$41)^(B520-1)+SUM(Variantenbilanz!E3665:E4030)*Eingaben!$B$33*Eingaben!$B$34*(1+Eingaben!$B$42)^(B520-1))*Szenarien!$F$21,0),0)</f>
        <v>891.742684209984</v>
      </c>
      <c r="E520" s="13" t="n">
        <f aca="false">IFERROR(IF(AND(AND(B520&lt;=Eingaben!$B$11,Szenarien!$H$21="OK"),B520=Eingaben!$B$43),Eingaben!$B$44*Szenarien!$B$21*(1+Eingaben!$B$41)^(B520-1),0),0)</f>
        <v>0</v>
      </c>
      <c r="F520" s="13" t="n">
        <f aca="false">IFERROR(IF(AND(AND(B520&lt;=Eingaben!$B$11,Szenarien!$H$21="OK"),B520=Eingaben!$B$11),Eingaben!$B$45*Szenarien!$B$21,0),0)</f>
        <v>0</v>
      </c>
      <c r="G520" s="13" t="n">
        <f aca="false">C520-D520-E520+F520</f>
        <v>844.148288912585</v>
      </c>
      <c r="H520" s="13" t="n">
        <f aca="false">IFERROR(IF(AND(B520&lt;=Eingaben!$B$11,Szenarien!$H$21="OK"),1/(1+Eingaben!$B$39+Szenarien!$G$21)^B520,0),0)</f>
        <v>0.862608784384164</v>
      </c>
      <c r="I520" s="13" t="n">
        <f aca="false">G520*H520</f>
        <v>728.169729338857</v>
      </c>
      <c r="J520" s="13" t="n">
        <f aca="false">(D520+E520-F520)*H520</f>
        <v>769.225072809846</v>
      </c>
      <c r="K520" s="13" t="n">
        <f aca="false">IF(AND(B520&lt;=Eingaben!$B$11,Szenarien!$H$21="OK"),SUM(Variantenbilanz!K3665:K4030)*H520,0)</f>
        <v>553.344535568382</v>
      </c>
    </row>
    <row r="521" customFormat="false" ht="16.4" hidden="false" customHeight="false" outlineLevel="0" collapsed="false">
      <c r="A521" s="12"/>
      <c r="B521" s="15" t="n">
        <v>6</v>
      </c>
      <c r="C521" s="13" t="n">
        <f aca="false">IFERROR(IF(AND(B521&lt;=Eingaben!$B$11,Szenarien!$H$21="OK"),SUM(Variantenbilanz!K3665:K4030)*(Eingaben!$B$36*Szenarien!$C$21*(1+Eingaben!$B$40)^(B521-1)+Eingaben!$B$37*Eingaben!$B$38*(1+Eingaben!$B$46)^(B521-1)),0),0)</f>
        <v>1770.60879258502</v>
      </c>
      <c r="D521" s="13" t="n">
        <f aca="false">IFERROR(IF(AND(B521&lt;=Eingaben!$B$11,Szenarien!$H$21="OK"),((Eingaben!$B$32+Eingaben!$B$35)*(1+Eingaben!$B$41)^(B521-1)+SUM(Variantenbilanz!E3665:E4030)*Eingaben!$B$33*Eingaben!$B$34*(1+Eingaben!$B$42)^(B521-1))*Szenarien!$F$21,0),0)</f>
        <v>909.577537894184</v>
      </c>
      <c r="E521" s="13" t="n">
        <f aca="false">IFERROR(IF(AND(AND(B521&lt;=Eingaben!$B$11,Szenarien!$H$21="OK"),B521=Eingaben!$B$43),Eingaben!$B$44*Szenarien!$B$21*(1+Eingaben!$B$41)^(B521-1),0),0)</f>
        <v>0</v>
      </c>
      <c r="F521" s="13" t="n">
        <f aca="false">IFERROR(IF(AND(AND(B521&lt;=Eingaben!$B$11,Szenarien!$H$21="OK"),B521=Eingaben!$B$11),Eingaben!$B$45*Szenarien!$B$21,0),0)</f>
        <v>0</v>
      </c>
      <c r="G521" s="13" t="n">
        <f aca="false">C521-D521-E521+F521</f>
        <v>861.031254690837</v>
      </c>
      <c r="H521" s="13" t="n">
        <f aca="false">IFERROR(IF(AND(B521&lt;=Eingaben!$B$11,Szenarien!$H$21="OK"),1/(1+Eingaben!$B$39+Szenarien!$G$21)^B521,0),0)</f>
        <v>0.837484256683654</v>
      </c>
      <c r="I521" s="13" t="n">
        <f aca="false">G521*H521</f>
        <v>721.10012031615</v>
      </c>
      <c r="J521" s="13" t="n">
        <f aca="false">(D521+E521-F521)*H521</f>
        <v>761.756868219459</v>
      </c>
      <c r="K521" s="13" t="n">
        <f aca="false">IF(AND(B521&lt;=Eingaben!$B$11,Szenarien!$H$21="OK"),SUM(Variantenbilanz!K3665:K4030)*H521,0)</f>
        <v>537.227704435323</v>
      </c>
    </row>
    <row r="522" customFormat="false" ht="16.4" hidden="false" customHeight="false" outlineLevel="0" collapsed="false">
      <c r="A522" s="12"/>
      <c r="B522" s="15" t="n">
        <v>7</v>
      </c>
      <c r="C522" s="13" t="n">
        <f aca="false">IFERROR(IF(AND(B522&lt;=Eingaben!$B$11,Szenarien!$H$21="OK"),SUM(Variantenbilanz!K3665:K4030)*(Eingaben!$B$36*Szenarien!$C$21*(1+Eingaben!$B$40)^(B522-1)+Eingaben!$B$37*Eingaben!$B$38*(1+Eingaben!$B$46)^(B522-1)),0),0)</f>
        <v>1806.02096843672</v>
      </c>
      <c r="D522" s="13" t="n">
        <f aca="false">IFERROR(IF(AND(B522&lt;=Eingaben!$B$11,Szenarien!$H$21="OK"),((Eingaben!$B$32+Eingaben!$B$35)*(1+Eingaben!$B$41)^(B522-1)+SUM(Variantenbilanz!E3665:E4030)*Eingaben!$B$33*Eingaben!$B$34*(1+Eingaben!$B$42)^(B522-1))*Szenarien!$F$21,0),0)</f>
        <v>927.769088652067</v>
      </c>
      <c r="E522" s="13" t="n">
        <f aca="false">IFERROR(IF(AND(AND(B522&lt;=Eingaben!$B$11,Szenarien!$H$21="OK"),B522=Eingaben!$B$43),Eingaben!$B$44*Szenarien!$B$21*(1+Eingaben!$B$41)^(B522-1),0),0)</f>
        <v>0</v>
      </c>
      <c r="F522" s="13" t="n">
        <f aca="false">IFERROR(IF(AND(AND(B522&lt;=Eingaben!$B$11,Szenarien!$H$21="OK"),B522=Eingaben!$B$11),Eingaben!$B$45*Szenarien!$B$21,0),0)</f>
        <v>0</v>
      </c>
      <c r="G522" s="13" t="n">
        <f aca="false">C522-D522-E522+F522</f>
        <v>878.251879784653</v>
      </c>
      <c r="H522" s="13" t="n">
        <f aca="false">IFERROR(IF(AND(B522&lt;=Eingaben!$B$11,Szenarien!$H$21="OK"),1/(1+Eingaben!$B$39+Szenarien!$G$21)^B522,0),0)</f>
        <v>0.813091511343354</v>
      </c>
      <c r="I522" s="13" t="n">
        <f aca="false">G522*H522</f>
        <v>714.099148274245</v>
      </c>
      <c r="J522" s="13" t="n">
        <f aca="false">(D522+E522-F522)*H522</f>
        <v>754.361170469755</v>
      </c>
      <c r="K522" s="13" t="n">
        <f aca="false">IF(AND(B522&lt;=Eingaben!$B$11,Szenarien!$H$21="OK"),SUM(Variantenbilanz!K3665:K4030)*H522,0)</f>
        <v>521.580295568274</v>
      </c>
    </row>
    <row r="523" customFormat="false" ht="16.4" hidden="false" customHeight="false" outlineLevel="0" collapsed="false">
      <c r="A523" s="12"/>
      <c r="B523" s="15" t="n">
        <v>8</v>
      </c>
      <c r="C523" s="13" t="n">
        <f aca="false">IFERROR(IF(AND(B523&lt;=Eingaben!$B$11,Szenarien!$H$21="OK"),SUM(Variantenbilanz!K3665:K4030)*(Eingaben!$B$36*Szenarien!$C$21*(1+Eingaben!$B$40)^(B523-1)+Eingaben!$B$37*Eingaben!$B$38*(1+Eingaben!$B$46)^(B523-1)),0),0)</f>
        <v>1842.14138780546</v>
      </c>
      <c r="D523" s="13" t="n">
        <f aca="false">IFERROR(IF(AND(B523&lt;=Eingaben!$B$11,Szenarien!$H$21="OK"),((Eingaben!$B$32+Eingaben!$B$35)*(1+Eingaben!$B$41)^(B523-1)+SUM(Variantenbilanz!E3665:E4030)*Eingaben!$B$33*Eingaben!$B$34*(1+Eingaben!$B$42)^(B523-1))*Szenarien!$F$21,0),0)</f>
        <v>946.324470425109</v>
      </c>
      <c r="E523" s="13" t="n">
        <f aca="false">IFERROR(IF(AND(AND(B523&lt;=Eingaben!$B$11,Szenarien!$H$21="OK"),B523=Eingaben!$B$43),Eingaben!$B$44*Szenarien!$B$21*(1+Eingaben!$B$41)^(B523-1),0),0)</f>
        <v>0</v>
      </c>
      <c r="F523" s="13" t="n">
        <f aca="false">IFERROR(IF(AND(AND(B523&lt;=Eingaben!$B$11,Szenarien!$H$21="OK"),B523=Eingaben!$B$11),Eingaben!$B$45*Szenarien!$B$21,0),0)</f>
        <v>0</v>
      </c>
      <c r="G523" s="13" t="n">
        <f aca="false">C523-D523-E523+F523</f>
        <v>895.816917380347</v>
      </c>
      <c r="H523" s="13" t="n">
        <f aca="false">IFERROR(IF(AND(B523&lt;=Eingaben!$B$11,Szenarien!$H$21="OK"),1/(1+Eingaben!$B$39+Szenarien!$G$21)^B523,0),0)</f>
        <v>0.789409234313936</v>
      </c>
      <c r="I523" s="13" t="n">
        <f aca="false">G523*H523</f>
        <v>707.166146834689</v>
      </c>
      <c r="J523" s="13" t="n">
        <f aca="false">(D523+E523-F523)*H523</f>
        <v>747.037275610826</v>
      </c>
      <c r="K523" s="13" t="n">
        <f aca="false">IF(AND(B523&lt;=Eingaben!$B$11,Szenarien!$H$21="OK"),SUM(Variantenbilanz!K3665:K4030)*H523,0)</f>
        <v>506.388636474053</v>
      </c>
    </row>
    <row r="524" customFormat="false" ht="16.4" hidden="false" customHeight="false" outlineLevel="0" collapsed="false">
      <c r="A524" s="12"/>
      <c r="B524" s="15" t="n">
        <v>9</v>
      </c>
      <c r="C524" s="13" t="n">
        <f aca="false">IFERROR(IF(AND(B524&lt;=Eingaben!$B$11,Szenarien!$H$21="OK"),SUM(Variantenbilanz!K3665:K4030)*(Eingaben!$B$36*Szenarien!$C$21*(1+Eingaben!$B$40)^(B524-1)+Eingaben!$B$37*Eingaben!$B$38*(1+Eingaben!$B$46)^(B524-1)),0),0)</f>
        <v>1878.98421556156</v>
      </c>
      <c r="D524" s="13" t="n">
        <f aca="false">IFERROR(IF(AND(B524&lt;=Eingaben!$B$11,Szenarien!$H$21="OK"),((Eingaben!$B$32+Eingaben!$B$35)*(1+Eingaben!$B$41)^(B524-1)+SUM(Variantenbilanz!E3665:E4030)*Eingaben!$B$33*Eingaben!$B$34*(1+Eingaben!$B$42)^(B524-1))*Szenarien!$F$21,0),0)</f>
        <v>965.250959833611</v>
      </c>
      <c r="E524" s="13" t="n">
        <f aca="false">IFERROR(IF(AND(AND(B524&lt;=Eingaben!$B$11,Szenarien!$H$21="OK"),B524=Eingaben!$B$43),Eingaben!$B$44*Szenarien!$B$21*(1+Eingaben!$B$41)^(B524-1),0),0)</f>
        <v>0</v>
      </c>
      <c r="F524" s="13" t="n">
        <f aca="false">IFERROR(IF(AND(AND(B524&lt;=Eingaben!$B$11,Szenarien!$H$21="OK"),B524=Eingaben!$B$11),Eingaben!$B$45*Szenarien!$B$21,0),0)</f>
        <v>0</v>
      </c>
      <c r="G524" s="13" t="n">
        <f aca="false">C524-D524-E524+F524</f>
        <v>913.733255727954</v>
      </c>
      <c r="H524" s="13" t="n">
        <f aca="false">IFERROR(IF(AND(B524&lt;=Eingaben!$B$11,Szenarien!$H$21="OK"),1/(1+Eingaben!$B$39+Szenarien!$G$21)^B524,0),0)</f>
        <v>0.766416732343627</v>
      </c>
      <c r="I524" s="13" t="n">
        <f aca="false">G524*H524</f>
        <v>700.300456088722</v>
      </c>
      <c r="J524" s="13" t="n">
        <f aca="false">(D524+E524-F524)*H524</f>
        <v>739.784486527226</v>
      </c>
      <c r="K524" s="13" t="n">
        <f aca="false">IF(AND(B524&lt;=Eingaben!$B$11,Szenarien!$H$21="OK"),SUM(Variantenbilanz!K3665:K4030)*H524,0)</f>
        <v>491.63945288743</v>
      </c>
    </row>
    <row r="525" customFormat="false" ht="16.4" hidden="false" customHeight="false" outlineLevel="0" collapsed="false">
      <c r="A525" s="12"/>
      <c r="B525" s="15" t="n">
        <v>10</v>
      </c>
      <c r="C525" s="13" t="n">
        <f aca="false">IFERROR(IF(AND(B525&lt;=Eingaben!$B$11,Szenarien!$H$21="OK"),SUM(Variantenbilanz!K3665:K4030)*(Eingaben!$B$36*Szenarien!$C$21*(1+Eingaben!$B$40)^(B525-1)+Eingaben!$B$37*Eingaben!$B$38*(1+Eingaben!$B$46)^(B525-1)),0),0)</f>
        <v>1916.5638998728</v>
      </c>
      <c r="D525" s="13" t="n">
        <f aca="false">IFERROR(IF(AND(B525&lt;=Eingaben!$B$11,Szenarien!$H$21="OK"),((Eingaben!$B$32+Eingaben!$B$35)*(1+Eingaben!$B$41)^(B525-1)+SUM(Variantenbilanz!E3665:E4030)*Eingaben!$B$33*Eingaben!$B$34*(1+Eingaben!$B$42)^(B525-1))*Szenarien!$F$21,0),0)</f>
        <v>984.555979030283</v>
      </c>
      <c r="E525" s="13" t="n">
        <f aca="false">IFERROR(IF(AND(AND(B525&lt;=Eingaben!$B$11,Szenarien!$H$21="OK"),B525=Eingaben!$B$43),Eingaben!$B$44*Szenarien!$B$21*(1+Eingaben!$B$41)^(B525-1),0),0)</f>
        <v>4780.37027448924</v>
      </c>
      <c r="F525" s="13" t="n">
        <f aca="false">IFERROR(IF(AND(AND(B525&lt;=Eingaben!$B$11,Szenarien!$H$21="OK"),B525=Eingaben!$B$11),Eingaben!$B$45*Szenarien!$B$21,0),0)</f>
        <v>0</v>
      </c>
      <c r="G525" s="13" t="n">
        <f aca="false">C525-D525-E525+F525</f>
        <v>-3848.36235364673</v>
      </c>
      <c r="H525" s="13" t="n">
        <f aca="false">IFERROR(IF(AND(B525&lt;=Eingaben!$B$11,Szenarien!$H$21="OK"),1/(1+Eingaben!$B$39+Szenarien!$G$21)^B525,0),0)</f>
        <v>0.744093914896725</v>
      </c>
      <c r="I525" s="13" t="n">
        <f aca="false">G525*H525</f>
        <v>-2863.54300966617</v>
      </c>
      <c r="J525" s="13" t="n">
        <f aca="false">(D525+E525-F525)*H525</f>
        <v>4289.64654507225</v>
      </c>
      <c r="K525" s="13" t="n">
        <f aca="false">IF(AND(B525&lt;=Eingaben!$B$11,Szenarien!$H$21="OK"),SUM(Variantenbilanz!K3665:K4030)*H525,0)</f>
        <v>477.319857172262</v>
      </c>
    </row>
    <row r="526" customFormat="false" ht="16.4" hidden="false" customHeight="false" outlineLevel="0" collapsed="false">
      <c r="A526" s="12"/>
      <c r="B526" s="15" t="n">
        <v>11</v>
      </c>
      <c r="C526" s="13" t="n">
        <f aca="false">IFERROR(IF(AND(B526&lt;=Eingaben!$B$11,Szenarien!$H$21="OK"),SUM(Variantenbilanz!K3665:K4030)*(Eingaben!$B$36*Szenarien!$C$21*(1+Eingaben!$B$40)^(B526-1)+Eingaben!$B$37*Eingaben!$B$38*(1+Eingaben!$B$46)^(B526-1)),0),0)</f>
        <v>1954.89517787025</v>
      </c>
      <c r="D526" s="13" t="n">
        <f aca="false">IFERROR(IF(AND(B526&lt;=Eingaben!$B$11,Szenarien!$H$21="OK"),((Eingaben!$B$32+Eingaben!$B$35)*(1+Eingaben!$B$41)^(B526-1)+SUM(Variantenbilanz!E3665:E4030)*Eingaben!$B$33*Eingaben!$B$34*(1+Eingaben!$B$42)^(B526-1))*Szenarien!$F$21,0),0)</f>
        <v>1004.24709861089</v>
      </c>
      <c r="E526" s="13" t="n">
        <f aca="false">IFERROR(IF(AND(AND(B526&lt;=Eingaben!$B$11,Szenarien!$H$21="OK"),B526=Eingaben!$B$43),Eingaben!$B$44*Szenarien!$B$21*(1+Eingaben!$B$41)^(B526-1),0),0)</f>
        <v>0</v>
      </c>
      <c r="F526" s="13" t="n">
        <f aca="false">IFERROR(IF(AND(AND(B526&lt;=Eingaben!$B$11,Szenarien!$H$21="OK"),B526=Eingaben!$B$11),Eingaben!$B$45*Szenarien!$B$21,0),0)</f>
        <v>0</v>
      </c>
      <c r="G526" s="13" t="n">
        <f aca="false">C526-D526-E526+F526</f>
        <v>950.648079259363</v>
      </c>
      <c r="H526" s="13" t="n">
        <f aca="false">IFERROR(IF(AND(B526&lt;=Eingaben!$B$11,Szenarien!$H$21="OK"),1/(1+Eingaben!$B$39+Szenarien!$G$21)^B526,0),0)</f>
        <v>0.722421276598762</v>
      </c>
      <c r="I526" s="13" t="n">
        <f aca="false">G526*H526</f>
        <v>686.76839901471</v>
      </c>
      <c r="J526" s="13" t="n">
        <f aca="false">(D526+E526-F526)*H526</f>
        <v>725.489470999081</v>
      </c>
      <c r="K526" s="13" t="n">
        <f aca="false">IF(AND(B526&lt;=Eingaben!$B$11,Szenarien!$H$21="OK"),SUM(Variantenbilanz!K3665:K4030)*H526,0)</f>
        <v>463.417337060449</v>
      </c>
    </row>
    <row r="527" customFormat="false" ht="16.4" hidden="false" customHeight="false" outlineLevel="0" collapsed="false">
      <c r="A527" s="12"/>
      <c r="B527" s="15" t="n">
        <v>12</v>
      </c>
      <c r="C527" s="13" t="n">
        <f aca="false">IFERROR(IF(AND(B527&lt;=Eingaben!$B$11,Szenarien!$H$21="OK"),SUM(Variantenbilanz!K3665:K4030)*(Eingaben!$B$36*Szenarien!$C$21*(1+Eingaben!$B$40)^(B527-1)+Eingaben!$B$37*Eingaben!$B$38*(1+Eingaben!$B$46)^(B527-1)),0),0)</f>
        <v>1993.99308142766</v>
      </c>
      <c r="D527" s="13" t="n">
        <f aca="false">IFERROR(IF(AND(B527&lt;=Eingaben!$B$11,Szenarien!$H$21="OK"),((Eingaben!$B$32+Eingaben!$B$35)*(1+Eingaben!$B$41)^(B527-1)+SUM(Variantenbilanz!E3665:E4030)*Eingaben!$B$33*Eingaben!$B$34*(1+Eingaben!$B$42)^(B527-1))*Szenarien!$F$21,0),0)</f>
        <v>1024.33204058311</v>
      </c>
      <c r="E527" s="13" t="n">
        <f aca="false">IFERROR(IF(AND(AND(B527&lt;=Eingaben!$B$11,Szenarien!$H$21="OK"),B527=Eingaben!$B$43),Eingaben!$B$44*Szenarien!$B$21*(1+Eingaben!$B$41)^(B527-1),0),0)</f>
        <v>0</v>
      </c>
      <c r="F527" s="13" t="n">
        <f aca="false">IFERROR(IF(AND(AND(B527&lt;=Eingaben!$B$11,Szenarien!$H$21="OK"),B527=Eingaben!$B$11),Eingaben!$B$45*Szenarien!$B$21,0),0)</f>
        <v>0</v>
      </c>
      <c r="G527" s="13" t="n">
        <f aca="false">C527-D527-E527+F527</f>
        <v>969.66104084455</v>
      </c>
      <c r="H527" s="13" t="n">
        <f aca="false">IFERROR(IF(AND(B527&lt;=Eingaben!$B$11,Szenarien!$H$21="OK"),1/(1+Eingaben!$B$39+Szenarien!$G$21)^B527,0),0)</f>
        <v>0.701379880192973</v>
      </c>
      <c r="I527" s="13" t="n">
        <f aca="false">G527*H527</f>
        <v>680.100744655344</v>
      </c>
      <c r="J527" s="13" t="n">
        <f aca="false">(D527+E527-F527)*H527</f>
        <v>718.445883902003</v>
      </c>
      <c r="K527" s="13" t="n">
        <f aca="false">IF(AND(B527&lt;=Eingaben!$B$11,Szenarien!$H$21="OK"),SUM(Variantenbilanz!K3665:K4030)*H527,0)</f>
        <v>449.919744718882</v>
      </c>
    </row>
    <row r="528" customFormat="false" ht="16.4" hidden="false" customHeight="false" outlineLevel="0" collapsed="false">
      <c r="A528" s="12"/>
      <c r="B528" s="15" t="n">
        <v>13</v>
      </c>
      <c r="C528" s="13" t="n">
        <f aca="false">IFERROR(IF(AND(B528&lt;=Eingaben!$B$11,Szenarien!$H$21="OK"),SUM(Variantenbilanz!K3665:K4030)*(Eingaben!$B$36*Szenarien!$C$21*(1+Eingaben!$B$40)^(B528-1)+Eingaben!$B$37*Eingaben!$B$38*(1+Eingaben!$B$46)^(B528-1)),0),0)</f>
        <v>2033.87294305621</v>
      </c>
      <c r="D528" s="13" t="n">
        <f aca="false">IFERROR(IF(AND(B528&lt;=Eingaben!$B$11,Szenarien!$H$21="OK"),((Eingaben!$B$32+Eingaben!$B$35)*(1+Eingaben!$B$41)^(B528-1)+SUM(Variantenbilanz!E3665:E4030)*Eingaben!$B$33*Eingaben!$B$34*(1+Eingaben!$B$42)^(B528-1))*Szenarien!$F$21,0),0)</f>
        <v>1044.81868139477</v>
      </c>
      <c r="E528" s="13" t="n">
        <f aca="false">IFERROR(IF(AND(AND(B528&lt;=Eingaben!$B$11,Szenarien!$H$21="OK"),B528=Eingaben!$B$43),Eingaben!$B$44*Szenarien!$B$21*(1+Eingaben!$B$41)^(B528-1),0),0)</f>
        <v>0</v>
      </c>
      <c r="F528" s="13" t="n">
        <f aca="false">IFERROR(IF(AND(AND(B528&lt;=Eingaben!$B$11,Szenarien!$H$21="OK"),B528=Eingaben!$B$11),Eingaben!$B$45*Szenarien!$B$21,0),0)</f>
        <v>0</v>
      </c>
      <c r="G528" s="13" t="n">
        <f aca="false">C528-D528-E528+F528</f>
        <v>989.054261661441</v>
      </c>
      <c r="H528" s="13" t="n">
        <f aca="false">IFERROR(IF(AND(B528&lt;=Eingaben!$B$11,Szenarien!$H$21="OK"),1/(1+Eingaben!$B$39+Szenarien!$G$21)^B528,0),0)</f>
        <v>0.680951339993178</v>
      </c>
      <c r="I528" s="13" t="n">
        <f aca="false">G528*H528</f>
        <v>673.497824804321</v>
      </c>
      <c r="J528" s="13" t="n">
        <f aca="false">(D528+E528-F528)*H528</f>
        <v>711.470681145673</v>
      </c>
      <c r="K528" s="13" t="n">
        <f aca="false">IF(AND(B528&lt;=Eingaben!$B$11,Szenarien!$H$21="OK"),SUM(Variantenbilanz!K3665:K4030)*H528,0)</f>
        <v>436.815286134837</v>
      </c>
    </row>
    <row r="529" customFormat="false" ht="16.4" hidden="false" customHeight="false" outlineLevel="0" collapsed="false">
      <c r="A529" s="12"/>
      <c r="B529" s="15" t="n">
        <v>14</v>
      </c>
      <c r="C529" s="13" t="n">
        <f aca="false">IFERROR(IF(AND(B529&lt;=Eingaben!$B$11,Szenarien!$H$21="OK"),SUM(Variantenbilanz!K3665:K4030)*(Eingaben!$B$36*Szenarien!$C$21*(1+Eingaben!$B$40)^(B529-1)+Eingaben!$B$37*Eingaben!$B$38*(1+Eingaben!$B$46)^(B529-1)),0),0)</f>
        <v>2074.55040191733</v>
      </c>
      <c r="D529" s="13" t="n">
        <f aca="false">IFERROR(IF(AND(B529&lt;=Eingaben!$B$11,Szenarien!$H$21="OK"),((Eingaben!$B$32+Eingaben!$B$35)*(1+Eingaben!$B$41)^(B529-1)+SUM(Variantenbilanz!E3665:E4030)*Eingaben!$B$33*Eingaben!$B$34*(1+Eingaben!$B$42)^(B529-1))*Szenarien!$F$21,0),0)</f>
        <v>1065.71505502266</v>
      </c>
      <c r="E529" s="13" t="n">
        <f aca="false">IFERROR(IF(AND(AND(B529&lt;=Eingaben!$B$11,Szenarien!$H$21="OK"),B529=Eingaben!$B$43),Eingaben!$B$44*Szenarien!$B$21*(1+Eingaben!$B$41)^(B529-1),0),0)</f>
        <v>0</v>
      </c>
      <c r="F529" s="13" t="n">
        <f aca="false">IFERROR(IF(AND(AND(B529&lt;=Eingaben!$B$11,Szenarien!$H$21="OK"),B529=Eingaben!$B$11),Eingaben!$B$45*Szenarien!$B$21,0),0)</f>
        <v>0</v>
      </c>
      <c r="G529" s="13" t="n">
        <f aca="false">C529-D529-E529+F529</f>
        <v>1008.83534689467</v>
      </c>
      <c r="H529" s="13" t="n">
        <f aca="false">IFERROR(IF(AND(B529&lt;=Eingaben!$B$11,Szenarien!$H$21="OK"),1/(1+Eingaben!$B$39+Szenarien!$G$21)^B529,0),0)</f>
        <v>0.661117805818619</v>
      </c>
      <c r="I529" s="13" t="n">
        <f aca="false">G529*H529</f>
        <v>666.959010971269</v>
      </c>
      <c r="J529" s="13" t="n">
        <f aca="false">(D529+E529-F529)*H529</f>
        <v>704.563198804453</v>
      </c>
      <c r="K529" s="13" t="n">
        <f aca="false">IF(AND(B529&lt;=Eingaben!$B$11,Szenarien!$H$21="OK"),SUM(Variantenbilanz!K3665:K4030)*H529,0)</f>
        <v>424.092510810521</v>
      </c>
    </row>
    <row r="530" customFormat="false" ht="16.4" hidden="false" customHeight="false" outlineLevel="0" collapsed="false">
      <c r="A530" s="12"/>
      <c r="B530" s="15" t="n">
        <v>15</v>
      </c>
      <c r="C530" s="13" t="n">
        <f aca="false">IFERROR(IF(AND(B530&lt;=Eingaben!$B$11,Szenarien!$H$21="OK"),SUM(Variantenbilanz!K3665:K4030)*(Eingaben!$B$36*Szenarien!$C$21*(1+Eingaben!$B$40)^(B530-1)+Eingaben!$B$37*Eingaben!$B$38*(1+Eingaben!$B$46)^(B530-1)),0),0)</f>
        <v>2116.04140995568</v>
      </c>
      <c r="D530" s="13" t="n">
        <f aca="false">IFERROR(IF(AND(B530&lt;=Eingaben!$B$11,Szenarien!$H$21="OK"),((Eingaben!$B$32+Eingaben!$B$35)*(1+Eingaben!$B$41)^(B530-1)+SUM(Variantenbilanz!E3665:E4030)*Eingaben!$B$33*Eingaben!$B$34*(1+Eingaben!$B$42)^(B530-1))*Szenarien!$F$21,0),0)</f>
        <v>1087.02935612312</v>
      </c>
      <c r="E530" s="13" t="n">
        <f aca="false">IFERROR(IF(AND(AND(B530&lt;=Eingaben!$B$11,Szenarien!$H$21="OK"),B530=Eingaben!$B$43),Eingaben!$B$44*Szenarien!$B$21*(1+Eingaben!$B$41)^(B530-1),0),0)</f>
        <v>0</v>
      </c>
      <c r="F530" s="13" t="n">
        <f aca="false">IFERROR(IF(AND(AND(B530&lt;=Eingaben!$B$11,Szenarien!$H$21="OK"),B530=Eingaben!$B$11),Eingaben!$B$45*Szenarien!$B$21,0),0)</f>
        <v>0</v>
      </c>
      <c r="G530" s="13" t="n">
        <f aca="false">C530-D530-E530+F530</f>
        <v>1029.01205383256</v>
      </c>
      <c r="H530" s="13" t="n">
        <f aca="false">IFERROR(IF(AND(B530&lt;=Eingaben!$B$11,Szenarien!$H$21="OK"),1/(1+Eingaben!$B$39+Szenarien!$G$21)^B530,0),0)</f>
        <v>0.641861947396717</v>
      </c>
      <c r="I530" s="13" t="n">
        <f aca="false">G530*H530</f>
        <v>660.483680767665</v>
      </c>
      <c r="J530" s="13" t="n">
        <f aca="false">(D530+E530-F530)*H530</f>
        <v>697.722779398584</v>
      </c>
      <c r="K530" s="13" t="n">
        <f aca="false">IF(AND(B530&lt;=Eingaben!$B$11,Szenarien!$H$21="OK"),SUM(Variantenbilanz!K3665:K4030)*H530,0)</f>
        <v>411.740301757788</v>
      </c>
    </row>
    <row r="531" customFormat="false" ht="16.4" hidden="false" customHeight="false" outlineLevel="0" collapsed="false">
      <c r="A531" s="12"/>
      <c r="B531" s="15" t="n">
        <v>16</v>
      </c>
      <c r="C531" s="13" t="n">
        <f aca="false">IFERROR(IF(AND(B531&lt;=Eingaben!$B$11,Szenarien!$H$21="OK"),SUM(Variantenbilanz!K3665:K4030)*(Eingaben!$B$36*Szenarien!$C$21*(1+Eingaben!$B$40)^(B531-1)+Eingaben!$B$37*Eingaben!$B$38*(1+Eingaben!$B$46)^(B531-1)),0),0)</f>
        <v>2158.36223815479</v>
      </c>
      <c r="D531" s="13" t="n">
        <f aca="false">IFERROR(IF(AND(B531&lt;=Eingaben!$B$11,Szenarien!$H$21="OK"),((Eingaben!$B$32+Eingaben!$B$35)*(1+Eingaben!$B$41)^(B531-1)+SUM(Variantenbilanz!E3665:E4030)*Eingaben!$B$33*Eingaben!$B$34*(1+Eingaben!$B$42)^(B531-1))*Szenarien!$F$21,0),0)</f>
        <v>1108.76994324558</v>
      </c>
      <c r="E531" s="13" t="n">
        <f aca="false">IFERROR(IF(AND(AND(B531&lt;=Eingaben!$B$11,Szenarien!$H$21="OK"),B531=Eingaben!$B$43),Eingaben!$B$44*Szenarien!$B$21*(1+Eingaben!$B$41)^(B531-1),0),0)</f>
        <v>0</v>
      </c>
      <c r="F531" s="13" t="n">
        <f aca="false">IFERROR(IF(AND(AND(B531&lt;=Eingaben!$B$11,Szenarien!$H$21="OK"),B531=Eingaben!$B$11),Eingaben!$B$45*Szenarien!$B$21,0),0)</f>
        <v>0</v>
      </c>
      <c r="G531" s="13" t="n">
        <f aca="false">C531-D531-E531+F531</f>
        <v>1049.59229490921</v>
      </c>
      <c r="H531" s="13" t="n">
        <f aca="false">IFERROR(IF(AND(B531&lt;=Eingaben!$B$11,Szenarien!$H$21="OK"),1/(1+Eingaben!$B$39+Szenarien!$G$21)^B531,0),0)</f>
        <v>0.623166939220114</v>
      </c>
      <c r="I531" s="13" t="n">
        <f aca="false">G531*H531</f>
        <v>654.07121784759</v>
      </c>
      <c r="J531" s="13" t="n">
        <f aca="false">(D531+E531-F531)*H531</f>
        <v>690.948771831607</v>
      </c>
      <c r="K531" s="13" t="n">
        <f aca="false">IF(AND(B531&lt;=Eingaben!$B$11,Szenarien!$H$21="OK"),SUM(Variantenbilanz!K3665:K4030)*H531,0)</f>
        <v>399.74786578426</v>
      </c>
    </row>
    <row r="532" customFormat="false" ht="16.4" hidden="false" customHeight="false" outlineLevel="0" collapsed="false">
      <c r="A532" s="12"/>
      <c r="B532" s="15" t="n">
        <v>17</v>
      </c>
      <c r="C532" s="13" t="n">
        <f aca="false">IFERROR(IF(AND(B532&lt;=Eingaben!$B$11,Szenarien!$H$21="OK"),SUM(Variantenbilanz!K3665:K4030)*(Eingaben!$B$36*Szenarien!$C$21*(1+Eingaben!$B$40)^(B532-1)+Eingaben!$B$37*Eingaben!$B$38*(1+Eingaben!$B$46)^(B532-1)),0),0)</f>
        <v>2201.52948291789</v>
      </c>
      <c r="D532" s="13" t="n">
        <f aca="false">IFERROR(IF(AND(B532&lt;=Eingaben!$B$11,Szenarien!$H$21="OK"),((Eingaben!$B$32+Eingaben!$B$35)*(1+Eingaben!$B$41)^(B532-1)+SUM(Variantenbilanz!E3665:E4030)*Eingaben!$B$33*Eingaben!$B$34*(1+Eingaben!$B$42)^(B532-1))*Szenarien!$F$21,0),0)</f>
        <v>1130.94534211049</v>
      </c>
      <c r="E532" s="13" t="n">
        <f aca="false">IFERROR(IF(AND(AND(B532&lt;=Eingaben!$B$11,Szenarien!$H$21="OK"),B532=Eingaben!$B$43),Eingaben!$B$44*Szenarien!$B$21*(1+Eingaben!$B$41)^(B532-1),0),0)</f>
        <v>0</v>
      </c>
      <c r="F532" s="13" t="n">
        <f aca="false">IFERROR(IF(AND(AND(B532&lt;=Eingaben!$B$11,Szenarien!$H$21="OK"),B532=Eingaben!$B$11),Eingaben!$B$45*Szenarien!$B$21,0),0)</f>
        <v>0</v>
      </c>
      <c r="G532" s="13" t="n">
        <f aca="false">C532-D532-E532+F532</f>
        <v>1070.5841408074</v>
      </c>
      <c r="H532" s="13" t="n">
        <f aca="false">IFERROR(IF(AND(B532&lt;=Eingaben!$B$11,Szenarien!$H$21="OK"),1/(1+Eingaben!$B$39+Szenarien!$G$21)^B532,0),0)</f>
        <v>0.605016445844771</v>
      </c>
      <c r="I532" s="13" t="n">
        <f aca="false">G532*H532</f>
        <v>647.72101184907</v>
      </c>
      <c r="J532" s="13" t="n">
        <f aca="false">(D532+E532-F532)*H532</f>
        <v>684.240531328388</v>
      </c>
      <c r="K532" s="13" t="n">
        <f aca="false">IF(AND(B532&lt;=Eingaben!$B$11,Szenarien!$H$21="OK"),SUM(Variantenbilanz!K3665:K4030)*H532,0)</f>
        <v>388.104724062388</v>
      </c>
    </row>
    <row r="533" customFormat="false" ht="16.4" hidden="false" customHeight="false" outlineLevel="0" collapsed="false">
      <c r="A533" s="12"/>
      <c r="B533" s="15" t="n">
        <v>18</v>
      </c>
      <c r="C533" s="13" t="n">
        <f aca="false">IFERROR(IF(AND(B533&lt;=Eingaben!$B$11,Szenarien!$H$21="OK"),SUM(Variantenbilanz!K3665:K4030)*(Eingaben!$B$36*Szenarien!$C$21*(1+Eingaben!$B$40)^(B533-1)+Eingaben!$B$37*Eingaben!$B$38*(1+Eingaben!$B$46)^(B533-1)),0),0)</f>
        <v>2245.56007257625</v>
      </c>
      <c r="D533" s="13" t="n">
        <f aca="false">IFERROR(IF(AND(B533&lt;=Eingaben!$B$11,Szenarien!$H$21="OK"),((Eingaben!$B$32+Eingaben!$B$35)*(1+Eingaben!$B$41)^(B533-1)+SUM(Variantenbilanz!E3665:E4030)*Eingaben!$B$33*Eingaben!$B$34*(1+Eingaben!$B$42)^(B533-1))*Szenarien!$F$21,0),0)</f>
        <v>1153.5642489527</v>
      </c>
      <c r="E533" s="13" t="n">
        <f aca="false">IFERROR(IF(AND(AND(B533&lt;=Eingaben!$B$11,Szenarien!$H$21="OK"),B533=Eingaben!$B$43),Eingaben!$B$44*Szenarien!$B$21*(1+Eingaben!$B$41)^(B533-1),0),0)</f>
        <v>0</v>
      </c>
      <c r="F533" s="13" t="n">
        <f aca="false">IFERROR(IF(AND(AND(B533&lt;=Eingaben!$B$11,Szenarien!$H$21="OK"),B533=Eingaben!$B$11),Eingaben!$B$45*Szenarien!$B$21,0),0)</f>
        <v>0</v>
      </c>
      <c r="G533" s="13" t="n">
        <f aca="false">C533-D533-E533+F533</f>
        <v>1091.99582362355</v>
      </c>
      <c r="H533" s="13" t="n">
        <f aca="false">IFERROR(IF(AND(B533&lt;=Eingaben!$B$11,Szenarien!$H$21="OK"),1/(1+Eingaben!$B$39+Szenarien!$G$21)^B533,0),0)</f>
        <v>0.587394607616282</v>
      </c>
      <c r="I533" s="13" t="n">
        <f aca="false">G533*H533</f>
        <v>641.432458335972</v>
      </c>
      <c r="J533" s="13" t="n">
        <f aca="false">(D533+E533-F533)*H533</f>
        <v>677.597419373743</v>
      </c>
      <c r="K533" s="13" t="n">
        <f aca="false">IF(AND(B533&lt;=Eingaben!$B$11,Szenarien!$H$21="OK"),SUM(Variantenbilanz!K3665:K4030)*H533,0)</f>
        <v>376.800702973192</v>
      </c>
    </row>
    <row r="534" customFormat="false" ht="16.4" hidden="false" customHeight="false" outlineLevel="0" collapsed="false">
      <c r="A534" s="12"/>
      <c r="B534" s="15" t="n">
        <v>19</v>
      </c>
      <c r="C534" s="13" t="n">
        <f aca="false">IFERROR(IF(AND(B534&lt;=Eingaben!$B$11,Szenarien!$H$21="OK"),SUM(Variantenbilanz!K3665:K4030)*(Eingaben!$B$36*Szenarien!$C$21*(1+Eingaben!$B$40)^(B534-1)+Eingaben!$B$37*Eingaben!$B$38*(1+Eingaben!$B$46)^(B534-1)),0),0)</f>
        <v>2290.47127402777</v>
      </c>
      <c r="D534" s="13" t="n">
        <f aca="false">IFERROR(IF(AND(B534&lt;=Eingaben!$B$11,Szenarien!$H$21="OK"),((Eingaben!$B$32+Eingaben!$B$35)*(1+Eingaben!$B$41)^(B534-1)+SUM(Variantenbilanz!E3665:E4030)*Eingaben!$B$33*Eingaben!$B$34*(1+Eingaben!$B$42)^(B534-1))*Szenarien!$F$21,0),0)</f>
        <v>1176.63553393176</v>
      </c>
      <c r="E534" s="13" t="n">
        <f aca="false">IFERROR(IF(AND(AND(B534&lt;=Eingaben!$B$11,Szenarien!$H$21="OK"),B534=Eingaben!$B$43),Eingaben!$B$44*Szenarien!$B$21*(1+Eingaben!$B$41)^(B534-1),0),0)</f>
        <v>0</v>
      </c>
      <c r="F534" s="13" t="n">
        <f aca="false">IFERROR(IF(AND(AND(B534&lt;=Eingaben!$B$11,Szenarien!$H$21="OK"),B534=Eingaben!$B$11),Eingaben!$B$45*Szenarien!$B$21,0),0)</f>
        <v>0</v>
      </c>
      <c r="G534" s="13" t="n">
        <f aca="false">C534-D534-E534+F534</f>
        <v>1113.83574009602</v>
      </c>
      <c r="H534" s="13" t="n">
        <f aca="false">IFERROR(IF(AND(B534&lt;=Eingaben!$B$11,Szenarien!$H$21="OK"),1/(1+Eingaben!$B$39+Szenarien!$G$21)^B534,0),0)</f>
        <v>0.570286026811925</v>
      </c>
      <c r="I534" s="13" t="n">
        <f aca="false">G534*H534</f>
        <v>635.204958740478</v>
      </c>
      <c r="J534" s="13" t="n">
        <f aca="false">(D534+E534-F534)*H534</f>
        <v>671.018803651668</v>
      </c>
      <c r="K534" s="13" t="n">
        <f aca="false">IF(AND(B534&lt;=Eingaben!$B$11,Szenarien!$H$21="OK"),SUM(Variantenbilanz!K3665:K4030)*H534,0)</f>
        <v>365.825925216692</v>
      </c>
    </row>
    <row r="535" customFormat="false" ht="16.4" hidden="false" customHeight="false" outlineLevel="0" collapsed="false">
      <c r="A535" s="12"/>
      <c r="B535" s="15" t="n">
        <v>20</v>
      </c>
      <c r="C535" s="13" t="n">
        <f aca="false">IFERROR(IF(AND(B535&lt;=Eingaben!$B$11,Szenarien!$H$21="OK"),SUM(Variantenbilanz!K3665:K4030)*(Eingaben!$B$36*Szenarien!$C$21*(1+Eingaben!$B$40)^(B535-1)+Eingaben!$B$37*Eingaben!$B$38*(1+Eingaben!$B$46)^(B535-1)),0),0)</f>
        <v>2336.28069950833</v>
      </c>
      <c r="D535" s="13" t="n">
        <f aca="false">IFERROR(IF(AND(B535&lt;=Eingaben!$B$11,Szenarien!$H$21="OK"),((Eingaben!$B$32+Eingaben!$B$35)*(1+Eingaben!$B$41)^(B535-1)+SUM(Variantenbilanz!E3665:E4030)*Eingaben!$B$33*Eingaben!$B$34*(1+Eingaben!$B$42)^(B535-1))*Szenarien!$F$21,0),0)</f>
        <v>1200.16824461039</v>
      </c>
      <c r="E535" s="13" t="n">
        <f aca="false">IFERROR(IF(AND(AND(B535&lt;=Eingaben!$B$11,Szenarien!$H$21="OK"),B535=Eingaben!$B$43),Eingaben!$B$44*Szenarien!$B$21*(1+Eingaben!$B$41)^(B535-1),0),0)</f>
        <v>0</v>
      </c>
      <c r="F535" s="13" t="n">
        <f aca="false">IFERROR(IF(AND(AND(B535&lt;=Eingaben!$B$11,Szenarien!$H$21="OK"),B535=Eingaben!$B$11),Eingaben!$B$45*Szenarien!$B$21,0),0)</f>
        <v>0</v>
      </c>
      <c r="G535" s="13" t="n">
        <f aca="false">C535-D535-E535+F535</f>
        <v>1136.11245489794</v>
      </c>
      <c r="H535" s="13" t="n">
        <f aca="false">IFERROR(IF(AND(B535&lt;=Eingaben!$B$11,Szenarien!$H$21="OK"),1/(1+Eingaben!$B$39+Szenarien!$G$21)^B535,0),0)</f>
        <v>0.553675754186335</v>
      </c>
      <c r="I535" s="13" t="n">
        <f aca="false">G535*H535</f>
        <v>629.037920306104</v>
      </c>
      <c r="J535" s="13" t="n">
        <f aca="false">(D535+E535-F535)*H535</f>
        <v>664.504057985147</v>
      </c>
      <c r="K535" s="13" t="n">
        <f aca="false">IF(AND(B535&lt;=Eingaben!$B$11,Szenarien!$H$21="OK"),SUM(Variantenbilanz!K3665:K4030)*H535,0)</f>
        <v>355.170801181254</v>
      </c>
    </row>
    <row r="536" customFormat="false" ht="16.4" hidden="false" customHeight="false" outlineLevel="0" collapsed="false">
      <c r="A536" s="12"/>
      <c r="B536" s="15" t="n">
        <v>21</v>
      </c>
      <c r="C536" s="13" t="n">
        <f aca="false">IFERROR(IF(AND(B536&lt;=Eingaben!$B$11,Szenarien!$H$21="OK"),SUM(Variantenbilanz!K3665:K4030)*(Eingaben!$B$36*Szenarien!$C$21*(1+Eingaben!$B$40)^(B536-1)+Eingaben!$B$37*Eingaben!$B$38*(1+Eingaben!$B$46)^(B536-1)),0),0)</f>
        <v>0</v>
      </c>
      <c r="D536" s="13" t="n">
        <f aca="false">IFERROR(IF(AND(B536&lt;=Eingaben!$B$11,Szenarien!$H$21="OK"),((Eingaben!$B$32+Eingaben!$B$35)*(1+Eingaben!$B$41)^(B536-1)+SUM(Variantenbilanz!E3665:E4030)*Eingaben!$B$33*Eingaben!$B$34*(1+Eingaben!$B$42)^(B536-1))*Szenarien!$F$21,0),0)</f>
        <v>0</v>
      </c>
      <c r="E536" s="13" t="n">
        <f aca="false">IFERROR(IF(AND(AND(B536&lt;=Eingaben!$B$11,Szenarien!$H$21="OK"),B536=Eingaben!$B$43),Eingaben!$B$44*Szenarien!$B$21*(1+Eingaben!$B$41)^(B536-1),0),0)</f>
        <v>0</v>
      </c>
      <c r="F536" s="13" t="n">
        <f aca="false">IFERROR(IF(AND(AND(B536&lt;=Eingaben!$B$11,Szenarien!$H$21="OK"),B536=Eingaben!$B$11),Eingaben!$B$45*Szenarien!$B$21,0),0)</f>
        <v>0</v>
      </c>
      <c r="G536" s="13" t="n">
        <f aca="false">C536-D536-E536+F536</f>
        <v>0</v>
      </c>
      <c r="H536" s="13" t="n">
        <f aca="false">IFERROR(IF(AND(B536&lt;=Eingaben!$B$11,Szenarien!$H$21="OK"),1/(1+Eingaben!$B$39+Szenarien!$G$21)^B536,0),0)</f>
        <v>0</v>
      </c>
      <c r="I536" s="13" t="n">
        <f aca="false">G536*H536</f>
        <v>0</v>
      </c>
      <c r="J536" s="13" t="n">
        <f aca="false">(D536+E536-F536)*H536</f>
        <v>0</v>
      </c>
      <c r="K536" s="13" t="n">
        <f aca="false">IF(AND(B536&lt;=Eingaben!$B$11,Szenarien!$H$21="OK"),SUM(Variantenbilanz!K3665:K4030)*H536,0)</f>
        <v>0</v>
      </c>
    </row>
    <row r="537" customFormat="false" ht="16.4" hidden="false" customHeight="false" outlineLevel="0" collapsed="false">
      <c r="A537" s="12"/>
      <c r="B537" s="15" t="n">
        <v>22</v>
      </c>
      <c r="C537" s="13" t="n">
        <f aca="false">IFERROR(IF(AND(B537&lt;=Eingaben!$B$11,Szenarien!$H$21="OK"),SUM(Variantenbilanz!K3665:K4030)*(Eingaben!$B$36*Szenarien!$C$21*(1+Eingaben!$B$40)^(B537-1)+Eingaben!$B$37*Eingaben!$B$38*(1+Eingaben!$B$46)^(B537-1)),0),0)</f>
        <v>0</v>
      </c>
      <c r="D537" s="13" t="n">
        <f aca="false">IFERROR(IF(AND(B537&lt;=Eingaben!$B$11,Szenarien!$H$21="OK"),((Eingaben!$B$32+Eingaben!$B$35)*(1+Eingaben!$B$41)^(B537-1)+SUM(Variantenbilanz!E3665:E4030)*Eingaben!$B$33*Eingaben!$B$34*(1+Eingaben!$B$42)^(B537-1))*Szenarien!$F$21,0),0)</f>
        <v>0</v>
      </c>
      <c r="E537" s="13" t="n">
        <f aca="false">IFERROR(IF(AND(AND(B537&lt;=Eingaben!$B$11,Szenarien!$H$21="OK"),B537=Eingaben!$B$43),Eingaben!$B$44*Szenarien!$B$21*(1+Eingaben!$B$41)^(B537-1),0),0)</f>
        <v>0</v>
      </c>
      <c r="F537" s="13" t="n">
        <f aca="false">IFERROR(IF(AND(AND(B537&lt;=Eingaben!$B$11,Szenarien!$H$21="OK"),B537=Eingaben!$B$11),Eingaben!$B$45*Szenarien!$B$21,0),0)</f>
        <v>0</v>
      </c>
      <c r="G537" s="13" t="n">
        <f aca="false">C537-D537-E537+F537</f>
        <v>0</v>
      </c>
      <c r="H537" s="13" t="n">
        <f aca="false">IFERROR(IF(AND(B537&lt;=Eingaben!$B$11,Szenarien!$H$21="OK"),1/(1+Eingaben!$B$39+Szenarien!$G$21)^B537,0),0)</f>
        <v>0</v>
      </c>
      <c r="I537" s="13" t="n">
        <f aca="false">G537*H537</f>
        <v>0</v>
      </c>
      <c r="J537" s="13" t="n">
        <f aca="false">(D537+E537-F537)*H537</f>
        <v>0</v>
      </c>
      <c r="K537" s="13" t="n">
        <f aca="false">IF(AND(B537&lt;=Eingaben!$B$11,Szenarien!$H$21="OK"),SUM(Variantenbilanz!K3665:K4030)*H537,0)</f>
        <v>0</v>
      </c>
    </row>
    <row r="538" customFormat="false" ht="16.4" hidden="false" customHeight="false" outlineLevel="0" collapsed="false">
      <c r="A538" s="12"/>
      <c r="B538" s="15" t="n">
        <v>23</v>
      </c>
      <c r="C538" s="13" t="n">
        <f aca="false">IFERROR(IF(AND(B538&lt;=Eingaben!$B$11,Szenarien!$H$21="OK"),SUM(Variantenbilanz!K3665:K4030)*(Eingaben!$B$36*Szenarien!$C$21*(1+Eingaben!$B$40)^(B538-1)+Eingaben!$B$37*Eingaben!$B$38*(1+Eingaben!$B$46)^(B538-1)),0),0)</f>
        <v>0</v>
      </c>
      <c r="D538" s="13" t="n">
        <f aca="false">IFERROR(IF(AND(B538&lt;=Eingaben!$B$11,Szenarien!$H$21="OK"),((Eingaben!$B$32+Eingaben!$B$35)*(1+Eingaben!$B$41)^(B538-1)+SUM(Variantenbilanz!E3665:E4030)*Eingaben!$B$33*Eingaben!$B$34*(1+Eingaben!$B$42)^(B538-1))*Szenarien!$F$21,0),0)</f>
        <v>0</v>
      </c>
      <c r="E538" s="13" t="n">
        <f aca="false">IFERROR(IF(AND(AND(B538&lt;=Eingaben!$B$11,Szenarien!$H$21="OK"),B538=Eingaben!$B$43),Eingaben!$B$44*Szenarien!$B$21*(1+Eingaben!$B$41)^(B538-1),0),0)</f>
        <v>0</v>
      </c>
      <c r="F538" s="13" t="n">
        <f aca="false">IFERROR(IF(AND(AND(B538&lt;=Eingaben!$B$11,Szenarien!$H$21="OK"),B538=Eingaben!$B$11),Eingaben!$B$45*Szenarien!$B$21,0),0)</f>
        <v>0</v>
      </c>
      <c r="G538" s="13" t="n">
        <f aca="false">C538-D538-E538+F538</f>
        <v>0</v>
      </c>
      <c r="H538" s="13" t="n">
        <f aca="false">IFERROR(IF(AND(B538&lt;=Eingaben!$B$11,Szenarien!$H$21="OK"),1/(1+Eingaben!$B$39+Szenarien!$G$21)^B538,0),0)</f>
        <v>0</v>
      </c>
      <c r="I538" s="13" t="n">
        <f aca="false">G538*H538</f>
        <v>0</v>
      </c>
      <c r="J538" s="13" t="n">
        <f aca="false">(D538+E538-F538)*H538</f>
        <v>0</v>
      </c>
      <c r="K538" s="13" t="n">
        <f aca="false">IF(AND(B538&lt;=Eingaben!$B$11,Szenarien!$H$21="OK"),SUM(Variantenbilanz!K3665:K4030)*H538,0)</f>
        <v>0</v>
      </c>
    </row>
    <row r="539" customFormat="false" ht="16.4" hidden="false" customHeight="false" outlineLevel="0" collapsed="false">
      <c r="A539" s="12"/>
      <c r="B539" s="15" t="n">
        <v>24</v>
      </c>
      <c r="C539" s="13" t="n">
        <f aca="false">IFERROR(IF(AND(B539&lt;=Eingaben!$B$11,Szenarien!$H$21="OK"),SUM(Variantenbilanz!K3665:K4030)*(Eingaben!$B$36*Szenarien!$C$21*(1+Eingaben!$B$40)^(B539-1)+Eingaben!$B$37*Eingaben!$B$38*(1+Eingaben!$B$46)^(B539-1)),0),0)</f>
        <v>0</v>
      </c>
      <c r="D539" s="13" t="n">
        <f aca="false">IFERROR(IF(AND(B539&lt;=Eingaben!$B$11,Szenarien!$H$21="OK"),((Eingaben!$B$32+Eingaben!$B$35)*(1+Eingaben!$B$41)^(B539-1)+SUM(Variantenbilanz!E3665:E4030)*Eingaben!$B$33*Eingaben!$B$34*(1+Eingaben!$B$42)^(B539-1))*Szenarien!$F$21,0),0)</f>
        <v>0</v>
      </c>
      <c r="E539" s="13" t="n">
        <f aca="false">IFERROR(IF(AND(AND(B539&lt;=Eingaben!$B$11,Szenarien!$H$21="OK"),B539=Eingaben!$B$43),Eingaben!$B$44*Szenarien!$B$21*(1+Eingaben!$B$41)^(B539-1),0),0)</f>
        <v>0</v>
      </c>
      <c r="F539" s="13" t="n">
        <f aca="false">IFERROR(IF(AND(AND(B539&lt;=Eingaben!$B$11,Szenarien!$H$21="OK"),B539=Eingaben!$B$11),Eingaben!$B$45*Szenarien!$B$21,0),0)</f>
        <v>0</v>
      </c>
      <c r="G539" s="13" t="n">
        <f aca="false">C539-D539-E539+F539</f>
        <v>0</v>
      </c>
      <c r="H539" s="13" t="n">
        <f aca="false">IFERROR(IF(AND(B539&lt;=Eingaben!$B$11,Szenarien!$H$21="OK"),1/(1+Eingaben!$B$39+Szenarien!$G$21)^B539,0),0)</f>
        <v>0</v>
      </c>
      <c r="I539" s="13" t="n">
        <f aca="false">G539*H539</f>
        <v>0</v>
      </c>
      <c r="J539" s="13" t="n">
        <f aca="false">(D539+E539-F539)*H539</f>
        <v>0</v>
      </c>
      <c r="K539" s="13" t="n">
        <f aca="false">IF(AND(B539&lt;=Eingaben!$B$11,Szenarien!$H$21="OK"),SUM(Variantenbilanz!K3665:K4030)*H539,0)</f>
        <v>0</v>
      </c>
    </row>
    <row r="540" customFormat="false" ht="16.4" hidden="false" customHeight="false" outlineLevel="0" collapsed="false">
      <c r="A540" s="12"/>
      <c r="B540" s="15" t="n">
        <v>25</v>
      </c>
      <c r="C540" s="13" t="n">
        <f aca="false">IFERROR(IF(AND(B540&lt;=Eingaben!$B$11,Szenarien!$H$21="OK"),SUM(Variantenbilanz!K3665:K4030)*(Eingaben!$B$36*Szenarien!$C$21*(1+Eingaben!$B$40)^(B540-1)+Eingaben!$B$37*Eingaben!$B$38*(1+Eingaben!$B$46)^(B540-1)),0),0)</f>
        <v>0</v>
      </c>
      <c r="D540" s="13" t="n">
        <f aca="false">IFERROR(IF(AND(B540&lt;=Eingaben!$B$11,Szenarien!$H$21="OK"),((Eingaben!$B$32+Eingaben!$B$35)*(1+Eingaben!$B$41)^(B540-1)+SUM(Variantenbilanz!E3665:E4030)*Eingaben!$B$33*Eingaben!$B$34*(1+Eingaben!$B$42)^(B540-1))*Szenarien!$F$21,0),0)</f>
        <v>0</v>
      </c>
      <c r="E540" s="13" t="n">
        <f aca="false">IFERROR(IF(AND(AND(B540&lt;=Eingaben!$B$11,Szenarien!$H$21="OK"),B540=Eingaben!$B$43),Eingaben!$B$44*Szenarien!$B$21*(1+Eingaben!$B$41)^(B540-1),0),0)</f>
        <v>0</v>
      </c>
      <c r="F540" s="13" t="n">
        <f aca="false">IFERROR(IF(AND(AND(B540&lt;=Eingaben!$B$11,Szenarien!$H$21="OK"),B540=Eingaben!$B$11),Eingaben!$B$45*Szenarien!$B$21,0),0)</f>
        <v>0</v>
      </c>
      <c r="G540" s="13" t="n">
        <f aca="false">C540-D540-E540+F540</f>
        <v>0</v>
      </c>
      <c r="H540" s="13" t="n">
        <f aca="false">IFERROR(IF(AND(B540&lt;=Eingaben!$B$11,Szenarien!$H$21="OK"),1/(1+Eingaben!$B$39+Szenarien!$G$21)^B540,0),0)</f>
        <v>0</v>
      </c>
      <c r="I540" s="13" t="n">
        <f aca="false">G540*H540</f>
        <v>0</v>
      </c>
      <c r="J540" s="13" t="n">
        <f aca="false">(D540+E540-F540)*H540</f>
        <v>0</v>
      </c>
      <c r="K540" s="13" t="n">
        <f aca="false">IF(AND(B540&lt;=Eingaben!$B$11,Szenarien!$H$21="OK"),SUM(Variantenbilanz!K3665:K4030)*H540,0)</f>
        <v>0</v>
      </c>
    </row>
    <row r="541" customFormat="false" ht="16.4" hidden="false" customHeight="false" outlineLevel="0" collapsed="false">
      <c r="A541" s="12"/>
      <c r="B541" s="15" t="n">
        <v>26</v>
      </c>
      <c r="C541" s="13" t="n">
        <f aca="false">IFERROR(IF(AND(B541&lt;=Eingaben!$B$11,Szenarien!$H$21="OK"),SUM(Variantenbilanz!K3665:K4030)*(Eingaben!$B$36*Szenarien!$C$21*(1+Eingaben!$B$40)^(B541-1)+Eingaben!$B$37*Eingaben!$B$38*(1+Eingaben!$B$46)^(B541-1)),0),0)</f>
        <v>0</v>
      </c>
      <c r="D541" s="13" t="n">
        <f aca="false">IFERROR(IF(AND(B541&lt;=Eingaben!$B$11,Szenarien!$H$21="OK"),((Eingaben!$B$32+Eingaben!$B$35)*(1+Eingaben!$B$41)^(B541-1)+SUM(Variantenbilanz!E3665:E4030)*Eingaben!$B$33*Eingaben!$B$34*(1+Eingaben!$B$42)^(B541-1))*Szenarien!$F$21,0),0)</f>
        <v>0</v>
      </c>
      <c r="E541" s="13" t="n">
        <f aca="false">IFERROR(IF(AND(AND(B541&lt;=Eingaben!$B$11,Szenarien!$H$21="OK"),B541=Eingaben!$B$43),Eingaben!$B$44*Szenarien!$B$21*(1+Eingaben!$B$41)^(B541-1),0),0)</f>
        <v>0</v>
      </c>
      <c r="F541" s="13" t="n">
        <f aca="false">IFERROR(IF(AND(AND(B541&lt;=Eingaben!$B$11,Szenarien!$H$21="OK"),B541=Eingaben!$B$11),Eingaben!$B$45*Szenarien!$B$21,0),0)</f>
        <v>0</v>
      </c>
      <c r="G541" s="13" t="n">
        <f aca="false">C541-D541-E541+F541</f>
        <v>0</v>
      </c>
      <c r="H541" s="13" t="n">
        <f aca="false">IFERROR(IF(AND(B541&lt;=Eingaben!$B$11,Szenarien!$H$21="OK"),1/(1+Eingaben!$B$39+Szenarien!$G$21)^B541,0),0)</f>
        <v>0</v>
      </c>
      <c r="I541" s="13" t="n">
        <f aca="false">G541*H541</f>
        <v>0</v>
      </c>
      <c r="J541" s="13" t="n">
        <f aca="false">(D541+E541-F541)*H541</f>
        <v>0</v>
      </c>
      <c r="K541" s="13" t="n">
        <f aca="false">IF(AND(B541&lt;=Eingaben!$B$11,Szenarien!$H$21="OK"),SUM(Variantenbilanz!K3665:K4030)*H541,0)</f>
        <v>0</v>
      </c>
    </row>
    <row r="542" customFormat="false" ht="16.4" hidden="false" customHeight="false" outlineLevel="0" collapsed="false">
      <c r="A542" s="12"/>
      <c r="B542" s="15" t="n">
        <v>27</v>
      </c>
      <c r="C542" s="13" t="n">
        <f aca="false">IFERROR(IF(AND(B542&lt;=Eingaben!$B$11,Szenarien!$H$21="OK"),SUM(Variantenbilanz!K3665:K4030)*(Eingaben!$B$36*Szenarien!$C$21*(1+Eingaben!$B$40)^(B542-1)+Eingaben!$B$37*Eingaben!$B$38*(1+Eingaben!$B$46)^(B542-1)),0),0)</f>
        <v>0</v>
      </c>
      <c r="D542" s="13" t="n">
        <f aca="false">IFERROR(IF(AND(B542&lt;=Eingaben!$B$11,Szenarien!$H$21="OK"),((Eingaben!$B$32+Eingaben!$B$35)*(1+Eingaben!$B$41)^(B542-1)+SUM(Variantenbilanz!E3665:E4030)*Eingaben!$B$33*Eingaben!$B$34*(1+Eingaben!$B$42)^(B542-1))*Szenarien!$F$21,0),0)</f>
        <v>0</v>
      </c>
      <c r="E542" s="13" t="n">
        <f aca="false">IFERROR(IF(AND(AND(B542&lt;=Eingaben!$B$11,Szenarien!$H$21="OK"),B542=Eingaben!$B$43),Eingaben!$B$44*Szenarien!$B$21*(1+Eingaben!$B$41)^(B542-1),0),0)</f>
        <v>0</v>
      </c>
      <c r="F542" s="13" t="n">
        <f aca="false">IFERROR(IF(AND(AND(B542&lt;=Eingaben!$B$11,Szenarien!$H$21="OK"),B542=Eingaben!$B$11),Eingaben!$B$45*Szenarien!$B$21,0),0)</f>
        <v>0</v>
      </c>
      <c r="G542" s="13" t="n">
        <f aca="false">C542-D542-E542+F542</f>
        <v>0</v>
      </c>
      <c r="H542" s="13" t="n">
        <f aca="false">IFERROR(IF(AND(B542&lt;=Eingaben!$B$11,Szenarien!$H$21="OK"),1/(1+Eingaben!$B$39+Szenarien!$G$21)^B542,0),0)</f>
        <v>0</v>
      </c>
      <c r="I542" s="13" t="n">
        <f aca="false">G542*H542</f>
        <v>0</v>
      </c>
      <c r="J542" s="13" t="n">
        <f aca="false">(D542+E542-F542)*H542</f>
        <v>0</v>
      </c>
      <c r="K542" s="13" t="n">
        <f aca="false">IF(AND(B542&lt;=Eingaben!$B$11,Szenarien!$H$21="OK"),SUM(Variantenbilanz!K3665:K4030)*H542,0)</f>
        <v>0</v>
      </c>
    </row>
    <row r="543" customFormat="false" ht="16.4" hidden="false" customHeight="false" outlineLevel="0" collapsed="false">
      <c r="A543" s="12"/>
      <c r="B543" s="15" t="n">
        <v>28</v>
      </c>
      <c r="C543" s="13" t="n">
        <f aca="false">IFERROR(IF(AND(B543&lt;=Eingaben!$B$11,Szenarien!$H$21="OK"),SUM(Variantenbilanz!K3665:K4030)*(Eingaben!$B$36*Szenarien!$C$21*(1+Eingaben!$B$40)^(B543-1)+Eingaben!$B$37*Eingaben!$B$38*(1+Eingaben!$B$46)^(B543-1)),0),0)</f>
        <v>0</v>
      </c>
      <c r="D543" s="13" t="n">
        <f aca="false">IFERROR(IF(AND(B543&lt;=Eingaben!$B$11,Szenarien!$H$21="OK"),((Eingaben!$B$32+Eingaben!$B$35)*(1+Eingaben!$B$41)^(B543-1)+SUM(Variantenbilanz!E3665:E4030)*Eingaben!$B$33*Eingaben!$B$34*(1+Eingaben!$B$42)^(B543-1))*Szenarien!$F$21,0),0)</f>
        <v>0</v>
      </c>
      <c r="E543" s="13" t="n">
        <f aca="false">IFERROR(IF(AND(AND(B543&lt;=Eingaben!$B$11,Szenarien!$H$21="OK"),B543=Eingaben!$B$43),Eingaben!$B$44*Szenarien!$B$21*(1+Eingaben!$B$41)^(B543-1),0),0)</f>
        <v>0</v>
      </c>
      <c r="F543" s="13" t="n">
        <f aca="false">IFERROR(IF(AND(AND(B543&lt;=Eingaben!$B$11,Szenarien!$H$21="OK"),B543=Eingaben!$B$11),Eingaben!$B$45*Szenarien!$B$21,0),0)</f>
        <v>0</v>
      </c>
      <c r="G543" s="13" t="n">
        <f aca="false">C543-D543-E543+F543</f>
        <v>0</v>
      </c>
      <c r="H543" s="13" t="n">
        <f aca="false">IFERROR(IF(AND(B543&lt;=Eingaben!$B$11,Szenarien!$H$21="OK"),1/(1+Eingaben!$B$39+Szenarien!$G$21)^B543,0),0)</f>
        <v>0</v>
      </c>
      <c r="I543" s="13" t="n">
        <f aca="false">G543*H543</f>
        <v>0</v>
      </c>
      <c r="J543" s="13" t="n">
        <f aca="false">(D543+E543-F543)*H543</f>
        <v>0</v>
      </c>
      <c r="K543" s="13" t="n">
        <f aca="false">IF(AND(B543&lt;=Eingaben!$B$11,Szenarien!$H$21="OK"),SUM(Variantenbilanz!K3665:K4030)*H543,0)</f>
        <v>0</v>
      </c>
    </row>
    <row r="544" customFormat="false" ht="16.4" hidden="false" customHeight="false" outlineLevel="0" collapsed="false">
      <c r="A544" s="12"/>
      <c r="B544" s="15" t="n">
        <v>29</v>
      </c>
      <c r="C544" s="13" t="n">
        <f aca="false">IFERROR(IF(AND(B544&lt;=Eingaben!$B$11,Szenarien!$H$21="OK"),SUM(Variantenbilanz!K3665:K4030)*(Eingaben!$B$36*Szenarien!$C$21*(1+Eingaben!$B$40)^(B544-1)+Eingaben!$B$37*Eingaben!$B$38*(1+Eingaben!$B$46)^(B544-1)),0),0)</f>
        <v>0</v>
      </c>
      <c r="D544" s="13" t="n">
        <f aca="false">IFERROR(IF(AND(B544&lt;=Eingaben!$B$11,Szenarien!$H$21="OK"),((Eingaben!$B$32+Eingaben!$B$35)*(1+Eingaben!$B$41)^(B544-1)+SUM(Variantenbilanz!E3665:E4030)*Eingaben!$B$33*Eingaben!$B$34*(1+Eingaben!$B$42)^(B544-1))*Szenarien!$F$21,0),0)</f>
        <v>0</v>
      </c>
      <c r="E544" s="13" t="n">
        <f aca="false">IFERROR(IF(AND(AND(B544&lt;=Eingaben!$B$11,Szenarien!$H$21="OK"),B544=Eingaben!$B$43),Eingaben!$B$44*Szenarien!$B$21*(1+Eingaben!$B$41)^(B544-1),0),0)</f>
        <v>0</v>
      </c>
      <c r="F544" s="13" t="n">
        <f aca="false">IFERROR(IF(AND(AND(B544&lt;=Eingaben!$B$11,Szenarien!$H$21="OK"),B544=Eingaben!$B$11),Eingaben!$B$45*Szenarien!$B$21,0),0)</f>
        <v>0</v>
      </c>
      <c r="G544" s="13" t="n">
        <f aca="false">C544-D544-E544+F544</f>
        <v>0</v>
      </c>
      <c r="H544" s="13" t="n">
        <f aca="false">IFERROR(IF(AND(B544&lt;=Eingaben!$B$11,Szenarien!$H$21="OK"),1/(1+Eingaben!$B$39+Szenarien!$G$21)^B544,0),0)</f>
        <v>0</v>
      </c>
      <c r="I544" s="13" t="n">
        <f aca="false">G544*H544</f>
        <v>0</v>
      </c>
      <c r="J544" s="13" t="n">
        <f aca="false">(D544+E544-F544)*H544</f>
        <v>0</v>
      </c>
      <c r="K544" s="13" t="n">
        <f aca="false">IF(AND(B544&lt;=Eingaben!$B$11,Szenarien!$H$21="OK"),SUM(Variantenbilanz!K3665:K4030)*H544,0)</f>
        <v>0</v>
      </c>
    </row>
    <row r="545" customFormat="false" ht="16.4" hidden="false" customHeight="false" outlineLevel="0" collapsed="false">
      <c r="A545" s="12"/>
      <c r="B545" s="15" t="n">
        <v>30</v>
      </c>
      <c r="C545" s="13" t="n">
        <f aca="false">IFERROR(IF(AND(B545&lt;=Eingaben!$B$11,Szenarien!$H$21="OK"),SUM(Variantenbilanz!K3665:K4030)*(Eingaben!$B$36*Szenarien!$C$21*(1+Eingaben!$B$40)^(B545-1)+Eingaben!$B$37*Eingaben!$B$38*(1+Eingaben!$B$46)^(B545-1)),0),0)</f>
        <v>0</v>
      </c>
      <c r="D545" s="13" t="n">
        <f aca="false">IFERROR(IF(AND(B545&lt;=Eingaben!$B$11,Szenarien!$H$21="OK"),((Eingaben!$B$32+Eingaben!$B$35)*(1+Eingaben!$B$41)^(B545-1)+SUM(Variantenbilanz!E3665:E4030)*Eingaben!$B$33*Eingaben!$B$34*(1+Eingaben!$B$42)^(B545-1))*Szenarien!$F$21,0),0)</f>
        <v>0</v>
      </c>
      <c r="E545" s="13" t="n">
        <f aca="false">IFERROR(IF(AND(AND(B545&lt;=Eingaben!$B$11,Szenarien!$H$21="OK"),B545=Eingaben!$B$43),Eingaben!$B$44*Szenarien!$B$21*(1+Eingaben!$B$41)^(B545-1),0),0)</f>
        <v>0</v>
      </c>
      <c r="F545" s="13" t="n">
        <f aca="false">IFERROR(IF(AND(AND(B545&lt;=Eingaben!$B$11,Szenarien!$H$21="OK"),B545=Eingaben!$B$11),Eingaben!$B$45*Szenarien!$B$21,0),0)</f>
        <v>0</v>
      </c>
      <c r="G545" s="13" t="n">
        <f aca="false">C545-D545-E545+F545</f>
        <v>0</v>
      </c>
      <c r="H545" s="13" t="n">
        <f aca="false">IFERROR(IF(AND(B545&lt;=Eingaben!$B$11,Szenarien!$H$21="OK"),1/(1+Eingaben!$B$39+Szenarien!$G$21)^B545,0),0)</f>
        <v>0</v>
      </c>
      <c r="I545" s="13" t="n">
        <f aca="false">G545*H545</f>
        <v>0</v>
      </c>
      <c r="J545" s="13" t="n">
        <f aca="false">(D545+E545-F545)*H545</f>
        <v>0</v>
      </c>
      <c r="K545" s="13" t="n">
        <f aca="false">IF(AND(B545&lt;=Eingaben!$B$11,Szenarien!$H$21="OK"),SUM(Variantenbilanz!K3665:K4030)*H545,0)</f>
        <v>0</v>
      </c>
    </row>
    <row r="546" customFormat="false" ht="16.4" hidden="false" customHeight="false" outlineLevel="0" collapsed="false">
      <c r="A546" s="12"/>
      <c r="B546" s="15" t="n">
        <v>31</v>
      </c>
      <c r="C546" s="13" t="n">
        <f aca="false">IFERROR(IF(AND(B546&lt;=Eingaben!$B$11,Szenarien!$H$21="OK"),SUM(Variantenbilanz!K3665:K4030)*(Eingaben!$B$36*Szenarien!$C$21*(1+Eingaben!$B$40)^(B546-1)+Eingaben!$B$37*Eingaben!$B$38*(1+Eingaben!$B$46)^(B546-1)),0),0)</f>
        <v>0</v>
      </c>
      <c r="D546" s="13" t="n">
        <f aca="false">IFERROR(IF(AND(B546&lt;=Eingaben!$B$11,Szenarien!$H$21="OK"),((Eingaben!$B$32+Eingaben!$B$35)*(1+Eingaben!$B$41)^(B546-1)+SUM(Variantenbilanz!E3665:E4030)*Eingaben!$B$33*Eingaben!$B$34*(1+Eingaben!$B$42)^(B546-1))*Szenarien!$F$21,0),0)</f>
        <v>0</v>
      </c>
      <c r="E546" s="13" t="n">
        <f aca="false">IFERROR(IF(AND(AND(B546&lt;=Eingaben!$B$11,Szenarien!$H$21="OK"),B546=Eingaben!$B$43),Eingaben!$B$44*Szenarien!$B$21*(1+Eingaben!$B$41)^(B546-1),0),0)</f>
        <v>0</v>
      </c>
      <c r="F546" s="13" t="n">
        <f aca="false">IFERROR(IF(AND(AND(B546&lt;=Eingaben!$B$11,Szenarien!$H$21="OK"),B546=Eingaben!$B$11),Eingaben!$B$45*Szenarien!$B$21,0),0)</f>
        <v>0</v>
      </c>
      <c r="G546" s="13" t="n">
        <f aca="false">C546-D546-E546+F546</f>
        <v>0</v>
      </c>
      <c r="H546" s="13" t="n">
        <f aca="false">IFERROR(IF(AND(B546&lt;=Eingaben!$B$11,Szenarien!$H$21="OK"),1/(1+Eingaben!$B$39+Szenarien!$G$21)^B546,0),0)</f>
        <v>0</v>
      </c>
      <c r="I546" s="13" t="n">
        <f aca="false">G546*H546</f>
        <v>0</v>
      </c>
      <c r="J546" s="13" t="n">
        <f aca="false">(D546+E546-F546)*H546</f>
        <v>0</v>
      </c>
      <c r="K546" s="13" t="n">
        <f aca="false">IF(AND(B546&lt;=Eingaben!$B$11,Szenarien!$H$21="OK"),SUM(Variantenbilanz!K3665:K4030)*H546,0)</f>
        <v>0</v>
      </c>
    </row>
    <row r="547" customFormat="false" ht="16.4" hidden="false" customHeight="false" outlineLevel="0" collapsed="false">
      <c r="A547" s="12"/>
      <c r="B547" s="15" t="n">
        <v>32</v>
      </c>
      <c r="C547" s="13" t="n">
        <f aca="false">IFERROR(IF(AND(B547&lt;=Eingaben!$B$11,Szenarien!$H$21="OK"),SUM(Variantenbilanz!K3665:K4030)*(Eingaben!$B$36*Szenarien!$C$21*(1+Eingaben!$B$40)^(B547-1)+Eingaben!$B$37*Eingaben!$B$38*(1+Eingaben!$B$46)^(B547-1)),0),0)</f>
        <v>0</v>
      </c>
      <c r="D547" s="13" t="n">
        <f aca="false">IFERROR(IF(AND(B547&lt;=Eingaben!$B$11,Szenarien!$H$21="OK"),((Eingaben!$B$32+Eingaben!$B$35)*(1+Eingaben!$B$41)^(B547-1)+SUM(Variantenbilanz!E3665:E4030)*Eingaben!$B$33*Eingaben!$B$34*(1+Eingaben!$B$42)^(B547-1))*Szenarien!$F$21,0),0)</f>
        <v>0</v>
      </c>
      <c r="E547" s="13" t="n">
        <f aca="false">IFERROR(IF(AND(AND(B547&lt;=Eingaben!$B$11,Szenarien!$H$21="OK"),B547=Eingaben!$B$43),Eingaben!$B$44*Szenarien!$B$21*(1+Eingaben!$B$41)^(B547-1),0),0)</f>
        <v>0</v>
      </c>
      <c r="F547" s="13" t="n">
        <f aca="false">IFERROR(IF(AND(AND(B547&lt;=Eingaben!$B$11,Szenarien!$H$21="OK"),B547=Eingaben!$B$11),Eingaben!$B$45*Szenarien!$B$21,0),0)</f>
        <v>0</v>
      </c>
      <c r="G547" s="13" t="n">
        <f aca="false">C547-D547-E547+F547</f>
        <v>0</v>
      </c>
      <c r="H547" s="13" t="n">
        <f aca="false">IFERROR(IF(AND(B547&lt;=Eingaben!$B$11,Szenarien!$H$21="OK"),1/(1+Eingaben!$B$39+Szenarien!$G$21)^B547,0),0)</f>
        <v>0</v>
      </c>
      <c r="I547" s="13" t="n">
        <f aca="false">G547*H547</f>
        <v>0</v>
      </c>
      <c r="J547" s="13" t="n">
        <f aca="false">(D547+E547-F547)*H547</f>
        <v>0</v>
      </c>
      <c r="K547" s="13" t="n">
        <f aca="false">IF(AND(B547&lt;=Eingaben!$B$11,Szenarien!$H$21="OK"),SUM(Variantenbilanz!K3665:K4030)*H547,0)</f>
        <v>0</v>
      </c>
    </row>
    <row r="548" customFormat="false" ht="16.4" hidden="false" customHeight="false" outlineLevel="0" collapsed="false">
      <c r="A548" s="12"/>
      <c r="B548" s="15" t="n">
        <v>33</v>
      </c>
      <c r="C548" s="13" t="n">
        <f aca="false">IFERROR(IF(AND(B548&lt;=Eingaben!$B$11,Szenarien!$H$21="OK"),SUM(Variantenbilanz!K3665:K4030)*(Eingaben!$B$36*Szenarien!$C$21*(1+Eingaben!$B$40)^(B548-1)+Eingaben!$B$37*Eingaben!$B$38*(1+Eingaben!$B$46)^(B548-1)),0),0)</f>
        <v>0</v>
      </c>
      <c r="D548" s="13" t="n">
        <f aca="false">IFERROR(IF(AND(B548&lt;=Eingaben!$B$11,Szenarien!$H$21="OK"),((Eingaben!$B$32+Eingaben!$B$35)*(1+Eingaben!$B$41)^(B548-1)+SUM(Variantenbilanz!E3665:E4030)*Eingaben!$B$33*Eingaben!$B$34*(1+Eingaben!$B$42)^(B548-1))*Szenarien!$F$21,0),0)</f>
        <v>0</v>
      </c>
      <c r="E548" s="13" t="n">
        <f aca="false">IFERROR(IF(AND(AND(B548&lt;=Eingaben!$B$11,Szenarien!$H$21="OK"),B548=Eingaben!$B$43),Eingaben!$B$44*Szenarien!$B$21*(1+Eingaben!$B$41)^(B548-1),0),0)</f>
        <v>0</v>
      </c>
      <c r="F548" s="13" t="n">
        <f aca="false">IFERROR(IF(AND(AND(B548&lt;=Eingaben!$B$11,Szenarien!$H$21="OK"),B548=Eingaben!$B$11),Eingaben!$B$45*Szenarien!$B$21,0),0)</f>
        <v>0</v>
      </c>
      <c r="G548" s="13" t="n">
        <f aca="false">C548-D548-E548+F548</f>
        <v>0</v>
      </c>
      <c r="H548" s="13" t="n">
        <f aca="false">IFERROR(IF(AND(B548&lt;=Eingaben!$B$11,Szenarien!$H$21="OK"),1/(1+Eingaben!$B$39+Szenarien!$G$21)^B548,0),0)</f>
        <v>0</v>
      </c>
      <c r="I548" s="13" t="n">
        <f aca="false">G548*H548</f>
        <v>0</v>
      </c>
      <c r="J548" s="13" t="n">
        <f aca="false">(D548+E548-F548)*H548</f>
        <v>0</v>
      </c>
      <c r="K548" s="13" t="n">
        <f aca="false">IF(AND(B548&lt;=Eingaben!$B$11,Szenarien!$H$21="OK"),SUM(Variantenbilanz!K3665:K4030)*H548,0)</f>
        <v>0</v>
      </c>
    </row>
    <row r="549" customFormat="false" ht="16.4" hidden="false" customHeight="false" outlineLevel="0" collapsed="false">
      <c r="A549" s="12"/>
      <c r="B549" s="15" t="n">
        <v>34</v>
      </c>
      <c r="C549" s="13" t="n">
        <f aca="false">IFERROR(IF(AND(B549&lt;=Eingaben!$B$11,Szenarien!$H$21="OK"),SUM(Variantenbilanz!K3665:K4030)*(Eingaben!$B$36*Szenarien!$C$21*(1+Eingaben!$B$40)^(B549-1)+Eingaben!$B$37*Eingaben!$B$38*(1+Eingaben!$B$46)^(B549-1)),0),0)</f>
        <v>0</v>
      </c>
      <c r="D549" s="13" t="n">
        <f aca="false">IFERROR(IF(AND(B549&lt;=Eingaben!$B$11,Szenarien!$H$21="OK"),((Eingaben!$B$32+Eingaben!$B$35)*(1+Eingaben!$B$41)^(B549-1)+SUM(Variantenbilanz!E3665:E4030)*Eingaben!$B$33*Eingaben!$B$34*(1+Eingaben!$B$42)^(B549-1))*Szenarien!$F$21,0),0)</f>
        <v>0</v>
      </c>
      <c r="E549" s="13" t="n">
        <f aca="false">IFERROR(IF(AND(AND(B549&lt;=Eingaben!$B$11,Szenarien!$H$21="OK"),B549=Eingaben!$B$43),Eingaben!$B$44*Szenarien!$B$21*(1+Eingaben!$B$41)^(B549-1),0),0)</f>
        <v>0</v>
      </c>
      <c r="F549" s="13" t="n">
        <f aca="false">IFERROR(IF(AND(AND(B549&lt;=Eingaben!$B$11,Szenarien!$H$21="OK"),B549=Eingaben!$B$11),Eingaben!$B$45*Szenarien!$B$21,0),0)</f>
        <v>0</v>
      </c>
      <c r="G549" s="13" t="n">
        <f aca="false">C549-D549-E549+F549</f>
        <v>0</v>
      </c>
      <c r="H549" s="13" t="n">
        <f aca="false">IFERROR(IF(AND(B549&lt;=Eingaben!$B$11,Szenarien!$H$21="OK"),1/(1+Eingaben!$B$39+Szenarien!$G$21)^B549,0),0)</f>
        <v>0</v>
      </c>
      <c r="I549" s="13" t="n">
        <f aca="false">G549*H549</f>
        <v>0</v>
      </c>
      <c r="J549" s="13" t="n">
        <f aca="false">(D549+E549-F549)*H549</f>
        <v>0</v>
      </c>
      <c r="K549" s="13" t="n">
        <f aca="false">IF(AND(B549&lt;=Eingaben!$B$11,Szenarien!$H$21="OK"),SUM(Variantenbilanz!K3665:K4030)*H549,0)</f>
        <v>0</v>
      </c>
    </row>
    <row r="550" customFormat="false" ht="16.4" hidden="false" customHeight="false" outlineLevel="0" collapsed="false">
      <c r="A550" s="12"/>
      <c r="B550" s="15" t="n">
        <v>35</v>
      </c>
      <c r="C550" s="13" t="n">
        <f aca="false">IFERROR(IF(AND(B550&lt;=Eingaben!$B$11,Szenarien!$H$21="OK"),SUM(Variantenbilanz!K3665:K4030)*(Eingaben!$B$36*Szenarien!$C$21*(1+Eingaben!$B$40)^(B550-1)+Eingaben!$B$37*Eingaben!$B$38*(1+Eingaben!$B$46)^(B550-1)),0),0)</f>
        <v>0</v>
      </c>
      <c r="D550" s="13" t="n">
        <f aca="false">IFERROR(IF(AND(B550&lt;=Eingaben!$B$11,Szenarien!$H$21="OK"),((Eingaben!$B$32+Eingaben!$B$35)*(1+Eingaben!$B$41)^(B550-1)+SUM(Variantenbilanz!E3665:E4030)*Eingaben!$B$33*Eingaben!$B$34*(1+Eingaben!$B$42)^(B550-1))*Szenarien!$F$21,0),0)</f>
        <v>0</v>
      </c>
      <c r="E550" s="13" t="n">
        <f aca="false">IFERROR(IF(AND(AND(B550&lt;=Eingaben!$B$11,Szenarien!$H$21="OK"),B550=Eingaben!$B$43),Eingaben!$B$44*Szenarien!$B$21*(1+Eingaben!$B$41)^(B550-1),0),0)</f>
        <v>0</v>
      </c>
      <c r="F550" s="13" t="n">
        <f aca="false">IFERROR(IF(AND(AND(B550&lt;=Eingaben!$B$11,Szenarien!$H$21="OK"),B550=Eingaben!$B$11),Eingaben!$B$45*Szenarien!$B$21,0),0)</f>
        <v>0</v>
      </c>
      <c r="G550" s="13" t="n">
        <f aca="false">C550-D550-E550+F550</f>
        <v>0</v>
      </c>
      <c r="H550" s="13" t="n">
        <f aca="false">IFERROR(IF(AND(B550&lt;=Eingaben!$B$11,Szenarien!$H$21="OK"),1/(1+Eingaben!$B$39+Szenarien!$G$21)^B550,0),0)</f>
        <v>0</v>
      </c>
      <c r="I550" s="13" t="n">
        <f aca="false">G550*H550</f>
        <v>0</v>
      </c>
      <c r="J550" s="13" t="n">
        <f aca="false">(D550+E550-F550)*H550</f>
        <v>0</v>
      </c>
      <c r="K550" s="13" t="n">
        <f aca="false">IF(AND(B550&lt;=Eingaben!$B$11,Szenarien!$H$21="OK"),SUM(Variantenbilanz!K3665:K4030)*H550,0)</f>
        <v>0</v>
      </c>
    </row>
    <row r="551" customFormat="false" ht="16.4" hidden="false" customHeight="false" outlineLevel="0" collapsed="false">
      <c r="A551" s="12"/>
      <c r="B551" s="15" t="n">
        <v>36</v>
      </c>
      <c r="C551" s="13" t="n">
        <f aca="false">IFERROR(IF(AND(B551&lt;=Eingaben!$B$11,Szenarien!$H$21="OK"),SUM(Variantenbilanz!K3665:K4030)*(Eingaben!$B$36*Szenarien!$C$21*(1+Eingaben!$B$40)^(B551-1)+Eingaben!$B$37*Eingaben!$B$38*(1+Eingaben!$B$46)^(B551-1)),0),0)</f>
        <v>0</v>
      </c>
      <c r="D551" s="13" t="n">
        <f aca="false">IFERROR(IF(AND(B551&lt;=Eingaben!$B$11,Szenarien!$H$21="OK"),((Eingaben!$B$32+Eingaben!$B$35)*(1+Eingaben!$B$41)^(B551-1)+SUM(Variantenbilanz!E3665:E4030)*Eingaben!$B$33*Eingaben!$B$34*(1+Eingaben!$B$42)^(B551-1))*Szenarien!$F$21,0),0)</f>
        <v>0</v>
      </c>
      <c r="E551" s="13" t="n">
        <f aca="false">IFERROR(IF(AND(AND(B551&lt;=Eingaben!$B$11,Szenarien!$H$21="OK"),B551=Eingaben!$B$43),Eingaben!$B$44*Szenarien!$B$21*(1+Eingaben!$B$41)^(B551-1),0),0)</f>
        <v>0</v>
      </c>
      <c r="F551" s="13" t="n">
        <f aca="false">IFERROR(IF(AND(AND(B551&lt;=Eingaben!$B$11,Szenarien!$H$21="OK"),B551=Eingaben!$B$11),Eingaben!$B$45*Szenarien!$B$21,0),0)</f>
        <v>0</v>
      </c>
      <c r="G551" s="13" t="n">
        <f aca="false">C551-D551-E551+F551</f>
        <v>0</v>
      </c>
      <c r="H551" s="13" t="n">
        <f aca="false">IFERROR(IF(AND(B551&lt;=Eingaben!$B$11,Szenarien!$H$21="OK"),1/(1+Eingaben!$B$39+Szenarien!$G$21)^B551,0),0)</f>
        <v>0</v>
      </c>
      <c r="I551" s="13" t="n">
        <f aca="false">G551*H551</f>
        <v>0</v>
      </c>
      <c r="J551" s="13" t="n">
        <f aca="false">(D551+E551-F551)*H551</f>
        <v>0</v>
      </c>
      <c r="K551" s="13" t="n">
        <f aca="false">IF(AND(B551&lt;=Eingaben!$B$11,Szenarien!$H$21="OK"),SUM(Variantenbilanz!K3665:K4030)*H551,0)</f>
        <v>0</v>
      </c>
    </row>
    <row r="552" customFormat="false" ht="16.4" hidden="false" customHeight="false" outlineLevel="0" collapsed="false">
      <c r="A552" s="12"/>
      <c r="B552" s="15" t="n">
        <v>37</v>
      </c>
      <c r="C552" s="13" t="n">
        <f aca="false">IFERROR(IF(AND(B552&lt;=Eingaben!$B$11,Szenarien!$H$21="OK"),SUM(Variantenbilanz!K3665:K4030)*(Eingaben!$B$36*Szenarien!$C$21*(1+Eingaben!$B$40)^(B552-1)+Eingaben!$B$37*Eingaben!$B$38*(1+Eingaben!$B$46)^(B552-1)),0),0)</f>
        <v>0</v>
      </c>
      <c r="D552" s="13" t="n">
        <f aca="false">IFERROR(IF(AND(B552&lt;=Eingaben!$B$11,Szenarien!$H$21="OK"),((Eingaben!$B$32+Eingaben!$B$35)*(1+Eingaben!$B$41)^(B552-1)+SUM(Variantenbilanz!E3665:E4030)*Eingaben!$B$33*Eingaben!$B$34*(1+Eingaben!$B$42)^(B552-1))*Szenarien!$F$21,0),0)</f>
        <v>0</v>
      </c>
      <c r="E552" s="13" t="n">
        <f aca="false">IFERROR(IF(AND(AND(B552&lt;=Eingaben!$B$11,Szenarien!$H$21="OK"),B552=Eingaben!$B$43),Eingaben!$B$44*Szenarien!$B$21*(1+Eingaben!$B$41)^(B552-1),0),0)</f>
        <v>0</v>
      </c>
      <c r="F552" s="13" t="n">
        <f aca="false">IFERROR(IF(AND(AND(B552&lt;=Eingaben!$B$11,Szenarien!$H$21="OK"),B552=Eingaben!$B$11),Eingaben!$B$45*Szenarien!$B$21,0),0)</f>
        <v>0</v>
      </c>
      <c r="G552" s="13" t="n">
        <f aca="false">C552-D552-E552+F552</f>
        <v>0</v>
      </c>
      <c r="H552" s="13" t="n">
        <f aca="false">IFERROR(IF(AND(B552&lt;=Eingaben!$B$11,Szenarien!$H$21="OK"),1/(1+Eingaben!$B$39+Szenarien!$G$21)^B552,0),0)</f>
        <v>0</v>
      </c>
      <c r="I552" s="13" t="n">
        <f aca="false">G552*H552</f>
        <v>0</v>
      </c>
      <c r="J552" s="13" t="n">
        <f aca="false">(D552+E552-F552)*H552</f>
        <v>0</v>
      </c>
      <c r="K552" s="13" t="n">
        <f aca="false">IF(AND(B552&lt;=Eingaben!$B$11,Szenarien!$H$21="OK"),SUM(Variantenbilanz!K3665:K4030)*H552,0)</f>
        <v>0</v>
      </c>
    </row>
    <row r="553" customFormat="false" ht="16.4" hidden="false" customHeight="false" outlineLevel="0" collapsed="false">
      <c r="A553" s="12"/>
      <c r="B553" s="15" t="n">
        <v>38</v>
      </c>
      <c r="C553" s="13" t="n">
        <f aca="false">IFERROR(IF(AND(B553&lt;=Eingaben!$B$11,Szenarien!$H$21="OK"),SUM(Variantenbilanz!K3665:K4030)*(Eingaben!$B$36*Szenarien!$C$21*(1+Eingaben!$B$40)^(B553-1)+Eingaben!$B$37*Eingaben!$B$38*(1+Eingaben!$B$46)^(B553-1)),0),0)</f>
        <v>0</v>
      </c>
      <c r="D553" s="13" t="n">
        <f aca="false">IFERROR(IF(AND(B553&lt;=Eingaben!$B$11,Szenarien!$H$21="OK"),((Eingaben!$B$32+Eingaben!$B$35)*(1+Eingaben!$B$41)^(B553-1)+SUM(Variantenbilanz!E3665:E4030)*Eingaben!$B$33*Eingaben!$B$34*(1+Eingaben!$B$42)^(B553-1))*Szenarien!$F$21,0),0)</f>
        <v>0</v>
      </c>
      <c r="E553" s="13" t="n">
        <f aca="false">IFERROR(IF(AND(AND(B553&lt;=Eingaben!$B$11,Szenarien!$H$21="OK"),B553=Eingaben!$B$43),Eingaben!$B$44*Szenarien!$B$21*(1+Eingaben!$B$41)^(B553-1),0),0)</f>
        <v>0</v>
      </c>
      <c r="F553" s="13" t="n">
        <f aca="false">IFERROR(IF(AND(AND(B553&lt;=Eingaben!$B$11,Szenarien!$H$21="OK"),B553=Eingaben!$B$11),Eingaben!$B$45*Szenarien!$B$21,0),0)</f>
        <v>0</v>
      </c>
      <c r="G553" s="13" t="n">
        <f aca="false">C553-D553-E553+F553</f>
        <v>0</v>
      </c>
      <c r="H553" s="13" t="n">
        <f aca="false">IFERROR(IF(AND(B553&lt;=Eingaben!$B$11,Szenarien!$H$21="OK"),1/(1+Eingaben!$B$39+Szenarien!$G$21)^B553,0),0)</f>
        <v>0</v>
      </c>
      <c r="I553" s="13" t="n">
        <f aca="false">G553*H553</f>
        <v>0</v>
      </c>
      <c r="J553" s="13" t="n">
        <f aca="false">(D553+E553-F553)*H553</f>
        <v>0</v>
      </c>
      <c r="K553" s="13" t="n">
        <f aca="false">IF(AND(B553&lt;=Eingaben!$B$11,Szenarien!$H$21="OK"),SUM(Variantenbilanz!K3665:K4030)*H553,0)</f>
        <v>0</v>
      </c>
    </row>
    <row r="554" customFormat="false" ht="16.4" hidden="false" customHeight="false" outlineLevel="0" collapsed="false">
      <c r="A554" s="12"/>
      <c r="B554" s="15" t="n">
        <v>39</v>
      </c>
      <c r="C554" s="13" t="n">
        <f aca="false">IFERROR(IF(AND(B554&lt;=Eingaben!$B$11,Szenarien!$H$21="OK"),SUM(Variantenbilanz!K3665:K4030)*(Eingaben!$B$36*Szenarien!$C$21*(1+Eingaben!$B$40)^(B554-1)+Eingaben!$B$37*Eingaben!$B$38*(1+Eingaben!$B$46)^(B554-1)),0),0)</f>
        <v>0</v>
      </c>
      <c r="D554" s="13" t="n">
        <f aca="false">IFERROR(IF(AND(B554&lt;=Eingaben!$B$11,Szenarien!$H$21="OK"),((Eingaben!$B$32+Eingaben!$B$35)*(1+Eingaben!$B$41)^(B554-1)+SUM(Variantenbilanz!E3665:E4030)*Eingaben!$B$33*Eingaben!$B$34*(1+Eingaben!$B$42)^(B554-1))*Szenarien!$F$21,0),0)</f>
        <v>0</v>
      </c>
      <c r="E554" s="13" t="n">
        <f aca="false">IFERROR(IF(AND(AND(B554&lt;=Eingaben!$B$11,Szenarien!$H$21="OK"),B554=Eingaben!$B$43),Eingaben!$B$44*Szenarien!$B$21*(1+Eingaben!$B$41)^(B554-1),0),0)</f>
        <v>0</v>
      </c>
      <c r="F554" s="13" t="n">
        <f aca="false">IFERROR(IF(AND(AND(B554&lt;=Eingaben!$B$11,Szenarien!$H$21="OK"),B554=Eingaben!$B$11),Eingaben!$B$45*Szenarien!$B$21,0),0)</f>
        <v>0</v>
      </c>
      <c r="G554" s="13" t="n">
        <f aca="false">C554-D554-E554+F554</f>
        <v>0</v>
      </c>
      <c r="H554" s="13" t="n">
        <f aca="false">IFERROR(IF(AND(B554&lt;=Eingaben!$B$11,Szenarien!$H$21="OK"),1/(1+Eingaben!$B$39+Szenarien!$G$21)^B554,0),0)</f>
        <v>0</v>
      </c>
      <c r="I554" s="13" t="n">
        <f aca="false">G554*H554</f>
        <v>0</v>
      </c>
      <c r="J554" s="13" t="n">
        <f aca="false">(D554+E554-F554)*H554</f>
        <v>0</v>
      </c>
      <c r="K554" s="13" t="n">
        <f aca="false">IF(AND(B554&lt;=Eingaben!$B$11,Szenarien!$H$21="OK"),SUM(Variantenbilanz!K3665:K4030)*H554,0)</f>
        <v>0</v>
      </c>
    </row>
    <row r="555" customFormat="false" ht="16.4" hidden="false" customHeight="false" outlineLevel="0" collapsed="false">
      <c r="A555" s="12"/>
      <c r="B555" s="15" t="n">
        <v>40</v>
      </c>
      <c r="C555" s="13" t="n">
        <f aca="false">IFERROR(IF(AND(B555&lt;=Eingaben!$B$11,Szenarien!$H$21="OK"),SUM(Variantenbilanz!K3665:K4030)*(Eingaben!$B$36*Szenarien!$C$21*(1+Eingaben!$B$40)^(B555-1)+Eingaben!$B$37*Eingaben!$B$38*(1+Eingaben!$B$46)^(B555-1)),0),0)</f>
        <v>0</v>
      </c>
      <c r="D555" s="13" t="n">
        <f aca="false">IFERROR(IF(AND(B555&lt;=Eingaben!$B$11,Szenarien!$H$21="OK"),((Eingaben!$B$32+Eingaben!$B$35)*(1+Eingaben!$B$41)^(B555-1)+SUM(Variantenbilanz!E3665:E4030)*Eingaben!$B$33*Eingaben!$B$34*(1+Eingaben!$B$42)^(B555-1))*Szenarien!$F$21,0),0)</f>
        <v>0</v>
      </c>
      <c r="E555" s="13" t="n">
        <f aca="false">IFERROR(IF(AND(AND(B555&lt;=Eingaben!$B$11,Szenarien!$H$21="OK"),B555=Eingaben!$B$43),Eingaben!$B$44*Szenarien!$B$21*(1+Eingaben!$B$41)^(B555-1),0),0)</f>
        <v>0</v>
      </c>
      <c r="F555" s="13" t="n">
        <f aca="false">IFERROR(IF(AND(AND(B555&lt;=Eingaben!$B$11,Szenarien!$H$21="OK"),B555=Eingaben!$B$11),Eingaben!$B$45*Szenarien!$B$21,0),0)</f>
        <v>0</v>
      </c>
      <c r="G555" s="13" t="n">
        <f aca="false">C555-D555-E555+F555</f>
        <v>0</v>
      </c>
      <c r="H555" s="13" t="n">
        <f aca="false">IFERROR(IF(AND(B555&lt;=Eingaben!$B$11,Szenarien!$H$21="OK"),1/(1+Eingaben!$B$39+Szenarien!$G$21)^B555,0),0)</f>
        <v>0</v>
      </c>
      <c r="I555" s="13" t="n">
        <f aca="false">G555*H555</f>
        <v>0</v>
      </c>
      <c r="J555" s="13" t="n">
        <f aca="false">(D555+E555-F555)*H555</f>
        <v>0</v>
      </c>
      <c r="K555" s="13" t="n">
        <f aca="false">IF(AND(B555&lt;=Eingaben!$B$11,Szenarien!$H$21="OK"),SUM(Variantenbilanz!K3665:K4030)*H555,0)</f>
        <v>0</v>
      </c>
    </row>
    <row r="556" customFormat="false" ht="16.4" hidden="false" customHeight="false" outlineLevel="0" collapsed="false">
      <c r="A556" s="12"/>
      <c r="B556" s="15" t="n">
        <v>41</v>
      </c>
      <c r="C556" s="13" t="n">
        <f aca="false">IFERROR(IF(AND(B556&lt;=Eingaben!$B$11,Szenarien!$H$21="OK"),SUM(Variantenbilanz!K3665:K4030)*(Eingaben!$B$36*Szenarien!$C$21*(1+Eingaben!$B$40)^(B556-1)+Eingaben!$B$37*Eingaben!$B$38*(1+Eingaben!$B$46)^(B556-1)),0),0)</f>
        <v>0</v>
      </c>
      <c r="D556" s="13" t="n">
        <f aca="false">IFERROR(IF(AND(B556&lt;=Eingaben!$B$11,Szenarien!$H$21="OK"),((Eingaben!$B$32+Eingaben!$B$35)*(1+Eingaben!$B$41)^(B556-1)+SUM(Variantenbilanz!E3665:E4030)*Eingaben!$B$33*Eingaben!$B$34*(1+Eingaben!$B$42)^(B556-1))*Szenarien!$F$21,0),0)</f>
        <v>0</v>
      </c>
      <c r="E556" s="13" t="n">
        <f aca="false">IFERROR(IF(AND(AND(B556&lt;=Eingaben!$B$11,Szenarien!$H$21="OK"),B556=Eingaben!$B$43),Eingaben!$B$44*Szenarien!$B$21*(1+Eingaben!$B$41)^(B556-1),0),0)</f>
        <v>0</v>
      </c>
      <c r="F556" s="13" t="n">
        <f aca="false">IFERROR(IF(AND(AND(B556&lt;=Eingaben!$B$11,Szenarien!$H$21="OK"),B556=Eingaben!$B$11),Eingaben!$B$45*Szenarien!$B$21,0),0)</f>
        <v>0</v>
      </c>
      <c r="G556" s="13" t="n">
        <f aca="false">C556-D556-E556+F556</f>
        <v>0</v>
      </c>
      <c r="H556" s="13" t="n">
        <f aca="false">IFERROR(IF(AND(B556&lt;=Eingaben!$B$11,Szenarien!$H$21="OK"),1/(1+Eingaben!$B$39+Szenarien!$G$21)^B556,0),0)</f>
        <v>0</v>
      </c>
      <c r="I556" s="13" t="n">
        <f aca="false">G556*H556</f>
        <v>0</v>
      </c>
      <c r="J556" s="13" t="n">
        <f aca="false">(D556+E556-F556)*H556</f>
        <v>0</v>
      </c>
      <c r="K556" s="13" t="n">
        <f aca="false">IF(AND(B556&lt;=Eingaben!$B$11,Szenarien!$H$21="OK"),SUM(Variantenbilanz!K3665:K4030)*H556,0)</f>
        <v>0</v>
      </c>
    </row>
    <row r="557" customFormat="false" ht="16.4" hidden="false" customHeight="false" outlineLevel="0" collapsed="false">
      <c r="A557" s="12"/>
      <c r="B557" s="15" t="n">
        <v>42</v>
      </c>
      <c r="C557" s="13" t="n">
        <f aca="false">IFERROR(IF(AND(B557&lt;=Eingaben!$B$11,Szenarien!$H$21="OK"),SUM(Variantenbilanz!K3665:K4030)*(Eingaben!$B$36*Szenarien!$C$21*(1+Eingaben!$B$40)^(B557-1)+Eingaben!$B$37*Eingaben!$B$38*(1+Eingaben!$B$46)^(B557-1)),0),0)</f>
        <v>0</v>
      </c>
      <c r="D557" s="13" t="n">
        <f aca="false">IFERROR(IF(AND(B557&lt;=Eingaben!$B$11,Szenarien!$H$21="OK"),((Eingaben!$B$32+Eingaben!$B$35)*(1+Eingaben!$B$41)^(B557-1)+SUM(Variantenbilanz!E3665:E4030)*Eingaben!$B$33*Eingaben!$B$34*(1+Eingaben!$B$42)^(B557-1))*Szenarien!$F$21,0),0)</f>
        <v>0</v>
      </c>
      <c r="E557" s="13" t="n">
        <f aca="false">IFERROR(IF(AND(AND(B557&lt;=Eingaben!$B$11,Szenarien!$H$21="OK"),B557=Eingaben!$B$43),Eingaben!$B$44*Szenarien!$B$21*(1+Eingaben!$B$41)^(B557-1),0),0)</f>
        <v>0</v>
      </c>
      <c r="F557" s="13" t="n">
        <f aca="false">IFERROR(IF(AND(AND(B557&lt;=Eingaben!$B$11,Szenarien!$H$21="OK"),B557=Eingaben!$B$11),Eingaben!$B$45*Szenarien!$B$21,0),0)</f>
        <v>0</v>
      </c>
      <c r="G557" s="13" t="n">
        <f aca="false">C557-D557-E557+F557</f>
        <v>0</v>
      </c>
      <c r="H557" s="13" t="n">
        <f aca="false">IFERROR(IF(AND(B557&lt;=Eingaben!$B$11,Szenarien!$H$21="OK"),1/(1+Eingaben!$B$39+Szenarien!$G$21)^B557,0),0)</f>
        <v>0</v>
      </c>
      <c r="I557" s="13" t="n">
        <f aca="false">G557*H557</f>
        <v>0</v>
      </c>
      <c r="J557" s="13" t="n">
        <f aca="false">(D557+E557-F557)*H557</f>
        <v>0</v>
      </c>
      <c r="K557" s="13" t="n">
        <f aca="false">IF(AND(B557&lt;=Eingaben!$B$11,Szenarien!$H$21="OK"),SUM(Variantenbilanz!K3665:K4030)*H557,0)</f>
        <v>0</v>
      </c>
    </row>
    <row r="558" customFormat="false" ht="16.4" hidden="false" customHeight="false" outlineLevel="0" collapsed="false">
      <c r="A558" s="12"/>
      <c r="B558" s="15" t="n">
        <v>43</v>
      </c>
      <c r="C558" s="13" t="n">
        <f aca="false">IFERROR(IF(AND(B558&lt;=Eingaben!$B$11,Szenarien!$H$21="OK"),SUM(Variantenbilanz!K3665:K4030)*(Eingaben!$B$36*Szenarien!$C$21*(1+Eingaben!$B$40)^(B558-1)+Eingaben!$B$37*Eingaben!$B$38*(1+Eingaben!$B$46)^(B558-1)),0),0)</f>
        <v>0</v>
      </c>
      <c r="D558" s="13" t="n">
        <f aca="false">IFERROR(IF(AND(B558&lt;=Eingaben!$B$11,Szenarien!$H$21="OK"),((Eingaben!$B$32+Eingaben!$B$35)*(1+Eingaben!$B$41)^(B558-1)+SUM(Variantenbilanz!E3665:E4030)*Eingaben!$B$33*Eingaben!$B$34*(1+Eingaben!$B$42)^(B558-1))*Szenarien!$F$21,0),0)</f>
        <v>0</v>
      </c>
      <c r="E558" s="13" t="n">
        <f aca="false">IFERROR(IF(AND(AND(B558&lt;=Eingaben!$B$11,Szenarien!$H$21="OK"),B558=Eingaben!$B$43),Eingaben!$B$44*Szenarien!$B$21*(1+Eingaben!$B$41)^(B558-1),0),0)</f>
        <v>0</v>
      </c>
      <c r="F558" s="13" t="n">
        <f aca="false">IFERROR(IF(AND(AND(B558&lt;=Eingaben!$B$11,Szenarien!$H$21="OK"),B558=Eingaben!$B$11),Eingaben!$B$45*Szenarien!$B$21,0),0)</f>
        <v>0</v>
      </c>
      <c r="G558" s="13" t="n">
        <f aca="false">C558-D558-E558+F558</f>
        <v>0</v>
      </c>
      <c r="H558" s="13" t="n">
        <f aca="false">IFERROR(IF(AND(B558&lt;=Eingaben!$B$11,Szenarien!$H$21="OK"),1/(1+Eingaben!$B$39+Szenarien!$G$21)^B558,0),0)</f>
        <v>0</v>
      </c>
      <c r="I558" s="13" t="n">
        <f aca="false">G558*H558</f>
        <v>0</v>
      </c>
      <c r="J558" s="13" t="n">
        <f aca="false">(D558+E558-F558)*H558</f>
        <v>0</v>
      </c>
      <c r="K558" s="13" t="n">
        <f aca="false">IF(AND(B558&lt;=Eingaben!$B$11,Szenarien!$H$21="OK"),SUM(Variantenbilanz!K3665:K4030)*H558,0)</f>
        <v>0</v>
      </c>
    </row>
    <row r="559" customFormat="false" ht="16.4" hidden="false" customHeight="false" outlineLevel="0" collapsed="false">
      <c r="A559" s="12"/>
      <c r="B559" s="15" t="n">
        <v>44</v>
      </c>
      <c r="C559" s="13" t="n">
        <f aca="false">IFERROR(IF(AND(B559&lt;=Eingaben!$B$11,Szenarien!$H$21="OK"),SUM(Variantenbilanz!K3665:K4030)*(Eingaben!$B$36*Szenarien!$C$21*(1+Eingaben!$B$40)^(B559-1)+Eingaben!$B$37*Eingaben!$B$38*(1+Eingaben!$B$46)^(B559-1)),0),0)</f>
        <v>0</v>
      </c>
      <c r="D559" s="13" t="n">
        <f aca="false">IFERROR(IF(AND(B559&lt;=Eingaben!$B$11,Szenarien!$H$21="OK"),((Eingaben!$B$32+Eingaben!$B$35)*(1+Eingaben!$B$41)^(B559-1)+SUM(Variantenbilanz!E3665:E4030)*Eingaben!$B$33*Eingaben!$B$34*(1+Eingaben!$B$42)^(B559-1))*Szenarien!$F$21,0),0)</f>
        <v>0</v>
      </c>
      <c r="E559" s="13" t="n">
        <f aca="false">IFERROR(IF(AND(AND(B559&lt;=Eingaben!$B$11,Szenarien!$H$21="OK"),B559=Eingaben!$B$43),Eingaben!$B$44*Szenarien!$B$21*(1+Eingaben!$B$41)^(B559-1),0),0)</f>
        <v>0</v>
      </c>
      <c r="F559" s="13" t="n">
        <f aca="false">IFERROR(IF(AND(AND(B559&lt;=Eingaben!$B$11,Szenarien!$H$21="OK"),B559=Eingaben!$B$11),Eingaben!$B$45*Szenarien!$B$21,0),0)</f>
        <v>0</v>
      </c>
      <c r="G559" s="13" t="n">
        <f aca="false">C559-D559-E559+F559</f>
        <v>0</v>
      </c>
      <c r="H559" s="13" t="n">
        <f aca="false">IFERROR(IF(AND(B559&lt;=Eingaben!$B$11,Szenarien!$H$21="OK"),1/(1+Eingaben!$B$39+Szenarien!$G$21)^B559,0),0)</f>
        <v>0</v>
      </c>
      <c r="I559" s="13" t="n">
        <f aca="false">G559*H559</f>
        <v>0</v>
      </c>
      <c r="J559" s="13" t="n">
        <f aca="false">(D559+E559-F559)*H559</f>
        <v>0</v>
      </c>
      <c r="K559" s="13" t="n">
        <f aca="false">IF(AND(B559&lt;=Eingaben!$B$11,Szenarien!$H$21="OK"),SUM(Variantenbilanz!K3665:K4030)*H559,0)</f>
        <v>0</v>
      </c>
    </row>
    <row r="560" customFormat="false" ht="16.4" hidden="false" customHeight="false" outlineLevel="0" collapsed="false">
      <c r="A560" s="12"/>
      <c r="B560" s="15" t="n">
        <v>45</v>
      </c>
      <c r="C560" s="13" t="n">
        <f aca="false">IFERROR(IF(AND(B560&lt;=Eingaben!$B$11,Szenarien!$H$21="OK"),SUM(Variantenbilanz!K3665:K4030)*(Eingaben!$B$36*Szenarien!$C$21*(1+Eingaben!$B$40)^(B560-1)+Eingaben!$B$37*Eingaben!$B$38*(1+Eingaben!$B$46)^(B560-1)),0),0)</f>
        <v>0</v>
      </c>
      <c r="D560" s="13" t="n">
        <f aca="false">IFERROR(IF(AND(B560&lt;=Eingaben!$B$11,Szenarien!$H$21="OK"),((Eingaben!$B$32+Eingaben!$B$35)*(1+Eingaben!$B$41)^(B560-1)+SUM(Variantenbilanz!E3665:E4030)*Eingaben!$B$33*Eingaben!$B$34*(1+Eingaben!$B$42)^(B560-1))*Szenarien!$F$21,0),0)</f>
        <v>0</v>
      </c>
      <c r="E560" s="13" t="n">
        <f aca="false">IFERROR(IF(AND(AND(B560&lt;=Eingaben!$B$11,Szenarien!$H$21="OK"),B560=Eingaben!$B$43),Eingaben!$B$44*Szenarien!$B$21*(1+Eingaben!$B$41)^(B560-1),0),0)</f>
        <v>0</v>
      </c>
      <c r="F560" s="13" t="n">
        <f aca="false">IFERROR(IF(AND(AND(B560&lt;=Eingaben!$B$11,Szenarien!$H$21="OK"),B560=Eingaben!$B$11),Eingaben!$B$45*Szenarien!$B$21,0),0)</f>
        <v>0</v>
      </c>
      <c r="G560" s="13" t="n">
        <f aca="false">C560-D560-E560+F560</f>
        <v>0</v>
      </c>
      <c r="H560" s="13" t="n">
        <f aca="false">IFERROR(IF(AND(B560&lt;=Eingaben!$B$11,Szenarien!$H$21="OK"),1/(1+Eingaben!$B$39+Szenarien!$G$21)^B560,0),0)</f>
        <v>0</v>
      </c>
      <c r="I560" s="13" t="n">
        <f aca="false">G560*H560</f>
        <v>0</v>
      </c>
      <c r="J560" s="13" t="n">
        <f aca="false">(D560+E560-F560)*H560</f>
        <v>0</v>
      </c>
      <c r="K560" s="13" t="n">
        <f aca="false">IF(AND(B560&lt;=Eingaben!$B$11,Szenarien!$H$21="OK"),SUM(Variantenbilanz!K3665:K4030)*H560,0)</f>
        <v>0</v>
      </c>
    </row>
    <row r="561" customFormat="false" ht="16.4" hidden="false" customHeight="false" outlineLevel="0" collapsed="false">
      <c r="A561" s="12"/>
      <c r="B561" s="15" t="n">
        <v>46</v>
      </c>
      <c r="C561" s="13" t="n">
        <f aca="false">IFERROR(IF(AND(B561&lt;=Eingaben!$B$11,Szenarien!$H$21="OK"),SUM(Variantenbilanz!K3665:K4030)*(Eingaben!$B$36*Szenarien!$C$21*(1+Eingaben!$B$40)^(B561-1)+Eingaben!$B$37*Eingaben!$B$38*(1+Eingaben!$B$46)^(B561-1)),0),0)</f>
        <v>0</v>
      </c>
      <c r="D561" s="13" t="n">
        <f aca="false">IFERROR(IF(AND(B561&lt;=Eingaben!$B$11,Szenarien!$H$21="OK"),((Eingaben!$B$32+Eingaben!$B$35)*(1+Eingaben!$B$41)^(B561-1)+SUM(Variantenbilanz!E3665:E4030)*Eingaben!$B$33*Eingaben!$B$34*(1+Eingaben!$B$42)^(B561-1))*Szenarien!$F$21,0),0)</f>
        <v>0</v>
      </c>
      <c r="E561" s="13" t="n">
        <f aca="false">IFERROR(IF(AND(AND(B561&lt;=Eingaben!$B$11,Szenarien!$H$21="OK"),B561=Eingaben!$B$43),Eingaben!$B$44*Szenarien!$B$21*(1+Eingaben!$B$41)^(B561-1),0),0)</f>
        <v>0</v>
      </c>
      <c r="F561" s="13" t="n">
        <f aca="false">IFERROR(IF(AND(AND(B561&lt;=Eingaben!$B$11,Szenarien!$H$21="OK"),B561=Eingaben!$B$11),Eingaben!$B$45*Szenarien!$B$21,0),0)</f>
        <v>0</v>
      </c>
      <c r="G561" s="13" t="n">
        <f aca="false">C561-D561-E561+F561</f>
        <v>0</v>
      </c>
      <c r="H561" s="13" t="n">
        <f aca="false">IFERROR(IF(AND(B561&lt;=Eingaben!$B$11,Szenarien!$H$21="OK"),1/(1+Eingaben!$B$39+Szenarien!$G$21)^B561,0),0)</f>
        <v>0</v>
      </c>
      <c r="I561" s="13" t="n">
        <f aca="false">G561*H561</f>
        <v>0</v>
      </c>
      <c r="J561" s="13" t="n">
        <f aca="false">(D561+E561-F561)*H561</f>
        <v>0</v>
      </c>
      <c r="K561" s="13" t="n">
        <f aca="false">IF(AND(B561&lt;=Eingaben!$B$11,Szenarien!$H$21="OK"),SUM(Variantenbilanz!K3665:K4030)*H561,0)</f>
        <v>0</v>
      </c>
    </row>
    <row r="562" customFormat="false" ht="16.4" hidden="false" customHeight="false" outlineLevel="0" collapsed="false">
      <c r="A562" s="12"/>
      <c r="B562" s="15" t="n">
        <v>47</v>
      </c>
      <c r="C562" s="13" t="n">
        <f aca="false">IFERROR(IF(AND(B562&lt;=Eingaben!$B$11,Szenarien!$H$21="OK"),SUM(Variantenbilanz!K3665:K4030)*(Eingaben!$B$36*Szenarien!$C$21*(1+Eingaben!$B$40)^(B562-1)+Eingaben!$B$37*Eingaben!$B$38*(1+Eingaben!$B$46)^(B562-1)),0),0)</f>
        <v>0</v>
      </c>
      <c r="D562" s="13" t="n">
        <f aca="false">IFERROR(IF(AND(B562&lt;=Eingaben!$B$11,Szenarien!$H$21="OK"),((Eingaben!$B$32+Eingaben!$B$35)*(1+Eingaben!$B$41)^(B562-1)+SUM(Variantenbilanz!E3665:E4030)*Eingaben!$B$33*Eingaben!$B$34*(1+Eingaben!$B$42)^(B562-1))*Szenarien!$F$21,0),0)</f>
        <v>0</v>
      </c>
      <c r="E562" s="13" t="n">
        <f aca="false">IFERROR(IF(AND(AND(B562&lt;=Eingaben!$B$11,Szenarien!$H$21="OK"),B562=Eingaben!$B$43),Eingaben!$B$44*Szenarien!$B$21*(1+Eingaben!$B$41)^(B562-1),0),0)</f>
        <v>0</v>
      </c>
      <c r="F562" s="13" t="n">
        <f aca="false">IFERROR(IF(AND(AND(B562&lt;=Eingaben!$B$11,Szenarien!$H$21="OK"),B562=Eingaben!$B$11),Eingaben!$B$45*Szenarien!$B$21,0),0)</f>
        <v>0</v>
      </c>
      <c r="G562" s="13" t="n">
        <f aca="false">C562-D562-E562+F562</f>
        <v>0</v>
      </c>
      <c r="H562" s="13" t="n">
        <f aca="false">IFERROR(IF(AND(B562&lt;=Eingaben!$B$11,Szenarien!$H$21="OK"),1/(1+Eingaben!$B$39+Szenarien!$G$21)^B562,0),0)</f>
        <v>0</v>
      </c>
      <c r="I562" s="13" t="n">
        <f aca="false">G562*H562</f>
        <v>0</v>
      </c>
      <c r="J562" s="13" t="n">
        <f aca="false">(D562+E562-F562)*H562</f>
        <v>0</v>
      </c>
      <c r="K562" s="13" t="n">
        <f aca="false">IF(AND(B562&lt;=Eingaben!$B$11,Szenarien!$H$21="OK"),SUM(Variantenbilanz!K3665:K4030)*H562,0)</f>
        <v>0</v>
      </c>
    </row>
    <row r="563" customFormat="false" ht="16.4" hidden="false" customHeight="false" outlineLevel="0" collapsed="false">
      <c r="A563" s="12"/>
      <c r="B563" s="15" t="n">
        <v>48</v>
      </c>
      <c r="C563" s="13" t="n">
        <f aca="false">IFERROR(IF(AND(B563&lt;=Eingaben!$B$11,Szenarien!$H$21="OK"),SUM(Variantenbilanz!K3665:K4030)*(Eingaben!$B$36*Szenarien!$C$21*(1+Eingaben!$B$40)^(B563-1)+Eingaben!$B$37*Eingaben!$B$38*(1+Eingaben!$B$46)^(B563-1)),0),0)</f>
        <v>0</v>
      </c>
      <c r="D563" s="13" t="n">
        <f aca="false">IFERROR(IF(AND(B563&lt;=Eingaben!$B$11,Szenarien!$H$21="OK"),((Eingaben!$B$32+Eingaben!$B$35)*(1+Eingaben!$B$41)^(B563-1)+SUM(Variantenbilanz!E3665:E4030)*Eingaben!$B$33*Eingaben!$B$34*(1+Eingaben!$B$42)^(B563-1))*Szenarien!$F$21,0),0)</f>
        <v>0</v>
      </c>
      <c r="E563" s="13" t="n">
        <f aca="false">IFERROR(IF(AND(AND(B563&lt;=Eingaben!$B$11,Szenarien!$H$21="OK"),B563=Eingaben!$B$43),Eingaben!$B$44*Szenarien!$B$21*(1+Eingaben!$B$41)^(B563-1),0),0)</f>
        <v>0</v>
      </c>
      <c r="F563" s="13" t="n">
        <f aca="false">IFERROR(IF(AND(AND(B563&lt;=Eingaben!$B$11,Szenarien!$H$21="OK"),B563=Eingaben!$B$11),Eingaben!$B$45*Szenarien!$B$21,0),0)</f>
        <v>0</v>
      </c>
      <c r="G563" s="13" t="n">
        <f aca="false">C563-D563-E563+F563</f>
        <v>0</v>
      </c>
      <c r="H563" s="13" t="n">
        <f aca="false">IFERROR(IF(AND(B563&lt;=Eingaben!$B$11,Szenarien!$H$21="OK"),1/(1+Eingaben!$B$39+Szenarien!$G$21)^B563,0),0)</f>
        <v>0</v>
      </c>
      <c r="I563" s="13" t="n">
        <f aca="false">G563*H563</f>
        <v>0</v>
      </c>
      <c r="J563" s="13" t="n">
        <f aca="false">(D563+E563-F563)*H563</f>
        <v>0</v>
      </c>
      <c r="K563" s="13" t="n">
        <f aca="false">IF(AND(B563&lt;=Eingaben!$B$11,Szenarien!$H$21="OK"),SUM(Variantenbilanz!K3665:K4030)*H563,0)</f>
        <v>0</v>
      </c>
    </row>
    <row r="564" customFormat="false" ht="16.4" hidden="false" customHeight="false" outlineLevel="0" collapsed="false">
      <c r="A564" s="12"/>
      <c r="B564" s="15" t="n">
        <v>49</v>
      </c>
      <c r="C564" s="13" t="n">
        <f aca="false">IFERROR(IF(AND(B564&lt;=Eingaben!$B$11,Szenarien!$H$21="OK"),SUM(Variantenbilanz!K3665:K4030)*(Eingaben!$B$36*Szenarien!$C$21*(1+Eingaben!$B$40)^(B564-1)+Eingaben!$B$37*Eingaben!$B$38*(1+Eingaben!$B$46)^(B564-1)),0),0)</f>
        <v>0</v>
      </c>
      <c r="D564" s="13" t="n">
        <f aca="false">IFERROR(IF(AND(B564&lt;=Eingaben!$B$11,Szenarien!$H$21="OK"),((Eingaben!$B$32+Eingaben!$B$35)*(1+Eingaben!$B$41)^(B564-1)+SUM(Variantenbilanz!E3665:E4030)*Eingaben!$B$33*Eingaben!$B$34*(1+Eingaben!$B$42)^(B564-1))*Szenarien!$F$21,0),0)</f>
        <v>0</v>
      </c>
      <c r="E564" s="13" t="n">
        <f aca="false">IFERROR(IF(AND(AND(B564&lt;=Eingaben!$B$11,Szenarien!$H$21="OK"),B564=Eingaben!$B$43),Eingaben!$B$44*Szenarien!$B$21*(1+Eingaben!$B$41)^(B564-1),0),0)</f>
        <v>0</v>
      </c>
      <c r="F564" s="13" t="n">
        <f aca="false">IFERROR(IF(AND(AND(B564&lt;=Eingaben!$B$11,Szenarien!$H$21="OK"),B564=Eingaben!$B$11),Eingaben!$B$45*Szenarien!$B$21,0),0)</f>
        <v>0</v>
      </c>
      <c r="G564" s="13" t="n">
        <f aca="false">C564-D564-E564+F564</f>
        <v>0</v>
      </c>
      <c r="H564" s="13" t="n">
        <f aca="false">IFERROR(IF(AND(B564&lt;=Eingaben!$B$11,Szenarien!$H$21="OK"),1/(1+Eingaben!$B$39+Szenarien!$G$21)^B564,0),0)</f>
        <v>0</v>
      </c>
      <c r="I564" s="13" t="n">
        <f aca="false">G564*H564</f>
        <v>0</v>
      </c>
      <c r="J564" s="13" t="n">
        <f aca="false">(D564+E564-F564)*H564</f>
        <v>0</v>
      </c>
      <c r="K564" s="13" t="n">
        <f aca="false">IF(AND(B564&lt;=Eingaben!$B$11,Szenarien!$H$21="OK"),SUM(Variantenbilanz!K3665:K4030)*H564,0)</f>
        <v>0</v>
      </c>
    </row>
    <row r="565" customFormat="false" ht="16.4" hidden="false" customHeight="false" outlineLevel="0" collapsed="false">
      <c r="A565" s="12"/>
      <c r="B565" s="15" t="n">
        <v>50</v>
      </c>
      <c r="C565" s="13" t="n">
        <f aca="false">IFERROR(IF(AND(B565&lt;=Eingaben!$B$11,Szenarien!$H$21="OK"),SUM(Variantenbilanz!K3665:K4030)*(Eingaben!$B$36*Szenarien!$C$21*(1+Eingaben!$B$40)^(B565-1)+Eingaben!$B$37*Eingaben!$B$38*(1+Eingaben!$B$46)^(B565-1)),0),0)</f>
        <v>0</v>
      </c>
      <c r="D565" s="13" t="n">
        <f aca="false">IFERROR(IF(AND(B565&lt;=Eingaben!$B$11,Szenarien!$H$21="OK"),((Eingaben!$B$32+Eingaben!$B$35)*(1+Eingaben!$B$41)^(B565-1)+SUM(Variantenbilanz!E3665:E4030)*Eingaben!$B$33*Eingaben!$B$34*(1+Eingaben!$B$42)^(B565-1))*Szenarien!$F$21,0),0)</f>
        <v>0</v>
      </c>
      <c r="E565" s="13" t="n">
        <f aca="false">IFERROR(IF(AND(AND(B565&lt;=Eingaben!$B$11,Szenarien!$H$21="OK"),B565=Eingaben!$B$43),Eingaben!$B$44*Szenarien!$B$21*(1+Eingaben!$B$41)^(B565-1),0),0)</f>
        <v>0</v>
      </c>
      <c r="F565" s="13" t="n">
        <f aca="false">IFERROR(IF(AND(AND(B565&lt;=Eingaben!$B$11,Szenarien!$H$21="OK"),B565=Eingaben!$B$11),Eingaben!$B$45*Szenarien!$B$21,0),0)</f>
        <v>0</v>
      </c>
      <c r="G565" s="13" t="n">
        <f aca="false">C565-D565-E565+F565</f>
        <v>0</v>
      </c>
      <c r="H565" s="13" t="n">
        <f aca="false">IFERROR(IF(AND(B565&lt;=Eingaben!$B$11,Szenarien!$H$21="OK"),1/(1+Eingaben!$B$39+Szenarien!$G$21)^B565,0),0)</f>
        <v>0</v>
      </c>
      <c r="I565" s="13" t="n">
        <f aca="false">G565*H565</f>
        <v>0</v>
      </c>
      <c r="J565" s="13" t="n">
        <f aca="false">(D565+E565-F565)*H565</f>
        <v>0</v>
      </c>
      <c r="K565" s="13" t="n">
        <f aca="false">IF(AND(B565&lt;=Eingaben!$B$11,Szenarien!$H$21="OK"),SUM(Variantenbilanz!K3665:K4030)*H565,0)</f>
        <v>0</v>
      </c>
    </row>
    <row r="566" customFormat="false" ht="31.3" hidden="false" customHeight="false" outlineLevel="0" collapsed="false">
      <c r="A566" s="12" t="s">
        <v>338</v>
      </c>
      <c r="B566" s="15" t="n">
        <v>0</v>
      </c>
      <c r="C566" s="13" t="n">
        <f aca="false">0</f>
        <v>0</v>
      </c>
      <c r="D566" s="13" t="n">
        <f aca="false">0</f>
        <v>0</v>
      </c>
      <c r="E566" s="13" t="n">
        <f aca="false">MAX(0,Berechnung!$B$13*Szenarien!$B$22-MIN(Eingaben!$B$31,Berechnung!$B$13*Szenarien!$B$22))</f>
        <v>25000</v>
      </c>
      <c r="F566" s="13" t="n">
        <f aca="false">0</f>
        <v>0</v>
      </c>
      <c r="G566" s="13" t="n">
        <f aca="false">-E566</f>
        <v>-25000</v>
      </c>
      <c r="H566" s="13" t="n">
        <f aca="false">1</f>
        <v>1</v>
      </c>
      <c r="I566" s="13" t="n">
        <f aca="false">G566</f>
        <v>-25000</v>
      </c>
      <c r="J566" s="13" t="n">
        <f aca="false">E566</f>
        <v>25000</v>
      </c>
      <c r="K566" s="13" t="n">
        <f aca="false">0</f>
        <v>0</v>
      </c>
    </row>
    <row r="567" customFormat="false" ht="16.4" hidden="false" customHeight="false" outlineLevel="0" collapsed="false">
      <c r="A567" s="12"/>
      <c r="B567" s="15" t="n">
        <v>1</v>
      </c>
      <c r="C567" s="13" t="n">
        <f aca="false">IFERROR(IF(AND(B567&lt;=Eingaben!$B$11,Szenarien!$H$22="OK"),SUM(Variantenbilanz!K4031:K4396)*(Eingaben!$B$36*Szenarien!$C$22*(1+Eingaben!$B$40)^(B567-1)+Eingaben!$B$37*Eingaben!$B$38*(1+Eingaben!$B$46)^(B567-1)),0),0)</f>
        <v>1388.474393</v>
      </c>
      <c r="D567" s="13" t="n">
        <f aca="false">IFERROR(IF(AND(B567&lt;=Eingaben!$B$11,Szenarien!$H$22="OK"),((Eingaben!$B$32+Eingaben!$B$35)*(1+Eingaben!$B$41)^(B567-1)+SUM(Variantenbilanz!E4031:E4396)*Eingaben!$B$33*Eingaben!$B$34*(1+Eingaben!$B$42)^(B567-1))*Szenarien!$F$22,0),0)</f>
        <v>625.2216</v>
      </c>
      <c r="E567" s="13" t="n">
        <f aca="false">IFERROR(IF(AND(AND(B567&lt;=Eingaben!$B$11,Szenarien!$H$22="OK"),B567=Eingaben!$B$43),Eingaben!$B$44*Szenarien!$B$22*(1+Eingaben!$B$41)^(B567-1),0),0)</f>
        <v>0</v>
      </c>
      <c r="F567" s="13" t="n">
        <f aca="false">IFERROR(IF(AND(AND(B567&lt;=Eingaben!$B$11,Szenarien!$H$22="OK"),B567=Eingaben!$B$11),Eingaben!$B$45*Szenarien!$B$22,0),0)</f>
        <v>0</v>
      </c>
      <c r="G567" s="13" t="n">
        <f aca="false">C567-D567-E567+F567</f>
        <v>763.252793</v>
      </c>
      <c r="H567" s="13" t="n">
        <f aca="false">IFERROR(IF(AND(B567&lt;=Eingaben!$B$11,Szenarien!$H$22="OK"),1/(1+Eingaben!$B$39+Szenarien!$G$22)^B567,0),0)</f>
        <v>0.970873786407767</v>
      </c>
      <c r="I567" s="13" t="n">
        <f aca="false">G567*H567</f>
        <v>741.022129126214</v>
      </c>
      <c r="J567" s="13" t="n">
        <f aca="false">(D567+E567-F567)*H567</f>
        <v>607.011262135922</v>
      </c>
      <c r="K567" s="13" t="n">
        <f aca="false">IF(AND(B567&lt;=Eingaben!$B$11,Szenarien!$H$22="OK"),SUM(Variantenbilanz!K4031:K4396)*H567,0)</f>
        <v>539.213356504854</v>
      </c>
    </row>
    <row r="568" customFormat="false" ht="16.4" hidden="false" customHeight="false" outlineLevel="0" collapsed="false">
      <c r="A568" s="12"/>
      <c r="B568" s="15" t="n">
        <v>2</v>
      </c>
      <c r="C568" s="13" t="n">
        <f aca="false">IFERROR(IF(AND(B568&lt;=Eingaben!$B$11,Szenarien!$H$22="OK"),SUM(Variantenbilanz!K4031:K4396)*(Eingaben!$B$36*Szenarien!$C$22*(1+Eingaben!$B$40)^(B568-1)+Eingaben!$B$37*Eingaben!$B$38*(1+Eingaben!$B$46)^(B568-1)),0),0)</f>
        <v>1416.24388086</v>
      </c>
      <c r="D568" s="13" t="n">
        <f aca="false">IFERROR(IF(AND(B568&lt;=Eingaben!$B$11,Szenarien!$H$22="OK"),((Eingaben!$B$32+Eingaben!$B$35)*(1+Eingaben!$B$41)^(B568-1)+SUM(Variantenbilanz!E4031:E4396)*Eingaben!$B$33*Eingaben!$B$34*(1+Eingaben!$B$42)^(B568-1))*Szenarien!$F$22,0),0)</f>
        <v>637.726032</v>
      </c>
      <c r="E568" s="13" t="n">
        <f aca="false">IFERROR(IF(AND(AND(B568&lt;=Eingaben!$B$11,Szenarien!$H$22="OK"),B568=Eingaben!$B$43),Eingaben!$B$44*Szenarien!$B$22*(1+Eingaben!$B$41)^(B568-1),0),0)</f>
        <v>0</v>
      </c>
      <c r="F568" s="13" t="n">
        <f aca="false">IFERROR(IF(AND(AND(B568&lt;=Eingaben!$B$11,Szenarien!$H$22="OK"),B568=Eingaben!$B$11),Eingaben!$B$45*Szenarien!$B$22,0),0)</f>
        <v>0</v>
      </c>
      <c r="G568" s="13" t="n">
        <f aca="false">C568-D568-E568+F568</f>
        <v>778.51784886</v>
      </c>
      <c r="H568" s="13" t="n">
        <f aca="false">IFERROR(IF(AND(B568&lt;=Eingaben!$B$11,Szenarien!$H$22="OK"),1/(1+Eingaben!$B$39+Szenarien!$G$22)^B568,0),0)</f>
        <v>0.942595909133754</v>
      </c>
      <c r="I568" s="13" t="n">
        <f aca="false">G568*H568</f>
        <v>733.827739523046</v>
      </c>
      <c r="J568" s="13" t="n">
        <f aca="false">(D568+E568-F568)*H568</f>
        <v>601.117948911302</v>
      </c>
      <c r="K568" s="13" t="n">
        <f aca="false">IF(AND(B568&lt;=Eingaben!$B$11,Szenarien!$H$22="OK"),SUM(Variantenbilanz!K4031:K4396)*H568,0)</f>
        <v>523.508113111509</v>
      </c>
    </row>
    <row r="569" customFormat="false" ht="16.4" hidden="false" customHeight="false" outlineLevel="0" collapsed="false">
      <c r="A569" s="12"/>
      <c r="B569" s="15" t="n">
        <v>3</v>
      </c>
      <c r="C569" s="13" t="n">
        <f aca="false">IFERROR(IF(AND(B569&lt;=Eingaben!$B$11,Szenarien!$H$22="OK"),SUM(Variantenbilanz!K4031:K4396)*(Eingaben!$B$36*Szenarien!$C$22*(1+Eingaben!$B$40)^(B569-1)+Eingaben!$B$37*Eingaben!$B$38*(1+Eingaben!$B$46)^(B569-1)),0),0)</f>
        <v>1444.5687584772</v>
      </c>
      <c r="D569" s="13" t="n">
        <f aca="false">IFERROR(IF(AND(B569&lt;=Eingaben!$B$11,Szenarien!$H$22="OK"),((Eingaben!$B$32+Eingaben!$B$35)*(1+Eingaben!$B$41)^(B569-1)+SUM(Variantenbilanz!E4031:E4396)*Eingaben!$B$33*Eingaben!$B$34*(1+Eingaben!$B$42)^(B569-1))*Szenarien!$F$22,0),0)</f>
        <v>650.48055264</v>
      </c>
      <c r="E569" s="13" t="n">
        <f aca="false">IFERROR(IF(AND(AND(B569&lt;=Eingaben!$B$11,Szenarien!$H$22="OK"),B569=Eingaben!$B$43),Eingaben!$B$44*Szenarien!$B$22*(1+Eingaben!$B$41)^(B569-1),0),0)</f>
        <v>0</v>
      </c>
      <c r="F569" s="13" t="n">
        <f aca="false">IFERROR(IF(AND(AND(B569&lt;=Eingaben!$B$11,Szenarien!$H$22="OK"),B569=Eingaben!$B$11),Eingaben!$B$45*Szenarien!$B$22,0),0)</f>
        <v>0</v>
      </c>
      <c r="G569" s="13" t="n">
        <f aca="false">C569-D569-E569+F569</f>
        <v>794.0882058372</v>
      </c>
      <c r="H569" s="13" t="n">
        <f aca="false">IFERROR(IF(AND(B569&lt;=Eingaben!$B$11,Szenarien!$H$22="OK"),1/(1+Eingaben!$B$39+Szenarien!$G$22)^B569,0),0)</f>
        <v>0.91514165935316</v>
      </c>
      <c r="I569" s="13" t="n">
        <f aca="false">G569*H569</f>
        <v>726.703198362628</v>
      </c>
      <c r="J569" s="13" t="n">
        <f aca="false">(D569+E569-F569)*H569</f>
        <v>595.28185231993</v>
      </c>
      <c r="K569" s="13" t="n">
        <f aca="false">IF(AND(B569&lt;=Eingaben!$B$11,Szenarien!$H$22="OK"),SUM(Variantenbilanz!K4031:K4396)*H569,0)</f>
        <v>508.260303991756</v>
      </c>
    </row>
    <row r="570" customFormat="false" ht="16.4" hidden="false" customHeight="false" outlineLevel="0" collapsed="false">
      <c r="A570" s="12"/>
      <c r="B570" s="15" t="n">
        <v>4</v>
      </c>
      <c r="C570" s="13" t="n">
        <f aca="false">IFERROR(IF(AND(B570&lt;=Eingaben!$B$11,Szenarien!$H$22="OK"),SUM(Variantenbilanz!K4031:K4396)*(Eingaben!$B$36*Szenarien!$C$22*(1+Eingaben!$B$40)^(B570-1)+Eingaben!$B$37*Eingaben!$B$38*(1+Eingaben!$B$46)^(B570-1)),0),0)</f>
        <v>1473.46013364674</v>
      </c>
      <c r="D570" s="13" t="n">
        <f aca="false">IFERROR(IF(AND(B570&lt;=Eingaben!$B$11,Szenarien!$H$22="OK"),((Eingaben!$B$32+Eingaben!$B$35)*(1+Eingaben!$B$41)^(B570-1)+SUM(Variantenbilanz!E4031:E4396)*Eingaben!$B$33*Eingaben!$B$34*(1+Eingaben!$B$42)^(B570-1))*Szenarien!$F$22,0),0)</f>
        <v>663.4901636928</v>
      </c>
      <c r="E570" s="13" t="n">
        <f aca="false">IFERROR(IF(AND(AND(B570&lt;=Eingaben!$B$11,Szenarien!$H$22="OK"),B570=Eingaben!$B$43),Eingaben!$B$44*Szenarien!$B$22*(1+Eingaben!$B$41)^(B570-1),0),0)</f>
        <v>0</v>
      </c>
      <c r="F570" s="13" t="n">
        <f aca="false">IFERROR(IF(AND(AND(B570&lt;=Eingaben!$B$11,Szenarien!$H$22="OK"),B570=Eingaben!$B$11),Eingaben!$B$45*Szenarien!$B$22,0),0)</f>
        <v>0</v>
      </c>
      <c r="G570" s="13" t="n">
        <f aca="false">C570-D570-E570+F570</f>
        <v>809.969969953944</v>
      </c>
      <c r="H570" s="13" t="n">
        <f aca="false">IFERROR(IF(AND(B570&lt;=Eingaben!$B$11,Szenarien!$H$22="OK"),1/(1+Eingaben!$B$39+Szenarien!$G$22)^B570,0),0)</f>
        <v>0.888487047915689</v>
      </c>
      <c r="I570" s="13" t="n">
        <f aca="false">G570*H570</f>
        <v>719.647827504739</v>
      </c>
      <c r="J570" s="13" t="n">
        <f aca="false">(D570+E570-F570)*H570</f>
        <v>589.502416860513</v>
      </c>
      <c r="K570" s="13" t="n">
        <f aca="false">IF(AND(B570&lt;=Eingaben!$B$11,Szenarien!$H$22="OK"),SUM(Variantenbilanz!K4031:K4396)*H570,0)</f>
        <v>493.456605817239</v>
      </c>
    </row>
    <row r="571" customFormat="false" ht="16.4" hidden="false" customHeight="false" outlineLevel="0" collapsed="false">
      <c r="A571" s="12"/>
      <c r="B571" s="15" t="n">
        <v>5</v>
      </c>
      <c r="C571" s="13" t="n">
        <f aca="false">IFERROR(IF(AND(B571&lt;=Eingaben!$B$11,Szenarien!$H$22="OK"),SUM(Variantenbilanz!K4031:K4396)*(Eingaben!$B$36*Szenarien!$C$22*(1+Eingaben!$B$40)^(B571-1)+Eingaben!$B$37*Eingaben!$B$38*(1+Eingaben!$B$46)^(B571-1)),0),0)</f>
        <v>1502.92933631968</v>
      </c>
      <c r="D571" s="13" t="n">
        <f aca="false">IFERROR(IF(AND(B571&lt;=Eingaben!$B$11,Szenarien!$H$22="OK"),((Eingaben!$B$32+Eingaben!$B$35)*(1+Eingaben!$B$41)^(B571-1)+SUM(Variantenbilanz!E4031:E4396)*Eingaben!$B$33*Eingaben!$B$34*(1+Eingaben!$B$42)^(B571-1))*Szenarien!$F$22,0),0)</f>
        <v>676.759966966656</v>
      </c>
      <c r="E571" s="13" t="n">
        <f aca="false">IFERROR(IF(AND(AND(B571&lt;=Eingaben!$B$11,Szenarien!$H$22="OK"),B571=Eingaben!$B$43),Eingaben!$B$44*Szenarien!$B$22*(1+Eingaben!$B$41)^(B571-1),0),0)</f>
        <v>0</v>
      </c>
      <c r="F571" s="13" t="n">
        <f aca="false">IFERROR(IF(AND(AND(B571&lt;=Eingaben!$B$11,Szenarien!$H$22="OK"),B571=Eingaben!$B$11),Eingaben!$B$45*Szenarien!$B$22,0),0)</f>
        <v>0</v>
      </c>
      <c r="G571" s="13" t="n">
        <f aca="false">C571-D571-E571+F571</f>
        <v>826.169369353023</v>
      </c>
      <c r="H571" s="13" t="n">
        <f aca="false">IFERROR(IF(AND(B571&lt;=Eingaben!$B$11,Szenarien!$H$22="OK"),1/(1+Eingaben!$B$39+Szenarien!$G$22)^B571,0),0)</f>
        <v>0.862608784384164</v>
      </c>
      <c r="I571" s="13" t="n">
        <f aca="false">G571*H571</f>
        <v>712.660955393042</v>
      </c>
      <c r="J571" s="13" t="n">
        <f aca="false">(D571+E571-F571)*H571</f>
        <v>583.779092424974</v>
      </c>
      <c r="K571" s="13" t="n">
        <f aca="false">IF(AND(B571&lt;=Eingaben!$B$11,Szenarien!$H$22="OK"),SUM(Variantenbilanz!K4031:K4396)*H571,0)</f>
        <v>479.084083317708</v>
      </c>
    </row>
    <row r="572" customFormat="false" ht="16.4" hidden="false" customHeight="false" outlineLevel="0" collapsed="false">
      <c r="A572" s="12"/>
      <c r="B572" s="15" t="n">
        <v>6</v>
      </c>
      <c r="C572" s="13" t="n">
        <f aca="false">IFERROR(IF(AND(B572&lt;=Eingaben!$B$11,Szenarien!$H$22="OK"),SUM(Variantenbilanz!K4031:K4396)*(Eingaben!$B$36*Szenarien!$C$22*(1+Eingaben!$B$40)^(B572-1)+Eingaben!$B$37*Eingaben!$B$38*(1+Eingaben!$B$46)^(B572-1)),0),0)</f>
        <v>1532.98792304607</v>
      </c>
      <c r="D572" s="13" t="n">
        <f aca="false">IFERROR(IF(AND(B572&lt;=Eingaben!$B$11,Szenarien!$H$22="OK"),((Eingaben!$B$32+Eingaben!$B$35)*(1+Eingaben!$B$41)^(B572-1)+SUM(Variantenbilanz!E4031:E4396)*Eingaben!$B$33*Eingaben!$B$34*(1+Eingaben!$B$42)^(B572-1))*Szenarien!$F$22,0),0)</f>
        <v>690.295166305989</v>
      </c>
      <c r="E572" s="13" t="n">
        <f aca="false">IFERROR(IF(AND(AND(B572&lt;=Eingaben!$B$11,Szenarien!$H$22="OK"),B572=Eingaben!$B$43),Eingaben!$B$44*Szenarien!$B$22*(1+Eingaben!$B$41)^(B572-1),0),0)</f>
        <v>0</v>
      </c>
      <c r="F572" s="13" t="n">
        <f aca="false">IFERROR(IF(AND(AND(B572&lt;=Eingaben!$B$11,Szenarien!$H$22="OK"),B572=Eingaben!$B$11),Eingaben!$B$45*Szenarien!$B$22,0),0)</f>
        <v>0</v>
      </c>
      <c r="G572" s="13" t="n">
        <f aca="false">C572-D572-E572+F572</f>
        <v>842.692756740083</v>
      </c>
      <c r="H572" s="13" t="n">
        <f aca="false">IFERROR(IF(AND(B572&lt;=Eingaben!$B$11,Szenarien!$H$22="OK"),1/(1+Eingaben!$B$39+Szenarien!$G$22)^B572,0),0)</f>
        <v>0.837484256683654</v>
      </c>
      <c r="I572" s="13" t="n">
        <f aca="false">G572*H572</f>
        <v>705.741916991168</v>
      </c>
      <c r="J572" s="13" t="n">
        <f aca="false">(D572+E572-F572)*H572</f>
        <v>578.111334246091</v>
      </c>
      <c r="K572" s="13" t="n">
        <f aca="false">IF(AND(B572&lt;=Eingaben!$B$11,Szenarien!$H$22="OK"),SUM(Variantenbilanz!K4031:K4396)*H572,0)</f>
        <v>465.130177978357</v>
      </c>
    </row>
    <row r="573" customFormat="false" ht="16.4" hidden="false" customHeight="false" outlineLevel="0" collapsed="false">
      <c r="A573" s="12"/>
      <c r="B573" s="15" t="n">
        <v>7</v>
      </c>
      <c r="C573" s="13" t="n">
        <f aca="false">IFERROR(IF(AND(B573&lt;=Eingaben!$B$11,Szenarien!$H$22="OK"),SUM(Variantenbilanz!K4031:K4396)*(Eingaben!$B$36*Szenarien!$C$22*(1+Eingaben!$B$40)^(B573-1)+Eingaben!$B$37*Eingaben!$B$38*(1+Eingaben!$B$46)^(B573-1)),0),0)</f>
        <v>1563.64768150699</v>
      </c>
      <c r="D573" s="13" t="n">
        <f aca="false">IFERROR(IF(AND(B573&lt;=Eingaben!$B$11,Szenarien!$H$22="OK"),((Eingaben!$B$32+Eingaben!$B$35)*(1+Eingaben!$B$41)^(B573-1)+SUM(Variantenbilanz!E4031:E4396)*Eingaben!$B$33*Eingaben!$B$34*(1+Eingaben!$B$42)^(B573-1))*Szenarien!$F$22,0),0)</f>
        <v>704.101069632109</v>
      </c>
      <c r="E573" s="13" t="n">
        <f aca="false">IFERROR(IF(AND(AND(B573&lt;=Eingaben!$B$11,Szenarien!$H$22="OK"),B573=Eingaben!$B$43),Eingaben!$B$44*Szenarien!$B$22*(1+Eingaben!$B$41)^(B573-1),0),0)</f>
        <v>0</v>
      </c>
      <c r="F573" s="13" t="n">
        <f aca="false">IFERROR(IF(AND(AND(B573&lt;=Eingaben!$B$11,Szenarien!$H$22="OK"),B573=Eingaben!$B$11),Eingaben!$B$45*Szenarien!$B$22,0),0)</f>
        <v>0</v>
      </c>
      <c r="G573" s="13" t="n">
        <f aca="false">C573-D573-E573+F573</f>
        <v>859.546611874885</v>
      </c>
      <c r="H573" s="13" t="n">
        <f aca="false">IFERROR(IF(AND(B573&lt;=Eingaben!$B$11,Szenarien!$H$22="OK"),1/(1+Eingaben!$B$39+Szenarien!$G$22)^B573,0),0)</f>
        <v>0.813091511343354</v>
      </c>
      <c r="I573" s="13" t="n">
        <f aca="false">G573*H573</f>
        <v>698.890053719409</v>
      </c>
      <c r="J573" s="13" t="n">
        <f aca="false">(D573+E573-F573)*H573</f>
        <v>572.498602845643</v>
      </c>
      <c r="K573" s="13" t="n">
        <f aca="false">IF(AND(B573&lt;=Eingaben!$B$11,Szenarien!$H$22="OK"),SUM(Variantenbilanz!K4031:K4396)*H573,0)</f>
        <v>451.582697066366</v>
      </c>
    </row>
    <row r="574" customFormat="false" ht="16.4" hidden="false" customHeight="false" outlineLevel="0" collapsed="false">
      <c r="A574" s="12"/>
      <c r="B574" s="15" t="n">
        <v>8</v>
      </c>
      <c r="C574" s="13" t="n">
        <f aca="false">IFERROR(IF(AND(B574&lt;=Eingaben!$B$11,Szenarien!$H$22="OK"),SUM(Variantenbilanz!K4031:K4396)*(Eingaben!$B$36*Szenarien!$C$22*(1+Eingaben!$B$40)^(B574-1)+Eingaben!$B$37*Eingaben!$B$38*(1+Eingaben!$B$46)^(B574-1)),0),0)</f>
        <v>1594.92063513713</v>
      </c>
      <c r="D574" s="13" t="n">
        <f aca="false">IFERROR(IF(AND(B574&lt;=Eingaben!$B$11,Szenarien!$H$22="OK"),((Eingaben!$B$32+Eingaben!$B$35)*(1+Eingaben!$B$41)^(B574-1)+SUM(Variantenbilanz!E4031:E4396)*Eingaben!$B$33*Eingaben!$B$34*(1+Eingaben!$B$42)^(B574-1))*Szenarien!$F$22,0),0)</f>
        <v>718.183091024751</v>
      </c>
      <c r="E574" s="13" t="n">
        <f aca="false">IFERROR(IF(AND(AND(B574&lt;=Eingaben!$B$11,Szenarien!$H$22="OK"),B574=Eingaben!$B$43),Eingaben!$B$44*Szenarien!$B$22*(1+Eingaben!$B$41)^(B574-1),0),0)</f>
        <v>0</v>
      </c>
      <c r="F574" s="13" t="n">
        <f aca="false">IFERROR(IF(AND(AND(B574&lt;=Eingaben!$B$11,Szenarien!$H$22="OK"),B574=Eingaben!$B$11),Eingaben!$B$45*Szenarien!$B$22,0),0)</f>
        <v>0</v>
      </c>
      <c r="G574" s="13" t="n">
        <f aca="false">C574-D574-E574+F574</f>
        <v>876.737544112383</v>
      </c>
      <c r="H574" s="13" t="n">
        <f aca="false">IFERROR(IF(AND(B574&lt;=Eingaben!$B$11,Szenarien!$H$22="OK"),1/(1+Eingaben!$B$39+Szenarien!$G$22)^B574,0),0)</f>
        <v>0.789409234313936</v>
      </c>
      <c r="I574" s="13" t="n">
        <f aca="false">G574*H574</f>
        <v>692.104713392036</v>
      </c>
      <c r="J574" s="13" t="n">
        <f aca="false">(D574+E574-F574)*H574</f>
        <v>566.940363983064</v>
      </c>
      <c r="K574" s="13" t="n">
        <f aca="false">IF(AND(B574&lt;=Eingaben!$B$11,Szenarien!$H$22="OK"),SUM(Variantenbilanz!K4031:K4396)*H574,0)</f>
        <v>438.429802977055</v>
      </c>
    </row>
    <row r="575" customFormat="false" ht="16.4" hidden="false" customHeight="false" outlineLevel="0" collapsed="false">
      <c r="A575" s="12"/>
      <c r="B575" s="15" t="n">
        <v>9</v>
      </c>
      <c r="C575" s="13" t="n">
        <f aca="false">IFERROR(IF(AND(B575&lt;=Eingaben!$B$11,Szenarien!$H$22="OK"),SUM(Variantenbilanz!K4031:K4396)*(Eingaben!$B$36*Szenarien!$C$22*(1+Eingaben!$B$40)^(B575-1)+Eingaben!$B$37*Eingaben!$B$38*(1+Eingaben!$B$46)^(B575-1)),0),0)</f>
        <v>1626.81904783988</v>
      </c>
      <c r="D575" s="13" t="n">
        <f aca="false">IFERROR(IF(AND(B575&lt;=Eingaben!$B$11,Szenarien!$H$22="OK"),((Eingaben!$B$32+Eingaben!$B$35)*(1+Eingaben!$B$41)^(B575-1)+SUM(Variantenbilanz!E4031:E4396)*Eingaben!$B$33*Eingaben!$B$34*(1+Eingaben!$B$42)^(B575-1))*Szenarien!$F$22,0),0)</f>
        <v>732.546752845246</v>
      </c>
      <c r="E575" s="13" t="n">
        <f aca="false">IFERROR(IF(AND(AND(B575&lt;=Eingaben!$B$11,Szenarien!$H$22="OK"),B575=Eingaben!$B$43),Eingaben!$B$44*Szenarien!$B$22*(1+Eingaben!$B$41)^(B575-1),0),0)</f>
        <v>0</v>
      </c>
      <c r="F575" s="13" t="n">
        <f aca="false">IFERROR(IF(AND(AND(B575&lt;=Eingaben!$B$11,Szenarien!$H$22="OK"),B575=Eingaben!$B$11),Eingaben!$B$45*Szenarien!$B$22,0),0)</f>
        <v>0</v>
      </c>
      <c r="G575" s="13" t="n">
        <f aca="false">C575-D575-E575+F575</f>
        <v>894.272294994631</v>
      </c>
      <c r="H575" s="13" t="n">
        <f aca="false">IFERROR(IF(AND(B575&lt;=Eingaben!$B$11,Szenarien!$H$22="OK"),1/(1+Eingaben!$B$39+Szenarien!$G$22)^B575,0),0)</f>
        <v>0.766416732343627</v>
      </c>
      <c r="I575" s="13" t="n">
        <f aca="false">G575*H575</f>
        <v>685.385250155221</v>
      </c>
      <c r="J575" s="13" t="n">
        <f aca="false">(D575+E575-F575)*H575</f>
        <v>561.436088604588</v>
      </c>
      <c r="K575" s="13" t="n">
        <f aca="false">IF(AND(B575&lt;=Eingaben!$B$11,Szenarien!$H$22="OK"),SUM(Variantenbilanz!K4031:K4396)*H575,0)</f>
        <v>425.660002890344</v>
      </c>
    </row>
    <row r="576" customFormat="false" ht="16.4" hidden="false" customHeight="false" outlineLevel="0" collapsed="false">
      <c r="A576" s="12"/>
      <c r="B576" s="15" t="n">
        <v>10</v>
      </c>
      <c r="C576" s="13" t="n">
        <f aca="false">IFERROR(IF(AND(B576&lt;=Eingaben!$B$11,Szenarien!$H$22="OK"),SUM(Variantenbilanz!K4031:K4396)*(Eingaben!$B$36*Szenarien!$C$22*(1+Eingaben!$B$40)^(B576-1)+Eingaben!$B$37*Eingaben!$B$38*(1+Eingaben!$B$46)^(B576-1)),0),0)</f>
        <v>1659.35542879667</v>
      </c>
      <c r="D576" s="13" t="n">
        <f aca="false">IFERROR(IF(AND(B576&lt;=Eingaben!$B$11,Szenarien!$H$22="OK"),((Eingaben!$B$32+Eingaben!$B$35)*(1+Eingaben!$B$41)^(B576-1)+SUM(Variantenbilanz!E4031:E4396)*Eingaben!$B$33*Eingaben!$B$34*(1+Eingaben!$B$42)^(B576-1))*Szenarien!$F$22,0),0)</f>
        <v>747.197687902151</v>
      </c>
      <c r="E576" s="13" t="n">
        <f aca="false">IFERROR(IF(AND(AND(B576&lt;=Eingaben!$B$11,Szenarien!$H$22="OK"),B576=Eingaben!$B$43),Eingaben!$B$44*Szenarien!$B$22*(1+Eingaben!$B$41)^(B576-1),0),0)</f>
        <v>4780.37027448924</v>
      </c>
      <c r="F576" s="13" t="n">
        <f aca="false">IFERROR(IF(AND(AND(B576&lt;=Eingaben!$B$11,Szenarien!$H$22="OK"),B576=Eingaben!$B$11),Eingaben!$B$45*Szenarien!$B$22,0),0)</f>
        <v>0</v>
      </c>
      <c r="G576" s="13" t="n">
        <f aca="false">C576-D576-E576+F576</f>
        <v>-3868.21253359472</v>
      </c>
      <c r="H576" s="13" t="n">
        <f aca="false">IFERROR(IF(AND(B576&lt;=Eingaben!$B$11,Szenarien!$H$22="OK"),1/(1+Eingaben!$B$39+Szenarien!$G$22)^B576,0),0)</f>
        <v>0.744093914896725</v>
      </c>
      <c r="I576" s="13" t="n">
        <f aca="false">G576*H576</f>
        <v>-2878.31340777508</v>
      </c>
      <c r="J576" s="13" t="n">
        <f aca="false">(D576+E576-F576)*H576</f>
        <v>4113.02968499353</v>
      </c>
      <c r="K576" s="13" t="n">
        <f aca="false">IF(AND(B576&lt;=Eingaben!$B$11,Szenarien!$H$22="OK"),SUM(Variantenbilanz!K4031:K4396)*H576,0)</f>
        <v>413.26213872849</v>
      </c>
    </row>
    <row r="577" customFormat="false" ht="16.4" hidden="false" customHeight="false" outlineLevel="0" collapsed="false">
      <c r="A577" s="12"/>
      <c r="B577" s="15" t="n">
        <v>11</v>
      </c>
      <c r="C577" s="13" t="n">
        <f aca="false">IFERROR(IF(AND(B577&lt;=Eingaben!$B$11,Szenarien!$H$22="OK"),SUM(Variantenbilanz!K4031:K4396)*(Eingaben!$B$36*Szenarien!$C$22*(1+Eingaben!$B$40)^(B577-1)+Eingaben!$B$37*Eingaben!$B$38*(1+Eingaben!$B$46)^(B577-1)),0),0)</f>
        <v>1692.54253737261</v>
      </c>
      <c r="D577" s="13" t="n">
        <f aca="false">IFERROR(IF(AND(B577&lt;=Eingaben!$B$11,Szenarien!$H$22="OK"),((Eingaben!$B$32+Eingaben!$B$35)*(1+Eingaben!$B$41)^(B577-1)+SUM(Variantenbilanz!E4031:E4396)*Eingaben!$B$33*Eingaben!$B$34*(1+Eingaben!$B$42)^(B577-1))*Szenarien!$F$22,0),0)</f>
        <v>762.141641660194</v>
      </c>
      <c r="E577" s="13" t="n">
        <f aca="false">IFERROR(IF(AND(AND(B577&lt;=Eingaben!$B$11,Szenarien!$H$22="OK"),B577=Eingaben!$B$43),Eingaben!$B$44*Szenarien!$B$22*(1+Eingaben!$B$41)^(B577-1),0),0)</f>
        <v>0</v>
      </c>
      <c r="F577" s="13" t="n">
        <f aca="false">IFERROR(IF(AND(AND(B577&lt;=Eingaben!$B$11,Szenarien!$H$22="OK"),B577=Eingaben!$B$11),Eingaben!$B$45*Szenarien!$B$22,0),0)</f>
        <v>0</v>
      </c>
      <c r="G577" s="13" t="n">
        <f aca="false">C577-D577-E577+F577</f>
        <v>930.400895712414</v>
      </c>
      <c r="H577" s="13" t="n">
        <f aca="false">IFERROR(IF(AND(B577&lt;=Eingaben!$B$11,Szenarien!$H$22="OK"),1/(1+Eingaben!$B$39+Szenarien!$G$22)^B577,0),0)</f>
        <v>0.722421276598762</v>
      </c>
      <c r="I577" s="13" t="n">
        <f aca="false">G577*H577</f>
        <v>672.141402829194</v>
      </c>
      <c r="J577" s="13" t="n">
        <f aca="false">(D577+E577-F577)*H577</f>
        <v>550.587337717234</v>
      </c>
      <c r="K577" s="13" t="n">
        <f aca="false">IF(AND(B577&lt;=Eingaben!$B$11,Szenarien!$H$22="OK"),SUM(Variantenbilanz!K4031:K4396)*H577,0)</f>
        <v>401.225377406301</v>
      </c>
    </row>
    <row r="578" customFormat="false" ht="16.4" hidden="false" customHeight="false" outlineLevel="0" collapsed="false">
      <c r="A578" s="12"/>
      <c r="B578" s="15" t="n">
        <v>12</v>
      </c>
      <c r="C578" s="13" t="n">
        <f aca="false">IFERROR(IF(AND(B578&lt;=Eingaben!$B$11,Szenarien!$H$22="OK"),SUM(Variantenbilanz!K4031:K4396)*(Eingaben!$B$36*Szenarien!$C$22*(1+Eingaben!$B$40)^(B578-1)+Eingaben!$B$37*Eingaben!$B$38*(1+Eingaben!$B$46)^(B578-1)),0),0)</f>
        <v>1726.39338812006</v>
      </c>
      <c r="D578" s="13" t="n">
        <f aca="false">IFERROR(IF(AND(B578&lt;=Eingaben!$B$11,Szenarien!$H$22="OK"),((Eingaben!$B$32+Eingaben!$B$35)*(1+Eingaben!$B$41)^(B578-1)+SUM(Variantenbilanz!E4031:E4396)*Eingaben!$B$33*Eingaben!$B$34*(1+Eingaben!$B$42)^(B578-1))*Szenarien!$F$22,0),0)</f>
        <v>777.384474493398</v>
      </c>
      <c r="E578" s="13" t="n">
        <f aca="false">IFERROR(IF(AND(AND(B578&lt;=Eingaben!$B$11,Szenarien!$H$22="OK"),B578=Eingaben!$B$43),Eingaben!$B$44*Szenarien!$B$22*(1+Eingaben!$B$41)^(B578-1),0),0)</f>
        <v>0</v>
      </c>
      <c r="F578" s="13" t="n">
        <f aca="false">IFERROR(IF(AND(AND(B578&lt;=Eingaben!$B$11,Szenarien!$H$22="OK"),B578=Eingaben!$B$11),Eingaben!$B$45*Szenarien!$B$22,0),0)</f>
        <v>0</v>
      </c>
      <c r="G578" s="13" t="n">
        <f aca="false">C578-D578-E578+F578</f>
        <v>949.008913626662</v>
      </c>
      <c r="H578" s="13" t="n">
        <f aca="false">IFERROR(IF(AND(B578&lt;=Eingaben!$B$11,Szenarien!$H$22="OK"),1/(1+Eingaben!$B$39+Szenarien!$G$22)^B578,0),0)</f>
        <v>0.701379880192973</v>
      </c>
      <c r="I578" s="13" t="n">
        <f aca="false">G578*H578</f>
        <v>665.615758141531</v>
      </c>
      <c r="J578" s="13" t="n">
        <f aca="false">(D578+E578-F578)*H578</f>
        <v>545.241829584057</v>
      </c>
      <c r="K578" s="13" t="n">
        <f aca="false">IF(AND(B578&lt;=Eingaben!$B$11,Szenarien!$H$22="OK"),SUM(Variantenbilanz!K4031:K4396)*H578,0)</f>
        <v>389.53920136534</v>
      </c>
    </row>
    <row r="579" customFormat="false" ht="16.4" hidden="false" customHeight="false" outlineLevel="0" collapsed="false">
      <c r="A579" s="12"/>
      <c r="B579" s="15" t="n">
        <v>13</v>
      </c>
      <c r="C579" s="13" t="n">
        <f aca="false">IFERROR(IF(AND(B579&lt;=Eingaben!$B$11,Szenarien!$H$22="OK"),SUM(Variantenbilanz!K4031:K4396)*(Eingaben!$B$36*Szenarien!$C$22*(1+Eingaben!$B$40)^(B579-1)+Eingaben!$B$37*Eingaben!$B$38*(1+Eingaben!$B$46)^(B579-1)),0),0)</f>
        <v>1760.92125588246</v>
      </c>
      <c r="D579" s="13" t="n">
        <f aca="false">IFERROR(IF(AND(B579&lt;=Eingaben!$B$11,Szenarien!$H$22="OK"),((Eingaben!$B$32+Eingaben!$B$35)*(1+Eingaben!$B$41)^(B579-1)+SUM(Variantenbilanz!E4031:E4396)*Eingaben!$B$33*Eingaben!$B$34*(1+Eingaben!$B$42)^(B579-1))*Szenarien!$F$22,0),0)</f>
        <v>792.932163983266</v>
      </c>
      <c r="E579" s="13" t="n">
        <f aca="false">IFERROR(IF(AND(AND(B579&lt;=Eingaben!$B$11,Szenarien!$H$22="OK"),B579=Eingaben!$B$43),Eingaben!$B$44*Szenarien!$B$22*(1+Eingaben!$B$41)^(B579-1),0),0)</f>
        <v>0</v>
      </c>
      <c r="F579" s="13" t="n">
        <f aca="false">IFERROR(IF(AND(AND(B579&lt;=Eingaben!$B$11,Szenarien!$H$22="OK"),B579=Eingaben!$B$11),Eingaben!$B$45*Szenarien!$B$22,0),0)</f>
        <v>0</v>
      </c>
      <c r="G579" s="13" t="n">
        <f aca="false">C579-D579-E579+F579</f>
        <v>967.989091899195</v>
      </c>
      <c r="H579" s="13" t="n">
        <f aca="false">IFERROR(IF(AND(B579&lt;=Eingaben!$B$11,Szenarien!$H$22="OK"),1/(1+Eingaben!$B$39+Szenarien!$G$22)^B579,0),0)</f>
        <v>0.680951339993178</v>
      </c>
      <c r="I579" s="13" t="n">
        <f aca="false">G579*H579</f>
        <v>659.153469227536</v>
      </c>
      <c r="J579" s="13" t="n">
        <f aca="false">(D579+E579-F579)*H579</f>
        <v>539.948219588095</v>
      </c>
      <c r="K579" s="13" t="n">
        <f aca="false">IF(AND(B579&lt;=Eingaben!$B$11,Szenarien!$H$22="OK"),SUM(Variantenbilanz!K4031:K4396)*H579,0)</f>
        <v>378.193399383825</v>
      </c>
    </row>
    <row r="580" customFormat="false" ht="16.4" hidden="false" customHeight="false" outlineLevel="0" collapsed="false">
      <c r="A580" s="12"/>
      <c r="B580" s="15" t="n">
        <v>14</v>
      </c>
      <c r="C580" s="13" t="n">
        <f aca="false">IFERROR(IF(AND(B580&lt;=Eingaben!$B$11,Szenarien!$H$22="OK"),SUM(Variantenbilanz!K4031:K4396)*(Eingaben!$B$36*Szenarien!$C$22*(1+Eingaben!$B$40)^(B580-1)+Eingaben!$B$37*Eingaben!$B$38*(1+Eingaben!$B$46)^(B580-1)),0),0)</f>
        <v>1796.13968100011</v>
      </c>
      <c r="D580" s="13" t="n">
        <f aca="false">IFERROR(IF(AND(B580&lt;=Eingaben!$B$11,Szenarien!$H$22="OK"),((Eingaben!$B$32+Eingaben!$B$35)*(1+Eingaben!$B$41)^(B580-1)+SUM(Variantenbilanz!E4031:E4396)*Eingaben!$B$33*Eingaben!$B$34*(1+Eingaben!$B$42)^(B580-1))*Szenarien!$F$22,0),0)</f>
        <v>808.790807262931</v>
      </c>
      <c r="E580" s="13" t="n">
        <f aca="false">IFERROR(IF(AND(AND(B580&lt;=Eingaben!$B$11,Szenarien!$H$22="OK"),B580=Eingaben!$B$43),Eingaben!$B$44*Szenarien!$B$22*(1+Eingaben!$B$41)^(B580-1),0),0)</f>
        <v>0</v>
      </c>
      <c r="F580" s="13" t="n">
        <f aca="false">IFERROR(IF(AND(AND(B580&lt;=Eingaben!$B$11,Szenarien!$H$22="OK"),B580=Eingaben!$B$11),Eingaben!$B$45*Szenarien!$B$22,0),0)</f>
        <v>0</v>
      </c>
      <c r="G580" s="13" t="n">
        <f aca="false">C580-D580-E580+F580</f>
        <v>987.348873737179</v>
      </c>
      <c r="H580" s="13" t="n">
        <f aca="false">IFERROR(IF(AND(B580&lt;=Eingaben!$B$11,Szenarien!$H$22="OK"),1/(1+Eingaben!$B$39+Szenarien!$G$22)^B580,0),0)</f>
        <v>0.661117805818619</v>
      </c>
      <c r="I580" s="13" t="n">
        <f aca="false">G580*H580</f>
        <v>652.753920982608</v>
      </c>
      <c r="J580" s="13" t="n">
        <f aca="false">(D580+E580-F580)*H580</f>
        <v>534.706003863939</v>
      </c>
      <c r="K580" s="13" t="n">
        <f aca="false">IF(AND(B580&lt;=Eingaben!$B$11,Szenarien!$H$22="OK"),SUM(Variantenbilanz!K4031:K4396)*H580,0)</f>
        <v>367.178057654199</v>
      </c>
    </row>
    <row r="581" customFormat="false" ht="16.4" hidden="false" customHeight="false" outlineLevel="0" collapsed="false">
      <c r="A581" s="12"/>
      <c r="B581" s="15" t="n">
        <v>15</v>
      </c>
      <c r="C581" s="13" t="n">
        <f aca="false">IFERROR(IF(AND(B581&lt;=Eingaben!$B$11,Szenarien!$H$22="OK"),SUM(Variantenbilanz!K4031:K4396)*(Eingaben!$B$36*Szenarien!$C$22*(1+Eingaben!$B$40)^(B581-1)+Eingaben!$B$37*Eingaben!$B$38*(1+Eingaben!$B$46)^(B581-1)),0),0)</f>
        <v>1832.06247462011</v>
      </c>
      <c r="D581" s="13" t="n">
        <f aca="false">IFERROR(IF(AND(B581&lt;=Eingaben!$B$11,Szenarien!$H$22="OK"),((Eingaben!$B$32+Eingaben!$B$35)*(1+Eingaben!$B$41)^(B581-1)+SUM(Variantenbilanz!E4031:E4396)*Eingaben!$B$33*Eingaben!$B$34*(1+Eingaben!$B$42)^(B581-1))*Szenarien!$F$22,0),0)</f>
        <v>824.96662340819</v>
      </c>
      <c r="E581" s="13" t="n">
        <f aca="false">IFERROR(IF(AND(AND(B581&lt;=Eingaben!$B$11,Szenarien!$H$22="OK"),B581=Eingaben!$B$43),Eingaben!$B$44*Szenarien!$B$22*(1+Eingaben!$B$41)^(B581-1),0),0)</f>
        <v>0</v>
      </c>
      <c r="F581" s="13" t="n">
        <f aca="false">IFERROR(IF(AND(AND(B581&lt;=Eingaben!$B$11,Szenarien!$H$22="OK"),B581=Eingaben!$B$11),Eingaben!$B$45*Szenarien!$B$22,0),0)</f>
        <v>0</v>
      </c>
      <c r="G581" s="13" t="n">
        <f aca="false">C581-D581-E581+F581</f>
        <v>1007.09585121192</v>
      </c>
      <c r="H581" s="13" t="n">
        <f aca="false">IFERROR(IF(AND(B581&lt;=Eingaben!$B$11,Szenarien!$H$22="OK"),1/(1+Eingaben!$B$39+Szenarien!$G$22)^B581,0),0)</f>
        <v>0.641861947396717</v>
      </c>
      <c r="I581" s="13" t="n">
        <f aca="false">G581*H581</f>
        <v>646.416504274039</v>
      </c>
      <c r="J581" s="13" t="n">
        <f aca="false">(D581+E581-F581)*H581</f>
        <v>529.514683438075</v>
      </c>
      <c r="K581" s="13" t="n">
        <f aca="false">IF(AND(B581&lt;=Eingaben!$B$11,Szenarien!$H$22="OK"),SUM(Variantenbilanz!K4031:K4396)*H581,0)</f>
        <v>356.483551120582</v>
      </c>
    </row>
    <row r="582" customFormat="false" ht="16.4" hidden="false" customHeight="false" outlineLevel="0" collapsed="false">
      <c r="A582" s="12"/>
      <c r="B582" s="15" t="n">
        <v>16</v>
      </c>
      <c r="C582" s="13" t="n">
        <f aca="false">IFERROR(IF(AND(B582&lt;=Eingaben!$B$11,Szenarien!$H$22="OK"),SUM(Variantenbilanz!K4031:K4396)*(Eingaben!$B$36*Szenarien!$C$22*(1+Eingaben!$B$40)^(B582-1)+Eingaben!$B$37*Eingaben!$B$38*(1+Eingaben!$B$46)^(B582-1)),0),0)</f>
        <v>1868.70372411251</v>
      </c>
      <c r="D582" s="13" t="n">
        <f aca="false">IFERROR(IF(AND(B582&lt;=Eingaben!$B$11,Szenarien!$H$22="OK"),((Eingaben!$B$32+Eingaben!$B$35)*(1+Eingaben!$B$41)^(B582-1)+SUM(Variantenbilanz!E4031:E4396)*Eingaben!$B$33*Eingaben!$B$34*(1+Eingaben!$B$42)^(B582-1))*Szenarien!$F$22,0),0)</f>
        <v>841.465955876354</v>
      </c>
      <c r="E582" s="13" t="n">
        <f aca="false">IFERROR(IF(AND(AND(B582&lt;=Eingaben!$B$11,Szenarien!$H$22="OK"),B582=Eingaben!$B$43),Eingaben!$B$44*Szenarien!$B$22*(1+Eingaben!$B$41)^(B582-1),0),0)</f>
        <v>0</v>
      </c>
      <c r="F582" s="13" t="n">
        <f aca="false">IFERROR(IF(AND(AND(B582&lt;=Eingaben!$B$11,Szenarien!$H$22="OK"),B582=Eingaben!$B$11),Eingaben!$B$45*Szenarien!$B$22,0),0)</f>
        <v>0</v>
      </c>
      <c r="G582" s="13" t="n">
        <f aca="false">C582-D582-E582+F582</f>
        <v>1027.23776823616</v>
      </c>
      <c r="H582" s="13" t="n">
        <f aca="false">IFERROR(IF(AND(B582&lt;=Eingaben!$B$11,Szenarien!$H$22="OK"),1/(1+Eingaben!$B$39+Szenarien!$G$22)^B582,0),0)</f>
        <v>0.623166939220114</v>
      </c>
      <c r="I582" s="13" t="n">
        <f aca="false">G582*H582</f>
        <v>640.140615883029</v>
      </c>
      <c r="J582" s="13" t="n">
        <f aca="false">(D582+E582-F582)*H582</f>
        <v>524.373764181395</v>
      </c>
      <c r="K582" s="13" t="n">
        <f aca="false">IF(AND(B582&lt;=Eingaben!$B$11,Szenarien!$H$22="OK"),SUM(Variantenbilanz!K4031:K4396)*H582,0)</f>
        <v>346.100535068526</v>
      </c>
    </row>
    <row r="583" customFormat="false" ht="16.4" hidden="false" customHeight="false" outlineLevel="0" collapsed="false">
      <c r="A583" s="12"/>
      <c r="B583" s="15" t="n">
        <v>17</v>
      </c>
      <c r="C583" s="13" t="n">
        <f aca="false">IFERROR(IF(AND(B583&lt;=Eingaben!$B$11,Szenarien!$H$22="OK"),SUM(Variantenbilanz!K4031:K4396)*(Eingaben!$B$36*Szenarien!$C$22*(1+Eingaben!$B$40)^(B583-1)+Eingaben!$B$37*Eingaben!$B$38*(1+Eingaben!$B$46)^(B583-1)),0),0)</f>
        <v>1906.07779859477</v>
      </c>
      <c r="D583" s="13" t="n">
        <f aca="false">IFERROR(IF(AND(B583&lt;=Eingaben!$B$11,Szenarien!$H$22="OK"),((Eingaben!$B$32+Eingaben!$B$35)*(1+Eingaben!$B$41)^(B583-1)+SUM(Variantenbilanz!E4031:E4396)*Eingaben!$B$33*Eingaben!$B$34*(1+Eingaben!$B$42)^(B583-1))*Szenarien!$F$22,0),0)</f>
        <v>858.295274993881</v>
      </c>
      <c r="E583" s="13" t="n">
        <f aca="false">IFERROR(IF(AND(AND(B583&lt;=Eingaben!$B$11,Szenarien!$H$22="OK"),B583=Eingaben!$B$43),Eingaben!$B$44*Szenarien!$B$22*(1+Eingaben!$B$41)^(B583-1),0),0)</f>
        <v>0</v>
      </c>
      <c r="F583" s="13" t="n">
        <f aca="false">IFERROR(IF(AND(AND(B583&lt;=Eingaben!$B$11,Szenarien!$H$22="OK"),B583=Eingaben!$B$11),Eingaben!$B$45*Szenarien!$B$22,0),0)</f>
        <v>0</v>
      </c>
      <c r="G583" s="13" t="n">
        <f aca="false">C583-D583-E583+F583</f>
        <v>1047.78252360088</v>
      </c>
      <c r="H583" s="13" t="n">
        <f aca="false">IFERROR(IF(AND(B583&lt;=Eingaben!$B$11,Szenarien!$H$22="OK"),1/(1+Eingaben!$B$39+Szenarien!$G$22)^B583,0),0)</f>
        <v>0.605016445844771</v>
      </c>
      <c r="I583" s="13" t="n">
        <f aca="false">G583*H583</f>
        <v>633.925658447271</v>
      </c>
      <c r="J583" s="13" t="n">
        <f aca="false">(D583+E583-F583)*H583</f>
        <v>519.282756762158</v>
      </c>
      <c r="K583" s="13" t="n">
        <f aca="false">IF(AND(B583&lt;=Eingaben!$B$11,Szenarien!$H$22="OK"),SUM(Variantenbilanz!K4031:K4396)*H583,0)</f>
        <v>336.019936959734</v>
      </c>
    </row>
    <row r="584" customFormat="false" ht="16.4" hidden="false" customHeight="false" outlineLevel="0" collapsed="false">
      <c r="A584" s="12"/>
      <c r="B584" s="15" t="n">
        <v>18</v>
      </c>
      <c r="C584" s="13" t="n">
        <f aca="false">IFERROR(IF(AND(B584&lt;=Eingaben!$B$11,Szenarien!$H$22="OK"),SUM(Variantenbilanz!K4031:K4396)*(Eingaben!$B$36*Szenarien!$C$22*(1+Eingaben!$B$40)^(B584-1)+Eingaben!$B$37*Eingaben!$B$38*(1+Eingaben!$B$46)^(B584-1)),0),0)</f>
        <v>1944.19935456666</v>
      </c>
      <c r="D584" s="13" t="n">
        <f aca="false">IFERROR(IF(AND(B584&lt;=Eingaben!$B$11,Szenarien!$H$22="OK"),((Eingaben!$B$32+Eingaben!$B$35)*(1+Eingaben!$B$41)^(B584-1)+SUM(Variantenbilanz!E4031:E4396)*Eingaben!$B$33*Eingaben!$B$34*(1+Eingaben!$B$42)^(B584-1))*Szenarien!$F$22,0),0)</f>
        <v>875.461180493759</v>
      </c>
      <c r="E584" s="13" t="n">
        <f aca="false">IFERROR(IF(AND(AND(B584&lt;=Eingaben!$B$11,Szenarien!$H$22="OK"),B584=Eingaben!$B$43),Eingaben!$B$44*Szenarien!$B$22*(1+Eingaben!$B$41)^(B584-1),0),0)</f>
        <v>0</v>
      </c>
      <c r="F584" s="13" t="n">
        <f aca="false">IFERROR(IF(AND(AND(B584&lt;=Eingaben!$B$11,Szenarien!$H$22="OK"),B584=Eingaben!$B$11),Eingaben!$B$45*Szenarien!$B$22,0),0)</f>
        <v>0</v>
      </c>
      <c r="G584" s="13" t="n">
        <f aca="false">C584-D584-E584+F584</f>
        <v>1068.7381740729</v>
      </c>
      <c r="H584" s="13" t="n">
        <f aca="false">IFERROR(IF(AND(B584&lt;=Eingaben!$B$11,Szenarien!$H$22="OK"),1/(1+Eingaben!$B$39+Szenarien!$G$22)^B584,0),0)</f>
        <v>0.587394607616282</v>
      </c>
      <c r="I584" s="13" t="n">
        <f aca="false">G584*H584</f>
        <v>627.771040404094</v>
      </c>
      <c r="J584" s="13" t="n">
        <f aca="false">(D584+E584-F584)*H584</f>
        <v>514.241176599419</v>
      </c>
      <c r="K584" s="13" t="n">
        <f aca="false">IF(AND(B584&lt;=Eingaben!$B$11,Szenarien!$H$22="OK"),SUM(Variantenbilanz!K4031:K4396)*H584,0)</f>
        <v>326.232948504596</v>
      </c>
    </row>
    <row r="585" customFormat="false" ht="16.4" hidden="false" customHeight="false" outlineLevel="0" collapsed="false">
      <c r="A585" s="12"/>
      <c r="B585" s="15" t="n">
        <v>19</v>
      </c>
      <c r="C585" s="13" t="n">
        <f aca="false">IFERROR(IF(AND(B585&lt;=Eingaben!$B$11,Szenarien!$H$22="OK"),SUM(Variantenbilanz!K4031:K4396)*(Eingaben!$B$36*Szenarien!$C$22*(1+Eingaben!$B$40)^(B585-1)+Eingaben!$B$37*Eingaben!$B$38*(1+Eingaben!$B$46)^(B585-1)),0),0)</f>
        <v>1983.08334165799</v>
      </c>
      <c r="D585" s="13" t="n">
        <f aca="false">IFERROR(IF(AND(B585&lt;=Eingaben!$B$11,Szenarien!$H$22="OK"),((Eingaben!$B$32+Eingaben!$B$35)*(1+Eingaben!$B$41)^(B585-1)+SUM(Variantenbilanz!E4031:E4396)*Eingaben!$B$33*Eingaben!$B$34*(1+Eingaben!$B$42)^(B585-1))*Szenarien!$F$22,0),0)</f>
        <v>892.970404103634</v>
      </c>
      <c r="E585" s="13" t="n">
        <f aca="false">IFERROR(IF(AND(AND(B585&lt;=Eingaben!$B$11,Szenarien!$H$22="OK"),B585=Eingaben!$B$43),Eingaben!$B$44*Szenarien!$B$22*(1+Eingaben!$B$41)^(B585-1),0),0)</f>
        <v>0</v>
      </c>
      <c r="F585" s="13" t="n">
        <f aca="false">IFERROR(IF(AND(AND(B585&lt;=Eingaben!$B$11,Szenarien!$H$22="OK"),B585=Eingaben!$B$11),Eingaben!$B$45*Szenarien!$B$22,0),0)</f>
        <v>0</v>
      </c>
      <c r="G585" s="13" t="n">
        <f aca="false">C585-D585-E585+F585</f>
        <v>1090.11293755436</v>
      </c>
      <c r="H585" s="13" t="n">
        <f aca="false">IFERROR(IF(AND(B585&lt;=Eingaben!$B$11,Szenarien!$H$22="OK"),1/(1+Eingaben!$B$39+Szenarien!$G$22)^B585,0),0)</f>
        <v>0.570286026811925</v>
      </c>
      <c r="I585" s="13" t="n">
        <f aca="false">G585*H585</f>
        <v>621.676175934152</v>
      </c>
      <c r="J585" s="13" t="n">
        <f aca="false">(D585+E585-F585)*H585</f>
        <v>509.2485438169</v>
      </c>
      <c r="K585" s="13" t="n">
        <f aca="false">IF(AND(B585&lt;=Eingaben!$B$11,Szenarien!$H$22="OK"),SUM(Variantenbilanz!K4031:K4396)*H585,0)</f>
        <v>316.731017965627</v>
      </c>
    </row>
    <row r="586" customFormat="false" ht="16.4" hidden="false" customHeight="false" outlineLevel="0" collapsed="false">
      <c r="A586" s="12"/>
      <c r="B586" s="15" t="n">
        <v>20</v>
      </c>
      <c r="C586" s="13" t="n">
        <f aca="false">IFERROR(IF(AND(B586&lt;=Eingaben!$B$11,Szenarien!$H$22="OK"),SUM(Variantenbilanz!K4031:K4396)*(Eingaben!$B$36*Szenarien!$C$22*(1+Eingaben!$B$40)^(B586-1)+Eingaben!$B$37*Eingaben!$B$38*(1+Eingaben!$B$46)^(B586-1)),0),0)</f>
        <v>2022.74500849115</v>
      </c>
      <c r="D586" s="13" t="n">
        <f aca="false">IFERROR(IF(AND(B586&lt;=Eingaben!$B$11,Szenarien!$H$22="OK"),((Eingaben!$B$32+Eingaben!$B$35)*(1+Eingaben!$B$41)^(B586-1)+SUM(Variantenbilanz!E4031:E4396)*Eingaben!$B$33*Eingaben!$B$34*(1+Eingaben!$B$42)^(B586-1))*Szenarien!$F$22,0),0)</f>
        <v>910.829812185707</v>
      </c>
      <c r="E586" s="13" t="n">
        <f aca="false">IFERROR(IF(AND(AND(B586&lt;=Eingaben!$B$11,Szenarien!$H$22="OK"),B586=Eingaben!$B$43),Eingaben!$B$44*Szenarien!$B$22*(1+Eingaben!$B$41)^(B586-1),0),0)</f>
        <v>0</v>
      </c>
      <c r="F586" s="13" t="n">
        <f aca="false">IFERROR(IF(AND(AND(B586&lt;=Eingaben!$B$11,Szenarien!$H$22="OK"),B586=Eingaben!$B$11),Eingaben!$B$45*Szenarien!$B$22,0),0)</f>
        <v>0</v>
      </c>
      <c r="G586" s="13" t="n">
        <f aca="false">C586-D586-E586+F586</f>
        <v>1111.91519630545</v>
      </c>
      <c r="H586" s="13" t="n">
        <f aca="false">IFERROR(IF(AND(B586&lt;=Eingaben!$B$11,Szenarien!$H$22="OK"),1/(1+Eingaben!$B$39+Szenarien!$G$22)^B586,0),0)</f>
        <v>0.553675754186335</v>
      </c>
      <c r="I586" s="13" t="n">
        <f aca="false">G586*H586</f>
        <v>615.640484905665</v>
      </c>
      <c r="J586" s="13" t="n">
        <f aca="false">(D586+E586-F586)*H586</f>
        <v>504.304383197319</v>
      </c>
      <c r="K586" s="13" t="n">
        <f aca="false">IF(AND(B586&lt;=Eingaben!$B$11,Szenarien!$H$22="OK"),SUM(Variantenbilanz!K4031:K4396)*H586,0)</f>
        <v>307.505842685075</v>
      </c>
    </row>
    <row r="587" customFormat="false" ht="16.4" hidden="false" customHeight="false" outlineLevel="0" collapsed="false">
      <c r="A587" s="12"/>
      <c r="B587" s="15" t="n">
        <v>21</v>
      </c>
      <c r="C587" s="13" t="n">
        <f aca="false">IFERROR(IF(AND(B587&lt;=Eingaben!$B$11,Szenarien!$H$22="OK"),SUM(Variantenbilanz!K4031:K4396)*(Eingaben!$B$36*Szenarien!$C$22*(1+Eingaben!$B$40)^(B587-1)+Eingaben!$B$37*Eingaben!$B$38*(1+Eingaben!$B$46)^(B587-1)),0),0)</f>
        <v>0</v>
      </c>
      <c r="D587" s="13" t="n">
        <f aca="false">IFERROR(IF(AND(B587&lt;=Eingaben!$B$11,Szenarien!$H$22="OK"),((Eingaben!$B$32+Eingaben!$B$35)*(1+Eingaben!$B$41)^(B587-1)+SUM(Variantenbilanz!E4031:E4396)*Eingaben!$B$33*Eingaben!$B$34*(1+Eingaben!$B$42)^(B587-1))*Szenarien!$F$22,0),0)</f>
        <v>0</v>
      </c>
      <c r="E587" s="13" t="n">
        <f aca="false">IFERROR(IF(AND(AND(B587&lt;=Eingaben!$B$11,Szenarien!$H$22="OK"),B587=Eingaben!$B$43),Eingaben!$B$44*Szenarien!$B$22*(1+Eingaben!$B$41)^(B587-1),0),0)</f>
        <v>0</v>
      </c>
      <c r="F587" s="13" t="n">
        <f aca="false">IFERROR(IF(AND(AND(B587&lt;=Eingaben!$B$11,Szenarien!$H$22="OK"),B587=Eingaben!$B$11),Eingaben!$B$45*Szenarien!$B$22,0),0)</f>
        <v>0</v>
      </c>
      <c r="G587" s="13" t="n">
        <f aca="false">C587-D587-E587+F587</f>
        <v>0</v>
      </c>
      <c r="H587" s="13" t="n">
        <f aca="false">IFERROR(IF(AND(B587&lt;=Eingaben!$B$11,Szenarien!$H$22="OK"),1/(1+Eingaben!$B$39+Szenarien!$G$22)^B587,0),0)</f>
        <v>0</v>
      </c>
      <c r="I587" s="13" t="n">
        <f aca="false">G587*H587</f>
        <v>0</v>
      </c>
      <c r="J587" s="13" t="n">
        <f aca="false">(D587+E587-F587)*H587</f>
        <v>0</v>
      </c>
      <c r="K587" s="13" t="n">
        <f aca="false">IF(AND(B587&lt;=Eingaben!$B$11,Szenarien!$H$22="OK"),SUM(Variantenbilanz!K4031:K4396)*H587,0)</f>
        <v>0</v>
      </c>
    </row>
    <row r="588" customFormat="false" ht="16.4" hidden="false" customHeight="false" outlineLevel="0" collapsed="false">
      <c r="A588" s="12"/>
      <c r="B588" s="15" t="n">
        <v>22</v>
      </c>
      <c r="C588" s="13" t="n">
        <f aca="false">IFERROR(IF(AND(B588&lt;=Eingaben!$B$11,Szenarien!$H$22="OK"),SUM(Variantenbilanz!K4031:K4396)*(Eingaben!$B$36*Szenarien!$C$22*(1+Eingaben!$B$40)^(B588-1)+Eingaben!$B$37*Eingaben!$B$38*(1+Eingaben!$B$46)^(B588-1)),0),0)</f>
        <v>0</v>
      </c>
      <c r="D588" s="13" t="n">
        <f aca="false">IFERROR(IF(AND(B588&lt;=Eingaben!$B$11,Szenarien!$H$22="OK"),((Eingaben!$B$32+Eingaben!$B$35)*(1+Eingaben!$B$41)^(B588-1)+SUM(Variantenbilanz!E4031:E4396)*Eingaben!$B$33*Eingaben!$B$34*(1+Eingaben!$B$42)^(B588-1))*Szenarien!$F$22,0),0)</f>
        <v>0</v>
      </c>
      <c r="E588" s="13" t="n">
        <f aca="false">IFERROR(IF(AND(AND(B588&lt;=Eingaben!$B$11,Szenarien!$H$22="OK"),B588=Eingaben!$B$43),Eingaben!$B$44*Szenarien!$B$22*(1+Eingaben!$B$41)^(B588-1),0),0)</f>
        <v>0</v>
      </c>
      <c r="F588" s="13" t="n">
        <f aca="false">IFERROR(IF(AND(AND(B588&lt;=Eingaben!$B$11,Szenarien!$H$22="OK"),B588=Eingaben!$B$11),Eingaben!$B$45*Szenarien!$B$22,0),0)</f>
        <v>0</v>
      </c>
      <c r="G588" s="13" t="n">
        <f aca="false">C588-D588-E588+F588</f>
        <v>0</v>
      </c>
      <c r="H588" s="13" t="n">
        <f aca="false">IFERROR(IF(AND(B588&lt;=Eingaben!$B$11,Szenarien!$H$22="OK"),1/(1+Eingaben!$B$39+Szenarien!$G$22)^B588,0),0)</f>
        <v>0</v>
      </c>
      <c r="I588" s="13" t="n">
        <f aca="false">G588*H588</f>
        <v>0</v>
      </c>
      <c r="J588" s="13" t="n">
        <f aca="false">(D588+E588-F588)*H588</f>
        <v>0</v>
      </c>
      <c r="K588" s="13" t="n">
        <f aca="false">IF(AND(B588&lt;=Eingaben!$B$11,Szenarien!$H$22="OK"),SUM(Variantenbilanz!K4031:K4396)*H588,0)</f>
        <v>0</v>
      </c>
    </row>
    <row r="589" customFormat="false" ht="16.4" hidden="false" customHeight="false" outlineLevel="0" collapsed="false">
      <c r="A589" s="12"/>
      <c r="B589" s="15" t="n">
        <v>23</v>
      </c>
      <c r="C589" s="13" t="n">
        <f aca="false">IFERROR(IF(AND(B589&lt;=Eingaben!$B$11,Szenarien!$H$22="OK"),SUM(Variantenbilanz!K4031:K4396)*(Eingaben!$B$36*Szenarien!$C$22*(1+Eingaben!$B$40)^(B589-1)+Eingaben!$B$37*Eingaben!$B$38*(1+Eingaben!$B$46)^(B589-1)),0),0)</f>
        <v>0</v>
      </c>
      <c r="D589" s="13" t="n">
        <f aca="false">IFERROR(IF(AND(B589&lt;=Eingaben!$B$11,Szenarien!$H$22="OK"),((Eingaben!$B$32+Eingaben!$B$35)*(1+Eingaben!$B$41)^(B589-1)+SUM(Variantenbilanz!E4031:E4396)*Eingaben!$B$33*Eingaben!$B$34*(1+Eingaben!$B$42)^(B589-1))*Szenarien!$F$22,0),0)</f>
        <v>0</v>
      </c>
      <c r="E589" s="13" t="n">
        <f aca="false">IFERROR(IF(AND(AND(B589&lt;=Eingaben!$B$11,Szenarien!$H$22="OK"),B589=Eingaben!$B$43),Eingaben!$B$44*Szenarien!$B$22*(1+Eingaben!$B$41)^(B589-1),0),0)</f>
        <v>0</v>
      </c>
      <c r="F589" s="13" t="n">
        <f aca="false">IFERROR(IF(AND(AND(B589&lt;=Eingaben!$B$11,Szenarien!$H$22="OK"),B589=Eingaben!$B$11),Eingaben!$B$45*Szenarien!$B$22,0),0)</f>
        <v>0</v>
      </c>
      <c r="G589" s="13" t="n">
        <f aca="false">C589-D589-E589+F589</f>
        <v>0</v>
      </c>
      <c r="H589" s="13" t="n">
        <f aca="false">IFERROR(IF(AND(B589&lt;=Eingaben!$B$11,Szenarien!$H$22="OK"),1/(1+Eingaben!$B$39+Szenarien!$G$22)^B589,0),0)</f>
        <v>0</v>
      </c>
      <c r="I589" s="13" t="n">
        <f aca="false">G589*H589</f>
        <v>0</v>
      </c>
      <c r="J589" s="13" t="n">
        <f aca="false">(D589+E589-F589)*H589</f>
        <v>0</v>
      </c>
      <c r="K589" s="13" t="n">
        <f aca="false">IF(AND(B589&lt;=Eingaben!$B$11,Szenarien!$H$22="OK"),SUM(Variantenbilanz!K4031:K4396)*H589,0)</f>
        <v>0</v>
      </c>
    </row>
    <row r="590" customFormat="false" ht="16.4" hidden="false" customHeight="false" outlineLevel="0" collapsed="false">
      <c r="A590" s="12"/>
      <c r="B590" s="15" t="n">
        <v>24</v>
      </c>
      <c r="C590" s="13" t="n">
        <f aca="false">IFERROR(IF(AND(B590&lt;=Eingaben!$B$11,Szenarien!$H$22="OK"),SUM(Variantenbilanz!K4031:K4396)*(Eingaben!$B$36*Szenarien!$C$22*(1+Eingaben!$B$40)^(B590-1)+Eingaben!$B$37*Eingaben!$B$38*(1+Eingaben!$B$46)^(B590-1)),0),0)</f>
        <v>0</v>
      </c>
      <c r="D590" s="13" t="n">
        <f aca="false">IFERROR(IF(AND(B590&lt;=Eingaben!$B$11,Szenarien!$H$22="OK"),((Eingaben!$B$32+Eingaben!$B$35)*(1+Eingaben!$B$41)^(B590-1)+SUM(Variantenbilanz!E4031:E4396)*Eingaben!$B$33*Eingaben!$B$34*(1+Eingaben!$B$42)^(B590-1))*Szenarien!$F$22,0),0)</f>
        <v>0</v>
      </c>
      <c r="E590" s="13" t="n">
        <f aca="false">IFERROR(IF(AND(AND(B590&lt;=Eingaben!$B$11,Szenarien!$H$22="OK"),B590=Eingaben!$B$43),Eingaben!$B$44*Szenarien!$B$22*(1+Eingaben!$B$41)^(B590-1),0),0)</f>
        <v>0</v>
      </c>
      <c r="F590" s="13" t="n">
        <f aca="false">IFERROR(IF(AND(AND(B590&lt;=Eingaben!$B$11,Szenarien!$H$22="OK"),B590=Eingaben!$B$11),Eingaben!$B$45*Szenarien!$B$22,0),0)</f>
        <v>0</v>
      </c>
      <c r="G590" s="13" t="n">
        <f aca="false">C590-D590-E590+F590</f>
        <v>0</v>
      </c>
      <c r="H590" s="13" t="n">
        <f aca="false">IFERROR(IF(AND(B590&lt;=Eingaben!$B$11,Szenarien!$H$22="OK"),1/(1+Eingaben!$B$39+Szenarien!$G$22)^B590,0),0)</f>
        <v>0</v>
      </c>
      <c r="I590" s="13" t="n">
        <f aca="false">G590*H590</f>
        <v>0</v>
      </c>
      <c r="J590" s="13" t="n">
        <f aca="false">(D590+E590-F590)*H590</f>
        <v>0</v>
      </c>
      <c r="K590" s="13" t="n">
        <f aca="false">IF(AND(B590&lt;=Eingaben!$B$11,Szenarien!$H$22="OK"),SUM(Variantenbilanz!K4031:K4396)*H590,0)</f>
        <v>0</v>
      </c>
    </row>
    <row r="591" customFormat="false" ht="16.4" hidden="false" customHeight="false" outlineLevel="0" collapsed="false">
      <c r="A591" s="12"/>
      <c r="B591" s="15" t="n">
        <v>25</v>
      </c>
      <c r="C591" s="13" t="n">
        <f aca="false">IFERROR(IF(AND(B591&lt;=Eingaben!$B$11,Szenarien!$H$22="OK"),SUM(Variantenbilanz!K4031:K4396)*(Eingaben!$B$36*Szenarien!$C$22*(1+Eingaben!$B$40)^(B591-1)+Eingaben!$B$37*Eingaben!$B$38*(1+Eingaben!$B$46)^(B591-1)),0),0)</f>
        <v>0</v>
      </c>
      <c r="D591" s="13" t="n">
        <f aca="false">IFERROR(IF(AND(B591&lt;=Eingaben!$B$11,Szenarien!$H$22="OK"),((Eingaben!$B$32+Eingaben!$B$35)*(1+Eingaben!$B$41)^(B591-1)+SUM(Variantenbilanz!E4031:E4396)*Eingaben!$B$33*Eingaben!$B$34*(1+Eingaben!$B$42)^(B591-1))*Szenarien!$F$22,0),0)</f>
        <v>0</v>
      </c>
      <c r="E591" s="13" t="n">
        <f aca="false">IFERROR(IF(AND(AND(B591&lt;=Eingaben!$B$11,Szenarien!$H$22="OK"),B591=Eingaben!$B$43),Eingaben!$B$44*Szenarien!$B$22*(1+Eingaben!$B$41)^(B591-1),0),0)</f>
        <v>0</v>
      </c>
      <c r="F591" s="13" t="n">
        <f aca="false">IFERROR(IF(AND(AND(B591&lt;=Eingaben!$B$11,Szenarien!$H$22="OK"),B591=Eingaben!$B$11),Eingaben!$B$45*Szenarien!$B$22,0),0)</f>
        <v>0</v>
      </c>
      <c r="G591" s="13" t="n">
        <f aca="false">C591-D591-E591+F591</f>
        <v>0</v>
      </c>
      <c r="H591" s="13" t="n">
        <f aca="false">IFERROR(IF(AND(B591&lt;=Eingaben!$B$11,Szenarien!$H$22="OK"),1/(1+Eingaben!$B$39+Szenarien!$G$22)^B591,0),0)</f>
        <v>0</v>
      </c>
      <c r="I591" s="13" t="n">
        <f aca="false">G591*H591</f>
        <v>0</v>
      </c>
      <c r="J591" s="13" t="n">
        <f aca="false">(D591+E591-F591)*H591</f>
        <v>0</v>
      </c>
      <c r="K591" s="13" t="n">
        <f aca="false">IF(AND(B591&lt;=Eingaben!$B$11,Szenarien!$H$22="OK"),SUM(Variantenbilanz!K4031:K4396)*H591,0)</f>
        <v>0</v>
      </c>
    </row>
    <row r="592" customFormat="false" ht="16.4" hidden="false" customHeight="false" outlineLevel="0" collapsed="false">
      <c r="A592" s="12"/>
      <c r="B592" s="15" t="n">
        <v>26</v>
      </c>
      <c r="C592" s="13" t="n">
        <f aca="false">IFERROR(IF(AND(B592&lt;=Eingaben!$B$11,Szenarien!$H$22="OK"),SUM(Variantenbilanz!K4031:K4396)*(Eingaben!$B$36*Szenarien!$C$22*(1+Eingaben!$B$40)^(B592-1)+Eingaben!$B$37*Eingaben!$B$38*(1+Eingaben!$B$46)^(B592-1)),0),0)</f>
        <v>0</v>
      </c>
      <c r="D592" s="13" t="n">
        <f aca="false">IFERROR(IF(AND(B592&lt;=Eingaben!$B$11,Szenarien!$H$22="OK"),((Eingaben!$B$32+Eingaben!$B$35)*(1+Eingaben!$B$41)^(B592-1)+SUM(Variantenbilanz!E4031:E4396)*Eingaben!$B$33*Eingaben!$B$34*(1+Eingaben!$B$42)^(B592-1))*Szenarien!$F$22,0),0)</f>
        <v>0</v>
      </c>
      <c r="E592" s="13" t="n">
        <f aca="false">IFERROR(IF(AND(AND(B592&lt;=Eingaben!$B$11,Szenarien!$H$22="OK"),B592=Eingaben!$B$43),Eingaben!$B$44*Szenarien!$B$22*(1+Eingaben!$B$41)^(B592-1),0),0)</f>
        <v>0</v>
      </c>
      <c r="F592" s="13" t="n">
        <f aca="false">IFERROR(IF(AND(AND(B592&lt;=Eingaben!$B$11,Szenarien!$H$22="OK"),B592=Eingaben!$B$11),Eingaben!$B$45*Szenarien!$B$22,0),0)</f>
        <v>0</v>
      </c>
      <c r="G592" s="13" t="n">
        <f aca="false">C592-D592-E592+F592</f>
        <v>0</v>
      </c>
      <c r="H592" s="13" t="n">
        <f aca="false">IFERROR(IF(AND(B592&lt;=Eingaben!$B$11,Szenarien!$H$22="OK"),1/(1+Eingaben!$B$39+Szenarien!$G$22)^B592,0),0)</f>
        <v>0</v>
      </c>
      <c r="I592" s="13" t="n">
        <f aca="false">G592*H592</f>
        <v>0</v>
      </c>
      <c r="J592" s="13" t="n">
        <f aca="false">(D592+E592-F592)*H592</f>
        <v>0</v>
      </c>
      <c r="K592" s="13" t="n">
        <f aca="false">IF(AND(B592&lt;=Eingaben!$B$11,Szenarien!$H$22="OK"),SUM(Variantenbilanz!K4031:K4396)*H592,0)</f>
        <v>0</v>
      </c>
    </row>
    <row r="593" customFormat="false" ht="16.4" hidden="false" customHeight="false" outlineLevel="0" collapsed="false">
      <c r="A593" s="12"/>
      <c r="B593" s="15" t="n">
        <v>27</v>
      </c>
      <c r="C593" s="13" t="n">
        <f aca="false">IFERROR(IF(AND(B593&lt;=Eingaben!$B$11,Szenarien!$H$22="OK"),SUM(Variantenbilanz!K4031:K4396)*(Eingaben!$B$36*Szenarien!$C$22*(1+Eingaben!$B$40)^(B593-1)+Eingaben!$B$37*Eingaben!$B$38*(1+Eingaben!$B$46)^(B593-1)),0),0)</f>
        <v>0</v>
      </c>
      <c r="D593" s="13" t="n">
        <f aca="false">IFERROR(IF(AND(B593&lt;=Eingaben!$B$11,Szenarien!$H$22="OK"),((Eingaben!$B$32+Eingaben!$B$35)*(1+Eingaben!$B$41)^(B593-1)+SUM(Variantenbilanz!E4031:E4396)*Eingaben!$B$33*Eingaben!$B$34*(1+Eingaben!$B$42)^(B593-1))*Szenarien!$F$22,0),0)</f>
        <v>0</v>
      </c>
      <c r="E593" s="13" t="n">
        <f aca="false">IFERROR(IF(AND(AND(B593&lt;=Eingaben!$B$11,Szenarien!$H$22="OK"),B593=Eingaben!$B$43),Eingaben!$B$44*Szenarien!$B$22*(1+Eingaben!$B$41)^(B593-1),0),0)</f>
        <v>0</v>
      </c>
      <c r="F593" s="13" t="n">
        <f aca="false">IFERROR(IF(AND(AND(B593&lt;=Eingaben!$B$11,Szenarien!$H$22="OK"),B593=Eingaben!$B$11),Eingaben!$B$45*Szenarien!$B$22,0),0)</f>
        <v>0</v>
      </c>
      <c r="G593" s="13" t="n">
        <f aca="false">C593-D593-E593+F593</f>
        <v>0</v>
      </c>
      <c r="H593" s="13" t="n">
        <f aca="false">IFERROR(IF(AND(B593&lt;=Eingaben!$B$11,Szenarien!$H$22="OK"),1/(1+Eingaben!$B$39+Szenarien!$G$22)^B593,0),0)</f>
        <v>0</v>
      </c>
      <c r="I593" s="13" t="n">
        <f aca="false">G593*H593</f>
        <v>0</v>
      </c>
      <c r="J593" s="13" t="n">
        <f aca="false">(D593+E593-F593)*H593</f>
        <v>0</v>
      </c>
      <c r="K593" s="13" t="n">
        <f aca="false">IF(AND(B593&lt;=Eingaben!$B$11,Szenarien!$H$22="OK"),SUM(Variantenbilanz!K4031:K4396)*H593,0)</f>
        <v>0</v>
      </c>
    </row>
    <row r="594" customFormat="false" ht="16.4" hidden="false" customHeight="false" outlineLevel="0" collapsed="false">
      <c r="A594" s="12"/>
      <c r="B594" s="15" t="n">
        <v>28</v>
      </c>
      <c r="C594" s="13" t="n">
        <f aca="false">IFERROR(IF(AND(B594&lt;=Eingaben!$B$11,Szenarien!$H$22="OK"),SUM(Variantenbilanz!K4031:K4396)*(Eingaben!$B$36*Szenarien!$C$22*(1+Eingaben!$B$40)^(B594-1)+Eingaben!$B$37*Eingaben!$B$38*(1+Eingaben!$B$46)^(B594-1)),0),0)</f>
        <v>0</v>
      </c>
      <c r="D594" s="13" t="n">
        <f aca="false">IFERROR(IF(AND(B594&lt;=Eingaben!$B$11,Szenarien!$H$22="OK"),((Eingaben!$B$32+Eingaben!$B$35)*(1+Eingaben!$B$41)^(B594-1)+SUM(Variantenbilanz!E4031:E4396)*Eingaben!$B$33*Eingaben!$B$34*(1+Eingaben!$B$42)^(B594-1))*Szenarien!$F$22,0),0)</f>
        <v>0</v>
      </c>
      <c r="E594" s="13" t="n">
        <f aca="false">IFERROR(IF(AND(AND(B594&lt;=Eingaben!$B$11,Szenarien!$H$22="OK"),B594=Eingaben!$B$43),Eingaben!$B$44*Szenarien!$B$22*(1+Eingaben!$B$41)^(B594-1),0),0)</f>
        <v>0</v>
      </c>
      <c r="F594" s="13" t="n">
        <f aca="false">IFERROR(IF(AND(AND(B594&lt;=Eingaben!$B$11,Szenarien!$H$22="OK"),B594=Eingaben!$B$11),Eingaben!$B$45*Szenarien!$B$22,0),0)</f>
        <v>0</v>
      </c>
      <c r="G594" s="13" t="n">
        <f aca="false">C594-D594-E594+F594</f>
        <v>0</v>
      </c>
      <c r="H594" s="13" t="n">
        <f aca="false">IFERROR(IF(AND(B594&lt;=Eingaben!$B$11,Szenarien!$H$22="OK"),1/(1+Eingaben!$B$39+Szenarien!$G$22)^B594,0),0)</f>
        <v>0</v>
      </c>
      <c r="I594" s="13" t="n">
        <f aca="false">G594*H594</f>
        <v>0</v>
      </c>
      <c r="J594" s="13" t="n">
        <f aca="false">(D594+E594-F594)*H594</f>
        <v>0</v>
      </c>
      <c r="K594" s="13" t="n">
        <f aca="false">IF(AND(B594&lt;=Eingaben!$B$11,Szenarien!$H$22="OK"),SUM(Variantenbilanz!K4031:K4396)*H594,0)</f>
        <v>0</v>
      </c>
    </row>
    <row r="595" customFormat="false" ht="16.4" hidden="false" customHeight="false" outlineLevel="0" collapsed="false">
      <c r="A595" s="12"/>
      <c r="B595" s="15" t="n">
        <v>29</v>
      </c>
      <c r="C595" s="13" t="n">
        <f aca="false">IFERROR(IF(AND(B595&lt;=Eingaben!$B$11,Szenarien!$H$22="OK"),SUM(Variantenbilanz!K4031:K4396)*(Eingaben!$B$36*Szenarien!$C$22*(1+Eingaben!$B$40)^(B595-1)+Eingaben!$B$37*Eingaben!$B$38*(1+Eingaben!$B$46)^(B595-1)),0),0)</f>
        <v>0</v>
      </c>
      <c r="D595" s="13" t="n">
        <f aca="false">IFERROR(IF(AND(B595&lt;=Eingaben!$B$11,Szenarien!$H$22="OK"),((Eingaben!$B$32+Eingaben!$B$35)*(1+Eingaben!$B$41)^(B595-1)+SUM(Variantenbilanz!E4031:E4396)*Eingaben!$B$33*Eingaben!$B$34*(1+Eingaben!$B$42)^(B595-1))*Szenarien!$F$22,0),0)</f>
        <v>0</v>
      </c>
      <c r="E595" s="13" t="n">
        <f aca="false">IFERROR(IF(AND(AND(B595&lt;=Eingaben!$B$11,Szenarien!$H$22="OK"),B595=Eingaben!$B$43),Eingaben!$B$44*Szenarien!$B$22*(1+Eingaben!$B$41)^(B595-1),0),0)</f>
        <v>0</v>
      </c>
      <c r="F595" s="13" t="n">
        <f aca="false">IFERROR(IF(AND(AND(B595&lt;=Eingaben!$B$11,Szenarien!$H$22="OK"),B595=Eingaben!$B$11),Eingaben!$B$45*Szenarien!$B$22,0),0)</f>
        <v>0</v>
      </c>
      <c r="G595" s="13" t="n">
        <f aca="false">C595-D595-E595+F595</f>
        <v>0</v>
      </c>
      <c r="H595" s="13" t="n">
        <f aca="false">IFERROR(IF(AND(B595&lt;=Eingaben!$B$11,Szenarien!$H$22="OK"),1/(1+Eingaben!$B$39+Szenarien!$G$22)^B595,0),0)</f>
        <v>0</v>
      </c>
      <c r="I595" s="13" t="n">
        <f aca="false">G595*H595</f>
        <v>0</v>
      </c>
      <c r="J595" s="13" t="n">
        <f aca="false">(D595+E595-F595)*H595</f>
        <v>0</v>
      </c>
      <c r="K595" s="13" t="n">
        <f aca="false">IF(AND(B595&lt;=Eingaben!$B$11,Szenarien!$H$22="OK"),SUM(Variantenbilanz!K4031:K4396)*H595,0)</f>
        <v>0</v>
      </c>
    </row>
    <row r="596" customFormat="false" ht="16.4" hidden="false" customHeight="false" outlineLevel="0" collapsed="false">
      <c r="A596" s="12"/>
      <c r="B596" s="15" t="n">
        <v>30</v>
      </c>
      <c r="C596" s="13" t="n">
        <f aca="false">IFERROR(IF(AND(B596&lt;=Eingaben!$B$11,Szenarien!$H$22="OK"),SUM(Variantenbilanz!K4031:K4396)*(Eingaben!$B$36*Szenarien!$C$22*(1+Eingaben!$B$40)^(B596-1)+Eingaben!$B$37*Eingaben!$B$38*(1+Eingaben!$B$46)^(B596-1)),0),0)</f>
        <v>0</v>
      </c>
      <c r="D596" s="13" t="n">
        <f aca="false">IFERROR(IF(AND(B596&lt;=Eingaben!$B$11,Szenarien!$H$22="OK"),((Eingaben!$B$32+Eingaben!$B$35)*(1+Eingaben!$B$41)^(B596-1)+SUM(Variantenbilanz!E4031:E4396)*Eingaben!$B$33*Eingaben!$B$34*(1+Eingaben!$B$42)^(B596-1))*Szenarien!$F$22,0),0)</f>
        <v>0</v>
      </c>
      <c r="E596" s="13" t="n">
        <f aca="false">IFERROR(IF(AND(AND(B596&lt;=Eingaben!$B$11,Szenarien!$H$22="OK"),B596=Eingaben!$B$43),Eingaben!$B$44*Szenarien!$B$22*(1+Eingaben!$B$41)^(B596-1),0),0)</f>
        <v>0</v>
      </c>
      <c r="F596" s="13" t="n">
        <f aca="false">IFERROR(IF(AND(AND(B596&lt;=Eingaben!$B$11,Szenarien!$H$22="OK"),B596=Eingaben!$B$11),Eingaben!$B$45*Szenarien!$B$22,0),0)</f>
        <v>0</v>
      </c>
      <c r="G596" s="13" t="n">
        <f aca="false">C596-D596-E596+F596</f>
        <v>0</v>
      </c>
      <c r="H596" s="13" t="n">
        <f aca="false">IFERROR(IF(AND(B596&lt;=Eingaben!$B$11,Szenarien!$H$22="OK"),1/(1+Eingaben!$B$39+Szenarien!$G$22)^B596,0),0)</f>
        <v>0</v>
      </c>
      <c r="I596" s="13" t="n">
        <f aca="false">G596*H596</f>
        <v>0</v>
      </c>
      <c r="J596" s="13" t="n">
        <f aca="false">(D596+E596-F596)*H596</f>
        <v>0</v>
      </c>
      <c r="K596" s="13" t="n">
        <f aca="false">IF(AND(B596&lt;=Eingaben!$B$11,Szenarien!$H$22="OK"),SUM(Variantenbilanz!K4031:K4396)*H596,0)</f>
        <v>0</v>
      </c>
    </row>
    <row r="597" customFormat="false" ht="16.4" hidden="false" customHeight="false" outlineLevel="0" collapsed="false">
      <c r="A597" s="12"/>
      <c r="B597" s="15" t="n">
        <v>31</v>
      </c>
      <c r="C597" s="13" t="n">
        <f aca="false">IFERROR(IF(AND(B597&lt;=Eingaben!$B$11,Szenarien!$H$22="OK"),SUM(Variantenbilanz!K4031:K4396)*(Eingaben!$B$36*Szenarien!$C$22*(1+Eingaben!$B$40)^(B597-1)+Eingaben!$B$37*Eingaben!$B$38*(1+Eingaben!$B$46)^(B597-1)),0),0)</f>
        <v>0</v>
      </c>
      <c r="D597" s="13" t="n">
        <f aca="false">IFERROR(IF(AND(B597&lt;=Eingaben!$B$11,Szenarien!$H$22="OK"),((Eingaben!$B$32+Eingaben!$B$35)*(1+Eingaben!$B$41)^(B597-1)+SUM(Variantenbilanz!E4031:E4396)*Eingaben!$B$33*Eingaben!$B$34*(1+Eingaben!$B$42)^(B597-1))*Szenarien!$F$22,0),0)</f>
        <v>0</v>
      </c>
      <c r="E597" s="13" t="n">
        <f aca="false">IFERROR(IF(AND(AND(B597&lt;=Eingaben!$B$11,Szenarien!$H$22="OK"),B597=Eingaben!$B$43),Eingaben!$B$44*Szenarien!$B$22*(1+Eingaben!$B$41)^(B597-1),0),0)</f>
        <v>0</v>
      </c>
      <c r="F597" s="13" t="n">
        <f aca="false">IFERROR(IF(AND(AND(B597&lt;=Eingaben!$B$11,Szenarien!$H$22="OK"),B597=Eingaben!$B$11),Eingaben!$B$45*Szenarien!$B$22,0),0)</f>
        <v>0</v>
      </c>
      <c r="G597" s="13" t="n">
        <f aca="false">C597-D597-E597+F597</f>
        <v>0</v>
      </c>
      <c r="H597" s="13" t="n">
        <f aca="false">IFERROR(IF(AND(B597&lt;=Eingaben!$B$11,Szenarien!$H$22="OK"),1/(1+Eingaben!$B$39+Szenarien!$G$22)^B597,0),0)</f>
        <v>0</v>
      </c>
      <c r="I597" s="13" t="n">
        <f aca="false">G597*H597</f>
        <v>0</v>
      </c>
      <c r="J597" s="13" t="n">
        <f aca="false">(D597+E597-F597)*H597</f>
        <v>0</v>
      </c>
      <c r="K597" s="13" t="n">
        <f aca="false">IF(AND(B597&lt;=Eingaben!$B$11,Szenarien!$H$22="OK"),SUM(Variantenbilanz!K4031:K4396)*H597,0)</f>
        <v>0</v>
      </c>
    </row>
    <row r="598" customFormat="false" ht="16.4" hidden="false" customHeight="false" outlineLevel="0" collapsed="false">
      <c r="A598" s="12"/>
      <c r="B598" s="15" t="n">
        <v>32</v>
      </c>
      <c r="C598" s="13" t="n">
        <f aca="false">IFERROR(IF(AND(B598&lt;=Eingaben!$B$11,Szenarien!$H$22="OK"),SUM(Variantenbilanz!K4031:K4396)*(Eingaben!$B$36*Szenarien!$C$22*(1+Eingaben!$B$40)^(B598-1)+Eingaben!$B$37*Eingaben!$B$38*(1+Eingaben!$B$46)^(B598-1)),0),0)</f>
        <v>0</v>
      </c>
      <c r="D598" s="13" t="n">
        <f aca="false">IFERROR(IF(AND(B598&lt;=Eingaben!$B$11,Szenarien!$H$22="OK"),((Eingaben!$B$32+Eingaben!$B$35)*(1+Eingaben!$B$41)^(B598-1)+SUM(Variantenbilanz!E4031:E4396)*Eingaben!$B$33*Eingaben!$B$34*(1+Eingaben!$B$42)^(B598-1))*Szenarien!$F$22,0),0)</f>
        <v>0</v>
      </c>
      <c r="E598" s="13" t="n">
        <f aca="false">IFERROR(IF(AND(AND(B598&lt;=Eingaben!$B$11,Szenarien!$H$22="OK"),B598=Eingaben!$B$43),Eingaben!$B$44*Szenarien!$B$22*(1+Eingaben!$B$41)^(B598-1),0),0)</f>
        <v>0</v>
      </c>
      <c r="F598" s="13" t="n">
        <f aca="false">IFERROR(IF(AND(AND(B598&lt;=Eingaben!$B$11,Szenarien!$H$22="OK"),B598=Eingaben!$B$11),Eingaben!$B$45*Szenarien!$B$22,0),0)</f>
        <v>0</v>
      </c>
      <c r="G598" s="13" t="n">
        <f aca="false">C598-D598-E598+F598</f>
        <v>0</v>
      </c>
      <c r="H598" s="13" t="n">
        <f aca="false">IFERROR(IF(AND(B598&lt;=Eingaben!$B$11,Szenarien!$H$22="OK"),1/(1+Eingaben!$B$39+Szenarien!$G$22)^B598,0),0)</f>
        <v>0</v>
      </c>
      <c r="I598" s="13" t="n">
        <f aca="false">G598*H598</f>
        <v>0</v>
      </c>
      <c r="J598" s="13" t="n">
        <f aca="false">(D598+E598-F598)*H598</f>
        <v>0</v>
      </c>
      <c r="K598" s="13" t="n">
        <f aca="false">IF(AND(B598&lt;=Eingaben!$B$11,Szenarien!$H$22="OK"),SUM(Variantenbilanz!K4031:K4396)*H598,0)</f>
        <v>0</v>
      </c>
    </row>
    <row r="599" customFormat="false" ht="16.4" hidden="false" customHeight="false" outlineLevel="0" collapsed="false">
      <c r="A599" s="12"/>
      <c r="B599" s="15" t="n">
        <v>33</v>
      </c>
      <c r="C599" s="13" t="n">
        <f aca="false">IFERROR(IF(AND(B599&lt;=Eingaben!$B$11,Szenarien!$H$22="OK"),SUM(Variantenbilanz!K4031:K4396)*(Eingaben!$B$36*Szenarien!$C$22*(1+Eingaben!$B$40)^(B599-1)+Eingaben!$B$37*Eingaben!$B$38*(1+Eingaben!$B$46)^(B599-1)),0),0)</f>
        <v>0</v>
      </c>
      <c r="D599" s="13" t="n">
        <f aca="false">IFERROR(IF(AND(B599&lt;=Eingaben!$B$11,Szenarien!$H$22="OK"),((Eingaben!$B$32+Eingaben!$B$35)*(1+Eingaben!$B$41)^(B599-1)+SUM(Variantenbilanz!E4031:E4396)*Eingaben!$B$33*Eingaben!$B$34*(1+Eingaben!$B$42)^(B599-1))*Szenarien!$F$22,0),0)</f>
        <v>0</v>
      </c>
      <c r="E599" s="13" t="n">
        <f aca="false">IFERROR(IF(AND(AND(B599&lt;=Eingaben!$B$11,Szenarien!$H$22="OK"),B599=Eingaben!$B$43),Eingaben!$B$44*Szenarien!$B$22*(1+Eingaben!$B$41)^(B599-1),0),0)</f>
        <v>0</v>
      </c>
      <c r="F599" s="13" t="n">
        <f aca="false">IFERROR(IF(AND(AND(B599&lt;=Eingaben!$B$11,Szenarien!$H$22="OK"),B599=Eingaben!$B$11),Eingaben!$B$45*Szenarien!$B$22,0),0)</f>
        <v>0</v>
      </c>
      <c r="G599" s="13" t="n">
        <f aca="false">C599-D599-E599+F599</f>
        <v>0</v>
      </c>
      <c r="H599" s="13" t="n">
        <f aca="false">IFERROR(IF(AND(B599&lt;=Eingaben!$B$11,Szenarien!$H$22="OK"),1/(1+Eingaben!$B$39+Szenarien!$G$22)^B599,0),0)</f>
        <v>0</v>
      </c>
      <c r="I599" s="13" t="n">
        <f aca="false">G599*H599</f>
        <v>0</v>
      </c>
      <c r="J599" s="13" t="n">
        <f aca="false">(D599+E599-F599)*H599</f>
        <v>0</v>
      </c>
      <c r="K599" s="13" t="n">
        <f aca="false">IF(AND(B599&lt;=Eingaben!$B$11,Szenarien!$H$22="OK"),SUM(Variantenbilanz!K4031:K4396)*H599,0)</f>
        <v>0</v>
      </c>
    </row>
    <row r="600" customFormat="false" ht="16.4" hidden="false" customHeight="false" outlineLevel="0" collapsed="false">
      <c r="A600" s="12"/>
      <c r="B600" s="15" t="n">
        <v>34</v>
      </c>
      <c r="C600" s="13" t="n">
        <f aca="false">IFERROR(IF(AND(B600&lt;=Eingaben!$B$11,Szenarien!$H$22="OK"),SUM(Variantenbilanz!K4031:K4396)*(Eingaben!$B$36*Szenarien!$C$22*(1+Eingaben!$B$40)^(B600-1)+Eingaben!$B$37*Eingaben!$B$38*(1+Eingaben!$B$46)^(B600-1)),0),0)</f>
        <v>0</v>
      </c>
      <c r="D600" s="13" t="n">
        <f aca="false">IFERROR(IF(AND(B600&lt;=Eingaben!$B$11,Szenarien!$H$22="OK"),((Eingaben!$B$32+Eingaben!$B$35)*(1+Eingaben!$B$41)^(B600-1)+SUM(Variantenbilanz!E4031:E4396)*Eingaben!$B$33*Eingaben!$B$34*(1+Eingaben!$B$42)^(B600-1))*Szenarien!$F$22,0),0)</f>
        <v>0</v>
      </c>
      <c r="E600" s="13" t="n">
        <f aca="false">IFERROR(IF(AND(AND(B600&lt;=Eingaben!$B$11,Szenarien!$H$22="OK"),B600=Eingaben!$B$43),Eingaben!$B$44*Szenarien!$B$22*(1+Eingaben!$B$41)^(B600-1),0),0)</f>
        <v>0</v>
      </c>
      <c r="F600" s="13" t="n">
        <f aca="false">IFERROR(IF(AND(AND(B600&lt;=Eingaben!$B$11,Szenarien!$H$22="OK"),B600=Eingaben!$B$11),Eingaben!$B$45*Szenarien!$B$22,0),0)</f>
        <v>0</v>
      </c>
      <c r="G600" s="13" t="n">
        <f aca="false">C600-D600-E600+F600</f>
        <v>0</v>
      </c>
      <c r="H600" s="13" t="n">
        <f aca="false">IFERROR(IF(AND(B600&lt;=Eingaben!$B$11,Szenarien!$H$22="OK"),1/(1+Eingaben!$B$39+Szenarien!$G$22)^B600,0),0)</f>
        <v>0</v>
      </c>
      <c r="I600" s="13" t="n">
        <f aca="false">G600*H600</f>
        <v>0</v>
      </c>
      <c r="J600" s="13" t="n">
        <f aca="false">(D600+E600-F600)*H600</f>
        <v>0</v>
      </c>
      <c r="K600" s="13" t="n">
        <f aca="false">IF(AND(B600&lt;=Eingaben!$B$11,Szenarien!$H$22="OK"),SUM(Variantenbilanz!K4031:K4396)*H600,0)</f>
        <v>0</v>
      </c>
    </row>
    <row r="601" customFormat="false" ht="16.4" hidden="false" customHeight="false" outlineLevel="0" collapsed="false">
      <c r="A601" s="12"/>
      <c r="B601" s="15" t="n">
        <v>35</v>
      </c>
      <c r="C601" s="13" t="n">
        <f aca="false">IFERROR(IF(AND(B601&lt;=Eingaben!$B$11,Szenarien!$H$22="OK"),SUM(Variantenbilanz!K4031:K4396)*(Eingaben!$B$36*Szenarien!$C$22*(1+Eingaben!$B$40)^(B601-1)+Eingaben!$B$37*Eingaben!$B$38*(1+Eingaben!$B$46)^(B601-1)),0),0)</f>
        <v>0</v>
      </c>
      <c r="D601" s="13" t="n">
        <f aca="false">IFERROR(IF(AND(B601&lt;=Eingaben!$B$11,Szenarien!$H$22="OK"),((Eingaben!$B$32+Eingaben!$B$35)*(1+Eingaben!$B$41)^(B601-1)+SUM(Variantenbilanz!E4031:E4396)*Eingaben!$B$33*Eingaben!$B$34*(1+Eingaben!$B$42)^(B601-1))*Szenarien!$F$22,0),0)</f>
        <v>0</v>
      </c>
      <c r="E601" s="13" t="n">
        <f aca="false">IFERROR(IF(AND(AND(B601&lt;=Eingaben!$B$11,Szenarien!$H$22="OK"),B601=Eingaben!$B$43),Eingaben!$B$44*Szenarien!$B$22*(1+Eingaben!$B$41)^(B601-1),0),0)</f>
        <v>0</v>
      </c>
      <c r="F601" s="13" t="n">
        <f aca="false">IFERROR(IF(AND(AND(B601&lt;=Eingaben!$B$11,Szenarien!$H$22="OK"),B601=Eingaben!$B$11),Eingaben!$B$45*Szenarien!$B$22,0),0)</f>
        <v>0</v>
      </c>
      <c r="G601" s="13" t="n">
        <f aca="false">C601-D601-E601+F601</f>
        <v>0</v>
      </c>
      <c r="H601" s="13" t="n">
        <f aca="false">IFERROR(IF(AND(B601&lt;=Eingaben!$B$11,Szenarien!$H$22="OK"),1/(1+Eingaben!$B$39+Szenarien!$G$22)^B601,0),0)</f>
        <v>0</v>
      </c>
      <c r="I601" s="13" t="n">
        <f aca="false">G601*H601</f>
        <v>0</v>
      </c>
      <c r="J601" s="13" t="n">
        <f aca="false">(D601+E601-F601)*H601</f>
        <v>0</v>
      </c>
      <c r="K601" s="13" t="n">
        <f aca="false">IF(AND(B601&lt;=Eingaben!$B$11,Szenarien!$H$22="OK"),SUM(Variantenbilanz!K4031:K4396)*H601,0)</f>
        <v>0</v>
      </c>
    </row>
    <row r="602" customFormat="false" ht="16.4" hidden="false" customHeight="false" outlineLevel="0" collapsed="false">
      <c r="A602" s="12"/>
      <c r="B602" s="15" t="n">
        <v>36</v>
      </c>
      <c r="C602" s="13" t="n">
        <f aca="false">IFERROR(IF(AND(B602&lt;=Eingaben!$B$11,Szenarien!$H$22="OK"),SUM(Variantenbilanz!K4031:K4396)*(Eingaben!$B$36*Szenarien!$C$22*(1+Eingaben!$B$40)^(B602-1)+Eingaben!$B$37*Eingaben!$B$38*(1+Eingaben!$B$46)^(B602-1)),0),0)</f>
        <v>0</v>
      </c>
      <c r="D602" s="13" t="n">
        <f aca="false">IFERROR(IF(AND(B602&lt;=Eingaben!$B$11,Szenarien!$H$22="OK"),((Eingaben!$B$32+Eingaben!$B$35)*(1+Eingaben!$B$41)^(B602-1)+SUM(Variantenbilanz!E4031:E4396)*Eingaben!$B$33*Eingaben!$B$34*(1+Eingaben!$B$42)^(B602-1))*Szenarien!$F$22,0),0)</f>
        <v>0</v>
      </c>
      <c r="E602" s="13" t="n">
        <f aca="false">IFERROR(IF(AND(AND(B602&lt;=Eingaben!$B$11,Szenarien!$H$22="OK"),B602=Eingaben!$B$43),Eingaben!$B$44*Szenarien!$B$22*(1+Eingaben!$B$41)^(B602-1),0),0)</f>
        <v>0</v>
      </c>
      <c r="F602" s="13" t="n">
        <f aca="false">IFERROR(IF(AND(AND(B602&lt;=Eingaben!$B$11,Szenarien!$H$22="OK"),B602=Eingaben!$B$11),Eingaben!$B$45*Szenarien!$B$22,0),0)</f>
        <v>0</v>
      </c>
      <c r="G602" s="13" t="n">
        <f aca="false">C602-D602-E602+F602</f>
        <v>0</v>
      </c>
      <c r="H602" s="13" t="n">
        <f aca="false">IFERROR(IF(AND(B602&lt;=Eingaben!$B$11,Szenarien!$H$22="OK"),1/(1+Eingaben!$B$39+Szenarien!$G$22)^B602,0),0)</f>
        <v>0</v>
      </c>
      <c r="I602" s="13" t="n">
        <f aca="false">G602*H602</f>
        <v>0</v>
      </c>
      <c r="J602" s="13" t="n">
        <f aca="false">(D602+E602-F602)*H602</f>
        <v>0</v>
      </c>
      <c r="K602" s="13" t="n">
        <f aca="false">IF(AND(B602&lt;=Eingaben!$B$11,Szenarien!$H$22="OK"),SUM(Variantenbilanz!K4031:K4396)*H602,0)</f>
        <v>0</v>
      </c>
    </row>
    <row r="603" customFormat="false" ht="16.4" hidden="false" customHeight="false" outlineLevel="0" collapsed="false">
      <c r="A603" s="12"/>
      <c r="B603" s="15" t="n">
        <v>37</v>
      </c>
      <c r="C603" s="13" t="n">
        <f aca="false">IFERROR(IF(AND(B603&lt;=Eingaben!$B$11,Szenarien!$H$22="OK"),SUM(Variantenbilanz!K4031:K4396)*(Eingaben!$B$36*Szenarien!$C$22*(1+Eingaben!$B$40)^(B603-1)+Eingaben!$B$37*Eingaben!$B$38*(1+Eingaben!$B$46)^(B603-1)),0),0)</f>
        <v>0</v>
      </c>
      <c r="D603" s="13" t="n">
        <f aca="false">IFERROR(IF(AND(B603&lt;=Eingaben!$B$11,Szenarien!$H$22="OK"),((Eingaben!$B$32+Eingaben!$B$35)*(1+Eingaben!$B$41)^(B603-1)+SUM(Variantenbilanz!E4031:E4396)*Eingaben!$B$33*Eingaben!$B$34*(1+Eingaben!$B$42)^(B603-1))*Szenarien!$F$22,0),0)</f>
        <v>0</v>
      </c>
      <c r="E603" s="13" t="n">
        <f aca="false">IFERROR(IF(AND(AND(B603&lt;=Eingaben!$B$11,Szenarien!$H$22="OK"),B603=Eingaben!$B$43),Eingaben!$B$44*Szenarien!$B$22*(1+Eingaben!$B$41)^(B603-1),0),0)</f>
        <v>0</v>
      </c>
      <c r="F603" s="13" t="n">
        <f aca="false">IFERROR(IF(AND(AND(B603&lt;=Eingaben!$B$11,Szenarien!$H$22="OK"),B603=Eingaben!$B$11),Eingaben!$B$45*Szenarien!$B$22,0),0)</f>
        <v>0</v>
      </c>
      <c r="G603" s="13" t="n">
        <f aca="false">C603-D603-E603+F603</f>
        <v>0</v>
      </c>
      <c r="H603" s="13" t="n">
        <f aca="false">IFERROR(IF(AND(B603&lt;=Eingaben!$B$11,Szenarien!$H$22="OK"),1/(1+Eingaben!$B$39+Szenarien!$G$22)^B603,0),0)</f>
        <v>0</v>
      </c>
      <c r="I603" s="13" t="n">
        <f aca="false">G603*H603</f>
        <v>0</v>
      </c>
      <c r="J603" s="13" t="n">
        <f aca="false">(D603+E603-F603)*H603</f>
        <v>0</v>
      </c>
      <c r="K603" s="13" t="n">
        <f aca="false">IF(AND(B603&lt;=Eingaben!$B$11,Szenarien!$H$22="OK"),SUM(Variantenbilanz!K4031:K4396)*H603,0)</f>
        <v>0</v>
      </c>
    </row>
    <row r="604" customFormat="false" ht="16.4" hidden="false" customHeight="false" outlineLevel="0" collapsed="false">
      <c r="A604" s="12"/>
      <c r="B604" s="15" t="n">
        <v>38</v>
      </c>
      <c r="C604" s="13" t="n">
        <f aca="false">IFERROR(IF(AND(B604&lt;=Eingaben!$B$11,Szenarien!$H$22="OK"),SUM(Variantenbilanz!K4031:K4396)*(Eingaben!$B$36*Szenarien!$C$22*(1+Eingaben!$B$40)^(B604-1)+Eingaben!$B$37*Eingaben!$B$38*(1+Eingaben!$B$46)^(B604-1)),0),0)</f>
        <v>0</v>
      </c>
      <c r="D604" s="13" t="n">
        <f aca="false">IFERROR(IF(AND(B604&lt;=Eingaben!$B$11,Szenarien!$H$22="OK"),((Eingaben!$B$32+Eingaben!$B$35)*(1+Eingaben!$B$41)^(B604-1)+SUM(Variantenbilanz!E4031:E4396)*Eingaben!$B$33*Eingaben!$B$34*(1+Eingaben!$B$42)^(B604-1))*Szenarien!$F$22,0),0)</f>
        <v>0</v>
      </c>
      <c r="E604" s="13" t="n">
        <f aca="false">IFERROR(IF(AND(AND(B604&lt;=Eingaben!$B$11,Szenarien!$H$22="OK"),B604=Eingaben!$B$43),Eingaben!$B$44*Szenarien!$B$22*(1+Eingaben!$B$41)^(B604-1),0),0)</f>
        <v>0</v>
      </c>
      <c r="F604" s="13" t="n">
        <f aca="false">IFERROR(IF(AND(AND(B604&lt;=Eingaben!$B$11,Szenarien!$H$22="OK"),B604=Eingaben!$B$11),Eingaben!$B$45*Szenarien!$B$22,0),0)</f>
        <v>0</v>
      </c>
      <c r="G604" s="13" t="n">
        <f aca="false">C604-D604-E604+F604</f>
        <v>0</v>
      </c>
      <c r="H604" s="13" t="n">
        <f aca="false">IFERROR(IF(AND(B604&lt;=Eingaben!$B$11,Szenarien!$H$22="OK"),1/(1+Eingaben!$B$39+Szenarien!$G$22)^B604,0),0)</f>
        <v>0</v>
      </c>
      <c r="I604" s="13" t="n">
        <f aca="false">G604*H604</f>
        <v>0</v>
      </c>
      <c r="J604" s="13" t="n">
        <f aca="false">(D604+E604-F604)*H604</f>
        <v>0</v>
      </c>
      <c r="K604" s="13" t="n">
        <f aca="false">IF(AND(B604&lt;=Eingaben!$B$11,Szenarien!$H$22="OK"),SUM(Variantenbilanz!K4031:K4396)*H604,0)</f>
        <v>0</v>
      </c>
    </row>
    <row r="605" customFormat="false" ht="16.4" hidden="false" customHeight="false" outlineLevel="0" collapsed="false">
      <c r="A605" s="12"/>
      <c r="B605" s="15" t="n">
        <v>39</v>
      </c>
      <c r="C605" s="13" t="n">
        <f aca="false">IFERROR(IF(AND(B605&lt;=Eingaben!$B$11,Szenarien!$H$22="OK"),SUM(Variantenbilanz!K4031:K4396)*(Eingaben!$B$36*Szenarien!$C$22*(1+Eingaben!$B$40)^(B605-1)+Eingaben!$B$37*Eingaben!$B$38*(1+Eingaben!$B$46)^(B605-1)),0),0)</f>
        <v>0</v>
      </c>
      <c r="D605" s="13" t="n">
        <f aca="false">IFERROR(IF(AND(B605&lt;=Eingaben!$B$11,Szenarien!$H$22="OK"),((Eingaben!$B$32+Eingaben!$B$35)*(1+Eingaben!$B$41)^(B605-1)+SUM(Variantenbilanz!E4031:E4396)*Eingaben!$B$33*Eingaben!$B$34*(1+Eingaben!$B$42)^(B605-1))*Szenarien!$F$22,0),0)</f>
        <v>0</v>
      </c>
      <c r="E605" s="13" t="n">
        <f aca="false">IFERROR(IF(AND(AND(B605&lt;=Eingaben!$B$11,Szenarien!$H$22="OK"),B605=Eingaben!$B$43),Eingaben!$B$44*Szenarien!$B$22*(1+Eingaben!$B$41)^(B605-1),0),0)</f>
        <v>0</v>
      </c>
      <c r="F605" s="13" t="n">
        <f aca="false">IFERROR(IF(AND(AND(B605&lt;=Eingaben!$B$11,Szenarien!$H$22="OK"),B605=Eingaben!$B$11),Eingaben!$B$45*Szenarien!$B$22,0),0)</f>
        <v>0</v>
      </c>
      <c r="G605" s="13" t="n">
        <f aca="false">C605-D605-E605+F605</f>
        <v>0</v>
      </c>
      <c r="H605" s="13" t="n">
        <f aca="false">IFERROR(IF(AND(B605&lt;=Eingaben!$B$11,Szenarien!$H$22="OK"),1/(1+Eingaben!$B$39+Szenarien!$G$22)^B605,0),0)</f>
        <v>0</v>
      </c>
      <c r="I605" s="13" t="n">
        <f aca="false">G605*H605</f>
        <v>0</v>
      </c>
      <c r="J605" s="13" t="n">
        <f aca="false">(D605+E605-F605)*H605</f>
        <v>0</v>
      </c>
      <c r="K605" s="13" t="n">
        <f aca="false">IF(AND(B605&lt;=Eingaben!$B$11,Szenarien!$H$22="OK"),SUM(Variantenbilanz!K4031:K4396)*H605,0)</f>
        <v>0</v>
      </c>
    </row>
    <row r="606" customFormat="false" ht="16.4" hidden="false" customHeight="false" outlineLevel="0" collapsed="false">
      <c r="A606" s="12"/>
      <c r="B606" s="15" t="n">
        <v>40</v>
      </c>
      <c r="C606" s="13" t="n">
        <f aca="false">IFERROR(IF(AND(B606&lt;=Eingaben!$B$11,Szenarien!$H$22="OK"),SUM(Variantenbilanz!K4031:K4396)*(Eingaben!$B$36*Szenarien!$C$22*(1+Eingaben!$B$40)^(B606-1)+Eingaben!$B$37*Eingaben!$B$38*(1+Eingaben!$B$46)^(B606-1)),0),0)</f>
        <v>0</v>
      </c>
      <c r="D606" s="13" t="n">
        <f aca="false">IFERROR(IF(AND(B606&lt;=Eingaben!$B$11,Szenarien!$H$22="OK"),((Eingaben!$B$32+Eingaben!$B$35)*(1+Eingaben!$B$41)^(B606-1)+SUM(Variantenbilanz!E4031:E4396)*Eingaben!$B$33*Eingaben!$B$34*(1+Eingaben!$B$42)^(B606-1))*Szenarien!$F$22,0),0)</f>
        <v>0</v>
      </c>
      <c r="E606" s="13" t="n">
        <f aca="false">IFERROR(IF(AND(AND(B606&lt;=Eingaben!$B$11,Szenarien!$H$22="OK"),B606=Eingaben!$B$43),Eingaben!$B$44*Szenarien!$B$22*(1+Eingaben!$B$41)^(B606-1),0),0)</f>
        <v>0</v>
      </c>
      <c r="F606" s="13" t="n">
        <f aca="false">IFERROR(IF(AND(AND(B606&lt;=Eingaben!$B$11,Szenarien!$H$22="OK"),B606=Eingaben!$B$11),Eingaben!$B$45*Szenarien!$B$22,0),0)</f>
        <v>0</v>
      </c>
      <c r="G606" s="13" t="n">
        <f aca="false">C606-D606-E606+F606</f>
        <v>0</v>
      </c>
      <c r="H606" s="13" t="n">
        <f aca="false">IFERROR(IF(AND(B606&lt;=Eingaben!$B$11,Szenarien!$H$22="OK"),1/(1+Eingaben!$B$39+Szenarien!$G$22)^B606,0),0)</f>
        <v>0</v>
      </c>
      <c r="I606" s="13" t="n">
        <f aca="false">G606*H606</f>
        <v>0</v>
      </c>
      <c r="J606" s="13" t="n">
        <f aca="false">(D606+E606-F606)*H606</f>
        <v>0</v>
      </c>
      <c r="K606" s="13" t="n">
        <f aca="false">IF(AND(B606&lt;=Eingaben!$B$11,Szenarien!$H$22="OK"),SUM(Variantenbilanz!K4031:K4396)*H606,0)</f>
        <v>0</v>
      </c>
    </row>
    <row r="607" customFormat="false" ht="16.4" hidden="false" customHeight="false" outlineLevel="0" collapsed="false">
      <c r="A607" s="12"/>
      <c r="B607" s="15" t="n">
        <v>41</v>
      </c>
      <c r="C607" s="13" t="n">
        <f aca="false">IFERROR(IF(AND(B607&lt;=Eingaben!$B$11,Szenarien!$H$22="OK"),SUM(Variantenbilanz!K4031:K4396)*(Eingaben!$B$36*Szenarien!$C$22*(1+Eingaben!$B$40)^(B607-1)+Eingaben!$B$37*Eingaben!$B$38*(1+Eingaben!$B$46)^(B607-1)),0),0)</f>
        <v>0</v>
      </c>
      <c r="D607" s="13" t="n">
        <f aca="false">IFERROR(IF(AND(B607&lt;=Eingaben!$B$11,Szenarien!$H$22="OK"),((Eingaben!$B$32+Eingaben!$B$35)*(1+Eingaben!$B$41)^(B607-1)+SUM(Variantenbilanz!E4031:E4396)*Eingaben!$B$33*Eingaben!$B$34*(1+Eingaben!$B$42)^(B607-1))*Szenarien!$F$22,0),0)</f>
        <v>0</v>
      </c>
      <c r="E607" s="13" t="n">
        <f aca="false">IFERROR(IF(AND(AND(B607&lt;=Eingaben!$B$11,Szenarien!$H$22="OK"),B607=Eingaben!$B$43),Eingaben!$B$44*Szenarien!$B$22*(1+Eingaben!$B$41)^(B607-1),0),0)</f>
        <v>0</v>
      </c>
      <c r="F607" s="13" t="n">
        <f aca="false">IFERROR(IF(AND(AND(B607&lt;=Eingaben!$B$11,Szenarien!$H$22="OK"),B607=Eingaben!$B$11),Eingaben!$B$45*Szenarien!$B$22,0),0)</f>
        <v>0</v>
      </c>
      <c r="G607" s="13" t="n">
        <f aca="false">C607-D607-E607+F607</f>
        <v>0</v>
      </c>
      <c r="H607" s="13" t="n">
        <f aca="false">IFERROR(IF(AND(B607&lt;=Eingaben!$B$11,Szenarien!$H$22="OK"),1/(1+Eingaben!$B$39+Szenarien!$G$22)^B607,0),0)</f>
        <v>0</v>
      </c>
      <c r="I607" s="13" t="n">
        <f aca="false">G607*H607</f>
        <v>0</v>
      </c>
      <c r="J607" s="13" t="n">
        <f aca="false">(D607+E607-F607)*H607</f>
        <v>0</v>
      </c>
      <c r="K607" s="13" t="n">
        <f aca="false">IF(AND(B607&lt;=Eingaben!$B$11,Szenarien!$H$22="OK"),SUM(Variantenbilanz!K4031:K4396)*H607,0)</f>
        <v>0</v>
      </c>
    </row>
    <row r="608" customFormat="false" ht="16.4" hidden="false" customHeight="false" outlineLevel="0" collapsed="false">
      <c r="A608" s="12"/>
      <c r="B608" s="15" t="n">
        <v>42</v>
      </c>
      <c r="C608" s="13" t="n">
        <f aca="false">IFERROR(IF(AND(B608&lt;=Eingaben!$B$11,Szenarien!$H$22="OK"),SUM(Variantenbilanz!K4031:K4396)*(Eingaben!$B$36*Szenarien!$C$22*(1+Eingaben!$B$40)^(B608-1)+Eingaben!$B$37*Eingaben!$B$38*(1+Eingaben!$B$46)^(B608-1)),0),0)</f>
        <v>0</v>
      </c>
      <c r="D608" s="13" t="n">
        <f aca="false">IFERROR(IF(AND(B608&lt;=Eingaben!$B$11,Szenarien!$H$22="OK"),((Eingaben!$B$32+Eingaben!$B$35)*(1+Eingaben!$B$41)^(B608-1)+SUM(Variantenbilanz!E4031:E4396)*Eingaben!$B$33*Eingaben!$B$34*(1+Eingaben!$B$42)^(B608-1))*Szenarien!$F$22,0),0)</f>
        <v>0</v>
      </c>
      <c r="E608" s="13" t="n">
        <f aca="false">IFERROR(IF(AND(AND(B608&lt;=Eingaben!$B$11,Szenarien!$H$22="OK"),B608=Eingaben!$B$43),Eingaben!$B$44*Szenarien!$B$22*(1+Eingaben!$B$41)^(B608-1),0),0)</f>
        <v>0</v>
      </c>
      <c r="F608" s="13" t="n">
        <f aca="false">IFERROR(IF(AND(AND(B608&lt;=Eingaben!$B$11,Szenarien!$H$22="OK"),B608=Eingaben!$B$11),Eingaben!$B$45*Szenarien!$B$22,0),0)</f>
        <v>0</v>
      </c>
      <c r="G608" s="13" t="n">
        <f aca="false">C608-D608-E608+F608</f>
        <v>0</v>
      </c>
      <c r="H608" s="13" t="n">
        <f aca="false">IFERROR(IF(AND(B608&lt;=Eingaben!$B$11,Szenarien!$H$22="OK"),1/(1+Eingaben!$B$39+Szenarien!$G$22)^B608,0),0)</f>
        <v>0</v>
      </c>
      <c r="I608" s="13" t="n">
        <f aca="false">G608*H608</f>
        <v>0</v>
      </c>
      <c r="J608" s="13" t="n">
        <f aca="false">(D608+E608-F608)*H608</f>
        <v>0</v>
      </c>
      <c r="K608" s="13" t="n">
        <f aca="false">IF(AND(B608&lt;=Eingaben!$B$11,Szenarien!$H$22="OK"),SUM(Variantenbilanz!K4031:K4396)*H608,0)</f>
        <v>0</v>
      </c>
    </row>
    <row r="609" customFormat="false" ht="16.4" hidden="false" customHeight="false" outlineLevel="0" collapsed="false">
      <c r="A609" s="12"/>
      <c r="B609" s="15" t="n">
        <v>43</v>
      </c>
      <c r="C609" s="13" t="n">
        <f aca="false">IFERROR(IF(AND(B609&lt;=Eingaben!$B$11,Szenarien!$H$22="OK"),SUM(Variantenbilanz!K4031:K4396)*(Eingaben!$B$36*Szenarien!$C$22*(1+Eingaben!$B$40)^(B609-1)+Eingaben!$B$37*Eingaben!$B$38*(1+Eingaben!$B$46)^(B609-1)),0),0)</f>
        <v>0</v>
      </c>
      <c r="D609" s="13" t="n">
        <f aca="false">IFERROR(IF(AND(B609&lt;=Eingaben!$B$11,Szenarien!$H$22="OK"),((Eingaben!$B$32+Eingaben!$B$35)*(1+Eingaben!$B$41)^(B609-1)+SUM(Variantenbilanz!E4031:E4396)*Eingaben!$B$33*Eingaben!$B$34*(1+Eingaben!$B$42)^(B609-1))*Szenarien!$F$22,0),0)</f>
        <v>0</v>
      </c>
      <c r="E609" s="13" t="n">
        <f aca="false">IFERROR(IF(AND(AND(B609&lt;=Eingaben!$B$11,Szenarien!$H$22="OK"),B609=Eingaben!$B$43),Eingaben!$B$44*Szenarien!$B$22*(1+Eingaben!$B$41)^(B609-1),0),0)</f>
        <v>0</v>
      </c>
      <c r="F609" s="13" t="n">
        <f aca="false">IFERROR(IF(AND(AND(B609&lt;=Eingaben!$B$11,Szenarien!$H$22="OK"),B609=Eingaben!$B$11),Eingaben!$B$45*Szenarien!$B$22,0),0)</f>
        <v>0</v>
      </c>
      <c r="G609" s="13" t="n">
        <f aca="false">C609-D609-E609+F609</f>
        <v>0</v>
      </c>
      <c r="H609" s="13" t="n">
        <f aca="false">IFERROR(IF(AND(B609&lt;=Eingaben!$B$11,Szenarien!$H$22="OK"),1/(1+Eingaben!$B$39+Szenarien!$G$22)^B609,0),0)</f>
        <v>0</v>
      </c>
      <c r="I609" s="13" t="n">
        <f aca="false">G609*H609</f>
        <v>0</v>
      </c>
      <c r="J609" s="13" t="n">
        <f aca="false">(D609+E609-F609)*H609</f>
        <v>0</v>
      </c>
      <c r="K609" s="13" t="n">
        <f aca="false">IF(AND(B609&lt;=Eingaben!$B$11,Szenarien!$H$22="OK"),SUM(Variantenbilanz!K4031:K4396)*H609,0)</f>
        <v>0</v>
      </c>
    </row>
    <row r="610" customFormat="false" ht="16.4" hidden="false" customHeight="false" outlineLevel="0" collapsed="false">
      <c r="A610" s="12"/>
      <c r="B610" s="15" t="n">
        <v>44</v>
      </c>
      <c r="C610" s="13" t="n">
        <f aca="false">IFERROR(IF(AND(B610&lt;=Eingaben!$B$11,Szenarien!$H$22="OK"),SUM(Variantenbilanz!K4031:K4396)*(Eingaben!$B$36*Szenarien!$C$22*(1+Eingaben!$B$40)^(B610-1)+Eingaben!$B$37*Eingaben!$B$38*(1+Eingaben!$B$46)^(B610-1)),0),0)</f>
        <v>0</v>
      </c>
      <c r="D610" s="13" t="n">
        <f aca="false">IFERROR(IF(AND(B610&lt;=Eingaben!$B$11,Szenarien!$H$22="OK"),((Eingaben!$B$32+Eingaben!$B$35)*(1+Eingaben!$B$41)^(B610-1)+SUM(Variantenbilanz!E4031:E4396)*Eingaben!$B$33*Eingaben!$B$34*(1+Eingaben!$B$42)^(B610-1))*Szenarien!$F$22,0),0)</f>
        <v>0</v>
      </c>
      <c r="E610" s="13" t="n">
        <f aca="false">IFERROR(IF(AND(AND(B610&lt;=Eingaben!$B$11,Szenarien!$H$22="OK"),B610=Eingaben!$B$43),Eingaben!$B$44*Szenarien!$B$22*(1+Eingaben!$B$41)^(B610-1),0),0)</f>
        <v>0</v>
      </c>
      <c r="F610" s="13" t="n">
        <f aca="false">IFERROR(IF(AND(AND(B610&lt;=Eingaben!$B$11,Szenarien!$H$22="OK"),B610=Eingaben!$B$11),Eingaben!$B$45*Szenarien!$B$22,0),0)</f>
        <v>0</v>
      </c>
      <c r="G610" s="13" t="n">
        <f aca="false">C610-D610-E610+F610</f>
        <v>0</v>
      </c>
      <c r="H610" s="13" t="n">
        <f aca="false">IFERROR(IF(AND(B610&lt;=Eingaben!$B$11,Szenarien!$H$22="OK"),1/(1+Eingaben!$B$39+Szenarien!$G$22)^B610,0),0)</f>
        <v>0</v>
      </c>
      <c r="I610" s="13" t="n">
        <f aca="false">G610*H610</f>
        <v>0</v>
      </c>
      <c r="J610" s="13" t="n">
        <f aca="false">(D610+E610-F610)*H610</f>
        <v>0</v>
      </c>
      <c r="K610" s="13" t="n">
        <f aca="false">IF(AND(B610&lt;=Eingaben!$B$11,Szenarien!$H$22="OK"),SUM(Variantenbilanz!K4031:K4396)*H610,0)</f>
        <v>0</v>
      </c>
    </row>
    <row r="611" customFormat="false" ht="16.4" hidden="false" customHeight="false" outlineLevel="0" collapsed="false">
      <c r="A611" s="12"/>
      <c r="B611" s="15" t="n">
        <v>45</v>
      </c>
      <c r="C611" s="13" t="n">
        <f aca="false">IFERROR(IF(AND(B611&lt;=Eingaben!$B$11,Szenarien!$H$22="OK"),SUM(Variantenbilanz!K4031:K4396)*(Eingaben!$B$36*Szenarien!$C$22*(1+Eingaben!$B$40)^(B611-1)+Eingaben!$B$37*Eingaben!$B$38*(1+Eingaben!$B$46)^(B611-1)),0),0)</f>
        <v>0</v>
      </c>
      <c r="D611" s="13" t="n">
        <f aca="false">IFERROR(IF(AND(B611&lt;=Eingaben!$B$11,Szenarien!$H$22="OK"),((Eingaben!$B$32+Eingaben!$B$35)*(1+Eingaben!$B$41)^(B611-1)+SUM(Variantenbilanz!E4031:E4396)*Eingaben!$B$33*Eingaben!$B$34*(1+Eingaben!$B$42)^(B611-1))*Szenarien!$F$22,0),0)</f>
        <v>0</v>
      </c>
      <c r="E611" s="13" t="n">
        <f aca="false">IFERROR(IF(AND(AND(B611&lt;=Eingaben!$B$11,Szenarien!$H$22="OK"),B611=Eingaben!$B$43),Eingaben!$B$44*Szenarien!$B$22*(1+Eingaben!$B$41)^(B611-1),0),0)</f>
        <v>0</v>
      </c>
      <c r="F611" s="13" t="n">
        <f aca="false">IFERROR(IF(AND(AND(B611&lt;=Eingaben!$B$11,Szenarien!$H$22="OK"),B611=Eingaben!$B$11),Eingaben!$B$45*Szenarien!$B$22,0),0)</f>
        <v>0</v>
      </c>
      <c r="G611" s="13" t="n">
        <f aca="false">C611-D611-E611+F611</f>
        <v>0</v>
      </c>
      <c r="H611" s="13" t="n">
        <f aca="false">IFERROR(IF(AND(B611&lt;=Eingaben!$B$11,Szenarien!$H$22="OK"),1/(1+Eingaben!$B$39+Szenarien!$G$22)^B611,0),0)</f>
        <v>0</v>
      </c>
      <c r="I611" s="13" t="n">
        <f aca="false">G611*H611</f>
        <v>0</v>
      </c>
      <c r="J611" s="13" t="n">
        <f aca="false">(D611+E611-F611)*H611</f>
        <v>0</v>
      </c>
      <c r="K611" s="13" t="n">
        <f aca="false">IF(AND(B611&lt;=Eingaben!$B$11,Szenarien!$H$22="OK"),SUM(Variantenbilanz!K4031:K4396)*H611,0)</f>
        <v>0</v>
      </c>
    </row>
    <row r="612" customFormat="false" ht="16.4" hidden="false" customHeight="false" outlineLevel="0" collapsed="false">
      <c r="A612" s="12"/>
      <c r="B612" s="15" t="n">
        <v>46</v>
      </c>
      <c r="C612" s="13" t="n">
        <f aca="false">IFERROR(IF(AND(B612&lt;=Eingaben!$B$11,Szenarien!$H$22="OK"),SUM(Variantenbilanz!K4031:K4396)*(Eingaben!$B$36*Szenarien!$C$22*(1+Eingaben!$B$40)^(B612-1)+Eingaben!$B$37*Eingaben!$B$38*(1+Eingaben!$B$46)^(B612-1)),0),0)</f>
        <v>0</v>
      </c>
      <c r="D612" s="13" t="n">
        <f aca="false">IFERROR(IF(AND(B612&lt;=Eingaben!$B$11,Szenarien!$H$22="OK"),((Eingaben!$B$32+Eingaben!$B$35)*(1+Eingaben!$B$41)^(B612-1)+SUM(Variantenbilanz!E4031:E4396)*Eingaben!$B$33*Eingaben!$B$34*(1+Eingaben!$B$42)^(B612-1))*Szenarien!$F$22,0),0)</f>
        <v>0</v>
      </c>
      <c r="E612" s="13" t="n">
        <f aca="false">IFERROR(IF(AND(AND(B612&lt;=Eingaben!$B$11,Szenarien!$H$22="OK"),B612=Eingaben!$B$43),Eingaben!$B$44*Szenarien!$B$22*(1+Eingaben!$B$41)^(B612-1),0),0)</f>
        <v>0</v>
      </c>
      <c r="F612" s="13" t="n">
        <f aca="false">IFERROR(IF(AND(AND(B612&lt;=Eingaben!$B$11,Szenarien!$H$22="OK"),B612=Eingaben!$B$11),Eingaben!$B$45*Szenarien!$B$22,0),0)</f>
        <v>0</v>
      </c>
      <c r="G612" s="13" t="n">
        <f aca="false">C612-D612-E612+F612</f>
        <v>0</v>
      </c>
      <c r="H612" s="13" t="n">
        <f aca="false">IFERROR(IF(AND(B612&lt;=Eingaben!$B$11,Szenarien!$H$22="OK"),1/(1+Eingaben!$B$39+Szenarien!$G$22)^B612,0),0)</f>
        <v>0</v>
      </c>
      <c r="I612" s="13" t="n">
        <f aca="false">G612*H612</f>
        <v>0</v>
      </c>
      <c r="J612" s="13" t="n">
        <f aca="false">(D612+E612-F612)*H612</f>
        <v>0</v>
      </c>
      <c r="K612" s="13" t="n">
        <f aca="false">IF(AND(B612&lt;=Eingaben!$B$11,Szenarien!$H$22="OK"),SUM(Variantenbilanz!K4031:K4396)*H612,0)</f>
        <v>0</v>
      </c>
    </row>
    <row r="613" customFormat="false" ht="16.4" hidden="false" customHeight="false" outlineLevel="0" collapsed="false">
      <c r="A613" s="12"/>
      <c r="B613" s="15" t="n">
        <v>47</v>
      </c>
      <c r="C613" s="13" t="n">
        <f aca="false">IFERROR(IF(AND(B613&lt;=Eingaben!$B$11,Szenarien!$H$22="OK"),SUM(Variantenbilanz!K4031:K4396)*(Eingaben!$B$36*Szenarien!$C$22*(1+Eingaben!$B$40)^(B613-1)+Eingaben!$B$37*Eingaben!$B$38*(1+Eingaben!$B$46)^(B613-1)),0),0)</f>
        <v>0</v>
      </c>
      <c r="D613" s="13" t="n">
        <f aca="false">IFERROR(IF(AND(B613&lt;=Eingaben!$B$11,Szenarien!$H$22="OK"),((Eingaben!$B$32+Eingaben!$B$35)*(1+Eingaben!$B$41)^(B613-1)+SUM(Variantenbilanz!E4031:E4396)*Eingaben!$B$33*Eingaben!$B$34*(1+Eingaben!$B$42)^(B613-1))*Szenarien!$F$22,0),0)</f>
        <v>0</v>
      </c>
      <c r="E613" s="13" t="n">
        <f aca="false">IFERROR(IF(AND(AND(B613&lt;=Eingaben!$B$11,Szenarien!$H$22="OK"),B613=Eingaben!$B$43),Eingaben!$B$44*Szenarien!$B$22*(1+Eingaben!$B$41)^(B613-1),0),0)</f>
        <v>0</v>
      </c>
      <c r="F613" s="13" t="n">
        <f aca="false">IFERROR(IF(AND(AND(B613&lt;=Eingaben!$B$11,Szenarien!$H$22="OK"),B613=Eingaben!$B$11),Eingaben!$B$45*Szenarien!$B$22,0),0)</f>
        <v>0</v>
      </c>
      <c r="G613" s="13" t="n">
        <f aca="false">C613-D613-E613+F613</f>
        <v>0</v>
      </c>
      <c r="H613" s="13" t="n">
        <f aca="false">IFERROR(IF(AND(B613&lt;=Eingaben!$B$11,Szenarien!$H$22="OK"),1/(1+Eingaben!$B$39+Szenarien!$G$22)^B613,0),0)</f>
        <v>0</v>
      </c>
      <c r="I613" s="13" t="n">
        <f aca="false">G613*H613</f>
        <v>0</v>
      </c>
      <c r="J613" s="13" t="n">
        <f aca="false">(D613+E613-F613)*H613</f>
        <v>0</v>
      </c>
      <c r="K613" s="13" t="n">
        <f aca="false">IF(AND(B613&lt;=Eingaben!$B$11,Szenarien!$H$22="OK"),SUM(Variantenbilanz!K4031:K4396)*H613,0)</f>
        <v>0</v>
      </c>
    </row>
    <row r="614" customFormat="false" ht="16.4" hidden="false" customHeight="false" outlineLevel="0" collapsed="false">
      <c r="A614" s="12"/>
      <c r="B614" s="15" t="n">
        <v>48</v>
      </c>
      <c r="C614" s="13" t="n">
        <f aca="false">IFERROR(IF(AND(B614&lt;=Eingaben!$B$11,Szenarien!$H$22="OK"),SUM(Variantenbilanz!K4031:K4396)*(Eingaben!$B$36*Szenarien!$C$22*(1+Eingaben!$B$40)^(B614-1)+Eingaben!$B$37*Eingaben!$B$38*(1+Eingaben!$B$46)^(B614-1)),0),0)</f>
        <v>0</v>
      </c>
      <c r="D614" s="13" t="n">
        <f aca="false">IFERROR(IF(AND(B614&lt;=Eingaben!$B$11,Szenarien!$H$22="OK"),((Eingaben!$B$32+Eingaben!$B$35)*(1+Eingaben!$B$41)^(B614-1)+SUM(Variantenbilanz!E4031:E4396)*Eingaben!$B$33*Eingaben!$B$34*(1+Eingaben!$B$42)^(B614-1))*Szenarien!$F$22,0),0)</f>
        <v>0</v>
      </c>
      <c r="E614" s="13" t="n">
        <f aca="false">IFERROR(IF(AND(AND(B614&lt;=Eingaben!$B$11,Szenarien!$H$22="OK"),B614=Eingaben!$B$43),Eingaben!$B$44*Szenarien!$B$22*(1+Eingaben!$B$41)^(B614-1),0),0)</f>
        <v>0</v>
      </c>
      <c r="F614" s="13" t="n">
        <f aca="false">IFERROR(IF(AND(AND(B614&lt;=Eingaben!$B$11,Szenarien!$H$22="OK"),B614=Eingaben!$B$11),Eingaben!$B$45*Szenarien!$B$22,0),0)</f>
        <v>0</v>
      </c>
      <c r="G614" s="13" t="n">
        <f aca="false">C614-D614-E614+F614</f>
        <v>0</v>
      </c>
      <c r="H614" s="13" t="n">
        <f aca="false">IFERROR(IF(AND(B614&lt;=Eingaben!$B$11,Szenarien!$H$22="OK"),1/(1+Eingaben!$B$39+Szenarien!$G$22)^B614,0),0)</f>
        <v>0</v>
      </c>
      <c r="I614" s="13" t="n">
        <f aca="false">G614*H614</f>
        <v>0</v>
      </c>
      <c r="J614" s="13" t="n">
        <f aca="false">(D614+E614-F614)*H614</f>
        <v>0</v>
      </c>
      <c r="K614" s="13" t="n">
        <f aca="false">IF(AND(B614&lt;=Eingaben!$B$11,Szenarien!$H$22="OK"),SUM(Variantenbilanz!K4031:K4396)*H614,0)</f>
        <v>0</v>
      </c>
    </row>
    <row r="615" customFormat="false" ht="16.4" hidden="false" customHeight="false" outlineLevel="0" collapsed="false">
      <c r="A615" s="12"/>
      <c r="B615" s="15" t="n">
        <v>49</v>
      </c>
      <c r="C615" s="13" t="n">
        <f aca="false">IFERROR(IF(AND(B615&lt;=Eingaben!$B$11,Szenarien!$H$22="OK"),SUM(Variantenbilanz!K4031:K4396)*(Eingaben!$B$36*Szenarien!$C$22*(1+Eingaben!$B$40)^(B615-1)+Eingaben!$B$37*Eingaben!$B$38*(1+Eingaben!$B$46)^(B615-1)),0),0)</f>
        <v>0</v>
      </c>
      <c r="D615" s="13" t="n">
        <f aca="false">IFERROR(IF(AND(B615&lt;=Eingaben!$B$11,Szenarien!$H$22="OK"),((Eingaben!$B$32+Eingaben!$B$35)*(1+Eingaben!$B$41)^(B615-1)+SUM(Variantenbilanz!E4031:E4396)*Eingaben!$B$33*Eingaben!$B$34*(1+Eingaben!$B$42)^(B615-1))*Szenarien!$F$22,0),0)</f>
        <v>0</v>
      </c>
      <c r="E615" s="13" t="n">
        <f aca="false">IFERROR(IF(AND(AND(B615&lt;=Eingaben!$B$11,Szenarien!$H$22="OK"),B615=Eingaben!$B$43),Eingaben!$B$44*Szenarien!$B$22*(1+Eingaben!$B$41)^(B615-1),0),0)</f>
        <v>0</v>
      </c>
      <c r="F615" s="13" t="n">
        <f aca="false">IFERROR(IF(AND(AND(B615&lt;=Eingaben!$B$11,Szenarien!$H$22="OK"),B615=Eingaben!$B$11),Eingaben!$B$45*Szenarien!$B$22,0),0)</f>
        <v>0</v>
      </c>
      <c r="G615" s="13" t="n">
        <f aca="false">C615-D615-E615+F615</f>
        <v>0</v>
      </c>
      <c r="H615" s="13" t="n">
        <f aca="false">IFERROR(IF(AND(B615&lt;=Eingaben!$B$11,Szenarien!$H$22="OK"),1/(1+Eingaben!$B$39+Szenarien!$G$22)^B615,0),0)</f>
        <v>0</v>
      </c>
      <c r="I615" s="13" t="n">
        <f aca="false">G615*H615</f>
        <v>0</v>
      </c>
      <c r="J615" s="13" t="n">
        <f aca="false">(D615+E615-F615)*H615</f>
        <v>0</v>
      </c>
      <c r="K615" s="13" t="n">
        <f aca="false">IF(AND(B615&lt;=Eingaben!$B$11,Szenarien!$H$22="OK"),SUM(Variantenbilanz!K4031:K4396)*H615,0)</f>
        <v>0</v>
      </c>
    </row>
    <row r="616" customFormat="false" ht="16.4" hidden="false" customHeight="false" outlineLevel="0" collapsed="false">
      <c r="A616" s="12"/>
      <c r="B616" s="15" t="n">
        <v>50</v>
      </c>
      <c r="C616" s="13" t="n">
        <f aca="false">IFERROR(IF(AND(B616&lt;=Eingaben!$B$11,Szenarien!$H$22="OK"),SUM(Variantenbilanz!K4031:K4396)*(Eingaben!$B$36*Szenarien!$C$22*(1+Eingaben!$B$40)^(B616-1)+Eingaben!$B$37*Eingaben!$B$38*(1+Eingaben!$B$46)^(B616-1)),0),0)</f>
        <v>0</v>
      </c>
      <c r="D616" s="13" t="n">
        <f aca="false">IFERROR(IF(AND(B616&lt;=Eingaben!$B$11,Szenarien!$H$22="OK"),((Eingaben!$B$32+Eingaben!$B$35)*(1+Eingaben!$B$41)^(B616-1)+SUM(Variantenbilanz!E4031:E4396)*Eingaben!$B$33*Eingaben!$B$34*(1+Eingaben!$B$42)^(B616-1))*Szenarien!$F$22,0),0)</f>
        <v>0</v>
      </c>
      <c r="E616" s="13" t="n">
        <f aca="false">IFERROR(IF(AND(AND(B616&lt;=Eingaben!$B$11,Szenarien!$H$22="OK"),B616=Eingaben!$B$43),Eingaben!$B$44*Szenarien!$B$22*(1+Eingaben!$B$41)^(B616-1),0),0)</f>
        <v>0</v>
      </c>
      <c r="F616" s="13" t="n">
        <f aca="false">IFERROR(IF(AND(AND(B616&lt;=Eingaben!$B$11,Szenarien!$H$22="OK"),B616=Eingaben!$B$11),Eingaben!$B$45*Szenarien!$B$22,0),0)</f>
        <v>0</v>
      </c>
      <c r="G616" s="13" t="n">
        <f aca="false">C616-D616-E616+F616</f>
        <v>0</v>
      </c>
      <c r="H616" s="13" t="n">
        <f aca="false">IFERROR(IF(AND(B616&lt;=Eingaben!$B$11,Szenarien!$H$22="OK"),1/(1+Eingaben!$B$39+Szenarien!$G$22)^B616,0),0)</f>
        <v>0</v>
      </c>
      <c r="I616" s="13" t="n">
        <f aca="false">G616*H616</f>
        <v>0</v>
      </c>
      <c r="J616" s="13" t="n">
        <f aca="false">(D616+E616-F616)*H616</f>
        <v>0</v>
      </c>
      <c r="K616" s="13" t="n">
        <f aca="false">IF(AND(B616&lt;=Eingaben!$B$11,Szenarien!$H$22="OK"),SUM(Variantenbilanz!K4031:K4396)*H616,0)</f>
        <v>0</v>
      </c>
    </row>
    <row r="617" customFormat="false" ht="31.3" hidden="false" customHeight="false" outlineLevel="0" collapsed="false">
      <c r="A617" s="12" t="s">
        <v>339</v>
      </c>
      <c r="B617" s="15" t="n">
        <v>0</v>
      </c>
      <c r="C617" s="13" t="n">
        <f aca="false">0</f>
        <v>0</v>
      </c>
      <c r="D617" s="13" t="n">
        <f aca="false">0</f>
        <v>0</v>
      </c>
      <c r="E617" s="13" t="n">
        <f aca="false">MAX(0,Berechnung!$B$13*Szenarien!$B$23-MIN(Eingaben!$B$31,Berechnung!$B$13*Szenarien!$B$23))</f>
        <v>25000</v>
      </c>
      <c r="F617" s="13" t="n">
        <f aca="false">0</f>
        <v>0</v>
      </c>
      <c r="G617" s="13" t="n">
        <f aca="false">-E617</f>
        <v>-25000</v>
      </c>
      <c r="H617" s="13" t="n">
        <f aca="false">1</f>
        <v>1</v>
      </c>
      <c r="I617" s="13" t="n">
        <f aca="false">G617</f>
        <v>-25000</v>
      </c>
      <c r="J617" s="13" t="n">
        <f aca="false">E617</f>
        <v>25000</v>
      </c>
      <c r="K617" s="13" t="n">
        <f aca="false">0</f>
        <v>0</v>
      </c>
    </row>
    <row r="618" customFormat="false" ht="16.4" hidden="false" customHeight="false" outlineLevel="0" collapsed="false">
      <c r="A618" s="12"/>
      <c r="B618" s="15" t="n">
        <v>1</v>
      </c>
      <c r="C618" s="13" t="n">
        <f aca="false">IFERROR(IF(AND(B618&lt;=Eingaben!$B$11,Szenarien!$H$23="OK"),SUM(Variantenbilanz!K4397:K4762)*(Eingaben!$B$36*Szenarien!$C$23*(1+Eingaben!$B$40)^(B618-1)+Eingaben!$B$37*Eingaben!$B$38*(1+Eingaben!$B$46)^(B618-1)),0),0)</f>
        <v>1388.474393</v>
      </c>
      <c r="D618" s="13" t="n">
        <f aca="false">IFERROR(IF(AND(B618&lt;=Eingaben!$B$11,Szenarien!$H$23="OK"),((Eingaben!$B$32+Eingaben!$B$35)*(1+Eingaben!$B$41)^(B618-1)+SUM(Variantenbilanz!E4397:E4762)*Eingaben!$B$33*Eingaben!$B$34*(1+Eingaben!$B$42)^(B618-1))*Szenarien!$F$23,0),0)</f>
        <v>937.8324</v>
      </c>
      <c r="E618" s="13" t="n">
        <f aca="false">IFERROR(IF(AND(AND(B618&lt;=Eingaben!$B$11,Szenarien!$H$23="OK"),B618=Eingaben!$B$43),Eingaben!$B$44*Szenarien!$B$23*(1+Eingaben!$B$41)^(B618-1),0),0)</f>
        <v>0</v>
      </c>
      <c r="F618" s="13" t="n">
        <f aca="false">IFERROR(IF(AND(AND(B618&lt;=Eingaben!$B$11,Szenarien!$H$23="OK"),B618=Eingaben!$B$11),Eingaben!$B$45*Szenarien!$B$23,0),0)</f>
        <v>0</v>
      </c>
      <c r="G618" s="13" t="n">
        <f aca="false">C618-D618-E618+F618</f>
        <v>450.641993</v>
      </c>
      <c r="H618" s="13" t="n">
        <f aca="false">IFERROR(IF(AND(B618&lt;=Eingaben!$B$11,Szenarien!$H$23="OK"),1/(1+Eingaben!$B$39+Szenarien!$G$23)^B618,0),0)</f>
        <v>0.970873786407767</v>
      </c>
      <c r="I618" s="13" t="n">
        <f aca="false">G618*H618</f>
        <v>437.516498058253</v>
      </c>
      <c r="J618" s="13" t="n">
        <f aca="false">(D618+E618-F618)*H618</f>
        <v>910.516893203884</v>
      </c>
      <c r="K618" s="13" t="n">
        <f aca="false">IF(AND(B618&lt;=Eingaben!$B$11,Szenarien!$H$23="OK"),SUM(Variantenbilanz!K4397:K4762)*H618,0)</f>
        <v>539.213356504854</v>
      </c>
    </row>
    <row r="619" customFormat="false" ht="16.4" hidden="false" customHeight="false" outlineLevel="0" collapsed="false">
      <c r="A619" s="12"/>
      <c r="B619" s="15" t="n">
        <v>2</v>
      </c>
      <c r="C619" s="13" t="n">
        <f aca="false">IFERROR(IF(AND(B619&lt;=Eingaben!$B$11,Szenarien!$H$23="OK"),SUM(Variantenbilanz!K4397:K4762)*(Eingaben!$B$36*Szenarien!$C$23*(1+Eingaben!$B$40)^(B619-1)+Eingaben!$B$37*Eingaben!$B$38*(1+Eingaben!$B$46)^(B619-1)),0),0)</f>
        <v>1416.24388086</v>
      </c>
      <c r="D619" s="13" t="n">
        <f aca="false">IFERROR(IF(AND(B619&lt;=Eingaben!$B$11,Szenarien!$H$23="OK"),((Eingaben!$B$32+Eingaben!$B$35)*(1+Eingaben!$B$41)^(B619-1)+SUM(Variantenbilanz!E4397:E4762)*Eingaben!$B$33*Eingaben!$B$34*(1+Eingaben!$B$42)^(B619-1))*Szenarien!$F$23,0),0)</f>
        <v>956.589048</v>
      </c>
      <c r="E619" s="13" t="n">
        <f aca="false">IFERROR(IF(AND(AND(B619&lt;=Eingaben!$B$11,Szenarien!$H$23="OK"),B619=Eingaben!$B$43),Eingaben!$B$44*Szenarien!$B$23*(1+Eingaben!$B$41)^(B619-1),0),0)</f>
        <v>0</v>
      </c>
      <c r="F619" s="13" t="n">
        <f aca="false">IFERROR(IF(AND(AND(B619&lt;=Eingaben!$B$11,Szenarien!$H$23="OK"),B619=Eingaben!$B$11),Eingaben!$B$45*Szenarien!$B$23,0),0)</f>
        <v>0</v>
      </c>
      <c r="G619" s="13" t="n">
        <f aca="false">C619-D619-E619+F619</f>
        <v>459.65483286</v>
      </c>
      <c r="H619" s="13" t="n">
        <f aca="false">IFERROR(IF(AND(B619&lt;=Eingaben!$B$11,Szenarien!$H$23="OK"),1/(1+Eingaben!$B$39+Szenarien!$G$23)^B619,0),0)</f>
        <v>0.942595909133754</v>
      </c>
      <c r="I619" s="13" t="n">
        <f aca="false">G619*H619</f>
        <v>433.268765067396</v>
      </c>
      <c r="J619" s="13" t="n">
        <f aca="false">(D619+E619-F619)*H619</f>
        <v>901.676923366953</v>
      </c>
      <c r="K619" s="13" t="n">
        <f aca="false">IF(AND(B619&lt;=Eingaben!$B$11,Szenarien!$H$23="OK"),SUM(Variantenbilanz!K4397:K4762)*H619,0)</f>
        <v>523.508113111509</v>
      </c>
    </row>
    <row r="620" customFormat="false" ht="16.4" hidden="false" customHeight="false" outlineLevel="0" collapsed="false">
      <c r="A620" s="12"/>
      <c r="B620" s="15" t="n">
        <v>3</v>
      </c>
      <c r="C620" s="13" t="n">
        <f aca="false">IFERROR(IF(AND(B620&lt;=Eingaben!$B$11,Szenarien!$H$23="OK"),SUM(Variantenbilanz!K4397:K4762)*(Eingaben!$B$36*Szenarien!$C$23*(1+Eingaben!$B$40)^(B620-1)+Eingaben!$B$37*Eingaben!$B$38*(1+Eingaben!$B$46)^(B620-1)),0),0)</f>
        <v>1444.5687584772</v>
      </c>
      <c r="D620" s="13" t="n">
        <f aca="false">IFERROR(IF(AND(B620&lt;=Eingaben!$B$11,Szenarien!$H$23="OK"),((Eingaben!$B$32+Eingaben!$B$35)*(1+Eingaben!$B$41)^(B620-1)+SUM(Variantenbilanz!E4397:E4762)*Eingaben!$B$33*Eingaben!$B$34*(1+Eingaben!$B$42)^(B620-1))*Szenarien!$F$23,0),0)</f>
        <v>975.72082896</v>
      </c>
      <c r="E620" s="13" t="n">
        <f aca="false">IFERROR(IF(AND(AND(B620&lt;=Eingaben!$B$11,Szenarien!$H$23="OK"),B620=Eingaben!$B$43),Eingaben!$B$44*Szenarien!$B$23*(1+Eingaben!$B$41)^(B620-1),0),0)</f>
        <v>0</v>
      </c>
      <c r="F620" s="13" t="n">
        <f aca="false">IFERROR(IF(AND(AND(B620&lt;=Eingaben!$B$11,Szenarien!$H$23="OK"),B620=Eingaben!$B$11),Eingaben!$B$45*Szenarien!$B$23,0),0)</f>
        <v>0</v>
      </c>
      <c r="G620" s="13" t="n">
        <f aca="false">C620-D620-E620+F620</f>
        <v>468.8479295172</v>
      </c>
      <c r="H620" s="13" t="n">
        <f aca="false">IFERROR(IF(AND(B620&lt;=Eingaben!$B$11,Szenarien!$H$23="OK"),1/(1+Eingaben!$B$39+Szenarien!$G$23)^B620,0),0)</f>
        <v>0.91514165935316</v>
      </c>
      <c r="I620" s="13" t="n">
        <f aca="false">G620*H620</f>
        <v>429.062272202664</v>
      </c>
      <c r="J620" s="13" t="n">
        <f aca="false">(D620+E620-F620)*H620</f>
        <v>892.922778479895</v>
      </c>
      <c r="K620" s="13" t="n">
        <f aca="false">IF(AND(B620&lt;=Eingaben!$B$11,Szenarien!$H$23="OK"),SUM(Variantenbilanz!K4397:K4762)*H620,0)</f>
        <v>508.260303991756</v>
      </c>
    </row>
    <row r="621" customFormat="false" ht="16.4" hidden="false" customHeight="false" outlineLevel="0" collapsed="false">
      <c r="A621" s="12"/>
      <c r="B621" s="15" t="n">
        <v>4</v>
      </c>
      <c r="C621" s="13" t="n">
        <f aca="false">IFERROR(IF(AND(B621&lt;=Eingaben!$B$11,Szenarien!$H$23="OK"),SUM(Variantenbilanz!K4397:K4762)*(Eingaben!$B$36*Szenarien!$C$23*(1+Eingaben!$B$40)^(B621-1)+Eingaben!$B$37*Eingaben!$B$38*(1+Eingaben!$B$46)^(B621-1)),0),0)</f>
        <v>1473.46013364674</v>
      </c>
      <c r="D621" s="13" t="n">
        <f aca="false">IFERROR(IF(AND(B621&lt;=Eingaben!$B$11,Szenarien!$H$23="OK"),((Eingaben!$B$32+Eingaben!$B$35)*(1+Eingaben!$B$41)^(B621-1)+SUM(Variantenbilanz!E4397:E4762)*Eingaben!$B$33*Eingaben!$B$34*(1+Eingaben!$B$42)^(B621-1))*Szenarien!$F$23,0),0)</f>
        <v>995.2352455392</v>
      </c>
      <c r="E621" s="13" t="n">
        <f aca="false">IFERROR(IF(AND(AND(B621&lt;=Eingaben!$B$11,Szenarien!$H$23="OK"),B621=Eingaben!$B$43),Eingaben!$B$44*Szenarien!$B$23*(1+Eingaben!$B$41)^(B621-1),0),0)</f>
        <v>0</v>
      </c>
      <c r="F621" s="13" t="n">
        <f aca="false">IFERROR(IF(AND(AND(B621&lt;=Eingaben!$B$11,Szenarien!$H$23="OK"),B621=Eingaben!$B$11),Eingaben!$B$45*Szenarien!$B$23,0),0)</f>
        <v>0</v>
      </c>
      <c r="G621" s="13" t="n">
        <f aca="false">C621-D621-E621+F621</f>
        <v>478.224888107544</v>
      </c>
      <c r="H621" s="13" t="n">
        <f aca="false">IFERROR(IF(AND(B621&lt;=Eingaben!$B$11,Szenarien!$H$23="OK"),1/(1+Eingaben!$B$39+Szenarien!$G$23)^B621,0),0)</f>
        <v>0.888487047915689</v>
      </c>
      <c r="I621" s="13" t="n">
        <f aca="false">G621*H621</f>
        <v>424.896619074483</v>
      </c>
      <c r="J621" s="13" t="n">
        <f aca="false">(D621+E621-F621)*H621</f>
        <v>884.25362529077</v>
      </c>
      <c r="K621" s="13" t="n">
        <f aca="false">IF(AND(B621&lt;=Eingaben!$B$11,Szenarien!$H$23="OK"),SUM(Variantenbilanz!K4397:K4762)*H621,0)</f>
        <v>493.456605817239</v>
      </c>
    </row>
    <row r="622" customFormat="false" ht="16.4" hidden="false" customHeight="false" outlineLevel="0" collapsed="false">
      <c r="A622" s="12"/>
      <c r="B622" s="15" t="n">
        <v>5</v>
      </c>
      <c r="C622" s="13" t="n">
        <f aca="false">IFERROR(IF(AND(B622&lt;=Eingaben!$B$11,Szenarien!$H$23="OK"),SUM(Variantenbilanz!K4397:K4762)*(Eingaben!$B$36*Szenarien!$C$23*(1+Eingaben!$B$40)^(B622-1)+Eingaben!$B$37*Eingaben!$B$38*(1+Eingaben!$B$46)^(B622-1)),0),0)</f>
        <v>1502.92933631968</v>
      </c>
      <c r="D622" s="13" t="n">
        <f aca="false">IFERROR(IF(AND(B622&lt;=Eingaben!$B$11,Szenarien!$H$23="OK"),((Eingaben!$B$32+Eingaben!$B$35)*(1+Eingaben!$B$41)^(B622-1)+SUM(Variantenbilanz!E4397:E4762)*Eingaben!$B$33*Eingaben!$B$34*(1+Eingaben!$B$42)^(B622-1))*Szenarien!$F$23,0),0)</f>
        <v>1015.13995044998</v>
      </c>
      <c r="E622" s="13" t="n">
        <f aca="false">IFERROR(IF(AND(AND(B622&lt;=Eingaben!$B$11,Szenarien!$H$23="OK"),B622=Eingaben!$B$43),Eingaben!$B$44*Szenarien!$B$23*(1+Eingaben!$B$41)^(B622-1),0),0)</f>
        <v>0</v>
      </c>
      <c r="F622" s="13" t="n">
        <f aca="false">IFERROR(IF(AND(AND(B622&lt;=Eingaben!$B$11,Szenarien!$H$23="OK"),B622=Eingaben!$B$11),Eingaben!$B$45*Szenarien!$B$23,0),0)</f>
        <v>0</v>
      </c>
      <c r="G622" s="13" t="n">
        <f aca="false">C622-D622-E622+F622</f>
        <v>487.789385869695</v>
      </c>
      <c r="H622" s="13" t="n">
        <f aca="false">IFERROR(IF(AND(B622&lt;=Eingaben!$B$11,Szenarien!$H$23="OK"),1/(1+Eingaben!$B$39+Szenarien!$G$23)^B622,0),0)</f>
        <v>0.862608784384164</v>
      </c>
      <c r="I622" s="13" t="n">
        <f aca="false">G622*H622</f>
        <v>420.771409180555</v>
      </c>
      <c r="J622" s="13" t="n">
        <f aca="false">(D622+E622-F622)*H622</f>
        <v>875.668638637461</v>
      </c>
      <c r="K622" s="13" t="n">
        <f aca="false">IF(AND(B622&lt;=Eingaben!$B$11,Szenarien!$H$23="OK"),SUM(Variantenbilanz!K4397:K4762)*H622,0)</f>
        <v>479.084083317708</v>
      </c>
    </row>
    <row r="623" customFormat="false" ht="16.4" hidden="false" customHeight="false" outlineLevel="0" collapsed="false">
      <c r="A623" s="12"/>
      <c r="B623" s="15" t="n">
        <v>6</v>
      </c>
      <c r="C623" s="13" t="n">
        <f aca="false">IFERROR(IF(AND(B623&lt;=Eingaben!$B$11,Szenarien!$H$23="OK"),SUM(Variantenbilanz!K4397:K4762)*(Eingaben!$B$36*Szenarien!$C$23*(1+Eingaben!$B$40)^(B623-1)+Eingaben!$B$37*Eingaben!$B$38*(1+Eingaben!$B$46)^(B623-1)),0),0)</f>
        <v>1532.98792304607</v>
      </c>
      <c r="D623" s="13" t="n">
        <f aca="false">IFERROR(IF(AND(B623&lt;=Eingaben!$B$11,Szenarien!$H$23="OK"),((Eingaben!$B$32+Eingaben!$B$35)*(1+Eingaben!$B$41)^(B623-1)+SUM(Variantenbilanz!E4397:E4762)*Eingaben!$B$33*Eingaben!$B$34*(1+Eingaben!$B$42)^(B623-1))*Szenarien!$F$23,0),0)</f>
        <v>1035.44274945898</v>
      </c>
      <c r="E623" s="13" t="n">
        <f aca="false">IFERROR(IF(AND(AND(B623&lt;=Eingaben!$B$11,Szenarien!$H$23="OK"),B623=Eingaben!$B$43),Eingaben!$B$44*Szenarien!$B$23*(1+Eingaben!$B$41)^(B623-1),0),0)</f>
        <v>0</v>
      </c>
      <c r="F623" s="13" t="n">
        <f aca="false">IFERROR(IF(AND(AND(B623&lt;=Eingaben!$B$11,Szenarien!$H$23="OK"),B623=Eingaben!$B$11),Eingaben!$B$45*Szenarien!$B$23,0),0)</f>
        <v>0</v>
      </c>
      <c r="G623" s="13" t="n">
        <f aca="false">C623-D623-E623+F623</f>
        <v>497.545173587089</v>
      </c>
      <c r="H623" s="13" t="n">
        <f aca="false">IFERROR(IF(AND(B623&lt;=Eingaben!$B$11,Szenarien!$H$23="OK"),1/(1+Eingaben!$B$39+Szenarien!$G$23)^B623,0),0)</f>
        <v>0.837484256683654</v>
      </c>
      <c r="I623" s="13" t="n">
        <f aca="false">G623*H623</f>
        <v>416.686249868123</v>
      </c>
      <c r="J623" s="13" t="n">
        <f aca="false">(D623+E623-F623)*H623</f>
        <v>867.167001369136</v>
      </c>
      <c r="K623" s="13" t="n">
        <f aca="false">IF(AND(B623&lt;=Eingaben!$B$11,Szenarien!$H$23="OK"),SUM(Variantenbilanz!K4397:K4762)*H623,0)</f>
        <v>465.130177978357</v>
      </c>
    </row>
    <row r="624" customFormat="false" ht="16.4" hidden="false" customHeight="false" outlineLevel="0" collapsed="false">
      <c r="A624" s="12"/>
      <c r="B624" s="15" t="n">
        <v>7</v>
      </c>
      <c r="C624" s="13" t="n">
        <f aca="false">IFERROR(IF(AND(B624&lt;=Eingaben!$B$11,Szenarien!$H$23="OK"),SUM(Variantenbilanz!K4397:K4762)*(Eingaben!$B$36*Szenarien!$C$23*(1+Eingaben!$B$40)^(B624-1)+Eingaben!$B$37*Eingaben!$B$38*(1+Eingaben!$B$46)^(B624-1)),0),0)</f>
        <v>1563.64768150699</v>
      </c>
      <c r="D624" s="13" t="n">
        <f aca="false">IFERROR(IF(AND(B624&lt;=Eingaben!$B$11,Szenarien!$H$23="OK"),((Eingaben!$B$32+Eingaben!$B$35)*(1+Eingaben!$B$41)^(B624-1)+SUM(Variantenbilanz!E4397:E4762)*Eingaben!$B$33*Eingaben!$B$34*(1+Eingaben!$B$42)^(B624-1))*Szenarien!$F$23,0),0)</f>
        <v>1056.15160444816</v>
      </c>
      <c r="E624" s="13" t="n">
        <f aca="false">IFERROR(IF(AND(AND(B624&lt;=Eingaben!$B$11,Szenarien!$H$23="OK"),B624=Eingaben!$B$43),Eingaben!$B$44*Szenarien!$B$23*(1+Eingaben!$B$41)^(B624-1),0),0)</f>
        <v>0</v>
      </c>
      <c r="F624" s="13" t="n">
        <f aca="false">IFERROR(IF(AND(AND(B624&lt;=Eingaben!$B$11,Szenarien!$H$23="OK"),B624=Eingaben!$B$11),Eingaben!$B$45*Szenarien!$B$23,0),0)</f>
        <v>0</v>
      </c>
      <c r="G624" s="13" t="n">
        <f aca="false">C624-D624-E624+F624</f>
        <v>507.49607705883</v>
      </c>
      <c r="H624" s="13" t="n">
        <f aca="false">IFERROR(IF(AND(B624&lt;=Eingaben!$B$11,Szenarien!$H$23="OK"),1/(1+Eingaben!$B$39+Szenarien!$G$23)^B624,0),0)</f>
        <v>0.813091511343354</v>
      </c>
      <c r="I624" s="13" t="n">
        <f aca="false">G624*H624</f>
        <v>412.640752296588</v>
      </c>
      <c r="J624" s="13" t="n">
        <f aca="false">(D624+E624-F624)*H624</f>
        <v>858.747904268465</v>
      </c>
      <c r="K624" s="13" t="n">
        <f aca="false">IF(AND(B624&lt;=Eingaben!$B$11,Szenarien!$H$23="OK"),SUM(Variantenbilanz!K4397:K4762)*H624,0)</f>
        <v>451.582697066366</v>
      </c>
    </row>
    <row r="625" customFormat="false" ht="16.4" hidden="false" customHeight="false" outlineLevel="0" collapsed="false">
      <c r="A625" s="12"/>
      <c r="B625" s="15" t="n">
        <v>8</v>
      </c>
      <c r="C625" s="13" t="n">
        <f aca="false">IFERROR(IF(AND(B625&lt;=Eingaben!$B$11,Szenarien!$H$23="OK"),SUM(Variantenbilanz!K4397:K4762)*(Eingaben!$B$36*Szenarien!$C$23*(1+Eingaben!$B$40)^(B625-1)+Eingaben!$B$37*Eingaben!$B$38*(1+Eingaben!$B$46)^(B625-1)),0),0)</f>
        <v>1594.92063513713</v>
      </c>
      <c r="D625" s="13" t="n">
        <f aca="false">IFERROR(IF(AND(B625&lt;=Eingaben!$B$11,Szenarien!$H$23="OK"),((Eingaben!$B$32+Eingaben!$B$35)*(1+Eingaben!$B$41)^(B625-1)+SUM(Variantenbilanz!E4397:E4762)*Eingaben!$B$33*Eingaben!$B$34*(1+Eingaben!$B$42)^(B625-1))*Szenarien!$F$23,0),0)</f>
        <v>1077.27463653713</v>
      </c>
      <c r="E625" s="13" t="n">
        <f aca="false">IFERROR(IF(AND(AND(B625&lt;=Eingaben!$B$11,Szenarien!$H$23="OK"),B625=Eingaben!$B$43),Eingaben!$B$44*Szenarien!$B$23*(1+Eingaben!$B$41)^(B625-1),0),0)</f>
        <v>0</v>
      </c>
      <c r="F625" s="13" t="n">
        <f aca="false">IFERROR(IF(AND(AND(B625&lt;=Eingaben!$B$11,Szenarien!$H$23="OK"),B625=Eingaben!$B$11),Eingaben!$B$45*Szenarien!$B$23,0),0)</f>
        <v>0</v>
      </c>
      <c r="G625" s="13" t="n">
        <f aca="false">C625-D625-E625+F625</f>
        <v>517.645998600007</v>
      </c>
      <c r="H625" s="13" t="n">
        <f aca="false">IFERROR(IF(AND(B625&lt;=Eingaben!$B$11,Szenarien!$H$23="OK"),1/(1+Eingaben!$B$39+Szenarien!$G$23)^B625,0),0)</f>
        <v>0.789409234313936</v>
      </c>
      <c r="I625" s="13" t="n">
        <f aca="false">G625*H625</f>
        <v>408.634531400504</v>
      </c>
      <c r="J625" s="13" t="n">
        <f aca="false">(D625+E625-F625)*H625</f>
        <v>850.410545974596</v>
      </c>
      <c r="K625" s="13" t="n">
        <f aca="false">IF(AND(B625&lt;=Eingaben!$B$11,Szenarien!$H$23="OK"),SUM(Variantenbilanz!K4397:K4762)*H625,0)</f>
        <v>438.429802977055</v>
      </c>
    </row>
    <row r="626" customFormat="false" ht="16.4" hidden="false" customHeight="false" outlineLevel="0" collapsed="false">
      <c r="A626" s="12"/>
      <c r="B626" s="15" t="n">
        <v>9</v>
      </c>
      <c r="C626" s="13" t="n">
        <f aca="false">IFERROR(IF(AND(B626&lt;=Eingaben!$B$11,Szenarien!$H$23="OK"),SUM(Variantenbilanz!K4397:K4762)*(Eingaben!$B$36*Szenarien!$C$23*(1+Eingaben!$B$40)^(B626-1)+Eingaben!$B$37*Eingaben!$B$38*(1+Eingaben!$B$46)^(B626-1)),0),0)</f>
        <v>1626.81904783988</v>
      </c>
      <c r="D626" s="13" t="n">
        <f aca="false">IFERROR(IF(AND(B626&lt;=Eingaben!$B$11,Szenarien!$H$23="OK"),((Eingaben!$B$32+Eingaben!$B$35)*(1+Eingaben!$B$41)^(B626-1)+SUM(Variantenbilanz!E4397:E4762)*Eingaben!$B$33*Eingaben!$B$34*(1+Eingaben!$B$42)^(B626-1))*Szenarien!$F$23,0),0)</f>
        <v>1098.82012926787</v>
      </c>
      <c r="E626" s="13" t="n">
        <f aca="false">IFERROR(IF(AND(AND(B626&lt;=Eingaben!$B$11,Szenarien!$H$23="OK"),B626=Eingaben!$B$43),Eingaben!$B$44*Szenarien!$B$23*(1+Eingaben!$B$41)^(B626-1),0),0)</f>
        <v>0</v>
      </c>
      <c r="F626" s="13" t="n">
        <f aca="false">IFERROR(IF(AND(AND(B626&lt;=Eingaben!$B$11,Szenarien!$H$23="OK"),B626=Eingaben!$B$11),Eingaben!$B$45*Szenarien!$B$23,0),0)</f>
        <v>0</v>
      </c>
      <c r="G626" s="13" t="n">
        <f aca="false">C626-D626-E626+F626</f>
        <v>527.998918572008</v>
      </c>
      <c r="H626" s="13" t="n">
        <f aca="false">IFERROR(IF(AND(B626&lt;=Eingaben!$B$11,Szenarien!$H$23="OK"),1/(1+Eingaben!$B$39+Szenarien!$G$23)^B626,0),0)</f>
        <v>0.766416732343627</v>
      </c>
      <c r="I626" s="13" t="n">
        <f aca="false">G626*H626</f>
        <v>404.667205852927</v>
      </c>
      <c r="J626" s="13" t="n">
        <f aca="false">(D626+E626-F626)*H626</f>
        <v>842.154132906882</v>
      </c>
      <c r="K626" s="13" t="n">
        <f aca="false">IF(AND(B626&lt;=Eingaben!$B$11,Szenarien!$H$23="OK"),SUM(Variantenbilanz!K4397:K4762)*H626,0)</f>
        <v>425.660002890344</v>
      </c>
    </row>
    <row r="627" customFormat="false" ht="16.4" hidden="false" customHeight="false" outlineLevel="0" collapsed="false">
      <c r="A627" s="12"/>
      <c r="B627" s="15" t="n">
        <v>10</v>
      </c>
      <c r="C627" s="13" t="n">
        <f aca="false">IFERROR(IF(AND(B627&lt;=Eingaben!$B$11,Szenarien!$H$23="OK"),SUM(Variantenbilanz!K4397:K4762)*(Eingaben!$B$36*Szenarien!$C$23*(1+Eingaben!$B$40)^(B627-1)+Eingaben!$B$37*Eingaben!$B$38*(1+Eingaben!$B$46)^(B627-1)),0),0)</f>
        <v>1659.35542879667</v>
      </c>
      <c r="D627" s="13" t="n">
        <f aca="false">IFERROR(IF(AND(B627&lt;=Eingaben!$B$11,Szenarien!$H$23="OK"),((Eingaben!$B$32+Eingaben!$B$35)*(1+Eingaben!$B$41)^(B627-1)+SUM(Variantenbilanz!E4397:E4762)*Eingaben!$B$33*Eingaben!$B$34*(1+Eingaben!$B$42)^(B627-1))*Szenarien!$F$23,0),0)</f>
        <v>1120.79653185323</v>
      </c>
      <c r="E627" s="13" t="n">
        <f aca="false">IFERROR(IF(AND(AND(B627&lt;=Eingaben!$B$11,Szenarien!$H$23="OK"),B627=Eingaben!$B$43),Eingaben!$B$44*Szenarien!$B$23*(1+Eingaben!$B$41)^(B627-1),0),0)</f>
        <v>4780.37027448924</v>
      </c>
      <c r="F627" s="13" t="n">
        <f aca="false">IFERROR(IF(AND(AND(B627&lt;=Eingaben!$B$11,Szenarien!$H$23="OK"),B627=Eingaben!$B$11),Eingaben!$B$45*Szenarien!$B$23,0),0)</f>
        <v>0</v>
      </c>
      <c r="G627" s="13" t="n">
        <f aca="false">C627-D627-E627+F627</f>
        <v>-4241.8113775458</v>
      </c>
      <c r="H627" s="13" t="n">
        <f aca="false">IFERROR(IF(AND(B627&lt;=Eingaben!$B$11,Szenarien!$H$23="OK"),1/(1+Eingaben!$B$39+Szenarien!$G$23)^B627,0),0)</f>
        <v>0.744093914896725</v>
      </c>
      <c r="I627" s="13" t="n">
        <f aca="false">G627*H627</f>
        <v>-3156.30603417152</v>
      </c>
      <c r="J627" s="13" t="n">
        <f aca="false">(D627+E627-F627)*H627</f>
        <v>4391.02231138997</v>
      </c>
      <c r="K627" s="13" t="n">
        <f aca="false">IF(AND(B627&lt;=Eingaben!$B$11,Szenarien!$H$23="OK"),SUM(Variantenbilanz!K4397:K4762)*H627,0)</f>
        <v>413.26213872849</v>
      </c>
    </row>
    <row r="628" customFormat="false" ht="16.4" hidden="false" customHeight="false" outlineLevel="0" collapsed="false">
      <c r="A628" s="12"/>
      <c r="B628" s="15" t="n">
        <v>11</v>
      </c>
      <c r="C628" s="13" t="n">
        <f aca="false">IFERROR(IF(AND(B628&lt;=Eingaben!$B$11,Szenarien!$H$23="OK"),SUM(Variantenbilanz!K4397:K4762)*(Eingaben!$B$36*Szenarien!$C$23*(1+Eingaben!$B$40)^(B628-1)+Eingaben!$B$37*Eingaben!$B$38*(1+Eingaben!$B$46)^(B628-1)),0),0)</f>
        <v>1692.54253737261</v>
      </c>
      <c r="D628" s="13" t="n">
        <f aca="false">IFERROR(IF(AND(B628&lt;=Eingaben!$B$11,Szenarien!$H$23="OK"),((Eingaben!$B$32+Eingaben!$B$35)*(1+Eingaben!$B$41)^(B628-1)+SUM(Variantenbilanz!E4397:E4762)*Eingaben!$B$33*Eingaben!$B$34*(1+Eingaben!$B$42)^(B628-1))*Szenarien!$F$23,0),0)</f>
        <v>1143.21246249029</v>
      </c>
      <c r="E628" s="13" t="n">
        <f aca="false">IFERROR(IF(AND(AND(B628&lt;=Eingaben!$B$11,Szenarien!$H$23="OK"),B628=Eingaben!$B$43),Eingaben!$B$44*Szenarien!$B$23*(1+Eingaben!$B$41)^(B628-1),0),0)</f>
        <v>0</v>
      </c>
      <c r="F628" s="13" t="n">
        <f aca="false">IFERROR(IF(AND(AND(B628&lt;=Eingaben!$B$11,Szenarien!$H$23="OK"),B628=Eingaben!$B$11),Eingaben!$B$45*Szenarien!$B$23,0),0)</f>
        <v>0</v>
      </c>
      <c r="G628" s="13" t="n">
        <f aca="false">C628-D628-E628+F628</f>
        <v>549.330074882317</v>
      </c>
      <c r="H628" s="13" t="n">
        <f aca="false">IFERROR(IF(AND(B628&lt;=Eingaben!$B$11,Szenarien!$H$23="OK"),1/(1+Eingaben!$B$39+Szenarien!$G$23)^B628,0),0)</f>
        <v>0.722421276598762</v>
      </c>
      <c r="I628" s="13" t="n">
        <f aca="false">G628*H628</f>
        <v>396.847733970577</v>
      </c>
      <c r="J628" s="13" t="n">
        <f aca="false">(D628+E628-F628)*H628</f>
        <v>825.881006575851</v>
      </c>
      <c r="K628" s="13" t="n">
        <f aca="false">IF(AND(B628&lt;=Eingaben!$B$11,Szenarien!$H$23="OK"),SUM(Variantenbilanz!K4397:K4762)*H628,0)</f>
        <v>401.225377406301</v>
      </c>
    </row>
    <row r="629" customFormat="false" ht="16.4" hidden="false" customHeight="false" outlineLevel="0" collapsed="false">
      <c r="A629" s="12"/>
      <c r="B629" s="15" t="n">
        <v>12</v>
      </c>
      <c r="C629" s="13" t="n">
        <f aca="false">IFERROR(IF(AND(B629&lt;=Eingaben!$B$11,Szenarien!$H$23="OK"),SUM(Variantenbilanz!K4397:K4762)*(Eingaben!$B$36*Szenarien!$C$23*(1+Eingaben!$B$40)^(B629-1)+Eingaben!$B$37*Eingaben!$B$38*(1+Eingaben!$B$46)^(B629-1)),0),0)</f>
        <v>1726.39338812006</v>
      </c>
      <c r="D629" s="13" t="n">
        <f aca="false">IFERROR(IF(AND(B629&lt;=Eingaben!$B$11,Szenarien!$H$23="OK"),((Eingaben!$B$32+Eingaben!$B$35)*(1+Eingaben!$B$41)^(B629-1)+SUM(Variantenbilanz!E4397:E4762)*Eingaben!$B$33*Eingaben!$B$34*(1+Eingaben!$B$42)^(B629-1))*Szenarien!$F$23,0),0)</f>
        <v>1166.0767117401</v>
      </c>
      <c r="E629" s="13" t="n">
        <f aca="false">IFERROR(IF(AND(AND(B629&lt;=Eingaben!$B$11,Szenarien!$H$23="OK"),B629=Eingaben!$B$43),Eingaben!$B$44*Szenarien!$B$23*(1+Eingaben!$B$41)^(B629-1),0),0)</f>
        <v>0</v>
      </c>
      <c r="F629" s="13" t="n">
        <f aca="false">IFERROR(IF(AND(AND(B629&lt;=Eingaben!$B$11,Szenarien!$H$23="OK"),B629=Eingaben!$B$11),Eingaben!$B$45*Szenarien!$B$23,0),0)</f>
        <v>0</v>
      </c>
      <c r="G629" s="13" t="n">
        <f aca="false">C629-D629-E629+F629</f>
        <v>560.316676379963</v>
      </c>
      <c r="H629" s="13" t="n">
        <f aca="false">IFERROR(IF(AND(B629&lt;=Eingaben!$B$11,Szenarien!$H$23="OK"),1/(1+Eingaben!$B$39+Szenarien!$G$23)^B629,0),0)</f>
        <v>0.701379880192973</v>
      </c>
      <c r="I629" s="13" t="n">
        <f aca="false">G629*H629</f>
        <v>392.994843349503</v>
      </c>
      <c r="J629" s="13" t="n">
        <f aca="false">(D629+E629-F629)*H629</f>
        <v>817.862744376085</v>
      </c>
      <c r="K629" s="13" t="n">
        <f aca="false">IF(AND(B629&lt;=Eingaben!$B$11,Szenarien!$H$23="OK"),SUM(Variantenbilanz!K4397:K4762)*H629,0)</f>
        <v>389.53920136534</v>
      </c>
    </row>
    <row r="630" customFormat="false" ht="16.4" hidden="false" customHeight="false" outlineLevel="0" collapsed="false">
      <c r="A630" s="12"/>
      <c r="B630" s="15" t="n">
        <v>13</v>
      </c>
      <c r="C630" s="13" t="n">
        <f aca="false">IFERROR(IF(AND(B630&lt;=Eingaben!$B$11,Szenarien!$H$23="OK"),SUM(Variantenbilanz!K4397:K4762)*(Eingaben!$B$36*Szenarien!$C$23*(1+Eingaben!$B$40)^(B630-1)+Eingaben!$B$37*Eingaben!$B$38*(1+Eingaben!$B$46)^(B630-1)),0),0)</f>
        <v>1760.92125588246</v>
      </c>
      <c r="D630" s="13" t="n">
        <f aca="false">IFERROR(IF(AND(B630&lt;=Eingaben!$B$11,Szenarien!$H$23="OK"),((Eingaben!$B$32+Eingaben!$B$35)*(1+Eingaben!$B$41)^(B630-1)+SUM(Variantenbilanz!E4397:E4762)*Eingaben!$B$33*Eingaben!$B$34*(1+Eingaben!$B$42)^(B630-1))*Szenarien!$F$23,0),0)</f>
        <v>1189.3982459749</v>
      </c>
      <c r="E630" s="13" t="n">
        <f aca="false">IFERROR(IF(AND(AND(B630&lt;=Eingaben!$B$11,Szenarien!$H$23="OK"),B630=Eingaben!$B$43),Eingaben!$B$44*Szenarien!$B$23*(1+Eingaben!$B$41)^(B630-1),0),0)</f>
        <v>0</v>
      </c>
      <c r="F630" s="13" t="n">
        <f aca="false">IFERROR(IF(AND(AND(B630&lt;=Eingaben!$B$11,Szenarien!$H$23="OK"),B630=Eingaben!$B$11),Eingaben!$B$45*Szenarien!$B$23,0),0)</f>
        <v>0</v>
      </c>
      <c r="G630" s="13" t="n">
        <f aca="false">C630-D630-E630+F630</f>
        <v>571.523009907562</v>
      </c>
      <c r="H630" s="13" t="n">
        <f aca="false">IFERROR(IF(AND(B630&lt;=Eingaben!$B$11,Szenarien!$H$23="OK"),1/(1+Eingaben!$B$39+Szenarien!$G$23)^B630,0),0)</f>
        <v>0.680951339993178</v>
      </c>
      <c r="I630" s="13" t="n">
        <f aca="false">G630*H630</f>
        <v>389.179359433488</v>
      </c>
      <c r="J630" s="13" t="n">
        <f aca="false">(D630+E630-F630)*H630</f>
        <v>809.922329382142</v>
      </c>
      <c r="K630" s="13" t="n">
        <f aca="false">IF(AND(B630&lt;=Eingaben!$B$11,Szenarien!$H$23="OK"),SUM(Variantenbilanz!K4397:K4762)*H630,0)</f>
        <v>378.193399383825</v>
      </c>
    </row>
    <row r="631" customFormat="false" ht="16.4" hidden="false" customHeight="false" outlineLevel="0" collapsed="false">
      <c r="A631" s="12"/>
      <c r="B631" s="15" t="n">
        <v>14</v>
      </c>
      <c r="C631" s="13" t="n">
        <f aca="false">IFERROR(IF(AND(B631&lt;=Eingaben!$B$11,Szenarien!$H$23="OK"),SUM(Variantenbilanz!K4397:K4762)*(Eingaben!$B$36*Szenarien!$C$23*(1+Eingaben!$B$40)^(B631-1)+Eingaben!$B$37*Eingaben!$B$38*(1+Eingaben!$B$46)^(B631-1)),0),0)</f>
        <v>1796.13968100011</v>
      </c>
      <c r="D631" s="13" t="n">
        <f aca="false">IFERROR(IF(AND(B631&lt;=Eingaben!$B$11,Szenarien!$H$23="OK"),((Eingaben!$B$32+Eingaben!$B$35)*(1+Eingaben!$B$41)^(B631-1)+SUM(Variantenbilanz!E4397:E4762)*Eingaben!$B$33*Eingaben!$B$34*(1+Eingaben!$B$42)^(B631-1))*Szenarien!$F$23,0),0)</f>
        <v>1213.1862108944</v>
      </c>
      <c r="E631" s="13" t="n">
        <f aca="false">IFERROR(IF(AND(AND(B631&lt;=Eingaben!$B$11,Szenarien!$H$23="OK"),B631=Eingaben!$B$43),Eingaben!$B$44*Szenarien!$B$23*(1+Eingaben!$B$41)^(B631-1),0),0)</f>
        <v>0</v>
      </c>
      <c r="F631" s="13" t="n">
        <f aca="false">IFERROR(IF(AND(AND(B631&lt;=Eingaben!$B$11,Szenarien!$H$23="OK"),B631=Eingaben!$B$11),Eingaben!$B$45*Szenarien!$B$23,0),0)</f>
        <v>0</v>
      </c>
      <c r="G631" s="13" t="n">
        <f aca="false">C631-D631-E631+F631</f>
        <v>582.953470105713</v>
      </c>
      <c r="H631" s="13" t="n">
        <f aca="false">IFERROR(IF(AND(B631&lt;=Eingaben!$B$11,Szenarien!$H$23="OK"),1/(1+Eingaben!$B$39+Szenarien!$G$23)^B631,0),0)</f>
        <v>0.661117805818619</v>
      </c>
      <c r="I631" s="13" t="n">
        <f aca="false">G631*H631</f>
        <v>385.400919050639</v>
      </c>
      <c r="J631" s="13" t="n">
        <f aca="false">(D631+E631-F631)*H631</f>
        <v>802.059005795908</v>
      </c>
      <c r="K631" s="13" t="n">
        <f aca="false">IF(AND(B631&lt;=Eingaben!$B$11,Szenarien!$H$23="OK"),SUM(Variantenbilanz!K4397:K4762)*H631,0)</f>
        <v>367.178057654199</v>
      </c>
    </row>
    <row r="632" customFormat="false" ht="16.4" hidden="false" customHeight="false" outlineLevel="0" collapsed="false">
      <c r="A632" s="12"/>
      <c r="B632" s="15" t="n">
        <v>15</v>
      </c>
      <c r="C632" s="13" t="n">
        <f aca="false">IFERROR(IF(AND(B632&lt;=Eingaben!$B$11,Szenarien!$H$23="OK"),SUM(Variantenbilanz!K4397:K4762)*(Eingaben!$B$36*Szenarien!$C$23*(1+Eingaben!$B$40)^(B632-1)+Eingaben!$B$37*Eingaben!$B$38*(1+Eingaben!$B$46)^(B632-1)),0),0)</f>
        <v>1832.06247462011</v>
      </c>
      <c r="D632" s="13" t="n">
        <f aca="false">IFERROR(IF(AND(B632&lt;=Eingaben!$B$11,Szenarien!$H$23="OK"),((Eingaben!$B$32+Eingaben!$B$35)*(1+Eingaben!$B$41)^(B632-1)+SUM(Variantenbilanz!E4397:E4762)*Eingaben!$B$33*Eingaben!$B$34*(1+Eingaben!$B$42)^(B632-1))*Szenarien!$F$23,0),0)</f>
        <v>1237.44993511229</v>
      </c>
      <c r="E632" s="13" t="n">
        <f aca="false">IFERROR(IF(AND(AND(B632&lt;=Eingaben!$B$11,Szenarien!$H$23="OK"),B632=Eingaben!$B$43),Eingaben!$B$44*Szenarien!$B$23*(1+Eingaben!$B$41)^(B632-1),0),0)</f>
        <v>0</v>
      </c>
      <c r="F632" s="13" t="n">
        <f aca="false">IFERROR(IF(AND(AND(B632&lt;=Eingaben!$B$11,Szenarien!$H$23="OK"),B632=Eingaben!$B$11),Eingaben!$B$45*Szenarien!$B$23,0),0)</f>
        <v>0</v>
      </c>
      <c r="G632" s="13" t="n">
        <f aca="false">C632-D632-E632+F632</f>
        <v>594.612539507828</v>
      </c>
      <c r="H632" s="13" t="n">
        <f aca="false">IFERROR(IF(AND(B632&lt;=Eingaben!$B$11,Szenarien!$H$23="OK"),1/(1+Eingaben!$B$39+Szenarien!$G$23)^B632,0),0)</f>
        <v>0.641861947396717</v>
      </c>
      <c r="I632" s="13" t="n">
        <f aca="false">G632*H632</f>
        <v>381.659162555002</v>
      </c>
      <c r="J632" s="13" t="n">
        <f aca="false">(D632+E632-F632)*H632</f>
        <v>794.272025157113</v>
      </c>
      <c r="K632" s="13" t="n">
        <f aca="false">IF(AND(B632&lt;=Eingaben!$B$11,Szenarien!$H$23="OK"),SUM(Variantenbilanz!K4397:K4762)*H632,0)</f>
        <v>356.483551120582</v>
      </c>
    </row>
    <row r="633" customFormat="false" ht="16.4" hidden="false" customHeight="false" outlineLevel="0" collapsed="false">
      <c r="A633" s="12"/>
      <c r="B633" s="15" t="n">
        <v>16</v>
      </c>
      <c r="C633" s="13" t="n">
        <f aca="false">IFERROR(IF(AND(B633&lt;=Eingaben!$B$11,Szenarien!$H$23="OK"),SUM(Variantenbilanz!K4397:K4762)*(Eingaben!$B$36*Szenarien!$C$23*(1+Eingaben!$B$40)^(B633-1)+Eingaben!$B$37*Eingaben!$B$38*(1+Eingaben!$B$46)^(B633-1)),0),0)</f>
        <v>1868.70372411251</v>
      </c>
      <c r="D633" s="13" t="n">
        <f aca="false">IFERROR(IF(AND(B633&lt;=Eingaben!$B$11,Szenarien!$H$23="OK"),((Eingaben!$B$32+Eingaben!$B$35)*(1+Eingaben!$B$41)^(B633-1)+SUM(Variantenbilanz!E4397:E4762)*Eingaben!$B$33*Eingaben!$B$34*(1+Eingaben!$B$42)^(B633-1))*Szenarien!$F$23,0),0)</f>
        <v>1262.19893381453</v>
      </c>
      <c r="E633" s="13" t="n">
        <f aca="false">IFERROR(IF(AND(AND(B633&lt;=Eingaben!$B$11,Szenarien!$H$23="OK"),B633=Eingaben!$B$43),Eingaben!$B$44*Szenarien!$B$23*(1+Eingaben!$B$41)^(B633-1),0),0)</f>
        <v>0</v>
      </c>
      <c r="F633" s="13" t="n">
        <f aca="false">IFERROR(IF(AND(AND(B633&lt;=Eingaben!$B$11,Szenarien!$H$23="OK"),B633=Eingaben!$B$11),Eingaben!$B$45*Szenarien!$B$23,0),0)</f>
        <v>0</v>
      </c>
      <c r="G633" s="13" t="n">
        <f aca="false">C633-D633-E633+F633</f>
        <v>606.504790297984</v>
      </c>
      <c r="H633" s="13" t="n">
        <f aca="false">IFERROR(IF(AND(B633&lt;=Eingaben!$B$11,Szenarien!$H$23="OK"),1/(1+Eingaben!$B$39+Szenarien!$G$23)^B633,0),0)</f>
        <v>0.623166939220114</v>
      </c>
      <c r="I633" s="13" t="n">
        <f aca="false">G633*H633</f>
        <v>377.953733792332</v>
      </c>
      <c r="J633" s="13" t="n">
        <f aca="false">(D633+E633-F633)*H633</f>
        <v>786.560646272092</v>
      </c>
      <c r="K633" s="13" t="n">
        <f aca="false">IF(AND(B633&lt;=Eingaben!$B$11,Szenarien!$H$23="OK"),SUM(Variantenbilanz!K4397:K4762)*H633,0)</f>
        <v>346.100535068526</v>
      </c>
    </row>
    <row r="634" customFormat="false" ht="16.4" hidden="false" customHeight="false" outlineLevel="0" collapsed="false">
      <c r="A634" s="12"/>
      <c r="B634" s="15" t="n">
        <v>17</v>
      </c>
      <c r="C634" s="13" t="n">
        <f aca="false">IFERROR(IF(AND(B634&lt;=Eingaben!$B$11,Szenarien!$H$23="OK"),SUM(Variantenbilanz!K4397:K4762)*(Eingaben!$B$36*Szenarien!$C$23*(1+Eingaben!$B$40)^(B634-1)+Eingaben!$B$37*Eingaben!$B$38*(1+Eingaben!$B$46)^(B634-1)),0),0)</f>
        <v>1906.07779859477</v>
      </c>
      <c r="D634" s="13" t="n">
        <f aca="false">IFERROR(IF(AND(B634&lt;=Eingaben!$B$11,Szenarien!$H$23="OK"),((Eingaben!$B$32+Eingaben!$B$35)*(1+Eingaben!$B$41)^(B634-1)+SUM(Variantenbilanz!E4397:E4762)*Eingaben!$B$33*Eingaben!$B$34*(1+Eingaben!$B$42)^(B634-1))*Szenarien!$F$23,0),0)</f>
        <v>1287.44291249082</v>
      </c>
      <c r="E634" s="13" t="n">
        <f aca="false">IFERROR(IF(AND(AND(B634&lt;=Eingaben!$B$11,Szenarien!$H$23="OK"),B634=Eingaben!$B$43),Eingaben!$B$44*Szenarien!$B$23*(1+Eingaben!$B$41)^(B634-1),0),0)</f>
        <v>0</v>
      </c>
      <c r="F634" s="13" t="n">
        <f aca="false">IFERROR(IF(AND(AND(B634&lt;=Eingaben!$B$11,Szenarien!$H$23="OK"),B634=Eingaben!$B$11),Eingaben!$B$45*Szenarien!$B$23,0),0)</f>
        <v>0</v>
      </c>
      <c r="G634" s="13" t="n">
        <f aca="false">C634-D634-E634+F634</f>
        <v>618.634886103944</v>
      </c>
      <c r="H634" s="13" t="n">
        <f aca="false">IFERROR(IF(AND(B634&lt;=Eingaben!$B$11,Szenarien!$H$23="OK"),1/(1+Eingaben!$B$39+Szenarien!$G$23)^B634,0),0)</f>
        <v>0.605016445844771</v>
      </c>
      <c r="I634" s="13" t="n">
        <f aca="false">G634*H634</f>
        <v>374.284280066193</v>
      </c>
      <c r="J634" s="13" t="n">
        <f aca="false">(D634+E634-F634)*H634</f>
        <v>778.924135143237</v>
      </c>
      <c r="K634" s="13" t="n">
        <f aca="false">IF(AND(B634&lt;=Eingaben!$B$11,Szenarien!$H$23="OK"),SUM(Variantenbilanz!K4397:K4762)*H634,0)</f>
        <v>336.019936959734</v>
      </c>
    </row>
    <row r="635" customFormat="false" ht="16.4" hidden="false" customHeight="false" outlineLevel="0" collapsed="false">
      <c r="A635" s="12"/>
      <c r="B635" s="15" t="n">
        <v>18</v>
      </c>
      <c r="C635" s="13" t="n">
        <f aca="false">IFERROR(IF(AND(B635&lt;=Eingaben!$B$11,Szenarien!$H$23="OK"),SUM(Variantenbilanz!K4397:K4762)*(Eingaben!$B$36*Szenarien!$C$23*(1+Eingaben!$B$40)^(B635-1)+Eingaben!$B$37*Eingaben!$B$38*(1+Eingaben!$B$46)^(B635-1)),0),0)</f>
        <v>1944.19935456666</v>
      </c>
      <c r="D635" s="13" t="n">
        <f aca="false">IFERROR(IF(AND(B635&lt;=Eingaben!$B$11,Szenarien!$H$23="OK"),((Eingaben!$B$32+Eingaben!$B$35)*(1+Eingaben!$B$41)^(B635-1)+SUM(Variantenbilanz!E4397:E4762)*Eingaben!$B$33*Eingaben!$B$34*(1+Eingaben!$B$42)^(B635-1))*Szenarien!$F$23,0),0)</f>
        <v>1313.19177074064</v>
      </c>
      <c r="E635" s="13" t="n">
        <f aca="false">IFERROR(IF(AND(AND(B635&lt;=Eingaben!$B$11,Szenarien!$H$23="OK"),B635=Eingaben!$B$43),Eingaben!$B$44*Szenarien!$B$23*(1+Eingaben!$B$41)^(B635-1),0),0)</f>
        <v>0</v>
      </c>
      <c r="F635" s="13" t="n">
        <f aca="false">IFERROR(IF(AND(AND(B635&lt;=Eingaben!$B$11,Szenarien!$H$23="OK"),B635=Eingaben!$B$11),Eingaben!$B$45*Szenarien!$B$23,0),0)</f>
        <v>0</v>
      </c>
      <c r="G635" s="13" t="n">
        <f aca="false">C635-D635-E635+F635</f>
        <v>631.007583826023</v>
      </c>
      <c r="H635" s="13" t="n">
        <f aca="false">IFERROR(IF(AND(B635&lt;=Eingaben!$B$11,Szenarien!$H$23="OK"),1/(1+Eingaben!$B$39+Szenarien!$G$23)^B635,0),0)</f>
        <v>0.587394607616282</v>
      </c>
      <c r="I635" s="13" t="n">
        <f aca="false">G635*H635</f>
        <v>370.650452104385</v>
      </c>
      <c r="J635" s="13" t="n">
        <f aca="false">(D635+E635-F635)*H635</f>
        <v>771.361764899128</v>
      </c>
      <c r="K635" s="13" t="n">
        <f aca="false">IF(AND(B635&lt;=Eingaben!$B$11,Szenarien!$H$23="OK"),SUM(Variantenbilanz!K4397:K4762)*H635,0)</f>
        <v>326.232948504596</v>
      </c>
    </row>
    <row r="636" customFormat="false" ht="16.4" hidden="false" customHeight="false" outlineLevel="0" collapsed="false">
      <c r="A636" s="12"/>
      <c r="B636" s="15" t="n">
        <v>19</v>
      </c>
      <c r="C636" s="13" t="n">
        <f aca="false">IFERROR(IF(AND(B636&lt;=Eingaben!$B$11,Szenarien!$H$23="OK"),SUM(Variantenbilanz!K4397:K4762)*(Eingaben!$B$36*Szenarien!$C$23*(1+Eingaben!$B$40)^(B636-1)+Eingaben!$B$37*Eingaben!$B$38*(1+Eingaben!$B$46)^(B636-1)),0),0)</f>
        <v>1983.08334165799</v>
      </c>
      <c r="D636" s="13" t="n">
        <f aca="false">IFERROR(IF(AND(B636&lt;=Eingaben!$B$11,Szenarien!$H$23="OK"),((Eingaben!$B$32+Eingaben!$B$35)*(1+Eingaben!$B$41)^(B636-1)+SUM(Variantenbilanz!E4397:E4762)*Eingaben!$B$33*Eingaben!$B$34*(1+Eingaben!$B$42)^(B636-1))*Szenarien!$F$23,0),0)</f>
        <v>1339.45560615545</v>
      </c>
      <c r="E636" s="13" t="n">
        <f aca="false">IFERROR(IF(AND(AND(B636&lt;=Eingaben!$B$11,Szenarien!$H$23="OK"),B636=Eingaben!$B$43),Eingaben!$B$44*Szenarien!$B$23*(1+Eingaben!$B$41)^(B636-1),0),0)</f>
        <v>0</v>
      </c>
      <c r="F636" s="13" t="n">
        <f aca="false">IFERROR(IF(AND(AND(B636&lt;=Eingaben!$B$11,Szenarien!$H$23="OK"),B636=Eingaben!$B$11),Eingaben!$B$45*Szenarien!$B$23,0),0)</f>
        <v>0</v>
      </c>
      <c r="G636" s="13" t="n">
        <f aca="false">C636-D636-E636+F636</f>
        <v>643.627735502543</v>
      </c>
      <c r="H636" s="13" t="n">
        <f aca="false">IFERROR(IF(AND(B636&lt;=Eingaben!$B$11,Szenarien!$H$23="OK"),1/(1+Eingaben!$B$39+Szenarien!$G$23)^B636,0),0)</f>
        <v>0.570286026811925</v>
      </c>
      <c r="I636" s="13" t="n">
        <f aca="false">G636*H636</f>
        <v>367.051904025702</v>
      </c>
      <c r="J636" s="13" t="n">
        <f aca="false">(D636+E636-F636)*H636</f>
        <v>763.87281572535</v>
      </c>
      <c r="K636" s="13" t="n">
        <f aca="false">IF(AND(B636&lt;=Eingaben!$B$11,Szenarien!$H$23="OK"),SUM(Variantenbilanz!K4397:K4762)*H636,0)</f>
        <v>316.731017965627</v>
      </c>
    </row>
    <row r="637" customFormat="false" ht="16.4" hidden="false" customHeight="false" outlineLevel="0" collapsed="false">
      <c r="A637" s="12"/>
      <c r="B637" s="15" t="n">
        <v>20</v>
      </c>
      <c r="C637" s="13" t="n">
        <f aca="false">IFERROR(IF(AND(B637&lt;=Eingaben!$B$11,Szenarien!$H$23="OK"),SUM(Variantenbilanz!K4397:K4762)*(Eingaben!$B$36*Szenarien!$C$23*(1+Eingaben!$B$40)^(B637-1)+Eingaben!$B$37*Eingaben!$B$38*(1+Eingaben!$B$46)^(B637-1)),0),0)</f>
        <v>2022.74500849115</v>
      </c>
      <c r="D637" s="13" t="n">
        <f aca="false">IFERROR(IF(AND(B637&lt;=Eingaben!$B$11,Szenarien!$H$23="OK"),((Eingaben!$B$32+Eingaben!$B$35)*(1+Eingaben!$B$41)^(B637-1)+SUM(Variantenbilanz!E4397:E4762)*Eingaben!$B$33*Eingaben!$B$34*(1+Eingaben!$B$42)^(B637-1))*Szenarien!$F$23,0),0)</f>
        <v>1366.24471827856</v>
      </c>
      <c r="E637" s="13" t="n">
        <f aca="false">IFERROR(IF(AND(AND(B637&lt;=Eingaben!$B$11,Szenarien!$H$23="OK"),B637=Eingaben!$B$43),Eingaben!$B$44*Szenarien!$B$23*(1+Eingaben!$B$41)^(B637-1),0),0)</f>
        <v>0</v>
      </c>
      <c r="F637" s="13" t="n">
        <f aca="false">IFERROR(IF(AND(AND(B637&lt;=Eingaben!$B$11,Szenarien!$H$23="OK"),B637=Eingaben!$B$11),Eingaben!$B$45*Szenarien!$B$23,0),0)</f>
        <v>0</v>
      </c>
      <c r="G637" s="13" t="n">
        <f aca="false">C637-D637-E637+F637</f>
        <v>656.500290212594</v>
      </c>
      <c r="H637" s="13" t="n">
        <f aca="false">IFERROR(IF(AND(B637&lt;=Eingaben!$B$11,Szenarien!$H$23="OK"),1/(1+Eingaben!$B$39+Szenarien!$G$23)^B637,0),0)</f>
        <v>0.553675754186335</v>
      </c>
      <c r="I637" s="13" t="n">
        <f aca="false">G637*H637</f>
        <v>363.488293307005</v>
      </c>
      <c r="J637" s="13" t="n">
        <f aca="false">(D637+E637-F637)*H637</f>
        <v>756.456574795978</v>
      </c>
      <c r="K637" s="13" t="n">
        <f aca="false">IF(AND(B637&lt;=Eingaben!$B$11,Szenarien!$H$23="OK"),SUM(Variantenbilanz!K4397:K4762)*H637,0)</f>
        <v>307.505842685075</v>
      </c>
    </row>
    <row r="638" customFormat="false" ht="16.4" hidden="false" customHeight="false" outlineLevel="0" collapsed="false">
      <c r="A638" s="12"/>
      <c r="B638" s="15" t="n">
        <v>21</v>
      </c>
      <c r="C638" s="13" t="n">
        <f aca="false">IFERROR(IF(AND(B638&lt;=Eingaben!$B$11,Szenarien!$H$23="OK"),SUM(Variantenbilanz!K4397:K4762)*(Eingaben!$B$36*Szenarien!$C$23*(1+Eingaben!$B$40)^(B638-1)+Eingaben!$B$37*Eingaben!$B$38*(1+Eingaben!$B$46)^(B638-1)),0),0)</f>
        <v>0</v>
      </c>
      <c r="D638" s="13" t="n">
        <f aca="false">IFERROR(IF(AND(B638&lt;=Eingaben!$B$11,Szenarien!$H$23="OK"),((Eingaben!$B$32+Eingaben!$B$35)*(1+Eingaben!$B$41)^(B638-1)+SUM(Variantenbilanz!E4397:E4762)*Eingaben!$B$33*Eingaben!$B$34*(1+Eingaben!$B$42)^(B638-1))*Szenarien!$F$23,0),0)</f>
        <v>0</v>
      </c>
      <c r="E638" s="13" t="n">
        <f aca="false">IFERROR(IF(AND(AND(B638&lt;=Eingaben!$B$11,Szenarien!$H$23="OK"),B638=Eingaben!$B$43),Eingaben!$B$44*Szenarien!$B$23*(1+Eingaben!$B$41)^(B638-1),0),0)</f>
        <v>0</v>
      </c>
      <c r="F638" s="13" t="n">
        <f aca="false">IFERROR(IF(AND(AND(B638&lt;=Eingaben!$B$11,Szenarien!$H$23="OK"),B638=Eingaben!$B$11),Eingaben!$B$45*Szenarien!$B$23,0),0)</f>
        <v>0</v>
      </c>
      <c r="G638" s="13" t="n">
        <f aca="false">C638-D638-E638+F638</f>
        <v>0</v>
      </c>
      <c r="H638" s="13" t="n">
        <f aca="false">IFERROR(IF(AND(B638&lt;=Eingaben!$B$11,Szenarien!$H$23="OK"),1/(1+Eingaben!$B$39+Szenarien!$G$23)^B638,0),0)</f>
        <v>0</v>
      </c>
      <c r="I638" s="13" t="n">
        <f aca="false">G638*H638</f>
        <v>0</v>
      </c>
      <c r="J638" s="13" t="n">
        <f aca="false">(D638+E638-F638)*H638</f>
        <v>0</v>
      </c>
      <c r="K638" s="13" t="n">
        <f aca="false">IF(AND(B638&lt;=Eingaben!$B$11,Szenarien!$H$23="OK"),SUM(Variantenbilanz!K4397:K4762)*H638,0)</f>
        <v>0</v>
      </c>
    </row>
    <row r="639" customFormat="false" ht="16.4" hidden="false" customHeight="false" outlineLevel="0" collapsed="false">
      <c r="A639" s="12"/>
      <c r="B639" s="15" t="n">
        <v>22</v>
      </c>
      <c r="C639" s="13" t="n">
        <f aca="false">IFERROR(IF(AND(B639&lt;=Eingaben!$B$11,Szenarien!$H$23="OK"),SUM(Variantenbilanz!K4397:K4762)*(Eingaben!$B$36*Szenarien!$C$23*(1+Eingaben!$B$40)^(B639-1)+Eingaben!$B$37*Eingaben!$B$38*(1+Eingaben!$B$46)^(B639-1)),0),0)</f>
        <v>0</v>
      </c>
      <c r="D639" s="13" t="n">
        <f aca="false">IFERROR(IF(AND(B639&lt;=Eingaben!$B$11,Szenarien!$H$23="OK"),((Eingaben!$B$32+Eingaben!$B$35)*(1+Eingaben!$B$41)^(B639-1)+SUM(Variantenbilanz!E4397:E4762)*Eingaben!$B$33*Eingaben!$B$34*(1+Eingaben!$B$42)^(B639-1))*Szenarien!$F$23,0),0)</f>
        <v>0</v>
      </c>
      <c r="E639" s="13" t="n">
        <f aca="false">IFERROR(IF(AND(AND(B639&lt;=Eingaben!$B$11,Szenarien!$H$23="OK"),B639=Eingaben!$B$43),Eingaben!$B$44*Szenarien!$B$23*(1+Eingaben!$B$41)^(B639-1),0),0)</f>
        <v>0</v>
      </c>
      <c r="F639" s="13" t="n">
        <f aca="false">IFERROR(IF(AND(AND(B639&lt;=Eingaben!$B$11,Szenarien!$H$23="OK"),B639=Eingaben!$B$11),Eingaben!$B$45*Szenarien!$B$23,0),0)</f>
        <v>0</v>
      </c>
      <c r="G639" s="13" t="n">
        <f aca="false">C639-D639-E639+F639</f>
        <v>0</v>
      </c>
      <c r="H639" s="13" t="n">
        <f aca="false">IFERROR(IF(AND(B639&lt;=Eingaben!$B$11,Szenarien!$H$23="OK"),1/(1+Eingaben!$B$39+Szenarien!$G$23)^B639,0),0)</f>
        <v>0</v>
      </c>
      <c r="I639" s="13" t="n">
        <f aca="false">G639*H639</f>
        <v>0</v>
      </c>
      <c r="J639" s="13" t="n">
        <f aca="false">(D639+E639-F639)*H639</f>
        <v>0</v>
      </c>
      <c r="K639" s="13" t="n">
        <f aca="false">IF(AND(B639&lt;=Eingaben!$B$11,Szenarien!$H$23="OK"),SUM(Variantenbilanz!K4397:K4762)*H639,0)</f>
        <v>0</v>
      </c>
    </row>
    <row r="640" customFormat="false" ht="16.4" hidden="false" customHeight="false" outlineLevel="0" collapsed="false">
      <c r="A640" s="12"/>
      <c r="B640" s="15" t="n">
        <v>23</v>
      </c>
      <c r="C640" s="13" t="n">
        <f aca="false">IFERROR(IF(AND(B640&lt;=Eingaben!$B$11,Szenarien!$H$23="OK"),SUM(Variantenbilanz!K4397:K4762)*(Eingaben!$B$36*Szenarien!$C$23*(1+Eingaben!$B$40)^(B640-1)+Eingaben!$B$37*Eingaben!$B$38*(1+Eingaben!$B$46)^(B640-1)),0),0)</f>
        <v>0</v>
      </c>
      <c r="D640" s="13" t="n">
        <f aca="false">IFERROR(IF(AND(B640&lt;=Eingaben!$B$11,Szenarien!$H$23="OK"),((Eingaben!$B$32+Eingaben!$B$35)*(1+Eingaben!$B$41)^(B640-1)+SUM(Variantenbilanz!E4397:E4762)*Eingaben!$B$33*Eingaben!$B$34*(1+Eingaben!$B$42)^(B640-1))*Szenarien!$F$23,0),0)</f>
        <v>0</v>
      </c>
      <c r="E640" s="13" t="n">
        <f aca="false">IFERROR(IF(AND(AND(B640&lt;=Eingaben!$B$11,Szenarien!$H$23="OK"),B640=Eingaben!$B$43),Eingaben!$B$44*Szenarien!$B$23*(1+Eingaben!$B$41)^(B640-1),0),0)</f>
        <v>0</v>
      </c>
      <c r="F640" s="13" t="n">
        <f aca="false">IFERROR(IF(AND(AND(B640&lt;=Eingaben!$B$11,Szenarien!$H$23="OK"),B640=Eingaben!$B$11),Eingaben!$B$45*Szenarien!$B$23,0),0)</f>
        <v>0</v>
      </c>
      <c r="G640" s="13" t="n">
        <f aca="false">C640-D640-E640+F640</f>
        <v>0</v>
      </c>
      <c r="H640" s="13" t="n">
        <f aca="false">IFERROR(IF(AND(B640&lt;=Eingaben!$B$11,Szenarien!$H$23="OK"),1/(1+Eingaben!$B$39+Szenarien!$G$23)^B640,0),0)</f>
        <v>0</v>
      </c>
      <c r="I640" s="13" t="n">
        <f aca="false">G640*H640</f>
        <v>0</v>
      </c>
      <c r="J640" s="13" t="n">
        <f aca="false">(D640+E640-F640)*H640</f>
        <v>0</v>
      </c>
      <c r="K640" s="13" t="n">
        <f aca="false">IF(AND(B640&lt;=Eingaben!$B$11,Szenarien!$H$23="OK"),SUM(Variantenbilanz!K4397:K4762)*H640,0)</f>
        <v>0</v>
      </c>
    </row>
    <row r="641" customFormat="false" ht="16.4" hidden="false" customHeight="false" outlineLevel="0" collapsed="false">
      <c r="A641" s="12"/>
      <c r="B641" s="15" t="n">
        <v>24</v>
      </c>
      <c r="C641" s="13" t="n">
        <f aca="false">IFERROR(IF(AND(B641&lt;=Eingaben!$B$11,Szenarien!$H$23="OK"),SUM(Variantenbilanz!K4397:K4762)*(Eingaben!$B$36*Szenarien!$C$23*(1+Eingaben!$B$40)^(B641-1)+Eingaben!$B$37*Eingaben!$B$38*(1+Eingaben!$B$46)^(B641-1)),0),0)</f>
        <v>0</v>
      </c>
      <c r="D641" s="13" t="n">
        <f aca="false">IFERROR(IF(AND(B641&lt;=Eingaben!$B$11,Szenarien!$H$23="OK"),((Eingaben!$B$32+Eingaben!$B$35)*(1+Eingaben!$B$41)^(B641-1)+SUM(Variantenbilanz!E4397:E4762)*Eingaben!$B$33*Eingaben!$B$34*(1+Eingaben!$B$42)^(B641-1))*Szenarien!$F$23,0),0)</f>
        <v>0</v>
      </c>
      <c r="E641" s="13" t="n">
        <f aca="false">IFERROR(IF(AND(AND(B641&lt;=Eingaben!$B$11,Szenarien!$H$23="OK"),B641=Eingaben!$B$43),Eingaben!$B$44*Szenarien!$B$23*(1+Eingaben!$B$41)^(B641-1),0),0)</f>
        <v>0</v>
      </c>
      <c r="F641" s="13" t="n">
        <f aca="false">IFERROR(IF(AND(AND(B641&lt;=Eingaben!$B$11,Szenarien!$H$23="OK"),B641=Eingaben!$B$11),Eingaben!$B$45*Szenarien!$B$23,0),0)</f>
        <v>0</v>
      </c>
      <c r="G641" s="13" t="n">
        <f aca="false">C641-D641-E641+F641</f>
        <v>0</v>
      </c>
      <c r="H641" s="13" t="n">
        <f aca="false">IFERROR(IF(AND(B641&lt;=Eingaben!$B$11,Szenarien!$H$23="OK"),1/(1+Eingaben!$B$39+Szenarien!$G$23)^B641,0),0)</f>
        <v>0</v>
      </c>
      <c r="I641" s="13" t="n">
        <f aca="false">G641*H641</f>
        <v>0</v>
      </c>
      <c r="J641" s="13" t="n">
        <f aca="false">(D641+E641-F641)*H641</f>
        <v>0</v>
      </c>
      <c r="K641" s="13" t="n">
        <f aca="false">IF(AND(B641&lt;=Eingaben!$B$11,Szenarien!$H$23="OK"),SUM(Variantenbilanz!K4397:K4762)*H641,0)</f>
        <v>0</v>
      </c>
    </row>
    <row r="642" customFormat="false" ht="16.4" hidden="false" customHeight="false" outlineLevel="0" collapsed="false">
      <c r="A642" s="12"/>
      <c r="B642" s="15" t="n">
        <v>25</v>
      </c>
      <c r="C642" s="13" t="n">
        <f aca="false">IFERROR(IF(AND(B642&lt;=Eingaben!$B$11,Szenarien!$H$23="OK"),SUM(Variantenbilanz!K4397:K4762)*(Eingaben!$B$36*Szenarien!$C$23*(1+Eingaben!$B$40)^(B642-1)+Eingaben!$B$37*Eingaben!$B$38*(1+Eingaben!$B$46)^(B642-1)),0),0)</f>
        <v>0</v>
      </c>
      <c r="D642" s="13" t="n">
        <f aca="false">IFERROR(IF(AND(B642&lt;=Eingaben!$B$11,Szenarien!$H$23="OK"),((Eingaben!$B$32+Eingaben!$B$35)*(1+Eingaben!$B$41)^(B642-1)+SUM(Variantenbilanz!E4397:E4762)*Eingaben!$B$33*Eingaben!$B$34*(1+Eingaben!$B$42)^(B642-1))*Szenarien!$F$23,0),0)</f>
        <v>0</v>
      </c>
      <c r="E642" s="13" t="n">
        <f aca="false">IFERROR(IF(AND(AND(B642&lt;=Eingaben!$B$11,Szenarien!$H$23="OK"),B642=Eingaben!$B$43),Eingaben!$B$44*Szenarien!$B$23*(1+Eingaben!$B$41)^(B642-1),0),0)</f>
        <v>0</v>
      </c>
      <c r="F642" s="13" t="n">
        <f aca="false">IFERROR(IF(AND(AND(B642&lt;=Eingaben!$B$11,Szenarien!$H$23="OK"),B642=Eingaben!$B$11),Eingaben!$B$45*Szenarien!$B$23,0),0)</f>
        <v>0</v>
      </c>
      <c r="G642" s="13" t="n">
        <f aca="false">C642-D642-E642+F642</f>
        <v>0</v>
      </c>
      <c r="H642" s="13" t="n">
        <f aca="false">IFERROR(IF(AND(B642&lt;=Eingaben!$B$11,Szenarien!$H$23="OK"),1/(1+Eingaben!$B$39+Szenarien!$G$23)^B642,0),0)</f>
        <v>0</v>
      </c>
      <c r="I642" s="13" t="n">
        <f aca="false">G642*H642</f>
        <v>0</v>
      </c>
      <c r="J642" s="13" t="n">
        <f aca="false">(D642+E642-F642)*H642</f>
        <v>0</v>
      </c>
      <c r="K642" s="13" t="n">
        <f aca="false">IF(AND(B642&lt;=Eingaben!$B$11,Szenarien!$H$23="OK"),SUM(Variantenbilanz!K4397:K4762)*H642,0)</f>
        <v>0</v>
      </c>
    </row>
    <row r="643" customFormat="false" ht="16.4" hidden="false" customHeight="false" outlineLevel="0" collapsed="false">
      <c r="A643" s="12"/>
      <c r="B643" s="15" t="n">
        <v>26</v>
      </c>
      <c r="C643" s="13" t="n">
        <f aca="false">IFERROR(IF(AND(B643&lt;=Eingaben!$B$11,Szenarien!$H$23="OK"),SUM(Variantenbilanz!K4397:K4762)*(Eingaben!$B$36*Szenarien!$C$23*(1+Eingaben!$B$40)^(B643-1)+Eingaben!$B$37*Eingaben!$B$38*(1+Eingaben!$B$46)^(B643-1)),0),0)</f>
        <v>0</v>
      </c>
      <c r="D643" s="13" t="n">
        <f aca="false">IFERROR(IF(AND(B643&lt;=Eingaben!$B$11,Szenarien!$H$23="OK"),((Eingaben!$B$32+Eingaben!$B$35)*(1+Eingaben!$B$41)^(B643-1)+SUM(Variantenbilanz!E4397:E4762)*Eingaben!$B$33*Eingaben!$B$34*(1+Eingaben!$B$42)^(B643-1))*Szenarien!$F$23,0),0)</f>
        <v>0</v>
      </c>
      <c r="E643" s="13" t="n">
        <f aca="false">IFERROR(IF(AND(AND(B643&lt;=Eingaben!$B$11,Szenarien!$H$23="OK"),B643=Eingaben!$B$43),Eingaben!$B$44*Szenarien!$B$23*(1+Eingaben!$B$41)^(B643-1),0),0)</f>
        <v>0</v>
      </c>
      <c r="F643" s="13" t="n">
        <f aca="false">IFERROR(IF(AND(AND(B643&lt;=Eingaben!$B$11,Szenarien!$H$23="OK"),B643=Eingaben!$B$11),Eingaben!$B$45*Szenarien!$B$23,0),0)</f>
        <v>0</v>
      </c>
      <c r="G643" s="13" t="n">
        <f aca="false">C643-D643-E643+F643</f>
        <v>0</v>
      </c>
      <c r="H643" s="13" t="n">
        <f aca="false">IFERROR(IF(AND(B643&lt;=Eingaben!$B$11,Szenarien!$H$23="OK"),1/(1+Eingaben!$B$39+Szenarien!$G$23)^B643,0),0)</f>
        <v>0</v>
      </c>
      <c r="I643" s="13" t="n">
        <f aca="false">G643*H643</f>
        <v>0</v>
      </c>
      <c r="J643" s="13" t="n">
        <f aca="false">(D643+E643-F643)*H643</f>
        <v>0</v>
      </c>
      <c r="K643" s="13" t="n">
        <f aca="false">IF(AND(B643&lt;=Eingaben!$B$11,Szenarien!$H$23="OK"),SUM(Variantenbilanz!K4397:K4762)*H643,0)</f>
        <v>0</v>
      </c>
    </row>
    <row r="644" customFormat="false" ht="16.4" hidden="false" customHeight="false" outlineLevel="0" collapsed="false">
      <c r="A644" s="12"/>
      <c r="B644" s="15" t="n">
        <v>27</v>
      </c>
      <c r="C644" s="13" t="n">
        <f aca="false">IFERROR(IF(AND(B644&lt;=Eingaben!$B$11,Szenarien!$H$23="OK"),SUM(Variantenbilanz!K4397:K4762)*(Eingaben!$B$36*Szenarien!$C$23*(1+Eingaben!$B$40)^(B644-1)+Eingaben!$B$37*Eingaben!$B$38*(1+Eingaben!$B$46)^(B644-1)),0),0)</f>
        <v>0</v>
      </c>
      <c r="D644" s="13" t="n">
        <f aca="false">IFERROR(IF(AND(B644&lt;=Eingaben!$B$11,Szenarien!$H$23="OK"),((Eingaben!$B$32+Eingaben!$B$35)*(1+Eingaben!$B$41)^(B644-1)+SUM(Variantenbilanz!E4397:E4762)*Eingaben!$B$33*Eingaben!$B$34*(1+Eingaben!$B$42)^(B644-1))*Szenarien!$F$23,0),0)</f>
        <v>0</v>
      </c>
      <c r="E644" s="13" t="n">
        <f aca="false">IFERROR(IF(AND(AND(B644&lt;=Eingaben!$B$11,Szenarien!$H$23="OK"),B644=Eingaben!$B$43),Eingaben!$B$44*Szenarien!$B$23*(1+Eingaben!$B$41)^(B644-1),0),0)</f>
        <v>0</v>
      </c>
      <c r="F644" s="13" t="n">
        <f aca="false">IFERROR(IF(AND(AND(B644&lt;=Eingaben!$B$11,Szenarien!$H$23="OK"),B644=Eingaben!$B$11),Eingaben!$B$45*Szenarien!$B$23,0),0)</f>
        <v>0</v>
      </c>
      <c r="G644" s="13" t="n">
        <f aca="false">C644-D644-E644+F644</f>
        <v>0</v>
      </c>
      <c r="H644" s="13" t="n">
        <f aca="false">IFERROR(IF(AND(B644&lt;=Eingaben!$B$11,Szenarien!$H$23="OK"),1/(1+Eingaben!$B$39+Szenarien!$G$23)^B644,0),0)</f>
        <v>0</v>
      </c>
      <c r="I644" s="13" t="n">
        <f aca="false">G644*H644</f>
        <v>0</v>
      </c>
      <c r="J644" s="13" t="n">
        <f aca="false">(D644+E644-F644)*H644</f>
        <v>0</v>
      </c>
      <c r="K644" s="13" t="n">
        <f aca="false">IF(AND(B644&lt;=Eingaben!$B$11,Szenarien!$H$23="OK"),SUM(Variantenbilanz!K4397:K4762)*H644,0)</f>
        <v>0</v>
      </c>
    </row>
    <row r="645" customFormat="false" ht="16.4" hidden="false" customHeight="false" outlineLevel="0" collapsed="false">
      <c r="A645" s="12"/>
      <c r="B645" s="15" t="n">
        <v>28</v>
      </c>
      <c r="C645" s="13" t="n">
        <f aca="false">IFERROR(IF(AND(B645&lt;=Eingaben!$B$11,Szenarien!$H$23="OK"),SUM(Variantenbilanz!K4397:K4762)*(Eingaben!$B$36*Szenarien!$C$23*(1+Eingaben!$B$40)^(B645-1)+Eingaben!$B$37*Eingaben!$B$38*(1+Eingaben!$B$46)^(B645-1)),0),0)</f>
        <v>0</v>
      </c>
      <c r="D645" s="13" t="n">
        <f aca="false">IFERROR(IF(AND(B645&lt;=Eingaben!$B$11,Szenarien!$H$23="OK"),((Eingaben!$B$32+Eingaben!$B$35)*(1+Eingaben!$B$41)^(B645-1)+SUM(Variantenbilanz!E4397:E4762)*Eingaben!$B$33*Eingaben!$B$34*(1+Eingaben!$B$42)^(B645-1))*Szenarien!$F$23,0),0)</f>
        <v>0</v>
      </c>
      <c r="E645" s="13" t="n">
        <f aca="false">IFERROR(IF(AND(AND(B645&lt;=Eingaben!$B$11,Szenarien!$H$23="OK"),B645=Eingaben!$B$43),Eingaben!$B$44*Szenarien!$B$23*(1+Eingaben!$B$41)^(B645-1),0),0)</f>
        <v>0</v>
      </c>
      <c r="F645" s="13" t="n">
        <f aca="false">IFERROR(IF(AND(AND(B645&lt;=Eingaben!$B$11,Szenarien!$H$23="OK"),B645=Eingaben!$B$11),Eingaben!$B$45*Szenarien!$B$23,0),0)</f>
        <v>0</v>
      </c>
      <c r="G645" s="13" t="n">
        <f aca="false">C645-D645-E645+F645</f>
        <v>0</v>
      </c>
      <c r="H645" s="13" t="n">
        <f aca="false">IFERROR(IF(AND(B645&lt;=Eingaben!$B$11,Szenarien!$H$23="OK"),1/(1+Eingaben!$B$39+Szenarien!$G$23)^B645,0),0)</f>
        <v>0</v>
      </c>
      <c r="I645" s="13" t="n">
        <f aca="false">G645*H645</f>
        <v>0</v>
      </c>
      <c r="J645" s="13" t="n">
        <f aca="false">(D645+E645-F645)*H645</f>
        <v>0</v>
      </c>
      <c r="K645" s="13" t="n">
        <f aca="false">IF(AND(B645&lt;=Eingaben!$B$11,Szenarien!$H$23="OK"),SUM(Variantenbilanz!K4397:K4762)*H645,0)</f>
        <v>0</v>
      </c>
    </row>
    <row r="646" customFormat="false" ht="16.4" hidden="false" customHeight="false" outlineLevel="0" collapsed="false">
      <c r="A646" s="12"/>
      <c r="B646" s="15" t="n">
        <v>29</v>
      </c>
      <c r="C646" s="13" t="n">
        <f aca="false">IFERROR(IF(AND(B646&lt;=Eingaben!$B$11,Szenarien!$H$23="OK"),SUM(Variantenbilanz!K4397:K4762)*(Eingaben!$B$36*Szenarien!$C$23*(1+Eingaben!$B$40)^(B646-1)+Eingaben!$B$37*Eingaben!$B$38*(1+Eingaben!$B$46)^(B646-1)),0),0)</f>
        <v>0</v>
      </c>
      <c r="D646" s="13" t="n">
        <f aca="false">IFERROR(IF(AND(B646&lt;=Eingaben!$B$11,Szenarien!$H$23="OK"),((Eingaben!$B$32+Eingaben!$B$35)*(1+Eingaben!$B$41)^(B646-1)+SUM(Variantenbilanz!E4397:E4762)*Eingaben!$B$33*Eingaben!$B$34*(1+Eingaben!$B$42)^(B646-1))*Szenarien!$F$23,0),0)</f>
        <v>0</v>
      </c>
      <c r="E646" s="13" t="n">
        <f aca="false">IFERROR(IF(AND(AND(B646&lt;=Eingaben!$B$11,Szenarien!$H$23="OK"),B646=Eingaben!$B$43),Eingaben!$B$44*Szenarien!$B$23*(1+Eingaben!$B$41)^(B646-1),0),0)</f>
        <v>0</v>
      </c>
      <c r="F646" s="13" t="n">
        <f aca="false">IFERROR(IF(AND(AND(B646&lt;=Eingaben!$B$11,Szenarien!$H$23="OK"),B646=Eingaben!$B$11),Eingaben!$B$45*Szenarien!$B$23,0),0)</f>
        <v>0</v>
      </c>
      <c r="G646" s="13" t="n">
        <f aca="false">C646-D646-E646+F646</f>
        <v>0</v>
      </c>
      <c r="H646" s="13" t="n">
        <f aca="false">IFERROR(IF(AND(B646&lt;=Eingaben!$B$11,Szenarien!$H$23="OK"),1/(1+Eingaben!$B$39+Szenarien!$G$23)^B646,0),0)</f>
        <v>0</v>
      </c>
      <c r="I646" s="13" t="n">
        <f aca="false">G646*H646</f>
        <v>0</v>
      </c>
      <c r="J646" s="13" t="n">
        <f aca="false">(D646+E646-F646)*H646</f>
        <v>0</v>
      </c>
      <c r="K646" s="13" t="n">
        <f aca="false">IF(AND(B646&lt;=Eingaben!$B$11,Szenarien!$H$23="OK"),SUM(Variantenbilanz!K4397:K4762)*H646,0)</f>
        <v>0</v>
      </c>
    </row>
    <row r="647" customFormat="false" ht="16.4" hidden="false" customHeight="false" outlineLevel="0" collapsed="false">
      <c r="A647" s="12"/>
      <c r="B647" s="15" t="n">
        <v>30</v>
      </c>
      <c r="C647" s="13" t="n">
        <f aca="false">IFERROR(IF(AND(B647&lt;=Eingaben!$B$11,Szenarien!$H$23="OK"),SUM(Variantenbilanz!K4397:K4762)*(Eingaben!$B$36*Szenarien!$C$23*(1+Eingaben!$B$40)^(B647-1)+Eingaben!$B$37*Eingaben!$B$38*(1+Eingaben!$B$46)^(B647-1)),0),0)</f>
        <v>0</v>
      </c>
      <c r="D647" s="13" t="n">
        <f aca="false">IFERROR(IF(AND(B647&lt;=Eingaben!$B$11,Szenarien!$H$23="OK"),((Eingaben!$B$32+Eingaben!$B$35)*(1+Eingaben!$B$41)^(B647-1)+SUM(Variantenbilanz!E4397:E4762)*Eingaben!$B$33*Eingaben!$B$34*(1+Eingaben!$B$42)^(B647-1))*Szenarien!$F$23,0),0)</f>
        <v>0</v>
      </c>
      <c r="E647" s="13" t="n">
        <f aca="false">IFERROR(IF(AND(AND(B647&lt;=Eingaben!$B$11,Szenarien!$H$23="OK"),B647=Eingaben!$B$43),Eingaben!$B$44*Szenarien!$B$23*(1+Eingaben!$B$41)^(B647-1),0),0)</f>
        <v>0</v>
      </c>
      <c r="F647" s="13" t="n">
        <f aca="false">IFERROR(IF(AND(AND(B647&lt;=Eingaben!$B$11,Szenarien!$H$23="OK"),B647=Eingaben!$B$11),Eingaben!$B$45*Szenarien!$B$23,0),0)</f>
        <v>0</v>
      </c>
      <c r="G647" s="13" t="n">
        <f aca="false">C647-D647-E647+F647</f>
        <v>0</v>
      </c>
      <c r="H647" s="13" t="n">
        <f aca="false">IFERROR(IF(AND(B647&lt;=Eingaben!$B$11,Szenarien!$H$23="OK"),1/(1+Eingaben!$B$39+Szenarien!$G$23)^B647,0),0)</f>
        <v>0</v>
      </c>
      <c r="I647" s="13" t="n">
        <f aca="false">G647*H647</f>
        <v>0</v>
      </c>
      <c r="J647" s="13" t="n">
        <f aca="false">(D647+E647-F647)*H647</f>
        <v>0</v>
      </c>
      <c r="K647" s="13" t="n">
        <f aca="false">IF(AND(B647&lt;=Eingaben!$B$11,Szenarien!$H$23="OK"),SUM(Variantenbilanz!K4397:K4762)*H647,0)</f>
        <v>0</v>
      </c>
    </row>
    <row r="648" customFormat="false" ht="16.4" hidden="false" customHeight="false" outlineLevel="0" collapsed="false">
      <c r="A648" s="12"/>
      <c r="B648" s="15" t="n">
        <v>31</v>
      </c>
      <c r="C648" s="13" t="n">
        <f aca="false">IFERROR(IF(AND(B648&lt;=Eingaben!$B$11,Szenarien!$H$23="OK"),SUM(Variantenbilanz!K4397:K4762)*(Eingaben!$B$36*Szenarien!$C$23*(1+Eingaben!$B$40)^(B648-1)+Eingaben!$B$37*Eingaben!$B$38*(1+Eingaben!$B$46)^(B648-1)),0),0)</f>
        <v>0</v>
      </c>
      <c r="D648" s="13" t="n">
        <f aca="false">IFERROR(IF(AND(B648&lt;=Eingaben!$B$11,Szenarien!$H$23="OK"),((Eingaben!$B$32+Eingaben!$B$35)*(1+Eingaben!$B$41)^(B648-1)+SUM(Variantenbilanz!E4397:E4762)*Eingaben!$B$33*Eingaben!$B$34*(1+Eingaben!$B$42)^(B648-1))*Szenarien!$F$23,0),0)</f>
        <v>0</v>
      </c>
      <c r="E648" s="13" t="n">
        <f aca="false">IFERROR(IF(AND(AND(B648&lt;=Eingaben!$B$11,Szenarien!$H$23="OK"),B648=Eingaben!$B$43),Eingaben!$B$44*Szenarien!$B$23*(1+Eingaben!$B$41)^(B648-1),0),0)</f>
        <v>0</v>
      </c>
      <c r="F648" s="13" t="n">
        <f aca="false">IFERROR(IF(AND(AND(B648&lt;=Eingaben!$B$11,Szenarien!$H$23="OK"),B648=Eingaben!$B$11),Eingaben!$B$45*Szenarien!$B$23,0),0)</f>
        <v>0</v>
      </c>
      <c r="G648" s="13" t="n">
        <f aca="false">C648-D648-E648+F648</f>
        <v>0</v>
      </c>
      <c r="H648" s="13" t="n">
        <f aca="false">IFERROR(IF(AND(B648&lt;=Eingaben!$B$11,Szenarien!$H$23="OK"),1/(1+Eingaben!$B$39+Szenarien!$G$23)^B648,0),0)</f>
        <v>0</v>
      </c>
      <c r="I648" s="13" t="n">
        <f aca="false">G648*H648</f>
        <v>0</v>
      </c>
      <c r="J648" s="13" t="n">
        <f aca="false">(D648+E648-F648)*H648</f>
        <v>0</v>
      </c>
      <c r="K648" s="13" t="n">
        <f aca="false">IF(AND(B648&lt;=Eingaben!$B$11,Szenarien!$H$23="OK"),SUM(Variantenbilanz!K4397:K4762)*H648,0)</f>
        <v>0</v>
      </c>
    </row>
    <row r="649" customFormat="false" ht="16.4" hidden="false" customHeight="false" outlineLevel="0" collapsed="false">
      <c r="A649" s="12"/>
      <c r="B649" s="15" t="n">
        <v>32</v>
      </c>
      <c r="C649" s="13" t="n">
        <f aca="false">IFERROR(IF(AND(B649&lt;=Eingaben!$B$11,Szenarien!$H$23="OK"),SUM(Variantenbilanz!K4397:K4762)*(Eingaben!$B$36*Szenarien!$C$23*(1+Eingaben!$B$40)^(B649-1)+Eingaben!$B$37*Eingaben!$B$38*(1+Eingaben!$B$46)^(B649-1)),0),0)</f>
        <v>0</v>
      </c>
      <c r="D649" s="13" t="n">
        <f aca="false">IFERROR(IF(AND(B649&lt;=Eingaben!$B$11,Szenarien!$H$23="OK"),((Eingaben!$B$32+Eingaben!$B$35)*(1+Eingaben!$B$41)^(B649-1)+SUM(Variantenbilanz!E4397:E4762)*Eingaben!$B$33*Eingaben!$B$34*(1+Eingaben!$B$42)^(B649-1))*Szenarien!$F$23,0),0)</f>
        <v>0</v>
      </c>
      <c r="E649" s="13" t="n">
        <f aca="false">IFERROR(IF(AND(AND(B649&lt;=Eingaben!$B$11,Szenarien!$H$23="OK"),B649=Eingaben!$B$43),Eingaben!$B$44*Szenarien!$B$23*(1+Eingaben!$B$41)^(B649-1),0),0)</f>
        <v>0</v>
      </c>
      <c r="F649" s="13" t="n">
        <f aca="false">IFERROR(IF(AND(AND(B649&lt;=Eingaben!$B$11,Szenarien!$H$23="OK"),B649=Eingaben!$B$11),Eingaben!$B$45*Szenarien!$B$23,0),0)</f>
        <v>0</v>
      </c>
      <c r="G649" s="13" t="n">
        <f aca="false">C649-D649-E649+F649</f>
        <v>0</v>
      </c>
      <c r="H649" s="13" t="n">
        <f aca="false">IFERROR(IF(AND(B649&lt;=Eingaben!$B$11,Szenarien!$H$23="OK"),1/(1+Eingaben!$B$39+Szenarien!$G$23)^B649,0),0)</f>
        <v>0</v>
      </c>
      <c r="I649" s="13" t="n">
        <f aca="false">G649*H649</f>
        <v>0</v>
      </c>
      <c r="J649" s="13" t="n">
        <f aca="false">(D649+E649-F649)*H649</f>
        <v>0</v>
      </c>
      <c r="K649" s="13" t="n">
        <f aca="false">IF(AND(B649&lt;=Eingaben!$B$11,Szenarien!$H$23="OK"),SUM(Variantenbilanz!K4397:K4762)*H649,0)</f>
        <v>0</v>
      </c>
    </row>
    <row r="650" customFormat="false" ht="16.4" hidden="false" customHeight="false" outlineLevel="0" collapsed="false">
      <c r="A650" s="12"/>
      <c r="B650" s="15" t="n">
        <v>33</v>
      </c>
      <c r="C650" s="13" t="n">
        <f aca="false">IFERROR(IF(AND(B650&lt;=Eingaben!$B$11,Szenarien!$H$23="OK"),SUM(Variantenbilanz!K4397:K4762)*(Eingaben!$B$36*Szenarien!$C$23*(1+Eingaben!$B$40)^(B650-1)+Eingaben!$B$37*Eingaben!$B$38*(1+Eingaben!$B$46)^(B650-1)),0),0)</f>
        <v>0</v>
      </c>
      <c r="D650" s="13" t="n">
        <f aca="false">IFERROR(IF(AND(B650&lt;=Eingaben!$B$11,Szenarien!$H$23="OK"),((Eingaben!$B$32+Eingaben!$B$35)*(1+Eingaben!$B$41)^(B650-1)+SUM(Variantenbilanz!E4397:E4762)*Eingaben!$B$33*Eingaben!$B$34*(1+Eingaben!$B$42)^(B650-1))*Szenarien!$F$23,0),0)</f>
        <v>0</v>
      </c>
      <c r="E650" s="13" t="n">
        <f aca="false">IFERROR(IF(AND(AND(B650&lt;=Eingaben!$B$11,Szenarien!$H$23="OK"),B650=Eingaben!$B$43),Eingaben!$B$44*Szenarien!$B$23*(1+Eingaben!$B$41)^(B650-1),0),0)</f>
        <v>0</v>
      </c>
      <c r="F650" s="13" t="n">
        <f aca="false">IFERROR(IF(AND(AND(B650&lt;=Eingaben!$B$11,Szenarien!$H$23="OK"),B650=Eingaben!$B$11),Eingaben!$B$45*Szenarien!$B$23,0),0)</f>
        <v>0</v>
      </c>
      <c r="G650" s="13" t="n">
        <f aca="false">C650-D650-E650+F650</f>
        <v>0</v>
      </c>
      <c r="H650" s="13" t="n">
        <f aca="false">IFERROR(IF(AND(B650&lt;=Eingaben!$B$11,Szenarien!$H$23="OK"),1/(1+Eingaben!$B$39+Szenarien!$G$23)^B650,0),0)</f>
        <v>0</v>
      </c>
      <c r="I650" s="13" t="n">
        <f aca="false">G650*H650</f>
        <v>0</v>
      </c>
      <c r="J650" s="13" t="n">
        <f aca="false">(D650+E650-F650)*H650</f>
        <v>0</v>
      </c>
      <c r="K650" s="13" t="n">
        <f aca="false">IF(AND(B650&lt;=Eingaben!$B$11,Szenarien!$H$23="OK"),SUM(Variantenbilanz!K4397:K4762)*H650,0)</f>
        <v>0</v>
      </c>
    </row>
    <row r="651" customFormat="false" ht="16.4" hidden="false" customHeight="false" outlineLevel="0" collapsed="false">
      <c r="A651" s="12"/>
      <c r="B651" s="15" t="n">
        <v>34</v>
      </c>
      <c r="C651" s="13" t="n">
        <f aca="false">IFERROR(IF(AND(B651&lt;=Eingaben!$B$11,Szenarien!$H$23="OK"),SUM(Variantenbilanz!K4397:K4762)*(Eingaben!$B$36*Szenarien!$C$23*(1+Eingaben!$B$40)^(B651-1)+Eingaben!$B$37*Eingaben!$B$38*(1+Eingaben!$B$46)^(B651-1)),0),0)</f>
        <v>0</v>
      </c>
      <c r="D651" s="13" t="n">
        <f aca="false">IFERROR(IF(AND(B651&lt;=Eingaben!$B$11,Szenarien!$H$23="OK"),((Eingaben!$B$32+Eingaben!$B$35)*(1+Eingaben!$B$41)^(B651-1)+SUM(Variantenbilanz!E4397:E4762)*Eingaben!$B$33*Eingaben!$B$34*(1+Eingaben!$B$42)^(B651-1))*Szenarien!$F$23,0),0)</f>
        <v>0</v>
      </c>
      <c r="E651" s="13" t="n">
        <f aca="false">IFERROR(IF(AND(AND(B651&lt;=Eingaben!$B$11,Szenarien!$H$23="OK"),B651=Eingaben!$B$43),Eingaben!$B$44*Szenarien!$B$23*(1+Eingaben!$B$41)^(B651-1),0),0)</f>
        <v>0</v>
      </c>
      <c r="F651" s="13" t="n">
        <f aca="false">IFERROR(IF(AND(AND(B651&lt;=Eingaben!$B$11,Szenarien!$H$23="OK"),B651=Eingaben!$B$11),Eingaben!$B$45*Szenarien!$B$23,0),0)</f>
        <v>0</v>
      </c>
      <c r="G651" s="13" t="n">
        <f aca="false">C651-D651-E651+F651</f>
        <v>0</v>
      </c>
      <c r="H651" s="13" t="n">
        <f aca="false">IFERROR(IF(AND(B651&lt;=Eingaben!$B$11,Szenarien!$H$23="OK"),1/(1+Eingaben!$B$39+Szenarien!$G$23)^B651,0),0)</f>
        <v>0</v>
      </c>
      <c r="I651" s="13" t="n">
        <f aca="false">G651*H651</f>
        <v>0</v>
      </c>
      <c r="J651" s="13" t="n">
        <f aca="false">(D651+E651-F651)*H651</f>
        <v>0</v>
      </c>
      <c r="K651" s="13" t="n">
        <f aca="false">IF(AND(B651&lt;=Eingaben!$B$11,Szenarien!$H$23="OK"),SUM(Variantenbilanz!K4397:K4762)*H651,0)</f>
        <v>0</v>
      </c>
    </row>
    <row r="652" customFormat="false" ht="16.4" hidden="false" customHeight="false" outlineLevel="0" collapsed="false">
      <c r="A652" s="12"/>
      <c r="B652" s="15" t="n">
        <v>35</v>
      </c>
      <c r="C652" s="13" t="n">
        <f aca="false">IFERROR(IF(AND(B652&lt;=Eingaben!$B$11,Szenarien!$H$23="OK"),SUM(Variantenbilanz!K4397:K4762)*(Eingaben!$B$36*Szenarien!$C$23*(1+Eingaben!$B$40)^(B652-1)+Eingaben!$B$37*Eingaben!$B$38*(1+Eingaben!$B$46)^(B652-1)),0),0)</f>
        <v>0</v>
      </c>
      <c r="D652" s="13" t="n">
        <f aca="false">IFERROR(IF(AND(B652&lt;=Eingaben!$B$11,Szenarien!$H$23="OK"),((Eingaben!$B$32+Eingaben!$B$35)*(1+Eingaben!$B$41)^(B652-1)+SUM(Variantenbilanz!E4397:E4762)*Eingaben!$B$33*Eingaben!$B$34*(1+Eingaben!$B$42)^(B652-1))*Szenarien!$F$23,0),0)</f>
        <v>0</v>
      </c>
      <c r="E652" s="13" t="n">
        <f aca="false">IFERROR(IF(AND(AND(B652&lt;=Eingaben!$B$11,Szenarien!$H$23="OK"),B652=Eingaben!$B$43),Eingaben!$B$44*Szenarien!$B$23*(1+Eingaben!$B$41)^(B652-1),0),0)</f>
        <v>0</v>
      </c>
      <c r="F652" s="13" t="n">
        <f aca="false">IFERROR(IF(AND(AND(B652&lt;=Eingaben!$B$11,Szenarien!$H$23="OK"),B652=Eingaben!$B$11),Eingaben!$B$45*Szenarien!$B$23,0),0)</f>
        <v>0</v>
      </c>
      <c r="G652" s="13" t="n">
        <f aca="false">C652-D652-E652+F652</f>
        <v>0</v>
      </c>
      <c r="H652" s="13" t="n">
        <f aca="false">IFERROR(IF(AND(B652&lt;=Eingaben!$B$11,Szenarien!$H$23="OK"),1/(1+Eingaben!$B$39+Szenarien!$G$23)^B652,0),0)</f>
        <v>0</v>
      </c>
      <c r="I652" s="13" t="n">
        <f aca="false">G652*H652</f>
        <v>0</v>
      </c>
      <c r="J652" s="13" t="n">
        <f aca="false">(D652+E652-F652)*H652</f>
        <v>0</v>
      </c>
      <c r="K652" s="13" t="n">
        <f aca="false">IF(AND(B652&lt;=Eingaben!$B$11,Szenarien!$H$23="OK"),SUM(Variantenbilanz!K4397:K4762)*H652,0)</f>
        <v>0</v>
      </c>
    </row>
    <row r="653" customFormat="false" ht="16.4" hidden="false" customHeight="false" outlineLevel="0" collapsed="false">
      <c r="A653" s="12"/>
      <c r="B653" s="15" t="n">
        <v>36</v>
      </c>
      <c r="C653" s="13" t="n">
        <f aca="false">IFERROR(IF(AND(B653&lt;=Eingaben!$B$11,Szenarien!$H$23="OK"),SUM(Variantenbilanz!K4397:K4762)*(Eingaben!$B$36*Szenarien!$C$23*(1+Eingaben!$B$40)^(B653-1)+Eingaben!$B$37*Eingaben!$B$38*(1+Eingaben!$B$46)^(B653-1)),0),0)</f>
        <v>0</v>
      </c>
      <c r="D653" s="13" t="n">
        <f aca="false">IFERROR(IF(AND(B653&lt;=Eingaben!$B$11,Szenarien!$H$23="OK"),((Eingaben!$B$32+Eingaben!$B$35)*(1+Eingaben!$B$41)^(B653-1)+SUM(Variantenbilanz!E4397:E4762)*Eingaben!$B$33*Eingaben!$B$34*(1+Eingaben!$B$42)^(B653-1))*Szenarien!$F$23,0),0)</f>
        <v>0</v>
      </c>
      <c r="E653" s="13" t="n">
        <f aca="false">IFERROR(IF(AND(AND(B653&lt;=Eingaben!$B$11,Szenarien!$H$23="OK"),B653=Eingaben!$B$43),Eingaben!$B$44*Szenarien!$B$23*(1+Eingaben!$B$41)^(B653-1),0),0)</f>
        <v>0</v>
      </c>
      <c r="F653" s="13" t="n">
        <f aca="false">IFERROR(IF(AND(AND(B653&lt;=Eingaben!$B$11,Szenarien!$H$23="OK"),B653=Eingaben!$B$11),Eingaben!$B$45*Szenarien!$B$23,0),0)</f>
        <v>0</v>
      </c>
      <c r="G653" s="13" t="n">
        <f aca="false">C653-D653-E653+F653</f>
        <v>0</v>
      </c>
      <c r="H653" s="13" t="n">
        <f aca="false">IFERROR(IF(AND(B653&lt;=Eingaben!$B$11,Szenarien!$H$23="OK"),1/(1+Eingaben!$B$39+Szenarien!$G$23)^B653,0),0)</f>
        <v>0</v>
      </c>
      <c r="I653" s="13" t="n">
        <f aca="false">G653*H653</f>
        <v>0</v>
      </c>
      <c r="J653" s="13" t="n">
        <f aca="false">(D653+E653-F653)*H653</f>
        <v>0</v>
      </c>
      <c r="K653" s="13" t="n">
        <f aca="false">IF(AND(B653&lt;=Eingaben!$B$11,Szenarien!$H$23="OK"),SUM(Variantenbilanz!K4397:K4762)*H653,0)</f>
        <v>0</v>
      </c>
    </row>
    <row r="654" customFormat="false" ht="16.4" hidden="false" customHeight="false" outlineLevel="0" collapsed="false">
      <c r="A654" s="12"/>
      <c r="B654" s="15" t="n">
        <v>37</v>
      </c>
      <c r="C654" s="13" t="n">
        <f aca="false">IFERROR(IF(AND(B654&lt;=Eingaben!$B$11,Szenarien!$H$23="OK"),SUM(Variantenbilanz!K4397:K4762)*(Eingaben!$B$36*Szenarien!$C$23*(1+Eingaben!$B$40)^(B654-1)+Eingaben!$B$37*Eingaben!$B$38*(1+Eingaben!$B$46)^(B654-1)),0),0)</f>
        <v>0</v>
      </c>
      <c r="D654" s="13" t="n">
        <f aca="false">IFERROR(IF(AND(B654&lt;=Eingaben!$B$11,Szenarien!$H$23="OK"),((Eingaben!$B$32+Eingaben!$B$35)*(1+Eingaben!$B$41)^(B654-1)+SUM(Variantenbilanz!E4397:E4762)*Eingaben!$B$33*Eingaben!$B$34*(1+Eingaben!$B$42)^(B654-1))*Szenarien!$F$23,0),0)</f>
        <v>0</v>
      </c>
      <c r="E654" s="13" t="n">
        <f aca="false">IFERROR(IF(AND(AND(B654&lt;=Eingaben!$B$11,Szenarien!$H$23="OK"),B654=Eingaben!$B$43),Eingaben!$B$44*Szenarien!$B$23*(1+Eingaben!$B$41)^(B654-1),0),0)</f>
        <v>0</v>
      </c>
      <c r="F654" s="13" t="n">
        <f aca="false">IFERROR(IF(AND(AND(B654&lt;=Eingaben!$B$11,Szenarien!$H$23="OK"),B654=Eingaben!$B$11),Eingaben!$B$45*Szenarien!$B$23,0),0)</f>
        <v>0</v>
      </c>
      <c r="G654" s="13" t="n">
        <f aca="false">C654-D654-E654+F654</f>
        <v>0</v>
      </c>
      <c r="H654" s="13" t="n">
        <f aca="false">IFERROR(IF(AND(B654&lt;=Eingaben!$B$11,Szenarien!$H$23="OK"),1/(1+Eingaben!$B$39+Szenarien!$G$23)^B654,0),0)</f>
        <v>0</v>
      </c>
      <c r="I654" s="13" t="n">
        <f aca="false">G654*H654</f>
        <v>0</v>
      </c>
      <c r="J654" s="13" t="n">
        <f aca="false">(D654+E654-F654)*H654</f>
        <v>0</v>
      </c>
      <c r="K654" s="13" t="n">
        <f aca="false">IF(AND(B654&lt;=Eingaben!$B$11,Szenarien!$H$23="OK"),SUM(Variantenbilanz!K4397:K4762)*H654,0)</f>
        <v>0</v>
      </c>
    </row>
    <row r="655" customFormat="false" ht="16.4" hidden="false" customHeight="false" outlineLevel="0" collapsed="false">
      <c r="A655" s="12"/>
      <c r="B655" s="15" t="n">
        <v>38</v>
      </c>
      <c r="C655" s="13" t="n">
        <f aca="false">IFERROR(IF(AND(B655&lt;=Eingaben!$B$11,Szenarien!$H$23="OK"),SUM(Variantenbilanz!K4397:K4762)*(Eingaben!$B$36*Szenarien!$C$23*(1+Eingaben!$B$40)^(B655-1)+Eingaben!$B$37*Eingaben!$B$38*(1+Eingaben!$B$46)^(B655-1)),0),0)</f>
        <v>0</v>
      </c>
      <c r="D655" s="13" t="n">
        <f aca="false">IFERROR(IF(AND(B655&lt;=Eingaben!$B$11,Szenarien!$H$23="OK"),((Eingaben!$B$32+Eingaben!$B$35)*(1+Eingaben!$B$41)^(B655-1)+SUM(Variantenbilanz!E4397:E4762)*Eingaben!$B$33*Eingaben!$B$34*(1+Eingaben!$B$42)^(B655-1))*Szenarien!$F$23,0),0)</f>
        <v>0</v>
      </c>
      <c r="E655" s="13" t="n">
        <f aca="false">IFERROR(IF(AND(AND(B655&lt;=Eingaben!$B$11,Szenarien!$H$23="OK"),B655=Eingaben!$B$43),Eingaben!$B$44*Szenarien!$B$23*(1+Eingaben!$B$41)^(B655-1),0),0)</f>
        <v>0</v>
      </c>
      <c r="F655" s="13" t="n">
        <f aca="false">IFERROR(IF(AND(AND(B655&lt;=Eingaben!$B$11,Szenarien!$H$23="OK"),B655=Eingaben!$B$11),Eingaben!$B$45*Szenarien!$B$23,0),0)</f>
        <v>0</v>
      </c>
      <c r="G655" s="13" t="n">
        <f aca="false">C655-D655-E655+F655</f>
        <v>0</v>
      </c>
      <c r="H655" s="13" t="n">
        <f aca="false">IFERROR(IF(AND(B655&lt;=Eingaben!$B$11,Szenarien!$H$23="OK"),1/(1+Eingaben!$B$39+Szenarien!$G$23)^B655,0),0)</f>
        <v>0</v>
      </c>
      <c r="I655" s="13" t="n">
        <f aca="false">G655*H655</f>
        <v>0</v>
      </c>
      <c r="J655" s="13" t="n">
        <f aca="false">(D655+E655-F655)*H655</f>
        <v>0</v>
      </c>
      <c r="K655" s="13" t="n">
        <f aca="false">IF(AND(B655&lt;=Eingaben!$B$11,Szenarien!$H$23="OK"),SUM(Variantenbilanz!K4397:K4762)*H655,0)</f>
        <v>0</v>
      </c>
    </row>
    <row r="656" customFormat="false" ht="16.4" hidden="false" customHeight="false" outlineLevel="0" collapsed="false">
      <c r="A656" s="12"/>
      <c r="B656" s="15" t="n">
        <v>39</v>
      </c>
      <c r="C656" s="13" t="n">
        <f aca="false">IFERROR(IF(AND(B656&lt;=Eingaben!$B$11,Szenarien!$H$23="OK"),SUM(Variantenbilanz!K4397:K4762)*(Eingaben!$B$36*Szenarien!$C$23*(1+Eingaben!$B$40)^(B656-1)+Eingaben!$B$37*Eingaben!$B$38*(1+Eingaben!$B$46)^(B656-1)),0),0)</f>
        <v>0</v>
      </c>
      <c r="D656" s="13" t="n">
        <f aca="false">IFERROR(IF(AND(B656&lt;=Eingaben!$B$11,Szenarien!$H$23="OK"),((Eingaben!$B$32+Eingaben!$B$35)*(1+Eingaben!$B$41)^(B656-1)+SUM(Variantenbilanz!E4397:E4762)*Eingaben!$B$33*Eingaben!$B$34*(1+Eingaben!$B$42)^(B656-1))*Szenarien!$F$23,0),0)</f>
        <v>0</v>
      </c>
      <c r="E656" s="13" t="n">
        <f aca="false">IFERROR(IF(AND(AND(B656&lt;=Eingaben!$B$11,Szenarien!$H$23="OK"),B656=Eingaben!$B$43),Eingaben!$B$44*Szenarien!$B$23*(1+Eingaben!$B$41)^(B656-1),0),0)</f>
        <v>0</v>
      </c>
      <c r="F656" s="13" t="n">
        <f aca="false">IFERROR(IF(AND(AND(B656&lt;=Eingaben!$B$11,Szenarien!$H$23="OK"),B656=Eingaben!$B$11),Eingaben!$B$45*Szenarien!$B$23,0),0)</f>
        <v>0</v>
      </c>
      <c r="G656" s="13" t="n">
        <f aca="false">C656-D656-E656+F656</f>
        <v>0</v>
      </c>
      <c r="H656" s="13" t="n">
        <f aca="false">IFERROR(IF(AND(B656&lt;=Eingaben!$B$11,Szenarien!$H$23="OK"),1/(1+Eingaben!$B$39+Szenarien!$G$23)^B656,0),0)</f>
        <v>0</v>
      </c>
      <c r="I656" s="13" t="n">
        <f aca="false">G656*H656</f>
        <v>0</v>
      </c>
      <c r="J656" s="13" t="n">
        <f aca="false">(D656+E656-F656)*H656</f>
        <v>0</v>
      </c>
      <c r="K656" s="13" t="n">
        <f aca="false">IF(AND(B656&lt;=Eingaben!$B$11,Szenarien!$H$23="OK"),SUM(Variantenbilanz!K4397:K4762)*H656,0)</f>
        <v>0</v>
      </c>
    </row>
    <row r="657" customFormat="false" ht="16.4" hidden="false" customHeight="false" outlineLevel="0" collapsed="false">
      <c r="A657" s="12"/>
      <c r="B657" s="15" t="n">
        <v>40</v>
      </c>
      <c r="C657" s="13" t="n">
        <f aca="false">IFERROR(IF(AND(B657&lt;=Eingaben!$B$11,Szenarien!$H$23="OK"),SUM(Variantenbilanz!K4397:K4762)*(Eingaben!$B$36*Szenarien!$C$23*(1+Eingaben!$B$40)^(B657-1)+Eingaben!$B$37*Eingaben!$B$38*(1+Eingaben!$B$46)^(B657-1)),0),0)</f>
        <v>0</v>
      </c>
      <c r="D657" s="13" t="n">
        <f aca="false">IFERROR(IF(AND(B657&lt;=Eingaben!$B$11,Szenarien!$H$23="OK"),((Eingaben!$B$32+Eingaben!$B$35)*(1+Eingaben!$B$41)^(B657-1)+SUM(Variantenbilanz!E4397:E4762)*Eingaben!$B$33*Eingaben!$B$34*(1+Eingaben!$B$42)^(B657-1))*Szenarien!$F$23,0),0)</f>
        <v>0</v>
      </c>
      <c r="E657" s="13" t="n">
        <f aca="false">IFERROR(IF(AND(AND(B657&lt;=Eingaben!$B$11,Szenarien!$H$23="OK"),B657=Eingaben!$B$43),Eingaben!$B$44*Szenarien!$B$23*(1+Eingaben!$B$41)^(B657-1),0),0)</f>
        <v>0</v>
      </c>
      <c r="F657" s="13" t="n">
        <f aca="false">IFERROR(IF(AND(AND(B657&lt;=Eingaben!$B$11,Szenarien!$H$23="OK"),B657=Eingaben!$B$11),Eingaben!$B$45*Szenarien!$B$23,0),0)</f>
        <v>0</v>
      </c>
      <c r="G657" s="13" t="n">
        <f aca="false">C657-D657-E657+F657</f>
        <v>0</v>
      </c>
      <c r="H657" s="13" t="n">
        <f aca="false">IFERROR(IF(AND(B657&lt;=Eingaben!$B$11,Szenarien!$H$23="OK"),1/(1+Eingaben!$B$39+Szenarien!$G$23)^B657,0),0)</f>
        <v>0</v>
      </c>
      <c r="I657" s="13" t="n">
        <f aca="false">G657*H657</f>
        <v>0</v>
      </c>
      <c r="J657" s="13" t="n">
        <f aca="false">(D657+E657-F657)*H657</f>
        <v>0</v>
      </c>
      <c r="K657" s="13" t="n">
        <f aca="false">IF(AND(B657&lt;=Eingaben!$B$11,Szenarien!$H$23="OK"),SUM(Variantenbilanz!K4397:K4762)*H657,0)</f>
        <v>0</v>
      </c>
    </row>
    <row r="658" customFormat="false" ht="16.4" hidden="false" customHeight="false" outlineLevel="0" collapsed="false">
      <c r="A658" s="12"/>
      <c r="B658" s="15" t="n">
        <v>41</v>
      </c>
      <c r="C658" s="13" t="n">
        <f aca="false">IFERROR(IF(AND(B658&lt;=Eingaben!$B$11,Szenarien!$H$23="OK"),SUM(Variantenbilanz!K4397:K4762)*(Eingaben!$B$36*Szenarien!$C$23*(1+Eingaben!$B$40)^(B658-1)+Eingaben!$B$37*Eingaben!$B$38*(1+Eingaben!$B$46)^(B658-1)),0),0)</f>
        <v>0</v>
      </c>
      <c r="D658" s="13" t="n">
        <f aca="false">IFERROR(IF(AND(B658&lt;=Eingaben!$B$11,Szenarien!$H$23="OK"),((Eingaben!$B$32+Eingaben!$B$35)*(1+Eingaben!$B$41)^(B658-1)+SUM(Variantenbilanz!E4397:E4762)*Eingaben!$B$33*Eingaben!$B$34*(1+Eingaben!$B$42)^(B658-1))*Szenarien!$F$23,0),0)</f>
        <v>0</v>
      </c>
      <c r="E658" s="13" t="n">
        <f aca="false">IFERROR(IF(AND(AND(B658&lt;=Eingaben!$B$11,Szenarien!$H$23="OK"),B658=Eingaben!$B$43),Eingaben!$B$44*Szenarien!$B$23*(1+Eingaben!$B$41)^(B658-1),0),0)</f>
        <v>0</v>
      </c>
      <c r="F658" s="13" t="n">
        <f aca="false">IFERROR(IF(AND(AND(B658&lt;=Eingaben!$B$11,Szenarien!$H$23="OK"),B658=Eingaben!$B$11),Eingaben!$B$45*Szenarien!$B$23,0),0)</f>
        <v>0</v>
      </c>
      <c r="G658" s="13" t="n">
        <f aca="false">C658-D658-E658+F658</f>
        <v>0</v>
      </c>
      <c r="H658" s="13" t="n">
        <f aca="false">IFERROR(IF(AND(B658&lt;=Eingaben!$B$11,Szenarien!$H$23="OK"),1/(1+Eingaben!$B$39+Szenarien!$G$23)^B658,0),0)</f>
        <v>0</v>
      </c>
      <c r="I658" s="13" t="n">
        <f aca="false">G658*H658</f>
        <v>0</v>
      </c>
      <c r="J658" s="13" t="n">
        <f aca="false">(D658+E658-F658)*H658</f>
        <v>0</v>
      </c>
      <c r="K658" s="13" t="n">
        <f aca="false">IF(AND(B658&lt;=Eingaben!$B$11,Szenarien!$H$23="OK"),SUM(Variantenbilanz!K4397:K4762)*H658,0)</f>
        <v>0</v>
      </c>
    </row>
    <row r="659" customFormat="false" ht="16.4" hidden="false" customHeight="false" outlineLevel="0" collapsed="false">
      <c r="A659" s="12"/>
      <c r="B659" s="15" t="n">
        <v>42</v>
      </c>
      <c r="C659" s="13" t="n">
        <f aca="false">IFERROR(IF(AND(B659&lt;=Eingaben!$B$11,Szenarien!$H$23="OK"),SUM(Variantenbilanz!K4397:K4762)*(Eingaben!$B$36*Szenarien!$C$23*(1+Eingaben!$B$40)^(B659-1)+Eingaben!$B$37*Eingaben!$B$38*(1+Eingaben!$B$46)^(B659-1)),0),0)</f>
        <v>0</v>
      </c>
      <c r="D659" s="13" t="n">
        <f aca="false">IFERROR(IF(AND(B659&lt;=Eingaben!$B$11,Szenarien!$H$23="OK"),((Eingaben!$B$32+Eingaben!$B$35)*(1+Eingaben!$B$41)^(B659-1)+SUM(Variantenbilanz!E4397:E4762)*Eingaben!$B$33*Eingaben!$B$34*(1+Eingaben!$B$42)^(B659-1))*Szenarien!$F$23,0),0)</f>
        <v>0</v>
      </c>
      <c r="E659" s="13" t="n">
        <f aca="false">IFERROR(IF(AND(AND(B659&lt;=Eingaben!$B$11,Szenarien!$H$23="OK"),B659=Eingaben!$B$43),Eingaben!$B$44*Szenarien!$B$23*(1+Eingaben!$B$41)^(B659-1),0),0)</f>
        <v>0</v>
      </c>
      <c r="F659" s="13" t="n">
        <f aca="false">IFERROR(IF(AND(AND(B659&lt;=Eingaben!$B$11,Szenarien!$H$23="OK"),B659=Eingaben!$B$11),Eingaben!$B$45*Szenarien!$B$23,0),0)</f>
        <v>0</v>
      </c>
      <c r="G659" s="13" t="n">
        <f aca="false">C659-D659-E659+F659</f>
        <v>0</v>
      </c>
      <c r="H659" s="13" t="n">
        <f aca="false">IFERROR(IF(AND(B659&lt;=Eingaben!$B$11,Szenarien!$H$23="OK"),1/(1+Eingaben!$B$39+Szenarien!$G$23)^B659,0),0)</f>
        <v>0</v>
      </c>
      <c r="I659" s="13" t="n">
        <f aca="false">G659*H659</f>
        <v>0</v>
      </c>
      <c r="J659" s="13" t="n">
        <f aca="false">(D659+E659-F659)*H659</f>
        <v>0</v>
      </c>
      <c r="K659" s="13" t="n">
        <f aca="false">IF(AND(B659&lt;=Eingaben!$B$11,Szenarien!$H$23="OK"),SUM(Variantenbilanz!K4397:K4762)*H659,0)</f>
        <v>0</v>
      </c>
    </row>
    <row r="660" customFormat="false" ht="16.4" hidden="false" customHeight="false" outlineLevel="0" collapsed="false">
      <c r="A660" s="12"/>
      <c r="B660" s="15" t="n">
        <v>43</v>
      </c>
      <c r="C660" s="13" t="n">
        <f aca="false">IFERROR(IF(AND(B660&lt;=Eingaben!$B$11,Szenarien!$H$23="OK"),SUM(Variantenbilanz!K4397:K4762)*(Eingaben!$B$36*Szenarien!$C$23*(1+Eingaben!$B$40)^(B660-1)+Eingaben!$B$37*Eingaben!$B$38*(1+Eingaben!$B$46)^(B660-1)),0),0)</f>
        <v>0</v>
      </c>
      <c r="D660" s="13" t="n">
        <f aca="false">IFERROR(IF(AND(B660&lt;=Eingaben!$B$11,Szenarien!$H$23="OK"),((Eingaben!$B$32+Eingaben!$B$35)*(1+Eingaben!$B$41)^(B660-1)+SUM(Variantenbilanz!E4397:E4762)*Eingaben!$B$33*Eingaben!$B$34*(1+Eingaben!$B$42)^(B660-1))*Szenarien!$F$23,0),0)</f>
        <v>0</v>
      </c>
      <c r="E660" s="13" t="n">
        <f aca="false">IFERROR(IF(AND(AND(B660&lt;=Eingaben!$B$11,Szenarien!$H$23="OK"),B660=Eingaben!$B$43),Eingaben!$B$44*Szenarien!$B$23*(1+Eingaben!$B$41)^(B660-1),0),0)</f>
        <v>0</v>
      </c>
      <c r="F660" s="13" t="n">
        <f aca="false">IFERROR(IF(AND(AND(B660&lt;=Eingaben!$B$11,Szenarien!$H$23="OK"),B660=Eingaben!$B$11),Eingaben!$B$45*Szenarien!$B$23,0),0)</f>
        <v>0</v>
      </c>
      <c r="G660" s="13" t="n">
        <f aca="false">C660-D660-E660+F660</f>
        <v>0</v>
      </c>
      <c r="H660" s="13" t="n">
        <f aca="false">IFERROR(IF(AND(B660&lt;=Eingaben!$B$11,Szenarien!$H$23="OK"),1/(1+Eingaben!$B$39+Szenarien!$G$23)^B660,0),0)</f>
        <v>0</v>
      </c>
      <c r="I660" s="13" t="n">
        <f aca="false">G660*H660</f>
        <v>0</v>
      </c>
      <c r="J660" s="13" t="n">
        <f aca="false">(D660+E660-F660)*H660</f>
        <v>0</v>
      </c>
      <c r="K660" s="13" t="n">
        <f aca="false">IF(AND(B660&lt;=Eingaben!$B$11,Szenarien!$H$23="OK"),SUM(Variantenbilanz!K4397:K4762)*H660,0)</f>
        <v>0</v>
      </c>
    </row>
    <row r="661" customFormat="false" ht="16.4" hidden="false" customHeight="false" outlineLevel="0" collapsed="false">
      <c r="A661" s="12"/>
      <c r="B661" s="15" t="n">
        <v>44</v>
      </c>
      <c r="C661" s="13" t="n">
        <f aca="false">IFERROR(IF(AND(B661&lt;=Eingaben!$B$11,Szenarien!$H$23="OK"),SUM(Variantenbilanz!K4397:K4762)*(Eingaben!$B$36*Szenarien!$C$23*(1+Eingaben!$B$40)^(B661-1)+Eingaben!$B$37*Eingaben!$B$38*(1+Eingaben!$B$46)^(B661-1)),0),0)</f>
        <v>0</v>
      </c>
      <c r="D661" s="13" t="n">
        <f aca="false">IFERROR(IF(AND(B661&lt;=Eingaben!$B$11,Szenarien!$H$23="OK"),((Eingaben!$B$32+Eingaben!$B$35)*(1+Eingaben!$B$41)^(B661-1)+SUM(Variantenbilanz!E4397:E4762)*Eingaben!$B$33*Eingaben!$B$34*(1+Eingaben!$B$42)^(B661-1))*Szenarien!$F$23,0),0)</f>
        <v>0</v>
      </c>
      <c r="E661" s="13" t="n">
        <f aca="false">IFERROR(IF(AND(AND(B661&lt;=Eingaben!$B$11,Szenarien!$H$23="OK"),B661=Eingaben!$B$43),Eingaben!$B$44*Szenarien!$B$23*(1+Eingaben!$B$41)^(B661-1),0),0)</f>
        <v>0</v>
      </c>
      <c r="F661" s="13" t="n">
        <f aca="false">IFERROR(IF(AND(AND(B661&lt;=Eingaben!$B$11,Szenarien!$H$23="OK"),B661=Eingaben!$B$11),Eingaben!$B$45*Szenarien!$B$23,0),0)</f>
        <v>0</v>
      </c>
      <c r="G661" s="13" t="n">
        <f aca="false">C661-D661-E661+F661</f>
        <v>0</v>
      </c>
      <c r="H661" s="13" t="n">
        <f aca="false">IFERROR(IF(AND(B661&lt;=Eingaben!$B$11,Szenarien!$H$23="OK"),1/(1+Eingaben!$B$39+Szenarien!$G$23)^B661,0),0)</f>
        <v>0</v>
      </c>
      <c r="I661" s="13" t="n">
        <f aca="false">G661*H661</f>
        <v>0</v>
      </c>
      <c r="J661" s="13" t="n">
        <f aca="false">(D661+E661-F661)*H661</f>
        <v>0</v>
      </c>
      <c r="K661" s="13" t="n">
        <f aca="false">IF(AND(B661&lt;=Eingaben!$B$11,Szenarien!$H$23="OK"),SUM(Variantenbilanz!K4397:K4762)*H661,0)</f>
        <v>0</v>
      </c>
    </row>
    <row r="662" customFormat="false" ht="16.4" hidden="false" customHeight="false" outlineLevel="0" collapsed="false">
      <c r="A662" s="12"/>
      <c r="B662" s="15" t="n">
        <v>45</v>
      </c>
      <c r="C662" s="13" t="n">
        <f aca="false">IFERROR(IF(AND(B662&lt;=Eingaben!$B$11,Szenarien!$H$23="OK"),SUM(Variantenbilanz!K4397:K4762)*(Eingaben!$B$36*Szenarien!$C$23*(1+Eingaben!$B$40)^(B662-1)+Eingaben!$B$37*Eingaben!$B$38*(1+Eingaben!$B$46)^(B662-1)),0),0)</f>
        <v>0</v>
      </c>
      <c r="D662" s="13" t="n">
        <f aca="false">IFERROR(IF(AND(B662&lt;=Eingaben!$B$11,Szenarien!$H$23="OK"),((Eingaben!$B$32+Eingaben!$B$35)*(1+Eingaben!$B$41)^(B662-1)+SUM(Variantenbilanz!E4397:E4762)*Eingaben!$B$33*Eingaben!$B$34*(1+Eingaben!$B$42)^(B662-1))*Szenarien!$F$23,0),0)</f>
        <v>0</v>
      </c>
      <c r="E662" s="13" t="n">
        <f aca="false">IFERROR(IF(AND(AND(B662&lt;=Eingaben!$B$11,Szenarien!$H$23="OK"),B662=Eingaben!$B$43),Eingaben!$B$44*Szenarien!$B$23*(1+Eingaben!$B$41)^(B662-1),0),0)</f>
        <v>0</v>
      </c>
      <c r="F662" s="13" t="n">
        <f aca="false">IFERROR(IF(AND(AND(B662&lt;=Eingaben!$B$11,Szenarien!$H$23="OK"),B662=Eingaben!$B$11),Eingaben!$B$45*Szenarien!$B$23,0),0)</f>
        <v>0</v>
      </c>
      <c r="G662" s="13" t="n">
        <f aca="false">C662-D662-E662+F662</f>
        <v>0</v>
      </c>
      <c r="H662" s="13" t="n">
        <f aca="false">IFERROR(IF(AND(B662&lt;=Eingaben!$B$11,Szenarien!$H$23="OK"),1/(1+Eingaben!$B$39+Szenarien!$G$23)^B662,0),0)</f>
        <v>0</v>
      </c>
      <c r="I662" s="13" t="n">
        <f aca="false">G662*H662</f>
        <v>0</v>
      </c>
      <c r="J662" s="13" t="n">
        <f aca="false">(D662+E662-F662)*H662</f>
        <v>0</v>
      </c>
      <c r="K662" s="13" t="n">
        <f aca="false">IF(AND(B662&lt;=Eingaben!$B$11,Szenarien!$H$23="OK"),SUM(Variantenbilanz!K4397:K4762)*H662,0)</f>
        <v>0</v>
      </c>
    </row>
    <row r="663" customFormat="false" ht="16.4" hidden="false" customHeight="false" outlineLevel="0" collapsed="false">
      <c r="A663" s="12"/>
      <c r="B663" s="15" t="n">
        <v>46</v>
      </c>
      <c r="C663" s="13" t="n">
        <f aca="false">IFERROR(IF(AND(B663&lt;=Eingaben!$B$11,Szenarien!$H$23="OK"),SUM(Variantenbilanz!K4397:K4762)*(Eingaben!$B$36*Szenarien!$C$23*(1+Eingaben!$B$40)^(B663-1)+Eingaben!$B$37*Eingaben!$B$38*(1+Eingaben!$B$46)^(B663-1)),0),0)</f>
        <v>0</v>
      </c>
      <c r="D663" s="13" t="n">
        <f aca="false">IFERROR(IF(AND(B663&lt;=Eingaben!$B$11,Szenarien!$H$23="OK"),((Eingaben!$B$32+Eingaben!$B$35)*(1+Eingaben!$B$41)^(B663-1)+SUM(Variantenbilanz!E4397:E4762)*Eingaben!$B$33*Eingaben!$B$34*(1+Eingaben!$B$42)^(B663-1))*Szenarien!$F$23,0),0)</f>
        <v>0</v>
      </c>
      <c r="E663" s="13" t="n">
        <f aca="false">IFERROR(IF(AND(AND(B663&lt;=Eingaben!$B$11,Szenarien!$H$23="OK"),B663=Eingaben!$B$43),Eingaben!$B$44*Szenarien!$B$23*(1+Eingaben!$B$41)^(B663-1),0),0)</f>
        <v>0</v>
      </c>
      <c r="F663" s="13" t="n">
        <f aca="false">IFERROR(IF(AND(AND(B663&lt;=Eingaben!$B$11,Szenarien!$H$23="OK"),B663=Eingaben!$B$11),Eingaben!$B$45*Szenarien!$B$23,0),0)</f>
        <v>0</v>
      </c>
      <c r="G663" s="13" t="n">
        <f aca="false">C663-D663-E663+F663</f>
        <v>0</v>
      </c>
      <c r="H663" s="13" t="n">
        <f aca="false">IFERROR(IF(AND(B663&lt;=Eingaben!$B$11,Szenarien!$H$23="OK"),1/(1+Eingaben!$B$39+Szenarien!$G$23)^B663,0),0)</f>
        <v>0</v>
      </c>
      <c r="I663" s="13" t="n">
        <f aca="false">G663*H663</f>
        <v>0</v>
      </c>
      <c r="J663" s="13" t="n">
        <f aca="false">(D663+E663-F663)*H663</f>
        <v>0</v>
      </c>
      <c r="K663" s="13" t="n">
        <f aca="false">IF(AND(B663&lt;=Eingaben!$B$11,Szenarien!$H$23="OK"),SUM(Variantenbilanz!K4397:K4762)*H663,0)</f>
        <v>0</v>
      </c>
    </row>
    <row r="664" customFormat="false" ht="16.4" hidden="false" customHeight="false" outlineLevel="0" collapsed="false">
      <c r="A664" s="12"/>
      <c r="B664" s="15" t="n">
        <v>47</v>
      </c>
      <c r="C664" s="13" t="n">
        <f aca="false">IFERROR(IF(AND(B664&lt;=Eingaben!$B$11,Szenarien!$H$23="OK"),SUM(Variantenbilanz!K4397:K4762)*(Eingaben!$B$36*Szenarien!$C$23*(1+Eingaben!$B$40)^(B664-1)+Eingaben!$B$37*Eingaben!$B$38*(1+Eingaben!$B$46)^(B664-1)),0),0)</f>
        <v>0</v>
      </c>
      <c r="D664" s="13" t="n">
        <f aca="false">IFERROR(IF(AND(B664&lt;=Eingaben!$B$11,Szenarien!$H$23="OK"),((Eingaben!$B$32+Eingaben!$B$35)*(1+Eingaben!$B$41)^(B664-1)+SUM(Variantenbilanz!E4397:E4762)*Eingaben!$B$33*Eingaben!$B$34*(1+Eingaben!$B$42)^(B664-1))*Szenarien!$F$23,0),0)</f>
        <v>0</v>
      </c>
      <c r="E664" s="13" t="n">
        <f aca="false">IFERROR(IF(AND(AND(B664&lt;=Eingaben!$B$11,Szenarien!$H$23="OK"),B664=Eingaben!$B$43),Eingaben!$B$44*Szenarien!$B$23*(1+Eingaben!$B$41)^(B664-1),0),0)</f>
        <v>0</v>
      </c>
      <c r="F664" s="13" t="n">
        <f aca="false">IFERROR(IF(AND(AND(B664&lt;=Eingaben!$B$11,Szenarien!$H$23="OK"),B664=Eingaben!$B$11),Eingaben!$B$45*Szenarien!$B$23,0),0)</f>
        <v>0</v>
      </c>
      <c r="G664" s="13" t="n">
        <f aca="false">C664-D664-E664+F664</f>
        <v>0</v>
      </c>
      <c r="H664" s="13" t="n">
        <f aca="false">IFERROR(IF(AND(B664&lt;=Eingaben!$B$11,Szenarien!$H$23="OK"),1/(1+Eingaben!$B$39+Szenarien!$G$23)^B664,0),0)</f>
        <v>0</v>
      </c>
      <c r="I664" s="13" t="n">
        <f aca="false">G664*H664</f>
        <v>0</v>
      </c>
      <c r="J664" s="13" t="n">
        <f aca="false">(D664+E664-F664)*H664</f>
        <v>0</v>
      </c>
      <c r="K664" s="13" t="n">
        <f aca="false">IF(AND(B664&lt;=Eingaben!$B$11,Szenarien!$H$23="OK"),SUM(Variantenbilanz!K4397:K4762)*H664,0)</f>
        <v>0</v>
      </c>
    </row>
    <row r="665" customFormat="false" ht="16.4" hidden="false" customHeight="false" outlineLevel="0" collapsed="false">
      <c r="A665" s="12"/>
      <c r="B665" s="15" t="n">
        <v>48</v>
      </c>
      <c r="C665" s="13" t="n">
        <f aca="false">IFERROR(IF(AND(B665&lt;=Eingaben!$B$11,Szenarien!$H$23="OK"),SUM(Variantenbilanz!K4397:K4762)*(Eingaben!$B$36*Szenarien!$C$23*(1+Eingaben!$B$40)^(B665-1)+Eingaben!$B$37*Eingaben!$B$38*(1+Eingaben!$B$46)^(B665-1)),0),0)</f>
        <v>0</v>
      </c>
      <c r="D665" s="13" t="n">
        <f aca="false">IFERROR(IF(AND(B665&lt;=Eingaben!$B$11,Szenarien!$H$23="OK"),((Eingaben!$B$32+Eingaben!$B$35)*(1+Eingaben!$B$41)^(B665-1)+SUM(Variantenbilanz!E4397:E4762)*Eingaben!$B$33*Eingaben!$B$34*(1+Eingaben!$B$42)^(B665-1))*Szenarien!$F$23,0),0)</f>
        <v>0</v>
      </c>
      <c r="E665" s="13" t="n">
        <f aca="false">IFERROR(IF(AND(AND(B665&lt;=Eingaben!$B$11,Szenarien!$H$23="OK"),B665=Eingaben!$B$43),Eingaben!$B$44*Szenarien!$B$23*(1+Eingaben!$B$41)^(B665-1),0),0)</f>
        <v>0</v>
      </c>
      <c r="F665" s="13" t="n">
        <f aca="false">IFERROR(IF(AND(AND(B665&lt;=Eingaben!$B$11,Szenarien!$H$23="OK"),B665=Eingaben!$B$11),Eingaben!$B$45*Szenarien!$B$23,0),0)</f>
        <v>0</v>
      </c>
      <c r="G665" s="13" t="n">
        <f aca="false">C665-D665-E665+F665</f>
        <v>0</v>
      </c>
      <c r="H665" s="13" t="n">
        <f aca="false">IFERROR(IF(AND(B665&lt;=Eingaben!$B$11,Szenarien!$H$23="OK"),1/(1+Eingaben!$B$39+Szenarien!$G$23)^B665,0),0)</f>
        <v>0</v>
      </c>
      <c r="I665" s="13" t="n">
        <f aca="false">G665*H665</f>
        <v>0</v>
      </c>
      <c r="J665" s="13" t="n">
        <f aca="false">(D665+E665-F665)*H665</f>
        <v>0</v>
      </c>
      <c r="K665" s="13" t="n">
        <f aca="false">IF(AND(B665&lt;=Eingaben!$B$11,Szenarien!$H$23="OK"),SUM(Variantenbilanz!K4397:K4762)*H665,0)</f>
        <v>0</v>
      </c>
    </row>
    <row r="666" customFormat="false" ht="16.4" hidden="false" customHeight="false" outlineLevel="0" collapsed="false">
      <c r="A666" s="12"/>
      <c r="B666" s="15" t="n">
        <v>49</v>
      </c>
      <c r="C666" s="13" t="n">
        <f aca="false">IFERROR(IF(AND(B666&lt;=Eingaben!$B$11,Szenarien!$H$23="OK"),SUM(Variantenbilanz!K4397:K4762)*(Eingaben!$B$36*Szenarien!$C$23*(1+Eingaben!$B$40)^(B666-1)+Eingaben!$B$37*Eingaben!$B$38*(1+Eingaben!$B$46)^(B666-1)),0),0)</f>
        <v>0</v>
      </c>
      <c r="D666" s="13" t="n">
        <f aca="false">IFERROR(IF(AND(B666&lt;=Eingaben!$B$11,Szenarien!$H$23="OK"),((Eingaben!$B$32+Eingaben!$B$35)*(1+Eingaben!$B$41)^(B666-1)+SUM(Variantenbilanz!E4397:E4762)*Eingaben!$B$33*Eingaben!$B$34*(1+Eingaben!$B$42)^(B666-1))*Szenarien!$F$23,0),0)</f>
        <v>0</v>
      </c>
      <c r="E666" s="13" t="n">
        <f aca="false">IFERROR(IF(AND(AND(B666&lt;=Eingaben!$B$11,Szenarien!$H$23="OK"),B666=Eingaben!$B$43),Eingaben!$B$44*Szenarien!$B$23*(1+Eingaben!$B$41)^(B666-1),0),0)</f>
        <v>0</v>
      </c>
      <c r="F666" s="13" t="n">
        <f aca="false">IFERROR(IF(AND(AND(B666&lt;=Eingaben!$B$11,Szenarien!$H$23="OK"),B666=Eingaben!$B$11),Eingaben!$B$45*Szenarien!$B$23,0),0)</f>
        <v>0</v>
      </c>
      <c r="G666" s="13" t="n">
        <f aca="false">C666-D666-E666+F666</f>
        <v>0</v>
      </c>
      <c r="H666" s="13" t="n">
        <f aca="false">IFERROR(IF(AND(B666&lt;=Eingaben!$B$11,Szenarien!$H$23="OK"),1/(1+Eingaben!$B$39+Szenarien!$G$23)^B666,0),0)</f>
        <v>0</v>
      </c>
      <c r="I666" s="13" t="n">
        <f aca="false">G666*H666</f>
        <v>0</v>
      </c>
      <c r="J666" s="13" t="n">
        <f aca="false">(D666+E666-F666)*H666</f>
        <v>0</v>
      </c>
      <c r="K666" s="13" t="n">
        <f aca="false">IF(AND(B666&lt;=Eingaben!$B$11,Szenarien!$H$23="OK"),SUM(Variantenbilanz!K4397:K4762)*H666,0)</f>
        <v>0</v>
      </c>
    </row>
    <row r="667" customFormat="false" ht="16.4" hidden="false" customHeight="false" outlineLevel="0" collapsed="false">
      <c r="A667" s="12"/>
      <c r="B667" s="15" t="n">
        <v>50</v>
      </c>
      <c r="C667" s="13" t="n">
        <f aca="false">IFERROR(IF(AND(B667&lt;=Eingaben!$B$11,Szenarien!$H$23="OK"),SUM(Variantenbilanz!K4397:K4762)*(Eingaben!$B$36*Szenarien!$C$23*(1+Eingaben!$B$40)^(B667-1)+Eingaben!$B$37*Eingaben!$B$38*(1+Eingaben!$B$46)^(B667-1)),0),0)</f>
        <v>0</v>
      </c>
      <c r="D667" s="13" t="n">
        <f aca="false">IFERROR(IF(AND(B667&lt;=Eingaben!$B$11,Szenarien!$H$23="OK"),((Eingaben!$B$32+Eingaben!$B$35)*(1+Eingaben!$B$41)^(B667-1)+SUM(Variantenbilanz!E4397:E4762)*Eingaben!$B$33*Eingaben!$B$34*(1+Eingaben!$B$42)^(B667-1))*Szenarien!$F$23,0),0)</f>
        <v>0</v>
      </c>
      <c r="E667" s="13" t="n">
        <f aca="false">IFERROR(IF(AND(AND(B667&lt;=Eingaben!$B$11,Szenarien!$H$23="OK"),B667=Eingaben!$B$43),Eingaben!$B$44*Szenarien!$B$23*(1+Eingaben!$B$41)^(B667-1),0),0)</f>
        <v>0</v>
      </c>
      <c r="F667" s="13" t="n">
        <f aca="false">IFERROR(IF(AND(AND(B667&lt;=Eingaben!$B$11,Szenarien!$H$23="OK"),B667=Eingaben!$B$11),Eingaben!$B$45*Szenarien!$B$23,0),0)</f>
        <v>0</v>
      </c>
      <c r="G667" s="13" t="n">
        <f aca="false">C667-D667-E667+F667</f>
        <v>0</v>
      </c>
      <c r="H667" s="13" t="n">
        <f aca="false">IFERROR(IF(AND(B667&lt;=Eingaben!$B$11,Szenarien!$H$23="OK"),1/(1+Eingaben!$B$39+Szenarien!$G$23)^B667,0),0)</f>
        <v>0</v>
      </c>
      <c r="I667" s="13" t="n">
        <f aca="false">G667*H667</f>
        <v>0</v>
      </c>
      <c r="J667" s="13" t="n">
        <f aca="false">(D667+E667-F667)*H667</f>
        <v>0</v>
      </c>
      <c r="K667" s="13" t="n">
        <f aca="false">IF(AND(B667&lt;=Eingaben!$B$11,Szenarien!$H$23="OK"),SUM(Variantenbilanz!K4397:K4762)*H667,0)</f>
        <v>0</v>
      </c>
    </row>
    <row r="668" customFormat="false" ht="31.3" hidden="false" customHeight="false" outlineLevel="0" collapsed="false">
      <c r="A668" s="12" t="s">
        <v>340</v>
      </c>
      <c r="B668" s="15" t="n">
        <v>0</v>
      </c>
      <c r="C668" s="13" t="n">
        <f aca="false">0</f>
        <v>0</v>
      </c>
      <c r="D668" s="13" t="n">
        <f aca="false">0</f>
        <v>0</v>
      </c>
      <c r="E668" s="13" t="n">
        <f aca="false">MAX(0,Berechnung!$B$13*Szenarien!$B$24-MIN(Eingaben!$B$31,Berechnung!$B$13*Szenarien!$B$24))</f>
        <v>25000</v>
      </c>
      <c r="F668" s="13" t="n">
        <f aca="false">0</f>
        <v>0</v>
      </c>
      <c r="G668" s="13" t="n">
        <f aca="false">-E668</f>
        <v>-25000</v>
      </c>
      <c r="H668" s="13" t="n">
        <f aca="false">1</f>
        <v>1</v>
      </c>
      <c r="I668" s="13" t="n">
        <f aca="false">G668</f>
        <v>-25000</v>
      </c>
      <c r="J668" s="13" t="n">
        <f aca="false">E668</f>
        <v>25000</v>
      </c>
      <c r="K668" s="13" t="n">
        <f aca="false">0</f>
        <v>0</v>
      </c>
    </row>
    <row r="669" customFormat="false" ht="16.4" hidden="false" customHeight="false" outlineLevel="0" collapsed="false">
      <c r="A669" s="12"/>
      <c r="B669" s="15" t="n">
        <v>1</v>
      </c>
      <c r="C669" s="13" t="n">
        <f aca="false">IFERROR(IF(AND(B669&lt;=Eingaben!$B$11,Szenarien!$H$24="OK"),SUM(Variantenbilanz!K4763:K5128)*(Eingaben!$B$36*Szenarien!$C$24*(1+Eingaben!$B$40)^(B669-1)+Eingaben!$B$37*Eingaben!$B$38*(1+Eingaben!$B$46)^(B669-1)),0),0)</f>
        <v>1388.474393</v>
      </c>
      <c r="D669" s="13" t="n">
        <f aca="false">IFERROR(IF(AND(B669&lt;=Eingaben!$B$11,Szenarien!$H$24="OK"),((Eingaben!$B$32+Eingaben!$B$35)*(1+Eingaben!$B$41)^(B669-1)+SUM(Variantenbilanz!E4763:E5128)*Eingaben!$B$33*Eingaben!$B$34*(1+Eingaben!$B$42)^(B669-1))*Szenarien!$F$24,0),0)</f>
        <v>781.527</v>
      </c>
      <c r="E669" s="13" t="n">
        <f aca="false">IFERROR(IF(AND(AND(B669&lt;=Eingaben!$B$11,Szenarien!$H$24="OK"),B669=Eingaben!$B$43),Eingaben!$B$44*Szenarien!$B$24*(1+Eingaben!$B$41)^(B669-1),0),0)</f>
        <v>0</v>
      </c>
      <c r="F669" s="13" t="n">
        <f aca="false">IFERROR(IF(AND(AND(B669&lt;=Eingaben!$B$11,Szenarien!$H$24="OK"),B669=Eingaben!$B$11),Eingaben!$B$45*Szenarien!$B$24,0),0)</f>
        <v>0</v>
      </c>
      <c r="G669" s="13" t="n">
        <f aca="false">C669-D669-E669+F669</f>
        <v>606.947393</v>
      </c>
      <c r="H669" s="13" t="n">
        <f aca="false">IFERROR(IF(AND(B669&lt;=Eingaben!$B$11,Szenarien!$H$24="OK"),1/(1+Eingaben!$B$39+Szenarien!$G$24)^B669,0),0)</f>
        <v>0.980392156862745</v>
      </c>
      <c r="I669" s="13" t="n">
        <f aca="false">G669*H669</f>
        <v>595.04646372549</v>
      </c>
      <c r="J669" s="13" t="n">
        <f aca="false">(D669+E669-F669)*H669</f>
        <v>766.202941176471</v>
      </c>
      <c r="K669" s="13" t="n">
        <f aca="false">IF(AND(B669&lt;=Eingaben!$B$11,Szenarien!$H$24="OK"),SUM(Variantenbilanz!K4763:K5128)*H669,0)</f>
        <v>544.499761960784</v>
      </c>
    </row>
    <row r="670" customFormat="false" ht="16.4" hidden="false" customHeight="false" outlineLevel="0" collapsed="false">
      <c r="A670" s="12"/>
      <c r="B670" s="15" t="n">
        <v>2</v>
      </c>
      <c r="C670" s="13" t="n">
        <f aca="false">IFERROR(IF(AND(B670&lt;=Eingaben!$B$11,Szenarien!$H$24="OK"),SUM(Variantenbilanz!K4763:K5128)*(Eingaben!$B$36*Szenarien!$C$24*(1+Eingaben!$B$40)^(B670-1)+Eingaben!$B$37*Eingaben!$B$38*(1+Eingaben!$B$46)^(B670-1)),0),0)</f>
        <v>1416.24388086</v>
      </c>
      <c r="D670" s="13" t="n">
        <f aca="false">IFERROR(IF(AND(B670&lt;=Eingaben!$B$11,Szenarien!$H$24="OK"),((Eingaben!$B$32+Eingaben!$B$35)*(1+Eingaben!$B$41)^(B670-1)+SUM(Variantenbilanz!E4763:E5128)*Eingaben!$B$33*Eingaben!$B$34*(1+Eingaben!$B$42)^(B670-1))*Szenarien!$F$24,0),0)</f>
        <v>797.15754</v>
      </c>
      <c r="E670" s="13" t="n">
        <f aca="false">IFERROR(IF(AND(AND(B670&lt;=Eingaben!$B$11,Szenarien!$H$24="OK"),B670=Eingaben!$B$43),Eingaben!$B$44*Szenarien!$B$24*(1+Eingaben!$B$41)^(B670-1),0),0)</f>
        <v>0</v>
      </c>
      <c r="F670" s="13" t="n">
        <f aca="false">IFERROR(IF(AND(AND(B670&lt;=Eingaben!$B$11,Szenarien!$H$24="OK"),B670=Eingaben!$B$11),Eingaben!$B$45*Szenarien!$B$24,0),0)</f>
        <v>0</v>
      </c>
      <c r="G670" s="13" t="n">
        <f aca="false">C670-D670-E670+F670</f>
        <v>619.08634086</v>
      </c>
      <c r="H670" s="13" t="n">
        <f aca="false">IFERROR(IF(AND(B670&lt;=Eingaben!$B$11,Szenarien!$H$24="OK"),1/(1+Eingaben!$B$39+Szenarien!$G$24)^B670,0),0)</f>
        <v>0.961168781237985</v>
      </c>
      <c r="I670" s="13" t="n">
        <f aca="false">G670*H670</f>
        <v>595.04646372549</v>
      </c>
      <c r="J670" s="13" t="n">
        <f aca="false">(D670+E670-F670)*H670</f>
        <v>766.202941176471</v>
      </c>
      <c r="K670" s="13" t="n">
        <f aca="false">IF(AND(B670&lt;=Eingaben!$B$11,Szenarien!$H$24="OK"),SUM(Variantenbilanz!K4763:K5128)*H670,0)</f>
        <v>533.823296039985</v>
      </c>
    </row>
    <row r="671" customFormat="false" ht="16.4" hidden="false" customHeight="false" outlineLevel="0" collapsed="false">
      <c r="A671" s="12"/>
      <c r="B671" s="15" t="n">
        <v>3</v>
      </c>
      <c r="C671" s="13" t="n">
        <f aca="false">IFERROR(IF(AND(B671&lt;=Eingaben!$B$11,Szenarien!$H$24="OK"),SUM(Variantenbilanz!K4763:K5128)*(Eingaben!$B$36*Szenarien!$C$24*(1+Eingaben!$B$40)^(B671-1)+Eingaben!$B$37*Eingaben!$B$38*(1+Eingaben!$B$46)^(B671-1)),0),0)</f>
        <v>1444.5687584772</v>
      </c>
      <c r="D671" s="13" t="n">
        <f aca="false">IFERROR(IF(AND(B671&lt;=Eingaben!$B$11,Szenarien!$H$24="OK"),((Eingaben!$B$32+Eingaben!$B$35)*(1+Eingaben!$B$41)^(B671-1)+SUM(Variantenbilanz!E4763:E5128)*Eingaben!$B$33*Eingaben!$B$34*(1+Eingaben!$B$42)^(B671-1))*Szenarien!$F$24,0),0)</f>
        <v>813.1006908</v>
      </c>
      <c r="E671" s="13" t="n">
        <f aca="false">IFERROR(IF(AND(AND(B671&lt;=Eingaben!$B$11,Szenarien!$H$24="OK"),B671=Eingaben!$B$43),Eingaben!$B$44*Szenarien!$B$24*(1+Eingaben!$B$41)^(B671-1),0),0)</f>
        <v>0</v>
      </c>
      <c r="F671" s="13" t="n">
        <f aca="false">IFERROR(IF(AND(AND(B671&lt;=Eingaben!$B$11,Szenarien!$H$24="OK"),B671=Eingaben!$B$11),Eingaben!$B$45*Szenarien!$B$24,0),0)</f>
        <v>0</v>
      </c>
      <c r="G671" s="13" t="n">
        <f aca="false">C671-D671-E671+F671</f>
        <v>631.4680676772</v>
      </c>
      <c r="H671" s="13" t="n">
        <f aca="false">IFERROR(IF(AND(B671&lt;=Eingaben!$B$11,Szenarien!$H$24="OK"),1/(1+Eingaben!$B$39+Szenarien!$G$24)^B671,0),0)</f>
        <v>0.942322334547044</v>
      </c>
      <c r="I671" s="13" t="n">
        <f aca="false">G671*H671</f>
        <v>595.04646372549</v>
      </c>
      <c r="J671" s="13" t="n">
        <f aca="false">(D671+E671-F671)*H671</f>
        <v>766.20294117647</v>
      </c>
      <c r="K671" s="13" t="n">
        <f aca="false">IF(AND(B671&lt;=Eingaben!$B$11,Szenarien!$H$24="OK"),SUM(Variantenbilanz!K4763:K5128)*H671,0)</f>
        <v>523.35617258822</v>
      </c>
    </row>
    <row r="672" customFormat="false" ht="16.4" hidden="false" customHeight="false" outlineLevel="0" collapsed="false">
      <c r="A672" s="12"/>
      <c r="B672" s="15" t="n">
        <v>4</v>
      </c>
      <c r="C672" s="13" t="n">
        <f aca="false">IFERROR(IF(AND(B672&lt;=Eingaben!$B$11,Szenarien!$H$24="OK"),SUM(Variantenbilanz!K4763:K5128)*(Eingaben!$B$36*Szenarien!$C$24*(1+Eingaben!$B$40)^(B672-1)+Eingaben!$B$37*Eingaben!$B$38*(1+Eingaben!$B$46)^(B672-1)),0),0)</f>
        <v>1473.46013364674</v>
      </c>
      <c r="D672" s="13" t="n">
        <f aca="false">IFERROR(IF(AND(B672&lt;=Eingaben!$B$11,Szenarien!$H$24="OK"),((Eingaben!$B$32+Eingaben!$B$35)*(1+Eingaben!$B$41)^(B672-1)+SUM(Variantenbilanz!E4763:E5128)*Eingaben!$B$33*Eingaben!$B$34*(1+Eingaben!$B$42)^(B672-1))*Szenarien!$F$24,0),0)</f>
        <v>829.362704616</v>
      </c>
      <c r="E672" s="13" t="n">
        <f aca="false">IFERROR(IF(AND(AND(B672&lt;=Eingaben!$B$11,Szenarien!$H$24="OK"),B672=Eingaben!$B$43),Eingaben!$B$44*Szenarien!$B$24*(1+Eingaben!$B$41)^(B672-1),0),0)</f>
        <v>0</v>
      </c>
      <c r="F672" s="13" t="n">
        <f aca="false">IFERROR(IF(AND(AND(B672&lt;=Eingaben!$B$11,Szenarien!$H$24="OK"),B672=Eingaben!$B$11),Eingaben!$B$45*Szenarien!$B$24,0),0)</f>
        <v>0</v>
      </c>
      <c r="G672" s="13" t="n">
        <f aca="false">C672-D672-E672+F672</f>
        <v>644.097429030744</v>
      </c>
      <c r="H672" s="13" t="n">
        <f aca="false">IFERROR(IF(AND(B672&lt;=Eingaben!$B$11,Szenarien!$H$24="OK"),1/(1+Eingaben!$B$39+Szenarien!$G$24)^B672,0),0)</f>
        <v>0.923845426026514</v>
      </c>
      <c r="I672" s="13" t="n">
        <f aca="false">G672*H672</f>
        <v>595.04646372549</v>
      </c>
      <c r="J672" s="13" t="n">
        <f aca="false">(D672+E672-F672)*H672</f>
        <v>766.202941176471</v>
      </c>
      <c r="K672" s="13" t="n">
        <f aca="false">IF(AND(B672&lt;=Eingaben!$B$11,Szenarien!$H$24="OK"),SUM(Variantenbilanz!K4763:K5128)*H672,0)</f>
        <v>513.094286851196</v>
      </c>
    </row>
    <row r="673" customFormat="false" ht="16.4" hidden="false" customHeight="false" outlineLevel="0" collapsed="false">
      <c r="A673" s="12"/>
      <c r="B673" s="15" t="n">
        <v>5</v>
      </c>
      <c r="C673" s="13" t="n">
        <f aca="false">IFERROR(IF(AND(B673&lt;=Eingaben!$B$11,Szenarien!$H$24="OK"),SUM(Variantenbilanz!K4763:K5128)*(Eingaben!$B$36*Szenarien!$C$24*(1+Eingaben!$B$40)^(B673-1)+Eingaben!$B$37*Eingaben!$B$38*(1+Eingaben!$B$46)^(B673-1)),0),0)</f>
        <v>1502.92933631968</v>
      </c>
      <c r="D673" s="13" t="n">
        <f aca="false">IFERROR(IF(AND(B673&lt;=Eingaben!$B$11,Szenarien!$H$24="OK"),((Eingaben!$B$32+Eingaben!$B$35)*(1+Eingaben!$B$41)^(B673-1)+SUM(Variantenbilanz!E4763:E5128)*Eingaben!$B$33*Eingaben!$B$34*(1+Eingaben!$B$42)^(B673-1))*Szenarien!$F$24,0),0)</f>
        <v>845.94995870832</v>
      </c>
      <c r="E673" s="13" t="n">
        <f aca="false">IFERROR(IF(AND(AND(B673&lt;=Eingaben!$B$11,Szenarien!$H$24="OK"),B673=Eingaben!$B$43),Eingaben!$B$44*Szenarien!$B$24*(1+Eingaben!$B$41)^(B673-1),0),0)</f>
        <v>0</v>
      </c>
      <c r="F673" s="13" t="n">
        <f aca="false">IFERROR(IF(AND(AND(B673&lt;=Eingaben!$B$11,Szenarien!$H$24="OK"),B673=Eingaben!$B$11),Eingaben!$B$45*Szenarien!$B$24,0),0)</f>
        <v>0</v>
      </c>
      <c r="G673" s="13" t="n">
        <f aca="false">C673-D673-E673+F673</f>
        <v>656.979377611359</v>
      </c>
      <c r="H673" s="13" t="n">
        <f aca="false">IFERROR(IF(AND(B673&lt;=Eingaben!$B$11,Szenarien!$H$24="OK"),1/(1+Eingaben!$B$39+Szenarien!$G$24)^B673,0),0)</f>
        <v>0.905730809829916</v>
      </c>
      <c r="I673" s="13" t="n">
        <f aca="false">G673*H673</f>
        <v>595.04646372549</v>
      </c>
      <c r="J673" s="13" t="n">
        <f aca="false">(D673+E673-F673)*H673</f>
        <v>766.202941176471</v>
      </c>
      <c r="K673" s="13" t="n">
        <f aca="false">IF(AND(B673&lt;=Eingaben!$B$11,Szenarien!$H$24="OK"),SUM(Variantenbilanz!K4763:K5128)*H673,0)</f>
        <v>503.033614559996</v>
      </c>
    </row>
    <row r="674" customFormat="false" ht="16.4" hidden="false" customHeight="false" outlineLevel="0" collapsed="false">
      <c r="A674" s="12"/>
      <c r="B674" s="15" t="n">
        <v>6</v>
      </c>
      <c r="C674" s="13" t="n">
        <f aca="false">IFERROR(IF(AND(B674&lt;=Eingaben!$B$11,Szenarien!$H$24="OK"),SUM(Variantenbilanz!K4763:K5128)*(Eingaben!$B$36*Szenarien!$C$24*(1+Eingaben!$B$40)^(B674-1)+Eingaben!$B$37*Eingaben!$B$38*(1+Eingaben!$B$46)^(B674-1)),0),0)</f>
        <v>1532.98792304607</v>
      </c>
      <c r="D674" s="13" t="n">
        <f aca="false">IFERROR(IF(AND(B674&lt;=Eingaben!$B$11,Szenarien!$H$24="OK"),((Eingaben!$B$32+Eingaben!$B$35)*(1+Eingaben!$B$41)^(B674-1)+SUM(Variantenbilanz!E4763:E5128)*Eingaben!$B$33*Eingaben!$B$34*(1+Eingaben!$B$42)^(B674-1))*Szenarien!$F$24,0),0)</f>
        <v>862.868957882486</v>
      </c>
      <c r="E674" s="13" t="n">
        <f aca="false">IFERROR(IF(AND(AND(B674&lt;=Eingaben!$B$11,Szenarien!$H$24="OK"),B674=Eingaben!$B$43),Eingaben!$B$44*Szenarien!$B$24*(1+Eingaben!$B$41)^(B674-1),0),0)</f>
        <v>0</v>
      </c>
      <c r="F674" s="13" t="n">
        <f aca="false">IFERROR(IF(AND(AND(B674&lt;=Eingaben!$B$11,Szenarien!$H$24="OK"),B674=Eingaben!$B$11),Eingaben!$B$45*Szenarien!$B$24,0),0)</f>
        <v>0</v>
      </c>
      <c r="G674" s="13" t="n">
        <f aca="false">C674-D674-E674+F674</f>
        <v>670.118965163586</v>
      </c>
      <c r="H674" s="13" t="n">
        <f aca="false">IFERROR(IF(AND(B674&lt;=Eingaben!$B$11,Szenarien!$H$24="OK"),1/(1+Eingaben!$B$39+Szenarien!$G$24)^B674,0),0)</f>
        <v>0.887971382186192</v>
      </c>
      <c r="I674" s="13" t="n">
        <f aca="false">G674*H674</f>
        <v>595.04646372549</v>
      </c>
      <c r="J674" s="13" t="n">
        <f aca="false">(D674+E674-F674)*H674</f>
        <v>766.202941176471</v>
      </c>
      <c r="K674" s="13" t="n">
        <f aca="false">IF(AND(B674&lt;=Eingaben!$B$11,Szenarien!$H$24="OK"),SUM(Variantenbilanz!K4763:K5128)*H674,0)</f>
        <v>493.170210352938</v>
      </c>
    </row>
    <row r="675" customFormat="false" ht="16.4" hidden="false" customHeight="false" outlineLevel="0" collapsed="false">
      <c r="A675" s="12"/>
      <c r="B675" s="15" t="n">
        <v>7</v>
      </c>
      <c r="C675" s="13" t="n">
        <f aca="false">IFERROR(IF(AND(B675&lt;=Eingaben!$B$11,Szenarien!$H$24="OK"),SUM(Variantenbilanz!K4763:K5128)*(Eingaben!$B$36*Szenarien!$C$24*(1+Eingaben!$B$40)^(B675-1)+Eingaben!$B$37*Eingaben!$B$38*(1+Eingaben!$B$46)^(B675-1)),0),0)</f>
        <v>1563.64768150699</v>
      </c>
      <c r="D675" s="13" t="n">
        <f aca="false">IFERROR(IF(AND(B675&lt;=Eingaben!$B$11,Szenarien!$H$24="OK"),((Eingaben!$B$32+Eingaben!$B$35)*(1+Eingaben!$B$41)^(B675-1)+SUM(Variantenbilanz!E4763:E5128)*Eingaben!$B$33*Eingaben!$B$34*(1+Eingaben!$B$42)^(B675-1))*Szenarien!$F$24,0),0)</f>
        <v>880.126337040136</v>
      </c>
      <c r="E675" s="13" t="n">
        <f aca="false">IFERROR(IF(AND(AND(B675&lt;=Eingaben!$B$11,Szenarien!$H$24="OK"),B675=Eingaben!$B$43),Eingaben!$B$44*Szenarien!$B$24*(1+Eingaben!$B$41)^(B675-1),0),0)</f>
        <v>0</v>
      </c>
      <c r="F675" s="13" t="n">
        <f aca="false">IFERROR(IF(AND(AND(B675&lt;=Eingaben!$B$11,Szenarien!$H$24="OK"),B675=Eingaben!$B$11),Eingaben!$B$45*Szenarien!$B$24,0),0)</f>
        <v>0</v>
      </c>
      <c r="G675" s="13" t="n">
        <f aca="false">C675-D675-E675+F675</f>
        <v>683.521344466858</v>
      </c>
      <c r="H675" s="13" t="n">
        <f aca="false">IFERROR(IF(AND(B675&lt;=Eingaben!$B$11,Szenarien!$H$24="OK"),1/(1+Eingaben!$B$39+Szenarien!$G$24)^B675,0),0)</f>
        <v>0.870560178613914</v>
      </c>
      <c r="I675" s="13" t="n">
        <f aca="false">G675*H675</f>
        <v>595.04646372549</v>
      </c>
      <c r="J675" s="13" t="n">
        <f aca="false">(D675+E675-F675)*H675</f>
        <v>766.202941176471</v>
      </c>
      <c r="K675" s="13" t="n">
        <f aca="false">IF(AND(B675&lt;=Eingaben!$B$11,Szenarien!$H$24="OK"),SUM(Variantenbilanz!K4763:K5128)*H675,0)</f>
        <v>483.50020622837</v>
      </c>
    </row>
    <row r="676" customFormat="false" ht="16.4" hidden="false" customHeight="false" outlineLevel="0" collapsed="false">
      <c r="A676" s="12"/>
      <c r="B676" s="15" t="n">
        <v>8</v>
      </c>
      <c r="C676" s="13" t="n">
        <f aca="false">IFERROR(IF(AND(B676&lt;=Eingaben!$B$11,Szenarien!$H$24="OK"),SUM(Variantenbilanz!K4763:K5128)*(Eingaben!$B$36*Szenarien!$C$24*(1+Eingaben!$B$40)^(B676-1)+Eingaben!$B$37*Eingaben!$B$38*(1+Eingaben!$B$46)^(B676-1)),0),0)</f>
        <v>1594.92063513713</v>
      </c>
      <c r="D676" s="13" t="n">
        <f aca="false">IFERROR(IF(AND(B676&lt;=Eingaben!$B$11,Szenarien!$H$24="OK"),((Eingaben!$B$32+Eingaben!$B$35)*(1+Eingaben!$B$41)^(B676-1)+SUM(Variantenbilanz!E4763:E5128)*Eingaben!$B$33*Eingaben!$B$34*(1+Eingaben!$B$42)^(B676-1))*Szenarien!$F$24,0),0)</f>
        <v>897.728863780939</v>
      </c>
      <c r="E676" s="13" t="n">
        <f aca="false">IFERROR(IF(AND(AND(B676&lt;=Eingaben!$B$11,Szenarien!$H$24="OK"),B676=Eingaben!$B$43),Eingaben!$B$44*Szenarien!$B$24*(1+Eingaben!$B$41)^(B676-1),0),0)</f>
        <v>0</v>
      </c>
      <c r="F676" s="13" t="n">
        <f aca="false">IFERROR(IF(AND(AND(B676&lt;=Eingaben!$B$11,Szenarien!$H$24="OK"),B676=Eingaben!$B$11),Eingaben!$B$45*Szenarien!$B$24,0),0)</f>
        <v>0</v>
      </c>
      <c r="G676" s="13" t="n">
        <f aca="false">C676-D676-E676+F676</f>
        <v>697.191771356195</v>
      </c>
      <c r="H676" s="13" t="n">
        <f aca="false">IFERROR(IF(AND(B676&lt;=Eingaben!$B$11,Szenarien!$H$24="OK"),1/(1+Eingaben!$B$39+Szenarien!$G$24)^B676,0),0)</f>
        <v>0.853490371190111</v>
      </c>
      <c r="I676" s="13" t="n">
        <f aca="false">G676*H676</f>
        <v>595.04646372549</v>
      </c>
      <c r="J676" s="13" t="n">
        <f aca="false">(D676+E676-F676)*H676</f>
        <v>766.20294117647</v>
      </c>
      <c r="K676" s="13" t="n">
        <f aca="false">IF(AND(B676&lt;=Eingaben!$B$11,Szenarien!$H$24="OK"),SUM(Variantenbilanz!K4763:K5128)*H676,0)</f>
        <v>474.019810027814</v>
      </c>
    </row>
    <row r="677" customFormat="false" ht="16.4" hidden="false" customHeight="false" outlineLevel="0" collapsed="false">
      <c r="A677" s="12"/>
      <c r="B677" s="15" t="n">
        <v>9</v>
      </c>
      <c r="C677" s="13" t="n">
        <f aca="false">IFERROR(IF(AND(B677&lt;=Eingaben!$B$11,Szenarien!$H$24="OK"),SUM(Variantenbilanz!K4763:K5128)*(Eingaben!$B$36*Szenarien!$C$24*(1+Eingaben!$B$40)^(B677-1)+Eingaben!$B$37*Eingaben!$B$38*(1+Eingaben!$B$46)^(B677-1)),0),0)</f>
        <v>1626.81904783988</v>
      </c>
      <c r="D677" s="13" t="n">
        <f aca="false">IFERROR(IF(AND(B677&lt;=Eingaben!$B$11,Szenarien!$H$24="OK"),((Eingaben!$B$32+Eingaben!$B$35)*(1+Eingaben!$B$41)^(B677-1)+SUM(Variantenbilanz!E4763:E5128)*Eingaben!$B$33*Eingaben!$B$34*(1+Eingaben!$B$42)^(B677-1))*Szenarien!$F$24,0),0)</f>
        <v>915.683441056558</v>
      </c>
      <c r="E677" s="13" t="n">
        <f aca="false">IFERROR(IF(AND(AND(B677&lt;=Eingaben!$B$11,Szenarien!$H$24="OK"),B677=Eingaben!$B$43),Eingaben!$B$44*Szenarien!$B$24*(1+Eingaben!$B$41)^(B677-1),0),0)</f>
        <v>0</v>
      </c>
      <c r="F677" s="13" t="n">
        <f aca="false">IFERROR(IF(AND(AND(B677&lt;=Eingaben!$B$11,Szenarien!$H$24="OK"),B677=Eingaben!$B$11),Eingaben!$B$45*Szenarien!$B$24,0),0)</f>
        <v>0</v>
      </c>
      <c r="G677" s="13" t="n">
        <f aca="false">C677-D677-E677+F677</f>
        <v>711.135606783319</v>
      </c>
      <c r="H677" s="13" t="n">
        <f aca="false">IFERROR(IF(AND(B677&lt;=Eingaben!$B$11,Szenarien!$H$24="OK"),1/(1+Eingaben!$B$39+Szenarien!$G$24)^B677,0),0)</f>
        <v>0.836755265872658</v>
      </c>
      <c r="I677" s="13" t="n">
        <f aca="false">G677*H677</f>
        <v>595.04646372549</v>
      </c>
      <c r="J677" s="13" t="n">
        <f aca="false">(D677+E677-F677)*H677</f>
        <v>766.202941176471</v>
      </c>
      <c r="K677" s="13" t="n">
        <f aca="false">IF(AND(B677&lt;=Eingaben!$B$11,Szenarien!$H$24="OK"),SUM(Variantenbilanz!K4763:K5128)*H677,0)</f>
        <v>464.725303948837</v>
      </c>
    </row>
    <row r="678" customFormat="false" ht="16.4" hidden="false" customHeight="false" outlineLevel="0" collapsed="false">
      <c r="A678" s="12"/>
      <c r="B678" s="15" t="n">
        <v>10</v>
      </c>
      <c r="C678" s="13" t="n">
        <f aca="false">IFERROR(IF(AND(B678&lt;=Eingaben!$B$11,Szenarien!$H$24="OK"),SUM(Variantenbilanz!K4763:K5128)*(Eingaben!$B$36*Szenarien!$C$24*(1+Eingaben!$B$40)^(B678-1)+Eingaben!$B$37*Eingaben!$B$38*(1+Eingaben!$B$46)^(B678-1)),0),0)</f>
        <v>1659.35542879667</v>
      </c>
      <c r="D678" s="13" t="n">
        <f aca="false">IFERROR(IF(AND(B678&lt;=Eingaben!$B$11,Szenarien!$H$24="OK"),((Eingaben!$B$32+Eingaben!$B$35)*(1+Eingaben!$B$41)^(B678-1)+SUM(Variantenbilanz!E4763:E5128)*Eingaben!$B$33*Eingaben!$B$34*(1+Eingaben!$B$42)^(B678-1))*Szenarien!$F$24,0),0)</f>
        <v>933.997109877689</v>
      </c>
      <c r="E678" s="13" t="n">
        <f aca="false">IFERROR(IF(AND(AND(B678&lt;=Eingaben!$B$11,Szenarien!$H$24="OK"),B678=Eingaben!$B$43),Eingaben!$B$44*Szenarien!$B$24*(1+Eingaben!$B$41)^(B678-1),0),0)</f>
        <v>4780.37027448924</v>
      </c>
      <c r="F678" s="13" t="n">
        <f aca="false">IFERROR(IF(AND(AND(B678&lt;=Eingaben!$B$11,Szenarien!$H$24="OK"),B678=Eingaben!$B$11),Eingaben!$B$45*Szenarien!$B$24,0),0)</f>
        <v>0</v>
      </c>
      <c r="G678" s="13" t="n">
        <f aca="false">C678-D678-E678+F678</f>
        <v>-4055.01195557026</v>
      </c>
      <c r="H678" s="13" t="n">
        <f aca="false">IFERROR(IF(AND(B678&lt;=Eingaben!$B$11,Szenarien!$H$24="OK"),1/(1+Eingaben!$B$39+Szenarien!$G$24)^B678,0),0)</f>
        <v>0.820348299875155</v>
      </c>
      <c r="I678" s="13" t="n">
        <f aca="false">G678*H678</f>
        <v>-3326.52216372549</v>
      </c>
      <c r="J678" s="13" t="n">
        <f aca="false">(D678+E678-F678)*H678</f>
        <v>4687.77156862745</v>
      </c>
      <c r="K678" s="13" t="n">
        <f aca="false">IF(AND(B678&lt;=Eingaben!$B$11,Szenarien!$H$24="OK"),SUM(Variantenbilanz!K4763:K5128)*H678,0)</f>
        <v>455.613043087095</v>
      </c>
    </row>
    <row r="679" customFormat="false" ht="16.4" hidden="false" customHeight="false" outlineLevel="0" collapsed="false">
      <c r="A679" s="12"/>
      <c r="B679" s="15" t="n">
        <v>11</v>
      </c>
      <c r="C679" s="13" t="n">
        <f aca="false">IFERROR(IF(AND(B679&lt;=Eingaben!$B$11,Szenarien!$H$24="OK"),SUM(Variantenbilanz!K4763:K5128)*(Eingaben!$B$36*Szenarien!$C$24*(1+Eingaben!$B$40)^(B679-1)+Eingaben!$B$37*Eingaben!$B$38*(1+Eingaben!$B$46)^(B679-1)),0),0)</f>
        <v>1692.54253737261</v>
      </c>
      <c r="D679" s="13" t="n">
        <f aca="false">IFERROR(IF(AND(B679&lt;=Eingaben!$B$11,Szenarien!$H$24="OK"),((Eingaben!$B$32+Eingaben!$B$35)*(1+Eingaben!$B$41)^(B679-1)+SUM(Variantenbilanz!E4763:E5128)*Eingaben!$B$33*Eingaben!$B$34*(1+Eingaben!$B$42)^(B679-1))*Szenarien!$F$24,0),0)</f>
        <v>952.677052075243</v>
      </c>
      <c r="E679" s="13" t="n">
        <f aca="false">IFERROR(IF(AND(AND(B679&lt;=Eingaben!$B$11,Szenarien!$H$24="OK"),B679=Eingaben!$B$43),Eingaben!$B$44*Szenarien!$B$24*(1+Eingaben!$B$41)^(B679-1),0),0)</f>
        <v>0</v>
      </c>
      <c r="F679" s="13" t="n">
        <f aca="false">IFERROR(IF(AND(AND(B679&lt;=Eingaben!$B$11,Szenarien!$H$24="OK"),B679=Eingaben!$B$11),Eingaben!$B$45*Szenarien!$B$24,0),0)</f>
        <v>0</v>
      </c>
      <c r="G679" s="13" t="n">
        <f aca="false">C679-D679-E679+F679</f>
        <v>739.865485297365</v>
      </c>
      <c r="H679" s="13" t="n">
        <f aca="false">IFERROR(IF(AND(B679&lt;=Eingaben!$B$11,Szenarien!$H$24="OK"),1/(1+Eingaben!$B$39+Szenarien!$G$24)^B679,0),0)</f>
        <v>0.804263039093289</v>
      </c>
      <c r="I679" s="13" t="n">
        <f aca="false">G679*H679</f>
        <v>595.04646372549</v>
      </c>
      <c r="J679" s="13" t="n">
        <f aca="false">(D679+E679-F679)*H679</f>
        <v>766.202941176471</v>
      </c>
      <c r="K679" s="13" t="n">
        <f aca="false">IF(AND(B679&lt;=Eingaben!$B$11,Szenarien!$H$24="OK"),SUM(Variantenbilanz!K4763:K5128)*H679,0)</f>
        <v>446.679454006956</v>
      </c>
    </row>
    <row r="680" customFormat="false" ht="16.4" hidden="false" customHeight="false" outlineLevel="0" collapsed="false">
      <c r="A680" s="12"/>
      <c r="B680" s="15" t="n">
        <v>12</v>
      </c>
      <c r="C680" s="13" t="n">
        <f aca="false">IFERROR(IF(AND(B680&lt;=Eingaben!$B$11,Szenarien!$H$24="OK"),SUM(Variantenbilanz!K4763:K5128)*(Eingaben!$B$36*Szenarien!$C$24*(1+Eingaben!$B$40)^(B680-1)+Eingaben!$B$37*Eingaben!$B$38*(1+Eingaben!$B$46)^(B680-1)),0),0)</f>
        <v>1726.39338812006</v>
      </c>
      <c r="D680" s="13" t="n">
        <f aca="false">IFERROR(IF(AND(B680&lt;=Eingaben!$B$11,Szenarien!$H$24="OK"),((Eingaben!$B$32+Eingaben!$B$35)*(1+Eingaben!$B$41)^(B680-1)+SUM(Variantenbilanz!E4763:E5128)*Eingaben!$B$33*Eingaben!$B$34*(1+Eingaben!$B$42)^(B680-1))*Szenarien!$F$24,0),0)</f>
        <v>971.730593116748</v>
      </c>
      <c r="E680" s="13" t="n">
        <f aca="false">IFERROR(IF(AND(AND(B680&lt;=Eingaben!$B$11,Szenarien!$H$24="OK"),B680=Eingaben!$B$43),Eingaben!$B$44*Szenarien!$B$24*(1+Eingaben!$B$41)^(B680-1),0),0)</f>
        <v>0</v>
      </c>
      <c r="F680" s="13" t="n">
        <f aca="false">IFERROR(IF(AND(AND(B680&lt;=Eingaben!$B$11,Szenarien!$H$24="OK"),B680=Eingaben!$B$11),Eingaben!$B$45*Szenarien!$B$24,0),0)</f>
        <v>0</v>
      </c>
      <c r="G680" s="13" t="n">
        <f aca="false">C680-D680-E680+F680</f>
        <v>754.662795003312</v>
      </c>
      <c r="H680" s="13" t="n">
        <f aca="false">IFERROR(IF(AND(B680&lt;=Eingaben!$B$11,Szenarien!$H$24="OK"),1/(1+Eingaben!$B$39+Szenarien!$G$24)^B680,0),0)</f>
        <v>0.788493175581656</v>
      </c>
      <c r="I680" s="13" t="n">
        <f aca="false">G680*H680</f>
        <v>595.04646372549</v>
      </c>
      <c r="J680" s="13" t="n">
        <f aca="false">(D680+E680-F680)*H680</f>
        <v>766.202941176471</v>
      </c>
      <c r="K680" s="13" t="n">
        <f aca="false">IF(AND(B680&lt;=Eingaben!$B$11,Szenarien!$H$24="OK"),SUM(Variantenbilanz!K4763:K5128)*H680,0)</f>
        <v>437.921033340153</v>
      </c>
    </row>
    <row r="681" customFormat="false" ht="16.4" hidden="false" customHeight="false" outlineLevel="0" collapsed="false">
      <c r="A681" s="12"/>
      <c r="B681" s="15" t="n">
        <v>13</v>
      </c>
      <c r="C681" s="13" t="n">
        <f aca="false">IFERROR(IF(AND(B681&lt;=Eingaben!$B$11,Szenarien!$H$24="OK"),SUM(Variantenbilanz!K4763:K5128)*(Eingaben!$B$36*Szenarien!$C$24*(1+Eingaben!$B$40)^(B681-1)+Eingaben!$B$37*Eingaben!$B$38*(1+Eingaben!$B$46)^(B681-1)),0),0)</f>
        <v>1760.92125588246</v>
      </c>
      <c r="D681" s="13" t="n">
        <f aca="false">IFERROR(IF(AND(B681&lt;=Eingaben!$B$11,Szenarien!$H$24="OK"),((Eingaben!$B$32+Eingaben!$B$35)*(1+Eingaben!$B$41)^(B681-1)+SUM(Variantenbilanz!E4763:E5128)*Eingaben!$B$33*Eingaben!$B$34*(1+Eingaben!$B$42)^(B681-1))*Szenarien!$F$24,0),0)</f>
        <v>991.165204979082</v>
      </c>
      <c r="E681" s="13" t="n">
        <f aca="false">IFERROR(IF(AND(AND(B681&lt;=Eingaben!$B$11,Szenarien!$H$24="OK"),B681=Eingaben!$B$43),Eingaben!$B$44*Szenarien!$B$24*(1+Eingaben!$B$41)^(B681-1),0),0)</f>
        <v>0</v>
      </c>
      <c r="F681" s="13" t="n">
        <f aca="false">IFERROR(IF(AND(AND(B681&lt;=Eingaben!$B$11,Szenarien!$H$24="OK"),B681=Eingaben!$B$11),Eingaben!$B$45*Szenarien!$B$24,0),0)</f>
        <v>0</v>
      </c>
      <c r="G681" s="13" t="n">
        <f aca="false">C681-D681-E681+F681</f>
        <v>769.756050903378</v>
      </c>
      <c r="H681" s="13" t="n">
        <f aca="false">IFERROR(IF(AND(B681&lt;=Eingaben!$B$11,Szenarien!$H$24="OK"),1/(1+Eingaben!$B$39+Szenarien!$G$24)^B681,0),0)</f>
        <v>0.773032525080055</v>
      </c>
      <c r="I681" s="13" t="n">
        <f aca="false">G681*H681</f>
        <v>595.04646372549</v>
      </c>
      <c r="J681" s="13" t="n">
        <f aca="false">(D681+E681-F681)*H681</f>
        <v>766.20294117647</v>
      </c>
      <c r="K681" s="13" t="n">
        <f aca="false">IF(AND(B681&lt;=Eingaben!$B$11,Szenarien!$H$24="OK"),SUM(Variantenbilanz!K4763:K5128)*H681,0)</f>
        <v>429.334346411915</v>
      </c>
    </row>
    <row r="682" customFormat="false" ht="16.4" hidden="false" customHeight="false" outlineLevel="0" collapsed="false">
      <c r="A682" s="12"/>
      <c r="B682" s="15" t="n">
        <v>14</v>
      </c>
      <c r="C682" s="13" t="n">
        <f aca="false">IFERROR(IF(AND(B682&lt;=Eingaben!$B$11,Szenarien!$H$24="OK"),SUM(Variantenbilanz!K4763:K5128)*(Eingaben!$B$36*Szenarien!$C$24*(1+Eingaben!$B$40)^(B682-1)+Eingaben!$B$37*Eingaben!$B$38*(1+Eingaben!$B$46)^(B682-1)),0),0)</f>
        <v>1796.13968100011</v>
      </c>
      <c r="D682" s="13" t="n">
        <f aca="false">IFERROR(IF(AND(B682&lt;=Eingaben!$B$11,Szenarien!$H$24="OK"),((Eingaben!$B$32+Eingaben!$B$35)*(1+Eingaben!$B$41)^(B682-1)+SUM(Variantenbilanz!E4763:E5128)*Eingaben!$B$33*Eingaben!$B$34*(1+Eingaben!$B$42)^(B682-1))*Szenarien!$F$24,0),0)</f>
        <v>1010.98850907866</v>
      </c>
      <c r="E682" s="13" t="n">
        <f aca="false">IFERROR(IF(AND(AND(B682&lt;=Eingaben!$B$11,Szenarien!$H$24="OK"),B682=Eingaben!$B$43),Eingaben!$B$44*Szenarien!$B$24*(1+Eingaben!$B$41)^(B682-1),0),0)</f>
        <v>0</v>
      </c>
      <c r="F682" s="13" t="n">
        <f aca="false">IFERROR(IF(AND(AND(B682&lt;=Eingaben!$B$11,Szenarien!$H$24="OK"),B682=Eingaben!$B$11),Eingaben!$B$45*Szenarien!$B$24,0),0)</f>
        <v>0</v>
      </c>
      <c r="G682" s="13" t="n">
        <f aca="false">C682-D682-E682+F682</f>
        <v>785.151171921446</v>
      </c>
      <c r="H682" s="13" t="n">
        <f aca="false">IFERROR(IF(AND(B682&lt;=Eingaben!$B$11,Szenarien!$H$24="OK"),1/(1+Eingaben!$B$39+Szenarien!$G$24)^B682,0),0)</f>
        <v>0.757875024588289</v>
      </c>
      <c r="I682" s="13" t="n">
        <f aca="false">G682*H682</f>
        <v>595.04646372549</v>
      </c>
      <c r="J682" s="13" t="n">
        <f aca="false">(D682+E682-F682)*H682</f>
        <v>766.202941176471</v>
      </c>
      <c r="K682" s="13" t="n">
        <f aca="false">IF(AND(B682&lt;=Eingaben!$B$11,Szenarien!$H$24="OK"),SUM(Variantenbilanz!K4763:K5128)*H682,0)</f>
        <v>420.916025894034</v>
      </c>
    </row>
    <row r="683" customFormat="false" ht="16.4" hidden="false" customHeight="false" outlineLevel="0" collapsed="false">
      <c r="A683" s="12"/>
      <c r="B683" s="15" t="n">
        <v>15</v>
      </c>
      <c r="C683" s="13" t="n">
        <f aca="false">IFERROR(IF(AND(B683&lt;=Eingaben!$B$11,Szenarien!$H$24="OK"),SUM(Variantenbilanz!K4763:K5128)*(Eingaben!$B$36*Szenarien!$C$24*(1+Eingaben!$B$40)^(B683-1)+Eingaben!$B$37*Eingaben!$B$38*(1+Eingaben!$B$46)^(B683-1)),0),0)</f>
        <v>1832.06247462011</v>
      </c>
      <c r="D683" s="13" t="n">
        <f aca="false">IFERROR(IF(AND(B683&lt;=Eingaben!$B$11,Szenarien!$H$24="OK"),((Eingaben!$B$32+Eingaben!$B$35)*(1+Eingaben!$B$41)^(B683-1)+SUM(Variantenbilanz!E4763:E5128)*Eingaben!$B$33*Eingaben!$B$34*(1+Eingaben!$B$42)^(B683-1))*Szenarien!$F$24,0),0)</f>
        <v>1031.20827926024</v>
      </c>
      <c r="E683" s="13" t="n">
        <f aca="false">IFERROR(IF(AND(AND(B683&lt;=Eingaben!$B$11,Szenarien!$H$24="OK"),B683=Eingaben!$B$43),Eingaben!$B$44*Szenarien!$B$24*(1+Eingaben!$B$41)^(B683-1),0),0)</f>
        <v>0</v>
      </c>
      <c r="F683" s="13" t="n">
        <f aca="false">IFERROR(IF(AND(AND(B683&lt;=Eingaben!$B$11,Szenarien!$H$24="OK"),B683=Eingaben!$B$11),Eingaben!$B$45*Szenarien!$B$24,0),0)</f>
        <v>0</v>
      </c>
      <c r="G683" s="13" t="n">
        <f aca="false">C683-D683-E683+F683</f>
        <v>800.854195359875</v>
      </c>
      <c r="H683" s="13" t="n">
        <f aca="false">IFERROR(IF(AND(B683&lt;=Eingaben!$B$11,Szenarien!$H$24="OK"),1/(1+Eingaben!$B$39+Szenarien!$G$24)^B683,0),0)</f>
        <v>0.743014729988519</v>
      </c>
      <c r="I683" s="13" t="n">
        <f aca="false">G683*H683</f>
        <v>595.04646372549</v>
      </c>
      <c r="J683" s="13" t="n">
        <f aca="false">(D683+E683-F683)*H683</f>
        <v>766.202941176471</v>
      </c>
      <c r="K683" s="13" t="n">
        <f aca="false">IF(AND(B683&lt;=Eingaben!$B$11,Szenarien!$H$24="OK"),SUM(Variantenbilanz!K4763:K5128)*H683,0)</f>
        <v>412.662770484347</v>
      </c>
    </row>
    <row r="684" customFormat="false" ht="16.4" hidden="false" customHeight="false" outlineLevel="0" collapsed="false">
      <c r="A684" s="12"/>
      <c r="B684" s="15" t="n">
        <v>16</v>
      </c>
      <c r="C684" s="13" t="n">
        <f aca="false">IFERROR(IF(AND(B684&lt;=Eingaben!$B$11,Szenarien!$H$24="OK"),SUM(Variantenbilanz!K4763:K5128)*(Eingaben!$B$36*Szenarien!$C$24*(1+Eingaben!$B$40)^(B684-1)+Eingaben!$B$37*Eingaben!$B$38*(1+Eingaben!$B$46)^(B684-1)),0),0)</f>
        <v>1868.70372411251</v>
      </c>
      <c r="D684" s="13" t="n">
        <f aca="false">IFERROR(IF(AND(B684&lt;=Eingaben!$B$11,Szenarien!$H$24="OK"),((Eingaben!$B$32+Eingaben!$B$35)*(1+Eingaben!$B$41)^(B684-1)+SUM(Variantenbilanz!E4763:E5128)*Eingaben!$B$33*Eingaben!$B$34*(1+Eingaben!$B$42)^(B684-1))*Szenarien!$F$24,0),0)</f>
        <v>1051.83244484544</v>
      </c>
      <c r="E684" s="13" t="n">
        <f aca="false">IFERROR(IF(AND(AND(B684&lt;=Eingaben!$B$11,Szenarien!$H$24="OK"),B684=Eingaben!$B$43),Eingaben!$B$44*Szenarien!$B$24*(1+Eingaben!$B$41)^(B684-1),0),0)</f>
        <v>0</v>
      </c>
      <c r="F684" s="13" t="n">
        <f aca="false">IFERROR(IF(AND(AND(B684&lt;=Eingaben!$B$11,Szenarien!$H$24="OK"),B684=Eingaben!$B$11),Eingaben!$B$45*Szenarien!$B$24,0),0)</f>
        <v>0</v>
      </c>
      <c r="G684" s="13" t="n">
        <f aca="false">C684-D684-E684+F684</f>
        <v>816.871279267072</v>
      </c>
      <c r="H684" s="13" t="n">
        <f aca="false">IFERROR(IF(AND(B684&lt;=Eingaben!$B$11,Szenarien!$H$24="OK"),1/(1+Eingaben!$B$39+Szenarien!$G$24)^B684,0),0)</f>
        <v>0.728445813714234</v>
      </c>
      <c r="I684" s="13" t="n">
        <f aca="false">G684*H684</f>
        <v>595.04646372549</v>
      </c>
      <c r="J684" s="13" t="n">
        <f aca="false">(D684+E684-F684)*H684</f>
        <v>766.202941176471</v>
      </c>
      <c r="K684" s="13" t="n">
        <f aca="false">IF(AND(B684&lt;=Eingaben!$B$11,Szenarien!$H$24="OK"),SUM(Variantenbilanz!K4763:K5128)*H684,0)</f>
        <v>404.571343612105</v>
      </c>
    </row>
    <row r="685" customFormat="false" ht="16.4" hidden="false" customHeight="false" outlineLevel="0" collapsed="false">
      <c r="A685" s="12"/>
      <c r="B685" s="15" t="n">
        <v>17</v>
      </c>
      <c r="C685" s="13" t="n">
        <f aca="false">IFERROR(IF(AND(B685&lt;=Eingaben!$B$11,Szenarien!$H$24="OK"),SUM(Variantenbilanz!K4763:K5128)*(Eingaben!$B$36*Szenarien!$C$24*(1+Eingaben!$B$40)^(B685-1)+Eingaben!$B$37*Eingaben!$B$38*(1+Eingaben!$B$46)^(B685-1)),0),0)</f>
        <v>1906.07779859477</v>
      </c>
      <c r="D685" s="13" t="n">
        <f aca="false">IFERROR(IF(AND(B685&lt;=Eingaben!$B$11,Szenarien!$H$24="OK"),((Eingaben!$B$32+Eingaben!$B$35)*(1+Eingaben!$B$41)^(B685-1)+SUM(Variantenbilanz!E4763:E5128)*Eingaben!$B$33*Eingaben!$B$34*(1+Eingaben!$B$42)^(B685-1))*Szenarien!$F$24,0),0)</f>
        <v>1072.86909374235</v>
      </c>
      <c r="E685" s="13" t="n">
        <f aca="false">IFERROR(IF(AND(AND(B685&lt;=Eingaben!$B$11,Szenarien!$H$24="OK"),B685=Eingaben!$B$43),Eingaben!$B$44*Szenarien!$B$24*(1+Eingaben!$B$41)^(B685-1),0),0)</f>
        <v>0</v>
      </c>
      <c r="F685" s="13" t="n">
        <f aca="false">IFERROR(IF(AND(AND(B685&lt;=Eingaben!$B$11,Szenarien!$H$24="OK"),B685=Eingaben!$B$11),Eingaben!$B$45*Szenarien!$B$24,0),0)</f>
        <v>0</v>
      </c>
      <c r="G685" s="13" t="n">
        <f aca="false">C685-D685-E685+F685</f>
        <v>833.208704852414</v>
      </c>
      <c r="H685" s="13" t="n">
        <f aca="false">IFERROR(IF(AND(B685&lt;=Eingaben!$B$11,Szenarien!$H$24="OK"),1/(1+Eingaben!$B$39+Szenarien!$G$24)^B685,0),0)</f>
        <v>0.714162562464936</v>
      </c>
      <c r="I685" s="13" t="n">
        <f aca="false">G685*H685</f>
        <v>595.04646372549</v>
      </c>
      <c r="J685" s="13" t="n">
        <f aca="false">(D685+E685-F685)*H685</f>
        <v>766.202941176471</v>
      </c>
      <c r="K685" s="13" t="n">
        <f aca="false">IF(AND(B685&lt;=Eingaben!$B$11,Szenarien!$H$24="OK"),SUM(Variantenbilanz!K4763:K5128)*H685,0)</f>
        <v>396.63857216873</v>
      </c>
    </row>
    <row r="686" customFormat="false" ht="16.4" hidden="false" customHeight="false" outlineLevel="0" collapsed="false">
      <c r="A686" s="12"/>
      <c r="B686" s="15" t="n">
        <v>18</v>
      </c>
      <c r="C686" s="13" t="n">
        <f aca="false">IFERROR(IF(AND(B686&lt;=Eingaben!$B$11,Szenarien!$H$24="OK"),SUM(Variantenbilanz!K4763:K5128)*(Eingaben!$B$36*Szenarien!$C$24*(1+Eingaben!$B$40)^(B686-1)+Eingaben!$B$37*Eingaben!$B$38*(1+Eingaben!$B$46)^(B686-1)),0),0)</f>
        <v>1944.19935456666</v>
      </c>
      <c r="D686" s="13" t="n">
        <f aca="false">IFERROR(IF(AND(B686&lt;=Eingaben!$B$11,Szenarien!$H$24="OK"),((Eingaben!$B$32+Eingaben!$B$35)*(1+Eingaben!$B$41)^(B686-1)+SUM(Variantenbilanz!E4763:E5128)*Eingaben!$B$33*Eingaben!$B$34*(1+Eingaben!$B$42)^(B686-1))*Szenarien!$F$24,0),0)</f>
        <v>1094.3264756172</v>
      </c>
      <c r="E686" s="13" t="n">
        <f aca="false">IFERROR(IF(AND(AND(B686&lt;=Eingaben!$B$11,Szenarien!$H$24="OK"),B686=Eingaben!$B$43),Eingaben!$B$44*Szenarien!$B$24*(1+Eingaben!$B$41)^(B686-1),0),0)</f>
        <v>0</v>
      </c>
      <c r="F686" s="13" t="n">
        <f aca="false">IFERROR(IF(AND(AND(B686&lt;=Eingaben!$B$11,Szenarien!$H$24="OK"),B686=Eingaben!$B$11),Eingaben!$B$45*Szenarien!$B$24,0),0)</f>
        <v>0</v>
      </c>
      <c r="G686" s="13" t="n">
        <f aca="false">C686-D686-E686+F686</f>
        <v>849.872878949462</v>
      </c>
      <c r="H686" s="13" t="n">
        <f aca="false">IFERROR(IF(AND(B686&lt;=Eingaben!$B$11,Szenarien!$H$24="OK"),1/(1+Eingaben!$B$39+Szenarien!$G$24)^B686,0),0)</f>
        <v>0.700159374965623</v>
      </c>
      <c r="I686" s="13" t="n">
        <f aca="false">G686*H686</f>
        <v>595.04646372549</v>
      </c>
      <c r="J686" s="13" t="n">
        <f aca="false">(D686+E686-F686)*H686</f>
        <v>766.202941176471</v>
      </c>
      <c r="K686" s="13" t="n">
        <f aca="false">IF(AND(B686&lt;=Eingaben!$B$11,Szenarien!$H$24="OK"),SUM(Variantenbilanz!K4763:K5128)*H686,0)</f>
        <v>388.861345263461</v>
      </c>
    </row>
    <row r="687" customFormat="false" ht="16.4" hidden="false" customHeight="false" outlineLevel="0" collapsed="false">
      <c r="A687" s="12"/>
      <c r="B687" s="15" t="n">
        <v>19</v>
      </c>
      <c r="C687" s="13" t="n">
        <f aca="false">IFERROR(IF(AND(B687&lt;=Eingaben!$B$11,Szenarien!$H$24="OK"),SUM(Variantenbilanz!K4763:K5128)*(Eingaben!$B$36*Szenarien!$C$24*(1+Eingaben!$B$40)^(B687-1)+Eingaben!$B$37*Eingaben!$B$38*(1+Eingaben!$B$46)^(B687-1)),0),0)</f>
        <v>1983.08334165799</v>
      </c>
      <c r="D687" s="13" t="n">
        <f aca="false">IFERROR(IF(AND(B687&lt;=Eingaben!$B$11,Szenarien!$H$24="OK"),((Eingaben!$B$32+Eingaben!$B$35)*(1+Eingaben!$B$41)^(B687-1)+SUM(Variantenbilanz!E4763:E5128)*Eingaben!$B$33*Eingaben!$B$34*(1+Eingaben!$B$42)^(B687-1))*Szenarien!$F$24,0),0)</f>
        <v>1116.21300512954</v>
      </c>
      <c r="E687" s="13" t="n">
        <f aca="false">IFERROR(IF(AND(AND(B687&lt;=Eingaben!$B$11,Szenarien!$H$24="OK"),B687=Eingaben!$B$43),Eingaben!$B$44*Szenarien!$B$24*(1+Eingaben!$B$41)^(B687-1),0),0)</f>
        <v>0</v>
      </c>
      <c r="F687" s="13" t="n">
        <f aca="false">IFERROR(IF(AND(AND(B687&lt;=Eingaben!$B$11,Szenarien!$H$24="OK"),B687=Eingaben!$B$11),Eingaben!$B$45*Szenarien!$B$24,0),0)</f>
        <v>0</v>
      </c>
      <c r="G687" s="13" t="n">
        <f aca="false">C687-D687-E687+F687</f>
        <v>866.870336528452</v>
      </c>
      <c r="H687" s="13" t="n">
        <f aca="false">IFERROR(IF(AND(B687&lt;=Eingaben!$B$11,Szenarien!$H$24="OK"),1/(1+Eingaben!$B$39+Szenarien!$G$24)^B687,0),0)</f>
        <v>0.686430759770219</v>
      </c>
      <c r="I687" s="13" t="n">
        <f aca="false">G687*H687</f>
        <v>595.04646372549</v>
      </c>
      <c r="J687" s="13" t="n">
        <f aca="false">(D687+E687-F687)*H687</f>
        <v>766.202941176471</v>
      </c>
      <c r="K687" s="13" t="n">
        <f aca="false">IF(AND(B687&lt;=Eingaben!$B$11,Szenarien!$H$24="OK"),SUM(Variantenbilanz!K4763:K5128)*H687,0)</f>
        <v>381.236613003393</v>
      </c>
    </row>
    <row r="688" customFormat="false" ht="16.4" hidden="false" customHeight="false" outlineLevel="0" collapsed="false">
      <c r="A688" s="12"/>
      <c r="B688" s="15" t="n">
        <v>20</v>
      </c>
      <c r="C688" s="13" t="n">
        <f aca="false">IFERROR(IF(AND(B688&lt;=Eingaben!$B$11,Szenarien!$H$24="OK"),SUM(Variantenbilanz!K4763:K5128)*(Eingaben!$B$36*Szenarien!$C$24*(1+Eingaben!$B$40)^(B688-1)+Eingaben!$B$37*Eingaben!$B$38*(1+Eingaben!$B$46)^(B688-1)),0),0)</f>
        <v>2022.74500849115</v>
      </c>
      <c r="D688" s="13" t="n">
        <f aca="false">IFERROR(IF(AND(B688&lt;=Eingaben!$B$11,Szenarien!$H$24="OK"),((Eingaben!$B$32+Eingaben!$B$35)*(1+Eingaben!$B$41)^(B688-1)+SUM(Variantenbilanz!E4763:E5128)*Eingaben!$B$33*Eingaben!$B$34*(1+Eingaben!$B$42)^(B688-1))*Szenarien!$F$24,0),0)</f>
        <v>1138.53726523213</v>
      </c>
      <c r="E688" s="13" t="n">
        <f aca="false">IFERROR(IF(AND(AND(B688&lt;=Eingaben!$B$11,Szenarien!$H$24="OK"),B688=Eingaben!$B$43),Eingaben!$B$44*Szenarien!$B$24*(1+Eingaben!$B$41)^(B688-1),0),0)</f>
        <v>0</v>
      </c>
      <c r="F688" s="13" t="n">
        <f aca="false">IFERROR(IF(AND(AND(B688&lt;=Eingaben!$B$11,Szenarien!$H$24="OK"),B688=Eingaben!$B$11),Eingaben!$B$45*Szenarien!$B$24,0),0)</f>
        <v>0</v>
      </c>
      <c r="G688" s="13" t="n">
        <f aca="false">C688-D688-E688+F688</f>
        <v>884.20774325902</v>
      </c>
      <c r="H688" s="13" t="n">
        <f aca="false">IFERROR(IF(AND(B688&lt;=Eingaben!$B$11,Szenarien!$H$24="OK"),1/(1+Eingaben!$B$39+Szenarien!$G$24)^B688,0),0)</f>
        <v>0.672971333108058</v>
      </c>
      <c r="I688" s="13" t="n">
        <f aca="false">G688*H688</f>
        <v>595.04646372549</v>
      </c>
      <c r="J688" s="13" t="n">
        <f aca="false">(D688+E688-F688)*H688</f>
        <v>766.202941176471</v>
      </c>
      <c r="K688" s="13" t="n">
        <f aca="false">IF(AND(B688&lt;=Eingaben!$B$11,Szenarien!$H$24="OK"),SUM(Variantenbilanz!K4763:K5128)*H688,0)</f>
        <v>373.761385297444</v>
      </c>
    </row>
    <row r="689" customFormat="false" ht="16.4" hidden="false" customHeight="false" outlineLevel="0" collapsed="false">
      <c r="A689" s="12"/>
      <c r="B689" s="15" t="n">
        <v>21</v>
      </c>
      <c r="C689" s="13" t="n">
        <f aca="false">IFERROR(IF(AND(B689&lt;=Eingaben!$B$11,Szenarien!$H$24="OK"),SUM(Variantenbilanz!K4763:K5128)*(Eingaben!$B$36*Szenarien!$C$24*(1+Eingaben!$B$40)^(B689-1)+Eingaben!$B$37*Eingaben!$B$38*(1+Eingaben!$B$46)^(B689-1)),0),0)</f>
        <v>0</v>
      </c>
      <c r="D689" s="13" t="n">
        <f aca="false">IFERROR(IF(AND(B689&lt;=Eingaben!$B$11,Szenarien!$H$24="OK"),((Eingaben!$B$32+Eingaben!$B$35)*(1+Eingaben!$B$41)^(B689-1)+SUM(Variantenbilanz!E4763:E5128)*Eingaben!$B$33*Eingaben!$B$34*(1+Eingaben!$B$42)^(B689-1))*Szenarien!$F$24,0),0)</f>
        <v>0</v>
      </c>
      <c r="E689" s="13" t="n">
        <f aca="false">IFERROR(IF(AND(AND(B689&lt;=Eingaben!$B$11,Szenarien!$H$24="OK"),B689=Eingaben!$B$43),Eingaben!$B$44*Szenarien!$B$24*(1+Eingaben!$B$41)^(B689-1),0),0)</f>
        <v>0</v>
      </c>
      <c r="F689" s="13" t="n">
        <f aca="false">IFERROR(IF(AND(AND(B689&lt;=Eingaben!$B$11,Szenarien!$H$24="OK"),B689=Eingaben!$B$11),Eingaben!$B$45*Szenarien!$B$24,0),0)</f>
        <v>0</v>
      </c>
      <c r="G689" s="13" t="n">
        <f aca="false">C689-D689-E689+F689</f>
        <v>0</v>
      </c>
      <c r="H689" s="13" t="n">
        <f aca="false">IFERROR(IF(AND(B689&lt;=Eingaben!$B$11,Szenarien!$H$24="OK"),1/(1+Eingaben!$B$39+Szenarien!$G$24)^B689,0),0)</f>
        <v>0</v>
      </c>
      <c r="I689" s="13" t="n">
        <f aca="false">G689*H689</f>
        <v>0</v>
      </c>
      <c r="J689" s="13" t="n">
        <f aca="false">(D689+E689-F689)*H689</f>
        <v>0</v>
      </c>
      <c r="K689" s="13" t="n">
        <f aca="false">IF(AND(B689&lt;=Eingaben!$B$11,Szenarien!$H$24="OK"),SUM(Variantenbilanz!K4763:K5128)*H689,0)</f>
        <v>0</v>
      </c>
    </row>
    <row r="690" customFormat="false" ht="16.4" hidden="false" customHeight="false" outlineLevel="0" collapsed="false">
      <c r="A690" s="12"/>
      <c r="B690" s="15" t="n">
        <v>22</v>
      </c>
      <c r="C690" s="13" t="n">
        <f aca="false">IFERROR(IF(AND(B690&lt;=Eingaben!$B$11,Szenarien!$H$24="OK"),SUM(Variantenbilanz!K4763:K5128)*(Eingaben!$B$36*Szenarien!$C$24*(1+Eingaben!$B$40)^(B690-1)+Eingaben!$B$37*Eingaben!$B$38*(1+Eingaben!$B$46)^(B690-1)),0),0)</f>
        <v>0</v>
      </c>
      <c r="D690" s="13" t="n">
        <f aca="false">IFERROR(IF(AND(B690&lt;=Eingaben!$B$11,Szenarien!$H$24="OK"),((Eingaben!$B$32+Eingaben!$B$35)*(1+Eingaben!$B$41)^(B690-1)+SUM(Variantenbilanz!E4763:E5128)*Eingaben!$B$33*Eingaben!$B$34*(1+Eingaben!$B$42)^(B690-1))*Szenarien!$F$24,0),0)</f>
        <v>0</v>
      </c>
      <c r="E690" s="13" t="n">
        <f aca="false">IFERROR(IF(AND(AND(B690&lt;=Eingaben!$B$11,Szenarien!$H$24="OK"),B690=Eingaben!$B$43),Eingaben!$B$44*Szenarien!$B$24*(1+Eingaben!$B$41)^(B690-1),0),0)</f>
        <v>0</v>
      </c>
      <c r="F690" s="13" t="n">
        <f aca="false">IFERROR(IF(AND(AND(B690&lt;=Eingaben!$B$11,Szenarien!$H$24="OK"),B690=Eingaben!$B$11),Eingaben!$B$45*Szenarien!$B$24,0),0)</f>
        <v>0</v>
      </c>
      <c r="G690" s="13" t="n">
        <f aca="false">C690-D690-E690+F690</f>
        <v>0</v>
      </c>
      <c r="H690" s="13" t="n">
        <f aca="false">IFERROR(IF(AND(B690&lt;=Eingaben!$B$11,Szenarien!$H$24="OK"),1/(1+Eingaben!$B$39+Szenarien!$G$24)^B690,0),0)</f>
        <v>0</v>
      </c>
      <c r="I690" s="13" t="n">
        <f aca="false">G690*H690</f>
        <v>0</v>
      </c>
      <c r="J690" s="13" t="n">
        <f aca="false">(D690+E690-F690)*H690</f>
        <v>0</v>
      </c>
      <c r="K690" s="13" t="n">
        <f aca="false">IF(AND(B690&lt;=Eingaben!$B$11,Szenarien!$H$24="OK"),SUM(Variantenbilanz!K4763:K5128)*H690,0)</f>
        <v>0</v>
      </c>
    </row>
    <row r="691" customFormat="false" ht="16.4" hidden="false" customHeight="false" outlineLevel="0" collapsed="false">
      <c r="A691" s="12"/>
      <c r="B691" s="15" t="n">
        <v>23</v>
      </c>
      <c r="C691" s="13" t="n">
        <f aca="false">IFERROR(IF(AND(B691&lt;=Eingaben!$B$11,Szenarien!$H$24="OK"),SUM(Variantenbilanz!K4763:K5128)*(Eingaben!$B$36*Szenarien!$C$24*(1+Eingaben!$B$40)^(B691-1)+Eingaben!$B$37*Eingaben!$B$38*(1+Eingaben!$B$46)^(B691-1)),0),0)</f>
        <v>0</v>
      </c>
      <c r="D691" s="13" t="n">
        <f aca="false">IFERROR(IF(AND(B691&lt;=Eingaben!$B$11,Szenarien!$H$24="OK"),((Eingaben!$B$32+Eingaben!$B$35)*(1+Eingaben!$B$41)^(B691-1)+SUM(Variantenbilanz!E4763:E5128)*Eingaben!$B$33*Eingaben!$B$34*(1+Eingaben!$B$42)^(B691-1))*Szenarien!$F$24,0),0)</f>
        <v>0</v>
      </c>
      <c r="E691" s="13" t="n">
        <f aca="false">IFERROR(IF(AND(AND(B691&lt;=Eingaben!$B$11,Szenarien!$H$24="OK"),B691=Eingaben!$B$43),Eingaben!$B$44*Szenarien!$B$24*(1+Eingaben!$B$41)^(B691-1),0),0)</f>
        <v>0</v>
      </c>
      <c r="F691" s="13" t="n">
        <f aca="false">IFERROR(IF(AND(AND(B691&lt;=Eingaben!$B$11,Szenarien!$H$24="OK"),B691=Eingaben!$B$11),Eingaben!$B$45*Szenarien!$B$24,0),0)</f>
        <v>0</v>
      </c>
      <c r="G691" s="13" t="n">
        <f aca="false">C691-D691-E691+F691</f>
        <v>0</v>
      </c>
      <c r="H691" s="13" t="n">
        <f aca="false">IFERROR(IF(AND(B691&lt;=Eingaben!$B$11,Szenarien!$H$24="OK"),1/(1+Eingaben!$B$39+Szenarien!$G$24)^B691,0),0)</f>
        <v>0</v>
      </c>
      <c r="I691" s="13" t="n">
        <f aca="false">G691*H691</f>
        <v>0</v>
      </c>
      <c r="J691" s="13" t="n">
        <f aca="false">(D691+E691-F691)*H691</f>
        <v>0</v>
      </c>
      <c r="K691" s="13" t="n">
        <f aca="false">IF(AND(B691&lt;=Eingaben!$B$11,Szenarien!$H$24="OK"),SUM(Variantenbilanz!K4763:K5128)*H691,0)</f>
        <v>0</v>
      </c>
    </row>
    <row r="692" customFormat="false" ht="16.4" hidden="false" customHeight="false" outlineLevel="0" collapsed="false">
      <c r="A692" s="12"/>
      <c r="B692" s="15" t="n">
        <v>24</v>
      </c>
      <c r="C692" s="13" t="n">
        <f aca="false">IFERROR(IF(AND(B692&lt;=Eingaben!$B$11,Szenarien!$H$24="OK"),SUM(Variantenbilanz!K4763:K5128)*(Eingaben!$B$36*Szenarien!$C$24*(1+Eingaben!$B$40)^(B692-1)+Eingaben!$B$37*Eingaben!$B$38*(1+Eingaben!$B$46)^(B692-1)),0),0)</f>
        <v>0</v>
      </c>
      <c r="D692" s="13" t="n">
        <f aca="false">IFERROR(IF(AND(B692&lt;=Eingaben!$B$11,Szenarien!$H$24="OK"),((Eingaben!$B$32+Eingaben!$B$35)*(1+Eingaben!$B$41)^(B692-1)+SUM(Variantenbilanz!E4763:E5128)*Eingaben!$B$33*Eingaben!$B$34*(1+Eingaben!$B$42)^(B692-1))*Szenarien!$F$24,0),0)</f>
        <v>0</v>
      </c>
      <c r="E692" s="13" t="n">
        <f aca="false">IFERROR(IF(AND(AND(B692&lt;=Eingaben!$B$11,Szenarien!$H$24="OK"),B692=Eingaben!$B$43),Eingaben!$B$44*Szenarien!$B$24*(1+Eingaben!$B$41)^(B692-1),0),0)</f>
        <v>0</v>
      </c>
      <c r="F692" s="13" t="n">
        <f aca="false">IFERROR(IF(AND(AND(B692&lt;=Eingaben!$B$11,Szenarien!$H$24="OK"),B692=Eingaben!$B$11),Eingaben!$B$45*Szenarien!$B$24,0),0)</f>
        <v>0</v>
      </c>
      <c r="G692" s="13" t="n">
        <f aca="false">C692-D692-E692+F692</f>
        <v>0</v>
      </c>
      <c r="H692" s="13" t="n">
        <f aca="false">IFERROR(IF(AND(B692&lt;=Eingaben!$B$11,Szenarien!$H$24="OK"),1/(1+Eingaben!$B$39+Szenarien!$G$24)^B692,0),0)</f>
        <v>0</v>
      </c>
      <c r="I692" s="13" t="n">
        <f aca="false">G692*H692</f>
        <v>0</v>
      </c>
      <c r="J692" s="13" t="n">
        <f aca="false">(D692+E692-F692)*H692</f>
        <v>0</v>
      </c>
      <c r="K692" s="13" t="n">
        <f aca="false">IF(AND(B692&lt;=Eingaben!$B$11,Szenarien!$H$24="OK"),SUM(Variantenbilanz!K4763:K5128)*H692,0)</f>
        <v>0</v>
      </c>
    </row>
    <row r="693" customFormat="false" ht="16.4" hidden="false" customHeight="false" outlineLevel="0" collapsed="false">
      <c r="A693" s="12"/>
      <c r="B693" s="15" t="n">
        <v>25</v>
      </c>
      <c r="C693" s="13" t="n">
        <f aca="false">IFERROR(IF(AND(B693&lt;=Eingaben!$B$11,Szenarien!$H$24="OK"),SUM(Variantenbilanz!K4763:K5128)*(Eingaben!$B$36*Szenarien!$C$24*(1+Eingaben!$B$40)^(B693-1)+Eingaben!$B$37*Eingaben!$B$38*(1+Eingaben!$B$46)^(B693-1)),0),0)</f>
        <v>0</v>
      </c>
      <c r="D693" s="13" t="n">
        <f aca="false">IFERROR(IF(AND(B693&lt;=Eingaben!$B$11,Szenarien!$H$24="OK"),((Eingaben!$B$32+Eingaben!$B$35)*(1+Eingaben!$B$41)^(B693-1)+SUM(Variantenbilanz!E4763:E5128)*Eingaben!$B$33*Eingaben!$B$34*(1+Eingaben!$B$42)^(B693-1))*Szenarien!$F$24,0),0)</f>
        <v>0</v>
      </c>
      <c r="E693" s="13" t="n">
        <f aca="false">IFERROR(IF(AND(AND(B693&lt;=Eingaben!$B$11,Szenarien!$H$24="OK"),B693=Eingaben!$B$43),Eingaben!$B$44*Szenarien!$B$24*(1+Eingaben!$B$41)^(B693-1),0),0)</f>
        <v>0</v>
      </c>
      <c r="F693" s="13" t="n">
        <f aca="false">IFERROR(IF(AND(AND(B693&lt;=Eingaben!$B$11,Szenarien!$H$24="OK"),B693=Eingaben!$B$11),Eingaben!$B$45*Szenarien!$B$24,0),0)</f>
        <v>0</v>
      </c>
      <c r="G693" s="13" t="n">
        <f aca="false">C693-D693-E693+F693</f>
        <v>0</v>
      </c>
      <c r="H693" s="13" t="n">
        <f aca="false">IFERROR(IF(AND(B693&lt;=Eingaben!$B$11,Szenarien!$H$24="OK"),1/(1+Eingaben!$B$39+Szenarien!$G$24)^B693,0),0)</f>
        <v>0</v>
      </c>
      <c r="I693" s="13" t="n">
        <f aca="false">G693*H693</f>
        <v>0</v>
      </c>
      <c r="J693" s="13" t="n">
        <f aca="false">(D693+E693-F693)*H693</f>
        <v>0</v>
      </c>
      <c r="K693" s="13" t="n">
        <f aca="false">IF(AND(B693&lt;=Eingaben!$B$11,Szenarien!$H$24="OK"),SUM(Variantenbilanz!K4763:K5128)*H693,0)</f>
        <v>0</v>
      </c>
    </row>
    <row r="694" customFormat="false" ht="16.4" hidden="false" customHeight="false" outlineLevel="0" collapsed="false">
      <c r="A694" s="12"/>
      <c r="B694" s="15" t="n">
        <v>26</v>
      </c>
      <c r="C694" s="13" t="n">
        <f aca="false">IFERROR(IF(AND(B694&lt;=Eingaben!$B$11,Szenarien!$H$24="OK"),SUM(Variantenbilanz!K4763:K5128)*(Eingaben!$B$36*Szenarien!$C$24*(1+Eingaben!$B$40)^(B694-1)+Eingaben!$B$37*Eingaben!$B$38*(1+Eingaben!$B$46)^(B694-1)),0),0)</f>
        <v>0</v>
      </c>
      <c r="D694" s="13" t="n">
        <f aca="false">IFERROR(IF(AND(B694&lt;=Eingaben!$B$11,Szenarien!$H$24="OK"),((Eingaben!$B$32+Eingaben!$B$35)*(1+Eingaben!$B$41)^(B694-1)+SUM(Variantenbilanz!E4763:E5128)*Eingaben!$B$33*Eingaben!$B$34*(1+Eingaben!$B$42)^(B694-1))*Szenarien!$F$24,0),0)</f>
        <v>0</v>
      </c>
      <c r="E694" s="13" t="n">
        <f aca="false">IFERROR(IF(AND(AND(B694&lt;=Eingaben!$B$11,Szenarien!$H$24="OK"),B694=Eingaben!$B$43),Eingaben!$B$44*Szenarien!$B$24*(1+Eingaben!$B$41)^(B694-1),0),0)</f>
        <v>0</v>
      </c>
      <c r="F694" s="13" t="n">
        <f aca="false">IFERROR(IF(AND(AND(B694&lt;=Eingaben!$B$11,Szenarien!$H$24="OK"),B694=Eingaben!$B$11),Eingaben!$B$45*Szenarien!$B$24,0),0)</f>
        <v>0</v>
      </c>
      <c r="G694" s="13" t="n">
        <f aca="false">C694-D694-E694+F694</f>
        <v>0</v>
      </c>
      <c r="H694" s="13" t="n">
        <f aca="false">IFERROR(IF(AND(B694&lt;=Eingaben!$B$11,Szenarien!$H$24="OK"),1/(1+Eingaben!$B$39+Szenarien!$G$24)^B694,0),0)</f>
        <v>0</v>
      </c>
      <c r="I694" s="13" t="n">
        <f aca="false">G694*H694</f>
        <v>0</v>
      </c>
      <c r="J694" s="13" t="n">
        <f aca="false">(D694+E694-F694)*H694</f>
        <v>0</v>
      </c>
      <c r="K694" s="13" t="n">
        <f aca="false">IF(AND(B694&lt;=Eingaben!$B$11,Szenarien!$H$24="OK"),SUM(Variantenbilanz!K4763:K5128)*H694,0)</f>
        <v>0</v>
      </c>
    </row>
    <row r="695" customFormat="false" ht="16.4" hidden="false" customHeight="false" outlineLevel="0" collapsed="false">
      <c r="A695" s="12"/>
      <c r="B695" s="15" t="n">
        <v>27</v>
      </c>
      <c r="C695" s="13" t="n">
        <f aca="false">IFERROR(IF(AND(B695&lt;=Eingaben!$B$11,Szenarien!$H$24="OK"),SUM(Variantenbilanz!K4763:K5128)*(Eingaben!$B$36*Szenarien!$C$24*(1+Eingaben!$B$40)^(B695-1)+Eingaben!$B$37*Eingaben!$B$38*(1+Eingaben!$B$46)^(B695-1)),0),0)</f>
        <v>0</v>
      </c>
      <c r="D695" s="13" t="n">
        <f aca="false">IFERROR(IF(AND(B695&lt;=Eingaben!$B$11,Szenarien!$H$24="OK"),((Eingaben!$B$32+Eingaben!$B$35)*(1+Eingaben!$B$41)^(B695-1)+SUM(Variantenbilanz!E4763:E5128)*Eingaben!$B$33*Eingaben!$B$34*(1+Eingaben!$B$42)^(B695-1))*Szenarien!$F$24,0),0)</f>
        <v>0</v>
      </c>
      <c r="E695" s="13" t="n">
        <f aca="false">IFERROR(IF(AND(AND(B695&lt;=Eingaben!$B$11,Szenarien!$H$24="OK"),B695=Eingaben!$B$43),Eingaben!$B$44*Szenarien!$B$24*(1+Eingaben!$B$41)^(B695-1),0),0)</f>
        <v>0</v>
      </c>
      <c r="F695" s="13" t="n">
        <f aca="false">IFERROR(IF(AND(AND(B695&lt;=Eingaben!$B$11,Szenarien!$H$24="OK"),B695=Eingaben!$B$11),Eingaben!$B$45*Szenarien!$B$24,0),0)</f>
        <v>0</v>
      </c>
      <c r="G695" s="13" t="n">
        <f aca="false">C695-D695-E695+F695</f>
        <v>0</v>
      </c>
      <c r="H695" s="13" t="n">
        <f aca="false">IFERROR(IF(AND(B695&lt;=Eingaben!$B$11,Szenarien!$H$24="OK"),1/(1+Eingaben!$B$39+Szenarien!$G$24)^B695,0),0)</f>
        <v>0</v>
      </c>
      <c r="I695" s="13" t="n">
        <f aca="false">G695*H695</f>
        <v>0</v>
      </c>
      <c r="J695" s="13" t="n">
        <f aca="false">(D695+E695-F695)*H695</f>
        <v>0</v>
      </c>
      <c r="K695" s="13" t="n">
        <f aca="false">IF(AND(B695&lt;=Eingaben!$B$11,Szenarien!$H$24="OK"),SUM(Variantenbilanz!K4763:K5128)*H695,0)</f>
        <v>0</v>
      </c>
    </row>
    <row r="696" customFormat="false" ht="16.4" hidden="false" customHeight="false" outlineLevel="0" collapsed="false">
      <c r="A696" s="12"/>
      <c r="B696" s="15" t="n">
        <v>28</v>
      </c>
      <c r="C696" s="13" t="n">
        <f aca="false">IFERROR(IF(AND(B696&lt;=Eingaben!$B$11,Szenarien!$H$24="OK"),SUM(Variantenbilanz!K4763:K5128)*(Eingaben!$B$36*Szenarien!$C$24*(1+Eingaben!$B$40)^(B696-1)+Eingaben!$B$37*Eingaben!$B$38*(1+Eingaben!$B$46)^(B696-1)),0),0)</f>
        <v>0</v>
      </c>
      <c r="D696" s="13" t="n">
        <f aca="false">IFERROR(IF(AND(B696&lt;=Eingaben!$B$11,Szenarien!$H$24="OK"),((Eingaben!$B$32+Eingaben!$B$35)*(1+Eingaben!$B$41)^(B696-1)+SUM(Variantenbilanz!E4763:E5128)*Eingaben!$B$33*Eingaben!$B$34*(1+Eingaben!$B$42)^(B696-1))*Szenarien!$F$24,0),0)</f>
        <v>0</v>
      </c>
      <c r="E696" s="13" t="n">
        <f aca="false">IFERROR(IF(AND(AND(B696&lt;=Eingaben!$B$11,Szenarien!$H$24="OK"),B696=Eingaben!$B$43),Eingaben!$B$44*Szenarien!$B$24*(1+Eingaben!$B$41)^(B696-1),0),0)</f>
        <v>0</v>
      </c>
      <c r="F696" s="13" t="n">
        <f aca="false">IFERROR(IF(AND(AND(B696&lt;=Eingaben!$B$11,Szenarien!$H$24="OK"),B696=Eingaben!$B$11),Eingaben!$B$45*Szenarien!$B$24,0),0)</f>
        <v>0</v>
      </c>
      <c r="G696" s="13" t="n">
        <f aca="false">C696-D696-E696+F696</f>
        <v>0</v>
      </c>
      <c r="H696" s="13" t="n">
        <f aca="false">IFERROR(IF(AND(B696&lt;=Eingaben!$B$11,Szenarien!$H$24="OK"),1/(1+Eingaben!$B$39+Szenarien!$G$24)^B696,0),0)</f>
        <v>0</v>
      </c>
      <c r="I696" s="13" t="n">
        <f aca="false">G696*H696</f>
        <v>0</v>
      </c>
      <c r="J696" s="13" t="n">
        <f aca="false">(D696+E696-F696)*H696</f>
        <v>0</v>
      </c>
      <c r="K696" s="13" t="n">
        <f aca="false">IF(AND(B696&lt;=Eingaben!$B$11,Szenarien!$H$24="OK"),SUM(Variantenbilanz!K4763:K5128)*H696,0)</f>
        <v>0</v>
      </c>
    </row>
    <row r="697" customFormat="false" ht="16.4" hidden="false" customHeight="false" outlineLevel="0" collapsed="false">
      <c r="A697" s="12"/>
      <c r="B697" s="15" t="n">
        <v>29</v>
      </c>
      <c r="C697" s="13" t="n">
        <f aca="false">IFERROR(IF(AND(B697&lt;=Eingaben!$B$11,Szenarien!$H$24="OK"),SUM(Variantenbilanz!K4763:K5128)*(Eingaben!$B$36*Szenarien!$C$24*(1+Eingaben!$B$40)^(B697-1)+Eingaben!$B$37*Eingaben!$B$38*(1+Eingaben!$B$46)^(B697-1)),0),0)</f>
        <v>0</v>
      </c>
      <c r="D697" s="13" t="n">
        <f aca="false">IFERROR(IF(AND(B697&lt;=Eingaben!$B$11,Szenarien!$H$24="OK"),((Eingaben!$B$32+Eingaben!$B$35)*(1+Eingaben!$B$41)^(B697-1)+SUM(Variantenbilanz!E4763:E5128)*Eingaben!$B$33*Eingaben!$B$34*(1+Eingaben!$B$42)^(B697-1))*Szenarien!$F$24,0),0)</f>
        <v>0</v>
      </c>
      <c r="E697" s="13" t="n">
        <f aca="false">IFERROR(IF(AND(AND(B697&lt;=Eingaben!$B$11,Szenarien!$H$24="OK"),B697=Eingaben!$B$43),Eingaben!$B$44*Szenarien!$B$24*(1+Eingaben!$B$41)^(B697-1),0),0)</f>
        <v>0</v>
      </c>
      <c r="F697" s="13" t="n">
        <f aca="false">IFERROR(IF(AND(AND(B697&lt;=Eingaben!$B$11,Szenarien!$H$24="OK"),B697=Eingaben!$B$11),Eingaben!$B$45*Szenarien!$B$24,0),0)</f>
        <v>0</v>
      </c>
      <c r="G697" s="13" t="n">
        <f aca="false">C697-D697-E697+F697</f>
        <v>0</v>
      </c>
      <c r="H697" s="13" t="n">
        <f aca="false">IFERROR(IF(AND(B697&lt;=Eingaben!$B$11,Szenarien!$H$24="OK"),1/(1+Eingaben!$B$39+Szenarien!$G$24)^B697,0),0)</f>
        <v>0</v>
      </c>
      <c r="I697" s="13" t="n">
        <f aca="false">G697*H697</f>
        <v>0</v>
      </c>
      <c r="J697" s="13" t="n">
        <f aca="false">(D697+E697-F697)*H697</f>
        <v>0</v>
      </c>
      <c r="K697" s="13" t="n">
        <f aca="false">IF(AND(B697&lt;=Eingaben!$B$11,Szenarien!$H$24="OK"),SUM(Variantenbilanz!K4763:K5128)*H697,0)</f>
        <v>0</v>
      </c>
    </row>
    <row r="698" customFormat="false" ht="16.4" hidden="false" customHeight="false" outlineLevel="0" collapsed="false">
      <c r="A698" s="12"/>
      <c r="B698" s="15" t="n">
        <v>30</v>
      </c>
      <c r="C698" s="13" t="n">
        <f aca="false">IFERROR(IF(AND(B698&lt;=Eingaben!$B$11,Szenarien!$H$24="OK"),SUM(Variantenbilanz!K4763:K5128)*(Eingaben!$B$36*Szenarien!$C$24*(1+Eingaben!$B$40)^(B698-1)+Eingaben!$B$37*Eingaben!$B$38*(1+Eingaben!$B$46)^(B698-1)),0),0)</f>
        <v>0</v>
      </c>
      <c r="D698" s="13" t="n">
        <f aca="false">IFERROR(IF(AND(B698&lt;=Eingaben!$B$11,Szenarien!$H$24="OK"),((Eingaben!$B$32+Eingaben!$B$35)*(1+Eingaben!$B$41)^(B698-1)+SUM(Variantenbilanz!E4763:E5128)*Eingaben!$B$33*Eingaben!$B$34*(1+Eingaben!$B$42)^(B698-1))*Szenarien!$F$24,0),0)</f>
        <v>0</v>
      </c>
      <c r="E698" s="13" t="n">
        <f aca="false">IFERROR(IF(AND(AND(B698&lt;=Eingaben!$B$11,Szenarien!$H$24="OK"),B698=Eingaben!$B$43),Eingaben!$B$44*Szenarien!$B$24*(1+Eingaben!$B$41)^(B698-1),0),0)</f>
        <v>0</v>
      </c>
      <c r="F698" s="13" t="n">
        <f aca="false">IFERROR(IF(AND(AND(B698&lt;=Eingaben!$B$11,Szenarien!$H$24="OK"),B698=Eingaben!$B$11),Eingaben!$B$45*Szenarien!$B$24,0),0)</f>
        <v>0</v>
      </c>
      <c r="G698" s="13" t="n">
        <f aca="false">C698-D698-E698+F698</f>
        <v>0</v>
      </c>
      <c r="H698" s="13" t="n">
        <f aca="false">IFERROR(IF(AND(B698&lt;=Eingaben!$B$11,Szenarien!$H$24="OK"),1/(1+Eingaben!$B$39+Szenarien!$G$24)^B698,0),0)</f>
        <v>0</v>
      </c>
      <c r="I698" s="13" t="n">
        <f aca="false">G698*H698</f>
        <v>0</v>
      </c>
      <c r="J698" s="13" t="n">
        <f aca="false">(D698+E698-F698)*H698</f>
        <v>0</v>
      </c>
      <c r="K698" s="13" t="n">
        <f aca="false">IF(AND(B698&lt;=Eingaben!$B$11,Szenarien!$H$24="OK"),SUM(Variantenbilanz!K4763:K5128)*H698,0)</f>
        <v>0</v>
      </c>
    </row>
    <row r="699" customFormat="false" ht="16.4" hidden="false" customHeight="false" outlineLevel="0" collapsed="false">
      <c r="A699" s="12"/>
      <c r="B699" s="15" t="n">
        <v>31</v>
      </c>
      <c r="C699" s="13" t="n">
        <f aca="false">IFERROR(IF(AND(B699&lt;=Eingaben!$B$11,Szenarien!$H$24="OK"),SUM(Variantenbilanz!K4763:K5128)*(Eingaben!$B$36*Szenarien!$C$24*(1+Eingaben!$B$40)^(B699-1)+Eingaben!$B$37*Eingaben!$B$38*(1+Eingaben!$B$46)^(B699-1)),0),0)</f>
        <v>0</v>
      </c>
      <c r="D699" s="13" t="n">
        <f aca="false">IFERROR(IF(AND(B699&lt;=Eingaben!$B$11,Szenarien!$H$24="OK"),((Eingaben!$B$32+Eingaben!$B$35)*(1+Eingaben!$B$41)^(B699-1)+SUM(Variantenbilanz!E4763:E5128)*Eingaben!$B$33*Eingaben!$B$34*(1+Eingaben!$B$42)^(B699-1))*Szenarien!$F$24,0),0)</f>
        <v>0</v>
      </c>
      <c r="E699" s="13" t="n">
        <f aca="false">IFERROR(IF(AND(AND(B699&lt;=Eingaben!$B$11,Szenarien!$H$24="OK"),B699=Eingaben!$B$43),Eingaben!$B$44*Szenarien!$B$24*(1+Eingaben!$B$41)^(B699-1),0),0)</f>
        <v>0</v>
      </c>
      <c r="F699" s="13" t="n">
        <f aca="false">IFERROR(IF(AND(AND(B699&lt;=Eingaben!$B$11,Szenarien!$H$24="OK"),B699=Eingaben!$B$11),Eingaben!$B$45*Szenarien!$B$24,0),0)</f>
        <v>0</v>
      </c>
      <c r="G699" s="13" t="n">
        <f aca="false">C699-D699-E699+F699</f>
        <v>0</v>
      </c>
      <c r="H699" s="13" t="n">
        <f aca="false">IFERROR(IF(AND(B699&lt;=Eingaben!$B$11,Szenarien!$H$24="OK"),1/(1+Eingaben!$B$39+Szenarien!$G$24)^B699,0),0)</f>
        <v>0</v>
      </c>
      <c r="I699" s="13" t="n">
        <f aca="false">G699*H699</f>
        <v>0</v>
      </c>
      <c r="J699" s="13" t="n">
        <f aca="false">(D699+E699-F699)*H699</f>
        <v>0</v>
      </c>
      <c r="K699" s="13" t="n">
        <f aca="false">IF(AND(B699&lt;=Eingaben!$B$11,Szenarien!$H$24="OK"),SUM(Variantenbilanz!K4763:K5128)*H699,0)</f>
        <v>0</v>
      </c>
    </row>
    <row r="700" customFormat="false" ht="16.4" hidden="false" customHeight="false" outlineLevel="0" collapsed="false">
      <c r="A700" s="12"/>
      <c r="B700" s="15" t="n">
        <v>32</v>
      </c>
      <c r="C700" s="13" t="n">
        <f aca="false">IFERROR(IF(AND(B700&lt;=Eingaben!$B$11,Szenarien!$H$24="OK"),SUM(Variantenbilanz!K4763:K5128)*(Eingaben!$B$36*Szenarien!$C$24*(1+Eingaben!$B$40)^(B700-1)+Eingaben!$B$37*Eingaben!$B$38*(1+Eingaben!$B$46)^(B700-1)),0),0)</f>
        <v>0</v>
      </c>
      <c r="D700" s="13" t="n">
        <f aca="false">IFERROR(IF(AND(B700&lt;=Eingaben!$B$11,Szenarien!$H$24="OK"),((Eingaben!$B$32+Eingaben!$B$35)*(1+Eingaben!$B$41)^(B700-1)+SUM(Variantenbilanz!E4763:E5128)*Eingaben!$B$33*Eingaben!$B$34*(1+Eingaben!$B$42)^(B700-1))*Szenarien!$F$24,0),0)</f>
        <v>0</v>
      </c>
      <c r="E700" s="13" t="n">
        <f aca="false">IFERROR(IF(AND(AND(B700&lt;=Eingaben!$B$11,Szenarien!$H$24="OK"),B700=Eingaben!$B$43),Eingaben!$B$44*Szenarien!$B$24*(1+Eingaben!$B$41)^(B700-1),0),0)</f>
        <v>0</v>
      </c>
      <c r="F700" s="13" t="n">
        <f aca="false">IFERROR(IF(AND(AND(B700&lt;=Eingaben!$B$11,Szenarien!$H$24="OK"),B700=Eingaben!$B$11),Eingaben!$B$45*Szenarien!$B$24,0),0)</f>
        <v>0</v>
      </c>
      <c r="G700" s="13" t="n">
        <f aca="false">C700-D700-E700+F700</f>
        <v>0</v>
      </c>
      <c r="H700" s="13" t="n">
        <f aca="false">IFERROR(IF(AND(B700&lt;=Eingaben!$B$11,Szenarien!$H$24="OK"),1/(1+Eingaben!$B$39+Szenarien!$G$24)^B700,0),0)</f>
        <v>0</v>
      </c>
      <c r="I700" s="13" t="n">
        <f aca="false">G700*H700</f>
        <v>0</v>
      </c>
      <c r="J700" s="13" t="n">
        <f aca="false">(D700+E700-F700)*H700</f>
        <v>0</v>
      </c>
      <c r="K700" s="13" t="n">
        <f aca="false">IF(AND(B700&lt;=Eingaben!$B$11,Szenarien!$H$24="OK"),SUM(Variantenbilanz!K4763:K5128)*H700,0)</f>
        <v>0</v>
      </c>
    </row>
    <row r="701" customFormat="false" ht="16.4" hidden="false" customHeight="false" outlineLevel="0" collapsed="false">
      <c r="A701" s="12"/>
      <c r="B701" s="15" t="n">
        <v>33</v>
      </c>
      <c r="C701" s="13" t="n">
        <f aca="false">IFERROR(IF(AND(B701&lt;=Eingaben!$B$11,Szenarien!$H$24="OK"),SUM(Variantenbilanz!K4763:K5128)*(Eingaben!$B$36*Szenarien!$C$24*(1+Eingaben!$B$40)^(B701-1)+Eingaben!$B$37*Eingaben!$B$38*(1+Eingaben!$B$46)^(B701-1)),0),0)</f>
        <v>0</v>
      </c>
      <c r="D701" s="13" t="n">
        <f aca="false">IFERROR(IF(AND(B701&lt;=Eingaben!$B$11,Szenarien!$H$24="OK"),((Eingaben!$B$32+Eingaben!$B$35)*(1+Eingaben!$B$41)^(B701-1)+SUM(Variantenbilanz!E4763:E5128)*Eingaben!$B$33*Eingaben!$B$34*(1+Eingaben!$B$42)^(B701-1))*Szenarien!$F$24,0),0)</f>
        <v>0</v>
      </c>
      <c r="E701" s="13" t="n">
        <f aca="false">IFERROR(IF(AND(AND(B701&lt;=Eingaben!$B$11,Szenarien!$H$24="OK"),B701=Eingaben!$B$43),Eingaben!$B$44*Szenarien!$B$24*(1+Eingaben!$B$41)^(B701-1),0),0)</f>
        <v>0</v>
      </c>
      <c r="F701" s="13" t="n">
        <f aca="false">IFERROR(IF(AND(AND(B701&lt;=Eingaben!$B$11,Szenarien!$H$24="OK"),B701=Eingaben!$B$11),Eingaben!$B$45*Szenarien!$B$24,0),0)</f>
        <v>0</v>
      </c>
      <c r="G701" s="13" t="n">
        <f aca="false">C701-D701-E701+F701</f>
        <v>0</v>
      </c>
      <c r="H701" s="13" t="n">
        <f aca="false">IFERROR(IF(AND(B701&lt;=Eingaben!$B$11,Szenarien!$H$24="OK"),1/(1+Eingaben!$B$39+Szenarien!$G$24)^B701,0),0)</f>
        <v>0</v>
      </c>
      <c r="I701" s="13" t="n">
        <f aca="false">G701*H701</f>
        <v>0</v>
      </c>
      <c r="J701" s="13" t="n">
        <f aca="false">(D701+E701-F701)*H701</f>
        <v>0</v>
      </c>
      <c r="K701" s="13" t="n">
        <f aca="false">IF(AND(B701&lt;=Eingaben!$B$11,Szenarien!$H$24="OK"),SUM(Variantenbilanz!K4763:K5128)*H701,0)</f>
        <v>0</v>
      </c>
    </row>
    <row r="702" customFormat="false" ht="16.4" hidden="false" customHeight="false" outlineLevel="0" collapsed="false">
      <c r="A702" s="12"/>
      <c r="B702" s="15" t="n">
        <v>34</v>
      </c>
      <c r="C702" s="13" t="n">
        <f aca="false">IFERROR(IF(AND(B702&lt;=Eingaben!$B$11,Szenarien!$H$24="OK"),SUM(Variantenbilanz!K4763:K5128)*(Eingaben!$B$36*Szenarien!$C$24*(1+Eingaben!$B$40)^(B702-1)+Eingaben!$B$37*Eingaben!$B$38*(1+Eingaben!$B$46)^(B702-1)),0),0)</f>
        <v>0</v>
      </c>
      <c r="D702" s="13" t="n">
        <f aca="false">IFERROR(IF(AND(B702&lt;=Eingaben!$B$11,Szenarien!$H$24="OK"),((Eingaben!$B$32+Eingaben!$B$35)*(1+Eingaben!$B$41)^(B702-1)+SUM(Variantenbilanz!E4763:E5128)*Eingaben!$B$33*Eingaben!$B$34*(1+Eingaben!$B$42)^(B702-1))*Szenarien!$F$24,0),0)</f>
        <v>0</v>
      </c>
      <c r="E702" s="13" t="n">
        <f aca="false">IFERROR(IF(AND(AND(B702&lt;=Eingaben!$B$11,Szenarien!$H$24="OK"),B702=Eingaben!$B$43),Eingaben!$B$44*Szenarien!$B$24*(1+Eingaben!$B$41)^(B702-1),0),0)</f>
        <v>0</v>
      </c>
      <c r="F702" s="13" t="n">
        <f aca="false">IFERROR(IF(AND(AND(B702&lt;=Eingaben!$B$11,Szenarien!$H$24="OK"),B702=Eingaben!$B$11),Eingaben!$B$45*Szenarien!$B$24,0),0)</f>
        <v>0</v>
      </c>
      <c r="G702" s="13" t="n">
        <f aca="false">C702-D702-E702+F702</f>
        <v>0</v>
      </c>
      <c r="H702" s="13" t="n">
        <f aca="false">IFERROR(IF(AND(B702&lt;=Eingaben!$B$11,Szenarien!$H$24="OK"),1/(1+Eingaben!$B$39+Szenarien!$G$24)^B702,0),0)</f>
        <v>0</v>
      </c>
      <c r="I702" s="13" t="n">
        <f aca="false">G702*H702</f>
        <v>0</v>
      </c>
      <c r="J702" s="13" t="n">
        <f aca="false">(D702+E702-F702)*H702</f>
        <v>0</v>
      </c>
      <c r="K702" s="13" t="n">
        <f aca="false">IF(AND(B702&lt;=Eingaben!$B$11,Szenarien!$H$24="OK"),SUM(Variantenbilanz!K4763:K5128)*H702,0)</f>
        <v>0</v>
      </c>
    </row>
    <row r="703" customFormat="false" ht="16.4" hidden="false" customHeight="false" outlineLevel="0" collapsed="false">
      <c r="A703" s="12"/>
      <c r="B703" s="15" t="n">
        <v>35</v>
      </c>
      <c r="C703" s="13" t="n">
        <f aca="false">IFERROR(IF(AND(B703&lt;=Eingaben!$B$11,Szenarien!$H$24="OK"),SUM(Variantenbilanz!K4763:K5128)*(Eingaben!$B$36*Szenarien!$C$24*(1+Eingaben!$B$40)^(B703-1)+Eingaben!$B$37*Eingaben!$B$38*(1+Eingaben!$B$46)^(B703-1)),0),0)</f>
        <v>0</v>
      </c>
      <c r="D703" s="13" t="n">
        <f aca="false">IFERROR(IF(AND(B703&lt;=Eingaben!$B$11,Szenarien!$H$24="OK"),((Eingaben!$B$32+Eingaben!$B$35)*(1+Eingaben!$B$41)^(B703-1)+SUM(Variantenbilanz!E4763:E5128)*Eingaben!$B$33*Eingaben!$B$34*(1+Eingaben!$B$42)^(B703-1))*Szenarien!$F$24,0),0)</f>
        <v>0</v>
      </c>
      <c r="E703" s="13" t="n">
        <f aca="false">IFERROR(IF(AND(AND(B703&lt;=Eingaben!$B$11,Szenarien!$H$24="OK"),B703=Eingaben!$B$43),Eingaben!$B$44*Szenarien!$B$24*(1+Eingaben!$B$41)^(B703-1),0),0)</f>
        <v>0</v>
      </c>
      <c r="F703" s="13" t="n">
        <f aca="false">IFERROR(IF(AND(AND(B703&lt;=Eingaben!$B$11,Szenarien!$H$24="OK"),B703=Eingaben!$B$11),Eingaben!$B$45*Szenarien!$B$24,0),0)</f>
        <v>0</v>
      </c>
      <c r="G703" s="13" t="n">
        <f aca="false">C703-D703-E703+F703</f>
        <v>0</v>
      </c>
      <c r="H703" s="13" t="n">
        <f aca="false">IFERROR(IF(AND(B703&lt;=Eingaben!$B$11,Szenarien!$H$24="OK"),1/(1+Eingaben!$B$39+Szenarien!$G$24)^B703,0),0)</f>
        <v>0</v>
      </c>
      <c r="I703" s="13" t="n">
        <f aca="false">G703*H703</f>
        <v>0</v>
      </c>
      <c r="J703" s="13" t="n">
        <f aca="false">(D703+E703-F703)*H703</f>
        <v>0</v>
      </c>
      <c r="K703" s="13" t="n">
        <f aca="false">IF(AND(B703&lt;=Eingaben!$B$11,Szenarien!$H$24="OK"),SUM(Variantenbilanz!K4763:K5128)*H703,0)</f>
        <v>0</v>
      </c>
    </row>
    <row r="704" customFormat="false" ht="16.4" hidden="false" customHeight="false" outlineLevel="0" collapsed="false">
      <c r="A704" s="12"/>
      <c r="B704" s="15" t="n">
        <v>36</v>
      </c>
      <c r="C704" s="13" t="n">
        <f aca="false">IFERROR(IF(AND(B704&lt;=Eingaben!$B$11,Szenarien!$H$24="OK"),SUM(Variantenbilanz!K4763:K5128)*(Eingaben!$B$36*Szenarien!$C$24*(1+Eingaben!$B$40)^(B704-1)+Eingaben!$B$37*Eingaben!$B$38*(1+Eingaben!$B$46)^(B704-1)),0),0)</f>
        <v>0</v>
      </c>
      <c r="D704" s="13" t="n">
        <f aca="false">IFERROR(IF(AND(B704&lt;=Eingaben!$B$11,Szenarien!$H$24="OK"),((Eingaben!$B$32+Eingaben!$B$35)*(1+Eingaben!$B$41)^(B704-1)+SUM(Variantenbilanz!E4763:E5128)*Eingaben!$B$33*Eingaben!$B$34*(1+Eingaben!$B$42)^(B704-1))*Szenarien!$F$24,0),0)</f>
        <v>0</v>
      </c>
      <c r="E704" s="13" t="n">
        <f aca="false">IFERROR(IF(AND(AND(B704&lt;=Eingaben!$B$11,Szenarien!$H$24="OK"),B704=Eingaben!$B$43),Eingaben!$B$44*Szenarien!$B$24*(1+Eingaben!$B$41)^(B704-1),0),0)</f>
        <v>0</v>
      </c>
      <c r="F704" s="13" t="n">
        <f aca="false">IFERROR(IF(AND(AND(B704&lt;=Eingaben!$B$11,Szenarien!$H$24="OK"),B704=Eingaben!$B$11),Eingaben!$B$45*Szenarien!$B$24,0),0)</f>
        <v>0</v>
      </c>
      <c r="G704" s="13" t="n">
        <f aca="false">C704-D704-E704+F704</f>
        <v>0</v>
      </c>
      <c r="H704" s="13" t="n">
        <f aca="false">IFERROR(IF(AND(B704&lt;=Eingaben!$B$11,Szenarien!$H$24="OK"),1/(1+Eingaben!$B$39+Szenarien!$G$24)^B704,0),0)</f>
        <v>0</v>
      </c>
      <c r="I704" s="13" t="n">
        <f aca="false">G704*H704</f>
        <v>0</v>
      </c>
      <c r="J704" s="13" t="n">
        <f aca="false">(D704+E704-F704)*H704</f>
        <v>0</v>
      </c>
      <c r="K704" s="13" t="n">
        <f aca="false">IF(AND(B704&lt;=Eingaben!$B$11,Szenarien!$H$24="OK"),SUM(Variantenbilanz!K4763:K5128)*H704,0)</f>
        <v>0</v>
      </c>
    </row>
    <row r="705" customFormat="false" ht="16.4" hidden="false" customHeight="false" outlineLevel="0" collapsed="false">
      <c r="A705" s="12"/>
      <c r="B705" s="15" t="n">
        <v>37</v>
      </c>
      <c r="C705" s="13" t="n">
        <f aca="false">IFERROR(IF(AND(B705&lt;=Eingaben!$B$11,Szenarien!$H$24="OK"),SUM(Variantenbilanz!K4763:K5128)*(Eingaben!$B$36*Szenarien!$C$24*(1+Eingaben!$B$40)^(B705-1)+Eingaben!$B$37*Eingaben!$B$38*(1+Eingaben!$B$46)^(B705-1)),0),0)</f>
        <v>0</v>
      </c>
      <c r="D705" s="13" t="n">
        <f aca="false">IFERROR(IF(AND(B705&lt;=Eingaben!$B$11,Szenarien!$H$24="OK"),((Eingaben!$B$32+Eingaben!$B$35)*(1+Eingaben!$B$41)^(B705-1)+SUM(Variantenbilanz!E4763:E5128)*Eingaben!$B$33*Eingaben!$B$34*(1+Eingaben!$B$42)^(B705-1))*Szenarien!$F$24,0),0)</f>
        <v>0</v>
      </c>
      <c r="E705" s="13" t="n">
        <f aca="false">IFERROR(IF(AND(AND(B705&lt;=Eingaben!$B$11,Szenarien!$H$24="OK"),B705=Eingaben!$B$43),Eingaben!$B$44*Szenarien!$B$24*(1+Eingaben!$B$41)^(B705-1),0),0)</f>
        <v>0</v>
      </c>
      <c r="F705" s="13" t="n">
        <f aca="false">IFERROR(IF(AND(AND(B705&lt;=Eingaben!$B$11,Szenarien!$H$24="OK"),B705=Eingaben!$B$11),Eingaben!$B$45*Szenarien!$B$24,0),0)</f>
        <v>0</v>
      </c>
      <c r="G705" s="13" t="n">
        <f aca="false">C705-D705-E705+F705</f>
        <v>0</v>
      </c>
      <c r="H705" s="13" t="n">
        <f aca="false">IFERROR(IF(AND(B705&lt;=Eingaben!$B$11,Szenarien!$H$24="OK"),1/(1+Eingaben!$B$39+Szenarien!$G$24)^B705,0),0)</f>
        <v>0</v>
      </c>
      <c r="I705" s="13" t="n">
        <f aca="false">G705*H705</f>
        <v>0</v>
      </c>
      <c r="J705" s="13" t="n">
        <f aca="false">(D705+E705-F705)*H705</f>
        <v>0</v>
      </c>
      <c r="K705" s="13" t="n">
        <f aca="false">IF(AND(B705&lt;=Eingaben!$B$11,Szenarien!$H$24="OK"),SUM(Variantenbilanz!K4763:K5128)*H705,0)</f>
        <v>0</v>
      </c>
    </row>
    <row r="706" customFormat="false" ht="16.4" hidden="false" customHeight="false" outlineLevel="0" collapsed="false">
      <c r="A706" s="12"/>
      <c r="B706" s="15" t="n">
        <v>38</v>
      </c>
      <c r="C706" s="13" t="n">
        <f aca="false">IFERROR(IF(AND(B706&lt;=Eingaben!$B$11,Szenarien!$H$24="OK"),SUM(Variantenbilanz!K4763:K5128)*(Eingaben!$B$36*Szenarien!$C$24*(1+Eingaben!$B$40)^(B706-1)+Eingaben!$B$37*Eingaben!$B$38*(1+Eingaben!$B$46)^(B706-1)),0),0)</f>
        <v>0</v>
      </c>
      <c r="D706" s="13" t="n">
        <f aca="false">IFERROR(IF(AND(B706&lt;=Eingaben!$B$11,Szenarien!$H$24="OK"),((Eingaben!$B$32+Eingaben!$B$35)*(1+Eingaben!$B$41)^(B706-1)+SUM(Variantenbilanz!E4763:E5128)*Eingaben!$B$33*Eingaben!$B$34*(1+Eingaben!$B$42)^(B706-1))*Szenarien!$F$24,0),0)</f>
        <v>0</v>
      </c>
      <c r="E706" s="13" t="n">
        <f aca="false">IFERROR(IF(AND(AND(B706&lt;=Eingaben!$B$11,Szenarien!$H$24="OK"),B706=Eingaben!$B$43),Eingaben!$B$44*Szenarien!$B$24*(1+Eingaben!$B$41)^(B706-1),0),0)</f>
        <v>0</v>
      </c>
      <c r="F706" s="13" t="n">
        <f aca="false">IFERROR(IF(AND(AND(B706&lt;=Eingaben!$B$11,Szenarien!$H$24="OK"),B706=Eingaben!$B$11),Eingaben!$B$45*Szenarien!$B$24,0),0)</f>
        <v>0</v>
      </c>
      <c r="G706" s="13" t="n">
        <f aca="false">C706-D706-E706+F706</f>
        <v>0</v>
      </c>
      <c r="H706" s="13" t="n">
        <f aca="false">IFERROR(IF(AND(B706&lt;=Eingaben!$B$11,Szenarien!$H$24="OK"),1/(1+Eingaben!$B$39+Szenarien!$G$24)^B706,0),0)</f>
        <v>0</v>
      </c>
      <c r="I706" s="13" t="n">
        <f aca="false">G706*H706</f>
        <v>0</v>
      </c>
      <c r="J706" s="13" t="n">
        <f aca="false">(D706+E706-F706)*H706</f>
        <v>0</v>
      </c>
      <c r="K706" s="13" t="n">
        <f aca="false">IF(AND(B706&lt;=Eingaben!$B$11,Szenarien!$H$24="OK"),SUM(Variantenbilanz!K4763:K5128)*H706,0)</f>
        <v>0</v>
      </c>
    </row>
    <row r="707" customFormat="false" ht="16.4" hidden="false" customHeight="false" outlineLevel="0" collapsed="false">
      <c r="A707" s="12"/>
      <c r="B707" s="15" t="n">
        <v>39</v>
      </c>
      <c r="C707" s="13" t="n">
        <f aca="false">IFERROR(IF(AND(B707&lt;=Eingaben!$B$11,Szenarien!$H$24="OK"),SUM(Variantenbilanz!K4763:K5128)*(Eingaben!$B$36*Szenarien!$C$24*(1+Eingaben!$B$40)^(B707-1)+Eingaben!$B$37*Eingaben!$B$38*(1+Eingaben!$B$46)^(B707-1)),0),0)</f>
        <v>0</v>
      </c>
      <c r="D707" s="13" t="n">
        <f aca="false">IFERROR(IF(AND(B707&lt;=Eingaben!$B$11,Szenarien!$H$24="OK"),((Eingaben!$B$32+Eingaben!$B$35)*(1+Eingaben!$B$41)^(B707-1)+SUM(Variantenbilanz!E4763:E5128)*Eingaben!$B$33*Eingaben!$B$34*(1+Eingaben!$B$42)^(B707-1))*Szenarien!$F$24,0),0)</f>
        <v>0</v>
      </c>
      <c r="E707" s="13" t="n">
        <f aca="false">IFERROR(IF(AND(AND(B707&lt;=Eingaben!$B$11,Szenarien!$H$24="OK"),B707=Eingaben!$B$43),Eingaben!$B$44*Szenarien!$B$24*(1+Eingaben!$B$41)^(B707-1),0),0)</f>
        <v>0</v>
      </c>
      <c r="F707" s="13" t="n">
        <f aca="false">IFERROR(IF(AND(AND(B707&lt;=Eingaben!$B$11,Szenarien!$H$24="OK"),B707=Eingaben!$B$11),Eingaben!$B$45*Szenarien!$B$24,0),0)</f>
        <v>0</v>
      </c>
      <c r="G707" s="13" t="n">
        <f aca="false">C707-D707-E707+F707</f>
        <v>0</v>
      </c>
      <c r="H707" s="13" t="n">
        <f aca="false">IFERROR(IF(AND(B707&lt;=Eingaben!$B$11,Szenarien!$H$24="OK"),1/(1+Eingaben!$B$39+Szenarien!$G$24)^B707,0),0)</f>
        <v>0</v>
      </c>
      <c r="I707" s="13" t="n">
        <f aca="false">G707*H707</f>
        <v>0</v>
      </c>
      <c r="J707" s="13" t="n">
        <f aca="false">(D707+E707-F707)*H707</f>
        <v>0</v>
      </c>
      <c r="K707" s="13" t="n">
        <f aca="false">IF(AND(B707&lt;=Eingaben!$B$11,Szenarien!$H$24="OK"),SUM(Variantenbilanz!K4763:K5128)*H707,0)</f>
        <v>0</v>
      </c>
    </row>
    <row r="708" customFormat="false" ht="16.4" hidden="false" customHeight="false" outlineLevel="0" collapsed="false">
      <c r="A708" s="12"/>
      <c r="B708" s="15" t="n">
        <v>40</v>
      </c>
      <c r="C708" s="13" t="n">
        <f aca="false">IFERROR(IF(AND(B708&lt;=Eingaben!$B$11,Szenarien!$H$24="OK"),SUM(Variantenbilanz!K4763:K5128)*(Eingaben!$B$36*Szenarien!$C$24*(1+Eingaben!$B$40)^(B708-1)+Eingaben!$B$37*Eingaben!$B$38*(1+Eingaben!$B$46)^(B708-1)),0),0)</f>
        <v>0</v>
      </c>
      <c r="D708" s="13" t="n">
        <f aca="false">IFERROR(IF(AND(B708&lt;=Eingaben!$B$11,Szenarien!$H$24="OK"),((Eingaben!$B$32+Eingaben!$B$35)*(1+Eingaben!$B$41)^(B708-1)+SUM(Variantenbilanz!E4763:E5128)*Eingaben!$B$33*Eingaben!$B$34*(1+Eingaben!$B$42)^(B708-1))*Szenarien!$F$24,0),0)</f>
        <v>0</v>
      </c>
      <c r="E708" s="13" t="n">
        <f aca="false">IFERROR(IF(AND(AND(B708&lt;=Eingaben!$B$11,Szenarien!$H$24="OK"),B708=Eingaben!$B$43),Eingaben!$B$44*Szenarien!$B$24*(1+Eingaben!$B$41)^(B708-1),0),0)</f>
        <v>0</v>
      </c>
      <c r="F708" s="13" t="n">
        <f aca="false">IFERROR(IF(AND(AND(B708&lt;=Eingaben!$B$11,Szenarien!$H$24="OK"),B708=Eingaben!$B$11),Eingaben!$B$45*Szenarien!$B$24,0),0)</f>
        <v>0</v>
      </c>
      <c r="G708" s="13" t="n">
        <f aca="false">C708-D708-E708+F708</f>
        <v>0</v>
      </c>
      <c r="H708" s="13" t="n">
        <f aca="false">IFERROR(IF(AND(B708&lt;=Eingaben!$B$11,Szenarien!$H$24="OK"),1/(1+Eingaben!$B$39+Szenarien!$G$24)^B708,0),0)</f>
        <v>0</v>
      </c>
      <c r="I708" s="13" t="n">
        <f aca="false">G708*H708</f>
        <v>0</v>
      </c>
      <c r="J708" s="13" t="n">
        <f aca="false">(D708+E708-F708)*H708</f>
        <v>0</v>
      </c>
      <c r="K708" s="13" t="n">
        <f aca="false">IF(AND(B708&lt;=Eingaben!$B$11,Szenarien!$H$24="OK"),SUM(Variantenbilanz!K4763:K5128)*H708,0)</f>
        <v>0</v>
      </c>
    </row>
    <row r="709" customFormat="false" ht="16.4" hidden="false" customHeight="false" outlineLevel="0" collapsed="false">
      <c r="A709" s="12"/>
      <c r="B709" s="15" t="n">
        <v>41</v>
      </c>
      <c r="C709" s="13" t="n">
        <f aca="false">IFERROR(IF(AND(B709&lt;=Eingaben!$B$11,Szenarien!$H$24="OK"),SUM(Variantenbilanz!K4763:K5128)*(Eingaben!$B$36*Szenarien!$C$24*(1+Eingaben!$B$40)^(B709-1)+Eingaben!$B$37*Eingaben!$B$38*(1+Eingaben!$B$46)^(B709-1)),0),0)</f>
        <v>0</v>
      </c>
      <c r="D709" s="13" t="n">
        <f aca="false">IFERROR(IF(AND(B709&lt;=Eingaben!$B$11,Szenarien!$H$24="OK"),((Eingaben!$B$32+Eingaben!$B$35)*(1+Eingaben!$B$41)^(B709-1)+SUM(Variantenbilanz!E4763:E5128)*Eingaben!$B$33*Eingaben!$B$34*(1+Eingaben!$B$42)^(B709-1))*Szenarien!$F$24,0),0)</f>
        <v>0</v>
      </c>
      <c r="E709" s="13" t="n">
        <f aca="false">IFERROR(IF(AND(AND(B709&lt;=Eingaben!$B$11,Szenarien!$H$24="OK"),B709=Eingaben!$B$43),Eingaben!$B$44*Szenarien!$B$24*(1+Eingaben!$B$41)^(B709-1),0),0)</f>
        <v>0</v>
      </c>
      <c r="F709" s="13" t="n">
        <f aca="false">IFERROR(IF(AND(AND(B709&lt;=Eingaben!$B$11,Szenarien!$H$24="OK"),B709=Eingaben!$B$11),Eingaben!$B$45*Szenarien!$B$24,0),0)</f>
        <v>0</v>
      </c>
      <c r="G709" s="13" t="n">
        <f aca="false">C709-D709-E709+F709</f>
        <v>0</v>
      </c>
      <c r="H709" s="13" t="n">
        <f aca="false">IFERROR(IF(AND(B709&lt;=Eingaben!$B$11,Szenarien!$H$24="OK"),1/(1+Eingaben!$B$39+Szenarien!$G$24)^B709,0),0)</f>
        <v>0</v>
      </c>
      <c r="I709" s="13" t="n">
        <f aca="false">G709*H709</f>
        <v>0</v>
      </c>
      <c r="J709" s="13" t="n">
        <f aca="false">(D709+E709-F709)*H709</f>
        <v>0</v>
      </c>
      <c r="K709" s="13" t="n">
        <f aca="false">IF(AND(B709&lt;=Eingaben!$B$11,Szenarien!$H$24="OK"),SUM(Variantenbilanz!K4763:K5128)*H709,0)</f>
        <v>0</v>
      </c>
    </row>
    <row r="710" customFormat="false" ht="16.4" hidden="false" customHeight="false" outlineLevel="0" collapsed="false">
      <c r="A710" s="12"/>
      <c r="B710" s="15" t="n">
        <v>42</v>
      </c>
      <c r="C710" s="13" t="n">
        <f aca="false">IFERROR(IF(AND(B710&lt;=Eingaben!$B$11,Szenarien!$H$24="OK"),SUM(Variantenbilanz!K4763:K5128)*(Eingaben!$B$36*Szenarien!$C$24*(1+Eingaben!$B$40)^(B710-1)+Eingaben!$B$37*Eingaben!$B$38*(1+Eingaben!$B$46)^(B710-1)),0),0)</f>
        <v>0</v>
      </c>
      <c r="D710" s="13" t="n">
        <f aca="false">IFERROR(IF(AND(B710&lt;=Eingaben!$B$11,Szenarien!$H$24="OK"),((Eingaben!$B$32+Eingaben!$B$35)*(1+Eingaben!$B$41)^(B710-1)+SUM(Variantenbilanz!E4763:E5128)*Eingaben!$B$33*Eingaben!$B$34*(1+Eingaben!$B$42)^(B710-1))*Szenarien!$F$24,0),0)</f>
        <v>0</v>
      </c>
      <c r="E710" s="13" t="n">
        <f aca="false">IFERROR(IF(AND(AND(B710&lt;=Eingaben!$B$11,Szenarien!$H$24="OK"),B710=Eingaben!$B$43),Eingaben!$B$44*Szenarien!$B$24*(1+Eingaben!$B$41)^(B710-1),0),0)</f>
        <v>0</v>
      </c>
      <c r="F710" s="13" t="n">
        <f aca="false">IFERROR(IF(AND(AND(B710&lt;=Eingaben!$B$11,Szenarien!$H$24="OK"),B710=Eingaben!$B$11),Eingaben!$B$45*Szenarien!$B$24,0),0)</f>
        <v>0</v>
      </c>
      <c r="G710" s="13" t="n">
        <f aca="false">C710-D710-E710+F710</f>
        <v>0</v>
      </c>
      <c r="H710" s="13" t="n">
        <f aca="false">IFERROR(IF(AND(B710&lt;=Eingaben!$B$11,Szenarien!$H$24="OK"),1/(1+Eingaben!$B$39+Szenarien!$G$24)^B710,0),0)</f>
        <v>0</v>
      </c>
      <c r="I710" s="13" t="n">
        <f aca="false">G710*H710</f>
        <v>0</v>
      </c>
      <c r="J710" s="13" t="n">
        <f aca="false">(D710+E710-F710)*H710</f>
        <v>0</v>
      </c>
      <c r="K710" s="13" t="n">
        <f aca="false">IF(AND(B710&lt;=Eingaben!$B$11,Szenarien!$H$24="OK"),SUM(Variantenbilanz!K4763:K5128)*H710,0)</f>
        <v>0</v>
      </c>
    </row>
    <row r="711" customFormat="false" ht="16.4" hidden="false" customHeight="false" outlineLevel="0" collapsed="false">
      <c r="A711" s="12"/>
      <c r="B711" s="15" t="n">
        <v>43</v>
      </c>
      <c r="C711" s="13" t="n">
        <f aca="false">IFERROR(IF(AND(B711&lt;=Eingaben!$B$11,Szenarien!$H$24="OK"),SUM(Variantenbilanz!K4763:K5128)*(Eingaben!$B$36*Szenarien!$C$24*(1+Eingaben!$B$40)^(B711-1)+Eingaben!$B$37*Eingaben!$B$38*(1+Eingaben!$B$46)^(B711-1)),0),0)</f>
        <v>0</v>
      </c>
      <c r="D711" s="13" t="n">
        <f aca="false">IFERROR(IF(AND(B711&lt;=Eingaben!$B$11,Szenarien!$H$24="OK"),((Eingaben!$B$32+Eingaben!$B$35)*(1+Eingaben!$B$41)^(B711-1)+SUM(Variantenbilanz!E4763:E5128)*Eingaben!$B$33*Eingaben!$B$34*(1+Eingaben!$B$42)^(B711-1))*Szenarien!$F$24,0),0)</f>
        <v>0</v>
      </c>
      <c r="E711" s="13" t="n">
        <f aca="false">IFERROR(IF(AND(AND(B711&lt;=Eingaben!$B$11,Szenarien!$H$24="OK"),B711=Eingaben!$B$43),Eingaben!$B$44*Szenarien!$B$24*(1+Eingaben!$B$41)^(B711-1),0),0)</f>
        <v>0</v>
      </c>
      <c r="F711" s="13" t="n">
        <f aca="false">IFERROR(IF(AND(AND(B711&lt;=Eingaben!$B$11,Szenarien!$H$24="OK"),B711=Eingaben!$B$11),Eingaben!$B$45*Szenarien!$B$24,0),0)</f>
        <v>0</v>
      </c>
      <c r="G711" s="13" t="n">
        <f aca="false">C711-D711-E711+F711</f>
        <v>0</v>
      </c>
      <c r="H711" s="13" t="n">
        <f aca="false">IFERROR(IF(AND(B711&lt;=Eingaben!$B$11,Szenarien!$H$24="OK"),1/(1+Eingaben!$B$39+Szenarien!$G$24)^B711,0),0)</f>
        <v>0</v>
      </c>
      <c r="I711" s="13" t="n">
        <f aca="false">G711*H711</f>
        <v>0</v>
      </c>
      <c r="J711" s="13" t="n">
        <f aca="false">(D711+E711-F711)*H711</f>
        <v>0</v>
      </c>
      <c r="K711" s="13" t="n">
        <f aca="false">IF(AND(B711&lt;=Eingaben!$B$11,Szenarien!$H$24="OK"),SUM(Variantenbilanz!K4763:K5128)*H711,0)</f>
        <v>0</v>
      </c>
    </row>
    <row r="712" customFormat="false" ht="16.4" hidden="false" customHeight="false" outlineLevel="0" collapsed="false">
      <c r="A712" s="12"/>
      <c r="B712" s="15" t="n">
        <v>44</v>
      </c>
      <c r="C712" s="13" t="n">
        <f aca="false">IFERROR(IF(AND(B712&lt;=Eingaben!$B$11,Szenarien!$H$24="OK"),SUM(Variantenbilanz!K4763:K5128)*(Eingaben!$B$36*Szenarien!$C$24*(1+Eingaben!$B$40)^(B712-1)+Eingaben!$B$37*Eingaben!$B$38*(1+Eingaben!$B$46)^(B712-1)),0),0)</f>
        <v>0</v>
      </c>
      <c r="D712" s="13" t="n">
        <f aca="false">IFERROR(IF(AND(B712&lt;=Eingaben!$B$11,Szenarien!$H$24="OK"),((Eingaben!$B$32+Eingaben!$B$35)*(1+Eingaben!$B$41)^(B712-1)+SUM(Variantenbilanz!E4763:E5128)*Eingaben!$B$33*Eingaben!$B$34*(1+Eingaben!$B$42)^(B712-1))*Szenarien!$F$24,0),0)</f>
        <v>0</v>
      </c>
      <c r="E712" s="13" t="n">
        <f aca="false">IFERROR(IF(AND(AND(B712&lt;=Eingaben!$B$11,Szenarien!$H$24="OK"),B712=Eingaben!$B$43),Eingaben!$B$44*Szenarien!$B$24*(1+Eingaben!$B$41)^(B712-1),0),0)</f>
        <v>0</v>
      </c>
      <c r="F712" s="13" t="n">
        <f aca="false">IFERROR(IF(AND(AND(B712&lt;=Eingaben!$B$11,Szenarien!$H$24="OK"),B712=Eingaben!$B$11),Eingaben!$B$45*Szenarien!$B$24,0),0)</f>
        <v>0</v>
      </c>
      <c r="G712" s="13" t="n">
        <f aca="false">C712-D712-E712+F712</f>
        <v>0</v>
      </c>
      <c r="H712" s="13" t="n">
        <f aca="false">IFERROR(IF(AND(B712&lt;=Eingaben!$B$11,Szenarien!$H$24="OK"),1/(1+Eingaben!$B$39+Szenarien!$G$24)^B712,0),0)</f>
        <v>0</v>
      </c>
      <c r="I712" s="13" t="n">
        <f aca="false">G712*H712</f>
        <v>0</v>
      </c>
      <c r="J712" s="13" t="n">
        <f aca="false">(D712+E712-F712)*H712</f>
        <v>0</v>
      </c>
      <c r="K712" s="13" t="n">
        <f aca="false">IF(AND(B712&lt;=Eingaben!$B$11,Szenarien!$H$24="OK"),SUM(Variantenbilanz!K4763:K5128)*H712,0)</f>
        <v>0</v>
      </c>
    </row>
    <row r="713" customFormat="false" ht="16.4" hidden="false" customHeight="false" outlineLevel="0" collapsed="false">
      <c r="A713" s="12"/>
      <c r="B713" s="15" t="n">
        <v>45</v>
      </c>
      <c r="C713" s="13" t="n">
        <f aca="false">IFERROR(IF(AND(B713&lt;=Eingaben!$B$11,Szenarien!$H$24="OK"),SUM(Variantenbilanz!K4763:K5128)*(Eingaben!$B$36*Szenarien!$C$24*(1+Eingaben!$B$40)^(B713-1)+Eingaben!$B$37*Eingaben!$B$38*(1+Eingaben!$B$46)^(B713-1)),0),0)</f>
        <v>0</v>
      </c>
      <c r="D713" s="13" t="n">
        <f aca="false">IFERROR(IF(AND(B713&lt;=Eingaben!$B$11,Szenarien!$H$24="OK"),((Eingaben!$B$32+Eingaben!$B$35)*(1+Eingaben!$B$41)^(B713-1)+SUM(Variantenbilanz!E4763:E5128)*Eingaben!$B$33*Eingaben!$B$34*(1+Eingaben!$B$42)^(B713-1))*Szenarien!$F$24,0),0)</f>
        <v>0</v>
      </c>
      <c r="E713" s="13" t="n">
        <f aca="false">IFERROR(IF(AND(AND(B713&lt;=Eingaben!$B$11,Szenarien!$H$24="OK"),B713=Eingaben!$B$43),Eingaben!$B$44*Szenarien!$B$24*(1+Eingaben!$B$41)^(B713-1),0),0)</f>
        <v>0</v>
      </c>
      <c r="F713" s="13" t="n">
        <f aca="false">IFERROR(IF(AND(AND(B713&lt;=Eingaben!$B$11,Szenarien!$H$24="OK"),B713=Eingaben!$B$11),Eingaben!$B$45*Szenarien!$B$24,0),0)</f>
        <v>0</v>
      </c>
      <c r="G713" s="13" t="n">
        <f aca="false">C713-D713-E713+F713</f>
        <v>0</v>
      </c>
      <c r="H713" s="13" t="n">
        <f aca="false">IFERROR(IF(AND(B713&lt;=Eingaben!$B$11,Szenarien!$H$24="OK"),1/(1+Eingaben!$B$39+Szenarien!$G$24)^B713,0),0)</f>
        <v>0</v>
      </c>
      <c r="I713" s="13" t="n">
        <f aca="false">G713*H713</f>
        <v>0</v>
      </c>
      <c r="J713" s="13" t="n">
        <f aca="false">(D713+E713-F713)*H713</f>
        <v>0</v>
      </c>
      <c r="K713" s="13" t="n">
        <f aca="false">IF(AND(B713&lt;=Eingaben!$B$11,Szenarien!$H$24="OK"),SUM(Variantenbilanz!K4763:K5128)*H713,0)</f>
        <v>0</v>
      </c>
    </row>
    <row r="714" customFormat="false" ht="16.4" hidden="false" customHeight="false" outlineLevel="0" collapsed="false">
      <c r="A714" s="12"/>
      <c r="B714" s="15" t="n">
        <v>46</v>
      </c>
      <c r="C714" s="13" t="n">
        <f aca="false">IFERROR(IF(AND(B714&lt;=Eingaben!$B$11,Szenarien!$H$24="OK"),SUM(Variantenbilanz!K4763:K5128)*(Eingaben!$B$36*Szenarien!$C$24*(1+Eingaben!$B$40)^(B714-1)+Eingaben!$B$37*Eingaben!$B$38*(1+Eingaben!$B$46)^(B714-1)),0),0)</f>
        <v>0</v>
      </c>
      <c r="D714" s="13" t="n">
        <f aca="false">IFERROR(IF(AND(B714&lt;=Eingaben!$B$11,Szenarien!$H$24="OK"),((Eingaben!$B$32+Eingaben!$B$35)*(1+Eingaben!$B$41)^(B714-1)+SUM(Variantenbilanz!E4763:E5128)*Eingaben!$B$33*Eingaben!$B$34*(1+Eingaben!$B$42)^(B714-1))*Szenarien!$F$24,0),0)</f>
        <v>0</v>
      </c>
      <c r="E714" s="13" t="n">
        <f aca="false">IFERROR(IF(AND(AND(B714&lt;=Eingaben!$B$11,Szenarien!$H$24="OK"),B714=Eingaben!$B$43),Eingaben!$B$44*Szenarien!$B$24*(1+Eingaben!$B$41)^(B714-1),0),0)</f>
        <v>0</v>
      </c>
      <c r="F714" s="13" t="n">
        <f aca="false">IFERROR(IF(AND(AND(B714&lt;=Eingaben!$B$11,Szenarien!$H$24="OK"),B714=Eingaben!$B$11),Eingaben!$B$45*Szenarien!$B$24,0),0)</f>
        <v>0</v>
      </c>
      <c r="G714" s="13" t="n">
        <f aca="false">C714-D714-E714+F714</f>
        <v>0</v>
      </c>
      <c r="H714" s="13" t="n">
        <f aca="false">IFERROR(IF(AND(B714&lt;=Eingaben!$B$11,Szenarien!$H$24="OK"),1/(1+Eingaben!$B$39+Szenarien!$G$24)^B714,0),0)</f>
        <v>0</v>
      </c>
      <c r="I714" s="13" t="n">
        <f aca="false">G714*H714</f>
        <v>0</v>
      </c>
      <c r="J714" s="13" t="n">
        <f aca="false">(D714+E714-F714)*H714</f>
        <v>0</v>
      </c>
      <c r="K714" s="13" t="n">
        <f aca="false">IF(AND(B714&lt;=Eingaben!$B$11,Szenarien!$H$24="OK"),SUM(Variantenbilanz!K4763:K5128)*H714,0)</f>
        <v>0</v>
      </c>
    </row>
    <row r="715" customFormat="false" ht="16.4" hidden="false" customHeight="false" outlineLevel="0" collapsed="false">
      <c r="A715" s="12"/>
      <c r="B715" s="15" t="n">
        <v>47</v>
      </c>
      <c r="C715" s="13" t="n">
        <f aca="false">IFERROR(IF(AND(B715&lt;=Eingaben!$B$11,Szenarien!$H$24="OK"),SUM(Variantenbilanz!K4763:K5128)*(Eingaben!$B$36*Szenarien!$C$24*(1+Eingaben!$B$40)^(B715-1)+Eingaben!$B$37*Eingaben!$B$38*(1+Eingaben!$B$46)^(B715-1)),0),0)</f>
        <v>0</v>
      </c>
      <c r="D715" s="13" t="n">
        <f aca="false">IFERROR(IF(AND(B715&lt;=Eingaben!$B$11,Szenarien!$H$24="OK"),((Eingaben!$B$32+Eingaben!$B$35)*(1+Eingaben!$B$41)^(B715-1)+SUM(Variantenbilanz!E4763:E5128)*Eingaben!$B$33*Eingaben!$B$34*(1+Eingaben!$B$42)^(B715-1))*Szenarien!$F$24,0),0)</f>
        <v>0</v>
      </c>
      <c r="E715" s="13" t="n">
        <f aca="false">IFERROR(IF(AND(AND(B715&lt;=Eingaben!$B$11,Szenarien!$H$24="OK"),B715=Eingaben!$B$43),Eingaben!$B$44*Szenarien!$B$24*(1+Eingaben!$B$41)^(B715-1),0),0)</f>
        <v>0</v>
      </c>
      <c r="F715" s="13" t="n">
        <f aca="false">IFERROR(IF(AND(AND(B715&lt;=Eingaben!$B$11,Szenarien!$H$24="OK"),B715=Eingaben!$B$11),Eingaben!$B$45*Szenarien!$B$24,0),0)</f>
        <v>0</v>
      </c>
      <c r="G715" s="13" t="n">
        <f aca="false">C715-D715-E715+F715</f>
        <v>0</v>
      </c>
      <c r="H715" s="13" t="n">
        <f aca="false">IFERROR(IF(AND(B715&lt;=Eingaben!$B$11,Szenarien!$H$24="OK"),1/(1+Eingaben!$B$39+Szenarien!$G$24)^B715,0),0)</f>
        <v>0</v>
      </c>
      <c r="I715" s="13" t="n">
        <f aca="false">G715*H715</f>
        <v>0</v>
      </c>
      <c r="J715" s="13" t="n">
        <f aca="false">(D715+E715-F715)*H715</f>
        <v>0</v>
      </c>
      <c r="K715" s="13" t="n">
        <f aca="false">IF(AND(B715&lt;=Eingaben!$B$11,Szenarien!$H$24="OK"),SUM(Variantenbilanz!K4763:K5128)*H715,0)</f>
        <v>0</v>
      </c>
    </row>
    <row r="716" customFormat="false" ht="16.4" hidden="false" customHeight="false" outlineLevel="0" collapsed="false">
      <c r="A716" s="12"/>
      <c r="B716" s="15" t="n">
        <v>48</v>
      </c>
      <c r="C716" s="13" t="n">
        <f aca="false">IFERROR(IF(AND(B716&lt;=Eingaben!$B$11,Szenarien!$H$24="OK"),SUM(Variantenbilanz!K4763:K5128)*(Eingaben!$B$36*Szenarien!$C$24*(1+Eingaben!$B$40)^(B716-1)+Eingaben!$B$37*Eingaben!$B$38*(1+Eingaben!$B$46)^(B716-1)),0),0)</f>
        <v>0</v>
      </c>
      <c r="D716" s="13" t="n">
        <f aca="false">IFERROR(IF(AND(B716&lt;=Eingaben!$B$11,Szenarien!$H$24="OK"),((Eingaben!$B$32+Eingaben!$B$35)*(1+Eingaben!$B$41)^(B716-1)+SUM(Variantenbilanz!E4763:E5128)*Eingaben!$B$33*Eingaben!$B$34*(1+Eingaben!$B$42)^(B716-1))*Szenarien!$F$24,0),0)</f>
        <v>0</v>
      </c>
      <c r="E716" s="13" t="n">
        <f aca="false">IFERROR(IF(AND(AND(B716&lt;=Eingaben!$B$11,Szenarien!$H$24="OK"),B716=Eingaben!$B$43),Eingaben!$B$44*Szenarien!$B$24*(1+Eingaben!$B$41)^(B716-1),0),0)</f>
        <v>0</v>
      </c>
      <c r="F716" s="13" t="n">
        <f aca="false">IFERROR(IF(AND(AND(B716&lt;=Eingaben!$B$11,Szenarien!$H$24="OK"),B716=Eingaben!$B$11),Eingaben!$B$45*Szenarien!$B$24,0),0)</f>
        <v>0</v>
      </c>
      <c r="G716" s="13" t="n">
        <f aca="false">C716-D716-E716+F716</f>
        <v>0</v>
      </c>
      <c r="H716" s="13" t="n">
        <f aca="false">IFERROR(IF(AND(B716&lt;=Eingaben!$B$11,Szenarien!$H$24="OK"),1/(1+Eingaben!$B$39+Szenarien!$G$24)^B716,0),0)</f>
        <v>0</v>
      </c>
      <c r="I716" s="13" t="n">
        <f aca="false">G716*H716</f>
        <v>0</v>
      </c>
      <c r="J716" s="13" t="n">
        <f aca="false">(D716+E716-F716)*H716</f>
        <v>0</v>
      </c>
      <c r="K716" s="13" t="n">
        <f aca="false">IF(AND(B716&lt;=Eingaben!$B$11,Szenarien!$H$24="OK"),SUM(Variantenbilanz!K4763:K5128)*H716,0)</f>
        <v>0</v>
      </c>
    </row>
    <row r="717" customFormat="false" ht="16.4" hidden="false" customHeight="false" outlineLevel="0" collapsed="false">
      <c r="A717" s="12"/>
      <c r="B717" s="15" t="n">
        <v>49</v>
      </c>
      <c r="C717" s="13" t="n">
        <f aca="false">IFERROR(IF(AND(B717&lt;=Eingaben!$B$11,Szenarien!$H$24="OK"),SUM(Variantenbilanz!K4763:K5128)*(Eingaben!$B$36*Szenarien!$C$24*(1+Eingaben!$B$40)^(B717-1)+Eingaben!$B$37*Eingaben!$B$38*(1+Eingaben!$B$46)^(B717-1)),0),0)</f>
        <v>0</v>
      </c>
      <c r="D717" s="13" t="n">
        <f aca="false">IFERROR(IF(AND(B717&lt;=Eingaben!$B$11,Szenarien!$H$24="OK"),((Eingaben!$B$32+Eingaben!$B$35)*(1+Eingaben!$B$41)^(B717-1)+SUM(Variantenbilanz!E4763:E5128)*Eingaben!$B$33*Eingaben!$B$34*(1+Eingaben!$B$42)^(B717-1))*Szenarien!$F$24,0),0)</f>
        <v>0</v>
      </c>
      <c r="E717" s="13" t="n">
        <f aca="false">IFERROR(IF(AND(AND(B717&lt;=Eingaben!$B$11,Szenarien!$H$24="OK"),B717=Eingaben!$B$43),Eingaben!$B$44*Szenarien!$B$24*(1+Eingaben!$B$41)^(B717-1),0),0)</f>
        <v>0</v>
      </c>
      <c r="F717" s="13" t="n">
        <f aca="false">IFERROR(IF(AND(AND(B717&lt;=Eingaben!$B$11,Szenarien!$H$24="OK"),B717=Eingaben!$B$11),Eingaben!$B$45*Szenarien!$B$24,0),0)</f>
        <v>0</v>
      </c>
      <c r="G717" s="13" t="n">
        <f aca="false">C717-D717-E717+F717</f>
        <v>0</v>
      </c>
      <c r="H717" s="13" t="n">
        <f aca="false">IFERROR(IF(AND(B717&lt;=Eingaben!$B$11,Szenarien!$H$24="OK"),1/(1+Eingaben!$B$39+Szenarien!$G$24)^B717,0),0)</f>
        <v>0</v>
      </c>
      <c r="I717" s="13" t="n">
        <f aca="false">G717*H717</f>
        <v>0</v>
      </c>
      <c r="J717" s="13" t="n">
        <f aca="false">(D717+E717-F717)*H717</f>
        <v>0</v>
      </c>
      <c r="K717" s="13" t="n">
        <f aca="false">IF(AND(B717&lt;=Eingaben!$B$11,Szenarien!$H$24="OK"),SUM(Variantenbilanz!K4763:K5128)*H717,0)</f>
        <v>0</v>
      </c>
    </row>
    <row r="718" customFormat="false" ht="16.4" hidden="false" customHeight="false" outlineLevel="0" collapsed="false">
      <c r="A718" s="12"/>
      <c r="B718" s="15" t="n">
        <v>50</v>
      </c>
      <c r="C718" s="13" t="n">
        <f aca="false">IFERROR(IF(AND(B718&lt;=Eingaben!$B$11,Szenarien!$H$24="OK"),SUM(Variantenbilanz!K4763:K5128)*(Eingaben!$B$36*Szenarien!$C$24*(1+Eingaben!$B$40)^(B718-1)+Eingaben!$B$37*Eingaben!$B$38*(1+Eingaben!$B$46)^(B718-1)),0),0)</f>
        <v>0</v>
      </c>
      <c r="D718" s="13" t="n">
        <f aca="false">IFERROR(IF(AND(B718&lt;=Eingaben!$B$11,Szenarien!$H$24="OK"),((Eingaben!$B$32+Eingaben!$B$35)*(1+Eingaben!$B$41)^(B718-1)+SUM(Variantenbilanz!E4763:E5128)*Eingaben!$B$33*Eingaben!$B$34*(1+Eingaben!$B$42)^(B718-1))*Szenarien!$F$24,0),0)</f>
        <v>0</v>
      </c>
      <c r="E718" s="13" t="n">
        <f aca="false">IFERROR(IF(AND(AND(B718&lt;=Eingaben!$B$11,Szenarien!$H$24="OK"),B718=Eingaben!$B$43),Eingaben!$B$44*Szenarien!$B$24*(1+Eingaben!$B$41)^(B718-1),0),0)</f>
        <v>0</v>
      </c>
      <c r="F718" s="13" t="n">
        <f aca="false">IFERROR(IF(AND(AND(B718&lt;=Eingaben!$B$11,Szenarien!$H$24="OK"),B718=Eingaben!$B$11),Eingaben!$B$45*Szenarien!$B$24,0),0)</f>
        <v>0</v>
      </c>
      <c r="G718" s="13" t="n">
        <f aca="false">C718-D718-E718+F718</f>
        <v>0</v>
      </c>
      <c r="H718" s="13" t="n">
        <f aca="false">IFERROR(IF(AND(B718&lt;=Eingaben!$B$11,Szenarien!$H$24="OK"),1/(1+Eingaben!$B$39+Szenarien!$G$24)^B718,0),0)</f>
        <v>0</v>
      </c>
      <c r="I718" s="13" t="n">
        <f aca="false">G718*H718</f>
        <v>0</v>
      </c>
      <c r="J718" s="13" t="n">
        <f aca="false">(D718+E718-F718)*H718</f>
        <v>0</v>
      </c>
      <c r="K718" s="13" t="n">
        <f aca="false">IF(AND(B718&lt;=Eingaben!$B$11,Szenarien!$H$24="OK"),SUM(Variantenbilanz!K4763:K5128)*H718,0)</f>
        <v>0</v>
      </c>
    </row>
    <row r="719" customFormat="false" ht="31.3" hidden="false" customHeight="false" outlineLevel="0" collapsed="false">
      <c r="A719" s="12" t="s">
        <v>341</v>
      </c>
      <c r="B719" s="15" t="n">
        <v>0</v>
      </c>
      <c r="C719" s="13" t="n">
        <f aca="false">0</f>
        <v>0</v>
      </c>
      <c r="D719" s="13" t="n">
        <f aca="false">0</f>
        <v>0</v>
      </c>
      <c r="E719" s="13" t="n">
        <f aca="false">MAX(0,Berechnung!$B$13*Szenarien!$B$25-MIN(Eingaben!$B$31,Berechnung!$B$13*Szenarien!$B$25))</f>
        <v>25000</v>
      </c>
      <c r="F719" s="13" t="n">
        <f aca="false">0</f>
        <v>0</v>
      </c>
      <c r="G719" s="13" t="n">
        <f aca="false">-E719</f>
        <v>-25000</v>
      </c>
      <c r="H719" s="13" t="n">
        <f aca="false">1</f>
        <v>1</v>
      </c>
      <c r="I719" s="13" t="n">
        <f aca="false">G719</f>
        <v>-25000</v>
      </c>
      <c r="J719" s="13" t="n">
        <f aca="false">E719</f>
        <v>25000</v>
      </c>
      <c r="K719" s="13" t="n">
        <f aca="false">0</f>
        <v>0</v>
      </c>
    </row>
    <row r="720" customFormat="false" ht="16.4" hidden="false" customHeight="false" outlineLevel="0" collapsed="false">
      <c r="A720" s="12"/>
      <c r="B720" s="15" t="n">
        <v>1</v>
      </c>
      <c r="C720" s="13" t="n">
        <f aca="false">IFERROR(IF(AND(B720&lt;=Eingaben!$B$11,Szenarien!$H$25="OK"),SUM(Variantenbilanz!K5129:K5494)*(Eingaben!$B$36*Szenarien!$C$25*(1+Eingaben!$B$40)^(B720-1)+Eingaben!$B$37*Eingaben!$B$38*(1+Eingaben!$B$46)^(B720-1)),0),0)</f>
        <v>1388.474393</v>
      </c>
      <c r="D720" s="13" t="n">
        <f aca="false">IFERROR(IF(AND(B720&lt;=Eingaben!$B$11,Szenarien!$H$25="OK"),((Eingaben!$B$32+Eingaben!$B$35)*(1+Eingaben!$B$41)^(B720-1)+SUM(Variantenbilanz!E5129:E5494)*Eingaben!$B$33*Eingaben!$B$34*(1+Eingaben!$B$42)^(B720-1))*Szenarien!$F$25,0),0)</f>
        <v>781.527</v>
      </c>
      <c r="E720" s="13" t="n">
        <f aca="false">IFERROR(IF(AND(AND(B720&lt;=Eingaben!$B$11,Szenarien!$H$25="OK"),B720=Eingaben!$B$43),Eingaben!$B$44*Szenarien!$B$25*(1+Eingaben!$B$41)^(B720-1),0),0)</f>
        <v>0</v>
      </c>
      <c r="F720" s="13" t="n">
        <f aca="false">IFERROR(IF(AND(AND(B720&lt;=Eingaben!$B$11,Szenarien!$H$25="OK"),B720=Eingaben!$B$11),Eingaben!$B$45*Szenarien!$B$25,0),0)</f>
        <v>0</v>
      </c>
      <c r="G720" s="13" t="n">
        <f aca="false">C720-D720-E720+F720</f>
        <v>606.947393</v>
      </c>
      <c r="H720" s="13" t="n">
        <f aca="false">IFERROR(IF(AND(B720&lt;=Eingaben!$B$11,Szenarien!$H$25="OK"),1/(1+Eingaben!$B$39+Szenarien!$G$25)^B720,0),0)</f>
        <v>0.961538461538462</v>
      </c>
      <c r="I720" s="13" t="n">
        <f aca="false">G720*H720</f>
        <v>583.6032625</v>
      </c>
      <c r="J720" s="13" t="n">
        <f aca="false">(D720+E720-F720)*H720</f>
        <v>751.468269230769</v>
      </c>
      <c r="K720" s="13" t="n">
        <f aca="false">IF(AND(B720&lt;=Eingaben!$B$11,Szenarien!$H$25="OK"),SUM(Variantenbilanz!K5129:K5494)*H720,0)</f>
        <v>534.028612692308</v>
      </c>
    </row>
    <row r="721" customFormat="false" ht="16.4" hidden="false" customHeight="false" outlineLevel="0" collapsed="false">
      <c r="A721" s="12"/>
      <c r="B721" s="15" t="n">
        <v>2</v>
      </c>
      <c r="C721" s="13" t="n">
        <f aca="false">IFERROR(IF(AND(B721&lt;=Eingaben!$B$11,Szenarien!$H$25="OK"),SUM(Variantenbilanz!K5129:K5494)*(Eingaben!$B$36*Szenarien!$C$25*(1+Eingaben!$B$40)^(B721-1)+Eingaben!$B$37*Eingaben!$B$38*(1+Eingaben!$B$46)^(B721-1)),0),0)</f>
        <v>1416.24388086</v>
      </c>
      <c r="D721" s="13" t="n">
        <f aca="false">IFERROR(IF(AND(B721&lt;=Eingaben!$B$11,Szenarien!$H$25="OK"),((Eingaben!$B$32+Eingaben!$B$35)*(1+Eingaben!$B$41)^(B721-1)+SUM(Variantenbilanz!E5129:E5494)*Eingaben!$B$33*Eingaben!$B$34*(1+Eingaben!$B$42)^(B721-1))*Szenarien!$F$25,0),0)</f>
        <v>797.15754</v>
      </c>
      <c r="E721" s="13" t="n">
        <f aca="false">IFERROR(IF(AND(AND(B721&lt;=Eingaben!$B$11,Szenarien!$H$25="OK"),B721=Eingaben!$B$43),Eingaben!$B$44*Szenarien!$B$25*(1+Eingaben!$B$41)^(B721-1),0),0)</f>
        <v>0</v>
      </c>
      <c r="F721" s="13" t="n">
        <f aca="false">IFERROR(IF(AND(AND(B721&lt;=Eingaben!$B$11,Szenarien!$H$25="OK"),B721=Eingaben!$B$11),Eingaben!$B$45*Szenarien!$B$25,0),0)</f>
        <v>0</v>
      </c>
      <c r="G721" s="13" t="n">
        <f aca="false">C721-D721-E721+F721</f>
        <v>619.08634086</v>
      </c>
      <c r="H721" s="13" t="n">
        <f aca="false">IFERROR(IF(AND(B721&lt;=Eingaben!$B$11,Szenarien!$H$25="OK"),1/(1+Eingaben!$B$39+Szenarien!$G$25)^B721,0),0)</f>
        <v>0.924556213017751</v>
      </c>
      <c r="I721" s="13" t="n">
        <f aca="false">G721*H721</f>
        <v>572.380122836538</v>
      </c>
      <c r="J721" s="13" t="n">
        <f aca="false">(D721+E721-F721)*H721</f>
        <v>737.016956360947</v>
      </c>
      <c r="K721" s="13" t="n">
        <f aca="false">IF(AND(B721&lt;=Eingaben!$B$11,Szenarien!$H$25="OK"),SUM(Variantenbilanz!K5129:K5494)*H721,0)</f>
        <v>513.48905066568</v>
      </c>
    </row>
    <row r="722" customFormat="false" ht="16.4" hidden="false" customHeight="false" outlineLevel="0" collapsed="false">
      <c r="A722" s="12"/>
      <c r="B722" s="15" t="n">
        <v>3</v>
      </c>
      <c r="C722" s="13" t="n">
        <f aca="false">IFERROR(IF(AND(B722&lt;=Eingaben!$B$11,Szenarien!$H$25="OK"),SUM(Variantenbilanz!K5129:K5494)*(Eingaben!$B$36*Szenarien!$C$25*(1+Eingaben!$B$40)^(B722-1)+Eingaben!$B$37*Eingaben!$B$38*(1+Eingaben!$B$46)^(B722-1)),0),0)</f>
        <v>1444.5687584772</v>
      </c>
      <c r="D722" s="13" t="n">
        <f aca="false">IFERROR(IF(AND(B722&lt;=Eingaben!$B$11,Szenarien!$H$25="OK"),((Eingaben!$B$32+Eingaben!$B$35)*(1+Eingaben!$B$41)^(B722-1)+SUM(Variantenbilanz!E5129:E5494)*Eingaben!$B$33*Eingaben!$B$34*(1+Eingaben!$B$42)^(B722-1))*Szenarien!$F$25,0),0)</f>
        <v>813.1006908</v>
      </c>
      <c r="E722" s="13" t="n">
        <f aca="false">IFERROR(IF(AND(AND(B722&lt;=Eingaben!$B$11,Szenarien!$H$25="OK"),B722=Eingaben!$B$43),Eingaben!$B$44*Szenarien!$B$25*(1+Eingaben!$B$41)^(B722-1),0),0)</f>
        <v>0</v>
      </c>
      <c r="F722" s="13" t="n">
        <f aca="false">IFERROR(IF(AND(AND(B722&lt;=Eingaben!$B$11,Szenarien!$H$25="OK"),B722=Eingaben!$B$11),Eingaben!$B$45*Szenarien!$B$25,0),0)</f>
        <v>0</v>
      </c>
      <c r="G722" s="13" t="n">
        <f aca="false">C722-D722-E722+F722</f>
        <v>631.4680676772</v>
      </c>
      <c r="H722" s="13" t="n">
        <f aca="false">IFERROR(IF(AND(B722&lt;=Eingaben!$B$11,Szenarien!$H$25="OK"),1/(1+Eingaben!$B$39+Szenarien!$G$25)^B722,0),0)</f>
        <v>0.888996358670915</v>
      </c>
      <c r="I722" s="13" t="n">
        <f aca="false">G722*H722</f>
        <v>561.37281278199</v>
      </c>
      <c r="J722" s="13" t="n">
        <f aca="false">(D722+E722-F722)*H722</f>
        <v>722.843553354005</v>
      </c>
      <c r="K722" s="13" t="n">
        <f aca="false">IF(AND(B722&lt;=Eingaben!$B$11,Szenarien!$H$25="OK"),SUM(Variantenbilanz!K5129:K5494)*H722,0)</f>
        <v>493.739471793924</v>
      </c>
    </row>
    <row r="723" customFormat="false" ht="16.4" hidden="false" customHeight="false" outlineLevel="0" collapsed="false">
      <c r="A723" s="12"/>
      <c r="B723" s="15" t="n">
        <v>4</v>
      </c>
      <c r="C723" s="13" t="n">
        <f aca="false">IFERROR(IF(AND(B723&lt;=Eingaben!$B$11,Szenarien!$H$25="OK"),SUM(Variantenbilanz!K5129:K5494)*(Eingaben!$B$36*Szenarien!$C$25*(1+Eingaben!$B$40)^(B723-1)+Eingaben!$B$37*Eingaben!$B$38*(1+Eingaben!$B$46)^(B723-1)),0),0)</f>
        <v>1473.46013364674</v>
      </c>
      <c r="D723" s="13" t="n">
        <f aca="false">IFERROR(IF(AND(B723&lt;=Eingaben!$B$11,Szenarien!$H$25="OK"),((Eingaben!$B$32+Eingaben!$B$35)*(1+Eingaben!$B$41)^(B723-1)+SUM(Variantenbilanz!E5129:E5494)*Eingaben!$B$33*Eingaben!$B$34*(1+Eingaben!$B$42)^(B723-1))*Szenarien!$F$25,0),0)</f>
        <v>829.362704616</v>
      </c>
      <c r="E723" s="13" t="n">
        <f aca="false">IFERROR(IF(AND(AND(B723&lt;=Eingaben!$B$11,Szenarien!$H$25="OK"),B723=Eingaben!$B$43),Eingaben!$B$44*Szenarien!$B$25*(1+Eingaben!$B$41)^(B723-1),0),0)</f>
        <v>0</v>
      </c>
      <c r="F723" s="13" t="n">
        <f aca="false">IFERROR(IF(AND(AND(B723&lt;=Eingaben!$B$11,Szenarien!$H$25="OK"),B723=Eingaben!$B$11),Eingaben!$B$45*Szenarien!$B$25,0),0)</f>
        <v>0</v>
      </c>
      <c r="G723" s="13" t="n">
        <f aca="false">C723-D723-E723+F723</f>
        <v>644.097429030744</v>
      </c>
      <c r="H723" s="13" t="n">
        <f aca="false">IFERROR(IF(AND(B723&lt;=Eingaben!$B$11,Szenarien!$H$25="OK"),1/(1+Eingaben!$B$39+Szenarien!$G$25)^B723,0),0)</f>
        <v>0.854804191029726</v>
      </c>
      <c r="I723" s="13" t="n">
        <f aca="false">G723*H723</f>
        <v>550.577181766951</v>
      </c>
      <c r="J723" s="13" t="n">
        <f aca="false">(D723+E723-F723)*H723</f>
        <v>708.942715789505</v>
      </c>
      <c r="K723" s="13" t="n">
        <f aca="false">IF(AND(B723&lt;=Eingaben!$B$11,Szenarien!$H$25="OK"),SUM(Variantenbilanz!K5129:K5494)*H723,0)</f>
        <v>474.749492109542</v>
      </c>
    </row>
    <row r="724" customFormat="false" ht="16.4" hidden="false" customHeight="false" outlineLevel="0" collapsed="false">
      <c r="A724" s="12"/>
      <c r="B724" s="15" t="n">
        <v>5</v>
      </c>
      <c r="C724" s="13" t="n">
        <f aca="false">IFERROR(IF(AND(B724&lt;=Eingaben!$B$11,Szenarien!$H$25="OK"),SUM(Variantenbilanz!K5129:K5494)*(Eingaben!$B$36*Szenarien!$C$25*(1+Eingaben!$B$40)^(B724-1)+Eingaben!$B$37*Eingaben!$B$38*(1+Eingaben!$B$46)^(B724-1)),0),0)</f>
        <v>1502.92933631968</v>
      </c>
      <c r="D724" s="13" t="n">
        <f aca="false">IFERROR(IF(AND(B724&lt;=Eingaben!$B$11,Szenarien!$H$25="OK"),((Eingaben!$B$32+Eingaben!$B$35)*(1+Eingaben!$B$41)^(B724-1)+SUM(Variantenbilanz!E5129:E5494)*Eingaben!$B$33*Eingaben!$B$34*(1+Eingaben!$B$42)^(B724-1))*Szenarien!$F$25,0),0)</f>
        <v>845.94995870832</v>
      </c>
      <c r="E724" s="13" t="n">
        <f aca="false">IFERROR(IF(AND(AND(B724&lt;=Eingaben!$B$11,Szenarien!$H$25="OK"),B724=Eingaben!$B$43),Eingaben!$B$44*Szenarien!$B$25*(1+Eingaben!$B$41)^(B724-1),0),0)</f>
        <v>0</v>
      </c>
      <c r="F724" s="13" t="n">
        <f aca="false">IFERROR(IF(AND(AND(B724&lt;=Eingaben!$B$11,Szenarien!$H$25="OK"),B724=Eingaben!$B$11),Eingaben!$B$45*Szenarien!$B$25,0),0)</f>
        <v>0</v>
      </c>
      <c r="G724" s="13" t="n">
        <f aca="false">C724-D724-E724+F724</f>
        <v>656.979377611359</v>
      </c>
      <c r="H724" s="13" t="n">
        <f aca="false">IFERROR(IF(AND(B724&lt;=Eingaben!$B$11,Szenarien!$H$25="OK"),1/(1+Eingaben!$B$39+Szenarien!$G$25)^B724,0),0)</f>
        <v>0.821927106759352</v>
      </c>
      <c r="I724" s="13" t="n">
        <f aca="false">G724*H724</f>
        <v>539.989159040664</v>
      </c>
      <c r="J724" s="13" t="n">
        <f aca="false">(D724+E724-F724)*H724</f>
        <v>695.309202024322</v>
      </c>
      <c r="K724" s="13" t="n">
        <f aca="false">IF(AND(B724&lt;=Eingaben!$B$11,Szenarien!$H$25="OK"),SUM(Variantenbilanz!K5129:K5494)*H724,0)</f>
        <v>456.489896259175</v>
      </c>
    </row>
    <row r="725" customFormat="false" ht="16.4" hidden="false" customHeight="false" outlineLevel="0" collapsed="false">
      <c r="A725" s="12"/>
      <c r="B725" s="15" t="n">
        <v>6</v>
      </c>
      <c r="C725" s="13" t="n">
        <f aca="false">IFERROR(IF(AND(B725&lt;=Eingaben!$B$11,Szenarien!$H$25="OK"),SUM(Variantenbilanz!K5129:K5494)*(Eingaben!$B$36*Szenarien!$C$25*(1+Eingaben!$B$40)^(B725-1)+Eingaben!$B$37*Eingaben!$B$38*(1+Eingaben!$B$46)^(B725-1)),0),0)</f>
        <v>1532.98792304607</v>
      </c>
      <c r="D725" s="13" t="n">
        <f aca="false">IFERROR(IF(AND(B725&lt;=Eingaben!$B$11,Szenarien!$H$25="OK"),((Eingaben!$B$32+Eingaben!$B$35)*(1+Eingaben!$B$41)^(B725-1)+SUM(Variantenbilanz!E5129:E5494)*Eingaben!$B$33*Eingaben!$B$34*(1+Eingaben!$B$42)^(B725-1))*Szenarien!$F$25,0),0)</f>
        <v>862.868957882486</v>
      </c>
      <c r="E725" s="13" t="n">
        <f aca="false">IFERROR(IF(AND(AND(B725&lt;=Eingaben!$B$11,Szenarien!$H$25="OK"),B725=Eingaben!$B$43),Eingaben!$B$44*Szenarien!$B$25*(1+Eingaben!$B$41)^(B725-1),0),0)</f>
        <v>0</v>
      </c>
      <c r="F725" s="13" t="n">
        <f aca="false">IFERROR(IF(AND(AND(B725&lt;=Eingaben!$B$11,Szenarien!$H$25="OK"),B725=Eingaben!$B$11),Eingaben!$B$45*Szenarien!$B$25,0),0)</f>
        <v>0</v>
      </c>
      <c r="G725" s="13" t="n">
        <f aca="false">C725-D725-E725+F725</f>
        <v>670.118965163586</v>
      </c>
      <c r="H725" s="13" t="n">
        <f aca="false">IFERROR(IF(AND(B725&lt;=Eingaben!$B$11,Szenarien!$H$25="OK"),1/(1+Eingaben!$B$39+Szenarien!$G$25)^B725,0),0)</f>
        <v>0.790314525730146</v>
      </c>
      <c r="I725" s="13" t="n">
        <f aca="false">G725*H725</f>
        <v>529.604752136036</v>
      </c>
      <c r="J725" s="13" t="n">
        <f aca="false">(D725+E725-F725)*H725</f>
        <v>681.937871216162</v>
      </c>
      <c r="K725" s="13" t="n">
        <f aca="false">IF(AND(B725&lt;=Eingaben!$B$11,Szenarien!$H$25="OK"),SUM(Variantenbilanz!K5129:K5494)*H725,0)</f>
        <v>438.932592556899</v>
      </c>
    </row>
    <row r="726" customFormat="false" ht="16.4" hidden="false" customHeight="false" outlineLevel="0" collapsed="false">
      <c r="A726" s="12"/>
      <c r="B726" s="15" t="n">
        <v>7</v>
      </c>
      <c r="C726" s="13" t="n">
        <f aca="false">IFERROR(IF(AND(B726&lt;=Eingaben!$B$11,Szenarien!$H$25="OK"),SUM(Variantenbilanz!K5129:K5494)*(Eingaben!$B$36*Szenarien!$C$25*(1+Eingaben!$B$40)^(B726-1)+Eingaben!$B$37*Eingaben!$B$38*(1+Eingaben!$B$46)^(B726-1)),0),0)</f>
        <v>1563.64768150699</v>
      </c>
      <c r="D726" s="13" t="n">
        <f aca="false">IFERROR(IF(AND(B726&lt;=Eingaben!$B$11,Szenarien!$H$25="OK"),((Eingaben!$B$32+Eingaben!$B$35)*(1+Eingaben!$B$41)^(B726-1)+SUM(Variantenbilanz!E5129:E5494)*Eingaben!$B$33*Eingaben!$B$34*(1+Eingaben!$B$42)^(B726-1))*Szenarien!$F$25,0),0)</f>
        <v>880.126337040136</v>
      </c>
      <c r="E726" s="13" t="n">
        <f aca="false">IFERROR(IF(AND(AND(B726&lt;=Eingaben!$B$11,Szenarien!$H$25="OK"),B726=Eingaben!$B$43),Eingaben!$B$44*Szenarien!$B$25*(1+Eingaben!$B$41)^(B726-1),0),0)</f>
        <v>0</v>
      </c>
      <c r="F726" s="13" t="n">
        <f aca="false">IFERROR(IF(AND(AND(B726&lt;=Eingaben!$B$11,Szenarien!$H$25="OK"),B726=Eingaben!$B$11),Eingaben!$B$45*Szenarien!$B$25,0),0)</f>
        <v>0</v>
      </c>
      <c r="G726" s="13" t="n">
        <f aca="false">C726-D726-E726+F726</f>
        <v>683.521344466858</v>
      </c>
      <c r="H726" s="13" t="n">
        <f aca="false">IFERROR(IF(AND(B726&lt;=Eingaben!$B$11,Szenarien!$H$25="OK"),1/(1+Eingaben!$B$39+Szenarien!$G$25)^B726,0),0)</f>
        <v>0.759917813202063</v>
      </c>
      <c r="I726" s="13" t="n">
        <f aca="false">G726*H726</f>
        <v>519.420045364189</v>
      </c>
      <c r="J726" s="13" t="n">
        <f aca="false">(D726+E726-F726)*H726</f>
        <v>668.823681385082</v>
      </c>
      <c r="K726" s="13" t="n">
        <f aca="false">IF(AND(B726&lt;=Eingaben!$B$11,Szenarien!$H$25="OK"),SUM(Variantenbilanz!K5129:K5494)*H726,0)</f>
        <v>422.050569766249</v>
      </c>
    </row>
    <row r="727" customFormat="false" ht="16.4" hidden="false" customHeight="false" outlineLevel="0" collapsed="false">
      <c r="A727" s="12"/>
      <c r="B727" s="15" t="n">
        <v>8</v>
      </c>
      <c r="C727" s="13" t="n">
        <f aca="false">IFERROR(IF(AND(B727&lt;=Eingaben!$B$11,Szenarien!$H$25="OK"),SUM(Variantenbilanz!K5129:K5494)*(Eingaben!$B$36*Szenarien!$C$25*(1+Eingaben!$B$40)^(B727-1)+Eingaben!$B$37*Eingaben!$B$38*(1+Eingaben!$B$46)^(B727-1)),0),0)</f>
        <v>1594.92063513713</v>
      </c>
      <c r="D727" s="13" t="n">
        <f aca="false">IFERROR(IF(AND(B727&lt;=Eingaben!$B$11,Szenarien!$H$25="OK"),((Eingaben!$B$32+Eingaben!$B$35)*(1+Eingaben!$B$41)^(B727-1)+SUM(Variantenbilanz!E5129:E5494)*Eingaben!$B$33*Eingaben!$B$34*(1+Eingaben!$B$42)^(B727-1))*Szenarien!$F$25,0),0)</f>
        <v>897.728863780939</v>
      </c>
      <c r="E727" s="13" t="n">
        <f aca="false">IFERROR(IF(AND(AND(B727&lt;=Eingaben!$B$11,Szenarien!$H$25="OK"),B727=Eingaben!$B$43),Eingaben!$B$44*Szenarien!$B$25*(1+Eingaben!$B$41)^(B727-1),0),0)</f>
        <v>0</v>
      </c>
      <c r="F727" s="13" t="n">
        <f aca="false">IFERROR(IF(AND(AND(B727&lt;=Eingaben!$B$11,Szenarien!$H$25="OK"),B727=Eingaben!$B$11),Eingaben!$B$45*Szenarien!$B$25,0),0)</f>
        <v>0</v>
      </c>
      <c r="G727" s="13" t="n">
        <f aca="false">C727-D727-E727+F727</f>
        <v>697.191771356195</v>
      </c>
      <c r="H727" s="13" t="n">
        <f aca="false">IFERROR(IF(AND(B727&lt;=Eingaben!$B$11,Szenarien!$H$25="OK"),1/(1+Eingaben!$B$39+Szenarien!$G$25)^B727,0),0)</f>
        <v>0.730690205001984</v>
      </c>
      <c r="I727" s="13" t="n">
        <f aca="false">G727*H727</f>
        <v>509.431198337954</v>
      </c>
      <c r="J727" s="13" t="n">
        <f aca="false">(D727+E727-F727)*H727</f>
        <v>655.961687512292</v>
      </c>
      <c r="K727" s="13" t="n">
        <f aca="false">IF(AND(B727&lt;=Eingaben!$B$11,Szenarien!$H$25="OK"),SUM(Variantenbilanz!K5129:K5494)*H727,0)</f>
        <v>405.81785554447</v>
      </c>
    </row>
    <row r="728" customFormat="false" ht="16.4" hidden="false" customHeight="false" outlineLevel="0" collapsed="false">
      <c r="A728" s="12"/>
      <c r="B728" s="15" t="n">
        <v>9</v>
      </c>
      <c r="C728" s="13" t="n">
        <f aca="false">IFERROR(IF(AND(B728&lt;=Eingaben!$B$11,Szenarien!$H$25="OK"),SUM(Variantenbilanz!K5129:K5494)*(Eingaben!$B$36*Szenarien!$C$25*(1+Eingaben!$B$40)^(B728-1)+Eingaben!$B$37*Eingaben!$B$38*(1+Eingaben!$B$46)^(B728-1)),0),0)</f>
        <v>1626.81904783988</v>
      </c>
      <c r="D728" s="13" t="n">
        <f aca="false">IFERROR(IF(AND(B728&lt;=Eingaben!$B$11,Szenarien!$H$25="OK"),((Eingaben!$B$32+Eingaben!$B$35)*(1+Eingaben!$B$41)^(B728-1)+SUM(Variantenbilanz!E5129:E5494)*Eingaben!$B$33*Eingaben!$B$34*(1+Eingaben!$B$42)^(B728-1))*Szenarien!$F$25,0),0)</f>
        <v>915.683441056558</v>
      </c>
      <c r="E728" s="13" t="n">
        <f aca="false">IFERROR(IF(AND(AND(B728&lt;=Eingaben!$B$11,Szenarien!$H$25="OK"),B728=Eingaben!$B$43),Eingaben!$B$44*Szenarien!$B$25*(1+Eingaben!$B$41)^(B728-1),0),0)</f>
        <v>0</v>
      </c>
      <c r="F728" s="13" t="n">
        <f aca="false">IFERROR(IF(AND(AND(B728&lt;=Eingaben!$B$11,Szenarien!$H$25="OK"),B728=Eingaben!$B$11),Eingaben!$B$45*Szenarien!$B$25,0),0)</f>
        <v>0</v>
      </c>
      <c r="G728" s="13" t="n">
        <f aca="false">C728-D728-E728+F728</f>
        <v>711.135606783319</v>
      </c>
      <c r="H728" s="13" t="n">
        <f aca="false">IFERROR(IF(AND(B728&lt;=Eingaben!$B$11,Szenarien!$H$25="OK"),1/(1+Eingaben!$B$39+Szenarien!$G$25)^B728,0),0)</f>
        <v>0.702586735578831</v>
      </c>
      <c r="I728" s="13" t="n">
        <f aca="false">G728*H728</f>
        <v>499.634444523763</v>
      </c>
      <c r="J728" s="13" t="n">
        <f aca="false">(D728+E728-F728)*H728</f>
        <v>643.347039675517</v>
      </c>
      <c r="K728" s="13" t="n">
        <f aca="false">IF(AND(B728&lt;=Eingaben!$B$11,Szenarien!$H$25="OK"),SUM(Variantenbilanz!K5129:K5494)*H728,0)</f>
        <v>390.209476485067</v>
      </c>
    </row>
    <row r="729" customFormat="false" ht="16.4" hidden="false" customHeight="false" outlineLevel="0" collapsed="false">
      <c r="A729" s="12"/>
      <c r="B729" s="15" t="n">
        <v>10</v>
      </c>
      <c r="C729" s="13" t="n">
        <f aca="false">IFERROR(IF(AND(B729&lt;=Eingaben!$B$11,Szenarien!$H$25="OK"),SUM(Variantenbilanz!K5129:K5494)*(Eingaben!$B$36*Szenarien!$C$25*(1+Eingaben!$B$40)^(B729-1)+Eingaben!$B$37*Eingaben!$B$38*(1+Eingaben!$B$46)^(B729-1)),0),0)</f>
        <v>1659.35542879667</v>
      </c>
      <c r="D729" s="13" t="n">
        <f aca="false">IFERROR(IF(AND(B729&lt;=Eingaben!$B$11,Szenarien!$H$25="OK"),((Eingaben!$B$32+Eingaben!$B$35)*(1+Eingaben!$B$41)^(B729-1)+SUM(Variantenbilanz!E5129:E5494)*Eingaben!$B$33*Eingaben!$B$34*(1+Eingaben!$B$42)^(B729-1))*Szenarien!$F$25,0),0)</f>
        <v>933.997109877689</v>
      </c>
      <c r="E729" s="13" t="n">
        <f aca="false">IFERROR(IF(AND(AND(B729&lt;=Eingaben!$B$11,Szenarien!$H$25="OK"),B729=Eingaben!$B$43),Eingaben!$B$44*Szenarien!$B$25*(1+Eingaben!$B$41)^(B729-1),0),0)</f>
        <v>4780.37027448924</v>
      </c>
      <c r="F729" s="13" t="n">
        <f aca="false">IFERROR(IF(AND(AND(B729&lt;=Eingaben!$B$11,Szenarien!$H$25="OK"),B729=Eingaben!$B$11),Eingaben!$B$45*Szenarien!$B$25,0),0)</f>
        <v>0</v>
      </c>
      <c r="G729" s="13" t="n">
        <f aca="false">C729-D729-E729+F729</f>
        <v>-4055.01195557026</v>
      </c>
      <c r="H729" s="13" t="n">
        <f aca="false">IFERROR(IF(AND(B729&lt;=Eingaben!$B$11,Szenarien!$H$25="OK"),1/(1+Eingaben!$B$39+Szenarien!$G$25)^B729,0),0)</f>
        <v>0.675564168825799</v>
      </c>
      <c r="I729" s="13" t="n">
        <f aca="false">G729*H729</f>
        <v>-2739.4207813435</v>
      </c>
      <c r="J729" s="13" t="n">
        <f aca="false">(D729+E729-F729)*H729</f>
        <v>3860.4218523851</v>
      </c>
      <c r="K729" s="13" t="n">
        <f aca="false">IF(AND(B729&lt;=Eingaben!$B$11,Szenarien!$H$25="OK"),SUM(Variantenbilanz!K5129:K5494)*H729,0)</f>
        <v>375.20141969718</v>
      </c>
    </row>
    <row r="730" customFormat="false" ht="16.4" hidden="false" customHeight="false" outlineLevel="0" collapsed="false">
      <c r="A730" s="12"/>
      <c r="B730" s="15" t="n">
        <v>11</v>
      </c>
      <c r="C730" s="13" t="n">
        <f aca="false">IFERROR(IF(AND(B730&lt;=Eingaben!$B$11,Szenarien!$H$25="OK"),SUM(Variantenbilanz!K5129:K5494)*(Eingaben!$B$36*Szenarien!$C$25*(1+Eingaben!$B$40)^(B730-1)+Eingaben!$B$37*Eingaben!$B$38*(1+Eingaben!$B$46)^(B730-1)),0),0)</f>
        <v>1692.54253737261</v>
      </c>
      <c r="D730" s="13" t="n">
        <f aca="false">IFERROR(IF(AND(B730&lt;=Eingaben!$B$11,Szenarien!$H$25="OK"),((Eingaben!$B$32+Eingaben!$B$35)*(1+Eingaben!$B$41)^(B730-1)+SUM(Variantenbilanz!E5129:E5494)*Eingaben!$B$33*Eingaben!$B$34*(1+Eingaben!$B$42)^(B730-1))*Szenarien!$F$25,0),0)</f>
        <v>952.677052075243</v>
      </c>
      <c r="E730" s="13" t="n">
        <f aca="false">IFERROR(IF(AND(AND(B730&lt;=Eingaben!$B$11,Szenarien!$H$25="OK"),B730=Eingaben!$B$43),Eingaben!$B$44*Szenarien!$B$25*(1+Eingaben!$B$41)^(B730-1),0),0)</f>
        <v>0</v>
      </c>
      <c r="F730" s="13" t="n">
        <f aca="false">IFERROR(IF(AND(AND(B730&lt;=Eingaben!$B$11,Szenarien!$H$25="OK"),B730=Eingaben!$B$11),Eingaben!$B$45*Szenarien!$B$25,0),0)</f>
        <v>0</v>
      </c>
      <c r="G730" s="13" t="n">
        <f aca="false">C730-D730-E730+F730</f>
        <v>739.865485297365</v>
      </c>
      <c r="H730" s="13" t="n">
        <f aca="false">IFERROR(IF(AND(B730&lt;=Eingaben!$B$11,Szenarien!$H$25="OK"),1/(1+Eingaben!$B$39+Szenarien!$G$25)^B730,0),0)</f>
        <v>0.649580931563268</v>
      </c>
      <c r="I730" s="13" t="n">
        <f aca="false">G730*H730</f>
        <v>480.602511170972</v>
      </c>
      <c r="J730" s="13" t="n">
        <f aca="false">(D730+E730-F730)*H730</f>
        <v>618.840846965984</v>
      </c>
      <c r="K730" s="13" t="n">
        <f aca="false">IF(AND(B730&lt;=Eingaben!$B$11,Szenarien!$H$25="OK"),SUM(Variantenbilanz!K5129:K5494)*H730,0)</f>
        <v>360.770595862673</v>
      </c>
    </row>
    <row r="731" customFormat="false" ht="16.4" hidden="false" customHeight="false" outlineLevel="0" collapsed="false">
      <c r="A731" s="12"/>
      <c r="B731" s="15" t="n">
        <v>12</v>
      </c>
      <c r="C731" s="13" t="n">
        <f aca="false">IFERROR(IF(AND(B731&lt;=Eingaben!$B$11,Szenarien!$H$25="OK"),SUM(Variantenbilanz!K5129:K5494)*(Eingaben!$B$36*Szenarien!$C$25*(1+Eingaben!$B$40)^(B731-1)+Eingaben!$B$37*Eingaben!$B$38*(1+Eingaben!$B$46)^(B731-1)),0),0)</f>
        <v>1726.39338812006</v>
      </c>
      <c r="D731" s="13" t="n">
        <f aca="false">IFERROR(IF(AND(B731&lt;=Eingaben!$B$11,Szenarien!$H$25="OK"),((Eingaben!$B$32+Eingaben!$B$35)*(1+Eingaben!$B$41)^(B731-1)+SUM(Variantenbilanz!E5129:E5494)*Eingaben!$B$33*Eingaben!$B$34*(1+Eingaben!$B$42)^(B731-1))*Szenarien!$F$25,0),0)</f>
        <v>971.730593116748</v>
      </c>
      <c r="E731" s="13" t="n">
        <f aca="false">IFERROR(IF(AND(AND(B731&lt;=Eingaben!$B$11,Szenarien!$H$25="OK"),B731=Eingaben!$B$43),Eingaben!$B$44*Szenarien!$B$25*(1+Eingaben!$B$41)^(B731-1),0),0)</f>
        <v>0</v>
      </c>
      <c r="F731" s="13" t="n">
        <f aca="false">IFERROR(IF(AND(AND(B731&lt;=Eingaben!$B$11,Szenarien!$H$25="OK"),B731=Eingaben!$B$11),Eingaben!$B$45*Szenarien!$B$25,0),0)</f>
        <v>0</v>
      </c>
      <c r="G731" s="13" t="n">
        <f aca="false">C731-D731-E731+F731</f>
        <v>754.662795003312</v>
      </c>
      <c r="H731" s="13" t="n">
        <f aca="false">IFERROR(IF(AND(B731&lt;=Eingaben!$B$11,Szenarien!$H$25="OK"),1/(1+Eingaben!$B$39+Szenarien!$G$25)^B731,0),0)</f>
        <v>0.624597049580065</v>
      </c>
      <c r="I731" s="13" t="n">
        <f aca="false">G731*H731</f>
        <v>471.360155186914</v>
      </c>
      <c r="J731" s="13" t="n">
        <f aca="false">(D731+E731-F731)*H731</f>
        <v>606.940061447407</v>
      </c>
      <c r="K731" s="13" t="n">
        <f aca="false">IF(AND(B731&lt;=Eingaben!$B$11,Szenarien!$H$25="OK"),SUM(Variantenbilanz!K5129:K5494)*H731,0)</f>
        <v>346.894803714109</v>
      </c>
    </row>
    <row r="732" customFormat="false" ht="16.4" hidden="false" customHeight="false" outlineLevel="0" collapsed="false">
      <c r="A732" s="12"/>
      <c r="B732" s="15" t="n">
        <v>13</v>
      </c>
      <c r="C732" s="13" t="n">
        <f aca="false">IFERROR(IF(AND(B732&lt;=Eingaben!$B$11,Szenarien!$H$25="OK"),SUM(Variantenbilanz!K5129:K5494)*(Eingaben!$B$36*Szenarien!$C$25*(1+Eingaben!$B$40)^(B732-1)+Eingaben!$B$37*Eingaben!$B$38*(1+Eingaben!$B$46)^(B732-1)),0),0)</f>
        <v>1760.92125588246</v>
      </c>
      <c r="D732" s="13" t="n">
        <f aca="false">IFERROR(IF(AND(B732&lt;=Eingaben!$B$11,Szenarien!$H$25="OK"),((Eingaben!$B$32+Eingaben!$B$35)*(1+Eingaben!$B$41)^(B732-1)+SUM(Variantenbilanz!E5129:E5494)*Eingaben!$B$33*Eingaben!$B$34*(1+Eingaben!$B$42)^(B732-1))*Szenarien!$F$25,0),0)</f>
        <v>991.165204979082</v>
      </c>
      <c r="E732" s="13" t="n">
        <f aca="false">IFERROR(IF(AND(AND(B732&lt;=Eingaben!$B$11,Szenarien!$H$25="OK"),B732=Eingaben!$B$43),Eingaben!$B$44*Szenarien!$B$25*(1+Eingaben!$B$41)^(B732-1),0),0)</f>
        <v>0</v>
      </c>
      <c r="F732" s="13" t="n">
        <f aca="false">IFERROR(IF(AND(AND(B732&lt;=Eingaben!$B$11,Szenarien!$H$25="OK"),B732=Eingaben!$B$11),Eingaben!$B$45*Szenarien!$B$25,0),0)</f>
        <v>0</v>
      </c>
      <c r="G732" s="13" t="n">
        <f aca="false">C732-D732-E732+F732</f>
        <v>769.756050903378</v>
      </c>
      <c r="H732" s="13" t="n">
        <f aca="false">IFERROR(IF(AND(B732&lt;=Eingaben!$B$11,Szenarien!$H$25="OK"),1/(1+Eingaben!$B$39+Szenarien!$G$25)^B732,0),0)</f>
        <v>0.600574086134678</v>
      </c>
      <c r="I732" s="13" t="n">
        <f aca="false">G732*H732</f>
        <v>462.295536817935</v>
      </c>
      <c r="J732" s="13" t="n">
        <f aca="false">(D732+E732-F732)*H732</f>
        <v>595.268137188803</v>
      </c>
      <c r="K732" s="13" t="n">
        <f aca="false">IF(AND(B732&lt;=Eingaben!$B$11,Szenarien!$H$25="OK"),SUM(Variantenbilanz!K5129:K5494)*H732,0)</f>
        <v>333.552695878951</v>
      </c>
    </row>
    <row r="733" customFormat="false" ht="16.4" hidden="false" customHeight="false" outlineLevel="0" collapsed="false">
      <c r="A733" s="12"/>
      <c r="B733" s="15" t="n">
        <v>14</v>
      </c>
      <c r="C733" s="13" t="n">
        <f aca="false">IFERROR(IF(AND(B733&lt;=Eingaben!$B$11,Szenarien!$H$25="OK"),SUM(Variantenbilanz!K5129:K5494)*(Eingaben!$B$36*Szenarien!$C$25*(1+Eingaben!$B$40)^(B733-1)+Eingaben!$B$37*Eingaben!$B$38*(1+Eingaben!$B$46)^(B733-1)),0),0)</f>
        <v>1796.13968100011</v>
      </c>
      <c r="D733" s="13" t="n">
        <f aca="false">IFERROR(IF(AND(B733&lt;=Eingaben!$B$11,Szenarien!$H$25="OK"),((Eingaben!$B$32+Eingaben!$B$35)*(1+Eingaben!$B$41)^(B733-1)+SUM(Variantenbilanz!E5129:E5494)*Eingaben!$B$33*Eingaben!$B$34*(1+Eingaben!$B$42)^(B733-1))*Szenarien!$F$25,0),0)</f>
        <v>1010.98850907866</v>
      </c>
      <c r="E733" s="13" t="n">
        <f aca="false">IFERROR(IF(AND(AND(B733&lt;=Eingaben!$B$11,Szenarien!$H$25="OK"),B733=Eingaben!$B$43),Eingaben!$B$44*Szenarien!$B$25*(1+Eingaben!$B$41)^(B733-1),0),0)</f>
        <v>0</v>
      </c>
      <c r="F733" s="13" t="n">
        <f aca="false">IFERROR(IF(AND(AND(B733&lt;=Eingaben!$B$11,Szenarien!$H$25="OK"),B733=Eingaben!$B$11),Eingaben!$B$45*Szenarien!$B$25,0),0)</f>
        <v>0</v>
      </c>
      <c r="G733" s="13" t="n">
        <f aca="false">C733-D733-E733+F733</f>
        <v>785.151171921446</v>
      </c>
      <c r="H733" s="13" t="n">
        <f aca="false">IFERROR(IF(AND(B733&lt;=Eingaben!$B$11,Szenarien!$H$25="OK"),1/(1+Eingaben!$B$39+Szenarien!$G$25)^B733,0),0)</f>
        <v>0.577475082821806</v>
      </c>
      <c r="I733" s="13" t="n">
        <f aca="false">G733*H733</f>
        <v>453.405238032975</v>
      </c>
      <c r="J733" s="13" t="n">
        <f aca="false">(D733+E733-F733)*H733</f>
        <v>583.820673012096</v>
      </c>
      <c r="K733" s="13" t="n">
        <f aca="false">IF(AND(B733&lt;=Eingaben!$B$11,Szenarien!$H$25="OK"),SUM(Variantenbilanz!K5129:K5494)*H733,0)</f>
        <v>320.723746037453</v>
      </c>
    </row>
    <row r="734" customFormat="false" ht="16.4" hidden="false" customHeight="false" outlineLevel="0" collapsed="false">
      <c r="A734" s="12"/>
      <c r="B734" s="15" t="n">
        <v>15</v>
      </c>
      <c r="C734" s="13" t="n">
        <f aca="false">IFERROR(IF(AND(B734&lt;=Eingaben!$B$11,Szenarien!$H$25="OK"),SUM(Variantenbilanz!K5129:K5494)*(Eingaben!$B$36*Szenarien!$C$25*(1+Eingaben!$B$40)^(B734-1)+Eingaben!$B$37*Eingaben!$B$38*(1+Eingaben!$B$46)^(B734-1)),0),0)</f>
        <v>1832.06247462011</v>
      </c>
      <c r="D734" s="13" t="n">
        <f aca="false">IFERROR(IF(AND(B734&lt;=Eingaben!$B$11,Szenarien!$H$25="OK"),((Eingaben!$B$32+Eingaben!$B$35)*(1+Eingaben!$B$41)^(B734-1)+SUM(Variantenbilanz!E5129:E5494)*Eingaben!$B$33*Eingaben!$B$34*(1+Eingaben!$B$42)^(B734-1))*Szenarien!$F$25,0),0)</f>
        <v>1031.20827926024</v>
      </c>
      <c r="E734" s="13" t="n">
        <f aca="false">IFERROR(IF(AND(AND(B734&lt;=Eingaben!$B$11,Szenarien!$H$25="OK"),B734=Eingaben!$B$43),Eingaben!$B$44*Szenarien!$B$25*(1+Eingaben!$B$41)^(B734-1),0),0)</f>
        <v>0</v>
      </c>
      <c r="F734" s="13" t="n">
        <f aca="false">IFERROR(IF(AND(AND(B734&lt;=Eingaben!$B$11,Szenarien!$H$25="OK"),B734=Eingaben!$B$11),Eingaben!$B$45*Szenarien!$B$25,0),0)</f>
        <v>0</v>
      </c>
      <c r="G734" s="13" t="n">
        <f aca="false">C734-D734-E734+F734</f>
        <v>800.854195359875</v>
      </c>
      <c r="H734" s="13" t="n">
        <f aca="false">IFERROR(IF(AND(B734&lt;=Eingaben!$B$11,Szenarien!$H$25="OK"),1/(1+Eingaben!$B$39+Szenarien!$G$25)^B734,0),0)</f>
        <v>0.555264502713275</v>
      </c>
      <c r="I734" s="13" t="n">
        <f aca="false">G734*H734</f>
        <v>444.685906532341</v>
      </c>
      <c r="J734" s="13" t="n">
        <f aca="false">(D734+E734-F734)*H734</f>
        <v>572.593352377248</v>
      </c>
      <c r="K734" s="13" t="n">
        <f aca="false">IF(AND(B734&lt;=Eingaben!$B$11,Szenarien!$H$25="OK"),SUM(Variantenbilanz!K5129:K5494)*H734,0)</f>
        <v>308.388217343704</v>
      </c>
    </row>
    <row r="735" customFormat="false" ht="16.4" hidden="false" customHeight="false" outlineLevel="0" collapsed="false">
      <c r="A735" s="12"/>
      <c r="B735" s="15" t="n">
        <v>16</v>
      </c>
      <c r="C735" s="13" t="n">
        <f aca="false">IFERROR(IF(AND(B735&lt;=Eingaben!$B$11,Szenarien!$H$25="OK"),SUM(Variantenbilanz!K5129:K5494)*(Eingaben!$B$36*Szenarien!$C$25*(1+Eingaben!$B$40)^(B735-1)+Eingaben!$B$37*Eingaben!$B$38*(1+Eingaben!$B$46)^(B735-1)),0),0)</f>
        <v>1868.70372411251</v>
      </c>
      <c r="D735" s="13" t="n">
        <f aca="false">IFERROR(IF(AND(B735&lt;=Eingaben!$B$11,Szenarien!$H$25="OK"),((Eingaben!$B$32+Eingaben!$B$35)*(1+Eingaben!$B$41)^(B735-1)+SUM(Variantenbilanz!E5129:E5494)*Eingaben!$B$33*Eingaben!$B$34*(1+Eingaben!$B$42)^(B735-1))*Szenarien!$F$25,0),0)</f>
        <v>1051.83244484544</v>
      </c>
      <c r="E735" s="13" t="n">
        <f aca="false">IFERROR(IF(AND(AND(B735&lt;=Eingaben!$B$11,Szenarien!$H$25="OK"),B735=Eingaben!$B$43),Eingaben!$B$44*Szenarien!$B$25*(1+Eingaben!$B$41)^(B735-1),0),0)</f>
        <v>0</v>
      </c>
      <c r="F735" s="13" t="n">
        <f aca="false">IFERROR(IF(AND(AND(B735&lt;=Eingaben!$B$11,Szenarien!$H$25="OK"),B735=Eingaben!$B$11),Eingaben!$B$45*Szenarien!$B$25,0),0)</f>
        <v>0</v>
      </c>
      <c r="G735" s="13" t="n">
        <f aca="false">C735-D735-E735+F735</f>
        <v>816.871279267072</v>
      </c>
      <c r="H735" s="13" t="n">
        <f aca="false">IFERROR(IF(AND(B735&lt;=Eingaben!$B$11,Szenarien!$H$25="OK"),1/(1+Eingaben!$B$39+Szenarien!$G$25)^B735,0),0)</f>
        <v>0.533908175685841</v>
      </c>
      <c r="I735" s="13" t="n">
        <f aca="false">G735*H735</f>
        <v>436.134254483642</v>
      </c>
      <c r="J735" s="13" t="n">
        <f aca="false">(D735+E735-F735)*H735</f>
        <v>561.581941754608</v>
      </c>
      <c r="K735" s="13" t="n">
        <f aca="false">IF(AND(B735&lt;=Eingaben!$B$11,Szenarien!$H$25="OK"),SUM(Variantenbilanz!K5129:K5494)*H735,0)</f>
        <v>296.527132061254</v>
      </c>
    </row>
    <row r="736" customFormat="false" ht="16.4" hidden="false" customHeight="false" outlineLevel="0" collapsed="false">
      <c r="A736" s="12"/>
      <c r="B736" s="15" t="n">
        <v>17</v>
      </c>
      <c r="C736" s="13" t="n">
        <f aca="false">IFERROR(IF(AND(B736&lt;=Eingaben!$B$11,Szenarien!$H$25="OK"),SUM(Variantenbilanz!K5129:K5494)*(Eingaben!$B$36*Szenarien!$C$25*(1+Eingaben!$B$40)^(B736-1)+Eingaben!$B$37*Eingaben!$B$38*(1+Eingaben!$B$46)^(B736-1)),0),0)</f>
        <v>1906.07779859477</v>
      </c>
      <c r="D736" s="13" t="n">
        <f aca="false">IFERROR(IF(AND(B736&lt;=Eingaben!$B$11,Szenarien!$H$25="OK"),((Eingaben!$B$32+Eingaben!$B$35)*(1+Eingaben!$B$41)^(B736-1)+SUM(Variantenbilanz!E5129:E5494)*Eingaben!$B$33*Eingaben!$B$34*(1+Eingaben!$B$42)^(B736-1))*Szenarien!$F$25,0),0)</f>
        <v>1072.86909374235</v>
      </c>
      <c r="E736" s="13" t="n">
        <f aca="false">IFERROR(IF(AND(AND(B736&lt;=Eingaben!$B$11,Szenarien!$H$25="OK"),B736=Eingaben!$B$43),Eingaben!$B$44*Szenarien!$B$25*(1+Eingaben!$B$41)^(B736-1),0),0)</f>
        <v>0</v>
      </c>
      <c r="F736" s="13" t="n">
        <f aca="false">IFERROR(IF(AND(AND(B736&lt;=Eingaben!$B$11,Szenarien!$H$25="OK"),B736=Eingaben!$B$11),Eingaben!$B$45*Szenarien!$B$25,0),0)</f>
        <v>0</v>
      </c>
      <c r="G736" s="13" t="n">
        <f aca="false">C736-D736-E736+F736</f>
        <v>833.208704852414</v>
      </c>
      <c r="H736" s="13" t="n">
        <f aca="false">IFERROR(IF(AND(B736&lt;=Eingaben!$B$11,Szenarien!$H$25="OK"),1/(1+Eingaben!$B$39+Szenarien!$G$25)^B736,0),0)</f>
        <v>0.51337324585177</v>
      </c>
      <c r="I736" s="13" t="n">
        <f aca="false">G736*H736</f>
        <v>427.747057282033</v>
      </c>
      <c r="J736" s="13" t="n">
        <f aca="false">(D736+E736-F736)*H736</f>
        <v>550.782289028558</v>
      </c>
      <c r="K736" s="13" t="n">
        <f aca="false">IF(AND(B736&lt;=Eingaben!$B$11,Szenarien!$H$25="OK"),SUM(Variantenbilanz!K5129:K5494)*H736,0)</f>
        <v>285.122242366591</v>
      </c>
    </row>
    <row r="737" customFormat="false" ht="16.4" hidden="false" customHeight="false" outlineLevel="0" collapsed="false">
      <c r="A737" s="12"/>
      <c r="B737" s="15" t="n">
        <v>18</v>
      </c>
      <c r="C737" s="13" t="n">
        <f aca="false">IFERROR(IF(AND(B737&lt;=Eingaben!$B$11,Szenarien!$H$25="OK"),SUM(Variantenbilanz!K5129:K5494)*(Eingaben!$B$36*Szenarien!$C$25*(1+Eingaben!$B$40)^(B737-1)+Eingaben!$B$37*Eingaben!$B$38*(1+Eingaben!$B$46)^(B737-1)),0),0)</f>
        <v>1944.19935456666</v>
      </c>
      <c r="D737" s="13" t="n">
        <f aca="false">IFERROR(IF(AND(B737&lt;=Eingaben!$B$11,Szenarien!$H$25="OK"),((Eingaben!$B$32+Eingaben!$B$35)*(1+Eingaben!$B$41)^(B737-1)+SUM(Variantenbilanz!E5129:E5494)*Eingaben!$B$33*Eingaben!$B$34*(1+Eingaben!$B$42)^(B737-1))*Szenarien!$F$25,0),0)</f>
        <v>1094.3264756172</v>
      </c>
      <c r="E737" s="13" t="n">
        <f aca="false">IFERROR(IF(AND(AND(B737&lt;=Eingaben!$B$11,Szenarien!$H$25="OK"),B737=Eingaben!$B$43),Eingaben!$B$44*Szenarien!$B$25*(1+Eingaben!$B$41)^(B737-1),0),0)</f>
        <v>0</v>
      </c>
      <c r="F737" s="13" t="n">
        <f aca="false">IFERROR(IF(AND(AND(B737&lt;=Eingaben!$B$11,Szenarien!$H$25="OK"),B737=Eingaben!$B$11),Eingaben!$B$45*Szenarien!$B$25,0),0)</f>
        <v>0</v>
      </c>
      <c r="G737" s="13" t="n">
        <f aca="false">C737-D737-E737+F737</f>
        <v>849.872878949462</v>
      </c>
      <c r="H737" s="13" t="n">
        <f aca="false">IFERROR(IF(AND(B737&lt;=Eingaben!$B$11,Szenarien!$H$25="OK"),1/(1+Eingaben!$B$39+Szenarien!$G$25)^B737,0),0)</f>
        <v>0.493628121011318</v>
      </c>
      <c r="I737" s="13" t="n">
        <f aca="false">G737*H737</f>
        <v>419.521152334302</v>
      </c>
      <c r="J737" s="13" t="n">
        <f aca="false">(D737+E737-F737)*H737</f>
        <v>540.190321931855</v>
      </c>
      <c r="K737" s="13" t="n">
        <f aca="false">IF(AND(B737&lt;=Eingaben!$B$11,Szenarien!$H$25="OK"),SUM(Variantenbilanz!K5129:K5494)*H737,0)</f>
        <v>274.156002275568</v>
      </c>
    </row>
    <row r="738" customFormat="false" ht="16.4" hidden="false" customHeight="false" outlineLevel="0" collapsed="false">
      <c r="A738" s="12"/>
      <c r="B738" s="15" t="n">
        <v>19</v>
      </c>
      <c r="C738" s="13" t="n">
        <f aca="false">IFERROR(IF(AND(B738&lt;=Eingaben!$B$11,Szenarien!$H$25="OK"),SUM(Variantenbilanz!K5129:K5494)*(Eingaben!$B$36*Szenarien!$C$25*(1+Eingaben!$B$40)^(B738-1)+Eingaben!$B$37*Eingaben!$B$38*(1+Eingaben!$B$46)^(B738-1)),0),0)</f>
        <v>1983.08334165799</v>
      </c>
      <c r="D738" s="13" t="n">
        <f aca="false">IFERROR(IF(AND(B738&lt;=Eingaben!$B$11,Szenarien!$H$25="OK"),((Eingaben!$B$32+Eingaben!$B$35)*(1+Eingaben!$B$41)^(B738-1)+SUM(Variantenbilanz!E5129:E5494)*Eingaben!$B$33*Eingaben!$B$34*(1+Eingaben!$B$42)^(B738-1))*Szenarien!$F$25,0),0)</f>
        <v>1116.21300512954</v>
      </c>
      <c r="E738" s="13" t="n">
        <f aca="false">IFERROR(IF(AND(AND(B738&lt;=Eingaben!$B$11,Szenarien!$H$25="OK"),B738=Eingaben!$B$43),Eingaben!$B$44*Szenarien!$B$25*(1+Eingaben!$B$41)^(B738-1),0),0)</f>
        <v>0</v>
      </c>
      <c r="F738" s="13" t="n">
        <f aca="false">IFERROR(IF(AND(AND(B738&lt;=Eingaben!$B$11,Szenarien!$H$25="OK"),B738=Eingaben!$B$11),Eingaben!$B$45*Szenarien!$B$25,0),0)</f>
        <v>0</v>
      </c>
      <c r="G738" s="13" t="n">
        <f aca="false">C738-D738-E738+F738</f>
        <v>866.870336528452</v>
      </c>
      <c r="H738" s="13" t="n">
        <f aca="false">IFERROR(IF(AND(B738&lt;=Eingaben!$B$11,Szenarien!$H$25="OK"),1/(1+Eingaben!$B$39+Szenarien!$G$25)^B738,0),0)</f>
        <v>0.474642424049344</v>
      </c>
      <c r="I738" s="13" t="n">
        <f aca="false">G738*H738</f>
        <v>411.453437866335</v>
      </c>
      <c r="J738" s="13" t="n">
        <f aca="false">(D738+E738-F738)*H738</f>
        <v>529.802046510089</v>
      </c>
      <c r="K738" s="13" t="n">
        <f aca="false">IF(AND(B738&lt;=Eingaben!$B$11,Szenarien!$H$25="OK"),SUM(Variantenbilanz!K5129:K5494)*H738,0)</f>
        <v>263.611540649585</v>
      </c>
    </row>
    <row r="739" customFormat="false" ht="16.4" hidden="false" customHeight="false" outlineLevel="0" collapsed="false">
      <c r="A739" s="12"/>
      <c r="B739" s="15" t="n">
        <v>20</v>
      </c>
      <c r="C739" s="13" t="n">
        <f aca="false">IFERROR(IF(AND(B739&lt;=Eingaben!$B$11,Szenarien!$H$25="OK"),SUM(Variantenbilanz!K5129:K5494)*(Eingaben!$B$36*Szenarien!$C$25*(1+Eingaben!$B$40)^(B739-1)+Eingaben!$B$37*Eingaben!$B$38*(1+Eingaben!$B$46)^(B739-1)),0),0)</f>
        <v>2022.74500849115</v>
      </c>
      <c r="D739" s="13" t="n">
        <f aca="false">IFERROR(IF(AND(B739&lt;=Eingaben!$B$11,Szenarien!$H$25="OK"),((Eingaben!$B$32+Eingaben!$B$35)*(1+Eingaben!$B$41)^(B739-1)+SUM(Variantenbilanz!E5129:E5494)*Eingaben!$B$33*Eingaben!$B$34*(1+Eingaben!$B$42)^(B739-1))*Szenarien!$F$25,0),0)</f>
        <v>1138.53726523213</v>
      </c>
      <c r="E739" s="13" t="n">
        <f aca="false">IFERROR(IF(AND(AND(B739&lt;=Eingaben!$B$11,Szenarien!$H$25="OK"),B739=Eingaben!$B$43),Eingaben!$B$44*Szenarien!$B$25*(1+Eingaben!$B$41)^(B739-1),0),0)</f>
        <v>0</v>
      </c>
      <c r="F739" s="13" t="n">
        <f aca="false">IFERROR(IF(AND(AND(B739&lt;=Eingaben!$B$11,Szenarien!$H$25="OK"),B739=Eingaben!$B$11),Eingaben!$B$45*Szenarien!$B$25,0),0)</f>
        <v>0</v>
      </c>
      <c r="G739" s="13" t="n">
        <f aca="false">C739-D739-E739+F739</f>
        <v>884.20774325902</v>
      </c>
      <c r="H739" s="13" t="n">
        <f aca="false">IFERROR(IF(AND(B739&lt;=Eingaben!$B$11,Szenarien!$H$25="OK"),1/(1+Eingaben!$B$39+Szenarien!$G$25)^B739,0),0)</f>
        <v>0.456386946201292</v>
      </c>
      <c r="I739" s="13" t="n">
        <f aca="false">G739*H739</f>
        <v>403.540871753521</v>
      </c>
      <c r="J739" s="13" t="n">
        <f aca="false">(D739+E739-F739)*H739</f>
        <v>519.613545615664</v>
      </c>
      <c r="K739" s="13" t="n">
        <f aca="false">IF(AND(B739&lt;=Eingaben!$B$11,Szenarien!$H$25="OK"),SUM(Variantenbilanz!K5129:K5494)*H739,0)</f>
        <v>253.472635239985</v>
      </c>
    </row>
    <row r="740" customFormat="false" ht="16.4" hidden="false" customHeight="false" outlineLevel="0" collapsed="false">
      <c r="A740" s="12"/>
      <c r="B740" s="15" t="n">
        <v>21</v>
      </c>
      <c r="C740" s="13" t="n">
        <f aca="false">IFERROR(IF(AND(B740&lt;=Eingaben!$B$11,Szenarien!$H$25="OK"),SUM(Variantenbilanz!K5129:K5494)*(Eingaben!$B$36*Szenarien!$C$25*(1+Eingaben!$B$40)^(B740-1)+Eingaben!$B$37*Eingaben!$B$38*(1+Eingaben!$B$46)^(B740-1)),0),0)</f>
        <v>0</v>
      </c>
      <c r="D740" s="13" t="n">
        <f aca="false">IFERROR(IF(AND(B740&lt;=Eingaben!$B$11,Szenarien!$H$25="OK"),((Eingaben!$B$32+Eingaben!$B$35)*(1+Eingaben!$B$41)^(B740-1)+SUM(Variantenbilanz!E5129:E5494)*Eingaben!$B$33*Eingaben!$B$34*(1+Eingaben!$B$42)^(B740-1))*Szenarien!$F$25,0),0)</f>
        <v>0</v>
      </c>
      <c r="E740" s="13" t="n">
        <f aca="false">IFERROR(IF(AND(AND(B740&lt;=Eingaben!$B$11,Szenarien!$H$25="OK"),B740=Eingaben!$B$43),Eingaben!$B$44*Szenarien!$B$25*(1+Eingaben!$B$41)^(B740-1),0),0)</f>
        <v>0</v>
      </c>
      <c r="F740" s="13" t="n">
        <f aca="false">IFERROR(IF(AND(AND(B740&lt;=Eingaben!$B$11,Szenarien!$H$25="OK"),B740=Eingaben!$B$11),Eingaben!$B$45*Szenarien!$B$25,0),0)</f>
        <v>0</v>
      </c>
      <c r="G740" s="13" t="n">
        <f aca="false">C740-D740-E740+F740</f>
        <v>0</v>
      </c>
      <c r="H740" s="13" t="n">
        <f aca="false">IFERROR(IF(AND(B740&lt;=Eingaben!$B$11,Szenarien!$H$25="OK"),1/(1+Eingaben!$B$39+Szenarien!$G$25)^B740,0),0)</f>
        <v>0</v>
      </c>
      <c r="I740" s="13" t="n">
        <f aca="false">G740*H740</f>
        <v>0</v>
      </c>
      <c r="J740" s="13" t="n">
        <f aca="false">(D740+E740-F740)*H740</f>
        <v>0</v>
      </c>
      <c r="K740" s="13" t="n">
        <f aca="false">IF(AND(B740&lt;=Eingaben!$B$11,Szenarien!$H$25="OK"),SUM(Variantenbilanz!K5129:K5494)*H740,0)</f>
        <v>0</v>
      </c>
    </row>
    <row r="741" customFormat="false" ht="16.4" hidden="false" customHeight="false" outlineLevel="0" collapsed="false">
      <c r="A741" s="12"/>
      <c r="B741" s="15" t="n">
        <v>22</v>
      </c>
      <c r="C741" s="13" t="n">
        <f aca="false">IFERROR(IF(AND(B741&lt;=Eingaben!$B$11,Szenarien!$H$25="OK"),SUM(Variantenbilanz!K5129:K5494)*(Eingaben!$B$36*Szenarien!$C$25*(1+Eingaben!$B$40)^(B741-1)+Eingaben!$B$37*Eingaben!$B$38*(1+Eingaben!$B$46)^(B741-1)),0),0)</f>
        <v>0</v>
      </c>
      <c r="D741" s="13" t="n">
        <f aca="false">IFERROR(IF(AND(B741&lt;=Eingaben!$B$11,Szenarien!$H$25="OK"),((Eingaben!$B$32+Eingaben!$B$35)*(1+Eingaben!$B$41)^(B741-1)+SUM(Variantenbilanz!E5129:E5494)*Eingaben!$B$33*Eingaben!$B$34*(1+Eingaben!$B$42)^(B741-1))*Szenarien!$F$25,0),0)</f>
        <v>0</v>
      </c>
      <c r="E741" s="13" t="n">
        <f aca="false">IFERROR(IF(AND(AND(B741&lt;=Eingaben!$B$11,Szenarien!$H$25="OK"),B741=Eingaben!$B$43),Eingaben!$B$44*Szenarien!$B$25*(1+Eingaben!$B$41)^(B741-1),0),0)</f>
        <v>0</v>
      </c>
      <c r="F741" s="13" t="n">
        <f aca="false">IFERROR(IF(AND(AND(B741&lt;=Eingaben!$B$11,Szenarien!$H$25="OK"),B741=Eingaben!$B$11),Eingaben!$B$45*Szenarien!$B$25,0),0)</f>
        <v>0</v>
      </c>
      <c r="G741" s="13" t="n">
        <f aca="false">C741-D741-E741+F741</f>
        <v>0</v>
      </c>
      <c r="H741" s="13" t="n">
        <f aca="false">IFERROR(IF(AND(B741&lt;=Eingaben!$B$11,Szenarien!$H$25="OK"),1/(1+Eingaben!$B$39+Szenarien!$G$25)^B741,0),0)</f>
        <v>0</v>
      </c>
      <c r="I741" s="13" t="n">
        <f aca="false">G741*H741</f>
        <v>0</v>
      </c>
      <c r="J741" s="13" t="n">
        <f aca="false">(D741+E741-F741)*H741</f>
        <v>0</v>
      </c>
      <c r="K741" s="13" t="n">
        <f aca="false">IF(AND(B741&lt;=Eingaben!$B$11,Szenarien!$H$25="OK"),SUM(Variantenbilanz!K5129:K5494)*H741,0)</f>
        <v>0</v>
      </c>
    </row>
    <row r="742" customFormat="false" ht="16.4" hidden="false" customHeight="false" outlineLevel="0" collapsed="false">
      <c r="A742" s="12"/>
      <c r="B742" s="15" t="n">
        <v>23</v>
      </c>
      <c r="C742" s="13" t="n">
        <f aca="false">IFERROR(IF(AND(B742&lt;=Eingaben!$B$11,Szenarien!$H$25="OK"),SUM(Variantenbilanz!K5129:K5494)*(Eingaben!$B$36*Szenarien!$C$25*(1+Eingaben!$B$40)^(B742-1)+Eingaben!$B$37*Eingaben!$B$38*(1+Eingaben!$B$46)^(B742-1)),0),0)</f>
        <v>0</v>
      </c>
      <c r="D742" s="13" t="n">
        <f aca="false">IFERROR(IF(AND(B742&lt;=Eingaben!$B$11,Szenarien!$H$25="OK"),((Eingaben!$B$32+Eingaben!$B$35)*(1+Eingaben!$B$41)^(B742-1)+SUM(Variantenbilanz!E5129:E5494)*Eingaben!$B$33*Eingaben!$B$34*(1+Eingaben!$B$42)^(B742-1))*Szenarien!$F$25,0),0)</f>
        <v>0</v>
      </c>
      <c r="E742" s="13" t="n">
        <f aca="false">IFERROR(IF(AND(AND(B742&lt;=Eingaben!$B$11,Szenarien!$H$25="OK"),B742=Eingaben!$B$43),Eingaben!$B$44*Szenarien!$B$25*(1+Eingaben!$B$41)^(B742-1),0),0)</f>
        <v>0</v>
      </c>
      <c r="F742" s="13" t="n">
        <f aca="false">IFERROR(IF(AND(AND(B742&lt;=Eingaben!$B$11,Szenarien!$H$25="OK"),B742=Eingaben!$B$11),Eingaben!$B$45*Szenarien!$B$25,0),0)</f>
        <v>0</v>
      </c>
      <c r="G742" s="13" t="n">
        <f aca="false">C742-D742-E742+F742</f>
        <v>0</v>
      </c>
      <c r="H742" s="13" t="n">
        <f aca="false">IFERROR(IF(AND(B742&lt;=Eingaben!$B$11,Szenarien!$H$25="OK"),1/(1+Eingaben!$B$39+Szenarien!$G$25)^B742,0),0)</f>
        <v>0</v>
      </c>
      <c r="I742" s="13" t="n">
        <f aca="false">G742*H742</f>
        <v>0</v>
      </c>
      <c r="J742" s="13" t="n">
        <f aca="false">(D742+E742-F742)*H742</f>
        <v>0</v>
      </c>
      <c r="K742" s="13" t="n">
        <f aca="false">IF(AND(B742&lt;=Eingaben!$B$11,Szenarien!$H$25="OK"),SUM(Variantenbilanz!K5129:K5494)*H742,0)</f>
        <v>0</v>
      </c>
    </row>
    <row r="743" customFormat="false" ht="16.4" hidden="false" customHeight="false" outlineLevel="0" collapsed="false">
      <c r="A743" s="12"/>
      <c r="B743" s="15" t="n">
        <v>24</v>
      </c>
      <c r="C743" s="13" t="n">
        <f aca="false">IFERROR(IF(AND(B743&lt;=Eingaben!$B$11,Szenarien!$H$25="OK"),SUM(Variantenbilanz!K5129:K5494)*(Eingaben!$B$36*Szenarien!$C$25*(1+Eingaben!$B$40)^(B743-1)+Eingaben!$B$37*Eingaben!$B$38*(1+Eingaben!$B$46)^(B743-1)),0),0)</f>
        <v>0</v>
      </c>
      <c r="D743" s="13" t="n">
        <f aca="false">IFERROR(IF(AND(B743&lt;=Eingaben!$B$11,Szenarien!$H$25="OK"),((Eingaben!$B$32+Eingaben!$B$35)*(1+Eingaben!$B$41)^(B743-1)+SUM(Variantenbilanz!E5129:E5494)*Eingaben!$B$33*Eingaben!$B$34*(1+Eingaben!$B$42)^(B743-1))*Szenarien!$F$25,0),0)</f>
        <v>0</v>
      </c>
      <c r="E743" s="13" t="n">
        <f aca="false">IFERROR(IF(AND(AND(B743&lt;=Eingaben!$B$11,Szenarien!$H$25="OK"),B743=Eingaben!$B$43),Eingaben!$B$44*Szenarien!$B$25*(1+Eingaben!$B$41)^(B743-1),0),0)</f>
        <v>0</v>
      </c>
      <c r="F743" s="13" t="n">
        <f aca="false">IFERROR(IF(AND(AND(B743&lt;=Eingaben!$B$11,Szenarien!$H$25="OK"),B743=Eingaben!$B$11),Eingaben!$B$45*Szenarien!$B$25,0),0)</f>
        <v>0</v>
      </c>
      <c r="G743" s="13" t="n">
        <f aca="false">C743-D743-E743+F743</f>
        <v>0</v>
      </c>
      <c r="H743" s="13" t="n">
        <f aca="false">IFERROR(IF(AND(B743&lt;=Eingaben!$B$11,Szenarien!$H$25="OK"),1/(1+Eingaben!$B$39+Szenarien!$G$25)^B743,0),0)</f>
        <v>0</v>
      </c>
      <c r="I743" s="13" t="n">
        <f aca="false">G743*H743</f>
        <v>0</v>
      </c>
      <c r="J743" s="13" t="n">
        <f aca="false">(D743+E743-F743)*H743</f>
        <v>0</v>
      </c>
      <c r="K743" s="13" t="n">
        <f aca="false">IF(AND(B743&lt;=Eingaben!$B$11,Szenarien!$H$25="OK"),SUM(Variantenbilanz!K5129:K5494)*H743,0)</f>
        <v>0</v>
      </c>
    </row>
    <row r="744" customFormat="false" ht="16.4" hidden="false" customHeight="false" outlineLevel="0" collapsed="false">
      <c r="A744" s="12"/>
      <c r="B744" s="15" t="n">
        <v>25</v>
      </c>
      <c r="C744" s="13" t="n">
        <f aca="false">IFERROR(IF(AND(B744&lt;=Eingaben!$B$11,Szenarien!$H$25="OK"),SUM(Variantenbilanz!K5129:K5494)*(Eingaben!$B$36*Szenarien!$C$25*(1+Eingaben!$B$40)^(B744-1)+Eingaben!$B$37*Eingaben!$B$38*(1+Eingaben!$B$46)^(B744-1)),0),0)</f>
        <v>0</v>
      </c>
      <c r="D744" s="13" t="n">
        <f aca="false">IFERROR(IF(AND(B744&lt;=Eingaben!$B$11,Szenarien!$H$25="OK"),((Eingaben!$B$32+Eingaben!$B$35)*(1+Eingaben!$B$41)^(B744-1)+SUM(Variantenbilanz!E5129:E5494)*Eingaben!$B$33*Eingaben!$B$34*(1+Eingaben!$B$42)^(B744-1))*Szenarien!$F$25,0),0)</f>
        <v>0</v>
      </c>
      <c r="E744" s="13" t="n">
        <f aca="false">IFERROR(IF(AND(AND(B744&lt;=Eingaben!$B$11,Szenarien!$H$25="OK"),B744=Eingaben!$B$43),Eingaben!$B$44*Szenarien!$B$25*(1+Eingaben!$B$41)^(B744-1),0),0)</f>
        <v>0</v>
      </c>
      <c r="F744" s="13" t="n">
        <f aca="false">IFERROR(IF(AND(AND(B744&lt;=Eingaben!$B$11,Szenarien!$H$25="OK"),B744=Eingaben!$B$11),Eingaben!$B$45*Szenarien!$B$25,0),0)</f>
        <v>0</v>
      </c>
      <c r="G744" s="13" t="n">
        <f aca="false">C744-D744-E744+F744</f>
        <v>0</v>
      </c>
      <c r="H744" s="13" t="n">
        <f aca="false">IFERROR(IF(AND(B744&lt;=Eingaben!$B$11,Szenarien!$H$25="OK"),1/(1+Eingaben!$B$39+Szenarien!$G$25)^B744,0),0)</f>
        <v>0</v>
      </c>
      <c r="I744" s="13" t="n">
        <f aca="false">G744*H744</f>
        <v>0</v>
      </c>
      <c r="J744" s="13" t="n">
        <f aca="false">(D744+E744-F744)*H744</f>
        <v>0</v>
      </c>
      <c r="K744" s="13" t="n">
        <f aca="false">IF(AND(B744&lt;=Eingaben!$B$11,Szenarien!$H$25="OK"),SUM(Variantenbilanz!K5129:K5494)*H744,0)</f>
        <v>0</v>
      </c>
    </row>
    <row r="745" customFormat="false" ht="16.4" hidden="false" customHeight="false" outlineLevel="0" collapsed="false">
      <c r="A745" s="12"/>
      <c r="B745" s="15" t="n">
        <v>26</v>
      </c>
      <c r="C745" s="13" t="n">
        <f aca="false">IFERROR(IF(AND(B745&lt;=Eingaben!$B$11,Szenarien!$H$25="OK"),SUM(Variantenbilanz!K5129:K5494)*(Eingaben!$B$36*Szenarien!$C$25*(1+Eingaben!$B$40)^(B745-1)+Eingaben!$B$37*Eingaben!$B$38*(1+Eingaben!$B$46)^(B745-1)),0),0)</f>
        <v>0</v>
      </c>
      <c r="D745" s="13" t="n">
        <f aca="false">IFERROR(IF(AND(B745&lt;=Eingaben!$B$11,Szenarien!$H$25="OK"),((Eingaben!$B$32+Eingaben!$B$35)*(1+Eingaben!$B$41)^(B745-1)+SUM(Variantenbilanz!E5129:E5494)*Eingaben!$B$33*Eingaben!$B$34*(1+Eingaben!$B$42)^(B745-1))*Szenarien!$F$25,0),0)</f>
        <v>0</v>
      </c>
      <c r="E745" s="13" t="n">
        <f aca="false">IFERROR(IF(AND(AND(B745&lt;=Eingaben!$B$11,Szenarien!$H$25="OK"),B745=Eingaben!$B$43),Eingaben!$B$44*Szenarien!$B$25*(1+Eingaben!$B$41)^(B745-1),0),0)</f>
        <v>0</v>
      </c>
      <c r="F745" s="13" t="n">
        <f aca="false">IFERROR(IF(AND(AND(B745&lt;=Eingaben!$B$11,Szenarien!$H$25="OK"),B745=Eingaben!$B$11),Eingaben!$B$45*Szenarien!$B$25,0),0)</f>
        <v>0</v>
      </c>
      <c r="G745" s="13" t="n">
        <f aca="false">C745-D745-E745+F745</f>
        <v>0</v>
      </c>
      <c r="H745" s="13" t="n">
        <f aca="false">IFERROR(IF(AND(B745&lt;=Eingaben!$B$11,Szenarien!$H$25="OK"),1/(1+Eingaben!$B$39+Szenarien!$G$25)^B745,0),0)</f>
        <v>0</v>
      </c>
      <c r="I745" s="13" t="n">
        <f aca="false">G745*H745</f>
        <v>0</v>
      </c>
      <c r="J745" s="13" t="n">
        <f aca="false">(D745+E745-F745)*H745</f>
        <v>0</v>
      </c>
      <c r="K745" s="13" t="n">
        <f aca="false">IF(AND(B745&lt;=Eingaben!$B$11,Szenarien!$H$25="OK"),SUM(Variantenbilanz!K5129:K5494)*H745,0)</f>
        <v>0</v>
      </c>
    </row>
    <row r="746" customFormat="false" ht="16.4" hidden="false" customHeight="false" outlineLevel="0" collapsed="false">
      <c r="A746" s="12"/>
      <c r="B746" s="15" t="n">
        <v>27</v>
      </c>
      <c r="C746" s="13" t="n">
        <f aca="false">IFERROR(IF(AND(B746&lt;=Eingaben!$B$11,Szenarien!$H$25="OK"),SUM(Variantenbilanz!K5129:K5494)*(Eingaben!$B$36*Szenarien!$C$25*(1+Eingaben!$B$40)^(B746-1)+Eingaben!$B$37*Eingaben!$B$38*(1+Eingaben!$B$46)^(B746-1)),0),0)</f>
        <v>0</v>
      </c>
      <c r="D746" s="13" t="n">
        <f aca="false">IFERROR(IF(AND(B746&lt;=Eingaben!$B$11,Szenarien!$H$25="OK"),((Eingaben!$B$32+Eingaben!$B$35)*(1+Eingaben!$B$41)^(B746-1)+SUM(Variantenbilanz!E5129:E5494)*Eingaben!$B$33*Eingaben!$B$34*(1+Eingaben!$B$42)^(B746-1))*Szenarien!$F$25,0),0)</f>
        <v>0</v>
      </c>
      <c r="E746" s="13" t="n">
        <f aca="false">IFERROR(IF(AND(AND(B746&lt;=Eingaben!$B$11,Szenarien!$H$25="OK"),B746=Eingaben!$B$43),Eingaben!$B$44*Szenarien!$B$25*(1+Eingaben!$B$41)^(B746-1),0),0)</f>
        <v>0</v>
      </c>
      <c r="F746" s="13" t="n">
        <f aca="false">IFERROR(IF(AND(AND(B746&lt;=Eingaben!$B$11,Szenarien!$H$25="OK"),B746=Eingaben!$B$11),Eingaben!$B$45*Szenarien!$B$25,0),0)</f>
        <v>0</v>
      </c>
      <c r="G746" s="13" t="n">
        <f aca="false">C746-D746-E746+F746</f>
        <v>0</v>
      </c>
      <c r="H746" s="13" t="n">
        <f aca="false">IFERROR(IF(AND(B746&lt;=Eingaben!$B$11,Szenarien!$H$25="OK"),1/(1+Eingaben!$B$39+Szenarien!$G$25)^B746,0),0)</f>
        <v>0</v>
      </c>
      <c r="I746" s="13" t="n">
        <f aca="false">G746*H746</f>
        <v>0</v>
      </c>
      <c r="J746" s="13" t="n">
        <f aca="false">(D746+E746-F746)*H746</f>
        <v>0</v>
      </c>
      <c r="K746" s="13" t="n">
        <f aca="false">IF(AND(B746&lt;=Eingaben!$B$11,Szenarien!$H$25="OK"),SUM(Variantenbilanz!K5129:K5494)*H746,0)</f>
        <v>0</v>
      </c>
    </row>
    <row r="747" customFormat="false" ht="16.4" hidden="false" customHeight="false" outlineLevel="0" collapsed="false">
      <c r="A747" s="12"/>
      <c r="B747" s="15" t="n">
        <v>28</v>
      </c>
      <c r="C747" s="13" t="n">
        <f aca="false">IFERROR(IF(AND(B747&lt;=Eingaben!$B$11,Szenarien!$H$25="OK"),SUM(Variantenbilanz!K5129:K5494)*(Eingaben!$B$36*Szenarien!$C$25*(1+Eingaben!$B$40)^(B747-1)+Eingaben!$B$37*Eingaben!$B$38*(1+Eingaben!$B$46)^(B747-1)),0),0)</f>
        <v>0</v>
      </c>
      <c r="D747" s="13" t="n">
        <f aca="false">IFERROR(IF(AND(B747&lt;=Eingaben!$B$11,Szenarien!$H$25="OK"),((Eingaben!$B$32+Eingaben!$B$35)*(1+Eingaben!$B$41)^(B747-1)+SUM(Variantenbilanz!E5129:E5494)*Eingaben!$B$33*Eingaben!$B$34*(1+Eingaben!$B$42)^(B747-1))*Szenarien!$F$25,0),0)</f>
        <v>0</v>
      </c>
      <c r="E747" s="13" t="n">
        <f aca="false">IFERROR(IF(AND(AND(B747&lt;=Eingaben!$B$11,Szenarien!$H$25="OK"),B747=Eingaben!$B$43),Eingaben!$B$44*Szenarien!$B$25*(1+Eingaben!$B$41)^(B747-1),0),0)</f>
        <v>0</v>
      </c>
      <c r="F747" s="13" t="n">
        <f aca="false">IFERROR(IF(AND(AND(B747&lt;=Eingaben!$B$11,Szenarien!$H$25="OK"),B747=Eingaben!$B$11),Eingaben!$B$45*Szenarien!$B$25,0),0)</f>
        <v>0</v>
      </c>
      <c r="G747" s="13" t="n">
        <f aca="false">C747-D747-E747+F747</f>
        <v>0</v>
      </c>
      <c r="H747" s="13" t="n">
        <f aca="false">IFERROR(IF(AND(B747&lt;=Eingaben!$B$11,Szenarien!$H$25="OK"),1/(1+Eingaben!$B$39+Szenarien!$G$25)^B747,0),0)</f>
        <v>0</v>
      </c>
      <c r="I747" s="13" t="n">
        <f aca="false">G747*H747</f>
        <v>0</v>
      </c>
      <c r="J747" s="13" t="n">
        <f aca="false">(D747+E747-F747)*H747</f>
        <v>0</v>
      </c>
      <c r="K747" s="13" t="n">
        <f aca="false">IF(AND(B747&lt;=Eingaben!$B$11,Szenarien!$H$25="OK"),SUM(Variantenbilanz!K5129:K5494)*H747,0)</f>
        <v>0</v>
      </c>
    </row>
    <row r="748" customFormat="false" ht="16.4" hidden="false" customHeight="false" outlineLevel="0" collapsed="false">
      <c r="A748" s="12"/>
      <c r="B748" s="15" t="n">
        <v>29</v>
      </c>
      <c r="C748" s="13" t="n">
        <f aca="false">IFERROR(IF(AND(B748&lt;=Eingaben!$B$11,Szenarien!$H$25="OK"),SUM(Variantenbilanz!K5129:K5494)*(Eingaben!$B$36*Szenarien!$C$25*(1+Eingaben!$B$40)^(B748-1)+Eingaben!$B$37*Eingaben!$B$38*(1+Eingaben!$B$46)^(B748-1)),0),0)</f>
        <v>0</v>
      </c>
      <c r="D748" s="13" t="n">
        <f aca="false">IFERROR(IF(AND(B748&lt;=Eingaben!$B$11,Szenarien!$H$25="OK"),((Eingaben!$B$32+Eingaben!$B$35)*(1+Eingaben!$B$41)^(B748-1)+SUM(Variantenbilanz!E5129:E5494)*Eingaben!$B$33*Eingaben!$B$34*(1+Eingaben!$B$42)^(B748-1))*Szenarien!$F$25,0),0)</f>
        <v>0</v>
      </c>
      <c r="E748" s="13" t="n">
        <f aca="false">IFERROR(IF(AND(AND(B748&lt;=Eingaben!$B$11,Szenarien!$H$25="OK"),B748=Eingaben!$B$43),Eingaben!$B$44*Szenarien!$B$25*(1+Eingaben!$B$41)^(B748-1),0),0)</f>
        <v>0</v>
      </c>
      <c r="F748" s="13" t="n">
        <f aca="false">IFERROR(IF(AND(AND(B748&lt;=Eingaben!$B$11,Szenarien!$H$25="OK"),B748=Eingaben!$B$11),Eingaben!$B$45*Szenarien!$B$25,0),0)</f>
        <v>0</v>
      </c>
      <c r="G748" s="13" t="n">
        <f aca="false">C748-D748-E748+F748</f>
        <v>0</v>
      </c>
      <c r="H748" s="13" t="n">
        <f aca="false">IFERROR(IF(AND(B748&lt;=Eingaben!$B$11,Szenarien!$H$25="OK"),1/(1+Eingaben!$B$39+Szenarien!$G$25)^B748,0),0)</f>
        <v>0</v>
      </c>
      <c r="I748" s="13" t="n">
        <f aca="false">G748*H748</f>
        <v>0</v>
      </c>
      <c r="J748" s="13" t="n">
        <f aca="false">(D748+E748-F748)*H748</f>
        <v>0</v>
      </c>
      <c r="K748" s="13" t="n">
        <f aca="false">IF(AND(B748&lt;=Eingaben!$B$11,Szenarien!$H$25="OK"),SUM(Variantenbilanz!K5129:K5494)*H748,0)</f>
        <v>0</v>
      </c>
    </row>
    <row r="749" customFormat="false" ht="16.4" hidden="false" customHeight="false" outlineLevel="0" collapsed="false">
      <c r="A749" s="12"/>
      <c r="B749" s="15" t="n">
        <v>30</v>
      </c>
      <c r="C749" s="13" t="n">
        <f aca="false">IFERROR(IF(AND(B749&lt;=Eingaben!$B$11,Szenarien!$H$25="OK"),SUM(Variantenbilanz!K5129:K5494)*(Eingaben!$B$36*Szenarien!$C$25*(1+Eingaben!$B$40)^(B749-1)+Eingaben!$B$37*Eingaben!$B$38*(1+Eingaben!$B$46)^(B749-1)),0),0)</f>
        <v>0</v>
      </c>
      <c r="D749" s="13" t="n">
        <f aca="false">IFERROR(IF(AND(B749&lt;=Eingaben!$B$11,Szenarien!$H$25="OK"),((Eingaben!$B$32+Eingaben!$B$35)*(1+Eingaben!$B$41)^(B749-1)+SUM(Variantenbilanz!E5129:E5494)*Eingaben!$B$33*Eingaben!$B$34*(1+Eingaben!$B$42)^(B749-1))*Szenarien!$F$25,0),0)</f>
        <v>0</v>
      </c>
      <c r="E749" s="13" t="n">
        <f aca="false">IFERROR(IF(AND(AND(B749&lt;=Eingaben!$B$11,Szenarien!$H$25="OK"),B749=Eingaben!$B$43),Eingaben!$B$44*Szenarien!$B$25*(1+Eingaben!$B$41)^(B749-1),0),0)</f>
        <v>0</v>
      </c>
      <c r="F749" s="13" t="n">
        <f aca="false">IFERROR(IF(AND(AND(B749&lt;=Eingaben!$B$11,Szenarien!$H$25="OK"),B749=Eingaben!$B$11),Eingaben!$B$45*Szenarien!$B$25,0),0)</f>
        <v>0</v>
      </c>
      <c r="G749" s="13" t="n">
        <f aca="false">C749-D749-E749+F749</f>
        <v>0</v>
      </c>
      <c r="H749" s="13" t="n">
        <f aca="false">IFERROR(IF(AND(B749&lt;=Eingaben!$B$11,Szenarien!$H$25="OK"),1/(1+Eingaben!$B$39+Szenarien!$G$25)^B749,0),0)</f>
        <v>0</v>
      </c>
      <c r="I749" s="13" t="n">
        <f aca="false">G749*H749</f>
        <v>0</v>
      </c>
      <c r="J749" s="13" t="n">
        <f aca="false">(D749+E749-F749)*H749</f>
        <v>0</v>
      </c>
      <c r="K749" s="13" t="n">
        <f aca="false">IF(AND(B749&lt;=Eingaben!$B$11,Szenarien!$H$25="OK"),SUM(Variantenbilanz!K5129:K5494)*H749,0)</f>
        <v>0</v>
      </c>
    </row>
    <row r="750" customFormat="false" ht="16.4" hidden="false" customHeight="false" outlineLevel="0" collapsed="false">
      <c r="A750" s="12"/>
      <c r="B750" s="15" t="n">
        <v>31</v>
      </c>
      <c r="C750" s="13" t="n">
        <f aca="false">IFERROR(IF(AND(B750&lt;=Eingaben!$B$11,Szenarien!$H$25="OK"),SUM(Variantenbilanz!K5129:K5494)*(Eingaben!$B$36*Szenarien!$C$25*(1+Eingaben!$B$40)^(B750-1)+Eingaben!$B$37*Eingaben!$B$38*(1+Eingaben!$B$46)^(B750-1)),0),0)</f>
        <v>0</v>
      </c>
      <c r="D750" s="13" t="n">
        <f aca="false">IFERROR(IF(AND(B750&lt;=Eingaben!$B$11,Szenarien!$H$25="OK"),((Eingaben!$B$32+Eingaben!$B$35)*(1+Eingaben!$B$41)^(B750-1)+SUM(Variantenbilanz!E5129:E5494)*Eingaben!$B$33*Eingaben!$B$34*(1+Eingaben!$B$42)^(B750-1))*Szenarien!$F$25,0),0)</f>
        <v>0</v>
      </c>
      <c r="E750" s="13" t="n">
        <f aca="false">IFERROR(IF(AND(AND(B750&lt;=Eingaben!$B$11,Szenarien!$H$25="OK"),B750=Eingaben!$B$43),Eingaben!$B$44*Szenarien!$B$25*(1+Eingaben!$B$41)^(B750-1),0),0)</f>
        <v>0</v>
      </c>
      <c r="F750" s="13" t="n">
        <f aca="false">IFERROR(IF(AND(AND(B750&lt;=Eingaben!$B$11,Szenarien!$H$25="OK"),B750=Eingaben!$B$11),Eingaben!$B$45*Szenarien!$B$25,0),0)</f>
        <v>0</v>
      </c>
      <c r="G750" s="13" t="n">
        <f aca="false">C750-D750-E750+F750</f>
        <v>0</v>
      </c>
      <c r="H750" s="13" t="n">
        <f aca="false">IFERROR(IF(AND(B750&lt;=Eingaben!$B$11,Szenarien!$H$25="OK"),1/(1+Eingaben!$B$39+Szenarien!$G$25)^B750,0),0)</f>
        <v>0</v>
      </c>
      <c r="I750" s="13" t="n">
        <f aca="false">G750*H750</f>
        <v>0</v>
      </c>
      <c r="J750" s="13" t="n">
        <f aca="false">(D750+E750-F750)*H750</f>
        <v>0</v>
      </c>
      <c r="K750" s="13" t="n">
        <f aca="false">IF(AND(B750&lt;=Eingaben!$B$11,Szenarien!$H$25="OK"),SUM(Variantenbilanz!K5129:K5494)*H750,0)</f>
        <v>0</v>
      </c>
    </row>
    <row r="751" customFormat="false" ht="16.4" hidden="false" customHeight="false" outlineLevel="0" collapsed="false">
      <c r="A751" s="12"/>
      <c r="B751" s="15" t="n">
        <v>32</v>
      </c>
      <c r="C751" s="13" t="n">
        <f aca="false">IFERROR(IF(AND(B751&lt;=Eingaben!$B$11,Szenarien!$H$25="OK"),SUM(Variantenbilanz!K5129:K5494)*(Eingaben!$B$36*Szenarien!$C$25*(1+Eingaben!$B$40)^(B751-1)+Eingaben!$B$37*Eingaben!$B$38*(1+Eingaben!$B$46)^(B751-1)),0),0)</f>
        <v>0</v>
      </c>
      <c r="D751" s="13" t="n">
        <f aca="false">IFERROR(IF(AND(B751&lt;=Eingaben!$B$11,Szenarien!$H$25="OK"),((Eingaben!$B$32+Eingaben!$B$35)*(1+Eingaben!$B$41)^(B751-1)+SUM(Variantenbilanz!E5129:E5494)*Eingaben!$B$33*Eingaben!$B$34*(1+Eingaben!$B$42)^(B751-1))*Szenarien!$F$25,0),0)</f>
        <v>0</v>
      </c>
      <c r="E751" s="13" t="n">
        <f aca="false">IFERROR(IF(AND(AND(B751&lt;=Eingaben!$B$11,Szenarien!$H$25="OK"),B751=Eingaben!$B$43),Eingaben!$B$44*Szenarien!$B$25*(1+Eingaben!$B$41)^(B751-1),0),0)</f>
        <v>0</v>
      </c>
      <c r="F751" s="13" t="n">
        <f aca="false">IFERROR(IF(AND(AND(B751&lt;=Eingaben!$B$11,Szenarien!$H$25="OK"),B751=Eingaben!$B$11),Eingaben!$B$45*Szenarien!$B$25,0),0)</f>
        <v>0</v>
      </c>
      <c r="G751" s="13" t="n">
        <f aca="false">C751-D751-E751+F751</f>
        <v>0</v>
      </c>
      <c r="H751" s="13" t="n">
        <f aca="false">IFERROR(IF(AND(B751&lt;=Eingaben!$B$11,Szenarien!$H$25="OK"),1/(1+Eingaben!$B$39+Szenarien!$G$25)^B751,0),0)</f>
        <v>0</v>
      </c>
      <c r="I751" s="13" t="n">
        <f aca="false">G751*H751</f>
        <v>0</v>
      </c>
      <c r="J751" s="13" t="n">
        <f aca="false">(D751+E751-F751)*H751</f>
        <v>0</v>
      </c>
      <c r="K751" s="13" t="n">
        <f aca="false">IF(AND(B751&lt;=Eingaben!$B$11,Szenarien!$H$25="OK"),SUM(Variantenbilanz!K5129:K5494)*H751,0)</f>
        <v>0</v>
      </c>
    </row>
    <row r="752" customFormat="false" ht="16.4" hidden="false" customHeight="false" outlineLevel="0" collapsed="false">
      <c r="A752" s="12"/>
      <c r="B752" s="15" t="n">
        <v>33</v>
      </c>
      <c r="C752" s="13" t="n">
        <f aca="false">IFERROR(IF(AND(B752&lt;=Eingaben!$B$11,Szenarien!$H$25="OK"),SUM(Variantenbilanz!K5129:K5494)*(Eingaben!$B$36*Szenarien!$C$25*(1+Eingaben!$B$40)^(B752-1)+Eingaben!$B$37*Eingaben!$B$38*(1+Eingaben!$B$46)^(B752-1)),0),0)</f>
        <v>0</v>
      </c>
      <c r="D752" s="13" t="n">
        <f aca="false">IFERROR(IF(AND(B752&lt;=Eingaben!$B$11,Szenarien!$H$25="OK"),((Eingaben!$B$32+Eingaben!$B$35)*(1+Eingaben!$B$41)^(B752-1)+SUM(Variantenbilanz!E5129:E5494)*Eingaben!$B$33*Eingaben!$B$34*(1+Eingaben!$B$42)^(B752-1))*Szenarien!$F$25,0),0)</f>
        <v>0</v>
      </c>
      <c r="E752" s="13" t="n">
        <f aca="false">IFERROR(IF(AND(AND(B752&lt;=Eingaben!$B$11,Szenarien!$H$25="OK"),B752=Eingaben!$B$43),Eingaben!$B$44*Szenarien!$B$25*(1+Eingaben!$B$41)^(B752-1),0),0)</f>
        <v>0</v>
      </c>
      <c r="F752" s="13" t="n">
        <f aca="false">IFERROR(IF(AND(AND(B752&lt;=Eingaben!$B$11,Szenarien!$H$25="OK"),B752=Eingaben!$B$11),Eingaben!$B$45*Szenarien!$B$25,0),0)</f>
        <v>0</v>
      </c>
      <c r="G752" s="13" t="n">
        <f aca="false">C752-D752-E752+F752</f>
        <v>0</v>
      </c>
      <c r="H752" s="13" t="n">
        <f aca="false">IFERROR(IF(AND(B752&lt;=Eingaben!$B$11,Szenarien!$H$25="OK"),1/(1+Eingaben!$B$39+Szenarien!$G$25)^B752,0),0)</f>
        <v>0</v>
      </c>
      <c r="I752" s="13" t="n">
        <f aca="false">G752*H752</f>
        <v>0</v>
      </c>
      <c r="J752" s="13" t="n">
        <f aca="false">(D752+E752-F752)*H752</f>
        <v>0</v>
      </c>
      <c r="K752" s="13" t="n">
        <f aca="false">IF(AND(B752&lt;=Eingaben!$B$11,Szenarien!$H$25="OK"),SUM(Variantenbilanz!K5129:K5494)*H752,0)</f>
        <v>0</v>
      </c>
    </row>
    <row r="753" customFormat="false" ht="16.4" hidden="false" customHeight="false" outlineLevel="0" collapsed="false">
      <c r="A753" s="12"/>
      <c r="B753" s="15" t="n">
        <v>34</v>
      </c>
      <c r="C753" s="13" t="n">
        <f aca="false">IFERROR(IF(AND(B753&lt;=Eingaben!$B$11,Szenarien!$H$25="OK"),SUM(Variantenbilanz!K5129:K5494)*(Eingaben!$B$36*Szenarien!$C$25*(1+Eingaben!$B$40)^(B753-1)+Eingaben!$B$37*Eingaben!$B$38*(1+Eingaben!$B$46)^(B753-1)),0),0)</f>
        <v>0</v>
      </c>
      <c r="D753" s="13" t="n">
        <f aca="false">IFERROR(IF(AND(B753&lt;=Eingaben!$B$11,Szenarien!$H$25="OK"),((Eingaben!$B$32+Eingaben!$B$35)*(1+Eingaben!$B$41)^(B753-1)+SUM(Variantenbilanz!E5129:E5494)*Eingaben!$B$33*Eingaben!$B$34*(1+Eingaben!$B$42)^(B753-1))*Szenarien!$F$25,0),0)</f>
        <v>0</v>
      </c>
      <c r="E753" s="13" t="n">
        <f aca="false">IFERROR(IF(AND(AND(B753&lt;=Eingaben!$B$11,Szenarien!$H$25="OK"),B753=Eingaben!$B$43),Eingaben!$B$44*Szenarien!$B$25*(1+Eingaben!$B$41)^(B753-1),0),0)</f>
        <v>0</v>
      </c>
      <c r="F753" s="13" t="n">
        <f aca="false">IFERROR(IF(AND(AND(B753&lt;=Eingaben!$B$11,Szenarien!$H$25="OK"),B753=Eingaben!$B$11),Eingaben!$B$45*Szenarien!$B$25,0),0)</f>
        <v>0</v>
      </c>
      <c r="G753" s="13" t="n">
        <f aca="false">C753-D753-E753+F753</f>
        <v>0</v>
      </c>
      <c r="H753" s="13" t="n">
        <f aca="false">IFERROR(IF(AND(B753&lt;=Eingaben!$B$11,Szenarien!$H$25="OK"),1/(1+Eingaben!$B$39+Szenarien!$G$25)^B753,0),0)</f>
        <v>0</v>
      </c>
      <c r="I753" s="13" t="n">
        <f aca="false">G753*H753</f>
        <v>0</v>
      </c>
      <c r="J753" s="13" t="n">
        <f aca="false">(D753+E753-F753)*H753</f>
        <v>0</v>
      </c>
      <c r="K753" s="13" t="n">
        <f aca="false">IF(AND(B753&lt;=Eingaben!$B$11,Szenarien!$H$25="OK"),SUM(Variantenbilanz!K5129:K5494)*H753,0)</f>
        <v>0</v>
      </c>
    </row>
    <row r="754" customFormat="false" ht="16.4" hidden="false" customHeight="false" outlineLevel="0" collapsed="false">
      <c r="A754" s="12"/>
      <c r="B754" s="15" t="n">
        <v>35</v>
      </c>
      <c r="C754" s="13" t="n">
        <f aca="false">IFERROR(IF(AND(B754&lt;=Eingaben!$B$11,Szenarien!$H$25="OK"),SUM(Variantenbilanz!K5129:K5494)*(Eingaben!$B$36*Szenarien!$C$25*(1+Eingaben!$B$40)^(B754-1)+Eingaben!$B$37*Eingaben!$B$38*(1+Eingaben!$B$46)^(B754-1)),0),0)</f>
        <v>0</v>
      </c>
      <c r="D754" s="13" t="n">
        <f aca="false">IFERROR(IF(AND(B754&lt;=Eingaben!$B$11,Szenarien!$H$25="OK"),((Eingaben!$B$32+Eingaben!$B$35)*(1+Eingaben!$B$41)^(B754-1)+SUM(Variantenbilanz!E5129:E5494)*Eingaben!$B$33*Eingaben!$B$34*(1+Eingaben!$B$42)^(B754-1))*Szenarien!$F$25,0),0)</f>
        <v>0</v>
      </c>
      <c r="E754" s="13" t="n">
        <f aca="false">IFERROR(IF(AND(AND(B754&lt;=Eingaben!$B$11,Szenarien!$H$25="OK"),B754=Eingaben!$B$43),Eingaben!$B$44*Szenarien!$B$25*(1+Eingaben!$B$41)^(B754-1),0),0)</f>
        <v>0</v>
      </c>
      <c r="F754" s="13" t="n">
        <f aca="false">IFERROR(IF(AND(AND(B754&lt;=Eingaben!$B$11,Szenarien!$H$25="OK"),B754=Eingaben!$B$11),Eingaben!$B$45*Szenarien!$B$25,0),0)</f>
        <v>0</v>
      </c>
      <c r="G754" s="13" t="n">
        <f aca="false">C754-D754-E754+F754</f>
        <v>0</v>
      </c>
      <c r="H754" s="13" t="n">
        <f aca="false">IFERROR(IF(AND(B754&lt;=Eingaben!$B$11,Szenarien!$H$25="OK"),1/(1+Eingaben!$B$39+Szenarien!$G$25)^B754,0),0)</f>
        <v>0</v>
      </c>
      <c r="I754" s="13" t="n">
        <f aca="false">G754*H754</f>
        <v>0</v>
      </c>
      <c r="J754" s="13" t="n">
        <f aca="false">(D754+E754-F754)*H754</f>
        <v>0</v>
      </c>
      <c r="K754" s="13" t="n">
        <f aca="false">IF(AND(B754&lt;=Eingaben!$B$11,Szenarien!$H$25="OK"),SUM(Variantenbilanz!K5129:K5494)*H754,0)</f>
        <v>0</v>
      </c>
    </row>
    <row r="755" customFormat="false" ht="16.4" hidden="false" customHeight="false" outlineLevel="0" collapsed="false">
      <c r="A755" s="12"/>
      <c r="B755" s="15" t="n">
        <v>36</v>
      </c>
      <c r="C755" s="13" t="n">
        <f aca="false">IFERROR(IF(AND(B755&lt;=Eingaben!$B$11,Szenarien!$H$25="OK"),SUM(Variantenbilanz!K5129:K5494)*(Eingaben!$B$36*Szenarien!$C$25*(1+Eingaben!$B$40)^(B755-1)+Eingaben!$B$37*Eingaben!$B$38*(1+Eingaben!$B$46)^(B755-1)),0),0)</f>
        <v>0</v>
      </c>
      <c r="D755" s="13" t="n">
        <f aca="false">IFERROR(IF(AND(B755&lt;=Eingaben!$B$11,Szenarien!$H$25="OK"),((Eingaben!$B$32+Eingaben!$B$35)*(1+Eingaben!$B$41)^(B755-1)+SUM(Variantenbilanz!E5129:E5494)*Eingaben!$B$33*Eingaben!$B$34*(1+Eingaben!$B$42)^(B755-1))*Szenarien!$F$25,0),0)</f>
        <v>0</v>
      </c>
      <c r="E755" s="13" t="n">
        <f aca="false">IFERROR(IF(AND(AND(B755&lt;=Eingaben!$B$11,Szenarien!$H$25="OK"),B755=Eingaben!$B$43),Eingaben!$B$44*Szenarien!$B$25*(1+Eingaben!$B$41)^(B755-1),0),0)</f>
        <v>0</v>
      </c>
      <c r="F755" s="13" t="n">
        <f aca="false">IFERROR(IF(AND(AND(B755&lt;=Eingaben!$B$11,Szenarien!$H$25="OK"),B755=Eingaben!$B$11),Eingaben!$B$45*Szenarien!$B$25,0),0)</f>
        <v>0</v>
      </c>
      <c r="G755" s="13" t="n">
        <f aca="false">C755-D755-E755+F755</f>
        <v>0</v>
      </c>
      <c r="H755" s="13" t="n">
        <f aca="false">IFERROR(IF(AND(B755&lt;=Eingaben!$B$11,Szenarien!$H$25="OK"),1/(1+Eingaben!$B$39+Szenarien!$G$25)^B755,0),0)</f>
        <v>0</v>
      </c>
      <c r="I755" s="13" t="n">
        <f aca="false">G755*H755</f>
        <v>0</v>
      </c>
      <c r="J755" s="13" t="n">
        <f aca="false">(D755+E755-F755)*H755</f>
        <v>0</v>
      </c>
      <c r="K755" s="13" t="n">
        <f aca="false">IF(AND(B755&lt;=Eingaben!$B$11,Szenarien!$H$25="OK"),SUM(Variantenbilanz!K5129:K5494)*H755,0)</f>
        <v>0</v>
      </c>
    </row>
    <row r="756" customFormat="false" ht="16.4" hidden="false" customHeight="false" outlineLevel="0" collapsed="false">
      <c r="A756" s="12"/>
      <c r="B756" s="15" t="n">
        <v>37</v>
      </c>
      <c r="C756" s="13" t="n">
        <f aca="false">IFERROR(IF(AND(B756&lt;=Eingaben!$B$11,Szenarien!$H$25="OK"),SUM(Variantenbilanz!K5129:K5494)*(Eingaben!$B$36*Szenarien!$C$25*(1+Eingaben!$B$40)^(B756-1)+Eingaben!$B$37*Eingaben!$B$38*(1+Eingaben!$B$46)^(B756-1)),0),0)</f>
        <v>0</v>
      </c>
      <c r="D756" s="13" t="n">
        <f aca="false">IFERROR(IF(AND(B756&lt;=Eingaben!$B$11,Szenarien!$H$25="OK"),((Eingaben!$B$32+Eingaben!$B$35)*(1+Eingaben!$B$41)^(B756-1)+SUM(Variantenbilanz!E5129:E5494)*Eingaben!$B$33*Eingaben!$B$34*(1+Eingaben!$B$42)^(B756-1))*Szenarien!$F$25,0),0)</f>
        <v>0</v>
      </c>
      <c r="E756" s="13" t="n">
        <f aca="false">IFERROR(IF(AND(AND(B756&lt;=Eingaben!$B$11,Szenarien!$H$25="OK"),B756=Eingaben!$B$43),Eingaben!$B$44*Szenarien!$B$25*(1+Eingaben!$B$41)^(B756-1),0),0)</f>
        <v>0</v>
      </c>
      <c r="F756" s="13" t="n">
        <f aca="false">IFERROR(IF(AND(AND(B756&lt;=Eingaben!$B$11,Szenarien!$H$25="OK"),B756=Eingaben!$B$11),Eingaben!$B$45*Szenarien!$B$25,0),0)</f>
        <v>0</v>
      </c>
      <c r="G756" s="13" t="n">
        <f aca="false">C756-D756-E756+F756</f>
        <v>0</v>
      </c>
      <c r="H756" s="13" t="n">
        <f aca="false">IFERROR(IF(AND(B756&lt;=Eingaben!$B$11,Szenarien!$H$25="OK"),1/(1+Eingaben!$B$39+Szenarien!$G$25)^B756,0),0)</f>
        <v>0</v>
      </c>
      <c r="I756" s="13" t="n">
        <f aca="false">G756*H756</f>
        <v>0</v>
      </c>
      <c r="J756" s="13" t="n">
        <f aca="false">(D756+E756-F756)*H756</f>
        <v>0</v>
      </c>
      <c r="K756" s="13" t="n">
        <f aca="false">IF(AND(B756&lt;=Eingaben!$B$11,Szenarien!$H$25="OK"),SUM(Variantenbilanz!K5129:K5494)*H756,0)</f>
        <v>0</v>
      </c>
    </row>
    <row r="757" customFormat="false" ht="16.4" hidden="false" customHeight="false" outlineLevel="0" collapsed="false">
      <c r="A757" s="12"/>
      <c r="B757" s="15" t="n">
        <v>38</v>
      </c>
      <c r="C757" s="13" t="n">
        <f aca="false">IFERROR(IF(AND(B757&lt;=Eingaben!$B$11,Szenarien!$H$25="OK"),SUM(Variantenbilanz!K5129:K5494)*(Eingaben!$B$36*Szenarien!$C$25*(1+Eingaben!$B$40)^(B757-1)+Eingaben!$B$37*Eingaben!$B$38*(1+Eingaben!$B$46)^(B757-1)),0),0)</f>
        <v>0</v>
      </c>
      <c r="D757" s="13" t="n">
        <f aca="false">IFERROR(IF(AND(B757&lt;=Eingaben!$B$11,Szenarien!$H$25="OK"),((Eingaben!$B$32+Eingaben!$B$35)*(1+Eingaben!$B$41)^(B757-1)+SUM(Variantenbilanz!E5129:E5494)*Eingaben!$B$33*Eingaben!$B$34*(1+Eingaben!$B$42)^(B757-1))*Szenarien!$F$25,0),0)</f>
        <v>0</v>
      </c>
      <c r="E757" s="13" t="n">
        <f aca="false">IFERROR(IF(AND(AND(B757&lt;=Eingaben!$B$11,Szenarien!$H$25="OK"),B757=Eingaben!$B$43),Eingaben!$B$44*Szenarien!$B$25*(1+Eingaben!$B$41)^(B757-1),0),0)</f>
        <v>0</v>
      </c>
      <c r="F757" s="13" t="n">
        <f aca="false">IFERROR(IF(AND(AND(B757&lt;=Eingaben!$B$11,Szenarien!$H$25="OK"),B757=Eingaben!$B$11),Eingaben!$B$45*Szenarien!$B$25,0),0)</f>
        <v>0</v>
      </c>
      <c r="G757" s="13" t="n">
        <f aca="false">C757-D757-E757+F757</f>
        <v>0</v>
      </c>
      <c r="H757" s="13" t="n">
        <f aca="false">IFERROR(IF(AND(B757&lt;=Eingaben!$B$11,Szenarien!$H$25="OK"),1/(1+Eingaben!$B$39+Szenarien!$G$25)^B757,0),0)</f>
        <v>0</v>
      </c>
      <c r="I757" s="13" t="n">
        <f aca="false">G757*H757</f>
        <v>0</v>
      </c>
      <c r="J757" s="13" t="n">
        <f aca="false">(D757+E757-F757)*H757</f>
        <v>0</v>
      </c>
      <c r="K757" s="13" t="n">
        <f aca="false">IF(AND(B757&lt;=Eingaben!$B$11,Szenarien!$H$25="OK"),SUM(Variantenbilanz!K5129:K5494)*H757,0)</f>
        <v>0</v>
      </c>
    </row>
    <row r="758" customFormat="false" ht="16.4" hidden="false" customHeight="false" outlineLevel="0" collapsed="false">
      <c r="A758" s="12"/>
      <c r="B758" s="15" t="n">
        <v>39</v>
      </c>
      <c r="C758" s="13" t="n">
        <f aca="false">IFERROR(IF(AND(B758&lt;=Eingaben!$B$11,Szenarien!$H$25="OK"),SUM(Variantenbilanz!K5129:K5494)*(Eingaben!$B$36*Szenarien!$C$25*(1+Eingaben!$B$40)^(B758-1)+Eingaben!$B$37*Eingaben!$B$38*(1+Eingaben!$B$46)^(B758-1)),0),0)</f>
        <v>0</v>
      </c>
      <c r="D758" s="13" t="n">
        <f aca="false">IFERROR(IF(AND(B758&lt;=Eingaben!$B$11,Szenarien!$H$25="OK"),((Eingaben!$B$32+Eingaben!$B$35)*(1+Eingaben!$B$41)^(B758-1)+SUM(Variantenbilanz!E5129:E5494)*Eingaben!$B$33*Eingaben!$B$34*(1+Eingaben!$B$42)^(B758-1))*Szenarien!$F$25,0),0)</f>
        <v>0</v>
      </c>
      <c r="E758" s="13" t="n">
        <f aca="false">IFERROR(IF(AND(AND(B758&lt;=Eingaben!$B$11,Szenarien!$H$25="OK"),B758=Eingaben!$B$43),Eingaben!$B$44*Szenarien!$B$25*(1+Eingaben!$B$41)^(B758-1),0),0)</f>
        <v>0</v>
      </c>
      <c r="F758" s="13" t="n">
        <f aca="false">IFERROR(IF(AND(AND(B758&lt;=Eingaben!$B$11,Szenarien!$H$25="OK"),B758=Eingaben!$B$11),Eingaben!$B$45*Szenarien!$B$25,0),0)</f>
        <v>0</v>
      </c>
      <c r="G758" s="13" t="n">
        <f aca="false">C758-D758-E758+F758</f>
        <v>0</v>
      </c>
      <c r="H758" s="13" t="n">
        <f aca="false">IFERROR(IF(AND(B758&lt;=Eingaben!$B$11,Szenarien!$H$25="OK"),1/(1+Eingaben!$B$39+Szenarien!$G$25)^B758,0),0)</f>
        <v>0</v>
      </c>
      <c r="I758" s="13" t="n">
        <f aca="false">G758*H758</f>
        <v>0</v>
      </c>
      <c r="J758" s="13" t="n">
        <f aca="false">(D758+E758-F758)*H758</f>
        <v>0</v>
      </c>
      <c r="K758" s="13" t="n">
        <f aca="false">IF(AND(B758&lt;=Eingaben!$B$11,Szenarien!$H$25="OK"),SUM(Variantenbilanz!K5129:K5494)*H758,0)</f>
        <v>0</v>
      </c>
    </row>
    <row r="759" customFormat="false" ht="16.4" hidden="false" customHeight="false" outlineLevel="0" collapsed="false">
      <c r="A759" s="12"/>
      <c r="B759" s="15" t="n">
        <v>40</v>
      </c>
      <c r="C759" s="13" t="n">
        <f aca="false">IFERROR(IF(AND(B759&lt;=Eingaben!$B$11,Szenarien!$H$25="OK"),SUM(Variantenbilanz!K5129:K5494)*(Eingaben!$B$36*Szenarien!$C$25*(1+Eingaben!$B$40)^(B759-1)+Eingaben!$B$37*Eingaben!$B$38*(1+Eingaben!$B$46)^(B759-1)),0),0)</f>
        <v>0</v>
      </c>
      <c r="D759" s="13" t="n">
        <f aca="false">IFERROR(IF(AND(B759&lt;=Eingaben!$B$11,Szenarien!$H$25="OK"),((Eingaben!$B$32+Eingaben!$B$35)*(1+Eingaben!$B$41)^(B759-1)+SUM(Variantenbilanz!E5129:E5494)*Eingaben!$B$33*Eingaben!$B$34*(1+Eingaben!$B$42)^(B759-1))*Szenarien!$F$25,0),0)</f>
        <v>0</v>
      </c>
      <c r="E759" s="13" t="n">
        <f aca="false">IFERROR(IF(AND(AND(B759&lt;=Eingaben!$B$11,Szenarien!$H$25="OK"),B759=Eingaben!$B$43),Eingaben!$B$44*Szenarien!$B$25*(1+Eingaben!$B$41)^(B759-1),0),0)</f>
        <v>0</v>
      </c>
      <c r="F759" s="13" t="n">
        <f aca="false">IFERROR(IF(AND(AND(B759&lt;=Eingaben!$B$11,Szenarien!$H$25="OK"),B759=Eingaben!$B$11),Eingaben!$B$45*Szenarien!$B$25,0),0)</f>
        <v>0</v>
      </c>
      <c r="G759" s="13" t="n">
        <f aca="false">C759-D759-E759+F759</f>
        <v>0</v>
      </c>
      <c r="H759" s="13" t="n">
        <f aca="false">IFERROR(IF(AND(B759&lt;=Eingaben!$B$11,Szenarien!$H$25="OK"),1/(1+Eingaben!$B$39+Szenarien!$G$25)^B759,0),0)</f>
        <v>0</v>
      </c>
      <c r="I759" s="13" t="n">
        <f aca="false">G759*H759</f>
        <v>0</v>
      </c>
      <c r="J759" s="13" t="n">
        <f aca="false">(D759+E759-F759)*H759</f>
        <v>0</v>
      </c>
      <c r="K759" s="13" t="n">
        <f aca="false">IF(AND(B759&lt;=Eingaben!$B$11,Szenarien!$H$25="OK"),SUM(Variantenbilanz!K5129:K5494)*H759,0)</f>
        <v>0</v>
      </c>
    </row>
    <row r="760" customFormat="false" ht="16.4" hidden="false" customHeight="false" outlineLevel="0" collapsed="false">
      <c r="A760" s="12"/>
      <c r="B760" s="15" t="n">
        <v>41</v>
      </c>
      <c r="C760" s="13" t="n">
        <f aca="false">IFERROR(IF(AND(B760&lt;=Eingaben!$B$11,Szenarien!$H$25="OK"),SUM(Variantenbilanz!K5129:K5494)*(Eingaben!$B$36*Szenarien!$C$25*(1+Eingaben!$B$40)^(B760-1)+Eingaben!$B$37*Eingaben!$B$38*(1+Eingaben!$B$46)^(B760-1)),0),0)</f>
        <v>0</v>
      </c>
      <c r="D760" s="13" t="n">
        <f aca="false">IFERROR(IF(AND(B760&lt;=Eingaben!$B$11,Szenarien!$H$25="OK"),((Eingaben!$B$32+Eingaben!$B$35)*(1+Eingaben!$B$41)^(B760-1)+SUM(Variantenbilanz!E5129:E5494)*Eingaben!$B$33*Eingaben!$B$34*(1+Eingaben!$B$42)^(B760-1))*Szenarien!$F$25,0),0)</f>
        <v>0</v>
      </c>
      <c r="E760" s="13" t="n">
        <f aca="false">IFERROR(IF(AND(AND(B760&lt;=Eingaben!$B$11,Szenarien!$H$25="OK"),B760=Eingaben!$B$43),Eingaben!$B$44*Szenarien!$B$25*(1+Eingaben!$B$41)^(B760-1),0),0)</f>
        <v>0</v>
      </c>
      <c r="F760" s="13" t="n">
        <f aca="false">IFERROR(IF(AND(AND(B760&lt;=Eingaben!$B$11,Szenarien!$H$25="OK"),B760=Eingaben!$B$11),Eingaben!$B$45*Szenarien!$B$25,0),0)</f>
        <v>0</v>
      </c>
      <c r="G760" s="13" t="n">
        <f aca="false">C760-D760-E760+F760</f>
        <v>0</v>
      </c>
      <c r="H760" s="13" t="n">
        <f aca="false">IFERROR(IF(AND(B760&lt;=Eingaben!$B$11,Szenarien!$H$25="OK"),1/(1+Eingaben!$B$39+Szenarien!$G$25)^B760,0),0)</f>
        <v>0</v>
      </c>
      <c r="I760" s="13" t="n">
        <f aca="false">G760*H760</f>
        <v>0</v>
      </c>
      <c r="J760" s="13" t="n">
        <f aca="false">(D760+E760-F760)*H760</f>
        <v>0</v>
      </c>
      <c r="K760" s="13" t="n">
        <f aca="false">IF(AND(B760&lt;=Eingaben!$B$11,Szenarien!$H$25="OK"),SUM(Variantenbilanz!K5129:K5494)*H760,0)</f>
        <v>0</v>
      </c>
    </row>
    <row r="761" customFormat="false" ht="16.4" hidden="false" customHeight="false" outlineLevel="0" collapsed="false">
      <c r="A761" s="12"/>
      <c r="B761" s="15" t="n">
        <v>42</v>
      </c>
      <c r="C761" s="13" t="n">
        <f aca="false">IFERROR(IF(AND(B761&lt;=Eingaben!$B$11,Szenarien!$H$25="OK"),SUM(Variantenbilanz!K5129:K5494)*(Eingaben!$B$36*Szenarien!$C$25*(1+Eingaben!$B$40)^(B761-1)+Eingaben!$B$37*Eingaben!$B$38*(1+Eingaben!$B$46)^(B761-1)),0),0)</f>
        <v>0</v>
      </c>
      <c r="D761" s="13" t="n">
        <f aca="false">IFERROR(IF(AND(B761&lt;=Eingaben!$B$11,Szenarien!$H$25="OK"),((Eingaben!$B$32+Eingaben!$B$35)*(1+Eingaben!$B$41)^(B761-1)+SUM(Variantenbilanz!E5129:E5494)*Eingaben!$B$33*Eingaben!$B$34*(1+Eingaben!$B$42)^(B761-1))*Szenarien!$F$25,0),0)</f>
        <v>0</v>
      </c>
      <c r="E761" s="13" t="n">
        <f aca="false">IFERROR(IF(AND(AND(B761&lt;=Eingaben!$B$11,Szenarien!$H$25="OK"),B761=Eingaben!$B$43),Eingaben!$B$44*Szenarien!$B$25*(1+Eingaben!$B$41)^(B761-1),0),0)</f>
        <v>0</v>
      </c>
      <c r="F761" s="13" t="n">
        <f aca="false">IFERROR(IF(AND(AND(B761&lt;=Eingaben!$B$11,Szenarien!$H$25="OK"),B761=Eingaben!$B$11),Eingaben!$B$45*Szenarien!$B$25,0),0)</f>
        <v>0</v>
      </c>
      <c r="G761" s="13" t="n">
        <f aca="false">C761-D761-E761+F761</f>
        <v>0</v>
      </c>
      <c r="H761" s="13" t="n">
        <f aca="false">IFERROR(IF(AND(B761&lt;=Eingaben!$B$11,Szenarien!$H$25="OK"),1/(1+Eingaben!$B$39+Szenarien!$G$25)^B761,0),0)</f>
        <v>0</v>
      </c>
      <c r="I761" s="13" t="n">
        <f aca="false">G761*H761</f>
        <v>0</v>
      </c>
      <c r="J761" s="13" t="n">
        <f aca="false">(D761+E761-F761)*H761</f>
        <v>0</v>
      </c>
      <c r="K761" s="13" t="n">
        <f aca="false">IF(AND(B761&lt;=Eingaben!$B$11,Szenarien!$H$25="OK"),SUM(Variantenbilanz!K5129:K5494)*H761,0)</f>
        <v>0</v>
      </c>
    </row>
    <row r="762" customFormat="false" ht="16.4" hidden="false" customHeight="false" outlineLevel="0" collapsed="false">
      <c r="A762" s="12"/>
      <c r="B762" s="15" t="n">
        <v>43</v>
      </c>
      <c r="C762" s="13" t="n">
        <f aca="false">IFERROR(IF(AND(B762&lt;=Eingaben!$B$11,Szenarien!$H$25="OK"),SUM(Variantenbilanz!K5129:K5494)*(Eingaben!$B$36*Szenarien!$C$25*(1+Eingaben!$B$40)^(B762-1)+Eingaben!$B$37*Eingaben!$B$38*(1+Eingaben!$B$46)^(B762-1)),0),0)</f>
        <v>0</v>
      </c>
      <c r="D762" s="13" t="n">
        <f aca="false">IFERROR(IF(AND(B762&lt;=Eingaben!$B$11,Szenarien!$H$25="OK"),((Eingaben!$B$32+Eingaben!$B$35)*(1+Eingaben!$B$41)^(B762-1)+SUM(Variantenbilanz!E5129:E5494)*Eingaben!$B$33*Eingaben!$B$34*(1+Eingaben!$B$42)^(B762-1))*Szenarien!$F$25,0),0)</f>
        <v>0</v>
      </c>
      <c r="E762" s="13" t="n">
        <f aca="false">IFERROR(IF(AND(AND(B762&lt;=Eingaben!$B$11,Szenarien!$H$25="OK"),B762=Eingaben!$B$43),Eingaben!$B$44*Szenarien!$B$25*(1+Eingaben!$B$41)^(B762-1),0),0)</f>
        <v>0</v>
      </c>
      <c r="F762" s="13" t="n">
        <f aca="false">IFERROR(IF(AND(AND(B762&lt;=Eingaben!$B$11,Szenarien!$H$25="OK"),B762=Eingaben!$B$11),Eingaben!$B$45*Szenarien!$B$25,0),0)</f>
        <v>0</v>
      </c>
      <c r="G762" s="13" t="n">
        <f aca="false">C762-D762-E762+F762</f>
        <v>0</v>
      </c>
      <c r="H762" s="13" t="n">
        <f aca="false">IFERROR(IF(AND(B762&lt;=Eingaben!$B$11,Szenarien!$H$25="OK"),1/(1+Eingaben!$B$39+Szenarien!$G$25)^B762,0),0)</f>
        <v>0</v>
      </c>
      <c r="I762" s="13" t="n">
        <f aca="false">G762*H762</f>
        <v>0</v>
      </c>
      <c r="J762" s="13" t="n">
        <f aca="false">(D762+E762-F762)*H762</f>
        <v>0</v>
      </c>
      <c r="K762" s="13" t="n">
        <f aca="false">IF(AND(B762&lt;=Eingaben!$B$11,Szenarien!$H$25="OK"),SUM(Variantenbilanz!K5129:K5494)*H762,0)</f>
        <v>0</v>
      </c>
    </row>
    <row r="763" customFormat="false" ht="16.4" hidden="false" customHeight="false" outlineLevel="0" collapsed="false">
      <c r="A763" s="12"/>
      <c r="B763" s="15" t="n">
        <v>44</v>
      </c>
      <c r="C763" s="13" t="n">
        <f aca="false">IFERROR(IF(AND(B763&lt;=Eingaben!$B$11,Szenarien!$H$25="OK"),SUM(Variantenbilanz!K5129:K5494)*(Eingaben!$B$36*Szenarien!$C$25*(1+Eingaben!$B$40)^(B763-1)+Eingaben!$B$37*Eingaben!$B$38*(1+Eingaben!$B$46)^(B763-1)),0),0)</f>
        <v>0</v>
      </c>
      <c r="D763" s="13" t="n">
        <f aca="false">IFERROR(IF(AND(B763&lt;=Eingaben!$B$11,Szenarien!$H$25="OK"),((Eingaben!$B$32+Eingaben!$B$35)*(1+Eingaben!$B$41)^(B763-1)+SUM(Variantenbilanz!E5129:E5494)*Eingaben!$B$33*Eingaben!$B$34*(1+Eingaben!$B$42)^(B763-1))*Szenarien!$F$25,0),0)</f>
        <v>0</v>
      </c>
      <c r="E763" s="13" t="n">
        <f aca="false">IFERROR(IF(AND(AND(B763&lt;=Eingaben!$B$11,Szenarien!$H$25="OK"),B763=Eingaben!$B$43),Eingaben!$B$44*Szenarien!$B$25*(1+Eingaben!$B$41)^(B763-1),0),0)</f>
        <v>0</v>
      </c>
      <c r="F763" s="13" t="n">
        <f aca="false">IFERROR(IF(AND(AND(B763&lt;=Eingaben!$B$11,Szenarien!$H$25="OK"),B763=Eingaben!$B$11),Eingaben!$B$45*Szenarien!$B$25,0),0)</f>
        <v>0</v>
      </c>
      <c r="G763" s="13" t="n">
        <f aca="false">C763-D763-E763+F763</f>
        <v>0</v>
      </c>
      <c r="H763" s="13" t="n">
        <f aca="false">IFERROR(IF(AND(B763&lt;=Eingaben!$B$11,Szenarien!$H$25="OK"),1/(1+Eingaben!$B$39+Szenarien!$G$25)^B763,0),0)</f>
        <v>0</v>
      </c>
      <c r="I763" s="13" t="n">
        <f aca="false">G763*H763</f>
        <v>0</v>
      </c>
      <c r="J763" s="13" t="n">
        <f aca="false">(D763+E763-F763)*H763</f>
        <v>0</v>
      </c>
      <c r="K763" s="13" t="n">
        <f aca="false">IF(AND(B763&lt;=Eingaben!$B$11,Szenarien!$H$25="OK"),SUM(Variantenbilanz!K5129:K5494)*H763,0)</f>
        <v>0</v>
      </c>
    </row>
    <row r="764" customFormat="false" ht="16.4" hidden="false" customHeight="false" outlineLevel="0" collapsed="false">
      <c r="A764" s="12"/>
      <c r="B764" s="15" t="n">
        <v>45</v>
      </c>
      <c r="C764" s="13" t="n">
        <f aca="false">IFERROR(IF(AND(B764&lt;=Eingaben!$B$11,Szenarien!$H$25="OK"),SUM(Variantenbilanz!K5129:K5494)*(Eingaben!$B$36*Szenarien!$C$25*(1+Eingaben!$B$40)^(B764-1)+Eingaben!$B$37*Eingaben!$B$38*(1+Eingaben!$B$46)^(B764-1)),0),0)</f>
        <v>0</v>
      </c>
      <c r="D764" s="13" t="n">
        <f aca="false">IFERROR(IF(AND(B764&lt;=Eingaben!$B$11,Szenarien!$H$25="OK"),((Eingaben!$B$32+Eingaben!$B$35)*(1+Eingaben!$B$41)^(B764-1)+SUM(Variantenbilanz!E5129:E5494)*Eingaben!$B$33*Eingaben!$B$34*(1+Eingaben!$B$42)^(B764-1))*Szenarien!$F$25,0),0)</f>
        <v>0</v>
      </c>
      <c r="E764" s="13" t="n">
        <f aca="false">IFERROR(IF(AND(AND(B764&lt;=Eingaben!$B$11,Szenarien!$H$25="OK"),B764=Eingaben!$B$43),Eingaben!$B$44*Szenarien!$B$25*(1+Eingaben!$B$41)^(B764-1),0),0)</f>
        <v>0</v>
      </c>
      <c r="F764" s="13" t="n">
        <f aca="false">IFERROR(IF(AND(AND(B764&lt;=Eingaben!$B$11,Szenarien!$H$25="OK"),B764=Eingaben!$B$11),Eingaben!$B$45*Szenarien!$B$25,0),0)</f>
        <v>0</v>
      </c>
      <c r="G764" s="13" t="n">
        <f aca="false">C764-D764-E764+F764</f>
        <v>0</v>
      </c>
      <c r="H764" s="13" t="n">
        <f aca="false">IFERROR(IF(AND(B764&lt;=Eingaben!$B$11,Szenarien!$H$25="OK"),1/(1+Eingaben!$B$39+Szenarien!$G$25)^B764,0),0)</f>
        <v>0</v>
      </c>
      <c r="I764" s="13" t="n">
        <f aca="false">G764*H764</f>
        <v>0</v>
      </c>
      <c r="J764" s="13" t="n">
        <f aca="false">(D764+E764-F764)*H764</f>
        <v>0</v>
      </c>
      <c r="K764" s="13" t="n">
        <f aca="false">IF(AND(B764&lt;=Eingaben!$B$11,Szenarien!$H$25="OK"),SUM(Variantenbilanz!K5129:K5494)*H764,0)</f>
        <v>0</v>
      </c>
    </row>
    <row r="765" customFormat="false" ht="16.4" hidden="false" customHeight="false" outlineLevel="0" collapsed="false">
      <c r="A765" s="12"/>
      <c r="B765" s="15" t="n">
        <v>46</v>
      </c>
      <c r="C765" s="13" t="n">
        <f aca="false">IFERROR(IF(AND(B765&lt;=Eingaben!$B$11,Szenarien!$H$25="OK"),SUM(Variantenbilanz!K5129:K5494)*(Eingaben!$B$36*Szenarien!$C$25*(1+Eingaben!$B$40)^(B765-1)+Eingaben!$B$37*Eingaben!$B$38*(1+Eingaben!$B$46)^(B765-1)),0),0)</f>
        <v>0</v>
      </c>
      <c r="D765" s="13" t="n">
        <f aca="false">IFERROR(IF(AND(B765&lt;=Eingaben!$B$11,Szenarien!$H$25="OK"),((Eingaben!$B$32+Eingaben!$B$35)*(1+Eingaben!$B$41)^(B765-1)+SUM(Variantenbilanz!E5129:E5494)*Eingaben!$B$33*Eingaben!$B$34*(1+Eingaben!$B$42)^(B765-1))*Szenarien!$F$25,0),0)</f>
        <v>0</v>
      </c>
      <c r="E765" s="13" t="n">
        <f aca="false">IFERROR(IF(AND(AND(B765&lt;=Eingaben!$B$11,Szenarien!$H$25="OK"),B765=Eingaben!$B$43),Eingaben!$B$44*Szenarien!$B$25*(1+Eingaben!$B$41)^(B765-1),0),0)</f>
        <v>0</v>
      </c>
      <c r="F765" s="13" t="n">
        <f aca="false">IFERROR(IF(AND(AND(B765&lt;=Eingaben!$B$11,Szenarien!$H$25="OK"),B765=Eingaben!$B$11),Eingaben!$B$45*Szenarien!$B$25,0),0)</f>
        <v>0</v>
      </c>
      <c r="G765" s="13" t="n">
        <f aca="false">C765-D765-E765+F765</f>
        <v>0</v>
      </c>
      <c r="H765" s="13" t="n">
        <f aca="false">IFERROR(IF(AND(B765&lt;=Eingaben!$B$11,Szenarien!$H$25="OK"),1/(1+Eingaben!$B$39+Szenarien!$G$25)^B765,0),0)</f>
        <v>0</v>
      </c>
      <c r="I765" s="13" t="n">
        <f aca="false">G765*H765</f>
        <v>0</v>
      </c>
      <c r="J765" s="13" t="n">
        <f aca="false">(D765+E765-F765)*H765</f>
        <v>0</v>
      </c>
      <c r="K765" s="13" t="n">
        <f aca="false">IF(AND(B765&lt;=Eingaben!$B$11,Szenarien!$H$25="OK"),SUM(Variantenbilanz!K5129:K5494)*H765,0)</f>
        <v>0</v>
      </c>
    </row>
    <row r="766" customFormat="false" ht="16.4" hidden="false" customHeight="false" outlineLevel="0" collapsed="false">
      <c r="A766" s="12"/>
      <c r="B766" s="15" t="n">
        <v>47</v>
      </c>
      <c r="C766" s="13" t="n">
        <f aca="false">IFERROR(IF(AND(B766&lt;=Eingaben!$B$11,Szenarien!$H$25="OK"),SUM(Variantenbilanz!K5129:K5494)*(Eingaben!$B$36*Szenarien!$C$25*(1+Eingaben!$B$40)^(B766-1)+Eingaben!$B$37*Eingaben!$B$38*(1+Eingaben!$B$46)^(B766-1)),0),0)</f>
        <v>0</v>
      </c>
      <c r="D766" s="13" t="n">
        <f aca="false">IFERROR(IF(AND(B766&lt;=Eingaben!$B$11,Szenarien!$H$25="OK"),((Eingaben!$B$32+Eingaben!$B$35)*(1+Eingaben!$B$41)^(B766-1)+SUM(Variantenbilanz!E5129:E5494)*Eingaben!$B$33*Eingaben!$B$34*(1+Eingaben!$B$42)^(B766-1))*Szenarien!$F$25,0),0)</f>
        <v>0</v>
      </c>
      <c r="E766" s="13" t="n">
        <f aca="false">IFERROR(IF(AND(AND(B766&lt;=Eingaben!$B$11,Szenarien!$H$25="OK"),B766=Eingaben!$B$43),Eingaben!$B$44*Szenarien!$B$25*(1+Eingaben!$B$41)^(B766-1),0),0)</f>
        <v>0</v>
      </c>
      <c r="F766" s="13" t="n">
        <f aca="false">IFERROR(IF(AND(AND(B766&lt;=Eingaben!$B$11,Szenarien!$H$25="OK"),B766=Eingaben!$B$11),Eingaben!$B$45*Szenarien!$B$25,0),0)</f>
        <v>0</v>
      </c>
      <c r="G766" s="13" t="n">
        <f aca="false">C766-D766-E766+F766</f>
        <v>0</v>
      </c>
      <c r="H766" s="13" t="n">
        <f aca="false">IFERROR(IF(AND(B766&lt;=Eingaben!$B$11,Szenarien!$H$25="OK"),1/(1+Eingaben!$B$39+Szenarien!$G$25)^B766,0),0)</f>
        <v>0</v>
      </c>
      <c r="I766" s="13" t="n">
        <f aca="false">G766*H766</f>
        <v>0</v>
      </c>
      <c r="J766" s="13" t="n">
        <f aca="false">(D766+E766-F766)*H766</f>
        <v>0</v>
      </c>
      <c r="K766" s="13" t="n">
        <f aca="false">IF(AND(B766&lt;=Eingaben!$B$11,Szenarien!$H$25="OK"),SUM(Variantenbilanz!K5129:K5494)*H766,0)</f>
        <v>0</v>
      </c>
    </row>
    <row r="767" customFormat="false" ht="16.4" hidden="false" customHeight="false" outlineLevel="0" collapsed="false">
      <c r="A767" s="12"/>
      <c r="B767" s="15" t="n">
        <v>48</v>
      </c>
      <c r="C767" s="13" t="n">
        <f aca="false">IFERROR(IF(AND(B767&lt;=Eingaben!$B$11,Szenarien!$H$25="OK"),SUM(Variantenbilanz!K5129:K5494)*(Eingaben!$B$36*Szenarien!$C$25*(1+Eingaben!$B$40)^(B767-1)+Eingaben!$B$37*Eingaben!$B$38*(1+Eingaben!$B$46)^(B767-1)),0),0)</f>
        <v>0</v>
      </c>
      <c r="D767" s="13" t="n">
        <f aca="false">IFERROR(IF(AND(B767&lt;=Eingaben!$B$11,Szenarien!$H$25="OK"),((Eingaben!$B$32+Eingaben!$B$35)*(1+Eingaben!$B$41)^(B767-1)+SUM(Variantenbilanz!E5129:E5494)*Eingaben!$B$33*Eingaben!$B$34*(1+Eingaben!$B$42)^(B767-1))*Szenarien!$F$25,0),0)</f>
        <v>0</v>
      </c>
      <c r="E767" s="13" t="n">
        <f aca="false">IFERROR(IF(AND(AND(B767&lt;=Eingaben!$B$11,Szenarien!$H$25="OK"),B767=Eingaben!$B$43),Eingaben!$B$44*Szenarien!$B$25*(1+Eingaben!$B$41)^(B767-1),0),0)</f>
        <v>0</v>
      </c>
      <c r="F767" s="13" t="n">
        <f aca="false">IFERROR(IF(AND(AND(B767&lt;=Eingaben!$B$11,Szenarien!$H$25="OK"),B767=Eingaben!$B$11),Eingaben!$B$45*Szenarien!$B$25,0),0)</f>
        <v>0</v>
      </c>
      <c r="G767" s="13" t="n">
        <f aca="false">C767-D767-E767+F767</f>
        <v>0</v>
      </c>
      <c r="H767" s="13" t="n">
        <f aca="false">IFERROR(IF(AND(B767&lt;=Eingaben!$B$11,Szenarien!$H$25="OK"),1/(1+Eingaben!$B$39+Szenarien!$G$25)^B767,0),0)</f>
        <v>0</v>
      </c>
      <c r="I767" s="13" t="n">
        <f aca="false">G767*H767</f>
        <v>0</v>
      </c>
      <c r="J767" s="13" t="n">
        <f aca="false">(D767+E767-F767)*H767</f>
        <v>0</v>
      </c>
      <c r="K767" s="13" t="n">
        <f aca="false">IF(AND(B767&lt;=Eingaben!$B$11,Szenarien!$H$25="OK"),SUM(Variantenbilanz!K5129:K5494)*H767,0)</f>
        <v>0</v>
      </c>
    </row>
    <row r="768" customFormat="false" ht="16.4" hidden="false" customHeight="false" outlineLevel="0" collapsed="false">
      <c r="A768" s="12"/>
      <c r="B768" s="15" t="n">
        <v>49</v>
      </c>
      <c r="C768" s="13" t="n">
        <f aca="false">IFERROR(IF(AND(B768&lt;=Eingaben!$B$11,Szenarien!$H$25="OK"),SUM(Variantenbilanz!K5129:K5494)*(Eingaben!$B$36*Szenarien!$C$25*(1+Eingaben!$B$40)^(B768-1)+Eingaben!$B$37*Eingaben!$B$38*(1+Eingaben!$B$46)^(B768-1)),0),0)</f>
        <v>0</v>
      </c>
      <c r="D768" s="13" t="n">
        <f aca="false">IFERROR(IF(AND(B768&lt;=Eingaben!$B$11,Szenarien!$H$25="OK"),((Eingaben!$B$32+Eingaben!$B$35)*(1+Eingaben!$B$41)^(B768-1)+SUM(Variantenbilanz!E5129:E5494)*Eingaben!$B$33*Eingaben!$B$34*(1+Eingaben!$B$42)^(B768-1))*Szenarien!$F$25,0),0)</f>
        <v>0</v>
      </c>
      <c r="E768" s="13" t="n">
        <f aca="false">IFERROR(IF(AND(AND(B768&lt;=Eingaben!$B$11,Szenarien!$H$25="OK"),B768=Eingaben!$B$43),Eingaben!$B$44*Szenarien!$B$25*(1+Eingaben!$B$41)^(B768-1),0),0)</f>
        <v>0</v>
      </c>
      <c r="F768" s="13" t="n">
        <f aca="false">IFERROR(IF(AND(AND(B768&lt;=Eingaben!$B$11,Szenarien!$H$25="OK"),B768=Eingaben!$B$11),Eingaben!$B$45*Szenarien!$B$25,0),0)</f>
        <v>0</v>
      </c>
      <c r="G768" s="13" t="n">
        <f aca="false">C768-D768-E768+F768</f>
        <v>0</v>
      </c>
      <c r="H768" s="13" t="n">
        <f aca="false">IFERROR(IF(AND(B768&lt;=Eingaben!$B$11,Szenarien!$H$25="OK"),1/(1+Eingaben!$B$39+Szenarien!$G$25)^B768,0),0)</f>
        <v>0</v>
      </c>
      <c r="I768" s="13" t="n">
        <f aca="false">G768*H768</f>
        <v>0</v>
      </c>
      <c r="J768" s="13" t="n">
        <f aca="false">(D768+E768-F768)*H768</f>
        <v>0</v>
      </c>
      <c r="K768" s="13" t="n">
        <f aca="false">IF(AND(B768&lt;=Eingaben!$B$11,Szenarien!$H$25="OK"),SUM(Variantenbilanz!K5129:K5494)*H768,0)</f>
        <v>0</v>
      </c>
    </row>
    <row r="769" customFormat="false" ht="16.4" hidden="false" customHeight="false" outlineLevel="0" collapsed="false">
      <c r="A769" s="12"/>
      <c r="B769" s="15" t="n">
        <v>50</v>
      </c>
      <c r="C769" s="13" t="n">
        <f aca="false">IFERROR(IF(AND(B769&lt;=Eingaben!$B$11,Szenarien!$H$25="OK"),SUM(Variantenbilanz!K5129:K5494)*(Eingaben!$B$36*Szenarien!$C$25*(1+Eingaben!$B$40)^(B769-1)+Eingaben!$B$37*Eingaben!$B$38*(1+Eingaben!$B$46)^(B769-1)),0),0)</f>
        <v>0</v>
      </c>
      <c r="D769" s="13" t="n">
        <f aca="false">IFERROR(IF(AND(B769&lt;=Eingaben!$B$11,Szenarien!$H$25="OK"),((Eingaben!$B$32+Eingaben!$B$35)*(1+Eingaben!$B$41)^(B769-1)+SUM(Variantenbilanz!E5129:E5494)*Eingaben!$B$33*Eingaben!$B$34*(1+Eingaben!$B$42)^(B769-1))*Szenarien!$F$25,0),0)</f>
        <v>0</v>
      </c>
      <c r="E769" s="13" t="n">
        <f aca="false">IFERROR(IF(AND(AND(B769&lt;=Eingaben!$B$11,Szenarien!$H$25="OK"),B769=Eingaben!$B$43),Eingaben!$B$44*Szenarien!$B$25*(1+Eingaben!$B$41)^(B769-1),0),0)</f>
        <v>0</v>
      </c>
      <c r="F769" s="13" t="n">
        <f aca="false">IFERROR(IF(AND(AND(B769&lt;=Eingaben!$B$11,Szenarien!$H$25="OK"),B769=Eingaben!$B$11),Eingaben!$B$45*Szenarien!$B$25,0),0)</f>
        <v>0</v>
      </c>
      <c r="G769" s="13" t="n">
        <f aca="false">C769-D769-E769+F769</f>
        <v>0</v>
      </c>
      <c r="H769" s="13" t="n">
        <f aca="false">IFERROR(IF(AND(B769&lt;=Eingaben!$B$11,Szenarien!$H$25="OK"),1/(1+Eingaben!$B$39+Szenarien!$G$25)^B769,0),0)</f>
        <v>0</v>
      </c>
      <c r="I769" s="13" t="n">
        <f aca="false">G769*H769</f>
        <v>0</v>
      </c>
      <c r="J769" s="13" t="n">
        <f aca="false">(D769+E769-F769)*H769</f>
        <v>0</v>
      </c>
      <c r="K769" s="13" t="n">
        <f aca="false">IF(AND(B769&lt;=Eingaben!$B$11,Szenarien!$H$25="OK"),SUM(Variantenbilanz!K5129:K5494)*H769,0)</f>
        <v>0</v>
      </c>
    </row>
  </sheetData>
  <sheetProtection sheet="true" objects="true" sort="false" autoFilter="false"/>
  <mergeCells count="2">
    <mergeCell ref="A1:K1"/>
    <mergeCell ref="A3:K3"/>
  </mergeCells>
  <hyperlinks>
    <hyperlink ref="A2" r:id="rId1" location="'Dashboard'!A1" display="Dashboard"/>
    <hyperlink ref="B2" r:id="rId2" location="'Eingaben'!A1" display="Eingaben"/>
    <hyperlink ref="C2" r:id="rId3" location="'Nutzungsprofile'!A1" display="Profile"/>
    <hyperlink ref="D2" r:id="rId4" location="'Kalender'!A1" display="Kalender"/>
    <hyperlink ref="E2" r:id="rId5" location="'Anleitung'!A1" display="Methodik"/>
  </hyperlinks>
  <printOptions headings="false" gridLines="false" gridLinesSet="true" horizontalCentered="true" verticalCentered="false"/>
  <pageMargins left="0.25" right="0.2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Grauwasserbewertung | wissenschaftlicher Prototyp |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7"/>
    <col collapsed="false" customWidth="true" hidden="false" outlineLevel="0" max="3" min="3" style="0" width="53"/>
    <col collapsed="false" customWidth="true" hidden="false" outlineLevel="0" max="4" min="4" style="0" width="11"/>
    <col collapsed="false" customWidth="true" hidden="false" outlineLevel="0" max="5" min="5" style="0" width="43"/>
    <col collapsed="false" customWidth="true" hidden="false" outlineLevel="0" max="6" min="6" style="0" width="40"/>
    <col collapsed="false" customWidth="true" hidden="false" outlineLevel="0" max="7" min="7" style="0" width="50"/>
    <col collapsed="false" customWidth="true" hidden="false" outlineLevel="0" max="8" min="8" style="0" width="39"/>
  </cols>
  <sheetData>
    <row r="1" customFormat="false" ht="37.5" hidden="false" customHeight="true" outlineLevel="0" collapsed="false">
      <c r="A1" s="1" t="s">
        <v>365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3.75" hidden="false" customHeight="true" outlineLevel="0" collapsed="false">
      <c r="A3" s="3" t="s">
        <v>366</v>
      </c>
      <c r="B3" s="3"/>
      <c r="C3" s="3"/>
      <c r="D3" s="3"/>
      <c r="E3" s="3"/>
      <c r="F3" s="3"/>
      <c r="G3" s="3"/>
      <c r="H3" s="3"/>
    </row>
    <row r="4" customFormat="false" ht="31.5" hidden="false" customHeight="true" outlineLevel="0" collapsed="false">
      <c r="A4" s="11" t="s">
        <v>367</v>
      </c>
      <c r="B4" s="11" t="s">
        <v>368</v>
      </c>
      <c r="C4" s="11" t="s">
        <v>369</v>
      </c>
      <c r="D4" s="11" t="s">
        <v>185</v>
      </c>
      <c r="E4" s="11" t="s">
        <v>370</v>
      </c>
      <c r="F4" s="11" t="s">
        <v>371</v>
      </c>
      <c r="G4" s="11" t="s">
        <v>372</v>
      </c>
      <c r="H4" s="11" t="s">
        <v>373</v>
      </c>
    </row>
    <row r="5" customFormat="false" ht="84" hidden="false" customHeight="true" outlineLevel="0" collapsed="false">
      <c r="A5" s="12" t="s">
        <v>374</v>
      </c>
      <c r="B5" s="12" t="s">
        <v>375</v>
      </c>
      <c r="C5" s="12" t="s">
        <v>376</v>
      </c>
      <c r="D5" s="12" t="s">
        <v>25</v>
      </c>
      <c r="E5" s="12" t="s">
        <v>377</v>
      </c>
      <c r="F5" s="12" t="s">
        <v>378</v>
      </c>
      <c r="G5" s="12" t="s">
        <v>379</v>
      </c>
      <c r="H5" s="12" t="s">
        <v>380</v>
      </c>
    </row>
    <row r="6" customFormat="false" ht="84" hidden="false" customHeight="true" outlineLevel="0" collapsed="false">
      <c r="A6" s="12" t="s">
        <v>321</v>
      </c>
      <c r="B6" s="12" t="s">
        <v>381</v>
      </c>
      <c r="C6" s="12" t="s">
        <v>382</v>
      </c>
      <c r="D6" s="12" t="s">
        <v>62</v>
      </c>
      <c r="E6" s="12" t="s">
        <v>383</v>
      </c>
      <c r="F6" s="12" t="s">
        <v>384</v>
      </c>
      <c r="G6" s="12" t="s">
        <v>385</v>
      </c>
      <c r="H6" s="12" t="s">
        <v>386</v>
      </c>
    </row>
    <row r="7" customFormat="false" ht="84" hidden="false" customHeight="true" outlineLevel="0" collapsed="false">
      <c r="A7" s="12" t="s">
        <v>20</v>
      </c>
      <c r="B7" s="12" t="s">
        <v>387</v>
      </c>
      <c r="C7" s="12" t="s">
        <v>388</v>
      </c>
      <c r="D7" s="12" t="s">
        <v>62</v>
      </c>
      <c r="E7" s="12" t="s">
        <v>389</v>
      </c>
      <c r="F7" s="12" t="s">
        <v>390</v>
      </c>
      <c r="G7" s="12" t="s">
        <v>391</v>
      </c>
      <c r="H7" s="12" t="s">
        <v>392</v>
      </c>
    </row>
    <row r="8" customFormat="false" ht="84" hidden="false" customHeight="true" outlineLevel="0" collapsed="false">
      <c r="A8" s="12" t="s">
        <v>393</v>
      </c>
      <c r="B8" s="12" t="s">
        <v>394</v>
      </c>
      <c r="C8" s="12" t="s">
        <v>395</v>
      </c>
      <c r="D8" s="12" t="s">
        <v>62</v>
      </c>
      <c r="E8" s="12" t="s">
        <v>396</v>
      </c>
      <c r="F8" s="12" t="s">
        <v>397</v>
      </c>
      <c r="G8" s="12" t="s">
        <v>398</v>
      </c>
      <c r="H8" s="12" t="s">
        <v>399</v>
      </c>
    </row>
    <row r="9" customFormat="false" ht="84" hidden="false" customHeight="true" outlineLevel="0" collapsed="false">
      <c r="A9" s="12" t="s">
        <v>13</v>
      </c>
      <c r="B9" s="12" t="s">
        <v>400</v>
      </c>
      <c r="C9" s="12" t="s">
        <v>401</v>
      </c>
      <c r="D9" s="12" t="s">
        <v>89</v>
      </c>
      <c r="E9" s="12" t="s">
        <v>402</v>
      </c>
      <c r="F9" s="12" t="s">
        <v>403</v>
      </c>
      <c r="G9" s="12" t="s">
        <v>404</v>
      </c>
      <c r="H9" s="12" t="s">
        <v>405</v>
      </c>
    </row>
    <row r="10" customFormat="false" ht="84" hidden="false" customHeight="true" outlineLevel="0" collapsed="false">
      <c r="A10" s="12" t="s">
        <v>255</v>
      </c>
      <c r="B10" s="12" t="s">
        <v>406</v>
      </c>
      <c r="C10" s="12" t="s">
        <v>407</v>
      </c>
      <c r="D10" s="12" t="s">
        <v>89</v>
      </c>
      <c r="E10" s="12" t="s">
        <v>408</v>
      </c>
      <c r="F10" s="12" t="s">
        <v>409</v>
      </c>
      <c r="G10" s="12" t="s">
        <v>410</v>
      </c>
      <c r="H10" s="12" t="s">
        <v>411</v>
      </c>
    </row>
    <row r="11" customFormat="false" ht="84" hidden="false" customHeight="true" outlineLevel="0" collapsed="false">
      <c r="A11" s="12" t="s">
        <v>412</v>
      </c>
      <c r="B11" s="12" t="s">
        <v>413</v>
      </c>
      <c r="C11" s="12" t="s">
        <v>414</v>
      </c>
      <c r="D11" s="12" t="s">
        <v>100</v>
      </c>
      <c r="E11" s="12" t="s">
        <v>415</v>
      </c>
      <c r="F11" s="12" t="s">
        <v>416</v>
      </c>
      <c r="G11" s="12" t="s">
        <v>417</v>
      </c>
      <c r="H11" s="12" t="s">
        <v>405</v>
      </c>
    </row>
    <row r="12" customFormat="false" ht="84" hidden="false" customHeight="true" outlineLevel="0" collapsed="false">
      <c r="A12" s="12" t="s">
        <v>17</v>
      </c>
      <c r="B12" s="12" t="s">
        <v>418</v>
      </c>
      <c r="C12" s="12" t="s">
        <v>419</v>
      </c>
      <c r="D12" s="12" t="s">
        <v>56</v>
      </c>
      <c r="E12" s="12" t="s">
        <v>420</v>
      </c>
      <c r="F12" s="12" t="s">
        <v>421</v>
      </c>
      <c r="G12" s="12" t="s">
        <v>422</v>
      </c>
      <c r="H12" s="12" t="s">
        <v>405</v>
      </c>
    </row>
    <row r="13" customFormat="false" ht="84" hidden="false" customHeight="true" outlineLevel="0" collapsed="false">
      <c r="A13" s="12" t="s">
        <v>19</v>
      </c>
      <c r="B13" s="12" t="s">
        <v>423</v>
      </c>
      <c r="C13" s="12" t="s">
        <v>424</v>
      </c>
      <c r="D13" s="12" t="s">
        <v>89</v>
      </c>
      <c r="E13" s="12" t="s">
        <v>425</v>
      </c>
      <c r="F13" s="12" t="s">
        <v>426</v>
      </c>
      <c r="G13" s="12" t="s">
        <v>427</v>
      </c>
      <c r="H13" s="12" t="s">
        <v>428</v>
      </c>
    </row>
    <row r="14" customFormat="false" ht="84" hidden="false" customHeight="true" outlineLevel="0" collapsed="false">
      <c r="A14" s="12" t="s">
        <v>18</v>
      </c>
      <c r="B14" s="12" t="s">
        <v>429</v>
      </c>
      <c r="C14" s="12" t="s">
        <v>430</v>
      </c>
      <c r="D14" s="12" t="s">
        <v>56</v>
      </c>
      <c r="E14" s="12" t="s">
        <v>431</v>
      </c>
      <c r="F14" s="12" t="s">
        <v>432</v>
      </c>
      <c r="G14" s="12" t="s">
        <v>433</v>
      </c>
      <c r="H14" s="12" t="s">
        <v>434</v>
      </c>
    </row>
    <row r="15" customFormat="false" ht="84" hidden="false" customHeight="true" outlineLevel="0" collapsed="false">
      <c r="A15" s="12" t="s">
        <v>271</v>
      </c>
      <c r="B15" s="12" t="s">
        <v>435</v>
      </c>
      <c r="C15" s="12" t="s">
        <v>436</v>
      </c>
      <c r="D15" s="12" t="s">
        <v>111</v>
      </c>
      <c r="E15" s="12" t="s">
        <v>437</v>
      </c>
      <c r="F15" s="12" t="s">
        <v>438</v>
      </c>
      <c r="G15" s="12" t="s">
        <v>439</v>
      </c>
      <c r="H15" s="12" t="s">
        <v>440</v>
      </c>
    </row>
    <row r="16" customFormat="false" ht="84" hidden="false" customHeight="true" outlineLevel="0" collapsed="false">
      <c r="A16" s="12" t="s">
        <v>441</v>
      </c>
      <c r="B16" s="12" t="s">
        <v>442</v>
      </c>
      <c r="C16" s="12" t="s">
        <v>443</v>
      </c>
      <c r="D16" s="12" t="s">
        <v>258</v>
      </c>
      <c r="E16" s="12" t="s">
        <v>444</v>
      </c>
      <c r="F16" s="12" t="s">
        <v>445</v>
      </c>
      <c r="G16" s="12" t="s">
        <v>446</v>
      </c>
      <c r="H16" s="12" t="s">
        <v>405</v>
      </c>
    </row>
  </sheetData>
  <sheetProtection sheet="true" objects="true" sort="false" autoFilter="false"/>
  <autoFilter ref="A4:H16"/>
  <mergeCells count="2">
    <mergeCell ref="A1:H1"/>
    <mergeCell ref="A3:H3"/>
  </mergeCells>
  <hyperlinks>
    <hyperlink ref="A2" r:id="rId1" location="'Dashboard'!A1" display="Dashboard"/>
    <hyperlink ref="B2" r:id="rId2" location="'Eingaben'!A1" display="Eingaben"/>
    <hyperlink ref="C2" r:id="rId3" location="'Nutzungsprofile'!A1" display="Profile"/>
    <hyperlink ref="D2" r:id="rId4" location="'Kalender'!A1" display="Kalender"/>
    <hyperlink ref="E2" r:id="rId5" location="'Anleitung'!A1" display="Methodik"/>
  </hyperlinks>
  <printOptions headings="false" gridLines="false" gridLinesSet="true" horizontalCentered="true" verticalCentered="false"/>
  <pageMargins left="0.25" right="0.2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Grauwasserbewertung | wissenschaftlicher Prototyp | &amp;P / &amp;N</oddFooter>
  </headerFooter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75"/>
    <col collapsed="false" customWidth="true" hidden="false" outlineLevel="0" max="3" min="3" style="0" width="28"/>
    <col collapsed="false" customWidth="true" hidden="false" outlineLevel="0" max="4" min="4" style="0" width="15"/>
    <col collapsed="false" customWidth="true" hidden="false" outlineLevel="0" max="5" min="5" style="0" width="60"/>
  </cols>
  <sheetData>
    <row r="1" customFormat="false" ht="37.5" hidden="false" customHeight="true" outlineLevel="0" collapsed="false">
      <c r="A1" s="1" t="s">
        <v>447</v>
      </c>
      <c r="B1" s="1"/>
      <c r="C1" s="1"/>
      <c r="D1" s="1"/>
      <c r="E1" s="1"/>
    </row>
    <row r="2" customFormat="false" ht="14.9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3.75" hidden="false" customHeight="true" outlineLevel="0" collapsed="false">
      <c r="A3" s="3" t="s">
        <v>448</v>
      </c>
      <c r="B3" s="3"/>
      <c r="C3" s="3"/>
      <c r="D3" s="3"/>
      <c r="E3" s="3"/>
    </row>
    <row r="4" customFormat="false" ht="16.4" hidden="false" customHeight="false" outlineLevel="0" collapsed="false">
      <c r="A4" s="12" t="s">
        <v>449</v>
      </c>
      <c r="B4" s="15" t="n">
        <f aca="false">COUNTIF(D7:D54,"FEHLER")</f>
        <v>0</v>
      </c>
    </row>
    <row r="6" customFormat="false" ht="31.5" hidden="false" customHeight="true" outlineLevel="0" collapsed="false">
      <c r="A6" s="11" t="s">
        <v>450</v>
      </c>
      <c r="B6" s="11" t="s">
        <v>451</v>
      </c>
      <c r="C6" s="11" t="s">
        <v>452</v>
      </c>
      <c r="D6" s="11" t="s">
        <v>453</v>
      </c>
      <c r="E6" s="11" t="s">
        <v>454</v>
      </c>
    </row>
    <row r="7" customFormat="false" ht="16.4" hidden="false" customHeight="false" outlineLevel="0" collapsed="false">
      <c r="A7" s="12" t="s">
        <v>455</v>
      </c>
      <c r="B7" s="12" t="s">
        <v>456</v>
      </c>
      <c r="C7" s="12" t="s">
        <v>457</v>
      </c>
      <c r="D7" s="12" t="str">
        <f aca="false">IFERROR(IF(AND(ISTEXT(Eingaben!$B$5),LEN(TRIM(Eingaben!$B$5))&gt;0),"OK","FEHLER"),"FEHLER")</f>
        <v>OK</v>
      </c>
      <c r="E7" s="12" t="s">
        <v>458</v>
      </c>
    </row>
    <row r="8" customFormat="false" ht="16.4" hidden="false" customHeight="false" outlineLevel="0" collapsed="false">
      <c r="A8" s="12" t="s">
        <v>459</v>
      </c>
      <c r="B8" s="12" t="s">
        <v>460</v>
      </c>
      <c r="C8" s="12" t="s">
        <v>461</v>
      </c>
      <c r="D8" s="12" t="str">
        <f aca="false">IFERROR(IF(AND(ISTEXT(Eingaben!$B$6),LEN(TRIM(Eingaben!$B$6))&gt;0),"OK","FEHLER"),"FEHLER")</f>
        <v>OK</v>
      </c>
      <c r="E8" s="12" t="s">
        <v>458</v>
      </c>
    </row>
    <row r="9" customFormat="false" ht="16.4" hidden="false" customHeight="false" outlineLevel="0" collapsed="false">
      <c r="A9" s="12" t="s">
        <v>462</v>
      </c>
      <c r="B9" s="12" t="s">
        <v>463</v>
      </c>
      <c r="C9" s="12" t="s">
        <v>464</v>
      </c>
      <c r="D9" s="12" t="str">
        <f aca="false">IFERROR(IF(AND(ISTEXT(Eingaben!$B$7),LEN(TRIM(Eingaben!$B$7))&gt;0),"OK","FEHLER"),"FEHLER")</f>
        <v>OK</v>
      </c>
      <c r="E9" s="12" t="s">
        <v>458</v>
      </c>
    </row>
    <row r="10" customFormat="false" ht="16.4" hidden="false" customHeight="false" outlineLevel="0" collapsed="false">
      <c r="A10" s="12" t="s">
        <v>465</v>
      </c>
      <c r="B10" s="12" t="s">
        <v>466</v>
      </c>
      <c r="C10" s="12" t="s">
        <v>467</v>
      </c>
      <c r="D10" s="12" t="str">
        <f aca="false">IFERROR(IF(AND(ISTEXT(Eingaben!$B$8),LEN(TRIM(Eingaben!$B$8))&gt;0),"OK","FEHLER"),"FEHLER")</f>
        <v>OK</v>
      </c>
      <c r="E10" s="12" t="s">
        <v>458</v>
      </c>
    </row>
    <row r="11" customFormat="false" ht="31.3" hidden="false" customHeight="false" outlineLevel="0" collapsed="false">
      <c r="A11" s="12" t="s">
        <v>468</v>
      </c>
      <c r="B11" s="12" t="s">
        <v>469</v>
      </c>
      <c r="C11" s="12" t="s">
        <v>470</v>
      </c>
      <c r="D11" s="12" t="str">
        <f aca="false">IFERROR(IF(AND(ISNUMBER(Eingaben!$B$9),Eingaben!$B$9&gt;=0,Eingaben!$B$9&lt;=1000000,MOD(Eingaben!$B$9,1)=0),"OK","FEHLER"),"FEHLER")</f>
        <v>OK</v>
      </c>
      <c r="E11" s="12" t="s">
        <v>458</v>
      </c>
    </row>
    <row r="12" customFormat="false" ht="31.3" hidden="false" customHeight="false" outlineLevel="0" collapsed="false">
      <c r="A12" s="12" t="s">
        <v>471</v>
      </c>
      <c r="B12" s="12" t="s">
        <v>472</v>
      </c>
      <c r="C12" s="12" t="s">
        <v>473</v>
      </c>
      <c r="D12" s="12" t="str">
        <f aca="false">IFERROR(IF(AND(ISNUMBER(Eingaben!$B$10),Eingaben!$B$10&gt;=2020,Eingaben!$B$10&lt;=2100,MOD(Eingaben!$B$10,1)=0),"OK","FEHLER"),"FEHLER")</f>
        <v>OK</v>
      </c>
      <c r="E12" s="12" t="s">
        <v>458</v>
      </c>
    </row>
    <row r="13" customFormat="false" ht="31.3" hidden="false" customHeight="false" outlineLevel="0" collapsed="false">
      <c r="A13" s="12" t="s">
        <v>474</v>
      </c>
      <c r="B13" s="12" t="s">
        <v>475</v>
      </c>
      <c r="C13" s="12" t="s">
        <v>476</v>
      </c>
      <c r="D13" s="12" t="str">
        <f aca="false">IFERROR(IF(AND(ISNUMBER(Eingaben!$B$11),Eingaben!$B$11&gt;=1,Eingaben!$B$11&lt;=50,MOD(Eingaben!$B$11,1)=0),"OK","FEHLER"),"FEHLER")</f>
        <v>OK</v>
      </c>
      <c r="E13" s="12" t="s">
        <v>458</v>
      </c>
    </row>
    <row r="14" customFormat="false" ht="31.3" hidden="false" customHeight="false" outlineLevel="0" collapsed="false">
      <c r="A14" s="12" t="s">
        <v>477</v>
      </c>
      <c r="B14" s="12" t="s">
        <v>478</v>
      </c>
      <c r="C14" s="12" t="s">
        <v>479</v>
      </c>
      <c r="D14" s="12" t="str">
        <f aca="false">IFERROR(IF(AND(ISNUMBER(Eingaben!$B$12),Eingaben!$B$12&gt;=0,Eingaben!$B$12&lt;=10000000),"OK","FEHLER"),"FEHLER")</f>
        <v>OK</v>
      </c>
      <c r="E14" s="12" t="s">
        <v>458</v>
      </c>
    </row>
    <row r="15" customFormat="false" ht="31.3" hidden="false" customHeight="false" outlineLevel="0" collapsed="false">
      <c r="A15" s="12" t="s">
        <v>480</v>
      </c>
      <c r="B15" s="12" t="s">
        <v>481</v>
      </c>
      <c r="C15" s="12" t="s">
        <v>482</v>
      </c>
      <c r="D15" s="12" t="str">
        <f aca="false">IFERROR(IF(AND(ISNUMBER(Eingaben!$B$15),Eingaben!$B$15&gt;=0,Eingaben!$B$15&lt;=1),"OK","FEHLER"),"FEHLER")</f>
        <v>OK</v>
      </c>
      <c r="E15" s="12" t="s">
        <v>458</v>
      </c>
    </row>
    <row r="16" customFormat="false" ht="31.3" hidden="false" customHeight="false" outlineLevel="0" collapsed="false">
      <c r="A16" s="12" t="s">
        <v>483</v>
      </c>
      <c r="B16" s="12" t="s">
        <v>484</v>
      </c>
      <c r="C16" s="12" t="s">
        <v>485</v>
      </c>
      <c r="D16" s="12" t="str">
        <f aca="false">IFERROR(IF(AND(ISNUMBER(Eingaben!$B$16),Eingaben!$B$16&gt;=0,Eingaben!$B$16&lt;=1),"OK","FEHLER"),"FEHLER")</f>
        <v>OK</v>
      </c>
      <c r="E16" s="12" t="s">
        <v>458</v>
      </c>
    </row>
    <row r="17" customFormat="false" ht="31.3" hidden="false" customHeight="false" outlineLevel="0" collapsed="false">
      <c r="A17" s="12" t="s">
        <v>486</v>
      </c>
      <c r="B17" s="12" t="s">
        <v>487</v>
      </c>
      <c r="C17" s="12" t="s">
        <v>488</v>
      </c>
      <c r="D17" s="12" t="str">
        <f aca="false">IFERROR(IF(AND(ISNUMBER(Eingaben!$B$17),Eingaben!$B$17&gt;=0,Eingaben!$B$17&lt;=100000),"OK","FEHLER"),"FEHLER")</f>
        <v>OK</v>
      </c>
      <c r="E17" s="12" t="s">
        <v>458</v>
      </c>
    </row>
    <row r="18" customFormat="false" ht="31.3" hidden="false" customHeight="false" outlineLevel="0" collapsed="false">
      <c r="A18" s="12" t="s">
        <v>489</v>
      </c>
      <c r="B18" s="12" t="s">
        <v>490</v>
      </c>
      <c r="C18" s="12" t="s">
        <v>491</v>
      </c>
      <c r="D18" s="12" t="str">
        <f aca="false">IFERROR(IF(AND(ISNUMBER(Eingaben!$B$18),Eingaben!$B$18&gt;=0,Eingaben!$B$18&lt;=100000),"OK","FEHLER"),"FEHLER")</f>
        <v>OK</v>
      </c>
      <c r="E18" s="12" t="s">
        <v>458</v>
      </c>
    </row>
    <row r="19" customFormat="false" ht="31.3" hidden="false" customHeight="false" outlineLevel="0" collapsed="false">
      <c r="A19" s="12" t="s">
        <v>492</v>
      </c>
      <c r="B19" s="12" t="s">
        <v>493</v>
      </c>
      <c r="C19" s="12" t="s">
        <v>494</v>
      </c>
      <c r="D19" s="12" t="str">
        <f aca="false">IFERROR(IF(AND(ISNUMBER(Eingaben!$B$19),Eingaben!$B$19&gt;=0,Eingaben!$B$19&lt;=1),"OK","FEHLER"),"FEHLER")</f>
        <v>OK</v>
      </c>
      <c r="E19" s="12" t="s">
        <v>458</v>
      </c>
    </row>
    <row r="20" customFormat="false" ht="31.3" hidden="false" customHeight="false" outlineLevel="0" collapsed="false">
      <c r="A20" s="12" t="s">
        <v>495</v>
      </c>
      <c r="B20" s="12" t="s">
        <v>496</v>
      </c>
      <c r="C20" s="12" t="s">
        <v>497</v>
      </c>
      <c r="D20" s="12" t="str">
        <f aca="false">IFERROR(IF(AND(ISNUMBER(Eingaben!$B$20),Eingaben!$B$20&gt;=0,Eingaben!$B$20&lt;=1),"OK","FEHLER"),"FEHLER")</f>
        <v>OK</v>
      </c>
      <c r="E20" s="12" t="s">
        <v>458</v>
      </c>
    </row>
    <row r="21" customFormat="false" ht="31.3" hidden="false" customHeight="false" outlineLevel="0" collapsed="false">
      <c r="A21" s="12" t="s">
        <v>498</v>
      </c>
      <c r="B21" s="12" t="s">
        <v>499</v>
      </c>
      <c r="C21" s="12" t="s">
        <v>500</v>
      </c>
      <c r="D21" s="12" t="str">
        <f aca="false">IFERROR(IF(OR(Eingaben!$B$21="Ungeklärt",Eingaben!$B$21="Nachgewiesen",Eingaben!$B$21="Nicht erfüllt"),"OK","FEHLER"),"FEHLER")</f>
        <v>OK</v>
      </c>
      <c r="E21" s="12" t="s">
        <v>458</v>
      </c>
    </row>
    <row r="22" customFormat="false" ht="31.3" hidden="false" customHeight="false" outlineLevel="0" collapsed="false">
      <c r="A22" s="12" t="s">
        <v>501</v>
      </c>
      <c r="B22" s="12" t="s">
        <v>502</v>
      </c>
      <c r="C22" s="12" t="s">
        <v>503</v>
      </c>
      <c r="D22" s="12" t="str">
        <f aca="false">IFERROR(IF(OR(Eingaben!$B$22="Ungeklärt",Eingaben!$B$22="Nachgewiesen",Eingaben!$B$22="Nicht erfüllt"),"OK","FEHLER"),"FEHLER")</f>
        <v>OK</v>
      </c>
      <c r="E22" s="12" t="s">
        <v>458</v>
      </c>
    </row>
    <row r="23" customFormat="false" ht="31.3" hidden="false" customHeight="false" outlineLevel="0" collapsed="false">
      <c r="A23" s="12" t="s">
        <v>504</v>
      </c>
      <c r="B23" s="12" t="s">
        <v>505</v>
      </c>
      <c r="C23" s="12" t="s">
        <v>506</v>
      </c>
      <c r="D23" s="12" t="str">
        <f aca="false">IFERROR(IF(OR(Eingaben!$B$23="Ungeklärt",Eingaben!$B$23="Nachgewiesen",Eingaben!$B$23="Nicht erfüllt"),"OK","FEHLER"),"FEHLER")</f>
        <v>OK</v>
      </c>
      <c r="E23" s="12" t="s">
        <v>458</v>
      </c>
    </row>
    <row r="24" customFormat="false" ht="16.4" hidden="false" customHeight="false" outlineLevel="0" collapsed="false">
      <c r="A24" s="12" t="s">
        <v>507</v>
      </c>
      <c r="B24" s="12" t="s">
        <v>508</v>
      </c>
      <c r="C24" s="12" t="s">
        <v>509</v>
      </c>
      <c r="D24" s="12" t="str">
        <f aca="false">IFERROR(IF(AND(ISTEXT(Eingaben!$B$24),LEN(TRIM(Eingaben!$B$24))&gt;0),"OK","FEHLER"),"FEHLER")</f>
        <v>OK</v>
      </c>
      <c r="E24" s="12" t="s">
        <v>458</v>
      </c>
    </row>
    <row r="25" customFormat="false" ht="31.3" hidden="false" customHeight="false" outlineLevel="0" collapsed="false">
      <c r="A25" s="12" t="s">
        <v>510</v>
      </c>
      <c r="B25" s="12" t="s">
        <v>511</v>
      </c>
      <c r="C25" s="12" t="s">
        <v>512</v>
      </c>
      <c r="D25" s="12" t="str">
        <f aca="false">IFERROR(IF(AND(ISNUMBER(Eingaben!$B$27),Eingaben!$B$27&gt;=0,Eingaben!$B$27&lt;=1000000000),"OK","FEHLER"),"FEHLER")</f>
        <v>OK</v>
      </c>
      <c r="E25" s="12" t="s">
        <v>458</v>
      </c>
    </row>
    <row r="26" customFormat="false" ht="31.3" hidden="false" customHeight="false" outlineLevel="0" collapsed="false">
      <c r="A26" s="12" t="s">
        <v>513</v>
      </c>
      <c r="B26" s="12" t="s">
        <v>514</v>
      </c>
      <c r="C26" s="12" t="s">
        <v>515</v>
      </c>
      <c r="D26" s="12" t="str">
        <f aca="false">IFERROR(IF(AND(ISNUMBER(Eingaben!$B$28),Eingaben!$B$28&gt;=0,Eingaben!$B$28&lt;=1000000000),"OK","FEHLER"),"FEHLER")</f>
        <v>OK</v>
      </c>
      <c r="E26" s="12" t="s">
        <v>458</v>
      </c>
    </row>
    <row r="27" customFormat="false" ht="31.3" hidden="false" customHeight="false" outlineLevel="0" collapsed="false">
      <c r="A27" s="12" t="s">
        <v>516</v>
      </c>
      <c r="B27" s="12" t="s">
        <v>517</v>
      </c>
      <c r="C27" s="12" t="s">
        <v>518</v>
      </c>
      <c r="D27" s="12" t="str">
        <f aca="false">IFERROR(IF(AND(ISNUMBER(Eingaben!$B$29),Eingaben!$B$29&gt;=0,Eingaben!$B$29&lt;=1000000000),"OK","FEHLER"),"FEHLER")</f>
        <v>OK</v>
      </c>
      <c r="E27" s="12" t="s">
        <v>458</v>
      </c>
    </row>
    <row r="28" customFormat="false" ht="31.3" hidden="false" customHeight="false" outlineLevel="0" collapsed="false">
      <c r="A28" s="12" t="s">
        <v>519</v>
      </c>
      <c r="B28" s="12" t="s">
        <v>520</v>
      </c>
      <c r="C28" s="12" t="s">
        <v>521</v>
      </c>
      <c r="D28" s="12" t="str">
        <f aca="false">IFERROR(IF(AND(ISNUMBER(Eingaben!$B$30),Eingaben!$B$30&gt;=0,Eingaben!$B$30&lt;=1000000000),"OK","FEHLER"),"FEHLER")</f>
        <v>OK</v>
      </c>
      <c r="E28" s="12" t="s">
        <v>458</v>
      </c>
    </row>
    <row r="29" customFormat="false" ht="31.3" hidden="false" customHeight="false" outlineLevel="0" collapsed="false">
      <c r="A29" s="12" t="s">
        <v>522</v>
      </c>
      <c r="B29" s="12" t="s">
        <v>523</v>
      </c>
      <c r="C29" s="12" t="s">
        <v>524</v>
      </c>
      <c r="D29" s="12" t="str">
        <f aca="false">IFERROR(IF(AND(ISNUMBER(Eingaben!$B$31),Eingaben!$B$31&gt;=0,Eingaben!$B$31&lt;=1000000000),"OK","FEHLER"),"FEHLER")</f>
        <v>OK</v>
      </c>
      <c r="E29" s="12" t="s">
        <v>458</v>
      </c>
    </row>
    <row r="30" customFormat="false" ht="31.3" hidden="false" customHeight="false" outlineLevel="0" collapsed="false">
      <c r="A30" s="12" t="s">
        <v>525</v>
      </c>
      <c r="B30" s="12" t="s">
        <v>526</v>
      </c>
      <c r="C30" s="12" t="s">
        <v>527</v>
      </c>
      <c r="D30" s="12" t="str">
        <f aca="false">IFERROR(IF(AND(ISNUMBER(Eingaben!$B$32),Eingaben!$B$32&gt;=0,Eingaben!$B$32&lt;=1000000000),"OK","FEHLER"),"FEHLER")</f>
        <v>OK</v>
      </c>
      <c r="E30" s="12" t="s">
        <v>458</v>
      </c>
    </row>
    <row r="31" customFormat="false" ht="31.3" hidden="false" customHeight="false" outlineLevel="0" collapsed="false">
      <c r="A31" s="12" t="s">
        <v>528</v>
      </c>
      <c r="B31" s="12" t="s">
        <v>529</v>
      </c>
      <c r="C31" s="12" t="s">
        <v>530</v>
      </c>
      <c r="D31" s="12" t="str">
        <f aca="false">IFERROR(IF(AND(ISNUMBER(Eingaben!$B$33),Eingaben!$B$33&gt;=0,Eingaben!$B$33&lt;=1000000000),"OK","FEHLER"),"FEHLER")</f>
        <v>OK</v>
      </c>
      <c r="E31" s="12" t="s">
        <v>458</v>
      </c>
    </row>
    <row r="32" customFormat="false" ht="31.3" hidden="false" customHeight="false" outlineLevel="0" collapsed="false">
      <c r="A32" s="12" t="s">
        <v>531</v>
      </c>
      <c r="B32" s="12" t="s">
        <v>532</v>
      </c>
      <c r="C32" s="12" t="s">
        <v>533</v>
      </c>
      <c r="D32" s="12" t="str">
        <f aca="false">IFERROR(IF(AND(ISNUMBER(Eingaben!$B$34),Eingaben!$B$34&gt;=0,Eingaben!$B$34&lt;=1000000000),"OK","FEHLER"),"FEHLER")</f>
        <v>OK</v>
      </c>
      <c r="E32" s="12" t="s">
        <v>458</v>
      </c>
    </row>
    <row r="33" customFormat="false" ht="31.3" hidden="false" customHeight="false" outlineLevel="0" collapsed="false">
      <c r="A33" s="12" t="s">
        <v>534</v>
      </c>
      <c r="B33" s="12" t="s">
        <v>535</v>
      </c>
      <c r="C33" s="12" t="s">
        <v>536</v>
      </c>
      <c r="D33" s="12" t="str">
        <f aca="false">IFERROR(IF(AND(ISNUMBER(Eingaben!$B$35),Eingaben!$B$35&gt;=0,Eingaben!$B$35&lt;=1000000000),"OK","FEHLER"),"FEHLER")</f>
        <v>OK</v>
      </c>
      <c r="E33" s="12" t="s">
        <v>458</v>
      </c>
    </row>
    <row r="34" customFormat="false" ht="31.3" hidden="false" customHeight="false" outlineLevel="0" collapsed="false">
      <c r="A34" s="12" t="s">
        <v>537</v>
      </c>
      <c r="B34" s="12" t="s">
        <v>538</v>
      </c>
      <c r="C34" s="12" t="s">
        <v>539</v>
      </c>
      <c r="D34" s="12" t="str">
        <f aca="false">IFERROR(IF(AND(ISNUMBER(Eingaben!$B$36),Eingaben!$B$36&gt;=0,Eingaben!$B$36&lt;=1000000000),"OK","FEHLER"),"FEHLER")</f>
        <v>OK</v>
      </c>
      <c r="E34" s="12" t="s">
        <v>458</v>
      </c>
    </row>
    <row r="35" customFormat="false" ht="31.3" hidden="false" customHeight="false" outlineLevel="0" collapsed="false">
      <c r="A35" s="12" t="s">
        <v>540</v>
      </c>
      <c r="B35" s="12" t="s">
        <v>541</v>
      </c>
      <c r="C35" s="12" t="s">
        <v>542</v>
      </c>
      <c r="D35" s="12" t="str">
        <f aca="false">IFERROR(IF(AND(ISNUMBER(Eingaben!$B$37),Eingaben!$B$37&gt;=0,Eingaben!$B$37&lt;=1000000000),"OK","FEHLER"),"FEHLER")</f>
        <v>OK</v>
      </c>
      <c r="E35" s="12" t="s">
        <v>458</v>
      </c>
    </row>
    <row r="36" customFormat="false" ht="31.3" hidden="false" customHeight="false" outlineLevel="0" collapsed="false">
      <c r="A36" s="12" t="s">
        <v>543</v>
      </c>
      <c r="B36" s="12" t="s">
        <v>544</v>
      </c>
      <c r="C36" s="12" t="s">
        <v>545</v>
      </c>
      <c r="D36" s="12" t="str">
        <f aca="false">IFERROR(IF(AND(ISNUMBER(Eingaben!$B$38),Eingaben!$B$38&gt;=0,Eingaben!$B$38&lt;=1),"OK","FEHLER"),"FEHLER")</f>
        <v>OK</v>
      </c>
      <c r="E36" s="12" t="s">
        <v>458</v>
      </c>
    </row>
    <row r="37" customFormat="false" ht="31.3" hidden="false" customHeight="false" outlineLevel="0" collapsed="false">
      <c r="A37" s="12" t="s">
        <v>546</v>
      </c>
      <c r="B37" s="12" t="s">
        <v>547</v>
      </c>
      <c r="C37" s="12" t="s">
        <v>548</v>
      </c>
      <c r="D37" s="12" t="str">
        <f aca="false">IFERROR(IF(AND(ISNUMBER(Eingaben!$B$39),Eingaben!$B$39&gt;=0,Eingaben!$B$39&lt;=1),"OK","FEHLER"),"FEHLER")</f>
        <v>OK</v>
      </c>
      <c r="E37" s="12" t="s">
        <v>458</v>
      </c>
    </row>
    <row r="38" customFormat="false" ht="31.3" hidden="false" customHeight="false" outlineLevel="0" collapsed="false">
      <c r="A38" s="12" t="s">
        <v>549</v>
      </c>
      <c r="B38" s="12" t="s">
        <v>550</v>
      </c>
      <c r="C38" s="12" t="s">
        <v>551</v>
      </c>
      <c r="D38" s="12" t="str">
        <f aca="false">IFERROR(IF(AND(ISNUMBER(Eingaben!$B$40),Eingaben!$B$40&gt;=-0.5,Eingaben!$B$40&lt;=1),"OK","FEHLER"),"FEHLER")</f>
        <v>OK</v>
      </c>
      <c r="E38" s="12" t="s">
        <v>458</v>
      </c>
    </row>
    <row r="39" customFormat="false" ht="31.3" hidden="false" customHeight="false" outlineLevel="0" collapsed="false">
      <c r="A39" s="12" t="s">
        <v>552</v>
      </c>
      <c r="B39" s="12" t="s">
        <v>553</v>
      </c>
      <c r="C39" s="12" t="s">
        <v>554</v>
      </c>
      <c r="D39" s="12" t="str">
        <f aca="false">IFERROR(IF(AND(ISNUMBER(Eingaben!$B$41),Eingaben!$B$41&gt;=-0.5,Eingaben!$B$41&lt;=1),"OK","FEHLER"),"FEHLER")</f>
        <v>OK</v>
      </c>
      <c r="E39" s="12" t="s">
        <v>458</v>
      </c>
    </row>
    <row r="40" customFormat="false" ht="31.3" hidden="false" customHeight="false" outlineLevel="0" collapsed="false">
      <c r="A40" s="12" t="s">
        <v>555</v>
      </c>
      <c r="B40" s="12" t="s">
        <v>556</v>
      </c>
      <c r="C40" s="12" t="s">
        <v>557</v>
      </c>
      <c r="D40" s="12" t="str">
        <f aca="false">IFERROR(IF(AND(ISNUMBER(Eingaben!$B$42),Eingaben!$B$42&gt;=-0.5,Eingaben!$B$42&lt;=1),"OK","FEHLER"),"FEHLER")</f>
        <v>OK</v>
      </c>
      <c r="E40" s="12" t="s">
        <v>458</v>
      </c>
    </row>
    <row r="41" customFormat="false" ht="31.3" hidden="false" customHeight="false" outlineLevel="0" collapsed="false">
      <c r="A41" s="12" t="s">
        <v>558</v>
      </c>
      <c r="B41" s="12" t="s">
        <v>559</v>
      </c>
      <c r="C41" s="12" t="s">
        <v>560</v>
      </c>
      <c r="D41" s="12" t="str">
        <f aca="false">IFERROR(IF(AND(ISNUMBER(Eingaben!$B$43),Eingaben!$B$43&gt;=0,Eingaben!$B$43&lt;=50,MOD(Eingaben!$B$43,1)=0),"OK","FEHLER"),"FEHLER")</f>
        <v>OK</v>
      </c>
      <c r="E41" s="12" t="s">
        <v>458</v>
      </c>
    </row>
    <row r="42" customFormat="false" ht="31.3" hidden="false" customHeight="false" outlineLevel="0" collapsed="false">
      <c r="A42" s="12" t="s">
        <v>561</v>
      </c>
      <c r="B42" s="12" t="s">
        <v>562</v>
      </c>
      <c r="C42" s="12" t="s">
        <v>563</v>
      </c>
      <c r="D42" s="12" t="str">
        <f aca="false">IFERROR(IF(AND(ISNUMBER(Eingaben!$B$44),Eingaben!$B$44&gt;=0,Eingaben!$B$44&lt;=1000000000),"OK","FEHLER"),"FEHLER")</f>
        <v>OK</v>
      </c>
      <c r="E42" s="12" t="s">
        <v>458</v>
      </c>
    </row>
    <row r="43" customFormat="false" ht="31.3" hidden="false" customHeight="false" outlineLevel="0" collapsed="false">
      <c r="A43" s="12" t="s">
        <v>564</v>
      </c>
      <c r="B43" s="12" t="s">
        <v>565</v>
      </c>
      <c r="C43" s="12" t="s">
        <v>566</v>
      </c>
      <c r="D43" s="12" t="str">
        <f aca="false">IFERROR(IF(AND(ISNUMBER(Eingaben!$B$45),Eingaben!$B$45&gt;=0,Eingaben!$B$45&lt;=1000000000),"OK","FEHLER"),"FEHLER")</f>
        <v>OK</v>
      </c>
      <c r="E43" s="12" t="s">
        <v>458</v>
      </c>
    </row>
    <row r="44" customFormat="false" ht="31.3" hidden="false" customHeight="false" outlineLevel="0" collapsed="false">
      <c r="A44" s="12" t="s">
        <v>567</v>
      </c>
      <c r="B44" s="12" t="s">
        <v>568</v>
      </c>
      <c r="C44" s="12" t="s">
        <v>569</v>
      </c>
      <c r="D44" s="12" t="str">
        <f aca="false">IFERROR(IF(AND(ISNUMBER(Eingaben!$B$46),Eingaben!$B$46&gt;=-0.5,Eingaben!$B$46&lt;=1),"OK","FEHLER"),"FEHLER")</f>
        <v>OK</v>
      </c>
      <c r="E44" s="12" t="s">
        <v>458</v>
      </c>
    </row>
    <row r="45" customFormat="false" ht="16.4" hidden="false" customHeight="false" outlineLevel="0" collapsed="false">
      <c r="A45" s="12" t="s">
        <v>570</v>
      </c>
      <c r="B45" s="12" t="s">
        <v>571</v>
      </c>
      <c r="C45" s="12" t="s">
        <v>572</v>
      </c>
      <c r="D45" s="12" t="str">
        <f aca="false">IFERROR(IF(AND(ISTEXT(Eingaben!$B$47),LEN(TRIM(Eingaben!$B$47))&gt;0),"OK","FEHLER"),"FEHLER")</f>
        <v>OK</v>
      </c>
      <c r="E45" s="12" t="s">
        <v>458</v>
      </c>
    </row>
    <row r="46" customFormat="false" ht="16.4" hidden="false" customHeight="false" outlineLevel="0" collapsed="false">
      <c r="A46" s="12" t="s">
        <v>573</v>
      </c>
      <c r="B46" s="12" t="s">
        <v>574</v>
      </c>
      <c r="C46" s="12" t="s">
        <v>575</v>
      </c>
      <c r="D46" s="12" t="str">
        <f aca="false">IFERROR(IF(OR(Eingaben!$B$48="Beispieldaten",Eingaben!$B$48="Projektdaten"),"OK","FEHLER"),"FEHLER")</f>
        <v>OK</v>
      </c>
      <c r="E46" s="12" t="s">
        <v>458</v>
      </c>
    </row>
    <row r="47" customFormat="false" ht="16.4" hidden="false" customHeight="false" outlineLevel="0" collapsed="false">
      <c r="A47" s="12" t="s">
        <v>576</v>
      </c>
      <c r="B47" s="12" t="s">
        <v>577</v>
      </c>
      <c r="C47" s="12" t="s">
        <v>524</v>
      </c>
      <c r="D47" s="12" t="str">
        <f aca="false">IFERROR(IF(Eingaben!$B$31&lt;=SUM(Eingaben!B27:B30),"OK","FEHLER"),"FEHLER")</f>
        <v>OK</v>
      </c>
      <c r="E47" s="12" t="s">
        <v>578</v>
      </c>
    </row>
    <row r="48" customFormat="false" ht="16.4" hidden="false" customHeight="false" outlineLevel="0" collapsed="false">
      <c r="A48" s="12" t="s">
        <v>579</v>
      </c>
      <c r="B48" s="12" t="s">
        <v>580</v>
      </c>
      <c r="C48" s="12" t="s">
        <v>560</v>
      </c>
      <c r="D48" s="12" t="str">
        <f aca="false">IFERROR(IF(Eingaben!$B$43&lt;=Eingaben!$B$11,"OK","FEHLER"),"FEHLER")</f>
        <v>OK</v>
      </c>
      <c r="E48" s="12" t="s">
        <v>581</v>
      </c>
    </row>
    <row r="49" customFormat="false" ht="16.4" hidden="false" customHeight="false" outlineLevel="0" collapsed="false">
      <c r="A49" s="12" t="s">
        <v>582</v>
      </c>
      <c r="B49" s="12" t="s">
        <v>583</v>
      </c>
      <c r="C49" s="12" t="s">
        <v>584</v>
      </c>
      <c r="D49" s="12" t="str">
        <f aca="false">IFERROR(IF(OR(Eingaben!$B$44=0,Eingaben!$B$43&gt;0),"OK","FEHLER"),"FEHLER")</f>
        <v>OK</v>
      </c>
      <c r="E49" s="12" t="s">
        <v>585</v>
      </c>
    </row>
    <row r="50" customFormat="false" ht="46.25" hidden="false" customHeight="false" outlineLevel="0" collapsed="false">
      <c r="A50" s="12" t="s">
        <v>586</v>
      </c>
      <c r="B50" s="12" t="s">
        <v>587</v>
      </c>
      <c r="C50" s="12" t="s">
        <v>588</v>
      </c>
      <c r="D50" s="12" t="str">
        <f aca="false">IFERROR(IF(OR(Eingaben!$B$38=0,AND(LEN(TRIM(Eingaben!$B$47))&gt;0,LEFT(Eingaben!$B$47,LEN("Keine bestätigte"))&lt;&gt;"Keine bestätigte")),"OK","FEHLER"),"FEHLER")</f>
        <v>OK</v>
      </c>
      <c r="E50" s="12" t="s">
        <v>589</v>
      </c>
    </row>
    <row r="51" customFormat="false" ht="46.25" hidden="false" customHeight="false" outlineLevel="0" collapsed="false">
      <c r="A51" s="12" t="s">
        <v>590</v>
      </c>
      <c r="B51" s="12" t="s">
        <v>591</v>
      </c>
      <c r="C51" s="12" t="s">
        <v>592</v>
      </c>
      <c r="D51" s="12" t="str">
        <f aca="false">IFERROR(IF(AND(ISNUMBER(Schwellenwerte!B9),ISNUMBER(Schwellenwerte!B10),Schwellenwerte!B10&gt;=0,Schwellenwerte!B9&lt;=1,Schwellenwerte!B10&lt;=Schwellenwerte!B9),"OK","FEHLER"),"FEHLER")</f>
        <v>OK</v>
      </c>
      <c r="E51" s="12" t="s">
        <v>593</v>
      </c>
    </row>
    <row r="52" customFormat="false" ht="46.25" hidden="false" customHeight="false" outlineLevel="0" collapsed="false">
      <c r="A52" s="12" t="s">
        <v>594</v>
      </c>
      <c r="B52" s="12" t="s">
        <v>595</v>
      </c>
      <c r="C52" s="12" t="s">
        <v>596</v>
      </c>
      <c r="D52" s="12" t="str">
        <f aca="false">IFERROR(IF(AND(ISNUMBER(Schwellenwerte!B5),ISNUMBER(Schwellenwerte!B6),Schwellenwerte!B6&gt;=-1,Schwellenwerte!B5&lt;=1,Schwellenwerte!B6&lt;=Schwellenwerte!B5),"OK","FEHLER"),"FEHLER")</f>
        <v>OK</v>
      </c>
      <c r="E52" s="12" t="s">
        <v>597</v>
      </c>
    </row>
    <row r="53" customFormat="false" ht="31.3" hidden="false" customHeight="false" outlineLevel="0" collapsed="false">
      <c r="A53" s="12" t="s">
        <v>598</v>
      </c>
      <c r="B53" s="12" t="s">
        <v>599</v>
      </c>
      <c r="C53" s="12" t="s">
        <v>600</v>
      </c>
      <c r="D53" s="12" t="str">
        <f aca="false">IFERROR(IF(AND(COUNTIF(Nutzungsprofile!I6:I11,"FEHLER")=0,COUNTIF(Nutzungsprofile!I17:I22,"FEHLER")=0),"OK","FEHLER"),"FEHLER")</f>
        <v>OK</v>
      </c>
      <c r="E53" s="12" t="s">
        <v>601</v>
      </c>
    </row>
    <row r="54" customFormat="false" ht="16.4" hidden="false" customHeight="false" outlineLevel="0" collapsed="false">
      <c r="A54" s="12" t="s">
        <v>602</v>
      </c>
      <c r="B54" s="12" t="s">
        <v>603</v>
      </c>
      <c r="C54" s="12" t="s">
        <v>604</v>
      </c>
      <c r="D54" s="12" t="str">
        <f aca="false">IFERROR(IF(COUNTIF(Kalender!G5:G370,"FEHLER")=0,"OK","FEHLER"),"FEHLER")</f>
        <v>OK</v>
      </c>
      <c r="E54" s="12" t="s">
        <v>605</v>
      </c>
    </row>
  </sheetData>
  <sheetProtection sheet="true" objects="true" sort="false" autoFilter="false"/>
  <autoFilter ref="A6:E54"/>
  <mergeCells count="2">
    <mergeCell ref="A1:E1"/>
    <mergeCell ref="A3:E3"/>
  </mergeCells>
  <conditionalFormatting sqref="D7:D54">
    <cfRule type="cellIs" priority="2" operator="equal" aboveAverage="0" equalAverage="0" bottom="0" percent="0" rank="0" text="" dxfId="2">
      <formula>"FEHLER"</formula>
    </cfRule>
  </conditionalFormatting>
  <hyperlinks>
    <hyperlink ref="A2" r:id="rId1" location="'Dashboard'!A1" display="Dashboard"/>
    <hyperlink ref="B2" r:id="rId2" location="'Eingaben'!A1" display="Eingaben"/>
    <hyperlink ref="C2" r:id="rId3" location="'Nutzungsprofile'!A1" display="Profile"/>
    <hyperlink ref="D2" r:id="rId4" location="'Kalender'!A1" display="Kalender"/>
    <hyperlink ref="E2" r:id="rId5" location="'Anleitung'!A1" display="Methodik"/>
  </hyperlinks>
  <printOptions headings="false" gridLines="false" gridLinesSet="true" horizontalCentered="true" verticalCentered="false"/>
  <pageMargins left="0.25" right="0.2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Grauwasserbewertung | wissenschaftlicher Prototyp | &amp;P / &amp;N</oddFooter>
  </headerFooter>
  <drawing r:id="rId6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5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16" min="2" style="0" width="16"/>
    <col collapsed="false" customWidth="true" hidden="false" outlineLevel="0" max="18" min="17" style="0" width="44"/>
  </cols>
  <sheetData>
    <row r="1" customFormat="false" ht="37.5" hidden="false" customHeight="true" outlineLevel="0" collapsed="false">
      <c r="A1" s="1" t="s">
        <v>606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3.75" hidden="false" customHeight="true" outlineLevel="0" collapsed="false">
      <c r="A3" s="3" t="s">
        <v>607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customFormat="false" ht="31.5" hidden="false" customHeight="true" outlineLevel="0" collapsed="false">
      <c r="A5" s="11" t="s">
        <v>608</v>
      </c>
      <c r="B5" s="11" t="s">
        <v>609</v>
      </c>
      <c r="C5" s="11" t="s">
        <v>610</v>
      </c>
      <c r="D5" s="11" t="s">
        <v>611</v>
      </c>
      <c r="E5" s="11" t="s">
        <v>612</v>
      </c>
      <c r="F5" s="11" t="s">
        <v>613</v>
      </c>
      <c r="G5" s="11" t="s">
        <v>614</v>
      </c>
      <c r="H5" s="11" t="s">
        <v>615</v>
      </c>
      <c r="I5" s="11" t="s">
        <v>616</v>
      </c>
      <c r="J5" s="11" t="s">
        <v>617</v>
      </c>
      <c r="K5" s="11" t="s">
        <v>618</v>
      </c>
      <c r="L5" s="11" t="s">
        <v>619</v>
      </c>
      <c r="M5" s="11" t="s">
        <v>620</v>
      </c>
      <c r="N5" s="11" t="s">
        <v>621</v>
      </c>
      <c r="O5" s="11" t="s">
        <v>622</v>
      </c>
      <c r="P5" s="11" t="s">
        <v>623</v>
      </c>
      <c r="Q5" s="11" t="s">
        <v>624</v>
      </c>
      <c r="R5" s="11" t="s">
        <v>625</v>
      </c>
    </row>
    <row r="6" customFormat="false" ht="15" hidden="false" customHeight="false" outlineLevel="0" collapsed="false">
      <c r="A6" s="19"/>
      <c r="B6" s="19"/>
      <c r="C6" s="20"/>
      <c r="D6" s="21"/>
      <c r="E6" s="20"/>
      <c r="F6" s="20"/>
      <c r="G6" s="20"/>
      <c r="H6" s="20"/>
      <c r="I6" s="20"/>
      <c r="J6" s="20"/>
      <c r="K6" s="20"/>
      <c r="L6" s="20"/>
      <c r="M6" s="19"/>
      <c r="N6" s="19"/>
      <c r="O6" s="19"/>
      <c r="P6" s="19"/>
      <c r="Q6" s="19"/>
      <c r="R6" s="19"/>
    </row>
    <row r="7" customFormat="false" ht="15" hidden="false" customHeight="false" outlineLevel="0" collapsed="false">
      <c r="A7" s="19"/>
      <c r="B7" s="19"/>
      <c r="C7" s="20"/>
      <c r="D7" s="21"/>
      <c r="E7" s="20"/>
      <c r="F7" s="20"/>
      <c r="G7" s="20"/>
      <c r="H7" s="20"/>
      <c r="I7" s="20"/>
      <c r="J7" s="20"/>
      <c r="K7" s="20"/>
      <c r="L7" s="20"/>
      <c r="M7" s="19"/>
      <c r="N7" s="19"/>
      <c r="O7" s="19"/>
      <c r="P7" s="19"/>
      <c r="Q7" s="19"/>
      <c r="R7" s="19"/>
    </row>
    <row r="8" customFormat="false" ht="15" hidden="false" customHeight="false" outlineLevel="0" collapsed="false">
      <c r="A8" s="19"/>
      <c r="B8" s="19"/>
      <c r="C8" s="20"/>
      <c r="D8" s="21"/>
      <c r="E8" s="20"/>
      <c r="F8" s="20"/>
      <c r="G8" s="20"/>
      <c r="H8" s="20"/>
      <c r="I8" s="20"/>
      <c r="J8" s="20"/>
      <c r="K8" s="20"/>
      <c r="L8" s="20"/>
      <c r="M8" s="19"/>
      <c r="N8" s="19"/>
      <c r="O8" s="19"/>
      <c r="P8" s="19"/>
      <c r="Q8" s="19"/>
      <c r="R8" s="19"/>
    </row>
    <row r="9" customFormat="false" ht="15" hidden="false" customHeight="false" outlineLevel="0" collapsed="false">
      <c r="A9" s="19"/>
      <c r="B9" s="19"/>
      <c r="C9" s="20"/>
      <c r="D9" s="21"/>
      <c r="E9" s="20"/>
      <c r="F9" s="20"/>
      <c r="G9" s="20"/>
      <c r="H9" s="20"/>
      <c r="I9" s="20"/>
      <c r="J9" s="20"/>
      <c r="K9" s="20"/>
      <c r="L9" s="20"/>
      <c r="M9" s="19"/>
      <c r="N9" s="19"/>
      <c r="O9" s="19"/>
      <c r="P9" s="19"/>
      <c r="Q9" s="19"/>
      <c r="R9" s="19"/>
    </row>
    <row r="10" customFormat="false" ht="15" hidden="false" customHeight="false" outlineLevel="0" collapsed="false">
      <c r="A10" s="19"/>
      <c r="B10" s="19"/>
      <c r="C10" s="20"/>
      <c r="D10" s="21"/>
      <c r="E10" s="20"/>
      <c r="F10" s="20"/>
      <c r="G10" s="20"/>
      <c r="H10" s="20"/>
      <c r="I10" s="20"/>
      <c r="J10" s="20"/>
      <c r="K10" s="20"/>
      <c r="L10" s="20"/>
      <c r="M10" s="19"/>
      <c r="N10" s="19"/>
      <c r="O10" s="19"/>
      <c r="P10" s="19"/>
      <c r="Q10" s="19"/>
      <c r="R10" s="19"/>
    </row>
    <row r="11" customFormat="false" ht="15" hidden="false" customHeight="false" outlineLevel="0" collapsed="false">
      <c r="A11" s="19"/>
      <c r="B11" s="19"/>
      <c r="C11" s="20"/>
      <c r="D11" s="21"/>
      <c r="E11" s="20"/>
      <c r="F11" s="20"/>
      <c r="G11" s="20"/>
      <c r="H11" s="20"/>
      <c r="I11" s="20"/>
      <c r="J11" s="20"/>
      <c r="K11" s="20"/>
      <c r="L11" s="20"/>
      <c r="M11" s="19"/>
      <c r="N11" s="19"/>
      <c r="O11" s="19"/>
      <c r="P11" s="19"/>
      <c r="Q11" s="19"/>
      <c r="R11" s="19"/>
    </row>
    <row r="12" customFormat="false" ht="15" hidden="false" customHeight="false" outlineLevel="0" collapsed="false">
      <c r="A12" s="19"/>
      <c r="B12" s="19"/>
      <c r="C12" s="20"/>
      <c r="D12" s="21"/>
      <c r="E12" s="20"/>
      <c r="F12" s="20"/>
      <c r="G12" s="20"/>
      <c r="H12" s="20"/>
      <c r="I12" s="20"/>
      <c r="J12" s="20"/>
      <c r="K12" s="20"/>
      <c r="L12" s="20"/>
      <c r="M12" s="19"/>
      <c r="N12" s="19"/>
      <c r="O12" s="19"/>
      <c r="P12" s="19"/>
      <c r="Q12" s="19"/>
      <c r="R12" s="19"/>
    </row>
    <row r="13" customFormat="false" ht="15" hidden="false" customHeight="false" outlineLevel="0" collapsed="false">
      <c r="A13" s="19"/>
      <c r="B13" s="19"/>
      <c r="C13" s="20"/>
      <c r="D13" s="21"/>
      <c r="E13" s="20"/>
      <c r="F13" s="20"/>
      <c r="G13" s="20"/>
      <c r="H13" s="20"/>
      <c r="I13" s="20"/>
      <c r="J13" s="20"/>
      <c r="K13" s="20"/>
      <c r="L13" s="20"/>
      <c r="M13" s="19"/>
      <c r="N13" s="19"/>
      <c r="O13" s="19"/>
      <c r="P13" s="19"/>
      <c r="Q13" s="19"/>
      <c r="R13" s="19"/>
    </row>
    <row r="14" customFormat="false" ht="15" hidden="false" customHeight="false" outlineLevel="0" collapsed="false">
      <c r="A14" s="19"/>
      <c r="B14" s="19"/>
      <c r="C14" s="20"/>
      <c r="D14" s="21"/>
      <c r="E14" s="20"/>
      <c r="F14" s="20"/>
      <c r="G14" s="20"/>
      <c r="H14" s="20"/>
      <c r="I14" s="20"/>
      <c r="J14" s="20"/>
      <c r="K14" s="20"/>
      <c r="L14" s="20"/>
      <c r="M14" s="19"/>
      <c r="N14" s="19"/>
      <c r="O14" s="19"/>
      <c r="P14" s="19"/>
      <c r="Q14" s="19"/>
      <c r="R14" s="19"/>
    </row>
    <row r="15" customFormat="false" ht="15" hidden="false" customHeight="false" outlineLevel="0" collapsed="false">
      <c r="A15" s="19"/>
      <c r="B15" s="19"/>
      <c r="C15" s="20"/>
      <c r="D15" s="21"/>
      <c r="E15" s="20"/>
      <c r="F15" s="20"/>
      <c r="G15" s="20"/>
      <c r="H15" s="20"/>
      <c r="I15" s="20"/>
      <c r="J15" s="20"/>
      <c r="K15" s="20"/>
      <c r="L15" s="20"/>
      <c r="M15" s="19"/>
      <c r="N15" s="19"/>
      <c r="O15" s="19"/>
      <c r="P15" s="19"/>
      <c r="Q15" s="19"/>
      <c r="R15" s="19"/>
    </row>
    <row r="16" customFormat="false" ht="15" hidden="false" customHeight="false" outlineLevel="0" collapsed="false">
      <c r="A16" s="19"/>
      <c r="B16" s="19"/>
      <c r="C16" s="20"/>
      <c r="D16" s="21"/>
      <c r="E16" s="20"/>
      <c r="F16" s="20"/>
      <c r="G16" s="20"/>
      <c r="H16" s="20"/>
      <c r="I16" s="20"/>
      <c r="J16" s="20"/>
      <c r="K16" s="20"/>
      <c r="L16" s="20"/>
      <c r="M16" s="19"/>
      <c r="N16" s="19"/>
      <c r="O16" s="19"/>
      <c r="P16" s="19"/>
      <c r="Q16" s="19"/>
      <c r="R16" s="19"/>
    </row>
    <row r="17" customFormat="false" ht="15" hidden="false" customHeight="false" outlineLevel="0" collapsed="false">
      <c r="A17" s="19"/>
      <c r="B17" s="19"/>
      <c r="C17" s="20"/>
      <c r="D17" s="21"/>
      <c r="E17" s="20"/>
      <c r="F17" s="20"/>
      <c r="G17" s="20"/>
      <c r="H17" s="20"/>
      <c r="I17" s="20"/>
      <c r="J17" s="20"/>
      <c r="K17" s="20"/>
      <c r="L17" s="20"/>
      <c r="M17" s="19"/>
      <c r="N17" s="19"/>
      <c r="O17" s="19"/>
      <c r="P17" s="19"/>
      <c r="Q17" s="19"/>
      <c r="R17" s="19"/>
    </row>
    <row r="18" customFormat="false" ht="15" hidden="false" customHeight="false" outlineLevel="0" collapsed="false">
      <c r="A18" s="19"/>
      <c r="B18" s="19"/>
      <c r="C18" s="20"/>
      <c r="D18" s="21"/>
      <c r="E18" s="20"/>
      <c r="F18" s="20"/>
      <c r="G18" s="20"/>
      <c r="H18" s="20"/>
      <c r="I18" s="20"/>
      <c r="J18" s="20"/>
      <c r="K18" s="20"/>
      <c r="L18" s="20"/>
      <c r="M18" s="19"/>
      <c r="N18" s="19"/>
      <c r="O18" s="19"/>
      <c r="P18" s="19"/>
      <c r="Q18" s="19"/>
      <c r="R18" s="19"/>
    </row>
    <row r="19" customFormat="false" ht="15" hidden="false" customHeight="false" outlineLevel="0" collapsed="false">
      <c r="A19" s="19"/>
      <c r="B19" s="19"/>
      <c r="C19" s="20"/>
      <c r="D19" s="21"/>
      <c r="E19" s="20"/>
      <c r="F19" s="20"/>
      <c r="G19" s="20"/>
      <c r="H19" s="20"/>
      <c r="I19" s="20"/>
      <c r="J19" s="20"/>
      <c r="K19" s="20"/>
      <c r="L19" s="20"/>
      <c r="M19" s="19"/>
      <c r="N19" s="19"/>
      <c r="O19" s="19"/>
      <c r="P19" s="19"/>
      <c r="Q19" s="19"/>
      <c r="R19" s="19"/>
    </row>
    <row r="20" customFormat="false" ht="15" hidden="false" customHeight="false" outlineLevel="0" collapsed="false">
      <c r="A20" s="19"/>
      <c r="B20" s="19"/>
      <c r="C20" s="20"/>
      <c r="D20" s="21"/>
      <c r="E20" s="20"/>
      <c r="F20" s="20"/>
      <c r="G20" s="20"/>
      <c r="H20" s="20"/>
      <c r="I20" s="20"/>
      <c r="J20" s="20"/>
      <c r="K20" s="20"/>
      <c r="L20" s="20"/>
      <c r="M20" s="19"/>
      <c r="N20" s="19"/>
      <c r="O20" s="19"/>
      <c r="P20" s="19"/>
      <c r="Q20" s="19"/>
      <c r="R20" s="19"/>
    </row>
    <row r="21" customFormat="false" ht="15" hidden="false" customHeight="false" outlineLevel="0" collapsed="false">
      <c r="A21" s="19"/>
      <c r="B21" s="19"/>
      <c r="C21" s="20"/>
      <c r="D21" s="21"/>
      <c r="E21" s="20"/>
      <c r="F21" s="20"/>
      <c r="G21" s="20"/>
      <c r="H21" s="20"/>
      <c r="I21" s="20"/>
      <c r="J21" s="20"/>
      <c r="K21" s="20"/>
      <c r="L21" s="20"/>
      <c r="M21" s="19"/>
      <c r="N21" s="19"/>
      <c r="O21" s="19"/>
      <c r="P21" s="19"/>
      <c r="Q21" s="19"/>
      <c r="R21" s="19"/>
    </row>
    <row r="22" customFormat="false" ht="15" hidden="false" customHeight="false" outlineLevel="0" collapsed="false">
      <c r="A22" s="19"/>
      <c r="B22" s="19"/>
      <c r="C22" s="20"/>
      <c r="D22" s="21"/>
      <c r="E22" s="20"/>
      <c r="F22" s="20"/>
      <c r="G22" s="20"/>
      <c r="H22" s="20"/>
      <c r="I22" s="20"/>
      <c r="J22" s="20"/>
      <c r="K22" s="20"/>
      <c r="L22" s="20"/>
      <c r="M22" s="19"/>
      <c r="N22" s="19"/>
      <c r="O22" s="19"/>
      <c r="P22" s="19"/>
      <c r="Q22" s="19"/>
      <c r="R22" s="19"/>
    </row>
    <row r="23" customFormat="false" ht="15" hidden="false" customHeight="false" outlineLevel="0" collapsed="false">
      <c r="A23" s="19"/>
      <c r="B23" s="19"/>
      <c r="C23" s="20"/>
      <c r="D23" s="21"/>
      <c r="E23" s="20"/>
      <c r="F23" s="20"/>
      <c r="G23" s="20"/>
      <c r="H23" s="20"/>
      <c r="I23" s="20"/>
      <c r="J23" s="20"/>
      <c r="K23" s="20"/>
      <c r="L23" s="20"/>
      <c r="M23" s="19"/>
      <c r="N23" s="19"/>
      <c r="O23" s="19"/>
      <c r="P23" s="19"/>
      <c r="Q23" s="19"/>
      <c r="R23" s="19"/>
    </row>
    <row r="24" customFormat="false" ht="15" hidden="false" customHeight="false" outlineLevel="0" collapsed="false">
      <c r="A24" s="19"/>
      <c r="B24" s="19"/>
      <c r="C24" s="20"/>
      <c r="D24" s="21"/>
      <c r="E24" s="20"/>
      <c r="F24" s="20"/>
      <c r="G24" s="20"/>
      <c r="H24" s="20"/>
      <c r="I24" s="20"/>
      <c r="J24" s="20"/>
      <c r="K24" s="20"/>
      <c r="L24" s="20"/>
      <c r="M24" s="19"/>
      <c r="N24" s="19"/>
      <c r="O24" s="19"/>
      <c r="P24" s="19"/>
      <c r="Q24" s="19"/>
      <c r="R24" s="19"/>
    </row>
    <row r="25" customFormat="false" ht="15" hidden="false" customHeight="false" outlineLevel="0" collapsed="false">
      <c r="A25" s="19"/>
      <c r="B25" s="19"/>
      <c r="C25" s="20"/>
      <c r="D25" s="21"/>
      <c r="E25" s="20"/>
      <c r="F25" s="20"/>
      <c r="G25" s="20"/>
      <c r="H25" s="20"/>
      <c r="I25" s="20"/>
      <c r="J25" s="20"/>
      <c r="K25" s="20"/>
      <c r="L25" s="20"/>
      <c r="M25" s="19"/>
      <c r="N25" s="19"/>
      <c r="O25" s="19"/>
      <c r="P25" s="19"/>
      <c r="Q25" s="19"/>
      <c r="R25" s="19"/>
    </row>
    <row r="26" customFormat="false" ht="15" hidden="false" customHeight="false" outlineLevel="0" collapsed="false">
      <c r="A26" s="19"/>
      <c r="B26" s="19"/>
      <c r="C26" s="20"/>
      <c r="D26" s="21"/>
      <c r="E26" s="20"/>
      <c r="F26" s="20"/>
      <c r="G26" s="20"/>
      <c r="H26" s="20"/>
      <c r="I26" s="20"/>
      <c r="J26" s="20"/>
      <c r="K26" s="20"/>
      <c r="L26" s="20"/>
      <c r="M26" s="19"/>
      <c r="N26" s="19"/>
      <c r="O26" s="19"/>
      <c r="P26" s="19"/>
      <c r="Q26" s="19"/>
      <c r="R26" s="19"/>
    </row>
    <row r="27" customFormat="false" ht="15" hidden="false" customHeight="false" outlineLevel="0" collapsed="false">
      <c r="A27" s="19"/>
      <c r="B27" s="19"/>
      <c r="C27" s="20"/>
      <c r="D27" s="21"/>
      <c r="E27" s="20"/>
      <c r="F27" s="20"/>
      <c r="G27" s="20"/>
      <c r="H27" s="20"/>
      <c r="I27" s="20"/>
      <c r="J27" s="20"/>
      <c r="K27" s="20"/>
      <c r="L27" s="20"/>
      <c r="M27" s="19"/>
      <c r="N27" s="19"/>
      <c r="O27" s="19"/>
      <c r="P27" s="19"/>
      <c r="Q27" s="19"/>
      <c r="R27" s="19"/>
    </row>
    <row r="28" customFormat="false" ht="15" hidden="false" customHeight="false" outlineLevel="0" collapsed="false">
      <c r="A28" s="19"/>
      <c r="B28" s="19"/>
      <c r="C28" s="20"/>
      <c r="D28" s="21"/>
      <c r="E28" s="20"/>
      <c r="F28" s="20"/>
      <c r="G28" s="20"/>
      <c r="H28" s="20"/>
      <c r="I28" s="20"/>
      <c r="J28" s="20"/>
      <c r="K28" s="20"/>
      <c r="L28" s="20"/>
      <c r="M28" s="19"/>
      <c r="N28" s="19"/>
      <c r="O28" s="19"/>
      <c r="P28" s="19"/>
      <c r="Q28" s="19"/>
      <c r="R28" s="19"/>
    </row>
    <row r="29" customFormat="false" ht="15" hidden="false" customHeight="false" outlineLevel="0" collapsed="false">
      <c r="A29" s="19"/>
      <c r="B29" s="19"/>
      <c r="C29" s="20"/>
      <c r="D29" s="21"/>
      <c r="E29" s="20"/>
      <c r="F29" s="20"/>
      <c r="G29" s="20"/>
      <c r="H29" s="20"/>
      <c r="I29" s="20"/>
      <c r="J29" s="20"/>
      <c r="K29" s="20"/>
      <c r="L29" s="20"/>
      <c r="M29" s="19"/>
      <c r="N29" s="19"/>
      <c r="O29" s="19"/>
      <c r="P29" s="19"/>
      <c r="Q29" s="19"/>
      <c r="R29" s="19"/>
    </row>
    <row r="30" customFormat="false" ht="15" hidden="false" customHeight="false" outlineLevel="0" collapsed="false">
      <c r="A30" s="19"/>
      <c r="B30" s="19"/>
      <c r="C30" s="20"/>
      <c r="D30" s="21"/>
      <c r="E30" s="20"/>
      <c r="F30" s="20"/>
      <c r="G30" s="20"/>
      <c r="H30" s="20"/>
      <c r="I30" s="20"/>
      <c r="J30" s="20"/>
      <c r="K30" s="20"/>
      <c r="L30" s="20"/>
      <c r="M30" s="19"/>
      <c r="N30" s="19"/>
      <c r="O30" s="19"/>
      <c r="P30" s="19"/>
      <c r="Q30" s="19"/>
      <c r="R30" s="19"/>
    </row>
    <row r="31" customFormat="false" ht="15" hidden="false" customHeight="false" outlineLevel="0" collapsed="false">
      <c r="A31" s="19"/>
      <c r="B31" s="19"/>
      <c r="C31" s="20"/>
      <c r="D31" s="21"/>
      <c r="E31" s="20"/>
      <c r="F31" s="20"/>
      <c r="G31" s="20"/>
      <c r="H31" s="20"/>
      <c r="I31" s="20"/>
      <c r="J31" s="20"/>
      <c r="K31" s="20"/>
      <c r="L31" s="20"/>
      <c r="M31" s="19"/>
      <c r="N31" s="19"/>
      <c r="O31" s="19"/>
      <c r="P31" s="19"/>
      <c r="Q31" s="19"/>
      <c r="R31" s="19"/>
    </row>
    <row r="32" customFormat="false" ht="15" hidden="false" customHeight="false" outlineLevel="0" collapsed="false">
      <c r="A32" s="19"/>
      <c r="B32" s="19"/>
      <c r="C32" s="20"/>
      <c r="D32" s="21"/>
      <c r="E32" s="20"/>
      <c r="F32" s="20"/>
      <c r="G32" s="20"/>
      <c r="H32" s="20"/>
      <c r="I32" s="20"/>
      <c r="J32" s="20"/>
      <c r="K32" s="20"/>
      <c r="L32" s="20"/>
      <c r="M32" s="19"/>
      <c r="N32" s="19"/>
      <c r="O32" s="19"/>
      <c r="P32" s="19"/>
      <c r="Q32" s="19"/>
      <c r="R32" s="19"/>
    </row>
    <row r="33" customFormat="false" ht="15" hidden="false" customHeight="false" outlineLevel="0" collapsed="false">
      <c r="A33" s="19"/>
      <c r="B33" s="19"/>
      <c r="C33" s="20"/>
      <c r="D33" s="21"/>
      <c r="E33" s="20"/>
      <c r="F33" s="20"/>
      <c r="G33" s="20"/>
      <c r="H33" s="20"/>
      <c r="I33" s="20"/>
      <c r="J33" s="20"/>
      <c r="K33" s="20"/>
      <c r="L33" s="20"/>
      <c r="M33" s="19"/>
      <c r="N33" s="19"/>
      <c r="O33" s="19"/>
      <c r="P33" s="19"/>
      <c r="Q33" s="19"/>
      <c r="R33" s="19"/>
    </row>
    <row r="34" customFormat="false" ht="15" hidden="false" customHeight="false" outlineLevel="0" collapsed="false">
      <c r="A34" s="19"/>
      <c r="B34" s="19"/>
      <c r="C34" s="20"/>
      <c r="D34" s="21"/>
      <c r="E34" s="20"/>
      <c r="F34" s="20"/>
      <c r="G34" s="20"/>
      <c r="H34" s="20"/>
      <c r="I34" s="20"/>
      <c r="J34" s="20"/>
      <c r="K34" s="20"/>
      <c r="L34" s="20"/>
      <c r="M34" s="19"/>
      <c r="N34" s="19"/>
      <c r="O34" s="19"/>
      <c r="P34" s="19"/>
      <c r="Q34" s="19"/>
      <c r="R34" s="19"/>
    </row>
    <row r="35" customFormat="false" ht="15" hidden="false" customHeight="false" outlineLevel="0" collapsed="false">
      <c r="A35" s="19"/>
      <c r="B35" s="19"/>
      <c r="C35" s="20"/>
      <c r="D35" s="21"/>
      <c r="E35" s="20"/>
      <c r="F35" s="20"/>
      <c r="G35" s="20"/>
      <c r="H35" s="20"/>
      <c r="I35" s="20"/>
      <c r="J35" s="20"/>
      <c r="K35" s="20"/>
      <c r="L35" s="20"/>
      <c r="M35" s="19"/>
      <c r="N35" s="19"/>
      <c r="O35" s="19"/>
      <c r="P35" s="19"/>
      <c r="Q35" s="19"/>
      <c r="R35" s="19"/>
    </row>
    <row r="36" customFormat="false" ht="15" hidden="false" customHeight="false" outlineLevel="0" collapsed="false">
      <c r="A36" s="19"/>
      <c r="B36" s="19"/>
      <c r="C36" s="20"/>
      <c r="D36" s="21"/>
      <c r="E36" s="20"/>
      <c r="F36" s="20"/>
      <c r="G36" s="20"/>
      <c r="H36" s="20"/>
      <c r="I36" s="20"/>
      <c r="J36" s="20"/>
      <c r="K36" s="20"/>
      <c r="L36" s="20"/>
      <c r="M36" s="19"/>
      <c r="N36" s="19"/>
      <c r="O36" s="19"/>
      <c r="P36" s="19"/>
      <c r="Q36" s="19"/>
      <c r="R36" s="19"/>
    </row>
    <row r="37" customFormat="false" ht="15" hidden="false" customHeight="false" outlineLevel="0" collapsed="false">
      <c r="A37" s="19"/>
      <c r="B37" s="19"/>
      <c r="C37" s="20"/>
      <c r="D37" s="21"/>
      <c r="E37" s="20"/>
      <c r="F37" s="20"/>
      <c r="G37" s="20"/>
      <c r="H37" s="20"/>
      <c r="I37" s="20"/>
      <c r="J37" s="20"/>
      <c r="K37" s="20"/>
      <c r="L37" s="20"/>
      <c r="M37" s="19"/>
      <c r="N37" s="19"/>
      <c r="O37" s="19"/>
      <c r="P37" s="19"/>
      <c r="Q37" s="19"/>
      <c r="R37" s="19"/>
    </row>
    <row r="38" customFormat="false" ht="15" hidden="false" customHeight="false" outlineLevel="0" collapsed="false">
      <c r="A38" s="19"/>
      <c r="B38" s="19"/>
      <c r="C38" s="20"/>
      <c r="D38" s="21"/>
      <c r="E38" s="20"/>
      <c r="F38" s="20"/>
      <c r="G38" s="20"/>
      <c r="H38" s="20"/>
      <c r="I38" s="20"/>
      <c r="J38" s="20"/>
      <c r="K38" s="20"/>
      <c r="L38" s="20"/>
      <c r="M38" s="19"/>
      <c r="N38" s="19"/>
      <c r="O38" s="19"/>
      <c r="P38" s="19"/>
      <c r="Q38" s="19"/>
      <c r="R38" s="19"/>
    </row>
    <row r="39" customFormat="false" ht="15" hidden="false" customHeight="false" outlineLevel="0" collapsed="false">
      <c r="A39" s="19"/>
      <c r="B39" s="19"/>
      <c r="C39" s="20"/>
      <c r="D39" s="21"/>
      <c r="E39" s="20"/>
      <c r="F39" s="20"/>
      <c r="G39" s="20"/>
      <c r="H39" s="20"/>
      <c r="I39" s="20"/>
      <c r="J39" s="20"/>
      <c r="K39" s="20"/>
      <c r="L39" s="20"/>
      <c r="M39" s="19"/>
      <c r="N39" s="19"/>
      <c r="O39" s="19"/>
      <c r="P39" s="19"/>
      <c r="Q39" s="19"/>
      <c r="R39" s="19"/>
    </row>
    <row r="40" customFormat="false" ht="15" hidden="false" customHeight="false" outlineLevel="0" collapsed="false">
      <c r="A40" s="19"/>
      <c r="B40" s="19"/>
      <c r="C40" s="20"/>
      <c r="D40" s="21"/>
      <c r="E40" s="20"/>
      <c r="F40" s="20"/>
      <c r="G40" s="20"/>
      <c r="H40" s="20"/>
      <c r="I40" s="20"/>
      <c r="J40" s="20"/>
      <c r="K40" s="20"/>
      <c r="L40" s="20"/>
      <c r="M40" s="19"/>
      <c r="N40" s="19"/>
      <c r="O40" s="19"/>
      <c r="P40" s="19"/>
      <c r="Q40" s="19"/>
      <c r="R40" s="19"/>
    </row>
    <row r="41" customFormat="false" ht="15" hidden="false" customHeight="false" outlineLevel="0" collapsed="false">
      <c r="A41" s="19"/>
      <c r="B41" s="19"/>
      <c r="C41" s="20"/>
      <c r="D41" s="21"/>
      <c r="E41" s="20"/>
      <c r="F41" s="20"/>
      <c r="G41" s="20"/>
      <c r="H41" s="20"/>
      <c r="I41" s="20"/>
      <c r="J41" s="20"/>
      <c r="K41" s="20"/>
      <c r="L41" s="20"/>
      <c r="M41" s="19"/>
      <c r="N41" s="19"/>
      <c r="O41" s="19"/>
      <c r="P41" s="19"/>
      <c r="Q41" s="19"/>
      <c r="R41" s="19"/>
    </row>
    <row r="42" customFormat="false" ht="15" hidden="false" customHeight="false" outlineLevel="0" collapsed="false">
      <c r="A42" s="19"/>
      <c r="B42" s="19"/>
      <c r="C42" s="20"/>
      <c r="D42" s="21"/>
      <c r="E42" s="20"/>
      <c r="F42" s="20"/>
      <c r="G42" s="20"/>
      <c r="H42" s="20"/>
      <c r="I42" s="20"/>
      <c r="J42" s="20"/>
      <c r="K42" s="20"/>
      <c r="L42" s="20"/>
      <c r="M42" s="19"/>
      <c r="N42" s="19"/>
      <c r="O42" s="19"/>
      <c r="P42" s="19"/>
      <c r="Q42" s="19"/>
      <c r="R42" s="19"/>
    </row>
    <row r="43" customFormat="false" ht="15" hidden="false" customHeight="false" outlineLevel="0" collapsed="false">
      <c r="A43" s="19"/>
      <c r="B43" s="19"/>
      <c r="C43" s="20"/>
      <c r="D43" s="21"/>
      <c r="E43" s="20"/>
      <c r="F43" s="20"/>
      <c r="G43" s="20"/>
      <c r="H43" s="20"/>
      <c r="I43" s="20"/>
      <c r="J43" s="20"/>
      <c r="K43" s="20"/>
      <c r="L43" s="20"/>
      <c r="M43" s="19"/>
      <c r="N43" s="19"/>
      <c r="O43" s="19"/>
      <c r="P43" s="19"/>
      <c r="Q43" s="19"/>
      <c r="R43" s="19"/>
    </row>
    <row r="44" customFormat="false" ht="15" hidden="false" customHeight="false" outlineLevel="0" collapsed="false">
      <c r="A44" s="19"/>
      <c r="B44" s="19"/>
      <c r="C44" s="20"/>
      <c r="D44" s="21"/>
      <c r="E44" s="20"/>
      <c r="F44" s="20"/>
      <c r="G44" s="20"/>
      <c r="H44" s="20"/>
      <c r="I44" s="20"/>
      <c r="J44" s="20"/>
      <c r="K44" s="20"/>
      <c r="L44" s="20"/>
      <c r="M44" s="19"/>
      <c r="N44" s="19"/>
      <c r="O44" s="19"/>
      <c r="P44" s="19"/>
      <c r="Q44" s="19"/>
      <c r="R44" s="19"/>
    </row>
    <row r="45" customFormat="false" ht="15" hidden="false" customHeight="false" outlineLevel="0" collapsed="false">
      <c r="A45" s="19"/>
      <c r="B45" s="19"/>
      <c r="C45" s="20"/>
      <c r="D45" s="21"/>
      <c r="E45" s="20"/>
      <c r="F45" s="20"/>
      <c r="G45" s="20"/>
      <c r="H45" s="20"/>
      <c r="I45" s="20"/>
      <c r="J45" s="20"/>
      <c r="K45" s="20"/>
      <c r="L45" s="20"/>
      <c r="M45" s="19"/>
      <c r="N45" s="19"/>
      <c r="O45" s="19"/>
      <c r="P45" s="19"/>
      <c r="Q45" s="19"/>
      <c r="R45" s="19"/>
    </row>
    <row r="46" customFormat="false" ht="15" hidden="false" customHeight="false" outlineLevel="0" collapsed="false">
      <c r="A46" s="19"/>
      <c r="B46" s="19"/>
      <c r="C46" s="20"/>
      <c r="D46" s="21"/>
      <c r="E46" s="20"/>
      <c r="F46" s="20"/>
      <c r="G46" s="20"/>
      <c r="H46" s="20"/>
      <c r="I46" s="20"/>
      <c r="J46" s="20"/>
      <c r="K46" s="20"/>
      <c r="L46" s="20"/>
      <c r="M46" s="19"/>
      <c r="N46" s="19"/>
      <c r="O46" s="19"/>
      <c r="P46" s="19"/>
      <c r="Q46" s="19"/>
      <c r="R46" s="19"/>
    </row>
    <row r="47" customFormat="false" ht="15" hidden="false" customHeight="false" outlineLevel="0" collapsed="false">
      <c r="A47" s="19"/>
      <c r="B47" s="19"/>
      <c r="C47" s="20"/>
      <c r="D47" s="21"/>
      <c r="E47" s="20"/>
      <c r="F47" s="20"/>
      <c r="G47" s="20"/>
      <c r="H47" s="20"/>
      <c r="I47" s="20"/>
      <c r="J47" s="20"/>
      <c r="K47" s="20"/>
      <c r="L47" s="20"/>
      <c r="M47" s="19"/>
      <c r="N47" s="19"/>
      <c r="O47" s="19"/>
      <c r="P47" s="19"/>
      <c r="Q47" s="19"/>
      <c r="R47" s="19"/>
    </row>
    <row r="48" customFormat="false" ht="15" hidden="false" customHeight="false" outlineLevel="0" collapsed="false">
      <c r="A48" s="19"/>
      <c r="B48" s="19"/>
      <c r="C48" s="20"/>
      <c r="D48" s="21"/>
      <c r="E48" s="20"/>
      <c r="F48" s="20"/>
      <c r="G48" s="20"/>
      <c r="H48" s="20"/>
      <c r="I48" s="20"/>
      <c r="J48" s="20"/>
      <c r="K48" s="20"/>
      <c r="L48" s="20"/>
      <c r="M48" s="19"/>
      <c r="N48" s="19"/>
      <c r="O48" s="19"/>
      <c r="P48" s="19"/>
      <c r="Q48" s="19"/>
      <c r="R48" s="19"/>
    </row>
    <row r="49" customFormat="false" ht="15" hidden="false" customHeight="false" outlineLevel="0" collapsed="false">
      <c r="A49" s="19"/>
      <c r="B49" s="19"/>
      <c r="C49" s="20"/>
      <c r="D49" s="21"/>
      <c r="E49" s="20"/>
      <c r="F49" s="20"/>
      <c r="G49" s="20"/>
      <c r="H49" s="20"/>
      <c r="I49" s="20"/>
      <c r="J49" s="20"/>
      <c r="K49" s="20"/>
      <c r="L49" s="20"/>
      <c r="M49" s="19"/>
      <c r="N49" s="19"/>
      <c r="O49" s="19"/>
      <c r="P49" s="19"/>
      <c r="Q49" s="19"/>
      <c r="R49" s="19"/>
    </row>
    <row r="50" customFormat="false" ht="15" hidden="false" customHeight="false" outlineLevel="0" collapsed="false">
      <c r="A50" s="19"/>
      <c r="B50" s="19"/>
      <c r="C50" s="20"/>
      <c r="D50" s="21"/>
      <c r="E50" s="20"/>
      <c r="F50" s="20"/>
      <c r="G50" s="20"/>
      <c r="H50" s="20"/>
      <c r="I50" s="20"/>
      <c r="J50" s="20"/>
      <c r="K50" s="20"/>
      <c r="L50" s="20"/>
      <c r="M50" s="19"/>
      <c r="N50" s="19"/>
      <c r="O50" s="19"/>
      <c r="P50" s="19"/>
      <c r="Q50" s="19"/>
      <c r="R50" s="19"/>
    </row>
    <row r="51" customFormat="false" ht="15" hidden="false" customHeight="false" outlineLevel="0" collapsed="false">
      <c r="A51" s="19"/>
      <c r="B51" s="19"/>
      <c r="C51" s="20"/>
      <c r="D51" s="21"/>
      <c r="E51" s="20"/>
      <c r="F51" s="20"/>
      <c r="G51" s="20"/>
      <c r="H51" s="20"/>
      <c r="I51" s="20"/>
      <c r="J51" s="20"/>
      <c r="K51" s="20"/>
      <c r="L51" s="20"/>
      <c r="M51" s="19"/>
      <c r="N51" s="19"/>
      <c r="O51" s="19"/>
      <c r="P51" s="19"/>
      <c r="Q51" s="19"/>
      <c r="R51" s="19"/>
    </row>
    <row r="52" customFormat="false" ht="15" hidden="false" customHeight="false" outlineLevel="0" collapsed="false">
      <c r="A52" s="19"/>
      <c r="B52" s="19"/>
      <c r="C52" s="20"/>
      <c r="D52" s="21"/>
      <c r="E52" s="20"/>
      <c r="F52" s="20"/>
      <c r="G52" s="20"/>
      <c r="H52" s="20"/>
      <c r="I52" s="20"/>
      <c r="J52" s="20"/>
      <c r="K52" s="20"/>
      <c r="L52" s="20"/>
      <c r="M52" s="19"/>
      <c r="N52" s="19"/>
      <c r="O52" s="19"/>
      <c r="P52" s="19"/>
      <c r="Q52" s="19"/>
      <c r="R52" s="19"/>
    </row>
    <row r="53" customFormat="false" ht="15" hidden="false" customHeight="false" outlineLevel="0" collapsed="false">
      <c r="A53" s="19"/>
      <c r="B53" s="19"/>
      <c r="C53" s="20"/>
      <c r="D53" s="21"/>
      <c r="E53" s="20"/>
      <c r="F53" s="20"/>
      <c r="G53" s="20"/>
      <c r="H53" s="20"/>
      <c r="I53" s="20"/>
      <c r="J53" s="20"/>
      <c r="K53" s="20"/>
      <c r="L53" s="20"/>
      <c r="M53" s="19"/>
      <c r="N53" s="19"/>
      <c r="O53" s="19"/>
      <c r="P53" s="19"/>
      <c r="Q53" s="19"/>
      <c r="R53" s="19"/>
    </row>
    <row r="54" customFormat="false" ht="15" hidden="false" customHeight="false" outlineLevel="0" collapsed="false">
      <c r="A54" s="19"/>
      <c r="B54" s="19"/>
      <c r="C54" s="20"/>
      <c r="D54" s="21"/>
      <c r="E54" s="20"/>
      <c r="F54" s="20"/>
      <c r="G54" s="20"/>
      <c r="H54" s="20"/>
      <c r="I54" s="20"/>
      <c r="J54" s="20"/>
      <c r="K54" s="20"/>
      <c r="L54" s="20"/>
      <c r="M54" s="19"/>
      <c r="N54" s="19"/>
      <c r="O54" s="19"/>
      <c r="P54" s="19"/>
      <c r="Q54" s="19"/>
      <c r="R54" s="19"/>
    </row>
    <row r="55" customFormat="false" ht="15" hidden="false" customHeight="false" outlineLevel="0" collapsed="false">
      <c r="A55" s="19"/>
      <c r="B55" s="19"/>
      <c r="C55" s="20"/>
      <c r="D55" s="21"/>
      <c r="E55" s="20"/>
      <c r="F55" s="20"/>
      <c r="G55" s="20"/>
      <c r="H55" s="20"/>
      <c r="I55" s="20"/>
      <c r="J55" s="20"/>
      <c r="K55" s="20"/>
      <c r="L55" s="20"/>
      <c r="M55" s="19"/>
      <c r="N55" s="19"/>
      <c r="O55" s="19"/>
      <c r="P55" s="19"/>
      <c r="Q55" s="19"/>
      <c r="R55" s="19"/>
    </row>
  </sheetData>
  <sheetProtection sheet="true" objects="true" sort="false" autoFilter="false"/>
  <mergeCells count="2">
    <mergeCell ref="A1:R1"/>
    <mergeCell ref="A3:R3"/>
  </mergeCells>
  <dataValidations count="750"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6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6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6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7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7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7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8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8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8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9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9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9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0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1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1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1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1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1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1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0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0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1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1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1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1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1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1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1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1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1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1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1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1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1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1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1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1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1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2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1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1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1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1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1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1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2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2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1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1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1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1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3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1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1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1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1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1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1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3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3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1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1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1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1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4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1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1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1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1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1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1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4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4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1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1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1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1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5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1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1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1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1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1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1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5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5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15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15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15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15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6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1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1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1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1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1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1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6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6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1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1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1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1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7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1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1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1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1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1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1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7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7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1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1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1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1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8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1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1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1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1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1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1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8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8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1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1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1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1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19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1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1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1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1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1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1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1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1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19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19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1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1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1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1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0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2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2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2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2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2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2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2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0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0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2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2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2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2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1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2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2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2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2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2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2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2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1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1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2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2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2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2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2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2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2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2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2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2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2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2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2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2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2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2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2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2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3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2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2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2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2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2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2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2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3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3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2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2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2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2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4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2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2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2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2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2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2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2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4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4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2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2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2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2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5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2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2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2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2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2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2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2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5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5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25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25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25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25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6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2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2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2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2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2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2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2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6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6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2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2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2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2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7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2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2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2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2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2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2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2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7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7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2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2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2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2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8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2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2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2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2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2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2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2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8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8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2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2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2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2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29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2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2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2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2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2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2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2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2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29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29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2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2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2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2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0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3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3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3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3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3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3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3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0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0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3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3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3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3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1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3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3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3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3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3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3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3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1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1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3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3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3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3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2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3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3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3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3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3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3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3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2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2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3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3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3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3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3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3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3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3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3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3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3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3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3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3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3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3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3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3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4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3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3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3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3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3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3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3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4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4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3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3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3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3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5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3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3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3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3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3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3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3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5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5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35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35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35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35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6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3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3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3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3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3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3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3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6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6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3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3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3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3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7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3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3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3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3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3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3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3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7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7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3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3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3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3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8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3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3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3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3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3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3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3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8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8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3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3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3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3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39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3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3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3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3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3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3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3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3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39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39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3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3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3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3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40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4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4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4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4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4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4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4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0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0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4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4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4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4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41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4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4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4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4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4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4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4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1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1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4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4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4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4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42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4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4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4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4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4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4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4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2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2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4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4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4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4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43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4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4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4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4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4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4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4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3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3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4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4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4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4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44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4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4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4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4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4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4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4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4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4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4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4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4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4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45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4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4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4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4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4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4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4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5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5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45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45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45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45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46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4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4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4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4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4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4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46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6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6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4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4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4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46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47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4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4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4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4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4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4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47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7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7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4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4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4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47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48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4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4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4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4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4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4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48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8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8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4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4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4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48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49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4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4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4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4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4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4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4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49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49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49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4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4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4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49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50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5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5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5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5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5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5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5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50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50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50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5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5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5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50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51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5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5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5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5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5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5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5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51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51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51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5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5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5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51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52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5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5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5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5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5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5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5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52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52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52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5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5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5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52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53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5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5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5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5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5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5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5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53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53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53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5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5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5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53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54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5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5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5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5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5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5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5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54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54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54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5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5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5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54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B55" type="list">
      <formula1>"TGA-Planung,Studium,Betrieb,Sonstige"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C5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F5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G5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H5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I5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J5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K5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L55" type="whole">
      <formula1>1</formula1>
      <formula2>5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D55" type="decimal">
      <formula1>0</formula1>
      <formula2>1440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E55" type="whole">
      <formula1>0</formula1>
      <formula2>10000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M55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N55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O55" type="list">
      <formula1>"Erfüllt,Teilweise,Nicht erfüllt"</formula1>
      <formula2>0</formula2>
    </dataValidation>
    <dataValidation allowBlank="false" error="Bitte einen gültigen Wert innerhalb des angegebenen Bereichs eingeben." errorStyle="stop" errorTitle="Eingabe prüfen" operator="between" prompt="Blaue Felder sind Eingaben. Einheiten und Hinweise beachten." promptTitle="Veränderbare Eingabe" showDropDown="false" showErrorMessage="true" showInputMessage="true" sqref="P55" type="list">
      <formula1>"Erfüllt,Teilweise,Nicht erfüllt"</formula1>
      <formula2>0</formula2>
    </dataValidation>
  </dataValidations>
  <hyperlinks>
    <hyperlink ref="A2" r:id="rId1" location="'Dashboard'!A1" display="Dashboard"/>
    <hyperlink ref="B2" r:id="rId2" location="'Eingaben'!A1" display="Eingaben"/>
    <hyperlink ref="C2" r:id="rId3" location="'Nutzungsprofile'!A1" display="Profile"/>
    <hyperlink ref="D2" r:id="rId4" location="'Kalender'!A1" display="Kalender"/>
    <hyperlink ref="E2" r:id="rId5" location="'Anleitung'!A1" display="Methodik"/>
  </hyperlinks>
  <printOptions headings="false" gridLines="false" gridLinesSet="true" horizontalCentered="true" verticalCentered="false"/>
  <pageMargins left="0.25" right="0.2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Grauwasserbewertung | wissenschaftlicher Prototyp | &amp;P / &amp;N</oddFooter>
  </headerFooter>
  <tableParts>
    <tablePart r:id="rId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12" min="2" style="0" width="16"/>
  </cols>
  <sheetData>
    <row r="1" customFormat="false" ht="37.5" hidden="false" customHeight="true" outlineLevel="0" collapsed="false">
      <c r="A1" s="1" t="s">
        <v>626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3.75" hidden="false" customHeight="true" outlineLevel="0" collapsed="false">
      <c r="A3" s="3" t="s">
        <v>627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6.4" hidden="false" customHeight="false" outlineLevel="0" collapsed="false">
      <c r="E4" s="15" t="n">
        <v>1</v>
      </c>
      <c r="F4" s="15" t="n">
        <v>2</v>
      </c>
      <c r="G4" s="15" t="n">
        <v>3</v>
      </c>
      <c r="H4" s="15" t="n">
        <v>4</v>
      </c>
      <c r="I4" s="15" t="n">
        <v>5</v>
      </c>
    </row>
    <row r="5" customFormat="false" ht="31.5" hidden="false" customHeight="true" outlineLevel="0" collapsed="false">
      <c r="A5" s="11" t="s">
        <v>628</v>
      </c>
      <c r="B5" s="11" t="s">
        <v>629</v>
      </c>
      <c r="C5" s="11" t="s">
        <v>630</v>
      </c>
      <c r="D5" s="11" t="s">
        <v>631</v>
      </c>
      <c r="E5" s="11" t="s">
        <v>632</v>
      </c>
      <c r="F5" s="11" t="s">
        <v>633</v>
      </c>
      <c r="G5" s="11" t="s">
        <v>634</v>
      </c>
      <c r="H5" s="11" t="s">
        <v>635</v>
      </c>
      <c r="I5" s="11" t="s">
        <v>636</v>
      </c>
      <c r="J5" s="11" t="s">
        <v>637</v>
      </c>
      <c r="K5" s="11" t="s">
        <v>638</v>
      </c>
      <c r="L5" s="11" t="s">
        <v>370</v>
      </c>
    </row>
    <row r="6" customFormat="false" ht="61.15" hidden="false" customHeight="false" outlineLevel="0" collapsed="false">
      <c r="A6" s="12" t="s">
        <v>613</v>
      </c>
      <c r="B6" s="15" t="n">
        <f aca="false">SUM(E6:I6)</f>
        <v>0</v>
      </c>
      <c r="C6" s="13" t="str">
        <f aca="false">IF(B6=0,"",SUMPRODUCT(E6:I6,$E$4:$I$4)/B6)</f>
        <v/>
      </c>
      <c r="D6" s="13" t="str">
        <f aca="false">IF(B6&lt;2,"",SQRT(SUMPRODUCT(E6:I6,($E$4:$I$4-C6)^2)/(B6-1)))</f>
        <v/>
      </c>
      <c r="E6" s="15" t="n">
        <f aca="false">SUMPRODUCT((Nutzertest!$A$6:$A$55&lt;&gt;"")*ISNUMBER(Nutzertest!F$6:F$55)*(Nutzertest!F$6:F$55=1))</f>
        <v>0</v>
      </c>
      <c r="F6" s="15" t="n">
        <f aca="false">SUMPRODUCT((Nutzertest!$A$6:$A$55&lt;&gt;"")*ISNUMBER(Nutzertest!F$6:F$55)*(Nutzertest!F$6:F$55=2))</f>
        <v>0</v>
      </c>
      <c r="G6" s="15" t="n">
        <f aca="false">SUMPRODUCT((Nutzertest!$A$6:$A$55&lt;&gt;"")*ISNUMBER(Nutzertest!F$6:F$55)*(Nutzertest!F$6:F$55=3))</f>
        <v>0</v>
      </c>
      <c r="H6" s="15" t="n">
        <f aca="false">SUMPRODUCT((Nutzertest!$A$6:$A$55&lt;&gt;"")*ISNUMBER(Nutzertest!F$6:F$55)*(Nutzertest!F$6:F$55=4))</f>
        <v>0</v>
      </c>
      <c r="I6" s="15" t="n">
        <f aca="false">SUMPRODUCT((Nutzertest!$A$6:$A$55&lt;&gt;"")*ISNUMBER(Nutzertest!F$6:F$55)*(Nutzertest!F$6:F$55=5))</f>
        <v>0</v>
      </c>
      <c r="J6" s="15" t="n">
        <f aca="false">COUNTIFS(Nutzertest!$A$6:$A$55,"&lt;&gt;",Nutzertest!F$6:F$55,"")</f>
        <v>0</v>
      </c>
      <c r="K6" s="15" t="n">
        <f aca="false">COUNTIF(Nutzertest!$A$6:$A$55,"&lt;&gt;")-B6-J6</f>
        <v>0</v>
      </c>
      <c r="L6" s="12" t="s">
        <v>639</v>
      </c>
    </row>
    <row r="7" customFormat="false" ht="61.15" hidden="false" customHeight="false" outlineLevel="0" collapsed="false">
      <c r="A7" s="12" t="s">
        <v>614</v>
      </c>
      <c r="B7" s="15" t="n">
        <f aca="false">SUM(E7:I7)</f>
        <v>0</v>
      </c>
      <c r="C7" s="13" t="str">
        <f aca="false">IF(B7=0,"",SUMPRODUCT(E7:I7,$E$4:$I$4)/B7)</f>
        <v/>
      </c>
      <c r="D7" s="13" t="str">
        <f aca="false">IF(B7&lt;2,"",SQRT(SUMPRODUCT(E7:I7,($E$4:$I$4-C7)^2)/(B7-1)))</f>
        <v/>
      </c>
      <c r="E7" s="15" t="n">
        <f aca="false">SUMPRODUCT((Nutzertest!$A$6:$A$55&lt;&gt;"")*ISNUMBER(Nutzertest!G$6:G$55)*(Nutzertest!G$6:G$55=1))</f>
        <v>0</v>
      </c>
      <c r="F7" s="15" t="n">
        <f aca="false">SUMPRODUCT((Nutzertest!$A$6:$A$55&lt;&gt;"")*ISNUMBER(Nutzertest!G$6:G$55)*(Nutzertest!G$6:G$55=2))</f>
        <v>0</v>
      </c>
      <c r="G7" s="15" t="n">
        <f aca="false">SUMPRODUCT((Nutzertest!$A$6:$A$55&lt;&gt;"")*ISNUMBER(Nutzertest!G$6:G$55)*(Nutzertest!G$6:G$55=3))</f>
        <v>0</v>
      </c>
      <c r="H7" s="15" t="n">
        <f aca="false">SUMPRODUCT((Nutzertest!$A$6:$A$55&lt;&gt;"")*ISNUMBER(Nutzertest!G$6:G$55)*(Nutzertest!G$6:G$55=4))</f>
        <v>0</v>
      </c>
      <c r="I7" s="15" t="n">
        <f aca="false">SUMPRODUCT((Nutzertest!$A$6:$A$55&lt;&gt;"")*ISNUMBER(Nutzertest!G$6:G$55)*(Nutzertest!G$6:G$55=5))</f>
        <v>0</v>
      </c>
      <c r="J7" s="15" t="n">
        <f aca="false">COUNTIFS(Nutzertest!$A$6:$A$55,"&lt;&gt;",Nutzertest!G$6:G$55,"")</f>
        <v>0</v>
      </c>
      <c r="K7" s="15" t="n">
        <f aca="false">COUNTIF(Nutzertest!$A$6:$A$55,"&lt;&gt;")-B7-J7</f>
        <v>0</v>
      </c>
      <c r="L7" s="12" t="s">
        <v>639</v>
      </c>
    </row>
    <row r="8" customFormat="false" ht="61.15" hidden="false" customHeight="false" outlineLevel="0" collapsed="false">
      <c r="A8" s="12" t="s">
        <v>615</v>
      </c>
      <c r="B8" s="15" t="n">
        <f aca="false">SUM(E8:I8)</f>
        <v>0</v>
      </c>
      <c r="C8" s="13" t="str">
        <f aca="false">IF(B8=0,"",SUMPRODUCT(E8:I8,$E$4:$I$4)/B8)</f>
        <v/>
      </c>
      <c r="D8" s="13" t="str">
        <f aca="false">IF(B8&lt;2,"",SQRT(SUMPRODUCT(E8:I8,($E$4:$I$4-C8)^2)/(B8-1)))</f>
        <v/>
      </c>
      <c r="E8" s="15" t="n">
        <f aca="false">SUMPRODUCT((Nutzertest!$A$6:$A$55&lt;&gt;"")*ISNUMBER(Nutzertest!H$6:H$55)*(Nutzertest!H$6:H$55=1))</f>
        <v>0</v>
      </c>
      <c r="F8" s="15" t="n">
        <f aca="false">SUMPRODUCT((Nutzertest!$A$6:$A$55&lt;&gt;"")*ISNUMBER(Nutzertest!H$6:H$55)*(Nutzertest!H$6:H$55=2))</f>
        <v>0</v>
      </c>
      <c r="G8" s="15" t="n">
        <f aca="false">SUMPRODUCT((Nutzertest!$A$6:$A$55&lt;&gt;"")*ISNUMBER(Nutzertest!H$6:H$55)*(Nutzertest!H$6:H$55=3))</f>
        <v>0</v>
      </c>
      <c r="H8" s="15" t="n">
        <f aca="false">SUMPRODUCT((Nutzertest!$A$6:$A$55&lt;&gt;"")*ISNUMBER(Nutzertest!H$6:H$55)*(Nutzertest!H$6:H$55=4))</f>
        <v>0</v>
      </c>
      <c r="I8" s="15" t="n">
        <f aca="false">SUMPRODUCT((Nutzertest!$A$6:$A$55&lt;&gt;"")*ISNUMBER(Nutzertest!H$6:H$55)*(Nutzertest!H$6:H$55=5))</f>
        <v>0</v>
      </c>
      <c r="J8" s="15" t="n">
        <f aca="false">COUNTIFS(Nutzertest!$A$6:$A$55,"&lt;&gt;",Nutzertest!H$6:H$55,"")</f>
        <v>0</v>
      </c>
      <c r="K8" s="15" t="n">
        <f aca="false">COUNTIF(Nutzertest!$A$6:$A$55,"&lt;&gt;")-B8-J8</f>
        <v>0</v>
      </c>
      <c r="L8" s="12" t="s">
        <v>639</v>
      </c>
    </row>
    <row r="9" customFormat="false" ht="61.15" hidden="false" customHeight="false" outlineLevel="0" collapsed="false">
      <c r="A9" s="12" t="s">
        <v>616</v>
      </c>
      <c r="B9" s="15" t="n">
        <f aca="false">SUM(E9:I9)</f>
        <v>0</v>
      </c>
      <c r="C9" s="13" t="str">
        <f aca="false">IF(B9=0,"",SUMPRODUCT(E9:I9,$E$4:$I$4)/B9)</f>
        <v/>
      </c>
      <c r="D9" s="13" t="str">
        <f aca="false">IF(B9&lt;2,"",SQRT(SUMPRODUCT(E9:I9,($E$4:$I$4-C9)^2)/(B9-1)))</f>
        <v/>
      </c>
      <c r="E9" s="15" t="n">
        <f aca="false">SUMPRODUCT((Nutzertest!$A$6:$A$55&lt;&gt;"")*ISNUMBER(Nutzertest!I$6:I$55)*(Nutzertest!I$6:I$55=1))</f>
        <v>0</v>
      </c>
      <c r="F9" s="15" t="n">
        <f aca="false">SUMPRODUCT((Nutzertest!$A$6:$A$55&lt;&gt;"")*ISNUMBER(Nutzertest!I$6:I$55)*(Nutzertest!I$6:I$55=2))</f>
        <v>0</v>
      </c>
      <c r="G9" s="15" t="n">
        <f aca="false">SUMPRODUCT((Nutzertest!$A$6:$A$55&lt;&gt;"")*ISNUMBER(Nutzertest!I$6:I$55)*(Nutzertest!I$6:I$55=3))</f>
        <v>0</v>
      </c>
      <c r="H9" s="15" t="n">
        <f aca="false">SUMPRODUCT((Nutzertest!$A$6:$A$55&lt;&gt;"")*ISNUMBER(Nutzertest!I$6:I$55)*(Nutzertest!I$6:I$55=4))</f>
        <v>0</v>
      </c>
      <c r="I9" s="15" t="n">
        <f aca="false">SUMPRODUCT((Nutzertest!$A$6:$A$55&lt;&gt;"")*ISNUMBER(Nutzertest!I$6:I$55)*(Nutzertest!I$6:I$55=5))</f>
        <v>0</v>
      </c>
      <c r="J9" s="15" t="n">
        <f aca="false">COUNTIFS(Nutzertest!$A$6:$A$55,"&lt;&gt;",Nutzertest!I$6:I$55,"")</f>
        <v>0</v>
      </c>
      <c r="K9" s="15" t="n">
        <f aca="false">COUNTIF(Nutzertest!$A$6:$A$55,"&lt;&gt;")-B9-J9</f>
        <v>0</v>
      </c>
      <c r="L9" s="12" t="s">
        <v>639</v>
      </c>
    </row>
    <row r="10" customFormat="false" ht="61.15" hidden="false" customHeight="false" outlineLevel="0" collapsed="false">
      <c r="A10" s="12" t="s">
        <v>617</v>
      </c>
      <c r="B10" s="15" t="n">
        <f aca="false">SUM(E10:I10)</f>
        <v>0</v>
      </c>
      <c r="C10" s="13" t="str">
        <f aca="false">IF(B10=0,"",SUMPRODUCT(E10:I10,$E$4:$I$4)/B10)</f>
        <v/>
      </c>
      <c r="D10" s="13" t="str">
        <f aca="false">IF(B10&lt;2,"",SQRT(SUMPRODUCT(E10:I10,($E$4:$I$4-C10)^2)/(B10-1)))</f>
        <v/>
      </c>
      <c r="E10" s="15" t="n">
        <f aca="false">SUMPRODUCT((Nutzertest!$A$6:$A$55&lt;&gt;"")*ISNUMBER(Nutzertest!J$6:J$55)*(Nutzertest!J$6:J$55=1))</f>
        <v>0</v>
      </c>
      <c r="F10" s="15" t="n">
        <f aca="false">SUMPRODUCT((Nutzertest!$A$6:$A$55&lt;&gt;"")*ISNUMBER(Nutzertest!J$6:J$55)*(Nutzertest!J$6:J$55=2))</f>
        <v>0</v>
      </c>
      <c r="G10" s="15" t="n">
        <f aca="false">SUMPRODUCT((Nutzertest!$A$6:$A$55&lt;&gt;"")*ISNUMBER(Nutzertest!J$6:J$55)*(Nutzertest!J$6:J$55=3))</f>
        <v>0</v>
      </c>
      <c r="H10" s="15" t="n">
        <f aca="false">SUMPRODUCT((Nutzertest!$A$6:$A$55&lt;&gt;"")*ISNUMBER(Nutzertest!J$6:J$55)*(Nutzertest!J$6:J$55=4))</f>
        <v>0</v>
      </c>
      <c r="I10" s="15" t="n">
        <f aca="false">SUMPRODUCT((Nutzertest!$A$6:$A$55&lt;&gt;"")*ISNUMBER(Nutzertest!J$6:J$55)*(Nutzertest!J$6:J$55=5))</f>
        <v>0</v>
      </c>
      <c r="J10" s="15" t="n">
        <f aca="false">COUNTIFS(Nutzertest!$A$6:$A$55,"&lt;&gt;",Nutzertest!J$6:J$55,"")</f>
        <v>0</v>
      </c>
      <c r="K10" s="15" t="n">
        <f aca="false">COUNTIF(Nutzertest!$A$6:$A$55,"&lt;&gt;")-B10-J10</f>
        <v>0</v>
      </c>
      <c r="L10" s="12" t="s">
        <v>639</v>
      </c>
    </row>
    <row r="11" customFormat="false" ht="61.15" hidden="false" customHeight="false" outlineLevel="0" collapsed="false">
      <c r="A11" s="12" t="s">
        <v>618</v>
      </c>
      <c r="B11" s="15" t="n">
        <f aca="false">SUM(E11:I11)</f>
        <v>0</v>
      </c>
      <c r="C11" s="13" t="str">
        <f aca="false">IF(B11=0,"",SUMPRODUCT(E11:I11,$E$4:$I$4)/B11)</f>
        <v/>
      </c>
      <c r="D11" s="13" t="str">
        <f aca="false">IF(B11&lt;2,"",SQRT(SUMPRODUCT(E11:I11,($E$4:$I$4-C11)^2)/(B11-1)))</f>
        <v/>
      </c>
      <c r="E11" s="15" t="n">
        <f aca="false">SUMPRODUCT((Nutzertest!$A$6:$A$55&lt;&gt;"")*ISNUMBER(Nutzertest!K$6:K$55)*(Nutzertest!K$6:K$55=1))</f>
        <v>0</v>
      </c>
      <c r="F11" s="15" t="n">
        <f aca="false">SUMPRODUCT((Nutzertest!$A$6:$A$55&lt;&gt;"")*ISNUMBER(Nutzertest!K$6:K$55)*(Nutzertest!K$6:K$55=2))</f>
        <v>0</v>
      </c>
      <c r="G11" s="15" t="n">
        <f aca="false">SUMPRODUCT((Nutzertest!$A$6:$A$55&lt;&gt;"")*ISNUMBER(Nutzertest!K$6:K$55)*(Nutzertest!K$6:K$55=3))</f>
        <v>0</v>
      </c>
      <c r="H11" s="15" t="n">
        <f aca="false">SUMPRODUCT((Nutzertest!$A$6:$A$55&lt;&gt;"")*ISNUMBER(Nutzertest!K$6:K$55)*(Nutzertest!K$6:K$55=4))</f>
        <v>0</v>
      </c>
      <c r="I11" s="15" t="n">
        <f aca="false">SUMPRODUCT((Nutzertest!$A$6:$A$55&lt;&gt;"")*ISNUMBER(Nutzertest!K$6:K$55)*(Nutzertest!K$6:K$55=5))</f>
        <v>0</v>
      </c>
      <c r="J11" s="15" t="n">
        <f aca="false">COUNTIFS(Nutzertest!$A$6:$A$55,"&lt;&gt;",Nutzertest!K$6:K$55,"")</f>
        <v>0</v>
      </c>
      <c r="K11" s="15" t="n">
        <f aca="false">COUNTIF(Nutzertest!$A$6:$A$55,"&lt;&gt;")-B11-J11</f>
        <v>0</v>
      </c>
      <c r="L11" s="12" t="s">
        <v>639</v>
      </c>
    </row>
    <row r="12" customFormat="false" ht="61.15" hidden="false" customHeight="false" outlineLevel="0" collapsed="false">
      <c r="A12" s="12" t="s">
        <v>619</v>
      </c>
      <c r="B12" s="15" t="n">
        <f aca="false">SUM(E12:I12)</f>
        <v>0</v>
      </c>
      <c r="C12" s="13" t="str">
        <f aca="false">IF(B12=0,"",SUMPRODUCT(E12:I12,$E$4:$I$4)/B12)</f>
        <v/>
      </c>
      <c r="D12" s="13" t="str">
        <f aca="false">IF(B12&lt;2,"",SQRT(SUMPRODUCT(E12:I12,($E$4:$I$4-C12)^2)/(B12-1)))</f>
        <v/>
      </c>
      <c r="E12" s="15" t="n">
        <f aca="false">SUMPRODUCT((Nutzertest!$A$6:$A$55&lt;&gt;"")*ISNUMBER(Nutzertest!L$6:L$55)*(Nutzertest!L$6:L$55=1))</f>
        <v>0</v>
      </c>
      <c r="F12" s="15" t="n">
        <f aca="false">SUMPRODUCT((Nutzertest!$A$6:$A$55&lt;&gt;"")*ISNUMBER(Nutzertest!L$6:L$55)*(Nutzertest!L$6:L$55=2))</f>
        <v>0</v>
      </c>
      <c r="G12" s="15" t="n">
        <f aca="false">SUMPRODUCT((Nutzertest!$A$6:$A$55&lt;&gt;"")*ISNUMBER(Nutzertest!L$6:L$55)*(Nutzertest!L$6:L$55=3))</f>
        <v>0</v>
      </c>
      <c r="H12" s="15" t="n">
        <f aca="false">SUMPRODUCT((Nutzertest!$A$6:$A$55&lt;&gt;"")*ISNUMBER(Nutzertest!L$6:L$55)*(Nutzertest!L$6:L$55=4))</f>
        <v>0</v>
      </c>
      <c r="I12" s="15" t="n">
        <f aca="false">SUMPRODUCT((Nutzertest!$A$6:$A$55&lt;&gt;"")*ISNUMBER(Nutzertest!L$6:L$55)*(Nutzertest!L$6:L$55=5))</f>
        <v>0</v>
      </c>
      <c r="J12" s="15" t="n">
        <f aca="false">COUNTIFS(Nutzertest!$A$6:$A$55,"&lt;&gt;",Nutzertest!L$6:L$55,"")</f>
        <v>0</v>
      </c>
      <c r="K12" s="15" t="n">
        <f aca="false">COUNTIF(Nutzertest!$A$6:$A$55,"&lt;&gt;")-B12-J12</f>
        <v>0</v>
      </c>
      <c r="L12" s="12" t="s">
        <v>639</v>
      </c>
    </row>
    <row r="15" customFormat="false" ht="16.4" hidden="false" customHeight="false" outlineLevel="0" collapsed="false">
      <c r="A15" s="12" t="s">
        <v>640</v>
      </c>
      <c r="B15" s="13" t="n">
        <f aca="false">COUNTIF(Nutzertest!A6:A55,"&lt;&gt;")</f>
        <v>0</v>
      </c>
    </row>
    <row r="16" customFormat="false" ht="16.4" hidden="false" customHeight="false" outlineLevel="0" collapsed="false">
      <c r="A16" s="12" t="s">
        <v>641</v>
      </c>
      <c r="B16" s="13" t="n">
        <f aca="false">SUMPRODUCT((Nutzertest!A6:A55&lt;&gt;"")*(COUNTIF(Nutzertest!A6:A55,Nutzertest!A6:A55)&gt;1))</f>
        <v>0</v>
      </c>
    </row>
    <row r="17" customFormat="false" ht="16.4" hidden="false" customHeight="false" outlineLevel="0" collapsed="false">
      <c r="A17" s="12" t="s">
        <v>642</v>
      </c>
      <c r="B17" s="13" t="n">
        <f aca="false">SUMPRODUCT(IFERROR((Nutzertest!$A$6:$A$55&lt;&gt;"")*ISNUMBER(Nutzertest!$D$6:$D$55)*(Nutzertest!$D$6:$D$55&gt;=0)*(Nutzertest!$D$6:$D$55&lt;=1440),0))</f>
        <v>0</v>
      </c>
    </row>
    <row r="18" customFormat="false" ht="16.4" hidden="false" customHeight="false" outlineLevel="0" collapsed="false">
      <c r="A18" s="12" t="s">
        <v>643</v>
      </c>
      <c r="B18" s="13" t="str">
        <f aca="false">IF(B17=0,"",SUMPRODUCT(IFERROR((Nutzertest!$A$6:$A$55&lt;&gt;"")*ISNUMBER(Nutzertest!$D$6:$D$55)*(Nutzertest!$D$6:$D$55&gt;=0)*(Nutzertest!$D$6:$D$55&lt;=1440)*Nutzertest!$D$6:$D$55,0))/B17)</f>
        <v/>
      </c>
    </row>
    <row r="19" customFormat="false" ht="16.4" hidden="false" customHeight="false" outlineLevel="0" collapsed="false">
      <c r="A19" s="12" t="s">
        <v>644</v>
      </c>
      <c r="B19" s="13" t="str">
        <f aca="false">IF(B21=0,"",SUMPRODUCT(IFERROR((Nutzertest!$A$6:$A$55&lt;&gt;"")*ISNUMBER(Nutzertest!$E$6:$E$55)*(Nutzertest!$E$6:$E$55&gt;=0)*(Nutzertest!$E$6:$E$55&lt;=10000)*(MOD(Nutzertest!$E$6:$E$55,1)=0)*Nutzertest!$E$6:$E$55,0))/B21)</f>
        <v/>
      </c>
    </row>
    <row r="20" customFormat="false" ht="16.4" hidden="false" customHeight="false" outlineLevel="0" collapsed="false">
      <c r="A20" s="12" t="s">
        <v>645</v>
      </c>
      <c r="B20" s="13" t="n">
        <f aca="false">SUMPRODUCT((Nutzertest!$A$6:$A$55="")*(((Nutzertest!B6:B55&lt;&gt;"")+(Nutzertest!C6:C55&lt;&gt;"")+(Nutzertest!D6:D55&lt;&gt;"")+(Nutzertest!E6:E55&lt;&gt;"")+(Nutzertest!F6:F55&lt;&gt;"")+(Nutzertest!G6:G55&lt;&gt;"")+(Nutzertest!H6:H55&lt;&gt;"")+(Nutzertest!I6:I55&lt;&gt;"")+(Nutzertest!J6:J55&lt;&gt;"")+(Nutzertest!K6:K55&lt;&gt;"")+(Nutzertest!L6:L55&lt;&gt;"")+(Nutzertest!M6:M55&lt;&gt;"")+(Nutzertest!N6:N55&lt;&gt;"")+(Nutzertest!O6:O55&lt;&gt;"")+(Nutzertest!P6:P55&lt;&gt;"")+(Nutzertest!Q6:Q55&lt;&gt;"")+(Nutzertest!R6:R55&lt;&gt;""))&gt;0))</f>
        <v>0</v>
      </c>
    </row>
    <row r="21" customFormat="false" ht="16.4" hidden="false" customHeight="false" outlineLevel="0" collapsed="false">
      <c r="A21" s="12" t="s">
        <v>646</v>
      </c>
      <c r="B21" s="13" t="n">
        <f aca="false">SUMPRODUCT(IFERROR((Nutzertest!$A$6:$A$55&lt;&gt;"")*ISNUMBER(Nutzertest!$E$6:$E$55)*(Nutzertest!$E$6:$E$55&gt;=0)*(Nutzertest!$E$6:$E$55&lt;=10000)*(MOD(Nutzertest!$E$6:$E$55,1)=0),0))</f>
        <v>0</v>
      </c>
    </row>
    <row r="22" customFormat="false" ht="16.4" hidden="false" customHeight="false" outlineLevel="0" collapsed="false">
      <c r="A22" s="12" t="s">
        <v>647</v>
      </c>
      <c r="B22" s="13" t="n">
        <f aca="false">SUMPRODUCT((Nutzertest!$A$6:$A$55&lt;&gt;"")*(Nutzertest!$D$6:$D$55&lt;&gt;""))-B17+SUMPRODUCT((Nutzertest!$A$6:$A$55&lt;&gt;"")*(Nutzertest!$E$6:$E$55&lt;&gt;""))-B21</f>
        <v>0</v>
      </c>
    </row>
    <row r="23" customFormat="false" ht="31.5" hidden="false" customHeight="true" outlineLevel="0" collapsed="false">
      <c r="A23" s="11" t="s">
        <v>648</v>
      </c>
      <c r="B23" s="11" t="s">
        <v>649</v>
      </c>
      <c r="C23" s="11" t="s">
        <v>650</v>
      </c>
      <c r="D23" s="11" t="s">
        <v>651</v>
      </c>
    </row>
    <row r="24" customFormat="false" ht="16.4" hidden="false" customHeight="false" outlineLevel="0" collapsed="false">
      <c r="A24" s="12" t="s">
        <v>652</v>
      </c>
      <c r="B24" s="15" t="n">
        <f aca="false">COUNTIFS(Nutzertest!$A$6:$A$55,"&lt;&gt;",Nutzertest!M$6:M$55,"Erfüllt")</f>
        <v>0</v>
      </c>
      <c r="C24" s="15" t="n">
        <f aca="false">COUNTIFS(Nutzertest!$A$6:$A$55,"&lt;&gt;",Nutzertest!M$6:M$55,"Teilweise")</f>
        <v>0</v>
      </c>
      <c r="D24" s="15" t="n">
        <f aca="false">COUNTIFS(Nutzertest!$A$6:$A$55,"&lt;&gt;",Nutzertest!M$6:M$55,"Nicht erfüllt")</f>
        <v>0</v>
      </c>
    </row>
    <row r="25" customFormat="false" ht="16.4" hidden="false" customHeight="false" outlineLevel="0" collapsed="false">
      <c r="A25" s="12" t="s">
        <v>653</v>
      </c>
      <c r="B25" s="15" t="n">
        <f aca="false">COUNTIFS(Nutzertest!$A$6:$A$55,"&lt;&gt;",Nutzertest!N$6:N$55,"Erfüllt")</f>
        <v>0</v>
      </c>
      <c r="C25" s="15" t="n">
        <f aca="false">COUNTIFS(Nutzertest!$A$6:$A$55,"&lt;&gt;",Nutzertest!N$6:N$55,"Teilweise")</f>
        <v>0</v>
      </c>
      <c r="D25" s="15" t="n">
        <f aca="false">COUNTIFS(Nutzertest!$A$6:$A$55,"&lt;&gt;",Nutzertest!N$6:N$55,"Nicht erfüllt")</f>
        <v>0</v>
      </c>
    </row>
    <row r="26" customFormat="false" ht="16.4" hidden="false" customHeight="false" outlineLevel="0" collapsed="false">
      <c r="A26" s="12" t="s">
        <v>654</v>
      </c>
      <c r="B26" s="15" t="n">
        <f aca="false">COUNTIFS(Nutzertest!$A$6:$A$55,"&lt;&gt;",Nutzertest!O$6:O$55,"Erfüllt")</f>
        <v>0</v>
      </c>
      <c r="C26" s="15" t="n">
        <f aca="false">COUNTIFS(Nutzertest!$A$6:$A$55,"&lt;&gt;",Nutzertest!O$6:O$55,"Teilweise")</f>
        <v>0</v>
      </c>
      <c r="D26" s="15" t="n">
        <f aca="false">COUNTIFS(Nutzertest!$A$6:$A$55,"&lt;&gt;",Nutzertest!O$6:O$55,"Nicht erfüllt")</f>
        <v>0</v>
      </c>
    </row>
    <row r="27" customFormat="false" ht="16.4" hidden="false" customHeight="false" outlineLevel="0" collapsed="false">
      <c r="A27" s="12" t="s">
        <v>655</v>
      </c>
      <c r="B27" s="15" t="n">
        <f aca="false">COUNTIFS(Nutzertest!$A$6:$A$55,"&lt;&gt;",Nutzertest!P$6:P$55,"Erfüllt")</f>
        <v>0</v>
      </c>
      <c r="C27" s="15" t="n">
        <f aca="false">COUNTIFS(Nutzertest!$A$6:$A$55,"&lt;&gt;",Nutzertest!P$6:P$55,"Teilweise")</f>
        <v>0</v>
      </c>
      <c r="D27" s="15" t="n">
        <f aca="false">COUNTIFS(Nutzertest!$A$6:$A$55,"&lt;&gt;",Nutzertest!P$6:P$55,"Nicht erfüllt")</f>
        <v>0</v>
      </c>
    </row>
  </sheetData>
  <sheetProtection sheet="true" objects="true" sort="false" autoFilter="false"/>
  <mergeCells count="2">
    <mergeCell ref="A1:L1"/>
    <mergeCell ref="A3:L3"/>
  </mergeCells>
  <hyperlinks>
    <hyperlink ref="A2" r:id="rId1" location="'Dashboard'!A1" display="Dashboard"/>
    <hyperlink ref="B2" r:id="rId2" location="'Eingaben'!A1" display="Eingaben"/>
    <hyperlink ref="C2" r:id="rId3" location="'Nutzungsprofile'!A1" display="Profile"/>
    <hyperlink ref="D2" r:id="rId4" location="'Kalender'!A1" display="Kalender"/>
    <hyperlink ref="E2" r:id="rId5" location="'Anleitung'!A1" display="Methodik"/>
  </hyperlinks>
  <printOptions headings="false" gridLines="false" gridLinesSet="true" horizontalCentered="true" verticalCentered="false"/>
  <pageMargins left="0.25" right="0.2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Grauwasserbewertung | wissenschaftlicher Prototyp | &amp;P / &amp;N</oddFooter>
  </headerFooter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6" min="2" style="0" width="23"/>
  </cols>
  <sheetData>
    <row r="1" customFormat="false" ht="37.5" hidden="false" customHeight="true" outlineLevel="0" collapsed="false">
      <c r="A1" s="1" t="s">
        <v>656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33.75" hidden="false" customHeight="true" outlineLevel="0" collapsed="false">
      <c r="A3" s="3" t="s">
        <v>657</v>
      </c>
      <c r="B3" s="3"/>
      <c r="C3" s="3"/>
      <c r="D3" s="3"/>
      <c r="E3" s="3"/>
      <c r="F3" s="3"/>
    </row>
    <row r="5" customFormat="false" ht="63.75" hidden="false" customHeight="true" outlineLevel="0" collapsed="false">
      <c r="A5" s="12" t="s">
        <v>658</v>
      </c>
      <c r="B5" s="3" t="s">
        <v>659</v>
      </c>
      <c r="C5" s="3"/>
      <c r="D5" s="3"/>
      <c r="E5" s="3"/>
      <c r="F5" s="3"/>
    </row>
    <row r="6" customFormat="false" ht="63.75" hidden="false" customHeight="true" outlineLevel="0" collapsed="false">
      <c r="A6" s="12" t="s">
        <v>660</v>
      </c>
      <c r="B6" s="3" t="s">
        <v>661</v>
      </c>
      <c r="C6" s="3"/>
      <c r="D6" s="3"/>
      <c r="E6" s="3"/>
      <c r="F6" s="3"/>
    </row>
    <row r="7" customFormat="false" ht="63.75" hidden="false" customHeight="true" outlineLevel="0" collapsed="false">
      <c r="A7" s="12" t="s">
        <v>662</v>
      </c>
      <c r="B7" s="3" t="s">
        <v>663</v>
      </c>
      <c r="C7" s="3"/>
      <c r="D7" s="3"/>
      <c r="E7" s="3"/>
      <c r="F7" s="3"/>
    </row>
    <row r="8" customFormat="false" ht="63.75" hidden="false" customHeight="true" outlineLevel="0" collapsed="false">
      <c r="A8" s="12" t="s">
        <v>664</v>
      </c>
      <c r="B8" s="3" t="s">
        <v>665</v>
      </c>
      <c r="C8" s="3"/>
      <c r="D8" s="3"/>
      <c r="E8" s="3"/>
      <c r="F8" s="3"/>
    </row>
    <row r="9" customFormat="false" ht="63.75" hidden="false" customHeight="true" outlineLevel="0" collapsed="false">
      <c r="A9" s="12" t="s">
        <v>666</v>
      </c>
      <c r="B9" s="3" t="s">
        <v>667</v>
      </c>
      <c r="C9" s="3"/>
      <c r="D9" s="3"/>
      <c r="E9" s="3"/>
      <c r="F9" s="3"/>
    </row>
    <row r="10" customFormat="false" ht="63.75" hidden="false" customHeight="true" outlineLevel="0" collapsed="false">
      <c r="A10" s="12" t="s">
        <v>668</v>
      </c>
      <c r="B10" s="3" t="s">
        <v>669</v>
      </c>
      <c r="C10" s="3"/>
      <c r="D10" s="3"/>
      <c r="E10" s="3"/>
      <c r="F10" s="3"/>
    </row>
    <row r="11" customFormat="false" ht="63.75" hidden="false" customHeight="true" outlineLevel="0" collapsed="false">
      <c r="A11" s="12" t="s">
        <v>670</v>
      </c>
      <c r="B11" s="3" t="s">
        <v>671</v>
      </c>
      <c r="C11" s="3"/>
      <c r="D11" s="3"/>
      <c r="E11" s="3"/>
      <c r="F11" s="3"/>
    </row>
    <row r="12" customFormat="false" ht="63.75" hidden="false" customHeight="true" outlineLevel="0" collapsed="false">
      <c r="A12" s="12" t="s">
        <v>672</v>
      </c>
      <c r="B12" s="3" t="s">
        <v>673</v>
      </c>
      <c r="C12" s="3"/>
      <c r="D12" s="3"/>
      <c r="E12" s="3"/>
      <c r="F12" s="3"/>
    </row>
    <row r="13" customFormat="false" ht="63.75" hidden="false" customHeight="true" outlineLevel="0" collapsed="false">
      <c r="A13" s="12" t="s">
        <v>674</v>
      </c>
      <c r="B13" s="3" t="s">
        <v>675</v>
      </c>
      <c r="C13" s="3"/>
      <c r="D13" s="3"/>
      <c r="E13" s="3"/>
      <c r="F13" s="3"/>
    </row>
    <row r="14" customFormat="false" ht="63.75" hidden="false" customHeight="true" outlineLevel="0" collapsed="false">
      <c r="A14" s="12" t="s">
        <v>676</v>
      </c>
      <c r="B14" s="3" t="s">
        <v>677</v>
      </c>
      <c r="C14" s="3"/>
      <c r="D14" s="3"/>
      <c r="E14" s="3"/>
      <c r="F14" s="3"/>
    </row>
    <row r="15" customFormat="false" ht="63.75" hidden="false" customHeight="true" outlineLevel="0" collapsed="false">
      <c r="A15" s="12" t="s">
        <v>678</v>
      </c>
      <c r="B15" s="3" t="s">
        <v>679</v>
      </c>
      <c r="C15" s="3"/>
      <c r="D15" s="3"/>
      <c r="E15" s="3"/>
      <c r="F15" s="3"/>
    </row>
    <row r="16" customFormat="false" ht="63.75" hidden="false" customHeight="true" outlineLevel="0" collapsed="false">
      <c r="A16" s="12" t="s">
        <v>680</v>
      </c>
      <c r="B16" s="3" t="s">
        <v>681</v>
      </c>
      <c r="C16" s="3"/>
      <c r="D16" s="3"/>
      <c r="E16" s="3"/>
      <c r="F16" s="3"/>
    </row>
    <row r="17" customFormat="false" ht="63.75" hidden="false" customHeight="true" outlineLevel="0" collapsed="false">
      <c r="A17" s="12" t="s">
        <v>682</v>
      </c>
      <c r="B17" s="3" t="s">
        <v>683</v>
      </c>
      <c r="C17" s="3"/>
      <c r="D17" s="3"/>
      <c r="E17" s="3"/>
      <c r="F17" s="3"/>
    </row>
    <row r="18" customFormat="false" ht="63.75" hidden="false" customHeight="true" outlineLevel="0" collapsed="false">
      <c r="A18" s="12" t="s">
        <v>684</v>
      </c>
      <c r="B18" s="3" t="s">
        <v>685</v>
      </c>
      <c r="C18" s="3"/>
      <c r="D18" s="3"/>
      <c r="E18" s="3"/>
      <c r="F18" s="3"/>
    </row>
    <row r="19" customFormat="false" ht="63.75" hidden="false" customHeight="true" outlineLevel="0" collapsed="false">
      <c r="A19" s="12" t="s">
        <v>686</v>
      </c>
      <c r="B19" s="3" t="s">
        <v>687</v>
      </c>
      <c r="C19" s="3"/>
      <c r="D19" s="3"/>
      <c r="E19" s="3"/>
      <c r="F19" s="3"/>
    </row>
  </sheetData>
  <sheetProtection sheet="true" objects="true" sort="false" autoFilter="false"/>
  <mergeCells count="17">
    <mergeCell ref="A1:F1"/>
    <mergeCell ref="A3:F3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</mergeCells>
  <hyperlinks>
    <hyperlink ref="A2" r:id="rId1" location="'Dashboard'!A1" display="Dashboard"/>
    <hyperlink ref="B2" r:id="rId2" location="'Eingaben'!A1" display="Eingaben"/>
    <hyperlink ref="C2" r:id="rId3" location="'Nutzungsprofile'!A1" display="Profile"/>
    <hyperlink ref="D2" r:id="rId4" location="'Kalender'!A1" display="Kalender"/>
    <hyperlink ref="E2" r:id="rId5" location="'Anleitung'!A1" display="Methodik"/>
  </hyperlinks>
  <printOptions headings="false" gridLines="false" gridLinesSet="true" horizontalCentered="true" verticalCentered="false"/>
  <pageMargins left="0.25" right="0.2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Grauwasserbewertung | wissenschaftlicher Prototyp |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2026-10-14T09:50:34Z</dcterms:created>
  <dc:creator>Grauwasser-Bewertungstool</dc:creator>
  <dc:description>Tagesbilanz, Kapitalwert, konservative Ampel, Szenarien, Probandenauswertung. Beispieldaten und vorläufige Schwellen.</dc:description>
  <dc:language>en-US</dc:language>
  <cp:lastModifiedBy/>
  <dcterms:modified xsi:type="dcterms:W3CDTF">2026-10-14T09:50:43Z</dcterms:modified>
  <cp:revision>0</cp:revision>
  <dc:subject>Wissenschaftlicher, makrofreier Excel-Prototyp</dc:subject>
  <dc:title>Bewertungssystem für Grauwasseranlagen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